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binary" PartName="/xl/commentsmeta11"/>
  <Override ContentType="application/binary" PartName="/xl/commentsmeta12"/>
  <Override ContentType="application/binary" PartName="/xl/commentsmeta10"/>
  <Override ContentType="application/binary" PartName="/xl/commentsmeta4"/>
  <Override ContentType="application/binary" PartName="/xl/commentsmeta5"/>
  <Override ContentType="application/binary" PartName="/xl/commentsmeta2"/>
  <Override ContentType="application/binary" PartName="/xl/commentsmeta3"/>
  <Override ContentType="application/binary" PartName="/xl/commentsmeta0"/>
  <Override ContentType="application/binary" PartName="/xl/commentsmeta1"/>
  <Override ContentType="application/binary" PartName="/xl/commentsmeta8"/>
  <Override ContentType="application/binary" PartName="/xl/commentsmeta9"/>
  <Override ContentType="application/binary" PartName="/xl/commentsmeta6"/>
  <Override ContentType="application/binary" PartName="/xl/commentsmeta7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Y25-26" sheetId="1" r:id="rId4"/>
    <sheet state="visible" name="Q1 FY25-26" sheetId="2" r:id="rId5"/>
    <sheet state="visible" name="Q2 FY25-26" sheetId="3" r:id="rId6"/>
    <sheet state="hidden" name="Mg St Colaba Comparison" sheetId="4" r:id="rId7"/>
    <sheet state="visible" name="Q3 FY25-26" sheetId="5" r:id="rId8"/>
    <sheet state="visible" name="Q4 FY25-26" sheetId="6" r:id="rId9"/>
    <sheet state="hidden" name="AOV" sheetId="7" r:id="rId10"/>
    <sheet state="visible" name="Summary Sheet - April 2025" sheetId="8" r:id="rId11"/>
    <sheet state="visible" name="Summary Sheet - May 2025" sheetId="9" r:id="rId12"/>
    <sheet state="visible" name="Summary Sheet - June 2025" sheetId="10" r:id="rId13"/>
    <sheet state="visible" name="Summary Sheet - July 2025" sheetId="11" r:id="rId14"/>
    <sheet state="visible" name="Summary Sheet - Aug 2025" sheetId="12" r:id="rId15"/>
    <sheet state="visible" name="Summary Sheet - Sep 2025" sheetId="13" r:id="rId16"/>
    <sheet state="visible" name="Summary Sheet - Oct 2025" sheetId="14" r:id="rId17"/>
    <sheet state="hidden" name="MSBC Summary" sheetId="15" r:id="rId18"/>
    <sheet state="hidden" name="Sheet13" sheetId="16" r:id="rId19"/>
    <sheet state="hidden" name="Targets" sheetId="17" r:id="rId20"/>
    <sheet state="visible" name="Summary Sheet - Nov 2025" sheetId="18" r:id="rId21"/>
    <sheet state="visible" name="Summary Sheet - Dec 2025" sheetId="19" r:id="rId22"/>
    <sheet state="visible" name="Summary Sheet - Jan 2026" sheetId="20" r:id="rId23"/>
    <sheet state="visible" name="Summary Sheet - Feb 2026" sheetId="21" r:id="rId24"/>
    <sheet state="visible" name="Summary Sheet - Mar 2026" sheetId="22" r:id="rId25"/>
    <sheet state="visible" name="The Table" sheetId="23" r:id="rId26"/>
    <sheet state="visible" name="HO" sheetId="24" r:id="rId27"/>
    <sheet state="visible" name="Candle Points of Query" sheetId="25" r:id="rId28"/>
    <sheet state="visible" name="Iktara" sheetId="26" r:id="rId29"/>
    <sheet state="visible" name="Mg St Colaba" sheetId="27" r:id="rId30"/>
    <sheet state="visible" name="Mg St LP" sheetId="28" r:id="rId31"/>
    <sheet state="visible" name="Mg St Bandra" sheetId="29" r:id="rId32"/>
    <sheet state="visible" name="MSK Events" sheetId="30" r:id="rId33"/>
    <sheet state="visible" name="MSBC" sheetId="31" r:id="rId34"/>
    <sheet state="visible" name="Kaspers" sheetId="32" r:id="rId35"/>
    <sheet state="visible" name="MSBC Andheri" sheetId="33" r:id="rId36"/>
    <sheet state="visible" name="MSBC Dahisar" sheetId="34" r:id="rId37"/>
    <sheet state="visible" name="MSBC Juhu  Goregoan" sheetId="35" r:id="rId38"/>
    <sheet state="visible" name="LOUD MOUTH" sheetId="36" r:id="rId39"/>
    <sheet state="visible" name="MSBC CK Allocation" sheetId="37" r:id="rId40"/>
    <sheet state="visible" name="Calculation Sheet for GST on Pu" sheetId="38" r:id="rId41"/>
    <sheet state="hidden" name="Mg St Bandra - Comparison" sheetId="39" r:id="rId42"/>
    <sheet state="hidden" name="Mg St LP - Comparison" sheetId="40" r:id="rId43"/>
    <sheet state="hidden" name="Table Summary - Comparison" sheetId="41" r:id="rId44"/>
    <sheet state="hidden" name="Kasper Summary - Comparison" sheetId="42" r:id="rId45"/>
  </sheets>
  <definedNames/>
  <calcPr/>
  <extLst>
    <ext uri="GoogleSheetsCustomDataVersion2">
      <go:sheetsCustomData xmlns:go="http://customooxmlschemas.google.com/" r:id="rId46" roundtripDataChecksum="O39LaiQ+53fxRYf44jkPZntNgGRpmVp4eC6k928Z8K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======
ID#AAAB3yX9KCM
tc={0b5ec4a3-a9a4-4a2c-b89f-9aee434fb379}    (2026-04-21 11:24:36)
[Threaded comment]
Your version of Excel allows you to read this threaded comment; however, any edits to it will get removed if the file is opened in a newer version of Excel. Learn more: https://go.microsoft.com/fwlink/?linkid=870924
Comment:
    Need to understand 
EDM - Executive Director Meal
NC - (Compleimentary / Service Recovery)</t>
      </text>
    </comment>
  </commentList>
  <extLst>
    <ext uri="GoogleSheetsCustomDataVersion2">
      <go:sheetsCustomData xmlns:go="http://customooxmlschemas.google.com/" r:id="rId1" roundtripDataSignature="AMtx7mj41fAHWq1pRctDm5sSpZkbrvbeK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6">
      <text>
        <t xml:space="preserve">======
ID#AAAB3yX9KCs
tc={107e54d4-de17-4d37-9d1d-ff834c9f268a}    (2026-04-21 11:24:36)
[Threaded comment]
Your version of Excel allows you to read this threaded comment; however, any edits to it will get removed if the file is opened in a newer version of Excel. Learn more: https://go.microsoft.com/fwlink/?linkid=870924
Comment:
    80% of MSBC Expenses Transferred to all outlets on basis of Food Sale Contribution between Table, Mg St Cafe (All)</t>
      </text>
    </comment>
    <comment authorId="0" ref="AN88">
      <text>
        <t xml:space="preserve">======
ID#AAAB3yX9KBk
tc={d90c4a8c-50bb-4424-8654-30adad505022}    (2026-04-21 11:24:36)
[Threaded comment]
Your version of Excel allows you to read this threaded comment; however, any edits to it will get removed if the file is opened in a newer version of Excel. Learn more: https://go.microsoft.com/fwlink/?linkid=870924
Comment:
    tt media guest</t>
      </text>
    </comment>
    <comment authorId="0" ref="P63">
      <text>
        <t xml:space="preserve">======
ID#AAAB3yX9UV0
tc={088dceaa-a339-45ac-be4f-dded4299775e}    (2026-04-21 11:24:36)
[Threaded comment]
Your version of Excel allows you to read this threaded comment; however, any edits to it will get removed if the file is opened in a newer version of Excel. Learn more: https://go.microsoft.com/fwlink/?linkid=870924
Comment:
    HDFC CC</t>
      </text>
    </comment>
    <comment authorId="0" ref="D97">
      <text>
        <t xml:space="preserve">======
ID#AAAB3yX8QVM
tc={28e9ad56-007b-48b9-8470-6de05db5455f}    (2026-04-21 11:24:36)
[Threaded comment]
Your version of Excel allows you to read this threaded comment; however, any edits to it will get removed if the file is opened in a newer version of Excel. Learn more: https://go.microsoft.com/fwlink/?linkid=870924
Comment:
    Check Subscription Charges - Vendor</t>
      </text>
    </comment>
    <comment authorId="0" ref="AB86">
      <text>
        <t xml:space="preserve">======
ID#AAAB3yX8QVw
tc={0c22a87c-0a51-49ce-846a-9ab04306ed07}    (2026-04-21 11:24:36)
[Threaded comment]
Your version of Excel allows you to read this threaded comment; however, any edits to it will get removed if the file is opened in a newer version of Excel. Learn more: https://go.microsoft.com/fwlink/?linkid=870924
Comment:
    ERRO WILL APPLICATION FEES</t>
      </text>
    </comment>
    <comment authorId="0" ref="V63">
      <text>
        <t xml:space="preserve">======
ID#AAAB3yX9UVk
tc={cb05fab8-0ebd-4357-96a5-69535ab607ce}    (2026-04-21 11:24:36)
[Threaded comment]
Your version of Excel allows you to read this threaded comment; however, any edits to it will get removed if the file is opened in a newer version of Excel. Learn more: https://go.microsoft.com/fwlink/?linkid=870924
Comment:
    HDFC CC</t>
      </text>
    </comment>
    <comment authorId="0" ref="AT87">
      <text>
        <t xml:space="preserve">======
ID#AAAB3yX9KDA
tc={057a5421-dcdf-400c-b238-5b7607e264d6}    (2026-04-21 11:24:36)
[Threaded comment]
Your version of Excel allows you to read this threaded comment; however, any edits to it will get removed if the file is opened in a newer version of Excel. Learn more: https://go.microsoft.com/fwlink/?linkid=870924
Comment:
    CHEF WILL AMT 26516</t>
      </text>
    </comment>
    <comment authorId="0" ref="AB84">
      <text>
        <t xml:space="preserve">======
ID#AAAB3yX76cM
tc={d3d833f0-401e-464f-b442-1fcb39dd10cb}    (2026-04-21 11:24:36)
[Threaded comment]
Your version of Excel allows you to read this threaded comment; however, any edits to it will get removed if the file is opened in a newer version of Excel. Learn more: https://go.microsoft.com/fwlink/?linkid=870924
Comment:
    ERRO Will Application Fees</t>
      </text>
    </comment>
    <comment authorId="0" ref="AN63">
      <text>
        <t xml:space="preserve">======
ID#AAAB3yX9KDY
tc={56d6d18a-c23b-4f1c-8bf2-c2a0b7274f5d}    (2026-04-21 11:24:36)
[Threaded comment]
Your version of Excel allows you to read this threaded comment; however, any edits to it will get removed if the file is opened in a newer version of Excel. Learn more: https://go.microsoft.com/fwlink/?linkid=870924
Comment:
    GD CC</t>
      </text>
    </comment>
    <comment authorId="0" ref="P87">
      <text>
        <t xml:space="preserve">======
ID#AAAB3yX9KDM
tc={2149530d-a139-4552-b03e-80a7d8015e52}    (2026-04-21 11:24:36)
[Threaded comment]
Your version of Excel allows you to read this threaded comment; however, any edits to it will get removed if the file is opened in a newer version of Excel. Learn more: https://go.microsoft.com/fwlink/?linkid=870924
Comment:
    Chef Will Travel Reimbursement</t>
      </text>
    </comment>
    <comment authorId="0" ref="C20">
      <text>
        <t xml:space="preserve">======
ID#AAAB3yX9UWM
tc={d92317b9-2086-4153-8dc5-8e224e78b77a}    (2026-04-21 11:24:36)
[Threaded comment]
Your version of Excel allows you to read this threaded comment; however, any edits to it will get removed if the file is opened in a newer version of Excel. Learn more: https://go.microsoft.com/fwlink/?linkid=870924
Comment:
    Consider Merging Packaging Revenue in one line item</t>
      </text>
    </comment>
  </commentList>
  <extLst>
    <ext uri="GoogleSheetsCustomDataVersion2">
      <go:sheetsCustomData xmlns:go="http://customooxmlschemas.google.com/" r:id="rId1" roundtripDataSignature="AMtx7mgdXH2i3OxJr1W48EyfHcca5T6iyw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98">
      <text>
        <t xml:space="preserve">======
ID#AAAB3yX9UWI
tc={a577c010-fb23-45ee-ae13-86cc3bf38e11}    (2026-04-21 11:24:36)
[Threaded comment]
Your version of Excel allows you to read this threaded comment; however, any edits to it will get removed if the file is opened in a newer version of Excel. Learn more: https://go.microsoft.com/fwlink/?linkid=870924
Comment:
    Paid Jan 2025</t>
      </text>
    </comment>
    <comment authorId="0" ref="V85">
      <text>
        <t xml:space="preserve">======
ID#AAAB3yX9KCo
tc={372963bc-8af6-4a61-8449-7a3dada2fcb9}    (2026-04-21 11:24:36)
[Threaded comment]
Your version of Excel allows you to read this threaded comment; however, any edits to it will get removed if the file is opened in a newer version of Excel. Learn more: https://go.microsoft.com/fwlink/?linkid=870924
Comment:
    HDFC CC</t>
      </text>
    </comment>
    <comment authorId="0" ref="D131">
      <text>
        <t xml:space="preserve">======
ID#AAAB3yX9KB0
tc={e67457df-3f32-4fea-9d53-a3c9b1af7e2b}    (2026-04-21 11:24:36)
[Threaded comment]
Your version of Excel allows you to read this threaded comment; however, any edits to it will get removed if the file is opened in a newer version of Excel. Learn more: https://go.microsoft.com/fwlink/?linkid=870924
Comment:
    Legal Fees - 177,000 - 
Other Expenses
Reply:
    Fees for BPT 70800
Reply:
    Farming exps 8081 + 14715</t>
      </text>
    </comment>
    <comment authorId="0" ref="V84">
      <text>
        <t xml:space="preserve">======
ID#AAAB3yX9KCU
tc={f969e9c8-e25c-488f-8577-b4a7181a7c07}    (2026-04-21 11:24:36)
[Threaded comment]
Your version of Excel allows you to read this threaded comment; however, any edits to it will get removed if the file is opened in a newer version of Excel. Learn more: https://go.microsoft.com/fwlink/?linkid=870924
Comment:
    HDFC CC 2000</t>
      </text>
    </comment>
    <comment authorId="0" ref="BF119">
      <text>
        <t xml:space="preserve">======
ID#AAAB3yX9KDU
tc={6a09359d-8393-483d-80bf-41d3d75bed91}    (2026-04-21 11:24:36)
[Threaded comment]
Your version of Excel allows you to read this threaded comment; however, any edits to it will get removed if the file is opened in a newer version of Excel. Learn more: https://go.microsoft.com/fwlink/?linkid=870924
Comment:
    25000 mag st goregaon</t>
      </text>
    </comment>
    <comment authorId="0" ref="AN131">
      <text>
        <t xml:space="preserve">======
ID#AAAB3yX8QVc
tc={13e25f00-4f31-4860-848e-0d1df8977be9}    (2026-04-21 11:24:36)
[Threaded comment]
Your version of Excel allows you to read this threaded comment; however, any edits to it will get removed if the file is opened in a newer version of Excel. Learn more: https://go.microsoft.com/fwlink/?linkid=870924
Comment:
    as per cc</t>
      </text>
    </comment>
    <comment authorId="0" ref="P75">
      <text>
        <t xml:space="preserve">======
ID#AAAB3yX76cY
tc={9b35d6b9-618d-4405-b0dc-74c33a86f6f0}    (2026-04-21 11:24:36)
[Threaded comment]
Your version of Excel allows you to read this threaded comment; however, any edits to it will get removed if the file is opened in a newer version of Excel. Learn more: https://go.microsoft.com/fwlink/?linkid=870924
Comment:
    AXIS CC</t>
      </text>
    </comment>
    <comment authorId="0" ref="F92">
      <text>
        <t xml:space="preserve">======
ID#AAAB3yX8QVE
tc={79c99fa1-da2d-4394-9f04-9ca99b3e2c7d}    (2026-04-21 11:24:36)
[Threaded comment]
Your version of Excel allows you to read this threaded comment; however, any edits to it will get removed if the file is opened in a newer version of Excel. Learn more: https://go.microsoft.com/fwlink/?linkid=870924
Comment:
    Jan - 28
Feb - 0 - To Check
Mar - ___</t>
      </text>
    </comment>
    <comment authorId="0" ref="AT131">
      <text>
        <t xml:space="preserve">======
ID#AAAB3yX8QVo
tc={c6d89100-72ce-4808-a205-0eab8029480c}    (2026-04-21 11:24:36)
[Threaded comment]
Your version of Excel allows you to read this threaded comment; however, any edits to it will get removed if the file is opened in a newer version of Excel. Learn more: https://go.microsoft.com/fwlink/?linkid=870924
Comment:
    GD CC</t>
      </text>
    </comment>
    <comment authorId="0" ref="P131">
      <text>
        <t xml:space="preserve">======
ID#AAAB3yX76cs
tc={a4f1195a-f4ba-46e6-a699-fd5356b2264d}    (2026-04-21 11:24:36)
[Threaded comment]
Your version of Excel allows you to read this threaded comment; however, any edits to it will get removed if the file is opened in a newer version of Excel. Learn more: https://go.microsoft.com/fwlink/?linkid=870924
Comment:
    AXIS CC</t>
      </text>
    </comment>
    <comment authorId="0" ref="BF71">
      <text>
        <t xml:space="preserve">======
ID#AAAB3yX9KBo
tc={9bb9966e-4b30-4b1f-8b14-00dd8f6615fd}    (2026-04-21 11:24:36)
[Threaded comment]
Your version of Excel allows you to read this threaded comment; however, any edits to it will get removed if the file is opened in a newer version of Excel. Learn more: https://go.microsoft.com/fwlink/?linkid=870924
Comment:
    INCLUDING MAG ST BAUG DG RENT 77880</t>
      </text>
    </comment>
    <comment authorId="0" ref="V131">
      <text>
        <t xml:space="preserve">======
ID#AAAB3yX76co
tc={8f79dd72-cff8-4f44-b3fd-f153070f43fc}    (2026-04-21 11:24:36)
[Threaded comment]
Your version of Excel allows you to read this threaded comment; however, any edits to it will get removed if the file is opened in a newer version of Excel. Learn more: https://go.microsoft.com/fwlink/?linkid=870924
Comment:
    HDFC CC</t>
      </text>
    </comment>
    <comment authorId="0" ref="AN84">
      <text>
        <t xml:space="preserve">======
ID#AAAB3yX9KCE
tc={82649ed4-98ec-416d-b9f4-64450dd61896}    (2026-04-21 11:24:36)
[Threaded comment]
Your version of Excel allows you to read this threaded comment; however, any edits to it will get removed if the file is opened in a newer version of Excel. Learn more: https://go.microsoft.com/fwlink/?linkid=870924
Comment:
    including cc amt 30515 / 1950</t>
      </text>
    </comment>
    <comment authorId="0" ref="BL71">
      <text>
        <t xml:space="preserve">======
ID#AAAB3yX9KDI
tc={CA179114-7EDF-4898-B072-F8A288186EA0}    (2026-04-21 11:24:36)
[Threaded comment]
Your version of Excel allows you to read this threaded comment; however, any edits to it will get removed if the file is opened in a newer version of Excel. Learn more: https://go.microsoft.com/fwlink/?linkid=870924
Comment:
    INCLUDING MAG ST BAUG DG RENT 21240</t>
      </text>
    </comment>
    <comment authorId="0" ref="D107">
      <text>
        <t xml:space="preserve">======
ID#AAAB3yX9KC8
tc={c9895088-8f34-427c-8fd9-1999592cb172}    (2026-04-21 11:24:36)
[Threaded comment]
Your version of Excel allows you to read this threaded comment; however, any edits to it will get removed if the file is opened in a newer version of Excel. Learn more: https://go.microsoft.com/fwlink/?linkid=870924
Comment:
    Check Delivery Expenses
Reply:
    Yes, Its correct, hire outsource van</t>
      </text>
    </comment>
    <comment authorId="0" ref="AB131">
      <text>
        <t xml:space="preserve">======
ID#AAAB3yX9KBs
tc={ab0e236d-1fa8-49fe-a67b-e3d6a3da2722}    (2026-04-21 11:24:36)
[Threaded comment]
Your version of Excel allows you to read this threaded comment; however, any edits to it will get removed if the file is opened in a newer version of Excel. Learn more: https://go.microsoft.com/fwlink/?linkid=870924
Comment:
    AXIS HDFC CC</t>
      </text>
    </comment>
    <comment authorId="0" ref="P119">
      <text>
        <t xml:space="preserve">======
ID#AAAB3yX8QU4
tc={d446c37a-174d-4879-9325-a8dd74fc40fd}    (2026-04-21 11:24:36)
[Threaded comment]
Your version of Excel allows you to read this threaded comment; however, any edits to it will get removed if the file is opened in a newer version of Excel. Learn more: https://go.microsoft.com/fwlink/?linkid=870924
Comment:
    MAG ST GOREGAON ANAND PATEL FEES</t>
      </text>
    </comment>
    <comment authorId="0" ref="P85">
      <text>
        <t xml:space="preserve">======
ID#AAAB3yX9KB4
tc={9c6a4205-a62b-434c-ab3c-920308242b1b}    (2026-04-21 11:24:36)
[Threaded comment]
Your version of Excel allows you to read this threaded comment; however, any edits to it will get removed if the file is opened in a newer version of Excel. Learn more: https://go.microsoft.com/fwlink/?linkid=870924
Comment:
    Bowl Chef
Reply:
    AXIS CC</t>
      </text>
    </comment>
    <comment authorId="0" ref="D104">
      <text>
        <t xml:space="preserve">======
ID#AAAB3yX9KCQ
tc={a0f9932c-ada6-476b-a839-87062f76ea79}    (2026-04-21 11:24:36)
[Threaded comment]
Your version of Excel allows you to read this threaded comment; however, any edits to it will get removed if the file is opened in a newer version of Excel. Learn more: https://go.microsoft.com/fwlink/?linkid=870924
Comment:
    Barometer
What are the other</t>
      </text>
    </comment>
    <comment authorId="0" ref="P84">
      <text>
        <t xml:space="preserve">======
ID#AAAB3yX8QU0
tc={c89a0837-153f-4973-859d-babbd557589a}    (2026-04-21 11:24:36)
[Threaded comment]
Your version of Excel allows you to read this threaded comment; however, any edits to it will get removed if the file is opened in a newer version of Excel. Learn more: https://go.microsoft.com/fwlink/?linkid=870924
Comment:
    HDFC CC 13651</t>
      </text>
    </comment>
  </commentList>
  <extLst>
    <ext uri="GoogleSheetsCustomDataVersion2">
      <go:sheetsCustomData xmlns:go="http://customooxmlschemas.google.com/" r:id="rId1" roundtripDataSignature="AMtx7mi6qSQMpVJwoU3vlLpuMjovm0zeYg=="/>
    </ext>
  </extL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4">
      <text>
        <t xml:space="preserve">======
ID#AAAB6xW1x8w
Anit Sheth    (2026-05-19 23:09:17)
Upto INR 20 Lakh No GST - GST Charged after 20 Lakh Hit</t>
      </text>
    </comment>
  </commentList>
  <extLst>
    <ext uri="GoogleSheetsCustomDataVersion2">
      <go:sheetsCustomData xmlns:go="http://customooxmlschemas.google.com/" r:id="rId1" roundtripDataSignature="AMtx7mh0ckxrFMytMqxHpovnS56yLsjkyg=="/>
    </ext>
  </extL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78">
      <text>
        <t xml:space="preserve">======
ID#AAAB3yX9KDE
tc={8c6709b8-4d4c-4339-a722-18e0a3a9eeb5}    (2026-04-21 11:24:36)
[Threaded comment]
Your version of Excel allows you to read this threaded comment; however, any edits to it will get removed if the file is opened in a newer version of Excel. Learn more: https://go.microsoft.com/fwlink/?linkid=870924
Comment:
    Check Electricity Bill for April 2025</t>
      </text>
    </comment>
    <comment authorId="0" ref="D107">
      <text>
        <t xml:space="preserve">======
ID#AAAB3yX9KBw
tc={f2661a00-53f9-494c-adea-6f1dbc525027}    (2026-04-21 11:24:36)
[Threaded comment]
Your version of Excel allows you to read this threaded comment; however, any edits to it will get removed if the file is opened in a newer version of Excel. Learn more: https://go.microsoft.com/fwlink/?linkid=870924
Comment:
    Check Laundry for Iktara</t>
      </text>
    </comment>
    <comment authorId="0" ref="D72">
      <text>
        <t xml:space="preserve">======
ID#AAAB3yX8QVQ
tc={8f8ab89f-0301-4a32-966d-b685e282388b}    (2026-04-21 11:24:36)
[Threaded comment]
Your version of Excel allows you to read this threaded comment; however, any edits to it will get removed if the file is opened in a newer version of Excel. Learn more: https://go.microsoft.com/fwlink/?linkid=870924
Comment:
    Check Swiggy Invoice for All Brands to reduce for Ad Spends and ad Add Spends in Advertising</t>
      </text>
    </comment>
  </commentList>
  <extLst>
    <ext uri="GoogleSheetsCustomDataVersion2">
      <go:sheetsCustomData xmlns:go="http://customooxmlschemas.google.com/" r:id="rId1" roundtripDataSignature="AMtx7mgUuSxIYsNjEbHUMFKEtjhYsxd/zg=="/>
    </ext>
  </extL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29">
      <text>
        <t xml:space="preserve">======
ID#AAAB3yX9UV4
tc={fa825937-0b45-42a6-9fae-33c1b5fe11ae}    (2026-04-21 11:24:36)
[Threaded comment]
Your version of Excel allows you to read this threaded comment; however, any edits to it will get removed if the file is opened in a newer version of Excel. Learn more: https://go.microsoft.com/fwlink/?linkid=870924
Comment:
    Barometer + Restaverse</t>
      </text>
    </comment>
    <comment authorId="0" ref="AH90">
      <text>
        <t xml:space="preserve">======
ID#AAAB3yX9UVw
tc={1ca9e9e8-04ee-4cce-8379-c2561dafdf1f}    (2026-04-21 11:24:36)
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@finance@foodmatters.in - To Check
Assigned to finance@foodmatters.in
Reply:
    PRERNA AND ALYA REIMBURSEMENT</t>
      </text>
    </comment>
    <comment authorId="0" ref="BL133">
      <text>
        <t xml:space="preserve">======
ID#AAAB6wc8LQ4
Gauri Devidayal    (2026-05-18 17:38:54)
MS Alibag event</t>
      </text>
    </comment>
    <comment authorId="0" ref="F137">
      <text>
        <t xml:space="preserve">======
ID#AAAB3yX9KC4
tc={4792504c-9848-4ab2-8481-ff70c606fa83}    (2026-04-21 11:24:36)
[Threaded comment]
Your version of Excel allows you to read this threaded comment; however, any edits to it will get removed if the file is opened in a newer version of Excel. Learn more: https://go.microsoft.com/fwlink/?linkid=870924
Comment:
    Take out Motor Car in all brands</t>
      </text>
    </comment>
    <comment authorId="0" ref="V120">
      <text>
        <t xml:space="preserve">======
ID#AAAB3yX9KCg
tc={5a8e3330-1dad-4d00-b3f2-774b3a3b6ff2}    (2026-04-21 11:24:36)
[Threaded comment]
Your version of Excel allows you to read this threaded comment; however, any edits to it will get removed if the file is opened in a newer version of Excel. Learn more: https://go.microsoft.com/fwlink/?linkid=870924
Comment:
    HDFC CC 2320</t>
      </text>
    </comment>
    <comment authorId="0" ref="D150">
      <text>
        <t xml:space="preserve">======
ID#AAAB3yX9KBc
tc={59351416-cf3e-4d1f-be88-0a63546b5795}    (2026-04-21 11:24:36)
[Threaded comment]
Your version of Excel allows you to read this threaded comment; however, any edits to it will get removed if the file is opened in a newer version of Excel. Learn more: https://go.microsoft.com/fwlink/?linkid=870924
Comment:
    Check for Mg St Colaba</t>
      </text>
    </comment>
  </commentList>
  <extLst>
    <ext uri="GoogleSheetsCustomDataVersion2">
      <go:sheetsCustomData xmlns:go="http://customooxmlschemas.google.com/" r:id="rId1" roundtripDataSignature="AMtx7mih4S4giQAoxD4zrC9XB1gGe4S24Q=="/>
    </ext>
  </extL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30">
      <text>
        <t xml:space="preserve">======
ID#AAAB3yX9KCk
tc={81764e9d-4e8a-414d-8222-602dda3b4286}    (2026-04-21 11:24:36)
[Threaded comment]
Your version of Excel allows you to read this threaded comment; however, any edits to it will get removed if the file is opened in a newer version of Excel. Learn more: https://go.microsoft.com/fwlink/?linkid=870924
Comment:
    Check Barometer and Restaverse</t>
      </text>
    </comment>
    <comment authorId="0" ref="F112">
      <text>
        <t xml:space="preserve">======
ID#AAAB3yX8QVs
tc={a63e70cd-a3f3-4b3b-bb53-bc7a57da9487}    (2026-04-21 11:24:36)
[Threaded comment]
Your version of Excel allows you to read this threaded comment; however, any edits to it will get removed if the file is opened in a newer version of Excel. Learn more: https://go.microsoft.com/fwlink/?linkid=870924
Comment:
    Last Year Average</t>
      </text>
    </comment>
    <comment authorId="0" ref="AN90">
      <text>
        <t xml:space="preserve">======
ID#AAAB3yX8QVI
tc={c37d4d59-67d1-491d-8477-f6f3c980f775}    (2026-04-21 11:24:36)
[Threaded comment]
Your version of Excel allows you to read this threaded comment; however, any edits to it will get removed if the file is opened in a newer version of Excel. Learn more: https://go.microsoft.com/fwlink/?linkid=870924
Comment:
    reim akansha</t>
      </text>
    </comment>
  </commentList>
  <extLst>
    <ext uri="GoogleSheetsCustomDataVersion2">
      <go:sheetsCustomData xmlns:go="http://customooxmlschemas.google.com/" r:id="rId1" roundtripDataSignature="AMtx7mgKjqQzPiHenZ34AM5aSyo64owhIA=="/>
    </ext>
  </extL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30">
      <text>
        <t xml:space="preserve">======
ID#AAAB3yX9KCY
tc={7a7bc5be-b60a-4885-86f8-61dfe083936a}    (2026-04-21 11:24:36)
[Threaded comment]
Your version of Excel allows you to read this threaded comment; however, any edits to it will get removed if the file is opened in a newer version of Excel. Learn more: https://go.microsoft.com/fwlink/?linkid=870924
Comment:
    Check Alenka</t>
      </text>
    </comment>
    <comment authorId="0" ref="D145">
      <text>
        <t xml:space="preserve">======
ID#AAAB3yX76cg
tc={ad848c0e-5b83-47ec-9965-1179e42657ff}    (2026-04-21 11:24:36)
[Threaded comment]
Your version of Excel allows you to read this threaded comment; however, any edits to it will get removed if the file is opened in a newer version of Excel. Learn more: https://go.microsoft.com/fwlink/?linkid=870924
Comment:
    DUE TO 5 WEDNESDAY</t>
      </text>
    </comment>
    <comment authorId="0" ref="D112">
      <text>
        <t xml:space="preserve">======
ID#AAAB3yX76cQ
tc={94b2377d-7549-4e44-aa1d-bb0446312e94}    (2026-04-21 11:24:36)
[Threaded comment]
Your version of Excel allows you to read this threaded comment; however, any edits to it will get removed if the file is opened in a newer version of Excel. Learn more: https://go.microsoft.com/fwlink/?linkid=870924
Comment:
    Check Bills</t>
      </text>
    </comment>
    <comment authorId="0" ref="AB146">
      <text>
        <t xml:space="preserve">======
ID#AAAB3yX8QVg
tc={07010937-5d54-4505-b2b1-afc6ede9a1eb}    (2026-04-21 11:24:36)
[Threaded comment]
Your version of Excel allows you to read this threaded comment; however, any edits to it will get removed if the file is opened in a newer version of Excel. Learn more: https://go.microsoft.com/fwlink/?linkid=870924
Comment:
    MSB OFF MENU EVENT</t>
      </text>
    </comment>
    <comment authorId="0" ref="D121">
      <text>
        <t xml:space="preserve">======
ID#AAAB3yX8QVY
tc={24127ad3-adf7-44cf-b846-dd2cac0c5904}    (2026-04-21 11:24:36)
[Threaded comment]
Your version of Excel allows you to read this threaded comment; however, any edits to it will get removed if the file is opened in a newer version of Excel. Learn more: https://go.microsoft.com/fwlink/?linkid=870924
Comment:
    conveyance of cashiers, chef nikhil and durgesh</t>
      </text>
    </comment>
    <comment authorId="0" ref="D151">
      <text>
        <t xml:space="preserve">======
ID#AAAB3yX9UWA
tc={e6cd7238-2229-4b44-a197-7102d0fed204}    (2026-04-21 11:24:36)
[Threaded comment]
Your version of Excel allows you to read this threaded comment; however, any edits to it will get removed if the file is opened in a newer version of Excel. Learn more: https://go.microsoft.com/fwlink/?linkid=870924
Comment:
    Check Bill</t>
      </text>
    </comment>
    <comment authorId="0" ref="D21">
      <text>
        <t xml:space="preserve">======
ID#AAAB3yX9KDQ
tc={b640fa41-2bcb-4287-bf02-0864319825c0}    (2026-04-21 11:24:36)
[Threaded comment]
Your version of Excel allows you to read this threaded comment; however, any edits to it will get removed if the file is opened in a newer version of Excel. Learn more: https://go.microsoft.com/fwlink/?linkid=870924
Comment:
    Mag St. In The Baug - Rs. 91,810/-</t>
      </text>
    </comment>
  </commentList>
  <extLst>
    <ext uri="GoogleSheetsCustomDataVersion2">
      <go:sheetsCustomData xmlns:go="http://customooxmlschemas.google.com/" r:id="rId1" roundtripDataSignature="AMtx7mjeIwPmWVttWpLKDBdFEV+T+/Y4qg=="/>
    </ext>
  </extL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34">
      <text>
        <t xml:space="preserve">======
ID#AAAB6wc8LQ8
Gauri Devidayal    (2026-05-18 17:42:23)
Anand Patel fee</t>
      </text>
    </comment>
    <comment authorId="0" ref="M99">
      <text>
        <t xml:space="preserve">======
ID#AAAB3yX9KCI
tc={1e6f7dae-ba03-4b46-8b70-bc465f53ceef}    (2026-04-21 11:24:36)
[Threaded comment]
Your version of Excel allows you to read this threaded comment; however, any edits to it will get removed if the file is opened in a newer version of Excel. Learn more: https://go.microsoft.com/fwlink/?linkid=870924
Comment:
    INCLUDING NEW STORAGE 15931</t>
      </text>
    </comment>
    <comment authorId="0" ref="D85">
      <text>
        <t xml:space="preserve">======
ID#AAAB6wc8LRA
Gauri Devidayal    (2026-05-18 18:05:58)
Google and Meta</t>
      </text>
    </comment>
  </commentList>
  <extLst>
    <ext uri="GoogleSheetsCustomDataVersion2">
      <go:sheetsCustomData xmlns:go="http://customooxmlschemas.google.com/" r:id="rId1" roundtripDataSignature="AMtx7mgvTVxL0cCHXsU5W61FOqEI89d/Ig=="/>
    </ext>
  </extL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98">
      <text>
        <t xml:space="preserve">======
ID#AAAB3yX9UWU
tc={a0a9a389-8900-4dc2-b452-131788b4b972}    (2026-04-21 11:24:36)
[Threaded comment]
Your version of Excel allows you to read this threaded comment; however, any edits to it will get removed if the file is opened in a newer version of Excel. Learn more: https://go.microsoft.com/fwlink/?linkid=870924
Comment:
    +371700</t>
      </text>
    </comment>
    <comment authorId="0" ref="D18">
      <text>
        <t xml:space="preserve">======
ID#AAAB3yX9KCw
tc={c83506b7-8f25-4266-bf9b-b0bc48a0f17c}    (2026-04-21 11:24:36)
[Threaded comment]
Your version of Excel allows you to read this threaded comment; however, any edits to it will get removed if the file is opened in a newer version of Excel. Learn more: https://go.microsoft.com/fwlink/?linkid=870924
Comment:
    MSBC Andheri - 45,430/-</t>
      </text>
    </comment>
    <comment authorId="0" ref="P76">
      <text>
        <t xml:space="preserve">======
ID#AAAB3yX8QVk
tc={e286f8ae-e930-4705-8106-3c3a2e3ae82c}    (2026-04-21 11:24:36)
[Threaded comment]
Your version of Excel allows you to read this threaded comment; however, any edits to it will get removed if the file is opened in a newer version of Excel. Learn more: https://go.microsoft.com/fwlink/?linkid=870924
Comment:
    AXIS CC</t>
      </text>
    </comment>
    <comment authorId="0" ref="AH76">
      <text>
        <t xml:space="preserve">======
ID#AAAB3yX8QVU
tc={e98d8a87-34ae-41e8-9538-2da5342fd008}    (2026-04-21 11:24:36)
[Threaded comment]
Your version of Excel allows you to read this threaded comment; however, any edits to it will get removed if the file is opened in a newer version of Excel. Learn more: https://go.microsoft.com/fwlink/?linkid=870924
Comment:
    PUZZLES FOR ALL OUTLETS 44840</t>
      </text>
    </comment>
    <comment authorId="0" ref="AN76">
      <text>
        <t xml:space="preserve">======
ID#AAAB3yX9KC0
tc={387ea57e-ab7b-4bb4-854c-d03138b1d349}    (2026-04-21 11:24:36)
[Threaded comment]
Your version of Excel allows you to read this threaded comment; however, any edits to it will get removed if the file is opened in a newer version of Excel. Learn more: https://go.microsoft.com/fwlink/?linkid=870924
Comment:
    advent shoot and prerna reim</t>
      </text>
    </comment>
  </commentList>
  <extLst>
    <ext uri="GoogleSheetsCustomDataVersion2">
      <go:sheetsCustomData xmlns:go="http://customooxmlschemas.google.com/" r:id="rId1" roundtripDataSignature="AMtx7mgijkR/lkcPWLKZrIyS9YjpsT5q2g=="/>
    </ext>
  </extL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99">
      <text>
        <t xml:space="preserve">======
ID#AAAB6nM-gcQ
Gauri Devidayal    (2026-05-18 10:05:11)
50% Chef W fee taken from Nov onwards)</t>
      </text>
    </comment>
    <comment authorId="0" ref="AB138">
      <text>
        <t xml:space="preserve">======
ID#AAAB3yX76cc
tc={8265f21e-8792-4c2b-a479-f968f6f6601c}    (2026-04-21 11:24:36)
[Threaded comment]
Your version of Excel allows you to read this threaded comment; however, any edits to it will get removed if the file is opened in a newer version of Excel. Learn more: https://go.microsoft.com/fwlink/?linkid=870924
Comment:
    HARISH ACHAREKAR</t>
      </text>
    </comment>
    <comment authorId="0" ref="P77">
      <text>
        <t xml:space="preserve">======
ID#AAAB3yX9KCc
tc={580aa715-1e7b-498e-80d7-509d924680b7}    (2026-04-21 11:24:36)
[Threaded comment]
Your version of Excel allows you to read this threaded comment; however, any edits to it will get removed if the file is opened in a newer version of Excel. Learn more: https://go.microsoft.com/fwlink/?linkid=870924
Comment:
    HDFC CC</t>
      </text>
    </comment>
    <comment authorId="0" ref="L104">
      <text>
        <t xml:space="preserve">======
ID#AAAB3yX9KCA
tc={85ade274-3cf0-47db-a6ef-486b7be3b465}    (2026-04-21 11:24:36)
[Threaded comment]
Your version of Excel allows you to read this threaded comment; however, any edits to it will get removed if the file is opened in a newer version of Excel. Learn more: https://go.microsoft.com/fwlink/?linkid=870924
Comment:
    HDFC CC</t>
      </text>
    </comment>
    <comment authorId="0" ref="P124">
      <text>
        <t xml:space="preserve">======
ID#AAAB3yX9KBg
tc={f8e6eb81-2282-4914-a840-e99a11c9b0b1}    (2026-04-21 11:24:36)
[Threaded comment]
Your version of Excel allows you to read this threaded comment; however, any edits to it will get removed if the file is opened in a newer version of Excel. Learn more: https://go.microsoft.com/fwlink/?linkid=870924
Comment:
    HDFC CC 2564</t>
      </text>
    </comment>
    <comment authorId="0" ref="T94">
      <text>
        <t xml:space="preserve">======
ID#AAAB6nM-gcM
Gauri Devidayal    (2026-05-18 10:04:21)
Gas connection application fee</t>
      </text>
    </comment>
    <comment authorId="0" ref="T124">
      <text>
        <t xml:space="preserve">======
ID#AAAB3yX76cI
tc={decfb35d-61ac-4798-ba4b-f5808878cb0c}    (2026-04-21 11:24:36)
[Threaded comment]
Your version of Excel allows you to read this threaded comment; however, any edits to it will get removed if the file is opened in a newer version of Excel. Learn more: https://go.microsoft.com/fwlink/?linkid=870924
Comment:
    GAS APPLICATION FEES</t>
      </text>
    </comment>
    <comment authorId="0" ref="L131">
      <text>
        <t xml:space="preserve">======
ID#AAAB3yX9UWE
tc={fcf56c37-b4e2-420c-ac1c-a551a8daeddf}    (2026-04-21 11:24:36)
[Threaded comment]
Your version of Excel allows you to read this threaded comment; however, any edits to it will get removed if the file is opened in a newer version of Excel. Learn more: https://go.microsoft.com/fwlink/?linkid=870924
Comment:
    as per hdfc cc</t>
      </text>
    </comment>
    <comment authorId="0" ref="P131">
      <text>
        <t xml:space="preserve">======
ID#AAAB3yX9UVs
tc={5a7fb7a4-48ed-4de6-a90f-c94ae610da69}    (2026-04-21 11:24:36)
[Threaded comment]
Your version of Excel allows you to read this threaded comment; however, any edits to it will get removed if the file is opened in a newer version of Excel. Learn more: https://go.microsoft.com/fwlink/?linkid=870924
Comment:
    HDFC CC</t>
      </text>
    </comment>
    <comment authorId="0" ref="AB77">
      <text>
        <t xml:space="preserve">======
ID#AAAB3yX9KB8
tc={74e81885-6e36-414c-8dbc-f6876f7872d2}    (2026-04-21 11:24:36)
[Threaded comment]
Your version of Excel allows you to read this threaded comment; however, any edits to it will get removed if the file is opened in a newer version of Excel. Learn more: https://go.microsoft.com/fwlink/?linkid=870924
Comment:
    prerna reim and GD CC</t>
      </text>
    </comment>
  </commentList>
  <extLst>
    <ext uri="GoogleSheetsCustomDataVersion2">
      <go:sheetsCustomData xmlns:go="http://customooxmlschemas.google.com/" r:id="rId1" roundtripDataSignature="AMtx7mj6cgBZAajzFo8lfG8HDe8N6HyNXw=="/>
    </ext>
  </extL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O89">
      <text>
        <t xml:space="preserve">======
ID#AAAB6nM-gc4
Gauri Devidayal    (2026-05-18 10:20:10)
Mayank photographer</t>
      </text>
    </comment>
    <comment authorId="0" ref="N86">
      <text>
        <t xml:space="preserve">======
ID#AAAB6nM-gc8
Gauri Devidayal    (2026-05-18 10:22:13)
Influencer campaign</t>
      </text>
    </comment>
  </commentList>
  <extLst>
    <ext uri="GoogleSheetsCustomDataVersion2">
      <go:sheetsCustomData xmlns:go="http://customooxmlschemas.google.com/" r:id="rId1" roundtripDataSignature="AMtx7mgEpEk+rFDj+PuFIaS8qKHvB5vM4w=="/>
    </ext>
  </extL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======
ID#AAAB3yX8QVA
tc={9d635661-82d5-4b1d-9d60-ddb13cbb213a}    (2026-04-21 11:24:36)
[Threaded comment]
Your version of Excel allows you to read this threaded comment; however, any edits to it will get removed if the file is opened in a newer version of Excel. Learn more: https://go.microsoft.com/fwlink/?linkid=870924
Comment:
    AS PER OCT25</t>
      </text>
    </comment>
  </commentList>
  <extLst>
    <ext uri="GoogleSheetsCustomDataVersion2">
      <go:sheetsCustomData xmlns:go="http://customooxmlschemas.google.com/" r:id="rId1" roundtripDataSignature="AMtx7mibD8v2Mn9EQVxwa5PI264OWgNrvA=="/>
    </ext>
  </extLst>
</comments>
</file>

<file path=xl/sharedStrings.xml><?xml version="1.0" encoding="utf-8"?>
<sst xmlns="http://schemas.openxmlformats.org/spreadsheetml/2006/main" count="4495" uniqueCount="548">
  <si>
    <t>``</t>
  </si>
  <si>
    <t>FY25-26 Budgeted vs Actual MIS</t>
  </si>
  <si>
    <t>Food Matters Group | FY25-26</t>
  </si>
  <si>
    <t>Total with HO  (Amount)</t>
  </si>
  <si>
    <t xml:space="preserve">HO </t>
  </si>
  <si>
    <t>Outlets Total</t>
  </si>
  <si>
    <t>Table Total</t>
  </si>
  <si>
    <t>Iktara</t>
  </si>
  <si>
    <t>Mg St Colaba</t>
  </si>
  <si>
    <t>Mg St LP</t>
  </si>
  <si>
    <t>Mg St Bandra</t>
  </si>
  <si>
    <t>MSK Events</t>
  </si>
  <si>
    <t>MSBC</t>
  </si>
  <si>
    <t>Kaspers</t>
  </si>
  <si>
    <t>MSBC Andheri</t>
  </si>
  <si>
    <t>MSBC Dahisar</t>
  </si>
  <si>
    <t>MSBC Juhu/Goregaon</t>
  </si>
  <si>
    <t>Loudmouth</t>
  </si>
  <si>
    <t>Actual</t>
  </si>
  <si>
    <t>%age</t>
  </si>
  <si>
    <t>Budgeted</t>
  </si>
  <si>
    <t>Amount</t>
  </si>
  <si>
    <t>Beverage</t>
  </si>
  <si>
    <t>Liquor</t>
  </si>
  <si>
    <t>Food</t>
  </si>
  <si>
    <t>Service Charge</t>
  </si>
  <si>
    <t>Scrap Sales</t>
  </si>
  <si>
    <t>Total Sales Revenue</t>
  </si>
  <si>
    <t>Average /Month</t>
  </si>
  <si>
    <t>COGS</t>
  </si>
  <si>
    <t>Packaging Cost</t>
  </si>
  <si>
    <t>Total COGS &amp; Packaging</t>
  </si>
  <si>
    <t>DEQ</t>
  </si>
  <si>
    <t>Gross Margin</t>
  </si>
  <si>
    <t>Other Direct Expenses</t>
  </si>
  <si>
    <t>Marketing Expenses</t>
  </si>
  <si>
    <t>Sales Commission</t>
  </si>
  <si>
    <t>Rental &amp; Utility Expenses</t>
  </si>
  <si>
    <t>Salary &amp; Staff Expenses</t>
  </si>
  <si>
    <t>Bank and Finance Charges</t>
  </si>
  <si>
    <t>Software and Subscription</t>
  </si>
  <si>
    <t>Other Outlet Costs</t>
  </si>
  <si>
    <t>Other Professional Fees</t>
  </si>
  <si>
    <t>Other Expenses</t>
  </si>
  <si>
    <t>Total Other Expenses</t>
  </si>
  <si>
    <t>EBIDTA</t>
  </si>
  <si>
    <t>Food Matters Group | Quarter 1 | FY25-26</t>
  </si>
  <si>
    <t>Particulars</t>
  </si>
  <si>
    <t>Total with HO</t>
  </si>
  <si>
    <t>HO</t>
  </si>
  <si>
    <t>EBIDTA Margin</t>
  </si>
  <si>
    <t>Food Matters Group | Quarter 2 | FY25-26</t>
  </si>
  <si>
    <t xml:space="preserve"> Loudmouth</t>
  </si>
  <si>
    <t>Mg St Colaba Comparison</t>
  </si>
  <si>
    <t>Gross Margin %age</t>
  </si>
  <si>
    <t>EBITDA %age</t>
  </si>
  <si>
    <t>Food Matters Group | Quarter 3 | FY25-26</t>
  </si>
  <si>
    <t>Food Matters Group | Quarter 4 | FY25-26</t>
  </si>
  <si>
    <t>MSBC - Andheri</t>
  </si>
  <si>
    <t>MSBC - Dahisar</t>
  </si>
  <si>
    <t>MSBC - Juhu/Goregaon</t>
  </si>
  <si>
    <t>Restaurant Summary Data</t>
  </si>
  <si>
    <t>Brand Name</t>
  </si>
  <si>
    <t>Overall</t>
  </si>
  <si>
    <t>Mag St. Bandra</t>
  </si>
  <si>
    <t>Mag St. Colaba</t>
  </si>
  <si>
    <t>Mag St. Lower Parel</t>
  </si>
  <si>
    <t>Mag St. Bread Co. Bandra</t>
  </si>
  <si>
    <t>Mag St. Bread Co. Byculla</t>
  </si>
  <si>
    <t>Mag St. Bread Co. Colaba</t>
  </si>
  <si>
    <t>Mag St. Bread Co. Lower Parel</t>
  </si>
  <si>
    <t>Mag St. Bread Co. Andheri</t>
  </si>
  <si>
    <t>The Table Colaba</t>
  </si>
  <si>
    <t>Mg St Cafe - Colaba</t>
  </si>
  <si>
    <t>Sept 2024</t>
  </si>
  <si>
    <t>Category</t>
  </si>
  <si>
    <t>Total Sales</t>
  </si>
  <si>
    <t>Dining Sales</t>
  </si>
  <si>
    <t>Delivery Sales</t>
  </si>
  <si>
    <t>Others</t>
  </si>
  <si>
    <t>Covers</t>
  </si>
  <si>
    <t>APC</t>
  </si>
  <si>
    <t>Orders</t>
  </si>
  <si>
    <t>AOV</t>
  </si>
  <si>
    <t>Dine in Working</t>
  </si>
  <si>
    <t>Total Covers (Dine-in)</t>
  </si>
  <si>
    <t>12780050.75</t>
  </si>
  <si>
    <t>11218384.75</t>
  </si>
  <si>
    <t>1314270.00</t>
  </si>
  <si>
    <t>247396.00</t>
  </si>
  <si>
    <t>7526.00</t>
  </si>
  <si>
    <t>1491.62</t>
  </si>
  <si>
    <t>Total Delivery Orders (Swiggy, Zomato +)</t>
  </si>
  <si>
    <t>12280674.50</t>
  </si>
  <si>
    <t>10610962.00</t>
  </si>
  <si>
    <t>1431076.00</t>
  </si>
  <si>
    <t>238636.50</t>
  </si>
  <si>
    <t>7144.00</t>
  </si>
  <si>
    <t>1486.30</t>
  </si>
  <si>
    <t>Total Revenue - (Dine-in +Takeaway)</t>
  </si>
  <si>
    <t>13966088.25</t>
  </si>
  <si>
    <t>11894934.75</t>
  </si>
  <si>
    <t>1645414.00</t>
  </si>
  <si>
    <t>425739.50</t>
  </si>
  <si>
    <t>7634.00</t>
  </si>
  <si>
    <t>1559.15</t>
  </si>
  <si>
    <t>Total Revenue - (Delivery)</t>
  </si>
  <si>
    <t>13429240.00</t>
  </si>
  <si>
    <t>11164169.00</t>
  </si>
  <si>
    <t>1977000.00</t>
  </si>
  <si>
    <t>288071.00</t>
  </si>
  <si>
    <t>6608.00</t>
  </si>
  <si>
    <t>1690.49</t>
  </si>
  <si>
    <t>Total Check</t>
  </si>
  <si>
    <t>13496728.62</t>
  </si>
  <si>
    <t>11228215.50</t>
  </si>
  <si>
    <t>1984707.12</t>
  </si>
  <si>
    <t>283806.00</t>
  </si>
  <si>
    <t>6633.00</t>
  </si>
  <si>
    <t>1693.78</t>
  </si>
  <si>
    <t>AOV (Dine-in)</t>
  </si>
  <si>
    <t>13061755.45</t>
  </si>
  <si>
    <t>10720005.50</t>
  </si>
  <si>
    <t>2039306.95</t>
  </si>
  <si>
    <t>302443.00</t>
  </si>
  <si>
    <t>6458.00</t>
  </si>
  <si>
    <t>1660.96</t>
  </si>
  <si>
    <t>AOV (Delivery)</t>
  </si>
  <si>
    <t>15024612.69</t>
  </si>
  <si>
    <t>12552164.50</t>
  </si>
  <si>
    <t>2151840.69</t>
  </si>
  <si>
    <t>320607.50</t>
  </si>
  <si>
    <t>7370.00</t>
  </si>
  <si>
    <t>1704.14</t>
  </si>
  <si>
    <t>13499912.08</t>
  </si>
  <si>
    <t>11173286.50</t>
  </si>
  <si>
    <t>2056592.58</t>
  </si>
  <si>
    <t>270033.00</t>
  </si>
  <si>
    <t>6551.00</t>
  </si>
  <si>
    <t>1706.58</t>
  </si>
  <si>
    <t>Mg St Cafe - LP</t>
  </si>
  <si>
    <t>12042585.21</t>
  </si>
  <si>
    <t>9547877.50</t>
  </si>
  <si>
    <t>2163821.21</t>
  </si>
  <si>
    <t>330886.50</t>
  </si>
  <si>
    <t>5823.00</t>
  </si>
  <si>
    <t>1640.68</t>
  </si>
  <si>
    <t>13828343.92</t>
  </si>
  <si>
    <t>10913157.50</t>
  </si>
  <si>
    <t>2652789.92</t>
  </si>
  <si>
    <t>262396.50</t>
  </si>
  <si>
    <t>6514.00</t>
  </si>
  <si>
    <t>1676.34</t>
  </si>
  <si>
    <t>15361003.06</t>
  </si>
  <si>
    <t>12580908.00</t>
  </si>
  <si>
    <t>2496683.06</t>
  </si>
  <si>
    <t>283412.00</t>
  </si>
  <si>
    <t>7363.00</t>
  </si>
  <si>
    <t>1709.67</t>
  </si>
  <si>
    <t>16059929.84</t>
  </si>
  <si>
    <t>12748872.00</t>
  </si>
  <si>
    <t>2990357.84</t>
  </si>
  <si>
    <t>320700.00</t>
  </si>
  <si>
    <t>7332.00</t>
  </si>
  <si>
    <t>1739.80</t>
  </si>
  <si>
    <t>Mg St Cafe - Bandra</t>
  </si>
  <si>
    <t>The Table</t>
  </si>
  <si>
    <t>APC (Dine-in)</t>
  </si>
  <si>
    <t>Food Matters Group</t>
  </si>
  <si>
    <t>Other revenue</t>
  </si>
  <si>
    <t>NC &amp; DQ</t>
  </si>
  <si>
    <t>MSBC Juhu / Goregaon</t>
  </si>
  <si>
    <t>MSBC Co Summary</t>
  </si>
  <si>
    <t>Total</t>
  </si>
  <si>
    <t>DEQ &amp; NC</t>
  </si>
  <si>
    <t>Targets Setting</t>
  </si>
  <si>
    <t>Table (incld SC)</t>
  </si>
  <si>
    <t>SC</t>
  </si>
  <si>
    <t>Old Table Target</t>
  </si>
  <si>
    <t>Q3 FY24-25</t>
  </si>
  <si>
    <t>Revised Target</t>
  </si>
  <si>
    <t>Days</t>
  </si>
  <si>
    <t>Avg p day</t>
  </si>
  <si>
    <t>Q3</t>
  </si>
  <si>
    <t>Q3 (FY24-25)</t>
  </si>
  <si>
    <t>Table</t>
  </si>
  <si>
    <t>Mg St Bandra (Old)</t>
  </si>
  <si>
    <t>Mg St Lodha</t>
  </si>
  <si>
    <t>Avg per day</t>
  </si>
  <si>
    <t>Mg St Colaba (Old)</t>
  </si>
  <si>
    <t>LP</t>
  </si>
  <si>
    <t>Mg St Lodha (Old)</t>
  </si>
  <si>
    <t>Last Years Base for each month - Oct - Dec 2025 and increase by 5%</t>
  </si>
  <si>
    <t>Partially done</t>
  </si>
  <si>
    <t>To Do</t>
  </si>
  <si>
    <t>MSBC-Andheri</t>
  </si>
  <si>
    <t>MSBC- Dahisar</t>
  </si>
  <si>
    <t>MSBC- Juhu/Goregaon</t>
  </si>
  <si>
    <t>Other Revenue</t>
  </si>
  <si>
    <t xml:space="preserve">  </t>
  </si>
  <si>
    <t>Food Matters Group | The Table</t>
  </si>
  <si>
    <t>Head</t>
  </si>
  <si>
    <t>April 2025</t>
  </si>
  <si>
    <t>May 2025</t>
  </si>
  <si>
    <t>June 2025</t>
  </si>
  <si>
    <t>July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</si>
  <si>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</si>
  <si>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</si>
  <si>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</si>
  <si>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</si>
  <si>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</si>
  <si>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</si>
  <si>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</si>
  <si>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March 2026</t>
  </si>
  <si>
    <t>TOTAL</t>
  </si>
  <si>
    <t>Actual Amt</t>
  </si>
  <si>
    <t>Budgeted Amt</t>
  </si>
  <si>
    <t>Variance</t>
  </si>
  <si>
    <t>Variance %age</t>
  </si>
  <si>
    <t>-</t>
  </si>
  <si>
    <t>SALES</t>
  </si>
  <si>
    <t>Dine In</t>
  </si>
  <si>
    <t>Delivery</t>
  </si>
  <si>
    <t>Restaverse Delivery Revenue</t>
  </si>
  <si>
    <t>Events (Including Honawar Reimbursement)</t>
  </si>
  <si>
    <t>Packaging 5%</t>
  </si>
  <si>
    <t>Packaging 5% ( Online Sale )</t>
  </si>
  <si>
    <t>Scrap sales (Oil)</t>
  </si>
  <si>
    <t>Scrap sales ( btl)</t>
  </si>
  <si>
    <t>Scrap sales ( Carton)</t>
  </si>
  <si>
    <t>Food Sales</t>
  </si>
  <si>
    <t>Service Charge (Dinein + Bev + Liquor)</t>
  </si>
  <si>
    <t>Net Revenue</t>
  </si>
  <si>
    <t>Expenses</t>
  </si>
  <si>
    <t>F&amp;B</t>
  </si>
  <si>
    <t>Bakery Cost</t>
  </si>
  <si>
    <t>Food Cost (COGS)</t>
  </si>
  <si>
    <t>GST and MVAT on Consumption of COGS</t>
  </si>
  <si>
    <t>Total F &amp; B COGS</t>
  </si>
  <si>
    <t>Packaging</t>
  </si>
  <si>
    <t>Total COGS</t>
  </si>
  <si>
    <t>Other Direct Expenses (Not COGS)</t>
  </si>
  <si>
    <t>HOUSE KEEPING | Cleaning Material</t>
  </si>
  <si>
    <t>GAS &amp; COOKING SUPPLIES</t>
  </si>
  <si>
    <t>KITCHEN SUPPLIES</t>
  </si>
  <si>
    <t>STATIONERY &amp; PRINTING CHARGES</t>
  </si>
  <si>
    <t>RESTAURANT SUPPLIES</t>
  </si>
  <si>
    <t>MISCELLANEOUS</t>
  </si>
  <si>
    <t>Total Others</t>
  </si>
  <si>
    <t>Operating Expenses</t>
  </si>
  <si>
    <t>Marketing Expense and Sales Promotion</t>
  </si>
  <si>
    <t>Advertising &amp; Promotions</t>
  </si>
  <si>
    <t>Gupshup Whatsapp Marketing</t>
  </si>
  <si>
    <t>Photoshoots</t>
  </si>
  <si>
    <t>Printing</t>
  </si>
  <si>
    <t>Agency Fee | Restaverse</t>
  </si>
  <si>
    <t>Reserve Go - VJYN SOLUTIONS</t>
  </si>
  <si>
    <t>Commission - Eazy Diner</t>
  </si>
  <si>
    <t>Commission - Payment Gateway</t>
  </si>
  <si>
    <t>Commission Swiggy (10% +2% )+ GST 1st july Onwards..</t>
  </si>
  <si>
    <t>Commission Zomato (10% +2% )+ GST 1st july Onwards..</t>
  </si>
  <si>
    <t>Rent</t>
  </si>
  <si>
    <t>Electricity Bill</t>
  </si>
  <si>
    <t>Water Charges</t>
  </si>
  <si>
    <t>Telephone &amp; Internet</t>
  </si>
  <si>
    <t>All Salaries</t>
  </si>
  <si>
    <t>Staff Expenses</t>
  </si>
  <si>
    <t>Staff Food</t>
  </si>
  <si>
    <t>Staff Rental</t>
  </si>
  <si>
    <t>Conveyance Expenses</t>
  </si>
  <si>
    <t>Hotel Accomodation</t>
  </si>
  <si>
    <t>Bonus</t>
  </si>
  <si>
    <t>Bank Charges</t>
  </si>
  <si>
    <t>Software &amp; Subscription Charges</t>
  </si>
  <si>
    <t>Computer Software Maintenance/Supplies</t>
  </si>
  <si>
    <t>Computer Software Maintenance/Supplies (AMC) POSIST</t>
  </si>
  <si>
    <t>Subscription Charges | (Barometer / Alenka / Shrusti)</t>
  </si>
  <si>
    <t>Crockery Rental</t>
  </si>
  <si>
    <t>Delivery Expenses</t>
  </si>
  <si>
    <t>Kitchen Utensil &amp; CCG</t>
  </si>
  <si>
    <t>License Fees</t>
  </si>
  <si>
    <t>Liason Fees (EXCISE 14K, HEALTH, WATER DEP)</t>
  </si>
  <si>
    <t>Repairs &amp; Maintenance</t>
  </si>
  <si>
    <t>Repairs &amp; Maintenance (AMC)</t>
  </si>
  <si>
    <t>Other Repairs &amp; Maintainance</t>
  </si>
  <si>
    <t>Uniforms Costs</t>
  </si>
  <si>
    <t>Laundry Costs</t>
  </si>
  <si>
    <t>Parking Charges</t>
  </si>
  <si>
    <t>Florist &amp; Decor</t>
  </si>
  <si>
    <t>Event Cost Management / ALL THINGS NICE</t>
  </si>
  <si>
    <t>Legal Fees (Including Stamp Duty)</t>
  </si>
  <si>
    <t>Accounting and Audit Fees</t>
  </si>
  <si>
    <t>Director Expenses</t>
  </si>
  <si>
    <t>Total Operating Expenses</t>
  </si>
  <si>
    <t>EBIDTA BEFORE ALLOCATIONS</t>
  </si>
  <si>
    <t>Food Matters Group | Head Office</t>
  </si>
  <si>
    <t>Revenue - Total</t>
  </si>
  <si>
    <t>Events</t>
  </si>
  <si>
    <t>FOC Sales</t>
  </si>
  <si>
    <t>NC Sales (%age)</t>
  </si>
  <si>
    <t>Total FOC Sales</t>
  </si>
  <si>
    <t>Food Cost</t>
  </si>
  <si>
    <t>GST and MVAT on Purchases</t>
  </si>
  <si>
    <t>STATIONERY</t>
  </si>
  <si>
    <t>DEQ (Damaged / Expiry / Quality)</t>
  </si>
  <si>
    <t>NC Cost (%age)</t>
  </si>
  <si>
    <t xml:space="preserve">                  Operating Expenses</t>
  </si>
  <si>
    <t xml:space="preserve">Advertising &amp; Promotions </t>
  </si>
  <si>
    <t>Agency Fee | Plane Crazy (405 Associates)</t>
  </si>
  <si>
    <t>Agency Fee | SD Consultancy</t>
  </si>
  <si>
    <t>Agency Fee | Rakifi</t>
  </si>
  <si>
    <t>Marketing Spends | Gupshup</t>
  </si>
  <si>
    <t>Ad Spends - Google &amp; Meta</t>
  </si>
  <si>
    <t>Commission Swiggy 15%</t>
  </si>
  <si>
    <t>Commission Zomato 14%</t>
  </si>
  <si>
    <t>Rental &amp; Utilitiy Expenses</t>
  </si>
  <si>
    <t>check for new office rent - Done below</t>
  </si>
  <si>
    <t>Bandra office rent w.e.f March 2026</t>
  </si>
  <si>
    <t>Casual Staff</t>
  </si>
  <si>
    <t>Recruitment Charges</t>
  </si>
  <si>
    <t>Conveyance Expenses (MARKETING AND EVENT TEAM)</t>
  </si>
  <si>
    <t>OD Renewal</t>
  </si>
  <si>
    <t>Bank OD Interest Cost</t>
  </si>
  <si>
    <t>Bank Term Loan Interest Cost</t>
  </si>
  <si>
    <t>Cash Deposit  and other Charges</t>
  </si>
  <si>
    <t>EDC Rental</t>
  </si>
  <si>
    <t>Computer Software Maintenance/Supplies (AMC) (TALLY SQL/TALLY CLOUD/TALLY SUBSCRIPTION/TDS SOFTWARE)</t>
  </si>
  <si>
    <t xml:space="preserve">Mailerlite Subscription (Annual) </t>
  </si>
  <si>
    <t>Adobe Cloud  (Annual) &amp; cloudgen</t>
  </si>
  <si>
    <t>Canva (Annual)</t>
  </si>
  <si>
    <t>ChatGPT (Monthly)</t>
  </si>
  <si>
    <t>Google Drive (Monthly)</t>
  </si>
  <si>
    <t>Payroll Software Charges (QUIKCHEX)</t>
  </si>
  <si>
    <t>Subscription Charges ( Bucktec/NRAI)</t>
  </si>
  <si>
    <t>Liason Fees</t>
  </si>
  <si>
    <t>Motor Car Expenses</t>
  </si>
  <si>
    <t>Farming Expenses</t>
  </si>
  <si>
    <t>CONSULTANCY for Goregaon</t>
  </si>
  <si>
    <t>Insurance - MH-04HF0472</t>
  </si>
  <si>
    <t>Commission</t>
  </si>
  <si>
    <t>Legal Fees</t>
  </si>
  <si>
    <t>Accounting and Audit Fees ( SGCO / BACKSPACE/ Auditor, THANAWALA)</t>
  </si>
  <si>
    <t>Professional fees Ankita Sarkar</t>
  </si>
  <si>
    <t>Director Expenses (PARAKRAM, VIREN, ALIBAUG EXPS)</t>
  </si>
  <si>
    <t>GST - Non Food - Outlet Wise</t>
  </si>
  <si>
    <t>Chef Salaries</t>
  </si>
  <si>
    <t>Outlet</t>
  </si>
  <si>
    <t>April</t>
  </si>
  <si>
    <t>May</t>
  </si>
  <si>
    <t>June</t>
  </si>
  <si>
    <t>July</t>
  </si>
  <si>
    <t>Aug</t>
  </si>
  <si>
    <t>Sep</t>
  </si>
  <si>
    <t>Oct</t>
  </si>
  <si>
    <t>Nov</t>
  </si>
  <si>
    <t>Dec</t>
  </si>
  <si>
    <t>Jan</t>
  </si>
  <si>
    <t>Feb</t>
  </si>
  <si>
    <t>March</t>
  </si>
  <si>
    <t>Chef Will</t>
  </si>
  <si>
    <t>Chef Shannen</t>
  </si>
  <si>
    <t>Bonus Payments</t>
  </si>
  <si>
    <t>FY25-26</t>
  </si>
  <si>
    <t>Gratuity</t>
  </si>
  <si>
    <t>To Check with Finance</t>
  </si>
  <si>
    <t>Directors Remuneration</t>
  </si>
  <si>
    <t>Monthly- HO</t>
  </si>
  <si>
    <t>CTC</t>
  </si>
  <si>
    <t>Gauri</t>
  </si>
  <si>
    <t>Jay</t>
  </si>
  <si>
    <t>HeadCount</t>
  </si>
  <si>
    <t>CORPORATE</t>
  </si>
  <si>
    <t>IKTARA</t>
  </si>
  <si>
    <t>MSK</t>
  </si>
  <si>
    <t>THE TABLE</t>
  </si>
  <si>
    <t>MSC - COLABA</t>
  </si>
  <si>
    <t>MSC - LODDHA</t>
  </si>
  <si>
    <t>MSC - KHAR</t>
  </si>
  <si>
    <t>KASPERS</t>
  </si>
  <si>
    <t>LOUD MOUTH- COLABA</t>
  </si>
  <si>
    <t>LOUD MOUTH- BANDRA</t>
  </si>
  <si>
    <t>Check Zomato &amp; Swiggy Ad Spends with Restaverse Sheet</t>
  </si>
  <si>
    <t>Food Matters Group | Iktara</t>
  </si>
  <si>
    <t>Advertising &amp; Promotions (Meta)</t>
  </si>
  <si>
    <t>Restaverse - Ad Spends</t>
  </si>
  <si>
    <t>Subscription Charges | Pet Pooja</t>
  </si>
  <si>
    <t>Event Cost</t>
  </si>
  <si>
    <t>Food Matters Group | Mag St Colaba</t>
  </si>
  <si>
    <t>Total Food</t>
  </si>
  <si>
    <t>Restaverse Delivery Revenue - MSBC</t>
  </si>
  <si>
    <t>GST and MVAT on Cost</t>
  </si>
  <si>
    <t>Gupshup + Meta Marketing Costs (MSBC)</t>
  </si>
  <si>
    <t>Ad Spends - Restaverse (MS)</t>
  </si>
  <si>
    <t>Agency Fees | Restaverse (MS + MSBC)</t>
  </si>
  <si>
    <t>Ad Spends - Restaverse - MSBC</t>
  </si>
  <si>
    <t>Ad Spends - Google / Meta / Gupshup (MS)</t>
  </si>
  <si>
    <t>Contribution to PF Fund</t>
  </si>
  <si>
    <t>Subscription Charges | (Barometer / Alenka / Shrusti/PETPOOJA)</t>
  </si>
  <si>
    <t>Reserve Go</t>
  </si>
  <si>
    <t>Liason Fees (EXCISE AND HEALTH DEP, WATER DEP)</t>
  </si>
  <si>
    <t>To Look</t>
  </si>
  <si>
    <t>Chef Fee - for Events</t>
  </si>
  <si>
    <t>Food Matters Group | Mag St LP</t>
  </si>
  <si>
    <t>Gupshup + Meta Marketing (MSBC)</t>
  </si>
  <si>
    <t>Ad Spends- Restaverse (MS)</t>
  </si>
  <si>
    <t>Agency Fees- Restaverse (MS + MSBC)</t>
  </si>
  <si>
    <t>Ad Spends Zomato / Swiggy</t>
  </si>
  <si>
    <t>Rent (restaurant + store)</t>
  </si>
  <si>
    <t>Cam Charges</t>
  </si>
  <si>
    <t>Subscription Charges (Pet Pooja / Barometer)</t>
  </si>
  <si>
    <t>Parking Charges (VALET SERVICES)</t>
  </si>
  <si>
    <t>Total Revenue</t>
  </si>
  <si>
    <t>Food Matters Group | Mag St Bandra</t>
  </si>
  <si>
    <t>Expenditure</t>
  </si>
  <si>
    <t>Gupshup + Meta Marketing Fees (MSBC)</t>
  </si>
  <si>
    <t>Store Rent</t>
  </si>
  <si>
    <t>CAM Charges (40k per month + GST18%)</t>
  </si>
  <si>
    <t>Gas Expenses</t>
  </si>
  <si>
    <t>Liason Fees (EXCISE DEP)</t>
  </si>
  <si>
    <t>Food Matters Group | MSK Events</t>
  </si>
  <si>
    <t>Podcast Production</t>
  </si>
  <si>
    <t>Ad Spends</t>
  </si>
  <si>
    <t>Subscription Charges (BAROMETER/PETPOOJA)</t>
  </si>
  <si>
    <t>Liason Fees (BMC DEP, ONE DAY LICENSE)</t>
  </si>
  <si>
    <t>Chef Fee - for Events and event cost</t>
  </si>
  <si>
    <t>Consultancy Fees</t>
  </si>
  <si>
    <t>Food Matters Group | MSBC</t>
  </si>
  <si>
    <t>Byculla</t>
  </si>
  <si>
    <t>Event</t>
  </si>
  <si>
    <t>Gupshup Whatsapp + Meta Marketing</t>
  </si>
  <si>
    <t>Agency Fees- Restaverse</t>
  </si>
  <si>
    <t>Kytchens Commissions</t>
  </si>
  <si>
    <t>Subscription Charges (REstaverse)</t>
  </si>
  <si>
    <t>Liason Fees (BMC DEP)</t>
  </si>
  <si>
    <t>Event Management Cost</t>
  </si>
  <si>
    <t>Transfer of All Other Costs to Other Outlet</t>
  </si>
  <si>
    <t>OD - Bank Charges</t>
  </si>
  <si>
    <t>Gas</t>
  </si>
  <si>
    <t>Uniform Costs</t>
  </si>
  <si>
    <t>Food Matters Group | Kaspers</t>
  </si>
  <si>
    <t>Term Loan - Property</t>
  </si>
  <si>
    <t>Mobile Bill - Telephone &amp; Internet</t>
  </si>
  <si>
    <t>Repairs &amp; Maitnainace</t>
  </si>
  <si>
    <t>Ok</t>
  </si>
  <si>
    <t>Prep Kitchen Rent + Society Maintenance</t>
  </si>
  <si>
    <t>Electricity Bill (prep kitchen + restaurant)</t>
  </si>
  <si>
    <t>Staff Expenses (RECRUITMENT)</t>
  </si>
  <si>
    <t>Other staff Expenses</t>
  </si>
  <si>
    <t>Bank Charges (BG PROCESSING FEES)</t>
  </si>
  <si>
    <t>Bank Charges- Credit card fees</t>
  </si>
  <si>
    <t>Subscription Charges | ( BAROMETER/Shrusti/PETPOOJA)</t>
  </si>
  <si>
    <t>Kitchen Utensil &amp; CCG (includes uniforms)</t>
  </si>
  <si>
    <t>Commission &amp; Brokerage</t>
  </si>
  <si>
    <t>Architect FEES / CONSULTANCY</t>
  </si>
  <si>
    <t>Legal Fees (AYUSH SHARMA)</t>
  </si>
  <si>
    <t>NOTES:</t>
  </si>
  <si>
    <t>1. Notional rent</t>
  </si>
  <si>
    <t>Original L&amp;L agreement with landlord for Kaspers property commenced on 17 Aug 2022. Rent was 4.5L per month with 15% inc every 3 years. The current rent when Kaspers became operational therefore would have been 517500/- + 18% GST</t>
  </si>
  <si>
    <t>2. Chef Will 50% fee (but not 50% of his accomm) is included from Nov onwards</t>
  </si>
  <si>
    <t>3. Liaison fee for licenses not included (approx 30L)</t>
  </si>
  <si>
    <t>Food Matters Group | MSBC Andheri - Kytchens</t>
  </si>
  <si>
    <t>Kytchens - Andheri - Swiggy</t>
  </si>
  <si>
    <t>Kytchens - Andheri - Zomato</t>
  </si>
  <si>
    <t>MSBC CK Allocation</t>
  </si>
  <si>
    <t>Total NC &amp; DEQ</t>
  </si>
  <si>
    <t>Gupshup + Meta Marketing</t>
  </si>
  <si>
    <t>Restaverse Ads</t>
  </si>
  <si>
    <t>Commission Swiggy (10% +2% + other comission charges)+ GST 1st july Onwards..as per swiggy ledger</t>
  </si>
  <si>
    <t>Aggregator Refund and Penalty Swiggy</t>
  </si>
  <si>
    <t>Aggregator Refund and Penalty Zomato</t>
  </si>
  <si>
    <t>Kytchens Commissions (11% of Gross Sales (incld Disc) + GST</t>
  </si>
  <si>
    <t>Subscription Charges</t>
  </si>
  <si>
    <t>Delivery Expenses/ Freight</t>
  </si>
  <si>
    <t>Food Matters Group | MSBC Dahisar - Kytchens</t>
  </si>
  <si>
    <t>Kytchens - Dahisar - Swiggy</t>
  </si>
  <si>
    <t>Kytchens - Dahisar - Zomato</t>
  </si>
  <si>
    <t>Food Matters Group | MSBC Juhu / Goregoan- Kytchens</t>
  </si>
  <si>
    <t>shifted to Goregaon</t>
  </si>
  <si>
    <t>Kytchens - Juhu - Swiggy</t>
  </si>
  <si>
    <t>Kytchens - Juhu - Zomato</t>
  </si>
  <si>
    <t>Subscription charges</t>
  </si>
  <si>
    <t>Food Matters Group | Loud Mouth</t>
  </si>
  <si>
    <t>started on 9 Feb</t>
  </si>
  <si>
    <t>Delivery ( Online Sale )</t>
  </si>
  <si>
    <t>Other Marketing</t>
  </si>
  <si>
    <t xml:space="preserve">Gupshup / Meta </t>
  </si>
  <si>
    <t>Commission Swiggy 15% + GST</t>
  </si>
  <si>
    <t>Commission Zomato 14% + GST</t>
  </si>
  <si>
    <t>Rent (EQUIPMENT)</t>
  </si>
  <si>
    <t>Chef Consultation (Varun / Spencer)</t>
  </si>
  <si>
    <t>NOTE</t>
  </si>
  <si>
    <t>1. No rent for now as it is shared kitchen with Mag St Colaba</t>
  </si>
  <si>
    <t>2. Chef consultation and hotel is shown in MIS but is one off</t>
  </si>
  <si>
    <t>Sales Summary (Incl Serv Charge)</t>
  </si>
  <si>
    <t>COGS for MSBC Per Outlet</t>
  </si>
  <si>
    <t>April'25</t>
  </si>
  <si>
    <t>May'25</t>
  </si>
  <si>
    <t>June'25</t>
  </si>
  <si>
    <t>July'25</t>
  </si>
  <si>
    <t>Aug'25</t>
  </si>
  <si>
    <t>Sep'25</t>
  </si>
  <si>
    <t>Oct'25</t>
  </si>
  <si>
    <t>Nov25</t>
  </si>
  <si>
    <t>Dec25</t>
  </si>
  <si>
    <t>Jan'26</t>
  </si>
  <si>
    <t>Feb'26</t>
  </si>
  <si>
    <t>Mar'26</t>
  </si>
  <si>
    <t>MSBC Juhu</t>
  </si>
  <si>
    <t>MSBC Operating Cost</t>
  </si>
  <si>
    <t>Monthly Allocation of Op Cost</t>
  </si>
  <si>
    <t>Total COGS Allocation</t>
  </si>
  <si>
    <t>Total Transfer Out of MSBC</t>
  </si>
  <si>
    <t>Calculation Sheet for GST on Purchases</t>
  </si>
  <si>
    <t>Nov'25</t>
  </si>
  <si>
    <t>Dec'25</t>
  </si>
  <si>
    <t>Jan26</t>
  </si>
  <si>
    <t>Feb26</t>
  </si>
  <si>
    <t>Mar26</t>
  </si>
  <si>
    <t>Total GST on Purchases</t>
  </si>
  <si>
    <t>Total Purchases Outlet Level</t>
  </si>
  <si>
    <t>Total Overall Purchases</t>
  </si>
  <si>
    <t>GST Alloc to Outlet</t>
  </si>
  <si>
    <t>MSBC Dahisar  / Borivali</t>
  </si>
  <si>
    <t>Mg St Bandra - Comparison</t>
  </si>
  <si>
    <t>Oct 25</t>
  </si>
  <si>
    <t>Nov 25</t>
  </si>
  <si>
    <t>Dec 25</t>
  </si>
  <si>
    <t>NC &amp; DEQ</t>
  </si>
  <si>
    <t>Mg St LP MIS - FY25-26 Snapshot</t>
  </si>
  <si>
    <t>Aug 25</t>
  </si>
  <si>
    <t>Sep 25</t>
  </si>
  <si>
    <t>Avg Sale</t>
  </si>
  <si>
    <t>Avg EBIDTA</t>
  </si>
  <si>
    <t>`</t>
  </si>
  <si>
    <t>Avg EBIDTA %</t>
  </si>
  <si>
    <t>MIS FY25-26 - Comparative (Upto Feb,2026)</t>
  </si>
  <si>
    <t>Jan 26</t>
  </si>
  <si>
    <t>Feb 26</t>
  </si>
  <si>
    <t xml:space="preserve">YTD </t>
  </si>
  <si>
    <t>% achieved</t>
  </si>
  <si>
    <t>Sales</t>
  </si>
  <si>
    <t>% to sales</t>
  </si>
  <si>
    <t>Total  Revenue</t>
  </si>
  <si>
    <t>Repairs &amp; Maintainance</t>
  </si>
  <si>
    <t xml:space="preserve">Event Cost Management </t>
  </si>
  <si>
    <t xml:space="preserve">Note : </t>
  </si>
  <si>
    <t>- Kaspers opened on 12th November,2025</t>
  </si>
  <si>
    <t>- No Budget for this period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</si>
</sst>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_ * #,##0.00_ ;_ * \-#,##0.00_ ;_ * &quot;-&quot;??_ ;_ @_ "/>
    <numFmt numFmtId="165" formatCode="_ * #,##0_ ;_ * \-#,##0_ ;_ * &quot;-&quot;??_ ;_ @_ "/>
    <numFmt numFmtId="166" formatCode="mmmm\ yyyy"/>
    <numFmt numFmtId="167" formatCode="mmmm\-yyyy"/>
    <numFmt numFmtId="168" formatCode="_ * #,##0.0000_ ;_ * \-#,##0.0000_ ;_ * &quot;-&quot;??_ ;_ @_ "/>
    <numFmt numFmtId="169" formatCode="mmm\ yyyy"/>
    <numFmt numFmtId="170" formatCode="#,##0;\(#,##0\)"/>
    <numFmt numFmtId="171" formatCode="mmm\ d"/>
    <numFmt numFmtId="172" formatCode="mmmm yyyy"/>
  </numFmts>
  <fonts count="56">
    <font>
      <sz val="10.0"/>
      <color rgb="FF000000"/>
      <name val="Arial"/>
      <scheme val="minor"/>
    </font>
    <font>
      <color theme="1"/>
      <name val="Arial"/>
      <scheme val="minor"/>
    </font>
    <font>
      <b/>
      <u/>
      <sz val="11.0"/>
      <color theme="1"/>
      <name val="Calibri"/>
    </font>
    <font>
      <sz val="11.0"/>
      <color rgb="FF000000"/>
      <name val="Calibri"/>
    </font>
    <font>
      <sz val="11.0"/>
      <color theme="1"/>
      <name val="Calibri"/>
    </font>
    <font>
      <b/>
      <sz val="11.0"/>
      <color theme="1"/>
      <name val="Calibri"/>
    </font>
    <font/>
    <font>
      <sz val="11.0"/>
      <color rgb="FFFF0000"/>
      <name val="Calibri"/>
    </font>
    <font>
      <b/>
      <sz val="10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b/>
      <sz val="11.0"/>
      <color rgb="FF000000"/>
      <name val="Calibri"/>
    </font>
    <font>
      <sz val="10.0"/>
      <color rgb="FF000000"/>
      <name val="Calibri"/>
    </font>
    <font>
      <b/>
      <u/>
      <sz val="10.0"/>
      <color theme="1"/>
      <name val="Calibri"/>
    </font>
    <font>
      <b/>
      <sz val="10.0"/>
      <color theme="1"/>
      <name val="Calibri"/>
    </font>
    <font>
      <b/>
      <sz val="10.0"/>
      <color rgb="FF000000"/>
      <name val="Calibri"/>
    </font>
    <font>
      <b/>
      <u/>
      <sz val="10.0"/>
      <color theme="1"/>
      <name val="Arial"/>
    </font>
    <font>
      <sz val="10.0"/>
      <color theme="1"/>
      <name val="Calibri"/>
    </font>
    <font>
      <sz val="12.0"/>
      <color rgb="FF000000"/>
      <name val="Calibri"/>
    </font>
    <font>
      <b/>
      <u/>
      <sz val="12.0"/>
      <color theme="1"/>
      <name val="Calibri"/>
    </font>
    <font>
      <sz val="12.0"/>
      <color theme="1"/>
      <name val="Calibri"/>
    </font>
    <font>
      <sz val="12.0"/>
      <color rgb="FFFFFFFF"/>
      <name val="Calibri"/>
    </font>
    <font>
      <b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sz val="12.0"/>
      <color rgb="FF000000"/>
      <name val="Calibri"/>
    </font>
    <font>
      <b/>
      <u/>
      <sz val="12.0"/>
      <color theme="1"/>
      <name val="Calibri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color theme="1"/>
      <name val="Arial"/>
    </font>
    <font>
      <b/>
      <color theme="1"/>
      <name val="Arial"/>
    </font>
    <font>
      <b/>
      <u/>
      <sz val="12.0"/>
      <color theme="1"/>
      <name val="Calibri"/>
    </font>
    <font>
      <b/>
      <sz val="10.0"/>
      <color rgb="FF000000"/>
      <name val="Arial"/>
    </font>
    <font>
      <u/>
      <sz val="12.0"/>
      <color theme="1"/>
      <name val="Calibri"/>
    </font>
    <font>
      <b/>
      <sz val="12.0"/>
      <color rgb="FFFFFFFF"/>
      <name val="Calibri"/>
    </font>
    <font>
      <b/>
      <sz val="12.0"/>
      <color theme="5"/>
      <name val="Calibri"/>
    </font>
    <font>
      <b/>
      <u/>
      <sz val="11.0"/>
      <color theme="1"/>
      <name val="Calibri"/>
    </font>
    <font>
      <b/>
      <sz val="11.0"/>
      <color rgb="FFFFFFFF"/>
      <name val="Calibri"/>
    </font>
    <font>
      <b/>
      <u/>
      <sz val="11.0"/>
      <color theme="1"/>
      <name val="Calibri"/>
    </font>
    <font>
      <b/>
      <u/>
      <sz val="11.0"/>
      <color theme="1"/>
      <name val="Calibri"/>
    </font>
    <font>
      <b/>
      <u/>
      <sz val="11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sz val="12.0"/>
      <color theme="0"/>
      <name val="Calibri"/>
    </font>
    <font>
      <sz val="12.0"/>
      <color theme="0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  <font>
      <b/>
      <u/>
      <sz val="12.0"/>
      <color theme="1"/>
      <name val="Calibri"/>
    </font>
  </fonts>
  <fills count="18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2F5496"/>
        <bgColor rgb="FF2F5496"/>
      </patternFill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999999"/>
        <bgColor rgb="FF999999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</fills>
  <borders count="119">
    <border/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top style="medium">
        <color rgb="FF000000"/>
      </top>
      <bottom/>
    </border>
    <border>
      <right style="thin">
        <color rgb="FF000000"/>
      </right>
      <top style="medium">
        <color rgb="FF000000"/>
      </top>
      <bottom/>
    </border>
    <border>
      <left style="thin">
        <color rgb="FF000000"/>
      </left>
      <top style="medium">
        <color rgb="FF000000"/>
      </top>
      <bottom/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/>
      <right/>
      <top/>
      <bottom style="thin">
        <color rgb="FF000000"/>
      </bottom>
    </border>
    <border>
      <left style="medium">
        <color rgb="FF000000"/>
      </left>
      <right style="medium">
        <color rgb="FF000000"/>
      </right>
    </border>
    <border>
      <left/>
      <right/>
      <top/>
      <bottom/>
    </border>
    <border>
      <left style="thin">
        <color rgb="FFC7C7C7"/>
      </left>
      <right style="thin">
        <color rgb="FFC7C7C7"/>
      </right>
      <top style="thin">
        <color rgb="FFC7C7C7"/>
      </top>
      <bottom style="thin">
        <color rgb="FFC7C7C7"/>
      </bottom>
    </border>
    <border>
      <left/>
      <right style="thin">
        <color rgb="FFC7C7C7"/>
      </right>
      <top style="thin">
        <color rgb="FFC7C7C7"/>
      </top>
      <bottom style="thin">
        <color rgb="FFC7C7C7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/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left/>
      <right style="thin">
        <color rgb="FF000000"/>
      </right>
      <top style="medium">
        <color rgb="FF000000"/>
      </top>
      <bottom/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/>
      <top style="medium">
        <color rgb="FF000000"/>
      </top>
      <bottom/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</border>
    <border>
      <right style="medium">
        <color rgb="FF000000"/>
      </right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</borders>
  <cellStyleXfs count="1">
    <xf borderId="0" fillId="0" fontId="0" numFmtId="0" applyAlignment="1" applyFont="1"/>
  </cellStyleXfs>
  <cellXfs count="11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Font="1"/>
    <xf borderId="0" fillId="0" fontId="4" numFmtId="0" xfId="0" applyFont="1"/>
    <xf borderId="1" fillId="2" fontId="5" numFmtId="0" xfId="0" applyBorder="1" applyFill="1" applyFont="1"/>
    <xf borderId="2" fillId="2" fontId="5" numFmtId="0" xfId="0" applyAlignment="1" applyBorder="1" applyFont="1">
      <alignment horizontal="center"/>
    </xf>
    <xf borderId="3" fillId="0" fontId="6" numFmtId="0" xfId="0" applyBorder="1" applyFont="1"/>
    <xf borderId="4" fillId="0" fontId="6" numFmtId="0" xfId="0" applyBorder="1" applyFont="1"/>
    <xf borderId="2" fillId="2" fontId="5" numFmtId="0" xfId="0" applyAlignment="1" applyBorder="1" applyFont="1">
      <alignment horizontal="center" readingOrder="0"/>
    </xf>
    <xf borderId="5" fillId="2" fontId="5" numFmtId="0" xfId="0" applyAlignment="1" applyBorder="1" applyFont="1">
      <alignment horizontal="center"/>
    </xf>
    <xf borderId="6" fillId="0" fontId="6" numFmtId="0" xfId="0" applyBorder="1" applyFont="1"/>
    <xf borderId="7" fillId="0" fontId="6" numFmtId="0" xfId="0" applyBorder="1" applyFont="1"/>
    <xf borderId="5" fillId="3" fontId="5" numFmtId="0" xfId="0" applyAlignment="1" applyBorder="1" applyFill="1" applyFont="1">
      <alignment horizontal="center"/>
    </xf>
    <xf borderId="8" fillId="0" fontId="6" numFmtId="0" xfId="0" applyBorder="1" applyFont="1"/>
    <xf borderId="5" fillId="3" fontId="5" numFmtId="0" xfId="0" applyAlignment="1" applyBorder="1" applyFont="1">
      <alignment horizontal="center" readingOrder="0"/>
    </xf>
    <xf borderId="9" fillId="2" fontId="5" numFmtId="0" xfId="0" applyBorder="1" applyFont="1"/>
    <xf borderId="10" fillId="2" fontId="5" numFmtId="0" xfId="0" applyAlignment="1" applyBorder="1" applyFont="1">
      <alignment horizontal="center"/>
    </xf>
    <xf borderId="11" fillId="2" fontId="5" numFmtId="0" xfId="0" applyAlignment="1" applyBorder="1" applyFont="1">
      <alignment horizontal="center"/>
    </xf>
    <xf borderId="12" fillId="2" fontId="5" numFmtId="0" xfId="0" applyAlignment="1" applyBorder="1" applyFont="1">
      <alignment horizontal="center"/>
    </xf>
    <xf borderId="13" fillId="2" fontId="5" numFmtId="0" xfId="0" applyAlignment="1" applyBorder="1" applyFont="1">
      <alignment horizontal="center"/>
    </xf>
    <xf borderId="14" fillId="2" fontId="5" numFmtId="0" xfId="0" applyAlignment="1" applyBorder="1" applyFont="1">
      <alignment horizontal="center"/>
    </xf>
    <xf borderId="15" fillId="2" fontId="5" numFmtId="0" xfId="0" applyBorder="1" applyFont="1"/>
    <xf borderId="16" fillId="2" fontId="4" numFmtId="3" xfId="0" applyBorder="1" applyFont="1" applyNumberFormat="1"/>
    <xf borderId="17" fillId="2" fontId="4" numFmtId="10" xfId="0" applyBorder="1" applyFont="1" applyNumberFormat="1"/>
    <xf borderId="17" fillId="2" fontId="4" numFmtId="3" xfId="0" applyBorder="1" applyFont="1" applyNumberFormat="1"/>
    <xf borderId="18" fillId="2" fontId="4" numFmtId="10" xfId="0" applyBorder="1" applyFont="1" applyNumberFormat="1"/>
    <xf borderId="19" fillId="0" fontId="4" numFmtId="164" xfId="0" applyBorder="1" applyFont="1" applyNumberFormat="1"/>
    <xf borderId="20" fillId="0" fontId="4" numFmtId="0" xfId="0" applyBorder="1" applyFont="1"/>
    <xf borderId="20" fillId="0" fontId="4" numFmtId="164" xfId="0" applyAlignment="1" applyBorder="1" applyFont="1" applyNumberFormat="1">
      <alignment readingOrder="0"/>
    </xf>
    <xf borderId="21" fillId="2" fontId="4" numFmtId="3" xfId="0" applyBorder="1" applyFont="1" applyNumberFormat="1"/>
    <xf borderId="22" fillId="2" fontId="4" numFmtId="10" xfId="0" applyBorder="1" applyFont="1" applyNumberFormat="1"/>
    <xf borderId="19" fillId="0" fontId="4" numFmtId="3" xfId="0" applyBorder="1" applyFont="1" applyNumberFormat="1"/>
    <xf borderId="23" fillId="0" fontId="4" numFmtId="10" xfId="0" applyBorder="1" applyFont="1" applyNumberFormat="1"/>
    <xf borderId="20" fillId="0" fontId="4" numFmtId="3" xfId="0" applyBorder="1" applyFont="1" applyNumberFormat="1"/>
    <xf borderId="23" fillId="0" fontId="4" numFmtId="0" xfId="0" applyBorder="1" applyFont="1"/>
    <xf borderId="19" fillId="0" fontId="4" numFmtId="165" xfId="0" applyBorder="1" applyFont="1" applyNumberFormat="1"/>
    <xf borderId="24" fillId="0" fontId="4" numFmtId="165" xfId="0" applyBorder="1" applyFont="1" applyNumberFormat="1"/>
    <xf borderId="25" fillId="2" fontId="5" numFmtId="0" xfId="0" applyBorder="1" applyFont="1"/>
    <xf borderId="24" fillId="2" fontId="4" numFmtId="3" xfId="0" applyBorder="1" applyFont="1" applyNumberFormat="1"/>
    <xf borderId="26" fillId="2" fontId="4" numFmtId="3" xfId="0" applyBorder="1" applyFont="1" applyNumberFormat="1"/>
    <xf borderId="27" fillId="2" fontId="4" numFmtId="10" xfId="0" applyBorder="1" applyFont="1" applyNumberFormat="1"/>
    <xf borderId="24" fillId="0" fontId="4" numFmtId="164" xfId="0" applyBorder="1" applyFont="1" applyNumberFormat="1"/>
    <xf borderId="26" fillId="0" fontId="4" numFmtId="0" xfId="0" applyBorder="1" applyFont="1"/>
    <xf borderId="26" fillId="0" fontId="4" numFmtId="164" xfId="0" applyAlignment="1" applyBorder="1" applyFont="1" applyNumberFormat="1">
      <alignment readingOrder="0"/>
    </xf>
    <xf borderId="28" fillId="2" fontId="4" numFmtId="10" xfId="0" applyBorder="1" applyFont="1" applyNumberFormat="1"/>
    <xf borderId="24" fillId="0" fontId="4" numFmtId="3" xfId="0" applyBorder="1" applyFont="1" applyNumberFormat="1"/>
    <xf borderId="27" fillId="0" fontId="4" numFmtId="10" xfId="0" applyBorder="1" applyFont="1" applyNumberFormat="1"/>
    <xf borderId="26" fillId="0" fontId="4" numFmtId="3" xfId="0" applyBorder="1" applyFont="1" applyNumberFormat="1"/>
    <xf borderId="27" fillId="0" fontId="4" numFmtId="0" xfId="0" applyBorder="1" applyFont="1"/>
    <xf borderId="29" fillId="2" fontId="5" numFmtId="0" xfId="0" applyBorder="1" applyFont="1"/>
    <xf borderId="30" fillId="2" fontId="4" numFmtId="3" xfId="0" applyBorder="1" applyFont="1" applyNumberFormat="1"/>
    <xf borderId="31" fillId="2" fontId="4" numFmtId="3" xfId="0" applyBorder="1" applyFont="1" applyNumberFormat="1"/>
    <xf borderId="32" fillId="2" fontId="4" numFmtId="10" xfId="0" applyBorder="1" applyFont="1" applyNumberFormat="1"/>
    <xf borderId="33" fillId="0" fontId="4" numFmtId="164" xfId="0" applyBorder="1" applyFont="1" applyNumberFormat="1"/>
    <xf borderId="34" fillId="0" fontId="4" numFmtId="0" xfId="0" applyBorder="1" applyFont="1"/>
    <xf borderId="34" fillId="0" fontId="4" numFmtId="164" xfId="0" applyAlignment="1" applyBorder="1" applyFont="1" applyNumberFormat="1">
      <alignment readingOrder="0"/>
    </xf>
    <xf borderId="35" fillId="2" fontId="4" numFmtId="10" xfId="0" applyBorder="1" applyFont="1" applyNumberFormat="1"/>
    <xf borderId="33" fillId="0" fontId="4" numFmtId="3" xfId="0" applyBorder="1" applyFont="1" applyNumberFormat="1"/>
    <xf borderId="36" fillId="0" fontId="4" numFmtId="10" xfId="0" applyBorder="1" applyFont="1" applyNumberFormat="1"/>
    <xf borderId="34" fillId="0" fontId="4" numFmtId="3" xfId="0" applyBorder="1" applyFont="1" applyNumberFormat="1"/>
    <xf borderId="36" fillId="0" fontId="4" numFmtId="0" xfId="0" applyBorder="1" applyFont="1"/>
    <xf borderId="34" fillId="0" fontId="4" numFmtId="165" xfId="0" applyBorder="1" applyFont="1" applyNumberFormat="1"/>
    <xf borderId="33" fillId="0" fontId="4" numFmtId="165" xfId="0" applyBorder="1" applyFont="1" applyNumberFormat="1"/>
    <xf borderId="29" fillId="2" fontId="5" numFmtId="0" xfId="0" applyAlignment="1" applyBorder="1" applyFont="1">
      <alignment readingOrder="0"/>
    </xf>
    <xf borderId="34" fillId="0" fontId="4" numFmtId="164" xfId="0" applyBorder="1" applyFont="1" applyNumberFormat="1"/>
    <xf borderId="10" fillId="2" fontId="5" numFmtId="3" xfId="0" applyBorder="1" applyFont="1" applyNumberFormat="1"/>
    <xf borderId="11" fillId="2" fontId="5" numFmtId="10" xfId="0" applyBorder="1" applyFont="1" applyNumberFormat="1"/>
    <xf borderId="11" fillId="2" fontId="5" numFmtId="3" xfId="0" applyBorder="1" applyFont="1" applyNumberFormat="1"/>
    <xf borderId="10" fillId="2" fontId="5" numFmtId="164" xfId="0" applyBorder="1" applyFont="1" applyNumberFormat="1"/>
    <xf borderId="11" fillId="2" fontId="5" numFmtId="0" xfId="0" applyBorder="1" applyFont="1"/>
    <xf borderId="11" fillId="2" fontId="5" numFmtId="164" xfId="0" applyAlignment="1" applyBorder="1" applyFont="1" applyNumberFormat="1">
      <alignment readingOrder="0"/>
    </xf>
    <xf borderId="13" fillId="2" fontId="5" numFmtId="3" xfId="0" applyBorder="1" applyFont="1" applyNumberFormat="1"/>
    <xf borderId="12" fillId="2" fontId="5" numFmtId="0" xfId="0" applyBorder="1" applyFont="1"/>
    <xf borderId="10" fillId="4" fontId="7" numFmtId="165" xfId="0" applyBorder="1" applyFill="1" applyFont="1" applyNumberFormat="1"/>
    <xf borderId="11" fillId="4" fontId="7" numFmtId="165" xfId="0" applyBorder="1" applyFont="1" applyNumberFormat="1"/>
    <xf borderId="12" fillId="4" fontId="4" numFmtId="165" xfId="0" applyBorder="1" applyFont="1" applyNumberFormat="1"/>
    <xf borderId="10" fillId="4" fontId="4" numFmtId="165" xfId="0" applyBorder="1" applyFont="1" applyNumberFormat="1"/>
    <xf borderId="11" fillId="4" fontId="4" numFmtId="165" xfId="0" applyBorder="1" applyFont="1" applyNumberFormat="1"/>
    <xf borderId="13" fillId="4" fontId="4" numFmtId="165" xfId="0" applyBorder="1" applyFont="1" applyNumberFormat="1"/>
    <xf borderId="14" fillId="4" fontId="4" numFmtId="165" xfId="0" applyBorder="1" applyFont="1" applyNumberFormat="1"/>
    <xf borderId="20" fillId="0" fontId="4" numFmtId="10" xfId="0" applyBorder="1" applyFont="1" applyNumberFormat="1"/>
    <xf borderId="20" fillId="0" fontId="4" numFmtId="165" xfId="0" applyAlignment="1" applyBorder="1" applyFont="1" applyNumberFormat="1">
      <alignment readingOrder="0"/>
    </xf>
    <xf borderId="20" fillId="0" fontId="4" numFmtId="165" xfId="0" applyBorder="1" applyFont="1" applyNumberFormat="1"/>
    <xf borderId="26" fillId="2" fontId="4" numFmtId="10" xfId="0" applyBorder="1" applyFont="1" applyNumberFormat="1"/>
    <xf borderId="34" fillId="0" fontId="4" numFmtId="165" xfId="0" applyAlignment="1" applyBorder="1" applyFont="1" applyNumberFormat="1">
      <alignment readingOrder="0"/>
    </xf>
    <xf borderId="12" fillId="2" fontId="5" numFmtId="10" xfId="0" applyBorder="1" applyFont="1" applyNumberFormat="1"/>
    <xf borderId="11" fillId="2" fontId="5" numFmtId="165" xfId="0" applyAlignment="1" applyBorder="1" applyFont="1" applyNumberFormat="1">
      <alignment readingOrder="0"/>
    </xf>
    <xf borderId="14" fillId="2" fontId="5" numFmtId="10" xfId="0" applyBorder="1" applyFont="1" applyNumberFormat="1"/>
    <xf borderId="10" fillId="2" fontId="5" numFmtId="165" xfId="0" applyBorder="1" applyFont="1" applyNumberFormat="1"/>
    <xf borderId="37" fillId="2" fontId="5" numFmtId="0" xfId="0" applyBorder="1" applyFont="1"/>
    <xf borderId="38" fillId="2" fontId="4" numFmtId="0" xfId="0" applyBorder="1" applyFont="1"/>
    <xf borderId="39" fillId="2" fontId="4" numFmtId="0" xfId="0" applyBorder="1" applyFont="1"/>
    <xf borderId="39" fillId="2" fontId="4" numFmtId="3" xfId="0" applyBorder="1" applyFont="1" applyNumberFormat="1"/>
    <xf borderId="40" fillId="2" fontId="4" numFmtId="0" xfId="0" applyBorder="1" applyFont="1"/>
    <xf borderId="41" fillId="0" fontId="4" numFmtId="165" xfId="0" applyBorder="1" applyFont="1" applyNumberFormat="1"/>
    <xf borderId="42" fillId="0" fontId="4" numFmtId="165" xfId="0" applyBorder="1" applyFont="1" applyNumberFormat="1"/>
    <xf borderId="43" fillId="2" fontId="4" numFmtId="0" xfId="0" applyBorder="1" applyFont="1"/>
    <xf borderId="44" fillId="2" fontId="4" numFmtId="0" xfId="0" applyBorder="1" applyFont="1"/>
    <xf borderId="41" fillId="0" fontId="4" numFmtId="3" xfId="0" applyBorder="1" applyFont="1" applyNumberFormat="1"/>
    <xf borderId="42" fillId="0" fontId="4" numFmtId="0" xfId="0" applyBorder="1" applyFont="1"/>
    <xf borderId="42" fillId="0" fontId="4" numFmtId="3" xfId="0" applyBorder="1" applyFont="1" applyNumberFormat="1"/>
    <xf borderId="45" fillId="0" fontId="4" numFmtId="0" xfId="0" applyBorder="1" applyFont="1"/>
    <xf borderId="41" fillId="0" fontId="4" numFmtId="0" xfId="0" applyBorder="1" applyFont="1"/>
    <xf borderId="0" fillId="0" fontId="8" numFmtId="0" xfId="0" applyFont="1"/>
    <xf borderId="9" fillId="4" fontId="5" numFmtId="0" xfId="0" applyBorder="1" applyFont="1"/>
    <xf borderId="10" fillId="4" fontId="5" numFmtId="3" xfId="0" applyBorder="1" applyFont="1" applyNumberFormat="1"/>
    <xf borderId="11" fillId="4" fontId="5" numFmtId="10" xfId="0" applyBorder="1" applyFont="1" applyNumberFormat="1"/>
    <xf borderId="11" fillId="4" fontId="5" numFmtId="3" xfId="0" applyBorder="1" applyFont="1" applyNumberFormat="1"/>
    <xf borderId="12" fillId="4" fontId="5" numFmtId="10" xfId="0" applyBorder="1" applyFont="1" applyNumberFormat="1"/>
    <xf borderId="11" fillId="4" fontId="5" numFmtId="164" xfId="0" applyAlignment="1" applyBorder="1" applyFont="1" applyNumberFormat="1">
      <alignment readingOrder="0"/>
    </xf>
    <xf borderId="14" fillId="4" fontId="5" numFmtId="10" xfId="0" applyBorder="1" applyFont="1" applyNumberFormat="1"/>
    <xf borderId="12" fillId="4" fontId="5" numFmtId="0" xfId="0" applyBorder="1" applyFont="1"/>
    <xf borderId="10" fillId="4" fontId="5" numFmtId="165" xfId="0" applyBorder="1" applyFont="1" applyNumberFormat="1"/>
    <xf borderId="26" fillId="0" fontId="4" numFmtId="165" xfId="0" applyBorder="1" applyFont="1" applyNumberFormat="1"/>
    <xf borderId="26" fillId="0" fontId="4" numFmtId="1" xfId="0" applyBorder="1" applyFont="1" applyNumberFormat="1"/>
    <xf borderId="10" fillId="0" fontId="5" numFmtId="3" xfId="0" applyBorder="1" applyFont="1" applyNumberFormat="1"/>
    <xf borderId="11" fillId="0" fontId="5" numFmtId="10" xfId="0" applyBorder="1" applyFont="1" applyNumberFormat="1"/>
    <xf borderId="11" fillId="0" fontId="5" numFmtId="3" xfId="0" applyBorder="1" applyFont="1" applyNumberFormat="1"/>
    <xf borderId="12" fillId="0" fontId="5" numFmtId="10" xfId="0" applyBorder="1" applyFont="1" applyNumberFormat="1"/>
    <xf borderId="12" fillId="0" fontId="5" numFmtId="0" xfId="0" applyBorder="1" applyFont="1"/>
    <xf borderId="10" fillId="0" fontId="5" numFmtId="165" xfId="0" applyBorder="1" applyFont="1" applyNumberFormat="1"/>
    <xf borderId="0" fillId="0" fontId="9" numFmtId="10" xfId="0" applyFont="1" applyNumberFormat="1"/>
    <xf borderId="0" fillId="0" fontId="9" numFmtId="3" xfId="0" applyFont="1" applyNumberFormat="1"/>
    <xf borderId="0" fillId="0" fontId="9" numFmtId="165" xfId="0" applyFont="1" applyNumberFormat="1"/>
    <xf borderId="0" fillId="0" fontId="9" numFmtId="3" xfId="0" applyAlignment="1" applyFont="1" applyNumberFormat="1">
      <alignment readingOrder="0"/>
    </xf>
    <xf borderId="0" fillId="0" fontId="10" numFmtId="9" xfId="0" applyFont="1" applyNumberFormat="1"/>
    <xf borderId="0" fillId="0" fontId="1" numFmtId="3" xfId="0" applyFont="1" applyNumberFormat="1"/>
    <xf borderId="0" fillId="0" fontId="10" numFmtId="0" xfId="0" applyFont="1"/>
    <xf borderId="0" fillId="0" fontId="1" numFmtId="165" xfId="0" applyFont="1" applyNumberFormat="1"/>
    <xf borderId="46" fillId="2" fontId="5" numFmtId="0" xfId="0" applyAlignment="1" applyBorder="1" applyFont="1">
      <alignment horizontal="left" vertical="top"/>
    </xf>
    <xf borderId="47" fillId="2" fontId="5" numFmtId="0" xfId="0" applyAlignment="1" applyBorder="1" applyFont="1">
      <alignment horizontal="center"/>
    </xf>
    <xf borderId="48" fillId="0" fontId="6" numFmtId="0" xfId="0" applyBorder="1" applyFont="1"/>
    <xf borderId="49" fillId="2" fontId="5" numFmtId="0" xfId="0" applyAlignment="1" applyBorder="1" applyFont="1">
      <alignment horizontal="center"/>
    </xf>
    <xf borderId="50" fillId="0" fontId="6" numFmtId="0" xfId="0" applyBorder="1" applyFont="1"/>
    <xf borderId="51" fillId="0" fontId="4" numFmtId="165" xfId="0" applyBorder="1" applyFont="1" applyNumberFormat="1"/>
    <xf borderId="17" fillId="2" fontId="4" numFmtId="3" xfId="0" applyAlignment="1" applyBorder="1" applyFont="1" applyNumberFormat="1">
      <alignment readingOrder="0"/>
    </xf>
    <xf borderId="17" fillId="2" fontId="4" numFmtId="0" xfId="0" applyBorder="1" applyFont="1"/>
    <xf borderId="52" fillId="0" fontId="4" numFmtId="165" xfId="0" applyBorder="1" applyFont="1" applyNumberFormat="1"/>
    <xf borderId="26" fillId="2" fontId="4" numFmtId="0" xfId="0" applyBorder="1" applyFont="1"/>
    <xf borderId="26" fillId="0" fontId="4" numFmtId="10" xfId="0" applyBorder="1" applyFont="1" applyNumberFormat="1"/>
    <xf borderId="53" fillId="0" fontId="4" numFmtId="165" xfId="0" applyBorder="1" applyFont="1" applyNumberFormat="1"/>
    <xf borderId="31" fillId="2" fontId="4" numFmtId="0" xfId="0" applyBorder="1" applyFont="1"/>
    <xf borderId="34" fillId="0" fontId="4" numFmtId="10" xfId="0" applyBorder="1" applyFont="1" applyNumberFormat="1"/>
    <xf borderId="54" fillId="0" fontId="4" numFmtId="165" xfId="0" applyBorder="1" applyFont="1" applyNumberFormat="1"/>
    <xf borderId="55" fillId="0" fontId="5" numFmtId="165" xfId="0" applyBorder="1" applyFont="1" applyNumberFormat="1"/>
    <xf borderId="11" fillId="0" fontId="5" numFmtId="165" xfId="0" applyBorder="1" applyFont="1" applyNumberFormat="1"/>
    <xf borderId="11" fillId="0" fontId="5" numFmtId="0" xfId="0" applyBorder="1" applyFont="1"/>
    <xf borderId="16" fillId="2" fontId="4" numFmtId="0" xfId="0" applyBorder="1" applyFont="1"/>
    <xf borderId="18" fillId="2" fontId="4" numFmtId="0" xfId="0" applyBorder="1" applyFont="1"/>
    <xf borderId="27" fillId="2" fontId="4" numFmtId="0" xfId="0" applyBorder="1" applyFont="1"/>
    <xf borderId="32" fillId="2" fontId="4" numFmtId="0" xfId="0" applyBorder="1" applyFont="1"/>
    <xf borderId="34" fillId="0" fontId="4" numFmtId="0" xfId="0" applyAlignment="1" applyBorder="1" applyFont="1">
      <alignment readingOrder="0"/>
    </xf>
    <xf borderId="9" fillId="5" fontId="5" numFmtId="0" xfId="0" applyBorder="1" applyFill="1" applyFont="1"/>
    <xf borderId="10" fillId="5" fontId="5" numFmtId="3" xfId="0" applyBorder="1" applyFont="1" applyNumberFormat="1"/>
    <xf borderId="11" fillId="5" fontId="5" numFmtId="10" xfId="0" applyBorder="1" applyFont="1" applyNumberFormat="1"/>
    <xf borderId="11" fillId="5" fontId="5" numFmtId="3" xfId="0" applyBorder="1" applyFont="1" applyNumberFormat="1"/>
    <xf borderId="12" fillId="5" fontId="5" numFmtId="0" xfId="0" applyBorder="1" applyFont="1"/>
    <xf borderId="13" fillId="5" fontId="5" numFmtId="165" xfId="0" applyBorder="1" applyFont="1" applyNumberFormat="1"/>
    <xf borderId="11" fillId="5" fontId="5" numFmtId="165" xfId="0" applyBorder="1" applyFont="1" applyNumberFormat="1"/>
    <xf borderId="11" fillId="5" fontId="5" numFmtId="0" xfId="0" applyBorder="1" applyFont="1"/>
    <xf borderId="25" fillId="5" fontId="5" numFmtId="0" xfId="0" applyBorder="1" applyFont="1"/>
    <xf borderId="24" fillId="5" fontId="5" numFmtId="165" xfId="0" applyBorder="1" applyFont="1" applyNumberFormat="1"/>
    <xf borderId="26" fillId="5" fontId="5" numFmtId="10" xfId="0" applyBorder="1" applyFont="1" applyNumberFormat="1"/>
    <xf borderId="26" fillId="5" fontId="5" numFmtId="165" xfId="0" applyBorder="1" applyFont="1" applyNumberFormat="1"/>
    <xf borderId="27" fillId="5" fontId="5" numFmtId="165" xfId="0" applyBorder="1" applyFont="1" applyNumberFormat="1"/>
    <xf borderId="56" fillId="5" fontId="5" numFmtId="165" xfId="0" applyBorder="1" applyFont="1" applyNumberFormat="1"/>
    <xf borderId="30" fillId="2" fontId="4" numFmtId="0" xfId="0" applyBorder="1" applyFont="1"/>
    <xf borderId="9" fillId="2" fontId="5" numFmtId="10" xfId="0" applyBorder="1" applyFont="1" applyNumberFormat="1"/>
    <xf borderId="10" fillId="5" fontId="5" numFmtId="10" xfId="0" applyBorder="1" applyFont="1" applyNumberFormat="1"/>
    <xf borderId="11" fillId="5" fontId="11" numFmtId="10" xfId="0" applyBorder="1" applyFont="1" applyNumberFormat="1"/>
    <xf borderId="12" fillId="5" fontId="11" numFmtId="10" xfId="0" applyBorder="1" applyFont="1" applyNumberFormat="1"/>
    <xf borderId="13" fillId="5" fontId="11" numFmtId="165" xfId="0" applyBorder="1" applyFont="1" applyNumberFormat="1"/>
    <xf borderId="11" fillId="5" fontId="11" numFmtId="165" xfId="0" applyBorder="1" applyFont="1" applyNumberFormat="1"/>
    <xf borderId="0" fillId="0" fontId="3" numFmtId="3" xfId="0" applyFont="1" applyNumberFormat="1"/>
    <xf borderId="0" fillId="0" fontId="3" numFmtId="165" xfId="0" applyFont="1" applyNumberFormat="1"/>
    <xf borderId="0" fillId="0" fontId="12" numFmtId="0" xfId="0" applyFont="1"/>
    <xf borderId="0" fillId="0" fontId="13" numFmtId="0" xfId="0" applyFont="1"/>
    <xf borderId="0" fillId="0" fontId="12" numFmtId="165" xfId="0" applyFont="1" applyNumberFormat="1"/>
    <xf borderId="0" fillId="0" fontId="14" numFmtId="0" xfId="0" applyFont="1"/>
    <xf borderId="0" fillId="0" fontId="15" numFmtId="0" xfId="0" applyFont="1"/>
    <xf borderId="13" fillId="2" fontId="5" numFmtId="165" xfId="0" applyAlignment="1" applyBorder="1" applyFont="1" applyNumberFormat="1">
      <alignment horizontal="center"/>
    </xf>
    <xf borderId="20" fillId="0" fontId="4" numFmtId="3" xfId="0" applyAlignment="1" applyBorder="1" applyFont="1" applyNumberFormat="1">
      <alignment readingOrder="0"/>
    </xf>
    <xf borderId="26" fillId="0" fontId="4" numFmtId="164" xfId="0" applyBorder="1" applyFont="1" applyNumberFormat="1"/>
    <xf borderId="0" fillId="0" fontId="16" numFmtId="0" xfId="0" applyFont="1"/>
    <xf borderId="0" fillId="0" fontId="8" numFmtId="166" xfId="0" applyFont="1" applyNumberFormat="1"/>
    <xf borderId="26" fillId="0" fontId="10" numFmtId="0" xfId="0" applyBorder="1" applyFont="1"/>
    <xf borderId="26" fillId="2" fontId="8" numFmtId="166" xfId="0" applyBorder="1" applyFont="1" applyNumberFormat="1"/>
    <xf borderId="26" fillId="2" fontId="8" numFmtId="0" xfId="0" applyBorder="1" applyFont="1"/>
    <xf borderId="26" fillId="0" fontId="10" numFmtId="3" xfId="0" applyBorder="1" applyFont="1" applyNumberFormat="1"/>
    <xf borderId="26" fillId="2" fontId="8" numFmtId="3" xfId="0" applyBorder="1" applyFont="1" applyNumberFormat="1"/>
    <xf borderId="26" fillId="2" fontId="8" numFmtId="10" xfId="0" applyBorder="1" applyFont="1" applyNumberFormat="1"/>
    <xf borderId="0" fillId="0" fontId="17" numFmtId="0" xfId="0" applyFont="1"/>
    <xf borderId="11" fillId="2" fontId="5" numFmtId="10" xfId="0" applyAlignment="1" applyBorder="1" applyFont="1" applyNumberFormat="1">
      <alignment horizontal="center"/>
    </xf>
    <xf borderId="51" fillId="0" fontId="4" numFmtId="3" xfId="0" applyBorder="1" applyFont="1" applyNumberFormat="1"/>
    <xf borderId="20" fillId="0" fontId="4" numFmtId="0" xfId="0" applyAlignment="1" applyBorder="1" applyFont="1">
      <alignment readingOrder="0"/>
    </xf>
    <xf borderId="52" fillId="0" fontId="4" numFmtId="3" xfId="0" applyBorder="1" applyFont="1" applyNumberFormat="1"/>
    <xf borderId="26" fillId="0" fontId="4" numFmtId="3" xfId="0" applyAlignment="1" applyBorder="1" applyFont="1" applyNumberFormat="1">
      <alignment readingOrder="0"/>
    </xf>
    <xf borderId="31" fillId="2" fontId="4" numFmtId="10" xfId="0" applyBorder="1" applyFont="1" applyNumberFormat="1"/>
    <xf borderId="34" fillId="0" fontId="4" numFmtId="3" xfId="0" applyAlignment="1" applyBorder="1" applyFont="1" applyNumberFormat="1">
      <alignment readingOrder="0"/>
    </xf>
    <xf borderId="55" fillId="0" fontId="5" numFmtId="3" xfId="0" applyBorder="1" applyFont="1" applyNumberFormat="1"/>
    <xf borderId="51" fillId="0" fontId="4" numFmtId="0" xfId="0" applyBorder="1" applyFont="1"/>
    <xf borderId="38" fillId="2" fontId="4" numFmtId="3" xfId="0" applyBorder="1" applyFont="1" applyNumberFormat="1"/>
    <xf borderId="54" fillId="0" fontId="4" numFmtId="0" xfId="0" applyBorder="1" applyFont="1"/>
    <xf borderId="39" fillId="2" fontId="4" numFmtId="10" xfId="0" applyBorder="1" applyFont="1" applyNumberFormat="1"/>
    <xf borderId="42" fillId="0" fontId="4" numFmtId="10" xfId="0" applyBorder="1" applyFont="1" applyNumberFormat="1"/>
    <xf borderId="13" fillId="5" fontId="5" numFmtId="3" xfId="0" applyBorder="1" applyFont="1" applyNumberFormat="1"/>
    <xf borderId="24" fillId="5" fontId="5" numFmtId="3" xfId="0" applyBorder="1" applyFont="1" applyNumberFormat="1"/>
    <xf borderId="26" fillId="5" fontId="5" numFmtId="3" xfId="0" applyBorder="1" applyFont="1" applyNumberFormat="1"/>
    <xf borderId="53" fillId="0" fontId="4" numFmtId="0" xfId="0" applyBorder="1" applyFont="1"/>
    <xf borderId="13" fillId="5" fontId="11" numFmtId="10" xfId="0" applyBorder="1" applyFont="1" applyNumberFormat="1"/>
    <xf borderId="0" fillId="0" fontId="12" numFmtId="10" xfId="0" applyFont="1" applyNumberFormat="1"/>
    <xf borderId="0" fillId="0" fontId="12" numFmtId="3" xfId="0" applyFont="1" applyNumberFormat="1"/>
    <xf borderId="0" fillId="0" fontId="18" numFmtId="0" xfId="0" applyFont="1"/>
    <xf borderId="0" fillId="0" fontId="19" numFmtId="0" xfId="0" applyFont="1"/>
    <xf borderId="0" fillId="0" fontId="18" numFmtId="165" xfId="0" applyFont="1" applyNumberFormat="1"/>
    <xf borderId="0" fillId="0" fontId="20" numFmtId="0" xfId="0" applyFont="1"/>
    <xf borderId="57" fillId="2" fontId="5" numFmtId="0" xfId="0" applyAlignment="1" applyBorder="1" applyFont="1">
      <alignment horizontal="center"/>
    </xf>
    <xf borderId="11" fillId="2" fontId="5" numFmtId="165" xfId="0" applyAlignment="1" applyBorder="1" applyFont="1" applyNumberFormat="1">
      <alignment horizontal="center"/>
    </xf>
    <xf borderId="58" fillId="2" fontId="5" numFmtId="0" xfId="0" applyAlignment="1" applyBorder="1" applyFont="1">
      <alignment horizontal="center"/>
    </xf>
    <xf borderId="16" fillId="2" fontId="4" numFmtId="165" xfId="0" applyBorder="1" applyFont="1" applyNumberFormat="1"/>
    <xf borderId="17" fillId="2" fontId="4" numFmtId="165" xfId="0" applyBorder="1" applyFont="1" applyNumberFormat="1"/>
    <xf borderId="22" fillId="2" fontId="4" numFmtId="165" xfId="0" applyBorder="1" applyFont="1" applyNumberFormat="1"/>
    <xf borderId="59" fillId="2" fontId="4" numFmtId="165" xfId="0" applyBorder="1" applyFont="1" applyNumberFormat="1"/>
    <xf borderId="24" fillId="2" fontId="4" numFmtId="165" xfId="0" applyBorder="1" applyFont="1" applyNumberFormat="1"/>
    <xf borderId="26" fillId="2" fontId="4" numFmtId="165" xfId="0" applyBorder="1" applyFont="1" applyNumberFormat="1"/>
    <xf borderId="30" fillId="2" fontId="4" numFmtId="165" xfId="0" applyBorder="1" applyFont="1" applyNumberFormat="1"/>
    <xf borderId="31" fillId="2" fontId="4" numFmtId="165" xfId="0" applyBorder="1" applyFont="1" applyNumberFormat="1"/>
    <xf borderId="9" fillId="2" fontId="5" numFmtId="0" xfId="0" applyAlignment="1" applyBorder="1" applyFont="1">
      <alignment readingOrder="0"/>
    </xf>
    <xf borderId="57" fillId="0" fontId="5" numFmtId="0" xfId="0" applyBorder="1" applyFont="1"/>
    <xf borderId="60" fillId="2" fontId="5" numFmtId="0" xfId="0" applyBorder="1" applyFont="1"/>
    <xf borderId="11" fillId="2" fontId="5" numFmtId="165" xfId="0" applyBorder="1" applyFont="1" applyNumberFormat="1"/>
    <xf borderId="11" fillId="0" fontId="5" numFmtId="164" xfId="0" applyBorder="1" applyFont="1" applyNumberFormat="1"/>
    <xf borderId="38" fillId="2" fontId="4" numFmtId="165" xfId="0" applyBorder="1" applyFont="1" applyNumberFormat="1"/>
    <xf borderId="39" fillId="2" fontId="4" numFmtId="165" xfId="0" applyBorder="1" applyFont="1" applyNumberFormat="1"/>
    <xf borderId="10" fillId="5" fontId="5" numFmtId="165" xfId="0" applyBorder="1" applyFont="1" applyNumberFormat="1"/>
    <xf borderId="26" fillId="0" fontId="4" numFmtId="165" xfId="0" applyAlignment="1" applyBorder="1" applyFont="1" applyNumberFormat="1">
      <alignment readingOrder="0"/>
    </xf>
    <xf borderId="0" fillId="0" fontId="18" numFmtId="3" xfId="0" applyFont="1" applyNumberFormat="1"/>
    <xf borderId="0" fillId="0" fontId="20" numFmtId="0" xfId="0" applyAlignment="1" applyFont="1">
      <alignment horizontal="center"/>
    </xf>
    <xf borderId="61" fillId="6" fontId="21" numFmtId="0" xfId="0" applyAlignment="1" applyBorder="1" applyFill="1" applyFont="1">
      <alignment horizontal="left"/>
    </xf>
    <xf borderId="0" fillId="0" fontId="20" numFmtId="0" xfId="0" applyAlignment="1" applyFont="1">
      <alignment horizontal="left"/>
    </xf>
    <xf borderId="62" fillId="6" fontId="21" numFmtId="0" xfId="0" applyAlignment="1" applyBorder="1" applyFont="1">
      <alignment horizontal="center"/>
    </xf>
    <xf borderId="63" fillId="7" fontId="5" numFmtId="0" xfId="0" applyAlignment="1" applyBorder="1" applyFill="1" applyFont="1">
      <alignment horizontal="center"/>
    </xf>
    <xf borderId="63" fillId="8" fontId="5" numFmtId="0" xfId="0" applyAlignment="1" applyBorder="1" applyFill="1" applyFont="1">
      <alignment horizontal="center"/>
    </xf>
    <xf borderId="63" fillId="4" fontId="5" numFmtId="0" xfId="0" applyAlignment="1" applyBorder="1" applyFont="1">
      <alignment horizontal="center"/>
    </xf>
    <xf borderId="26" fillId="0" fontId="20" numFmtId="0" xfId="0" applyBorder="1" applyFont="1"/>
    <xf borderId="0" fillId="0" fontId="20" numFmtId="167" xfId="0" applyAlignment="1" applyFont="1" applyNumberFormat="1">
      <alignment horizontal="center"/>
    </xf>
    <xf borderId="61" fillId="6" fontId="21" numFmtId="167" xfId="0" applyAlignment="1" applyBorder="1" applyFont="1" applyNumberFormat="1">
      <alignment horizontal="left"/>
    </xf>
    <xf borderId="0" fillId="0" fontId="4" numFmtId="0" xfId="0" applyAlignment="1" applyFont="1">
      <alignment horizontal="left"/>
    </xf>
    <xf borderId="0" fillId="0" fontId="4" numFmtId="3" xfId="0" applyAlignment="1" applyFont="1" applyNumberFormat="1">
      <alignment horizontal="left"/>
    </xf>
    <xf borderId="0" fillId="0" fontId="4" numFmtId="49" xfId="0" applyAlignment="1" applyFont="1" applyNumberFormat="1">
      <alignment horizontal="left"/>
    </xf>
    <xf borderId="61" fillId="4" fontId="4" numFmtId="49" xfId="0" applyAlignment="1" applyBorder="1" applyFont="1" applyNumberFormat="1">
      <alignment horizontal="left"/>
    </xf>
    <xf borderId="0" fillId="0" fontId="4" numFmtId="4" xfId="0" applyAlignment="1" applyFont="1" applyNumberFormat="1">
      <alignment horizontal="left"/>
    </xf>
    <xf borderId="0" fillId="0" fontId="3" numFmtId="0" xfId="0" applyAlignment="1" applyFont="1">
      <alignment horizontal="left"/>
    </xf>
    <xf borderId="0" fillId="0" fontId="3" numFmtId="3" xfId="0" applyAlignment="1" applyFont="1" applyNumberFormat="1">
      <alignment horizontal="left"/>
    </xf>
    <xf borderId="0" fillId="0" fontId="3" numFmtId="10" xfId="0" applyFont="1" applyNumberFormat="1"/>
    <xf borderId="0" fillId="0" fontId="4" numFmtId="0" xfId="0" applyAlignment="1" applyFont="1">
      <alignment horizontal="right"/>
    </xf>
    <xf borderId="26" fillId="0" fontId="10" numFmtId="3" xfId="0" applyAlignment="1" applyBorder="1" applyFont="1" applyNumberFormat="1">
      <alignment horizontal="right"/>
    </xf>
    <xf borderId="0" fillId="0" fontId="10" numFmtId="4" xfId="0" applyFont="1" applyNumberFormat="1"/>
    <xf borderId="64" fillId="2" fontId="8" numFmtId="0" xfId="0" applyAlignment="1" applyBorder="1" applyFont="1">
      <alignment horizontal="center"/>
    </xf>
    <xf borderId="65" fillId="0" fontId="6" numFmtId="0" xfId="0" applyBorder="1" applyFont="1"/>
    <xf borderId="52" fillId="0" fontId="6" numFmtId="0" xfId="0" applyBorder="1" applyFont="1"/>
    <xf borderId="26" fillId="2" fontId="10" numFmtId="3" xfId="0" applyBorder="1" applyFont="1" applyNumberFormat="1"/>
    <xf borderId="26" fillId="2" fontId="10" numFmtId="10" xfId="0" applyBorder="1" applyFont="1" applyNumberFormat="1"/>
    <xf borderId="26" fillId="0" fontId="10" numFmtId="10" xfId="0" applyBorder="1" applyFont="1" applyNumberFormat="1"/>
    <xf borderId="26" fillId="0" fontId="10" numFmtId="165" xfId="0" applyBorder="1" applyFont="1" applyNumberFormat="1"/>
    <xf borderId="26" fillId="0" fontId="10" numFmtId="3" xfId="0" applyAlignment="1" applyBorder="1" applyFont="1" applyNumberFormat="1">
      <alignment readingOrder="0"/>
    </xf>
    <xf borderId="26" fillId="0" fontId="10" numFmtId="0" xfId="0" applyAlignment="1" applyBorder="1" applyFont="1">
      <alignment readingOrder="0"/>
    </xf>
    <xf borderId="26" fillId="2" fontId="10" numFmtId="0" xfId="0" applyBorder="1" applyFont="1"/>
    <xf borderId="26" fillId="2" fontId="10" numFmtId="3" xfId="0" applyAlignment="1" applyBorder="1" applyFont="1" applyNumberFormat="1">
      <alignment horizontal="right"/>
    </xf>
    <xf borderId="26" fillId="2" fontId="10" numFmtId="10" xfId="0" applyAlignment="1" applyBorder="1" applyFont="1" applyNumberFormat="1">
      <alignment horizontal="right"/>
    </xf>
    <xf borderId="26" fillId="2" fontId="8" numFmtId="165" xfId="0" applyBorder="1" applyFont="1" applyNumberFormat="1"/>
    <xf borderId="26" fillId="0" fontId="8" numFmtId="3" xfId="0" applyBorder="1" applyFont="1" applyNumberFormat="1"/>
    <xf borderId="26" fillId="0" fontId="8" numFmtId="0" xfId="0" applyBorder="1" applyFont="1"/>
    <xf borderId="0" fillId="0" fontId="1" numFmtId="0" xfId="0" applyFont="1"/>
    <xf borderId="0" fillId="0" fontId="10" numFmtId="10" xfId="0" applyFont="1" applyNumberFormat="1"/>
    <xf borderId="0" fillId="0" fontId="10" numFmtId="3" xfId="0" applyFont="1" applyNumberFormat="1"/>
    <xf borderId="26" fillId="0" fontId="10" numFmtId="10" xfId="0" applyAlignment="1" applyBorder="1" applyFont="1" applyNumberFormat="1">
      <alignment horizontal="right"/>
    </xf>
    <xf borderId="26" fillId="0" fontId="10" numFmtId="164" xfId="0" applyBorder="1" applyFont="1" applyNumberFormat="1"/>
    <xf borderId="26" fillId="0" fontId="10" numFmtId="0" xfId="0" applyAlignment="1" applyBorder="1" applyFont="1">
      <alignment horizontal="right"/>
    </xf>
    <xf borderId="26" fillId="2" fontId="10" numFmtId="4" xfId="0" applyBorder="1" applyFont="1" applyNumberFormat="1"/>
    <xf borderId="26" fillId="0" fontId="10" numFmtId="4" xfId="0" applyBorder="1" applyFont="1" applyNumberFormat="1"/>
    <xf borderId="26" fillId="0" fontId="10" numFmtId="1" xfId="0" applyBorder="1" applyFont="1" applyNumberFormat="1"/>
    <xf borderId="64" fillId="2" fontId="8" numFmtId="0" xfId="0" applyAlignment="1" applyBorder="1" applyFont="1">
      <alignment horizontal="center" readingOrder="0"/>
    </xf>
    <xf borderId="26" fillId="0" fontId="10" numFmtId="168" xfId="0" applyBorder="1" applyFont="1" applyNumberFormat="1"/>
    <xf borderId="26" fillId="9" fontId="10" numFmtId="3" xfId="0" applyBorder="1" applyFill="1" applyFont="1" applyNumberFormat="1"/>
    <xf borderId="26" fillId="9" fontId="10" numFmtId="0" xfId="0" applyBorder="1" applyFont="1"/>
    <xf borderId="26" fillId="2" fontId="8" numFmtId="1" xfId="0" applyBorder="1" applyFont="1" applyNumberFormat="1"/>
    <xf borderId="0" fillId="0" fontId="10" numFmtId="169" xfId="0" applyFont="1" applyNumberFormat="1"/>
    <xf borderId="0" fillId="0" fontId="10" numFmtId="170" xfId="0" applyFont="1" applyNumberFormat="1"/>
    <xf borderId="0" fillId="0" fontId="10" numFmtId="171" xfId="0" applyFont="1" applyNumberFormat="1"/>
    <xf borderId="61" fillId="4" fontId="10" numFmtId="0" xfId="0" applyBorder="1" applyFont="1"/>
    <xf borderId="61" fillId="4" fontId="10" numFmtId="169" xfId="0" applyBorder="1" applyFont="1" applyNumberFormat="1"/>
    <xf borderId="61" fillId="4" fontId="10" numFmtId="3" xfId="0" applyBorder="1" applyFont="1" applyNumberFormat="1"/>
    <xf borderId="0" fillId="2" fontId="8" numFmtId="0" xfId="0" applyAlignment="1" applyFont="1">
      <alignment horizontal="center"/>
    </xf>
    <xf borderId="0" fillId="2" fontId="8" numFmtId="0" xfId="0" applyFont="1"/>
    <xf borderId="0" fillId="0" fontId="4" numFmtId="165" xfId="0" applyFont="1" applyNumberFormat="1"/>
    <xf borderId="66" fillId="2" fontId="5" numFmtId="0" xfId="0" applyAlignment="1" applyBorder="1" applyFont="1">
      <alignment horizontal="center"/>
    </xf>
    <xf borderId="55" fillId="0" fontId="6" numFmtId="0" xfId="0" applyBorder="1" applyFont="1"/>
    <xf borderId="67" fillId="2" fontId="5" numFmtId="0" xfId="0" applyAlignment="1" applyBorder="1" applyFont="1">
      <alignment horizontal="center"/>
    </xf>
    <xf borderId="68" fillId="2" fontId="5" numFmtId="165" xfId="0" applyAlignment="1" applyBorder="1" applyFont="1" applyNumberFormat="1">
      <alignment horizontal="center"/>
    </xf>
    <xf borderId="69" fillId="2" fontId="5" numFmtId="0" xfId="0" applyAlignment="1" applyBorder="1" applyFont="1">
      <alignment horizontal="center"/>
    </xf>
    <xf borderId="69" fillId="2" fontId="5" numFmtId="165" xfId="0" applyAlignment="1" applyBorder="1" applyFont="1" applyNumberFormat="1">
      <alignment horizontal="center"/>
    </xf>
    <xf borderId="70" fillId="2" fontId="5" numFmtId="0" xfId="0" applyAlignment="1" applyBorder="1" applyFont="1">
      <alignment horizontal="center"/>
    </xf>
    <xf borderId="71" fillId="2" fontId="5" numFmtId="0" xfId="0" applyBorder="1" applyFont="1"/>
    <xf borderId="72" fillId="2" fontId="5" numFmtId="0" xfId="0" applyBorder="1" applyFont="1"/>
    <xf borderId="73" fillId="2" fontId="5" numFmtId="0" xfId="0" applyBorder="1" applyFont="1"/>
    <xf borderId="74" fillId="2" fontId="5" numFmtId="0" xfId="0" applyBorder="1" applyFont="1"/>
    <xf borderId="75" fillId="2" fontId="5" numFmtId="0" xfId="0" applyBorder="1" applyFont="1"/>
    <xf borderId="24" fillId="2" fontId="4" numFmtId="4" xfId="0" applyBorder="1" applyFont="1" applyNumberFormat="1"/>
    <xf borderId="26" fillId="2" fontId="4" numFmtId="4" xfId="0" applyBorder="1" applyFont="1" applyNumberFormat="1"/>
    <xf borderId="0" fillId="0" fontId="3" numFmtId="164" xfId="0" applyFont="1" applyNumberFormat="1"/>
    <xf borderId="26" fillId="2" fontId="5" numFmtId="0" xfId="0" applyBorder="1" applyFont="1"/>
    <xf borderId="64" fillId="2" fontId="5" numFmtId="0" xfId="0" applyAlignment="1" applyBorder="1" applyFont="1">
      <alignment horizontal="center"/>
    </xf>
    <xf borderId="26" fillId="2" fontId="5" numFmtId="0" xfId="0" applyAlignment="1" applyBorder="1" applyFont="1">
      <alignment horizontal="center"/>
    </xf>
    <xf borderId="26" fillId="2" fontId="5" numFmtId="165" xfId="0" applyAlignment="1" applyBorder="1" applyFont="1" applyNumberFormat="1">
      <alignment horizontal="center"/>
    </xf>
    <xf borderId="26" fillId="0" fontId="4" numFmtId="0" xfId="0" applyAlignment="1" applyBorder="1" applyFont="1">
      <alignment readingOrder="0"/>
    </xf>
    <xf borderId="26" fillId="10" fontId="5" numFmtId="165" xfId="0" applyBorder="1" applyFill="1" applyFont="1" applyNumberFormat="1"/>
    <xf borderId="26" fillId="10" fontId="5" numFmtId="0" xfId="0" applyBorder="1" applyFont="1"/>
    <xf borderId="26" fillId="2" fontId="5" numFmtId="165" xfId="0" applyBorder="1" applyFont="1" applyNumberFormat="1"/>
    <xf borderId="26" fillId="0" fontId="5" numFmtId="165" xfId="0" applyBorder="1" applyFont="1" applyNumberFormat="1"/>
    <xf borderId="26" fillId="0" fontId="5" numFmtId="0" xfId="0" applyBorder="1" applyFont="1"/>
    <xf borderId="26" fillId="2" fontId="5" numFmtId="3" xfId="0" applyBorder="1" applyFont="1" applyNumberFormat="1"/>
    <xf borderId="26" fillId="0" fontId="5" numFmtId="3" xfId="0" applyBorder="1" applyFont="1" applyNumberFormat="1"/>
    <xf borderId="26" fillId="2" fontId="5" numFmtId="0" xfId="0" applyAlignment="1" applyBorder="1" applyFont="1">
      <alignment readingOrder="0"/>
    </xf>
    <xf borderId="0" fillId="0" fontId="18" numFmtId="164" xfId="0" applyFont="1" applyNumberFormat="1"/>
    <xf borderId="61" fillId="0" fontId="20" numFmtId="165" xfId="0" applyBorder="1" applyFont="1" applyNumberFormat="1"/>
    <xf borderId="0" fillId="0" fontId="22" numFmtId="0" xfId="0" applyFont="1"/>
    <xf borderId="0" fillId="0" fontId="20" numFmtId="165" xfId="0" applyFont="1" applyNumberFormat="1"/>
    <xf borderId="76" fillId="10" fontId="22" numFmtId="0" xfId="0" applyAlignment="1" applyBorder="1" applyFont="1">
      <alignment horizontal="center" vertical="top"/>
    </xf>
    <xf borderId="77" fillId="10" fontId="22" numFmtId="0" xfId="0" applyAlignment="1" applyBorder="1" applyFont="1">
      <alignment horizontal="center" vertical="top"/>
    </xf>
    <xf quotePrefix="1" borderId="5" fillId="10" fontId="22" numFmtId="0" xfId="0" applyAlignment="1" applyBorder="1" applyFont="1">
      <alignment horizontal="center"/>
    </xf>
    <xf quotePrefix="1" borderId="78" fillId="2" fontId="22" numFmtId="0" xfId="0" applyAlignment="1" applyBorder="1" applyFont="1">
      <alignment horizontal="center"/>
    </xf>
    <xf borderId="0" fillId="0" fontId="22" numFmtId="0" xfId="0" applyAlignment="1" applyFont="1">
      <alignment horizontal="center" readingOrder="0"/>
    </xf>
    <xf borderId="0" fillId="0" fontId="22" numFmtId="0" xfId="0" applyAlignment="1" applyFont="1">
      <alignment horizontal="center"/>
    </xf>
    <xf borderId="0" fillId="0" fontId="18" numFmtId="0" xfId="0" applyAlignment="1" applyFont="1">
      <alignment horizontal="center" shrinkToFit="0" vertical="top" wrapText="1"/>
    </xf>
    <xf borderId="19" fillId="0" fontId="6" numFmtId="0" xfId="0" applyBorder="1" applyFont="1"/>
    <xf borderId="23" fillId="0" fontId="6" numFmtId="0" xfId="0" applyBorder="1" applyFont="1"/>
    <xf borderId="16" fillId="10" fontId="22" numFmtId="165" xfId="0" applyAlignment="1" applyBorder="1" applyFont="1" applyNumberFormat="1">
      <alignment horizontal="center" shrinkToFit="0" vertical="top" wrapText="1"/>
    </xf>
    <xf borderId="17" fillId="10" fontId="22" numFmtId="0" xfId="0" applyAlignment="1" applyBorder="1" applyFont="1">
      <alignment horizontal="center" shrinkToFit="0" vertical="top" wrapText="1"/>
    </xf>
    <xf borderId="17" fillId="10" fontId="22" numFmtId="165" xfId="0" applyAlignment="1" applyBorder="1" applyFont="1" applyNumberFormat="1">
      <alignment horizontal="center" shrinkToFit="0" vertical="top" wrapText="1"/>
    </xf>
    <xf borderId="22" fillId="10" fontId="22" numFmtId="0" xfId="0" applyAlignment="1" applyBorder="1" applyFont="1">
      <alignment horizontal="center" shrinkToFit="0" vertical="top" wrapText="1"/>
    </xf>
    <xf borderId="18" fillId="10" fontId="22" numFmtId="0" xfId="0" applyAlignment="1" applyBorder="1" applyFont="1">
      <alignment horizontal="center" shrinkToFit="0" vertical="top" wrapText="1"/>
    </xf>
    <xf borderId="17" fillId="10" fontId="22" numFmtId="164" xfId="0" applyAlignment="1" applyBorder="1" applyFont="1" applyNumberFormat="1">
      <alignment horizontal="center" shrinkToFit="0" vertical="top" wrapText="1"/>
    </xf>
    <xf borderId="21" fillId="2" fontId="22" numFmtId="165" xfId="0" applyAlignment="1" applyBorder="1" applyFont="1" applyNumberFormat="1">
      <alignment horizontal="center" shrinkToFit="0" vertical="top" wrapText="1"/>
    </xf>
    <xf borderId="17" fillId="2" fontId="22" numFmtId="0" xfId="0" applyAlignment="1" applyBorder="1" applyFont="1">
      <alignment horizontal="center" shrinkToFit="0" vertical="top" wrapText="1"/>
    </xf>
    <xf borderId="17" fillId="2" fontId="22" numFmtId="165" xfId="0" applyAlignment="1" applyBorder="1" applyFont="1" applyNumberFormat="1">
      <alignment horizontal="center" shrinkToFit="0" vertical="top" wrapText="1"/>
    </xf>
    <xf borderId="18" fillId="2" fontId="22" numFmtId="0" xfId="0" applyAlignment="1" applyBorder="1" applyFont="1">
      <alignment horizontal="center" shrinkToFit="0" vertical="top" wrapText="1"/>
    </xf>
    <xf borderId="0" fillId="0" fontId="22" numFmtId="0" xfId="0" applyAlignment="1" applyFont="1">
      <alignment horizontal="center" shrinkToFit="0" vertical="top" wrapText="1"/>
    </xf>
    <xf borderId="24" fillId="0" fontId="20" numFmtId="0" xfId="0" applyAlignment="1" applyBorder="1" applyFont="1">
      <alignment horizontal="center"/>
    </xf>
    <xf borderId="27" fillId="0" fontId="20" numFmtId="0" xfId="0" applyBorder="1" applyFont="1"/>
    <xf borderId="24" fillId="0" fontId="20" numFmtId="165" xfId="0" applyAlignment="1" applyBorder="1" applyFont="1" applyNumberFormat="1">
      <alignment horizontal="center"/>
    </xf>
    <xf borderId="26" fillId="0" fontId="20" numFmtId="0" xfId="0" applyAlignment="1" applyBorder="1" applyFont="1">
      <alignment horizontal="center"/>
    </xf>
    <xf borderId="26" fillId="0" fontId="20" numFmtId="165" xfId="0" applyAlignment="1" applyBorder="1" applyFont="1" applyNumberFormat="1">
      <alignment horizontal="center"/>
    </xf>
    <xf borderId="64" fillId="0" fontId="20" numFmtId="0" xfId="0" applyAlignment="1" applyBorder="1" applyFont="1">
      <alignment horizontal="center"/>
    </xf>
    <xf borderId="26" fillId="0" fontId="20" numFmtId="10" xfId="0" applyAlignment="1" applyBorder="1" applyFont="1" applyNumberFormat="1">
      <alignment horizontal="center"/>
    </xf>
    <xf borderId="26" fillId="0" fontId="20" numFmtId="165" xfId="0" applyBorder="1" applyFont="1" applyNumberFormat="1"/>
    <xf borderId="26" fillId="0" fontId="20" numFmtId="3" xfId="0" applyAlignment="1" applyBorder="1" applyFont="1" applyNumberFormat="1">
      <alignment horizontal="center"/>
    </xf>
    <xf borderId="27" fillId="0" fontId="20" numFmtId="0" xfId="0" applyAlignment="1" applyBorder="1" applyFont="1">
      <alignment horizontal="center"/>
    </xf>
    <xf borderId="26" fillId="0" fontId="20" numFmtId="164" xfId="0" applyAlignment="1" applyBorder="1" applyFont="1" applyNumberFormat="1">
      <alignment horizontal="center"/>
    </xf>
    <xf borderId="56" fillId="0" fontId="20" numFmtId="165" xfId="0" applyAlignment="1" applyBorder="1" applyFont="1" applyNumberFormat="1">
      <alignment horizontal="center"/>
    </xf>
    <xf borderId="33" fillId="0" fontId="20" numFmtId="0" xfId="0" applyAlignment="1" applyBorder="1" applyFont="1">
      <alignment horizontal="center"/>
    </xf>
    <xf borderId="36" fillId="0" fontId="20" numFmtId="0" xfId="0" applyBorder="1" applyFont="1"/>
    <xf borderId="33" fillId="0" fontId="20" numFmtId="165" xfId="0" applyAlignment="1" applyBorder="1" applyFont="1" applyNumberFormat="1">
      <alignment horizontal="center"/>
    </xf>
    <xf borderId="34" fillId="0" fontId="20" numFmtId="0" xfId="0" applyAlignment="1" applyBorder="1" applyFont="1">
      <alignment horizontal="center"/>
    </xf>
    <xf borderId="34" fillId="0" fontId="20" numFmtId="165" xfId="0" applyAlignment="1" applyBorder="1" applyFont="1" applyNumberFormat="1">
      <alignment horizontal="center"/>
    </xf>
    <xf borderId="79" fillId="0" fontId="20" numFmtId="0" xfId="0" applyAlignment="1" applyBorder="1" applyFont="1">
      <alignment horizontal="center"/>
    </xf>
    <xf borderId="34" fillId="0" fontId="20" numFmtId="3" xfId="0" applyAlignment="1" applyBorder="1" applyFont="1" applyNumberFormat="1">
      <alignment horizontal="center"/>
    </xf>
    <xf borderId="36" fillId="0" fontId="20" numFmtId="0" xfId="0" applyAlignment="1" applyBorder="1" applyFont="1">
      <alignment horizontal="center"/>
    </xf>
    <xf borderId="34" fillId="0" fontId="20" numFmtId="164" xfId="0" applyAlignment="1" applyBorder="1" applyFont="1" applyNumberFormat="1">
      <alignment horizontal="center"/>
    </xf>
    <xf borderId="80" fillId="0" fontId="20" numFmtId="165" xfId="0" applyAlignment="1" applyBorder="1" applyFont="1" applyNumberFormat="1">
      <alignment horizontal="center"/>
    </xf>
    <xf borderId="10" fillId="0" fontId="22" numFmtId="0" xfId="0" applyAlignment="1" applyBorder="1" applyFont="1">
      <alignment horizontal="center"/>
    </xf>
    <xf borderId="12" fillId="0" fontId="22" numFmtId="0" xfId="0" applyBorder="1" applyFont="1"/>
    <xf borderId="10" fillId="0" fontId="22" numFmtId="165" xfId="0" applyAlignment="1" applyBorder="1" applyFont="1" applyNumberFormat="1">
      <alignment horizontal="center"/>
    </xf>
    <xf borderId="11" fillId="0" fontId="22" numFmtId="10" xfId="0" applyAlignment="1" applyBorder="1" applyFont="1" applyNumberFormat="1">
      <alignment horizontal="center"/>
    </xf>
    <xf borderId="11" fillId="0" fontId="22" numFmtId="165" xfId="0" applyAlignment="1" applyBorder="1" applyFont="1" applyNumberFormat="1">
      <alignment horizontal="center"/>
    </xf>
    <xf borderId="57" fillId="0" fontId="22" numFmtId="10" xfId="0" applyAlignment="1" applyBorder="1" applyFont="1" applyNumberFormat="1">
      <alignment horizontal="center"/>
    </xf>
    <xf borderId="11" fillId="0" fontId="22" numFmtId="3" xfId="0" applyAlignment="1" applyBorder="1" applyFont="1" applyNumberFormat="1">
      <alignment horizontal="center"/>
    </xf>
    <xf borderId="12" fillId="0" fontId="22" numFmtId="0" xfId="0" applyAlignment="1" applyBorder="1" applyFont="1">
      <alignment horizontal="center"/>
    </xf>
    <xf borderId="12" fillId="0" fontId="22" numFmtId="10" xfId="0" applyAlignment="1" applyBorder="1" applyFont="1" applyNumberFormat="1">
      <alignment horizontal="center"/>
    </xf>
    <xf borderId="11" fillId="0" fontId="22" numFmtId="164" xfId="0" applyAlignment="1" applyBorder="1" applyFont="1" applyNumberFormat="1">
      <alignment horizontal="center"/>
    </xf>
    <xf borderId="13" fillId="0" fontId="22" numFmtId="165" xfId="0" applyAlignment="1" applyBorder="1" applyFont="1" applyNumberFormat="1">
      <alignment horizontal="center"/>
    </xf>
    <xf borderId="19" fillId="0" fontId="20" numFmtId="0" xfId="0" applyAlignment="1" applyBorder="1" applyFont="1">
      <alignment horizontal="center"/>
    </xf>
    <xf borderId="23" fillId="0" fontId="20" numFmtId="0" xfId="0" applyBorder="1" applyFont="1"/>
    <xf borderId="19" fillId="0" fontId="20" numFmtId="165" xfId="0" applyAlignment="1" applyBorder="1" applyFont="1" applyNumberFormat="1">
      <alignment horizontal="center"/>
    </xf>
    <xf borderId="20" fillId="0" fontId="20" numFmtId="10" xfId="0" applyAlignment="1" applyBorder="1" applyFont="1" applyNumberFormat="1">
      <alignment horizontal="center"/>
    </xf>
    <xf borderId="20" fillId="0" fontId="20" numFmtId="165" xfId="0" applyAlignment="1" applyBorder="1" applyFont="1" applyNumberFormat="1">
      <alignment horizontal="center"/>
    </xf>
    <xf borderId="81" fillId="0" fontId="20" numFmtId="10" xfId="0" applyAlignment="1" applyBorder="1" applyFont="1" applyNumberFormat="1">
      <alignment horizontal="center"/>
    </xf>
    <xf borderId="20" fillId="0" fontId="20" numFmtId="3" xfId="0" applyAlignment="1" applyBorder="1" applyFont="1" applyNumberFormat="1">
      <alignment horizontal="center"/>
    </xf>
    <xf borderId="23" fillId="0" fontId="20" numFmtId="0" xfId="0" applyAlignment="1" applyBorder="1" applyFont="1">
      <alignment horizontal="center"/>
    </xf>
    <xf borderId="23" fillId="0" fontId="20" numFmtId="10" xfId="0" applyAlignment="1" applyBorder="1" applyFont="1" applyNumberFormat="1">
      <alignment horizontal="center"/>
    </xf>
    <xf borderId="20" fillId="0" fontId="20" numFmtId="164" xfId="0" applyAlignment="1" applyBorder="1" applyFont="1" applyNumberFormat="1">
      <alignment horizontal="center"/>
    </xf>
    <xf borderId="21" fillId="0" fontId="20" numFmtId="165" xfId="0" applyAlignment="1" applyBorder="1" applyFont="1" applyNumberFormat="1">
      <alignment horizontal="center"/>
    </xf>
    <xf borderId="24" fillId="0" fontId="20" numFmtId="0" xfId="0" applyBorder="1" applyFont="1"/>
    <xf borderId="64" fillId="0" fontId="20" numFmtId="10" xfId="0" applyAlignment="1" applyBorder="1" applyFont="1" applyNumberFormat="1">
      <alignment horizontal="center"/>
    </xf>
    <xf borderId="27" fillId="0" fontId="20" numFmtId="10" xfId="0" applyAlignment="1" applyBorder="1" applyFont="1" applyNumberFormat="1">
      <alignment horizontal="center"/>
    </xf>
    <xf borderId="24" fillId="0" fontId="20" numFmtId="165" xfId="0" applyAlignment="1" applyBorder="1" applyFont="1" applyNumberFormat="1">
      <alignment horizontal="center" readingOrder="0"/>
    </xf>
    <xf borderId="64" fillId="0" fontId="20" numFmtId="10" xfId="0" applyBorder="1" applyFont="1" applyNumberFormat="1"/>
    <xf borderId="24" fillId="0" fontId="18" numFmtId="165" xfId="0" applyAlignment="1" applyBorder="1" applyFont="1" applyNumberFormat="1">
      <alignment horizontal="center" vertical="center"/>
    </xf>
    <xf borderId="26" fillId="0" fontId="18" numFmtId="165" xfId="0" applyAlignment="1" applyBorder="1" applyFont="1" applyNumberFormat="1">
      <alignment horizontal="center" vertical="center"/>
    </xf>
    <xf borderId="26" fillId="0" fontId="18" numFmtId="3" xfId="0" applyAlignment="1" applyBorder="1" applyFont="1" applyNumberFormat="1">
      <alignment horizontal="center" vertical="center"/>
    </xf>
    <xf borderId="26" fillId="0" fontId="18" numFmtId="164" xfId="0" applyAlignment="1" applyBorder="1" applyFont="1" applyNumberFormat="1">
      <alignment horizontal="center" vertical="center"/>
    </xf>
    <xf borderId="56" fillId="0" fontId="18" numFmtId="165" xfId="0" applyAlignment="1" applyBorder="1" applyFont="1" applyNumberFormat="1">
      <alignment horizontal="center" vertical="center"/>
    </xf>
    <xf borderId="33" fillId="0" fontId="20" numFmtId="0" xfId="0" applyBorder="1" applyFont="1"/>
    <xf borderId="34" fillId="0" fontId="20" numFmtId="10" xfId="0" applyAlignment="1" applyBorder="1" applyFont="1" applyNumberFormat="1">
      <alignment horizontal="center"/>
    </xf>
    <xf borderId="79" fillId="0" fontId="20" numFmtId="10" xfId="0" applyAlignment="1" applyBorder="1" applyFont="1" applyNumberFormat="1">
      <alignment horizontal="center"/>
    </xf>
    <xf borderId="36" fillId="0" fontId="20" numFmtId="10" xfId="0" applyAlignment="1" applyBorder="1" applyFont="1" applyNumberFormat="1">
      <alignment horizontal="center"/>
    </xf>
    <xf borderId="10" fillId="0" fontId="22" numFmtId="0" xfId="0" applyBorder="1" applyFont="1"/>
    <xf borderId="11" fillId="0" fontId="22" numFmtId="0" xfId="0" applyAlignment="1" applyBorder="1" applyFont="1">
      <alignment horizontal="center"/>
    </xf>
    <xf borderId="57" fillId="0" fontId="22" numFmtId="0" xfId="0" applyAlignment="1" applyBorder="1" applyFont="1">
      <alignment horizontal="center"/>
    </xf>
    <xf borderId="24" fillId="0" fontId="22" numFmtId="0" xfId="0" applyBorder="1" applyFont="1"/>
    <xf borderId="27" fillId="0" fontId="23" numFmtId="0" xfId="0" applyBorder="1" applyFont="1"/>
    <xf borderId="26" fillId="0" fontId="20" numFmtId="9" xfId="0" applyAlignment="1" applyBorder="1" applyFont="1" applyNumberFormat="1">
      <alignment horizontal="center"/>
    </xf>
    <xf borderId="26" fillId="0" fontId="20" numFmtId="10" xfId="0" applyAlignment="1" applyBorder="1" applyFont="1" applyNumberFormat="1">
      <alignment horizontal="center" readingOrder="0"/>
    </xf>
    <xf borderId="56" fillId="0" fontId="20" numFmtId="165" xfId="0" applyAlignment="1" applyBorder="1" applyFont="1" applyNumberFormat="1">
      <alignment horizontal="center" readingOrder="0"/>
    </xf>
    <xf borderId="41" fillId="0" fontId="20" numFmtId="0" xfId="0" applyBorder="1" applyFont="1"/>
    <xf borderId="45" fillId="0" fontId="20" numFmtId="0" xfId="0" applyBorder="1" applyFont="1"/>
    <xf borderId="41" fillId="0" fontId="20" numFmtId="165" xfId="0" applyAlignment="1" applyBorder="1" applyFont="1" applyNumberFormat="1">
      <alignment horizontal="center"/>
    </xf>
    <xf borderId="42" fillId="0" fontId="20" numFmtId="10" xfId="0" applyAlignment="1" applyBorder="1" applyFont="1" applyNumberFormat="1">
      <alignment horizontal="center"/>
    </xf>
    <xf borderId="42" fillId="0" fontId="20" numFmtId="165" xfId="0" applyAlignment="1" applyBorder="1" applyFont="1" applyNumberFormat="1">
      <alignment horizontal="center"/>
    </xf>
    <xf borderId="82" fillId="0" fontId="20" numFmtId="10" xfId="0" applyAlignment="1" applyBorder="1" applyFont="1" applyNumberFormat="1">
      <alignment horizontal="center"/>
    </xf>
    <xf borderId="42" fillId="0" fontId="20" numFmtId="0" xfId="0" applyAlignment="1" applyBorder="1" applyFont="1">
      <alignment horizontal="center"/>
    </xf>
    <xf borderId="45" fillId="0" fontId="20" numFmtId="0" xfId="0" applyAlignment="1" applyBorder="1" applyFont="1">
      <alignment horizontal="center"/>
    </xf>
    <xf borderId="42" fillId="0" fontId="20" numFmtId="164" xfId="0" applyAlignment="1" applyBorder="1" applyFont="1" applyNumberFormat="1">
      <alignment horizontal="center"/>
    </xf>
    <xf borderId="41" fillId="0" fontId="20" numFmtId="165" xfId="0" applyAlignment="1" applyBorder="1" applyFont="1" applyNumberFormat="1">
      <alignment horizontal="center" readingOrder="0"/>
    </xf>
    <xf borderId="43" fillId="0" fontId="20" numFmtId="165" xfId="0" applyAlignment="1" applyBorder="1" applyFont="1" applyNumberFormat="1">
      <alignment horizontal="center" readingOrder="0"/>
    </xf>
    <xf borderId="76" fillId="0" fontId="22" numFmtId="0" xfId="0" applyBorder="1" applyFont="1"/>
    <xf borderId="77" fillId="0" fontId="22" numFmtId="0" xfId="0" applyBorder="1" applyFont="1"/>
    <xf borderId="76" fillId="0" fontId="22" numFmtId="165" xfId="0" applyAlignment="1" applyBorder="1" applyFont="1" applyNumberFormat="1">
      <alignment horizontal="center"/>
    </xf>
    <xf borderId="83" fillId="0" fontId="22" numFmtId="10" xfId="0" applyAlignment="1" applyBorder="1" applyFont="1" applyNumberFormat="1">
      <alignment horizontal="center"/>
    </xf>
    <xf borderId="83" fillId="0" fontId="22" numFmtId="165" xfId="0" applyAlignment="1" applyBorder="1" applyFont="1" applyNumberFormat="1">
      <alignment horizontal="center"/>
    </xf>
    <xf borderId="84" fillId="0" fontId="22" numFmtId="10" xfId="0" applyAlignment="1" applyBorder="1" applyFont="1" applyNumberFormat="1">
      <alignment horizontal="center"/>
    </xf>
    <xf borderId="83" fillId="0" fontId="22" numFmtId="0" xfId="0" applyAlignment="1" applyBorder="1" applyFont="1">
      <alignment horizontal="center"/>
    </xf>
    <xf borderId="77" fillId="0" fontId="22" numFmtId="0" xfId="0" applyAlignment="1" applyBorder="1" applyFont="1">
      <alignment horizontal="center"/>
    </xf>
    <xf borderId="83" fillId="0" fontId="22" numFmtId="3" xfId="0" applyAlignment="1" applyBorder="1" applyFont="1" applyNumberFormat="1">
      <alignment horizontal="center"/>
    </xf>
    <xf borderId="83" fillId="0" fontId="22" numFmtId="164" xfId="0" applyAlignment="1" applyBorder="1" applyFont="1" applyNumberFormat="1">
      <alignment horizontal="center"/>
    </xf>
    <xf borderId="85" fillId="0" fontId="22" numFmtId="165" xfId="0" applyAlignment="1" applyBorder="1" applyFont="1" applyNumberFormat="1">
      <alignment horizontal="center"/>
    </xf>
    <xf borderId="11" fillId="0" fontId="22" numFmtId="0" xfId="0" applyBorder="1" applyFont="1"/>
    <xf borderId="86" fillId="0" fontId="20" numFmtId="0" xfId="0" applyBorder="1" applyFont="1"/>
    <xf borderId="51" fillId="0" fontId="20" numFmtId="165" xfId="0" applyAlignment="1" applyBorder="1" applyFont="1" applyNumberFormat="1">
      <alignment horizontal="center"/>
    </xf>
    <xf borderId="20" fillId="0" fontId="20" numFmtId="0" xfId="0" applyAlignment="1" applyBorder="1" applyFont="1">
      <alignment horizontal="center"/>
    </xf>
    <xf borderId="81" fillId="0" fontId="20" numFmtId="0" xfId="0" applyAlignment="1" applyBorder="1" applyFont="1">
      <alignment horizontal="center"/>
    </xf>
    <xf borderId="23" fillId="0" fontId="24" numFmtId="0" xfId="0" applyAlignment="1" applyBorder="1" applyFont="1">
      <alignment horizontal="left"/>
    </xf>
    <xf borderId="80" fillId="0" fontId="20" numFmtId="165" xfId="0" applyAlignment="1" applyBorder="1" applyFont="1" applyNumberFormat="1">
      <alignment horizontal="center" readingOrder="0"/>
    </xf>
    <xf borderId="19" fillId="0" fontId="20" numFmtId="0" xfId="0" applyBorder="1" applyFont="1"/>
    <xf borderId="87" fillId="0" fontId="21" numFmtId="0" xfId="0" applyAlignment="1" applyBorder="1" applyFont="1">
      <alignment horizontal="center"/>
    </xf>
    <xf borderId="88" fillId="0" fontId="6" numFmtId="0" xfId="0" applyBorder="1" applyFont="1"/>
    <xf borderId="12" fillId="0" fontId="25" numFmtId="0" xfId="0" applyBorder="1" applyFont="1"/>
    <xf borderId="36" fillId="0" fontId="26" numFmtId="0" xfId="0" applyBorder="1" applyFont="1"/>
    <xf borderId="23" fillId="0" fontId="18" numFmtId="0" xfId="0" applyBorder="1" applyFont="1"/>
    <xf borderId="19" fillId="0" fontId="20" numFmtId="165" xfId="0" applyAlignment="1" applyBorder="1" applyFont="1" applyNumberFormat="1">
      <alignment horizontal="center" readingOrder="0"/>
    </xf>
    <xf borderId="36" fillId="0" fontId="18" numFmtId="0" xfId="0" applyBorder="1" applyFont="1"/>
    <xf borderId="82" fillId="0" fontId="20" numFmtId="0" xfId="0" applyAlignment="1" applyBorder="1" applyFont="1">
      <alignment horizontal="center"/>
    </xf>
    <xf borderId="43" fillId="0" fontId="20" numFmtId="165" xfId="0" applyAlignment="1" applyBorder="1" applyFont="1" applyNumberFormat="1">
      <alignment horizontal="center"/>
    </xf>
    <xf borderId="61" fillId="0" fontId="18" numFmtId="0" xfId="0" applyBorder="1" applyFont="1"/>
    <xf borderId="46" fillId="11" fontId="22" numFmtId="0" xfId="0" applyAlignment="1" applyBorder="1" applyFill="1" applyFont="1">
      <alignment horizontal="left" vertical="top"/>
    </xf>
    <xf quotePrefix="1" borderId="5" fillId="11" fontId="22" numFmtId="0" xfId="0" applyAlignment="1" applyBorder="1" applyFont="1">
      <alignment horizontal="center"/>
    </xf>
    <xf quotePrefix="1" borderId="89" fillId="11" fontId="22" numFmtId="0" xfId="0" applyAlignment="1" applyBorder="1" applyFont="1">
      <alignment horizontal="center"/>
    </xf>
    <xf borderId="90" fillId="0" fontId="6" numFmtId="0" xfId="0" applyBorder="1" applyFont="1"/>
    <xf borderId="91" fillId="0" fontId="6" numFmtId="0" xfId="0" applyBorder="1" applyFont="1"/>
    <xf quotePrefix="1" borderId="47" fillId="11" fontId="22" numFmtId="0" xfId="0" applyAlignment="1" applyBorder="1" applyFont="1">
      <alignment horizontal="center"/>
    </xf>
    <xf borderId="92" fillId="0" fontId="6" numFmtId="0" xfId="0" applyBorder="1" applyFont="1"/>
    <xf quotePrefix="1" borderId="2" fillId="12" fontId="22" numFmtId="0" xfId="0" applyAlignment="1" applyBorder="1" applyFill="1" applyFont="1">
      <alignment horizontal="center"/>
    </xf>
    <xf borderId="0" fillId="0" fontId="18" numFmtId="0" xfId="0" applyAlignment="1" applyFont="1">
      <alignment shrinkToFit="0" vertical="top" wrapText="1"/>
    </xf>
    <xf borderId="93" fillId="11" fontId="22" numFmtId="0" xfId="0" applyAlignment="1" applyBorder="1" applyFont="1">
      <alignment horizontal="center" shrinkToFit="0" vertical="top" wrapText="1"/>
    </xf>
    <xf borderId="69" fillId="11" fontId="22" numFmtId="0" xfId="0" applyAlignment="1" applyBorder="1" applyFont="1">
      <alignment horizontal="center" shrinkToFit="0" vertical="top" wrapText="1"/>
    </xf>
    <xf borderId="70" fillId="11" fontId="22" numFmtId="0" xfId="0" applyAlignment="1" applyBorder="1" applyFont="1">
      <alignment horizontal="center" shrinkToFit="0" vertical="top" wrapText="1"/>
    </xf>
    <xf borderId="10" fillId="11" fontId="22" numFmtId="0" xfId="0" applyAlignment="1" applyBorder="1" applyFont="1">
      <alignment horizontal="center" shrinkToFit="0" vertical="top" wrapText="1"/>
    </xf>
    <xf borderId="11" fillId="11" fontId="22" numFmtId="0" xfId="0" applyAlignment="1" applyBorder="1" applyFont="1">
      <alignment horizontal="center" shrinkToFit="0" vertical="top" wrapText="1"/>
    </xf>
    <xf borderId="12" fillId="11" fontId="22" numFmtId="0" xfId="0" applyAlignment="1" applyBorder="1" applyFont="1">
      <alignment horizontal="center" shrinkToFit="0" vertical="top" wrapText="1"/>
    </xf>
    <xf borderId="14" fillId="11" fontId="22" numFmtId="0" xfId="0" applyAlignment="1" applyBorder="1" applyFont="1">
      <alignment horizontal="center" shrinkToFit="0" vertical="top" wrapText="1"/>
    </xf>
    <xf borderId="10" fillId="12" fontId="22" numFmtId="0" xfId="0" applyAlignment="1" applyBorder="1" applyFont="1">
      <alignment horizontal="center" shrinkToFit="0" vertical="top" wrapText="1"/>
    </xf>
    <xf borderId="11" fillId="12" fontId="22" numFmtId="0" xfId="0" applyAlignment="1" applyBorder="1" applyFont="1">
      <alignment horizontal="center" shrinkToFit="0" vertical="top" wrapText="1"/>
    </xf>
    <xf borderId="12" fillId="12" fontId="22" numFmtId="0" xfId="0" applyAlignment="1" applyBorder="1" applyFont="1">
      <alignment horizontal="center" shrinkToFit="0" vertical="top" wrapText="1"/>
    </xf>
    <xf borderId="0" fillId="0" fontId="22" numFmtId="0" xfId="0" applyAlignment="1" applyFont="1">
      <alignment shrinkToFit="0" vertical="top" wrapText="1"/>
    </xf>
    <xf borderId="60" fillId="0" fontId="22" numFmtId="0" xfId="0" applyAlignment="1" applyBorder="1" applyFont="1">
      <alignment horizontal="center"/>
    </xf>
    <xf borderId="60" fillId="0" fontId="20" numFmtId="0" xfId="0" applyBorder="1" applyFont="1"/>
    <xf borderId="41" fillId="0" fontId="20" numFmtId="3" xfId="0" applyAlignment="1" applyBorder="1" applyFont="1" applyNumberFormat="1">
      <alignment horizontal="center"/>
    </xf>
    <xf borderId="42" fillId="0" fontId="20" numFmtId="3" xfId="0" applyAlignment="1" applyBorder="1" applyFont="1" applyNumberFormat="1">
      <alignment horizontal="center"/>
    </xf>
    <xf borderId="82" fillId="0" fontId="20" numFmtId="3" xfId="0" applyAlignment="1" applyBorder="1" applyFont="1" applyNumberFormat="1">
      <alignment horizontal="center"/>
    </xf>
    <xf borderId="54" fillId="0" fontId="20" numFmtId="3" xfId="0" applyAlignment="1" applyBorder="1" applyFont="1" applyNumberFormat="1">
      <alignment horizontal="center"/>
    </xf>
    <xf borderId="38" fillId="0" fontId="20" numFmtId="3" xfId="0" applyAlignment="1" applyBorder="1" applyFont="1" applyNumberFormat="1">
      <alignment horizontal="center"/>
    </xf>
    <xf borderId="9" fillId="0" fontId="22" numFmtId="0" xfId="0" applyAlignment="1" applyBorder="1" applyFont="1">
      <alignment horizontal="center"/>
    </xf>
    <xf borderId="9" fillId="0" fontId="22" numFmtId="0" xfId="0" applyBorder="1" applyFont="1"/>
    <xf borderId="12" fillId="0" fontId="22" numFmtId="165" xfId="0" applyAlignment="1" applyBorder="1" applyFont="1" applyNumberFormat="1">
      <alignment horizontal="center"/>
    </xf>
    <xf borderId="57" fillId="0" fontId="22" numFmtId="165" xfId="0" applyAlignment="1" applyBorder="1" applyFont="1" applyNumberFormat="1">
      <alignment horizontal="center"/>
    </xf>
    <xf borderId="55" fillId="0" fontId="22" numFmtId="165" xfId="0" applyAlignment="1" applyBorder="1" applyFont="1" applyNumberFormat="1">
      <alignment horizontal="center"/>
    </xf>
    <xf borderId="94" fillId="0" fontId="20" numFmtId="0" xfId="0" applyAlignment="1" applyBorder="1" applyFont="1">
      <alignment horizontal="center"/>
    </xf>
    <xf borderId="94" fillId="0" fontId="20" numFmtId="0" xfId="0" applyBorder="1" applyFont="1"/>
    <xf borderId="23" fillId="0" fontId="20" numFmtId="165" xfId="0" applyAlignment="1" applyBorder="1" applyFont="1" applyNumberFormat="1">
      <alignment horizontal="center"/>
    </xf>
    <xf borderId="81" fillId="0" fontId="20" numFmtId="165" xfId="0" applyAlignment="1" applyBorder="1" applyFont="1" applyNumberFormat="1">
      <alignment horizontal="center"/>
    </xf>
    <xf borderId="16" fillId="0" fontId="20" numFmtId="165" xfId="0" applyAlignment="1" applyBorder="1" applyFont="1" applyNumberFormat="1">
      <alignment horizontal="center"/>
    </xf>
    <xf borderId="25" fillId="0" fontId="20" numFmtId="0" xfId="0" applyBorder="1" applyFont="1"/>
    <xf borderId="27" fillId="0" fontId="20" numFmtId="165" xfId="0" applyAlignment="1" applyBorder="1" applyFont="1" applyNumberFormat="1">
      <alignment horizontal="center"/>
    </xf>
    <xf borderId="64" fillId="0" fontId="20" numFmtId="165" xfId="0" applyAlignment="1" applyBorder="1" applyFont="1" applyNumberFormat="1">
      <alignment horizontal="center"/>
    </xf>
    <xf borderId="52" fillId="0" fontId="20" numFmtId="165" xfId="0" applyAlignment="1" applyBorder="1" applyFont="1" applyNumberFormat="1">
      <alignment horizontal="center"/>
    </xf>
    <xf borderId="25" fillId="0" fontId="20" numFmtId="0" xfId="0" applyAlignment="1" applyBorder="1" applyFont="1">
      <alignment horizontal="center"/>
    </xf>
    <xf borderId="64" fillId="0" fontId="18" numFmtId="165" xfId="0" applyAlignment="1" applyBorder="1" applyFont="1" applyNumberFormat="1">
      <alignment horizontal="center" vertical="center"/>
    </xf>
    <xf borderId="52" fillId="0" fontId="18" numFmtId="165" xfId="0" applyAlignment="1" applyBorder="1" applyFont="1" applyNumberFormat="1">
      <alignment horizontal="center" vertical="center"/>
    </xf>
    <xf borderId="52" fillId="0" fontId="20" numFmtId="0" xfId="0" applyAlignment="1" applyBorder="1" applyFont="1">
      <alignment horizontal="center"/>
    </xf>
    <xf borderId="25" fillId="0" fontId="22" numFmtId="0" xfId="0" applyBorder="1" applyFont="1"/>
    <xf borderId="25" fillId="0" fontId="27" numFmtId="0" xfId="0" applyBorder="1" applyFont="1"/>
    <xf borderId="95" fillId="0" fontId="20" numFmtId="0" xfId="0" applyBorder="1" applyFont="1"/>
    <xf borderId="36" fillId="0" fontId="20" numFmtId="165" xfId="0" applyAlignment="1" applyBorder="1" applyFont="1" applyNumberFormat="1">
      <alignment horizontal="center"/>
    </xf>
    <xf borderId="79" fillId="0" fontId="20" numFmtId="165" xfId="0" applyAlignment="1" applyBorder="1" applyFont="1" applyNumberFormat="1">
      <alignment horizontal="center"/>
    </xf>
    <xf borderId="53" fillId="0" fontId="20" numFmtId="165" xfId="0" applyAlignment="1" applyBorder="1" applyFont="1" applyNumberFormat="1">
      <alignment horizontal="center"/>
    </xf>
    <xf borderId="30" fillId="0" fontId="20" numFmtId="165" xfId="0" applyAlignment="1" applyBorder="1" applyFont="1" applyNumberFormat="1">
      <alignment horizontal="center"/>
    </xf>
    <xf borderId="9" fillId="0" fontId="20" numFmtId="0" xfId="0" applyBorder="1" applyFont="1"/>
    <xf borderId="10" fillId="0" fontId="20" numFmtId="165" xfId="0" applyAlignment="1" applyBorder="1" applyFont="1" applyNumberFormat="1">
      <alignment horizontal="center"/>
    </xf>
    <xf borderId="11" fillId="0" fontId="20" numFmtId="165" xfId="0" applyAlignment="1" applyBorder="1" applyFont="1" applyNumberFormat="1">
      <alignment horizontal="center"/>
    </xf>
    <xf borderId="12" fillId="0" fontId="20" numFmtId="165" xfId="0" applyAlignment="1" applyBorder="1" applyFont="1" applyNumberFormat="1">
      <alignment horizontal="center"/>
    </xf>
    <xf borderId="57" fillId="0" fontId="20" numFmtId="165" xfId="0" applyAlignment="1" applyBorder="1" applyFont="1" applyNumberFormat="1">
      <alignment horizontal="center"/>
    </xf>
    <xf borderId="55" fillId="0" fontId="20" numFmtId="165" xfId="0" applyAlignment="1" applyBorder="1" applyFont="1" applyNumberFormat="1">
      <alignment horizontal="center"/>
    </xf>
    <xf borderId="12" fillId="0" fontId="20" numFmtId="0" xfId="0" applyAlignment="1" applyBorder="1" applyFont="1">
      <alignment horizontal="center"/>
    </xf>
    <xf borderId="25" fillId="0" fontId="28" numFmtId="0" xfId="0" applyAlignment="1" applyBorder="1" applyFont="1">
      <alignment horizontal="left"/>
    </xf>
    <xf borderId="33" fillId="0" fontId="20" numFmtId="165" xfId="0" applyAlignment="1" applyBorder="1" applyFont="1" applyNumberFormat="1">
      <alignment horizontal="center" readingOrder="0"/>
    </xf>
    <xf borderId="30" fillId="0" fontId="20" numFmtId="165" xfId="0" applyAlignment="1" applyBorder="1" applyFont="1" applyNumberFormat="1">
      <alignment horizontal="center" readingOrder="0"/>
    </xf>
    <xf borderId="46" fillId="0" fontId="20" numFmtId="0" xfId="0" applyBorder="1" applyFont="1"/>
    <xf borderId="95" fillId="0" fontId="22" numFmtId="0" xfId="0" applyAlignment="1" applyBorder="1" applyFont="1">
      <alignment horizontal="center"/>
    </xf>
    <xf borderId="9" fillId="0" fontId="29" numFmtId="0" xfId="0" applyBorder="1" applyFont="1"/>
    <xf borderId="11" fillId="0" fontId="18" numFmtId="0" xfId="0" applyBorder="1" applyFont="1"/>
    <xf borderId="94" fillId="0" fontId="20" numFmtId="0" xfId="0" applyAlignment="1" applyBorder="1" applyFont="1">
      <alignment readingOrder="0"/>
    </xf>
    <xf borderId="20" fillId="0" fontId="18" numFmtId="0" xfId="0" applyBorder="1" applyFont="1"/>
    <xf borderId="26" fillId="0" fontId="18" numFmtId="0" xfId="0" applyBorder="1" applyFont="1"/>
    <xf borderId="24" fillId="13" fontId="20" numFmtId="165" xfId="0" applyAlignment="1" applyBorder="1" applyFill="1" applyFont="1" applyNumberFormat="1">
      <alignment horizontal="center"/>
    </xf>
    <xf borderId="52" fillId="0" fontId="20" numFmtId="165" xfId="0" applyAlignment="1" applyBorder="1" applyFont="1" applyNumberFormat="1">
      <alignment horizontal="center" readingOrder="0"/>
    </xf>
    <xf borderId="34" fillId="0" fontId="18" numFmtId="0" xfId="0" applyBorder="1" applyFont="1"/>
    <xf borderId="11" fillId="0" fontId="30" numFmtId="0" xfId="0" applyBorder="1" applyFont="1"/>
    <xf borderId="12" fillId="0" fontId="22" numFmtId="3" xfId="0" applyAlignment="1" applyBorder="1" applyFont="1" applyNumberFormat="1">
      <alignment horizontal="center"/>
    </xf>
    <xf borderId="16" fillId="13" fontId="20" numFmtId="165" xfId="0" applyAlignment="1" applyBorder="1" applyFont="1" applyNumberFormat="1">
      <alignment horizontal="center"/>
    </xf>
    <xf borderId="23" fillId="0" fontId="20" numFmtId="3" xfId="0" applyAlignment="1" applyBorder="1" applyFont="1" applyNumberFormat="1">
      <alignment horizontal="center"/>
    </xf>
    <xf borderId="0" fillId="0" fontId="18" numFmtId="0" xfId="0" applyAlignment="1" applyFont="1">
      <alignment readingOrder="0"/>
    </xf>
    <xf borderId="16" fillId="13" fontId="20" numFmtId="165" xfId="0" applyAlignment="1" applyBorder="1" applyFont="1" applyNumberFormat="1">
      <alignment horizontal="center" readingOrder="0"/>
    </xf>
    <xf borderId="27" fillId="0" fontId="20" numFmtId="3" xfId="0" applyAlignment="1" applyBorder="1" applyFont="1" applyNumberFormat="1">
      <alignment horizontal="center"/>
    </xf>
    <xf borderId="95" fillId="0" fontId="31" numFmtId="0" xfId="0" applyBorder="1" applyFont="1"/>
    <xf borderId="36" fillId="0" fontId="20" numFmtId="3" xfId="0" applyAlignment="1" applyBorder="1" applyFont="1" applyNumberFormat="1">
      <alignment horizontal="center"/>
    </xf>
    <xf borderId="26" fillId="0" fontId="20" numFmtId="165" xfId="0" applyAlignment="1" applyBorder="1" applyFont="1" applyNumberFormat="1">
      <alignment horizontal="center" readingOrder="0"/>
    </xf>
    <xf borderId="19" fillId="0" fontId="22" numFmtId="165" xfId="0" applyAlignment="1" applyBorder="1" applyFont="1" applyNumberFormat="1">
      <alignment horizontal="center"/>
    </xf>
    <xf borderId="25" fillId="0" fontId="20" numFmtId="0" xfId="0" applyAlignment="1" applyBorder="1" applyFont="1">
      <alignment readingOrder="0"/>
    </xf>
    <xf borderId="60" fillId="0" fontId="18" numFmtId="0" xfId="0" applyBorder="1" applyFont="1"/>
    <xf borderId="96" fillId="0" fontId="20" numFmtId="0" xfId="0" applyBorder="1" applyFont="1"/>
    <xf borderId="45" fillId="0" fontId="20" numFmtId="165" xfId="0" applyAlignment="1" applyBorder="1" applyFont="1" applyNumberFormat="1">
      <alignment horizontal="center"/>
    </xf>
    <xf borderId="42" fillId="0" fontId="18" numFmtId="0" xfId="0" applyBorder="1" applyFont="1"/>
    <xf borderId="82" fillId="0" fontId="20" numFmtId="165" xfId="0" applyAlignment="1" applyBorder="1" applyFont="1" applyNumberFormat="1">
      <alignment horizontal="center"/>
    </xf>
    <xf borderId="54" fillId="0" fontId="20" numFmtId="165" xfId="0" applyAlignment="1" applyBorder="1" applyFont="1" applyNumberFormat="1">
      <alignment horizontal="center"/>
    </xf>
    <xf borderId="39" fillId="0" fontId="20" numFmtId="165" xfId="0" applyAlignment="1" applyBorder="1" applyFont="1" applyNumberFormat="1">
      <alignment horizontal="center"/>
    </xf>
    <xf borderId="45" fillId="0" fontId="20" numFmtId="3" xfId="0" applyAlignment="1" applyBorder="1" applyFont="1" applyNumberFormat="1">
      <alignment horizontal="center"/>
    </xf>
    <xf borderId="0" fillId="0" fontId="32" numFmtId="0" xfId="0" applyFont="1"/>
    <xf borderId="0" fillId="0" fontId="33" numFmtId="0" xfId="0" applyAlignment="1" applyFont="1">
      <alignment readingOrder="0"/>
    </xf>
    <xf borderId="0" fillId="0" fontId="1" numFmtId="3" xfId="0" applyAlignment="1" applyFont="1" applyNumberFormat="1">
      <alignment readingOrder="0"/>
    </xf>
    <xf borderId="26" fillId="0" fontId="1" numFmtId="172" xfId="0" applyAlignment="1" applyBorder="1" applyFont="1" applyNumberFormat="1">
      <alignment readingOrder="0"/>
    </xf>
    <xf borderId="26" fillId="0" fontId="34" numFmtId="0" xfId="0" applyAlignment="1" applyBorder="1" applyFont="1">
      <alignment readingOrder="0" shrinkToFit="0" vertical="bottom" wrapText="0"/>
    </xf>
    <xf borderId="26" fillId="0" fontId="34" numFmtId="0" xfId="0" applyAlignment="1" applyBorder="1" applyFont="1">
      <alignment horizontal="center" readingOrder="0" shrinkToFit="0" wrapText="0"/>
    </xf>
    <xf borderId="51" fillId="0" fontId="34" numFmtId="0" xfId="0" applyAlignment="1" applyBorder="1" applyFont="1">
      <alignment horizontal="right" readingOrder="0" shrinkToFit="0" vertical="bottom" wrapText="0"/>
    </xf>
    <xf borderId="26" fillId="0" fontId="3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right" readingOrder="0"/>
    </xf>
    <xf borderId="20" fillId="0" fontId="34" numFmtId="0" xfId="0" applyAlignment="1" applyBorder="1" applyFont="1">
      <alignment horizontal="center" readingOrder="0" shrinkToFit="0" wrapText="0"/>
    </xf>
    <xf borderId="42" fillId="0" fontId="34" numFmtId="0" xfId="0" applyAlignment="1" applyBorder="1" applyFont="1">
      <alignment horizontal="center" readingOrder="0" shrinkToFit="0" wrapText="0"/>
    </xf>
    <xf borderId="26" fillId="0" fontId="1" numFmtId="0" xfId="0" applyBorder="1" applyFont="1"/>
    <xf borderId="20" fillId="0" fontId="35" numFmtId="0" xfId="0" applyAlignment="1" applyBorder="1" applyFont="1">
      <alignment horizontal="center" readingOrder="0" shrinkToFit="0" vertical="bottom" wrapText="0"/>
    </xf>
    <xf borderId="54" fillId="0" fontId="34" numFmtId="0" xfId="0" applyAlignment="1" applyBorder="1" applyFont="1">
      <alignment horizontal="right" readingOrder="0" shrinkToFit="0" vertical="bottom" wrapText="0"/>
    </xf>
    <xf borderId="0" fillId="0" fontId="9" numFmtId="0" xfId="0" applyFont="1"/>
    <xf borderId="61" fillId="0" fontId="10" numFmtId="165" xfId="0" applyBorder="1" applyFont="1" applyNumberFormat="1"/>
    <xf quotePrefix="1" borderId="9" fillId="10" fontId="22" numFmtId="0" xfId="0" applyAlignment="1" applyBorder="1" applyFont="1">
      <alignment horizontal="center"/>
    </xf>
    <xf quotePrefix="1" borderId="97" fillId="10" fontId="22" numFmtId="0" xfId="0" applyAlignment="1" applyBorder="1" applyFont="1">
      <alignment horizontal="center"/>
    </xf>
    <xf quotePrefix="1" borderId="9" fillId="2" fontId="22" numFmtId="0" xfId="0" applyAlignment="1" applyBorder="1" applyFont="1">
      <alignment horizontal="center"/>
    </xf>
    <xf borderId="98" fillId="0" fontId="6" numFmtId="0" xfId="0" applyBorder="1" applyFont="1"/>
    <xf borderId="99" fillId="0" fontId="6" numFmtId="0" xfId="0" applyBorder="1" applyFont="1"/>
    <xf borderId="93" fillId="10" fontId="22" numFmtId="165" xfId="0" applyAlignment="1" applyBorder="1" applyFont="1" applyNumberFormat="1">
      <alignment horizontal="center" shrinkToFit="0" vertical="top" wrapText="1"/>
    </xf>
    <xf borderId="69" fillId="10" fontId="22" numFmtId="165" xfId="0" applyAlignment="1" applyBorder="1" applyFont="1" applyNumberFormat="1">
      <alignment horizontal="center" shrinkToFit="0" vertical="top" wrapText="1"/>
    </xf>
    <xf borderId="70" fillId="10" fontId="22" numFmtId="0" xfId="0" applyAlignment="1" applyBorder="1" applyFont="1">
      <alignment horizontal="center" shrinkToFit="0" vertical="top" wrapText="1"/>
    </xf>
    <xf borderId="69" fillId="10" fontId="22" numFmtId="0" xfId="0" applyAlignment="1" applyBorder="1" applyFont="1">
      <alignment horizontal="center" shrinkToFit="0" vertical="top" wrapText="1"/>
    </xf>
    <xf borderId="69" fillId="10" fontId="22" numFmtId="164" xfId="0" applyAlignment="1" applyBorder="1" applyFont="1" applyNumberFormat="1">
      <alignment horizontal="center" shrinkToFit="0" vertical="top" wrapText="1"/>
    </xf>
    <xf borderId="68" fillId="10" fontId="22" numFmtId="165" xfId="0" applyAlignment="1" applyBorder="1" applyFont="1" applyNumberFormat="1">
      <alignment horizontal="center" shrinkToFit="0" vertical="top" wrapText="1"/>
    </xf>
    <xf borderId="93" fillId="2" fontId="22" numFmtId="165" xfId="0" applyAlignment="1" applyBorder="1" applyFont="1" applyNumberFormat="1">
      <alignment horizontal="center" shrinkToFit="0" vertical="top" wrapText="1"/>
    </xf>
    <xf borderId="0" fillId="0" fontId="8" numFmtId="0" xfId="0" applyAlignment="1" applyFont="1">
      <alignment readingOrder="0"/>
    </xf>
    <xf borderId="19" fillId="0" fontId="17" numFmtId="165" xfId="0" applyAlignment="1" applyBorder="1" applyFont="1" applyNumberFormat="1">
      <alignment horizontal="center"/>
    </xf>
    <xf borderId="20" fillId="0" fontId="17" numFmtId="3" xfId="0" applyAlignment="1" applyBorder="1" applyFont="1" applyNumberFormat="1">
      <alignment horizontal="center"/>
    </xf>
    <xf borderId="23" fillId="0" fontId="17" numFmtId="0" xfId="0" applyAlignment="1" applyBorder="1" applyFont="1">
      <alignment horizontal="center"/>
    </xf>
    <xf borderId="20" fillId="0" fontId="17" numFmtId="165" xfId="0" applyAlignment="1" applyBorder="1" applyFont="1" applyNumberFormat="1">
      <alignment horizontal="center"/>
    </xf>
    <xf borderId="100" fillId="0" fontId="17" numFmtId="0" xfId="0" applyAlignment="1" applyBorder="1" applyFont="1">
      <alignment horizontal="center"/>
    </xf>
    <xf borderId="19" fillId="0" fontId="17" numFmtId="3" xfId="0" applyAlignment="1" applyBorder="1" applyFont="1" applyNumberFormat="1">
      <alignment horizontal="center"/>
    </xf>
    <xf borderId="51" fillId="0" fontId="17" numFmtId="3" xfId="0" applyAlignment="1" applyBorder="1" applyFont="1" applyNumberFormat="1">
      <alignment horizontal="center"/>
    </xf>
    <xf borderId="16" fillId="0" fontId="17" numFmtId="165" xfId="0" applyAlignment="1" applyBorder="1" applyFont="1" applyNumberFormat="1">
      <alignment horizontal="center"/>
    </xf>
    <xf borderId="24" fillId="0" fontId="17" numFmtId="165" xfId="0" applyAlignment="1" applyBorder="1" applyFont="1" applyNumberFormat="1">
      <alignment horizontal="center"/>
    </xf>
    <xf borderId="26" fillId="0" fontId="17" numFmtId="3" xfId="0" applyAlignment="1" applyBorder="1" applyFont="1" applyNumberFormat="1">
      <alignment horizontal="center"/>
    </xf>
    <xf borderId="27" fillId="0" fontId="17" numFmtId="0" xfId="0" applyAlignment="1" applyBorder="1" applyFont="1">
      <alignment horizontal="center"/>
    </xf>
    <xf borderId="26" fillId="0" fontId="17" numFmtId="165" xfId="0" applyAlignment="1" applyBorder="1" applyFont="1" applyNumberFormat="1">
      <alignment horizontal="center"/>
    </xf>
    <xf borderId="101" fillId="0" fontId="17" numFmtId="0" xfId="0" applyAlignment="1" applyBorder="1" applyFont="1">
      <alignment horizontal="center"/>
    </xf>
    <xf borderId="24" fillId="0" fontId="17" numFmtId="3" xfId="0" applyAlignment="1" applyBorder="1" applyFont="1" applyNumberFormat="1">
      <alignment horizontal="center"/>
    </xf>
    <xf borderId="52" fillId="0" fontId="17" numFmtId="3" xfId="0" applyAlignment="1" applyBorder="1" applyFont="1" applyNumberFormat="1">
      <alignment horizontal="center"/>
    </xf>
    <xf borderId="33" fillId="0" fontId="17" numFmtId="165" xfId="0" applyAlignment="1" applyBorder="1" applyFont="1" applyNumberFormat="1">
      <alignment horizontal="center"/>
    </xf>
    <xf borderId="34" fillId="0" fontId="17" numFmtId="3" xfId="0" applyAlignment="1" applyBorder="1" applyFont="1" applyNumberFormat="1">
      <alignment horizontal="center"/>
    </xf>
    <xf borderId="36" fillId="0" fontId="17" numFmtId="0" xfId="0" applyAlignment="1" applyBorder="1" applyFont="1">
      <alignment horizontal="center"/>
    </xf>
    <xf borderId="34" fillId="0" fontId="17" numFmtId="165" xfId="0" applyAlignment="1" applyBorder="1" applyFont="1" applyNumberFormat="1">
      <alignment horizontal="center"/>
    </xf>
    <xf borderId="102" fillId="0" fontId="17" numFmtId="0" xfId="0" applyAlignment="1" applyBorder="1" applyFont="1">
      <alignment horizontal="center"/>
    </xf>
    <xf borderId="33" fillId="0" fontId="17" numFmtId="3" xfId="0" applyAlignment="1" applyBorder="1" applyFont="1" applyNumberFormat="1">
      <alignment horizontal="center"/>
    </xf>
    <xf borderId="53" fillId="0" fontId="17" numFmtId="3" xfId="0" applyAlignment="1" applyBorder="1" applyFont="1" applyNumberFormat="1">
      <alignment horizontal="center"/>
    </xf>
    <xf borderId="30" fillId="0" fontId="17" numFmtId="165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10" fillId="0" fontId="22" numFmtId="3" xfId="0" applyAlignment="1" applyBorder="1" applyFont="1" applyNumberFormat="1">
      <alignment horizontal="center"/>
    </xf>
    <xf borderId="55" fillId="0" fontId="22" numFmtId="3" xfId="0" applyAlignment="1" applyBorder="1" applyFont="1" applyNumberFormat="1">
      <alignment horizontal="center"/>
    </xf>
    <xf borderId="0" fillId="0" fontId="10" numFmtId="165" xfId="0" applyFont="1" applyNumberFormat="1"/>
    <xf borderId="101" fillId="0" fontId="20" numFmtId="0" xfId="0" applyAlignment="1" applyBorder="1" applyFont="1">
      <alignment horizontal="center"/>
    </xf>
    <xf borderId="24" fillId="0" fontId="20" numFmtId="3" xfId="0" applyAlignment="1" applyBorder="1" applyFont="1" applyNumberFormat="1">
      <alignment horizontal="center"/>
    </xf>
    <xf borderId="52" fillId="0" fontId="20" numFmtId="3" xfId="0" applyAlignment="1" applyBorder="1" applyFont="1" applyNumberFormat="1">
      <alignment horizontal="center"/>
    </xf>
    <xf borderId="24" fillId="13" fontId="20" numFmtId="165" xfId="0" applyAlignment="1" applyBorder="1" applyFont="1" applyNumberFormat="1">
      <alignment horizontal="center" readingOrder="0"/>
    </xf>
    <xf borderId="24" fillId="8" fontId="20" numFmtId="0" xfId="0" applyBorder="1" applyFont="1"/>
    <xf borderId="27" fillId="8" fontId="20" numFmtId="0" xfId="0" applyBorder="1" applyFont="1"/>
    <xf borderId="24" fillId="0" fontId="18" numFmtId="3" xfId="0" applyAlignment="1" applyBorder="1" applyFont="1" applyNumberFormat="1">
      <alignment horizontal="center" vertical="center"/>
    </xf>
    <xf borderId="52" fillId="0" fontId="18" numFmtId="3" xfId="0" applyAlignment="1" applyBorder="1" applyFont="1" applyNumberFormat="1">
      <alignment horizontal="center" vertical="center"/>
    </xf>
    <xf borderId="32" fillId="8" fontId="20" numFmtId="0" xfId="0" applyBorder="1" applyFont="1"/>
    <xf borderId="102" fillId="0" fontId="20" numFmtId="0" xfId="0" applyAlignment="1" applyBorder="1" applyFont="1">
      <alignment horizontal="center"/>
    </xf>
    <xf borderId="53" fillId="0" fontId="20" numFmtId="0" xfId="0" applyAlignment="1" applyBorder="1" applyFont="1">
      <alignment horizontal="center"/>
    </xf>
    <xf borderId="100" fillId="0" fontId="20" numFmtId="0" xfId="0" applyAlignment="1" applyBorder="1" applyFont="1">
      <alignment horizontal="center"/>
    </xf>
    <xf borderId="51" fillId="0" fontId="20" numFmtId="0" xfId="0" applyAlignment="1" applyBorder="1" applyFont="1">
      <alignment horizontal="center"/>
    </xf>
    <xf borderId="101" fillId="0" fontId="20" numFmtId="0" xfId="0" applyBorder="1" applyFont="1"/>
    <xf borderId="24" fillId="0" fontId="20" numFmtId="10" xfId="0" applyAlignment="1" applyBorder="1" applyFont="1" applyNumberFormat="1">
      <alignment horizontal="center"/>
    </xf>
    <xf borderId="52" fillId="0" fontId="20" numFmtId="3" xfId="0" applyAlignment="1" applyBorder="1" applyFont="1" applyNumberFormat="1">
      <alignment horizontal="center" readingOrder="0"/>
    </xf>
    <xf borderId="33" fillId="0" fontId="20" numFmtId="3" xfId="0" applyAlignment="1" applyBorder="1" applyFont="1" applyNumberFormat="1">
      <alignment horizontal="center"/>
    </xf>
    <xf borderId="103" fillId="0" fontId="20" numFmtId="0" xfId="0" applyAlignment="1" applyBorder="1" applyFont="1">
      <alignment horizontal="center"/>
    </xf>
    <xf borderId="54" fillId="0" fontId="20" numFmtId="3" xfId="0" applyAlignment="1" applyBorder="1" applyFont="1" applyNumberFormat="1">
      <alignment horizontal="center" readingOrder="0"/>
    </xf>
    <xf borderId="41" fillId="0" fontId="20" numFmtId="3" xfId="0" applyAlignment="1" applyBorder="1" applyFont="1" applyNumberFormat="1">
      <alignment horizontal="center" readingOrder="0"/>
    </xf>
    <xf borderId="42" fillId="0" fontId="20" numFmtId="3" xfId="0" applyAlignment="1" applyBorder="1" applyFont="1" applyNumberFormat="1">
      <alignment horizontal="center" readingOrder="0"/>
    </xf>
    <xf borderId="38" fillId="0" fontId="20" numFmtId="165" xfId="0" applyAlignment="1" applyBorder="1" applyFont="1" applyNumberFormat="1">
      <alignment horizontal="center" readingOrder="0"/>
    </xf>
    <xf borderId="9" fillId="0" fontId="21" numFmtId="0" xfId="0" applyBorder="1" applyFont="1"/>
    <xf borderId="55" fillId="0" fontId="22" numFmtId="0" xfId="0" applyBorder="1" applyFont="1"/>
    <xf borderId="27" fillId="0" fontId="36" numFmtId="0" xfId="0" applyAlignment="1" applyBorder="1" applyFont="1">
      <alignment horizontal="left"/>
    </xf>
    <xf borderId="24" fillId="0" fontId="20" numFmtId="3" xfId="0" applyAlignment="1" applyBorder="1" applyFont="1" applyNumberFormat="1">
      <alignment horizontal="center" readingOrder="0"/>
    </xf>
    <xf borderId="52" fillId="0" fontId="20" numFmtId="0" xfId="0" applyAlignment="1" applyBorder="1" applyFont="1">
      <alignment horizontal="center" readingOrder="0"/>
    </xf>
    <xf borderId="24" fillId="0" fontId="20" numFmtId="0" xfId="0" applyAlignment="1" applyBorder="1" applyFont="1">
      <alignment horizontal="center" readingOrder="0"/>
    </xf>
    <xf borderId="24" fillId="11" fontId="22" numFmtId="0" xfId="0" applyBorder="1" applyFont="1"/>
    <xf borderId="27" fillId="11" fontId="22" numFmtId="0" xfId="0" applyBorder="1" applyFont="1"/>
    <xf borderId="24" fillId="11" fontId="22" numFmtId="165" xfId="0" applyAlignment="1" applyBorder="1" applyFont="1" applyNumberFormat="1">
      <alignment horizontal="center"/>
    </xf>
    <xf borderId="26" fillId="11" fontId="22" numFmtId="0" xfId="0" applyAlignment="1" applyBorder="1" applyFont="1">
      <alignment horizontal="center"/>
    </xf>
    <xf borderId="27" fillId="11" fontId="22" numFmtId="0" xfId="0" applyAlignment="1" applyBorder="1" applyFont="1">
      <alignment horizontal="center"/>
    </xf>
    <xf borderId="26" fillId="11" fontId="22" numFmtId="165" xfId="0" applyAlignment="1" applyBorder="1" applyFont="1" applyNumberFormat="1">
      <alignment horizontal="center"/>
    </xf>
    <xf borderId="26" fillId="11" fontId="22" numFmtId="3" xfId="0" applyAlignment="1" applyBorder="1" applyFont="1" applyNumberFormat="1">
      <alignment horizontal="center"/>
    </xf>
    <xf borderId="104" fillId="11" fontId="22" numFmtId="0" xfId="0" applyAlignment="1" applyBorder="1" applyFont="1">
      <alignment horizontal="center"/>
    </xf>
    <xf borderId="24" fillId="11" fontId="22" numFmtId="3" xfId="0" applyAlignment="1" applyBorder="1" applyFont="1" applyNumberFormat="1">
      <alignment horizontal="center"/>
    </xf>
    <xf borderId="56" fillId="11" fontId="22" numFmtId="3" xfId="0" applyAlignment="1" applyBorder="1" applyFont="1" applyNumberFormat="1">
      <alignment horizontal="center"/>
    </xf>
    <xf borderId="24" fillId="12" fontId="22" numFmtId="165" xfId="0" applyAlignment="1" applyBorder="1" applyFont="1" applyNumberFormat="1">
      <alignment horizontal="center"/>
    </xf>
    <xf borderId="24" fillId="14" fontId="20" numFmtId="0" xfId="0" applyBorder="1" applyFill="1" applyFont="1"/>
    <xf borderId="27" fillId="14" fontId="20" numFmtId="0" xfId="0" applyBorder="1" applyFont="1"/>
    <xf borderId="24" fillId="14" fontId="20" numFmtId="165" xfId="0" applyAlignment="1" applyBorder="1" applyFont="1" applyNumberFormat="1">
      <alignment horizontal="center"/>
    </xf>
    <xf borderId="26" fillId="14" fontId="20" numFmtId="0" xfId="0" applyAlignment="1" applyBorder="1" applyFont="1">
      <alignment horizontal="center"/>
    </xf>
    <xf borderId="27" fillId="14" fontId="20" numFmtId="10" xfId="0" applyAlignment="1" applyBorder="1" applyFont="1" applyNumberFormat="1">
      <alignment horizontal="center"/>
    </xf>
    <xf borderId="26" fillId="14" fontId="20" numFmtId="165" xfId="0" applyAlignment="1" applyBorder="1" applyFont="1" applyNumberFormat="1">
      <alignment horizontal="center"/>
    </xf>
    <xf borderId="27" fillId="14" fontId="20" numFmtId="0" xfId="0" applyAlignment="1" applyBorder="1" applyFont="1">
      <alignment horizontal="center"/>
    </xf>
    <xf borderId="104" fillId="14" fontId="20" numFmtId="0" xfId="0" applyAlignment="1" applyBorder="1" applyFont="1">
      <alignment horizontal="center"/>
    </xf>
    <xf borderId="24" fillId="14" fontId="20" numFmtId="0" xfId="0" applyAlignment="1" applyBorder="1" applyFont="1">
      <alignment horizontal="center"/>
    </xf>
    <xf borderId="56" fillId="14" fontId="20" numFmtId="0" xfId="0" applyAlignment="1" applyBorder="1" applyFont="1">
      <alignment horizontal="center"/>
    </xf>
    <xf borderId="105" fillId="0" fontId="21" numFmtId="0" xfId="0" applyBorder="1" applyFont="1"/>
    <xf borderId="101" fillId="0" fontId="21" numFmtId="0" xfId="0" applyBorder="1" applyFont="1"/>
    <xf borderId="24" fillId="0" fontId="22" numFmtId="165" xfId="0" applyAlignment="1" applyBorder="1" applyFont="1" applyNumberFormat="1">
      <alignment horizontal="center"/>
    </xf>
    <xf borderId="26" fillId="0" fontId="22" numFmtId="3" xfId="0" applyAlignment="1" applyBorder="1" applyFont="1" applyNumberFormat="1">
      <alignment horizontal="center"/>
    </xf>
    <xf borderId="27" fillId="0" fontId="22" numFmtId="0" xfId="0" applyAlignment="1" applyBorder="1" applyFont="1">
      <alignment horizontal="center"/>
    </xf>
    <xf borderId="26" fillId="0" fontId="22" numFmtId="165" xfId="0" applyAlignment="1" applyBorder="1" applyFont="1" applyNumberFormat="1">
      <alignment horizontal="center"/>
    </xf>
    <xf borderId="26" fillId="0" fontId="22" numFmtId="0" xfId="0" applyAlignment="1" applyBorder="1" applyFont="1">
      <alignment horizontal="center"/>
    </xf>
    <xf borderId="101" fillId="0" fontId="22" numFmtId="0" xfId="0" applyAlignment="1" applyBorder="1" applyFont="1">
      <alignment horizontal="center"/>
    </xf>
    <xf borderId="24" fillId="0" fontId="22" numFmtId="3" xfId="0" applyAlignment="1" applyBorder="1" applyFont="1" applyNumberFormat="1">
      <alignment horizontal="center"/>
    </xf>
    <xf borderId="27" fillId="0" fontId="20" numFmtId="0" xfId="0" applyAlignment="1" applyBorder="1" applyFont="1">
      <alignment readingOrder="0"/>
    </xf>
    <xf borderId="103" fillId="0" fontId="20" numFmtId="0" xfId="0" applyBorder="1" applyFont="1"/>
    <xf borderId="26" fillId="0" fontId="20" numFmtId="1" xfId="0" applyAlignment="1" applyBorder="1" applyFont="1" applyNumberFormat="1">
      <alignment horizontal="center"/>
    </xf>
    <xf borderId="24" fillId="0" fontId="20" numFmtId="165" xfId="0" applyBorder="1" applyFont="1" applyNumberFormat="1"/>
    <xf borderId="24" fillId="0" fontId="20" numFmtId="3" xfId="0" applyBorder="1" applyFont="1" applyNumberFormat="1"/>
    <xf borderId="0" fillId="0" fontId="37" numFmtId="0" xfId="0" applyFont="1"/>
    <xf borderId="26" fillId="0" fontId="22" numFmtId="0" xfId="0" applyBorder="1" applyFont="1"/>
    <xf borderId="27" fillId="0" fontId="22" numFmtId="0" xfId="0" applyBorder="1" applyFont="1"/>
    <xf borderId="26" fillId="0" fontId="22" numFmtId="165" xfId="0" applyBorder="1" applyFont="1" applyNumberFormat="1"/>
    <xf borderId="24" fillId="0" fontId="22" numFmtId="165" xfId="0" applyBorder="1" applyFont="1" applyNumberFormat="1"/>
    <xf borderId="26" fillId="0" fontId="22" numFmtId="3" xfId="0" applyBorder="1" applyFont="1" applyNumberFormat="1"/>
    <xf borderId="101" fillId="0" fontId="22" numFmtId="0" xfId="0" applyBorder="1" applyFont="1"/>
    <xf borderId="24" fillId="0" fontId="22" numFmtId="0" xfId="0" applyAlignment="1" applyBorder="1" applyFont="1">
      <alignment horizontal="center"/>
    </xf>
    <xf borderId="24" fillId="0" fontId="22" numFmtId="1" xfId="0" applyAlignment="1" applyBorder="1" applyFont="1" applyNumberFormat="1">
      <alignment horizontal="center"/>
    </xf>
    <xf borderId="52" fillId="0" fontId="22" numFmtId="0" xfId="0" applyAlignment="1" applyBorder="1" applyFont="1">
      <alignment horizontal="center"/>
    </xf>
    <xf borderId="26" fillId="0" fontId="20" numFmtId="3" xfId="0" applyBorder="1" applyFont="1" applyNumberFormat="1"/>
    <xf borderId="24" fillId="0" fontId="20" numFmtId="4" xfId="0" applyBorder="1" applyFont="1" applyNumberFormat="1"/>
    <xf borderId="24" fillId="0" fontId="20" numFmtId="4" xfId="0" applyAlignment="1" applyBorder="1" applyFont="1" applyNumberFormat="1">
      <alignment horizontal="center"/>
    </xf>
    <xf borderId="52" fillId="13" fontId="20" numFmtId="4" xfId="0" applyAlignment="1" applyBorder="1" applyFont="1" applyNumberFormat="1">
      <alignment horizontal="center" readingOrder="0"/>
    </xf>
    <xf borderId="24" fillId="13" fontId="20" numFmtId="4" xfId="0" applyAlignment="1" applyBorder="1" applyFont="1" applyNumberFormat="1">
      <alignment horizontal="center" readingOrder="0"/>
    </xf>
    <xf borderId="24" fillId="0" fontId="22" numFmtId="1" xfId="0" applyBorder="1" applyFont="1" applyNumberFormat="1"/>
    <xf borderId="26" fillId="0" fontId="22" numFmtId="1" xfId="0" applyBorder="1" applyFont="1" applyNumberFormat="1"/>
    <xf borderId="27" fillId="0" fontId="22" numFmtId="1" xfId="0" applyBorder="1" applyFont="1" applyNumberFormat="1"/>
    <xf borderId="26" fillId="0" fontId="22" numFmtId="1" xfId="0" applyAlignment="1" applyBorder="1" applyFont="1" applyNumberFormat="1">
      <alignment horizontal="center"/>
    </xf>
    <xf borderId="27" fillId="0" fontId="22" numFmtId="1" xfId="0" applyAlignment="1" applyBorder="1" applyFont="1" applyNumberFormat="1">
      <alignment horizontal="center"/>
    </xf>
    <xf borderId="103" fillId="0" fontId="18" numFmtId="0" xfId="0" applyBorder="1" applyFont="1"/>
    <xf borderId="52" fillId="0" fontId="22" numFmtId="3" xfId="0" applyAlignment="1" applyBorder="1" applyFont="1" applyNumberFormat="1">
      <alignment horizontal="center"/>
    </xf>
    <xf borderId="34" fillId="0" fontId="20" numFmtId="0" xfId="0" applyBorder="1" applyFont="1"/>
    <xf borderId="34" fillId="0" fontId="20" numFmtId="165" xfId="0" applyBorder="1" applyFont="1" applyNumberFormat="1"/>
    <xf borderId="33" fillId="0" fontId="20" numFmtId="165" xfId="0" applyBorder="1" applyFont="1" applyNumberFormat="1"/>
    <xf borderId="102" fillId="0" fontId="20" numFmtId="0" xfId="0" applyBorder="1" applyFont="1"/>
    <xf borderId="11" fillId="0" fontId="22" numFmtId="165" xfId="0" applyBorder="1" applyFont="1" applyNumberFormat="1"/>
    <xf borderId="10" fillId="0" fontId="22" numFmtId="165" xfId="0" applyBorder="1" applyFont="1" applyNumberFormat="1"/>
    <xf borderId="8" fillId="0" fontId="22" numFmtId="0" xfId="0" applyBorder="1" applyFont="1"/>
    <xf borderId="0" fillId="0" fontId="20" numFmtId="10" xfId="0" applyFont="1" applyNumberFormat="1"/>
    <xf borderId="76" fillId="11" fontId="22" numFmtId="0" xfId="0" applyAlignment="1" applyBorder="1" applyFont="1">
      <alignment horizontal="center" vertical="top"/>
    </xf>
    <xf borderId="77" fillId="11" fontId="22" numFmtId="0" xfId="0" applyAlignment="1" applyBorder="1" applyFont="1">
      <alignment horizontal="left" vertical="top"/>
    </xf>
    <xf quotePrefix="1" borderId="2" fillId="11" fontId="22" numFmtId="0" xfId="0" applyAlignment="1" applyBorder="1" applyFont="1">
      <alignment horizontal="center"/>
    </xf>
    <xf borderId="0" fillId="0" fontId="18" numFmtId="0" xfId="0" applyAlignment="1" applyFont="1">
      <alignment shrinkToFit="1" vertical="top" wrapText="0"/>
    </xf>
    <xf borderId="10" fillId="11" fontId="22" numFmtId="0" xfId="0" applyAlignment="1" applyBorder="1" applyFont="1">
      <alignment horizontal="center" shrinkToFit="1" vertical="center" wrapText="0"/>
    </xf>
    <xf borderId="11" fillId="11" fontId="22" numFmtId="0" xfId="0" applyAlignment="1" applyBorder="1" applyFont="1">
      <alignment horizontal="center" shrinkToFit="1" vertical="center" wrapText="0"/>
    </xf>
    <xf borderId="12" fillId="11" fontId="22" numFmtId="0" xfId="0" applyAlignment="1" applyBorder="1" applyFont="1">
      <alignment horizontal="center" shrinkToFit="1" vertical="center" wrapText="0"/>
    </xf>
    <xf borderId="11" fillId="11" fontId="22" numFmtId="165" xfId="0" applyAlignment="1" applyBorder="1" applyFont="1" applyNumberFormat="1">
      <alignment horizontal="center" shrinkToFit="1" vertical="center" wrapText="0"/>
    </xf>
    <xf borderId="10" fillId="12" fontId="22" numFmtId="165" xfId="0" applyAlignment="1" applyBorder="1" applyFont="1" applyNumberFormat="1">
      <alignment horizontal="center" shrinkToFit="1" vertical="center" wrapText="0"/>
    </xf>
    <xf borderId="11" fillId="12" fontId="22" numFmtId="0" xfId="0" applyAlignment="1" applyBorder="1" applyFont="1">
      <alignment horizontal="center" shrinkToFit="1" vertical="center" wrapText="0"/>
    </xf>
    <xf borderId="12" fillId="12" fontId="22" numFmtId="0" xfId="0" applyAlignment="1" applyBorder="1" applyFont="1">
      <alignment horizontal="center" shrinkToFit="1" vertical="center" wrapText="0"/>
    </xf>
    <xf borderId="0" fillId="0" fontId="22" numFmtId="0" xfId="0" applyAlignment="1" applyFont="1">
      <alignment shrinkToFit="1" vertical="top" wrapText="0"/>
    </xf>
    <xf borderId="19" fillId="0" fontId="20" numFmtId="3" xfId="0" applyAlignment="1" applyBorder="1" applyFont="1" applyNumberFormat="1">
      <alignment horizontal="center"/>
    </xf>
    <xf borderId="20" fillId="0" fontId="20" numFmtId="0" xfId="0" applyBorder="1" applyFont="1"/>
    <xf borderId="9" fillId="0" fontId="20" numFmtId="0" xfId="0" applyAlignment="1" applyBorder="1" applyFont="1">
      <alignment horizontal="center"/>
    </xf>
    <xf borderId="24" fillId="9" fontId="22" numFmtId="0" xfId="0" applyAlignment="1" applyBorder="1" applyFont="1">
      <alignment horizontal="center"/>
    </xf>
    <xf borderId="27" fillId="9" fontId="22" numFmtId="0" xfId="0" applyBorder="1" applyFont="1"/>
    <xf borderId="24" fillId="9" fontId="22" numFmtId="3" xfId="0" applyAlignment="1" applyBorder="1" applyFont="1" applyNumberFormat="1">
      <alignment horizontal="center"/>
    </xf>
    <xf borderId="26" fillId="9" fontId="22" numFmtId="0" xfId="0" applyAlignment="1" applyBorder="1" applyFont="1">
      <alignment horizontal="center"/>
    </xf>
    <xf borderId="26" fillId="9" fontId="22" numFmtId="3" xfId="0" applyAlignment="1" applyBorder="1" applyFont="1" applyNumberFormat="1">
      <alignment horizontal="center"/>
    </xf>
    <xf borderId="27" fillId="9" fontId="22" numFmtId="0" xfId="0" applyAlignment="1" applyBorder="1" applyFont="1">
      <alignment horizontal="center"/>
    </xf>
    <xf borderId="26" fillId="9" fontId="22" numFmtId="10" xfId="0" applyAlignment="1" applyBorder="1" applyFont="1" applyNumberFormat="1">
      <alignment horizontal="center"/>
    </xf>
    <xf borderId="0" fillId="0" fontId="20" numFmtId="3" xfId="0" applyFont="1" applyNumberFormat="1"/>
    <xf borderId="27" fillId="0" fontId="20" numFmtId="10" xfId="0" applyBorder="1" applyFont="1" applyNumberFormat="1"/>
    <xf borderId="30" fillId="0" fontId="20" numFmtId="3" xfId="0" applyAlignment="1" applyBorder="1" applyFont="1" applyNumberFormat="1">
      <alignment horizontal="center"/>
    </xf>
    <xf borderId="16" fillId="0" fontId="20" numFmtId="3" xfId="0" applyAlignment="1" applyBorder="1" applyFont="1" applyNumberFormat="1">
      <alignment horizontal="center"/>
    </xf>
    <xf borderId="105" fillId="0" fontId="22" numFmtId="0" xfId="0" applyBorder="1" applyFont="1"/>
    <xf borderId="27" fillId="0" fontId="38" numFmtId="0" xfId="0" applyBorder="1" applyFont="1"/>
    <xf borderId="33" fillId="0" fontId="20" numFmtId="3" xfId="0" applyAlignment="1" applyBorder="1" applyFont="1" applyNumberFormat="1">
      <alignment horizontal="center" readingOrder="0"/>
    </xf>
    <xf borderId="30" fillId="0" fontId="20" numFmtId="3" xfId="0" applyAlignment="1" applyBorder="1" applyFont="1" applyNumberFormat="1">
      <alignment horizontal="center" readingOrder="0"/>
    </xf>
    <xf borderId="26" fillId="0" fontId="22" numFmtId="10" xfId="0" applyAlignment="1" applyBorder="1" applyFont="1" applyNumberFormat="1">
      <alignment horizontal="center"/>
    </xf>
    <xf borderId="27" fillId="0" fontId="22" numFmtId="10" xfId="0" applyAlignment="1" applyBorder="1" applyFont="1" applyNumberFormat="1">
      <alignment horizontal="center"/>
    </xf>
    <xf borderId="26" fillId="13" fontId="20" numFmtId="10" xfId="0" applyAlignment="1" applyBorder="1" applyFont="1" applyNumberFormat="1">
      <alignment horizontal="center"/>
    </xf>
    <xf borderId="26" fillId="13" fontId="20" numFmtId="3" xfId="0" applyAlignment="1" applyBorder="1" applyFont="1" applyNumberFormat="1">
      <alignment horizontal="center"/>
    </xf>
    <xf borderId="26" fillId="13" fontId="20" numFmtId="0" xfId="0" applyAlignment="1" applyBorder="1" applyFont="1">
      <alignment horizontal="center"/>
    </xf>
    <xf borderId="27" fillId="13" fontId="20" numFmtId="0" xfId="0" applyAlignment="1" applyBorder="1" applyFont="1">
      <alignment horizontal="center"/>
    </xf>
    <xf borderId="24" fillId="13" fontId="20" numFmtId="3" xfId="0" applyAlignment="1" applyBorder="1" applyFont="1" applyNumberFormat="1">
      <alignment horizontal="center" readingOrder="0"/>
    </xf>
    <xf borderId="106" fillId="0" fontId="21" numFmtId="0" xfId="0" applyAlignment="1" applyBorder="1" applyFont="1">
      <alignment horizontal="center"/>
    </xf>
    <xf borderId="102" fillId="0" fontId="6" numFmtId="0" xfId="0" applyBorder="1" applyFont="1"/>
    <xf borderId="10" fillId="0" fontId="20" numFmtId="0" xfId="0" applyBorder="1" applyFont="1"/>
    <xf borderId="16" fillId="0" fontId="20" numFmtId="3" xfId="0" applyAlignment="1" applyBorder="1" applyFont="1" applyNumberFormat="1">
      <alignment horizontal="center" readingOrder="0"/>
    </xf>
    <xf borderId="26" fillId="0" fontId="20" numFmtId="3" xfId="0" applyAlignment="1" applyBorder="1" applyFont="1" applyNumberFormat="1">
      <alignment horizontal="center" readingOrder="0"/>
    </xf>
    <xf borderId="24" fillId="0" fontId="20" numFmtId="1" xfId="0" applyAlignment="1" applyBorder="1" applyFont="1" applyNumberFormat="1">
      <alignment horizontal="center"/>
    </xf>
    <xf borderId="24" fillId="13" fontId="20" numFmtId="3" xfId="0" applyAlignment="1" applyBorder="1" applyFont="1" applyNumberFormat="1">
      <alignment horizontal="center"/>
    </xf>
    <xf borderId="0" fillId="0" fontId="30" numFmtId="0" xfId="0" applyFont="1"/>
    <xf borderId="0" fillId="0" fontId="20" numFmtId="0" xfId="0" applyAlignment="1" applyFont="1">
      <alignment horizontal="right"/>
    </xf>
    <xf borderId="9" fillId="5" fontId="22" numFmtId="0" xfId="0" applyAlignment="1" applyBorder="1" applyFont="1">
      <alignment horizontal="center" vertical="top"/>
    </xf>
    <xf borderId="9" fillId="5" fontId="22" numFmtId="0" xfId="0" applyAlignment="1" applyBorder="1" applyFont="1">
      <alignment horizontal="left" vertical="top"/>
    </xf>
    <xf quotePrefix="1" borderId="5" fillId="5" fontId="22" numFmtId="0" xfId="0" applyAlignment="1" applyBorder="1" applyFont="1">
      <alignment horizontal="center"/>
    </xf>
    <xf quotePrefix="1" borderId="5" fillId="12" fontId="22" numFmtId="0" xfId="0" applyAlignment="1" applyBorder="1" applyFont="1">
      <alignment horizontal="center"/>
    </xf>
    <xf borderId="9" fillId="5" fontId="22" numFmtId="0" xfId="0" applyAlignment="1" applyBorder="1" applyFont="1">
      <alignment horizontal="center" shrinkToFit="0" vertical="top" wrapText="1"/>
    </xf>
    <xf borderId="10" fillId="5" fontId="22" numFmtId="0" xfId="0" applyAlignment="1" applyBorder="1" applyFont="1">
      <alignment horizontal="center" shrinkToFit="0" vertical="top" wrapText="1"/>
    </xf>
    <xf borderId="11" fillId="5" fontId="22" numFmtId="0" xfId="0" applyAlignment="1" applyBorder="1" applyFont="1">
      <alignment horizontal="center" shrinkToFit="0" vertical="top" wrapText="1"/>
    </xf>
    <xf borderId="12" fillId="5" fontId="22" numFmtId="0" xfId="0" applyAlignment="1" applyBorder="1" applyFont="1">
      <alignment horizontal="center" shrinkToFit="0" vertical="top" wrapText="1"/>
    </xf>
    <xf borderId="10" fillId="12" fontId="22" numFmtId="165" xfId="0" applyAlignment="1" applyBorder="1" applyFont="1" applyNumberFormat="1">
      <alignment horizontal="center" shrinkToFit="0" vertical="top" wrapText="1"/>
    </xf>
    <xf borderId="96" fillId="0" fontId="20" numFmtId="0" xfId="0" applyAlignment="1" applyBorder="1" applyFont="1">
      <alignment horizontal="center"/>
    </xf>
    <xf borderId="107" fillId="0" fontId="20" numFmtId="3" xfId="0" applyAlignment="1" applyBorder="1" applyFont="1" applyNumberFormat="1">
      <alignment horizontal="center"/>
    </xf>
    <xf borderId="108" fillId="0" fontId="20" numFmtId="0" xfId="0" applyAlignment="1" applyBorder="1" applyFont="1">
      <alignment horizontal="center"/>
    </xf>
    <xf borderId="108" fillId="0" fontId="20" numFmtId="3" xfId="0" applyAlignment="1" applyBorder="1" applyFont="1" applyNumberFormat="1">
      <alignment horizontal="center"/>
    </xf>
    <xf borderId="109" fillId="0" fontId="20" numFmtId="0" xfId="0" applyAlignment="1" applyBorder="1" applyFont="1">
      <alignment horizontal="center"/>
    </xf>
    <xf borderId="107" fillId="0" fontId="20" numFmtId="165" xfId="0" applyAlignment="1" applyBorder="1" applyFont="1" applyNumberFormat="1">
      <alignment horizontal="center"/>
    </xf>
    <xf borderId="25" fillId="0" fontId="20" numFmtId="9" xfId="0" applyBorder="1" applyFont="1" applyNumberFormat="1"/>
    <xf borderId="25" fillId="0" fontId="20" numFmtId="10" xfId="0" applyBorder="1" applyFont="1" applyNumberFormat="1"/>
    <xf borderId="26" fillId="15" fontId="20" numFmtId="0" xfId="0" applyAlignment="1" applyBorder="1" applyFill="1" applyFont="1">
      <alignment horizontal="center"/>
    </xf>
    <xf borderId="27" fillId="15" fontId="20" numFmtId="0" xfId="0" applyAlignment="1" applyBorder="1" applyFont="1">
      <alignment horizontal="center"/>
    </xf>
    <xf borderId="25" fillId="0" fontId="22" numFmtId="0" xfId="0" applyAlignment="1" applyBorder="1" applyFont="1">
      <alignment horizontal="center"/>
    </xf>
    <xf borderId="27" fillId="0" fontId="20" numFmtId="4" xfId="0" applyAlignment="1" applyBorder="1" applyFont="1" applyNumberFormat="1">
      <alignment horizontal="center"/>
    </xf>
    <xf borderId="26" fillId="14" fontId="20" numFmtId="10" xfId="0" applyAlignment="1" applyBorder="1" applyFont="1" applyNumberFormat="1">
      <alignment horizontal="center"/>
    </xf>
    <xf borderId="9" fillId="0" fontId="39" numFmtId="0" xfId="0" applyBorder="1" applyFont="1"/>
    <xf borderId="11" fillId="0" fontId="22" numFmtId="10" xfId="0" applyAlignment="1" applyBorder="1" applyFont="1" applyNumberFormat="1">
      <alignment horizontal="center" vertical="bottom"/>
    </xf>
    <xf borderId="16" fillId="0" fontId="20" numFmtId="165" xfId="0" applyAlignment="1" applyBorder="1" applyFont="1" applyNumberFormat="1">
      <alignment horizontal="center" readingOrder="0"/>
    </xf>
    <xf borderId="20" fillId="0" fontId="20" numFmtId="10" xfId="0" applyAlignment="1" applyBorder="1" applyFont="1" applyNumberFormat="1">
      <alignment horizontal="center" vertical="bottom"/>
    </xf>
    <xf borderId="26" fillId="0" fontId="20" numFmtId="10" xfId="0" applyAlignment="1" applyBorder="1" applyFont="1" applyNumberFormat="1">
      <alignment horizontal="center" vertical="bottom"/>
    </xf>
    <xf borderId="26" fillId="0" fontId="20" numFmtId="0" xfId="0" applyAlignment="1" applyBorder="1" applyFont="1">
      <alignment horizontal="center" readingOrder="0"/>
    </xf>
    <xf borderId="26" fillId="0" fontId="18" numFmtId="3" xfId="0" applyAlignment="1" applyBorder="1" applyFont="1" applyNumberFormat="1">
      <alignment horizontal="center"/>
    </xf>
    <xf borderId="10" fillId="0" fontId="20" numFmtId="3" xfId="0" applyAlignment="1" applyBorder="1" applyFont="1" applyNumberFormat="1">
      <alignment horizontal="center"/>
    </xf>
    <xf borderId="11" fillId="0" fontId="20" numFmtId="10" xfId="0" applyAlignment="1" applyBorder="1" applyFont="1" applyNumberFormat="1">
      <alignment horizontal="center"/>
    </xf>
    <xf borderId="11" fillId="0" fontId="20" numFmtId="3" xfId="0" applyAlignment="1" applyBorder="1" applyFont="1" applyNumberFormat="1">
      <alignment horizontal="center"/>
    </xf>
    <xf borderId="11" fillId="0" fontId="20" numFmtId="0" xfId="0" applyAlignment="1" applyBorder="1" applyFont="1">
      <alignment horizontal="center"/>
    </xf>
    <xf borderId="11" fillId="0" fontId="18" numFmtId="3" xfId="0" applyAlignment="1" applyBorder="1" applyFont="1" applyNumberFormat="1">
      <alignment horizontal="center" vertical="center"/>
    </xf>
    <xf borderId="10" fillId="4" fontId="20" numFmtId="165" xfId="0" applyAlignment="1" applyBorder="1" applyFont="1" applyNumberFormat="1">
      <alignment horizontal="center"/>
    </xf>
    <xf borderId="19" fillId="0" fontId="20" numFmtId="3" xfId="0" applyBorder="1" applyFont="1" applyNumberFormat="1"/>
    <xf borderId="33" fillId="0" fontId="20" numFmtId="3" xfId="0" applyBorder="1" applyFont="1" applyNumberFormat="1"/>
    <xf borderId="61" fillId="0" fontId="20" numFmtId="165" xfId="0" applyAlignment="1" applyBorder="1" applyFont="1" applyNumberFormat="1">
      <alignment horizontal="center"/>
    </xf>
    <xf borderId="0" fillId="0" fontId="20" numFmtId="0" xfId="0" applyAlignment="1" applyFont="1">
      <alignment readingOrder="0"/>
    </xf>
    <xf quotePrefix="1" borderId="78" fillId="11" fontId="22" numFmtId="0" xfId="0" applyAlignment="1" applyBorder="1" applyFont="1">
      <alignment horizontal="center"/>
    </xf>
    <xf quotePrefix="1" borderId="57" fillId="11" fontId="22" numFmtId="0" xfId="0" applyAlignment="1" applyBorder="1" applyFont="1">
      <alignment horizontal="center"/>
    </xf>
    <xf quotePrefix="1" borderId="57" fillId="12" fontId="22" numFmtId="0" xfId="0" applyAlignment="1" applyBorder="1" applyFont="1">
      <alignment horizontal="center"/>
    </xf>
    <xf borderId="68" fillId="11" fontId="22" numFmtId="0" xfId="0" applyAlignment="1" applyBorder="1" applyFont="1">
      <alignment horizontal="center" shrinkToFit="0" vertical="top" wrapText="1"/>
    </xf>
    <xf borderId="69" fillId="12" fontId="22" numFmtId="165" xfId="0" applyAlignment="1" applyBorder="1" applyFont="1" applyNumberFormat="1">
      <alignment horizontal="center" shrinkToFit="0" vertical="top" wrapText="1"/>
    </xf>
    <xf borderId="69" fillId="12" fontId="22" numFmtId="0" xfId="0" applyAlignment="1" applyBorder="1" applyFont="1">
      <alignment horizontal="center" shrinkToFit="0" vertical="top" wrapText="1"/>
    </xf>
    <xf borderId="51" fillId="0" fontId="20" numFmtId="3" xfId="0" applyAlignment="1" applyBorder="1" applyFont="1" applyNumberFormat="1">
      <alignment horizontal="center"/>
    </xf>
    <xf borderId="17" fillId="0" fontId="20" numFmtId="165" xfId="0" applyAlignment="1" applyBorder="1" applyFont="1" applyNumberFormat="1">
      <alignment horizontal="center"/>
    </xf>
    <xf borderId="26" fillId="0" fontId="20" numFmtId="165" xfId="0" applyAlignment="1" applyBorder="1" applyFont="1" applyNumberFormat="1">
      <alignment horizontal="left"/>
    </xf>
    <xf borderId="26" fillId="0" fontId="20" numFmtId="10" xfId="0" applyBorder="1" applyFont="1" applyNumberFormat="1"/>
    <xf borderId="36" fillId="0" fontId="20" numFmtId="10" xfId="0" applyBorder="1" applyFont="1" applyNumberFormat="1"/>
    <xf borderId="34" fillId="0" fontId="20" numFmtId="10" xfId="0" applyBorder="1" applyFont="1" applyNumberFormat="1"/>
    <xf borderId="53" fillId="0" fontId="20" numFmtId="3" xfId="0" applyAlignment="1" applyBorder="1" applyFont="1" applyNumberFormat="1">
      <alignment horizontal="center"/>
    </xf>
    <xf borderId="31" fillId="0" fontId="20" numFmtId="165" xfId="0" applyAlignment="1" applyBorder="1" applyFont="1" applyNumberFormat="1">
      <alignment horizontal="center"/>
    </xf>
    <xf borderId="12" fillId="0" fontId="22" numFmtId="165" xfId="0" applyBorder="1" applyFont="1" applyNumberFormat="1"/>
    <xf borderId="11" fillId="0" fontId="40" numFmtId="165" xfId="0" applyAlignment="1" applyBorder="1" applyFont="1" applyNumberFormat="1">
      <alignment horizontal="center"/>
    </xf>
    <xf borderId="26" fillId="0" fontId="20" numFmtId="165" xfId="0" applyAlignment="1" applyBorder="1" applyFont="1" applyNumberFormat="1">
      <alignment readingOrder="0"/>
    </xf>
    <xf borderId="34" fillId="0" fontId="20" numFmtId="3" xfId="0" applyAlignment="1" applyBorder="1" applyFont="1" applyNumberFormat="1">
      <alignment horizontal="center" readingOrder="0"/>
    </xf>
    <xf borderId="31" fillId="0" fontId="20" numFmtId="165" xfId="0" applyAlignment="1" applyBorder="1" applyFont="1" applyNumberFormat="1">
      <alignment readingOrder="0"/>
    </xf>
    <xf borderId="11" fillId="0" fontId="22" numFmtId="3" xfId="0" applyBorder="1" applyFont="1" applyNumberFormat="1"/>
    <xf borderId="20" fillId="0" fontId="20" numFmtId="3" xfId="0" applyBorder="1" applyFont="1" applyNumberFormat="1"/>
    <xf borderId="17" fillId="0" fontId="20" numFmtId="165" xfId="0" applyBorder="1" applyFont="1" applyNumberFormat="1"/>
    <xf borderId="34" fillId="0" fontId="20" numFmtId="3" xfId="0" applyBorder="1" applyFont="1" applyNumberFormat="1"/>
    <xf borderId="31" fillId="0" fontId="20" numFmtId="165" xfId="0" applyBorder="1" applyFont="1" applyNumberFormat="1"/>
    <xf borderId="5" fillId="0" fontId="39" numFmtId="0" xfId="0" applyBorder="1" applyFont="1"/>
    <xf borderId="11" fillId="0" fontId="22" numFmtId="10" xfId="0" applyBorder="1" applyFont="1" applyNumberFormat="1"/>
    <xf borderId="23" fillId="0" fontId="20" numFmtId="10" xfId="0" applyBorder="1" applyFont="1" applyNumberFormat="1"/>
    <xf borderId="17" fillId="0" fontId="20" numFmtId="165" xfId="0" applyAlignment="1" applyBorder="1" applyFont="1" applyNumberFormat="1">
      <alignment readingOrder="0"/>
    </xf>
    <xf borderId="6" fillId="0" fontId="30" numFmtId="0" xfId="0" applyBorder="1" applyFont="1"/>
    <xf borderId="11" fillId="0" fontId="20" numFmtId="3" xfId="0" applyBorder="1" applyFont="1" applyNumberFormat="1"/>
    <xf borderId="12" fillId="0" fontId="20" numFmtId="0" xfId="0" applyBorder="1" applyFont="1"/>
    <xf borderId="11" fillId="0" fontId="20" numFmtId="0" xfId="0" applyBorder="1" applyFont="1"/>
    <xf borderId="55" fillId="0" fontId="20" numFmtId="3" xfId="0" applyAlignment="1" applyBorder="1" applyFont="1" applyNumberFormat="1">
      <alignment horizontal="center"/>
    </xf>
    <xf borderId="11" fillId="0" fontId="20" numFmtId="165" xfId="0" applyBorder="1" applyFont="1" applyNumberFormat="1"/>
    <xf borderId="11" fillId="0" fontId="22" numFmtId="1" xfId="0" applyAlignment="1" applyBorder="1" applyFont="1" applyNumberFormat="1">
      <alignment horizontal="center"/>
    </xf>
    <xf borderId="20" fillId="0" fontId="20" numFmtId="1" xfId="0" applyAlignment="1" applyBorder="1" applyFont="1" applyNumberFormat="1">
      <alignment horizontal="center"/>
    </xf>
    <xf borderId="12" fillId="0" fontId="20" numFmtId="10" xfId="0" applyBorder="1" applyFont="1" applyNumberFormat="1"/>
    <xf borderId="42" fillId="0" fontId="20" numFmtId="0" xfId="0" applyBorder="1" applyFont="1"/>
    <xf borderId="41" fillId="0" fontId="20" numFmtId="0" xfId="0" applyAlignment="1" applyBorder="1" applyFont="1">
      <alignment horizontal="center"/>
    </xf>
    <xf borderId="54" fillId="0" fontId="20" numFmtId="0" xfId="0" applyAlignment="1" applyBorder="1" applyFont="1">
      <alignment horizontal="center"/>
    </xf>
    <xf borderId="12" fillId="0" fontId="22" numFmtId="10" xfId="0" applyBorder="1" applyFont="1" applyNumberFormat="1"/>
    <xf borderId="61" fillId="0" fontId="4" numFmtId="165" xfId="0" applyBorder="1" applyFont="1" applyNumberFormat="1"/>
    <xf borderId="0" fillId="0" fontId="5" numFmtId="0" xfId="0" applyFont="1"/>
    <xf borderId="0" fillId="0" fontId="11" numFmtId="0" xfId="0" applyFont="1"/>
    <xf borderId="76" fillId="5" fontId="5" numFmtId="0" xfId="0" applyAlignment="1" applyBorder="1" applyFont="1">
      <alignment horizontal="center" vertical="top"/>
    </xf>
    <xf borderId="77" fillId="5" fontId="5" numFmtId="0" xfId="0" applyAlignment="1" applyBorder="1" applyFont="1">
      <alignment horizontal="left" vertical="top"/>
    </xf>
    <xf quotePrefix="1" borderId="110" fillId="5" fontId="5" numFmtId="0" xfId="0" applyAlignment="1" applyBorder="1" applyFont="1">
      <alignment horizontal="center"/>
    </xf>
    <xf quotePrefix="1" borderId="111" fillId="5" fontId="5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shrinkToFit="0" vertical="top" wrapText="1"/>
    </xf>
    <xf borderId="112" fillId="5" fontId="5" numFmtId="165" xfId="0" applyAlignment="1" applyBorder="1" applyFont="1" applyNumberFormat="1">
      <alignment horizontal="center" shrinkToFit="0" vertical="top" wrapText="1"/>
    </xf>
    <xf borderId="108" fillId="5" fontId="5" numFmtId="165" xfId="0" applyAlignment="1" applyBorder="1" applyFont="1" applyNumberFormat="1">
      <alignment horizontal="center" shrinkToFit="0" vertical="top" wrapText="1"/>
    </xf>
    <xf borderId="108" fillId="5" fontId="5" numFmtId="0" xfId="0" applyAlignment="1" applyBorder="1" applyFont="1">
      <alignment horizontal="center" shrinkToFit="0" vertical="top" wrapText="1"/>
    </xf>
    <xf borderId="0" fillId="0" fontId="5" numFmtId="0" xfId="0" applyAlignment="1" applyFont="1">
      <alignment shrinkToFit="0" vertical="top" wrapText="1"/>
    </xf>
    <xf borderId="19" fillId="0" fontId="4" numFmtId="0" xfId="0" applyAlignment="1" applyBorder="1" applyFont="1">
      <alignment horizontal="center"/>
    </xf>
    <xf borderId="51" fillId="0" fontId="4" numFmtId="165" xfId="0" applyAlignment="1" applyBorder="1" applyFont="1" applyNumberFormat="1">
      <alignment horizontal="center"/>
    </xf>
    <xf borderId="20" fillId="0" fontId="4" numFmtId="165" xfId="0" applyAlignment="1" applyBorder="1" applyFont="1" applyNumberFormat="1">
      <alignment horizontal="center"/>
    </xf>
    <xf borderId="20" fillId="0" fontId="4" numFmtId="3" xfId="0" applyAlignment="1" applyBorder="1" applyFont="1" applyNumberFormat="1">
      <alignment horizontal="center"/>
    </xf>
    <xf borderId="17" fillId="0" fontId="4" numFmtId="165" xfId="0" applyAlignment="1" applyBorder="1" applyFont="1" applyNumberFormat="1">
      <alignment horizontal="center"/>
    </xf>
    <xf borderId="24" fillId="0" fontId="4" numFmtId="0" xfId="0" applyAlignment="1" applyBorder="1" applyFont="1">
      <alignment horizontal="center"/>
    </xf>
    <xf borderId="52" fillId="0" fontId="4" numFmtId="165" xfId="0" applyAlignment="1" applyBorder="1" applyFont="1" applyNumberFormat="1">
      <alignment horizontal="center"/>
    </xf>
    <xf borderId="26" fillId="0" fontId="4" numFmtId="165" xfId="0" applyAlignment="1" applyBorder="1" applyFont="1" applyNumberFormat="1">
      <alignment horizontal="center"/>
    </xf>
    <xf borderId="26" fillId="0" fontId="4" numFmtId="3" xfId="0" applyAlignment="1" applyBorder="1" applyFont="1" applyNumberFormat="1">
      <alignment horizontal="center"/>
    </xf>
    <xf borderId="24" fillId="0" fontId="5" numFmtId="0" xfId="0" applyAlignment="1" applyBorder="1" applyFont="1">
      <alignment horizontal="center"/>
    </xf>
    <xf borderId="27" fillId="0" fontId="5" numFmtId="0" xfId="0" applyBorder="1" applyFont="1"/>
    <xf borderId="52" fillId="0" fontId="5" numFmtId="165" xfId="0" applyAlignment="1" applyBorder="1" applyFont="1" applyNumberFormat="1">
      <alignment horizontal="center"/>
    </xf>
    <xf borderId="26" fillId="0" fontId="5" numFmtId="165" xfId="0" applyAlignment="1" applyBorder="1" applyFont="1" applyNumberFormat="1">
      <alignment horizontal="center"/>
    </xf>
    <xf borderId="26" fillId="0" fontId="5" numFmtId="3" xfId="0" applyAlignment="1" applyBorder="1" applyFont="1" applyNumberFormat="1">
      <alignment horizontal="center"/>
    </xf>
    <xf borderId="24" fillId="0" fontId="4" numFmtId="0" xfId="0" applyBorder="1" applyFont="1"/>
    <xf borderId="24" fillId="8" fontId="4" numFmtId="0" xfId="0" applyBorder="1" applyFont="1"/>
    <xf borderId="27" fillId="8" fontId="4" numFmtId="0" xfId="0" applyBorder="1" applyFont="1"/>
    <xf borderId="52" fillId="0" fontId="3" numFmtId="165" xfId="0" applyAlignment="1" applyBorder="1" applyFont="1" applyNumberFormat="1">
      <alignment horizontal="center" vertical="center"/>
    </xf>
    <xf borderId="26" fillId="0" fontId="3" numFmtId="165" xfId="0" applyAlignment="1" applyBorder="1" applyFont="1" applyNumberFormat="1">
      <alignment horizontal="center" vertical="center"/>
    </xf>
    <xf borderId="26" fillId="0" fontId="3" numFmtId="3" xfId="0" applyAlignment="1" applyBorder="1" applyFont="1" applyNumberFormat="1">
      <alignment horizontal="center" vertical="center"/>
    </xf>
    <xf borderId="26" fillId="0" fontId="4" numFmtId="0" xfId="0" applyAlignment="1" applyBorder="1" applyFont="1">
      <alignment horizontal="center"/>
    </xf>
    <xf borderId="24" fillId="0" fontId="5" numFmtId="0" xfId="0" applyBorder="1" applyFont="1"/>
    <xf borderId="24" fillId="15" fontId="4" numFmtId="0" xfId="0" applyBorder="1" applyFont="1"/>
    <xf borderId="27" fillId="15" fontId="4" numFmtId="0" xfId="0" applyBorder="1" applyFont="1"/>
    <xf borderId="56" fillId="15" fontId="4" numFmtId="165" xfId="0" applyAlignment="1" applyBorder="1" applyFont="1" applyNumberFormat="1">
      <alignment horizontal="center"/>
    </xf>
    <xf borderId="26" fillId="15" fontId="4" numFmtId="165" xfId="0" applyAlignment="1" applyBorder="1" applyFont="1" applyNumberFormat="1">
      <alignment horizontal="center"/>
    </xf>
    <xf borderId="26" fillId="15" fontId="4" numFmtId="3" xfId="0" applyAlignment="1" applyBorder="1" applyFont="1" applyNumberFormat="1">
      <alignment horizontal="center"/>
    </xf>
    <xf borderId="61" fillId="15" fontId="4" numFmtId="0" xfId="0" applyBorder="1" applyFont="1"/>
    <xf borderId="27" fillId="0" fontId="4" numFmtId="0" xfId="0" applyAlignment="1" applyBorder="1" applyFont="1">
      <alignment horizontal="center"/>
    </xf>
    <xf borderId="105" fillId="0" fontId="5" numFmtId="0" xfId="0" applyBorder="1" applyFont="1"/>
    <xf borderId="101" fillId="0" fontId="4" numFmtId="0" xfId="0" applyBorder="1" applyFont="1"/>
    <xf borderId="27" fillId="0" fontId="41" numFmtId="0" xfId="0" applyBorder="1" applyFont="1"/>
    <xf borderId="52" fillId="0" fontId="5" numFmtId="165" xfId="0" applyBorder="1" applyFont="1" applyNumberFormat="1"/>
    <xf borderId="26" fillId="0" fontId="5" numFmtId="0" xfId="0" applyAlignment="1" applyBorder="1" applyFont="1">
      <alignment horizontal="center"/>
    </xf>
    <xf borderId="33" fillId="0" fontId="5" numFmtId="0" xfId="0" applyBorder="1" applyFont="1"/>
    <xf borderId="36" fillId="0" fontId="5" numFmtId="0" xfId="0" applyBorder="1" applyFont="1"/>
    <xf borderId="53" fillId="0" fontId="5" numFmtId="165" xfId="0" applyBorder="1" applyFont="1" applyNumberFormat="1"/>
    <xf borderId="34" fillId="0" fontId="5" numFmtId="165" xfId="0" applyBorder="1" applyFont="1" applyNumberFormat="1"/>
    <xf borderId="34" fillId="0" fontId="5" numFmtId="0" xfId="0" applyBorder="1" applyFont="1"/>
    <xf borderId="5" fillId="0" fontId="42" numFmtId="0" xfId="0" applyBorder="1" applyFont="1"/>
    <xf borderId="8" fillId="0" fontId="5" numFmtId="0" xfId="0" applyBorder="1" applyFont="1"/>
    <xf borderId="11" fillId="0" fontId="4" numFmtId="165" xfId="0" applyBorder="1" applyFont="1" applyNumberFormat="1"/>
    <xf borderId="19" fillId="0" fontId="4" numFmtId="0" xfId="0" applyBorder="1" applyFont="1"/>
    <xf borderId="17" fillId="0" fontId="4" numFmtId="165" xfId="0" applyBorder="1" applyFont="1" applyNumberFormat="1"/>
    <xf borderId="27" fillId="0" fontId="43" numFmtId="0" xfId="0" applyAlignment="1" applyBorder="1" applyFont="1">
      <alignment horizontal="left"/>
    </xf>
    <xf borderId="24" fillId="0" fontId="5" numFmtId="165" xfId="0" applyBorder="1" applyFont="1" applyNumberFormat="1"/>
    <xf borderId="27" fillId="0" fontId="5" numFmtId="165" xfId="0" applyBorder="1" applyFont="1" applyNumberFormat="1"/>
    <xf borderId="24" fillId="14" fontId="4" numFmtId="0" xfId="0" applyBorder="1" applyFont="1"/>
    <xf borderId="27" fillId="14" fontId="4" numFmtId="0" xfId="0" applyBorder="1" applyFont="1"/>
    <xf borderId="56" fillId="14" fontId="4" numFmtId="165" xfId="0" applyAlignment="1" applyBorder="1" applyFont="1" applyNumberFormat="1">
      <alignment horizontal="center"/>
    </xf>
    <xf borderId="26" fillId="14" fontId="4" numFmtId="165" xfId="0" applyAlignment="1" applyBorder="1" applyFont="1" applyNumberFormat="1">
      <alignment horizontal="center"/>
    </xf>
    <xf borderId="26" fillId="14" fontId="4" numFmtId="0" xfId="0" applyAlignment="1" applyBorder="1" applyFont="1">
      <alignment horizontal="center"/>
    </xf>
    <xf borderId="106" fillId="0" fontId="5" numFmtId="0" xfId="0" applyAlignment="1" applyBorder="1" applyFont="1">
      <alignment horizontal="center"/>
    </xf>
    <xf borderId="31" fillId="0" fontId="4" numFmtId="165" xfId="0" applyBorder="1" applyFont="1" applyNumberFormat="1"/>
    <xf borderId="10" fillId="0" fontId="4" numFmtId="0" xfId="0" applyBorder="1" applyFont="1"/>
    <xf borderId="12" fillId="0" fontId="44" numFmtId="0" xfId="0" applyBorder="1" applyFont="1"/>
    <xf borderId="55" fillId="0" fontId="4" numFmtId="165" xfId="0" applyBorder="1" applyFont="1" applyNumberFormat="1"/>
    <xf borderId="11" fillId="0" fontId="4" numFmtId="0" xfId="0" applyBorder="1" applyFont="1"/>
    <xf borderId="103" fillId="0" fontId="4" numFmtId="0" xfId="0" applyBorder="1" applyFont="1"/>
    <xf borderId="33" fillId="0" fontId="4" numFmtId="0" xfId="0" applyBorder="1" applyFont="1"/>
    <xf borderId="36" fillId="0" fontId="45" numFmtId="0" xfId="0" applyBorder="1" applyFont="1"/>
    <xf borderId="103" fillId="0" fontId="3" numFmtId="0" xfId="0" applyBorder="1" applyFont="1"/>
    <xf borderId="10" fillId="0" fontId="5" numFmtId="0" xfId="0" applyBorder="1" applyFont="1"/>
    <xf borderId="39" fillId="0" fontId="4" numFmtId="165" xfId="0" applyBorder="1" applyFont="1" applyNumberFormat="1"/>
    <xf borderId="12" fillId="0" fontId="4" numFmtId="0" xfId="0" applyBorder="1" applyFont="1"/>
    <xf borderId="11" fillId="11" fontId="22" numFmtId="165" xfId="0" applyAlignment="1" applyBorder="1" applyFont="1" applyNumberFormat="1">
      <alignment horizontal="center" shrinkToFit="0" vertical="top" wrapText="1"/>
    </xf>
    <xf borderId="13" fillId="11" fontId="22" numFmtId="0" xfId="0" applyAlignment="1" applyBorder="1" applyFont="1">
      <alignment horizontal="center" shrinkToFit="0" vertical="top" wrapText="1"/>
    </xf>
    <xf borderId="11" fillId="12" fontId="22" numFmtId="165" xfId="0" applyAlignment="1" applyBorder="1" applyFont="1" applyNumberFormat="1">
      <alignment horizontal="center" shrinkToFit="0" vertical="top" wrapText="1"/>
    </xf>
    <xf borderId="16" fillId="11" fontId="20" numFmtId="0" xfId="0" applyAlignment="1" applyBorder="1" applyFont="1">
      <alignment horizontal="center"/>
    </xf>
    <xf borderId="18" fillId="11" fontId="20" numFmtId="0" xfId="0" applyBorder="1" applyFont="1"/>
    <xf borderId="16" fillId="11" fontId="20" numFmtId="3" xfId="0" applyAlignment="1" applyBorder="1" applyFont="1" applyNumberFormat="1">
      <alignment horizontal="center"/>
    </xf>
    <xf borderId="17" fillId="11" fontId="20" numFmtId="0" xfId="0" applyAlignment="1" applyBorder="1" applyFont="1">
      <alignment horizontal="center"/>
    </xf>
    <xf borderId="17" fillId="11" fontId="20" numFmtId="3" xfId="0" applyAlignment="1" applyBorder="1" applyFont="1" applyNumberFormat="1">
      <alignment horizontal="center"/>
    </xf>
    <xf borderId="18" fillId="11" fontId="20" numFmtId="0" xfId="0" applyAlignment="1" applyBorder="1" applyFont="1">
      <alignment horizontal="center"/>
    </xf>
    <xf borderId="17" fillId="11" fontId="20" numFmtId="10" xfId="0" applyAlignment="1" applyBorder="1" applyFont="1" applyNumberFormat="1">
      <alignment horizontal="center"/>
    </xf>
    <xf borderId="17" fillId="11" fontId="20" numFmtId="0" xfId="0" applyBorder="1" applyFont="1"/>
    <xf borderId="17" fillId="11" fontId="20" numFmtId="165" xfId="0" applyAlignment="1" applyBorder="1" applyFont="1" applyNumberFormat="1">
      <alignment horizontal="center"/>
    </xf>
    <xf borderId="21" fillId="11" fontId="20" numFmtId="3" xfId="0" applyAlignment="1" applyBorder="1" applyFont="1" applyNumberFormat="1">
      <alignment horizontal="center"/>
    </xf>
    <xf borderId="24" fillId="11" fontId="20" numFmtId="0" xfId="0" applyAlignment="1" applyBorder="1" applyFont="1">
      <alignment horizontal="center"/>
    </xf>
    <xf borderId="27" fillId="11" fontId="20" numFmtId="0" xfId="0" applyBorder="1" applyFont="1"/>
    <xf borderId="24" fillId="11" fontId="20" numFmtId="3" xfId="0" applyAlignment="1" applyBorder="1" applyFont="1" applyNumberFormat="1">
      <alignment horizontal="center"/>
    </xf>
    <xf borderId="26" fillId="11" fontId="20" numFmtId="0" xfId="0" applyAlignment="1" applyBorder="1" applyFont="1">
      <alignment horizontal="center"/>
    </xf>
    <xf borderId="26" fillId="11" fontId="20" numFmtId="3" xfId="0" applyAlignment="1" applyBorder="1" applyFont="1" applyNumberFormat="1">
      <alignment horizontal="center"/>
    </xf>
    <xf borderId="27" fillId="11" fontId="20" numFmtId="0" xfId="0" applyAlignment="1" applyBorder="1" applyFont="1">
      <alignment horizontal="center"/>
    </xf>
    <xf borderId="26" fillId="11" fontId="20" numFmtId="10" xfId="0" applyAlignment="1" applyBorder="1" applyFont="1" applyNumberFormat="1">
      <alignment horizontal="center"/>
    </xf>
    <xf borderId="26" fillId="11" fontId="20" numFmtId="0" xfId="0" applyBorder="1" applyFont="1"/>
    <xf borderId="26" fillId="11" fontId="20" numFmtId="165" xfId="0" applyAlignment="1" applyBorder="1" applyFont="1" applyNumberFormat="1">
      <alignment horizontal="center"/>
    </xf>
    <xf borderId="56" fillId="11" fontId="20" numFmtId="3" xfId="0" applyAlignment="1" applyBorder="1" applyFont="1" applyNumberFormat="1">
      <alignment horizontal="center"/>
    </xf>
    <xf borderId="25" fillId="0" fontId="5" numFmtId="0" xfId="0" applyAlignment="1" applyBorder="1" applyFont="1">
      <alignment horizontal="left"/>
    </xf>
    <xf borderId="105" fillId="0" fontId="20" numFmtId="0" xfId="0" applyBorder="1" applyFont="1"/>
    <xf borderId="34" fillId="0" fontId="20" numFmtId="165" xfId="0" applyAlignment="1" applyBorder="1" applyFont="1" applyNumberFormat="1">
      <alignment horizontal="center" readingOrder="0"/>
    </xf>
    <xf borderId="10" fillId="0" fontId="22" numFmtId="3" xfId="0" applyBorder="1" applyFont="1" applyNumberFormat="1"/>
    <xf borderId="20" fillId="0" fontId="20" numFmtId="165" xfId="0" applyBorder="1" applyFont="1" applyNumberFormat="1"/>
    <xf borderId="5" fillId="0" fontId="22" numFmtId="0" xfId="0" applyAlignment="1" applyBorder="1" applyFont="1">
      <alignment horizontal="center"/>
    </xf>
    <xf borderId="113" fillId="0" fontId="21" numFmtId="0" xfId="0" applyAlignment="1" applyBorder="1" applyFont="1">
      <alignment horizontal="center"/>
    </xf>
    <xf borderId="103" fillId="0" fontId="6" numFmtId="0" xfId="0" applyBorder="1" applyFont="1"/>
    <xf borderId="42" fillId="0" fontId="20" numFmtId="165" xfId="0" applyBorder="1" applyFont="1" applyNumberFormat="1"/>
    <xf borderId="39" fillId="0" fontId="20" numFmtId="165" xfId="0" applyBorder="1" applyFont="1" applyNumberFormat="1"/>
    <xf borderId="12" fillId="0" fontId="46" numFmtId="0" xfId="0" applyAlignment="1" applyBorder="1" applyFont="1">
      <alignment horizontal="center"/>
    </xf>
    <xf borderId="103" fillId="0" fontId="20" numFmtId="0" xfId="0" applyAlignment="1" applyBorder="1" applyFont="1">
      <alignment readingOrder="0"/>
    </xf>
    <xf borderId="11" fillId="0" fontId="20" numFmtId="10" xfId="0" applyBorder="1" applyFont="1" applyNumberFormat="1"/>
    <xf borderId="20" fillId="0" fontId="20" numFmtId="10" xfId="0" applyBorder="1" applyFont="1" applyNumberFormat="1"/>
    <xf borderId="26" fillId="13" fontId="20" numFmtId="165" xfId="0" applyBorder="1" applyFont="1" applyNumberFormat="1"/>
    <xf borderId="26" fillId="13" fontId="20" numFmtId="0" xfId="0" applyBorder="1" applyFont="1"/>
    <xf borderId="27" fillId="13" fontId="20" numFmtId="0" xfId="0" applyBorder="1" applyFont="1"/>
    <xf borderId="26" fillId="13" fontId="20" numFmtId="3" xfId="0" applyAlignment="1" applyBorder="1" applyFont="1" applyNumberFormat="1">
      <alignment horizontal="center" readingOrder="0"/>
    </xf>
    <xf borderId="10" fillId="0" fontId="20" numFmtId="3" xfId="0" applyBorder="1" applyFont="1" applyNumberFormat="1"/>
    <xf borderId="52" fillId="0" fontId="20" numFmtId="3" xfId="0" applyBorder="1" applyFont="1" applyNumberFormat="1"/>
    <xf borderId="51" fillId="0" fontId="20" numFmtId="0" xfId="0" applyAlignment="1" applyBorder="1" applyFont="1">
      <alignment horizontal="center" readingOrder="0"/>
    </xf>
    <xf borderId="20" fillId="0" fontId="20" numFmtId="3" xfId="0" applyAlignment="1" applyBorder="1" applyFont="1" applyNumberFormat="1">
      <alignment horizontal="center" readingOrder="0"/>
    </xf>
    <xf borderId="20" fillId="0" fontId="20" numFmtId="165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/>
    </xf>
    <xf borderId="61" fillId="4" fontId="20" numFmtId="0" xfId="0" applyBorder="1" applyFont="1"/>
    <xf borderId="61" fillId="4" fontId="20" numFmtId="165" xfId="0" applyBorder="1" applyFont="1" applyNumberFormat="1"/>
    <xf borderId="0" fillId="0" fontId="18" numFmtId="168" xfId="0" applyFont="1" applyNumberFormat="1"/>
    <xf borderId="0" fillId="4" fontId="18" numFmtId="0" xfId="0" applyAlignment="1" applyFont="1">
      <alignment readingOrder="0"/>
    </xf>
    <xf borderId="0" fillId="0" fontId="18" numFmtId="165" xfId="0" applyAlignment="1" applyFont="1" applyNumberFormat="1">
      <alignment readingOrder="0"/>
    </xf>
    <xf borderId="0" fillId="4" fontId="18" numFmtId="165" xfId="0" applyAlignment="1" applyFont="1" applyNumberFormat="1">
      <alignment readingOrder="0"/>
    </xf>
    <xf borderId="0" fillId="14" fontId="1" numFmtId="0" xfId="0" applyAlignment="1" applyFont="1">
      <alignment readingOrder="0"/>
    </xf>
    <xf borderId="34" fillId="10" fontId="22" numFmtId="0" xfId="0" applyAlignment="1" applyBorder="1" applyFont="1">
      <alignment horizontal="center" vertical="top"/>
    </xf>
    <xf borderId="34" fillId="10" fontId="22" numFmtId="0" xfId="0" applyAlignment="1" applyBorder="1" applyFont="1">
      <alignment horizontal="left" vertical="top"/>
    </xf>
    <xf quotePrefix="1" borderId="64" fillId="10" fontId="22" numFmtId="0" xfId="0" applyAlignment="1" applyBorder="1" applyFont="1">
      <alignment horizontal="center"/>
    </xf>
    <xf quotePrefix="1" borderId="64" fillId="16" fontId="22" numFmtId="0" xfId="0" applyAlignment="1" applyBorder="1" applyFill="1" applyFont="1">
      <alignment horizontal="center"/>
    </xf>
    <xf borderId="20" fillId="0" fontId="6" numFmtId="0" xfId="0" applyBorder="1" applyFont="1"/>
    <xf borderId="26" fillId="10" fontId="22" numFmtId="0" xfId="0" applyAlignment="1" applyBorder="1" applyFont="1">
      <alignment horizontal="center" shrinkToFit="0" vertical="top" wrapText="1"/>
    </xf>
    <xf borderId="26" fillId="10" fontId="22" numFmtId="165" xfId="0" applyAlignment="1" applyBorder="1" applyFont="1" applyNumberFormat="1">
      <alignment horizontal="center" shrinkToFit="0" vertical="top" wrapText="1"/>
    </xf>
    <xf borderId="26" fillId="10" fontId="22" numFmtId="164" xfId="0" applyAlignment="1" applyBorder="1" applyFont="1" applyNumberFormat="1">
      <alignment horizontal="center" shrinkToFit="0" vertical="top" wrapText="1"/>
    </xf>
    <xf borderId="26" fillId="10" fontId="22" numFmtId="168" xfId="0" applyAlignment="1" applyBorder="1" applyFont="1" applyNumberFormat="1">
      <alignment horizontal="center" shrinkToFit="0" vertical="top" wrapText="1"/>
    </xf>
    <xf borderId="26" fillId="16" fontId="22" numFmtId="165" xfId="0" applyAlignment="1" applyBorder="1" applyFont="1" applyNumberFormat="1">
      <alignment horizontal="center" shrinkToFit="0" vertical="top" wrapText="1"/>
    </xf>
    <xf borderId="26" fillId="16" fontId="22" numFmtId="0" xfId="0" applyAlignment="1" applyBorder="1" applyFont="1">
      <alignment horizontal="center" shrinkToFit="0" vertical="top" wrapText="1"/>
    </xf>
    <xf borderId="26" fillId="0" fontId="20" numFmtId="164" xfId="0" applyBorder="1" applyFont="1" applyNumberFormat="1"/>
    <xf borderId="26" fillId="0" fontId="20" numFmtId="168" xfId="0" applyAlignment="1" applyBorder="1" applyFont="1" applyNumberFormat="1">
      <alignment horizontal="center"/>
    </xf>
    <xf borderId="26" fillId="0" fontId="18" numFmtId="168" xfId="0" applyAlignment="1" applyBorder="1" applyFont="1" applyNumberFormat="1">
      <alignment horizontal="center" vertical="center"/>
    </xf>
    <xf borderId="26" fillId="0" fontId="22" numFmtId="164" xfId="0" applyAlignment="1" applyBorder="1" applyFont="1" applyNumberFormat="1">
      <alignment horizontal="center"/>
    </xf>
    <xf borderId="26" fillId="0" fontId="22" numFmtId="168" xfId="0" applyAlignment="1" applyBorder="1" applyFont="1" applyNumberFormat="1">
      <alignment horizontal="center"/>
    </xf>
    <xf borderId="64" fillId="0" fontId="22" numFmtId="0" xfId="0" applyBorder="1" applyFont="1"/>
    <xf borderId="52" fillId="0" fontId="20" numFmtId="0" xfId="0" applyBorder="1" applyFont="1"/>
    <xf borderId="26" fillId="0" fontId="47" numFmtId="0" xfId="0" applyBorder="1" applyFont="1"/>
    <xf borderId="26" fillId="0" fontId="48" numFmtId="0" xfId="0" applyAlignment="1" applyBorder="1" applyFont="1">
      <alignment horizontal="left"/>
    </xf>
    <xf borderId="64" fillId="0" fontId="21" numFmtId="0" xfId="0" applyAlignment="1" applyBorder="1" applyFont="1">
      <alignment horizontal="center"/>
    </xf>
    <xf borderId="26" fillId="0" fontId="20" numFmtId="0" xfId="0" applyAlignment="1" applyBorder="1" applyFont="1">
      <alignment horizontal="left"/>
    </xf>
    <xf borderId="26" fillId="0" fontId="20" numFmtId="0" xfId="0" applyAlignment="1" applyBorder="1" applyFont="1">
      <alignment readingOrder="0"/>
    </xf>
    <xf borderId="26" fillId="0" fontId="20" numFmtId="164" xfId="0" applyAlignment="1" applyBorder="1" applyFont="1" applyNumberFormat="1">
      <alignment horizontal="center" readingOrder="0"/>
    </xf>
    <xf borderId="26" fillId="0" fontId="20" numFmtId="0" xfId="0" applyBorder="1" applyFont="1"/>
    <xf borderId="0" fillId="0" fontId="18" numFmtId="0" xfId="0" applyAlignment="1" applyFont="1">
      <alignment readingOrder="0" shrinkToFit="0" wrapText="1"/>
    </xf>
    <xf borderId="76" fillId="5" fontId="22" numFmtId="0" xfId="0" applyAlignment="1" applyBorder="1" applyFont="1">
      <alignment horizontal="center" vertical="top"/>
    </xf>
    <xf borderId="77" fillId="5" fontId="22" numFmtId="0" xfId="0" applyAlignment="1" applyBorder="1" applyFont="1">
      <alignment horizontal="left" vertical="top"/>
    </xf>
    <xf quotePrefix="1" borderId="114" fillId="5" fontId="22" numFmtId="0" xfId="0" applyAlignment="1" applyBorder="1" applyFont="1">
      <alignment horizontal="center"/>
    </xf>
    <xf quotePrefix="1" borderId="115" fillId="5" fontId="22" numFmtId="0" xfId="0" applyAlignment="1" applyBorder="1" applyFont="1">
      <alignment horizontal="center"/>
    </xf>
    <xf quotePrefix="1" borderId="114" fillId="9" fontId="22" numFmtId="0" xfId="0" applyAlignment="1" applyBorder="1" applyFont="1">
      <alignment horizontal="center"/>
    </xf>
    <xf borderId="107" fillId="5" fontId="22" numFmtId="0" xfId="0" applyAlignment="1" applyBorder="1" applyFont="1">
      <alignment horizontal="center" shrinkToFit="0" vertical="top" wrapText="1"/>
    </xf>
    <xf borderId="112" fillId="5" fontId="22" numFmtId="0" xfId="0" applyAlignment="1" applyBorder="1" applyFont="1">
      <alignment horizontal="center" shrinkToFit="0" vertical="top" wrapText="1"/>
    </xf>
    <xf borderId="107" fillId="9" fontId="22" numFmtId="165" xfId="0" applyAlignment="1" applyBorder="1" applyFont="1" applyNumberFormat="1">
      <alignment horizontal="center" shrinkToFit="0" vertical="top" wrapText="1"/>
    </xf>
    <xf borderId="113" fillId="0" fontId="20" numFmtId="3" xfId="0" applyAlignment="1" applyBorder="1" applyFont="1" applyNumberFormat="1">
      <alignment horizontal="center"/>
    </xf>
    <xf borderId="113" fillId="0" fontId="20" numFmtId="3" xfId="0" applyAlignment="1" applyBorder="1" applyFont="1" applyNumberFormat="1">
      <alignment horizontal="center" readingOrder="0"/>
    </xf>
    <xf borderId="53" fillId="0" fontId="20" numFmtId="3" xfId="0" applyAlignment="1" applyBorder="1" applyFont="1" applyNumberFormat="1">
      <alignment horizontal="center" readingOrder="0"/>
    </xf>
    <xf borderId="30" fillId="0" fontId="20" numFmtId="165" xfId="0" applyAlignment="1" applyBorder="1" applyFont="1" applyNumberFormat="1">
      <alignment readingOrder="0"/>
    </xf>
    <xf borderId="19" fillId="0" fontId="22" numFmtId="165" xfId="0" applyBorder="1" applyFont="1" applyNumberFormat="1"/>
    <xf borderId="23" fillId="0" fontId="22" numFmtId="165" xfId="0" applyBorder="1" applyFont="1" applyNumberFormat="1"/>
    <xf borderId="51" fillId="0" fontId="22" numFmtId="165" xfId="0" applyAlignment="1" applyBorder="1" applyFont="1" applyNumberFormat="1">
      <alignment horizontal="center"/>
    </xf>
    <xf borderId="16" fillId="0" fontId="22" numFmtId="165" xfId="0" applyBorder="1" applyFont="1" applyNumberFormat="1"/>
    <xf borderId="27" fillId="0" fontId="22" numFmtId="165" xfId="0" applyBorder="1" applyFont="1" applyNumberFormat="1"/>
    <xf borderId="52" fillId="0" fontId="22" numFmtId="165" xfId="0" applyAlignment="1" applyBorder="1" applyFont="1" applyNumberFormat="1">
      <alignment horizontal="center"/>
    </xf>
    <xf borderId="33" fillId="0" fontId="22" numFmtId="165" xfId="0" applyBorder="1" applyFont="1" applyNumberFormat="1"/>
    <xf borderId="36" fillId="0" fontId="22" numFmtId="165" xfId="0" applyBorder="1" applyFont="1" applyNumberFormat="1"/>
    <xf borderId="33" fillId="0" fontId="22" numFmtId="165" xfId="0" applyAlignment="1" applyBorder="1" applyFont="1" applyNumberFormat="1">
      <alignment horizontal="center"/>
    </xf>
    <xf borderId="53" fillId="0" fontId="22" numFmtId="165" xfId="0" applyAlignment="1" applyBorder="1" applyFont="1" applyNumberFormat="1">
      <alignment horizontal="center"/>
    </xf>
    <xf borderId="30" fillId="0" fontId="22" numFmtId="165" xfId="0" applyBorder="1" applyFont="1" applyNumberFormat="1"/>
    <xf borderId="5" fillId="0" fontId="49" numFmtId="165" xfId="0" applyAlignment="1" applyBorder="1" applyFont="1" applyNumberFormat="1">
      <alignment horizontal="center"/>
    </xf>
    <xf borderId="16" fillId="0" fontId="20" numFmtId="165" xfId="0" applyBorder="1" applyFont="1" applyNumberFormat="1"/>
    <xf borderId="30" fillId="0" fontId="20" numFmtId="165" xfId="0" applyBorder="1" applyFont="1" applyNumberFormat="1"/>
    <xf borderId="24" fillId="0" fontId="20" numFmtId="165" xfId="0" applyAlignment="1" applyBorder="1" applyFont="1" applyNumberFormat="1">
      <alignment readingOrder="0"/>
    </xf>
    <xf borderId="10" fillId="0" fontId="20" numFmtId="165" xfId="0" applyBorder="1" applyFont="1" applyNumberFormat="1"/>
    <xf borderId="38" fillId="0" fontId="20" numFmtId="165" xfId="0" applyBorder="1" applyFont="1" applyNumberFormat="1"/>
    <xf borderId="77" fillId="5" fontId="22" numFmtId="0" xfId="0" applyAlignment="1" applyBorder="1" applyFont="1">
      <alignment horizontal="center" vertical="top"/>
    </xf>
    <xf quotePrefix="1" borderId="9" fillId="5" fontId="22" numFmtId="0" xfId="0" applyAlignment="1" applyBorder="1" applyFont="1">
      <alignment horizontal="center"/>
    </xf>
    <xf quotePrefix="1" borderId="13" fillId="5" fontId="22" numFmtId="0" xfId="0" applyAlignment="1" applyBorder="1" applyFont="1">
      <alignment horizontal="center"/>
    </xf>
    <xf quotePrefix="1" borderId="11" fillId="5" fontId="22" numFmtId="0" xfId="0" applyAlignment="1" applyBorder="1" applyFont="1">
      <alignment horizontal="center"/>
    </xf>
    <xf quotePrefix="1" borderId="12" fillId="5" fontId="22" numFmtId="0" xfId="0" applyAlignment="1" applyBorder="1" applyFont="1">
      <alignment horizontal="center"/>
    </xf>
    <xf borderId="11" fillId="5" fontId="22" numFmtId="165" xfId="0" applyAlignment="1" applyBorder="1" applyFont="1" applyNumberFormat="1">
      <alignment horizontal="center" shrinkToFit="0" vertical="top" wrapText="1"/>
    </xf>
    <xf borderId="105" fillId="0" fontId="22" numFmtId="0" xfId="0" applyAlignment="1" applyBorder="1" applyFont="1">
      <alignment horizontal="left"/>
    </xf>
    <xf borderId="101" fillId="0" fontId="6" numFmtId="0" xfId="0" applyBorder="1" applyFont="1"/>
    <xf borderId="53" fillId="0" fontId="20" numFmtId="0" xfId="0" applyBorder="1" applyFont="1"/>
    <xf borderId="34" fillId="0" fontId="20" numFmtId="165" xfId="0" applyAlignment="1" applyBorder="1" applyFont="1" applyNumberFormat="1">
      <alignment readingOrder="0"/>
    </xf>
    <xf borderId="55" fillId="0" fontId="22" numFmtId="165" xfId="0" applyBorder="1" applyFont="1" applyNumberFormat="1"/>
    <xf borderId="51" fillId="0" fontId="20" numFmtId="0" xfId="0" applyBorder="1" applyFont="1"/>
    <xf borderId="105" fillId="0" fontId="50" numFmtId="0" xfId="0" applyAlignment="1" applyBorder="1" applyFont="1">
      <alignment horizontal="center"/>
    </xf>
    <xf borderId="26" fillId="0" fontId="20" numFmtId="3" xfId="0" applyAlignment="1" applyBorder="1" applyFont="1" applyNumberFormat="1">
      <alignment readingOrder="0"/>
    </xf>
    <xf borderId="55" fillId="0" fontId="20" numFmtId="0" xfId="0" applyBorder="1" applyFont="1"/>
    <xf borderId="54" fillId="0" fontId="20" numFmtId="0" xfId="0" applyBorder="1" applyFont="1"/>
    <xf borderId="42" fillId="0" fontId="20" numFmtId="3" xfId="0" applyBorder="1" applyFont="1" applyNumberFormat="1"/>
    <xf borderId="55" fillId="0" fontId="22" numFmtId="3" xfId="0" applyBorder="1" applyFont="1" applyNumberFormat="1"/>
    <xf borderId="0" fillId="0" fontId="51" numFmtId="0" xfId="0" applyAlignment="1" applyFont="1">
      <alignment horizontal="left"/>
    </xf>
    <xf borderId="0" fillId="0" fontId="20" numFmtId="165" xfId="0" applyAlignment="1" applyFont="1" applyNumberFormat="1">
      <alignment horizontal="left"/>
    </xf>
    <xf borderId="0" fillId="0" fontId="20" numFmtId="0" xfId="0" applyAlignment="1" applyFont="1">
      <alignment horizontal="left" readingOrder="0"/>
    </xf>
    <xf quotePrefix="1" borderId="114" fillId="11" fontId="22" numFmtId="0" xfId="0" applyAlignment="1" applyBorder="1" applyFont="1">
      <alignment horizontal="center"/>
    </xf>
    <xf quotePrefix="1" borderId="110" fillId="11" fontId="22" numFmtId="0" xfId="0" applyAlignment="1" applyBorder="1" applyFont="1">
      <alignment horizontal="center"/>
    </xf>
    <xf quotePrefix="1" borderId="111" fillId="11" fontId="22" numFmtId="0" xfId="0" applyAlignment="1" applyBorder="1" applyFont="1">
      <alignment horizontal="center"/>
    </xf>
    <xf quotePrefix="1" borderId="116" fillId="11" fontId="22" numFmtId="0" xfId="0" applyAlignment="1" applyBorder="1" applyFont="1">
      <alignment horizontal="center"/>
    </xf>
    <xf borderId="0" fillId="0" fontId="22" numFmtId="0" xfId="0" applyAlignment="1" applyFont="1">
      <alignment horizontal="left"/>
    </xf>
    <xf borderId="0" fillId="0" fontId="20" numFmtId="0" xfId="0" applyAlignment="1" applyFont="1">
      <alignment horizontal="center" shrinkToFit="0" vertical="top" wrapText="1"/>
    </xf>
    <xf borderId="107" fillId="11" fontId="22" numFmtId="0" xfId="0" applyAlignment="1" applyBorder="1" applyFont="1">
      <alignment horizontal="center" shrinkToFit="0" vertical="top" wrapText="1"/>
    </xf>
    <xf borderId="112" fillId="11" fontId="22" numFmtId="0" xfId="0" applyAlignment="1" applyBorder="1" applyFont="1">
      <alignment horizontal="center" shrinkToFit="0" vertical="top" wrapText="1"/>
    </xf>
    <xf borderId="108" fillId="11" fontId="22" numFmtId="0" xfId="0" applyAlignment="1" applyBorder="1" applyFont="1">
      <alignment horizontal="center" shrinkToFit="0" vertical="top" wrapText="1"/>
    </xf>
    <xf borderId="108" fillId="11" fontId="22" numFmtId="165" xfId="0" applyAlignment="1" applyBorder="1" applyFont="1" applyNumberFormat="1">
      <alignment horizontal="center" shrinkToFit="0" vertical="top" wrapText="1"/>
    </xf>
    <xf borderId="19" fillId="0" fontId="20" numFmtId="0" xfId="0" applyAlignment="1" applyBorder="1" applyFont="1">
      <alignment horizontal="left"/>
    </xf>
    <xf borderId="23" fillId="0" fontId="20" numFmtId="0" xfId="0" applyAlignment="1" applyBorder="1" applyFont="1">
      <alignment horizontal="left"/>
    </xf>
    <xf borderId="19" fillId="0" fontId="20" numFmtId="3" xfId="0" applyAlignment="1" applyBorder="1" applyFont="1" applyNumberFormat="1">
      <alignment horizontal="left"/>
    </xf>
    <xf borderId="51" fillId="0" fontId="20" numFmtId="3" xfId="0" applyAlignment="1" applyBorder="1" applyFont="1" applyNumberFormat="1">
      <alignment horizontal="left"/>
    </xf>
    <xf borderId="20" fillId="0" fontId="20" numFmtId="3" xfId="0" applyAlignment="1" applyBorder="1" applyFont="1" applyNumberFormat="1">
      <alignment horizontal="left"/>
    </xf>
    <xf borderId="20" fillId="0" fontId="20" numFmtId="165" xfId="0" applyAlignment="1" applyBorder="1" applyFont="1" applyNumberFormat="1">
      <alignment horizontal="left"/>
    </xf>
    <xf borderId="24" fillId="0" fontId="20" numFmtId="0" xfId="0" applyAlignment="1" applyBorder="1" applyFont="1">
      <alignment horizontal="left"/>
    </xf>
    <xf borderId="27" fillId="0" fontId="20" numFmtId="0" xfId="0" applyAlignment="1" applyBorder="1" applyFont="1">
      <alignment horizontal="left"/>
    </xf>
    <xf borderId="24" fillId="0" fontId="20" numFmtId="3" xfId="0" applyAlignment="1" applyBorder="1" applyFont="1" applyNumberFormat="1">
      <alignment horizontal="left"/>
    </xf>
    <xf borderId="52" fillId="0" fontId="20" numFmtId="3" xfId="0" applyAlignment="1" applyBorder="1" applyFont="1" applyNumberFormat="1">
      <alignment horizontal="left"/>
    </xf>
    <xf borderId="26" fillId="0" fontId="20" numFmtId="3" xfId="0" applyAlignment="1" applyBorder="1" applyFont="1" applyNumberFormat="1">
      <alignment horizontal="left"/>
    </xf>
    <xf borderId="24" fillId="0" fontId="22" numFmtId="0" xfId="0" applyAlignment="1" applyBorder="1" applyFont="1">
      <alignment horizontal="left"/>
    </xf>
    <xf borderId="0" fillId="0" fontId="20" numFmtId="3" xfId="0" applyAlignment="1" applyFont="1" applyNumberFormat="1">
      <alignment horizontal="left"/>
    </xf>
    <xf borderId="105" fillId="0" fontId="20" numFmtId="0" xfId="0" applyAlignment="1" applyBorder="1" applyFont="1">
      <alignment horizontal="left"/>
    </xf>
    <xf borderId="26" fillId="4" fontId="20" numFmtId="3" xfId="0" applyAlignment="1" applyBorder="1" applyFont="1" applyNumberFormat="1">
      <alignment horizontal="center"/>
    </xf>
    <xf borderId="26" fillId="4" fontId="20" numFmtId="165" xfId="0" applyAlignment="1" applyBorder="1" applyFont="1" applyNumberFormat="1">
      <alignment horizontal="center"/>
    </xf>
    <xf borderId="105" fillId="0" fontId="49" numFmtId="0" xfId="0" applyAlignment="1" applyBorder="1" applyFont="1">
      <alignment horizontal="left"/>
    </xf>
    <xf borderId="24" fillId="0" fontId="49" numFmtId="3" xfId="0" applyAlignment="1" applyBorder="1" applyFont="1" applyNumberFormat="1">
      <alignment horizontal="center"/>
    </xf>
    <xf borderId="33" fillId="0" fontId="20" numFmtId="0" xfId="0" applyAlignment="1" applyBorder="1" applyFont="1">
      <alignment horizontal="left"/>
    </xf>
    <xf borderId="36" fillId="0" fontId="20" numFmtId="0" xfId="0" applyAlignment="1" applyBorder="1" applyFont="1">
      <alignment horizontal="left"/>
    </xf>
    <xf borderId="10" fillId="0" fontId="20" numFmtId="0" xfId="0" applyAlignment="1" applyBorder="1" applyFont="1">
      <alignment horizontal="left"/>
    </xf>
    <xf borderId="12" fillId="0" fontId="52" numFmtId="0" xfId="0" applyAlignment="1" applyBorder="1" applyFont="1">
      <alignment horizontal="left"/>
    </xf>
    <xf borderId="10" fillId="0" fontId="20" numFmtId="0" xfId="0" applyAlignment="1" applyBorder="1" applyFont="1">
      <alignment horizontal="center"/>
    </xf>
    <xf borderId="55" fillId="0" fontId="20" numFmtId="0" xfId="0" applyAlignment="1" applyBorder="1" applyFont="1">
      <alignment horizontal="center"/>
    </xf>
    <xf borderId="106" fillId="0" fontId="21" numFmtId="0" xfId="0" applyAlignment="1" applyBorder="1" applyFont="1">
      <alignment horizontal="left"/>
    </xf>
    <xf borderId="103" fillId="0" fontId="20" numFmtId="0" xfId="0" applyAlignment="1" applyBorder="1" applyFont="1">
      <alignment horizontal="left" readingOrder="0"/>
    </xf>
    <xf borderId="103" fillId="0" fontId="20" numFmtId="0" xfId="0" applyAlignment="1" applyBorder="1" applyFont="1">
      <alignment horizontal="left"/>
    </xf>
    <xf borderId="36" fillId="0" fontId="53" numFmtId="0" xfId="0" applyAlignment="1" applyBorder="1" applyFont="1">
      <alignment horizontal="left"/>
    </xf>
    <xf borderId="10" fillId="0" fontId="22" numFmtId="0" xfId="0" applyAlignment="1" applyBorder="1" applyFont="1">
      <alignment horizontal="left"/>
    </xf>
    <xf borderId="12" fillId="0" fontId="22" numFmtId="0" xfId="0" applyAlignment="1" applyBorder="1" applyFont="1">
      <alignment horizontal="left"/>
    </xf>
    <xf borderId="41" fillId="0" fontId="20" numFmtId="0" xfId="0" applyAlignment="1" applyBorder="1" applyFont="1">
      <alignment horizontal="left"/>
    </xf>
    <xf borderId="45" fillId="0" fontId="20" numFmtId="0" xfId="0" applyAlignment="1" applyBorder="1" applyFont="1">
      <alignment horizontal="left"/>
    </xf>
    <xf borderId="34" fillId="5" fontId="22" numFmtId="0" xfId="0" applyAlignment="1" applyBorder="1" applyFont="1">
      <alignment horizontal="left" vertical="top"/>
    </xf>
    <xf quotePrefix="1" borderId="26" fillId="5" fontId="22" numFmtId="0" xfId="0" applyAlignment="1" applyBorder="1" applyFont="1">
      <alignment horizontal="center"/>
    </xf>
    <xf borderId="26" fillId="5" fontId="22" numFmtId="0" xfId="0" applyAlignment="1" applyBorder="1" applyFont="1">
      <alignment horizontal="center" shrinkToFit="0" vertical="top" wrapText="1"/>
    </xf>
    <xf borderId="26" fillId="5" fontId="22" numFmtId="3" xfId="0" applyAlignment="1" applyBorder="1" applyFont="1" applyNumberFormat="1">
      <alignment horizontal="center" shrinkToFit="0" vertical="top" wrapText="1"/>
    </xf>
    <xf borderId="26" fillId="5" fontId="22" numFmtId="165" xfId="0" applyAlignment="1" applyBorder="1" applyFont="1" applyNumberFormat="1">
      <alignment horizontal="center" shrinkToFit="0" vertical="top" wrapText="1"/>
    </xf>
    <xf borderId="64" fillId="0" fontId="20" numFmtId="0" xfId="0" applyBorder="1" applyFont="1"/>
    <xf borderId="52" fillId="0" fontId="22" numFmtId="0" xfId="0" applyBorder="1" applyFont="1"/>
    <xf borderId="64" fillId="0" fontId="50" numFmtId="0" xfId="0" applyAlignment="1" applyBorder="1" applyFont="1">
      <alignment horizontal="center"/>
    </xf>
    <xf borderId="26" fillId="0" fontId="50" numFmtId="3" xfId="0" applyAlignment="1" applyBorder="1" applyFont="1" applyNumberFormat="1">
      <alignment horizontal="center"/>
    </xf>
    <xf borderId="26" fillId="17" fontId="20" numFmtId="0" xfId="0" applyAlignment="1" applyBorder="1" applyFill="1" applyFont="1">
      <alignment readingOrder="0"/>
    </xf>
    <xf borderId="26" fillId="17" fontId="20" numFmtId="0" xfId="0" applyBorder="1" applyFont="1"/>
    <xf quotePrefix="1" borderId="26" fillId="0" fontId="5" numFmtId="0" xfId="0" applyAlignment="1" applyBorder="1" applyFont="1">
      <alignment horizontal="center"/>
    </xf>
    <xf borderId="26" fillId="0" fontId="3" numFmtId="165" xfId="0" applyBorder="1" applyFont="1" applyNumberFormat="1"/>
    <xf borderId="26" fillId="0" fontId="3" numFmtId="165" xfId="0" applyAlignment="1" applyBorder="1" applyFont="1" applyNumberFormat="1">
      <alignment readingOrder="0"/>
    </xf>
    <xf borderId="26" fillId="0" fontId="11" numFmtId="165" xfId="0" applyAlignment="1" applyBorder="1" applyFont="1" applyNumberFormat="1">
      <alignment readingOrder="0"/>
    </xf>
    <xf borderId="26" fillId="0" fontId="4" numFmtId="3" xfId="0" applyAlignment="1" applyBorder="1" applyFont="1" applyNumberFormat="1">
      <alignment horizontal="right" vertical="bottom"/>
    </xf>
    <xf borderId="26" fillId="0" fontId="5" numFmtId="3" xfId="0" applyAlignment="1" applyBorder="1" applyFont="1" applyNumberFormat="1">
      <alignment horizontal="right" vertical="bottom"/>
    </xf>
    <xf quotePrefix="1" borderId="26" fillId="0" fontId="10" numFmtId="0" xfId="0" applyBorder="1" applyFont="1"/>
    <xf quotePrefix="1" borderId="26" fillId="0" fontId="10" numFmtId="0" xfId="0" applyAlignment="1" applyBorder="1" applyFont="1">
      <alignment readingOrder="0"/>
    </xf>
    <xf borderId="26" fillId="0" fontId="1" numFmtId="0" xfId="0" applyAlignment="1" applyBorder="1" applyFont="1">
      <alignment readingOrder="0"/>
    </xf>
    <xf borderId="26" fillId="0" fontId="1" numFmtId="165" xfId="0" applyBorder="1" applyFont="1" applyNumberFormat="1"/>
    <xf borderId="26" fillId="0" fontId="1" numFmtId="3" xfId="0" applyBorder="1" applyFont="1" applyNumberFormat="1"/>
    <xf borderId="26" fillId="2" fontId="8" numFmtId="166" xfId="0" applyAlignment="1" applyBorder="1" applyFont="1" applyNumberFormat="1">
      <alignment horizontal="center"/>
    </xf>
    <xf quotePrefix="1" borderId="0" fillId="0" fontId="10" numFmtId="0" xfId="0" applyFont="1"/>
    <xf borderId="26" fillId="0" fontId="10" numFmtId="3" xfId="0" applyAlignment="1" applyBorder="1" applyFont="1" applyNumberFormat="1">
      <alignment horizontal="center"/>
    </xf>
    <xf borderId="26" fillId="2" fontId="8" numFmtId="3" xfId="0" applyAlignment="1" applyBorder="1" applyFont="1" applyNumberFormat="1">
      <alignment horizontal="center"/>
    </xf>
    <xf borderId="26" fillId="0" fontId="10" numFmtId="0" xfId="0" applyAlignment="1" applyBorder="1" applyFont="1">
      <alignment horizontal="center"/>
    </xf>
    <xf borderId="26" fillId="2" fontId="8" numFmtId="10" xfId="0" applyAlignment="1" applyBorder="1" applyFont="1" applyNumberFormat="1">
      <alignment horizontal="center"/>
    </xf>
    <xf quotePrefix="1" borderId="26" fillId="2" fontId="8" numFmtId="0" xfId="0" applyBorder="1" applyFont="1"/>
    <xf borderId="0" fillId="0" fontId="18" numFmtId="0" xfId="0" applyAlignment="1" applyFont="1">
      <alignment horizontal="center"/>
    </xf>
    <xf borderId="0" fillId="0" fontId="18" numFmtId="0" xfId="0" applyAlignment="1" applyFont="1">
      <alignment horizontal="right"/>
    </xf>
    <xf borderId="0" fillId="0" fontId="22" numFmtId="166" xfId="0" applyAlignment="1" applyFont="1" applyNumberFormat="1">
      <alignment horizontal="center"/>
    </xf>
    <xf borderId="9" fillId="5" fontId="22" numFmtId="0" xfId="0" applyBorder="1" applyFont="1"/>
    <xf borderId="5" fillId="5" fontId="22" numFmtId="169" xfId="0" applyAlignment="1" applyBorder="1" applyFont="1" applyNumberFormat="1">
      <alignment horizontal="center" shrinkToFit="0" vertical="top" wrapText="1"/>
    </xf>
    <xf quotePrefix="1" borderId="5" fillId="5" fontId="22" numFmtId="169" xfId="0" applyAlignment="1" applyBorder="1" applyFont="1" applyNumberFormat="1">
      <alignment horizontal="center" shrinkToFit="0" vertical="top" wrapText="1"/>
    </xf>
    <xf borderId="46" fillId="5" fontId="22" numFmtId="166" xfId="0" applyAlignment="1" applyBorder="1" applyFont="1" applyNumberFormat="1">
      <alignment horizontal="center" vertical="center"/>
    </xf>
    <xf borderId="9" fillId="5" fontId="54" numFmtId="0" xfId="0" applyBorder="1" applyFont="1"/>
    <xf borderId="10" fillId="5" fontId="22" numFmtId="169" xfId="0" applyAlignment="1" applyBorder="1" applyFont="1" applyNumberFormat="1">
      <alignment horizontal="center" shrinkToFit="0" vertical="top" wrapText="1"/>
    </xf>
    <xf borderId="12" fillId="5" fontId="22" numFmtId="169" xfId="0" applyAlignment="1" applyBorder="1" applyFont="1" applyNumberFormat="1">
      <alignment horizontal="center" shrinkToFit="0" vertical="top" wrapText="1"/>
    </xf>
    <xf borderId="14" fillId="5" fontId="22" numFmtId="169" xfId="0" applyAlignment="1" applyBorder="1" applyFont="1" applyNumberFormat="1">
      <alignment horizontal="center" shrinkToFit="0" vertical="top" wrapText="1"/>
    </xf>
    <xf borderId="23" fillId="0" fontId="20" numFmtId="10" xfId="0" applyAlignment="1" applyBorder="1" applyFont="1" applyNumberFormat="1">
      <alignment horizontal="right"/>
    </xf>
    <xf borderId="19" fillId="0" fontId="20" numFmtId="3" xfId="0" applyAlignment="1" applyBorder="1" applyFont="1" applyNumberFormat="1">
      <alignment horizontal="right"/>
    </xf>
    <xf borderId="81" fillId="0" fontId="20" numFmtId="10" xfId="0" applyAlignment="1" applyBorder="1" applyFont="1" applyNumberFormat="1">
      <alignment horizontal="right"/>
    </xf>
    <xf borderId="94" fillId="0" fontId="20" numFmtId="3" xfId="0" applyAlignment="1" applyBorder="1" applyFont="1" applyNumberFormat="1">
      <alignment horizontal="right"/>
    </xf>
    <xf borderId="100" fillId="0" fontId="20" numFmtId="10" xfId="0" applyAlignment="1" applyBorder="1" applyFont="1" applyNumberFormat="1">
      <alignment horizontal="center"/>
    </xf>
    <xf borderId="27" fillId="0" fontId="20" numFmtId="10" xfId="0" applyAlignment="1" applyBorder="1" applyFont="1" applyNumberFormat="1">
      <alignment horizontal="right"/>
    </xf>
    <xf borderId="24" fillId="0" fontId="20" numFmtId="3" xfId="0" applyAlignment="1" applyBorder="1" applyFont="1" applyNumberFormat="1">
      <alignment horizontal="right"/>
    </xf>
    <xf borderId="101" fillId="0" fontId="20" numFmtId="10" xfId="0" applyAlignment="1" applyBorder="1" applyFont="1" applyNumberFormat="1">
      <alignment horizontal="center"/>
    </xf>
    <xf borderId="25" fillId="0" fontId="20" numFmtId="3" xfId="0" applyAlignment="1" applyBorder="1" applyFont="1" applyNumberFormat="1">
      <alignment horizontal="right"/>
    </xf>
    <xf borderId="36" fillId="0" fontId="20" numFmtId="10" xfId="0" applyAlignment="1" applyBorder="1" applyFont="1" applyNumberFormat="1">
      <alignment horizontal="right"/>
    </xf>
    <xf borderId="33" fillId="0" fontId="20" numFmtId="165" xfId="0" applyAlignment="1" applyBorder="1" applyFont="1" applyNumberFormat="1">
      <alignment horizontal="right"/>
    </xf>
    <xf borderId="33" fillId="0" fontId="20" numFmtId="3" xfId="0" applyAlignment="1" applyBorder="1" applyFont="1" applyNumberFormat="1">
      <alignment horizontal="right"/>
    </xf>
    <xf borderId="23" fillId="0" fontId="20" numFmtId="165" xfId="0" applyAlignment="1" applyBorder="1" applyFont="1" applyNumberFormat="1">
      <alignment horizontal="right"/>
    </xf>
    <xf borderId="33" fillId="0" fontId="20" numFmtId="164" xfId="0" applyAlignment="1" applyBorder="1" applyFont="1" applyNumberFormat="1">
      <alignment horizontal="right"/>
    </xf>
    <xf borderId="95" fillId="0" fontId="20" numFmtId="164" xfId="0" applyAlignment="1" applyBorder="1" applyFont="1" applyNumberFormat="1">
      <alignment horizontal="right"/>
    </xf>
    <xf borderId="10" fillId="5" fontId="22" numFmtId="165" xfId="0" applyAlignment="1" applyBorder="1" applyFont="1" applyNumberFormat="1">
      <alignment horizontal="center"/>
    </xf>
    <xf borderId="12" fillId="5" fontId="22" numFmtId="10" xfId="0" applyAlignment="1" applyBorder="1" applyFont="1" applyNumberFormat="1">
      <alignment horizontal="right"/>
    </xf>
    <xf borderId="14" fillId="5" fontId="22" numFmtId="10" xfId="0" applyAlignment="1" applyBorder="1" applyFont="1" applyNumberFormat="1">
      <alignment horizontal="right"/>
    </xf>
    <xf borderId="9" fillId="5" fontId="22" numFmtId="3" xfId="0" applyAlignment="1" applyBorder="1" applyFont="1" applyNumberFormat="1">
      <alignment horizontal="right"/>
    </xf>
    <xf borderId="117" fillId="5" fontId="22" numFmtId="10" xfId="0" applyAlignment="1" applyBorder="1" applyFont="1" applyNumberFormat="1">
      <alignment horizontal="center"/>
    </xf>
    <xf borderId="23" fillId="0" fontId="20" numFmtId="0" xfId="0" applyAlignment="1" applyBorder="1" applyFont="1">
      <alignment horizontal="right"/>
    </xf>
    <xf borderId="19" fillId="0" fontId="20" numFmtId="0" xfId="0" applyAlignment="1" applyBorder="1" applyFont="1">
      <alignment horizontal="right"/>
    </xf>
    <xf borderId="81" fillId="0" fontId="20" numFmtId="0" xfId="0" applyAlignment="1" applyBorder="1" applyFont="1">
      <alignment horizontal="right"/>
    </xf>
    <xf borderId="94" fillId="0" fontId="20" numFmtId="0" xfId="0" applyAlignment="1" applyBorder="1" applyFont="1">
      <alignment horizontal="right"/>
    </xf>
    <xf borderId="27" fillId="0" fontId="20" numFmtId="0" xfId="0" applyAlignment="1" applyBorder="1" applyFont="1">
      <alignment horizontal="right"/>
    </xf>
    <xf borderId="24" fillId="0" fontId="20" numFmtId="0" xfId="0" applyAlignment="1" applyBorder="1" applyFont="1">
      <alignment horizontal="right"/>
    </xf>
    <xf borderId="64" fillId="0" fontId="20" numFmtId="0" xfId="0" applyAlignment="1" applyBorder="1" applyFont="1">
      <alignment horizontal="right"/>
    </xf>
    <xf borderId="25" fillId="0" fontId="20" numFmtId="0" xfId="0" applyAlignment="1" applyBorder="1" applyFont="1">
      <alignment horizontal="right"/>
    </xf>
    <xf borderId="64" fillId="0" fontId="20" numFmtId="10" xfId="0" applyAlignment="1" applyBorder="1" applyFont="1" applyNumberFormat="1">
      <alignment horizontal="right"/>
    </xf>
    <xf borderId="36" fillId="0" fontId="20" numFmtId="3" xfId="0" applyAlignment="1" applyBorder="1" applyFont="1" applyNumberFormat="1">
      <alignment horizontal="right"/>
    </xf>
    <xf borderId="79" fillId="0" fontId="20" numFmtId="3" xfId="0" applyAlignment="1" applyBorder="1" applyFont="1" applyNumberFormat="1">
      <alignment horizontal="right"/>
    </xf>
    <xf borderId="95" fillId="0" fontId="20" numFmtId="3" xfId="0" applyAlignment="1" applyBorder="1" applyFont="1" applyNumberFormat="1">
      <alignment horizontal="right"/>
    </xf>
    <xf borderId="102" fillId="0" fontId="20" numFmtId="10" xfId="0" applyAlignment="1" applyBorder="1" applyFont="1" applyNumberFormat="1">
      <alignment horizontal="center"/>
    </xf>
    <xf borderId="10" fillId="5" fontId="22" numFmtId="3" xfId="0" applyAlignment="1" applyBorder="1" applyFont="1" applyNumberFormat="1">
      <alignment horizontal="right"/>
    </xf>
    <xf borderId="45" fillId="0" fontId="20" numFmtId="0" xfId="0" applyAlignment="1" applyBorder="1" applyFont="1">
      <alignment horizontal="right"/>
    </xf>
    <xf borderId="41" fillId="0" fontId="20" numFmtId="0" xfId="0" applyAlignment="1" applyBorder="1" applyFont="1">
      <alignment horizontal="right"/>
    </xf>
    <xf borderId="41" fillId="0" fontId="20" numFmtId="164" xfId="0" applyAlignment="1" applyBorder="1" applyFont="1" applyNumberFormat="1">
      <alignment horizontal="right"/>
    </xf>
    <xf borderId="82" fillId="0" fontId="20" numFmtId="0" xfId="0" applyAlignment="1" applyBorder="1" applyFont="1">
      <alignment horizontal="right"/>
    </xf>
    <xf borderId="60" fillId="0" fontId="20" numFmtId="0" xfId="0" applyAlignment="1" applyBorder="1" applyFont="1">
      <alignment horizontal="right"/>
    </xf>
    <xf borderId="12" fillId="5" fontId="22" numFmtId="3" xfId="0" applyAlignment="1" applyBorder="1" applyFont="1" applyNumberFormat="1">
      <alignment horizontal="right"/>
    </xf>
    <xf borderId="24" fillId="0" fontId="20" numFmtId="165" xfId="0" applyAlignment="1" applyBorder="1" applyFont="1" applyNumberFormat="1">
      <alignment horizontal="right"/>
    </xf>
    <xf borderId="25" fillId="0" fontId="20" numFmtId="165" xfId="0" applyAlignment="1" applyBorder="1" applyFont="1" applyNumberFormat="1">
      <alignment horizontal="right"/>
    </xf>
    <xf borderId="95" fillId="0" fontId="20" numFmtId="165" xfId="0" applyAlignment="1" applyBorder="1" applyFont="1" applyNumberFormat="1">
      <alignment horizontal="right"/>
    </xf>
    <xf borderId="98" fillId="0" fontId="20" numFmtId="0" xfId="0" applyAlignment="1" applyBorder="1" applyFont="1">
      <alignment horizontal="right"/>
    </xf>
    <xf borderId="118" fillId="0" fontId="20" numFmtId="0" xfId="0" applyAlignment="1" applyBorder="1" applyFont="1">
      <alignment horizontal="right"/>
    </xf>
    <xf borderId="13" fillId="5" fontId="22" numFmtId="3" xfId="0" applyAlignment="1" applyBorder="1" applyFont="1" applyNumberFormat="1">
      <alignment horizontal="right"/>
    </xf>
    <xf borderId="0" fillId="0" fontId="18" numFmtId="165" xfId="0" applyAlignment="1" applyFont="1" applyNumberFormat="1">
      <alignment horizontal="center"/>
    </xf>
    <xf borderId="0" fillId="0" fontId="18" numFmtId="165" xfId="0" applyAlignment="1" applyFont="1" applyNumberFormat="1">
      <alignment horizontal="right"/>
    </xf>
    <xf borderId="0" fillId="0" fontId="18" numFmtId="3" xfId="0" applyAlignment="1" applyFont="1" applyNumberFormat="1">
      <alignment horizontal="center"/>
    </xf>
    <xf borderId="0" fillId="0" fontId="18" numFmtId="164" xfId="0" applyAlignment="1" applyFont="1" applyNumberFormat="1">
      <alignment horizontal="right"/>
    </xf>
    <xf quotePrefix="1" borderId="0" fillId="0" fontId="55" numFmtId="0" xfId="0" applyFont="1"/>
    <xf borderId="24" fillId="0" fontId="20" numFmtId="164" xfId="0" applyAlignment="1" applyBorder="1" applyFont="1" applyNumberFormat="1">
      <alignment horizontal="right"/>
    </xf>
    <xf borderId="27" fillId="0" fontId="20" numFmtId="165" xfId="0" applyAlignment="1" applyBorder="1" applyFont="1" applyNumberFormat="1">
      <alignment horizontal="right"/>
    </xf>
    <xf borderId="81" fillId="0" fontId="20" numFmtId="165" xfId="0" applyAlignment="1" applyBorder="1" applyFont="1" applyNumberFormat="1">
      <alignment horizontal="right"/>
    </xf>
    <xf borderId="94" fillId="0" fontId="20" numFmtId="165" xfId="0" applyAlignment="1" applyBorder="1" applyFont="1" applyNumberFormat="1">
      <alignment horizontal="right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3"/></Relationships>
</file>

<file path=xl/_rels/comments5.xml.rels><?xml version="1.0" encoding="UTF-8" standalone="yes"?>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<Relationships xmlns="http://schemas.openxmlformats.org/package/2006/relationships"><Relationship Id="rId1" Type="http://customschemas.google.com/relationships/workbookmetadata" Target="commentsmeta5"/></Relationships>
</file>

<file path=xl/_rels/comments7.xml.rels><?xml version="1.0" encoding="UTF-8" standalone="yes"?><Relationships xmlns="http://schemas.openxmlformats.org/package/2006/relationships"><Relationship Id="rId1" Type="http://customschemas.google.com/relationships/workbookmetadata" Target="commentsmeta6"/></Relationships>
</file>

<file path=xl/_rels/comments8.xml.rels><?xml version="1.0" encoding="UTF-8" standalone="yes"?><Relationships xmlns="http://schemas.openxmlformats.org/package/2006/relationships"><Relationship Id="rId1" Type="http://customschemas.google.com/relationships/workbookmetadata" Target="commentsmeta7"/></Relationships>
</file>

<file path=xl/_rels/comments9.xml.rels><?xml version="1.0" encoding="UTF-8" standalone="yes"?><Relationships xmlns="http://schemas.openxmlformats.org/package/2006/relationships"><Relationship Id="rId1" Type="http://customschemas.google.com/relationships/workbookmetadata" Target="commentsmeta8"/></Relationships>
</file>

<file path=xl/_rels/comments10.xml.rels><?xml version="1.0" encoding="UTF-8" standalone="yes"?><Relationships xmlns="http://schemas.openxmlformats.org/package/2006/relationships"><Relationship Id="rId1" Type="http://customschemas.google.com/relationships/workbookmetadata" Target="commentsmeta9"/></Relationships>
</file>

<file path=xl/_rels/comments11.xml.rels><?xml version="1.0" encoding="UTF-8" standalone="yes"?><Relationships xmlns="http://schemas.openxmlformats.org/package/2006/relationships"><Relationship Id="rId1" Type="http://customschemas.google.com/relationships/workbookmetadata" Target="commentsmeta10"/></Relationships>
</file>

<file path=xl/_rels/comments12.xml.rels><?xml version="1.0" encoding="UTF-8" standalone="yes"?><Relationships xmlns="http://schemas.openxmlformats.org/package/2006/relationships"><Relationship Id="rId1" Type="http://customschemas.google.com/relationships/workbookmetadata" Target="commentsmeta11"/></Relationships>
</file>

<file path=xl/_rels/comments13.xml.rels><?xml version="1.0" encoding="UTF-8" standalone="yes"?><Relationships xmlns="http://schemas.openxmlformats.org/package/2006/relationships"><Relationship Id="rId1" Type="http://customschemas.google.com/relationships/workbookmetadata" Target="commentsmeta12"/></Relationships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20" Type="http://schemas.openxmlformats.org/officeDocument/2006/relationships/worksheet" Target="worksheets/sheet1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22" Type="http://schemas.openxmlformats.org/officeDocument/2006/relationships/worksheet" Target="worksheets/sheet19.xml"/><Relationship Id="rId44" Type="http://schemas.openxmlformats.org/officeDocument/2006/relationships/worksheet" Target="worksheets/sheet41.xml"/><Relationship Id="rId21" Type="http://schemas.openxmlformats.org/officeDocument/2006/relationships/worksheet" Target="worksheets/sheet18.xml"/><Relationship Id="rId43" Type="http://schemas.openxmlformats.org/officeDocument/2006/relationships/worksheet" Target="worksheets/sheet40.xml"/><Relationship Id="rId24" Type="http://schemas.openxmlformats.org/officeDocument/2006/relationships/worksheet" Target="worksheets/sheet21.xml"/><Relationship Id="rId46" Type="http://customschemas.google.com/relationships/workbookmetadata" Target="metadata"/><Relationship Id="rId23" Type="http://schemas.openxmlformats.org/officeDocument/2006/relationships/worksheet" Target="worksheets/sheet20.xml"/><Relationship Id="rId45" Type="http://schemas.openxmlformats.org/officeDocument/2006/relationships/worksheet" Target="worksheets/sheet4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37" Type="http://schemas.openxmlformats.org/officeDocument/2006/relationships/worksheet" Target="worksheets/sheet34.xml"/><Relationship Id="rId14" Type="http://schemas.openxmlformats.org/officeDocument/2006/relationships/worksheet" Target="worksheets/sheet11.xml"/><Relationship Id="rId36" Type="http://schemas.openxmlformats.org/officeDocument/2006/relationships/worksheet" Target="worksheets/sheet33.xml"/><Relationship Id="rId17" Type="http://schemas.openxmlformats.org/officeDocument/2006/relationships/worksheet" Target="worksheets/sheet14.xml"/><Relationship Id="rId39" Type="http://schemas.openxmlformats.org/officeDocument/2006/relationships/worksheet" Target="worksheets/sheet36.xml"/><Relationship Id="rId16" Type="http://schemas.openxmlformats.org/officeDocument/2006/relationships/worksheet" Target="worksheets/sheet13.xml"/><Relationship Id="rId38" Type="http://schemas.openxmlformats.org/officeDocument/2006/relationships/worksheet" Target="worksheets/sheet35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2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4.xml"/><Relationship Id="rId3" Type="http://schemas.openxmlformats.org/officeDocument/2006/relationships/vmlDrawing" Target="../drawings/vmlDrawing3.v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7.xml"/><Relationship Id="rId3" Type="http://schemas.openxmlformats.org/officeDocument/2006/relationships/vmlDrawing" Target="../drawings/vmlDrawing6.v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7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8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30.xml"/><Relationship Id="rId3" Type="http://schemas.openxmlformats.org/officeDocument/2006/relationships/vmlDrawing" Target="../drawings/vmlDrawing9.v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31.xml"/><Relationship Id="rId3" Type="http://schemas.openxmlformats.org/officeDocument/2006/relationships/vmlDrawing" Target="../drawings/vmlDrawing10.v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32.xml"/><Relationship Id="rId3" Type="http://schemas.openxmlformats.org/officeDocument/2006/relationships/vmlDrawing" Target="../drawings/vmlDrawing11.v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2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37.xml"/><Relationship Id="rId3" Type="http://schemas.openxmlformats.org/officeDocument/2006/relationships/vmlDrawing" Target="../drawings/vmlDrawing13.v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3" width="20.63"/>
    <col customWidth="1" hidden="1" min="4" max="4" width="8.13"/>
    <col customWidth="1" min="5" max="5" width="14.25"/>
    <col customWidth="1" min="6" max="6" width="12.63"/>
    <col customWidth="1" min="7" max="7" width="12.75"/>
    <col hidden="1" min="8" max="8" width="12.63"/>
    <col customWidth="1" hidden="1" min="9" max="9" width="11.63"/>
    <col hidden="1" min="10" max="10" width="12.63"/>
    <col hidden="1" min="13" max="14" width="12.63"/>
    <col customWidth="1" min="15" max="15" width="12.75"/>
    <col customWidth="1" min="17" max="17" width="14.63"/>
    <col customWidth="1" min="19" max="19" width="12.75"/>
    <col customWidth="1" hidden="1" min="21" max="21" width="12.75"/>
    <col hidden="1" min="22" max="22" width="12.63"/>
    <col customWidth="1" min="23" max="23" width="12.75"/>
    <col customWidth="1" hidden="1" min="25" max="25" width="12.75"/>
    <col hidden="1" min="26" max="26" width="12.63"/>
    <col customWidth="1" min="27" max="27" width="12.75"/>
    <col hidden="1" min="29" max="30" width="12.63"/>
    <col customWidth="1" min="31" max="31" width="12.75"/>
    <col customWidth="1" hidden="1" min="33" max="33" width="12.75"/>
    <col hidden="1" min="34" max="34" width="12.63"/>
    <col customWidth="1" min="35" max="35" width="12.75"/>
    <col customWidth="1" hidden="1" min="37" max="37" width="12.75"/>
    <col hidden="1" min="38" max="38" width="12.63"/>
    <col customWidth="1" min="39" max="39" width="12.75"/>
    <col customWidth="1" hidden="1" min="41" max="41" width="12.75"/>
    <col hidden="1" min="42" max="42" width="12.63"/>
    <col customWidth="1" min="43" max="43" width="12.75"/>
    <col customWidth="1" hidden="1" min="45" max="45" width="12.75"/>
    <col hidden="1" min="46" max="46" width="12.63"/>
    <col customWidth="1" min="47" max="47" width="12.75"/>
  </cols>
  <sheetData>
    <row r="1" ht="15.75" customHeight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ht="15.75" customHeight="1">
      <c r="B2" s="4" t="s">
        <v>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ht="15.75" customHeight="1">
      <c r="B3" s="5"/>
      <c r="C3" s="6" t="s">
        <v>3</v>
      </c>
      <c r="D3" s="7"/>
      <c r="E3" s="7"/>
      <c r="F3" s="8"/>
      <c r="G3" s="9" t="s">
        <v>4</v>
      </c>
      <c r="H3" s="7"/>
      <c r="I3" s="7"/>
      <c r="J3" s="8"/>
      <c r="K3" s="10" t="s">
        <v>5</v>
      </c>
      <c r="L3" s="11"/>
      <c r="M3" s="11"/>
      <c r="N3" s="12"/>
      <c r="O3" s="13" t="s">
        <v>6</v>
      </c>
      <c r="P3" s="11"/>
      <c r="Q3" s="11"/>
      <c r="R3" s="14"/>
      <c r="S3" s="13" t="s">
        <v>7</v>
      </c>
      <c r="T3" s="11"/>
      <c r="U3" s="11"/>
      <c r="V3" s="14"/>
      <c r="W3" s="13" t="s">
        <v>8</v>
      </c>
      <c r="X3" s="11"/>
      <c r="Y3" s="11"/>
      <c r="Z3" s="14"/>
      <c r="AA3" s="13" t="s">
        <v>9</v>
      </c>
      <c r="AB3" s="11"/>
      <c r="AC3" s="11"/>
      <c r="AD3" s="14"/>
      <c r="AE3" s="13" t="s">
        <v>10</v>
      </c>
      <c r="AF3" s="11"/>
      <c r="AG3" s="11"/>
      <c r="AH3" s="14"/>
      <c r="AI3" s="13" t="s">
        <v>11</v>
      </c>
      <c r="AJ3" s="11"/>
      <c r="AK3" s="11"/>
      <c r="AL3" s="14"/>
      <c r="AM3" s="13" t="s">
        <v>12</v>
      </c>
      <c r="AN3" s="11"/>
      <c r="AO3" s="11"/>
      <c r="AP3" s="14"/>
      <c r="AQ3" s="13" t="s">
        <v>13</v>
      </c>
      <c r="AR3" s="11"/>
      <c r="AS3" s="11"/>
      <c r="AT3" s="14"/>
      <c r="AU3" s="13" t="s">
        <v>14</v>
      </c>
      <c r="AV3" s="14"/>
      <c r="AW3" s="13" t="s">
        <v>15</v>
      </c>
      <c r="AX3" s="14"/>
      <c r="AY3" s="13" t="s">
        <v>16</v>
      </c>
      <c r="AZ3" s="14"/>
      <c r="BA3" s="15" t="s">
        <v>17</v>
      </c>
      <c r="BB3" s="14"/>
    </row>
    <row r="4" ht="15.75" customHeight="1">
      <c r="B4" s="16"/>
      <c r="C4" s="17" t="s">
        <v>18</v>
      </c>
      <c r="D4" s="18" t="s">
        <v>19</v>
      </c>
      <c r="E4" s="18" t="s">
        <v>20</v>
      </c>
      <c r="F4" s="19" t="s">
        <v>19</v>
      </c>
      <c r="G4" s="17" t="s">
        <v>18</v>
      </c>
      <c r="H4" s="18" t="s">
        <v>19</v>
      </c>
      <c r="I4" s="18" t="s">
        <v>20</v>
      </c>
      <c r="J4" s="19" t="s">
        <v>19</v>
      </c>
      <c r="K4" s="20" t="s">
        <v>21</v>
      </c>
      <c r="L4" s="18" t="s">
        <v>19</v>
      </c>
      <c r="M4" s="18" t="s">
        <v>20</v>
      </c>
      <c r="N4" s="21" t="s">
        <v>19</v>
      </c>
      <c r="O4" s="17" t="s">
        <v>21</v>
      </c>
      <c r="P4" s="18" t="s">
        <v>19</v>
      </c>
      <c r="Q4" s="18" t="s">
        <v>20</v>
      </c>
      <c r="R4" s="19" t="s">
        <v>19</v>
      </c>
      <c r="S4" s="17" t="s">
        <v>21</v>
      </c>
      <c r="T4" s="18" t="s">
        <v>19</v>
      </c>
      <c r="U4" s="18" t="s">
        <v>20</v>
      </c>
      <c r="V4" s="19" t="s">
        <v>19</v>
      </c>
      <c r="W4" s="17" t="s">
        <v>21</v>
      </c>
      <c r="X4" s="18" t="s">
        <v>19</v>
      </c>
      <c r="Y4" s="18" t="s">
        <v>20</v>
      </c>
      <c r="Z4" s="19" t="s">
        <v>19</v>
      </c>
      <c r="AA4" s="17" t="s">
        <v>21</v>
      </c>
      <c r="AB4" s="18" t="s">
        <v>19</v>
      </c>
      <c r="AC4" s="18" t="s">
        <v>20</v>
      </c>
      <c r="AD4" s="19" t="s">
        <v>19</v>
      </c>
      <c r="AE4" s="17" t="s">
        <v>21</v>
      </c>
      <c r="AF4" s="18" t="s">
        <v>19</v>
      </c>
      <c r="AG4" s="18" t="s">
        <v>20</v>
      </c>
      <c r="AH4" s="19" t="s">
        <v>19</v>
      </c>
      <c r="AI4" s="17" t="s">
        <v>21</v>
      </c>
      <c r="AJ4" s="18" t="s">
        <v>19</v>
      </c>
      <c r="AK4" s="18" t="s">
        <v>20</v>
      </c>
      <c r="AL4" s="19" t="s">
        <v>19</v>
      </c>
      <c r="AM4" s="17" t="s">
        <v>21</v>
      </c>
      <c r="AN4" s="18" t="s">
        <v>19</v>
      </c>
      <c r="AO4" s="18" t="s">
        <v>20</v>
      </c>
      <c r="AP4" s="19" t="s">
        <v>19</v>
      </c>
      <c r="AQ4" s="17" t="s">
        <v>21</v>
      </c>
      <c r="AR4" s="18" t="s">
        <v>19</v>
      </c>
      <c r="AS4" s="18" t="s">
        <v>20</v>
      </c>
      <c r="AT4" s="19" t="s">
        <v>19</v>
      </c>
      <c r="AU4" s="17" t="s">
        <v>21</v>
      </c>
      <c r="AV4" s="18" t="s">
        <v>19</v>
      </c>
      <c r="AW4" s="17" t="s">
        <v>21</v>
      </c>
      <c r="AX4" s="18" t="s">
        <v>19</v>
      </c>
      <c r="AY4" s="17" t="s">
        <v>21</v>
      </c>
      <c r="AZ4" s="18" t="s">
        <v>19</v>
      </c>
      <c r="BA4" s="17" t="s">
        <v>21</v>
      </c>
      <c r="BB4" s="18" t="s">
        <v>19</v>
      </c>
    </row>
    <row r="5" ht="15.75" customHeight="1">
      <c r="B5" s="22" t="s">
        <v>22</v>
      </c>
      <c r="C5" s="23">
        <f t="shared" ref="C5:C9" si="1">G5+K5</f>
        <v>69511626.5</v>
      </c>
      <c r="D5" s="24">
        <f t="shared" ref="D5:D9" si="2">C5/$C$10</f>
        <v>0.08913466256</v>
      </c>
      <c r="E5" s="25" t="str">
        <f t="shared" ref="E5:E9" si="3">I5+M5</f>
        <v>#REF!</v>
      </c>
      <c r="F5" s="26" t="str">
        <f t="shared" ref="F5:F9" si="4">E5/E$10</f>
        <v>#REF!</v>
      </c>
      <c r="G5" s="27">
        <f>'Q1 FY25-26'!G5+'Q2 FY25-26'!G5+'Q3 FY25-26'!G5+'Q4 FY25-26'!G5</f>
        <v>0</v>
      </c>
      <c r="H5" s="28"/>
      <c r="I5" s="29">
        <v>0.0</v>
      </c>
      <c r="J5" s="28"/>
      <c r="K5" s="30">
        <f t="shared" ref="K5:K9" si="5">O5+S5+W5+AA5+AE5+AI5+AM5+AQ5+AU5+AW5+AY5+BA5</f>
        <v>69511626.5</v>
      </c>
      <c r="L5" s="24">
        <f t="shared" ref="L5:L9" si="6">K5/$K$10</f>
        <v>0.08913466256</v>
      </c>
      <c r="M5" s="25" t="str">
        <f t="shared" ref="M5:M9" si="7">Q5+U5+Y5+AC5+AG5+AK5+AO5</f>
        <v>#REF!</v>
      </c>
      <c r="N5" s="31" t="str">
        <f t="shared" ref="N5:N9" si="8">M5/M$10</f>
        <v>#REF!</v>
      </c>
      <c r="O5" s="32">
        <f>'Q1 FY25-26'!O5+'Q2 FY25-26'!O5+'Q3 FY25-26'!O5+'Q4 FY25-26'!O5</f>
        <v>13675170.75</v>
      </c>
      <c r="P5" s="33">
        <f t="shared" ref="P5:P9" si="9">O5/O$10</f>
        <v>0.05979071302</v>
      </c>
      <c r="Q5" s="34">
        <f>'Q1 FY25-26'!Q5+'Q2 FY25-26'!Q5+'Q3 FY25-26'!Q5+'Q4 FY25-26'!Q5</f>
        <v>24250968.84</v>
      </c>
      <c r="R5" s="33">
        <f t="shared" ref="R5:R9" si="10">Q5/Q$10</f>
        <v>0.1230252366</v>
      </c>
      <c r="S5" s="32">
        <f>'Q1 FY25-26'!S5+'Q2 FY25-26'!S5+'Q3 FY25-26'!S5+'Q4 FY25-26'!S5</f>
        <v>0</v>
      </c>
      <c r="T5" s="33">
        <f t="shared" ref="T5:T9" si="11">S5/S$10</f>
        <v>0</v>
      </c>
      <c r="U5" s="34" t="str">
        <f>'Q1 FY25-26'!U5+'Q2 FY25-26'!U5+'Q3 FY25-26'!U7+'Q4 FY25-26'!U5</f>
        <v>#REF!</v>
      </c>
      <c r="V5" s="33" t="str">
        <f t="shared" ref="V5:V9" si="12">U5/U$10</f>
        <v>#REF!</v>
      </c>
      <c r="W5" s="32">
        <f>'Q1 FY25-26'!W5+'Q2 FY25-26'!W5+'Q3 FY25-26'!W5+'Q4 FY25-26'!W5</f>
        <v>17498174.25</v>
      </c>
      <c r="X5" s="33">
        <f t="shared" ref="X5:X9" si="13">W5/W$10</f>
        <v>0.1035694788</v>
      </c>
      <c r="Y5" s="34">
        <f>'Q1 FY25-26'!Y5+'Q2 FY25-26'!Y5+'Q3 FY25-26'!Y5+'Q4 FY25-26'!Y5</f>
        <v>18230936.34</v>
      </c>
      <c r="Z5" s="33">
        <f t="shared" ref="Z5:Z9" si="14">Y5/Y$10</f>
        <v>0.1059825144</v>
      </c>
      <c r="AA5" s="32">
        <f>'Q1 FY25-26'!AA5+'Q2 FY25-26'!AA5+'Q3 FY25-26'!AA5+'Q4 FY25-26'!AA5</f>
        <v>15810954</v>
      </c>
      <c r="AB5" s="33">
        <f t="shared" ref="AB5:AB9" si="15">AA5/AA$10</f>
        <v>0.1437225382</v>
      </c>
      <c r="AC5" s="34">
        <f>'Q1 FY25-26'!AC5+'Q2 FY25-26'!AC5+'Q3 FY25-26'!AC5+'Q4 FY25-26'!AC5</f>
        <v>13988530</v>
      </c>
      <c r="AD5" s="33">
        <f t="shared" ref="AD5:AD9" si="16">AC5/AC$10</f>
        <v>0.1250775554</v>
      </c>
      <c r="AE5" s="32">
        <f>'Q1 FY25-26'!AE5+'Q2 FY25-26'!AE5+'Q3 FY25-26'!AE5+'Q4 FY25-26'!AE5</f>
        <v>21208152.5</v>
      </c>
      <c r="AF5" s="33">
        <f t="shared" ref="AF5:AF9" si="17">AE5/AE$10</f>
        <v>0.1032795557</v>
      </c>
      <c r="AG5" s="34">
        <f>'Q1 FY25-26'!AG5+'Q2 FY25-26'!AG5+'Q3 FY25-26'!AG5+'Q4 FY25-26'!AG5</f>
        <v>20128858</v>
      </c>
      <c r="AH5" s="33">
        <f t="shared" ref="AH5:AH9" si="18">AG5/AG$10</f>
        <v>0.09912684448</v>
      </c>
      <c r="AI5" s="32">
        <f>'Q1 FY25-26'!AI5+'Q2 FY25-26'!AI5+'Q3 FY25-26'!AI5+'Q4 FY25-26'!AI5</f>
        <v>0</v>
      </c>
      <c r="AJ5" s="33">
        <f t="shared" ref="AJ5:AJ9" si="19">AI5/AI$10</f>
        <v>0</v>
      </c>
      <c r="AK5" s="34" t="str">
        <f>'Q1 FY25-26'!AK5+'Q2 FY25-26'!AK5+'Q3 FY25-26'!AK5+'Q4 FY25-26'!AK5</f>
        <v>#REF!</v>
      </c>
      <c r="AL5" s="35"/>
      <c r="AM5" s="32">
        <f>'Q1 FY25-26'!AM5+'Q2 FY25-26'!AM5+'Q3 FY25-26'!AM5+'Q4 FY25-26'!AM5</f>
        <v>0</v>
      </c>
      <c r="AN5" s="33">
        <f t="shared" ref="AN5:AN9" si="20">AM5/AM$10</f>
        <v>0</v>
      </c>
      <c r="AO5" s="34">
        <f>'Q1 FY25-26'!AO5+'Q2 FY25-26'!AO5+'Q3 FY25-26'!AO5+'Q4 FY25-26'!AO5</f>
        <v>0</v>
      </c>
      <c r="AP5" s="33">
        <f t="shared" ref="AP5:AP9" si="21">AO5/AO$10</f>
        <v>0</v>
      </c>
      <c r="AQ5" s="32">
        <f>'Q1 FY25-26'!AQ5+'Q2 FY25-26'!AQ5+'Q3 FY25-26'!AQ5+'Q4 FY25-26'!AQ5</f>
        <v>1319175</v>
      </c>
      <c r="AR5" s="33">
        <f t="shared" ref="AR5:AR9" si="22">AQ5/AQ$10</f>
        <v>0.03293666685</v>
      </c>
      <c r="AS5" s="34">
        <f>'Q1 FY25-26'!AS5+'Q2 FY25-26'!AS5+'Q3 FY25-26'!AS5+'Q4 FY25-26'!AS5</f>
        <v>8000000</v>
      </c>
      <c r="AT5" s="35"/>
      <c r="AU5" s="36">
        <v>0.0</v>
      </c>
      <c r="AV5" s="33">
        <f t="shared" ref="AV5:AV9" si="23">AU5/AU$10</f>
        <v>0</v>
      </c>
      <c r="AW5" s="37">
        <f>'Q1 FY25-26'!AY5+'Q2 FY25-26'!AW5+'Q4 FY25-26'!AW5+'Q3 FY25-26'!AW5</f>
        <v>0</v>
      </c>
      <c r="AX5" s="33">
        <f t="shared" ref="AX5:AX9" si="24">AW5/AW$10</f>
        <v>0</v>
      </c>
      <c r="AY5" s="37">
        <f>'Q1 FY25-26'!BC5+'Q2 FY25-26'!AY5+'Q4 FY25-26'!AY5+'Q3 FY25-26'!AY5</f>
        <v>0</v>
      </c>
      <c r="AZ5" s="33">
        <f t="shared" ref="AZ5:AZ9" si="25">AY5/AY$10</f>
        <v>0</v>
      </c>
      <c r="BA5" s="37">
        <f>'Q1 FY25-26'!BG5+'Q2 FY25-26'!BA5+'Q4 FY25-26'!BA5+'Q3 FY25-26'!BA5</f>
        <v>0</v>
      </c>
      <c r="BB5" s="33">
        <f t="shared" ref="BB5:BB9" si="26">BA5/BA$10</f>
        <v>0</v>
      </c>
    </row>
    <row r="6" ht="15.75" customHeight="1">
      <c r="B6" s="38" t="s">
        <v>23</v>
      </c>
      <c r="C6" s="39">
        <f t="shared" si="1"/>
        <v>101460971.5</v>
      </c>
      <c r="D6" s="24">
        <f t="shared" si="2"/>
        <v>0.1301032635</v>
      </c>
      <c r="E6" s="40" t="str">
        <f t="shared" si="3"/>
        <v>#REF!</v>
      </c>
      <c r="F6" s="41" t="str">
        <f t="shared" si="4"/>
        <v>#REF!</v>
      </c>
      <c r="G6" s="42">
        <f>'Q1 FY25-26'!G6+'Q2 FY25-26'!G6+'Q3 FY25-26'!G6+'Q4 FY25-26'!G6</f>
        <v>0</v>
      </c>
      <c r="H6" s="43"/>
      <c r="I6" s="44">
        <v>0.0</v>
      </c>
      <c r="J6" s="43"/>
      <c r="K6" s="30">
        <f t="shared" si="5"/>
        <v>101460971.5</v>
      </c>
      <c r="L6" s="24">
        <f t="shared" si="6"/>
        <v>0.1301032635</v>
      </c>
      <c r="M6" s="40" t="str">
        <f t="shared" si="7"/>
        <v>#REF!</v>
      </c>
      <c r="N6" s="45" t="str">
        <f t="shared" si="8"/>
        <v>#REF!</v>
      </c>
      <c r="O6" s="46">
        <f>'Q1 FY25-26'!O6+'Q2 FY25-26'!O6+'Q3 FY25-26'!O6+'Q4 FY25-26'!O6</f>
        <v>51476711</v>
      </c>
      <c r="P6" s="47">
        <f t="shared" si="9"/>
        <v>0.2250669707</v>
      </c>
      <c r="Q6" s="48">
        <f>'Q1 FY25-26'!Q6+'Q2 FY25-26'!Q6+'Q3 FY25-26'!Q6+'Q4 FY25-26'!Q6</f>
        <v>42300946</v>
      </c>
      <c r="R6" s="47">
        <f t="shared" si="10"/>
        <v>0.214592824</v>
      </c>
      <c r="S6" s="46">
        <f>'Q1 FY25-26'!S6+'Q2 FY25-26'!S6+'Q3 FY25-26'!S6+'Q4 FY25-26'!S6</f>
        <v>0</v>
      </c>
      <c r="T6" s="47">
        <f t="shared" si="11"/>
        <v>0</v>
      </c>
      <c r="U6" s="48" t="str">
        <f>'Q1 FY25-26'!U6+'Q2 FY25-26'!U6+'Q3 FY25-26'!U6+'Q4 FY25-26'!U6</f>
        <v>#REF!</v>
      </c>
      <c r="V6" s="47" t="str">
        <f t="shared" si="12"/>
        <v>#REF!</v>
      </c>
      <c r="W6" s="46">
        <f>'Q1 FY25-26'!W6+'Q2 FY25-26'!W6+'Q3 FY25-26'!W6+'Q4 FY25-26'!W6</f>
        <v>10295967.5</v>
      </c>
      <c r="X6" s="47">
        <f t="shared" si="13"/>
        <v>0.06094052859</v>
      </c>
      <c r="Y6" s="48">
        <f>'Q1 FY25-26'!Y6+'Q2 FY25-26'!Y6+'Q3 FY25-26'!Y6+'Q4 FY25-26'!Y6</f>
        <v>12052585.92</v>
      </c>
      <c r="Z6" s="47">
        <f t="shared" si="14"/>
        <v>0.07006570247</v>
      </c>
      <c r="AA6" s="46">
        <f>'Q1 FY25-26'!AA6+'Q2 FY25-26'!AA6+'Q3 FY25-26'!AA6+'Q4 FY25-26'!AA6</f>
        <v>0</v>
      </c>
      <c r="AB6" s="47">
        <f t="shared" si="15"/>
        <v>0</v>
      </c>
      <c r="AC6" s="48">
        <f>'Q1 FY25-26'!AC6+'Q2 FY25-26'!AC6+'Q3 FY25-26'!AC6+'Q4 FY25-26'!AC6</f>
        <v>0</v>
      </c>
      <c r="AD6" s="47">
        <f t="shared" si="16"/>
        <v>0</v>
      </c>
      <c r="AE6" s="46">
        <f>'Q1 FY25-26'!AE6+'Q2 FY25-26'!AE6+'Q3 FY25-26'!AE6+'Q4 FY25-26'!AE6</f>
        <v>24516827</v>
      </c>
      <c r="AF6" s="47">
        <f t="shared" si="17"/>
        <v>0.1193921536</v>
      </c>
      <c r="AG6" s="48">
        <f>'Q1 FY25-26'!AG6+'Q2 FY25-26'!AG6+'Q3 FY25-26'!AG6+'Q4 FY25-26'!AG6</f>
        <v>25226996</v>
      </c>
      <c r="AH6" s="47">
        <f t="shared" si="18"/>
        <v>0.1242332034</v>
      </c>
      <c r="AI6" s="46">
        <f>'Q1 FY25-26'!AI6+'Q2 FY25-26'!AI6+'Q3 FY25-26'!AI6+'Q4 FY25-26'!AI6</f>
        <v>0</v>
      </c>
      <c r="AJ6" s="47">
        <f t="shared" si="19"/>
        <v>0</v>
      </c>
      <c r="AK6" s="48" t="str">
        <f>'Q1 FY25-26'!AK6+'Q2 FY25-26'!AK6+'Q3 FY25-26'!AK6+'Q4 FY25-26'!AK6</f>
        <v>#REF!</v>
      </c>
      <c r="AL6" s="49"/>
      <c r="AM6" s="32">
        <f>'Q1 FY25-26'!AM6+'Q2 FY25-26'!AM6+'Q3 FY25-26'!AM6+'Q4 FY25-26'!AM6</f>
        <v>0</v>
      </c>
      <c r="AN6" s="47">
        <f t="shared" si="20"/>
        <v>0</v>
      </c>
      <c r="AO6" s="48">
        <f>'Q1 FY25-26'!AO6+'Q2 FY25-26'!AO6+'Q3 FY25-26'!AO6+'Q4 FY25-26'!AO6</f>
        <v>0</v>
      </c>
      <c r="AP6" s="47">
        <f t="shared" si="21"/>
        <v>0</v>
      </c>
      <c r="AQ6" s="46">
        <f>'Q1 FY25-26'!AQ6+'Q2 FY25-26'!AQ6+'Q3 FY25-26'!AQ6+'Q4 FY25-26'!AQ6</f>
        <v>15171466</v>
      </c>
      <c r="AR6" s="47">
        <f t="shared" si="22"/>
        <v>0.3787954754</v>
      </c>
      <c r="AS6" s="48">
        <f>'Q1 FY25-26'!AS6+'Q2 FY25-26'!AS6+'Q3 FY25-26'!AS6+'Q4 FY25-26'!AS6</f>
        <v>0</v>
      </c>
      <c r="AT6" s="49"/>
      <c r="AU6" s="37">
        <v>0.0</v>
      </c>
      <c r="AV6" s="47">
        <f t="shared" si="23"/>
        <v>0</v>
      </c>
      <c r="AW6" s="37">
        <f>'Q1 FY25-26'!AY6+'Q2 FY25-26'!AW6+'Q4 FY25-26'!AW6+'Q3 FY25-26'!AW6</f>
        <v>0</v>
      </c>
      <c r="AX6" s="47">
        <f t="shared" si="24"/>
        <v>0</v>
      </c>
      <c r="AY6" s="37">
        <f>'Q1 FY25-26'!BC6+'Q2 FY25-26'!AY6+'Q4 FY25-26'!AY6+'Q3 FY25-26'!AY6</f>
        <v>0</v>
      </c>
      <c r="AZ6" s="47">
        <f t="shared" si="25"/>
        <v>0</v>
      </c>
      <c r="BA6" s="37">
        <f>'Q1 FY25-26'!BG6+'Q2 FY25-26'!BA6+'Q4 FY25-26'!BA6+'Q3 FY25-26'!BA6</f>
        <v>0</v>
      </c>
      <c r="BB6" s="47">
        <f t="shared" si="26"/>
        <v>0</v>
      </c>
    </row>
    <row r="7" ht="15.75" customHeight="1">
      <c r="B7" s="38" t="s">
        <v>24</v>
      </c>
      <c r="C7" s="39">
        <f t="shared" si="1"/>
        <v>556710554.9</v>
      </c>
      <c r="D7" s="24">
        <f t="shared" si="2"/>
        <v>0.7138691749</v>
      </c>
      <c r="E7" s="40" t="str">
        <f t="shared" si="3"/>
        <v>#REF!</v>
      </c>
      <c r="F7" s="41" t="str">
        <f t="shared" si="4"/>
        <v>#REF!</v>
      </c>
      <c r="G7" s="42">
        <f>'Q1 FY25-26'!G7+'Q2 FY25-26'!G7+'Q3 FY25-26'!G7+'Q4 FY25-26'!G7</f>
        <v>0</v>
      </c>
      <c r="H7" s="43"/>
      <c r="I7" s="44">
        <v>0.0</v>
      </c>
      <c r="J7" s="43"/>
      <c r="K7" s="30">
        <f t="shared" si="5"/>
        <v>556710554.9</v>
      </c>
      <c r="L7" s="24">
        <f t="shared" si="6"/>
        <v>0.7138691749</v>
      </c>
      <c r="M7" s="40" t="str">
        <f t="shared" si="7"/>
        <v>#REF!</v>
      </c>
      <c r="N7" s="45" t="str">
        <f t="shared" si="8"/>
        <v>#REF!</v>
      </c>
      <c r="O7" s="46">
        <f>'Q1 FY25-26'!O7+'Q2 FY25-26'!O7+'Q3 FY25-26'!O7+'Q4 FY25-26'!O7</f>
        <v>144053257.7</v>
      </c>
      <c r="P7" s="47">
        <f t="shared" si="9"/>
        <v>0.6298310384</v>
      </c>
      <c r="Q7" s="48">
        <f>'Q1 FY25-26'!Q7+'Q2 FY25-26'!Q7+'Q3 FY25-26'!Q7+'Q4 FY25-26'!Q7</f>
        <v>115618082.9</v>
      </c>
      <c r="R7" s="47">
        <f t="shared" si="10"/>
        <v>0.5865308761</v>
      </c>
      <c r="S7" s="46">
        <f>'Q1 FY25-26'!S7+'Q2 FY25-26'!S7+'Q3 FY25-26'!S7+'Q4 FY25-26'!S7</f>
        <v>10264251.73</v>
      </c>
      <c r="T7" s="47">
        <f t="shared" si="11"/>
        <v>1</v>
      </c>
      <c r="U7" s="48" t="str">
        <f>'Q1 FY25-26'!U7+'Q2 FY25-26'!U7+'Q3 FY25-26'!U10+'Q4 FY25-26'!U7</f>
        <v>#REF!</v>
      </c>
      <c r="V7" s="47" t="str">
        <f t="shared" si="12"/>
        <v>#REF!</v>
      </c>
      <c r="W7" s="46">
        <f>'Q1 FY25-26'!W7+'Q2 FY25-26'!W7+'Q3 FY25-26'!W7+'Q4 FY25-26'!W7</f>
        <v>130397508.7</v>
      </c>
      <c r="X7" s="47">
        <f t="shared" si="13"/>
        <v>0.7718063511</v>
      </c>
      <c r="Y7" s="48">
        <f>'Q1 FY25-26'!Y7+'Q2 FY25-26'!Y7+'Q3 FY25-26'!Y7+'Q4 FY25-26'!Y7</f>
        <v>130241245.7</v>
      </c>
      <c r="Z7" s="47">
        <f t="shared" si="14"/>
        <v>0.757135807</v>
      </c>
      <c r="AA7" s="46">
        <f>'Q1 FY25-26'!AA7+'Q2 FY25-26'!AA7+'Q3 FY25-26'!AA7+'Q4 FY25-26'!AA7</f>
        <v>89557558.95</v>
      </c>
      <c r="AB7" s="47">
        <f t="shared" si="15"/>
        <v>0.8140836847</v>
      </c>
      <c r="AC7" s="48">
        <f>'Q1 FY25-26'!AC7+'Q2 FY25-26'!AC7+'Q3 FY25-26'!AC7+'Q4 FY25-26'!AC7</f>
        <v>91569611</v>
      </c>
      <c r="AD7" s="47">
        <f t="shared" si="16"/>
        <v>0.8187638793</v>
      </c>
      <c r="AE7" s="46">
        <f>'Q1 FY25-26'!AE7+'Q2 FY25-26'!AE7+'Q3 FY25-26'!AE7+'Q4 FY25-26'!AE7</f>
        <v>145872252.6</v>
      </c>
      <c r="AF7" s="47">
        <f t="shared" si="17"/>
        <v>0.7103693468</v>
      </c>
      <c r="AG7" s="48">
        <f>'Q1 FY25-26'!AG7+'Q2 FY25-26'!AG7+'Q3 FY25-26'!AG7+'Q4 FY25-26'!AG7</f>
        <v>141190261</v>
      </c>
      <c r="AH7" s="47">
        <f t="shared" si="18"/>
        <v>0.6953074558</v>
      </c>
      <c r="AI7" s="46">
        <f>'Q1 FY25-26'!AI7+'Q2 FY25-26'!AI7+'Q3 FY25-26'!AI7+'Q4 FY25-26'!AI7</f>
        <v>1546228</v>
      </c>
      <c r="AJ7" s="47">
        <f t="shared" si="19"/>
        <v>1</v>
      </c>
      <c r="AK7" s="48" t="str">
        <f>'Q1 FY25-26'!AK7+'Q2 FY25-26'!AK7+'Q3 FY25-26'!AK7+'Q4 FY25-26'!AK7</f>
        <v>#REF!</v>
      </c>
      <c r="AL7" s="49"/>
      <c r="AM7" s="32">
        <f>'Q1 FY25-26'!AM7+'Q2 FY25-26'!AM7+'Q3 FY25-26'!AM7+'Q4 FY25-26'!AM7</f>
        <v>6923400.99</v>
      </c>
      <c r="AN7" s="47">
        <f t="shared" si="20"/>
        <v>1</v>
      </c>
      <c r="AO7" s="48">
        <f>'Q1 FY25-26'!AO7+'Q2 FY25-26'!AO7+'Q3 FY25-26'!AO7+'Q4 FY25-26'!AO7</f>
        <v>989939</v>
      </c>
      <c r="AP7" s="47">
        <f t="shared" si="21"/>
        <v>1</v>
      </c>
      <c r="AQ7" s="46">
        <f>'Q1 FY25-26'!AQ7+'Q2 FY25-26'!AQ7+'Q3 FY25-26'!AQ7+'Q4 FY25-26'!AQ7</f>
        <v>20057984</v>
      </c>
      <c r="AR7" s="47">
        <f t="shared" si="22"/>
        <v>0.5008002249</v>
      </c>
      <c r="AS7" s="48">
        <f>'Q1 FY25-26'!AS7+'Q2 FY25-26'!AS7+'Q3 FY25-26'!AS7+'Q4 FY25-26'!AS7</f>
        <v>32000000</v>
      </c>
      <c r="AT7" s="49"/>
      <c r="AU7" s="37">
        <f>'Q1 FY25-26'!AU7+'Q2 FY25-26'!AU7+'Q4 FY25-26'!AU7+'Q3 FY25-26'!AU7</f>
        <v>3942134.21</v>
      </c>
      <c r="AV7" s="47">
        <f t="shared" si="23"/>
        <v>1</v>
      </c>
      <c r="AW7" s="37">
        <f>'Q1 FY25-26'!AY7+'Q2 FY25-26'!AW7+'Q4 FY25-26'!AW7+'Q3 FY25-26'!AW7</f>
        <v>1514484.88</v>
      </c>
      <c r="AX7" s="47">
        <f t="shared" si="24"/>
        <v>1</v>
      </c>
      <c r="AY7" s="37">
        <f>'Q1 FY25-26'!BC7+'Q2 FY25-26'!AY7+'Q4 FY25-26'!AY7+'Q3 FY25-26'!AY7</f>
        <v>1240767.16</v>
      </c>
      <c r="AZ7" s="47">
        <f t="shared" si="25"/>
        <v>1</v>
      </c>
      <c r="BA7" s="37">
        <f>'Q1 FY25-26'!BG7+'Q2 FY25-26'!BA7+'Q4 FY25-26'!BA7+'Q3 FY25-26'!BA7</f>
        <v>1340726</v>
      </c>
      <c r="BB7" s="47">
        <f t="shared" si="26"/>
        <v>1</v>
      </c>
    </row>
    <row r="8" ht="15.75" customHeight="1">
      <c r="B8" s="50" t="s">
        <v>25</v>
      </c>
      <c r="C8" s="51">
        <f t="shared" si="1"/>
        <v>51488567.22</v>
      </c>
      <c r="D8" s="24">
        <f t="shared" si="2"/>
        <v>0.06602371857</v>
      </c>
      <c r="E8" s="52" t="str">
        <f t="shared" si="3"/>
        <v>#REF!</v>
      </c>
      <c r="F8" s="53" t="str">
        <f t="shared" si="4"/>
        <v>#REF!</v>
      </c>
      <c r="G8" s="54">
        <f>'Q1 FY25-26'!G8+'Q2 FY25-26'!G8+'Q3 FY25-26'!G8+'Q4 FY25-26'!G8</f>
        <v>0</v>
      </c>
      <c r="H8" s="55"/>
      <c r="I8" s="56">
        <v>0.0</v>
      </c>
      <c r="J8" s="55"/>
      <c r="K8" s="30">
        <f t="shared" si="5"/>
        <v>51488567.22</v>
      </c>
      <c r="L8" s="24">
        <f t="shared" si="6"/>
        <v>0.06602371857</v>
      </c>
      <c r="M8" s="52" t="str">
        <f t="shared" si="7"/>
        <v>#REF!</v>
      </c>
      <c r="N8" s="57" t="str">
        <f t="shared" si="8"/>
        <v>#REF!</v>
      </c>
      <c r="O8" s="58">
        <f>'Q1 FY25-26'!O8+'Q2 FY25-26'!O8+'Q3 FY25-26'!O8+'Q4 FY25-26'!O8</f>
        <v>19303465.56</v>
      </c>
      <c r="P8" s="59">
        <f t="shared" si="9"/>
        <v>0.08439879772</v>
      </c>
      <c r="Q8" s="60">
        <f>'Q1 FY25-26'!Q8+'Q2 FY25-26'!Q8+'Q3 FY25-26'!Q8+'Q4 FY25-26'!Q8</f>
        <v>14951906</v>
      </c>
      <c r="R8" s="59">
        <f t="shared" si="10"/>
        <v>0.07585106332</v>
      </c>
      <c r="S8" s="58">
        <f>'Q1 FY25-26'!S8+'Q2 FY25-26'!S8+'Q3 FY25-26'!S8+'Q4 FY25-26'!S8</f>
        <v>0</v>
      </c>
      <c r="T8" s="59">
        <f t="shared" si="11"/>
        <v>0</v>
      </c>
      <c r="U8" s="55" t="str">
        <f>'Q1 FY25-26'!U8+'Q2 FY25-26'!U8+'Q3 FY25-26'!U8+'Q4 FY25-26'!U8</f>
        <v>#REF!</v>
      </c>
      <c r="V8" s="59" t="str">
        <f t="shared" si="12"/>
        <v>#REF!</v>
      </c>
      <c r="W8" s="58">
        <f>'Q1 FY25-26'!W8+'Q2 FY25-26'!W8+'Q3 FY25-26'!W8+'Q4 FY25-26'!W8</f>
        <v>10558919.36</v>
      </c>
      <c r="X8" s="59">
        <f t="shared" si="13"/>
        <v>0.06249690737</v>
      </c>
      <c r="Y8" s="60">
        <f>'Q1 FY25-26'!Y8+'Q2 FY25-26'!Y8+'Q3 FY25-26'!Y8+'Q4 FY25-26'!Y8</f>
        <v>11493573.38</v>
      </c>
      <c r="Z8" s="59">
        <f t="shared" si="14"/>
        <v>0.06681597611</v>
      </c>
      <c r="AA8" s="58">
        <f>'Q1 FY25-26'!AA8+'Q2 FY25-26'!AA8+'Q3 FY25-26'!AA8+'Q4 FY25-26'!AA8</f>
        <v>4560398.44</v>
      </c>
      <c r="AB8" s="59">
        <f t="shared" si="15"/>
        <v>0.04145430056</v>
      </c>
      <c r="AC8" s="60">
        <f>'Q1 FY25-26'!AC8+'Q2 FY25-26'!AC8+'Q3 FY25-26'!AC8+'Q4 FY25-26'!AC8</f>
        <v>6280709.39</v>
      </c>
      <c r="AD8" s="59">
        <f t="shared" si="16"/>
        <v>0.05615856536</v>
      </c>
      <c r="AE8" s="58">
        <f>'Q1 FY25-26'!AE8+'Q2 FY25-26'!AE8+'Q3 FY25-26'!AE8+'Q4 FY25-26'!AE8</f>
        <v>13594821.86</v>
      </c>
      <c r="AF8" s="59">
        <f t="shared" si="17"/>
        <v>0.06620412419</v>
      </c>
      <c r="AG8" s="60">
        <f>'Q1 FY25-26'!AG8+'Q2 FY25-26'!AG8+'Q3 FY25-26'!AG8+'Q4 FY25-26'!AG8</f>
        <v>16515508.77</v>
      </c>
      <c r="AH8" s="59">
        <f t="shared" si="18"/>
        <v>0.08133249633</v>
      </c>
      <c r="AI8" s="58">
        <f>'Q1 FY25-26'!AI8+'Q2 FY25-26'!AI8+'Q3 FY25-26'!AI8+'Q4 FY25-26'!AI8</f>
        <v>0</v>
      </c>
      <c r="AJ8" s="59">
        <f t="shared" si="19"/>
        <v>0</v>
      </c>
      <c r="AK8" s="55" t="str">
        <f>'Q1 FY25-26'!AK8+'Q2 FY25-26'!AK8+'Q3 FY25-26'!AK8+'Q4 FY25-26'!AK8</f>
        <v>#REF!</v>
      </c>
      <c r="AL8" s="61"/>
      <c r="AM8" s="32">
        <f>'Q1 FY25-26'!AM8+'Q2 FY25-26'!AM8+'Q3 FY25-26'!AM8+'Q4 FY25-26'!AM8</f>
        <v>0</v>
      </c>
      <c r="AN8" s="59">
        <f t="shared" si="20"/>
        <v>0</v>
      </c>
      <c r="AO8" s="62">
        <f>'Q1 FY25-26'!AO8+'Q2 FY25-26'!AO8+'Q3 FY25-26'!AO8+'Q4 FY25-26'!AO8</f>
        <v>0</v>
      </c>
      <c r="AP8" s="59">
        <f t="shared" si="21"/>
        <v>0</v>
      </c>
      <c r="AQ8" s="58">
        <f>'Q1 FY25-26'!AQ8+'Q2 FY25-26'!AQ8+'Q3 FY25-26'!AQ8+'Q4 FY25-26'!AQ8</f>
        <v>3470962</v>
      </c>
      <c r="AR8" s="59">
        <f t="shared" si="22"/>
        <v>0.08666167797</v>
      </c>
      <c r="AS8" s="60">
        <f>'Q1 FY25-26'!AS8+'Q2 FY25-26'!AS8+'Q3 FY25-26'!AS8+'Q4 FY25-26'!AS8</f>
        <v>0</v>
      </c>
      <c r="AT8" s="61"/>
      <c r="AU8" s="63">
        <v>0.0</v>
      </c>
      <c r="AV8" s="59">
        <f t="shared" si="23"/>
        <v>0</v>
      </c>
      <c r="AW8" s="37">
        <f>'Q1 FY25-26'!AY8+'Q2 FY25-26'!AW8+'Q4 FY25-26'!AW8+'Q3 FY25-26'!AW8</f>
        <v>0</v>
      </c>
      <c r="AX8" s="59">
        <f t="shared" si="24"/>
        <v>0</v>
      </c>
      <c r="AY8" s="37">
        <f>'Q1 FY25-26'!BC8+'Q2 FY25-26'!AY8+'Q4 FY25-26'!AY8+'Q3 FY25-26'!AY8</f>
        <v>0</v>
      </c>
      <c r="AZ8" s="59">
        <f t="shared" si="25"/>
        <v>0</v>
      </c>
      <c r="BA8" s="37">
        <f>'Q1 FY25-26'!BG8+'Q2 FY25-26'!BA8+'Q4 FY25-26'!BA8+'Q3 FY25-26'!BA8</f>
        <v>0</v>
      </c>
      <c r="BB8" s="59">
        <f t="shared" si="26"/>
        <v>0</v>
      </c>
    </row>
    <row r="9" ht="15.75" customHeight="1">
      <c r="B9" s="64" t="s">
        <v>26</v>
      </c>
      <c r="C9" s="51">
        <f t="shared" si="1"/>
        <v>677830</v>
      </c>
      <c r="D9" s="24">
        <f t="shared" si="2"/>
        <v>0.0008691804719</v>
      </c>
      <c r="E9" s="52">
        <f t="shared" si="3"/>
        <v>0</v>
      </c>
      <c r="F9" s="53" t="str">
        <f t="shared" si="4"/>
        <v>#REF!</v>
      </c>
      <c r="G9" s="54">
        <f>'Q1 FY25-26'!G9+'Q2 FY25-26'!G10+'Q3 FY25-26'!G10+'Q4 FY25-26'!G9</f>
        <v>0</v>
      </c>
      <c r="H9" s="55"/>
      <c r="I9" s="65">
        <f>'Q1 FY25-26'!I9+'Q2 FY25-26'!I10+'Q3 FY25-26'!I10+'Q4 FY25-26'!I9</f>
        <v>0</v>
      </c>
      <c r="J9" s="55"/>
      <c r="K9" s="30">
        <f t="shared" si="5"/>
        <v>677830</v>
      </c>
      <c r="L9" s="24">
        <f t="shared" si="6"/>
        <v>0.0008691804719</v>
      </c>
      <c r="M9" s="52">
        <f t="shared" si="7"/>
        <v>0</v>
      </c>
      <c r="N9" s="57" t="str">
        <f t="shared" si="8"/>
        <v>#REF!</v>
      </c>
      <c r="O9" s="58">
        <f>'Q1 FY25-26'!O9+'Q2 FY25-26'!O9+'Q3 FY25-26'!O9+'Q4 FY25-26'!O9</f>
        <v>208700</v>
      </c>
      <c r="P9" s="59">
        <f t="shared" si="9"/>
        <v>0.0009124801464</v>
      </c>
      <c r="Q9" s="60">
        <f>'Q1 FY25-26'!Q9+'Q2 FY25-26'!Q9+'Q3 FY25-26'!Q9+'Q4 FY25-26'!Q9</f>
        <v>0</v>
      </c>
      <c r="R9" s="59">
        <f t="shared" si="10"/>
        <v>0</v>
      </c>
      <c r="S9" s="58">
        <f>'Q1 FY25-26'!S9+'Q2 FY25-26'!S9+'Q3 FY25-26'!S9+'Q4 FY25-26'!S9</f>
        <v>0</v>
      </c>
      <c r="T9" s="59">
        <f t="shared" si="11"/>
        <v>0</v>
      </c>
      <c r="U9" s="60">
        <f>'Q1 FY25-26'!U9+'Q2 FY25-26'!U9+'Q3 FY25-26'!U9+'Q4 FY25-26'!U9</f>
        <v>0</v>
      </c>
      <c r="V9" s="59" t="str">
        <f t="shared" si="12"/>
        <v>#REF!</v>
      </c>
      <c r="W9" s="58">
        <f>'Q1 FY25-26'!W9+'Q2 FY25-26'!W9+'Q3 FY25-26'!W9+'Q4 FY25-26'!W9</f>
        <v>200500</v>
      </c>
      <c r="X9" s="59">
        <f t="shared" si="13"/>
        <v>0.001186734125</v>
      </c>
      <c r="Y9" s="60">
        <f>'Q1 FY25-26'!Y9+'Q2 FY25-26'!Y9+'Q3 FY25-26'!Y9+'Q4 FY25-26'!Y9</f>
        <v>0</v>
      </c>
      <c r="Z9" s="59">
        <f t="shared" si="14"/>
        <v>0</v>
      </c>
      <c r="AA9" s="58">
        <f>'Q1 FY25-26'!AA9+'Q2 FY25-26'!AA9+'Q3 FY25-26'!AA9+'Q4 FY25-26'!AA9</f>
        <v>81350</v>
      </c>
      <c r="AB9" s="59">
        <f t="shared" si="15"/>
        <v>0.0007394764722</v>
      </c>
      <c r="AC9" s="60">
        <f>'Q1 FY25-26'!AC9+'Q2 FY25-26'!AC9+'Q3 FY25-26'!AC9+'Q4 FY25-26'!AC9</f>
        <v>0</v>
      </c>
      <c r="AD9" s="59">
        <f t="shared" si="16"/>
        <v>0</v>
      </c>
      <c r="AE9" s="58">
        <f>'Q1 FY25-26'!AE9+'Q2 FY25-26'!AE9+'Q3 FY25-26'!AE9+'Q4 FY25-26'!AE9</f>
        <v>155000</v>
      </c>
      <c r="AF9" s="59">
        <f t="shared" si="17"/>
        <v>0.000754819692</v>
      </c>
      <c r="AG9" s="60">
        <f>'Q1 FY25-26'!AG9+'Q2 FY25-26'!AG9+'Q3 FY25-26'!AG9+'Q4 FY25-26'!AG9</f>
        <v>0</v>
      </c>
      <c r="AH9" s="59">
        <f t="shared" si="18"/>
        <v>0</v>
      </c>
      <c r="AI9" s="58">
        <f>'Q1 FY25-26'!AI9+'Q2 FY25-26'!AI9+'Q3 FY25-26'!AI9+'Q4 FY25-26'!AI9</f>
        <v>0</v>
      </c>
      <c r="AJ9" s="59">
        <f t="shared" si="19"/>
        <v>0</v>
      </c>
      <c r="AK9" s="60">
        <f>'Q1 FY25-26'!AK9+'Q2 FY25-26'!AK9+'Q3 FY25-26'!AK9+'Q4 FY25-26'!AK9</f>
        <v>0</v>
      </c>
      <c r="AL9" s="61"/>
      <c r="AM9" s="32">
        <f>'Q1 FY25-26'!AM9+'Q2 FY25-26'!AM9+'Q3 FY25-26'!AM9+'Q4 FY25-26'!AM9</f>
        <v>0</v>
      </c>
      <c r="AN9" s="59">
        <f t="shared" si="20"/>
        <v>0</v>
      </c>
      <c r="AO9" s="60">
        <f>'Q1 FY25-26'!AO9+'Q2 FY25-26'!AO9+'Q3 FY25-26'!AO9+'Q4 FY25-26'!AO9</f>
        <v>0</v>
      </c>
      <c r="AP9" s="59">
        <f t="shared" si="21"/>
        <v>0</v>
      </c>
      <c r="AQ9" s="58">
        <f>'Q1 FY25-26'!AQ9+'Q2 FY25-26'!AQ9+'Q3 FY25-26'!AQ9+'Q4 FY25-26'!AQ9</f>
        <v>32280</v>
      </c>
      <c r="AR9" s="59">
        <f t="shared" si="22"/>
        <v>0.0008059549384</v>
      </c>
      <c r="AS9" s="60">
        <f>'Q1 FY25-26'!AS9+'Q2 FY25-26'!AS9+'Q3 FY25-26'!AS9+'Q4 FY25-26'!AS9</f>
        <v>0</v>
      </c>
      <c r="AT9" s="61"/>
      <c r="AU9" s="63">
        <v>0.0</v>
      </c>
      <c r="AV9" s="59">
        <f t="shared" si="23"/>
        <v>0</v>
      </c>
      <c r="AW9" s="37">
        <f>'Q1 FY25-26'!AY9+'Q2 FY25-26'!AW9+'Q4 FY25-26'!AW9+'Q3 FY25-26'!AW9</f>
        <v>0</v>
      </c>
      <c r="AX9" s="59">
        <f t="shared" si="24"/>
        <v>0</v>
      </c>
      <c r="AY9" s="37">
        <f>'Q1 FY25-26'!BC9+'Q2 FY25-26'!AY9+'Q4 FY25-26'!AY9+'Q3 FY25-26'!AY9</f>
        <v>0</v>
      </c>
      <c r="AZ9" s="59">
        <f t="shared" si="25"/>
        <v>0</v>
      </c>
      <c r="BA9" s="37">
        <f>'Q1 FY25-26'!BG9+'Q2 FY25-26'!BA9+'Q4 FY25-26'!BA9+'Q3 FY25-26'!BA9</f>
        <v>0</v>
      </c>
      <c r="BB9" s="59">
        <f t="shared" si="26"/>
        <v>0</v>
      </c>
    </row>
    <row r="10" ht="15.75" customHeight="1">
      <c r="B10" s="16" t="s">
        <v>27</v>
      </c>
      <c r="C10" s="66">
        <f>SUM(C5:C9)</f>
        <v>779849550.1</v>
      </c>
      <c r="D10" s="67">
        <f>C10/C10</f>
        <v>1</v>
      </c>
      <c r="E10" s="68" t="str">
        <f>SUM(E5:E9)</f>
        <v>#REF!</v>
      </c>
      <c r="F10" s="67" t="str">
        <f>E10/E10</f>
        <v>#REF!</v>
      </c>
      <c r="G10" s="69">
        <f>'Q1 FY25-26'!G10+'Q2 FY25-26'!G10+'Q3 FY25-26'!G10+'Q4 FY25-26'!G10</f>
        <v>0</v>
      </c>
      <c r="H10" s="70"/>
      <c r="I10" s="71">
        <v>0.0</v>
      </c>
      <c r="J10" s="70"/>
      <c r="K10" s="72">
        <f>SUM(K5:K9)</f>
        <v>779849550.1</v>
      </c>
      <c r="L10" s="67">
        <f>K10/K10</f>
        <v>1</v>
      </c>
      <c r="M10" s="72" t="str">
        <f>SUM(M5:M9)</f>
        <v>#REF!</v>
      </c>
      <c r="N10" s="67" t="str">
        <f>M10/M10</f>
        <v>#REF!</v>
      </c>
      <c r="O10" s="72">
        <f>SUM(O5:O9)</f>
        <v>228717305.1</v>
      </c>
      <c r="P10" s="70"/>
      <c r="Q10" s="72">
        <f>SUM(Q5:Q9)</f>
        <v>197121903.7</v>
      </c>
      <c r="R10" s="73"/>
      <c r="S10" s="72">
        <f>SUM(S5:S9)</f>
        <v>10264251.73</v>
      </c>
      <c r="T10" s="70"/>
      <c r="U10" s="72" t="str">
        <f>SUM(U5:U9)</f>
        <v>#REF!</v>
      </c>
      <c r="V10" s="73"/>
      <c r="W10" s="72">
        <f>SUM(W5:W9)</f>
        <v>168951069.8</v>
      </c>
      <c r="X10" s="70"/>
      <c r="Y10" s="72">
        <f>SUM(Y5:Y9)</f>
        <v>172018341.3</v>
      </c>
      <c r="Z10" s="73"/>
      <c r="AA10" s="72">
        <f>SUM(AA5:AA9)</f>
        <v>110010261.4</v>
      </c>
      <c r="AB10" s="70"/>
      <c r="AC10" s="72">
        <f>SUM(AC5:AC9)</f>
        <v>111838850.4</v>
      </c>
      <c r="AD10" s="73"/>
      <c r="AE10" s="72">
        <f>SUM(AE5:AE9)</f>
        <v>205347053.9</v>
      </c>
      <c r="AF10" s="70"/>
      <c r="AG10" s="72">
        <f>SUM(AG5:AG9)</f>
        <v>203061623.8</v>
      </c>
      <c r="AH10" s="73"/>
      <c r="AI10" s="72">
        <f>SUM(AI5:AI9)</f>
        <v>1546228</v>
      </c>
      <c r="AJ10" s="70"/>
      <c r="AK10" s="72" t="str">
        <f>SUM(AK5:AK9)</f>
        <v>#REF!</v>
      </c>
      <c r="AL10" s="73"/>
      <c r="AM10" s="72">
        <f>SUM(AM5:AM9)</f>
        <v>6923400.99</v>
      </c>
      <c r="AN10" s="72"/>
      <c r="AO10" s="72">
        <f>SUM(AO5:AO9)</f>
        <v>989939</v>
      </c>
      <c r="AP10" s="70"/>
      <c r="AQ10" s="72">
        <f>SUM(AQ5:AQ9)</f>
        <v>40051867</v>
      </c>
      <c r="AR10" s="70"/>
      <c r="AS10" s="72">
        <f>SUM(AS5:AS9)</f>
        <v>40000000</v>
      </c>
      <c r="AT10" s="73"/>
      <c r="AU10" s="72">
        <f>SUM(AU5:AU9)</f>
        <v>3942134.21</v>
      </c>
      <c r="AV10" s="70"/>
      <c r="AW10" s="72">
        <f>SUM(AW5:AW9)</f>
        <v>1514484.88</v>
      </c>
      <c r="AX10" s="70"/>
      <c r="AY10" s="72">
        <f>SUM(AY5:AY9)</f>
        <v>1240767.16</v>
      </c>
      <c r="AZ10" s="70"/>
      <c r="BA10" s="72">
        <f>SUM(BA5:BA9)</f>
        <v>1340726</v>
      </c>
      <c r="BB10" s="70"/>
    </row>
    <row r="11" ht="15.75" customHeight="1">
      <c r="B11" s="74" t="s">
        <v>28</v>
      </c>
      <c r="C11" s="75">
        <f>C10/12</f>
        <v>64987462.51</v>
      </c>
      <c r="D11" s="75"/>
      <c r="E11" s="75" t="str">
        <f>E10/12</f>
        <v>#REF!</v>
      </c>
      <c r="F11" s="76"/>
      <c r="G11" s="77">
        <f>'Q1 FY25-26'!G11+'Q2 FY25-26'!G11+'Q3 FY25-26'!G11+'Q4 FY25-26'!G11</f>
        <v>0</v>
      </c>
      <c r="H11" s="78"/>
      <c r="I11" s="78">
        <f>'Q1 FY25-26'!I11+'Q2 FY25-26'!I11+'Q3 FY25-26'!I11+'Q4 FY25-26'!I11</f>
        <v>0</v>
      </c>
      <c r="J11" s="78"/>
      <c r="K11" s="79"/>
      <c r="L11" s="78"/>
      <c r="M11" s="78"/>
      <c r="N11" s="80"/>
      <c r="O11" s="77">
        <f>O10/12</f>
        <v>19059775.42</v>
      </c>
      <c r="P11" s="78"/>
      <c r="Q11" s="78"/>
      <c r="R11" s="76"/>
      <c r="S11" s="77">
        <f>S10/12</f>
        <v>855354.3108</v>
      </c>
      <c r="T11" s="78"/>
      <c r="U11" s="78">
        <f>'Q1 FY25-26'!U11+'Q2 FY25-26'!U11+'Q3 FY25-26'!U11+'Q4 FY25-26'!U11</f>
        <v>0</v>
      </c>
      <c r="V11" s="76"/>
      <c r="W11" s="77">
        <f>W10/12</f>
        <v>14079255.82</v>
      </c>
      <c r="X11" s="78"/>
      <c r="Y11" s="78">
        <f>'Q1 FY25-26'!Y11+'Q2 FY25-26'!Y11+'Q3 FY25-26'!Y11+'Q4 FY25-26'!Y11</f>
        <v>0</v>
      </c>
      <c r="Z11" s="76"/>
      <c r="AA11" s="77">
        <f>AA10/12</f>
        <v>9167521.783</v>
      </c>
      <c r="AB11" s="78"/>
      <c r="AC11" s="78"/>
      <c r="AD11" s="76"/>
      <c r="AE11" s="77">
        <f>AE10/12</f>
        <v>17112254.49</v>
      </c>
      <c r="AF11" s="78"/>
      <c r="AG11" s="78">
        <f>'Q1 FY25-26'!AG11+'Q2 FY25-26'!AG11+'Q3 FY25-26'!AG11+'Q4 FY25-26'!AG11</f>
        <v>0</v>
      </c>
      <c r="AH11" s="76"/>
      <c r="AI11" s="77">
        <f>'Q1 FY25-26'!AI11+'Q2 FY25-26'!AI11+'Q3 FY25-26'!AI11+'Q4 FY25-26'!AI11</f>
        <v>0</v>
      </c>
      <c r="AJ11" s="78"/>
      <c r="AK11" s="78">
        <f>'Q1 FY25-26'!AK11+'Q2 FY25-26'!AK11+'Q3 FY25-26'!AK11+'Q4 FY25-26'!AK11</f>
        <v>0</v>
      </c>
      <c r="AL11" s="76"/>
      <c r="AM11" s="77">
        <f>AM10/12</f>
        <v>576950.0825</v>
      </c>
      <c r="AN11" s="78"/>
      <c r="AO11" s="78">
        <f>'Q1 FY25-26'!AO11+'Q2 FY25-26'!AO11+'Q3 FY25-26'!AO11+'Q4 FY25-26'!AO11</f>
        <v>0</v>
      </c>
      <c r="AP11" s="78"/>
      <c r="AQ11" s="77">
        <f>AQ10/4.5</f>
        <v>8900414.889</v>
      </c>
      <c r="AR11" s="78"/>
      <c r="AS11" s="78">
        <f>'Q1 FY25-26'!AS11+'Q2 FY25-26'!AS11+'Q3 FY25-26'!AS11+'Q4 FY25-26'!AS11</f>
        <v>0</v>
      </c>
      <c r="AT11" s="76"/>
      <c r="AU11" s="77">
        <v>0.0</v>
      </c>
      <c r="AV11" s="78"/>
      <c r="AW11" s="77">
        <v>0.0</v>
      </c>
      <c r="AX11" s="78"/>
      <c r="AY11" s="77">
        <v>0.0</v>
      </c>
      <c r="AZ11" s="78"/>
      <c r="BA11" s="77">
        <v>0.0</v>
      </c>
      <c r="BB11" s="78"/>
    </row>
    <row r="12" ht="15.75" customHeight="1">
      <c r="B12" s="22" t="s">
        <v>29</v>
      </c>
      <c r="C12" s="23">
        <f t="shared" ref="C12:C13" si="27">G12+K12</f>
        <v>252113728.2</v>
      </c>
      <c r="D12" s="24">
        <f t="shared" ref="D12:D13" si="28">C12/$C$10</f>
        <v>0.3232850851</v>
      </c>
      <c r="E12" s="25" t="str">
        <f t="shared" ref="E12:E13" si="29">I12+M12</f>
        <v>#REF!</v>
      </c>
      <c r="F12" s="26" t="str">
        <f t="shared" ref="F12:F14" si="30">E12/E$10</f>
        <v>#REF!</v>
      </c>
      <c r="G12" s="32">
        <f>'Q1 FY25-26'!G12+'Q2 FY25-26'!G12+'Q3 FY25-26'!G12+'Q4 FY25-26'!G12</f>
        <v>1468610</v>
      </c>
      <c r="H12" s="81">
        <f>G12/$C$10</f>
        <v>0.001883196573</v>
      </c>
      <c r="I12" s="82">
        <v>0.0</v>
      </c>
      <c r="J12" s="81">
        <f>I12/$C$10</f>
        <v>0</v>
      </c>
      <c r="K12" s="30">
        <f t="shared" ref="K12:K13" si="31">O12+S12+W12+AA12+AE12+AI12+AM12+AQ12+AU12+AW12+AY12+BA12</f>
        <v>250645118.2</v>
      </c>
      <c r="L12" s="24">
        <f t="shared" ref="L12:L13" si="32">K12/$K$10</f>
        <v>0.3214018885</v>
      </c>
      <c r="M12" s="25" t="str">
        <f t="shared" ref="M12:M13" si="33">Q12+U12+Y12+AC12+AG12+AK12+AO12</f>
        <v>#REF!</v>
      </c>
      <c r="N12" s="31" t="str">
        <f t="shared" ref="N12:N14" si="34">M12/M$10</f>
        <v>#REF!</v>
      </c>
      <c r="O12" s="32">
        <f>'Q1 FY25-26'!O12+'Q2 FY25-26'!O12+'Q3 FY25-26'!O12+'Q4 FY25-26'!O12</f>
        <v>79468420.54</v>
      </c>
      <c r="P12" s="33">
        <f t="shared" ref="P12:P14" si="35">O12/O$10</f>
        <v>0.3474525923</v>
      </c>
      <c r="Q12" s="34">
        <f>'Q1 FY25-26'!Q12+'Q2 FY25-26'!Q12+'Q3 FY25-26'!Q12+'Q4 FY25-26'!Q12</f>
        <v>68650383.72</v>
      </c>
      <c r="R12" s="33">
        <f t="shared" ref="R12:R14" si="36">Q12/Q$10</f>
        <v>0.3482635995</v>
      </c>
      <c r="S12" s="32">
        <f>'Q1 FY25-26'!S12+'Q2 FY25-26'!S12+'Q3 FY25-26'!S12+'Q4 FY25-26'!S12</f>
        <v>3563965.389</v>
      </c>
      <c r="T12" s="33">
        <f t="shared" ref="T12:T13" si="37">S12/S$10</f>
        <v>0.3472211597</v>
      </c>
      <c r="U12" s="34" t="str">
        <f>'Q1 FY25-26'!U12+'Q2 FY25-26'!U12+'Q3 FY25-26'!U12+'Q4 FY25-26'!U12</f>
        <v>#REF!</v>
      </c>
      <c r="V12" s="33" t="str">
        <f t="shared" ref="V12:V14" si="38">U12/U$10</f>
        <v>#REF!</v>
      </c>
      <c r="W12" s="32">
        <f>'Q1 FY25-26'!W12+'Q2 FY25-26'!W12+'Q3 FY25-26'!W12+'Q4 FY25-26'!W12</f>
        <v>51219294.84</v>
      </c>
      <c r="X12" s="33">
        <f t="shared" ref="X12:X13" si="39">W12/W$10</f>
        <v>0.3031605239</v>
      </c>
      <c r="Y12" s="34">
        <f>'Q1 FY25-26'!Y12+'Q2 FY25-26'!Y12+'Q3 FY25-26'!Y12+'Q4 FY25-26'!Y12</f>
        <v>47373429.77</v>
      </c>
      <c r="Z12" s="33">
        <f t="shared" ref="Z12:Z14" si="40">Y12/Y$10</f>
        <v>0.2753975502</v>
      </c>
      <c r="AA12" s="46">
        <f>'Q1 FY25-26'!AA12+'Q2 FY25-26'!AA12+'Q3 FY25-26'!AA12+'Q4 FY25-26'!AA12</f>
        <v>31804983.64</v>
      </c>
      <c r="AB12" s="33">
        <f t="shared" ref="AB12:AB13" si="41">AA12/AA$10</f>
        <v>0.2891092452</v>
      </c>
      <c r="AC12" s="34">
        <f>'Q1 FY25-26'!AC12+'Q2 FY25-26'!AC12+'Q3 FY25-26'!AC12+'Q4 FY25-26'!AC12</f>
        <v>26924319.93</v>
      </c>
      <c r="AD12" s="33">
        <f t="shared" ref="AD12:AD14" si="42">AC12/AC$10</f>
        <v>0.2407421021</v>
      </c>
      <c r="AE12" s="32">
        <f>'Q1 FY25-26'!AE12+'Q2 FY25-26'!AE12+'Q3 FY25-26'!AE12+'Q4 FY25-26'!AE12</f>
        <v>56731799.84</v>
      </c>
      <c r="AF12" s="33">
        <f t="shared" ref="AF12:AF13" si="43">AE12/AE$10</f>
        <v>0.2762727722</v>
      </c>
      <c r="AG12" s="34">
        <f>'Q1 FY25-26'!AG12+'Q2 FY25-26'!AG12+'Q3 FY25-26'!AG12+'Q4 FY25-26'!AG12</f>
        <v>59399191.89</v>
      </c>
      <c r="AH12" s="33">
        <f t="shared" ref="AH12:AH14" si="44">AG12/AG$10</f>
        <v>0.2925180583</v>
      </c>
      <c r="AI12" s="32">
        <f>'Q1 FY25-26'!AI12+'Q2 FY25-26'!AI12+'Q3 FY25-26'!AI12+'Q4 FY25-26'!AI12</f>
        <v>0</v>
      </c>
      <c r="AJ12" s="33">
        <f t="shared" ref="AJ12:AJ13" si="45">AI12/AI$10</f>
        <v>0</v>
      </c>
      <c r="AK12" s="28" t="str">
        <f>'Q1 FY25-26'!AK12+'Q2 FY25-26'!AK12+'Q3 FY25-26'!AK12+'Q4 FY25-26'!AK12</f>
        <v>#REF!</v>
      </c>
      <c r="AL12" s="35"/>
      <c r="AM12" s="46">
        <f>'Q1 FY25-26'!AM12+'Q2 FY25-26'!AM12+'Q3 FY25-26'!AM12+'Q4 FY25-26'!AM12</f>
        <v>4290345.171</v>
      </c>
      <c r="AN12" s="33">
        <f t="shared" ref="AN12:AN13" si="46">AM12/AM$10</f>
        <v>0.6196875173</v>
      </c>
      <c r="AO12" s="83">
        <f>'Q1 FY25-26'!AO12+'Q2 FY25-26'!AO12+'Q3 FY25-26'!AO12+'Q4 FY25-26'!AO12</f>
        <v>0</v>
      </c>
      <c r="AP12" s="33">
        <f t="shared" ref="AP12:AP13" si="47">AO12/AO$10</f>
        <v>0</v>
      </c>
      <c r="AQ12" s="32">
        <f>'Q1 FY25-26'!AQ12+'Q2 FY25-26'!AQ12+'Q3 FY25-26'!AQ12+'Q4 FY25-26'!AQ12</f>
        <v>17218892.78</v>
      </c>
      <c r="AR12" s="33">
        <f t="shared" ref="AR12:AR13" si="48">AQ12/AQ$10</f>
        <v>0.4299148597</v>
      </c>
      <c r="AS12" s="34">
        <f>'Q1 FY25-26'!AS12+'Q2 FY25-26'!AS12+'Q3 FY25-26'!AS12+'Q4 FY25-26'!AS12</f>
        <v>17148000</v>
      </c>
      <c r="AT12" s="35"/>
      <c r="AU12" s="36">
        <f>'Q1 FY25-26'!AU12+'Q2 FY25-26'!AU12+'Q4 FY25-26'!AU12+'Q3 FY25-26'!AU12</f>
        <v>2637327.781</v>
      </c>
      <c r="AV12" s="33">
        <f t="shared" ref="AV12:AV13" si="49">AU12/AU$10</f>
        <v>0.6690101455</v>
      </c>
      <c r="AW12" s="36">
        <f>'Q1 FY25-26'!AY12+'Q2 FY25-26'!AW12+'Q4 FY25-26'!AW12+'Q3 FY25-26'!AW12</f>
        <v>1798112.906</v>
      </c>
      <c r="AX12" s="33">
        <f t="shared" ref="AX12:AX13" si="50">AW12/AW$10</f>
        <v>1.187276895</v>
      </c>
      <c r="AY12" s="36">
        <f>'Q1 FY25-26'!BC12+'Q2 FY25-26'!AY12+'Q4 FY25-26'!AY12+'Q3 FY25-26'!AY12</f>
        <v>1575097.701</v>
      </c>
      <c r="AZ12" s="33">
        <f t="shared" ref="AZ12:AZ13" si="51">AY12/AY$10</f>
        <v>1.269454699</v>
      </c>
      <c r="BA12" s="36">
        <f>'Q1 FY25-26'!BG12+'Q2 FY25-26'!BA12+'Q4 FY25-26'!BA12+'Q3 FY25-26'!BA12</f>
        <v>336877.58</v>
      </c>
      <c r="BB12" s="33">
        <f t="shared" ref="BB12:BB13" si="52">BA12/BA$10</f>
        <v>0.251265046</v>
      </c>
    </row>
    <row r="13" ht="15.75" customHeight="1">
      <c r="B13" s="50" t="s">
        <v>30</v>
      </c>
      <c r="C13" s="51">
        <f t="shared" si="27"/>
        <v>9323055.891</v>
      </c>
      <c r="D13" s="84">
        <f t="shared" si="28"/>
        <v>0.01195494168</v>
      </c>
      <c r="E13" s="52" t="str">
        <f t="shared" si="29"/>
        <v>#REF!</v>
      </c>
      <c r="F13" s="53" t="str">
        <f t="shared" si="30"/>
        <v>#REF!</v>
      </c>
      <c r="G13" s="54">
        <f>'Q1 FY25-26'!G13+'Q2 FY25-26'!G13+'Q3 FY25-26'!G13+'Q4 FY25-26'!G13</f>
        <v>0</v>
      </c>
      <c r="H13" s="55"/>
      <c r="I13" s="85">
        <v>0.0</v>
      </c>
      <c r="J13" s="55"/>
      <c r="K13" s="30">
        <f t="shared" si="31"/>
        <v>9323055.891</v>
      </c>
      <c r="L13" s="24">
        <f t="shared" si="32"/>
        <v>0.01195494168</v>
      </c>
      <c r="M13" s="52" t="str">
        <f t="shared" si="33"/>
        <v>#REF!</v>
      </c>
      <c r="N13" s="57" t="str">
        <f t="shared" si="34"/>
        <v>#REF!</v>
      </c>
      <c r="O13" s="58">
        <f>'Q1 FY25-26'!O13+'Q2 FY25-26'!O13+'Q3 FY25-26'!O13+'Q4 FY25-26'!O13</f>
        <v>499904.74</v>
      </c>
      <c r="P13" s="59">
        <f t="shared" si="35"/>
        <v>0.00218568831</v>
      </c>
      <c r="Q13" s="60">
        <f>'Q1 FY25-26'!Q13+'Q2 FY25-26'!Q13+'Q3 FY25-26'!Q13+'Q4 FY25-26'!Q13</f>
        <v>564726.9929</v>
      </c>
      <c r="R13" s="59">
        <f t="shared" si="36"/>
        <v>0.002864861704</v>
      </c>
      <c r="S13" s="32">
        <f>'Q1 FY25-26'!S13+'Q2 FY25-26'!S13+'Q3 FY25-26'!S13+'Q4 FY25-26'!S13</f>
        <v>199344</v>
      </c>
      <c r="T13" s="59">
        <f t="shared" si="37"/>
        <v>0.01942119165</v>
      </c>
      <c r="U13" s="60" t="str">
        <f>'Q1 FY25-26'!U13+'Q2 FY25-26'!U13+'Q3 FY25-26'!U13+'Q4 FY25-26'!U13</f>
        <v>#REF!</v>
      </c>
      <c r="V13" s="59" t="str">
        <f t="shared" si="38"/>
        <v>#REF!</v>
      </c>
      <c r="W13" s="58">
        <f>'Q1 FY25-26'!W13+'Q2 FY25-26'!W13+'Q3 FY25-26'!W13+'Q4 FY25-26'!W13</f>
        <v>2035189.41</v>
      </c>
      <c r="X13" s="59">
        <f t="shared" si="39"/>
        <v>0.01204602855</v>
      </c>
      <c r="Y13" s="60">
        <f>'Q1 FY25-26'!Y13+'Q2 FY25-26'!Y13+'Q3 FY25-26'!Y13+'Q4 FY25-26'!Y13</f>
        <v>1513761.403</v>
      </c>
      <c r="Z13" s="59">
        <f t="shared" si="40"/>
        <v>0.0088</v>
      </c>
      <c r="AA13" s="46">
        <f>'Q1 FY25-26'!AA13+'Q2 FY25-26'!AA13+'Q3 FY25-26'!AA13+'Q4 FY25-26'!AA13</f>
        <v>2088549.781</v>
      </c>
      <c r="AB13" s="59">
        <f t="shared" si="41"/>
        <v>0.01898504516</v>
      </c>
      <c r="AC13" s="60">
        <f>'Q1 FY25-26'!AC13+'Q2 FY25-26'!AC13+'Q3 FY25-26'!AC13+'Q4 FY25-26'!AC13</f>
        <v>1076693.038</v>
      </c>
      <c r="AD13" s="59">
        <f t="shared" si="42"/>
        <v>0.009627182633</v>
      </c>
      <c r="AE13" s="58">
        <f>'Q1 FY25-26'!AE13+'Q2 FY25-26'!AE13+'Q3 FY25-26'!AE13+'Q4 FY25-26'!AE13</f>
        <v>2045954.2</v>
      </c>
      <c r="AF13" s="59">
        <f t="shared" si="43"/>
        <v>0.009963396898</v>
      </c>
      <c r="AG13" s="60">
        <f>'Q1 FY25-26'!AG13+'Q2 FY25-26'!AG13+'Q3 FY25-26'!AG13+'Q4 FY25-26'!AG13</f>
        <v>1116838.931</v>
      </c>
      <c r="AH13" s="59">
        <f t="shared" si="44"/>
        <v>0.0055</v>
      </c>
      <c r="AI13" s="58">
        <f>'Q1 FY25-26'!AI13+'Q2 FY25-26'!AI13+'Q3 FY25-26'!AI13+'Q4 FY25-26'!AI13</f>
        <v>745</v>
      </c>
      <c r="AJ13" s="59">
        <f t="shared" si="45"/>
        <v>0.0004818176879</v>
      </c>
      <c r="AK13" s="55" t="str">
        <f>'Q1 FY25-26'!AK13+'Q2 FY25-26'!AK13+'Q3 FY25-26'!AK13+'Q4 FY25-26'!AK13</f>
        <v>#REF!</v>
      </c>
      <c r="AL13" s="61"/>
      <c r="AM13" s="46">
        <f>'Q1 FY25-26'!AM13+'Q2 FY25-26'!AM13+'Q3 FY25-26'!AM13+'Q4 FY25-26'!AM13</f>
        <v>1416297.78</v>
      </c>
      <c r="AN13" s="59">
        <f t="shared" si="46"/>
        <v>0.2045667703</v>
      </c>
      <c r="AO13" s="62">
        <f>'Q1 FY25-26'!AO13+'Q2 FY25-26'!AO13+'Q3 FY25-26'!AO13+'Q4 FY25-26'!AO13</f>
        <v>0</v>
      </c>
      <c r="AP13" s="59">
        <f t="shared" si="47"/>
        <v>0</v>
      </c>
      <c r="AQ13" s="58">
        <f>'Q1 FY25-26'!AQ13+'Q2 FY25-26'!AQ13+'Q3 FY25-26'!AQ13+'Q4 FY25-26'!AQ13</f>
        <v>563160.98</v>
      </c>
      <c r="AR13" s="59">
        <f t="shared" si="48"/>
        <v>0.01406079222</v>
      </c>
      <c r="AS13" s="60">
        <f>'Q1 FY25-26'!AS13+'Q2 FY25-26'!AS13+'Q3 FY25-26'!AS13+'Q4 FY25-26'!AS13</f>
        <v>124000</v>
      </c>
      <c r="AT13" s="61"/>
      <c r="AU13" s="36">
        <f>'Q1 FY25-26'!AU13+'Q2 FY25-26'!AU13+'Q4 FY25-26'!AU13+'Q3 FY25-26'!AU13</f>
        <v>123976</v>
      </c>
      <c r="AV13" s="59">
        <f t="shared" si="49"/>
        <v>0.03144895465</v>
      </c>
      <c r="AW13" s="36">
        <f>'Q1 FY25-26'!AY13+'Q2 FY25-26'!AW13+'Q4 FY25-26'!AW13+'Q3 FY25-26'!AW13</f>
        <v>55283</v>
      </c>
      <c r="AX13" s="59">
        <f t="shared" si="50"/>
        <v>0.03650284049</v>
      </c>
      <c r="AY13" s="36">
        <f>'Q1 FY25-26'!BC13+'Q2 FY25-26'!AY13+'Q4 FY25-26'!AY13+'Q3 FY25-26'!AY13</f>
        <v>40454</v>
      </c>
      <c r="AZ13" s="59">
        <f t="shared" si="51"/>
        <v>0.03260402218</v>
      </c>
      <c r="BA13" s="36">
        <f>'Q1 FY25-26'!BG13+'Q2 FY25-26'!BA13+'Q4 FY25-26'!BA13+'Q3 FY25-26'!BA13</f>
        <v>254197</v>
      </c>
      <c r="BB13" s="59">
        <f t="shared" si="52"/>
        <v>0.189596532</v>
      </c>
    </row>
    <row r="14" ht="15.75" customHeight="1">
      <c r="B14" s="16" t="s">
        <v>31</v>
      </c>
      <c r="C14" s="66">
        <f>SUM(C12:C13)</f>
        <v>261436784.1</v>
      </c>
      <c r="D14" s="67">
        <f>C14/C10</f>
        <v>0.3352400268</v>
      </c>
      <c r="E14" s="68" t="str">
        <f>E12+E13</f>
        <v>#REF!</v>
      </c>
      <c r="F14" s="86" t="str">
        <f t="shared" si="30"/>
        <v>#REF!</v>
      </c>
      <c r="G14" s="66">
        <f>'Q1 FY25-26'!G14+'Q2 FY25-26'!G14+'Q3 FY25-26'!G14+'Q4 FY25-26'!G14</f>
        <v>2937220</v>
      </c>
      <c r="H14" s="67">
        <f>G14/C10</f>
        <v>0.003766393145</v>
      </c>
      <c r="I14" s="87">
        <v>0.0</v>
      </c>
      <c r="J14" s="67" t="str">
        <f>I14/E10</f>
        <v>#REF!</v>
      </c>
      <c r="K14" s="72">
        <f>sum(K12:K13)</f>
        <v>259968174.1</v>
      </c>
      <c r="L14" s="67">
        <f>K14/K10</f>
        <v>0.3333568302</v>
      </c>
      <c r="M14" s="68" t="str">
        <f>M12+M13</f>
        <v>#REF!</v>
      </c>
      <c r="N14" s="88" t="str">
        <f t="shared" si="34"/>
        <v>#REF!</v>
      </c>
      <c r="O14" s="66">
        <f>SUM(O12:O13)</f>
        <v>79968325.28</v>
      </c>
      <c r="P14" s="86">
        <f t="shared" si="35"/>
        <v>0.3496382806</v>
      </c>
      <c r="Q14" s="68">
        <f>SUM(Q12:Q13)</f>
        <v>69215110.72</v>
      </c>
      <c r="R14" s="86">
        <f t="shared" si="36"/>
        <v>0.3511284612</v>
      </c>
      <c r="S14" s="66">
        <f>SUM(S12:S13)</f>
        <v>3763309.389</v>
      </c>
      <c r="T14" s="70"/>
      <c r="U14" s="68" t="str">
        <f>SUM(U12:U13)</f>
        <v>#REF!</v>
      </c>
      <c r="V14" s="86" t="str">
        <f t="shared" si="38"/>
        <v>#REF!</v>
      </c>
      <c r="W14" s="66">
        <f>SUM(W12:W13)</f>
        <v>53254484.25</v>
      </c>
      <c r="X14" s="70"/>
      <c r="Y14" s="68">
        <f>SUM(Y12:Y13)</f>
        <v>48887191.18</v>
      </c>
      <c r="Z14" s="86">
        <f t="shared" si="40"/>
        <v>0.2841975502</v>
      </c>
      <c r="AA14" s="66">
        <f>SUM(AA12:AA13)</f>
        <v>33893533.42</v>
      </c>
      <c r="AB14" s="70"/>
      <c r="AC14" s="68">
        <f>SUM(AC12:AC13)</f>
        <v>28001012.97</v>
      </c>
      <c r="AD14" s="86">
        <f t="shared" si="42"/>
        <v>0.2503692847</v>
      </c>
      <c r="AE14" s="66">
        <f>SUM(AE12:AE13)</f>
        <v>58777754.04</v>
      </c>
      <c r="AF14" s="70"/>
      <c r="AG14" s="68">
        <f>SUM(AG12:AG13)</f>
        <v>60516030.82</v>
      </c>
      <c r="AH14" s="86">
        <f t="shared" si="44"/>
        <v>0.2980180583</v>
      </c>
      <c r="AI14" s="68">
        <f>SUM(AI12:AI13)</f>
        <v>745</v>
      </c>
      <c r="AJ14" s="70"/>
      <c r="AK14" s="70" t="str">
        <f>'Q1 FY25-26'!AK14+'Q2 FY25-26'!AK14+'Q3 FY25-26'!AK14+'Q4 FY25-26'!AK14</f>
        <v>#REF!</v>
      </c>
      <c r="AL14" s="73"/>
      <c r="AM14" s="66">
        <f>SUM(AM12:AM13)</f>
        <v>5706642.951</v>
      </c>
      <c r="AN14" s="70"/>
      <c r="AO14" s="68">
        <f>SUM(AO12:AO13)</f>
        <v>0</v>
      </c>
      <c r="AP14" s="70"/>
      <c r="AQ14" s="66">
        <f>SUM(AQ12:AQ13)</f>
        <v>17782053.76</v>
      </c>
      <c r="AR14" s="70"/>
      <c r="AS14" s="68">
        <f>SUM(AS12:AS13)</f>
        <v>17272000</v>
      </c>
      <c r="AT14" s="73"/>
      <c r="AU14" s="89">
        <f>AU12+AU13</f>
        <v>2761303.781</v>
      </c>
      <c r="AV14" s="70"/>
      <c r="AW14" s="89">
        <f>AW12+AW13</f>
        <v>1853395.906</v>
      </c>
      <c r="AX14" s="70"/>
      <c r="AY14" s="89">
        <f>AY12+AY13</f>
        <v>1615551.701</v>
      </c>
      <c r="AZ14" s="70"/>
      <c r="BA14" s="89">
        <f>BA12+BA13</f>
        <v>591074.58</v>
      </c>
      <c r="BB14" s="70"/>
    </row>
    <row r="15" ht="15.75" customHeight="1">
      <c r="B15" s="90" t="s">
        <v>32</v>
      </c>
      <c r="C15" s="91"/>
      <c r="D15" s="92"/>
      <c r="E15" s="93"/>
      <c r="F15" s="94"/>
      <c r="G15" s="95">
        <f>'Q1 FY25-26'!G15+'Q2 FY25-26'!G15+'Q3 FY25-26'!G15+'Q4 FY25-26'!G15</f>
        <v>0</v>
      </c>
      <c r="H15" s="96"/>
      <c r="I15" s="96">
        <f>'Q1 FY25-26'!I15+'Q2 FY25-26'!I15+'Q3 FY25-26'!I15+'Q4 FY25-26'!I15</f>
        <v>0</v>
      </c>
      <c r="J15" s="96"/>
      <c r="K15" s="97"/>
      <c r="L15" s="92"/>
      <c r="M15" s="92"/>
      <c r="N15" s="98"/>
      <c r="O15" s="99">
        <f>'Q1 FY25-26'!O15+'Q2 FY25-26'!O15+'Q3 FY25-26'!O15+'Q4 FY25-26'!O15</f>
        <v>0</v>
      </c>
      <c r="P15" s="100"/>
      <c r="Q15" s="101"/>
      <c r="R15" s="102"/>
      <c r="S15" s="99">
        <f>'Q1 FY25-26'!S15+'Q2 FY25-26'!S15+'Q3 FY25-26'!S15+'Q4 FY25-26'!S15</f>
        <v>0</v>
      </c>
      <c r="T15" s="100"/>
      <c r="U15" s="100">
        <f>'Q1 FY25-26'!U15+'Q2 FY25-26'!U15+'Q3 FY25-26'!U15+'Q4 FY25-26'!U15</f>
        <v>0</v>
      </c>
      <c r="V15" s="102"/>
      <c r="W15" s="99">
        <f>'Q1 FY25-26'!W15+'Q2 FY25-26'!W15+'Q3 FY25-26'!W15+'Q4 FY25-26'!W15</f>
        <v>0</v>
      </c>
      <c r="X15" s="100"/>
      <c r="Y15" s="100">
        <f>'Q1 FY25-26'!Y15+'Q2 FY25-26'!Y15+'Q3 FY25-26'!Y15+'Q4 FY25-26'!Y15</f>
        <v>0</v>
      </c>
      <c r="Z15" s="102"/>
      <c r="AA15" s="103">
        <f>'Q1 FY25-26'!AA15+'Q2 FY25-26'!AA15+'Q3 FY25-26'!AA15+'Q4 FY25-26'!AA15</f>
        <v>0</v>
      </c>
      <c r="AB15" s="100"/>
      <c r="AC15" s="100"/>
      <c r="AD15" s="102"/>
      <c r="AE15" s="103">
        <f>'Q1 FY25-26'!AE15+'Q2 FY25-26'!AE15+'Q3 FY25-26'!AE15+'Q4 FY25-26'!AE15</f>
        <v>0</v>
      </c>
      <c r="AF15" s="100"/>
      <c r="AG15" s="100">
        <f>'Q1 FY25-26'!AG15+'Q2 FY25-26'!AG15+'Q3 FY25-26'!AG15+'Q4 FY25-26'!AG15</f>
        <v>0</v>
      </c>
      <c r="AH15" s="102"/>
      <c r="AI15" s="103">
        <f>'Q1 FY25-26'!AI15+'Q2 FY25-26'!AI15+'Q3 FY25-26'!AI15+'Q4 FY25-26'!AI15</f>
        <v>0</v>
      </c>
      <c r="AJ15" s="100"/>
      <c r="AK15" s="100">
        <f>'Q1 FY25-26'!AK15+'Q2 FY25-26'!AK15+'Q3 FY25-26'!AK15+'Q4 FY25-26'!AK15</f>
        <v>0</v>
      </c>
      <c r="AL15" s="102"/>
      <c r="AM15" s="103">
        <f>'Q1 FY25-26'!AM15+'Q2 FY25-26'!AM15+'Q3 FY25-26'!AM15+'Q4 FY25-26'!AM15</f>
        <v>0</v>
      </c>
      <c r="AN15" s="100"/>
      <c r="AO15" s="100">
        <f>'Q1 FY25-26'!AO15+'Q2 FY25-26'!AO15+'Q3 FY25-26'!AO15+'Q4 FY25-26'!AO15</f>
        <v>0</v>
      </c>
      <c r="AP15" s="100"/>
      <c r="AQ15" s="95">
        <f>'Q1 FY25-26'!AQ15+'Q2 FY25-26'!AQ15+'Q3 FY25-26'!AQ15+'Q4 FY25-26'!AQ15</f>
        <v>0</v>
      </c>
      <c r="AR15" s="100"/>
      <c r="AS15" s="96">
        <f>'Q1 FY25-26'!AS15+'Q2 FY25-26'!AS15+'Q3 FY25-26'!AS15+'Q4 FY25-26'!AS15</f>
        <v>0</v>
      </c>
      <c r="AT15" s="102"/>
      <c r="AU15" s="95">
        <v>0.0</v>
      </c>
      <c r="AV15" s="100"/>
      <c r="AW15" s="95">
        <v>0.0</v>
      </c>
      <c r="AX15" s="100"/>
      <c r="AY15" s="95">
        <v>0.0</v>
      </c>
      <c r="AZ15" s="100"/>
      <c r="BA15" s="95">
        <v>0.0</v>
      </c>
      <c r="BB15" s="100"/>
    </row>
    <row r="16" ht="15.75" customHeight="1">
      <c r="A16" s="104"/>
      <c r="B16" s="105" t="s">
        <v>33</v>
      </c>
      <c r="C16" s="106">
        <f>C10-C14</f>
        <v>518412766.1</v>
      </c>
      <c r="D16" s="107">
        <f>C16/C10</f>
        <v>0.6647599732</v>
      </c>
      <c r="E16" s="108" t="str">
        <f>E10-E14</f>
        <v>#REF!</v>
      </c>
      <c r="F16" s="109" t="str">
        <f>E16/E$10</f>
        <v>#REF!</v>
      </c>
      <c r="G16" s="106">
        <f>G10-G14</f>
        <v>-2937220</v>
      </c>
      <c r="H16" s="107">
        <f>G16/C10</f>
        <v>-0.003766393145</v>
      </c>
      <c r="I16" s="110">
        <v>0.0</v>
      </c>
      <c r="J16" s="107" t="str">
        <f>I16/E10</f>
        <v>#REF!</v>
      </c>
      <c r="K16" s="106">
        <f>K10-K14</f>
        <v>519881376.1</v>
      </c>
      <c r="L16" s="107">
        <f>K16/K10</f>
        <v>0.6666431698</v>
      </c>
      <c r="M16" s="108" t="str">
        <f>Q16+U16+Y16+AC16+AG16+AK16+AO16</f>
        <v>#REF!</v>
      </c>
      <c r="N16" s="111" t="str">
        <f>M16/M$10</f>
        <v>#REF!</v>
      </c>
      <c r="O16" s="106">
        <f>O10-O14</f>
        <v>148748979.8</v>
      </c>
      <c r="P16" s="111">
        <f>O16/O$10</f>
        <v>0.6503617194</v>
      </c>
      <c r="Q16" s="108">
        <f>'Q1 FY25-26'!Q16+'Q2 FY25-26'!Q16+'Q3 FY25-26'!Q16+'Q4 FY25-26'!Q16</f>
        <v>127906793</v>
      </c>
      <c r="R16" s="109">
        <f>Q16/Q$10</f>
        <v>0.6488715388</v>
      </c>
      <c r="S16" s="106">
        <f>S10-S14</f>
        <v>6500942.341</v>
      </c>
      <c r="T16" s="111">
        <f>S16/S$10</f>
        <v>0.6333576486</v>
      </c>
      <c r="U16" s="106" t="str">
        <f>U10-U14</f>
        <v>#REF!</v>
      </c>
      <c r="V16" s="109" t="str">
        <f>U16/U$10</f>
        <v>#REF!</v>
      </c>
      <c r="W16" s="106">
        <f>W10-W14</f>
        <v>115696585.6</v>
      </c>
      <c r="X16" s="111">
        <f>W16/W$10</f>
        <v>0.6847934475</v>
      </c>
      <c r="Y16" s="108">
        <f>'Q1 FY25-26'!Y16+'Q2 FY25-26'!Y16+'Q3 FY25-26'!Y16+'Q4 FY25-26'!Y16</f>
        <v>123131150.1</v>
      </c>
      <c r="Z16" s="109">
        <f>Y16/Y$10</f>
        <v>0.7158024498</v>
      </c>
      <c r="AA16" s="106">
        <f>AA10-AA14</f>
        <v>76116727.97</v>
      </c>
      <c r="AB16" s="111">
        <f>AA16/AA$10</f>
        <v>0.6919057096</v>
      </c>
      <c r="AC16" s="106">
        <f>AC10-AC14</f>
        <v>83837837.42</v>
      </c>
      <c r="AD16" s="109">
        <f>AC16/AC$10</f>
        <v>0.7496307153</v>
      </c>
      <c r="AE16" s="106">
        <f>AE10-AE14</f>
        <v>146569299.9</v>
      </c>
      <c r="AF16" s="111">
        <f>AE16/AE$10</f>
        <v>0.7137638309</v>
      </c>
      <c r="AG16" s="106">
        <f>AG10-AG14</f>
        <v>142545592.9</v>
      </c>
      <c r="AH16" s="109">
        <f>AG16/AG$10</f>
        <v>0.7019819417</v>
      </c>
      <c r="AI16" s="106">
        <f>AI10-AI14</f>
        <v>1545483</v>
      </c>
      <c r="AJ16" s="111">
        <f>AI16/AI$10</f>
        <v>0.9995181823</v>
      </c>
      <c r="AK16" s="108" t="str">
        <f>'Q1 FY25-26'!AK16+'Q2 FY25-26'!AK16+'Q3 FY25-26'!AK16+'Q4 FY25-26'!AK16</f>
        <v>#REF!</v>
      </c>
      <c r="AL16" s="112"/>
      <c r="AM16" s="106">
        <f>AM10-AM14</f>
        <v>1216758.039</v>
      </c>
      <c r="AN16" s="111">
        <f>AM16/AM$10</f>
        <v>0.1757457124</v>
      </c>
      <c r="AO16" s="106">
        <f>AO10-AO14</f>
        <v>989939</v>
      </c>
      <c r="AP16" s="111">
        <f>AO16/AO$10</f>
        <v>1</v>
      </c>
      <c r="AQ16" s="106">
        <f>AQ10-AQ14</f>
        <v>22269813.24</v>
      </c>
      <c r="AR16" s="111">
        <f>AQ16/AQ$10</f>
        <v>0.556024348</v>
      </c>
      <c r="AS16" s="108">
        <f>'Q1 FY25-26'!AS16+'Q2 FY25-26'!AS16+'Q3 FY25-26'!AS16+'Q4 FY25-26'!AS16</f>
        <v>22728000</v>
      </c>
      <c r="AT16" s="112"/>
      <c r="AU16" s="106">
        <f>AU10-AU14</f>
        <v>1180830.429</v>
      </c>
      <c r="AV16" s="111">
        <f>AU16/AU$10</f>
        <v>0.2995408998</v>
      </c>
      <c r="AW16" s="106">
        <f>AW10-AW14</f>
        <v>-338911.0256</v>
      </c>
      <c r="AX16" s="111">
        <f>AW16/AW$10</f>
        <v>-0.2237797353</v>
      </c>
      <c r="AY16" s="106">
        <f>AY10-AY14</f>
        <v>-374784.5412</v>
      </c>
      <c r="AZ16" s="111">
        <f>AY16/AY$10</f>
        <v>-0.3020587209</v>
      </c>
      <c r="BA16" s="113">
        <f>BA10-BA14</f>
        <v>749651.42</v>
      </c>
      <c r="BB16" s="111">
        <f>BA16/BA$10</f>
        <v>0.559138422</v>
      </c>
    </row>
    <row r="17" ht="15.75" customHeight="1">
      <c r="B17" s="74" t="s">
        <v>28</v>
      </c>
      <c r="C17" s="77"/>
      <c r="D17" s="78"/>
      <c r="E17" s="75" t="str">
        <f>E16/12</f>
        <v>#REF!</v>
      </c>
      <c r="F17" s="76"/>
      <c r="G17" s="77">
        <f>'Q1 FY25-26'!G17+'Q2 FY25-26'!G17+'Q3 FY25-26'!G17+'Q4 FY25-26'!G17</f>
        <v>0</v>
      </c>
      <c r="H17" s="78"/>
      <c r="I17" s="78">
        <f>'Q1 FY25-26'!I17+'Q2 FY25-26'!I17+'Q3 FY25-26'!I17+'Q4 FY25-26'!I17</f>
        <v>0</v>
      </c>
      <c r="J17" s="78"/>
      <c r="K17" s="79"/>
      <c r="L17" s="78"/>
      <c r="M17" s="78"/>
      <c r="N17" s="80"/>
      <c r="O17" s="77">
        <f>'Q1 FY25-26'!O17+'Q2 FY25-26'!O17+'Q3 FY25-26'!O17+'Q4 FY25-26'!O17</f>
        <v>0</v>
      </c>
      <c r="P17" s="78"/>
      <c r="Q17" s="78"/>
      <c r="R17" s="76"/>
      <c r="S17" s="77">
        <f>'Q1 FY25-26'!S17+'Q2 FY25-26'!S17+'Q3 FY25-26'!S17+'Q4 FY25-26'!S17</f>
        <v>0</v>
      </c>
      <c r="T17" s="78"/>
      <c r="U17" s="78">
        <f>'Q1 FY25-26'!U17+'Q2 FY25-26'!U17+'Q3 FY25-26'!U17+'Q4 FY25-26'!U17</f>
        <v>0</v>
      </c>
      <c r="V17" s="76"/>
      <c r="W17" s="77">
        <f>'Q1 FY25-26'!W17+'Q2 FY25-26'!W17+'Q3 FY25-26'!W17+'Q4 FY25-26'!W17</f>
        <v>0</v>
      </c>
      <c r="X17" s="78"/>
      <c r="Y17" s="78">
        <f>'Q1 FY25-26'!Y17+'Q2 FY25-26'!Y17+'Q3 FY25-26'!Y17+'Q4 FY25-26'!Y17</f>
        <v>0</v>
      </c>
      <c r="Z17" s="76"/>
      <c r="AA17" s="77">
        <f>'Q1 FY25-26'!AA17+'Q2 FY25-26'!AA17+'Q3 FY25-26'!AA17+'Q4 FY25-26'!AA17</f>
        <v>0</v>
      </c>
      <c r="AB17" s="78"/>
      <c r="AC17" s="78"/>
      <c r="AD17" s="76"/>
      <c r="AE17" s="77">
        <f>'Q1 FY25-26'!AE17+'Q2 FY25-26'!AE17+'Q3 FY25-26'!AE17+'Q4 FY25-26'!AE17</f>
        <v>0</v>
      </c>
      <c r="AF17" s="78"/>
      <c r="AG17" s="78">
        <f>'Q1 FY25-26'!AG17+'Q2 FY25-26'!AG17+'Q3 FY25-26'!AG17+'Q4 FY25-26'!AG17</f>
        <v>0</v>
      </c>
      <c r="AH17" s="76"/>
      <c r="AI17" s="77">
        <f>'Q1 FY25-26'!AI17+'Q2 FY25-26'!AI17+'Q3 FY25-26'!AI17+'Q4 FY25-26'!AI17</f>
        <v>0</v>
      </c>
      <c r="AJ17" s="78"/>
      <c r="AK17" s="78">
        <f>'Q1 FY25-26'!AK17+'Q2 FY25-26'!AK17+'Q3 FY25-26'!AK17+'Q4 FY25-26'!AK17</f>
        <v>0</v>
      </c>
      <c r="AL17" s="76"/>
      <c r="AM17" s="77">
        <f>'Q1 FY25-26'!AM17+'Q2 FY25-26'!AM17+'Q3 FY25-26'!AM17+'Q4 FY25-26'!AM17</f>
        <v>0</v>
      </c>
      <c r="AN17" s="78"/>
      <c r="AO17" s="78">
        <f>'Q1 FY25-26'!AO17+'Q2 FY25-26'!AO17+'Q3 FY25-26'!AO17+'Q4 FY25-26'!AO17</f>
        <v>0</v>
      </c>
      <c r="AP17" s="78"/>
      <c r="AQ17" s="77">
        <f>'Q1 FY25-26'!AQ17+'Q2 FY25-26'!AQ17+'Q3 FY25-26'!AQ17+'Q4 FY25-26'!AQ17</f>
        <v>0</v>
      </c>
      <c r="AR17" s="78"/>
      <c r="AS17" s="78">
        <f>'Q1 FY25-26'!AS17+'Q2 FY25-26'!AS17+'Q3 FY25-26'!AS17+'Q4 FY25-26'!AS17</f>
        <v>0</v>
      </c>
      <c r="AT17" s="76"/>
      <c r="AU17" s="77">
        <v>0.0</v>
      </c>
      <c r="AV17" s="78"/>
      <c r="AW17" s="77">
        <v>0.0</v>
      </c>
      <c r="AX17" s="78"/>
      <c r="AY17" s="77">
        <v>0.0</v>
      </c>
      <c r="AZ17" s="78"/>
      <c r="BA17" s="77">
        <v>0.0</v>
      </c>
      <c r="BB17" s="78"/>
    </row>
    <row r="18" ht="15.75" customHeight="1">
      <c r="B18" s="22" t="s">
        <v>34</v>
      </c>
      <c r="C18" s="23">
        <f t="shared" ref="C18:C27" si="53">G18+K18</f>
        <v>17517411.3</v>
      </c>
      <c r="D18" s="24">
        <f t="shared" ref="D18:D27" si="54">C18/$C$10</f>
        <v>0.02246255229</v>
      </c>
      <c r="E18" s="25" t="str">
        <f t="shared" ref="E18:E28" si="55">I18+M18</f>
        <v>#REF!</v>
      </c>
      <c r="F18" s="26" t="str">
        <f t="shared" ref="F18:F28" si="56">E18/E$10</f>
        <v>#REF!</v>
      </c>
      <c r="G18" s="32">
        <f>'Q1 FY25-26'!G18+'Q2 FY25-26'!G18+'Q3 FY25-26'!G18+'Q4 FY25-26'!G18</f>
        <v>307167.5</v>
      </c>
      <c r="H18" s="81">
        <f t="shared" ref="H18:H27" si="57">G18/$C$10</f>
        <v>0.0003938804606</v>
      </c>
      <c r="I18" s="83">
        <f>'Q1 FY25-26'!I18+'Q2 FY25-26'!I18+'Q3 FY25-26'!I18+'Q4 FY25-26'!I18</f>
        <v>21715</v>
      </c>
      <c r="J18" s="81">
        <f t="shared" ref="J18:J27" si="58">I18/$C$10</f>
        <v>0.00002784511448</v>
      </c>
      <c r="K18" s="30">
        <f t="shared" ref="K18:K27" si="59">O18+S18+W18+AA18+AE18+AI18+AM18+AQ18+AU18+AW18+AY18+BA18</f>
        <v>17210243.8</v>
      </c>
      <c r="L18" s="24">
        <f t="shared" ref="L18:L28" si="60">K18/$K$10</f>
        <v>0.02206867183</v>
      </c>
      <c r="M18" s="25" t="str">
        <f t="shared" ref="M18:M27" si="61">Q18+U18+Y18+AC18+AG18+AK18+AO18</f>
        <v>#REF!</v>
      </c>
      <c r="N18" s="31" t="str">
        <f t="shared" ref="N18:N28" si="62">M18/M$10</f>
        <v>#REF!</v>
      </c>
      <c r="O18" s="32">
        <f>'Q1 FY25-26'!O18+'Q2 FY25-26'!O18+'Q3 FY25-26'!O18+'Q4 FY25-26'!O18</f>
        <v>4897732.85</v>
      </c>
      <c r="P18" s="33">
        <f t="shared" ref="P18:P28" si="63">O18/O$10</f>
        <v>0.02141391465</v>
      </c>
      <c r="Q18" s="34">
        <f>'The Table'!F53+'The Table'!L53+'The Table'!R53</f>
        <v>1074152.158</v>
      </c>
      <c r="R18" s="33">
        <f t="shared" ref="R18:R28" si="64">Q18/Q$10</f>
        <v>0.005449177069</v>
      </c>
      <c r="S18" s="32">
        <f>'Q1 FY25-26'!S18+'Q2 FY25-26'!S18+'Q3 FY25-26'!S18+'Q4 FY25-26'!S18</f>
        <v>267109.28</v>
      </c>
      <c r="T18" s="33">
        <f t="shared" ref="T18:T28" si="65">S18/S$10</f>
        <v>0.02602325888</v>
      </c>
      <c r="U18" s="34" t="str">
        <f>'Q1 FY25-26'!U18+'Q2 FY25-26'!U18+'Q3 FY25-26'!U18+'Q4 FY25-26'!U18</f>
        <v>#REF!</v>
      </c>
      <c r="V18" s="33" t="str">
        <f t="shared" ref="V18:V28" si="66">U18/U$10</f>
        <v>#REF!</v>
      </c>
      <c r="W18" s="32">
        <f>'Q1 FY25-26'!W18+'Q2 FY25-26'!W18+'Q3 FY25-26'!W18+'Q4 FY25-26'!W18</f>
        <v>4469385.01</v>
      </c>
      <c r="X18" s="33">
        <f t="shared" ref="X18:X28" si="67">W18/W$10</f>
        <v>0.02645372424</v>
      </c>
      <c r="Y18" s="34">
        <f>'Q1 FY25-26'!Y18+'Q2 FY25-26'!Y18+'Q3 FY25-26'!Y18+'Q4 FY25-26'!Y18</f>
        <v>3979623.735</v>
      </c>
      <c r="Z18" s="33">
        <f t="shared" ref="Z18:Z28" si="68">Y18/Y$10</f>
        <v>0.0231348803</v>
      </c>
      <c r="AA18" s="46">
        <f>'Q1 FY25-26'!AA18+'Q2 FY25-26'!AA18+'Q3 FY25-26'!AA18+'Q4 FY25-26'!AA18</f>
        <v>1897792.06</v>
      </c>
      <c r="AB18" s="33">
        <f t="shared" ref="AB18:AB28" si="69">AA18/AA$10</f>
        <v>0.01725104582</v>
      </c>
      <c r="AC18" s="34">
        <f>'Q1 FY25-26'!AC18+'Q2 FY25-26'!AC18+'Q3 FY25-26'!AC18+'Q4 FY25-26'!AC18</f>
        <v>2372961.524</v>
      </c>
      <c r="AD18" s="33">
        <f t="shared" ref="AD18:AD28" si="70">AC18/AC$10</f>
        <v>0.02121768523</v>
      </c>
      <c r="AE18" s="32">
        <f>'Q1 FY25-26'!AE18+'Q2 FY25-26'!AE18+'Q3 FY25-26'!AE18+'Q4 FY25-26'!AE18</f>
        <v>4121557.08</v>
      </c>
      <c r="AF18" s="33">
        <f t="shared" ref="AF18:AF28" si="71">AE18/AE$10</f>
        <v>0.02007117707</v>
      </c>
      <c r="AG18" s="34">
        <f>'Q1 FY25-26'!AG18+'Q2 FY25-26'!AG18+'Q3 FY25-26'!AG18+'Q4 FY25-26'!AG18</f>
        <v>4929241.262</v>
      </c>
      <c r="AH18" s="33">
        <f t="shared" ref="AH18:AH28" si="72">AG18/AG$10</f>
        <v>0.02427460773</v>
      </c>
      <c r="AI18" s="32">
        <f>'Q1 FY25-26'!AI18+'Q2 FY25-26'!AI18+'Q3 FY25-26'!AI18+'Q4 FY25-26'!AI18</f>
        <v>47154</v>
      </c>
      <c r="AJ18" s="33">
        <f t="shared" ref="AJ18:AJ28" si="73">AI18/AI$10</f>
        <v>0.03049614934</v>
      </c>
      <c r="AK18" s="34" t="str">
        <f>'Q1 FY25-26'!AK18+'Q2 FY25-26'!AK18+'Q3 FY25-26'!AK18+'Q4 FY25-26'!AK18</f>
        <v>#REF!</v>
      </c>
      <c r="AL18" s="35"/>
      <c r="AM18" s="46">
        <f>'Q1 FY25-26'!AM18+'Q2 FY25-26'!AM18+'Q3 FY25-26'!AM18+'Q4 FY25-26'!AM18</f>
        <v>639160.87</v>
      </c>
      <c r="AN18" s="33">
        <f t="shared" ref="AN18:AN28" si="74">AM18/AM$10</f>
        <v>0.09231891536</v>
      </c>
      <c r="AO18" s="34">
        <f>'Q1 FY25-26'!AO18+'Q2 FY25-26'!AO18+'Q3 FY25-26'!AO18+'Q4 FY25-26'!AO18</f>
        <v>0</v>
      </c>
      <c r="AP18" s="33">
        <f t="shared" ref="AP18:AP28" si="75">AO18/AO$10</f>
        <v>0</v>
      </c>
      <c r="AQ18" s="32">
        <f>'Q1 FY25-26'!AQ18+'Q2 FY25-26'!AQ18+'Q3 FY25-26'!AQ18+'Q4 FY25-26'!AQ18</f>
        <v>870352.65</v>
      </c>
      <c r="AR18" s="33">
        <f t="shared" ref="AR18:AR28" si="76">AQ18/AQ$10</f>
        <v>0.02173063867</v>
      </c>
      <c r="AS18" s="34">
        <f>'Q1 FY25-26'!AS18+'Q2 FY25-26'!AS18+'Q3 FY25-26'!AS18+'Q4 FY25-26'!AS18</f>
        <v>640000</v>
      </c>
      <c r="AT18" s="35"/>
      <c r="AU18" s="32">
        <f>'Q1 FY25-26'!AU18+'Q2 FY25-26'!AU18+'Q3 FY25-26'!AU18+'Q4 FY25-26'!AU18</f>
        <v>0</v>
      </c>
      <c r="AV18" s="33">
        <f t="shared" ref="AV18:AV28" si="77">AU18/AU$10</f>
        <v>0</v>
      </c>
      <c r="AW18" s="32">
        <f>'Q1 FY25-26'!AY18+'Q2 FY25-26'!AW18+'Q3 FY25-26'!AW18+'Q4 FY25-26'!AW18</f>
        <v>0</v>
      </c>
      <c r="AX18" s="33">
        <f t="shared" ref="AX18:AX28" si="78">AW18/AW$10</f>
        <v>0</v>
      </c>
      <c r="AY18" s="32">
        <f>'Q1 FY25-26'!BC18+'Q2 FY25-26'!AY18+'Q3 FY25-26'!AY18+'Q4 FY25-26'!AY18</f>
        <v>0</v>
      </c>
      <c r="AZ18" s="33">
        <f t="shared" ref="AZ18:AZ28" si="79">AY18/AY$10</f>
        <v>0</v>
      </c>
      <c r="BA18" s="32">
        <f>'Q1 FY25-26'!BG18+'Q2 FY25-26'!BA18+'Q3 FY25-26'!BA18+'Q4 FY25-26'!BA18</f>
        <v>0</v>
      </c>
      <c r="BB18" s="33">
        <f t="shared" ref="BB18:BB28" si="80">BA18/BA$10</f>
        <v>0</v>
      </c>
    </row>
    <row r="19" ht="15.75" customHeight="1">
      <c r="B19" s="38" t="s">
        <v>35</v>
      </c>
      <c r="C19" s="39">
        <f t="shared" si="53"/>
        <v>14332455.6</v>
      </c>
      <c r="D19" s="24">
        <f t="shared" si="54"/>
        <v>0.018378488</v>
      </c>
      <c r="E19" s="40" t="str">
        <f t="shared" si="55"/>
        <v>#REF!</v>
      </c>
      <c r="F19" s="41" t="str">
        <f t="shared" si="56"/>
        <v>#REF!</v>
      </c>
      <c r="G19" s="46">
        <f>'Q1 FY25-26'!G19+'Q2 FY25-26'!G19+'Q3 FY25-26'!G19+'Q4 FY25-26'!G19</f>
        <v>683936</v>
      </c>
      <c r="H19" s="81">
        <f t="shared" si="57"/>
        <v>0.0008770101873</v>
      </c>
      <c r="I19" s="114">
        <f>'Q1 FY25-26'!I19+'Q2 FY25-26'!I19+'Q3 FY25-26'!I19+'Q4 FY25-26'!I19</f>
        <v>262778</v>
      </c>
      <c r="J19" s="81">
        <f t="shared" si="58"/>
        <v>0.0003369598661</v>
      </c>
      <c r="K19" s="30">
        <f t="shared" si="59"/>
        <v>13648519.6</v>
      </c>
      <c r="L19" s="24">
        <f t="shared" si="60"/>
        <v>0.01750147781</v>
      </c>
      <c r="M19" s="40" t="str">
        <f t="shared" si="61"/>
        <v>#REF!</v>
      </c>
      <c r="N19" s="45" t="str">
        <f t="shared" si="62"/>
        <v>#REF!</v>
      </c>
      <c r="O19" s="46">
        <f>'Q1 FY25-26'!O19+'Q2 FY25-26'!O19+'Q3 FY25-26'!O19+'Q4 FY25-26'!O19</f>
        <v>1322937</v>
      </c>
      <c r="P19" s="47">
        <f t="shared" si="63"/>
        <v>0.00578415787</v>
      </c>
      <c r="Q19" s="48">
        <f>'Q1 FY25-26'!Q19+'Q2 FY25-26'!Q19+'Q3 FY25-26'!Q19+'Q4 FY25-26'!Q19</f>
        <v>1841685.288</v>
      </c>
      <c r="R19" s="47">
        <f t="shared" si="64"/>
        <v>0.009342874908</v>
      </c>
      <c r="S19" s="32">
        <f>'Q1 FY25-26'!S19+'Q2 FY25-26'!S19+'Q3 FY25-26'!S19+'Q4 FY25-26'!S19</f>
        <v>1158410</v>
      </c>
      <c r="T19" s="47">
        <f t="shared" si="65"/>
        <v>0.1128586896</v>
      </c>
      <c r="U19" s="48" t="str">
        <f>'Q1 FY25-26'!U19+'Q2 FY25-26'!U19+'Q3 FY25-26'!U19+'Q4 FY25-26'!U19</f>
        <v>#REF!</v>
      </c>
      <c r="V19" s="47" t="str">
        <f t="shared" si="66"/>
        <v>#REF!</v>
      </c>
      <c r="W19" s="46">
        <f>'Q1 FY25-26'!W19+'Q2 FY25-26'!W19+'Q3 FY25-26'!W19+'Q4 FY25-26'!W19</f>
        <v>2105615.323</v>
      </c>
      <c r="X19" s="47">
        <f t="shared" si="67"/>
        <v>0.01246287061</v>
      </c>
      <c r="Y19" s="48">
        <f>'Q1 FY25-26'!Y19+'Q2 FY25-26'!Y19+'Q3 FY25-26'!Y19+'Q4 FY25-26'!Y19</f>
        <v>2057532</v>
      </c>
      <c r="Z19" s="47">
        <f t="shared" si="68"/>
        <v>0.01196111987</v>
      </c>
      <c r="AA19" s="46">
        <f>'Q1 FY25-26'!AA19+'Q2 FY25-26'!AA19+'Q3 FY25-26'!AA19+'Q4 FY25-26'!AA19</f>
        <v>1987746.848</v>
      </c>
      <c r="AB19" s="47">
        <f t="shared" si="69"/>
        <v>0.01806874034</v>
      </c>
      <c r="AC19" s="48">
        <f>'Q1 FY25-26'!AC19+'Q2 FY25-26'!AC19+'Q3 FY25-26'!AC19+'Q4 FY25-26'!AC19</f>
        <v>2501634</v>
      </c>
      <c r="AD19" s="47">
        <f t="shared" si="70"/>
        <v>0.02236820203</v>
      </c>
      <c r="AE19" s="46">
        <f>'Q1 FY25-26'!AE19+'Q2 FY25-26'!AE19+'Q3 FY25-26'!AE19+'Q4 FY25-26'!AE19</f>
        <v>2175266.903</v>
      </c>
      <c r="AF19" s="47">
        <f t="shared" si="71"/>
        <v>0.01059312448</v>
      </c>
      <c r="AG19" s="48">
        <f>'Q1 FY25-26'!AG19+'Q2 FY25-26'!AG19+'Q3 FY25-26'!AG19+'Q4 FY25-26'!AG19</f>
        <v>2173571.667</v>
      </c>
      <c r="AH19" s="47">
        <f t="shared" si="72"/>
        <v>0.01070400023</v>
      </c>
      <c r="AI19" s="46">
        <f>'Q1 FY25-26'!AI19+'Q2 FY25-26'!AI19+'Q3 FY25-26'!AI19+'Q4 FY25-26'!AI19</f>
        <v>117409</v>
      </c>
      <c r="AJ19" s="47">
        <f t="shared" si="73"/>
        <v>0.07593252742</v>
      </c>
      <c r="AK19" s="48" t="str">
        <f>'Q1 FY25-26'!AK19+'Q2 FY25-26'!AK19+'Q3 FY25-26'!AK19+'Q4 FY25-26'!AK19</f>
        <v>#REF!</v>
      </c>
      <c r="AL19" s="49"/>
      <c r="AM19" s="46">
        <f>'Q1 FY25-26'!AM19+'Q2 FY25-26'!AM19+'Q3 FY25-26'!AM19+'Q4 FY25-26'!AM19</f>
        <v>758476.1029</v>
      </c>
      <c r="AN19" s="47">
        <f t="shared" si="74"/>
        <v>0.1095525312</v>
      </c>
      <c r="AO19" s="48">
        <f>'Q1 FY25-26'!AO19+'Q2 FY25-26'!AO19+'Q3 FY25-26'!AO19+'Q4 FY25-26'!AO19</f>
        <v>848294</v>
      </c>
      <c r="AP19" s="47">
        <f t="shared" si="75"/>
        <v>0.8569154261</v>
      </c>
      <c r="AQ19" s="46">
        <f>'Q1 FY25-26'!AQ19+'Q2 FY25-26'!AQ19+'Q3 FY25-26'!AQ19+'Q4 FY25-26'!AQ19</f>
        <v>503451.6667</v>
      </c>
      <c r="AR19" s="47">
        <f t="shared" si="76"/>
        <v>0.01256999247</v>
      </c>
      <c r="AS19" s="48">
        <f>'Q1 FY25-26'!AS19+'Q2 FY25-26'!AS19+'Q3 FY25-26'!AS19+'Q4 FY25-26'!AS19</f>
        <v>430653.3333</v>
      </c>
      <c r="AT19" s="49"/>
      <c r="AU19" s="46">
        <f>'Q1 FY25-26'!AU19+'Q2 FY25-26'!AU19+'Q3 FY25-26'!AU19+'Q4 FY25-26'!AU19</f>
        <v>576786.7048</v>
      </c>
      <c r="AV19" s="47">
        <f t="shared" si="77"/>
        <v>0.14631331</v>
      </c>
      <c r="AW19" s="46">
        <f>'Q1 FY25-26'!AY19+'Q2 FY25-26'!AW19+'Q3 FY25-26'!AW19+'Q4 FY25-26'!AW19</f>
        <v>497938.2381</v>
      </c>
      <c r="AX19" s="47">
        <f t="shared" si="78"/>
        <v>0.3287838952</v>
      </c>
      <c r="AY19" s="46">
        <f>'Q1 FY25-26'!BC19+'Q2 FY25-26'!AY19+'Q3 FY25-26'!AY19+'Q4 FY25-26'!AY19</f>
        <v>603522.1429</v>
      </c>
      <c r="AZ19" s="47">
        <f t="shared" si="79"/>
        <v>0.4864104744</v>
      </c>
      <c r="BA19" s="46">
        <f>'Q1 FY25-26'!BG19+'Q2 FY25-26'!BA19+'Q3 FY25-26'!BA19+'Q4 FY25-26'!BA19</f>
        <v>1840959.67</v>
      </c>
      <c r="BB19" s="47">
        <f t="shared" si="80"/>
        <v>1.373106563</v>
      </c>
    </row>
    <row r="20" ht="15.75" customHeight="1">
      <c r="B20" s="38" t="s">
        <v>36</v>
      </c>
      <c r="C20" s="39">
        <f t="shared" si="53"/>
        <v>23878864.54</v>
      </c>
      <c r="D20" s="24">
        <f t="shared" si="54"/>
        <v>0.03061983499</v>
      </c>
      <c r="E20" s="40" t="str">
        <f t="shared" si="55"/>
        <v>#REF!</v>
      </c>
      <c r="F20" s="41" t="str">
        <f t="shared" si="56"/>
        <v>#REF!</v>
      </c>
      <c r="G20" s="46">
        <v>0.0</v>
      </c>
      <c r="H20" s="81">
        <f t="shared" si="57"/>
        <v>0</v>
      </c>
      <c r="I20" s="114">
        <f>'Q1 FY25-26'!I20+'Q2 FY25-26'!I20+'Q3 FY25-26'!I20+'Q4 FY25-26'!I20</f>
        <v>0</v>
      </c>
      <c r="J20" s="81">
        <f t="shared" si="58"/>
        <v>0</v>
      </c>
      <c r="K20" s="30">
        <f t="shared" si="59"/>
        <v>23878864.54</v>
      </c>
      <c r="L20" s="24">
        <f t="shared" si="60"/>
        <v>0.03061983499</v>
      </c>
      <c r="M20" s="40" t="str">
        <f t="shared" si="61"/>
        <v>#REF!</v>
      </c>
      <c r="N20" s="45" t="str">
        <f t="shared" si="62"/>
        <v>#REF!</v>
      </c>
      <c r="O20" s="46">
        <f>'Q1 FY25-26'!O20+'Q2 FY25-26'!O20+'Q3 FY25-26'!O20+'Q4 FY25-26'!O20</f>
        <v>1117859.227</v>
      </c>
      <c r="P20" s="47">
        <f t="shared" si="63"/>
        <v>0.004887514857</v>
      </c>
      <c r="Q20" s="48">
        <f>'Q1 FY25-26'!Q20+'Q2 FY25-26'!Q20+'Q3 FY25-26'!Q20+'Q4 FY25-26'!Q20</f>
        <v>2209892.069</v>
      </c>
      <c r="R20" s="47">
        <f t="shared" si="64"/>
        <v>0.011210789</v>
      </c>
      <c r="S20" s="32">
        <f>'Q1 FY25-26'!S20+'Q2 FY25-26'!S20+'Q3 FY25-26'!S20+'Q4 FY25-26'!S20</f>
        <v>1044202.903</v>
      </c>
      <c r="T20" s="47">
        <f t="shared" si="65"/>
        <v>0.1017320044</v>
      </c>
      <c r="U20" s="48" t="str">
        <f>'Q1 FY25-26'!U20+'Q2 FY25-26'!U20+'Q3 FY25-26'!U20+'Q4 FY25-26'!U20</f>
        <v>#REF!</v>
      </c>
      <c r="V20" s="47" t="str">
        <f t="shared" si="66"/>
        <v>#REF!</v>
      </c>
      <c r="W20" s="46">
        <f>'Q1 FY25-26'!W20+'Q2 FY25-26'!W20+'Q3 FY25-26'!W20+'Q4 FY25-26'!W20</f>
        <v>5262681.342</v>
      </c>
      <c r="X20" s="47">
        <f t="shared" si="67"/>
        <v>0.03114914483</v>
      </c>
      <c r="Y20" s="48">
        <f>'Q1 FY25-26'!Y20+'Q2 FY25-26'!Y20+'Q3 FY25-26'!Y20+'Q4 FY25-26'!Y20</f>
        <v>5777177.758</v>
      </c>
      <c r="Z20" s="47">
        <f t="shared" si="68"/>
        <v>0.03358466146</v>
      </c>
      <c r="AA20" s="46">
        <f>'Q1 FY25-26'!AA20+'Q2 FY25-26'!AA20+'Q3 FY25-26'!AA20+'Q4 FY25-26'!AA20</f>
        <v>7364320.123</v>
      </c>
      <c r="AB20" s="47">
        <f t="shared" si="69"/>
        <v>0.06694212003</v>
      </c>
      <c r="AC20" s="48">
        <f>'Q1 FY25-26'!AC20+'Q2 FY25-26'!AC20+'Q3 FY25-26'!AC20+'Q4 FY25-26'!AC20</f>
        <v>8610430.038</v>
      </c>
      <c r="AD20" s="47">
        <f t="shared" si="70"/>
        <v>0.07698961504</v>
      </c>
      <c r="AE20" s="46">
        <f>'Q1 FY25-26'!AE20+'Q2 FY25-26'!AE20+'Q3 FY25-26'!AE20+'Q4 FY25-26'!AE20</f>
        <v>6592036.378</v>
      </c>
      <c r="AF20" s="47">
        <f t="shared" si="71"/>
        <v>0.03210192818</v>
      </c>
      <c r="AG20" s="48">
        <f>'Q1 FY25-26'!AG20+'Q2 FY25-26'!AG20+'Q3 FY25-26'!AG20+'Q4 FY25-26'!AG20</f>
        <v>5878166.31</v>
      </c>
      <c r="AH20" s="47">
        <f t="shared" si="72"/>
        <v>0.02894769677</v>
      </c>
      <c r="AI20" s="46">
        <f>'Q1 FY25-26'!AI20+'Q2 FY25-26'!AI20+'Q3 FY25-26'!AI20+'Q4 FY25-26'!AI20</f>
        <v>7381</v>
      </c>
      <c r="AJ20" s="47">
        <f t="shared" si="73"/>
        <v>0.004773552154</v>
      </c>
      <c r="AK20" s="48" t="str">
        <f>'Q1 FY25-26'!AK20+'Q2 FY25-26'!AK20+'Q3 FY25-26'!AK20+'Q4 FY25-26'!AK20</f>
        <v>#REF!</v>
      </c>
      <c r="AL20" s="49"/>
      <c r="AM20" s="46">
        <f>'Q1 FY25-26'!AM20+'Q2 FY25-26'!AM20+'Q3 FY25-26'!AM20+'Q4 FY25-26'!AM20</f>
        <v>335828.4408</v>
      </c>
      <c r="AN20" s="47">
        <f t="shared" si="74"/>
        <v>0.048506282</v>
      </c>
      <c r="AO20" s="48">
        <f>'Q1 FY25-26'!AO20+'Q2 FY25-26'!AO20+'Q3 FY25-26'!AO20+'Q4 FY25-26'!AO20</f>
        <v>0</v>
      </c>
      <c r="AP20" s="47">
        <f t="shared" si="75"/>
        <v>0</v>
      </c>
      <c r="AQ20" s="46">
        <f>'Q1 FY25-26'!AQ20+'Q2 FY25-26'!AQ20+'Q3 FY25-26'!AQ20+'Q4 FY25-26'!AQ20</f>
        <v>0</v>
      </c>
      <c r="AR20" s="47">
        <f t="shared" si="76"/>
        <v>0</v>
      </c>
      <c r="AS20" s="48">
        <f>'Q1 FY25-26'!AS20+'Q2 FY25-26'!AS20+'Q3 FY25-26'!AS20+'Q4 FY25-26'!AS20</f>
        <v>0</v>
      </c>
      <c r="AT20" s="49"/>
      <c r="AU20" s="46">
        <f>'Q1 FY25-26'!AU20+'Q2 FY25-26'!AU20+'Q3 FY25-26'!AU20+'Q4 FY25-26'!AU20</f>
        <v>1089725.341</v>
      </c>
      <c r="AV20" s="47">
        <f t="shared" si="77"/>
        <v>0.2764302998</v>
      </c>
      <c r="AW20" s="46">
        <f>'Q1 FY25-26'!AY20+'Q2 FY25-26'!AW20+'Q3 FY25-26'!AW20+'Q4 FY25-26'!AW20</f>
        <v>421702.3581</v>
      </c>
      <c r="AX20" s="47">
        <f t="shared" si="78"/>
        <v>0.2784460668</v>
      </c>
      <c r="AY20" s="46">
        <f>'Q1 FY25-26'!BC20+'Q2 FY25-26'!AY20+'Q3 FY25-26'!AY20+'Q4 FY25-26'!AY20</f>
        <v>483496.44</v>
      </c>
      <c r="AZ20" s="47">
        <f t="shared" si="79"/>
        <v>0.3896754005</v>
      </c>
      <c r="BA20" s="46">
        <f>'Q1 FY25-26'!BG20+'Q2 FY25-26'!BA20+'Q3 FY25-26'!BA20+'Q4 FY25-26'!BA20</f>
        <v>159630.99</v>
      </c>
      <c r="BB20" s="47">
        <f t="shared" si="80"/>
        <v>0.1190630972</v>
      </c>
    </row>
    <row r="21" ht="15.75" customHeight="1">
      <c r="B21" s="38" t="s">
        <v>37</v>
      </c>
      <c r="C21" s="39">
        <f t="shared" si="53"/>
        <v>80492889.37</v>
      </c>
      <c r="D21" s="24">
        <f t="shared" si="54"/>
        <v>0.1032159208</v>
      </c>
      <c r="E21" s="40" t="str">
        <f t="shared" si="55"/>
        <v>#REF!</v>
      </c>
      <c r="F21" s="41" t="str">
        <f t="shared" si="56"/>
        <v>#REF!</v>
      </c>
      <c r="G21" s="46">
        <f>'Q1 FY25-26'!G21+'Q2 FY25-26'!G21+'Q3 FY25-26'!G21+'Q4 FY25-26'!G21</f>
        <v>4868875.16</v>
      </c>
      <c r="H21" s="81">
        <f t="shared" si="57"/>
        <v>0.006243351886</v>
      </c>
      <c r="I21" s="114">
        <f>'Q1 FY25-26'!I21+'Q2 FY25-26'!I21+'Q3 FY25-26'!I21+'Q4 FY25-26'!I21</f>
        <v>4497675</v>
      </c>
      <c r="J21" s="81">
        <f t="shared" si="58"/>
        <v>0.005767362434</v>
      </c>
      <c r="K21" s="30">
        <f t="shared" si="59"/>
        <v>75624014.21</v>
      </c>
      <c r="L21" s="24">
        <f t="shared" si="60"/>
        <v>0.09697256888</v>
      </c>
      <c r="M21" s="40" t="str">
        <f t="shared" si="61"/>
        <v>#REF!</v>
      </c>
      <c r="N21" s="45" t="str">
        <f t="shared" si="62"/>
        <v>#REF!</v>
      </c>
      <c r="O21" s="46">
        <f>'Q1 FY25-26'!O21+'Q2 FY25-26'!O21+'Q3 FY25-26'!O21+'Q4 FY25-26'!O21</f>
        <v>21477666</v>
      </c>
      <c r="P21" s="47">
        <f t="shared" si="63"/>
        <v>0.09390485777</v>
      </c>
      <c r="Q21" s="48">
        <f>'Q1 FY25-26'!Q21+'Q2 FY25-26'!Q21+'Q3 FY25-26'!Q21+'Q4 FY25-26'!Q21</f>
        <v>21383642.52</v>
      </c>
      <c r="R21" s="47">
        <f t="shared" si="64"/>
        <v>0.1084792817</v>
      </c>
      <c r="S21" s="32">
        <f>'Q1 FY25-26'!S21+'Q2 FY25-26'!S21+'Q3 FY25-26'!S21+'Q4 FY25-26'!S21</f>
        <v>1086351.2</v>
      </c>
      <c r="T21" s="47">
        <f t="shared" si="65"/>
        <v>0.105838324</v>
      </c>
      <c r="U21" s="48" t="str">
        <f>'Q1 FY25-26'!U21+'Q2 FY25-26'!U21+'Q3 FY25-26'!U21+'Q4 FY25-26'!U21</f>
        <v>#REF!</v>
      </c>
      <c r="V21" s="47" t="str">
        <f t="shared" si="66"/>
        <v>#REF!</v>
      </c>
      <c r="W21" s="46">
        <f>'Q1 FY25-26'!W21+'Q2 FY25-26'!W21+'Q3 FY25-26'!W21+'Q4 FY25-26'!W21</f>
        <v>17819893</v>
      </c>
      <c r="X21" s="47">
        <f t="shared" si="67"/>
        <v>0.1054736914</v>
      </c>
      <c r="Y21" s="48">
        <f>'Q1 FY25-26'!Y21+'Q2 FY25-26'!Y21+'Q3 FY25-26'!Y21+'Q4 FY25-26'!Y21</f>
        <v>17644906.5</v>
      </c>
      <c r="Z21" s="47">
        <f t="shared" si="68"/>
        <v>0.1025757275</v>
      </c>
      <c r="AA21" s="46">
        <f>'Q1 FY25-26'!AA21+'Q2 FY25-26'!AA21+'Q3 FY25-26'!AA21+'Q4 FY25-26'!AA21</f>
        <v>8872086.36</v>
      </c>
      <c r="AB21" s="47">
        <f t="shared" si="69"/>
        <v>0.08064780729</v>
      </c>
      <c r="AC21" s="48">
        <f>'Q1 FY25-26'!AC21+'Q2 FY25-26'!AC21+'Q3 FY25-26'!AC21+'Q4 FY25-26'!AC21</f>
        <v>8545783</v>
      </c>
      <c r="AD21" s="47">
        <f t="shared" si="70"/>
        <v>0.07641157764</v>
      </c>
      <c r="AE21" s="46">
        <f>'Q1 FY25-26'!AE21+'Q2 FY25-26'!AE21+'Q3 FY25-26'!AE21+'Q4 FY25-26'!AE21</f>
        <v>18888069</v>
      </c>
      <c r="AF21" s="47">
        <f t="shared" si="71"/>
        <v>0.09198120275</v>
      </c>
      <c r="AG21" s="48">
        <f>'Q1 FY25-26'!AG21+'Q2 FY25-26'!AG21+'Q3 FY25-26'!AG21+'Q4 FY25-26'!AG21</f>
        <v>18782210</v>
      </c>
      <c r="AH21" s="47">
        <f t="shared" si="72"/>
        <v>0.09249512365</v>
      </c>
      <c r="AI21" s="46">
        <f>'Q1 FY25-26'!AI21+'Q2 FY25-26'!AI21+'Q3 FY25-26'!AI21+'Q4 FY25-26'!AI21</f>
        <v>1609638</v>
      </c>
      <c r="AJ21" s="47">
        <f t="shared" si="73"/>
        <v>1.041009476</v>
      </c>
      <c r="AK21" s="48" t="str">
        <f>'Q1 FY25-26'!AK21+'Q2 FY25-26'!AK21+'Q3 FY25-26'!AK21+'Q4 FY25-26'!AK21</f>
        <v>#REF!</v>
      </c>
      <c r="AL21" s="49"/>
      <c r="AM21" s="46">
        <f>'Q1 FY25-26'!AM21+'Q2 FY25-26'!AM21+'Q3 FY25-26'!AM21+'Q4 FY25-26'!AM21</f>
        <v>3008854</v>
      </c>
      <c r="AN21" s="47">
        <f t="shared" si="74"/>
        <v>0.4345919013</v>
      </c>
      <c r="AO21" s="48">
        <f>'Q1 FY25-26'!AO21+'Q2 FY25-26'!AO21+'Q3 FY25-26'!AO21+'Q4 FY25-26'!AO21</f>
        <v>253308</v>
      </c>
      <c r="AP21" s="47">
        <f t="shared" si="75"/>
        <v>0.2558824332</v>
      </c>
      <c r="AQ21" s="46">
        <f>'Q1 FY25-26'!AQ21+'Q2 FY25-26'!AQ21+'Q3 FY25-26'!AQ21+'Q4 FY25-26'!AQ21</f>
        <v>2559711.333</v>
      </c>
      <c r="AR21" s="47">
        <f t="shared" si="76"/>
        <v>0.06390991295</v>
      </c>
      <c r="AS21" s="48">
        <f>'Q1 FY25-26'!AS21+'Q2 FY25-26'!AS21+'Q3 FY25-26'!AS21+'Q4 FY25-26'!AS21</f>
        <v>1756900</v>
      </c>
      <c r="AT21" s="49"/>
      <c r="AU21" s="46">
        <f>'Q1 FY25-26'!AU21+'Q2 FY25-26'!AU21+'Q3 FY25-26'!AU21+'Q4 FY25-26'!AU21</f>
        <v>190124.48</v>
      </c>
      <c r="AV21" s="47">
        <f t="shared" si="77"/>
        <v>0.04822881969</v>
      </c>
      <c r="AW21" s="46">
        <f>'Q1 FY25-26'!AY21+'Q2 FY25-26'!AW21+'Q3 FY25-26'!AW21+'Q4 FY25-26'!AW21</f>
        <v>76220.84</v>
      </c>
      <c r="AX21" s="47">
        <f t="shared" si="78"/>
        <v>0.05032789763</v>
      </c>
      <c r="AY21" s="46">
        <f>'Q1 FY25-26'!BC21+'Q2 FY25-26'!AY21+'Q3 FY25-26'!AY21+'Q4 FY25-26'!AY21</f>
        <v>0</v>
      </c>
      <c r="AZ21" s="47">
        <f t="shared" si="79"/>
        <v>0</v>
      </c>
      <c r="BA21" s="46">
        <f>'Q1 FY25-26'!BG21+'Q2 FY25-26'!BA21+'Q3 FY25-26'!BA21+'Q4 FY25-26'!BA21</f>
        <v>35400</v>
      </c>
      <c r="BB21" s="47">
        <f t="shared" si="80"/>
        <v>0.02640360521</v>
      </c>
    </row>
    <row r="22" ht="15.75" customHeight="1">
      <c r="B22" s="38" t="s">
        <v>38</v>
      </c>
      <c r="C22" s="39">
        <f t="shared" si="53"/>
        <v>256178541.3</v>
      </c>
      <c r="D22" s="24">
        <f t="shared" si="54"/>
        <v>0.3284973894</v>
      </c>
      <c r="E22" s="40" t="str">
        <f t="shared" si="55"/>
        <v>#REF!</v>
      </c>
      <c r="F22" s="41" t="str">
        <f t="shared" si="56"/>
        <v>#REF!</v>
      </c>
      <c r="G22" s="46">
        <f>'Q1 FY25-26'!G22+'Q2 FY25-26'!G22+'Q3 FY25-26'!G22+'Q4 FY25-26'!G22</f>
        <v>50169213.47</v>
      </c>
      <c r="H22" s="81">
        <f t="shared" si="57"/>
        <v>0.06433191307</v>
      </c>
      <c r="I22" s="114">
        <f>'Q1 FY25-26'!I22+'Q2 FY25-26'!I22+'Q3 FY25-26'!I22+'Q4 FY25-26'!I22</f>
        <v>51288650.99</v>
      </c>
      <c r="J22" s="81">
        <f t="shared" si="58"/>
        <v>0.06576736626</v>
      </c>
      <c r="K22" s="30">
        <f t="shared" si="59"/>
        <v>206009327.9</v>
      </c>
      <c r="L22" s="24">
        <f t="shared" si="60"/>
        <v>0.2641654763</v>
      </c>
      <c r="M22" s="40" t="str">
        <f t="shared" si="61"/>
        <v>#REF!</v>
      </c>
      <c r="N22" s="45" t="str">
        <f t="shared" si="62"/>
        <v>#REF!</v>
      </c>
      <c r="O22" s="46">
        <f>'Q1 FY25-26'!O22+'Q2 FY25-26'!O22+'Q3 FY25-26'!O22+'Q4 FY25-26'!O22</f>
        <v>63903568.38</v>
      </c>
      <c r="P22" s="47">
        <f t="shared" si="63"/>
        <v>0.279399796</v>
      </c>
      <c r="Q22" s="48">
        <f>'Q1 FY25-26'!Q22+'Q2 FY25-26'!Q22+'Q3 FY25-26'!Q22+'Q4 FY25-26'!Q22</f>
        <v>57678640.66</v>
      </c>
      <c r="R22" s="47">
        <f t="shared" si="64"/>
        <v>0.2926039145</v>
      </c>
      <c r="S22" s="32">
        <f>'Q1 FY25-26'!S22+'Q2 FY25-26'!S22+'Q3 FY25-26'!S22+'Q4 FY25-26'!S22</f>
        <v>3636163.946</v>
      </c>
      <c r="T22" s="47">
        <f t="shared" si="65"/>
        <v>0.3542551412</v>
      </c>
      <c r="U22" s="48" t="str">
        <f>'Q1 FY25-26'!U22+'Q2 FY25-26'!U22+'Q3 FY25-26'!U22+'Q4 FY25-26'!U22</f>
        <v>#REF!</v>
      </c>
      <c r="V22" s="47" t="str">
        <f t="shared" si="66"/>
        <v>#REF!</v>
      </c>
      <c r="W22" s="46">
        <f>'Q1 FY25-26'!W22+'Q2 FY25-26'!W22+'Q3 FY25-26'!W22+'Q4 FY25-26'!W22</f>
        <v>39499817.61</v>
      </c>
      <c r="X22" s="47">
        <f t="shared" si="67"/>
        <v>0.2337944214</v>
      </c>
      <c r="Y22" s="48">
        <f>'Q1 FY25-26'!Y22+'Q2 FY25-26'!Y22+'Q3 FY25-26'!Y22+'Q4 FY25-26'!Y22</f>
        <v>39818204.54</v>
      </c>
      <c r="Z22" s="47">
        <f t="shared" si="68"/>
        <v>0.2314765056</v>
      </c>
      <c r="AA22" s="46">
        <f>'Q1 FY25-26'!AA22+'Q2 FY25-26'!AA22+'Q3 FY25-26'!AA22+'Q4 FY25-26'!AA22</f>
        <v>19319140.72</v>
      </c>
      <c r="AB22" s="47">
        <f t="shared" si="69"/>
        <v>0.17561217</v>
      </c>
      <c r="AC22" s="48">
        <f>'Q1 FY25-26'!AC22+'Q2 FY25-26'!AC22+'Q3 FY25-26'!AC22+'Q4 FY25-26'!AC22</f>
        <v>17831312.1</v>
      </c>
      <c r="AD22" s="47">
        <f t="shared" si="70"/>
        <v>0.1594375482</v>
      </c>
      <c r="AE22" s="46">
        <f>'Q1 FY25-26'!AE22+'Q2 FY25-26'!AE22+'Q3 FY25-26'!AE22+'Q4 FY25-26'!AE22</f>
        <v>45062039.7</v>
      </c>
      <c r="AF22" s="47">
        <f t="shared" si="71"/>
        <v>0.2194433221</v>
      </c>
      <c r="AG22" s="48">
        <f>'Q1 FY25-26'!AG22+'Q2 FY25-26'!AG22+'Q3 FY25-26'!AG22+'Q4 FY25-26'!AG22</f>
        <v>45496568.25</v>
      </c>
      <c r="AH22" s="47">
        <f t="shared" si="72"/>
        <v>0.2240530111</v>
      </c>
      <c r="AI22" s="46">
        <f>'Q1 FY25-26'!AI22+'Q2 FY25-26'!AI22+'Q3 FY25-26'!AI22+'Q4 FY25-26'!AI22</f>
        <v>1179069.7</v>
      </c>
      <c r="AJ22" s="47">
        <f t="shared" si="73"/>
        <v>0.7625458212</v>
      </c>
      <c r="AK22" s="48" t="str">
        <f>'Q1 FY25-26'!AK22+'Q2 FY25-26'!AK22+'Q3 FY25-26'!AK22+'Q4 FY25-26'!AK22</f>
        <v>#REF!</v>
      </c>
      <c r="AL22" s="49"/>
      <c r="AM22" s="46">
        <f>'Q1 FY25-26'!AM22+'Q2 FY25-26'!AM22+'Q3 FY25-26'!AM22+'Q4 FY25-26'!AM22</f>
        <v>15751437.04</v>
      </c>
      <c r="AN22" s="47">
        <f t="shared" si="74"/>
        <v>2.275101075</v>
      </c>
      <c r="AO22" s="48">
        <f>'Q1 FY25-26'!AO22+'Q2 FY25-26'!AO22+'Q3 FY25-26'!AO22+'Q4 FY25-26'!AO22</f>
        <v>458164</v>
      </c>
      <c r="AP22" s="47">
        <f t="shared" si="75"/>
        <v>0.4628204364</v>
      </c>
      <c r="AQ22" s="46">
        <f>'Q1 FY25-26'!AQ22+'Q2 FY25-26'!AQ22+'Q3 FY25-26'!AQ22+'Q4 FY25-26'!AQ22</f>
        <v>16734762.78</v>
      </c>
      <c r="AR22" s="47">
        <f t="shared" si="76"/>
        <v>0.4178272833</v>
      </c>
      <c r="AS22" s="48">
        <f>'Q1 FY25-26'!AS22+'Q2 FY25-26'!AS22+'Q3 FY25-26'!AS22+'Q4 FY25-26'!AS22</f>
        <v>0</v>
      </c>
      <c r="AT22" s="49"/>
      <c r="AU22" s="46">
        <f>'Q1 FY25-26'!AU22+'Q2 FY25-26'!AU22+'Q3 FY25-26'!AU22+'Q4 FY25-26'!AU22</f>
        <v>0</v>
      </c>
      <c r="AV22" s="47">
        <f t="shared" si="77"/>
        <v>0</v>
      </c>
      <c r="AW22" s="46">
        <f>'Q1 FY25-26'!AY22+'Q2 FY25-26'!AW22+'Q3 FY25-26'!AW22+'Q4 FY25-26'!AW22</f>
        <v>0</v>
      </c>
      <c r="AX22" s="47">
        <f t="shared" si="78"/>
        <v>0</v>
      </c>
      <c r="AY22" s="46">
        <f>'Q1 FY25-26'!BC22+'Q2 FY25-26'!AY22+'Q3 FY25-26'!AY22+'Q4 FY25-26'!AY22</f>
        <v>0</v>
      </c>
      <c r="AZ22" s="47">
        <f t="shared" si="79"/>
        <v>0</v>
      </c>
      <c r="BA22" s="46">
        <f>'Q1 FY25-26'!BG22+'Q2 FY25-26'!BA22+'Q3 FY25-26'!BA22+'Q4 FY25-26'!BA22</f>
        <v>923328</v>
      </c>
      <c r="BB22" s="47">
        <f t="shared" si="80"/>
        <v>0.6886776269</v>
      </c>
    </row>
    <row r="23" ht="15.75" customHeight="1">
      <c r="B23" s="38" t="s">
        <v>39</v>
      </c>
      <c r="C23" s="39">
        <f t="shared" si="53"/>
        <v>13241802.44</v>
      </c>
      <c r="D23" s="24">
        <f t="shared" si="54"/>
        <v>0.01697994496</v>
      </c>
      <c r="E23" s="40" t="str">
        <f t="shared" si="55"/>
        <v>#REF!</v>
      </c>
      <c r="F23" s="41" t="str">
        <f t="shared" si="56"/>
        <v>#REF!</v>
      </c>
      <c r="G23" s="46">
        <f>'Q1 FY25-26'!G23+'Q2 FY25-26'!G23+'Q3 FY25-26'!G23+'Q4 FY25-26'!G23</f>
        <v>6123719.12</v>
      </c>
      <c r="H23" s="81">
        <f t="shared" si="57"/>
        <v>0.007852436562</v>
      </c>
      <c r="I23" s="114">
        <f>'Q1 FY25-26'!I23+'Q2 FY25-26'!I23+'Q3 FY25-26'!I23+'Q4 FY25-26'!I23</f>
        <v>280411.82</v>
      </c>
      <c r="J23" s="81">
        <f t="shared" si="58"/>
        <v>0.0003595716891</v>
      </c>
      <c r="K23" s="30">
        <f t="shared" si="59"/>
        <v>7118083.32</v>
      </c>
      <c r="L23" s="24">
        <f t="shared" si="60"/>
        <v>0.009127508401</v>
      </c>
      <c r="M23" s="40" t="str">
        <f t="shared" si="61"/>
        <v>#REF!</v>
      </c>
      <c r="N23" s="45" t="str">
        <f t="shared" si="62"/>
        <v>#REF!</v>
      </c>
      <c r="O23" s="46">
        <f>'Q1 FY25-26'!O23+'Q2 FY25-26'!O23+'Q3 FY25-26'!O23+'Q4 FY25-26'!O23</f>
        <v>3682476.59</v>
      </c>
      <c r="P23" s="47">
        <f t="shared" si="63"/>
        <v>0.01610055955</v>
      </c>
      <c r="Q23" s="48">
        <f>'Q1 FY25-26'!Q23+'Q2 FY25-26'!Q23+'Q3 FY25-26'!Q23+'Q4 FY25-26'!Q23</f>
        <v>2712326.421</v>
      </c>
      <c r="R23" s="47">
        <f t="shared" si="64"/>
        <v>0.01375963995</v>
      </c>
      <c r="S23" s="32">
        <f>'Q1 FY25-26'!S23+'Q2 FY25-26'!S23+'Q3 FY25-26'!S23+'Q4 FY25-26'!S23</f>
        <v>0</v>
      </c>
      <c r="T23" s="47">
        <f t="shared" si="65"/>
        <v>0</v>
      </c>
      <c r="U23" s="43" t="str">
        <f>'Q1 FY25-26'!U23+'Q2 FY25-26'!U23+'Q3 FY25-26'!U23+'Q4 FY25-26'!U23</f>
        <v>#REF!</v>
      </c>
      <c r="V23" s="47" t="str">
        <f t="shared" si="66"/>
        <v>#REF!</v>
      </c>
      <c r="W23" s="46">
        <f>'Q1 FY25-26'!W23+'Q2 FY25-26'!W23+'Q3 FY25-26'!W23+'Q4 FY25-26'!W23</f>
        <v>1103344.31</v>
      </c>
      <c r="X23" s="47">
        <f t="shared" si="67"/>
        <v>0.006530555334</v>
      </c>
      <c r="Y23" s="48">
        <f>'Q1 FY25-26'!Y23+'Q2 FY25-26'!Y23+'Q3 FY25-26'!Y23+'Q4 FY25-26'!Y23</f>
        <v>1528168.198</v>
      </c>
      <c r="Z23" s="47">
        <f t="shared" si="68"/>
        <v>0.008883751504</v>
      </c>
      <c r="AA23" s="46">
        <f>'Q1 FY25-26'!AA23+'Q2 FY25-26'!AA23+'Q3 FY25-26'!AA23+'Q4 FY25-26'!AA23</f>
        <v>438706.08</v>
      </c>
      <c r="AB23" s="47">
        <f t="shared" si="69"/>
        <v>0.003987865081</v>
      </c>
      <c r="AC23" s="48">
        <f>'Q1 FY25-26'!AC23+'Q2 FY25-26'!AC23+'Q3 FY25-26'!AC23+'Q4 FY25-26'!AC23</f>
        <v>463960.056</v>
      </c>
      <c r="AD23" s="47">
        <f t="shared" si="70"/>
        <v>0.004148469466</v>
      </c>
      <c r="AE23" s="46">
        <f>'Q1 FY25-26'!AE23+'Q2 FY25-26'!AE23+'Q3 FY25-26'!AE23+'Q4 FY25-26'!AE23</f>
        <v>1476334.45</v>
      </c>
      <c r="AF23" s="47">
        <f t="shared" si="71"/>
        <v>0.007189460096</v>
      </c>
      <c r="AG23" s="48">
        <f>'Q1 FY25-26'!AG23+'Q2 FY25-26'!AG23+'Q3 FY25-26'!AG23+'Q4 FY25-26'!AG23</f>
        <v>1560608.445</v>
      </c>
      <c r="AH23" s="47">
        <f t="shared" si="72"/>
        <v>0.007685393311</v>
      </c>
      <c r="AI23" s="46">
        <f>'Q1 FY25-26'!AI23+'Q2 FY25-26'!AI23+'Q3 FY25-26'!AI23+'Q4 FY25-26'!AI23</f>
        <v>710.68</v>
      </c>
      <c r="AJ23" s="47">
        <f t="shared" si="73"/>
        <v>0.0004596217375</v>
      </c>
      <c r="AK23" s="48" t="str">
        <f>'Q1 FY25-26'!AK23+'Q2 FY25-26'!AK23+'Q3 FY25-26'!AK23+'Q4 FY25-26'!AK23</f>
        <v>#REF!</v>
      </c>
      <c r="AL23" s="49"/>
      <c r="AM23" s="46">
        <f>'Q1 FY25-26'!AM23+'Q2 FY25-26'!AM23+'Q3 FY25-26'!AM23+'Q4 FY25-26'!AM23</f>
        <v>6686.27</v>
      </c>
      <c r="AN23" s="47">
        <f t="shared" si="74"/>
        <v>0.0009657493492</v>
      </c>
      <c r="AO23" s="48">
        <f>'Q1 FY25-26'!AO23+'Q2 FY25-26'!AO23+'Q3 FY25-26'!AO23+'Q4 FY25-26'!AO23</f>
        <v>0</v>
      </c>
      <c r="AP23" s="47">
        <f t="shared" si="75"/>
        <v>0</v>
      </c>
      <c r="AQ23" s="46">
        <f>'Q1 FY25-26'!AQ23+'Q2 FY25-26'!AQ23+'Q3 FY25-26'!AQ23+'Q4 FY25-26'!AQ23</f>
        <v>409824.94</v>
      </c>
      <c r="AR23" s="47">
        <f t="shared" si="76"/>
        <v>0.01023235546</v>
      </c>
      <c r="AS23" s="48">
        <f>'Q1 FY25-26'!AS23+'Q2 FY25-26'!AS23+'Q3 FY25-26'!AS23+'Q4 FY25-26'!AS23</f>
        <v>0</v>
      </c>
      <c r="AT23" s="49"/>
      <c r="AU23" s="46">
        <f>'Q1 FY25-26'!AU23+'Q2 FY25-26'!AU23+'Q3 FY25-26'!AU23+'Q4 FY25-26'!AU23</f>
        <v>0</v>
      </c>
      <c r="AV23" s="47">
        <f t="shared" si="77"/>
        <v>0</v>
      </c>
      <c r="AW23" s="46">
        <f>'Q1 FY25-26'!AY23+'Q2 FY25-26'!AW23+'Q3 FY25-26'!AW23+'Q4 FY25-26'!AW23</f>
        <v>0</v>
      </c>
      <c r="AX23" s="47">
        <f t="shared" si="78"/>
        <v>0</v>
      </c>
      <c r="AY23" s="46">
        <f>'Q1 FY25-26'!BC23+'Q2 FY25-26'!AY23+'Q3 FY25-26'!AY23+'Q4 FY25-26'!AY23</f>
        <v>0</v>
      </c>
      <c r="AZ23" s="47">
        <f t="shared" si="79"/>
        <v>0</v>
      </c>
      <c r="BA23" s="46">
        <f>'Q1 FY25-26'!BG23+'Q2 FY25-26'!BA23+'Q3 FY25-26'!BA23+'Q4 FY25-26'!BA23</f>
        <v>0</v>
      </c>
      <c r="BB23" s="47">
        <f t="shared" si="80"/>
        <v>0</v>
      </c>
    </row>
    <row r="24" ht="15.75" customHeight="1">
      <c r="B24" s="38" t="s">
        <v>40</v>
      </c>
      <c r="C24" s="39">
        <f t="shared" si="53"/>
        <v>3194214.75</v>
      </c>
      <c r="D24" s="24">
        <f t="shared" si="54"/>
        <v>0.004095937158</v>
      </c>
      <c r="E24" s="40" t="str">
        <f t="shared" si="55"/>
        <v>#REF!</v>
      </c>
      <c r="F24" s="41" t="str">
        <f t="shared" si="56"/>
        <v>#REF!</v>
      </c>
      <c r="G24" s="46">
        <f>'Q1 FY25-26'!G24+'Q2 FY25-26'!G24+'Q3 FY25-26'!G24+'Q4 FY25-26'!G24</f>
        <v>1478532.25</v>
      </c>
      <c r="H24" s="81">
        <f t="shared" si="57"/>
        <v>0.00189591986</v>
      </c>
      <c r="I24" s="114">
        <f>'Q1 FY25-26'!I24+'Q2 FY25-26'!I24+'Q3 FY25-26'!I24+'Q4 FY25-26'!I24</f>
        <v>1409087</v>
      </c>
      <c r="J24" s="81">
        <f t="shared" si="58"/>
        <v>0.001806870312</v>
      </c>
      <c r="K24" s="30">
        <f t="shared" si="59"/>
        <v>1715682.5</v>
      </c>
      <c r="L24" s="24">
        <f t="shared" si="60"/>
        <v>0.002200017298</v>
      </c>
      <c r="M24" s="40" t="str">
        <f t="shared" si="61"/>
        <v>#REF!</v>
      </c>
      <c r="N24" s="45" t="str">
        <f t="shared" si="62"/>
        <v>#REF!</v>
      </c>
      <c r="O24" s="46">
        <f>'Q1 FY25-26'!O24+'Q2 FY25-26'!O24+'Q3 FY25-26'!O24+'Q4 FY25-26'!O24</f>
        <v>452734</v>
      </c>
      <c r="P24" s="47">
        <f t="shared" si="63"/>
        <v>0.001979447947</v>
      </c>
      <c r="Q24" s="48">
        <f>'Q1 FY25-26'!Q24+'Q2 FY25-26'!Q24+'Q3 FY25-26'!Q24+'Q4 FY25-26'!Q24</f>
        <v>393400</v>
      </c>
      <c r="R24" s="47">
        <f t="shared" si="64"/>
        <v>0.001995719362</v>
      </c>
      <c r="S24" s="32">
        <f>'Q1 FY25-26'!S24+'Q2 FY25-26'!S24+'Q3 FY25-26'!S24+'Q4 FY25-26'!S24</f>
        <v>12977.66667</v>
      </c>
      <c r="T24" s="47">
        <f t="shared" si="65"/>
        <v>0.001264355845</v>
      </c>
      <c r="U24" s="43" t="str">
        <f>'Q1 FY25-26'!U24+'Q2 FY25-26'!U24+'Q3 FY25-26'!U24+'Q4 FY25-26'!U24</f>
        <v>#REF!</v>
      </c>
      <c r="V24" s="47" t="str">
        <f t="shared" si="66"/>
        <v>#REF!</v>
      </c>
      <c r="W24" s="46">
        <f>'Q1 FY25-26'!W24+'Q2 FY25-26'!W24+'Q3 FY25-26'!W24+'Q4 FY25-26'!W24</f>
        <v>401623.6667</v>
      </c>
      <c r="X24" s="47">
        <f t="shared" si="67"/>
        <v>0.002377159654</v>
      </c>
      <c r="Y24" s="48">
        <f>'Q1 FY25-26'!Y24+'Q2 FY25-26'!Y24+'Q3 FY25-26'!Y24+'Q4 FY25-26'!Y24</f>
        <v>362259</v>
      </c>
      <c r="Z24" s="47">
        <f t="shared" si="68"/>
        <v>0.00210593241</v>
      </c>
      <c r="AA24" s="46">
        <f>'Q1 FY25-26'!AA24+'Q2 FY25-26'!AA24+'Q3 FY25-26'!AA24+'Q4 FY25-26'!AA24</f>
        <v>42362</v>
      </c>
      <c r="AB24" s="47">
        <f t="shared" si="69"/>
        <v>0.0003850731692</v>
      </c>
      <c r="AC24" s="48">
        <f>'Q1 FY25-26'!AC24+'Q2 FY25-26'!AC24+'Q3 FY25-26'!AC24+'Q4 FY25-26'!AC24</f>
        <v>30828</v>
      </c>
      <c r="AD24" s="47">
        <f t="shared" si="70"/>
        <v>0.0002756466102</v>
      </c>
      <c r="AE24" s="46">
        <f>'Q1 FY25-26'!AE24+'Q2 FY25-26'!AE24+'Q3 FY25-26'!AE24+'Q4 FY25-26'!AE24</f>
        <v>389347.25</v>
      </c>
      <c r="AF24" s="47">
        <f t="shared" si="71"/>
        <v>0.001896044976</v>
      </c>
      <c r="AG24" s="48">
        <f>'Q1 FY25-26'!AG24+'Q2 FY25-26'!AG24+'Q3 FY25-26'!AG24+'Q4 FY25-26'!AG24</f>
        <v>276000</v>
      </c>
      <c r="AH24" s="47">
        <f t="shared" si="72"/>
        <v>0.001359193307</v>
      </c>
      <c r="AI24" s="46">
        <f>'Q1 FY25-26'!AI24+'Q2 FY25-26'!AI24+'Q3 FY25-26'!AI24+'Q4 FY25-26'!AI24</f>
        <v>83817.08333</v>
      </c>
      <c r="AJ24" s="47">
        <f t="shared" si="73"/>
        <v>0.0542074541</v>
      </c>
      <c r="AK24" s="48" t="str">
        <f>'Q1 FY25-26'!AK24+'Q2 FY25-26'!AK24+'Q3 FY25-26'!AK24+'Q4 FY25-26'!AK24</f>
        <v>#REF!</v>
      </c>
      <c r="AL24" s="49"/>
      <c r="AM24" s="46">
        <f>'Q1 FY25-26'!AM24+'Q2 FY25-26'!AM24+'Q3 FY25-26'!AM24+'Q4 FY25-26'!AM24</f>
        <v>160998.6667</v>
      </c>
      <c r="AN24" s="47">
        <f t="shared" si="74"/>
        <v>0.02325427444</v>
      </c>
      <c r="AO24" s="48">
        <f>'Q1 FY25-26'!AO24+'Q2 FY25-26'!AO24+'Q3 FY25-26'!AO24+'Q4 FY25-26'!AO24</f>
        <v>23600</v>
      </c>
      <c r="AP24" s="47">
        <f t="shared" si="75"/>
        <v>0.02383985276</v>
      </c>
      <c r="AQ24" s="46">
        <f>'Q1 FY25-26'!AQ24+'Q2 FY25-26'!AQ24+'Q3 FY25-26'!AQ24+'Q4 FY25-26'!AQ24</f>
        <v>166281.1667</v>
      </c>
      <c r="AR24" s="47">
        <f t="shared" si="76"/>
        <v>0.004151645831</v>
      </c>
      <c r="AS24" s="48">
        <f>'Q1 FY25-26'!AS24+'Q2 FY25-26'!AS24+'Q3 FY25-26'!AS24+'Q4 FY25-26'!AS24</f>
        <v>0</v>
      </c>
      <c r="AT24" s="49"/>
      <c r="AU24" s="46">
        <f>'Q1 FY25-26'!AU24+'Q2 FY25-26'!AU24+'Q3 FY25-26'!AU24+'Q4 FY25-26'!AU24</f>
        <v>0</v>
      </c>
      <c r="AV24" s="47">
        <f t="shared" si="77"/>
        <v>0</v>
      </c>
      <c r="AW24" s="46">
        <f>'Q1 FY25-26'!AY24+'Q2 FY25-26'!AW24+'Q3 FY25-26'!AW24+'Q4 FY25-26'!AW24</f>
        <v>0</v>
      </c>
      <c r="AX24" s="47">
        <f t="shared" si="78"/>
        <v>0</v>
      </c>
      <c r="AY24" s="46">
        <f>'Q1 FY25-26'!BC24+'Q2 FY25-26'!AY24+'Q3 FY25-26'!AY24+'Q4 FY25-26'!AY24</f>
        <v>1179</v>
      </c>
      <c r="AZ24" s="47">
        <f t="shared" si="79"/>
        <v>0.0009502185728</v>
      </c>
      <c r="BA24" s="46">
        <f>'Q1 FY25-26'!BG24+'Q2 FY25-26'!BA24+'Q3 FY25-26'!BA24+'Q4 FY25-26'!BA24</f>
        <v>4362</v>
      </c>
      <c r="BB24" s="47">
        <f t="shared" si="80"/>
        <v>0.003253461184</v>
      </c>
    </row>
    <row r="25" ht="15.75" customHeight="1">
      <c r="B25" s="38" t="s">
        <v>41</v>
      </c>
      <c r="C25" s="39">
        <f t="shared" si="53"/>
        <v>38082277.67</v>
      </c>
      <c r="D25" s="24">
        <f t="shared" si="54"/>
        <v>0.04883285201</v>
      </c>
      <c r="E25" s="40" t="str">
        <f t="shared" si="55"/>
        <v>#REF!</v>
      </c>
      <c r="F25" s="41" t="str">
        <f t="shared" si="56"/>
        <v>#REF!</v>
      </c>
      <c r="G25" s="46">
        <f>'Q1 FY25-26'!G25+'Q2 FY25-26'!G25+'Q3 FY25-26'!G25+'Q4 FY25-26'!G25</f>
        <v>4118188.403</v>
      </c>
      <c r="H25" s="81">
        <f t="shared" si="57"/>
        <v>0.005280747296</v>
      </c>
      <c r="I25" s="114">
        <f>'Q1 FY25-26'!I25+'Q2 FY25-26'!I25+'Q3 FY25-26'!I25+'Q4 FY25-26'!I25</f>
        <v>868000</v>
      </c>
      <c r="J25" s="81">
        <f t="shared" si="58"/>
        <v>0.0011130352</v>
      </c>
      <c r="K25" s="30">
        <f t="shared" si="59"/>
        <v>33964089.27</v>
      </c>
      <c r="L25" s="24">
        <f t="shared" si="60"/>
        <v>0.04355210472</v>
      </c>
      <c r="M25" s="40" t="str">
        <f t="shared" si="61"/>
        <v>#REF!</v>
      </c>
      <c r="N25" s="45" t="str">
        <f t="shared" si="62"/>
        <v>#REF!</v>
      </c>
      <c r="O25" s="46">
        <f>'Q1 FY25-26'!O25+'Q2 FY25-26'!O25+'Q3 FY25-26'!O25+'Q4 FY25-26'!O25</f>
        <v>4089439.3</v>
      </c>
      <c r="P25" s="47">
        <f t="shared" si="63"/>
        <v>0.01787988582</v>
      </c>
      <c r="Q25" s="48">
        <f>'Q1 FY25-26'!Q25+'Q2 FY25-26'!Q25+'Q3 FY25-26'!Q25+'Q4 FY25-26'!Q25</f>
        <v>3746012.167</v>
      </c>
      <c r="R25" s="47">
        <f t="shared" si="64"/>
        <v>0.01900353079</v>
      </c>
      <c r="S25" s="32">
        <f>'Q1 FY25-26'!S25+'Q2 FY25-26'!S25+'Q3 FY25-26'!S25+'Q4 FY25-26'!S25</f>
        <v>557866.3333</v>
      </c>
      <c r="T25" s="47">
        <f t="shared" si="65"/>
        <v>0.05435041423</v>
      </c>
      <c r="U25" s="43" t="str">
        <f>'Q1 FY25-26'!U25+'Q2 FY25-26'!U25+'Q3 FY25-26'!U25+'Q4 FY25-26'!U25</f>
        <v>#REF!</v>
      </c>
      <c r="V25" s="47" t="str">
        <f t="shared" si="66"/>
        <v>#REF!</v>
      </c>
      <c r="W25" s="46">
        <f>'Q1 FY25-26'!W25+'Q2 FY25-26'!W25+'Q3 FY25-26'!W25+'Q4 FY25-26'!W25</f>
        <v>6205375.143</v>
      </c>
      <c r="X25" s="47">
        <f t="shared" si="67"/>
        <v>0.03672883013</v>
      </c>
      <c r="Y25" s="48">
        <f>'Q1 FY25-26'!Y25+'Q2 FY25-26'!Y25+'Q3 FY25-26'!Y25+'Q4 FY25-26'!Y25</f>
        <v>5008053.667</v>
      </c>
      <c r="Z25" s="47">
        <f t="shared" si="68"/>
        <v>0.02911348656</v>
      </c>
      <c r="AA25" s="46">
        <f>'Q1 FY25-26'!AA25+'Q2 FY25-26'!AA25+'Q3 FY25-26'!AA25+'Q4 FY25-26'!AA25</f>
        <v>1316658.173</v>
      </c>
      <c r="AB25" s="47">
        <f t="shared" si="69"/>
        <v>0.01196850327</v>
      </c>
      <c r="AC25" s="48">
        <f>'Q1 FY25-26'!AC25+'Q2 FY25-26'!AC25+'Q3 FY25-26'!AC25+'Q4 FY25-26'!AC25</f>
        <v>822046</v>
      </c>
      <c r="AD25" s="47">
        <f t="shared" si="70"/>
        <v>0.007350272264</v>
      </c>
      <c r="AE25" s="46">
        <f>'Q1 FY25-26'!AE25+'Q2 FY25-26'!AE25+'Q3 FY25-26'!AE25+'Q4 FY25-26'!AE25</f>
        <v>7178436.66</v>
      </c>
      <c r="AF25" s="47">
        <f t="shared" si="71"/>
        <v>0.0349575829</v>
      </c>
      <c r="AG25" s="48">
        <f>'Q1 FY25-26'!AG25+'Q2 FY25-26'!AG25+'Q3 FY25-26'!AG25+'Q4 FY25-26'!AG25</f>
        <v>5249870.667</v>
      </c>
      <c r="AH25" s="47">
        <f t="shared" si="72"/>
        <v>0.0258535836</v>
      </c>
      <c r="AI25" s="46">
        <f>'Q1 FY25-26'!AI25+'Q2 FY25-26'!AI25+'Q3 FY25-26'!AI25+'Q4 FY25-26'!AI25</f>
        <v>6671589.083</v>
      </c>
      <c r="AJ25" s="47">
        <f t="shared" si="73"/>
        <v>4.314751177</v>
      </c>
      <c r="AK25" s="48" t="str">
        <f>'Q1 FY25-26'!AK25+'Q2 FY25-26'!AK25+'Q3 FY25-26'!AK25+'Q4 FY25-26'!AK25</f>
        <v>#REF!</v>
      </c>
      <c r="AL25" s="49"/>
      <c r="AM25" s="46">
        <f>'Q1 FY25-26'!AM25+'Q2 FY25-26'!AM25+'Q3 FY25-26'!AM25+'Q4 FY25-26'!AM25</f>
        <v>1519589.533</v>
      </c>
      <c r="AN25" s="47">
        <f t="shared" si="74"/>
        <v>0.2194859919</v>
      </c>
      <c r="AO25" s="48">
        <f>'Q1 FY25-26'!AO25+'Q2 FY25-26'!AO25+'Q3 FY25-26'!AO25+'Q4 FY25-26'!AO25</f>
        <v>0</v>
      </c>
      <c r="AP25" s="47">
        <f t="shared" si="75"/>
        <v>0</v>
      </c>
      <c r="AQ25" s="46">
        <f>'Q1 FY25-26'!AQ25+'Q2 FY25-26'!AQ25+'Q3 FY25-26'!AQ25+'Q4 FY25-26'!AQ25</f>
        <v>5992962.043</v>
      </c>
      <c r="AR25" s="47">
        <f t="shared" si="76"/>
        <v>0.1496300296</v>
      </c>
      <c r="AS25" s="48"/>
      <c r="AT25" s="49"/>
      <c r="AU25" s="46">
        <f>'Q1 FY25-26'!AU25+'Q2 FY25-26'!AU25+'Q3 FY25-26'!AU25+'Q4 FY25-26'!AU25</f>
        <v>113400</v>
      </c>
      <c r="AV25" s="47">
        <f t="shared" si="77"/>
        <v>0.02876614391</v>
      </c>
      <c r="AW25" s="46">
        <f>'Q1 FY25-26'!AY25+'Q2 FY25-26'!AW25+'Q3 FY25-26'!AW25+'Q4 FY25-26'!AW25</f>
        <v>87000</v>
      </c>
      <c r="AX25" s="47">
        <f t="shared" si="78"/>
        <v>0.05744527473</v>
      </c>
      <c r="AY25" s="46">
        <f>'Q1 FY25-26'!BC25+'Q2 FY25-26'!AY25+'Q3 FY25-26'!AY25+'Q4 FY25-26'!AY25</f>
        <v>81000</v>
      </c>
      <c r="AZ25" s="47">
        <f t="shared" si="79"/>
        <v>0.06528219203</v>
      </c>
      <c r="BA25" s="46">
        <f>'Q1 FY25-26'!BG25+'Q2 FY25-26'!BA25+'Q3 FY25-26'!BA25+'Q4 FY25-26'!BA25</f>
        <v>150773</v>
      </c>
      <c r="BB25" s="47">
        <f t="shared" si="80"/>
        <v>0.1124562364</v>
      </c>
    </row>
    <row r="26" ht="15.75" customHeight="1">
      <c r="B26" s="38" t="s">
        <v>42</v>
      </c>
      <c r="C26" s="39">
        <f t="shared" si="53"/>
        <v>2296434.417</v>
      </c>
      <c r="D26" s="24">
        <f t="shared" si="54"/>
        <v>0.002944714678</v>
      </c>
      <c r="E26" s="40" t="str">
        <f t="shared" si="55"/>
        <v>#REF!</v>
      </c>
      <c r="F26" s="41" t="str">
        <f t="shared" si="56"/>
        <v>#REF!</v>
      </c>
      <c r="G26" s="46">
        <f>'Q1 FY25-26'!G26+'Q2 FY25-26'!G26+'Q3 FY25-26'!G26+'Q4 FY25-26'!G26</f>
        <v>1819579.417</v>
      </c>
      <c r="H26" s="81">
        <f t="shared" si="57"/>
        <v>0.00233324417</v>
      </c>
      <c r="I26" s="114">
        <f>'Q1 FY25-26'!I26+'Q2 FY25-26'!I26+'Q3 FY25-26'!I26+'Q4 FY25-26'!I26</f>
        <v>1200000</v>
      </c>
      <c r="J26" s="81">
        <f t="shared" si="58"/>
        <v>0.001538758341</v>
      </c>
      <c r="K26" s="30">
        <f t="shared" si="59"/>
        <v>476855</v>
      </c>
      <c r="L26" s="24">
        <f t="shared" si="60"/>
        <v>0.0006114705073</v>
      </c>
      <c r="M26" s="40" t="str">
        <f t="shared" si="61"/>
        <v>#REF!</v>
      </c>
      <c r="N26" s="45" t="str">
        <f t="shared" si="62"/>
        <v>#REF!</v>
      </c>
      <c r="O26" s="46">
        <f>'Q1 FY25-26'!O26+'Q2 FY25-26'!O26+'Q3 FY25-26'!O26+'Q4 FY25-26'!O26</f>
        <v>143863</v>
      </c>
      <c r="P26" s="47">
        <f t="shared" si="63"/>
        <v>0.0006289991917</v>
      </c>
      <c r="Q26" s="48">
        <f>'Q1 FY25-26'!Q26+'Q2 FY25-26'!Q26+'Q3 FY25-26'!Q26+'Q4 FY25-26'!Q26</f>
        <v>0</v>
      </c>
      <c r="R26" s="47">
        <f t="shared" si="64"/>
        <v>0</v>
      </c>
      <c r="S26" s="32">
        <f>'Q1 FY25-26'!S26+'Q2 FY25-26'!S26+'Q3 FY25-26'!S26+'Q4 FY25-26'!S26</f>
        <v>6000</v>
      </c>
      <c r="T26" s="47">
        <f t="shared" si="65"/>
        <v>0.0005845530836</v>
      </c>
      <c r="U26" s="43" t="str">
        <f>'Q1 FY25-26'!U26+'Q2 FY25-26'!U26+'Q3 FY25-26'!U26+'Q4 FY25-26'!U26</f>
        <v>#REF!</v>
      </c>
      <c r="V26" s="47" t="str">
        <f t="shared" si="66"/>
        <v>#REF!</v>
      </c>
      <c r="W26" s="46">
        <f>'Q1 FY25-26'!W26+'Q2 FY25-26'!W26+'Q3 FY25-26'!W26+'Q4 FY25-26'!W26</f>
        <v>0</v>
      </c>
      <c r="X26" s="47">
        <f t="shared" si="67"/>
        <v>0</v>
      </c>
      <c r="Y26" s="48">
        <f>'Q1 FY25-26'!Y26+'Q2 FY25-26'!Y26+'Q3 FY25-26'!Y26+'Q4 FY25-26'!Y26</f>
        <v>0</v>
      </c>
      <c r="Z26" s="47">
        <f t="shared" si="68"/>
        <v>0</v>
      </c>
      <c r="AA26" s="46">
        <f>'Q1 FY25-26'!AA26+'Q2 FY25-26'!AA26+'Q3 FY25-26'!AA26+'Q4 FY25-26'!AA26</f>
        <v>132000</v>
      </c>
      <c r="AB26" s="47">
        <f t="shared" si="69"/>
        <v>0.001199888068</v>
      </c>
      <c r="AC26" s="115">
        <f>'Q1 FY25-26'!AC26+'Q2 FY25-26'!AC26+'Q3 FY25-26'!AC26+'Q4 FY25-26'!AC26</f>
        <v>0</v>
      </c>
      <c r="AD26" s="47">
        <f t="shared" si="70"/>
        <v>0</v>
      </c>
      <c r="AE26" s="46">
        <f>'Q1 FY25-26'!AE26+'Q2 FY25-26'!AE26+'Q3 FY25-26'!AE26+'Q4 FY25-26'!AE26</f>
        <v>14202</v>
      </c>
      <c r="AF26" s="47">
        <f t="shared" si="71"/>
        <v>0.00006916096301</v>
      </c>
      <c r="AG26" s="48">
        <f>'Q1 FY25-26'!AG26+'Q2 FY25-26'!AG26+'Q3 FY25-26'!AG26+'Q4 FY25-26'!AG26</f>
        <v>0</v>
      </c>
      <c r="AH26" s="47">
        <f t="shared" si="72"/>
        <v>0</v>
      </c>
      <c r="AI26" s="46">
        <f>'Q1 FY25-26'!AI26+'Q2 FY25-26'!AI26+'Q3 FY25-26'!AI26+'Q4 FY25-26'!AI26</f>
        <v>0</v>
      </c>
      <c r="AJ26" s="47">
        <f t="shared" si="73"/>
        <v>0</v>
      </c>
      <c r="AK26" s="48" t="str">
        <f>'Q1 FY25-26'!AK26+'Q2 FY25-26'!AK26+'Q3 FY25-26'!AK26+'Q4 FY25-26'!AK26</f>
        <v>#REF!</v>
      </c>
      <c r="AL26" s="49"/>
      <c r="AM26" s="46">
        <f>'Q1 FY25-26'!AM26+'Q2 FY25-26'!AM26+'Q3 FY25-26'!AM26+'Q4 FY25-26'!AM26</f>
        <v>23270</v>
      </c>
      <c r="AN26" s="47">
        <f t="shared" si="74"/>
        <v>0.003361064892</v>
      </c>
      <c r="AO26" s="48">
        <f>'Q1 FY25-26'!AO26+'Q2 FY25-26'!AO26+'Q3 FY25-26'!AO26+'Q4 FY25-26'!AO26</f>
        <v>0</v>
      </c>
      <c r="AP26" s="47">
        <f t="shared" si="75"/>
        <v>0</v>
      </c>
      <c r="AQ26" s="46">
        <f>'Q1 FY25-26'!AQ26+'Q2 FY25-26'!AQ26+'Q3 FY25-26'!AQ26+'Q4 FY25-26'!AQ26</f>
        <v>117620</v>
      </c>
      <c r="AR26" s="47">
        <f t="shared" si="76"/>
        <v>0.002936692065</v>
      </c>
      <c r="AS26" s="48">
        <f>'Q1 FY25-26'!AS26+'Q2 FY25-26'!AS26+'Q3 FY25-26'!AS26+'Q4 FY25-26'!AS26</f>
        <v>0</v>
      </c>
      <c r="AT26" s="49"/>
      <c r="AU26" s="46">
        <f>'Q1 FY25-26'!AU26+'Q2 FY25-26'!AU26+'Q3 FY25-26'!AU26+'Q4 FY25-26'!AU26</f>
        <v>16200</v>
      </c>
      <c r="AV26" s="47">
        <f t="shared" si="77"/>
        <v>0.00410944913</v>
      </c>
      <c r="AW26" s="46">
        <f>'Q1 FY25-26'!AY26+'Q2 FY25-26'!AW26+'Q3 FY25-26'!AW26+'Q4 FY25-26'!AW26</f>
        <v>16200</v>
      </c>
      <c r="AX26" s="47">
        <f t="shared" si="78"/>
        <v>0.01069670633</v>
      </c>
      <c r="AY26" s="46">
        <f>'Q1 FY25-26'!BC26+'Q2 FY25-26'!AY26+'Q3 FY25-26'!AY26+'Q4 FY25-26'!AY26</f>
        <v>0</v>
      </c>
      <c r="AZ26" s="47">
        <f t="shared" si="79"/>
        <v>0</v>
      </c>
      <c r="BA26" s="46">
        <f>'Q1 FY25-26'!BG26+'Q2 FY25-26'!BA26+'Q3 FY25-26'!BA26+'Q4 FY25-26'!BA26</f>
        <v>7500</v>
      </c>
      <c r="BB26" s="47">
        <f t="shared" si="80"/>
        <v>0.005593984155</v>
      </c>
    </row>
    <row r="27" ht="15.75" customHeight="1">
      <c r="B27" s="50" t="s">
        <v>43</v>
      </c>
      <c r="C27" s="51">
        <f t="shared" si="53"/>
        <v>-14506830.78</v>
      </c>
      <c r="D27" s="24">
        <f t="shared" si="54"/>
        <v>-0.01860208905</v>
      </c>
      <c r="E27" s="52" t="str">
        <f t="shared" si="55"/>
        <v>#REF!</v>
      </c>
      <c r="F27" s="53" t="str">
        <f t="shared" si="56"/>
        <v>#REF!</v>
      </c>
      <c r="G27" s="58">
        <f>'Q1 FY25-26'!G27+'Q2 FY25-26'!G27+'Q3 FY25-26'!G27+'Q4 FY25-26'!G27</f>
        <v>2862334.64</v>
      </c>
      <c r="H27" s="81">
        <f t="shared" si="57"/>
        <v>0.003670367752</v>
      </c>
      <c r="I27" s="62">
        <f>'Q1 FY25-26'!I27+'Q2 FY25-26'!I27+'Q3 FY25-26'!I27+'Q4 FY25-26'!I27</f>
        <v>156000</v>
      </c>
      <c r="J27" s="81">
        <f t="shared" si="58"/>
        <v>0.0002000385843</v>
      </c>
      <c r="K27" s="30">
        <f t="shared" si="59"/>
        <v>-17369165.42</v>
      </c>
      <c r="L27" s="24">
        <f t="shared" si="60"/>
        <v>-0.0222724568</v>
      </c>
      <c r="M27" s="52" t="str">
        <f t="shared" si="61"/>
        <v>#REF!</v>
      </c>
      <c r="N27" s="57" t="str">
        <f t="shared" si="62"/>
        <v>#REF!</v>
      </c>
      <c r="O27" s="58">
        <f>'Q1 FY25-26'!O27+'Q2 FY25-26'!O27+'Q3 FY25-26'!O27+'Q4 FY25-26'!O27</f>
        <v>0</v>
      </c>
      <c r="P27" s="59">
        <f t="shared" si="63"/>
        <v>0</v>
      </c>
      <c r="Q27" s="60">
        <f>'Q1 FY25-26'!Q27+'Q2 FY25-26'!Q27+'Q3 FY25-26'!Q27+'Q4 FY25-26'!Q27</f>
        <v>0</v>
      </c>
      <c r="R27" s="59">
        <f t="shared" si="64"/>
        <v>0</v>
      </c>
      <c r="S27" s="32">
        <f>'Q1 FY25-26'!S27+'Q2 FY25-26'!S27+'Q3 FY25-26'!S27+'Q4 FY25-26'!S27</f>
        <v>0</v>
      </c>
      <c r="T27" s="59">
        <f t="shared" si="65"/>
        <v>0</v>
      </c>
      <c r="U27" s="60" t="str">
        <f>'Q1 FY25-26'!U27+'Q2 FY25-26'!U27+'Q3 FY25-26'!U27+'Q4 FY25-26'!U27</f>
        <v>#REF!</v>
      </c>
      <c r="V27" s="59" t="str">
        <f t="shared" si="66"/>
        <v>#REF!</v>
      </c>
      <c r="W27" s="58">
        <f>'Q1 FY25-26'!W27+'Q2 FY25-26'!W27+'Q3 FY25-26'!W27+'Q4 FY25-26'!W27</f>
        <v>0</v>
      </c>
      <c r="X27" s="59">
        <f t="shared" si="67"/>
        <v>0</v>
      </c>
      <c r="Y27" s="60">
        <f>'Q1 FY25-26'!Y27+'Q2 FY25-26'!Y27+'Q3 FY25-26'!Y27+'Q4 FY25-26'!Y27</f>
        <v>0</v>
      </c>
      <c r="Z27" s="59">
        <f t="shared" si="68"/>
        <v>0</v>
      </c>
      <c r="AA27" s="46">
        <f>'Q1 FY25-26'!AA27+'Q2 FY25-26'!AA27+'Q3 FY25-26'!AA27+'Q4 FY25-26'!AA27</f>
        <v>0</v>
      </c>
      <c r="AB27" s="59">
        <f t="shared" si="69"/>
        <v>0</v>
      </c>
      <c r="AC27" s="60">
        <f>'Q1 FY25-26'!AC27+'Q2 FY25-26'!AC27+'Q3 FY25-26'!AC27+'Q4 FY25-26'!AC27</f>
        <v>0</v>
      </c>
      <c r="AD27" s="59">
        <f t="shared" si="70"/>
        <v>0</v>
      </c>
      <c r="AE27" s="58">
        <f>'Q1 FY25-26'!AE27+'Q2 FY25-26'!AE27+'Q3 FY25-26'!AE27+'Q4 FY25-26'!AE27</f>
        <v>0</v>
      </c>
      <c r="AF27" s="59">
        <f t="shared" si="71"/>
        <v>0</v>
      </c>
      <c r="AG27" s="60">
        <f>'Q1 FY25-26'!AG27+'Q2 FY25-26'!AG27+'Q3 FY25-26'!AG27+'Q4 FY25-26'!AG27</f>
        <v>0</v>
      </c>
      <c r="AH27" s="59">
        <f t="shared" si="72"/>
        <v>0</v>
      </c>
      <c r="AI27" s="58">
        <f>'Q1 FY25-26'!AI27+'Q2 FY25-26'!AI27+'Q3 FY25-26'!AI27+'Q4 FY25-26'!AI27</f>
        <v>0</v>
      </c>
      <c r="AJ27" s="59">
        <f t="shared" si="73"/>
        <v>0</v>
      </c>
      <c r="AK27" s="60" t="str">
        <f>'Q1 FY25-26'!AK27+'Q2 FY25-26'!AK27+'Q3 FY25-26'!AK27+'Q4 FY25-26'!AK27</f>
        <v>#REF!</v>
      </c>
      <c r="AL27" s="61"/>
      <c r="AM27" s="46">
        <f>'Q1 FY25-26'!AM27+'Q2 FY25-26'!AM27+'Q3 FY25-26'!AM27+'Q4 FY25-26'!AM27</f>
        <v>-18397156.42</v>
      </c>
      <c r="AN27" s="59">
        <f t="shared" si="74"/>
        <v>-2.657242654</v>
      </c>
      <c r="AO27" s="60">
        <f>'Q1 FY25-26'!AO27+'Q2 FY25-26'!AO27+'Q3 FY25-26'!AO27+'Q4 FY25-26'!AO27</f>
        <v>0</v>
      </c>
      <c r="AP27" s="59">
        <f t="shared" si="75"/>
        <v>0</v>
      </c>
      <c r="AQ27" s="58">
        <f>'Q1 FY25-26'!AQ27+'Q2 FY25-26'!AQ27+'Q3 FY25-26'!AQ27+'Q4 FY25-26'!AQ27</f>
        <v>0</v>
      </c>
      <c r="AR27" s="59">
        <f t="shared" si="76"/>
        <v>0</v>
      </c>
      <c r="AS27" s="60">
        <f>'Q1 FY25-26'!AS27+'Q2 FY25-26'!AS27+'Q3 FY25-26'!AS27+'Q4 FY25-26'!AS27</f>
        <v>200000</v>
      </c>
      <c r="AT27" s="61"/>
      <c r="AU27" s="58">
        <f>'Q1 FY25-26'!AU27+'Q2 FY25-26'!AU27+'Q3 FY25-26'!AU27+'Q4 FY25-26'!AU27</f>
        <v>0</v>
      </c>
      <c r="AV27" s="59">
        <f t="shared" si="77"/>
        <v>0</v>
      </c>
      <c r="AW27" s="58">
        <f>'Q1 FY25-26'!AY27+'Q2 FY25-26'!AW27+'Q3 FY25-26'!AW27+'Q4 FY25-26'!AW27</f>
        <v>0</v>
      </c>
      <c r="AX27" s="59">
        <f t="shared" si="78"/>
        <v>0</v>
      </c>
      <c r="AY27" s="58">
        <f>'Q1 FY25-26'!BC27+'Q2 FY25-26'!AY27+'Q3 FY25-26'!AY27+'Q4 FY25-26'!AY27</f>
        <v>0</v>
      </c>
      <c r="AZ27" s="59">
        <f t="shared" si="79"/>
        <v>0</v>
      </c>
      <c r="BA27" s="58">
        <f>'Q1 FY25-26'!BG27+'Q2 FY25-26'!BA27+'Q3 FY25-26'!BA27+'Q4 FY25-26'!BA27</f>
        <v>1027991</v>
      </c>
      <c r="BB27" s="59">
        <f t="shared" si="80"/>
        <v>0.7667420487</v>
      </c>
    </row>
    <row r="28" ht="15.75" customHeight="1">
      <c r="A28" s="104"/>
      <c r="B28" s="16" t="s">
        <v>44</v>
      </c>
      <c r="C28" s="66">
        <f>SUM(C18:C27)</f>
        <v>434708060.7</v>
      </c>
      <c r="D28" s="67">
        <f>C28/C10</f>
        <v>0.5574255452</v>
      </c>
      <c r="E28" s="68" t="str">
        <f t="shared" si="55"/>
        <v>#REF!</v>
      </c>
      <c r="F28" s="86" t="str">
        <f t="shared" si="56"/>
        <v>#REF!</v>
      </c>
      <c r="G28" s="116">
        <f>'Q1 FY25-26'!G28+'Q2 FY25-26'!G28+'Q3 FY25-26'!G28+'Q4 FY25-26'!G28</f>
        <v>72431545.96</v>
      </c>
      <c r="H28" s="117">
        <f>G28/C10</f>
        <v>0.09287887125</v>
      </c>
      <c r="I28" s="118">
        <f>'Q1 FY25-26'!I28+'Q2 FY25-26'!I28+'Q3 FY25-26'!I28+'Q4 FY25-26'!I28</f>
        <v>57205844.82</v>
      </c>
      <c r="J28" s="117" t="str">
        <f>I28/E10</f>
        <v>#REF!</v>
      </c>
      <c r="K28" s="72">
        <f>SUM(K18:K27)</f>
        <v>362276514.7</v>
      </c>
      <c r="L28" s="67">
        <f t="shared" si="60"/>
        <v>0.464546674</v>
      </c>
      <c r="M28" s="68" t="str">
        <f>SUM(M18:M27)</f>
        <v>#REF!</v>
      </c>
      <c r="N28" s="88" t="str">
        <f t="shared" si="62"/>
        <v>#REF!</v>
      </c>
      <c r="O28" s="116">
        <f>SUM(O18:O27)</f>
        <v>101088276.3</v>
      </c>
      <c r="P28" s="119">
        <f t="shared" si="63"/>
        <v>0.4419791337</v>
      </c>
      <c r="Q28" s="116">
        <f>SUM(Q18:Q27)</f>
        <v>91039751.28</v>
      </c>
      <c r="R28" s="119">
        <f t="shared" si="64"/>
        <v>0.4618449272</v>
      </c>
      <c r="S28" s="116">
        <f>SUM(S18:S27)</f>
        <v>7769081.329</v>
      </c>
      <c r="T28" s="119">
        <f t="shared" si="65"/>
        <v>0.7569067413</v>
      </c>
      <c r="U28" s="116" t="str">
        <f>SUM(U18:U27)</f>
        <v>#REF!</v>
      </c>
      <c r="V28" s="119" t="str">
        <f t="shared" si="66"/>
        <v>#REF!</v>
      </c>
      <c r="W28" s="116">
        <f>SUM(W18:W27)</f>
        <v>76867735.41</v>
      </c>
      <c r="X28" s="119">
        <f t="shared" si="67"/>
        <v>0.4549703976</v>
      </c>
      <c r="Y28" s="116">
        <f>SUM(Y18:Y27)</f>
        <v>76175925.4</v>
      </c>
      <c r="Z28" s="119">
        <f t="shared" si="68"/>
        <v>0.4428360652</v>
      </c>
      <c r="AA28" s="116">
        <f>SUM(AA18:AA27)</f>
        <v>41370812.36</v>
      </c>
      <c r="AB28" s="119">
        <f t="shared" si="69"/>
        <v>0.376063213</v>
      </c>
      <c r="AC28" s="116">
        <f>SUM(AC18:AC27)</f>
        <v>41178954.72</v>
      </c>
      <c r="AD28" s="119">
        <f t="shared" si="70"/>
        <v>0.3681990165</v>
      </c>
      <c r="AE28" s="116">
        <f>SUM(AE18:AE27)</f>
        <v>85897289.42</v>
      </c>
      <c r="AF28" s="119">
        <f t="shared" si="71"/>
        <v>0.4183030035</v>
      </c>
      <c r="AG28" s="116">
        <f>SUM(AG18:AG27)</f>
        <v>84346236.6</v>
      </c>
      <c r="AH28" s="119">
        <f t="shared" si="72"/>
        <v>0.4153726097</v>
      </c>
      <c r="AI28" s="116">
        <f>SUM(AI18:AI27)</f>
        <v>9716768.547</v>
      </c>
      <c r="AJ28" s="119">
        <f t="shared" si="73"/>
        <v>6.284175779</v>
      </c>
      <c r="AK28" s="116" t="str">
        <f>SUM(AK18:AK27)</f>
        <v>#REF!</v>
      </c>
      <c r="AL28" s="120"/>
      <c r="AM28" s="116">
        <f>SUM(AM18:AM27)</f>
        <v>3807144.502</v>
      </c>
      <c r="AN28" s="119">
        <f t="shared" si="74"/>
        <v>0.549895132</v>
      </c>
      <c r="AO28" s="116">
        <f>SUM(AO18:AO27)</f>
        <v>1583366</v>
      </c>
      <c r="AP28" s="119">
        <f t="shared" si="75"/>
        <v>1.599458148</v>
      </c>
      <c r="AQ28" s="116">
        <f>SUM(AQ18:AQ27)</f>
        <v>27354966.58</v>
      </c>
      <c r="AR28" s="119">
        <f t="shared" si="76"/>
        <v>0.6829885503</v>
      </c>
      <c r="AS28" s="116">
        <f>SUM(AS18:AS27)</f>
        <v>3027553.333</v>
      </c>
      <c r="AT28" s="120"/>
      <c r="AU28" s="121">
        <f>SUM(AU18:AU27)</f>
        <v>1986236.526</v>
      </c>
      <c r="AV28" s="119">
        <f t="shared" si="77"/>
        <v>0.5038480225</v>
      </c>
      <c r="AW28" s="121">
        <f>SUM(AW18:AW27)</f>
        <v>1099061.436</v>
      </c>
      <c r="AX28" s="119">
        <f t="shared" si="78"/>
        <v>0.7256998407</v>
      </c>
      <c r="AY28" s="121">
        <f>SUM(AY18:AY27)</f>
        <v>1169197.583</v>
      </c>
      <c r="AZ28" s="119">
        <f t="shared" si="79"/>
        <v>0.9423182855</v>
      </c>
      <c r="BA28" s="121">
        <f>SUM(BA18:BA27)</f>
        <v>4149944.66</v>
      </c>
      <c r="BB28" s="119">
        <f t="shared" si="80"/>
        <v>3.095296623</v>
      </c>
    </row>
    <row r="29" ht="15.75" customHeight="1">
      <c r="B29" s="90"/>
      <c r="C29" s="91"/>
      <c r="D29" s="92"/>
      <c r="E29" s="93"/>
      <c r="F29" s="94"/>
      <c r="G29" s="103"/>
      <c r="H29" s="100"/>
      <c r="I29" s="101"/>
      <c r="J29" s="100"/>
      <c r="K29" s="97"/>
      <c r="L29" s="92"/>
      <c r="M29" s="92"/>
      <c r="N29" s="98"/>
      <c r="O29" s="103"/>
      <c r="P29" s="100"/>
      <c r="Q29" s="101"/>
      <c r="R29" s="102"/>
      <c r="S29" s="103"/>
      <c r="T29" s="100"/>
      <c r="U29" s="100"/>
      <c r="V29" s="102"/>
      <c r="W29" s="103"/>
      <c r="X29" s="100"/>
      <c r="Y29" s="100"/>
      <c r="Z29" s="102"/>
      <c r="AA29" s="103"/>
      <c r="AB29" s="100"/>
      <c r="AC29" s="100"/>
      <c r="AD29" s="102"/>
      <c r="AE29" s="103"/>
      <c r="AF29" s="100"/>
      <c r="AG29" s="100"/>
      <c r="AH29" s="102"/>
      <c r="AI29" s="103"/>
      <c r="AJ29" s="100"/>
      <c r="AK29" s="100"/>
      <c r="AL29" s="102"/>
      <c r="AM29" s="103"/>
      <c r="AN29" s="100"/>
      <c r="AO29" s="100"/>
      <c r="AP29" s="102"/>
      <c r="AQ29" s="103"/>
      <c r="AR29" s="100"/>
      <c r="AS29" s="100"/>
      <c r="AT29" s="102"/>
      <c r="AU29" s="95"/>
      <c r="AV29" s="100"/>
      <c r="AW29" s="95"/>
      <c r="AX29" s="100"/>
      <c r="AY29" s="95"/>
      <c r="AZ29" s="100"/>
      <c r="BA29" s="95"/>
      <c r="BB29" s="100"/>
    </row>
    <row r="30" ht="15.75" customHeight="1">
      <c r="A30" s="104"/>
      <c r="B30" s="16" t="s">
        <v>45</v>
      </c>
      <c r="C30" s="66">
        <f>C16-C28</f>
        <v>83704705.41</v>
      </c>
      <c r="D30" s="67">
        <f>C30/C$10</f>
        <v>0.107334428</v>
      </c>
      <c r="E30" s="68" t="str">
        <f>E16-E28</f>
        <v>#REF!</v>
      </c>
      <c r="F30" s="86" t="str">
        <f>E30/E$10</f>
        <v>#REF!</v>
      </c>
      <c r="G30" s="116">
        <f>G16-G28</f>
        <v>-75368765.96</v>
      </c>
      <c r="H30" s="117">
        <f>G30/C10</f>
        <v>-0.09664526439</v>
      </c>
      <c r="I30" s="118">
        <f>I16-I28</f>
        <v>-57205844.82</v>
      </c>
      <c r="J30" s="117" t="str">
        <f>I30/E10</f>
        <v>#REF!</v>
      </c>
      <c r="K30" s="72">
        <f>K16-K28</f>
        <v>157604861.4</v>
      </c>
      <c r="L30" s="67">
        <f>K30/$K$10</f>
        <v>0.2020964958</v>
      </c>
      <c r="M30" s="68" t="str">
        <f>M16-M28</f>
        <v>#REF!</v>
      </c>
      <c r="N30" s="88" t="str">
        <f>M30/M$10</f>
        <v>#REF!</v>
      </c>
      <c r="O30" s="116">
        <f>O16-O28</f>
        <v>47660703.42</v>
      </c>
      <c r="P30" s="119">
        <f>O30/O$10</f>
        <v>0.2083825857</v>
      </c>
      <c r="Q30" s="118">
        <f>Q16-Q28</f>
        <v>36867041.72</v>
      </c>
      <c r="R30" s="119">
        <f>Q30/Q$10</f>
        <v>0.1870266116</v>
      </c>
      <c r="S30" s="118">
        <f>S16-S28</f>
        <v>-1268138.988</v>
      </c>
      <c r="T30" s="119">
        <f>S30/S$10</f>
        <v>-0.1235490927</v>
      </c>
      <c r="U30" s="118" t="str">
        <f>U16-U28</f>
        <v>#REF!</v>
      </c>
      <c r="V30" s="119" t="str">
        <f>U30/U$10</f>
        <v>#REF!</v>
      </c>
      <c r="W30" s="118">
        <f>W16-W28</f>
        <v>38828850.15</v>
      </c>
      <c r="X30" s="119">
        <f>W30/W$10</f>
        <v>0.2298230499</v>
      </c>
      <c r="Y30" s="118">
        <f>Y16-Y28</f>
        <v>46955224.72</v>
      </c>
      <c r="Z30" s="119">
        <f>Y30/Y$10</f>
        <v>0.2729663847</v>
      </c>
      <c r="AA30" s="116">
        <f>AA16-AA28</f>
        <v>34745915.61</v>
      </c>
      <c r="AB30" s="119">
        <f>AA30/AA$10</f>
        <v>0.3158424966</v>
      </c>
      <c r="AC30" s="118">
        <f>AC16-AC28</f>
        <v>42658882.7</v>
      </c>
      <c r="AD30" s="119">
        <f>AC30/AC$10</f>
        <v>0.3814316988</v>
      </c>
      <c r="AE30" s="116">
        <f>AE16-AE28</f>
        <v>60672010.46</v>
      </c>
      <c r="AF30" s="119">
        <f>AE30/AE$10</f>
        <v>0.2954608274</v>
      </c>
      <c r="AG30" s="118">
        <f>AG16-AG28</f>
        <v>58199356.35</v>
      </c>
      <c r="AH30" s="119">
        <f>AG30/AG$10</f>
        <v>0.286609332</v>
      </c>
      <c r="AI30" s="116">
        <f>AI16-AI28</f>
        <v>-8171285.547</v>
      </c>
      <c r="AJ30" s="119">
        <f>AI30/AI$10</f>
        <v>-5.284657597</v>
      </c>
      <c r="AK30" s="118" t="str">
        <f>AK16-AK28</f>
        <v>#REF!</v>
      </c>
      <c r="AL30" s="119" t="str">
        <f>AK30/AK$10</f>
        <v>#REF!</v>
      </c>
      <c r="AM30" s="116">
        <f>AM16-AM28</f>
        <v>-2590386.463</v>
      </c>
      <c r="AN30" s="119">
        <f>AM30/AM$10</f>
        <v>-0.3741494197</v>
      </c>
      <c r="AO30" s="118">
        <f>AO16-AO28</f>
        <v>-593427</v>
      </c>
      <c r="AP30" s="119">
        <f>AO30/AO$10</f>
        <v>-0.5994581484</v>
      </c>
      <c r="AQ30" s="116">
        <f>AQ16-AQ28</f>
        <v>-5085153.344</v>
      </c>
      <c r="AR30" s="119">
        <f>AQ30/AQ$10</f>
        <v>-0.1269642023</v>
      </c>
      <c r="AS30" s="118">
        <f>AS16-AS28</f>
        <v>19700446.67</v>
      </c>
      <c r="AT30" s="119">
        <f>AS30/AS$10</f>
        <v>0.4925111667</v>
      </c>
      <c r="AU30" s="121">
        <f>AU16-AU28</f>
        <v>-805406.0976</v>
      </c>
      <c r="AV30" s="119">
        <f>AU30/AU$10</f>
        <v>-0.2043071227</v>
      </c>
      <c r="AW30" s="121">
        <f>AW16-AW28</f>
        <v>-1437972.462</v>
      </c>
      <c r="AX30" s="119">
        <f>AW30/AW$10</f>
        <v>-0.949479576</v>
      </c>
      <c r="AY30" s="121">
        <f>AY16-AY28</f>
        <v>-1543982.124</v>
      </c>
      <c r="AZ30" s="119">
        <f>AY30/AY$10</f>
        <v>-1.244377006</v>
      </c>
      <c r="BA30" s="121">
        <f>BA16-BA28</f>
        <v>-3400293.24</v>
      </c>
      <c r="BB30" s="119">
        <f>BA30/BA$10</f>
        <v>-2.536158201</v>
      </c>
    </row>
    <row r="31" ht="15.75" customHeight="1"/>
    <row r="32" ht="15.75" customHeight="1">
      <c r="C32" s="122">
        <f>C30/C10</f>
        <v>0.107334428</v>
      </c>
      <c r="D32" s="122"/>
      <c r="K32" s="123"/>
      <c r="L32" s="122"/>
      <c r="Q32" s="124"/>
    </row>
    <row r="33" ht="15.75" customHeight="1">
      <c r="C33" s="125">
        <f>'Q1 FY25-26'!C10</f>
        <v>159172703.6</v>
      </c>
      <c r="E33" s="126"/>
      <c r="K33" s="125">
        <f>'Q1 FY25-26'!K10</f>
        <v>159172703.6</v>
      </c>
      <c r="L33" s="127">
        <f t="shared" ref="L33:L36" si="81">SUM(O33:BB33)</f>
        <v>159172703.6</v>
      </c>
      <c r="M33" s="127">
        <f t="shared" ref="M33:M36" si="82">K33-L33</f>
        <v>0</v>
      </c>
      <c r="O33" s="125">
        <f>'Q1 FY25-26'!O10</f>
        <v>44794270.53</v>
      </c>
      <c r="Q33" s="124"/>
      <c r="S33" s="125">
        <f>'Q1 FY25-26'!S10</f>
        <v>1374119.07</v>
      </c>
      <c r="W33" s="125">
        <f>'Q1 FY25-26'!W10</f>
        <v>36465466.15</v>
      </c>
      <c r="AA33" s="125">
        <f>'Q1 FY25-26'!AA10</f>
        <v>25733794.65</v>
      </c>
      <c r="AE33" s="125">
        <f>'Q1 FY25-26'!AE10</f>
        <v>47944975.24</v>
      </c>
      <c r="AI33" s="125">
        <f>'Q1 FY25-26'!AI10</f>
        <v>981705</v>
      </c>
      <c r="AM33" s="125">
        <f>'Q1 FY25-26'!AM10</f>
        <v>1033945.98</v>
      </c>
      <c r="AQ33" s="125">
        <f>'Q1 FY25-26'!AQ10</f>
        <v>0</v>
      </c>
      <c r="AU33" s="125">
        <f>'Q1 FY25-26'!AU10</f>
        <v>833612</v>
      </c>
      <c r="AW33" s="125">
        <f>'Q1 FY25-26'!AY10</f>
        <v>10815</v>
      </c>
      <c r="AY33" s="125">
        <f>'Q1 FY25-26'!BC10</f>
        <v>0</v>
      </c>
      <c r="BA33" s="125">
        <f>'Q1 FY25-26'!BG10</f>
        <v>0</v>
      </c>
    </row>
    <row r="34" ht="15.75" customHeight="1">
      <c r="B34" s="128"/>
      <c r="C34" s="127">
        <f>'Q2 FY25-26'!C10</f>
        <v>166119121.5</v>
      </c>
      <c r="J34" s="123"/>
      <c r="K34" s="127">
        <f>'Q2 FY25-26'!C10</f>
        <v>166119121.5</v>
      </c>
      <c r="L34" s="127">
        <f t="shared" si="81"/>
        <v>166119121.5</v>
      </c>
      <c r="M34" s="127">
        <f t="shared" si="82"/>
        <v>0</v>
      </c>
      <c r="O34" s="127">
        <f>'Q2 FY25-26'!O10</f>
        <v>43781897</v>
      </c>
      <c r="S34" s="127">
        <f>'Q2 FY25-26'!S10</f>
        <v>1857782.63</v>
      </c>
      <c r="W34" s="127">
        <f>'Q2 FY25-26'!W10</f>
        <v>40117770.82</v>
      </c>
      <c r="AA34" s="127">
        <f>'Q2 FY25-26'!AA10</f>
        <v>28087543.49</v>
      </c>
      <c r="AE34" s="127">
        <f>'Q2 FY25-26'!AE10</f>
        <v>49246784.73</v>
      </c>
      <c r="AI34" s="127">
        <f>'Q2 FY25-26'!AI10</f>
        <v>0</v>
      </c>
      <c r="AM34" s="127">
        <f>'Q2 FY25-26'!AM10</f>
        <v>1247913.58</v>
      </c>
      <c r="AQ34" s="127">
        <f>'Q2 FY25-26'!AQ10</f>
        <v>0</v>
      </c>
      <c r="AU34" s="127">
        <f>'Q2 FY25-26'!AU10</f>
        <v>1036208.23</v>
      </c>
      <c r="AW34" s="127">
        <f>'Q2 FY25-26'!AW10</f>
        <v>507001.97</v>
      </c>
      <c r="AY34" s="127">
        <f>'Q2 FY25-26'!AY10</f>
        <v>236219</v>
      </c>
      <c r="BA34" s="127">
        <f>'Q2 FY25-26'!BA10</f>
        <v>0</v>
      </c>
    </row>
    <row r="35" ht="15.75" customHeight="1">
      <c r="C35" s="127">
        <f>'Q3 FY25-26'!C10</f>
        <v>216620530.7</v>
      </c>
      <c r="J35" s="123"/>
      <c r="K35" s="127">
        <f>'Q3 FY25-26'!K10</f>
        <v>216620530.7</v>
      </c>
      <c r="L35" s="127">
        <f t="shared" si="81"/>
        <v>216620530.7</v>
      </c>
      <c r="M35" s="127">
        <f t="shared" si="82"/>
        <v>0</v>
      </c>
      <c r="O35" s="127">
        <f>'Q3 FY25-26'!O10</f>
        <v>70185885.63</v>
      </c>
      <c r="Q35" s="123"/>
      <c r="S35" s="127">
        <f>'Q3 FY25-26'!S10</f>
        <v>2916384.96</v>
      </c>
      <c r="W35" s="127">
        <f>'Q3 FY25-26'!W10</f>
        <v>43323553.36</v>
      </c>
      <c r="AA35" s="127">
        <f>'Q3 FY25-26'!AA10</f>
        <v>27865246.36</v>
      </c>
      <c r="AE35" s="127">
        <f>'Q3 FY25-26'!AE10</f>
        <v>54116694.83</v>
      </c>
      <c r="AI35" s="127">
        <f>'Q3 FY25-26'!AI10</f>
        <v>42624</v>
      </c>
      <c r="AM35" s="127">
        <f>'Q3 FY25-26'!AM10</f>
        <v>2034634.78</v>
      </c>
      <c r="AQ35" s="127">
        <f>'Q3 FY25-26'!AQ10</f>
        <v>14062007</v>
      </c>
      <c r="AU35" s="127">
        <f>'Q3 FY25-26'!AU10</f>
        <v>1047835.33</v>
      </c>
      <c r="AW35" s="127">
        <f>'Q3 FY25-26'!AW10</f>
        <v>566520.04</v>
      </c>
      <c r="AY35" s="127">
        <f>'Q3 FY25-26'!AY10</f>
        <v>459144.4</v>
      </c>
      <c r="BA35" s="127">
        <f>'Q3 FY25-26'!BA10</f>
        <v>0</v>
      </c>
    </row>
    <row r="36" ht="15.75" customHeight="1">
      <c r="C36" s="129">
        <f>'Q4 FY25-26'!C10</f>
        <v>237937194.4</v>
      </c>
      <c r="K36" s="129">
        <f>'Q4 FY25-26'!K10</f>
        <v>237937194.4</v>
      </c>
      <c r="L36" s="127">
        <f t="shared" si="81"/>
        <v>237937194.4</v>
      </c>
      <c r="M36" s="129">
        <f t="shared" si="82"/>
        <v>-0.00000002980232239</v>
      </c>
      <c r="O36" s="127">
        <f>'Q4 FY25-26'!O10</f>
        <v>69955251.89</v>
      </c>
      <c r="S36" s="127">
        <f>'Q4 FY25-26'!S10</f>
        <v>4115965.07</v>
      </c>
      <c r="W36" s="127">
        <f>'Q4 FY25-26'!W10</f>
        <v>49044279.47</v>
      </c>
      <c r="AA36" s="127">
        <f>'Q4 FY25-26'!AA10</f>
        <v>28323676.89</v>
      </c>
      <c r="AE36" s="127">
        <f>'Q4 FY25-26'!AE10</f>
        <v>54038599.12</v>
      </c>
      <c r="AI36" s="127">
        <f>'Q4 FY25-26'!AI10</f>
        <v>521899</v>
      </c>
      <c r="AM36" s="127">
        <f>'Q4 FY25-26'!AM10</f>
        <v>2606906.65</v>
      </c>
      <c r="AQ36" s="127">
        <f>'Q4 FY25-26'!AQ10</f>
        <v>25989860</v>
      </c>
      <c r="AU36" s="127">
        <f>'Q4 FY25-26'!AU10</f>
        <v>1024478.65</v>
      </c>
      <c r="AW36" s="127">
        <f>'Q4 FY25-26'!AW10</f>
        <v>430147.87</v>
      </c>
      <c r="AY36" s="127">
        <f>'Q4 FY25-26'!AY10</f>
        <v>545403.76</v>
      </c>
      <c r="BA36" s="127">
        <f>'Q4 FY25-26'!BA10</f>
        <v>1340726</v>
      </c>
    </row>
    <row r="37" ht="15.75" customHeight="1"/>
    <row r="38" ht="15.75" customHeight="1">
      <c r="C38" s="127">
        <f>SUM(C33:C37)</f>
        <v>779849550.1</v>
      </c>
      <c r="G38" s="129">
        <f>'Q1 FY25-26'!G30+'Q2 FY25-26'!G30+'Q3 FY25-26'!G30+'Q4 FY25-26'!G30</f>
        <v>-75368765.96</v>
      </c>
      <c r="K38" s="127">
        <f t="shared" ref="K38:M38" si="83">SUM(K33:K37)</f>
        <v>779849550.1</v>
      </c>
      <c r="L38" s="127">
        <f t="shared" si="83"/>
        <v>779849550.1</v>
      </c>
      <c r="M38" s="127">
        <f t="shared" si="83"/>
        <v>-0.00000002980232239</v>
      </c>
      <c r="O38" s="127">
        <f>SUM(O33:O37)</f>
        <v>228717305.1</v>
      </c>
      <c r="S38" s="127">
        <f>SUM(S33:S37)</f>
        <v>10264251.73</v>
      </c>
      <c r="W38" s="127">
        <f>SUM(W33:W37)</f>
        <v>168951069.8</v>
      </c>
      <c r="AA38" s="127">
        <f>SUM(AA33:AA37)</f>
        <v>110010261.4</v>
      </c>
      <c r="AE38" s="127">
        <f>SUM(AE33:AE37)</f>
        <v>205347053.9</v>
      </c>
      <c r="AI38" s="127">
        <f>SUM(AI33:AI37)</f>
        <v>1546228</v>
      </c>
      <c r="AM38" s="127">
        <f>SUM(AM33:AM37)</f>
        <v>6923400.99</v>
      </c>
      <c r="AQ38" s="127">
        <f>SUM(AQ33:AQ37)</f>
        <v>40051867</v>
      </c>
      <c r="AU38" s="127">
        <f>SUM(AU33:AU37)</f>
        <v>3942134.21</v>
      </c>
      <c r="AW38" s="127">
        <f>SUM(AW33:AW37)</f>
        <v>1514484.88</v>
      </c>
      <c r="AY38" s="127">
        <f>SUM(AY33:AY37)</f>
        <v>1240767.16</v>
      </c>
      <c r="BA38" s="127">
        <f>SUM(BA33:BA37)</f>
        <v>1340726</v>
      </c>
    </row>
    <row r="39" ht="15.75" customHeight="1">
      <c r="C39" s="127">
        <f>C10-C38</f>
        <v>0</v>
      </c>
      <c r="G39" s="127">
        <f>G30-G38</f>
        <v>0</v>
      </c>
      <c r="K39" s="127">
        <f>K10-K38</f>
        <v>0</v>
      </c>
      <c r="O39" s="127">
        <f>O10-O38</f>
        <v>0</v>
      </c>
      <c r="S39" s="127">
        <f>S10-S38</f>
        <v>0</v>
      </c>
      <c r="W39" s="127">
        <f>W10-W38</f>
        <v>0</v>
      </c>
      <c r="AA39" s="127">
        <f>AA10-AA38</f>
        <v>0</v>
      </c>
      <c r="AE39" s="127">
        <f>AE10-AE38</f>
        <v>0</v>
      </c>
      <c r="AI39" s="127">
        <f>AI10-AI38</f>
        <v>0</v>
      </c>
      <c r="AM39" s="127">
        <f>AM10-AM38</f>
        <v>0</v>
      </c>
      <c r="AQ39" s="127">
        <f>AQ10-AQ38</f>
        <v>0</v>
      </c>
      <c r="AU39" s="127">
        <f>AU10-AU38</f>
        <v>0</v>
      </c>
      <c r="AW39" s="127">
        <f>AW10-AW38</f>
        <v>0</v>
      </c>
      <c r="AY39" s="127">
        <f>AY10-AY38</f>
        <v>0</v>
      </c>
      <c r="BA39" s="127">
        <f>BA10-BA38</f>
        <v>0</v>
      </c>
    </row>
    <row r="40" ht="15.75" customHeight="1">
      <c r="BA40" s="129"/>
    </row>
    <row r="41" ht="15.75" customHeight="1">
      <c r="O41" s="127">
        <f>'Q1 FY25-26'!O30+'Q2 FY25-26'!O30+'Q3 FY25-26'!O30+'Q4 FY25-26'!O30</f>
        <v>47660703.42</v>
      </c>
      <c r="S41" s="127">
        <f>'Q1 FY25-26'!S30+'Q2 FY25-26'!S30+'Q3 FY25-26'!S30+'Q4 FY25-26'!S30</f>
        <v>-1268138.988</v>
      </c>
      <c r="W41" s="127">
        <f>'Q1 FY25-26'!W30+'Q2 FY25-26'!W30+'Q3 FY25-26'!W30+'Q4 FY25-26'!W30</f>
        <v>38828850.15</v>
      </c>
      <c r="AA41" s="127">
        <f>'Q1 FY25-26'!AA30</f>
        <v>8337259.642</v>
      </c>
      <c r="AE41" s="127">
        <f>'Q1 FY25-26'!AE30</f>
        <v>13648943.64</v>
      </c>
      <c r="AI41" s="127">
        <f>'Q1 FY25-26'!AI30</f>
        <v>-1025868.93</v>
      </c>
      <c r="AM41" s="127">
        <f>'Q1 FY25-26'!AM30</f>
        <v>244328.9233</v>
      </c>
      <c r="AQ41" s="127">
        <f>'Q1 FY25-26'!AQ30</f>
        <v>-1814915</v>
      </c>
      <c r="AU41" s="127">
        <f>'Q1 FY25-26'!AU30</f>
        <v>-35851.04154</v>
      </c>
      <c r="AW41" s="127">
        <f>'Q1 FY25-26'!AY30</f>
        <v>-47928.33333</v>
      </c>
      <c r="AY41" s="127">
        <f>'Q1 FY25-26'!BC30</f>
        <v>0</v>
      </c>
      <c r="BA41" s="129"/>
    </row>
    <row r="42" ht="15.75" customHeight="1">
      <c r="C42" s="127">
        <f>'Q1 FY25-26'!C30+'Q2 FY25-26'!C30+'Q3 FY25-26'!C30+'Q4 FY25-26'!C30</f>
        <v>83704705.41</v>
      </c>
      <c r="O42" s="127">
        <f>O30-O41</f>
        <v>0.00000002980232239</v>
      </c>
      <c r="S42" s="127">
        <f>S30-S41</f>
        <v>-0.0000000002328306437</v>
      </c>
      <c r="W42" s="127">
        <f>W30-W41</f>
        <v>0.000000007450580597</v>
      </c>
      <c r="AA42" s="127">
        <f>'Q2 FY25-26'!AA30</f>
        <v>10406798.73</v>
      </c>
      <c r="AE42" s="127">
        <f>'Q2 FY25-26'!AE30</f>
        <v>13672536.19</v>
      </c>
      <c r="AI42" s="127">
        <f>'Q2 FY25-26'!AI30</f>
        <v>-1450210.75</v>
      </c>
      <c r="AM42" s="127">
        <f>'Q2 FY25-26'!AM30</f>
        <v>-716019.5793</v>
      </c>
      <c r="AQ42" s="127">
        <f>'Q2 FY25-26'!AQ30</f>
        <v>-2380279.833</v>
      </c>
      <c r="AU42" s="127">
        <f>'Q2 FY25-26'!AU30</f>
        <v>-172105.9303</v>
      </c>
      <c r="AW42" s="127">
        <f>'Q2 FY25-26'!AW30</f>
        <v>-434039.3347</v>
      </c>
      <c r="AY42" s="127">
        <f>'Q2 FY25-26'!AY30</f>
        <v>-442294.931</v>
      </c>
    </row>
    <row r="43" ht="15.75" customHeight="1">
      <c r="C43" s="127">
        <f>C30-C42</f>
        <v>-0.00000005960464478</v>
      </c>
      <c r="AA43" s="127">
        <f>'Q3 FY25-26'!AA30</f>
        <v>7145830.172</v>
      </c>
      <c r="AE43" s="127">
        <f>'Q3 FY25-26'!AE30</f>
        <v>16401207.25</v>
      </c>
      <c r="AI43" s="127">
        <f>'Q3 FY25-26'!AI30</f>
        <v>-2831534.417</v>
      </c>
      <c r="AM43" s="127">
        <f>'Q3 FY25-26'!AM30</f>
        <v>471194.9292</v>
      </c>
      <c r="AQ43" s="127">
        <f>'Q3 FY25-26'!AQ30</f>
        <v>-3240976.813</v>
      </c>
      <c r="AU43" s="127">
        <f>'Q3 FY25-26'!AU30</f>
        <v>-343525.1193</v>
      </c>
      <c r="AW43" s="127">
        <f>'Q3 FY25-26'!AW30</f>
        <v>-457859.1495</v>
      </c>
      <c r="AY43" s="127">
        <f>'Q3 FY25-26'!AY30</f>
        <v>-587226.1057</v>
      </c>
      <c r="BA43" s="127">
        <f>'Q3 FY25-26'!BA30</f>
        <v>-640307</v>
      </c>
    </row>
    <row r="44" ht="15.75" customHeight="1">
      <c r="AA44" s="129">
        <f>'Q4 FY25-26'!AA30</f>
        <v>8856027.06</v>
      </c>
      <c r="AE44" s="129">
        <f>'Q4 FY25-26'!AE30</f>
        <v>16949323.38</v>
      </c>
      <c r="AI44" s="129">
        <f>'Q4 FY25-26'!AI30</f>
        <v>-2863671.45</v>
      </c>
      <c r="AM44" s="129">
        <f>'Q4 FY25-26'!AM30</f>
        <v>-2589890.736</v>
      </c>
      <c r="AQ44" s="129">
        <f>'Q4 FY25-26'!AQ30</f>
        <v>2351018.303</v>
      </c>
      <c r="AU44" s="129">
        <f>'Q4 FY25-26'!AU30</f>
        <v>-253924.0065</v>
      </c>
      <c r="AW44" s="129">
        <f>'Q4 FY25-26'!AW30</f>
        <v>-498145.6442</v>
      </c>
      <c r="AY44" s="129">
        <f>'Q4 FY25-26'!AY30</f>
        <v>-514461.0874</v>
      </c>
      <c r="BA44" s="129">
        <f>'Q4 FY25-26'!BA30</f>
        <v>-2161086.24</v>
      </c>
    </row>
    <row r="45" ht="15.75" customHeight="1">
      <c r="K45" s="129">
        <f>'Q1 FY25-26'!K28+'Q2 FY25-26'!K28+'Q3 FY25-26'!K28+'Q4 FY25-26'!K28</f>
        <v>362276514.7</v>
      </c>
    </row>
    <row r="46" ht="15.75" customHeight="1">
      <c r="K46" s="127">
        <f>K28-K45</f>
        <v>0</v>
      </c>
      <c r="AA46" s="127">
        <f>sum(AA41:AA45)</f>
        <v>34745915.61</v>
      </c>
      <c r="AE46" s="127">
        <f>sum(AE41:AE45)</f>
        <v>60672010.46</v>
      </c>
      <c r="AI46" s="127">
        <f>sum(AI41:AI45)</f>
        <v>-8171285.547</v>
      </c>
      <c r="AM46" s="127">
        <f>sum(AM41:AM45)</f>
        <v>-2590386.463</v>
      </c>
      <c r="AQ46" s="127">
        <f>sum(AQ41:AQ45)</f>
        <v>-5085153.344</v>
      </c>
      <c r="AU46" s="127">
        <f>sum(AU41:AU45)</f>
        <v>-805406.0976</v>
      </c>
      <c r="AW46" s="127">
        <f>sum(AW41:AW45)</f>
        <v>-1437972.462</v>
      </c>
      <c r="AY46" s="127">
        <f>sum(AY41:AY45)</f>
        <v>-1543982.124</v>
      </c>
      <c r="BA46" s="129">
        <f>sum(BA41:BA45)</f>
        <v>-2801393.24</v>
      </c>
    </row>
    <row r="47" ht="15.75" customHeight="1">
      <c r="AA47" s="127">
        <f>AA30-AA46</f>
        <v>0</v>
      </c>
      <c r="AE47" s="127">
        <f>AE30-AE46</f>
        <v>0.00000004470348358</v>
      </c>
      <c r="AI47" s="127">
        <f>AI30-AI46</f>
        <v>0</v>
      </c>
      <c r="AM47" s="127">
        <f>AM30-AM46</f>
        <v>0.0000000004656612873</v>
      </c>
      <c r="AQ47" s="127">
        <f>AQ30-AQ46</f>
        <v>-0.000000005587935448</v>
      </c>
      <c r="AU47" s="129">
        <f>AU30-AU46</f>
        <v>0.0000000002328306437</v>
      </c>
      <c r="AW47" s="129">
        <f>AW30-AW46</f>
        <v>0</v>
      </c>
      <c r="AY47" s="129">
        <f>AY30-AY46</f>
        <v>0.0000000002328306437</v>
      </c>
      <c r="BA47" s="129">
        <f>BA30-BA46</f>
        <v>-598900</v>
      </c>
    </row>
    <row r="48" ht="15.75" customHeight="1"/>
    <row r="49" ht="15.75" customHeight="1">
      <c r="AM49" s="129">
        <f>'Q1 FY25-26'!AM28+'Q2 FY25-26'!AM28+'Q3 FY25-26'!AM28+'Q4 FY25-26'!AM28</f>
        <v>3807144.502</v>
      </c>
    </row>
    <row r="50" ht="15.75" customHeight="1">
      <c r="AM50" s="127">
        <f>AM28-AM49</f>
        <v>-0.0000000009313225746</v>
      </c>
    </row>
    <row r="51" ht="15.75" customHeight="1"/>
    <row r="52" ht="15.75" customHeight="1">
      <c r="AM52" s="127">
        <f>'Q1 FY25-26'!AM12++'Q2 FY25-26'!AM12+'Q3 FY25-26'!AM12+'Q4 FY25-26'!AM12</f>
        <v>4290345.171</v>
      </c>
      <c r="AN52" s="127">
        <f t="shared" ref="AN52:AN53" si="84">AM12-AM52</f>
        <v>0</v>
      </c>
    </row>
    <row r="53" ht="15.75" customHeight="1">
      <c r="AM53" s="127">
        <f>'Q1 FY25-26'!AM13++'Q2 FY25-26'!AM13+'Q3 FY25-26'!AM13+'Q4 FY25-26'!AM13</f>
        <v>1416297.78</v>
      </c>
      <c r="AN53" s="127">
        <f t="shared" si="84"/>
        <v>0</v>
      </c>
    </row>
    <row r="54" ht="15.75" customHeight="1"/>
    <row r="55" ht="15.75" customHeight="1">
      <c r="AM55" s="127">
        <f>'Q1 FY25-26'!AM18+'Q2 FY25-26'!AM18+'Q3 FY25-26'!AM18+'Q4 FY25-26'!AM18</f>
        <v>639160.87</v>
      </c>
      <c r="AN55" s="127">
        <f t="shared" ref="AN55:AN65" si="85">AM18-AM55</f>
        <v>0</v>
      </c>
    </row>
    <row r="56" ht="15.75" customHeight="1">
      <c r="AM56" s="127">
        <f>'Q1 FY25-26'!AM19+'Q2 FY25-26'!AM19+'Q3 FY25-26'!AM19+'Q4 FY25-26'!AM19</f>
        <v>758476.1029</v>
      </c>
      <c r="AN56" s="127">
        <f t="shared" si="85"/>
        <v>0</v>
      </c>
    </row>
    <row r="57" ht="15.75" customHeight="1">
      <c r="AM57" s="127">
        <f>'Q1 FY25-26'!AM20+'Q2 FY25-26'!AM20+'Q3 FY25-26'!AM20+'Q4 FY25-26'!AM20</f>
        <v>335828.4408</v>
      </c>
      <c r="AN57" s="127">
        <f t="shared" si="85"/>
        <v>0</v>
      </c>
    </row>
    <row r="58" ht="15.75" customHeight="1">
      <c r="AM58" s="127">
        <f>'Q1 FY25-26'!AM21+'Q2 FY25-26'!AM21+'Q3 FY25-26'!AM21+'Q4 FY25-26'!AM21</f>
        <v>3008854</v>
      </c>
      <c r="AN58" s="127">
        <f t="shared" si="85"/>
        <v>0</v>
      </c>
    </row>
    <row r="59" ht="15.75" customHeight="1">
      <c r="AM59" s="127">
        <f>'Q1 FY25-26'!AM22+'Q2 FY25-26'!AM22+'Q3 FY25-26'!AM22+'Q4 FY25-26'!AM22</f>
        <v>15751437.04</v>
      </c>
      <c r="AN59" s="127">
        <f t="shared" si="85"/>
        <v>0</v>
      </c>
    </row>
    <row r="60" ht="15.75" customHeight="1">
      <c r="AM60" s="127">
        <f>'Q1 FY25-26'!AM23+'Q2 FY25-26'!AM23+'Q3 FY25-26'!AM23+'Q4 FY25-26'!AM23</f>
        <v>6686.27</v>
      </c>
      <c r="AN60" s="127">
        <f t="shared" si="85"/>
        <v>0</v>
      </c>
    </row>
    <row r="61" ht="15.75" customHeight="1">
      <c r="AM61" s="127">
        <f>'Q1 FY25-26'!AM24+'Q2 FY25-26'!AM24+'Q3 FY25-26'!AM24+'Q4 FY25-26'!AM24</f>
        <v>160998.6667</v>
      </c>
      <c r="AN61" s="127">
        <f t="shared" si="85"/>
        <v>0</v>
      </c>
    </row>
    <row r="62" ht="15.75" customHeight="1">
      <c r="AM62" s="127">
        <f>'Q1 FY25-26'!AM25+'Q2 FY25-26'!AM25+'Q3 FY25-26'!AM25+'Q4 FY25-26'!AM25</f>
        <v>1519589.533</v>
      </c>
      <c r="AN62" s="127">
        <f t="shared" si="85"/>
        <v>0</v>
      </c>
    </row>
    <row r="63" ht="15.75" customHeight="1">
      <c r="AM63" s="127">
        <f>'Q1 FY25-26'!AM26+'Q2 FY25-26'!AM26+'Q3 FY25-26'!AM26+'Q4 FY25-26'!AM26</f>
        <v>23270</v>
      </c>
      <c r="AN63" s="127">
        <f t="shared" si="85"/>
        <v>0</v>
      </c>
    </row>
    <row r="64" ht="15.75" customHeight="1">
      <c r="AM64" s="127">
        <f>'Q1 FY25-26'!AM27+'Q2 FY25-26'!AM27+'Q3 FY25-26'!AM27+'Q4 FY25-26'!AM27</f>
        <v>-18397156.42</v>
      </c>
      <c r="AN64" s="127">
        <f t="shared" si="85"/>
        <v>0</v>
      </c>
    </row>
    <row r="65" ht="15.75" customHeight="1">
      <c r="AM65" s="129">
        <f>'Q1 FY25-26'!AM28+'Q2 FY25-26'!AM28+'Q3 FY25-26'!AM28+'Q4 FY25-26'!AM28</f>
        <v>3807144.502</v>
      </c>
      <c r="AN65" s="127">
        <f t="shared" si="85"/>
        <v>-0.0000000009313225746</v>
      </c>
    </row>
    <row r="66" ht="15.75" customHeight="1"/>
    <row r="67" ht="15.75" customHeight="1">
      <c r="AM67" s="127">
        <f>'Q1 FY25-26'!AM30+'Q2 FY25-26'!AM30+'Q3 FY25-26'!AM30+'Q4 FY25-26'!AM30</f>
        <v>-2590386.463</v>
      </c>
      <c r="AN67" s="127">
        <f>AM30-AM67</f>
        <v>0.0000000004656612873</v>
      </c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AE3:AH3"/>
    <mergeCell ref="AI3:AL3"/>
    <mergeCell ref="AM3:AP3"/>
    <mergeCell ref="AQ3:AT3"/>
    <mergeCell ref="AU3:AV3"/>
    <mergeCell ref="AW3:AX3"/>
    <mergeCell ref="AY3:AZ3"/>
    <mergeCell ref="BA3:BB3"/>
    <mergeCell ref="C3:F3"/>
    <mergeCell ref="G3:J3"/>
    <mergeCell ref="K3:N3"/>
    <mergeCell ref="O3:R3"/>
    <mergeCell ref="S3:V3"/>
    <mergeCell ref="W3:Z3"/>
    <mergeCell ref="AA3:AD3"/>
  </mergeCell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3" width="14.25"/>
    <col customWidth="1" min="4" max="4" width="12.63"/>
    <col customWidth="1" min="5" max="5" width="14.25"/>
    <col customWidth="1" min="6" max="6" width="12.63"/>
    <col customWidth="1" min="7" max="7" width="15.0"/>
    <col customWidth="1" min="8" max="8" width="12.63"/>
    <col customWidth="1" min="9" max="9" width="15.0"/>
    <col customWidth="1" min="10" max="10" width="12.63"/>
    <col customWidth="1" min="11" max="11" width="14.25"/>
    <col customWidth="1" min="12" max="12" width="12.63"/>
    <col customWidth="1" min="13" max="13" width="14.25"/>
    <col customWidth="1" min="14" max="14" width="12.63"/>
    <col customWidth="1" min="15" max="15" width="14.25"/>
    <col customWidth="1" min="16" max="16" width="12.63"/>
    <col customWidth="1" min="17" max="17" width="14.25"/>
    <col customWidth="1" min="18" max="18" width="12.63"/>
    <col customWidth="1" min="19" max="19" width="12.75"/>
    <col customWidth="1" min="20" max="20" width="12.63"/>
    <col customWidth="1" min="21" max="21" width="12.75"/>
    <col customWidth="1" min="22" max="22" width="12.63"/>
    <col customWidth="1" min="23" max="23" width="14.25"/>
    <col customWidth="1" min="24" max="24" width="12.63"/>
    <col customWidth="1" min="25" max="25" width="14.25"/>
    <col customWidth="1" min="26" max="26" width="12.63"/>
    <col customWidth="1" min="27" max="27" width="12.75"/>
    <col customWidth="1" min="28" max="28" width="12.63"/>
    <col customWidth="1" min="29" max="29" width="12.75"/>
    <col customWidth="1" min="30" max="30" width="12.63"/>
    <col customWidth="1" min="31" max="31" width="14.25"/>
    <col customWidth="1" min="32" max="32" width="12.63"/>
    <col customWidth="1" min="33" max="33" width="14.25"/>
    <col customWidth="1" min="34" max="34" width="12.63"/>
    <col customWidth="1" min="35" max="35" width="12.75"/>
    <col customWidth="1" min="36" max="36" width="12.63"/>
    <col customWidth="1" min="37" max="37" width="12.75"/>
    <col customWidth="1" min="38" max="38" width="12.63"/>
    <col customWidth="1" min="39" max="39" width="12.75"/>
    <col customWidth="1" min="40" max="40" width="12.63"/>
    <col customWidth="1" min="41" max="41" width="12.75"/>
    <col customWidth="1" min="42" max="42" width="12.63"/>
    <col customWidth="1" min="43" max="43" width="12.75"/>
    <col customWidth="1" min="44" max="44" width="12.63"/>
    <col customWidth="1" min="45" max="45" width="12.75"/>
    <col customWidth="1" min="46" max="46" width="12.63"/>
    <col customWidth="1" min="47" max="47" width="12.75"/>
    <col customWidth="1" min="48" max="48" width="12.63"/>
    <col customWidth="1" min="49" max="49" width="12.75"/>
    <col customWidth="1" min="50" max="50" width="12.63"/>
    <col customWidth="1" min="51" max="51" width="12.75"/>
    <col customWidth="1" min="52" max="52" width="12.63"/>
    <col customWidth="1" min="53" max="53" width="12.75"/>
    <col customWidth="1" min="54" max="62" width="12.63"/>
  </cols>
  <sheetData>
    <row r="1" ht="15.75" customHeight="1">
      <c r="A1" s="3"/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</row>
    <row r="2" ht="15.75" customHeight="1">
      <c r="A2" s="3"/>
      <c r="B2" s="4" t="s">
        <v>46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ht="15.75" customHeight="1">
      <c r="A3" s="3"/>
      <c r="B3" s="130" t="s">
        <v>47</v>
      </c>
      <c r="C3" s="6" t="s">
        <v>48</v>
      </c>
      <c r="D3" s="7"/>
      <c r="E3" s="7"/>
      <c r="F3" s="8"/>
      <c r="G3" s="131" t="s">
        <v>49</v>
      </c>
      <c r="H3" s="7"/>
      <c r="I3" s="7"/>
      <c r="J3" s="132"/>
      <c r="K3" s="133" t="s">
        <v>5</v>
      </c>
      <c r="L3" s="7"/>
      <c r="M3" s="7"/>
      <c r="N3" s="132"/>
      <c r="O3" s="133" t="s">
        <v>6</v>
      </c>
      <c r="P3" s="7"/>
      <c r="Q3" s="7"/>
      <c r="R3" s="132"/>
      <c r="S3" s="133" t="s">
        <v>7</v>
      </c>
      <c r="T3" s="7"/>
      <c r="U3" s="7"/>
      <c r="V3" s="132"/>
      <c r="W3" s="133" t="s">
        <v>8</v>
      </c>
      <c r="X3" s="7"/>
      <c r="Y3" s="7"/>
      <c r="Z3" s="132"/>
      <c r="AA3" s="133" t="s">
        <v>9</v>
      </c>
      <c r="AB3" s="7"/>
      <c r="AC3" s="7"/>
      <c r="AD3" s="132"/>
      <c r="AE3" s="133" t="s">
        <v>10</v>
      </c>
      <c r="AF3" s="7"/>
      <c r="AG3" s="7"/>
      <c r="AH3" s="132"/>
      <c r="AI3" s="133" t="s">
        <v>11</v>
      </c>
      <c r="AJ3" s="7"/>
      <c r="AK3" s="7"/>
      <c r="AL3" s="132"/>
      <c r="AM3" s="133" t="s">
        <v>12</v>
      </c>
      <c r="AN3" s="7"/>
      <c r="AO3" s="7"/>
      <c r="AP3" s="132"/>
      <c r="AQ3" s="133" t="s">
        <v>13</v>
      </c>
      <c r="AR3" s="7"/>
      <c r="AS3" s="7"/>
      <c r="AT3" s="132"/>
      <c r="AU3" s="133" t="s">
        <v>14</v>
      </c>
      <c r="AV3" s="7"/>
      <c r="AW3" s="7"/>
      <c r="AX3" s="132"/>
      <c r="AY3" s="133" t="s">
        <v>15</v>
      </c>
      <c r="AZ3" s="7"/>
      <c r="BA3" s="7"/>
      <c r="BB3" s="8"/>
      <c r="BC3" s="10" t="s">
        <v>16</v>
      </c>
      <c r="BD3" s="11"/>
      <c r="BE3" s="11"/>
      <c r="BF3" s="14"/>
      <c r="BG3" s="10" t="s">
        <v>17</v>
      </c>
      <c r="BH3" s="11"/>
      <c r="BI3" s="11"/>
      <c r="BJ3" s="14"/>
    </row>
    <row r="4" ht="15.75" customHeight="1">
      <c r="A4" s="3"/>
      <c r="B4" s="134"/>
      <c r="C4" s="17" t="s">
        <v>21</v>
      </c>
      <c r="D4" s="18" t="s">
        <v>19</v>
      </c>
      <c r="E4" s="18" t="s">
        <v>20</v>
      </c>
      <c r="F4" s="19" t="s">
        <v>19</v>
      </c>
      <c r="G4" s="20" t="s">
        <v>21</v>
      </c>
      <c r="H4" s="18" t="s">
        <v>19</v>
      </c>
      <c r="I4" s="18" t="s">
        <v>20</v>
      </c>
      <c r="J4" s="18" t="s">
        <v>19</v>
      </c>
      <c r="K4" s="18" t="s">
        <v>21</v>
      </c>
      <c r="L4" s="18" t="s">
        <v>19</v>
      </c>
      <c r="M4" s="18" t="s">
        <v>20</v>
      </c>
      <c r="N4" s="18" t="s">
        <v>19</v>
      </c>
      <c r="O4" s="18" t="s">
        <v>21</v>
      </c>
      <c r="P4" s="18" t="s">
        <v>19</v>
      </c>
      <c r="Q4" s="18" t="s">
        <v>20</v>
      </c>
      <c r="R4" s="18" t="s">
        <v>19</v>
      </c>
      <c r="S4" s="18" t="s">
        <v>21</v>
      </c>
      <c r="T4" s="18" t="s">
        <v>19</v>
      </c>
      <c r="U4" s="18" t="s">
        <v>20</v>
      </c>
      <c r="V4" s="18" t="s">
        <v>19</v>
      </c>
      <c r="W4" s="18" t="s">
        <v>21</v>
      </c>
      <c r="X4" s="18" t="s">
        <v>19</v>
      </c>
      <c r="Y4" s="18" t="s">
        <v>20</v>
      </c>
      <c r="Z4" s="18" t="s">
        <v>19</v>
      </c>
      <c r="AA4" s="18" t="s">
        <v>21</v>
      </c>
      <c r="AB4" s="18" t="s">
        <v>19</v>
      </c>
      <c r="AC4" s="18" t="s">
        <v>20</v>
      </c>
      <c r="AD4" s="18" t="s">
        <v>19</v>
      </c>
      <c r="AE4" s="18" t="s">
        <v>21</v>
      </c>
      <c r="AF4" s="18" t="s">
        <v>19</v>
      </c>
      <c r="AG4" s="18" t="s">
        <v>20</v>
      </c>
      <c r="AH4" s="18" t="s">
        <v>19</v>
      </c>
      <c r="AI4" s="18" t="s">
        <v>21</v>
      </c>
      <c r="AJ4" s="18" t="s">
        <v>19</v>
      </c>
      <c r="AK4" s="18" t="s">
        <v>20</v>
      </c>
      <c r="AL4" s="18" t="s">
        <v>19</v>
      </c>
      <c r="AM4" s="18" t="s">
        <v>21</v>
      </c>
      <c r="AN4" s="18" t="s">
        <v>19</v>
      </c>
      <c r="AO4" s="18" t="s">
        <v>20</v>
      </c>
      <c r="AP4" s="18" t="s">
        <v>19</v>
      </c>
      <c r="AQ4" s="18" t="s">
        <v>21</v>
      </c>
      <c r="AR4" s="18" t="s">
        <v>19</v>
      </c>
      <c r="AS4" s="18" t="s">
        <v>20</v>
      </c>
      <c r="AT4" s="18" t="s">
        <v>19</v>
      </c>
      <c r="AU4" s="18" t="s">
        <v>21</v>
      </c>
      <c r="AV4" s="18" t="s">
        <v>19</v>
      </c>
      <c r="AW4" s="18" t="s">
        <v>20</v>
      </c>
      <c r="AX4" s="18" t="s">
        <v>19</v>
      </c>
      <c r="AY4" s="18" t="s">
        <v>21</v>
      </c>
      <c r="AZ4" s="18" t="s">
        <v>19</v>
      </c>
      <c r="BA4" s="18" t="s">
        <v>20</v>
      </c>
      <c r="BB4" s="19" t="s">
        <v>19</v>
      </c>
      <c r="BC4" s="18" t="s">
        <v>21</v>
      </c>
      <c r="BD4" s="18" t="s">
        <v>19</v>
      </c>
      <c r="BE4" s="18" t="s">
        <v>20</v>
      </c>
      <c r="BF4" s="19" t="s">
        <v>19</v>
      </c>
      <c r="BG4" s="18" t="s">
        <v>21</v>
      </c>
      <c r="BH4" s="18" t="s">
        <v>19</v>
      </c>
      <c r="BI4" s="18" t="s">
        <v>20</v>
      </c>
      <c r="BJ4" s="19" t="s">
        <v>19</v>
      </c>
    </row>
    <row r="5" ht="15.75" customHeight="1">
      <c r="A5" s="3"/>
      <c r="B5" s="22" t="s">
        <v>22</v>
      </c>
      <c r="C5" s="23">
        <f t="shared" ref="C5:C9" si="1">G5+K5</f>
        <v>16772731.25</v>
      </c>
      <c r="D5" s="24">
        <f t="shared" ref="D5:D9" si="2">C5/$C$10</f>
        <v>0.1053744195</v>
      </c>
      <c r="E5" s="25" t="str">
        <f t="shared" ref="E5:E9" si="3">I5+M5</f>
        <v>#REF!</v>
      </c>
      <c r="F5" s="26" t="str">
        <f t="shared" ref="F5:F9" si="4">E5/$E$10</f>
        <v>#REF!</v>
      </c>
      <c r="G5" s="135">
        <f>'Summary Sheet - April 2025'!G5+'Summary Sheet - May 2025'!G5+'Summary Sheet - June 2025'!G5</f>
        <v>0</v>
      </c>
      <c r="H5" s="83"/>
      <c r="I5" s="83"/>
      <c r="J5" s="83"/>
      <c r="K5" s="136">
        <f t="shared" ref="K5:K9" si="5">O5+S5+W5+AA5+AE5+AI5+AM5+AQ5+AU5+AY5+BC5+BG5</f>
        <v>16772731.25</v>
      </c>
      <c r="L5" s="137"/>
      <c r="M5" s="25" t="str">
        <f t="shared" ref="M5:M9" si="6">Q5+U5+Y5+AC5+AG5+AK5+AO5</f>
        <v>#REF!</v>
      </c>
      <c r="N5" s="137"/>
      <c r="O5" s="34">
        <f>'Summary Sheet - April 2025'!O5+'Summary Sheet - May 2025'!O5+'Summary Sheet - June 2025'!O5</f>
        <v>2806499.75</v>
      </c>
      <c r="P5" s="28"/>
      <c r="Q5" s="34">
        <f>'Summary Sheet - April 2025'!Q5+'Summary Sheet - May 2025'!Q5+'Summary Sheet - June 2025'!Q5</f>
        <v>4937402.84</v>
      </c>
      <c r="R5" s="28"/>
      <c r="S5" s="34">
        <f>'Summary Sheet - April 2025'!S5+'Summary Sheet - May 2025'!S5+'Summary Sheet - June 2025'!S5</f>
        <v>0</v>
      </c>
      <c r="T5" s="28"/>
      <c r="U5" s="34" t="str">
        <f>'Summary Sheet - April 2025'!U5+'Summary Sheet - May 2025'!U5+'Summary Sheet - June 2025'!U5</f>
        <v>#REF!</v>
      </c>
      <c r="V5" s="28"/>
      <c r="W5" s="34">
        <f>'Summary Sheet - April 2025'!W5+'Summary Sheet - May 2025'!W5+'Summary Sheet - June 2025'!W5</f>
        <v>4155102</v>
      </c>
      <c r="X5" s="28"/>
      <c r="Y5" s="34">
        <f>'Summary Sheet - April 2025'!Y5+'Summary Sheet - May 2025'!Y5+'Summary Sheet - June 2025'!Y5</f>
        <v>4162860.88</v>
      </c>
      <c r="Z5" s="28"/>
      <c r="AA5" s="34">
        <f>'Summary Sheet - April 2025'!AA5+'Summary Sheet - May 2025'!AA5+'Summary Sheet - June 2025'!AA5</f>
        <v>4158337.5</v>
      </c>
      <c r="AB5" s="28"/>
      <c r="AC5" s="34">
        <f>'Summary Sheet - April 2025'!AC5+'Summary Sheet - May 2025'!AC5+'Summary Sheet - June 2025'!AC5</f>
        <v>3246325</v>
      </c>
      <c r="AD5" s="28"/>
      <c r="AE5" s="34">
        <f>'Summary Sheet - April 2025'!AE5+'Summary Sheet - May 2025'!AE5+'Summary Sheet - June 2025'!AE5</f>
        <v>5652792</v>
      </c>
      <c r="AF5" s="28"/>
      <c r="AG5" s="34">
        <f>'Summary Sheet - April 2025'!AG5+'Summary Sheet - May 2025'!AG5+'Summary Sheet - June 2025'!AG5</f>
        <v>4934968</v>
      </c>
      <c r="AH5" s="28"/>
      <c r="AI5" s="34">
        <f>'Summary Sheet - April 2025'!AI5+'Summary Sheet - May 2025'!AI5+'Summary Sheet - June 2025'!AI5</f>
        <v>0</v>
      </c>
      <c r="AJ5" s="28"/>
      <c r="AK5" s="34" t="str">
        <f>'Summary Sheet - April 2025'!AK5+'Summary Sheet - May 2025'!AK5+'Summary Sheet - June 2025'!AK5</f>
        <v>#REF!</v>
      </c>
      <c r="AL5" s="28"/>
      <c r="AM5" s="34">
        <f>'Summary Sheet - April 2025'!AM5+'Summary Sheet - May 2025'!AM5+'Summary Sheet - June 2025'!AM5</f>
        <v>0</v>
      </c>
      <c r="AN5" s="28"/>
      <c r="AO5" s="34">
        <f>'Summary Sheet - April 2025'!AO5+'Summary Sheet - May 2025'!AO5+'Summary Sheet - June 2025'!AO5</f>
        <v>0</v>
      </c>
      <c r="AP5" s="28"/>
      <c r="AQ5" s="81"/>
      <c r="AR5" s="28"/>
      <c r="AS5" s="34">
        <f>'Summary Sheet - April 2025'!AS5+'Summary Sheet - May 2025'!AS5+'Summary Sheet - June 2025'!AS5</f>
        <v>0</v>
      </c>
      <c r="AT5" s="28"/>
      <c r="AU5" s="34">
        <f>'Summary Sheet - April 2025'!AU5+'Summary Sheet - May 2025'!AU5+'Summary Sheet - June 2025'!AU5</f>
        <v>0</v>
      </c>
      <c r="AV5" s="34"/>
      <c r="AW5" s="34" t="str">
        <f>'Summary Sheet - April 2025'!AW5+'Summary Sheet - May 2025'!AW5+'Summary Sheet - June 2025'!AW5</f>
        <v>#REF!</v>
      </c>
      <c r="AX5" s="28"/>
      <c r="AY5" s="48">
        <f>'Summary Sheet - April 2025'!BG5+'Summary Sheet - May 2025'!BG5+'Summary Sheet - June 2025'!AY5</f>
        <v>0</v>
      </c>
      <c r="AZ5" s="28"/>
      <c r="BA5" s="48" t="str">
        <f>'Summary Sheet - April 2025'!BI5+'Summary Sheet - May 2025'!BI5+'Summary Sheet - June 2025'!BA5</f>
        <v>#REF!</v>
      </c>
      <c r="BB5" s="35"/>
      <c r="BC5" s="48">
        <f>'Summary Sheet - April 2025'!BK5+'Summary Sheet - May 2025'!BK5+'Summary Sheet - June 2025'!BG5</f>
        <v>0</v>
      </c>
      <c r="BD5" s="28"/>
      <c r="BE5" s="48">
        <f>'Summary Sheet - April 2025'!BM5+'Summary Sheet - May 2025'!BM5+'Summary Sheet - June 2025'!BI5</f>
        <v>0</v>
      </c>
      <c r="BF5" s="35"/>
      <c r="BG5" s="48">
        <f>'Summary Sheet - April 2025'!BO5+'Summary Sheet - May 2025'!BO5+'Summary Sheet - June 2025'!BK5</f>
        <v>0</v>
      </c>
      <c r="BH5" s="28"/>
      <c r="BI5" s="48">
        <f>'Summary Sheet - April 2025'!BQ5+'Summary Sheet - May 2025'!BQ5+'Summary Sheet - June 2025'!BM5</f>
        <v>0</v>
      </c>
      <c r="BJ5" s="35"/>
    </row>
    <row r="6" ht="15.75" customHeight="1">
      <c r="A6" s="3"/>
      <c r="B6" s="38" t="s">
        <v>23</v>
      </c>
      <c r="C6" s="39">
        <f t="shared" si="1"/>
        <v>18804617</v>
      </c>
      <c r="D6" s="24">
        <f t="shared" si="2"/>
        <v>0.1181397097</v>
      </c>
      <c r="E6" s="40" t="str">
        <f t="shared" si="3"/>
        <v>#REF!</v>
      </c>
      <c r="F6" s="26" t="str">
        <f t="shared" si="4"/>
        <v>#REF!</v>
      </c>
      <c r="G6" s="138">
        <f>'Summary Sheet - April 2025'!G6+'Summary Sheet - May 2025'!G6+'Summary Sheet - June 2025'!G6</f>
        <v>0</v>
      </c>
      <c r="H6" s="114"/>
      <c r="I6" s="114"/>
      <c r="J6" s="114"/>
      <c r="K6" s="136">
        <f t="shared" si="5"/>
        <v>18804617</v>
      </c>
      <c r="L6" s="139"/>
      <c r="M6" s="40" t="str">
        <f t="shared" si="6"/>
        <v>#REF!</v>
      </c>
      <c r="N6" s="139"/>
      <c r="O6" s="48">
        <f>'Summary Sheet - April 2025'!O6+'Summary Sheet - May 2025'!O6+'Summary Sheet - June 2025'!O6</f>
        <v>10519978</v>
      </c>
      <c r="P6" s="43"/>
      <c r="Q6" s="48">
        <f>'Summary Sheet - April 2025'!Q6+'Summary Sheet - May 2025'!Q6+'Summary Sheet - June 2025'!Q6</f>
        <v>8437054</v>
      </c>
      <c r="R6" s="43"/>
      <c r="S6" s="48">
        <f>'Summary Sheet - April 2025'!S6+'Summary Sheet - May 2025'!S6+'Summary Sheet - June 2025'!S6</f>
        <v>0</v>
      </c>
      <c r="T6" s="43"/>
      <c r="U6" s="48" t="str">
        <f>'Summary Sheet - April 2025'!U6+'Summary Sheet - May 2025'!U6+'Summary Sheet - June 2025'!U6</f>
        <v>#REF!</v>
      </c>
      <c r="V6" s="43"/>
      <c r="W6" s="48">
        <f>'Summary Sheet - April 2025'!W6+'Summary Sheet - May 2025'!W6+'Summary Sheet - June 2025'!W6</f>
        <v>2362597</v>
      </c>
      <c r="X6" s="43"/>
      <c r="Y6" s="48">
        <f>'Summary Sheet - April 2025'!Y6+'Summary Sheet - May 2025'!Y6+'Summary Sheet - June 2025'!Y6</f>
        <v>2752093.54</v>
      </c>
      <c r="Z6" s="43"/>
      <c r="AA6" s="48">
        <f>'Summary Sheet - April 2025'!AA6+'Summary Sheet - May 2025'!AA6+'Summary Sheet - June 2025'!AA6</f>
        <v>0</v>
      </c>
      <c r="AB6" s="43"/>
      <c r="AC6" s="48">
        <f>'Summary Sheet - April 2025'!AC6+'Summary Sheet - May 2025'!AC6+'Summary Sheet - June 2025'!AC6</f>
        <v>0</v>
      </c>
      <c r="AD6" s="43"/>
      <c r="AE6" s="48">
        <f>'Summary Sheet - April 2025'!AE6+'Summary Sheet - May 2025'!AE6+'Summary Sheet - June 2025'!AE6</f>
        <v>5922042</v>
      </c>
      <c r="AF6" s="43"/>
      <c r="AG6" s="48">
        <f>'Summary Sheet - April 2025'!AG6+'Summary Sheet - May 2025'!AG6+'Summary Sheet - June 2025'!AG6</f>
        <v>6184873</v>
      </c>
      <c r="AH6" s="43"/>
      <c r="AI6" s="48">
        <f>'Summary Sheet - April 2025'!AI6+'Summary Sheet - May 2025'!AI6+'Summary Sheet - June 2025'!AI6</f>
        <v>0</v>
      </c>
      <c r="AJ6" s="43"/>
      <c r="AK6" s="48" t="str">
        <f>'Summary Sheet - April 2025'!AK6+'Summary Sheet - May 2025'!AK6+'Summary Sheet - June 2025'!AK6</f>
        <v>#REF!</v>
      </c>
      <c r="AL6" s="43"/>
      <c r="AM6" s="48">
        <f>'Summary Sheet - April 2025'!AM6+'Summary Sheet - May 2025'!AM6+'Summary Sheet - June 2025'!AM6</f>
        <v>0</v>
      </c>
      <c r="AN6" s="43"/>
      <c r="AO6" s="48">
        <f>'Summary Sheet - April 2025'!AO6+'Summary Sheet - May 2025'!AO6+'Summary Sheet - June 2025'!AO6</f>
        <v>0</v>
      </c>
      <c r="AP6" s="43"/>
      <c r="AQ6" s="140"/>
      <c r="AR6" s="43"/>
      <c r="AS6" s="48">
        <f>'Summary Sheet - April 2025'!AS6+'Summary Sheet - May 2025'!AS6+'Summary Sheet - June 2025'!AS6</f>
        <v>0</v>
      </c>
      <c r="AT6" s="43"/>
      <c r="AU6" s="48">
        <f>'Summary Sheet - April 2025'!AU6+'Summary Sheet - May 2025'!AU6+'Summary Sheet - June 2025'!AU6</f>
        <v>0</v>
      </c>
      <c r="AV6" s="43"/>
      <c r="AW6" s="48" t="str">
        <f>'Summary Sheet - April 2025'!AW6+'Summary Sheet - May 2025'!AW6+'Summary Sheet - June 2025'!AW6</f>
        <v>#REF!</v>
      </c>
      <c r="AX6" s="43"/>
      <c r="AY6" s="48">
        <f>'Summary Sheet - April 2025'!BG6+'Summary Sheet - May 2025'!BG6+'Summary Sheet - June 2025'!AY6</f>
        <v>0</v>
      </c>
      <c r="AZ6" s="43"/>
      <c r="BA6" s="48" t="str">
        <f>'Summary Sheet - April 2025'!BI6+'Summary Sheet - May 2025'!BI6+'Summary Sheet - June 2025'!BA6</f>
        <v>#REF!</v>
      </c>
      <c r="BB6" s="49"/>
      <c r="BC6" s="48">
        <f>'Summary Sheet - April 2025'!BK6+'Summary Sheet - May 2025'!BK6+'Summary Sheet - June 2025'!BG6</f>
        <v>0</v>
      </c>
      <c r="BD6" s="43"/>
      <c r="BE6" s="48">
        <f>'Summary Sheet - April 2025'!BM6+'Summary Sheet - May 2025'!BM6+'Summary Sheet - June 2025'!BI6</f>
        <v>0</v>
      </c>
      <c r="BF6" s="49"/>
      <c r="BG6" s="48">
        <f>'Summary Sheet - April 2025'!BO6+'Summary Sheet - May 2025'!BO6+'Summary Sheet - June 2025'!BK6</f>
        <v>0</v>
      </c>
      <c r="BH6" s="43"/>
      <c r="BI6" s="48">
        <f>'Summary Sheet - April 2025'!BQ6+'Summary Sheet - May 2025'!BQ6+'Summary Sheet - June 2025'!BM6</f>
        <v>0</v>
      </c>
      <c r="BJ6" s="49"/>
    </row>
    <row r="7" ht="15.75" customHeight="1">
      <c r="A7" s="3"/>
      <c r="B7" s="38" t="s">
        <v>24</v>
      </c>
      <c r="C7" s="39">
        <f t="shared" si="1"/>
        <v>112430897.4</v>
      </c>
      <c r="D7" s="24">
        <f t="shared" si="2"/>
        <v>0.7063453395</v>
      </c>
      <c r="E7" s="40" t="str">
        <f t="shared" si="3"/>
        <v>#REF!</v>
      </c>
      <c r="F7" s="26" t="str">
        <f t="shared" si="4"/>
        <v>#REF!</v>
      </c>
      <c r="G7" s="138">
        <f>'Summary Sheet - April 2025'!G7+'Summary Sheet - May 2025'!G7+'Summary Sheet - June 2025'!G7</f>
        <v>0</v>
      </c>
      <c r="H7" s="114"/>
      <c r="I7" s="114"/>
      <c r="J7" s="114"/>
      <c r="K7" s="136">
        <f t="shared" si="5"/>
        <v>112430897.4</v>
      </c>
      <c r="L7" s="139"/>
      <c r="M7" s="40" t="str">
        <f t="shared" si="6"/>
        <v>#REF!</v>
      </c>
      <c r="N7" s="139"/>
      <c r="O7" s="48">
        <f>'Summary Sheet - April 2025'!O7+'Summary Sheet - May 2025'!O7+'Summary Sheet - June 2025'!O7</f>
        <v>27530320.25</v>
      </c>
      <c r="P7" s="43"/>
      <c r="Q7" s="48">
        <f>'Summary Sheet - April 2025'!Q7+'Summary Sheet - May 2025'!Q7+'Summary Sheet - June 2025'!Q7</f>
        <v>24016181.88</v>
      </c>
      <c r="R7" s="43"/>
      <c r="S7" s="48">
        <f>'Summary Sheet - April 2025'!S7+'Summary Sheet - May 2025'!S7+'Summary Sheet - June 2025'!S7</f>
        <v>1374119.07</v>
      </c>
      <c r="T7" s="43"/>
      <c r="U7" s="48" t="str">
        <f>'Summary Sheet - April 2025'!U7+'Summary Sheet - May 2025'!U7+'Summary Sheet - June 2025'!U7</f>
        <v>#REF!</v>
      </c>
      <c r="V7" s="43"/>
      <c r="W7" s="48">
        <f>'Summary Sheet - April 2025'!W7+'Summary Sheet - May 2025'!W7+'Summary Sheet - June 2025'!W7</f>
        <v>27427226.69</v>
      </c>
      <c r="X7" s="43"/>
      <c r="Y7" s="48">
        <f>'Summary Sheet - April 2025'!Y7+'Summary Sheet - May 2025'!Y7+'Summary Sheet - June 2025'!Y7</f>
        <v>28892326.95</v>
      </c>
      <c r="Z7" s="43"/>
      <c r="AA7" s="48">
        <f>'Summary Sheet - April 2025'!AA7+'Summary Sheet - May 2025'!AA7+'Summary Sheet - June 2025'!AA7</f>
        <v>20370718.25</v>
      </c>
      <c r="AB7" s="43"/>
      <c r="AC7" s="48">
        <f>'Summary Sheet - April 2025'!AC7+'Summary Sheet - May 2025'!AC7+'Summary Sheet - June 2025'!AC7</f>
        <v>20312041</v>
      </c>
      <c r="AD7" s="43"/>
      <c r="AE7" s="48">
        <f>'Summary Sheet - April 2025'!AE7+'Summary Sheet - May 2025'!AE7+'Summary Sheet - June 2025'!AE7</f>
        <v>32868435.14</v>
      </c>
      <c r="AF7" s="43"/>
      <c r="AG7" s="48">
        <f>'Summary Sheet - April 2025'!AG7+'Summary Sheet - May 2025'!AG7+'Summary Sheet - June 2025'!AG7</f>
        <v>33585323</v>
      </c>
      <c r="AH7" s="43"/>
      <c r="AI7" s="48">
        <f>'Summary Sheet - April 2025'!AI7+'Summary Sheet - May 2025'!AI7+'Summary Sheet - June 2025'!AI7</f>
        <v>981705</v>
      </c>
      <c r="AJ7" s="43"/>
      <c r="AK7" s="48" t="str">
        <f>'Summary Sheet - April 2025'!AK7+'Summary Sheet - May 2025'!AK7+'Summary Sheet - June 2025'!AK7</f>
        <v>#REF!</v>
      </c>
      <c r="AL7" s="43"/>
      <c r="AM7" s="48">
        <f>'Summary Sheet - April 2025'!AM7+'Summary Sheet - May 2025'!AM7+'Summary Sheet - June 2025'!AM7</f>
        <v>1033945.98</v>
      </c>
      <c r="AN7" s="43"/>
      <c r="AO7" s="48">
        <f>'Summary Sheet - April 2025'!AO7+'Summary Sheet - May 2025'!AO7+'Summary Sheet - June 2025'!AO7</f>
        <v>240000</v>
      </c>
      <c r="AP7" s="43"/>
      <c r="AQ7" s="140"/>
      <c r="AR7" s="43"/>
      <c r="AS7" s="48">
        <f>'Summary Sheet - April 2025'!AS7+'Summary Sheet - May 2025'!AS7+'Summary Sheet - June 2025'!AS7</f>
        <v>0</v>
      </c>
      <c r="AT7" s="43"/>
      <c r="AU7" s="48">
        <f>'Summary Sheet - April 2025'!AU7+'Summary Sheet - May 2025'!AU7+'Summary Sheet - June 2025'!AU7</f>
        <v>833612</v>
      </c>
      <c r="AV7" s="43"/>
      <c r="AW7" s="48" t="str">
        <f>'Summary Sheet - April 2025'!AW7+'Summary Sheet - May 2025'!AW7+'Summary Sheet - June 2025'!AW7</f>
        <v>#REF!</v>
      </c>
      <c r="AX7" s="43"/>
      <c r="AY7" s="48">
        <f>'Summary Sheet - April 2025'!BG7+'Summary Sheet - May 2025'!BG7+'Summary Sheet - June 2025'!AY7</f>
        <v>10815</v>
      </c>
      <c r="AZ7" s="43"/>
      <c r="BA7" s="48" t="str">
        <f>'Summary Sheet - April 2025'!BI7+'Summary Sheet - May 2025'!BI7+'Summary Sheet - June 2025'!BA7</f>
        <v>#REF!</v>
      </c>
      <c r="BB7" s="49"/>
      <c r="BC7" s="48">
        <f>'Summary Sheet - April 2025'!BK7+'Summary Sheet - May 2025'!BK7+'Summary Sheet - June 2025'!BG7</f>
        <v>0</v>
      </c>
      <c r="BD7" s="43"/>
      <c r="BE7" s="48">
        <f>'Summary Sheet - April 2025'!BM7+'Summary Sheet - May 2025'!BM7+'Summary Sheet - June 2025'!BI7</f>
        <v>0</v>
      </c>
      <c r="BF7" s="49"/>
      <c r="BG7" s="48">
        <f>'Summary Sheet - April 2025'!BO7+'Summary Sheet - May 2025'!BO7+'Summary Sheet - June 2025'!BK7</f>
        <v>0</v>
      </c>
      <c r="BH7" s="43"/>
      <c r="BI7" s="48">
        <f>'Summary Sheet - April 2025'!BQ7+'Summary Sheet - May 2025'!BQ7+'Summary Sheet - June 2025'!BM7</f>
        <v>0</v>
      </c>
      <c r="BJ7" s="49"/>
    </row>
    <row r="8" ht="15.75" customHeight="1">
      <c r="A8" s="3"/>
      <c r="B8" s="50" t="s">
        <v>25</v>
      </c>
      <c r="C8" s="51">
        <f t="shared" si="1"/>
        <v>11006857.99</v>
      </c>
      <c r="D8" s="24">
        <f t="shared" si="2"/>
        <v>0.06915041174</v>
      </c>
      <c r="E8" s="52" t="str">
        <f t="shared" si="3"/>
        <v>#REF!</v>
      </c>
      <c r="F8" s="26" t="str">
        <f t="shared" si="4"/>
        <v>#REF!</v>
      </c>
      <c r="G8" s="141">
        <f>'Summary Sheet - April 2025'!G8+'Summary Sheet - May 2025'!G8+'Summary Sheet - June 2025'!G8</f>
        <v>0</v>
      </c>
      <c r="H8" s="62"/>
      <c r="I8" s="62"/>
      <c r="J8" s="62"/>
      <c r="K8" s="136">
        <f t="shared" si="5"/>
        <v>11006857.99</v>
      </c>
      <c r="L8" s="142"/>
      <c r="M8" s="52" t="str">
        <f t="shared" si="6"/>
        <v>#REF!</v>
      </c>
      <c r="N8" s="142"/>
      <c r="O8" s="60">
        <f>'Summary Sheet - April 2025'!O8+'Summary Sheet - May 2025'!O8+'Summary Sheet - June 2025'!O8</f>
        <v>3888872.534</v>
      </c>
      <c r="P8" s="55"/>
      <c r="Q8" s="60">
        <f>'Summary Sheet - April 2025'!Q8+'Summary Sheet - May 2025'!Q8+'Summary Sheet - June 2025'!Q8</f>
        <v>3181343</v>
      </c>
      <c r="R8" s="55"/>
      <c r="S8" s="60">
        <f>'Summary Sheet - April 2025'!S8+'Summary Sheet - May 2025'!S8+'Summary Sheet - June 2025'!S8</f>
        <v>0</v>
      </c>
      <c r="T8" s="55"/>
      <c r="U8" s="55" t="str">
        <f>'Summary Sheet - April 2025'!U8+'Summary Sheet - May 2025'!U8+'Summary Sheet - June 2025'!U8</f>
        <v>#REF!</v>
      </c>
      <c r="V8" s="55"/>
      <c r="W8" s="60">
        <f>'Summary Sheet - April 2025'!W8+'Summary Sheet - May 2025'!W8+'Summary Sheet - June 2025'!W8</f>
        <v>2478540.46</v>
      </c>
      <c r="X8" s="55"/>
      <c r="Y8" s="60">
        <f>'Summary Sheet - April 2025'!Y8+'Summary Sheet - May 2025'!Y8+'Summary Sheet - June 2025'!Y8</f>
        <v>2563801.346</v>
      </c>
      <c r="Z8" s="55"/>
      <c r="AA8" s="60">
        <f>'Summary Sheet - April 2025'!AA8+'Summary Sheet - May 2025'!AA8+'Summary Sheet - June 2025'!AA8</f>
        <v>1182538.9</v>
      </c>
      <c r="AB8" s="55"/>
      <c r="AC8" s="60">
        <f>'Summary Sheet - April 2025'!AC8+'Summary Sheet - May 2025'!AC8+'Summary Sheet - June 2025'!AC8</f>
        <v>1401722.777</v>
      </c>
      <c r="AD8" s="55"/>
      <c r="AE8" s="60">
        <f>'Summary Sheet - April 2025'!AE8+'Summary Sheet - May 2025'!AE8+'Summary Sheet - June 2025'!AE8</f>
        <v>3456906.1</v>
      </c>
      <c r="AF8" s="55"/>
      <c r="AG8" s="60">
        <f>'Summary Sheet - April 2025'!AG8+'Summary Sheet - May 2025'!AG8+'Summary Sheet - June 2025'!AG8</f>
        <v>4023464.76</v>
      </c>
      <c r="AH8" s="55"/>
      <c r="AI8" s="62">
        <f>'Summary Sheet - April 2025'!AI8+'Summary Sheet - May 2025'!AI8+'Summary Sheet - June 2025'!AI8</f>
        <v>0</v>
      </c>
      <c r="AJ8" s="55"/>
      <c r="AK8" s="55" t="str">
        <f>'Summary Sheet - April 2025'!AK8+'Summary Sheet - May 2025'!AK8+'Summary Sheet - June 2025'!AK8</f>
        <v>#REF!</v>
      </c>
      <c r="AL8" s="55"/>
      <c r="AM8" s="60">
        <f>'Summary Sheet - April 2025'!AM8+'Summary Sheet - May 2025'!AM8+'Summary Sheet - June 2025'!AM8</f>
        <v>0</v>
      </c>
      <c r="AN8" s="55"/>
      <c r="AO8" s="55">
        <f>'Summary Sheet - April 2025'!AO8+'Summary Sheet - May 2025'!AO8+'Summary Sheet - June 2025'!AO8</f>
        <v>0</v>
      </c>
      <c r="AP8" s="55"/>
      <c r="AQ8" s="143"/>
      <c r="AR8" s="55"/>
      <c r="AS8" s="60">
        <f>'Summary Sheet - April 2025'!AS8+'Summary Sheet - May 2025'!AS8+'Summary Sheet - June 2025'!AS8</f>
        <v>0</v>
      </c>
      <c r="AT8" s="55"/>
      <c r="AU8" s="60">
        <f>'Summary Sheet - April 2025'!AU8+'Summary Sheet - May 2025'!AU8+'Summary Sheet - June 2025'!AU8</f>
        <v>0</v>
      </c>
      <c r="AV8" s="55"/>
      <c r="AW8" s="60">
        <f>'Summary Sheet - April 2025'!AW8+'Summary Sheet - May 2025'!AW8+'Summary Sheet - June 2025'!AW8</f>
        <v>0</v>
      </c>
      <c r="AX8" s="55"/>
      <c r="AY8" s="48">
        <f>'Summary Sheet - April 2025'!BG8+'Summary Sheet - May 2025'!BG8+'Summary Sheet - June 2025'!AY8</f>
        <v>0</v>
      </c>
      <c r="AZ8" s="55"/>
      <c r="BA8" s="48">
        <f>'Summary Sheet - April 2025'!BI8+'Summary Sheet - May 2025'!BI8+'Summary Sheet - June 2025'!BA8</f>
        <v>0</v>
      </c>
      <c r="BB8" s="61"/>
      <c r="BC8" s="48">
        <f>'Summary Sheet - April 2025'!BK8+'Summary Sheet - May 2025'!BK8+'Summary Sheet - June 2025'!BG8</f>
        <v>0</v>
      </c>
      <c r="BD8" s="55"/>
      <c r="BE8" s="48">
        <f>'Summary Sheet - April 2025'!BM8+'Summary Sheet - May 2025'!BM8+'Summary Sheet - June 2025'!BI8</f>
        <v>0</v>
      </c>
      <c r="BF8" s="61"/>
      <c r="BG8" s="48">
        <f>'Summary Sheet - April 2025'!BO8+'Summary Sheet - May 2025'!BO8+'Summary Sheet - June 2025'!BK8</f>
        <v>0</v>
      </c>
      <c r="BH8" s="55"/>
      <c r="BI8" s="48">
        <f>'Summary Sheet - April 2025'!BQ8+'Summary Sheet - May 2025'!BQ8+'Summary Sheet - June 2025'!BM8</f>
        <v>0</v>
      </c>
      <c r="BJ8" s="61"/>
    </row>
    <row r="9" ht="15.75" customHeight="1">
      <c r="A9" s="3"/>
      <c r="B9" s="64" t="s">
        <v>26</v>
      </c>
      <c r="C9" s="51">
        <f t="shared" si="1"/>
        <v>157600</v>
      </c>
      <c r="D9" s="24">
        <f t="shared" si="2"/>
        <v>0.0009901195143</v>
      </c>
      <c r="E9" s="52">
        <f t="shared" si="3"/>
        <v>0</v>
      </c>
      <c r="F9" s="26" t="str">
        <f t="shared" si="4"/>
        <v>#REF!</v>
      </c>
      <c r="G9" s="144"/>
      <c r="H9" s="96"/>
      <c r="I9" s="96"/>
      <c r="J9" s="96"/>
      <c r="K9" s="136">
        <f t="shared" si="5"/>
        <v>157600</v>
      </c>
      <c r="L9" s="142"/>
      <c r="M9" s="52">
        <f t="shared" si="6"/>
        <v>0</v>
      </c>
      <c r="N9" s="142"/>
      <c r="O9" s="60">
        <f>'Summary Sheet - April 2025'!O9+'Summary Sheet - May 2025'!O9+'Summary Sheet - June 2025'!O9</f>
        <v>48600</v>
      </c>
      <c r="P9" s="55"/>
      <c r="Q9" s="60">
        <f>'Summary Sheet - April 2025'!Q9+'Summary Sheet - May 2025'!Q9+'Summary Sheet - June 2025'!Q9</f>
        <v>0</v>
      </c>
      <c r="R9" s="55"/>
      <c r="S9" s="60">
        <f>'Summary Sheet - April 2025'!S9+'Summary Sheet - May 2025'!S9+'Summary Sheet - June 2025'!S9</f>
        <v>0</v>
      </c>
      <c r="T9" s="55"/>
      <c r="U9" s="60">
        <f>'Summary Sheet - April 2025'!U9+'Summary Sheet - May 2025'!U9+'Summary Sheet - June 2025'!U9</f>
        <v>0</v>
      </c>
      <c r="V9" s="55"/>
      <c r="W9" s="60">
        <f>'Summary Sheet - April 2025'!W9+'Summary Sheet - May 2025'!W9+'Summary Sheet - June 2025'!W9</f>
        <v>42000</v>
      </c>
      <c r="X9" s="55"/>
      <c r="Y9" s="60">
        <f>'Summary Sheet - April 2025'!Y9+'Summary Sheet - May 2025'!Y9+'Summary Sheet - June 2025'!Y9</f>
        <v>0</v>
      </c>
      <c r="Z9" s="55"/>
      <c r="AA9" s="60">
        <f>'Summary Sheet - April 2025'!AA9+'Summary Sheet - May 2025'!AA9+'Summary Sheet - June 2025'!AA9</f>
        <v>22200</v>
      </c>
      <c r="AB9" s="55"/>
      <c r="AC9" s="60">
        <f>'Summary Sheet - April 2025'!AC9+'Summary Sheet - May 2025'!AC9+'Summary Sheet - June 2025'!AC9</f>
        <v>0</v>
      </c>
      <c r="AD9" s="55"/>
      <c r="AE9" s="60">
        <f>'Summary Sheet - April 2025'!AE9+'Summary Sheet - May 2025'!AE9+'Summary Sheet - June 2025'!AE9</f>
        <v>44800</v>
      </c>
      <c r="AF9" s="55"/>
      <c r="AG9" s="60">
        <f>'Summary Sheet - April 2025'!AG9+'Summary Sheet - May 2025'!AG9+'Summary Sheet - June 2025'!AG9</f>
        <v>0</v>
      </c>
      <c r="AH9" s="55"/>
      <c r="AI9" s="60">
        <f>'Summary Sheet - April 2025'!AI9+'Summary Sheet - May 2025'!AI9+'Summary Sheet - June 2025'!AI9</f>
        <v>0</v>
      </c>
      <c r="AJ9" s="55"/>
      <c r="AK9" s="60">
        <f>'Summary Sheet - April 2025'!AK9+'Summary Sheet - May 2025'!AK9+'Summary Sheet - June 2025'!AK9</f>
        <v>0</v>
      </c>
      <c r="AL9" s="55"/>
      <c r="AM9" s="60">
        <f>'Summary Sheet - April 2025'!AM9+'Summary Sheet - May 2025'!AM9+'Summary Sheet - June 2025'!AM9</f>
        <v>0</v>
      </c>
      <c r="AN9" s="55"/>
      <c r="AO9" s="60">
        <f>'Summary Sheet - April 2025'!AO9+'Summary Sheet - May 2025'!AO9+'Summary Sheet - June 2025'!AO9</f>
        <v>0</v>
      </c>
      <c r="AP9" s="55"/>
      <c r="AQ9" s="143"/>
      <c r="AR9" s="55"/>
      <c r="AS9" s="60">
        <f>'Summary Sheet - April 2025'!AS9+'Summary Sheet - May 2025'!AS9+'Summary Sheet - June 2025'!AS9</f>
        <v>0</v>
      </c>
      <c r="AT9" s="55"/>
      <c r="AU9" s="60">
        <f>'Summary Sheet - April 2025'!AU9+'Summary Sheet - May 2025'!AU9+'Summary Sheet - June 2025'!AU9</f>
        <v>0</v>
      </c>
      <c r="AV9" s="55"/>
      <c r="AW9" s="60">
        <f>'Summary Sheet - April 2025'!AW9+'Summary Sheet - May 2025'!AW9+'Summary Sheet - June 2025'!AW9</f>
        <v>0</v>
      </c>
      <c r="AX9" s="55"/>
      <c r="AY9" s="48">
        <f>'Summary Sheet - April 2025'!BG9+'Summary Sheet - May 2025'!BG9+'Summary Sheet - June 2025'!AY9</f>
        <v>0</v>
      </c>
      <c r="AZ9" s="55"/>
      <c r="BA9" s="48">
        <f>'Summary Sheet - April 2025'!BI9+'Summary Sheet - May 2025'!BI9+'Summary Sheet - June 2025'!BA9</f>
        <v>0</v>
      </c>
      <c r="BB9" s="61"/>
      <c r="BC9" s="48">
        <f>'Summary Sheet - April 2025'!BK9+'Summary Sheet - May 2025'!BK9+'Summary Sheet - June 2025'!BG9</f>
        <v>0</v>
      </c>
      <c r="BD9" s="55"/>
      <c r="BE9" s="48">
        <f>'Summary Sheet - April 2025'!BM9+'Summary Sheet - May 2025'!BM9+'Summary Sheet - June 2025'!BI9</f>
        <v>0</v>
      </c>
      <c r="BF9" s="61"/>
      <c r="BG9" s="48">
        <f>'Summary Sheet - April 2025'!BO9+'Summary Sheet - May 2025'!BO9+'Summary Sheet - June 2025'!BK9</f>
        <v>0</v>
      </c>
      <c r="BH9" s="55"/>
      <c r="BI9" s="48">
        <f>'Summary Sheet - April 2025'!BQ9+'Summary Sheet - May 2025'!BQ9+'Summary Sheet - June 2025'!BM9</f>
        <v>0</v>
      </c>
      <c r="BJ9" s="61"/>
    </row>
    <row r="10" ht="15.75" customHeight="1">
      <c r="A10" s="3"/>
      <c r="B10" s="16" t="s">
        <v>27</v>
      </c>
      <c r="C10" s="66">
        <f>SUM(C5:C9)</f>
        <v>159172703.6</v>
      </c>
      <c r="D10" s="67">
        <f>C10/C10</f>
        <v>1</v>
      </c>
      <c r="E10" s="66" t="str">
        <f>SUM(E5:E9)</f>
        <v>#REF!</v>
      </c>
      <c r="F10" s="86" t="str">
        <f>E10/E10</f>
        <v>#REF!</v>
      </c>
      <c r="G10" s="145">
        <f>SUM(G5:G8)</f>
        <v>0</v>
      </c>
      <c r="H10" s="146"/>
      <c r="I10" s="146"/>
      <c r="J10" s="146"/>
      <c r="K10" s="66">
        <f>SUM(K5:K9)</f>
        <v>159172703.6</v>
      </c>
      <c r="L10" s="70"/>
      <c r="M10" s="66" t="str">
        <f>SUM(M5:M9)</f>
        <v>#REF!</v>
      </c>
      <c r="N10" s="70"/>
      <c r="O10" s="118">
        <f>sum(O5:O9)</f>
        <v>44794270.53</v>
      </c>
      <c r="P10" s="147"/>
      <c r="Q10" s="118">
        <f>sum(Q5:Q9)</f>
        <v>40571981.72</v>
      </c>
      <c r="R10" s="147"/>
      <c r="S10" s="118">
        <f>sum(S5:S9)</f>
        <v>1374119.07</v>
      </c>
      <c r="T10" s="147"/>
      <c r="U10" s="118" t="str">
        <f>'Summary Sheet - April 2025'!U10+'Summary Sheet - May 2025'!U10+'Summary Sheet - June 2025'!U10</f>
        <v>#REF!</v>
      </c>
      <c r="V10" s="147"/>
      <c r="W10" s="118">
        <f>'Summary Sheet - April 2025'!W10+'Summary Sheet - May 2025'!W10+'Summary Sheet - June 2025'!W10</f>
        <v>36465466.15</v>
      </c>
      <c r="X10" s="147"/>
      <c r="Y10" s="118">
        <f>'Summary Sheet - April 2025'!Y10+'Summary Sheet - May 2025'!Y10+'Summary Sheet - June 2025'!Y10</f>
        <v>38371082.72</v>
      </c>
      <c r="Z10" s="147"/>
      <c r="AA10" s="118">
        <f>'Summary Sheet - April 2025'!AA10+'Summary Sheet - May 2025'!AA10+'Summary Sheet - June 2025'!AA10</f>
        <v>25733794.65</v>
      </c>
      <c r="AB10" s="147"/>
      <c r="AC10" s="118">
        <f>'Summary Sheet - April 2025'!AC10+'Summary Sheet - May 2025'!AC10+'Summary Sheet - June 2025'!AC10</f>
        <v>24960088.78</v>
      </c>
      <c r="AD10" s="147"/>
      <c r="AE10" s="118">
        <f>'Summary Sheet - April 2025'!AE10+'Summary Sheet - May 2025'!AE10+'Summary Sheet - June 2025'!AE10</f>
        <v>47944975.24</v>
      </c>
      <c r="AF10" s="147"/>
      <c r="AG10" s="118">
        <f>'Summary Sheet - April 2025'!AG10+'Summary Sheet - May 2025'!AG10+'Summary Sheet - June 2025'!AG10</f>
        <v>48728628.76</v>
      </c>
      <c r="AH10" s="147"/>
      <c r="AI10" s="118">
        <f>'Summary Sheet - April 2025'!AI10+'Summary Sheet - May 2025'!AI10+'Summary Sheet - June 2025'!AI10</f>
        <v>981705</v>
      </c>
      <c r="AJ10" s="147"/>
      <c r="AK10" s="118" t="str">
        <f>'Summary Sheet - April 2025'!AK10+'Summary Sheet - May 2025'!AK10+'Summary Sheet - June 2025'!AK10</f>
        <v>#REF!</v>
      </c>
      <c r="AL10" s="147"/>
      <c r="AM10" s="118">
        <f>sum(AM5:AM9)</f>
        <v>1033945.98</v>
      </c>
      <c r="AN10" s="147"/>
      <c r="AO10" s="118">
        <f>'Summary Sheet - April 2025'!AO10+'Summary Sheet - May 2025'!AO10+'Summary Sheet - June 2025'!AO10</f>
        <v>240000</v>
      </c>
      <c r="AP10" s="147"/>
      <c r="AQ10" s="118">
        <f>'Summary Sheet - April 2025'!AQ10+'Summary Sheet - May 2025'!AQ10+'Summary Sheet - June 2025'!AQ10</f>
        <v>0</v>
      </c>
      <c r="AR10" s="147"/>
      <c r="AS10" s="118">
        <f>'Summary Sheet - April 2025'!AS10+'Summary Sheet - May 2025'!AS10+'Summary Sheet - June 2025'!AS10</f>
        <v>0</v>
      </c>
      <c r="AT10" s="147"/>
      <c r="AU10" s="68">
        <f>SUM(AU5:AU8)</f>
        <v>833612</v>
      </c>
      <c r="AV10" s="70"/>
      <c r="AW10" s="68" t="str">
        <f>SUM(AW5:AW8)</f>
        <v>#REF!</v>
      </c>
      <c r="AX10" s="70"/>
      <c r="AY10" s="68">
        <f>SUM(AY5:AY8)</f>
        <v>10815</v>
      </c>
      <c r="AZ10" s="70"/>
      <c r="BA10" s="68" t="str">
        <f>SUM(BA5:BA8)</f>
        <v>#REF!</v>
      </c>
      <c r="BB10" s="73"/>
      <c r="BC10" s="68">
        <f>SUM(BC5:BC8)</f>
        <v>0</v>
      </c>
      <c r="BD10" s="70"/>
      <c r="BE10" s="68">
        <f>SUM(BE5:BE8)</f>
        <v>0</v>
      </c>
      <c r="BF10" s="73"/>
      <c r="BG10" s="68">
        <f>SUM(BG5:BG8)</f>
        <v>0</v>
      </c>
      <c r="BH10" s="70"/>
      <c r="BI10" s="68">
        <f>SUM(BI5:BI8)</f>
        <v>0</v>
      </c>
      <c r="BJ10" s="73"/>
    </row>
    <row r="11" ht="15.75" customHeight="1">
      <c r="A11" s="3"/>
      <c r="B11" s="22"/>
      <c r="C11" s="148"/>
      <c r="D11" s="137"/>
      <c r="E11" s="137"/>
      <c r="F11" s="149"/>
      <c r="G11" s="135"/>
      <c r="H11" s="83"/>
      <c r="I11" s="83"/>
      <c r="J11" s="83"/>
      <c r="K11" s="137"/>
      <c r="L11" s="137"/>
      <c r="M11" s="137"/>
      <c r="N11" s="137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35"/>
      <c r="BC11" s="28"/>
      <c r="BD11" s="28"/>
      <c r="BE11" s="28"/>
      <c r="BF11" s="35"/>
      <c r="BG11" s="28"/>
      <c r="BH11" s="28"/>
      <c r="BI11" s="28"/>
      <c r="BJ11" s="35"/>
    </row>
    <row r="12" ht="15.75" customHeight="1">
      <c r="A12" s="3"/>
      <c r="B12" s="38" t="s">
        <v>29</v>
      </c>
      <c r="C12" s="39">
        <f t="shared" ref="C12:C13" si="7">G12+K12</f>
        <v>52071525.19</v>
      </c>
      <c r="D12" s="84">
        <f t="shared" ref="D12:D13" si="8">C12/$C$10</f>
        <v>0.3271385357</v>
      </c>
      <c r="E12" s="40" t="str">
        <f t="shared" ref="E12:E13" si="9">I12+M12</f>
        <v>#REF!</v>
      </c>
      <c r="F12" s="150"/>
      <c r="G12" s="138">
        <f>'Summary Sheet - April 2025'!G12+'Summary Sheet - May 2025'!G12+'Summary Sheet - June 2025'!G12</f>
        <v>0</v>
      </c>
      <c r="H12" s="114"/>
      <c r="I12" s="114"/>
      <c r="J12" s="114"/>
      <c r="K12" s="136">
        <f t="shared" ref="K12:K13" si="10">O12+S12+W12+AA12+AE12+AI12+AM12+AQ12+AU12+AY12+BC12+BG12</f>
        <v>52071525.19</v>
      </c>
      <c r="L12" s="139"/>
      <c r="M12" s="40" t="str">
        <f t="shared" ref="M12:M14" si="11">Q12+U12+Y12+AC12+AG12+AK12+AO12</f>
        <v>#REF!</v>
      </c>
      <c r="N12" s="139"/>
      <c r="O12" s="48">
        <f>'The Table'!D41+'The Table'!J41+'The Table'!P41</f>
        <v>18030391.42</v>
      </c>
      <c r="P12" s="43"/>
      <c r="Q12" s="48">
        <f>'Summary Sheet - April 2025'!Q12+'Summary Sheet - May 2025'!Q12+'Summary Sheet - June 2025'!Q12</f>
        <v>13466853.12</v>
      </c>
      <c r="R12" s="43"/>
      <c r="S12" s="48">
        <f>Iktara!D38+Iktara!G38+Iktara!H38</f>
        <v>554426.1726</v>
      </c>
      <c r="T12" s="43"/>
      <c r="U12" s="48" t="str">
        <f>'Summary Sheet - April 2025'!U12+'Summary Sheet - May 2025'!U12+'Summary Sheet - June 2025'!U12</f>
        <v>#REF!</v>
      </c>
      <c r="V12" s="43"/>
      <c r="W12" s="48">
        <f>'Summary Sheet - April 2025'!W12+'Summary Sheet - May 2025'!W12+'Summary Sheet - June 2025'!W12</f>
        <v>11749913.32</v>
      </c>
      <c r="X12" s="43"/>
      <c r="Y12" s="48">
        <f>'Summary Sheet - April 2025'!Y12+'Summary Sheet - May 2025'!Y12+'Summary Sheet - June 2025'!Y12</f>
        <v>10554997.62</v>
      </c>
      <c r="Z12" s="43"/>
      <c r="AA12" s="48">
        <f>'Summary Sheet - April 2025'!AA12+'Summary Sheet - May 2025'!AA12+'Summary Sheet - June 2025'!AA12</f>
        <v>7802250.145</v>
      </c>
      <c r="AB12" s="43"/>
      <c r="AC12" s="48">
        <f>'Summary Sheet - April 2025'!AC12+'Summary Sheet - May 2025'!AC12+'Summary Sheet - June 2025'!AC12</f>
        <v>5994740.54</v>
      </c>
      <c r="AD12" s="43"/>
      <c r="AE12" s="48">
        <f>'Summary Sheet - April 2025'!AE12+'Summary Sheet - May 2025'!AE12+'Summary Sheet - June 2025'!AE12</f>
        <v>13197727.59</v>
      </c>
      <c r="AF12" s="43"/>
      <c r="AG12" s="48">
        <f>'Summary Sheet - April 2025'!AG12+'Summary Sheet - May 2025'!AG12+'Summary Sheet - June 2025'!AG12</f>
        <v>14210800.44</v>
      </c>
      <c r="AH12" s="43"/>
      <c r="AI12" s="114">
        <f>'Summary Sheet - April 2025'!AI12+'Summary Sheet - May 2025'!AI12+'Summary Sheet - June 2025'!AI12</f>
        <v>0</v>
      </c>
      <c r="AJ12" s="43"/>
      <c r="AK12" s="43" t="str">
        <f>'Summary Sheet - April 2025'!AK12+'Summary Sheet - May 2025'!AK12+'Summary Sheet - June 2025'!AK12</f>
        <v>#REF!</v>
      </c>
      <c r="AL12" s="43"/>
      <c r="AM12" s="48">
        <f>'Summary Sheet - April 2025'!AM12+'Summary Sheet - May 2025'!AM12+'Summary Sheet - June 2025'!AM12</f>
        <v>258615.451</v>
      </c>
      <c r="AN12" s="43"/>
      <c r="AO12" s="43">
        <f>'Summary Sheet - April 2025'!AO12+'Summary Sheet - May 2025'!AO12+'Summary Sheet - June 2025'!AO12</f>
        <v>0</v>
      </c>
      <c r="AP12" s="43"/>
      <c r="AQ12" s="48">
        <f>'Summary Sheet - April 2025'!AQ13+'Summary Sheet - May 2025'!AQ12+'Summary Sheet - June 2025'!AQ12</f>
        <v>0</v>
      </c>
      <c r="AR12" s="43"/>
      <c r="AS12" s="48">
        <f>'Summary Sheet - April 2025'!AS12+'Summary Sheet - May 2025'!AS12+'Summary Sheet - June 2025'!AS12</f>
        <v>0</v>
      </c>
      <c r="AT12" s="43"/>
      <c r="AU12" s="48">
        <f>'Summary Sheet - April 2025'!AU12+'Summary Sheet - May 2025'!AU12+'Summary Sheet - June 2025'!AU12</f>
        <v>478201.0982</v>
      </c>
      <c r="AV12" s="48"/>
      <c r="AW12" s="48" t="str">
        <f>'Summary Sheet - April 2025'!AW12+'Summary Sheet - May 2025'!AW12+'Summary Sheet - June 2025'!AW12</f>
        <v>#REF!</v>
      </c>
      <c r="AX12" s="48"/>
      <c r="AY12" s="48">
        <f>'Summary Sheet - April 2025'!BG12+'Summary Sheet - May 2025'!BG12+'Summary Sheet - June 2025'!AY12</f>
        <v>0</v>
      </c>
      <c r="AZ12" s="43"/>
      <c r="BA12" s="48" t="str">
        <f>'Summary Sheet - April 2025'!BI12+'Summary Sheet - May 2025'!BI12+'Summary Sheet - June 2025'!BA12</f>
        <v>#REF!</v>
      </c>
      <c r="BB12" s="49"/>
      <c r="BC12" s="48">
        <f>'Summary Sheet - April 2025'!BK12+'Summary Sheet - May 2025'!BK12+'Summary Sheet - June 2025'!BG12</f>
        <v>0</v>
      </c>
      <c r="BD12" s="43"/>
      <c r="BE12" s="48">
        <f>'Summary Sheet - April 2025'!BM12+'Summary Sheet - May 2025'!BM12+'Summary Sheet - June 2025'!BI12</f>
        <v>0</v>
      </c>
      <c r="BF12" s="49"/>
      <c r="BG12" s="48">
        <f>'Summary Sheet - April 2025'!BO12+'Summary Sheet - May 2025'!BO12+'Summary Sheet - June 2025'!BK12</f>
        <v>0</v>
      </c>
      <c r="BH12" s="43"/>
      <c r="BI12" s="48">
        <f>'Summary Sheet - April 2025'!BQ12+'Summary Sheet - May 2025'!BQ12+'Summary Sheet - June 2025'!BM12</f>
        <v>0</v>
      </c>
      <c r="BJ12" s="49"/>
    </row>
    <row r="13" ht="15.75" customHeight="1">
      <c r="A13" s="3"/>
      <c r="B13" s="50" t="s">
        <v>30</v>
      </c>
      <c r="C13" s="51">
        <f t="shared" si="7"/>
        <v>1873071.35</v>
      </c>
      <c r="D13" s="84">
        <f t="shared" si="8"/>
        <v>0.01176754121</v>
      </c>
      <c r="E13" s="52" t="str">
        <f t="shared" si="9"/>
        <v>#REF!</v>
      </c>
      <c r="F13" s="151"/>
      <c r="G13" s="141">
        <f>'Summary Sheet - April 2025'!G13+'Summary Sheet - May 2025'!G13+'Summary Sheet - June 2025'!G13</f>
        <v>0</v>
      </c>
      <c r="H13" s="62"/>
      <c r="I13" s="62"/>
      <c r="J13" s="62"/>
      <c r="K13" s="136">
        <f t="shared" si="10"/>
        <v>1873071.35</v>
      </c>
      <c r="L13" s="142"/>
      <c r="M13" s="52" t="str">
        <f t="shared" si="11"/>
        <v>#REF!</v>
      </c>
      <c r="N13" s="142"/>
      <c r="O13" s="60">
        <f>'Summary Sheet - April 2025'!O13+'Summary Sheet - May 2025'!O13+'Summary Sheet - June 2025'!O13</f>
        <v>117126.94</v>
      </c>
      <c r="P13" s="55"/>
      <c r="Q13" s="60">
        <f>'Summary Sheet - April 2025'!Q13+'Summary Sheet - May 2025'!Q13+'Summary Sheet - June 2025'!Q13</f>
        <v>115910.98</v>
      </c>
      <c r="R13" s="55"/>
      <c r="S13" s="60">
        <f>'Summary Sheet - April 2025'!S13+'Summary Sheet - May 2025'!S13+'Summary Sheet - June 2025'!S13</f>
        <v>27727.5</v>
      </c>
      <c r="T13" s="55"/>
      <c r="U13" s="60" t="str">
        <f>'Summary Sheet - April 2025'!U13+'Summary Sheet - May 2025'!U13+'Summary Sheet - June 2025'!U13</f>
        <v>#REF!</v>
      </c>
      <c r="V13" s="55"/>
      <c r="W13" s="60">
        <f>'Summary Sheet - April 2025'!W13+'Summary Sheet - May 2025'!W13+'Summary Sheet - June 2025'!W13</f>
        <v>405464.61</v>
      </c>
      <c r="X13" s="55"/>
      <c r="Y13" s="60">
        <f>'Summary Sheet - April 2025'!Y13+'Summary Sheet - May 2025'!Y13+'Summary Sheet - June 2025'!Y13</f>
        <v>337665.5279</v>
      </c>
      <c r="Z13" s="55"/>
      <c r="AA13" s="48">
        <f>'Summary Sheet - April 2025'!AA13+'Summary Sheet - May 2025'!AA13+'Summary Sheet - June 2025'!AA13</f>
        <v>507566.6</v>
      </c>
      <c r="AB13" s="55"/>
      <c r="AC13" s="60">
        <f>'Summary Sheet - April 2025'!AC13+'Summary Sheet - May 2025'!AC13+'Summary Sheet - June 2025'!AC13</f>
        <v>240295.3332</v>
      </c>
      <c r="AD13" s="55"/>
      <c r="AE13" s="60">
        <f>'Summary Sheet - April 2025'!AE13+'Summary Sheet - May 2025'!AE13+'Summary Sheet - June 2025'!AE13</f>
        <v>450719.7</v>
      </c>
      <c r="AF13" s="55"/>
      <c r="AG13" s="60">
        <f>'Summary Sheet - April 2025'!AG13+'Summary Sheet - May 2025'!AG13+'Summary Sheet - June 2025'!AG13</f>
        <v>268007.4582</v>
      </c>
      <c r="AH13" s="55"/>
      <c r="AI13" s="62">
        <f>'Summary Sheet - April 2025'!AI13+'Summary Sheet - May 2025'!AI13+'Summary Sheet - June 2025'!AI13</f>
        <v>745</v>
      </c>
      <c r="AJ13" s="55"/>
      <c r="AK13" s="55" t="str">
        <f>'Summary Sheet - April 2025'!AK13+'Summary Sheet - May 2025'!AK13+'Summary Sheet - June 2025'!AK13</f>
        <v>#REF!</v>
      </c>
      <c r="AL13" s="55"/>
      <c r="AM13" s="60">
        <f>'Summary Sheet - April 2025'!AM13+'Summary Sheet - May 2025'!AM13+'Summary Sheet - June 2025'!AM13</f>
        <v>355221</v>
      </c>
      <c r="AN13" s="55"/>
      <c r="AO13" s="55">
        <f>'Summary Sheet - April 2025'!AO13+'Summary Sheet - May 2025'!AO13+'Summary Sheet - June 2025'!AO13</f>
        <v>0</v>
      </c>
      <c r="AP13" s="55"/>
      <c r="AQ13" s="152">
        <v>0.0</v>
      </c>
      <c r="AR13" s="55"/>
      <c r="AS13" s="60">
        <f>'Summary Sheet - April 2025'!AS13+'Summary Sheet - May 2025'!AS13+'Summary Sheet - June 2025'!AS13</f>
        <v>0</v>
      </c>
      <c r="AT13" s="55"/>
      <c r="AU13" s="60">
        <f>'Summary Sheet - April 2025'!AU13+'Summary Sheet - May 2025'!AU13+'Summary Sheet - June 2025'!AU13</f>
        <v>8500</v>
      </c>
      <c r="AV13" s="55"/>
      <c r="AW13" s="60" t="str">
        <f>'Summary Sheet - April 2025'!AW13+'Summary Sheet - May 2025'!AW13+'Summary Sheet - June 2025'!AW13</f>
        <v>#REF!</v>
      </c>
      <c r="AX13" s="55"/>
      <c r="AY13" s="60">
        <f>'Summary Sheet - April 2025'!BG13+'Summary Sheet - May 2025'!BG13+'Summary Sheet - June 2025'!AY13</f>
        <v>0</v>
      </c>
      <c r="AZ13" s="55"/>
      <c r="BA13" s="60" t="str">
        <f>'Summary Sheet - April 2025'!BI13+'Summary Sheet - May 2025'!BI13+'Summary Sheet - June 2025'!BA13</f>
        <v>#REF!</v>
      </c>
      <c r="BB13" s="61"/>
      <c r="BC13" s="60">
        <f>'Summary Sheet - April 2025'!BK13+'Summary Sheet - May 2025'!BK13+'Summary Sheet - June 2025'!BG13</f>
        <v>0</v>
      </c>
      <c r="BD13" s="55"/>
      <c r="BE13" s="60">
        <f>'Summary Sheet - April 2025'!BM13+'Summary Sheet - May 2025'!BM13+'Summary Sheet - June 2025'!BI13</f>
        <v>0</v>
      </c>
      <c r="BF13" s="61"/>
      <c r="BG13" s="60">
        <f>'Summary Sheet - April 2025'!BO13+'Summary Sheet - May 2025'!BO13+'Summary Sheet - June 2025'!BK13</f>
        <v>0</v>
      </c>
      <c r="BH13" s="55"/>
      <c r="BI13" s="60">
        <f>'Summary Sheet - April 2025'!BQ13+'Summary Sheet - May 2025'!BQ13+'Summary Sheet - June 2025'!BM13</f>
        <v>0</v>
      </c>
      <c r="BJ13" s="61"/>
    </row>
    <row r="14" ht="15.75" customHeight="1">
      <c r="A14" s="3"/>
      <c r="B14" s="16" t="s">
        <v>31</v>
      </c>
      <c r="C14" s="66">
        <f>C12+C13</f>
        <v>53944596.54</v>
      </c>
      <c r="D14" s="67">
        <f>C14/C10</f>
        <v>0.3389060769</v>
      </c>
      <c r="E14" s="68" t="str">
        <f>E12+E13</f>
        <v>#REF!</v>
      </c>
      <c r="F14" s="73"/>
      <c r="G14" s="145">
        <f>G12+G13</f>
        <v>0</v>
      </c>
      <c r="H14" s="146"/>
      <c r="I14" s="146">
        <f>I12+I13</f>
        <v>0</v>
      </c>
      <c r="J14" s="146"/>
      <c r="K14" s="68">
        <f>sum(K12:K13)</f>
        <v>53944596.54</v>
      </c>
      <c r="L14" s="70"/>
      <c r="M14" s="68" t="str">
        <f t="shared" si="11"/>
        <v>#REF!</v>
      </c>
      <c r="N14" s="70"/>
      <c r="O14" s="118">
        <f>O12+O13</f>
        <v>18147518.36</v>
      </c>
      <c r="P14" s="147"/>
      <c r="Q14" s="118">
        <f>Q12+Q13</f>
        <v>13582764.1</v>
      </c>
      <c r="R14" s="147"/>
      <c r="S14" s="118">
        <f>S12+S13</f>
        <v>582153.6726</v>
      </c>
      <c r="T14" s="147"/>
      <c r="U14" s="118" t="str">
        <f>U12+U13</f>
        <v>#REF!</v>
      </c>
      <c r="V14" s="147"/>
      <c r="W14" s="118">
        <f>W12+W13</f>
        <v>12155377.93</v>
      </c>
      <c r="X14" s="147"/>
      <c r="Y14" s="118">
        <f>Y12+Y13</f>
        <v>10892663.15</v>
      </c>
      <c r="Z14" s="147"/>
      <c r="AA14" s="118">
        <f>AA12+AA13</f>
        <v>8309816.745</v>
      </c>
      <c r="AB14" s="147"/>
      <c r="AC14" s="118">
        <f>AC12+AC13</f>
        <v>6235035.873</v>
      </c>
      <c r="AD14" s="147"/>
      <c r="AE14" s="118">
        <f>AE12+AE13</f>
        <v>13648447.29</v>
      </c>
      <c r="AF14" s="147"/>
      <c r="AG14" s="118">
        <f>AG12+AG13</f>
        <v>14478807.9</v>
      </c>
      <c r="AH14" s="147"/>
      <c r="AI14" s="146">
        <f>AI12+AI13</f>
        <v>745</v>
      </c>
      <c r="AJ14" s="147"/>
      <c r="AK14" s="147" t="str">
        <f>AK12+AK13</f>
        <v>#REF!</v>
      </c>
      <c r="AL14" s="147"/>
      <c r="AM14" s="118">
        <f>AM12+AM13</f>
        <v>613836.451</v>
      </c>
      <c r="AN14" s="147"/>
      <c r="AO14" s="147">
        <f>AO12+AO13</f>
        <v>0</v>
      </c>
      <c r="AP14" s="147"/>
      <c r="AQ14" s="118">
        <f>AQ12+AQ13</f>
        <v>0</v>
      </c>
      <c r="AR14" s="147"/>
      <c r="AS14" s="118">
        <f>AS12+AS13</f>
        <v>0</v>
      </c>
      <c r="AT14" s="147"/>
      <c r="AU14" s="68">
        <f>AU12+AU13</f>
        <v>486701.0982</v>
      </c>
      <c r="AV14" s="70"/>
      <c r="AW14" s="68" t="str">
        <f>AW12+AW13</f>
        <v>#REF!</v>
      </c>
      <c r="AX14" s="70"/>
      <c r="AY14" s="68">
        <f>AY12+AY13</f>
        <v>0</v>
      </c>
      <c r="AZ14" s="70"/>
      <c r="BA14" s="68" t="str">
        <f>BA12+BA13</f>
        <v>#REF!</v>
      </c>
      <c r="BB14" s="73"/>
      <c r="BC14" s="68">
        <f>BC12+BC13</f>
        <v>0</v>
      </c>
      <c r="BD14" s="70"/>
      <c r="BE14" s="68">
        <f>BE12+BE13</f>
        <v>0</v>
      </c>
      <c r="BF14" s="73"/>
      <c r="BG14" s="68">
        <f>BG12+BG13</f>
        <v>0</v>
      </c>
      <c r="BH14" s="70"/>
      <c r="BI14" s="68">
        <f>BI12+BI13</f>
        <v>0</v>
      </c>
      <c r="BJ14" s="73"/>
    </row>
    <row r="15" ht="15.75" customHeight="1">
      <c r="A15" s="3"/>
      <c r="B15" s="90" t="s">
        <v>32</v>
      </c>
      <c r="C15" s="91"/>
      <c r="D15" s="92"/>
      <c r="E15" s="92"/>
      <c r="F15" s="94"/>
      <c r="G15" s="144"/>
      <c r="H15" s="96"/>
      <c r="I15" s="96"/>
      <c r="J15" s="96"/>
      <c r="K15" s="93"/>
      <c r="L15" s="92"/>
      <c r="M15" s="92"/>
      <c r="N15" s="92"/>
      <c r="O15" s="101"/>
      <c r="P15" s="100"/>
      <c r="Q15" s="100"/>
      <c r="R15" s="100"/>
      <c r="S15" s="101"/>
      <c r="T15" s="100"/>
      <c r="U15" s="100"/>
      <c r="V15" s="100"/>
      <c r="W15" s="101">
        <f>SUM('Mg St Colaba Comparison'!C13:E13)</f>
        <v>0</v>
      </c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1"/>
      <c r="AV15" s="101"/>
      <c r="AW15" s="101"/>
      <c r="AX15" s="100"/>
      <c r="AY15" s="101"/>
      <c r="AZ15" s="101"/>
      <c r="BA15" s="101"/>
      <c r="BB15" s="102"/>
      <c r="BC15" s="101"/>
      <c r="BD15" s="101"/>
      <c r="BE15" s="101"/>
      <c r="BF15" s="102"/>
      <c r="BG15" s="101"/>
      <c r="BH15" s="101"/>
      <c r="BI15" s="101"/>
      <c r="BJ15" s="102"/>
    </row>
    <row r="16" ht="15.75" customHeight="1">
      <c r="A16" s="3"/>
      <c r="B16" s="153" t="s">
        <v>33</v>
      </c>
      <c r="C16" s="154">
        <f>C10-C14</f>
        <v>105228107.1</v>
      </c>
      <c r="D16" s="155">
        <f>C16/C10</f>
        <v>0.6610939231</v>
      </c>
      <c r="E16" s="156" t="str">
        <f>E10-E14</f>
        <v>#REF!</v>
      </c>
      <c r="F16" s="157"/>
      <c r="G16" s="158">
        <f>G10-G14</f>
        <v>0</v>
      </c>
      <c r="H16" s="159"/>
      <c r="I16" s="159">
        <f>I10-I14</f>
        <v>0</v>
      </c>
      <c r="J16" s="159"/>
      <c r="K16" s="156">
        <f>K10-K14</f>
        <v>105228107.1</v>
      </c>
      <c r="L16" s="160"/>
      <c r="M16" s="156" t="str">
        <f>M10-M14</f>
        <v>#REF!</v>
      </c>
      <c r="N16" s="160"/>
      <c r="O16" s="156">
        <f>O10-O14-O15</f>
        <v>26646752.18</v>
      </c>
      <c r="P16" s="160"/>
      <c r="Q16" s="156">
        <f>Q10-Q14-Q15</f>
        <v>26989217.62</v>
      </c>
      <c r="R16" s="160"/>
      <c r="S16" s="156">
        <f>S10-S14-S15</f>
        <v>791965.3974</v>
      </c>
      <c r="T16" s="160"/>
      <c r="U16" s="156" t="str">
        <f>U10-U14-U15</f>
        <v>#REF!</v>
      </c>
      <c r="V16" s="160"/>
      <c r="W16" s="156">
        <f>W10-W14-W15</f>
        <v>24310088.22</v>
      </c>
      <c r="X16" s="160"/>
      <c r="Y16" s="156">
        <f>Y10-Y14-Y15</f>
        <v>27478419.57</v>
      </c>
      <c r="Z16" s="160"/>
      <c r="AA16" s="156">
        <f>AA10-AA14-AA15</f>
        <v>17423977.9</v>
      </c>
      <c r="AB16" s="160"/>
      <c r="AC16" s="156">
        <f>AC10-AC14-AC15</f>
        <v>18725052.9</v>
      </c>
      <c r="AD16" s="160"/>
      <c r="AE16" s="156">
        <f>AE10-AE14-AE15</f>
        <v>34296527.95</v>
      </c>
      <c r="AF16" s="160"/>
      <c r="AG16" s="156">
        <f>AG10-AG14-AG15</f>
        <v>34249820.86</v>
      </c>
      <c r="AH16" s="160"/>
      <c r="AI16" s="156">
        <f>'Summary Sheet - April 2025'!AI16+'Summary Sheet - May 2025'!AI16+'Summary Sheet - June 2025'!AI16</f>
        <v>980960</v>
      </c>
      <c r="AJ16" s="160"/>
      <c r="AK16" s="156" t="str">
        <f>'Summary Sheet - April 2025'!AK16+'Summary Sheet - May 2025'!AK16+'Summary Sheet - June 2025'!AK16</f>
        <v>#REF!</v>
      </c>
      <c r="AL16" s="160"/>
      <c r="AM16" s="156">
        <f>'Summary Sheet - April 2025'!AM16+'Summary Sheet - May 2025'!AM16+'Summary Sheet - June 2025'!AM16</f>
        <v>420109.529</v>
      </c>
      <c r="AN16" s="160"/>
      <c r="AO16" s="156">
        <f>'Summary Sheet - April 2025'!AO16+'Summary Sheet - May 2025'!AO16+'Summary Sheet - June 2025'!AO16</f>
        <v>240000</v>
      </c>
      <c r="AP16" s="160"/>
      <c r="AQ16" s="156">
        <f>'Summary Sheet - April 2025'!AQ16+'Summary Sheet - May 2025'!AQ16+'Summary Sheet - June 2025'!AQ16</f>
        <v>0</v>
      </c>
      <c r="AR16" s="160"/>
      <c r="AS16" s="156">
        <f>'Summary Sheet - April 2025'!AS16+'Summary Sheet - May 2025'!AS16+'Summary Sheet - June 2025'!AS16</f>
        <v>0</v>
      </c>
      <c r="AT16" s="160"/>
      <c r="AU16" s="156">
        <f>AU10-AU14-AU15</f>
        <v>346910.9018</v>
      </c>
      <c r="AV16" s="160"/>
      <c r="AW16" s="156" t="str">
        <f>AW10-AW14</f>
        <v>#REF!</v>
      </c>
      <c r="AX16" s="160"/>
      <c r="AY16" s="156">
        <f>AY10-AY14-AY15</f>
        <v>10815</v>
      </c>
      <c r="AZ16" s="160"/>
      <c r="BA16" s="156" t="str">
        <f>BA10-BA14</f>
        <v>#REF!</v>
      </c>
      <c r="BB16" s="157"/>
      <c r="BC16" s="156">
        <f>BC10-BC14-BC15</f>
        <v>0</v>
      </c>
      <c r="BD16" s="160"/>
      <c r="BE16" s="156">
        <f>BE10-BE14</f>
        <v>0</v>
      </c>
      <c r="BF16" s="157"/>
      <c r="BG16" s="156">
        <f>BG10-BG14-BG15</f>
        <v>0</v>
      </c>
      <c r="BH16" s="160"/>
      <c r="BI16" s="156">
        <f>BI10-BI14</f>
        <v>0</v>
      </c>
      <c r="BJ16" s="157"/>
    </row>
    <row r="17" ht="15.75" customHeight="1">
      <c r="A17" s="3"/>
      <c r="B17" s="22"/>
      <c r="C17" s="148"/>
      <c r="D17" s="137"/>
      <c r="E17" s="137"/>
      <c r="F17" s="149"/>
      <c r="G17" s="135"/>
      <c r="H17" s="83"/>
      <c r="I17" s="83"/>
      <c r="J17" s="83"/>
      <c r="K17" s="137"/>
      <c r="L17" s="137"/>
      <c r="M17" s="137"/>
      <c r="N17" s="137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35"/>
      <c r="BC17" s="28"/>
      <c r="BD17" s="28"/>
      <c r="BE17" s="28"/>
      <c r="BF17" s="35"/>
      <c r="BG17" s="28"/>
      <c r="BH17" s="28"/>
      <c r="BI17" s="28"/>
      <c r="BJ17" s="35"/>
    </row>
    <row r="18" ht="15.75" customHeight="1">
      <c r="A18" s="3"/>
      <c r="B18" s="38" t="s">
        <v>34</v>
      </c>
      <c r="C18" s="39">
        <f t="shared" ref="C18:C27" si="12">G18+K18</f>
        <v>4696796.42</v>
      </c>
      <c r="D18" s="84">
        <f t="shared" ref="D18:D27" si="13">C18/$C$10</f>
        <v>0.02950754943</v>
      </c>
      <c r="E18" s="40" t="str">
        <f t="shared" ref="E18:E28" si="14">I18+M18</f>
        <v>#REF!</v>
      </c>
      <c r="F18" s="150"/>
      <c r="G18" s="138">
        <f>'Summary Sheet - April 2025'!G18+'Summary Sheet - May 2025'!G18+'Summary Sheet - June 2025'!G18</f>
        <v>38819</v>
      </c>
      <c r="H18" s="114"/>
      <c r="I18" s="114">
        <f>'Summary Sheet - April 2025'!I18+'Summary Sheet - May 2025'!I18+'Summary Sheet - June 2025'!I18</f>
        <v>21715</v>
      </c>
      <c r="J18" s="114"/>
      <c r="K18" s="136">
        <f t="shared" ref="K18:K27" si="15">O18+S18+W18+AA18+AE18+AI18+AM18+AQ18+AU18+AY18+BC18+BG18</f>
        <v>4657977.42</v>
      </c>
      <c r="L18" s="139"/>
      <c r="M18" s="40" t="str">
        <f t="shared" ref="M18:M27" si="16">Q18+U18+Y18+AC18+AG18+AK18+AO18</f>
        <v>#REF!</v>
      </c>
      <c r="N18" s="139"/>
      <c r="O18" s="48">
        <f>'The Table'!D53+'The Table'!J53+'The Table'!P53</f>
        <v>1299504.8</v>
      </c>
      <c r="P18" s="43"/>
      <c r="Q18" s="48">
        <f>'The Table'!F53+'The Table'!L53+'The Table'!R53</f>
        <v>1074152.158</v>
      </c>
      <c r="R18" s="43"/>
      <c r="S18" s="48">
        <f>'Summary Sheet - April 2025'!S18+'Summary Sheet - May 2025'!S18+'Summary Sheet - June 2025'!S18</f>
        <v>55985.96</v>
      </c>
      <c r="T18" s="43"/>
      <c r="U18" s="48" t="str">
        <f>'Summary Sheet - April 2025'!U18+'Summary Sheet - May 2025'!U18+'Summary Sheet - June 2025'!U18</f>
        <v>#REF!</v>
      </c>
      <c r="V18" s="43"/>
      <c r="W18" s="48">
        <f>'Summary Sheet - April 2025'!W18+'Summary Sheet - May 2025'!W18+'Summary Sheet - June 2025'!W18</f>
        <v>1091790.78</v>
      </c>
      <c r="X18" s="43"/>
      <c r="Y18" s="48">
        <f>'Summary Sheet - April 2025'!Y18+'Summary Sheet - May 2025'!Y18+'Summary Sheet - June 2025'!Y18</f>
        <v>892372.0619</v>
      </c>
      <c r="Z18" s="43"/>
      <c r="AA18" s="48">
        <f>'Summary Sheet - April 2025'!AA18+'Summary Sheet - May 2025'!AA18+'Summary Sheet - June 2025'!AA18</f>
        <v>589493.48</v>
      </c>
      <c r="AB18" s="43"/>
      <c r="AC18" s="48">
        <f>'Summary Sheet - April 2025'!AC18+'Summary Sheet - May 2025'!AC18+'Summary Sheet - June 2025'!AC18</f>
        <v>464257.6513</v>
      </c>
      <c r="AD18" s="43"/>
      <c r="AE18" s="48">
        <f>'Summary Sheet - April 2025'!AE18+'Summary Sheet - May 2025'!AE18+'Summary Sheet - June 2025'!AE18</f>
        <v>1210531.4</v>
      </c>
      <c r="AF18" s="43"/>
      <c r="AG18" s="48">
        <f>'Summary Sheet - April 2025'!AG18+'Summary Sheet - May 2025'!AG18+'Summary Sheet - June 2025'!AG18</f>
        <v>1344911.067</v>
      </c>
      <c r="AH18" s="43"/>
      <c r="AI18" s="48">
        <f>'Summary Sheet - April 2025'!AI18+'Summary Sheet - May 2025'!AI18+'Summary Sheet - June 2025'!AI18</f>
        <v>47154</v>
      </c>
      <c r="AJ18" s="43"/>
      <c r="AK18" s="48" t="str">
        <f>'Summary Sheet - April 2025'!AK18+'Summary Sheet - May 2025'!AK18+'Summary Sheet - June 2025'!AK18</f>
        <v>#REF!</v>
      </c>
      <c r="AL18" s="43"/>
      <c r="AM18" s="48">
        <f>'Summary Sheet - April 2025'!AM18+'Summary Sheet - May 2025'!AM18+'Summary Sheet - June 2025'!AM18</f>
        <v>247789</v>
      </c>
      <c r="AN18" s="43"/>
      <c r="AO18" s="48">
        <f>'Summary Sheet - April 2025'!AO18+'Summary Sheet - May 2025'!AO18+'Summary Sheet - June 2025'!AO18</f>
        <v>0</v>
      </c>
      <c r="AP18" s="43"/>
      <c r="AQ18" s="48">
        <f>'Summary Sheet - April 2025'!AQ18+'Summary Sheet - May 2025'!AQ18+'Summary Sheet - June 2025'!AQ18</f>
        <v>115728</v>
      </c>
      <c r="AR18" s="43"/>
      <c r="AS18" s="48">
        <f>'Summary Sheet - April 2025'!AS18+'Summary Sheet - May 2025'!AS18+'Summary Sheet - June 2025'!AS18</f>
        <v>0</v>
      </c>
      <c r="AT18" s="43"/>
      <c r="AU18" s="48">
        <f>'Summary Sheet - April 2025'!AU18+'Summary Sheet - May 2025'!AU18+'Summary Sheet - June 2025'!AU18</f>
        <v>0</v>
      </c>
      <c r="AV18" s="43"/>
      <c r="AW18" s="48" t="str">
        <f>'Summary Sheet - April 2025'!AW18+'Summary Sheet - May 2025'!AW18+'Summary Sheet - June 2025'!AW18</f>
        <v>#REF!</v>
      </c>
      <c r="AX18" s="43"/>
      <c r="AY18" s="48">
        <f>'Summary Sheet - April 2025'!BG18+'Summary Sheet - May 2025'!BG18+'Summary Sheet - June 2025'!AY18</f>
        <v>0</v>
      </c>
      <c r="AZ18" s="43"/>
      <c r="BA18" s="43">
        <f>'Summary Sheet - April 2025'!BI18+'Summary Sheet - May 2025'!BI18+'Summary Sheet - June 2025'!BA18</f>
        <v>0</v>
      </c>
      <c r="BB18" s="49"/>
      <c r="BC18" s="43">
        <f>'Summary Sheet - April 2025'!BK18+'Summary Sheet - May 2025'!BK18+'Summary Sheet - June 2025'!BG18</f>
        <v>0</v>
      </c>
      <c r="BD18" s="43"/>
      <c r="BE18" s="43">
        <f>'Summary Sheet - April 2025'!BM18+'Summary Sheet - May 2025'!BM18+'Summary Sheet - June 2025'!BI18</f>
        <v>0</v>
      </c>
      <c r="BF18" s="49"/>
      <c r="BG18" s="114">
        <f>'Summary Sheet - April 2025'!BC18+'Summary Sheet - May 2025'!BC18+'Summary Sheet - June 2025'!BC18</f>
        <v>0</v>
      </c>
      <c r="BH18" s="43"/>
      <c r="BI18" s="43">
        <f>'Summary Sheet - April 2025'!BQ18+'Summary Sheet - May 2025'!BQ18+'Summary Sheet - June 2025'!BM18</f>
        <v>0</v>
      </c>
      <c r="BJ18" s="49"/>
    </row>
    <row r="19" ht="15.75" customHeight="1">
      <c r="A19" s="3"/>
      <c r="B19" s="38" t="s">
        <v>35</v>
      </c>
      <c r="C19" s="39">
        <f t="shared" si="12"/>
        <v>1773869.667</v>
      </c>
      <c r="D19" s="84">
        <f t="shared" si="13"/>
        <v>0.0111443082</v>
      </c>
      <c r="E19" s="40" t="str">
        <f t="shared" si="14"/>
        <v>#REF!</v>
      </c>
      <c r="F19" s="150"/>
      <c r="G19" s="138">
        <f>'Summary Sheet - April 2025'!G19+'Summary Sheet - May 2025'!G19+'Summary Sheet - June 2025'!G19</f>
        <v>271126</v>
      </c>
      <c r="H19" s="114"/>
      <c r="I19" s="114">
        <f>'Summary Sheet - April 2025'!I19+'Summary Sheet - May 2025'!I19+'Summary Sheet - June 2025'!I19</f>
        <v>146912</v>
      </c>
      <c r="J19" s="114"/>
      <c r="K19" s="136">
        <f t="shared" si="15"/>
        <v>1502743.667</v>
      </c>
      <c r="L19" s="139"/>
      <c r="M19" s="40" t="str">
        <f t="shared" si="16"/>
        <v>#REF!</v>
      </c>
      <c r="N19" s="139"/>
      <c r="O19" s="48">
        <f>'Summary Sheet - April 2025'!O19+'Summary Sheet - May 2025'!O19+'Summary Sheet - June 2025'!O19</f>
        <v>108394</v>
      </c>
      <c r="P19" s="43"/>
      <c r="Q19" s="48">
        <f>'Summary Sheet - April 2025'!Q19+'Summary Sheet - May 2025'!Q19+'Summary Sheet - June 2025'!Q20</f>
        <v>227511.6213</v>
      </c>
      <c r="R19" s="43"/>
      <c r="S19" s="48">
        <f>'Summary Sheet - April 2025'!S19+'Summary Sheet - May 2025'!S19+'Summary Sheet - June 2025'!S19</f>
        <v>199150</v>
      </c>
      <c r="T19" s="43"/>
      <c r="U19" s="48" t="str">
        <f>'Summary Sheet - April 2025'!U19+'Summary Sheet - May 2025'!U19+'Summary Sheet - June 2025'!U19</f>
        <v>#REF!</v>
      </c>
      <c r="V19" s="43"/>
      <c r="W19" s="48">
        <f>'Summary Sheet - April 2025'!W19+'Summary Sheet - May 2025'!W19+'Summary Sheet - June 2025'!W19</f>
        <v>293963.8</v>
      </c>
      <c r="X19" s="43"/>
      <c r="Y19" s="48">
        <f>'Summary Sheet - April 2025'!Y19+'Summary Sheet - May 2025'!Y19+'Summary Sheet - June 2025'!Y19</f>
        <v>301542</v>
      </c>
      <c r="Z19" s="43"/>
      <c r="AA19" s="48">
        <f>'Summary Sheet - April 2025'!AA19+'Summary Sheet - May 2025'!AA19+'Summary Sheet - June 2025'!AA19</f>
        <v>292217.8</v>
      </c>
      <c r="AB19" s="43"/>
      <c r="AC19" s="48">
        <f>'Summary Sheet - April 2025'!AC19+'Summary Sheet - May 2025'!AC19+'Summary Sheet - June 2025'!AC19</f>
        <v>320912</v>
      </c>
      <c r="AD19" s="43"/>
      <c r="AE19" s="48">
        <f>'Summary Sheet - April 2025'!AE19+'Summary Sheet - May 2025'!AE19+'Summary Sheet - June 2025'!AE19</f>
        <v>298756.8</v>
      </c>
      <c r="AF19" s="43"/>
      <c r="AG19" s="48">
        <f>'Summary Sheet - April 2025'!AG19+'Summary Sheet - May 2025'!AG19+'Summary Sheet - June 2025'!AG19</f>
        <v>255425</v>
      </c>
      <c r="AH19" s="43"/>
      <c r="AI19" s="48">
        <f>'Summary Sheet - April 2025'!AI19+'Summary Sheet - May 2025'!AI19+'Summary Sheet - June 2025'!AI19</f>
        <v>76109</v>
      </c>
      <c r="AJ19" s="43"/>
      <c r="AK19" s="48" t="str">
        <f>'Summary Sheet - April 2025'!AK19+'Summary Sheet - May 2025'!AK19+'Summary Sheet - June 2025'!AK19</f>
        <v>#REF!</v>
      </c>
      <c r="AL19" s="43"/>
      <c r="AM19" s="48">
        <f>'Summary Sheet - April 2025'!AM19+'Summary Sheet - May 2025'!AM19+'Summary Sheet - June 2025'!AM19</f>
        <v>145384.8</v>
      </c>
      <c r="AN19" s="43"/>
      <c r="AO19" s="48">
        <f>'Summary Sheet - April 2025'!AO19+'Summary Sheet - May 2025'!AO19+'Summary Sheet - June 2025'!AO19</f>
        <v>203454</v>
      </c>
      <c r="AP19" s="43"/>
      <c r="AQ19" s="48">
        <f>'Summary Sheet - April 2025'!AQ19+'Summary Sheet - May 2025'!AQ19+'Summary Sheet - June 2025'!AQ19</f>
        <v>0</v>
      </c>
      <c r="AR19" s="43"/>
      <c r="AS19" s="48">
        <f>'Summary Sheet - April 2025'!AS19+'Summary Sheet - May 2025'!AS19+'Summary Sheet - June 2025'!AS19</f>
        <v>80500</v>
      </c>
      <c r="AT19" s="43"/>
      <c r="AU19" s="48">
        <f>'Summary Sheet - April 2025'!AU19+'Summary Sheet - May 2025'!AU19+'Summary Sheet - June 2025'!AU19</f>
        <v>69305.13333</v>
      </c>
      <c r="AV19" s="43"/>
      <c r="AW19" s="48" t="str">
        <f>'Summary Sheet - April 2025'!AW19+'Summary Sheet - May 2025'!AW19+'Summary Sheet - June 2025'!AW19</f>
        <v>#REF!</v>
      </c>
      <c r="AX19" s="43"/>
      <c r="AY19" s="48">
        <f>'Summary Sheet - April 2025'!BG19+'Summary Sheet - May 2025'!BG19+'Summary Sheet - June 2025'!AY19</f>
        <v>14717.33333</v>
      </c>
      <c r="AZ19" s="43"/>
      <c r="BA19" s="43">
        <f>'Summary Sheet - April 2025'!BI19+'Summary Sheet - May 2025'!BI19+'Summary Sheet - June 2025'!BA19</f>
        <v>0</v>
      </c>
      <c r="BB19" s="49"/>
      <c r="BC19" s="43">
        <f>'Summary Sheet - April 2025'!BK19+'Summary Sheet - May 2025'!BK19+'Summary Sheet - June 2025'!BG19</f>
        <v>0</v>
      </c>
      <c r="BD19" s="43"/>
      <c r="BE19" s="43">
        <f>'Summary Sheet - April 2025'!BM19+'Summary Sheet - May 2025'!BM19+'Summary Sheet - June 2025'!BI19</f>
        <v>0</v>
      </c>
      <c r="BF19" s="49"/>
      <c r="BG19" s="114">
        <f>'Summary Sheet - April 2025'!BC19+'Summary Sheet - May 2025'!BC19+'Summary Sheet - June 2025'!BC19</f>
        <v>4745</v>
      </c>
      <c r="BH19" s="43"/>
      <c r="BI19" s="43">
        <f>'Summary Sheet - April 2025'!BQ19+'Summary Sheet - May 2025'!BQ19+'Summary Sheet - June 2025'!BM19</f>
        <v>0</v>
      </c>
      <c r="BJ19" s="49"/>
    </row>
    <row r="20" ht="15.75" customHeight="1">
      <c r="A20" s="3"/>
      <c r="B20" s="38" t="s">
        <v>36</v>
      </c>
      <c r="C20" s="39">
        <f t="shared" si="12"/>
        <v>4906850.212</v>
      </c>
      <c r="D20" s="84">
        <f t="shared" si="13"/>
        <v>0.03082720906</v>
      </c>
      <c r="E20" s="40" t="str">
        <f t="shared" si="14"/>
        <v>#REF!</v>
      </c>
      <c r="F20" s="150"/>
      <c r="G20" s="138">
        <f>'Summary Sheet - April 2025'!G20+'Summary Sheet - May 2025'!G20+'Summary Sheet - June 2025'!G20</f>
        <v>0</v>
      </c>
      <c r="H20" s="114"/>
      <c r="I20" s="114">
        <f>'Summary Sheet - April 2025'!I20+'Summary Sheet - May 2025'!I20+'Summary Sheet - June 2025'!I20</f>
        <v>0</v>
      </c>
      <c r="J20" s="114"/>
      <c r="K20" s="136">
        <f t="shared" si="15"/>
        <v>4906850.212</v>
      </c>
      <c r="L20" s="139"/>
      <c r="M20" s="40" t="str">
        <f t="shared" si="16"/>
        <v>#REF!</v>
      </c>
      <c r="N20" s="139"/>
      <c r="O20" s="48">
        <f>'Summary Sheet - April 2025'!O20+'Summary Sheet - May 2025'!O20+'Summary Sheet - June 2025'!O20</f>
        <v>244748.3638</v>
      </c>
      <c r="P20" s="43"/>
      <c r="Q20" s="48">
        <f>'Summary Sheet - April 2025'!Q20+'Summary Sheet - May 2025'!Q20+'Summary Sheet - June 2025'!Q20</f>
        <v>505268.6585</v>
      </c>
      <c r="R20" s="43"/>
      <c r="S20" s="48">
        <f>'Summary Sheet - April 2025'!S20+'Summary Sheet - May 2025'!S20+'Summary Sheet - June 2025'!S20</f>
        <v>199195.9626</v>
      </c>
      <c r="T20" s="43"/>
      <c r="U20" s="48" t="str">
        <f>'Summary Sheet - April 2025'!U20+'Summary Sheet - May 2025'!U20+'Summary Sheet - June 2025'!U20</f>
        <v>#REF!</v>
      </c>
      <c r="V20" s="43"/>
      <c r="W20" s="48">
        <f>'Summary Sheet - April 2025'!W20+'Summary Sheet - May 2025'!W20+'Summary Sheet - June 2025'!W20</f>
        <v>1171244.754</v>
      </c>
      <c r="X20" s="43"/>
      <c r="Y20" s="48">
        <f>'Summary Sheet - April 2025'!Y20+'Summary Sheet - May 2025'!Y20+'Summary Sheet - June 2025'!Y20</f>
        <v>1256513.5</v>
      </c>
      <c r="Z20" s="43"/>
      <c r="AA20" s="48">
        <f>'Summary Sheet - April 2025'!AA20+'Summary Sheet - May 2025'!AA20+'Summary Sheet - June 2025'!AA20</f>
        <v>1716136.863</v>
      </c>
      <c r="AB20" s="43"/>
      <c r="AC20" s="48">
        <f>'Summary Sheet - April 2025'!AC20+'Summary Sheet - May 2025'!AC20+'Summary Sheet - June 2025'!AC20</f>
        <v>1856111.75</v>
      </c>
      <c r="AD20" s="43"/>
      <c r="AE20" s="48">
        <f>'Summary Sheet - April 2025'!AE20+'Summary Sheet - May 2025'!AE20+'Summary Sheet - June 2025'!AE20</f>
        <v>1226914.928</v>
      </c>
      <c r="AF20" s="43"/>
      <c r="AG20" s="48">
        <f>'Summary Sheet - April 2025'!AG20+'Summary Sheet - May 2025'!AG20+'Summary Sheet - June 2025'!AG20</f>
        <v>1182027.5</v>
      </c>
      <c r="AH20" s="43"/>
      <c r="AI20" s="48">
        <f>'Summary Sheet - April 2025'!AI20+'Summary Sheet - May 2025'!AI20+'Summary Sheet - June 2025'!AI20</f>
        <v>7381</v>
      </c>
      <c r="AJ20" s="43"/>
      <c r="AK20" s="48" t="str">
        <f>'Summary Sheet - April 2025'!AK20+'Summary Sheet - May 2025'!AK20+'Summary Sheet - June 2025'!AK20</f>
        <v>#REF!</v>
      </c>
      <c r="AL20" s="43"/>
      <c r="AM20" s="48">
        <f>'Summary Sheet - April 2025'!AM20+'Summary Sheet - May 2025'!AM20+'Summary Sheet - June 2025'!AM20</f>
        <v>54545.5308</v>
      </c>
      <c r="AN20" s="43"/>
      <c r="AO20" s="48">
        <f>'Summary Sheet - April 2025'!AO20+'Summary Sheet - May 2025'!AO20+'Summary Sheet - June 2025'!AO20</f>
        <v>0</v>
      </c>
      <c r="AP20" s="43"/>
      <c r="AQ20" s="48">
        <f>'Summary Sheet - April 2025'!AQ20+'Summary Sheet - May 2025'!AQ20+'Summary Sheet - June 2025'!AQ20</f>
        <v>0</v>
      </c>
      <c r="AR20" s="43"/>
      <c r="AS20" s="48">
        <f>'Summary Sheet - April 2025'!AS20+'Summary Sheet - May 2025'!AS20+'Summary Sheet - June 2025'!AS20</f>
        <v>0</v>
      </c>
      <c r="AT20" s="43"/>
      <c r="AU20" s="48">
        <f>'Summary Sheet - April 2025'!AU20+'Summary Sheet - May 2025'!AU20+'Summary Sheet - June 2025'!AU20</f>
        <v>264856.81</v>
      </c>
      <c r="AV20" s="43"/>
      <c r="AW20" s="48" t="str">
        <f>'Summary Sheet - April 2025'!AW20+'Summary Sheet - May 2025'!AW20+'Summary Sheet - June 2025'!AW20</f>
        <v>#REF!</v>
      </c>
      <c r="AX20" s="43"/>
      <c r="AY20" s="48">
        <f>'Summary Sheet - April 2025'!BG20+'Summary Sheet - May 2025'!BG20+'Summary Sheet - June 2025'!AY20</f>
        <v>21826</v>
      </c>
      <c r="AZ20" s="43"/>
      <c r="BA20" s="43">
        <f>'Summary Sheet - April 2025'!BI20+'Summary Sheet - May 2025'!BI20+'Summary Sheet - June 2025'!BA20</f>
        <v>0</v>
      </c>
      <c r="BB20" s="49"/>
      <c r="BC20" s="43">
        <f>'Summary Sheet - April 2025'!BK20+'Summary Sheet - May 2025'!BK20+'Summary Sheet - June 2025'!BG20</f>
        <v>0</v>
      </c>
      <c r="BD20" s="43"/>
      <c r="BE20" s="43">
        <f>'Summary Sheet - April 2025'!BM20+'Summary Sheet - May 2025'!BM20+'Summary Sheet - June 2025'!BI20</f>
        <v>0</v>
      </c>
      <c r="BF20" s="49"/>
      <c r="BG20" s="114">
        <f>'Summary Sheet - April 2025'!BC20+'Summary Sheet - May 2025'!BC20+'Summary Sheet - June 2025'!BC20</f>
        <v>0</v>
      </c>
      <c r="BH20" s="43"/>
      <c r="BI20" s="43">
        <f>'Summary Sheet - April 2025'!BQ20+'Summary Sheet - May 2025'!BQ20+'Summary Sheet - June 2025'!BM20</f>
        <v>0</v>
      </c>
      <c r="BJ20" s="49"/>
    </row>
    <row r="21" ht="15.75" customHeight="1">
      <c r="A21" s="3"/>
      <c r="B21" s="38" t="s">
        <v>37</v>
      </c>
      <c r="C21" s="39">
        <f t="shared" si="12"/>
        <v>18575874</v>
      </c>
      <c r="D21" s="84">
        <f t="shared" si="13"/>
        <v>0.1167026354</v>
      </c>
      <c r="E21" s="40" t="str">
        <f t="shared" si="14"/>
        <v>#REF!</v>
      </c>
      <c r="F21" s="150"/>
      <c r="G21" s="138">
        <f>'Summary Sheet - April 2025'!G21+'Summary Sheet - May 2025'!G21+'Summary Sheet - June 2025'!G21</f>
        <v>1076062</v>
      </c>
      <c r="H21" s="114"/>
      <c r="I21" s="114">
        <f>'Summary Sheet - April 2025'!I21+'Summary Sheet - May 2025'!I21+'Summary Sheet - June 2025'!I21</f>
        <v>1098819</v>
      </c>
      <c r="J21" s="114"/>
      <c r="K21" s="136">
        <f t="shared" si="15"/>
        <v>17499812</v>
      </c>
      <c r="L21" s="139"/>
      <c r="M21" s="40" t="str">
        <f t="shared" si="16"/>
        <v>#REF!</v>
      </c>
      <c r="N21" s="139"/>
      <c r="O21" s="48">
        <f>'Summary Sheet - April 2025'!O21+'Summary Sheet - May 2025'!O21+'Summary Sheet - June 2025'!O21</f>
        <v>5372945</v>
      </c>
      <c r="P21" s="43"/>
      <c r="Q21" s="48">
        <f>'Summary Sheet - April 2025'!Q21+'Summary Sheet - May 2025'!Q21+'Summary Sheet - June 2025'!Q21</f>
        <v>5257774.5</v>
      </c>
      <c r="R21" s="43"/>
      <c r="S21" s="48">
        <f>'Summary Sheet - April 2025'!S21+'Summary Sheet - May 2025'!S21+'Summary Sheet - June 2025'!S21</f>
        <v>262184</v>
      </c>
      <c r="T21" s="43"/>
      <c r="U21" s="48" t="str">
        <f>'Summary Sheet - April 2025'!U21+'Summary Sheet - May 2025'!U21+'Summary Sheet - June 2025'!U21</f>
        <v>#REF!</v>
      </c>
      <c r="V21" s="43"/>
      <c r="W21" s="48">
        <f>'Summary Sheet - April 2025'!W21+'Summary Sheet - May 2025'!W21+'Summary Sheet - June 2025'!W21</f>
        <v>4484765</v>
      </c>
      <c r="X21" s="43"/>
      <c r="Y21" s="48">
        <f>'Summary Sheet - April 2025'!Y21+'Summary Sheet - May 2025'!Y21+'Summary Sheet - June 2025'!Y21</f>
        <v>4450277</v>
      </c>
      <c r="Z21" s="43"/>
      <c r="AA21" s="48">
        <f>'Summary Sheet - April 2025'!AA21+'Summary Sheet - May 2025'!AA21+'Summary Sheet - June 2025'!AA21</f>
        <v>1333328</v>
      </c>
      <c r="AB21" s="43"/>
      <c r="AC21" s="48">
        <f>'Summary Sheet - April 2025'!AC21+'Summary Sheet - May 2025'!AC21+'Summary Sheet - June 2025'!AC21</f>
        <v>1240116</v>
      </c>
      <c r="AD21" s="43"/>
      <c r="AE21" s="48">
        <f>'Summary Sheet - April 2025'!AE21+'Summary Sheet - May 2025'!AE21+'Summary Sheet - June 2025'!AE21</f>
        <v>4714698</v>
      </c>
      <c r="AF21" s="43"/>
      <c r="AG21" s="48">
        <f>'Summary Sheet - April 2025'!AG21+'Summary Sheet - May 2025'!AG21+'Summary Sheet - June 2025'!AG21</f>
        <v>5019520</v>
      </c>
      <c r="AH21" s="43"/>
      <c r="AI21" s="48">
        <f>'Summary Sheet - April 2025'!AI21+'Summary Sheet - May 2025'!AI21+'Summary Sheet - June 2025'!AI21</f>
        <v>411227</v>
      </c>
      <c r="AJ21" s="43"/>
      <c r="AK21" s="48" t="str">
        <f>'Summary Sheet - April 2025'!AK21+'Summary Sheet - May 2025'!AK21+'Summary Sheet - June 2025'!AK21</f>
        <v>#REF!</v>
      </c>
      <c r="AL21" s="43"/>
      <c r="AM21" s="48">
        <f>'Summary Sheet - April 2025'!AM21+'Summary Sheet - May 2025'!AM21+'Summary Sheet - June 2025'!AM21</f>
        <v>801487</v>
      </c>
      <c r="AN21" s="43"/>
      <c r="AO21" s="48">
        <f>'Summary Sheet - April 2025'!AO21+'Summary Sheet - May 2025'!AO21+'Summary Sheet - June 2025'!AO21</f>
        <v>253308</v>
      </c>
      <c r="AP21" s="43"/>
      <c r="AQ21" s="48">
        <f>'Summary Sheet - April 2025'!AQ21+'Summary Sheet - May 2025'!AQ21+'Summary Sheet - June 2025'!AQ21</f>
        <v>119178</v>
      </c>
      <c r="AR21" s="43"/>
      <c r="AS21" s="48">
        <f>'Summary Sheet - April 2025'!AS21+'Summary Sheet - May 2025'!AS21+'Summary Sheet - June 2025'!AS21</f>
        <v>0</v>
      </c>
      <c r="AT21" s="43"/>
      <c r="AU21" s="48">
        <f>'Summary Sheet - April 2025'!AU21+'Summary Sheet - May 2025'!AU21+'Summary Sheet - June 2025'!AU21</f>
        <v>0</v>
      </c>
      <c r="AV21" s="43"/>
      <c r="AW21" s="48" t="str">
        <f>'Summary Sheet - April 2025'!AW21+'Summary Sheet - May 2025'!AW21+'Summary Sheet - June 2025'!AW21</f>
        <v>#REF!</v>
      </c>
      <c r="AX21" s="43"/>
      <c r="AY21" s="48">
        <f>'Summary Sheet - April 2025'!BG21+'Summary Sheet - May 2025'!BG21+'Summary Sheet - June 2025'!AY21</f>
        <v>0</v>
      </c>
      <c r="AZ21" s="43"/>
      <c r="BA21" s="43">
        <f>'Summary Sheet - April 2025'!BI21+'Summary Sheet - May 2025'!BI21+'Summary Sheet - June 2025'!BA21</f>
        <v>0</v>
      </c>
      <c r="BB21" s="49"/>
      <c r="BC21" s="43">
        <f>'Summary Sheet - April 2025'!BK21+'Summary Sheet - May 2025'!BK21+'Summary Sheet - June 2025'!BG21</f>
        <v>0</v>
      </c>
      <c r="BD21" s="43"/>
      <c r="BE21" s="43">
        <f>'Summary Sheet - April 2025'!BM21+'Summary Sheet - May 2025'!BM21+'Summary Sheet - June 2025'!BI21</f>
        <v>0</v>
      </c>
      <c r="BF21" s="49"/>
      <c r="BG21" s="114">
        <f>'Summary Sheet - April 2025'!BC21+'Summary Sheet - May 2025'!BC21+'Summary Sheet - June 2025'!BC21</f>
        <v>0</v>
      </c>
      <c r="BH21" s="43"/>
      <c r="BI21" s="43">
        <f>'Summary Sheet - April 2025'!BQ21+'Summary Sheet - May 2025'!BQ21+'Summary Sheet - June 2025'!BM21</f>
        <v>0</v>
      </c>
      <c r="BJ21" s="49"/>
    </row>
    <row r="22" ht="15.75" customHeight="1">
      <c r="A22" s="3"/>
      <c r="B22" s="38" t="s">
        <v>38</v>
      </c>
      <c r="C22" s="39">
        <f t="shared" si="12"/>
        <v>58427617.51</v>
      </c>
      <c r="D22" s="84">
        <f t="shared" si="13"/>
        <v>0.3670705855</v>
      </c>
      <c r="E22" s="40" t="str">
        <f t="shared" si="14"/>
        <v>#REF!</v>
      </c>
      <c r="F22" s="150"/>
      <c r="G22" s="138">
        <f>'Summary Sheet - April 2025'!G22+'Summary Sheet - May 2025'!G22+'Summary Sheet - June 2025'!G22</f>
        <v>11957659.01</v>
      </c>
      <c r="H22" s="114"/>
      <c r="I22" s="114">
        <f>'Summary Sheet - April 2025'!I22+'Summary Sheet - May 2025'!I22+'Summary Sheet - June 2025'!I22</f>
        <v>12131418</v>
      </c>
      <c r="J22" s="114"/>
      <c r="K22" s="136">
        <f t="shared" si="15"/>
        <v>46469958.5</v>
      </c>
      <c r="L22" s="139"/>
      <c r="M22" s="40" t="str">
        <f t="shared" si="16"/>
        <v>#REF!</v>
      </c>
      <c r="N22" s="139"/>
      <c r="O22" s="48">
        <f>'Summary Sheet - April 2025'!O22+'Summary Sheet - May 2025'!O22+'Summary Sheet - June 2025'!O22</f>
        <v>15533596.53</v>
      </c>
      <c r="P22" s="43"/>
      <c r="Q22" s="48">
        <f>'Summary Sheet - April 2025'!Q22+'Summary Sheet - May 2025'!Q22+'Summary Sheet - June 2025'!Q22</f>
        <v>15649521.87</v>
      </c>
      <c r="R22" s="43"/>
      <c r="S22" s="48">
        <f>'Summary Sheet - April 2025'!S22+'Summary Sheet - May 2025'!S22+'Summary Sheet - June 2025'!S22</f>
        <v>771256.36</v>
      </c>
      <c r="T22" s="43"/>
      <c r="U22" s="48" t="str">
        <f>'Summary Sheet - April 2025'!U22+'Summary Sheet - May 2025'!U22+'Summary Sheet - June 2025'!U22</f>
        <v>#REF!</v>
      </c>
      <c r="V22" s="43"/>
      <c r="W22" s="48">
        <f>'Summary Sheet - April 2025'!W22+'Summary Sheet - May 2025'!W22+'Summary Sheet - June 2025'!W22</f>
        <v>9581627.08</v>
      </c>
      <c r="X22" s="43"/>
      <c r="Y22" s="48">
        <f>'Summary Sheet - April 2025'!Y22+'Summary Sheet - May 2025'!Y22+'Summary Sheet - June 2025'!Y22</f>
        <v>9831877.577</v>
      </c>
      <c r="Z22" s="43"/>
      <c r="AA22" s="48">
        <f>'Summary Sheet - April 2025'!AA22+'Summary Sheet - May 2025'!AA22+'Summary Sheet - June 2025'!AA22</f>
        <v>4677547.6</v>
      </c>
      <c r="AB22" s="43"/>
      <c r="AC22" s="48">
        <f>'Summary Sheet - April 2025'!AC22+'Summary Sheet - May 2025'!AC22+'Summary Sheet - June 2025'!AC22</f>
        <v>5019411.155</v>
      </c>
      <c r="AD22" s="43"/>
      <c r="AE22" s="48">
        <f>'Summary Sheet - April 2025'!AE22+'Summary Sheet - May 2025'!AE22+'Summary Sheet - June 2025'!AE22</f>
        <v>11417765.61</v>
      </c>
      <c r="AF22" s="43"/>
      <c r="AG22" s="48">
        <f>'Summary Sheet - April 2025'!AG22+'Summary Sheet - May 2025'!AG22+'Summary Sheet - June 2025'!AG22</f>
        <v>11418251.25</v>
      </c>
      <c r="AH22" s="43"/>
      <c r="AI22" s="48">
        <f>'Summary Sheet - April 2025'!AI22+'Summary Sheet - May 2025'!AI22+'Summary Sheet - June 2025'!AI22</f>
        <v>810605</v>
      </c>
      <c r="AJ22" s="43"/>
      <c r="AK22" s="48" t="str">
        <f>'Summary Sheet - April 2025'!AK22+'Summary Sheet - May 2025'!AK22+'Summary Sheet - June 2025'!AK22</f>
        <v>#REF!</v>
      </c>
      <c r="AL22" s="43"/>
      <c r="AM22" s="48">
        <f>'Summary Sheet - April 2025'!AM22+'Summary Sheet - May 2025'!AM22+'Summary Sheet - June 2025'!AM22</f>
        <v>3477446.32</v>
      </c>
      <c r="AN22" s="43"/>
      <c r="AO22" s="48">
        <f>'Summary Sheet - April 2025'!AO22+'Summary Sheet - May 2025'!AO22+'Summary Sheet - June 2025'!AO22</f>
        <v>458164</v>
      </c>
      <c r="AP22" s="43"/>
      <c r="AQ22" s="48">
        <f>'Summary Sheet - April 2025'!AQ22+'Summary Sheet - May 2025'!AQ22+'Summary Sheet - June 2025'!AQ22</f>
        <v>59394</v>
      </c>
      <c r="AR22" s="43"/>
      <c r="AS22" s="48">
        <f>'Summary Sheet - April 2025'!AS22+'Summary Sheet - May 2025'!AS22+'Summary Sheet - June 2025'!AS22</f>
        <v>0</v>
      </c>
      <c r="AT22" s="43"/>
      <c r="AU22" s="48">
        <f>'Summary Sheet - April 2025'!AU22+'Summary Sheet - May 2025'!AU22+'Summary Sheet - June 2025'!AU22</f>
        <v>0</v>
      </c>
      <c r="AV22" s="43"/>
      <c r="AW22" s="48" t="str">
        <f>'Summary Sheet - April 2025'!AW22+'Summary Sheet - May 2025'!AW22+'Summary Sheet - June 2025'!AW22</f>
        <v>#REF!</v>
      </c>
      <c r="AX22" s="43"/>
      <c r="AY22" s="48">
        <f>'Summary Sheet - April 2025'!BG22+'Summary Sheet - May 2025'!BG22+'Summary Sheet - June 2025'!AY22</f>
        <v>0</v>
      </c>
      <c r="AZ22" s="43"/>
      <c r="BA22" s="43">
        <f>'Summary Sheet - April 2025'!BI22+'Summary Sheet - May 2025'!BI22+'Summary Sheet - June 2025'!BA22</f>
        <v>0</v>
      </c>
      <c r="BB22" s="49"/>
      <c r="BC22" s="43">
        <f>'Summary Sheet - April 2025'!BK22+'Summary Sheet - May 2025'!BK22+'Summary Sheet - June 2025'!BG22</f>
        <v>0</v>
      </c>
      <c r="BD22" s="43"/>
      <c r="BE22" s="43">
        <f>'Summary Sheet - April 2025'!BM22+'Summary Sheet - May 2025'!BM22+'Summary Sheet - June 2025'!BI22</f>
        <v>0</v>
      </c>
      <c r="BF22" s="49"/>
      <c r="BG22" s="114">
        <f>'Summary Sheet - April 2025'!BC22+'Summary Sheet - May 2025'!BC22+'Summary Sheet - June 2025'!BC22</f>
        <v>140720</v>
      </c>
      <c r="BH22" s="43"/>
      <c r="BI22" s="43">
        <f>'Summary Sheet - April 2025'!BQ22+'Summary Sheet - May 2025'!BQ22+'Summary Sheet - June 2025'!BM22</f>
        <v>0</v>
      </c>
      <c r="BJ22" s="49"/>
    </row>
    <row r="23" ht="15.75" customHeight="1">
      <c r="A23" s="3"/>
      <c r="B23" s="38" t="s">
        <v>39</v>
      </c>
      <c r="C23" s="39">
        <f t="shared" si="12"/>
        <v>3107574.12</v>
      </c>
      <c r="D23" s="84">
        <f t="shared" si="13"/>
        <v>0.0195232854</v>
      </c>
      <c r="E23" s="40" t="str">
        <f t="shared" si="14"/>
        <v>#REF!</v>
      </c>
      <c r="F23" s="150"/>
      <c r="G23" s="138">
        <f>'Summary Sheet - April 2025'!G23+'Summary Sheet - May 2025'!G23+'Summary Sheet - June 2025'!G23</f>
        <v>1562176.38</v>
      </c>
      <c r="H23" s="114"/>
      <c r="I23" s="114">
        <f>'Summary Sheet - April 2025'!I23+'Summary Sheet - May 2025'!I23+'Summary Sheet - June 2025'!I23</f>
        <v>167911.82</v>
      </c>
      <c r="J23" s="114"/>
      <c r="K23" s="136">
        <f t="shared" si="15"/>
        <v>1545397.74</v>
      </c>
      <c r="L23" s="139"/>
      <c r="M23" s="40" t="str">
        <f t="shared" si="16"/>
        <v>#REF!</v>
      </c>
      <c r="N23" s="139"/>
      <c r="O23" s="48">
        <f>'Summary Sheet - April 2025'!O23+'Summary Sheet - May 2025'!O23+'Summary Sheet - June 2025'!O23</f>
        <v>677790.58</v>
      </c>
      <c r="P23" s="43"/>
      <c r="Q23" s="48">
        <f>'Summary Sheet - April 2025'!Q23+'Summary Sheet - May 2025'!Q23+'Summary Sheet - June 2025'!Q23</f>
        <v>555463.8286</v>
      </c>
      <c r="R23" s="43"/>
      <c r="S23" s="48">
        <f>'Summary Sheet - April 2025'!S23+'Summary Sheet - May 2025'!S23+'Summary Sheet - June 2025'!S23</f>
        <v>0</v>
      </c>
      <c r="T23" s="43"/>
      <c r="U23" s="43" t="str">
        <f>'Summary Sheet - April 2025'!U23+'Summary Sheet - May 2025'!U23+'Summary Sheet - June 2025'!U23</f>
        <v>#REF!</v>
      </c>
      <c r="V23" s="43"/>
      <c r="W23" s="48">
        <f>'Summary Sheet - April 2025'!W23+'Summary Sheet - May 2025'!W23+'Summary Sheet - June 2025'!W23</f>
        <v>295422.17</v>
      </c>
      <c r="X23" s="43"/>
      <c r="Y23" s="48">
        <f>'Summary Sheet - April 2025'!Y23+'Summary Sheet - May 2025'!Y23+'Summary Sheet - June 2025'!Y23</f>
        <v>341611.5682</v>
      </c>
      <c r="Z23" s="43"/>
      <c r="AA23" s="48">
        <f>'Summary Sheet - April 2025'!AA23+'Summary Sheet - May 2025'!AA23+'Summary Sheet - June 2025'!AA23</f>
        <v>128571.27</v>
      </c>
      <c r="AB23" s="43"/>
      <c r="AC23" s="48">
        <f>'Summary Sheet - April 2025'!AC23+'Summary Sheet - May 2025'!AC23+'Summary Sheet - June 2025'!AC23</f>
        <v>106522.788</v>
      </c>
      <c r="AD23" s="43"/>
      <c r="AE23" s="48">
        <f>'Summary Sheet - April 2025'!AE23+'Summary Sheet - May 2025'!AE23+'Summary Sheet - June 2025'!AE23</f>
        <v>422564.57</v>
      </c>
      <c r="AF23" s="43"/>
      <c r="AG23" s="48">
        <f>'Summary Sheet - April 2025'!AG23+'Summary Sheet - May 2025'!AG23+'Summary Sheet - June 2025'!AG23</f>
        <v>382612.5</v>
      </c>
      <c r="AH23" s="43"/>
      <c r="AI23" s="48">
        <f>'Summary Sheet - April 2025'!AI23+'Summary Sheet - May 2025'!AI23+'Summary Sheet - June 2025'!AI23</f>
        <v>710.68</v>
      </c>
      <c r="AJ23" s="43"/>
      <c r="AK23" s="48" t="str">
        <f>'Summary Sheet - April 2025'!AK23+'Summary Sheet - May 2025'!AK23+'Summary Sheet - June 2025'!AK23</f>
        <v>#REF!</v>
      </c>
      <c r="AL23" s="43"/>
      <c r="AM23" s="48">
        <f>'Summary Sheet - April 2025'!AM23+'Summary Sheet - May 2025'!AM23+'Summary Sheet - June 2025'!AM23</f>
        <v>987.47</v>
      </c>
      <c r="AN23" s="43"/>
      <c r="AO23" s="48">
        <f>'Summary Sheet - April 2025'!AO23+'Summary Sheet - May 2025'!AO23+'Summary Sheet - June 2025'!AO23</f>
        <v>0</v>
      </c>
      <c r="AP23" s="43"/>
      <c r="AQ23" s="48">
        <f>'Summary Sheet - April 2025'!AQ23+'Summary Sheet - May 2025'!AQ23+'Summary Sheet - June 2025'!AQ23</f>
        <v>19351</v>
      </c>
      <c r="AR23" s="43"/>
      <c r="AS23" s="48">
        <f>'Summary Sheet - April 2025'!AS23+'Summary Sheet - May 2025'!AS23+'Summary Sheet - June 2025'!AS23</f>
        <v>0</v>
      </c>
      <c r="AT23" s="43"/>
      <c r="AU23" s="48">
        <f>'Summary Sheet - April 2025'!AU23+'Summary Sheet - May 2025'!AU23+'Summary Sheet - June 2025'!AU23</f>
        <v>0</v>
      </c>
      <c r="AV23" s="43"/>
      <c r="AW23" s="48" t="str">
        <f>'Summary Sheet - April 2025'!AW23+'Summary Sheet - May 2025'!AW23+'Summary Sheet - June 2025'!AW23</f>
        <v>#REF!</v>
      </c>
      <c r="AX23" s="43"/>
      <c r="AY23" s="48">
        <f>'Summary Sheet - April 2025'!BG23+'Summary Sheet - May 2025'!BG23+'Summary Sheet - June 2025'!AY23</f>
        <v>0</v>
      </c>
      <c r="AZ23" s="43"/>
      <c r="BA23" s="43">
        <f>'Summary Sheet - April 2025'!BI23+'Summary Sheet - May 2025'!BI23+'Summary Sheet - June 2025'!BA23</f>
        <v>0</v>
      </c>
      <c r="BB23" s="49"/>
      <c r="BC23" s="43">
        <f>'Summary Sheet - April 2025'!BK23+'Summary Sheet - May 2025'!BK23+'Summary Sheet - June 2025'!BG23</f>
        <v>0</v>
      </c>
      <c r="BD23" s="43"/>
      <c r="BE23" s="43">
        <f>'Summary Sheet - April 2025'!BM23+'Summary Sheet - May 2025'!BM23+'Summary Sheet - June 2025'!BI23</f>
        <v>0</v>
      </c>
      <c r="BF23" s="49"/>
      <c r="BG23" s="114">
        <f>'Summary Sheet - April 2025'!BC23+'Summary Sheet - May 2025'!BC23+'Summary Sheet - June 2025'!BC23</f>
        <v>0</v>
      </c>
      <c r="BH23" s="43"/>
      <c r="BI23" s="43">
        <f>'Summary Sheet - April 2025'!BQ23+'Summary Sheet - May 2025'!BQ23+'Summary Sheet - June 2025'!BM23</f>
        <v>0</v>
      </c>
      <c r="BJ23" s="49"/>
    </row>
    <row r="24" ht="15.75" customHeight="1">
      <c r="A24" s="3"/>
      <c r="B24" s="38" t="s">
        <v>40</v>
      </c>
      <c r="C24" s="39">
        <f t="shared" si="12"/>
        <v>761478.3333</v>
      </c>
      <c r="D24" s="84">
        <f t="shared" si="13"/>
        <v>0.004783975619</v>
      </c>
      <c r="E24" s="40" t="str">
        <f t="shared" si="14"/>
        <v>#REF!</v>
      </c>
      <c r="F24" s="150"/>
      <c r="G24" s="138">
        <f>'Summary Sheet - April 2025'!G24+'Summary Sheet - May 2025'!G24+'Summary Sheet - June 2025'!G24</f>
        <v>359174.5</v>
      </c>
      <c r="H24" s="114"/>
      <c r="I24" s="114">
        <f>'Summary Sheet - April 2025'!I24+'Summary Sheet - May 2025'!I24+'Summary Sheet - June 2025'!I24</f>
        <v>364145.5</v>
      </c>
      <c r="J24" s="114"/>
      <c r="K24" s="136">
        <f t="shared" si="15"/>
        <v>402303.8333</v>
      </c>
      <c r="L24" s="139"/>
      <c r="M24" s="40" t="str">
        <f t="shared" si="16"/>
        <v>#REF!</v>
      </c>
      <c r="N24" s="139"/>
      <c r="O24" s="48">
        <f>'Summary Sheet - April 2025'!O24+'Summary Sheet - May 2025'!O24+'Summary Sheet - June 2025'!O24</f>
        <v>126201</v>
      </c>
      <c r="P24" s="43"/>
      <c r="Q24" s="48">
        <f>'Summary Sheet - April 2025'!Q24+'Summary Sheet - May 2025'!Q24+'Summary Sheet - June 2025'!Q24</f>
        <v>109200</v>
      </c>
      <c r="R24" s="43"/>
      <c r="S24" s="48">
        <f>'Summary Sheet - April 2025'!S24+'Summary Sheet - May 2025'!S24+'Summary Sheet - June 2025'!S24</f>
        <v>2065</v>
      </c>
      <c r="T24" s="43"/>
      <c r="U24" s="43" t="str">
        <f>'Summary Sheet - April 2025'!U24+'Summary Sheet - May 2025'!U24+'Summary Sheet - June 2025'!U24</f>
        <v>#REF!</v>
      </c>
      <c r="V24" s="43"/>
      <c r="W24" s="48">
        <f>'Summary Sheet - April 2025'!W24+'Summary Sheet - May 2025'!W24+'Summary Sheet - June 2025'!W24</f>
        <v>92335</v>
      </c>
      <c r="X24" s="43"/>
      <c r="Y24" s="48">
        <f>'Summary Sheet - April 2025'!Y24+'Summary Sheet - May 2025'!Y24+'Summary Sheet - June 2025'!Y24</f>
        <v>90565</v>
      </c>
      <c r="Z24" s="43"/>
      <c r="AA24" s="48">
        <f>'Summary Sheet - April 2025'!AA24+'Summary Sheet - May 2025'!AA24+'Summary Sheet - June 2025'!AA24</f>
        <v>10915</v>
      </c>
      <c r="AB24" s="43"/>
      <c r="AC24" s="48">
        <f>'Summary Sheet - April 2025'!AC24+'Summary Sheet - May 2025'!AC24+'Summary Sheet - June 2025'!AC24</f>
        <v>10914</v>
      </c>
      <c r="AD24" s="43"/>
      <c r="AE24" s="48">
        <f>'Summary Sheet - April 2025'!AE24+'Summary Sheet - May 2025'!AE24+'Summary Sheet - June 2025'!AE24</f>
        <v>106731</v>
      </c>
      <c r="AF24" s="43"/>
      <c r="AG24" s="48">
        <f>'Summary Sheet - April 2025'!AG24+'Summary Sheet - May 2025'!AG24+'Summary Sheet - June 2025'!AG24</f>
        <v>69000</v>
      </c>
      <c r="AH24" s="43"/>
      <c r="AI24" s="48">
        <f>'Summary Sheet - April 2025'!AI24+'Summary Sheet - May 2025'!AI24+'Summary Sheet - June 2025'!AI24</f>
        <v>19020.83333</v>
      </c>
      <c r="AJ24" s="43"/>
      <c r="AK24" s="48" t="str">
        <f>'Summary Sheet - April 2025'!AK24+'Summary Sheet - May 2025'!AK24+'Summary Sheet - June 2025'!AK24</f>
        <v>#REF!</v>
      </c>
      <c r="AL24" s="43"/>
      <c r="AM24" s="48">
        <f>'Summary Sheet - April 2025'!AM24+'Summary Sheet - May 2025'!AM24+'Summary Sheet - June 2025'!AM24</f>
        <v>45036</v>
      </c>
      <c r="AN24" s="43"/>
      <c r="AO24" s="48">
        <f>'Summary Sheet - April 2025'!AO24+'Summary Sheet - May 2025'!AO24+'Summary Sheet - June 2025'!AO24</f>
        <v>23600</v>
      </c>
      <c r="AP24" s="43"/>
      <c r="AQ24" s="48">
        <f>'Summary Sheet - April 2025'!AQ24+'Summary Sheet - May 2025'!AQ24+'Summary Sheet - June 2025'!AQ24</f>
        <v>0</v>
      </c>
      <c r="AR24" s="43"/>
      <c r="AS24" s="48">
        <f>'Summary Sheet - April 2025'!AS24+'Summary Sheet - May 2025'!AS24+'Summary Sheet - June 2025'!AS24</f>
        <v>0</v>
      </c>
      <c r="AT24" s="43"/>
      <c r="AU24" s="48">
        <f>'Summary Sheet - April 2025'!AU24+'Summary Sheet - May 2025'!AU24+'Summary Sheet - June 2025'!AU24</f>
        <v>0</v>
      </c>
      <c r="AV24" s="43"/>
      <c r="AW24" s="48" t="str">
        <f>'Summary Sheet - April 2025'!AW24+'Summary Sheet - May 2025'!AW24+'Summary Sheet - June 2025'!AW24</f>
        <v>#REF!</v>
      </c>
      <c r="AX24" s="43"/>
      <c r="AY24" s="48">
        <f>'Summary Sheet - April 2025'!BG24+'Summary Sheet - May 2025'!BG24+'Summary Sheet - June 2025'!AY24</f>
        <v>0</v>
      </c>
      <c r="AZ24" s="43"/>
      <c r="BA24" s="43">
        <f>'Summary Sheet - April 2025'!BI24+'Summary Sheet - May 2025'!BI24+'Summary Sheet - June 2025'!BA24</f>
        <v>0</v>
      </c>
      <c r="BB24" s="49"/>
      <c r="BC24" s="43">
        <f>'Summary Sheet - April 2025'!BK24+'Summary Sheet - May 2025'!BK24+'Summary Sheet - June 2025'!BG24</f>
        <v>0</v>
      </c>
      <c r="BD24" s="43"/>
      <c r="BE24" s="43">
        <f>'Summary Sheet - April 2025'!BM24+'Summary Sheet - May 2025'!BM24+'Summary Sheet - June 2025'!BI24</f>
        <v>0</v>
      </c>
      <c r="BF24" s="49"/>
      <c r="BG24" s="114">
        <f>'Summary Sheet - April 2025'!BC24+'Summary Sheet - May 2025'!BC24+'Summary Sheet - June 2025'!BC24</f>
        <v>0</v>
      </c>
      <c r="BH24" s="43"/>
      <c r="BI24" s="43">
        <f>'Summary Sheet - April 2025'!BQ24+'Summary Sheet - May 2025'!BQ24+'Summary Sheet - June 2025'!BM24</f>
        <v>0</v>
      </c>
      <c r="BJ24" s="49"/>
    </row>
    <row r="25" ht="15.75" customHeight="1">
      <c r="A25" s="3"/>
      <c r="B25" s="38" t="s">
        <v>41</v>
      </c>
      <c r="C25" s="39">
        <f t="shared" si="12"/>
        <v>7863555</v>
      </c>
      <c r="D25" s="84">
        <f t="shared" si="13"/>
        <v>0.04940266026</v>
      </c>
      <c r="E25" s="40" t="str">
        <f t="shared" si="14"/>
        <v>#REF!</v>
      </c>
      <c r="F25" s="150"/>
      <c r="G25" s="138">
        <f>'Summary Sheet - April 2025'!G25+'Summary Sheet - May 2025'!G25+'Summary Sheet - June 2025'!G25</f>
        <v>1805623.333</v>
      </c>
      <c r="H25" s="114"/>
      <c r="I25" s="114">
        <f>'Summary Sheet - April 2025'!I25+'Summary Sheet - May 2025'!I25+'Summary Sheet - June 2025'!I25</f>
        <v>229500</v>
      </c>
      <c r="J25" s="114"/>
      <c r="K25" s="136">
        <f t="shared" si="15"/>
        <v>6057931.667</v>
      </c>
      <c r="L25" s="139"/>
      <c r="M25" s="40" t="str">
        <f t="shared" si="16"/>
        <v>#REF!</v>
      </c>
      <c r="N25" s="139"/>
      <c r="O25" s="48">
        <f>'Summary Sheet - April 2025'!O25+'Summary Sheet - May 2025'!O25+'Summary Sheet - June 2025'!O25</f>
        <v>931418.25</v>
      </c>
      <c r="P25" s="43"/>
      <c r="Q25" s="48">
        <f>'Summary Sheet - April 2025'!Q25+'Summary Sheet - May 2025'!Q25+'Summary Sheet - June 2025'!Q25</f>
        <v>878657</v>
      </c>
      <c r="R25" s="43"/>
      <c r="S25" s="48">
        <f>'Summary Sheet - April 2025'!S25+'Summary Sheet - May 2025'!S25+'Summary Sheet - June 2025'!S25</f>
        <v>33559.25</v>
      </c>
      <c r="T25" s="43"/>
      <c r="U25" s="43" t="str">
        <f>'Summary Sheet - April 2025'!U25+'Summary Sheet - May 2025'!U25+'Summary Sheet - June 2025'!U25</f>
        <v>#REF!</v>
      </c>
      <c r="V25" s="43"/>
      <c r="W25" s="48">
        <f>'Summary Sheet - April 2025'!W25+'Summary Sheet - May 2025'!W25+'Summary Sheet - June 2025'!W25</f>
        <v>986210</v>
      </c>
      <c r="X25" s="43"/>
      <c r="Y25" s="48">
        <f>'Summary Sheet - April 2025'!Y25+'Summary Sheet - May 2025'!Y25+'Summary Sheet - June 2025'!Y25</f>
        <v>1264689.25</v>
      </c>
      <c r="Z25" s="43"/>
      <c r="AA25" s="48">
        <f>'Summary Sheet - April 2025'!AA25+'Summary Sheet - May 2025'!AA25+'Summary Sheet - June 2025'!AA25</f>
        <v>338508.25</v>
      </c>
      <c r="AB25" s="43"/>
      <c r="AC25" s="48">
        <f>'Summary Sheet - April 2025'!AC25+'Summary Sheet - May 2025'!AC25+'Summary Sheet - June 2025'!AC25</f>
        <v>177727.5</v>
      </c>
      <c r="AD25" s="43"/>
      <c r="AE25" s="48">
        <f>'Summary Sheet - April 2025'!AE25+'Summary Sheet - May 2025'!AE25+'Summary Sheet - June 2025'!AE25</f>
        <v>1249622</v>
      </c>
      <c r="AF25" s="43"/>
      <c r="AG25" s="48">
        <f>'Summary Sheet - April 2025'!AG25+'Summary Sheet - May 2025'!AG25+'Summary Sheet - June 2025'!AG25</f>
        <v>1332375</v>
      </c>
      <c r="AH25" s="43"/>
      <c r="AI25" s="48">
        <f>'Summary Sheet - April 2025'!AI25+'Summary Sheet - May 2025'!AI25+'Summary Sheet - June 2025'!AI25</f>
        <v>634621.4167</v>
      </c>
      <c r="AJ25" s="43"/>
      <c r="AK25" s="48" t="str">
        <f>'Summary Sheet - April 2025'!AK25+'Summary Sheet - May 2025'!AK25+'Summary Sheet - June 2025'!AK25</f>
        <v>#REF!</v>
      </c>
      <c r="AL25" s="43"/>
      <c r="AM25" s="48">
        <f>'Summary Sheet - April 2025'!AM25+'Summary Sheet - May 2025'!AM25+'Summary Sheet - June 2025'!AM25</f>
        <v>311928.5</v>
      </c>
      <c r="AN25" s="43"/>
      <c r="AO25" s="48">
        <f>'Summary Sheet - April 2025'!AO25+'Summary Sheet - May 2025'!AO25+'Summary Sheet - June 2025'!AO25</f>
        <v>0</v>
      </c>
      <c r="AP25" s="43"/>
      <c r="AQ25" s="48">
        <f>'Summary Sheet - April 2025'!AQ25+'Summary Sheet - May 2025'!AQ25+'Summary Sheet - June 2025'!AQ25</f>
        <v>1501264</v>
      </c>
      <c r="AR25" s="43"/>
      <c r="AS25" s="48">
        <f>'Summary Sheet - April 2025'!AS25+'Summary Sheet - May 2025'!AS25+'Summary Sheet - June 2025'!AS25</f>
        <v>0</v>
      </c>
      <c r="AT25" s="43"/>
      <c r="AU25" s="48">
        <f>'Summary Sheet - April 2025'!AU25+'Summary Sheet - May 2025'!AU25+'Summary Sheet - June 2025'!AU25</f>
        <v>48600</v>
      </c>
      <c r="AV25" s="43"/>
      <c r="AW25" s="48" t="str">
        <f>'Summary Sheet - April 2025'!AW25+'Summary Sheet - May 2025'!AW25+'Summary Sheet - June 2025'!AW25</f>
        <v>#REF!</v>
      </c>
      <c r="AX25" s="43"/>
      <c r="AY25" s="48">
        <f>'Summary Sheet - April 2025'!BG25+'Summary Sheet - May 2025'!BG25+'Summary Sheet - June 2025'!AY25</f>
        <v>22200</v>
      </c>
      <c r="AZ25" s="43"/>
      <c r="BA25" s="43">
        <f>'Summary Sheet - April 2025'!BI25+'Summary Sheet - May 2025'!BI25+'Summary Sheet - June 2025'!BA25</f>
        <v>0</v>
      </c>
      <c r="BB25" s="49"/>
      <c r="BC25" s="43">
        <f>'Summary Sheet - April 2025'!BK25+'Summary Sheet - May 2025'!BK25+'Summary Sheet - June 2025'!BG25</f>
        <v>0</v>
      </c>
      <c r="BD25" s="43"/>
      <c r="BE25" s="43">
        <f>'Summary Sheet - April 2025'!BM25+'Summary Sheet - May 2025'!BM25+'Summary Sheet - June 2025'!BI25</f>
        <v>0</v>
      </c>
      <c r="BF25" s="49"/>
      <c r="BG25" s="114">
        <f>'Summary Sheet - April 2025'!BC25+'Summary Sheet - May 2025'!BC25+'Summary Sheet - June 2025'!BC25</f>
        <v>0</v>
      </c>
      <c r="BH25" s="43"/>
      <c r="BI25" s="43">
        <f>'Summary Sheet - April 2025'!BQ25+'Summary Sheet - May 2025'!BQ25+'Summary Sheet - June 2025'!BM25</f>
        <v>0</v>
      </c>
      <c r="BJ25" s="49"/>
    </row>
    <row r="26" ht="15.75" customHeight="1">
      <c r="A26" s="3"/>
      <c r="B26" s="38" t="s">
        <v>42</v>
      </c>
      <c r="C26" s="39">
        <f t="shared" si="12"/>
        <v>288172.3333</v>
      </c>
      <c r="D26" s="84">
        <f t="shared" si="13"/>
        <v>0.001810438139</v>
      </c>
      <c r="E26" s="40" t="str">
        <f t="shared" si="14"/>
        <v>#REF!</v>
      </c>
      <c r="F26" s="150"/>
      <c r="G26" s="138">
        <f>'Summary Sheet - April 2025'!G26+'Summary Sheet - May 2025'!G26+'Summary Sheet - June 2025'!G26</f>
        <v>206472.3333</v>
      </c>
      <c r="H26" s="114"/>
      <c r="I26" s="114">
        <f>'Summary Sheet - April 2025'!I26+'Summary Sheet - May 2025'!I26+'Summary Sheet - June 2025'!I26</f>
        <v>300000</v>
      </c>
      <c r="J26" s="114"/>
      <c r="K26" s="136">
        <f t="shared" si="15"/>
        <v>81700</v>
      </c>
      <c r="L26" s="139"/>
      <c r="M26" s="40" t="str">
        <f t="shared" si="16"/>
        <v>#REF!</v>
      </c>
      <c r="N26" s="139"/>
      <c r="O26" s="48">
        <f>'Summary Sheet - April 2025'!O26+'Summary Sheet - May 2025'!O26+'Summary Sheet - June 2025'!O26</f>
        <v>81700</v>
      </c>
      <c r="P26" s="43"/>
      <c r="Q26" s="48">
        <f>'Summary Sheet - April 2025'!Q26+'Summary Sheet - May 2025'!Q26+'Summary Sheet - June 2025'!Q26</f>
        <v>0</v>
      </c>
      <c r="R26" s="43"/>
      <c r="S26" s="48">
        <f>'Summary Sheet - April 2025'!S26+'Summary Sheet - May 2025'!S26+'Summary Sheet - June 2025'!S26</f>
        <v>0</v>
      </c>
      <c r="T26" s="43"/>
      <c r="U26" s="43" t="str">
        <f>'Summary Sheet - April 2025'!U26+'Summary Sheet - May 2025'!U26+'Summary Sheet - June 2025'!U26</f>
        <v>#REF!</v>
      </c>
      <c r="V26" s="43"/>
      <c r="W26" s="48">
        <f>'Summary Sheet - April 2025'!W26+'Summary Sheet - May 2025'!W26+'Summary Sheet - June 2025'!W26</f>
        <v>0</v>
      </c>
      <c r="X26" s="43"/>
      <c r="Y26" s="48">
        <f>'Summary Sheet - April 2025'!Y26+'Summary Sheet - May 2025'!Y26+'Summary Sheet - June 2025'!Y26</f>
        <v>0</v>
      </c>
      <c r="Z26" s="43"/>
      <c r="AA26" s="48">
        <f>'Summary Sheet - April 2025'!AA26+'Summary Sheet - May 2025'!AA26+'Summary Sheet - June 2025'!AA26</f>
        <v>0</v>
      </c>
      <c r="AB26" s="43"/>
      <c r="AC26" s="43">
        <f>'Summary Sheet - April 2025'!AC26+'Summary Sheet - May 2025'!AC26+'Summary Sheet - June 2025'!AC26</f>
        <v>0</v>
      </c>
      <c r="AD26" s="43"/>
      <c r="AE26" s="48">
        <f>'Summary Sheet - April 2025'!AE26+'Summary Sheet - May 2025'!AE26+'Summary Sheet - June 2025'!AE26</f>
        <v>0</v>
      </c>
      <c r="AF26" s="43"/>
      <c r="AG26" s="48">
        <f>'Summary Sheet - April 2025'!AG26+'Summary Sheet - May 2025'!AG26+'Summary Sheet - June 2025'!AG26</f>
        <v>0</v>
      </c>
      <c r="AH26" s="43"/>
      <c r="AI26" s="48">
        <f>'Summary Sheet - April 2025'!AI26+'Summary Sheet - May 2025'!AI26+'Summary Sheet - June 2025'!AI26</f>
        <v>0</v>
      </c>
      <c r="AJ26" s="43"/>
      <c r="AK26" s="48" t="str">
        <f>'Summary Sheet - April 2025'!AK26+'Summary Sheet - May 2025'!AK26+'Summary Sheet - June 2025'!AK26</f>
        <v>#REF!</v>
      </c>
      <c r="AL26" s="43"/>
      <c r="AM26" s="48">
        <f>'Summary Sheet - April 2025'!AM26+'Summary Sheet - May 2025'!AM26+'Summary Sheet - June 2025'!AM26</f>
        <v>0</v>
      </c>
      <c r="AN26" s="43"/>
      <c r="AO26" s="48">
        <f>'Summary Sheet - April 2025'!AO26+'Summary Sheet - May 2025'!AO26+'Summary Sheet - June 2025'!AO26</f>
        <v>0</v>
      </c>
      <c r="AP26" s="43"/>
      <c r="AQ26" s="48">
        <f>'Summary Sheet - April 2025'!AQ26+'Summary Sheet - May 2025'!AQ26+'Summary Sheet - June 2025'!AQ26</f>
        <v>0</v>
      </c>
      <c r="AR26" s="43"/>
      <c r="AS26" s="48">
        <f>'Summary Sheet - April 2025'!AS26+'Summary Sheet - May 2025'!AS26+'Summary Sheet - June 2025'!AS26</f>
        <v>0</v>
      </c>
      <c r="AT26" s="43"/>
      <c r="AU26" s="48">
        <f>'Summary Sheet - April 2025'!AU26+'Summary Sheet - May 2025'!AU26+'Summary Sheet - June 2025'!AU26</f>
        <v>0</v>
      </c>
      <c r="AV26" s="43"/>
      <c r="AW26" s="48" t="str">
        <f>'Summary Sheet - April 2025'!AW26+'Summary Sheet - May 2025'!AW26+'Summary Sheet - June 2025'!AW26</f>
        <v>#REF!</v>
      </c>
      <c r="AX26" s="43"/>
      <c r="AY26" s="48">
        <f>'Summary Sheet - April 2025'!BG26+'Summary Sheet - May 2025'!BG26+'Summary Sheet - June 2025'!AY26</f>
        <v>0</v>
      </c>
      <c r="AZ26" s="43"/>
      <c r="BA26" s="43">
        <f>'Summary Sheet - April 2025'!BI26+'Summary Sheet - May 2025'!BI26+'Summary Sheet - June 2025'!BA26</f>
        <v>0</v>
      </c>
      <c r="BB26" s="49"/>
      <c r="BC26" s="43">
        <f>'Summary Sheet - April 2025'!BK26+'Summary Sheet - May 2025'!BK26+'Summary Sheet - June 2025'!BG26</f>
        <v>0</v>
      </c>
      <c r="BD26" s="43"/>
      <c r="BE26" s="43">
        <f>'Summary Sheet - April 2025'!BM26+'Summary Sheet - May 2025'!BM26+'Summary Sheet - June 2025'!BI26</f>
        <v>0</v>
      </c>
      <c r="BF26" s="49"/>
      <c r="BG26" s="114">
        <f>'Summary Sheet - April 2025'!BC26+'Summary Sheet - May 2025'!BC26+'Summary Sheet - June 2025'!BC26</f>
        <v>0</v>
      </c>
      <c r="BH26" s="43"/>
      <c r="BI26" s="43">
        <f>'Summary Sheet - April 2025'!BQ26+'Summary Sheet - May 2025'!BQ26+'Summary Sheet - June 2025'!BM26</f>
        <v>0</v>
      </c>
      <c r="BJ26" s="49"/>
    </row>
    <row r="27" ht="15.75" customHeight="1">
      <c r="A27" s="3"/>
      <c r="B27" s="38" t="s">
        <v>43</v>
      </c>
      <c r="C27" s="39">
        <f t="shared" si="12"/>
        <v>-4036934.015</v>
      </c>
      <c r="D27" s="84">
        <f t="shared" si="13"/>
        <v>-0.02536197428</v>
      </c>
      <c r="E27" s="40" t="str">
        <f t="shared" si="14"/>
        <v>#REF!</v>
      </c>
      <c r="F27" s="150"/>
      <c r="G27" s="138">
        <f>'Summary Sheet - April 2025'!G27+'Summary Sheet - May 2025'!G27+'Summary Sheet - June 2025'!G27</f>
        <v>871890</v>
      </c>
      <c r="H27" s="114"/>
      <c r="I27" s="114">
        <f>'Summary Sheet - April 2025'!I27+'Summary Sheet - May 2025'!I27+'Summary Sheet - June 2025'!I27</f>
        <v>0</v>
      </c>
      <c r="J27" s="114"/>
      <c r="K27" s="136">
        <f t="shared" si="15"/>
        <v>-4908824.015</v>
      </c>
      <c r="L27" s="139"/>
      <c r="M27" s="40" t="str">
        <f t="shared" si="16"/>
        <v>#REF!</v>
      </c>
      <c r="N27" s="139"/>
      <c r="O27" s="48">
        <f>'Summary Sheet - April 2025'!O27+'Summary Sheet - May 2025'!O27+'Summary Sheet - June 2025'!O27</f>
        <v>0</v>
      </c>
      <c r="P27" s="43"/>
      <c r="Q27" s="48">
        <f>'Summary Sheet - April 2025'!Q27+'Summary Sheet - May 2025'!Q27+'Summary Sheet - June 2025'!Q27</f>
        <v>0</v>
      </c>
      <c r="R27" s="43"/>
      <c r="S27" s="48">
        <f>'Summary Sheet - April 2025'!S27+'Summary Sheet - May 2025'!S27+'Summary Sheet - June 2025'!S27</f>
        <v>0</v>
      </c>
      <c r="T27" s="43"/>
      <c r="U27" s="48" t="str">
        <f>'Summary Sheet - April 2025'!U27+'Summary Sheet - May 2025'!U27+'Summary Sheet - June 2025'!U27</f>
        <v>#REF!</v>
      </c>
      <c r="V27" s="43"/>
      <c r="W27" s="48">
        <f>'Summary Sheet - April 2025'!W27+'Summary Sheet - May 2025'!W27+'Summary Sheet - June 2025'!W27</f>
        <v>0</v>
      </c>
      <c r="X27" s="43"/>
      <c r="Y27" s="48">
        <f>'Summary Sheet - April 2025'!Y27+'Summary Sheet - May 2025'!Y27+'Summary Sheet - June 2025'!Y27</f>
        <v>0</v>
      </c>
      <c r="Z27" s="43"/>
      <c r="AA27" s="48">
        <f>'Summary Sheet - April 2025'!AA27+'Summary Sheet - May 2025'!AA27+'Summary Sheet - June 2025'!AA27</f>
        <v>0</v>
      </c>
      <c r="AB27" s="43"/>
      <c r="AC27" s="48">
        <f>'Summary Sheet - April 2025'!AC27+'Summary Sheet - May 2025'!AC27+'Summary Sheet - June 2025'!AC27</f>
        <v>0</v>
      </c>
      <c r="AD27" s="43"/>
      <c r="AE27" s="48">
        <f>'Summary Sheet - April 2025'!AE27+'Summary Sheet - May 2025'!AE27+'Summary Sheet - June 2025'!AE27</f>
        <v>0</v>
      </c>
      <c r="AF27" s="43"/>
      <c r="AG27" s="48">
        <f>'Summary Sheet - April 2025'!AG27+'Summary Sheet - May 2025'!AG27+'Summary Sheet - June 2025'!AG27</f>
        <v>0</v>
      </c>
      <c r="AH27" s="43"/>
      <c r="AI27" s="48">
        <f>'Summary Sheet - April 2025'!AI27+'Summary Sheet - May 2025'!AI27+'Summary Sheet - June 2025'!AI27</f>
        <v>0</v>
      </c>
      <c r="AJ27" s="43"/>
      <c r="AK27" s="48" t="str">
        <f>'Summary Sheet - April 2025'!AK27+'Summary Sheet - May 2025'!AK27+'Summary Sheet - June 2025'!AK27</f>
        <v>#REF!</v>
      </c>
      <c r="AL27" s="43"/>
      <c r="AM27" s="48">
        <f>'Summary Sheet - April 2025'!AM27+'Summary Sheet - May 2025'!AM27+'Summary Sheet - June 2025'!AM27</f>
        <v>-4908824.015</v>
      </c>
      <c r="AN27" s="43"/>
      <c r="AO27" s="48">
        <f>'Summary Sheet - April 2025'!AO27+'Summary Sheet - May 2025'!AO27+'Summary Sheet - June 2025'!AO27</f>
        <v>0</v>
      </c>
      <c r="AP27" s="43"/>
      <c r="AQ27" s="48">
        <f>'Summary Sheet - April 2025'!AQ27+'Summary Sheet - May 2025'!AQ27+'Summary Sheet - June 2025'!AQ27</f>
        <v>0</v>
      </c>
      <c r="AR27" s="43"/>
      <c r="AS27" s="48">
        <f>'Summary Sheet - April 2025'!AS27+'Summary Sheet - May 2025'!AS27+'Summary Sheet - June 2025'!AS27</f>
        <v>0</v>
      </c>
      <c r="AT27" s="43"/>
      <c r="AU27" s="48">
        <f>'Summary Sheet - April 2025'!AU27+'Summary Sheet - May 2025'!AU27+'Summary Sheet - June 2025'!AU27</f>
        <v>0</v>
      </c>
      <c r="AV27" s="43"/>
      <c r="AW27" s="48" t="str">
        <f>'Summary Sheet - April 2025'!AW27+'Summary Sheet - May 2025'!AW27+'Summary Sheet - June 2025'!AW27</f>
        <v>#REF!</v>
      </c>
      <c r="AX27" s="43"/>
      <c r="AY27" s="48">
        <f>'Summary Sheet - April 2025'!BG27+'Summary Sheet - May 2025'!BG27+'Summary Sheet - June 2025'!AY27</f>
        <v>0</v>
      </c>
      <c r="AZ27" s="43"/>
      <c r="BA27" s="43">
        <f>'Summary Sheet - April 2025'!BI27+'Summary Sheet - May 2025'!BI27+'Summary Sheet - June 2025'!BA27</f>
        <v>0</v>
      </c>
      <c r="BB27" s="49"/>
      <c r="BC27" s="43">
        <f>'Summary Sheet - April 2025'!BK27+'Summary Sheet - May 2025'!BK27+'Summary Sheet - June 2025'!BG27</f>
        <v>0</v>
      </c>
      <c r="BD27" s="43"/>
      <c r="BE27" s="43">
        <f>'Summary Sheet - April 2025'!BM27+'Summary Sheet - May 2025'!BM27+'Summary Sheet - June 2025'!BI27</f>
        <v>0</v>
      </c>
      <c r="BF27" s="49"/>
      <c r="BG27" s="114">
        <f>'Summary Sheet - April 2025'!BC27+'Summary Sheet - May 2025'!BC27+'Summary Sheet - June 2025'!BC27</f>
        <v>0</v>
      </c>
      <c r="BH27" s="43"/>
      <c r="BI27" s="43">
        <f>'Summary Sheet - April 2025'!BQ27+'Summary Sheet - May 2025'!BQ27+'Summary Sheet - June 2025'!BM27</f>
        <v>0</v>
      </c>
      <c r="BJ27" s="49"/>
    </row>
    <row r="28" ht="15.75" customHeight="1">
      <c r="A28" s="3"/>
      <c r="B28" s="161" t="s">
        <v>44</v>
      </c>
      <c r="C28" s="162">
        <f>SUM(C18:C27)</f>
        <v>96364853.58</v>
      </c>
      <c r="D28" s="163">
        <f>C28/C10</f>
        <v>0.6054106727</v>
      </c>
      <c r="E28" s="164" t="str">
        <f t="shared" si="14"/>
        <v>#REF!</v>
      </c>
      <c r="F28" s="165"/>
      <c r="G28" s="166">
        <f>SUM(G18:G27)</f>
        <v>18149002.56</v>
      </c>
      <c r="H28" s="164"/>
      <c r="I28" s="164">
        <f>SUM(I18:I27)</f>
        <v>14460421.32</v>
      </c>
      <c r="J28" s="164"/>
      <c r="K28" s="164">
        <f>SUM(K18:K27)</f>
        <v>78215851.02</v>
      </c>
      <c r="L28" s="164"/>
      <c r="M28" s="164" t="str">
        <f>SUM(M18:M27)</f>
        <v>#REF!</v>
      </c>
      <c r="N28" s="164"/>
      <c r="O28" s="164">
        <f>SUM(O18:O27)</f>
        <v>24376298.52</v>
      </c>
      <c r="P28" s="164"/>
      <c r="Q28" s="164">
        <f>SUM(Q18:Q27)</f>
        <v>24257549.64</v>
      </c>
      <c r="R28" s="164"/>
      <c r="S28" s="164">
        <f>SUM(S18:S27)</f>
        <v>1523396.533</v>
      </c>
      <c r="T28" s="164"/>
      <c r="U28" s="164" t="str">
        <f>SUM(U18:U27)</f>
        <v>#REF!</v>
      </c>
      <c r="V28" s="164"/>
      <c r="W28" s="164">
        <f>SUM(W18:W27)</f>
        <v>17997358.58</v>
      </c>
      <c r="X28" s="164"/>
      <c r="Y28" s="164">
        <f>SUM(Y18:Y27)</f>
        <v>18429447.96</v>
      </c>
      <c r="Z28" s="164"/>
      <c r="AA28" s="164">
        <f>SUM(AA18:AA27)</f>
        <v>9086718.263</v>
      </c>
      <c r="AB28" s="164"/>
      <c r="AC28" s="164">
        <f>SUM(AC18:AC27)</f>
        <v>9195972.844</v>
      </c>
      <c r="AD28" s="164"/>
      <c r="AE28" s="164">
        <f>SUM(AE18:AE27)</f>
        <v>20647584.31</v>
      </c>
      <c r="AF28" s="164"/>
      <c r="AG28" s="164">
        <f>SUM(AG18:AG27)</f>
        <v>21004122.32</v>
      </c>
      <c r="AH28" s="164"/>
      <c r="AI28" s="164">
        <f>SUM(AI18:AI27)</f>
        <v>2006828.93</v>
      </c>
      <c r="AJ28" s="164"/>
      <c r="AK28" s="164" t="str">
        <f>SUM(AK18:AK27)</f>
        <v>#REF!</v>
      </c>
      <c r="AL28" s="164"/>
      <c r="AM28" s="164">
        <f>SUM(AM18:AM27)</f>
        <v>175780.6057</v>
      </c>
      <c r="AN28" s="164"/>
      <c r="AO28" s="164">
        <f>SUM(AO18:AO27)</f>
        <v>938526</v>
      </c>
      <c r="AP28" s="164"/>
      <c r="AQ28" s="164">
        <f>SUM(AQ18:AQ27)</f>
        <v>1814915</v>
      </c>
      <c r="AR28" s="164"/>
      <c r="AS28" s="164">
        <f>SUM(AS18:AS27)</f>
        <v>80500</v>
      </c>
      <c r="AT28" s="164"/>
      <c r="AU28" s="164">
        <f>SUM(AU18:AU27)</f>
        <v>382761.9433</v>
      </c>
      <c r="AV28" s="164"/>
      <c r="AW28" s="164" t="str">
        <f>SUM(AW18:AW27)</f>
        <v>#REF!</v>
      </c>
      <c r="AX28" s="164"/>
      <c r="AY28" s="164">
        <f>SUM(AY18:AY27)</f>
        <v>58743.33333</v>
      </c>
      <c r="AZ28" s="164"/>
      <c r="BA28" s="164">
        <f>SUM(BA18:BA27)</f>
        <v>0</v>
      </c>
      <c r="BB28" s="165"/>
      <c r="BC28" s="164">
        <f>SUM(BC18:BC27)</f>
        <v>0</v>
      </c>
      <c r="BD28" s="164"/>
      <c r="BE28" s="164">
        <f>SUM(BE18:BE27)</f>
        <v>0</v>
      </c>
      <c r="BF28" s="165"/>
      <c r="BG28" s="164">
        <f>SUM(BG18:BG27)</f>
        <v>145465</v>
      </c>
      <c r="BH28" s="164"/>
      <c r="BI28" s="164">
        <f>SUM(BI18:BI27)</f>
        <v>0</v>
      </c>
      <c r="BJ28" s="165"/>
    </row>
    <row r="29" ht="15.75" customHeight="1">
      <c r="A29" s="3"/>
      <c r="B29" s="50"/>
      <c r="C29" s="167"/>
      <c r="D29" s="142"/>
      <c r="E29" s="142"/>
      <c r="F29" s="151"/>
      <c r="G29" s="141"/>
      <c r="H29" s="62"/>
      <c r="I29" s="62"/>
      <c r="J29" s="62"/>
      <c r="K29" s="142"/>
      <c r="L29" s="142"/>
      <c r="M29" s="142"/>
      <c r="N29" s="142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5"/>
      <c r="AW29" s="55"/>
      <c r="AX29" s="55"/>
      <c r="AY29" s="55"/>
      <c r="AZ29" s="55"/>
      <c r="BA29" s="55"/>
      <c r="BB29" s="61"/>
      <c r="BC29" s="55"/>
      <c r="BD29" s="55"/>
      <c r="BE29" s="55"/>
      <c r="BF29" s="61"/>
      <c r="BG29" s="55"/>
      <c r="BH29" s="55"/>
      <c r="BI29" s="55"/>
      <c r="BJ29" s="61"/>
    </row>
    <row r="30" ht="15.75" customHeight="1">
      <c r="A30" s="3"/>
      <c r="B30" s="16" t="s">
        <v>45</v>
      </c>
      <c r="C30" s="66">
        <f>C16-C28</f>
        <v>8863253.503</v>
      </c>
      <c r="D30" s="67"/>
      <c r="E30" s="68" t="str">
        <f>E16-E28</f>
        <v>#REF!</v>
      </c>
      <c r="F30" s="73"/>
      <c r="G30" s="145">
        <f>G16-G28</f>
        <v>-18149002.56</v>
      </c>
      <c r="H30" s="146"/>
      <c r="I30" s="146">
        <f>I16-I28</f>
        <v>-14460421.32</v>
      </c>
      <c r="J30" s="146"/>
      <c r="K30" s="68">
        <f>K16-K28</f>
        <v>27012256.06</v>
      </c>
      <c r="L30" s="70"/>
      <c r="M30" s="68" t="str">
        <f>M16-M28</f>
        <v>#REF!</v>
      </c>
      <c r="N30" s="70"/>
      <c r="O30" s="118">
        <f>O16-O28</f>
        <v>2270453.653</v>
      </c>
      <c r="P30" s="147"/>
      <c r="Q30" s="118">
        <f>Q16-Q28</f>
        <v>2731667.982</v>
      </c>
      <c r="R30" s="147"/>
      <c r="S30" s="118">
        <f>S16-S28</f>
        <v>-731431.1352</v>
      </c>
      <c r="T30" s="147"/>
      <c r="U30" s="118" t="str">
        <f>U16-U28</f>
        <v>#REF!</v>
      </c>
      <c r="V30" s="147"/>
      <c r="W30" s="118">
        <f>W16-W28</f>
        <v>6312729.639</v>
      </c>
      <c r="X30" s="147"/>
      <c r="Y30" s="118">
        <f>Y16-Y28</f>
        <v>9048971.611</v>
      </c>
      <c r="Z30" s="147"/>
      <c r="AA30" s="118">
        <f>AA16-AA28</f>
        <v>8337259.642</v>
      </c>
      <c r="AB30" s="147"/>
      <c r="AC30" s="118">
        <f>AC16-AC28</f>
        <v>9529080.059</v>
      </c>
      <c r="AD30" s="147"/>
      <c r="AE30" s="118">
        <f>AE16-AE28</f>
        <v>13648943.64</v>
      </c>
      <c r="AF30" s="147"/>
      <c r="AG30" s="118">
        <f>AG16-AG28</f>
        <v>13245698.55</v>
      </c>
      <c r="AH30" s="147"/>
      <c r="AI30" s="118">
        <f>AI16-AI28</f>
        <v>-1025868.93</v>
      </c>
      <c r="AJ30" s="147"/>
      <c r="AK30" s="118" t="str">
        <f>AK16-AK28</f>
        <v>#REF!</v>
      </c>
      <c r="AL30" s="147"/>
      <c r="AM30" s="118">
        <f>AM16-AM28</f>
        <v>244328.9233</v>
      </c>
      <c r="AN30" s="147"/>
      <c r="AO30" s="118">
        <f>AO16-AO28</f>
        <v>-698526</v>
      </c>
      <c r="AP30" s="147"/>
      <c r="AQ30" s="118">
        <f>AQ16-AQ28</f>
        <v>-1814915</v>
      </c>
      <c r="AR30" s="147"/>
      <c r="AS30" s="118">
        <f>AS16-AS28</f>
        <v>-80500</v>
      </c>
      <c r="AT30" s="147"/>
      <c r="AU30" s="118">
        <f>AU16-AU28</f>
        <v>-35851.04154</v>
      </c>
      <c r="AV30" s="147"/>
      <c r="AW30" s="118" t="str">
        <f>AW16-AW28</f>
        <v>#REF!</v>
      </c>
      <c r="AX30" s="147"/>
      <c r="AY30" s="118">
        <f>AY16-AY28</f>
        <v>-47928.33333</v>
      </c>
      <c r="AZ30" s="147"/>
      <c r="BA30" s="118" t="str">
        <f>BA16-BA28</f>
        <v>#REF!</v>
      </c>
      <c r="BB30" s="120"/>
      <c r="BC30" s="118">
        <f>BC16-BC28</f>
        <v>0</v>
      </c>
      <c r="BD30" s="147"/>
      <c r="BE30" s="118">
        <f>BE16-BE28</f>
        <v>0</v>
      </c>
      <c r="BF30" s="120"/>
      <c r="BG30" s="118">
        <f>BG16-BG28</f>
        <v>-145465</v>
      </c>
      <c r="BH30" s="147"/>
      <c r="BI30" s="118">
        <f>BI16-BI28</f>
        <v>0</v>
      </c>
      <c r="BJ30" s="120"/>
    </row>
    <row r="31" ht="15.75" customHeight="1">
      <c r="A31" s="3"/>
      <c r="B31" s="168" t="s">
        <v>50</v>
      </c>
      <c r="C31" s="169">
        <f>C30/C10</f>
        <v>0.05568325034</v>
      </c>
      <c r="D31" s="170"/>
      <c r="E31" s="155" t="str">
        <f>E30/E10</f>
        <v>#REF!</v>
      </c>
      <c r="F31" s="171"/>
      <c r="G31" s="172"/>
      <c r="H31" s="173"/>
      <c r="I31" s="173"/>
      <c r="J31" s="173"/>
      <c r="K31" s="155">
        <f>K30/K10</f>
        <v>0.1697040726</v>
      </c>
      <c r="L31" s="170"/>
      <c r="M31" s="155" t="str">
        <f>M30/M10</f>
        <v>#REF!</v>
      </c>
      <c r="N31" s="170"/>
      <c r="O31" s="155">
        <f>O30/O10</f>
        <v>0.0506862513</v>
      </c>
      <c r="P31" s="170"/>
      <c r="Q31" s="155">
        <f>Q30/Q10</f>
        <v>0.06732892667</v>
      </c>
      <c r="R31" s="170"/>
      <c r="S31" s="155">
        <f>S30/S10</f>
        <v>-0.5322909427</v>
      </c>
      <c r="T31" s="170"/>
      <c r="U31" s="155" t="str">
        <f>U30/U10</f>
        <v>#REF!</v>
      </c>
      <c r="V31" s="170"/>
      <c r="W31" s="155">
        <f>W30/W10</f>
        <v>0.173115287</v>
      </c>
      <c r="X31" s="170"/>
      <c r="Y31" s="155">
        <f>Y30/Y10</f>
        <v>0.2358278936</v>
      </c>
      <c r="Z31" s="170"/>
      <c r="AA31" s="155">
        <f>AA30/AA10</f>
        <v>0.3239809657</v>
      </c>
      <c r="AB31" s="170"/>
      <c r="AC31" s="155">
        <f>AC30/AC10</f>
        <v>0.381772683</v>
      </c>
      <c r="AD31" s="170"/>
      <c r="AE31" s="155">
        <f>AE30/AE10</f>
        <v>0.2846793345</v>
      </c>
      <c r="AF31" s="170"/>
      <c r="AG31" s="155">
        <f>AG30/AG10</f>
        <v>0.271825801</v>
      </c>
      <c r="AH31" s="170"/>
      <c r="AI31" s="155">
        <f>AI30/AI10</f>
        <v>-1.044986967</v>
      </c>
      <c r="AJ31" s="170"/>
      <c r="AK31" s="155" t="str">
        <f>AK30/AK10</f>
        <v>#REF!</v>
      </c>
      <c r="AL31" s="170"/>
      <c r="AM31" s="155">
        <f>AM30/AM10</f>
        <v>0.2363072424</v>
      </c>
      <c r="AN31" s="170"/>
      <c r="AO31" s="155">
        <f>AO30/AO10</f>
        <v>-2.910525</v>
      </c>
      <c r="AP31" s="170"/>
      <c r="AQ31" s="170"/>
      <c r="AR31" s="170"/>
      <c r="AS31" s="170"/>
      <c r="AT31" s="170"/>
      <c r="AU31" s="170"/>
      <c r="AV31" s="170"/>
      <c r="AW31" s="170"/>
      <c r="AX31" s="170"/>
      <c r="AY31" s="170"/>
      <c r="AZ31" s="170"/>
      <c r="BA31" s="170"/>
      <c r="BB31" s="171"/>
      <c r="BC31" s="170"/>
      <c r="BD31" s="170"/>
      <c r="BE31" s="170"/>
      <c r="BF31" s="171"/>
      <c r="BG31" s="170"/>
      <c r="BH31" s="170"/>
      <c r="BI31" s="170"/>
      <c r="BJ31" s="171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174">
        <f>'Summary Sheet - April 2025'!AA30+'Summary Sheet - May 2025'!AA30+'Summary Sheet - June 2025'!AA30</f>
        <v>8337259.642</v>
      </c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</row>
    <row r="34" ht="15.75" customHeight="1">
      <c r="A34" s="3"/>
      <c r="B34" s="3"/>
      <c r="C34" s="174"/>
      <c r="D34" s="3"/>
      <c r="E34" s="174"/>
      <c r="F34" s="3"/>
      <c r="G34" s="174"/>
      <c r="H34" s="3"/>
      <c r="I34" s="3"/>
      <c r="J34" s="3"/>
      <c r="K34" s="174"/>
      <c r="L34" s="3"/>
      <c r="M34" s="174"/>
      <c r="N34" s="3"/>
      <c r="O34" s="174"/>
      <c r="P34" s="3"/>
      <c r="Q34" s="174"/>
      <c r="R34" s="3"/>
      <c r="S34" s="174"/>
      <c r="T34" s="3"/>
      <c r="U34" s="174"/>
      <c r="V34" s="3"/>
      <c r="W34" s="174"/>
      <c r="X34" s="3"/>
      <c r="Y34" s="174"/>
      <c r="Z34" s="3"/>
      <c r="AA34" s="174"/>
      <c r="AB34" s="3"/>
      <c r="AC34" s="174"/>
      <c r="AD34" s="3"/>
      <c r="AE34" s="174"/>
      <c r="AF34" s="3"/>
      <c r="AG34" s="174"/>
      <c r="AH34" s="3"/>
      <c r="AI34" s="174"/>
      <c r="AJ34" s="3"/>
      <c r="AK34" s="174"/>
      <c r="AL34" s="3"/>
      <c r="AM34" s="174">
        <f>'Summary Sheet - April 2025'!AM10+'Summary Sheet - May 2025'!AM10+'Summary Sheet - June 2025'!AM10</f>
        <v>1033945.98</v>
      </c>
      <c r="AN34" s="174">
        <f>AM10-AM34</f>
        <v>0</v>
      </c>
      <c r="AO34" s="174"/>
      <c r="AP34" s="3"/>
      <c r="AQ34" s="174"/>
      <c r="AR34" s="3"/>
      <c r="AS34" s="174"/>
      <c r="AT34" s="3"/>
      <c r="AU34" s="174"/>
      <c r="AV34" s="3"/>
      <c r="AW34" s="174"/>
      <c r="AX34" s="3"/>
      <c r="AY34" s="174"/>
      <c r="AZ34" s="3"/>
      <c r="BA34" s="174"/>
      <c r="BB34" s="3"/>
      <c r="BC34" s="174"/>
      <c r="BD34" s="3"/>
      <c r="BE34" s="174"/>
      <c r="BF34" s="3"/>
      <c r="BG34" s="174"/>
      <c r="BH34" s="3"/>
      <c r="BI34" s="174"/>
      <c r="BJ34" s="3"/>
    </row>
    <row r="35" ht="15.75" customHeight="1">
      <c r="A35" s="3"/>
      <c r="B35" s="3"/>
      <c r="C35" s="174"/>
      <c r="D35" s="3"/>
      <c r="E35" s="174"/>
      <c r="F35" s="3"/>
      <c r="G35" s="174"/>
      <c r="H35" s="3"/>
      <c r="I35" s="3"/>
      <c r="J35" s="3"/>
      <c r="K35" s="174"/>
      <c r="L35" s="3"/>
      <c r="M35" s="174"/>
      <c r="N35" s="3"/>
      <c r="O35" s="174"/>
      <c r="P35" s="3"/>
      <c r="Q35" s="174"/>
      <c r="R35" s="3"/>
      <c r="S35" s="174"/>
      <c r="T35" s="3"/>
      <c r="U35" s="174"/>
      <c r="V35" s="3"/>
      <c r="W35" s="174"/>
      <c r="X35" s="3"/>
      <c r="Y35" s="174"/>
      <c r="Z35" s="3"/>
      <c r="AA35" s="174">
        <f>AA30-AA33</f>
        <v>0.000000001862645149</v>
      </c>
      <c r="AB35" s="3"/>
      <c r="AC35" s="174"/>
      <c r="AD35" s="3"/>
      <c r="AE35" s="174"/>
      <c r="AF35" s="3"/>
      <c r="AG35" s="174"/>
      <c r="AH35" s="3"/>
      <c r="AI35" s="174"/>
      <c r="AJ35" s="3"/>
      <c r="AK35" s="174"/>
      <c r="AL35" s="3"/>
      <c r="AM35" s="174">
        <f>'Summary Sheet - April 2025'!AM15+'Summary Sheet - May 2025'!AM14+'Summary Sheet - June 2025'!AM14</f>
        <v>613836.451</v>
      </c>
      <c r="AN35" s="174">
        <f>AM14-AM35</f>
        <v>0</v>
      </c>
      <c r="AO35" s="174"/>
      <c r="AP35" s="3"/>
      <c r="AQ35" s="174"/>
      <c r="AR35" s="3"/>
      <c r="AS35" s="174"/>
      <c r="AT35" s="3"/>
      <c r="AU35" s="174"/>
      <c r="AV35" s="3"/>
      <c r="AW35" s="174"/>
      <c r="AX35" s="3"/>
      <c r="AY35" s="174"/>
      <c r="AZ35" s="3"/>
      <c r="BA35" s="174"/>
      <c r="BB35" s="3"/>
      <c r="BC35" s="174"/>
      <c r="BD35" s="3"/>
      <c r="BE35" s="174"/>
      <c r="BF35" s="3"/>
      <c r="BG35" s="174"/>
      <c r="BH35" s="3"/>
      <c r="BI35" s="174"/>
      <c r="BJ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174">
        <f>'Summary Sheet - April 2025'!AM28+'Summary Sheet - May 2025'!AM28+'Summary Sheet - June 2025'!AM28</f>
        <v>175780.6057</v>
      </c>
      <c r="AN36" s="175">
        <f>AM28-AM36</f>
        <v>-0.0000000004656612873</v>
      </c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174">
        <f>AM34-AM35-AM36</f>
        <v>244328.9233</v>
      </c>
      <c r="AN37" s="174">
        <f>AM30-AM37</f>
        <v>0.0000000004656612873</v>
      </c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</row>
  </sheetData>
  <mergeCells count="16">
    <mergeCell ref="B3:B4"/>
    <mergeCell ref="C3:F3"/>
    <mergeCell ref="G3:J3"/>
    <mergeCell ref="K3:N3"/>
    <mergeCell ref="O3:R3"/>
    <mergeCell ref="S3:V3"/>
    <mergeCell ref="W3:Z3"/>
    <mergeCell ref="BC3:BF3"/>
    <mergeCell ref="BG3:BJ3"/>
    <mergeCell ref="AA3:AD3"/>
    <mergeCell ref="AE3:AH3"/>
    <mergeCell ref="AI3:AL3"/>
    <mergeCell ref="AM3:AP3"/>
    <mergeCell ref="AQ3:AT3"/>
    <mergeCell ref="AU3:AX3"/>
    <mergeCell ref="AY3:BB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6" width="12.63"/>
    <col customWidth="1" min="7" max="7" width="15.0"/>
    <col customWidth="1" min="8" max="56" width="12.63"/>
  </cols>
  <sheetData>
    <row r="1" ht="15.75" customHeight="1">
      <c r="A1" s="176"/>
      <c r="B1" s="177" t="s">
        <v>1</v>
      </c>
      <c r="C1" s="176"/>
      <c r="D1" s="176"/>
      <c r="E1" s="176"/>
      <c r="F1" s="176"/>
      <c r="G1" s="178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</row>
    <row r="2" ht="15.75" customHeight="1">
      <c r="A2" s="176"/>
      <c r="B2" s="179" t="s">
        <v>51</v>
      </c>
      <c r="C2" s="180"/>
      <c r="D2" s="180"/>
      <c r="E2" s="176"/>
      <c r="F2" s="176"/>
      <c r="G2" s="178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  <c r="BC2" s="176"/>
      <c r="BD2" s="176"/>
    </row>
    <row r="3" ht="15.75" customHeight="1">
      <c r="A3" s="176"/>
      <c r="B3" s="130"/>
      <c r="C3" s="6" t="s">
        <v>48</v>
      </c>
      <c r="D3" s="7"/>
      <c r="E3" s="7"/>
      <c r="F3" s="8"/>
      <c r="G3" s="131" t="s">
        <v>49</v>
      </c>
      <c r="H3" s="7"/>
      <c r="I3" s="7"/>
      <c r="J3" s="132"/>
      <c r="K3" s="133" t="s">
        <v>5</v>
      </c>
      <c r="L3" s="7"/>
      <c r="M3" s="7"/>
      <c r="N3" s="132"/>
      <c r="O3" s="133" t="s">
        <v>6</v>
      </c>
      <c r="P3" s="7"/>
      <c r="Q3" s="7"/>
      <c r="R3" s="132"/>
      <c r="S3" s="133" t="s">
        <v>7</v>
      </c>
      <c r="T3" s="7"/>
      <c r="U3" s="7"/>
      <c r="V3" s="132"/>
      <c r="W3" s="133" t="s">
        <v>8</v>
      </c>
      <c r="X3" s="7"/>
      <c r="Y3" s="7"/>
      <c r="Z3" s="132"/>
      <c r="AA3" s="133" t="s">
        <v>9</v>
      </c>
      <c r="AB3" s="7"/>
      <c r="AC3" s="7"/>
      <c r="AD3" s="132"/>
      <c r="AE3" s="133" t="s">
        <v>10</v>
      </c>
      <c r="AF3" s="7"/>
      <c r="AG3" s="7"/>
      <c r="AH3" s="132"/>
      <c r="AI3" s="133" t="s">
        <v>11</v>
      </c>
      <c r="AJ3" s="7"/>
      <c r="AK3" s="7"/>
      <c r="AL3" s="132"/>
      <c r="AM3" s="133" t="s">
        <v>12</v>
      </c>
      <c r="AN3" s="7"/>
      <c r="AO3" s="7"/>
      <c r="AP3" s="132"/>
      <c r="AQ3" s="133" t="s">
        <v>13</v>
      </c>
      <c r="AR3" s="7"/>
      <c r="AS3" s="7"/>
      <c r="AT3" s="132"/>
      <c r="AU3" s="133" t="s">
        <v>14</v>
      </c>
      <c r="AV3" s="132"/>
      <c r="AW3" s="133" t="s">
        <v>15</v>
      </c>
      <c r="AX3" s="8"/>
      <c r="AY3" s="10" t="s">
        <v>16</v>
      </c>
      <c r="AZ3" s="14"/>
      <c r="BA3" s="10" t="s">
        <v>52</v>
      </c>
      <c r="BB3" s="11"/>
      <c r="BC3" s="11"/>
      <c r="BD3" s="14"/>
    </row>
    <row r="4" ht="15.75" customHeight="1">
      <c r="A4" s="176"/>
      <c r="B4" s="134"/>
      <c r="C4" s="17" t="s">
        <v>21</v>
      </c>
      <c r="D4" s="18" t="s">
        <v>19</v>
      </c>
      <c r="E4" s="18" t="s">
        <v>20</v>
      </c>
      <c r="F4" s="19" t="s">
        <v>19</v>
      </c>
      <c r="G4" s="181" t="s">
        <v>21</v>
      </c>
      <c r="H4" s="18" t="s">
        <v>19</v>
      </c>
      <c r="I4" s="18" t="s">
        <v>20</v>
      </c>
      <c r="J4" s="18" t="s">
        <v>19</v>
      </c>
      <c r="K4" s="18" t="s">
        <v>21</v>
      </c>
      <c r="L4" s="18" t="s">
        <v>19</v>
      </c>
      <c r="M4" s="18" t="s">
        <v>20</v>
      </c>
      <c r="N4" s="18" t="s">
        <v>19</v>
      </c>
      <c r="O4" s="18" t="s">
        <v>21</v>
      </c>
      <c r="P4" s="18" t="s">
        <v>19</v>
      </c>
      <c r="Q4" s="18" t="s">
        <v>20</v>
      </c>
      <c r="R4" s="18" t="s">
        <v>19</v>
      </c>
      <c r="S4" s="18" t="s">
        <v>21</v>
      </c>
      <c r="T4" s="18" t="s">
        <v>19</v>
      </c>
      <c r="U4" s="18" t="s">
        <v>20</v>
      </c>
      <c r="V4" s="18" t="s">
        <v>19</v>
      </c>
      <c r="W4" s="18" t="s">
        <v>21</v>
      </c>
      <c r="X4" s="18" t="s">
        <v>19</v>
      </c>
      <c r="Y4" s="18" t="s">
        <v>20</v>
      </c>
      <c r="Z4" s="18" t="s">
        <v>19</v>
      </c>
      <c r="AA4" s="18" t="s">
        <v>21</v>
      </c>
      <c r="AB4" s="18" t="s">
        <v>19</v>
      </c>
      <c r="AC4" s="18" t="s">
        <v>20</v>
      </c>
      <c r="AD4" s="18" t="s">
        <v>19</v>
      </c>
      <c r="AE4" s="18" t="s">
        <v>21</v>
      </c>
      <c r="AF4" s="18" t="s">
        <v>19</v>
      </c>
      <c r="AG4" s="18" t="s">
        <v>20</v>
      </c>
      <c r="AH4" s="18" t="s">
        <v>19</v>
      </c>
      <c r="AI4" s="18" t="s">
        <v>21</v>
      </c>
      <c r="AJ4" s="18" t="s">
        <v>19</v>
      </c>
      <c r="AK4" s="18" t="s">
        <v>20</v>
      </c>
      <c r="AL4" s="18" t="s">
        <v>19</v>
      </c>
      <c r="AM4" s="18" t="s">
        <v>21</v>
      </c>
      <c r="AN4" s="18" t="s">
        <v>19</v>
      </c>
      <c r="AO4" s="18" t="s">
        <v>20</v>
      </c>
      <c r="AP4" s="18" t="s">
        <v>19</v>
      </c>
      <c r="AQ4" s="18" t="s">
        <v>21</v>
      </c>
      <c r="AR4" s="18" t="s">
        <v>19</v>
      </c>
      <c r="AS4" s="18" t="s">
        <v>20</v>
      </c>
      <c r="AT4" s="18" t="s">
        <v>19</v>
      </c>
      <c r="AU4" s="18" t="s">
        <v>21</v>
      </c>
      <c r="AV4" s="18" t="s">
        <v>19</v>
      </c>
      <c r="AW4" s="18" t="s">
        <v>21</v>
      </c>
      <c r="AX4" s="18" t="s">
        <v>19</v>
      </c>
      <c r="AY4" s="18" t="s">
        <v>21</v>
      </c>
      <c r="AZ4" s="18" t="s">
        <v>19</v>
      </c>
      <c r="BA4" s="18" t="s">
        <v>21</v>
      </c>
      <c r="BB4" s="18" t="s">
        <v>19</v>
      </c>
      <c r="BC4" s="18" t="s">
        <v>20</v>
      </c>
      <c r="BD4" s="19" t="s">
        <v>19</v>
      </c>
    </row>
    <row r="5" ht="15.75" customHeight="1">
      <c r="A5" s="176"/>
      <c r="B5" s="22" t="s">
        <v>22</v>
      </c>
      <c r="C5" s="23">
        <f t="shared" ref="C5:C9" si="1">G5+K5</f>
        <v>16852227</v>
      </c>
      <c r="D5" s="137"/>
      <c r="E5" s="25" t="str">
        <f t="shared" ref="E5:E9" si="2">I5+M5</f>
        <v>#REF!</v>
      </c>
      <c r="F5" s="149"/>
      <c r="G5" s="135">
        <f>'Summary Sheet - July 2025'!G5+'Summary Sheet - Aug 2025'!G5+'Summary Sheet - Sep 2025'!G5</f>
        <v>0</v>
      </c>
      <c r="H5" s="28"/>
      <c r="I5" s="34">
        <f>'Summary Sheet - July 2025'!I5+'Summary Sheet - Aug 2025'!I5+'Summary Sheet - Sep 2025'!I5</f>
        <v>0</v>
      </c>
      <c r="J5" s="28"/>
      <c r="K5" s="25">
        <f t="shared" ref="K5:K9" si="3">O5+S5+W5+AA5+AE5+AI5+AM5+AQ5+AU5+AW5+AY5+BA5</f>
        <v>16852227</v>
      </c>
      <c r="L5" s="137"/>
      <c r="M5" s="25" t="str">
        <f t="shared" ref="M5:M9" si="4">Q5+U5+Y5+AC5+AG5+AK5+AO5</f>
        <v>#REF!</v>
      </c>
      <c r="N5" s="137"/>
      <c r="O5" s="34">
        <f>'Summary Sheet - July 2025'!O5+'Summary Sheet - Aug 2025'!O5+'Summary Sheet - Sep 2025'!O5</f>
        <v>2824132</v>
      </c>
      <c r="P5" s="28"/>
      <c r="Q5" s="34">
        <f>'Summary Sheet - July 2025'!Q5+'Summary Sheet - Aug 2025'!Q5+'Summary Sheet - Sep 2025'!Q5</f>
        <v>5191123</v>
      </c>
      <c r="R5" s="28"/>
      <c r="S5" s="34">
        <f>'Summary Sheet - July 2025'!S5+'Summary Sheet - Aug 2025'!S5+'Summary Sheet - Sep 2025'!S5</f>
        <v>0</v>
      </c>
      <c r="T5" s="28"/>
      <c r="U5" s="34" t="str">
        <f>'Summary Sheet - July 2025'!U5+'Summary Sheet - Aug 2025'!U5+'Summary Sheet - Sep 2025'!U5</f>
        <v>#REF!</v>
      </c>
      <c r="V5" s="28"/>
      <c r="W5" s="34">
        <f>'Summary Sheet - July 2025'!W5+'Summary Sheet - Aug 2025'!W5+'Summary Sheet - Sep 2025'!W5</f>
        <v>4463753</v>
      </c>
      <c r="X5" s="28"/>
      <c r="Y5" s="34">
        <f>'Summary Sheet - July 2025'!Y5+'Summary Sheet - Aug 2025'!Y5+'Summary Sheet - Sep 2025'!Y5</f>
        <v>4403491.32</v>
      </c>
      <c r="Z5" s="28"/>
      <c r="AA5" s="34">
        <f>'Summary Sheet - July 2025'!AA5+'Summary Sheet - Aug 2025'!AA5+'Summary Sheet - Sep 2025'!AA5</f>
        <v>4388209</v>
      </c>
      <c r="AB5" s="28"/>
      <c r="AC5" s="34">
        <f>'Summary Sheet - July 2025'!AC5+'Summary Sheet - Aug 2025'!AC5+'Summary Sheet - Sep 2025'!AC5</f>
        <v>3382668</v>
      </c>
      <c r="AD5" s="28"/>
      <c r="AE5" s="34">
        <f>'Summary Sheet - July 2025'!AE5+'Summary Sheet - Aug 2025'!AE5+'Summary Sheet - Sep 2025'!AE5</f>
        <v>5176133</v>
      </c>
      <c r="AF5" s="28"/>
      <c r="AG5" s="34">
        <f>'Summary Sheet - July 2025'!AG5+'Summary Sheet - Aug 2025'!AG5+'Summary Sheet - Sep 2025'!AG5</f>
        <v>5072485</v>
      </c>
      <c r="AH5" s="28"/>
      <c r="AI5" s="34">
        <f>'Summary Sheet - July 2025'!AI5+'Summary Sheet - Aug 2025'!AI5+'Summary Sheet - Sep 2025'!AI5</f>
        <v>0</v>
      </c>
      <c r="AJ5" s="28"/>
      <c r="AK5" s="34" t="str">
        <f>'Summary Sheet - July 2025'!AK5+'Summary Sheet - Aug 2025'!AK5+'Summary Sheet - Sep 2025'!AK5</f>
        <v>#REF!</v>
      </c>
      <c r="AL5" s="28"/>
      <c r="AM5" s="34">
        <f>'Summary Sheet - July 2025'!AM5+'Summary Sheet - Aug 2025'!AM5+'Summary Sheet - Sep 2025'!AM5</f>
        <v>0</v>
      </c>
      <c r="AN5" s="28"/>
      <c r="AO5" s="34">
        <f>'Summary Sheet - July 2025'!AO5+'Summary Sheet - Aug 2025'!AO5+'Summary Sheet - Sep 2025'!AO5</f>
        <v>0</v>
      </c>
      <c r="AP5" s="28"/>
      <c r="AQ5" s="81"/>
      <c r="AR5" s="28"/>
      <c r="AS5" s="34">
        <f>'Summary Sheet - July 2025'!AS5+'Summary Sheet - Aug 2025'!AS5+'Summary Sheet - Sep 2025'!AW5</f>
        <v>2000000</v>
      </c>
      <c r="AT5" s="28"/>
      <c r="AU5" s="34">
        <f>'Summary Sheet - July 2025'!AU5+'Summary Sheet - Aug 2025'!AU5+'Summary Sheet - Sep 2025'!AY5</f>
        <v>0</v>
      </c>
      <c r="AV5" s="34"/>
      <c r="AW5" s="34">
        <f>'Summary Sheet - July 2025'!AY5+'Summary Sheet - Aug 2025'!AY5+'Summary Sheet - Sep 2025'!BC5</f>
        <v>0</v>
      </c>
      <c r="AX5" s="28"/>
      <c r="AY5" s="34">
        <f>'MSBC Juhu  Goregoan'!G21+'MSBC Juhu  Goregoan'!H21+'MSBC Juhu  Goregoan'!I21</f>
        <v>0</v>
      </c>
      <c r="AZ5" s="28"/>
      <c r="BA5" s="34">
        <f>'Summary Sheet - July 2025'!BO5+'Summary Sheet - Aug 2025'!BO5+'Summary Sheet - Sep 2025'!BS5</f>
        <v>0</v>
      </c>
      <c r="BB5" s="28"/>
      <c r="BC5" s="34">
        <f>'Summary Sheet - July 2025'!BQ5+'Summary Sheet - Aug 2025'!BQ5+'Summary Sheet - Sep 2025'!BU5</f>
        <v>0</v>
      </c>
      <c r="BD5" s="35"/>
    </row>
    <row r="6" ht="15.75" customHeight="1">
      <c r="A6" s="176"/>
      <c r="B6" s="38" t="s">
        <v>23</v>
      </c>
      <c r="C6" s="39">
        <f t="shared" si="1"/>
        <v>17730083</v>
      </c>
      <c r="D6" s="139"/>
      <c r="E6" s="40" t="str">
        <f t="shared" si="2"/>
        <v>#REF!</v>
      </c>
      <c r="F6" s="150"/>
      <c r="G6" s="138">
        <f>'Summary Sheet - July 2025'!G6+'Summary Sheet - Aug 2025'!G6+'Summary Sheet - Sep 2025'!G6</f>
        <v>0</v>
      </c>
      <c r="H6" s="43"/>
      <c r="I6" s="48">
        <f>'Summary Sheet - July 2025'!I6+'Summary Sheet - Aug 2025'!I6+'Summary Sheet - Sep 2025'!I6</f>
        <v>0</v>
      </c>
      <c r="J6" s="43"/>
      <c r="K6" s="25">
        <f t="shared" si="3"/>
        <v>17730083</v>
      </c>
      <c r="L6" s="139"/>
      <c r="M6" s="40" t="str">
        <f t="shared" si="4"/>
        <v>#REF!</v>
      </c>
      <c r="N6" s="139"/>
      <c r="O6" s="48">
        <f>'Summary Sheet - July 2025'!O6+'Summary Sheet - Aug 2025'!O6+'Summary Sheet - Sep 2025'!O6</f>
        <v>9582687</v>
      </c>
      <c r="P6" s="43"/>
      <c r="Q6" s="48">
        <f>'Summary Sheet - July 2025'!Q6+'Summary Sheet - Aug 2025'!Q6+'Summary Sheet - Sep 2025'!Q6</f>
        <v>9101977</v>
      </c>
      <c r="R6" s="43"/>
      <c r="S6" s="48">
        <f>'Summary Sheet - July 2025'!S6+'Summary Sheet - Aug 2025'!S6+'Summary Sheet - Sep 2025'!S6</f>
        <v>0</v>
      </c>
      <c r="T6" s="43"/>
      <c r="U6" s="48" t="str">
        <f>'Summary Sheet - July 2025'!U6+'Summary Sheet - Aug 2025'!U6+'Summary Sheet - Sep 2025'!U6</f>
        <v>#REF!</v>
      </c>
      <c r="V6" s="43"/>
      <c r="W6" s="48">
        <f>'Summary Sheet - July 2025'!W6+'Summary Sheet - Aug 2025'!W6+'Summary Sheet - Sep 2025'!W6</f>
        <v>1940508</v>
      </c>
      <c r="X6" s="43"/>
      <c r="Y6" s="48">
        <f>'Summary Sheet - July 2025'!Y6+'Summary Sheet - Aug 2025'!Y6+'Summary Sheet - Sep 2025'!Y6</f>
        <v>2911175.56</v>
      </c>
      <c r="Z6" s="43"/>
      <c r="AA6" s="48">
        <f>'Summary Sheet - July 2025'!AA6+'Summary Sheet - Aug 2025'!AA6+'Summary Sheet - Sep 2025'!AA6</f>
        <v>0</v>
      </c>
      <c r="AB6" s="43"/>
      <c r="AC6" s="48">
        <f>'Summary Sheet - July 2025'!AC6+'Summary Sheet - Aug 2025'!AC6+'Summary Sheet - Sep 2025'!AC6</f>
        <v>0</v>
      </c>
      <c r="AD6" s="43"/>
      <c r="AE6" s="48">
        <f>'Summary Sheet - July 2025'!AE6+'Summary Sheet - Aug 2025'!AE6+'Summary Sheet - Sep 2025'!AE6</f>
        <v>6206888</v>
      </c>
      <c r="AF6" s="43"/>
      <c r="AG6" s="48">
        <f>'Summary Sheet - July 2025'!AG6+'Summary Sheet - Aug 2025'!AG6+'Summary Sheet - Sep 2025'!AG6</f>
        <v>6357220</v>
      </c>
      <c r="AH6" s="43"/>
      <c r="AI6" s="48">
        <f>'Summary Sheet - July 2025'!AI6+'Summary Sheet - Aug 2025'!AI6+'Summary Sheet - Sep 2025'!AI6</f>
        <v>0</v>
      </c>
      <c r="AJ6" s="43"/>
      <c r="AK6" s="48" t="str">
        <f>'Summary Sheet - July 2025'!AK6+'Summary Sheet - Aug 2025'!AK6+'Summary Sheet - Sep 2025'!AK6</f>
        <v>#REF!</v>
      </c>
      <c r="AL6" s="43"/>
      <c r="AM6" s="48">
        <f>'Summary Sheet - July 2025'!AM6+'Summary Sheet - Aug 2025'!AM6+'Summary Sheet - Sep 2025'!AM6</f>
        <v>0</v>
      </c>
      <c r="AN6" s="43"/>
      <c r="AO6" s="48">
        <f>'Summary Sheet - July 2025'!AO6+'Summary Sheet - Aug 2025'!AO6+'Summary Sheet - Sep 2025'!AO6</f>
        <v>0</v>
      </c>
      <c r="AP6" s="43"/>
      <c r="AQ6" s="140"/>
      <c r="AR6" s="43"/>
      <c r="AS6" s="48">
        <f>'Summary Sheet - July 2025'!AS6+'Summary Sheet - Aug 2025'!AS6+'Summary Sheet - Sep 2025'!AW6</f>
        <v>0</v>
      </c>
      <c r="AT6" s="43"/>
      <c r="AU6" s="34">
        <f>'Summary Sheet - July 2025'!AU6+'Summary Sheet - Aug 2025'!AU6+'Summary Sheet - Sep 2025'!AY6</f>
        <v>0</v>
      </c>
      <c r="AV6" s="43"/>
      <c r="AW6" s="34">
        <f>'Summary Sheet - July 2025'!AY6+'Summary Sheet - Aug 2025'!AY6+'Summary Sheet - Sep 2025'!BC6</f>
        <v>0</v>
      </c>
      <c r="AX6" s="43"/>
      <c r="AY6" s="34">
        <f>'MSBC Juhu  Goregoan'!G22+'MSBC Juhu  Goregoan'!H22+'MSBC Juhu  Goregoan'!I22</f>
        <v>0</v>
      </c>
      <c r="AZ6" s="43"/>
      <c r="BA6" s="34">
        <f>'Summary Sheet - July 2025'!BO6+'Summary Sheet - Aug 2025'!BO6+'Summary Sheet - Sep 2025'!BS6</f>
        <v>0</v>
      </c>
      <c r="BB6" s="43"/>
      <c r="BC6" s="34">
        <f>'Summary Sheet - July 2025'!BQ6+'Summary Sheet - Aug 2025'!BQ6+'Summary Sheet - Sep 2025'!BU6</f>
        <v>0</v>
      </c>
      <c r="BD6" s="49"/>
    </row>
    <row r="7" ht="15.75" customHeight="1">
      <c r="A7" s="176"/>
      <c r="B7" s="38" t="s">
        <v>24</v>
      </c>
      <c r="C7" s="39">
        <f t="shared" si="1"/>
        <v>120424387.5</v>
      </c>
      <c r="D7" s="139"/>
      <c r="E7" s="40" t="str">
        <f t="shared" si="2"/>
        <v>#REF!</v>
      </c>
      <c r="F7" s="150"/>
      <c r="G7" s="138">
        <f>'Summary Sheet - July 2025'!G7+'Summary Sheet - Aug 2025'!G7+'Summary Sheet - Sep 2025'!G7</f>
        <v>0</v>
      </c>
      <c r="H7" s="43"/>
      <c r="I7" s="48">
        <f>'Summary Sheet - July 2025'!I7+'Summary Sheet - Aug 2025'!I7+'Summary Sheet - Sep 2025'!I7</f>
        <v>0</v>
      </c>
      <c r="J7" s="43"/>
      <c r="K7" s="25">
        <f t="shared" si="3"/>
        <v>120424387.5</v>
      </c>
      <c r="L7" s="139"/>
      <c r="M7" s="40" t="str">
        <f t="shared" si="4"/>
        <v>#REF!</v>
      </c>
      <c r="N7" s="139"/>
      <c r="O7" s="48">
        <f>'Summary Sheet - July 2025'!O7+'Summary Sheet - Aug 2025'!O7+'Summary Sheet - Sep 2025'!O7</f>
        <v>27560220</v>
      </c>
      <c r="P7" s="43"/>
      <c r="Q7" s="48">
        <f>'Summary Sheet - July 2025'!Q7+'Summary Sheet - Aug 2025'!Q7+'Summary Sheet - Sep 2025'!Q7</f>
        <v>24620868</v>
      </c>
      <c r="R7" s="43"/>
      <c r="S7" s="48">
        <f>'Summary Sheet - July 2025'!S7+'Summary Sheet - Aug 2025'!S7+'Summary Sheet - Sep 2025'!S7</f>
        <v>1857782.63</v>
      </c>
      <c r="T7" s="43"/>
      <c r="U7" s="48" t="str">
        <f>'Summary Sheet - July 2025'!U7+'Summary Sheet - Aug 2025'!U7+'Summary Sheet - Sep 2025'!U7</f>
        <v>#REF!</v>
      </c>
      <c r="V7" s="43"/>
      <c r="W7" s="48">
        <f>'Summary Sheet - July 2025'!W7+'Summary Sheet - Aug 2025'!W7+'Summary Sheet - Sep 2025'!W7</f>
        <v>31066512.82</v>
      </c>
      <c r="X7" s="43"/>
      <c r="Y7" s="48">
        <f>'Summary Sheet - July 2025'!Y7+'Summary Sheet - Aug 2025'!Y7+'Summary Sheet - Sep 2025'!Y7</f>
        <v>31487748.94</v>
      </c>
      <c r="Z7" s="43"/>
      <c r="AA7" s="48">
        <f>'Summary Sheet - July 2025'!AA7+'Summary Sheet - Aug 2025'!AA7+'Summary Sheet - Sep 2025'!AA7</f>
        <v>22465539.49</v>
      </c>
      <c r="AB7" s="43"/>
      <c r="AC7" s="48">
        <f>'Summary Sheet - July 2025'!AC7+'Summary Sheet - Aug 2025'!AC7+'Summary Sheet - Sep 2025'!AC7</f>
        <v>22225705</v>
      </c>
      <c r="AD7" s="43"/>
      <c r="AE7" s="48">
        <f>'Summary Sheet - July 2025'!AE7+'Summary Sheet - Aug 2025'!AE7+'Summary Sheet - Sep 2025'!AE7</f>
        <v>34446989.73</v>
      </c>
      <c r="AF7" s="43"/>
      <c r="AG7" s="48">
        <f>'Summary Sheet - July 2025'!AG7+'Summary Sheet - Aug 2025'!AG7+'Summary Sheet - Sep 2025'!AG7</f>
        <v>35102886</v>
      </c>
      <c r="AH7" s="43"/>
      <c r="AI7" s="48">
        <f>'Summary Sheet - July 2025'!AI7+'Summary Sheet - Aug 2025'!AI7+'Summary Sheet - Sep 2025'!AI7</f>
        <v>0</v>
      </c>
      <c r="AJ7" s="43"/>
      <c r="AK7" s="48" t="str">
        <f>'Summary Sheet - July 2025'!AK7+'Summary Sheet - Aug 2025'!AK7+'Summary Sheet - Sep 2025'!AK7</f>
        <v>#REF!</v>
      </c>
      <c r="AL7" s="43"/>
      <c r="AM7" s="48">
        <f>'Summary Sheet - July 2025'!AM7+'Summary Sheet - Aug 2025'!AM7+'Summary Sheet - Sep 2025'!AM7</f>
        <v>1247913.58</v>
      </c>
      <c r="AN7" s="43"/>
      <c r="AO7" s="48">
        <f>'Summary Sheet - July 2025'!AO7+'Summary Sheet - Aug 2025'!AO7+'Summary Sheet - Sep 2025'!AO7</f>
        <v>248000</v>
      </c>
      <c r="AP7" s="43"/>
      <c r="AQ7" s="140"/>
      <c r="AR7" s="43"/>
      <c r="AS7" s="48">
        <f>'Summary Sheet - July 2025'!AS7+'Summary Sheet - Aug 2025'!AS7+'Summary Sheet - Sep 2025'!AW7</f>
        <v>8000000</v>
      </c>
      <c r="AT7" s="43"/>
      <c r="AU7" s="34">
        <f>'Summary Sheet - July 2025'!AU7+'Summary Sheet - Aug 2025'!AU7+'Summary Sheet - Sep 2025'!AY7</f>
        <v>1036208.23</v>
      </c>
      <c r="AV7" s="43"/>
      <c r="AW7" s="34">
        <f>'Summary Sheet - July 2025'!AY7+'Summary Sheet - Aug 2025'!AY7+'Summary Sheet - Sep 2025'!BC7</f>
        <v>507001.97</v>
      </c>
      <c r="AX7" s="43"/>
      <c r="AY7" s="34">
        <f>'MSBC Juhu  Goregoan'!G23+'MSBC Juhu  Goregoan'!H23+'MSBC Juhu  Goregoan'!I23</f>
        <v>236219</v>
      </c>
      <c r="AZ7" s="43"/>
      <c r="BA7" s="34">
        <f>'Summary Sheet - July 2025'!BO7+'Summary Sheet - Aug 2025'!BO7+'Summary Sheet - Sep 2025'!BS7</f>
        <v>0</v>
      </c>
      <c r="BB7" s="43"/>
      <c r="BC7" s="34">
        <f>'Summary Sheet - July 2025'!BQ7+'Summary Sheet - Aug 2025'!BQ7+'Summary Sheet - Sep 2025'!BU7</f>
        <v>0</v>
      </c>
      <c r="BD7" s="49"/>
    </row>
    <row r="8" ht="15.75" customHeight="1">
      <c r="A8" s="176"/>
      <c r="B8" s="50" t="s">
        <v>25</v>
      </c>
      <c r="C8" s="51">
        <f t="shared" si="1"/>
        <v>10925224</v>
      </c>
      <c r="D8" s="142"/>
      <c r="E8" s="52" t="str">
        <f t="shared" si="2"/>
        <v>#REF!</v>
      </c>
      <c r="F8" s="151"/>
      <c r="G8" s="141">
        <f>'Summary Sheet - July 2025'!G8+'Summary Sheet - Aug 2025'!G8+'Summary Sheet - Sep 2025'!G8</f>
        <v>0</v>
      </c>
      <c r="H8" s="55"/>
      <c r="I8" s="60">
        <f>'Summary Sheet - July 2025'!I8+'Summary Sheet - Aug 2025'!I8+'Summary Sheet - Sep 2025'!I8</f>
        <v>0</v>
      </c>
      <c r="J8" s="55"/>
      <c r="K8" s="25">
        <f t="shared" si="3"/>
        <v>10925224</v>
      </c>
      <c r="L8" s="142"/>
      <c r="M8" s="52" t="str">
        <f t="shared" si="4"/>
        <v>#REF!</v>
      </c>
      <c r="N8" s="142"/>
      <c r="O8" s="60">
        <f>'Summary Sheet - July 2025'!O8+'Summary Sheet - Aug 2025'!O8+'Summary Sheet - Sep 2025'!O8</f>
        <v>3758858</v>
      </c>
      <c r="P8" s="55"/>
      <c r="Q8" s="60">
        <f>'Summary Sheet - July 2025'!Q8+'Summary Sheet - Aug 2025'!Q8+'Summary Sheet - Sep 2025'!Q8</f>
        <v>3163706</v>
      </c>
      <c r="R8" s="55"/>
      <c r="S8" s="60">
        <f>'Summary Sheet - July 2025'!S8+'Summary Sheet - Aug 2025'!S8+'Summary Sheet - Sep 2025'!S8</f>
        <v>0</v>
      </c>
      <c r="T8" s="55"/>
      <c r="U8" s="55" t="str">
        <f>'Summary Sheet - July 2025'!U8+'Summary Sheet - Aug 2025'!U8+'Summary Sheet - Sep 2025'!U8</f>
        <v>#REF!</v>
      </c>
      <c r="V8" s="55"/>
      <c r="W8" s="60">
        <f>'Summary Sheet - July 2025'!W8+'Summary Sheet - Aug 2025'!W8+'Summary Sheet - Sep 2025'!W8</f>
        <v>2588097</v>
      </c>
      <c r="X8" s="55"/>
      <c r="Y8" s="60">
        <f>'Summary Sheet - July 2025'!Y8+'Summary Sheet - Aug 2025'!Y8+'Summary Sheet - Sep 2025'!Y8</f>
        <v>2778252.973</v>
      </c>
      <c r="Z8" s="55"/>
      <c r="AA8" s="60">
        <f>'Summary Sheet - July 2025'!AA8+'Summary Sheet - Aug 2025'!AA8+'Summary Sheet - Sep 2025'!AA8</f>
        <v>1206095</v>
      </c>
      <c r="AB8" s="55"/>
      <c r="AC8" s="60">
        <f>'Summary Sheet - July 2025'!AC8+'Summary Sheet - Aug 2025'!AC8+'Summary Sheet - Sep 2025'!AC8</f>
        <v>1523698.194</v>
      </c>
      <c r="AD8" s="55"/>
      <c r="AE8" s="60">
        <f>'Summary Sheet - July 2025'!AE8+'Summary Sheet - Aug 2025'!AE8+'Summary Sheet - Sep 2025'!AE8</f>
        <v>3372174</v>
      </c>
      <c r="AF8" s="55"/>
      <c r="AG8" s="60">
        <f>'Summary Sheet - July 2025'!AG8+'Summary Sheet - Aug 2025'!AG8+'Summary Sheet - Sep 2025'!AG8</f>
        <v>3914291.61</v>
      </c>
      <c r="AH8" s="55"/>
      <c r="AI8" s="60">
        <f>'Summary Sheet - July 2025'!AI8+'Summary Sheet - Aug 2025'!AI8+'Summary Sheet - Sep 2025'!AI8</f>
        <v>0</v>
      </c>
      <c r="AJ8" s="55"/>
      <c r="AK8" s="55" t="str">
        <f>'Summary Sheet - July 2025'!AK8+'Summary Sheet - Aug 2025'!AK8+'Summary Sheet - Sep 2025'!AK8</f>
        <v>#REF!</v>
      </c>
      <c r="AL8" s="55"/>
      <c r="AM8" s="60">
        <f>'Summary Sheet - July 2025'!AM8+'Summary Sheet - Aug 2025'!AM8+'Summary Sheet - Sep 2025'!AM8</f>
        <v>0</v>
      </c>
      <c r="AN8" s="55"/>
      <c r="AO8" s="62">
        <f>'Summary Sheet - July 2025'!AO8+'Summary Sheet - Aug 2025'!AO8+'Summary Sheet - Sep 2025'!AO8</f>
        <v>0</v>
      </c>
      <c r="AP8" s="55"/>
      <c r="AQ8" s="143"/>
      <c r="AR8" s="55"/>
      <c r="AS8" s="60">
        <f>'Summary Sheet - July 2025'!AS8+'Summary Sheet - Aug 2025'!AS8+'Summary Sheet - Sep 2025'!AW8</f>
        <v>0</v>
      </c>
      <c r="AT8" s="55"/>
      <c r="AU8" s="182">
        <v>0.0</v>
      </c>
      <c r="AV8" s="55"/>
      <c r="AW8" s="34">
        <f>'Summary Sheet - July 2025'!AY8+'Summary Sheet - Aug 2025'!AY8+'Summary Sheet - Sep 2025'!BC8</f>
        <v>0</v>
      </c>
      <c r="AX8" s="55"/>
      <c r="AY8" s="34">
        <f>'MSBC Juhu  Goregoan'!G25+'MSBC Juhu  Goregoan'!H25+'MSBC Juhu  Goregoan'!I25</f>
        <v>0</v>
      </c>
      <c r="AZ8" s="55"/>
      <c r="BA8" s="34">
        <f>'Summary Sheet - July 2025'!BO8+'Summary Sheet - Aug 2025'!BO8+'Summary Sheet - Sep 2025'!BS8</f>
        <v>0</v>
      </c>
      <c r="BB8" s="55"/>
      <c r="BC8" s="34">
        <f>'Summary Sheet - July 2025'!BQ8+'Summary Sheet - Aug 2025'!BQ8+'Summary Sheet - Sep 2025'!BU8</f>
        <v>0</v>
      </c>
      <c r="BD8" s="61"/>
    </row>
    <row r="9" ht="15.75" customHeight="1">
      <c r="A9" s="176"/>
      <c r="B9" s="64" t="s">
        <v>26</v>
      </c>
      <c r="C9" s="51">
        <f t="shared" si="1"/>
        <v>187200</v>
      </c>
      <c r="D9" s="142"/>
      <c r="E9" s="52">
        <f t="shared" si="2"/>
        <v>0</v>
      </c>
      <c r="F9" s="151"/>
      <c r="G9" s="141">
        <f>'Summary Sheet - July 2025'!G9+'Summary Sheet - Aug 2025'!G9+'Summary Sheet - Sep 2025'!G9</f>
        <v>0</v>
      </c>
      <c r="H9" s="55"/>
      <c r="I9" s="60">
        <f>'Summary Sheet - July 2025'!I9+'Summary Sheet - Aug 2025'!I9+'Summary Sheet - Sep 2025'!I9</f>
        <v>0</v>
      </c>
      <c r="J9" s="55"/>
      <c r="K9" s="25">
        <f t="shared" si="3"/>
        <v>187200</v>
      </c>
      <c r="L9" s="142"/>
      <c r="M9" s="52">
        <f t="shared" si="4"/>
        <v>0</v>
      </c>
      <c r="N9" s="142"/>
      <c r="O9" s="60">
        <f>'Summary Sheet - July 2025'!O9+'Summary Sheet - Aug 2025'!O9+'Summary Sheet - Sep 2025'!O9</f>
        <v>56000</v>
      </c>
      <c r="P9" s="55"/>
      <c r="Q9" s="60">
        <f>'Summary Sheet - July 2025'!Q9+'Summary Sheet - Aug 2025'!Q9+'Summary Sheet - Sep 2025'!Q9</f>
        <v>0</v>
      </c>
      <c r="R9" s="55"/>
      <c r="S9" s="60">
        <f>'Summary Sheet - July 2025'!S9+'Summary Sheet - Aug 2025'!S9+'Summary Sheet - Sep 2025'!S9</f>
        <v>0</v>
      </c>
      <c r="T9" s="55"/>
      <c r="U9" s="55">
        <f>'Summary Sheet - July 2025'!U9+'Summary Sheet - Aug 2025'!U9+'Summary Sheet - Sep 2025'!U9</f>
        <v>0</v>
      </c>
      <c r="V9" s="55"/>
      <c r="W9" s="60">
        <f>'Summary Sheet - July 2025'!W9+'Summary Sheet - Aug 2025'!W9+'Summary Sheet - Sep 2025'!W9</f>
        <v>58900</v>
      </c>
      <c r="X9" s="55"/>
      <c r="Y9" s="60">
        <f>'Summary Sheet - July 2025'!Y9+'Summary Sheet - Aug 2025'!Y9+'Summary Sheet - Sep 2025'!Y9</f>
        <v>0</v>
      </c>
      <c r="Z9" s="55"/>
      <c r="AA9" s="60">
        <f>'Summary Sheet - July 2025'!AA9+'Summary Sheet - Aug 2025'!AA9+'Summary Sheet - Sep 2025'!AA9</f>
        <v>27700</v>
      </c>
      <c r="AB9" s="55"/>
      <c r="AC9" s="60">
        <f>'Summary Sheet - July 2025'!AC9+'Summary Sheet - Aug 2025'!AC9+'Summary Sheet - Sep 2025'!AC9</f>
        <v>0</v>
      </c>
      <c r="AD9" s="55"/>
      <c r="AE9" s="60">
        <f>'Summary Sheet - July 2025'!AE9+'Summary Sheet - Aug 2025'!AE9+'Summary Sheet - Sep 2025'!AE9</f>
        <v>44600</v>
      </c>
      <c r="AF9" s="55"/>
      <c r="AG9" s="60">
        <f>'Summary Sheet - July 2025'!AG9+'Summary Sheet - Aug 2025'!AG9+'Summary Sheet - Sep 2025'!AG9</f>
        <v>0</v>
      </c>
      <c r="AH9" s="55"/>
      <c r="AI9" s="60">
        <f>'Summary Sheet - July 2025'!AI9+'Summary Sheet - Aug 2025'!AI9+'Summary Sheet - Sep 2025'!AI9</f>
        <v>0</v>
      </c>
      <c r="AJ9" s="55"/>
      <c r="AK9" s="55">
        <f>'Summary Sheet - July 2025'!AK9+'Summary Sheet - Aug 2025'!AK9+'Summary Sheet - Sep 2025'!AK9</f>
        <v>0</v>
      </c>
      <c r="AL9" s="55"/>
      <c r="AM9" s="60">
        <f>'Summary Sheet - July 2025'!AM9+'Summary Sheet - Aug 2025'!AM9+'Summary Sheet - Sep 2025'!AM9</f>
        <v>0</v>
      </c>
      <c r="AN9" s="55"/>
      <c r="AO9" s="55">
        <f>'Summary Sheet - July 2025'!AO9+'Summary Sheet - Aug 2025'!AO9+'Summary Sheet - Sep 2025'!AO9</f>
        <v>0</v>
      </c>
      <c r="AP9" s="55"/>
      <c r="AQ9" s="143"/>
      <c r="AR9" s="55"/>
      <c r="AS9" s="60">
        <f>'Summary Sheet - July 2025'!AS9+'Summary Sheet - Aug 2025'!AS9+'Summary Sheet - Sep 2025'!AW9</f>
        <v>0</v>
      </c>
      <c r="AT9" s="55"/>
      <c r="AU9" s="34">
        <f>'Summary Sheet - July 2025'!AU9+'Summary Sheet - Aug 2025'!AU9+'Summary Sheet - Sep 2025'!AY9</f>
        <v>0</v>
      </c>
      <c r="AV9" s="55"/>
      <c r="AW9" s="34">
        <f>'Summary Sheet - July 2025'!AY9+'Summary Sheet - Aug 2025'!AY9+'Summary Sheet - Sep 2025'!BC9</f>
        <v>0</v>
      </c>
      <c r="AX9" s="55"/>
      <c r="AY9" s="34">
        <f>'MSBC Juhu  Goregoan'!G20+'MSBC Juhu  Goregoan'!H20+'MSBC Juhu  Goregoan'!I20</f>
        <v>0</v>
      </c>
      <c r="AZ9" s="55"/>
      <c r="BA9" s="34">
        <f>'Summary Sheet - July 2025'!BO9+'Summary Sheet - Aug 2025'!BO9+'Summary Sheet - Sep 2025'!BS9</f>
        <v>0</v>
      </c>
      <c r="BB9" s="55"/>
      <c r="BC9" s="34">
        <f>'Summary Sheet - July 2025'!BQ9+'Summary Sheet - Aug 2025'!BQ9+'Summary Sheet - Sep 2025'!BU9</f>
        <v>0</v>
      </c>
      <c r="BD9" s="61"/>
    </row>
    <row r="10" ht="15.75" customHeight="1">
      <c r="A10" s="176"/>
      <c r="B10" s="16" t="s">
        <v>27</v>
      </c>
      <c r="C10" s="66">
        <f>SUM(C5:C9)</f>
        <v>166119121.5</v>
      </c>
      <c r="D10" s="70"/>
      <c r="E10" s="68" t="str">
        <f>SUM(E5:E8)</f>
        <v>#REF!</v>
      </c>
      <c r="F10" s="73"/>
      <c r="G10" s="145">
        <f>'Summary Sheet - July 2025'!G10+'Summary Sheet - Aug 2025'!G10+'Summary Sheet - Sep 2025'!G10</f>
        <v>0</v>
      </c>
      <c r="H10" s="147"/>
      <c r="I10" s="118">
        <f>'Summary Sheet - July 2025'!I10+'Summary Sheet - Aug 2025'!I10+'Summary Sheet - Sep 2025'!I10</f>
        <v>0</v>
      </c>
      <c r="J10" s="147"/>
      <c r="K10" s="68">
        <f>SUM(K5:K9)</f>
        <v>166119121.5</v>
      </c>
      <c r="L10" s="70"/>
      <c r="M10" s="68" t="str">
        <f>SUM(M5:M8)</f>
        <v>#REF!</v>
      </c>
      <c r="N10" s="70"/>
      <c r="O10" s="118">
        <f>'Summary Sheet - July 2025'!O10+'Summary Sheet - Aug 2025'!O10+'Summary Sheet - Sep 2025'!O10</f>
        <v>43781897</v>
      </c>
      <c r="P10" s="147"/>
      <c r="Q10" s="118">
        <f>'Summary Sheet - July 2025'!Q10+'Summary Sheet - Aug 2025'!Q10+'Summary Sheet - Sep 2025'!Q10</f>
        <v>42077674</v>
      </c>
      <c r="R10" s="147"/>
      <c r="S10" s="118">
        <f>'Summary Sheet - July 2025'!S10+'Summary Sheet - Aug 2025'!S10+'Summary Sheet - Sep 2025'!S10</f>
        <v>1857782.63</v>
      </c>
      <c r="T10" s="147"/>
      <c r="U10" s="118" t="str">
        <f>'Summary Sheet - July 2025'!U10+'Summary Sheet - Aug 2025'!U10+'Summary Sheet - Sep 2025'!U10</f>
        <v>#REF!</v>
      </c>
      <c r="V10" s="147"/>
      <c r="W10" s="118">
        <f>'Summary Sheet - July 2025'!W10+'Summary Sheet - Aug 2025'!W10+'Summary Sheet - Sep 2025'!W10</f>
        <v>40117770.82</v>
      </c>
      <c r="X10" s="147"/>
      <c r="Y10" s="118">
        <f>'Summary Sheet - July 2025'!Y10+'Summary Sheet - Aug 2025'!Y10+'Summary Sheet - Sep 2025'!Y10</f>
        <v>41580668.79</v>
      </c>
      <c r="Z10" s="147"/>
      <c r="AA10" s="118">
        <f>SUM(AA5:AA9)</f>
        <v>28087543.49</v>
      </c>
      <c r="AB10" s="147"/>
      <c r="AC10" s="118">
        <f>'Summary Sheet - July 2025'!AC10+'Summary Sheet - Aug 2025'!AC10+'Summary Sheet - Sep 2025'!AC10</f>
        <v>27132071.19</v>
      </c>
      <c r="AD10" s="147"/>
      <c r="AE10" s="118">
        <f>SUM(AE5:AE9)</f>
        <v>49246784.73</v>
      </c>
      <c r="AF10" s="147"/>
      <c r="AG10" s="118">
        <f>'Summary Sheet - July 2025'!AG10+'Summary Sheet - Aug 2025'!AG10+'Summary Sheet - Sep 2025'!AG10</f>
        <v>50446882.61</v>
      </c>
      <c r="AH10" s="147"/>
      <c r="AI10" s="118">
        <f>'Summary Sheet - July 2025'!AI10+'Summary Sheet - Aug 2025'!AI10+'Summary Sheet - Sep 2025'!AI10</f>
        <v>0</v>
      </c>
      <c r="AJ10" s="147"/>
      <c r="AK10" s="118" t="str">
        <f>'Summary Sheet - July 2025'!AK10+'Summary Sheet - Aug 2025'!AK10+'Summary Sheet - Sep 2025'!AK10</f>
        <v>#REF!</v>
      </c>
      <c r="AL10" s="147"/>
      <c r="AM10" s="118">
        <f>'Summary Sheet - July 2025'!AM10+'Summary Sheet - Aug 2025'!AM10+'Summary Sheet - Sep 2025'!AM10</f>
        <v>1247913.58</v>
      </c>
      <c r="AN10" s="147"/>
      <c r="AO10" s="118">
        <f>'Summary Sheet - July 2025'!AO10+'Summary Sheet - Aug 2025'!AO10+'Summary Sheet - Sep 2025'!AO10</f>
        <v>248000</v>
      </c>
      <c r="AP10" s="147"/>
      <c r="AQ10" s="118">
        <f>'Summary Sheet - July 2025'!AQ10+'Summary Sheet - Aug 2025'!AQ10+'Summary Sheet - Sep 2025'!AU10</f>
        <v>0</v>
      </c>
      <c r="AR10" s="147"/>
      <c r="AS10" s="118">
        <f>'Summary Sheet - July 2025'!AS10+'Summary Sheet - Aug 2025'!AS10+'Summary Sheet - Sep 2025'!AW10</f>
        <v>10000000</v>
      </c>
      <c r="AT10" s="147"/>
      <c r="AU10" s="68">
        <f>SUM(AU5:AU8)</f>
        <v>1036208.23</v>
      </c>
      <c r="AV10" s="70"/>
      <c r="AW10" s="68">
        <f>SUM(AW5:AW8)</f>
        <v>507001.97</v>
      </c>
      <c r="AX10" s="70"/>
      <c r="AY10" s="68">
        <f>SUM(AY5:AY9)</f>
        <v>236219</v>
      </c>
      <c r="AZ10" s="70"/>
      <c r="BA10" s="68">
        <f>SUM(BA5:BA8)</f>
        <v>0</v>
      </c>
      <c r="BB10" s="70"/>
      <c r="BC10" s="68">
        <f>SUM(BC5:BC8)</f>
        <v>0</v>
      </c>
      <c r="BD10" s="73"/>
    </row>
    <row r="11" ht="15.75" customHeight="1">
      <c r="A11" s="176"/>
      <c r="B11" s="22"/>
      <c r="C11" s="148"/>
      <c r="D11" s="137"/>
      <c r="E11" s="137"/>
      <c r="F11" s="149"/>
      <c r="G11" s="135"/>
      <c r="H11" s="28"/>
      <c r="I11" s="28"/>
      <c r="J11" s="28"/>
      <c r="K11" s="137"/>
      <c r="L11" s="137"/>
      <c r="M11" s="137"/>
      <c r="N11" s="137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35"/>
    </row>
    <row r="12" ht="15.75" customHeight="1">
      <c r="A12" s="176"/>
      <c r="B12" s="38" t="s">
        <v>29</v>
      </c>
      <c r="C12" s="39">
        <f t="shared" ref="C12:C13" si="5">G12+K12</f>
        <v>54425149.61</v>
      </c>
      <c r="D12" s="139"/>
      <c r="E12" s="40" t="str">
        <f t="shared" ref="E12:E13" si="6">I12+M12</f>
        <v>#REF!</v>
      </c>
      <c r="F12" s="150"/>
      <c r="G12" s="138"/>
      <c r="H12" s="43"/>
      <c r="I12" s="48">
        <f>'Summary Sheet - July 2025'!I12+'Summary Sheet - Aug 2025'!I12+'Summary Sheet - Sep 2025'!I12</f>
        <v>0</v>
      </c>
      <c r="J12" s="43"/>
      <c r="K12" s="25">
        <f t="shared" ref="K12:K13" si="7">O12+S12+W12+AA12+AE12+AI12+AM12+AQ12+AU12+AW12+AY12+BA12</f>
        <v>54425149.61</v>
      </c>
      <c r="L12" s="139"/>
      <c r="M12" s="40" t="str">
        <f t="shared" ref="M12:M13" si="8">Q12+U12+Y12+AC12+AG12+AK12+AO12</f>
        <v>#REF!</v>
      </c>
      <c r="N12" s="139"/>
      <c r="O12" s="48">
        <f>'Summary Sheet - July 2025'!O12+'Summary Sheet - Aug 2025'!O12+'Summary Sheet - Sep 2025'!O12</f>
        <v>18279690.24</v>
      </c>
      <c r="P12" s="43"/>
      <c r="Q12" s="48">
        <f>'Summary Sheet - July 2025'!Q12+'Summary Sheet - Aug 2025'!Q12+'Summary Sheet - Sep 2025'!Q12</f>
        <v>14041643.68</v>
      </c>
      <c r="R12" s="43"/>
      <c r="S12" s="48">
        <f>'Summary Sheet - July 2025'!S12+'Summary Sheet - Aug 2025'!S12+'Summary Sheet - Sep 2025'!S12</f>
        <v>711818.8653</v>
      </c>
      <c r="T12" s="43"/>
      <c r="U12" s="48" t="str">
        <f>'Summary Sheet - July 2025'!U12+'Summary Sheet - Aug 2025'!U12+'Summary Sheet - Sep 2025'!U12</f>
        <v>#REF!</v>
      </c>
      <c r="V12" s="43"/>
      <c r="W12" s="48">
        <f>'Summary Sheet - July 2025'!W12+'Summary Sheet - Aug 2025'!W12+'Summary Sheet - Sep 2025'!W12</f>
        <v>11617571.52</v>
      </c>
      <c r="X12" s="43"/>
      <c r="Y12" s="48">
        <f>'Summary Sheet - July 2025'!Y12+'Summary Sheet - Aug 2025'!Y12+'Summary Sheet - Sep 2025'!Y12</f>
        <v>11451640.58</v>
      </c>
      <c r="Z12" s="43"/>
      <c r="AA12" s="48">
        <f>'Summary Sheet - July 2025'!AA12+'Summary Sheet - Aug 2025'!AA12+'Summary Sheet - Sep 2025'!AA12</f>
        <v>8137923.634</v>
      </c>
      <c r="AB12" s="43"/>
      <c r="AC12" s="48">
        <f>'Summary Sheet - July 2025'!AC12+'Summary Sheet - Aug 2025'!AC12+'Summary Sheet - Sep 2025'!AC12</f>
        <v>6533081.699</v>
      </c>
      <c r="AD12" s="43"/>
      <c r="AE12" s="48">
        <f>'Summary Sheet - July 2025'!AE12+'Summary Sheet - Aug 2025'!AE12+'Summary Sheet - Sep 2025'!AE12</f>
        <v>13375235.5</v>
      </c>
      <c r="AF12" s="43"/>
      <c r="AG12" s="48">
        <f>'Summary Sheet - July 2025'!AG12+'Summary Sheet - Aug 2025'!AG12+'Summary Sheet - Sep 2025'!AG12</f>
        <v>14805576.16</v>
      </c>
      <c r="AH12" s="43"/>
      <c r="AI12" s="48">
        <f>'Summary Sheet - July 2025'!AI12+'Summary Sheet - Aug 2025'!AI12+'Summary Sheet - Sep 2025'!AI12</f>
        <v>0</v>
      </c>
      <c r="AJ12" s="43"/>
      <c r="AK12" s="43" t="str">
        <f>'Summary Sheet - July 2025'!AK12+'Summary Sheet - Aug 2025'!AK12+'Summary Sheet - Sep 2025'!AK12</f>
        <v>#REF!</v>
      </c>
      <c r="AL12" s="43"/>
      <c r="AM12" s="48">
        <f>'Summary Sheet - July 2025'!AM12+'Summary Sheet - Aug 2025'!AM12+'Summary Sheet - Sep 2025'!AM12</f>
        <v>648754.0733</v>
      </c>
      <c r="AN12" s="43"/>
      <c r="AO12" s="114">
        <f>'Summary Sheet - July 2025'!AO12+'Summary Sheet - Aug 2025'!AO12+'Summary Sheet - Sep 2025'!AO12</f>
        <v>0</v>
      </c>
      <c r="AP12" s="43"/>
      <c r="AQ12" s="183">
        <f>'Summary Sheet - July 2025'!AQ12+'Summary Sheet - Aug 2025'!AQ12+'Summary Sheet - Sep 2025'!AU12</f>
        <v>0</v>
      </c>
      <c r="AR12" s="43"/>
      <c r="AS12" s="48">
        <f>'Summary Sheet - July 2025'!AS12+'Summary Sheet - Aug 2025'!AS12+'Summary Sheet - Sep 2025'!AW12</f>
        <v>4287000</v>
      </c>
      <c r="AT12" s="43"/>
      <c r="AU12" s="48">
        <f>'Summary Sheet - July 2025'!AU12+'Summary Sheet - Aug 2025'!AU12+'Summary Sheet - Sep 2025'!AY12</f>
        <v>676913.0574</v>
      </c>
      <c r="AV12" s="48"/>
      <c r="AW12" s="48">
        <f>'Summary Sheet - July 2025'!AY12+'Summary Sheet - Aug 2025'!AY12+'Summary Sheet - Sep 2025'!BC12</f>
        <v>610547.0519</v>
      </c>
      <c r="AX12" s="43"/>
      <c r="AY12" s="48">
        <f>'Summary Sheet - July 2025'!BC12+'Summary Sheet - Aug 2025'!BC12+'Summary Sheet - Sep 2025'!BG12</f>
        <v>366695.6681</v>
      </c>
      <c r="AZ12" s="43"/>
      <c r="BA12" s="43">
        <f>'Summary Sheet - July 2025'!BO12+'Summary Sheet - Aug 2025'!BO12+'Summary Sheet - Sep 2025'!BS12</f>
        <v>0</v>
      </c>
      <c r="BB12" s="43"/>
      <c r="BC12" s="43">
        <f>'Summary Sheet - July 2025'!BQ12+'Summary Sheet - Aug 2025'!BQ12+'Summary Sheet - Sep 2025'!BU12</f>
        <v>0</v>
      </c>
      <c r="BD12" s="49"/>
    </row>
    <row r="13" ht="15.75" customHeight="1">
      <c r="A13" s="176"/>
      <c r="B13" s="50" t="s">
        <v>30</v>
      </c>
      <c r="C13" s="51">
        <f t="shared" si="5"/>
        <v>2061484.32</v>
      </c>
      <c r="D13" s="142"/>
      <c r="E13" s="52" t="str">
        <f t="shared" si="6"/>
        <v>#REF!</v>
      </c>
      <c r="F13" s="151"/>
      <c r="G13" s="141">
        <f>'Summary Sheet - July 2025'!G13+'Summary Sheet - Aug 2025'!G13+'Summary Sheet - Sep 2025'!G13</f>
        <v>0</v>
      </c>
      <c r="H13" s="55"/>
      <c r="I13" s="60">
        <f>'Summary Sheet - July 2025'!I13+'Summary Sheet - Aug 2025'!I13+'Summary Sheet - Sep 2025'!I13</f>
        <v>0</v>
      </c>
      <c r="J13" s="55"/>
      <c r="K13" s="25">
        <f t="shared" si="7"/>
        <v>2061484.32</v>
      </c>
      <c r="L13" s="142"/>
      <c r="M13" s="52" t="str">
        <f t="shared" si="8"/>
        <v>#REF!</v>
      </c>
      <c r="N13" s="142"/>
      <c r="O13" s="60">
        <f>'Summary Sheet - July 2025'!O13+'Summary Sheet - Aug 2025'!O13+'Summary Sheet - Sep 2025'!O13</f>
        <v>116017.6</v>
      </c>
      <c r="P13" s="55"/>
      <c r="Q13" s="60">
        <f>'Summary Sheet - July 2025'!Q13+'Summary Sheet - Aug 2025'!Q13+'Summary Sheet - Sep 2025'!Q13</f>
        <v>120633.3008</v>
      </c>
      <c r="R13" s="55"/>
      <c r="S13" s="60">
        <f>'Summary Sheet - July 2025'!S13+'Summary Sheet - Aug 2025'!S13+'Summary Sheet - Sep 2025'!S13</f>
        <v>51837</v>
      </c>
      <c r="T13" s="55"/>
      <c r="U13" s="60" t="str">
        <f>'Summary Sheet - July 2025'!U13+'Summary Sheet - Aug 2025'!U13+'Summary Sheet - Sep 2025'!U13</f>
        <v>#REF!</v>
      </c>
      <c r="V13" s="55"/>
      <c r="W13" s="60">
        <f>'Summary Sheet - July 2025'!W13+'Summary Sheet - Aug 2025'!W13+'Summary Sheet - Sep 2025'!W13</f>
        <v>508267.1</v>
      </c>
      <c r="X13" s="55"/>
      <c r="Y13" s="60">
        <f>'Summary Sheet - July 2025'!Y13+'Summary Sheet - Aug 2025'!Y13+'Summary Sheet - Sep 2025'!Y13</f>
        <v>365909.8854</v>
      </c>
      <c r="Z13" s="55"/>
      <c r="AA13" s="48">
        <f>'Summary Sheet - July 2025'!AA13+'Summary Sheet - Aug 2025'!AA13+'Summary Sheet - Sep 2025'!AA13</f>
        <v>492373.6</v>
      </c>
      <c r="AB13" s="55"/>
      <c r="AC13" s="60">
        <f>'Summary Sheet - July 2025'!AC13+'Summary Sheet - Aug 2025'!AC13+'Summary Sheet - Sep 2025'!AC13</f>
        <v>261205.4046</v>
      </c>
      <c r="AD13" s="55"/>
      <c r="AE13" s="60">
        <f>'Summary Sheet - July 2025'!AE13+'Summary Sheet - Aug 2025'!AE13+'Summary Sheet - Sep 2025'!AE13</f>
        <v>467010</v>
      </c>
      <c r="AF13" s="55"/>
      <c r="AG13" s="60">
        <f>'Summary Sheet - July 2025'!AG13+'Summary Sheet - Aug 2025'!AG13+'Summary Sheet - Sep 2025'!AG13</f>
        <v>277457.8544</v>
      </c>
      <c r="AH13" s="55"/>
      <c r="AI13" s="60">
        <f>'Summary Sheet - July 2025'!AI13+'Summary Sheet - Aug 2025'!AI13+'Summary Sheet - Sep 2025'!AI13</f>
        <v>0</v>
      </c>
      <c r="AJ13" s="55"/>
      <c r="AK13" s="55" t="str">
        <f>'Summary Sheet - July 2025'!AK13+'Summary Sheet - Aug 2025'!AK13+'Summary Sheet - Sep 2025'!AK13</f>
        <v>#REF!</v>
      </c>
      <c r="AL13" s="55"/>
      <c r="AM13" s="60">
        <f>'Summary Sheet - July 2025'!AM13+'Summary Sheet - Aug 2025'!AM13+'Summary Sheet - Sep 2025'!AM13</f>
        <v>363426.02</v>
      </c>
      <c r="AN13" s="55"/>
      <c r="AO13" s="62">
        <f>'Summary Sheet - July 2025'!AO13+'Summary Sheet - Aug 2025'!AO13+'Summary Sheet - Sep 2025'!AO13</f>
        <v>0</v>
      </c>
      <c r="AP13" s="55"/>
      <c r="AQ13" s="62">
        <f>'Summary Sheet - July 2025'!AQ13+'Summary Sheet - Aug 2025'!AQ13+'Summary Sheet - Sep 2025'!AU13</f>
        <v>0</v>
      </c>
      <c r="AR13" s="55"/>
      <c r="AS13" s="60">
        <f>'Summary Sheet - July 2025'!AS13+'Summary Sheet - Aug 2025'!AS13+'Summary Sheet - Sep 2025'!AW13</f>
        <v>31000</v>
      </c>
      <c r="AT13" s="55"/>
      <c r="AU13" s="60">
        <f>'Summary Sheet - July 2025'!AU13+'Summary Sheet - Aug 2025'!AU13+'Summary Sheet - Sep 2025'!AY13</f>
        <v>38518</v>
      </c>
      <c r="AV13" s="55"/>
      <c r="AW13" s="60">
        <f>'Summary Sheet - July 2025'!AY13+'Summary Sheet - Aug 2025'!AY13+'Summary Sheet - Sep 2025'!BC13</f>
        <v>14127</v>
      </c>
      <c r="AX13" s="55"/>
      <c r="AY13" s="48">
        <f>'Summary Sheet - July 2025'!BC13+'Summary Sheet - Aug 2025'!BC13+'Summary Sheet - Sep 2025'!BG13</f>
        <v>9908</v>
      </c>
      <c r="AZ13" s="55"/>
      <c r="BA13" s="60">
        <f>'Summary Sheet - July 2025'!BO13+'Summary Sheet - Aug 2025'!BO13+'Summary Sheet - Sep 2025'!BS13</f>
        <v>0</v>
      </c>
      <c r="BB13" s="55"/>
      <c r="BC13" s="60">
        <f>'Summary Sheet - July 2025'!BQ13+'Summary Sheet - Aug 2025'!BQ13+'Summary Sheet - Sep 2025'!BU13</f>
        <v>0</v>
      </c>
      <c r="BD13" s="61"/>
    </row>
    <row r="14" ht="15.75" customHeight="1">
      <c r="A14" s="176"/>
      <c r="B14" s="16" t="s">
        <v>31</v>
      </c>
      <c r="C14" s="66">
        <f>C12+C13</f>
        <v>56486633.93</v>
      </c>
      <c r="D14" s="70"/>
      <c r="E14" s="68" t="str">
        <f>E12+E13</f>
        <v>#REF!</v>
      </c>
      <c r="F14" s="73"/>
      <c r="G14" s="118">
        <f>'Summary Sheet - July 2025'!G14+'Summary Sheet - Aug 2025'!G14+'Summary Sheet - Sep 2025'!G14</f>
        <v>1468610</v>
      </c>
      <c r="H14" s="147"/>
      <c r="I14" s="118">
        <f>'Summary Sheet - July 2025'!I14+'Summary Sheet - Aug 2025'!I14+'Summary Sheet - Sep 2025'!I14</f>
        <v>0</v>
      </c>
      <c r="J14" s="147"/>
      <c r="K14" s="68">
        <f>sum(K12:K13)</f>
        <v>56486633.93</v>
      </c>
      <c r="L14" s="70"/>
      <c r="M14" s="68"/>
      <c r="N14" s="70"/>
      <c r="O14" s="118">
        <f>'Summary Sheet - July 2025'!O14+'Summary Sheet - Aug 2025'!O14+'Summary Sheet - Sep 2025'!O14</f>
        <v>18395707.84</v>
      </c>
      <c r="P14" s="147"/>
      <c r="Q14" s="118">
        <f>'Summary Sheet - July 2025'!Q14+'Summary Sheet - Aug 2025'!Q14+'Summary Sheet - Sep 2025'!Q14</f>
        <v>14162276.98</v>
      </c>
      <c r="R14" s="147"/>
      <c r="S14" s="118">
        <f>'Summary Sheet - July 2025'!S14+'Summary Sheet - Aug 2025'!S14+'Summary Sheet - Sep 2025'!S14</f>
        <v>763655.8653</v>
      </c>
      <c r="T14" s="147"/>
      <c r="U14" s="118" t="str">
        <f>'Summary Sheet - July 2025'!U14+'Summary Sheet - Aug 2025'!U14+'Summary Sheet - Sep 2025'!U14</f>
        <v>#REF!</v>
      </c>
      <c r="V14" s="147"/>
      <c r="W14" s="118">
        <f>'Summary Sheet - July 2025'!W14+'Summary Sheet - Aug 2025'!W14+'Summary Sheet - Sep 2025'!W14</f>
        <v>12125838.62</v>
      </c>
      <c r="X14" s="147"/>
      <c r="Y14" s="118">
        <f>'Summary Sheet - July 2025'!Y14+'Summary Sheet - Aug 2025'!Y14+'Summary Sheet - Sep 2025'!Y14</f>
        <v>11817550.47</v>
      </c>
      <c r="Z14" s="147"/>
      <c r="AA14" s="118">
        <f>sum(AA12:AA13)</f>
        <v>8630297.234</v>
      </c>
      <c r="AB14" s="147"/>
      <c r="AC14" s="118">
        <f>'Summary Sheet - July 2025'!AC14+'Summary Sheet - Aug 2025'!AC14+'Summary Sheet - Sep 2025'!AC14</f>
        <v>6794287.104</v>
      </c>
      <c r="AD14" s="147"/>
      <c r="AE14" s="118">
        <f>'Summary Sheet - July 2025'!AE14+'Summary Sheet - Aug 2025'!AE14+'Summary Sheet - Sep 2025'!AE14</f>
        <v>13842245.5</v>
      </c>
      <c r="AF14" s="147"/>
      <c r="AG14" s="118">
        <f>'Summary Sheet - July 2025'!AG14+'Summary Sheet - Aug 2025'!AG14+'Summary Sheet - Sep 2025'!AG14</f>
        <v>15083034.02</v>
      </c>
      <c r="AH14" s="147"/>
      <c r="AI14" s="118">
        <f>'Summary Sheet - July 2025'!AI14+'Summary Sheet - Aug 2025'!AI14+'Summary Sheet - Sep 2025'!AI14</f>
        <v>0</v>
      </c>
      <c r="AJ14" s="147"/>
      <c r="AK14" s="147" t="str">
        <f>'Summary Sheet - July 2025'!AK14+'Summary Sheet - Aug 2025'!AK14+'Summary Sheet - Sep 2025'!AK14</f>
        <v>#REF!</v>
      </c>
      <c r="AL14" s="147"/>
      <c r="AM14" s="118">
        <f>sum(AM12:AM13)</f>
        <v>1012180.093</v>
      </c>
      <c r="AN14" s="147"/>
      <c r="AO14" s="146">
        <f>'Summary Sheet - July 2025'!AO14+'Summary Sheet - Aug 2025'!AO14+'Summary Sheet - Sep 2025'!AO14</f>
        <v>0</v>
      </c>
      <c r="AP14" s="147"/>
      <c r="AQ14" s="118">
        <f>'Summary Sheet - July 2025'!AQ14+'Summary Sheet - Aug 2025'!AQ14+'Summary Sheet - Sep 2025'!AU14</f>
        <v>0</v>
      </c>
      <c r="AR14" s="147"/>
      <c r="AS14" s="118">
        <f>'Summary Sheet - July 2025'!AS14+'Summary Sheet - Aug 2025'!AS14+'Summary Sheet - Sep 2025'!AW14</f>
        <v>4318000</v>
      </c>
      <c r="AT14" s="147"/>
      <c r="AU14" s="68">
        <f>AU12+AU13</f>
        <v>715431.0574</v>
      </c>
      <c r="AV14" s="70"/>
      <c r="AW14" s="68">
        <f>AW12+AW13</f>
        <v>624674.0519</v>
      </c>
      <c r="AX14" s="70"/>
      <c r="AY14" s="68">
        <f>AY12+AY13</f>
        <v>376603.6681</v>
      </c>
      <c r="AZ14" s="70"/>
      <c r="BA14" s="68">
        <f>BA12+BA13</f>
        <v>0</v>
      </c>
      <c r="BB14" s="70"/>
      <c r="BC14" s="68">
        <f>BC12+BC13</f>
        <v>0</v>
      </c>
      <c r="BD14" s="73"/>
    </row>
    <row r="15" ht="15.75" customHeight="1">
      <c r="A15" s="176"/>
      <c r="B15" s="90" t="s">
        <v>32</v>
      </c>
      <c r="C15" s="91"/>
      <c r="D15" s="92"/>
      <c r="E15" s="92"/>
      <c r="F15" s="94"/>
      <c r="G15" s="144"/>
      <c r="H15" s="100"/>
      <c r="I15" s="100"/>
      <c r="J15" s="100"/>
      <c r="K15" s="93"/>
      <c r="L15" s="92"/>
      <c r="M15" s="92"/>
      <c r="N15" s="92"/>
      <c r="O15" s="101"/>
      <c r="P15" s="100"/>
      <c r="Q15" s="100"/>
      <c r="R15" s="100"/>
      <c r="S15" s="101"/>
      <c r="T15" s="100"/>
      <c r="U15" s="100"/>
      <c r="V15" s="100"/>
      <c r="W15" s="101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1"/>
      <c r="AV15" s="101"/>
      <c r="AW15" s="101">
        <f>'Summary Sheet - June 2025'!AY15</f>
        <v>0</v>
      </c>
      <c r="AX15" s="101" t="str">
        <f>'Summary Sheet - June 2025'!AZ15</f>
        <v/>
      </c>
      <c r="AY15" s="101" t="str">
        <f>'Summary Sheet - June 2025'!BG15</f>
        <v/>
      </c>
      <c r="AZ15" s="101" t="str">
        <f>'Summary Sheet - June 2025'!BH15</f>
        <v/>
      </c>
      <c r="BA15" s="101" t="str">
        <f>'Summary Sheet - June 2025'!BK15</f>
        <v/>
      </c>
      <c r="BB15" s="101" t="str">
        <f>'Summary Sheet - June 2025'!BL15</f>
        <v/>
      </c>
      <c r="BC15" s="101" t="str">
        <f>'Summary Sheet - June 2025'!BM15</f>
        <v/>
      </c>
      <c r="BD15" s="102"/>
    </row>
    <row r="16" ht="15.75" customHeight="1">
      <c r="A16" s="176"/>
      <c r="B16" s="153" t="s">
        <v>33</v>
      </c>
      <c r="C16" s="154">
        <f>C10-C14</f>
        <v>109632487.5</v>
      </c>
      <c r="D16" s="160"/>
      <c r="E16" s="156" t="str">
        <f>E10-E14</f>
        <v>#REF!</v>
      </c>
      <c r="F16" s="157"/>
      <c r="G16" s="158">
        <f>'Summary Sheet - July 2025'!G16+'Summary Sheet - Aug 2025'!G16+'Summary Sheet - Sep 2025'!G16</f>
        <v>-1468610</v>
      </c>
      <c r="H16" s="160"/>
      <c r="I16" s="156">
        <f>'Summary Sheet - July 2025'!I16+'Summary Sheet - Aug 2025'!I16+'Summary Sheet - Sep 2025'!I16</f>
        <v>0</v>
      </c>
      <c r="J16" s="160"/>
      <c r="K16" s="156">
        <f>K10-K14</f>
        <v>109632487.5</v>
      </c>
      <c r="L16" s="160"/>
      <c r="M16" s="156" t="str">
        <f>Q16+U16+Y16+AC16+AG16+AK16+AO16</f>
        <v>#REF!</v>
      </c>
      <c r="N16" s="160"/>
      <c r="O16" s="156">
        <f>'Summary Sheet - July 2025'!O16+'Summary Sheet - Aug 2025'!O16+'Summary Sheet - Sep 2025'!O16</f>
        <v>25386189.16</v>
      </c>
      <c r="P16" s="160"/>
      <c r="Q16" s="156">
        <f>'Summary Sheet - July 2025'!Q16+'Summary Sheet - Aug 2025'!Q16+'Summary Sheet - Sep 2025'!Q16</f>
        <v>27915397.02</v>
      </c>
      <c r="R16" s="160"/>
      <c r="S16" s="156">
        <f>'Summary Sheet - July 2025'!S16+'Summary Sheet - Aug 2025'!S16+'Summary Sheet - Sep 2025'!S16</f>
        <v>1094126.765</v>
      </c>
      <c r="T16" s="160"/>
      <c r="U16" s="156" t="str">
        <f>'Summary Sheet - July 2025'!U16+'Summary Sheet - Aug 2025'!U16+'Summary Sheet - Sep 2025'!U16</f>
        <v>#REF!</v>
      </c>
      <c r="V16" s="160"/>
      <c r="W16" s="156">
        <f>'Summary Sheet - July 2025'!W16+'Summary Sheet - Aug 2025'!W16+'Summary Sheet - Sep 2025'!W16</f>
        <v>27991932.2</v>
      </c>
      <c r="X16" s="160"/>
      <c r="Y16" s="156">
        <f>'Summary Sheet - July 2025'!Y16+'Summary Sheet - Aug 2025'!Y16+'Summary Sheet - Sep 2025'!Y16</f>
        <v>29763118.32</v>
      </c>
      <c r="Z16" s="160"/>
      <c r="AA16" s="156">
        <f>AA10-AA14</f>
        <v>19457246.26</v>
      </c>
      <c r="AB16" s="160"/>
      <c r="AC16" s="156">
        <f>'Summary Sheet - July 2025'!AC16+'Summary Sheet - Aug 2025'!AC16+'Summary Sheet - Sep 2025'!AC16</f>
        <v>20337784.09</v>
      </c>
      <c r="AD16" s="160"/>
      <c r="AE16" s="156">
        <f>'Summary Sheet - July 2025'!AE16+'Summary Sheet - Aug 2025'!AE16+'Summary Sheet - Sep 2025'!AE16</f>
        <v>35404539.23</v>
      </c>
      <c r="AF16" s="160"/>
      <c r="AG16" s="156">
        <f>'Summary Sheet - July 2025'!AG16+'Summary Sheet - Aug 2025'!AG16+'Summary Sheet - Sep 2025'!AG16</f>
        <v>35363848.59</v>
      </c>
      <c r="AH16" s="160"/>
      <c r="AI16" s="156">
        <f>'Summary Sheet - July 2025'!AI16+'Summary Sheet - Aug 2025'!AI16+'Summary Sheet - Sep 2025'!AI16</f>
        <v>0</v>
      </c>
      <c r="AJ16" s="160"/>
      <c r="AK16" s="156" t="str">
        <f>'Summary Sheet - July 2025'!AK16+'Summary Sheet - Aug 2025'!AK16+'Summary Sheet - Sep 2025'!AK16</f>
        <v>#REF!</v>
      </c>
      <c r="AL16" s="160"/>
      <c r="AM16" s="156">
        <f>'Summary Sheet - July 2025'!AM16+'Summary Sheet - Aug 2025'!AM16+'Summary Sheet - Sep 2025'!AM16</f>
        <v>235733.4867</v>
      </c>
      <c r="AN16" s="160"/>
      <c r="AO16" s="156">
        <f>'Summary Sheet - July 2025'!AO16+'Summary Sheet - Aug 2025'!AO16+'Summary Sheet - Sep 2025'!AO16</f>
        <v>248000</v>
      </c>
      <c r="AP16" s="160"/>
      <c r="AQ16" s="156">
        <f>'Summary Sheet - July 2025'!AQ16+'Summary Sheet - Aug 2025'!AQ16+'Summary Sheet - Sep 2025'!AU16</f>
        <v>0</v>
      </c>
      <c r="AR16" s="160"/>
      <c r="AS16" s="156">
        <f>'Summary Sheet - July 2025'!AS16+'Summary Sheet - Aug 2025'!AS16+'Summary Sheet - Sep 2025'!AW16</f>
        <v>5682000</v>
      </c>
      <c r="AT16" s="160"/>
      <c r="AU16" s="156">
        <f>AU10-AU14-AU15</f>
        <v>320777.1726</v>
      </c>
      <c r="AV16" s="160"/>
      <c r="AW16" s="156">
        <f>AW10-AW14-AW15</f>
        <v>-117672.0819</v>
      </c>
      <c r="AX16" s="160"/>
      <c r="AY16" s="156">
        <f>AY10-AY14-AY15</f>
        <v>-140384.6681</v>
      </c>
      <c r="AZ16" s="160"/>
      <c r="BA16" s="156">
        <f>BA10-BA14-BA15</f>
        <v>0</v>
      </c>
      <c r="BB16" s="160"/>
      <c r="BC16" s="156">
        <f>BC10-BC14</f>
        <v>0</v>
      </c>
      <c r="BD16" s="157"/>
    </row>
    <row r="17" ht="15.75" customHeight="1">
      <c r="A17" s="176"/>
      <c r="B17" s="22"/>
      <c r="C17" s="148"/>
      <c r="D17" s="137"/>
      <c r="E17" s="137"/>
      <c r="F17" s="149"/>
      <c r="G17" s="135"/>
      <c r="H17" s="28"/>
      <c r="I17" s="28"/>
      <c r="J17" s="28"/>
      <c r="K17" s="137"/>
      <c r="L17" s="137"/>
      <c r="M17" s="137"/>
      <c r="N17" s="137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35"/>
    </row>
    <row r="18" ht="15.75" customHeight="1">
      <c r="A18" s="176"/>
      <c r="B18" s="38" t="s">
        <v>34</v>
      </c>
      <c r="C18" s="39">
        <f t="shared" ref="C18:C27" si="9">G18+K18</f>
        <v>3961882.22</v>
      </c>
      <c r="D18" s="139"/>
      <c r="E18" s="40" t="str">
        <f t="shared" ref="E18:E28" si="10">I18+M18</f>
        <v>#REF!</v>
      </c>
      <c r="F18" s="150"/>
      <c r="G18" s="138">
        <f>'Summary Sheet - July 2025'!G18+'Summary Sheet - Aug 2025'!G18+'Summary Sheet - Sep 2025'!G18</f>
        <v>0</v>
      </c>
      <c r="H18" s="43"/>
      <c r="I18" s="48">
        <f>'Summary Sheet - July 2025'!I18+'Summary Sheet - Aug 2025'!I18+'Summary Sheet - Sep 2025'!I18</f>
        <v>0</v>
      </c>
      <c r="J18" s="43"/>
      <c r="K18" s="25">
        <f t="shared" ref="K18:K27" si="11">O18+S18+W18+AA18+AE18+AI18+AM18+AQ18+AU18+AW18+AY18+BA18</f>
        <v>3961882.22</v>
      </c>
      <c r="L18" s="139"/>
      <c r="M18" s="40" t="str">
        <f t="shared" ref="M18:M27" si="12">Q18+U18+Y18+AC18+AG18+AK18+AO18</f>
        <v>#REF!</v>
      </c>
      <c r="N18" s="139"/>
      <c r="O18" s="48">
        <f>'Summary Sheet - July 2025'!O18+'Summary Sheet - Aug 2025'!O18+'Summary Sheet - Sep 2025'!O18</f>
        <v>1153861.52</v>
      </c>
      <c r="P18" s="43"/>
      <c r="Q18" s="48">
        <f>'Summary Sheet - July 2025'!Q18+'Summary Sheet - Aug 2025'!Q18+'Summary Sheet - Sep 2025'!Q18</f>
        <v>973243.2168</v>
      </c>
      <c r="R18" s="43"/>
      <c r="S18" s="48">
        <f>'Summary Sheet - July 2025'!S18+'Summary Sheet - Aug 2025'!S18+'Summary Sheet - Sep 2025'!S18</f>
        <v>56317.04</v>
      </c>
      <c r="T18" s="43"/>
      <c r="U18" s="48" t="str">
        <f>'Summary Sheet - July 2025'!U18+'Summary Sheet - Aug 2025'!U18+'Summary Sheet - Sep 2025'!U18</f>
        <v>#REF!</v>
      </c>
      <c r="V18" s="43"/>
      <c r="W18" s="48">
        <f>'Summary Sheet - July 2025'!W18+'Summary Sheet - Aug 2025'!W18+'Summary Sheet - Sep 2025'!W18</f>
        <v>823792.46</v>
      </c>
      <c r="X18" s="43"/>
      <c r="Y18" s="48">
        <f>'Summary Sheet - July 2025'!Y18+'Summary Sheet - Aug 2025'!Y18+'Summary Sheet - Sep 2025'!Y18</f>
        <v>960513.4491</v>
      </c>
      <c r="Z18" s="43"/>
      <c r="AA18" s="48">
        <f>'Summary Sheet - July 2025'!AA18+'Summary Sheet - Aug 2025'!AA18+'Summary Sheet - Sep 2025'!AA18</f>
        <v>529244.24</v>
      </c>
      <c r="AB18" s="43"/>
      <c r="AC18" s="48">
        <f>'Summary Sheet - July 2025'!AC18+'Summary Sheet - Aug 2025'!AC18+'Summary Sheet - Sep 2025'!AC18</f>
        <v>504656.6475</v>
      </c>
      <c r="AD18" s="43"/>
      <c r="AE18" s="48">
        <f>'Summary Sheet - July 2025'!AE18+'Summary Sheet - Aug 2025'!AE18+'Summary Sheet - Sep 2025'!AE18</f>
        <v>1256052.44</v>
      </c>
      <c r="AF18" s="43"/>
      <c r="AG18" s="48">
        <f>'Summary Sheet - July 2025'!AG18+'Summary Sheet - Aug 2025'!AG18+'Summary Sheet - Sep 2025'!AG18</f>
        <v>1392333.223</v>
      </c>
      <c r="AH18" s="43"/>
      <c r="AI18" s="48">
        <f>'Summary Sheet - July 2025'!AI18+'Summary Sheet - Aug 2025'!AI18+'Summary Sheet - Sep 2025'!AI18</f>
        <v>0</v>
      </c>
      <c r="AJ18" s="43"/>
      <c r="AK18" s="48" t="str">
        <f>'Summary Sheet - July 2025'!AK18+'Summary Sheet - Aug 2025'!AK18+'Summary Sheet - Sep 2025'!AK18</f>
        <v>#REF!</v>
      </c>
      <c r="AL18" s="43"/>
      <c r="AM18" s="48">
        <f>'Summary Sheet - July 2025'!AM18+'Summary Sheet - Aug 2025'!AM18+'Summary Sheet - Sep 2025'!AM18</f>
        <v>124414.52</v>
      </c>
      <c r="AN18" s="43"/>
      <c r="AO18" s="48">
        <f>'Summary Sheet - July 2025'!AO18+'Summary Sheet - Aug 2025'!AO18+'Summary Sheet - Sep 2025'!AO18</f>
        <v>0</v>
      </c>
      <c r="AP18" s="43"/>
      <c r="AQ18" s="48">
        <f>'Summary Sheet - July 2025'!AQ18+'Summary Sheet - Aug 2025'!AQ18+'Summary Sheet - Sep 2025'!AU18</f>
        <v>18200</v>
      </c>
      <c r="AR18" s="43"/>
      <c r="AS18" s="48">
        <f>'Summary Sheet - July 2025'!AS18+'Summary Sheet - Aug 2025'!AS18+'Summary Sheet - Sep 2025'!AW18</f>
        <v>160000</v>
      </c>
      <c r="AT18" s="43"/>
      <c r="AU18" s="43">
        <f>'Summary Sheet - July 2025'!AU18+'Summary Sheet - Aug 2025'!AU18+'Summary Sheet - Sep 2025'!AY18</f>
        <v>0</v>
      </c>
      <c r="AV18" s="43"/>
      <c r="AW18" s="48">
        <f>'Summary Sheet - July 2025'!AY18+'Summary Sheet - Aug 2025'!AY18+'Summary Sheet - Sep 2025'!BC18</f>
        <v>0</v>
      </c>
      <c r="AX18" s="43"/>
      <c r="AY18" s="48">
        <f>'Summary Sheet - July 2025'!BC18+'Summary Sheet - Aug 2025'!BC18+'Summary Sheet - Sep 2025'!BO18</f>
        <v>0</v>
      </c>
      <c r="AZ18" s="43"/>
      <c r="BA18" s="114">
        <f>'Summary Sheet - July 2025'!BG18+'Summary Sheet - Aug 2025'!BG18+'Summary Sheet - Sep 2025'!BK18</f>
        <v>0</v>
      </c>
      <c r="BB18" s="43"/>
      <c r="BC18" s="48">
        <f>'Summary Sheet - July 2025'!BQ18+'Summary Sheet - Aug 2025'!BQ18+'Summary Sheet - Sep 2025'!BU18</f>
        <v>0</v>
      </c>
      <c r="BD18" s="49"/>
    </row>
    <row r="19" ht="15.75" customHeight="1">
      <c r="A19" s="176"/>
      <c r="B19" s="38" t="s">
        <v>35</v>
      </c>
      <c r="C19" s="39">
        <f t="shared" si="9"/>
        <v>3392221</v>
      </c>
      <c r="D19" s="139"/>
      <c r="E19" s="40" t="str">
        <f t="shared" si="10"/>
        <v>#REF!</v>
      </c>
      <c r="F19" s="150"/>
      <c r="G19" s="138">
        <f>'Summary Sheet - July 2025'!G19+'Summary Sheet - Aug 2025'!G19+'Summary Sheet - Sep 2025'!G19</f>
        <v>132278</v>
      </c>
      <c r="H19" s="43"/>
      <c r="I19" s="48">
        <f>'Summary Sheet - July 2025'!I19+'Summary Sheet - Aug 2025'!I19+'Summary Sheet - Sep 2025'!I19</f>
        <v>38622</v>
      </c>
      <c r="J19" s="43"/>
      <c r="K19" s="25">
        <f t="shared" si="11"/>
        <v>3259943</v>
      </c>
      <c r="L19" s="139"/>
      <c r="M19" s="40" t="str">
        <f t="shared" si="12"/>
        <v>#REF!</v>
      </c>
      <c r="N19" s="139"/>
      <c r="O19" s="48">
        <f>'Summary Sheet - July 2025'!O19+'Summary Sheet - Aug 2025'!O19+'Summary Sheet - Sep 2025'!O19</f>
        <v>533088</v>
      </c>
      <c r="P19" s="43"/>
      <c r="Q19" s="48">
        <f>'Summary Sheet - July 2025'!Q19+'Summary Sheet - Aug 2025'!Q19+'Summary Sheet - Sep 2025'!Q19</f>
        <v>725325.3333</v>
      </c>
      <c r="R19" s="43"/>
      <c r="S19" s="48">
        <f>'Summary Sheet - July 2025'!S19+'Summary Sheet - Aug 2025'!S19+'Summary Sheet - Sep 2025'!S19</f>
        <v>215803</v>
      </c>
      <c r="T19" s="43"/>
      <c r="U19" s="48" t="str">
        <f>'Summary Sheet - July 2025'!U19+'Summary Sheet - Aug 2025'!U19+'Summary Sheet - Sep 2025'!U19</f>
        <v>#REF!</v>
      </c>
      <c r="V19" s="43"/>
      <c r="W19" s="48">
        <f>'Summary Sheet - July 2025'!W19+'Summary Sheet - Aug 2025'!W19+'Summary Sheet - Sep 2025'!W19</f>
        <v>467544.1429</v>
      </c>
      <c r="X19" s="43"/>
      <c r="Y19" s="48">
        <f>'Summary Sheet - July 2025'!Y19+'Summary Sheet - Aug 2025'!Y19+'Summary Sheet - Sep 2025'!Y19</f>
        <v>529204</v>
      </c>
      <c r="Z19" s="43"/>
      <c r="AA19" s="48">
        <f>'Summary Sheet - July 2025'!AA19+'Summary Sheet - Aug 2025'!AA19+'Summary Sheet - Sep 2025'!AA19</f>
        <v>451138.1429</v>
      </c>
      <c r="AB19" s="43"/>
      <c r="AC19" s="48">
        <f>'Summary Sheet - July 2025'!AC19+'Summary Sheet - Aug 2025'!AC19+'Summary Sheet - Sep 2025'!AC19</f>
        <v>512274</v>
      </c>
      <c r="AD19" s="43"/>
      <c r="AE19" s="48">
        <f>'Summary Sheet - July 2025'!AE19+'Summary Sheet - Aug 2025'!AE19+'Summary Sheet - Sep 2025'!AE19</f>
        <v>422694.1429</v>
      </c>
      <c r="AF19" s="43"/>
      <c r="AG19" s="48">
        <f>'Summary Sheet - July 2025'!AG19+'Summary Sheet - Aug 2025'!AG19+'Summary Sheet - Sep 2025'!AG19</f>
        <v>487734</v>
      </c>
      <c r="AH19" s="43"/>
      <c r="AI19" s="48">
        <f>'Summary Sheet - July 2025'!AI19+'Summary Sheet - Aug 2025'!AI19+'Summary Sheet - Sep 2025'!AI19</f>
        <v>0</v>
      </c>
      <c r="AJ19" s="43"/>
      <c r="AK19" s="48" t="str">
        <f>'Summary Sheet - July 2025'!AK19+'Summary Sheet - Aug 2025'!AK19+'Summary Sheet - Sep 2025'!AK19</f>
        <v>#REF!</v>
      </c>
      <c r="AL19" s="43"/>
      <c r="AM19" s="48">
        <f>'Summary Sheet - July 2025'!AM19+'Summary Sheet - Aug 2025'!AM19+'Summary Sheet - Sep 2025'!AM19</f>
        <v>227193.1429</v>
      </c>
      <c r="AN19" s="43"/>
      <c r="AO19" s="48">
        <f>'Summary Sheet - July 2025'!AO19+'Summary Sheet - Aug 2025'!AO19+'Summary Sheet - Sep 2025'!AO19</f>
        <v>150999</v>
      </c>
      <c r="AP19" s="43"/>
      <c r="AQ19" s="48">
        <f>'Summary Sheet - July 2025'!AQ19+'Summary Sheet - Aug 2025'!AQ19+'Summary Sheet - Sep 2025'!AU19</f>
        <v>3210</v>
      </c>
      <c r="AR19" s="43"/>
      <c r="AS19" s="48">
        <f>'Summary Sheet - July 2025'!AS19+'Summary Sheet - Aug 2025'!AS19+'Summary Sheet - Sep 2025'!AW19</f>
        <v>80500</v>
      </c>
      <c r="AT19" s="43"/>
      <c r="AU19" s="48">
        <f>'Summary Sheet - July 2025'!AU19+'Summary Sheet - Aug 2025'!AU19+'Summary Sheet - Sep 2025'!AY19</f>
        <v>168993.1429</v>
      </c>
      <c r="AV19" s="43"/>
      <c r="AW19" s="48">
        <f>'Summary Sheet - July 2025'!AY19+'Summary Sheet - Aug 2025'!AY19+'Summary Sheet - Sep 2025'!BC19</f>
        <v>160722.1429</v>
      </c>
      <c r="AX19" s="43"/>
      <c r="AY19" s="48">
        <f>'Summary Sheet - July 2025'!BC19+'Summary Sheet - Aug 2025'!BC19+'Summary Sheet - Sep 2025'!BG19</f>
        <v>156122.1429</v>
      </c>
      <c r="AZ19" s="43"/>
      <c r="BA19" s="114">
        <f>'Summary Sheet - July 2025'!BG19+'Summary Sheet - Aug 2025'!BG19+'Summary Sheet - Sep 2025'!BK19</f>
        <v>453435</v>
      </c>
      <c r="BB19" s="43"/>
      <c r="BC19" s="48">
        <f>'Summary Sheet - July 2025'!BQ19+'Summary Sheet - Aug 2025'!BQ19+'Summary Sheet - Sep 2025'!BU19</f>
        <v>0</v>
      </c>
      <c r="BD19" s="49"/>
    </row>
    <row r="20" ht="15.75" customHeight="1">
      <c r="A20" s="176"/>
      <c r="B20" s="38" t="s">
        <v>36</v>
      </c>
      <c r="C20" s="39">
        <f t="shared" si="9"/>
        <v>5760294.51</v>
      </c>
      <c r="D20" s="139"/>
      <c r="E20" s="40" t="str">
        <f t="shared" si="10"/>
        <v>#REF!</v>
      </c>
      <c r="F20" s="150"/>
      <c r="G20" s="138">
        <f>'Summary Sheet - July 2025'!G20+'Summary Sheet - Aug 2025'!G20+'Summary Sheet - Sep 2025'!G20</f>
        <v>0</v>
      </c>
      <c r="H20" s="43"/>
      <c r="I20" s="48">
        <f>'Summary Sheet - July 2025'!I20+'Summary Sheet - Aug 2025'!I20+'Summary Sheet - Sep 2025'!I20</f>
        <v>0</v>
      </c>
      <c r="J20" s="43"/>
      <c r="K20" s="25">
        <f t="shared" si="11"/>
        <v>5760294.51</v>
      </c>
      <c r="L20" s="139"/>
      <c r="M20" s="40" t="str">
        <f t="shared" si="12"/>
        <v>#REF!</v>
      </c>
      <c r="N20" s="139"/>
      <c r="O20" s="48">
        <f>'Summary Sheet - July 2025'!O20+'Summary Sheet - Aug 2025'!O20+'Summary Sheet - Sep 2025'!O20</f>
        <v>236983.39</v>
      </c>
      <c r="P20" s="43"/>
      <c r="Q20" s="48">
        <f>'Summary Sheet - July 2025'!Q20+'Summary Sheet - Aug 2025'!Q20+'Summary Sheet - Sep 2025'!Q20</f>
        <v>417591.9228</v>
      </c>
      <c r="R20" s="43"/>
      <c r="S20" s="48">
        <f>'Summary Sheet - July 2025'!S20+'Summary Sheet - Aug 2025'!S20+'Summary Sheet - Sep 2025'!S20</f>
        <v>221249.68</v>
      </c>
      <c r="T20" s="43"/>
      <c r="U20" s="48" t="str">
        <f>'Summary Sheet - July 2025'!U20+'Summary Sheet - Aug 2025'!U20+'Summary Sheet - Sep 2025'!U20</f>
        <v>#REF!</v>
      </c>
      <c r="V20" s="43"/>
      <c r="W20" s="48">
        <f>'Summary Sheet - July 2025'!W20+'Summary Sheet - Aug 2025'!W20+'Summary Sheet - Sep 2025'!W20</f>
        <v>1390294.01</v>
      </c>
      <c r="X20" s="43"/>
      <c r="Y20" s="48">
        <f>'Summary Sheet - July 2025'!Y20+'Summary Sheet - Aug 2025'!Y20+'Summary Sheet - Sep 2025'!Y20</f>
        <v>1375297</v>
      </c>
      <c r="Z20" s="43"/>
      <c r="AA20" s="48">
        <f>'Summary Sheet - July 2025'!AA20+'Summary Sheet - Aug 2025'!AA20+'Summary Sheet - Sep 2025'!AA20</f>
        <v>1737033.52</v>
      </c>
      <c r="AB20" s="43"/>
      <c r="AC20" s="48">
        <f>'Summary Sheet - July 2025'!AC20+'Summary Sheet - Aug 2025'!AC20+'Summary Sheet - Sep 2025'!AC20</f>
        <v>2043685.782</v>
      </c>
      <c r="AD20" s="43"/>
      <c r="AE20" s="48">
        <f>'Summary Sheet - July 2025'!AE20+'Summary Sheet - Aug 2025'!AE20+'Summary Sheet - Sep 2025'!AE20</f>
        <v>1559265.25</v>
      </c>
      <c r="AF20" s="43"/>
      <c r="AG20" s="48">
        <f>'Summary Sheet - July 2025'!AG20+'Summary Sheet - Aug 2025'!AG20+'Summary Sheet - Sep 2025'!AG20</f>
        <v>1447204.375</v>
      </c>
      <c r="AH20" s="43"/>
      <c r="AI20" s="48">
        <f>'Summary Sheet - July 2025'!AI20+'Summary Sheet - Aug 2025'!AI20+'Summary Sheet - Sep 2025'!AI20</f>
        <v>0</v>
      </c>
      <c r="AJ20" s="43"/>
      <c r="AK20" s="48" t="str">
        <f>'Summary Sheet - July 2025'!AK20+'Summary Sheet - Aug 2025'!AK20+'Summary Sheet - Sep 2025'!AK20</f>
        <v>#REF!</v>
      </c>
      <c r="AL20" s="43"/>
      <c r="AM20" s="48">
        <f>'Summary Sheet - July 2025'!AM20+'Summary Sheet - Aug 2025'!AM20+'Summary Sheet - Sep 2025'!AM20</f>
        <v>88524.47</v>
      </c>
      <c r="AN20" s="43"/>
      <c r="AO20" s="48">
        <f>'Summary Sheet - July 2025'!AO20+'Summary Sheet - Aug 2025'!AO20+'Summary Sheet - Sep 2025'!AO20</f>
        <v>0</v>
      </c>
      <c r="AP20" s="43"/>
      <c r="AQ20" s="48">
        <f>'Summary Sheet - July 2025'!AQ20+'Summary Sheet - Aug 2025'!AQ20+'Summary Sheet - Sep 2025'!AU20</f>
        <v>0</v>
      </c>
      <c r="AR20" s="43"/>
      <c r="AS20" s="48">
        <f>'Summary Sheet - July 2025'!AS20+'Summary Sheet - Aug 2025'!AS20+'Summary Sheet - Sep 2025'!AW20</f>
        <v>0</v>
      </c>
      <c r="AT20" s="43"/>
      <c r="AU20" s="48">
        <f>'Summary Sheet - July 2025'!AU20+'Summary Sheet - Aug 2025'!AU20+'Summary Sheet - Sep 2025'!AY20</f>
        <v>291489.96</v>
      </c>
      <c r="AV20" s="43"/>
      <c r="AW20" s="48">
        <f>'Summary Sheet - July 2025'!AY20+'Summary Sheet - Aug 2025'!AY20+'Summary Sheet - Sep 2025'!BC20</f>
        <v>123245.11</v>
      </c>
      <c r="AX20" s="43"/>
      <c r="AY20" s="48">
        <f>'Summary Sheet - July 2025'!BC20+'Summary Sheet - Aug 2025'!BC20+'Summary Sheet - Sep 2025'!BG20</f>
        <v>112209.12</v>
      </c>
      <c r="AZ20" s="43"/>
      <c r="BA20" s="114">
        <f>'Summary Sheet - July 2025'!BG20+'Summary Sheet - Aug 2025'!BG20+'Summary Sheet - Sep 2025'!BK20</f>
        <v>0</v>
      </c>
      <c r="BB20" s="43"/>
      <c r="BC20" s="48">
        <f>'Summary Sheet - July 2025'!BQ20+'Summary Sheet - Aug 2025'!BQ20+'Summary Sheet - Sep 2025'!BU20</f>
        <v>0</v>
      </c>
      <c r="BD20" s="49"/>
    </row>
    <row r="21" ht="15.75" customHeight="1">
      <c r="A21" s="176"/>
      <c r="B21" s="38" t="s">
        <v>37</v>
      </c>
      <c r="C21" s="39">
        <f t="shared" si="9"/>
        <v>18148912.83</v>
      </c>
      <c r="D21" s="139"/>
      <c r="E21" s="40" t="str">
        <f t="shared" si="10"/>
        <v>#REF!</v>
      </c>
      <c r="F21" s="150"/>
      <c r="G21" s="138">
        <f>'Summary Sheet - July 2025'!G21+'Summary Sheet - Aug 2025'!G21+'Summary Sheet - Sep 2025'!G21</f>
        <v>1085727</v>
      </c>
      <c r="H21" s="43"/>
      <c r="I21" s="48">
        <f>'Summary Sheet - July 2025'!I21+'Summary Sheet - Aug 2025'!I21+'Summary Sheet - Sep 2025'!I21</f>
        <v>1113576</v>
      </c>
      <c r="J21" s="43"/>
      <c r="K21" s="25">
        <f t="shared" si="11"/>
        <v>17063185.83</v>
      </c>
      <c r="L21" s="139"/>
      <c r="M21" s="40" t="str">
        <f t="shared" si="12"/>
        <v>#REF!</v>
      </c>
      <c r="N21" s="139"/>
      <c r="O21" s="48">
        <f>'Summary Sheet - July 2025'!O21+'Summary Sheet - Aug 2025'!O21+'Summary Sheet - Sep 2025'!O21</f>
        <v>5156769</v>
      </c>
      <c r="P21" s="43"/>
      <c r="Q21" s="48">
        <f>'Summary Sheet - July 2025'!Q21+'Summary Sheet - Aug 2025'!Q21+'Summary Sheet - Sep 2025'!Q21</f>
        <v>5249151</v>
      </c>
      <c r="R21" s="43"/>
      <c r="S21" s="48">
        <f>'Summary Sheet - July 2025'!S21+'Summary Sheet - Aug 2025'!S21+'Summary Sheet - Sep 2025'!S21</f>
        <v>261868</v>
      </c>
      <c r="T21" s="43"/>
      <c r="U21" s="48" t="str">
        <f>'Summary Sheet - July 2025'!U21+'Summary Sheet - Aug 2025'!U21+'Summary Sheet - Sep 2025'!U21</f>
        <v>#REF!</v>
      </c>
      <c r="V21" s="43"/>
      <c r="W21" s="48">
        <f>'Summary Sheet - July 2025'!W21+'Summary Sheet - Aug 2025'!W21+'Summary Sheet - Sep 2025'!W21</f>
        <v>4466976</v>
      </c>
      <c r="X21" s="43"/>
      <c r="Y21" s="48">
        <f>'Summary Sheet - July 2025'!Y21+'Summary Sheet - Aug 2025'!Y21+'Summary Sheet - Sep 2025'!Y21</f>
        <v>4330433</v>
      </c>
      <c r="Z21" s="43"/>
      <c r="AA21" s="48">
        <f>'Summary Sheet - July 2025'!AA21+'Summary Sheet - Aug 2025'!AA21+'Summary Sheet - Sep 2025'!AA21</f>
        <v>1171890</v>
      </c>
      <c r="AB21" s="43"/>
      <c r="AC21" s="48">
        <f>'Summary Sheet - July 2025'!AC21+'Summary Sheet - Aug 2025'!AC21+'Summary Sheet - Sep 2025'!AC21</f>
        <v>1109387.4</v>
      </c>
      <c r="AD21" s="43"/>
      <c r="AE21" s="48">
        <f>'Summary Sheet - July 2025'!AE21+'Summary Sheet - Aug 2025'!AE21+'Summary Sheet - Sep 2025'!AE21</f>
        <v>4621088</v>
      </c>
      <c r="AF21" s="43"/>
      <c r="AG21" s="48">
        <f>'Summary Sheet - July 2025'!AG21+'Summary Sheet - Aug 2025'!AG21+'Summary Sheet - Sep 2025'!AG21</f>
        <v>4826880</v>
      </c>
      <c r="AH21" s="43"/>
      <c r="AI21" s="48">
        <f>'Summary Sheet - July 2025'!AI21+'Summary Sheet - Aug 2025'!AI21+'Summary Sheet - Sep 2025'!AI21</f>
        <v>390168</v>
      </c>
      <c r="AJ21" s="43"/>
      <c r="AK21" s="48" t="str">
        <f>'Summary Sheet - July 2025'!AK21+'Summary Sheet - Aug 2025'!AK21+'Summary Sheet - Sep 2025'!AK21</f>
        <v>#REF!</v>
      </c>
      <c r="AL21" s="43"/>
      <c r="AM21" s="48">
        <f>'Summary Sheet - July 2025'!AM21+'Summary Sheet - Aug 2025'!AM21+'Summary Sheet - Sep 2025'!AM21</f>
        <v>739395</v>
      </c>
      <c r="AN21" s="43"/>
      <c r="AO21" s="48">
        <f>'Summary Sheet - July 2025'!AO21+'Summary Sheet - Aug 2025'!AO21+'Summary Sheet - Sep 2025'!AO21</f>
        <v>0</v>
      </c>
      <c r="AP21" s="43"/>
      <c r="AQ21" s="48">
        <f>'Summary Sheet - July 2025'!AQ21+'Summary Sheet - Aug 2025'!AQ21+'Summary Sheet - Sep 2025'!AU21</f>
        <v>255031.8333</v>
      </c>
      <c r="AR21" s="43"/>
      <c r="AS21" s="48">
        <f>'Summary Sheet - July 2025'!AS21+'Summary Sheet - Aug 2025'!AS21+'Summary Sheet - Sep 2025'!AW21</f>
        <v>0</v>
      </c>
      <c r="AT21" s="43"/>
      <c r="AU21" s="48">
        <f>'Summary Sheet - July 2025'!AU21+'Summary Sheet - Aug 2025'!AU21+'Summary Sheet - Sep 2025'!AY21</f>
        <v>0</v>
      </c>
      <c r="AV21" s="43"/>
      <c r="AW21" s="48">
        <f>'Summary Sheet - July 2025'!AY21+'Summary Sheet - Aug 2025'!AY21+'Summary Sheet - Sep 2025'!BC21</f>
        <v>0</v>
      </c>
      <c r="AX21" s="43"/>
      <c r="AY21" s="48">
        <f>'Summary Sheet - July 2025'!BC21+'Summary Sheet - Aug 2025'!BC21+'Summary Sheet - Sep 2025'!BG21</f>
        <v>0</v>
      </c>
      <c r="AZ21" s="43"/>
      <c r="BA21" s="114">
        <f>'Summary Sheet - July 2025'!BG21+'Summary Sheet - Aug 2025'!BG21+'Summary Sheet - Sep 2025'!BK21</f>
        <v>0</v>
      </c>
      <c r="BB21" s="43"/>
      <c r="BC21" s="48">
        <f>'Summary Sheet - July 2025'!BQ21+'Summary Sheet - Aug 2025'!BQ21+'Summary Sheet - Sep 2025'!BU21</f>
        <v>0</v>
      </c>
      <c r="BD21" s="49"/>
    </row>
    <row r="22" ht="15.75" customHeight="1">
      <c r="A22" s="176"/>
      <c r="B22" s="38" t="s">
        <v>38</v>
      </c>
      <c r="C22" s="39">
        <f t="shared" si="9"/>
        <v>58717548.08</v>
      </c>
      <c r="D22" s="139"/>
      <c r="E22" s="40" t="str">
        <f t="shared" si="10"/>
        <v>#REF!</v>
      </c>
      <c r="F22" s="150"/>
      <c r="G22" s="138">
        <f>'Summary Sheet - July 2025'!G22+'Summary Sheet - Aug 2025'!G22+'Summary Sheet - Sep 2025'!G22</f>
        <v>12010012.42</v>
      </c>
      <c r="H22" s="43"/>
      <c r="I22" s="48">
        <f>'Summary Sheet - July 2025'!I22+'Summary Sheet - Aug 2025'!I22+'Summary Sheet - Sep 2025'!I22</f>
        <v>12131418</v>
      </c>
      <c r="J22" s="43"/>
      <c r="K22" s="25">
        <f t="shared" si="11"/>
        <v>46707535.66</v>
      </c>
      <c r="L22" s="139"/>
      <c r="M22" s="40" t="str">
        <f t="shared" si="12"/>
        <v>#REF!</v>
      </c>
      <c r="N22" s="139"/>
      <c r="O22" s="48">
        <f>'Summary Sheet - July 2025'!O22+'Summary Sheet - Aug 2025'!O22+'Summary Sheet - Sep 2025'!O22</f>
        <v>15684544.18</v>
      </c>
      <c r="P22" s="43"/>
      <c r="Q22" s="48">
        <f>'Summary Sheet - July 2025'!Q22+'Summary Sheet - Aug 2025'!Q22+'Summary Sheet - Sep 2025'!Q22</f>
        <v>15697016.13</v>
      </c>
      <c r="R22" s="43"/>
      <c r="S22" s="48">
        <f>'Summary Sheet - July 2025'!S22+'Summary Sheet - Aug 2025'!S22+'Summary Sheet - Sep 2025'!S22</f>
        <v>754085.7862</v>
      </c>
      <c r="T22" s="43"/>
      <c r="U22" s="48" t="str">
        <f>'Summary Sheet - July 2025'!U22+'Summary Sheet - Aug 2025'!U22+'Summary Sheet - Sep 2025'!U22</f>
        <v>#REF!</v>
      </c>
      <c r="V22" s="43"/>
      <c r="W22" s="48">
        <f>'Summary Sheet - July 2025'!W22+'Summary Sheet - Aug 2025'!W22+'Summary Sheet - Sep 2025'!W22</f>
        <v>9567719.5</v>
      </c>
      <c r="X22" s="43"/>
      <c r="Y22" s="48">
        <f>'Summary Sheet - July 2025'!Y22+'Summary Sheet - Aug 2025'!Y22+'Summary Sheet - Sep 2025'!Y22</f>
        <v>10003438.88</v>
      </c>
      <c r="Z22" s="43"/>
      <c r="AA22" s="48">
        <f>'Summary Sheet - July 2025'!AA22+'Summary Sheet - Aug 2025'!AA22+'Summary Sheet - Sep 2025'!AA22</f>
        <v>4626660.42</v>
      </c>
      <c r="AB22" s="43"/>
      <c r="AC22" s="48">
        <f>'Summary Sheet - July 2025'!AC22+'Summary Sheet - Aug 2025'!AC22+'Summary Sheet - Sep 2025'!AC22</f>
        <v>4491476.197</v>
      </c>
      <c r="AD22" s="43"/>
      <c r="AE22" s="48">
        <f>'Summary Sheet - July 2025'!AE22+'Summary Sheet - Aug 2025'!AE22+'Summary Sheet - Sep 2025'!AE22</f>
        <v>11295782.34</v>
      </c>
      <c r="AF22" s="43"/>
      <c r="AG22" s="48">
        <f>'Summary Sheet - July 2025'!AG22+'Summary Sheet - Aug 2025'!AG22+'Summary Sheet - Sep 2025'!AG22</f>
        <v>11418251.25</v>
      </c>
      <c r="AH22" s="43"/>
      <c r="AI22" s="48">
        <f>'Summary Sheet - July 2025'!AI22+'Summary Sheet - Aug 2025'!AI22+'Summary Sheet - Sep 2025'!AI22</f>
        <v>185476</v>
      </c>
      <c r="AJ22" s="43"/>
      <c r="AK22" s="48" t="str">
        <f>'Summary Sheet - July 2025'!AK22+'Summary Sheet - Aug 2025'!AK22+'Summary Sheet - Sep 2025'!AK22</f>
        <v>#REF!</v>
      </c>
      <c r="AL22" s="43"/>
      <c r="AM22" s="48">
        <f>'Summary Sheet - July 2025'!AM22+'Summary Sheet - Aug 2025'!AM22+'Summary Sheet - Sep 2025'!AM22</f>
        <v>3871793.43</v>
      </c>
      <c r="AN22" s="43"/>
      <c r="AO22" s="48">
        <f>'Summary Sheet - July 2025'!AO22+'Summary Sheet - Aug 2025'!AO22+'Summary Sheet - Sep 2025'!AO22</f>
        <v>0</v>
      </c>
      <c r="AP22" s="43"/>
      <c r="AQ22" s="48">
        <f>'Summary Sheet - July 2025'!AQ22+'Summary Sheet - Aug 2025'!AQ22+'Summary Sheet - Sep 2025'!AU22</f>
        <v>721474</v>
      </c>
      <c r="AR22" s="43"/>
      <c r="AS22" s="48">
        <f>'Summary Sheet - July 2025'!AS22+'Summary Sheet - Aug 2025'!AS22+'Summary Sheet - Sep 2025'!AW22</f>
        <v>0</v>
      </c>
      <c r="AT22" s="43"/>
      <c r="AU22" s="48">
        <f>'Summary Sheet - July 2025'!AU22+'Summary Sheet - Aug 2025'!AU22+'Summary Sheet - Sep 2025'!AY22</f>
        <v>0</v>
      </c>
      <c r="AV22" s="43"/>
      <c r="AW22" s="48">
        <f>'Summary Sheet - July 2025'!AY22+'Summary Sheet - Aug 2025'!AY22+'Summary Sheet - Sep 2025'!BC22</f>
        <v>0</v>
      </c>
      <c r="AX22" s="43"/>
      <c r="AY22" s="48">
        <f>'Summary Sheet - July 2025'!BC22+'Summary Sheet - Aug 2025'!BC22+'Summary Sheet - Sep 2025'!BG22</f>
        <v>0</v>
      </c>
      <c r="AZ22" s="43"/>
      <c r="BA22" s="114">
        <f>'Summary Sheet - July 2025'!BG22+'Summary Sheet - Aug 2025'!BG22+'Summary Sheet - Sep 2025'!BK22</f>
        <v>0</v>
      </c>
      <c r="BB22" s="43"/>
      <c r="BC22" s="48">
        <f>'Summary Sheet - July 2025'!BQ22+'Summary Sheet - Aug 2025'!BQ22+'Summary Sheet - Sep 2025'!BU22</f>
        <v>0</v>
      </c>
      <c r="BD22" s="49"/>
    </row>
    <row r="23" ht="15.75" customHeight="1">
      <c r="A23" s="176"/>
      <c r="B23" s="38" t="s">
        <v>39</v>
      </c>
      <c r="C23" s="39">
        <f t="shared" si="9"/>
        <v>3061540.1</v>
      </c>
      <c r="D23" s="139"/>
      <c r="E23" s="40" t="str">
        <f t="shared" si="10"/>
        <v>#REF!</v>
      </c>
      <c r="F23" s="150"/>
      <c r="G23" s="138">
        <f>'Summary Sheet - July 2025'!G23+'Summary Sheet - Aug 2025'!G23+'Summary Sheet - Sep 2025'!G23</f>
        <v>1590651.85</v>
      </c>
      <c r="H23" s="43"/>
      <c r="I23" s="48">
        <f>'Summary Sheet - July 2025'!I23+'Summary Sheet - Aug 2025'!I23+'Summary Sheet - Sep 2025'!I23</f>
        <v>37500</v>
      </c>
      <c r="J23" s="43"/>
      <c r="K23" s="25">
        <f t="shared" si="11"/>
        <v>1470888.25</v>
      </c>
      <c r="L23" s="139"/>
      <c r="M23" s="40" t="str">
        <f t="shared" si="12"/>
        <v>#REF!</v>
      </c>
      <c r="N23" s="139"/>
      <c r="O23" s="48">
        <f>'Summary Sheet - July 2025'!O23+'Summary Sheet - Aug 2025'!O23+'Summary Sheet - Sep 2025'!O23</f>
        <v>612169.62</v>
      </c>
      <c r="P23" s="43"/>
      <c r="Q23" s="48">
        <f>'Summary Sheet - July 2025'!Q23+'Summary Sheet - Aug 2025'!Q23+'Summary Sheet - Sep 2025'!Q23</f>
        <v>579724.096</v>
      </c>
      <c r="R23" s="43"/>
      <c r="S23" s="48">
        <f>'Summary Sheet - July 2025'!S23+'Summary Sheet - Aug 2025'!S23+'Summary Sheet - Sep 2025'!S23</f>
        <v>0</v>
      </c>
      <c r="T23" s="43"/>
      <c r="U23" s="43" t="str">
        <f>'Summary Sheet - July 2025'!U23+'Summary Sheet - Aug 2025'!U23+'Summary Sheet - Sep 2025'!U23</f>
        <v>#REF!</v>
      </c>
      <c r="V23" s="43"/>
      <c r="W23" s="48">
        <f>'Summary Sheet - July 2025'!W23+'Summary Sheet - Aug 2025'!W23+'Summary Sheet - Sep 2025'!W23</f>
        <v>305594.56</v>
      </c>
      <c r="X23" s="43"/>
      <c r="Y23" s="48">
        <f>'Summary Sheet - July 2025'!Y23+'Summary Sheet - Aug 2025'!Y23+'Summary Sheet - Sep 2025'!Y23</f>
        <v>371407.719</v>
      </c>
      <c r="Z23" s="43"/>
      <c r="AA23" s="48">
        <f>'Summary Sheet - July 2025'!AA23+'Summary Sheet - Aug 2025'!AA23+'Summary Sheet - Sep 2025'!AA23</f>
        <v>136406.2</v>
      </c>
      <c r="AB23" s="43"/>
      <c r="AC23" s="48">
        <f>'Summary Sheet - July 2025'!AC23+'Summary Sheet - Aug 2025'!AC23+'Summary Sheet - Sep 2025'!AC23</f>
        <v>115946.316</v>
      </c>
      <c r="AD23" s="43"/>
      <c r="AE23" s="48">
        <f>'Summary Sheet - July 2025'!AE23+'Summary Sheet - Aug 2025'!AE23+'Summary Sheet - Sep 2025'!AE23</f>
        <v>415816.87</v>
      </c>
      <c r="AF23" s="43"/>
      <c r="AG23" s="48">
        <f>'Summary Sheet - July 2025'!AG23+'Summary Sheet - Aug 2025'!AG23+'Summary Sheet - Sep 2025'!AG23</f>
        <v>393274.38</v>
      </c>
      <c r="AH23" s="43"/>
      <c r="AI23" s="48">
        <f>'Summary Sheet - July 2025'!AI23+'Summary Sheet - Aug 2025'!AI23+'Summary Sheet - Sep 2025'!AI23</f>
        <v>0</v>
      </c>
      <c r="AJ23" s="43"/>
      <c r="AK23" s="48" t="str">
        <f>'Summary Sheet - July 2025'!AK23+'Summary Sheet - Aug 2025'!AK23+'Summary Sheet - Sep 2025'!AK23</f>
        <v>#REF!</v>
      </c>
      <c r="AL23" s="43"/>
      <c r="AM23" s="48">
        <f>'Summary Sheet - July 2025'!AM23+'Summary Sheet - Aug 2025'!AM23+'Summary Sheet - Sep 2025'!AM23</f>
        <v>0</v>
      </c>
      <c r="AN23" s="43"/>
      <c r="AO23" s="48">
        <f>'Summary Sheet - July 2025'!AO23+'Summary Sheet - Aug 2025'!AO23+'Summary Sheet - Sep 2025'!AO23</f>
        <v>0</v>
      </c>
      <c r="AP23" s="43"/>
      <c r="AQ23" s="48">
        <f>'Summary Sheet - July 2025'!AQ23+'Summary Sheet - Aug 2025'!AQ23+'Summary Sheet - Sep 2025'!AU23</f>
        <v>901</v>
      </c>
      <c r="AR23" s="43"/>
      <c r="AS23" s="48">
        <f>'Summary Sheet - July 2025'!AS23+'Summary Sheet - Aug 2025'!AS23+'Summary Sheet - Sep 2025'!AW23</f>
        <v>0</v>
      </c>
      <c r="AT23" s="43"/>
      <c r="AU23" s="43">
        <f>'Summary Sheet - July 2025'!AU23+'Summary Sheet - Aug 2025'!AU23+'Summary Sheet - Sep 2025'!AY23</f>
        <v>0</v>
      </c>
      <c r="AV23" s="43"/>
      <c r="AW23" s="48">
        <f>'Summary Sheet - July 2025'!AY23+'Summary Sheet - Aug 2025'!AY23+'Summary Sheet - Sep 2025'!BC23</f>
        <v>0</v>
      </c>
      <c r="AX23" s="43"/>
      <c r="AY23" s="48">
        <f>'Summary Sheet - July 2025'!BC23+'Summary Sheet - Aug 2025'!BC23+'Summary Sheet - Sep 2025'!BG23</f>
        <v>0</v>
      </c>
      <c r="AZ23" s="43"/>
      <c r="BA23" s="114">
        <f>'Summary Sheet - July 2025'!BG23+'Summary Sheet - Aug 2025'!BG23+'Summary Sheet - Sep 2025'!BK23</f>
        <v>0</v>
      </c>
      <c r="BB23" s="43"/>
      <c r="BC23" s="48">
        <f>'Summary Sheet - July 2025'!BQ23+'Summary Sheet - Aug 2025'!BQ23+'Summary Sheet - Sep 2025'!BU23</f>
        <v>0</v>
      </c>
      <c r="BD23" s="49"/>
    </row>
    <row r="24" ht="15.75" customHeight="1">
      <c r="A24" s="176"/>
      <c r="B24" s="38" t="s">
        <v>40</v>
      </c>
      <c r="C24" s="39">
        <f t="shared" si="9"/>
        <v>754211.9167</v>
      </c>
      <c r="D24" s="139"/>
      <c r="E24" s="40" t="str">
        <f t="shared" si="10"/>
        <v>#REF!</v>
      </c>
      <c r="F24" s="150"/>
      <c r="G24" s="138">
        <f>'Summary Sheet - July 2025'!G24+'Summary Sheet - Aug 2025'!G24+'Summary Sheet - Sep 2025'!G24</f>
        <v>352331.5</v>
      </c>
      <c r="H24" s="43"/>
      <c r="I24" s="48">
        <f>'Summary Sheet - July 2025'!I24+'Summary Sheet - Aug 2025'!I24+'Summary Sheet - Sep 2025'!I24</f>
        <v>357360.5</v>
      </c>
      <c r="J24" s="43"/>
      <c r="K24" s="25">
        <f t="shared" si="11"/>
        <v>401880.4167</v>
      </c>
      <c r="L24" s="139"/>
      <c r="M24" s="40" t="str">
        <f t="shared" si="12"/>
        <v>#REF!</v>
      </c>
      <c r="N24" s="139"/>
      <c r="O24" s="48">
        <f>'Summary Sheet - July 2025'!O24+'Summary Sheet - Aug 2025'!O24+'Summary Sheet - Sep 2025'!O24</f>
        <v>106200</v>
      </c>
      <c r="P24" s="43"/>
      <c r="Q24" s="48">
        <f>'Summary Sheet - July 2025'!Q24+'Summary Sheet - Aug 2025'!Q24+'Summary Sheet - Sep 2025'!Q24</f>
        <v>107200</v>
      </c>
      <c r="R24" s="43"/>
      <c r="S24" s="48">
        <f>'Summary Sheet - July 2025'!S24+'Summary Sheet - Aug 2025'!S24+'Summary Sheet - Sep 2025'!S24</f>
        <v>2064.666667</v>
      </c>
      <c r="T24" s="43"/>
      <c r="U24" s="43" t="str">
        <f>'Summary Sheet - July 2025'!U24+'Summary Sheet - Aug 2025'!U24+'Summary Sheet - Sep 2025'!U24</f>
        <v>#REF!</v>
      </c>
      <c r="V24" s="43"/>
      <c r="W24" s="48">
        <f>'Summary Sheet - July 2025'!W24+'Summary Sheet - Aug 2025'!W24+'Summary Sheet - Sep 2025'!W24</f>
        <v>90565</v>
      </c>
      <c r="X24" s="43"/>
      <c r="Y24" s="48">
        <f>'Summary Sheet - July 2025'!Y24+'Summary Sheet - Aug 2025'!Y24+'Summary Sheet - Sep 2025'!Y24</f>
        <v>90565</v>
      </c>
      <c r="Z24" s="43"/>
      <c r="AA24" s="48">
        <f>'Summary Sheet - July 2025'!AA24+'Summary Sheet - Aug 2025'!AA24+'Summary Sheet - Sep 2025'!AA24</f>
        <v>10915</v>
      </c>
      <c r="AB24" s="43"/>
      <c r="AC24" s="48">
        <f>'Summary Sheet - July 2025'!AC24+'Summary Sheet - Aug 2025'!AC24+'Summary Sheet - Sep 2025'!AC24</f>
        <v>10914</v>
      </c>
      <c r="AD24" s="43"/>
      <c r="AE24" s="48">
        <f>'Summary Sheet - July 2025'!AE24+'Summary Sheet - Aug 2025'!AE24+'Summary Sheet - Sep 2025'!AE24</f>
        <v>117262</v>
      </c>
      <c r="AF24" s="43"/>
      <c r="AG24" s="48">
        <f>'Summary Sheet - July 2025'!AG24+'Summary Sheet - Aug 2025'!AG24+'Summary Sheet - Sep 2025'!AG24</f>
        <v>69000</v>
      </c>
      <c r="AH24" s="43"/>
      <c r="AI24" s="48">
        <f>'Summary Sheet - July 2025'!AI24+'Summary Sheet - Aug 2025'!AI24+'Summary Sheet - Sep 2025'!AI24</f>
        <v>23958.75</v>
      </c>
      <c r="AJ24" s="43"/>
      <c r="AK24" s="48" t="str">
        <f>'Summary Sheet - July 2025'!AK24+'Summary Sheet - Aug 2025'!AK24+'Summary Sheet - Sep 2025'!AK24</f>
        <v>#REF!</v>
      </c>
      <c r="AL24" s="43"/>
      <c r="AM24" s="48">
        <f>'Summary Sheet - July 2025'!AM24+'Summary Sheet - Aug 2025'!AM24+'Summary Sheet - Sep 2025'!AM24</f>
        <v>31564</v>
      </c>
      <c r="AN24" s="43"/>
      <c r="AO24" s="48">
        <f>'Summary Sheet - July 2025'!AO24+'Summary Sheet - Aug 2025'!AO24+'Summary Sheet - Sep 2025'!AO24</f>
        <v>0</v>
      </c>
      <c r="AP24" s="43"/>
      <c r="AQ24" s="48">
        <f>'Summary Sheet - July 2025'!AQ24+'Summary Sheet - Aug 2025'!AQ24+'Summary Sheet - Sep 2025'!AU24</f>
        <v>18172</v>
      </c>
      <c r="AR24" s="43"/>
      <c r="AS24" s="48">
        <f>'Summary Sheet - July 2025'!AS24+'Summary Sheet - Aug 2025'!AS24+'Summary Sheet - Sep 2025'!AW24</f>
        <v>0</v>
      </c>
      <c r="AT24" s="43"/>
      <c r="AU24" s="43">
        <f>'Summary Sheet - July 2025'!AU24+'Summary Sheet - Aug 2025'!AU24+'Summary Sheet - Sep 2025'!AY24</f>
        <v>0</v>
      </c>
      <c r="AV24" s="43"/>
      <c r="AW24" s="48">
        <f>'Summary Sheet - July 2025'!AY24+'Summary Sheet - Aug 2025'!AY24+'Summary Sheet - Sep 2025'!BC24</f>
        <v>0</v>
      </c>
      <c r="AX24" s="43"/>
      <c r="AY24" s="48">
        <f>'Summary Sheet - July 2025'!BC24+'Summary Sheet - Aug 2025'!BC24+'Summary Sheet - Sep 2025'!BG24</f>
        <v>1179</v>
      </c>
      <c r="AZ24" s="43"/>
      <c r="BA24" s="114">
        <f>'Summary Sheet - July 2025'!BG24+'Summary Sheet - Aug 2025'!BG24+'Summary Sheet - Sep 2025'!BK24</f>
        <v>0</v>
      </c>
      <c r="BB24" s="43"/>
      <c r="BC24" s="48">
        <f>'Summary Sheet - July 2025'!BQ24+'Summary Sheet - Aug 2025'!BQ24+'Summary Sheet - Sep 2025'!BU24</f>
        <v>0</v>
      </c>
      <c r="BD24" s="49"/>
    </row>
    <row r="25" ht="15.75" customHeight="1">
      <c r="A25" s="176"/>
      <c r="B25" s="38" t="s">
        <v>41</v>
      </c>
      <c r="C25" s="39">
        <f t="shared" si="9"/>
        <v>7342423.833</v>
      </c>
      <c r="D25" s="139"/>
      <c r="E25" s="40" t="str">
        <f t="shared" si="10"/>
        <v>#REF!</v>
      </c>
      <c r="F25" s="150"/>
      <c r="G25" s="138">
        <f>'Summary Sheet - July 2025'!G25+'Summary Sheet - Aug 2025'!G25+'Summary Sheet - Sep 2025'!G25</f>
        <v>360799</v>
      </c>
      <c r="H25" s="43"/>
      <c r="I25" s="48">
        <f>'Summary Sheet - July 2025'!I25+'Summary Sheet - Aug 2025'!I25+'Summary Sheet - Sep 2025'!I25</f>
        <v>229500</v>
      </c>
      <c r="J25" s="43"/>
      <c r="K25" s="25">
        <f t="shared" si="11"/>
        <v>6981624.833</v>
      </c>
      <c r="L25" s="139"/>
      <c r="M25" s="40" t="str">
        <f t="shared" si="12"/>
        <v>#REF!</v>
      </c>
      <c r="N25" s="139"/>
      <c r="O25" s="48">
        <f>'Summary Sheet - July 2025'!O25+'Summary Sheet - Aug 2025'!O25+'Summary Sheet - Sep 2025'!O25</f>
        <v>1056264.25</v>
      </c>
      <c r="P25" s="43"/>
      <c r="Q25" s="48">
        <f>'Summary Sheet - July 2025'!Q25+'Summary Sheet - Aug 2025'!Q25+'Summary Sheet - Sep 2025'!Q25</f>
        <v>849609</v>
      </c>
      <c r="R25" s="43"/>
      <c r="S25" s="48">
        <f>'Summary Sheet - July 2025'!S25+'Summary Sheet - Aug 2025'!S25+'Summary Sheet - Sep 2025'!S25</f>
        <v>44359.25</v>
      </c>
      <c r="T25" s="43"/>
      <c r="U25" s="43" t="str">
        <f>'Summary Sheet - July 2025'!U25+'Summary Sheet - Aug 2025'!U25+'Summary Sheet - Sep 2025'!U25</f>
        <v>#REF!</v>
      </c>
      <c r="V25" s="43"/>
      <c r="W25" s="48">
        <f>'Summary Sheet - July 2025'!W25+'Summary Sheet - Aug 2025'!W25+'Summary Sheet - Sep 2025'!W25</f>
        <v>916467.3333</v>
      </c>
      <c r="X25" s="43"/>
      <c r="Y25" s="48">
        <f>'Summary Sheet - July 2025'!Y25+'Summary Sheet - Aug 2025'!Y25+'Summary Sheet - Sep 2025'!Y25</f>
        <v>1222689.25</v>
      </c>
      <c r="Z25" s="43"/>
      <c r="AA25" s="48">
        <f>'Summary Sheet - July 2025'!AA25+'Summary Sheet - Aug 2025'!AA25+'Summary Sheet - Sep 2025'!AA25</f>
        <v>365160</v>
      </c>
      <c r="AB25" s="43"/>
      <c r="AC25" s="48">
        <f>'Summary Sheet - July 2025'!AC25+'Summary Sheet - Aug 2025'!AC25+'Summary Sheet - Sep 2025'!AC25</f>
        <v>257318.5</v>
      </c>
      <c r="AD25" s="43"/>
      <c r="AE25" s="48">
        <f>'Summary Sheet - July 2025'!AE25+'Summary Sheet - Aug 2025'!AE25+'Summary Sheet - Sep 2025'!AE25</f>
        <v>2044042</v>
      </c>
      <c r="AF25" s="43"/>
      <c r="AG25" s="48">
        <f>'Summary Sheet - July 2025'!AG25+'Summary Sheet - Aug 2025'!AG25+'Summary Sheet - Sep 2025'!AG25</f>
        <v>1334713.667</v>
      </c>
      <c r="AH25" s="43"/>
      <c r="AI25" s="48">
        <f>'Summary Sheet - July 2025'!AI25+'Summary Sheet - Aug 2025'!AI25+'Summary Sheet - Sep 2025'!AI25</f>
        <v>850608</v>
      </c>
      <c r="AJ25" s="43"/>
      <c r="AK25" s="48" t="str">
        <f>'Summary Sheet - July 2025'!AK25+'Summary Sheet - Aug 2025'!AK25+'Summary Sheet - Sep 2025'!AK25</f>
        <v>#REF!</v>
      </c>
      <c r="AL25" s="43"/>
      <c r="AM25" s="48">
        <f>'Summary Sheet - July 2025'!AM25+'Summary Sheet - Aug 2025'!AM25+'Summary Sheet - Sep 2025'!AM25</f>
        <v>336353</v>
      </c>
      <c r="AN25" s="43"/>
      <c r="AO25" s="48">
        <f>'Summary Sheet - July 2025'!AO25+'Summary Sheet - Aug 2025'!AO25+'Summary Sheet - Sep 2025'!AO25</f>
        <v>0</v>
      </c>
      <c r="AP25" s="43"/>
      <c r="AQ25" s="48">
        <f>'Summary Sheet - July 2025'!AQ25+'Summary Sheet - Aug 2025'!AQ25+'Summary Sheet - Sep 2025'!AU25</f>
        <v>1271171</v>
      </c>
      <c r="AR25" s="43"/>
      <c r="AS25" s="48">
        <f>'Summary Sheet - July 2025'!AS25+'Summary Sheet - Aug 2025'!AS25+'Summary Sheet - Sep 2025'!AW25</f>
        <v>0</v>
      </c>
      <c r="AT25" s="43"/>
      <c r="AU25" s="48">
        <f>'Summary Sheet - July 2025'!AU25+'Summary Sheet - Aug 2025'!AU25+'Summary Sheet - Sep 2025'!AY25</f>
        <v>32400</v>
      </c>
      <c r="AV25" s="43"/>
      <c r="AW25" s="48">
        <f>'Summary Sheet - July 2025'!AY25+'Summary Sheet - Aug 2025'!AY25+'Summary Sheet - Sep 2025'!BC25</f>
        <v>32400</v>
      </c>
      <c r="AX25" s="43"/>
      <c r="AY25" s="48">
        <f>'Summary Sheet - July 2025'!BC25+'Summary Sheet - Aug 2025'!BC25+'Summary Sheet - Sep 2025'!BG25</f>
        <v>32400</v>
      </c>
      <c r="AZ25" s="43"/>
      <c r="BA25" s="114">
        <f>'Summary Sheet - July 2025'!BG25+'Summary Sheet - Aug 2025'!BG25+'Summary Sheet - Sep 2025'!BK25</f>
        <v>0</v>
      </c>
      <c r="BB25" s="43"/>
      <c r="BC25" s="48">
        <f>'Summary Sheet - July 2025'!BQ25+'Summary Sheet - Aug 2025'!BQ25+'Summary Sheet - Sep 2025'!BU25</f>
        <v>0</v>
      </c>
      <c r="BD25" s="49"/>
    </row>
    <row r="26" ht="15.75" customHeight="1">
      <c r="A26" s="176"/>
      <c r="B26" s="38" t="s">
        <v>42</v>
      </c>
      <c r="C26" s="39">
        <f t="shared" si="9"/>
        <v>307620</v>
      </c>
      <c r="D26" s="139"/>
      <c r="E26" s="40" t="str">
        <f t="shared" si="10"/>
        <v>#REF!</v>
      </c>
      <c r="F26" s="150"/>
      <c r="G26" s="138">
        <f>'Summary Sheet - July 2025'!G26+'Summary Sheet - Aug 2025'!G26+'Summary Sheet - Sep 2025'!G26</f>
        <v>190500</v>
      </c>
      <c r="H26" s="43"/>
      <c r="I26" s="48">
        <f>'Summary Sheet - July 2025'!I26+'Summary Sheet - Aug 2025'!I26+'Summary Sheet - Sep 2025'!I26</f>
        <v>300000</v>
      </c>
      <c r="J26" s="43"/>
      <c r="K26" s="25">
        <f t="shared" si="11"/>
        <v>117120</v>
      </c>
      <c r="L26" s="139"/>
      <c r="M26" s="40" t="str">
        <f t="shared" si="12"/>
        <v>#REF!</v>
      </c>
      <c r="N26" s="139"/>
      <c r="O26" s="48">
        <f>'Summary Sheet - July 2025'!O26+'Summary Sheet - Aug 2025'!O26+'Summary Sheet - Sep 2025'!O26</f>
        <v>0</v>
      </c>
      <c r="P26" s="43"/>
      <c r="Q26" s="48">
        <f>'Summary Sheet - July 2025'!Q26+'Summary Sheet - Aug 2025'!Q26+'Summary Sheet - Sep 2025'!Q26</f>
        <v>0</v>
      </c>
      <c r="R26" s="43"/>
      <c r="S26" s="48">
        <f>'Summary Sheet - July 2025'!S26+'Summary Sheet - Aug 2025'!S26+'Summary Sheet - Sep 2025'!S26</f>
        <v>0</v>
      </c>
      <c r="T26" s="43"/>
      <c r="U26" s="43" t="str">
        <f>'Summary Sheet - July 2025'!U26+'Summary Sheet - Aug 2025'!U26+'Summary Sheet - Sep 2025'!U26</f>
        <v>#REF!</v>
      </c>
      <c r="V26" s="43"/>
      <c r="W26" s="48">
        <f>'Summary Sheet - July 2025'!W26+'Summary Sheet - Aug 2025'!W26+'Summary Sheet - Sep 2025'!W26</f>
        <v>0</v>
      </c>
      <c r="X26" s="43"/>
      <c r="Y26" s="48">
        <f>'Summary Sheet - July 2025'!Y26+'Summary Sheet - Aug 2025'!Y26+'Summary Sheet - Sep 2025'!Y26</f>
        <v>0</v>
      </c>
      <c r="Z26" s="43"/>
      <c r="AA26" s="48">
        <f>'Summary Sheet - July 2025'!AA26+'Summary Sheet - Aug 2025'!AA26+'Summary Sheet - Sep 2025'!AA26</f>
        <v>22000</v>
      </c>
      <c r="AB26" s="43"/>
      <c r="AC26" s="115">
        <f>'Summary Sheet - July 2025'!AC26+'Summary Sheet - Aug 2025'!AC26+'Summary Sheet - Sep 2025'!AC26</f>
        <v>0</v>
      </c>
      <c r="AD26" s="43"/>
      <c r="AE26" s="48">
        <f>'Summary Sheet - July 2025'!AE26+'Summary Sheet - Aug 2025'!AE26+'Summary Sheet - Sep 2025'!AE26</f>
        <v>0</v>
      </c>
      <c r="AF26" s="43"/>
      <c r="AG26" s="48">
        <f>'Summary Sheet - July 2025'!AG26+'Summary Sheet - Aug 2025'!AG26+'Summary Sheet - Sep 2025'!AG26</f>
        <v>0</v>
      </c>
      <c r="AH26" s="43"/>
      <c r="AI26" s="48">
        <f>'Summary Sheet - July 2025'!AI26+'Summary Sheet - Aug 2025'!AI26+'Summary Sheet - Sep 2025'!AI26</f>
        <v>0</v>
      </c>
      <c r="AJ26" s="43"/>
      <c r="AK26" s="48" t="str">
        <f>'Summary Sheet - July 2025'!AK26+'Summary Sheet - Aug 2025'!AK26+'Summary Sheet - Sep 2025'!AK26</f>
        <v>#REF!</v>
      </c>
      <c r="AL26" s="43"/>
      <c r="AM26" s="48">
        <f>'Summary Sheet - July 2025'!AM26+'Summary Sheet - Aug 2025'!AM26+'Summary Sheet - Sep 2025'!AM26</f>
        <v>3000</v>
      </c>
      <c r="AN26" s="43"/>
      <c r="AO26" s="48">
        <f>'Summary Sheet - July 2025'!AO26+'Summary Sheet - Aug 2025'!AO26+'Summary Sheet - Sep 2025'!AO26</f>
        <v>0</v>
      </c>
      <c r="AP26" s="43"/>
      <c r="AQ26" s="48">
        <f>'Summary Sheet - July 2025'!AQ26+'Summary Sheet - Aug 2025'!AQ26+'Summary Sheet - Sep 2025'!AU26</f>
        <v>92120</v>
      </c>
      <c r="AR26" s="43"/>
      <c r="AS26" s="48">
        <f>'Summary Sheet - July 2025'!AS26+'Summary Sheet - Aug 2025'!AS26+'Summary Sheet - Sep 2025'!AW26</f>
        <v>0</v>
      </c>
      <c r="AT26" s="43"/>
      <c r="AU26" s="48">
        <f>'Summary Sheet - July 2025'!AU26+'Summary Sheet - Aug 2025'!AU26+'Summary Sheet - Sep 2025'!AY26</f>
        <v>0</v>
      </c>
      <c r="AV26" s="43"/>
      <c r="AW26" s="48">
        <f>'Summary Sheet - July 2025'!AY26+'Summary Sheet - Aug 2025'!AY26+'Summary Sheet - Sep 2025'!BC26</f>
        <v>0</v>
      </c>
      <c r="AX26" s="43"/>
      <c r="AY26" s="48">
        <f>'Summary Sheet - July 2025'!BC26+'Summary Sheet - Aug 2025'!BC26+'Summary Sheet - Sep 2025'!BG26</f>
        <v>0</v>
      </c>
      <c r="AZ26" s="43"/>
      <c r="BA26" s="114">
        <f>'Summary Sheet - July 2025'!BG26+'Summary Sheet - Aug 2025'!BG26+'Summary Sheet - Sep 2025'!BK26</f>
        <v>0</v>
      </c>
      <c r="BB26" s="43"/>
      <c r="BC26" s="48">
        <f>'Summary Sheet - July 2025'!BQ26+'Summary Sheet - Aug 2025'!BQ26+'Summary Sheet - Sep 2025'!BU26</f>
        <v>0</v>
      </c>
      <c r="BD26" s="49"/>
    </row>
    <row r="27" ht="15.75" customHeight="1">
      <c r="A27" s="176"/>
      <c r="B27" s="38" t="s">
        <v>43</v>
      </c>
      <c r="C27" s="39">
        <f t="shared" si="9"/>
        <v>-4372415.497</v>
      </c>
      <c r="D27" s="139"/>
      <c r="E27" s="40" t="str">
        <f t="shared" si="10"/>
        <v>#REF!</v>
      </c>
      <c r="F27" s="150"/>
      <c r="G27" s="138">
        <f>'Summary Sheet - July 2025'!G27+'Summary Sheet - Aug 2025'!G27+'Summary Sheet - Sep 2025'!G27</f>
        <v>98069</v>
      </c>
      <c r="H27" s="43"/>
      <c r="I27" s="48">
        <f>'Summary Sheet - July 2025'!I27+'Summary Sheet - Aug 2025'!I27+'Summary Sheet - Sep 2025'!I27</f>
        <v>0</v>
      </c>
      <c r="J27" s="43"/>
      <c r="K27" s="25">
        <f t="shared" si="11"/>
        <v>-4470484.497</v>
      </c>
      <c r="L27" s="139"/>
      <c r="M27" s="40" t="str">
        <f t="shared" si="12"/>
        <v>#REF!</v>
      </c>
      <c r="N27" s="139"/>
      <c r="O27" s="48">
        <f>'Summary Sheet - July 2025'!O27+'Summary Sheet - Aug 2025'!O27+'Summary Sheet - Sep 2025'!O27</f>
        <v>0</v>
      </c>
      <c r="P27" s="43"/>
      <c r="Q27" s="48">
        <f>'Summary Sheet - July 2025'!Q27+'Summary Sheet - Aug 2025'!Q27+'Summary Sheet - Sep 2025'!Q27</f>
        <v>0</v>
      </c>
      <c r="R27" s="43"/>
      <c r="S27" s="48">
        <f>'Summary Sheet - July 2025'!S27+'Summary Sheet - Aug 2025'!S27+'Summary Sheet - Sep 2025'!S27</f>
        <v>0</v>
      </c>
      <c r="T27" s="43"/>
      <c r="U27" s="48" t="str">
        <f>'Summary Sheet - July 2025'!U27+'Summary Sheet - Aug 2025'!U27+'Summary Sheet - Sep 2025'!U27</f>
        <v>#REF!</v>
      </c>
      <c r="V27" s="43"/>
      <c r="W27" s="48">
        <f>'Summary Sheet - July 2025'!W27+'Summary Sheet - Aug 2025'!W27+'Summary Sheet - Sep 2025'!W27</f>
        <v>0</v>
      </c>
      <c r="X27" s="43"/>
      <c r="Y27" s="48">
        <f>'Summary Sheet - July 2025'!Y27+'Summary Sheet - Aug 2025'!Y27+'Summary Sheet - Sep 2025'!Y27</f>
        <v>0</v>
      </c>
      <c r="Z27" s="43"/>
      <c r="AA27" s="48">
        <f>'Summary Sheet - July 2025'!AA27+'Summary Sheet - Aug 2025'!AA27+'Summary Sheet - Sep 2025'!AA27</f>
        <v>0</v>
      </c>
      <c r="AB27" s="43"/>
      <c r="AC27" s="48">
        <f>'Summary Sheet - July 2025'!AC27+'Summary Sheet - Aug 2025'!AC27+'Summary Sheet - Sep 2025'!AC27</f>
        <v>0</v>
      </c>
      <c r="AD27" s="43"/>
      <c r="AE27" s="48">
        <f>'Summary Sheet - July 2025'!AE27+'Summary Sheet - Aug 2025'!AE27+'Summary Sheet - Sep 2025'!AE27</f>
        <v>0</v>
      </c>
      <c r="AF27" s="43"/>
      <c r="AG27" s="48">
        <f>'Summary Sheet - July 2025'!AG27+'Summary Sheet - Aug 2025'!AG27+'Summary Sheet - Sep 2025'!AG27</f>
        <v>0</v>
      </c>
      <c r="AH27" s="43"/>
      <c r="AI27" s="48">
        <f>'Summary Sheet - July 2025'!AI27+'Summary Sheet - Aug 2025'!AI27+'Summary Sheet - Sep 2025'!AI27</f>
        <v>0</v>
      </c>
      <c r="AJ27" s="43"/>
      <c r="AK27" s="48" t="str">
        <f>'Summary Sheet - July 2025'!AK27+'Summary Sheet - Aug 2025'!AK27+'Summary Sheet - Sep 2025'!AK27</f>
        <v>#REF!</v>
      </c>
      <c r="AL27" s="43"/>
      <c r="AM27" s="48">
        <f>'Summary Sheet - July 2025'!AM27+'Summary Sheet - Aug 2025'!AM27+'Summary Sheet - Sep 2025'!AM27</f>
        <v>-4470484.497</v>
      </c>
      <c r="AN27" s="43"/>
      <c r="AO27" s="48">
        <f>'Summary Sheet - July 2025'!AO27+'Summary Sheet - Aug 2025'!AO27+'Summary Sheet - Sep 2025'!AO27</f>
        <v>0</v>
      </c>
      <c r="AP27" s="43"/>
      <c r="AQ27" s="48">
        <f>'Summary Sheet - July 2025'!AQ27+'Summary Sheet - Aug 2025'!AQ27+'Summary Sheet - Sep 2025'!AU27</f>
        <v>0</v>
      </c>
      <c r="AR27" s="43"/>
      <c r="AS27" s="48">
        <f>'Summary Sheet - July 2025'!AS27+'Summary Sheet - Aug 2025'!AS27+'Summary Sheet - Sep 2025'!AW27</f>
        <v>50000</v>
      </c>
      <c r="AT27" s="43"/>
      <c r="AU27" s="43">
        <f>'Summary Sheet - July 2025'!AU27+'Summary Sheet - Aug 2025'!AU27+'Summary Sheet - Sep 2025'!AY27</f>
        <v>0</v>
      </c>
      <c r="AV27" s="43"/>
      <c r="AW27" s="48">
        <f>'Summary Sheet - July 2025'!AY27+'Summary Sheet - Aug 2025'!AY27+'Summary Sheet - Sep 2025'!BC27</f>
        <v>0</v>
      </c>
      <c r="AX27" s="43"/>
      <c r="AY27" s="48">
        <f>'Summary Sheet - July 2025'!BC27+'Summary Sheet - Aug 2025'!BC27+'Summary Sheet - Sep 2025'!BO27</f>
        <v>0</v>
      </c>
      <c r="AZ27" s="43"/>
      <c r="BA27" s="114">
        <f>'Summary Sheet - July 2025'!BG27+'Summary Sheet - Aug 2025'!BG27+'Summary Sheet - Sep 2025'!BK27</f>
        <v>0</v>
      </c>
      <c r="BB27" s="43"/>
      <c r="BC27" s="48">
        <f>'Summary Sheet - July 2025'!BQ27+'Summary Sheet - Aug 2025'!BQ27+'Summary Sheet - Sep 2025'!BU27</f>
        <v>0</v>
      </c>
      <c r="BD27" s="49"/>
    </row>
    <row r="28" ht="15.75" customHeight="1">
      <c r="A28" s="176"/>
      <c r="B28" s="161" t="s">
        <v>44</v>
      </c>
      <c r="C28" s="162">
        <f>SUM(C18:C27)</f>
        <v>97074239</v>
      </c>
      <c r="D28" s="164"/>
      <c r="E28" s="164" t="str">
        <f t="shared" si="10"/>
        <v>#REF!</v>
      </c>
      <c r="F28" s="165"/>
      <c r="G28" s="166">
        <f>'Summary Sheet - July 2025'!G28+'Summary Sheet - Aug 2025'!G28+'Summary Sheet - Sep 2025'!G28</f>
        <v>15820368.77</v>
      </c>
      <c r="H28" s="164"/>
      <c r="I28" s="164">
        <f>'Summary Sheet - July 2025'!I28+'Summary Sheet - Aug 2025'!I28+'Summary Sheet - Sep 2025'!I28</f>
        <v>14207976.5</v>
      </c>
      <c r="J28" s="164"/>
      <c r="K28" s="164">
        <f>SUM(K18:K27)</f>
        <v>81253870.22</v>
      </c>
      <c r="L28" s="164"/>
      <c r="M28" s="164" t="str">
        <f>SUM(M18:M27)</f>
        <v>#REF!</v>
      </c>
      <c r="N28" s="164"/>
      <c r="O28" s="164">
        <f>sum(O18:O27)</f>
        <v>24539879.96</v>
      </c>
      <c r="P28" s="164"/>
      <c r="Q28" s="164">
        <f>'Summary Sheet - July 2025'!Q28+'Summary Sheet - Aug 2025'!Q28+'Summary Sheet - Sep 2025'!Q28</f>
        <v>24598860.7</v>
      </c>
      <c r="R28" s="164"/>
      <c r="S28" s="164">
        <f>sum(S18:S27)</f>
        <v>1555747.423</v>
      </c>
      <c r="T28" s="164"/>
      <c r="U28" s="164" t="str">
        <f>'Summary Sheet - July 2025'!U28+'Summary Sheet - Aug 2025'!U28+'Summary Sheet - Sep 2025'!U28</f>
        <v>#REF!</v>
      </c>
      <c r="V28" s="164"/>
      <c r="W28" s="164">
        <f>'Summary Sheet - July 2025'!W28+'Summary Sheet - Aug 2025'!W28+'Summary Sheet - Sep 2025'!W28</f>
        <v>18028953.01</v>
      </c>
      <c r="X28" s="164"/>
      <c r="Y28" s="164">
        <f>'Summary Sheet - July 2025'!Y28+'Summary Sheet - Aug 2025'!Y28+'Summary Sheet - Sep 2025'!Y28</f>
        <v>18883548.3</v>
      </c>
      <c r="Z28" s="164"/>
      <c r="AA28" s="164">
        <f>sum(AA18:AA27)</f>
        <v>9050447.523</v>
      </c>
      <c r="AB28" s="164"/>
      <c r="AC28" s="164">
        <f>'Summary Sheet - July 2025'!AC28+'Summary Sheet - Aug 2025'!AC28+'Summary Sheet - Sep 2025'!AC28</f>
        <v>9045658.842</v>
      </c>
      <c r="AD28" s="164"/>
      <c r="AE28" s="164">
        <f>'Summary Sheet - July 2025'!AE28+'Summary Sheet - Aug 2025'!AE28+'Summary Sheet - Sep 2025'!AE28</f>
        <v>21732003.04</v>
      </c>
      <c r="AF28" s="164"/>
      <c r="AG28" s="164">
        <f>'Summary Sheet - July 2025'!AG28+'Summary Sheet - Aug 2025'!AG28+'Summary Sheet - Sep 2025'!AG28</f>
        <v>21369390.89</v>
      </c>
      <c r="AH28" s="164"/>
      <c r="AI28" s="164">
        <f>'Summary Sheet - July 2025'!AI28+'Summary Sheet - Aug 2025'!AI28+'Summary Sheet - Sep 2025'!AI28</f>
        <v>1450210.75</v>
      </c>
      <c r="AJ28" s="164"/>
      <c r="AK28" s="164" t="str">
        <f>'Summary Sheet - July 2025'!AK28+'Summary Sheet - Aug 2025'!AK28+'Summary Sheet - Sep 2025'!AK28</f>
        <v>#REF!</v>
      </c>
      <c r="AL28" s="164"/>
      <c r="AM28" s="164">
        <f>sum(AM18:AM27)</f>
        <v>951753.066</v>
      </c>
      <c r="AN28" s="164"/>
      <c r="AO28" s="164">
        <f>'Summary Sheet - July 2025'!AO28+'Summary Sheet - Aug 2025'!AO28+'Summary Sheet - Sep 2025'!AO28</f>
        <v>150999</v>
      </c>
      <c r="AP28" s="164"/>
      <c r="AQ28" s="164">
        <f>SUM(AQ18:AQ27)</f>
        <v>2380279.833</v>
      </c>
      <c r="AR28" s="164"/>
      <c r="AS28" s="164">
        <f>SUM(AS18:AS27)</f>
        <v>290500</v>
      </c>
      <c r="AT28" s="164"/>
      <c r="AU28" s="164">
        <f>SUM(AU18:AU27)</f>
        <v>492883.1029</v>
      </c>
      <c r="AV28" s="164"/>
      <c r="AW28" s="164">
        <f>SUM(AW18:AW27)</f>
        <v>316367.2529</v>
      </c>
      <c r="AX28" s="164"/>
      <c r="AY28" s="164">
        <f>SUM(AY18:AY27)</f>
        <v>301910.2629</v>
      </c>
      <c r="AZ28" s="164"/>
      <c r="BA28" s="164">
        <f>SUM(BA18:BA27)</f>
        <v>453435</v>
      </c>
      <c r="BB28" s="164"/>
      <c r="BC28" s="164">
        <f>SUM(BC18:BC27)</f>
        <v>0</v>
      </c>
      <c r="BD28" s="165"/>
    </row>
    <row r="29" ht="15.75" customHeight="1">
      <c r="A29" s="176"/>
      <c r="B29" s="50"/>
      <c r="C29" s="167"/>
      <c r="D29" s="142"/>
      <c r="E29" s="142"/>
      <c r="F29" s="151"/>
      <c r="G29" s="141"/>
      <c r="H29" s="55"/>
      <c r="I29" s="55"/>
      <c r="J29" s="55"/>
      <c r="K29" s="142"/>
      <c r="L29" s="142"/>
      <c r="M29" s="142"/>
      <c r="N29" s="142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5"/>
      <c r="AW29" s="55"/>
      <c r="AX29" s="55"/>
      <c r="AY29" s="55"/>
      <c r="AZ29" s="55"/>
      <c r="BA29" s="55"/>
      <c r="BB29" s="55"/>
      <c r="BC29" s="55"/>
      <c r="BD29" s="61"/>
    </row>
    <row r="30" ht="15.75" customHeight="1">
      <c r="A30" s="176"/>
      <c r="B30" s="16" t="s">
        <v>45</v>
      </c>
      <c r="C30" s="66">
        <f>C16-C28</f>
        <v>12558248.52</v>
      </c>
      <c r="D30" s="70"/>
      <c r="E30" s="68" t="str">
        <f>E16-E28</f>
        <v>#REF!</v>
      </c>
      <c r="F30" s="73"/>
      <c r="G30" s="145">
        <f>'Summary Sheet - July 2025'!G30+'Summary Sheet - Aug 2025'!G30+'Summary Sheet - Sep 2025'!G30</f>
        <v>-17288978.77</v>
      </c>
      <c r="H30" s="147"/>
      <c r="I30" s="118">
        <f>'Summary Sheet - July 2025'!I30+'Summary Sheet - Aug 2025'!I30+'Summary Sheet - Sep 2025'!I30</f>
        <v>-14207976.5</v>
      </c>
      <c r="J30" s="147"/>
      <c r="K30" s="68">
        <f>K16-K28</f>
        <v>28378617.29</v>
      </c>
      <c r="L30" s="70"/>
      <c r="M30" s="68" t="str">
        <f>M16-M28</f>
        <v>#REF!</v>
      </c>
      <c r="N30" s="70"/>
      <c r="O30" s="118">
        <f>'Summary Sheet - July 2025'!O30+'Summary Sheet - Aug 2025'!O30+'Summary Sheet - Sep 2025'!O30</f>
        <v>846309.1992</v>
      </c>
      <c r="P30" s="147"/>
      <c r="Q30" s="118">
        <f>'Summary Sheet - July 2025'!Q30+'Summary Sheet - Aug 2025'!Q30+'Summary Sheet - Sep 2025'!Q30</f>
        <v>3316536.32</v>
      </c>
      <c r="R30" s="147"/>
      <c r="S30" s="118">
        <f>S16-S28</f>
        <v>-461620.6581</v>
      </c>
      <c r="T30" s="147"/>
      <c r="U30" s="118" t="str">
        <f>'Summary Sheet - July 2025'!U30+'Summary Sheet - Aug 2025'!U30+'Summary Sheet - Sep 2025'!U30</f>
        <v>#REF!</v>
      </c>
      <c r="V30" s="147"/>
      <c r="W30" s="118">
        <f>'Summary Sheet - July 2025'!W30+'Summary Sheet - Aug 2025'!W30+'Summary Sheet - Sep 2025'!W30</f>
        <v>9962979.19</v>
      </c>
      <c r="X30" s="147"/>
      <c r="Y30" s="118">
        <f>'Summary Sheet - July 2025'!Y30+'Summary Sheet - Aug 2025'!Y30+'Summary Sheet - Sep 2025'!Y30</f>
        <v>10879570.03</v>
      </c>
      <c r="Z30" s="147"/>
      <c r="AA30" s="118">
        <f>AA16-AA28</f>
        <v>10406798.73</v>
      </c>
      <c r="AB30" s="147"/>
      <c r="AC30" s="118">
        <f>'Summary Sheet - July 2025'!AC30+'Summary Sheet - Aug 2025'!AC30+'Summary Sheet - Sep 2025'!AC30</f>
        <v>11292125.25</v>
      </c>
      <c r="AD30" s="147"/>
      <c r="AE30" s="118">
        <f>'Summary Sheet - July 2025'!AE30+'Summary Sheet - Aug 2025'!AE30+'Summary Sheet - Sep 2025'!AE30</f>
        <v>13672536.19</v>
      </c>
      <c r="AF30" s="147"/>
      <c r="AG30" s="118">
        <f>'Summary Sheet - July 2025'!AG30+'Summary Sheet - Aug 2025'!AG30+'Summary Sheet - Sep 2025'!AG30</f>
        <v>8739884.255</v>
      </c>
      <c r="AH30" s="147"/>
      <c r="AI30" s="118">
        <f>'Summary Sheet - July 2025'!AI30+'Summary Sheet - Aug 2025'!AI30+'Summary Sheet - Sep 2025'!AI30</f>
        <v>-1450210.75</v>
      </c>
      <c r="AJ30" s="147"/>
      <c r="AK30" s="118" t="str">
        <f>'Summary Sheet - July 2025'!AK30+'Summary Sheet - Aug 2025'!AK30+'Summary Sheet - Sep 2025'!AK30</f>
        <v>#REF!</v>
      </c>
      <c r="AL30" s="147"/>
      <c r="AM30" s="118">
        <f>'Summary Sheet - July 2025'!AM30+'Summary Sheet - Aug 2025'!AM30+'Summary Sheet - Sep 2025'!AM30</f>
        <v>-716019.5793</v>
      </c>
      <c r="AN30" s="147"/>
      <c r="AO30" s="118">
        <f>'Summary Sheet - July 2025'!AO30+'Summary Sheet - Aug 2025'!AO30+'Summary Sheet - Sep 2025'!AO30</f>
        <v>0</v>
      </c>
      <c r="AP30" s="147"/>
      <c r="AQ30" s="118">
        <f>AQ16-AQ28</f>
        <v>-2380279.833</v>
      </c>
      <c r="AR30" s="147"/>
      <c r="AS30" s="118">
        <f>'Summary Sheet - July 2025'!AS30+'Summary Sheet - Aug 2025'!AS30+'Summary Sheet - Sep 2025'!AW30</f>
        <v>5391500</v>
      </c>
      <c r="AT30" s="147"/>
      <c r="AU30" s="118">
        <f>AU16-AU28</f>
        <v>-172105.9303</v>
      </c>
      <c r="AV30" s="147"/>
      <c r="AW30" s="118">
        <f>AW16-AW28</f>
        <v>-434039.3347</v>
      </c>
      <c r="AX30" s="147"/>
      <c r="AY30" s="118">
        <f>AY16-AY28</f>
        <v>-442294.931</v>
      </c>
      <c r="AZ30" s="147"/>
      <c r="BA30" s="118">
        <f>BA16-BA28</f>
        <v>-453435</v>
      </c>
      <c r="BB30" s="147"/>
      <c r="BC30" s="118">
        <f>BC16-BC28</f>
        <v>0</v>
      </c>
      <c r="BD30" s="120"/>
    </row>
    <row r="31" ht="15.75" customHeight="1">
      <c r="A31" s="176"/>
      <c r="B31" s="168" t="s">
        <v>50</v>
      </c>
      <c r="C31" s="169"/>
      <c r="D31" s="170"/>
      <c r="E31" s="155"/>
      <c r="F31" s="171"/>
      <c r="G31" s="172"/>
      <c r="H31" s="170"/>
      <c r="I31" s="170"/>
      <c r="J31" s="170"/>
      <c r="K31" s="155"/>
      <c r="L31" s="170"/>
      <c r="M31" s="155"/>
      <c r="N31" s="170"/>
      <c r="O31" s="155"/>
      <c r="P31" s="170"/>
      <c r="Q31" s="155"/>
      <c r="R31" s="170"/>
      <c r="S31" s="155"/>
      <c r="T31" s="170"/>
      <c r="U31" s="155"/>
      <c r="V31" s="170"/>
      <c r="W31" s="155"/>
      <c r="X31" s="170"/>
      <c r="Y31" s="155"/>
      <c r="Z31" s="170"/>
      <c r="AA31" s="155"/>
      <c r="AB31" s="170"/>
      <c r="AC31" s="155"/>
      <c r="AD31" s="170"/>
      <c r="AE31" s="155"/>
      <c r="AF31" s="170"/>
      <c r="AG31" s="155"/>
      <c r="AH31" s="170"/>
      <c r="AI31" s="155"/>
      <c r="AJ31" s="170"/>
      <c r="AK31" s="155"/>
      <c r="AL31" s="170"/>
      <c r="AM31" s="155"/>
      <c r="AN31" s="170"/>
      <c r="AO31" s="155"/>
      <c r="AP31" s="170"/>
      <c r="AQ31" s="170"/>
      <c r="AR31" s="170"/>
      <c r="AS31" s="170"/>
      <c r="AT31" s="170"/>
      <c r="AU31" s="170"/>
      <c r="AV31" s="170"/>
      <c r="AW31" s="170"/>
      <c r="AX31" s="170"/>
      <c r="AY31" s="170"/>
      <c r="AZ31" s="170"/>
      <c r="BA31" s="170"/>
      <c r="BB31" s="170"/>
      <c r="BC31" s="170"/>
      <c r="BD31" s="171"/>
    </row>
    <row r="32" ht="15.75" customHeight="1">
      <c r="A32" s="176"/>
      <c r="B32" s="176"/>
      <c r="C32" s="176"/>
      <c r="D32" s="176"/>
      <c r="E32" s="176"/>
      <c r="F32" s="176"/>
      <c r="G32" s="178"/>
      <c r="H32" s="176"/>
      <c r="I32" s="176"/>
      <c r="J32" s="176"/>
      <c r="K32" s="176"/>
      <c r="L32" s="176"/>
      <c r="M32" s="176"/>
      <c r="N32" s="176"/>
      <c r="O32" s="176"/>
      <c r="P32" s="176"/>
      <c r="Q32" s="176"/>
      <c r="R32" s="176"/>
      <c r="S32" s="176"/>
      <c r="T32" s="176"/>
      <c r="U32" s="176"/>
      <c r="V32" s="176"/>
      <c r="W32" s="176"/>
      <c r="X32" s="176"/>
      <c r="Y32" s="176"/>
      <c r="Z32" s="176"/>
      <c r="AA32" s="176"/>
      <c r="AB32" s="176"/>
      <c r="AC32" s="176"/>
      <c r="AD32" s="176"/>
      <c r="AE32" s="176"/>
      <c r="AF32" s="176"/>
      <c r="AG32" s="176"/>
      <c r="AH32" s="176"/>
      <c r="AI32" s="176"/>
      <c r="AJ32" s="176"/>
      <c r="AK32" s="176"/>
      <c r="AL32" s="176"/>
      <c r="AM32" s="176"/>
      <c r="AN32" s="176"/>
      <c r="AO32" s="176"/>
      <c r="AP32" s="176"/>
      <c r="AQ32" s="176"/>
      <c r="AR32" s="176"/>
      <c r="AS32" s="176"/>
      <c r="AT32" s="176"/>
      <c r="AU32" s="176"/>
      <c r="AV32" s="176"/>
      <c r="AW32" s="176"/>
      <c r="AX32" s="176"/>
      <c r="AY32" s="176"/>
      <c r="AZ32" s="176"/>
      <c r="BA32" s="176"/>
      <c r="BB32" s="176"/>
      <c r="BC32" s="176"/>
      <c r="BD32" s="176"/>
    </row>
    <row r="33" ht="15.75" customHeight="1">
      <c r="A33" s="176"/>
      <c r="B33" s="176"/>
      <c r="C33" s="176"/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6"/>
      <c r="AQ33" s="176"/>
      <c r="AR33" s="176"/>
      <c r="AS33" s="176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6"/>
    </row>
    <row r="34" ht="15.75" customHeight="1">
      <c r="A34" s="176"/>
      <c r="B34" s="176"/>
      <c r="C34" s="176"/>
      <c r="D34" s="176"/>
      <c r="E34" s="176"/>
      <c r="F34" s="176"/>
      <c r="G34" s="176"/>
      <c r="H34" s="176"/>
      <c r="I34" s="176"/>
      <c r="J34" s="176"/>
      <c r="K34" s="176"/>
      <c r="L34" s="176"/>
      <c r="M34" s="176"/>
      <c r="N34" s="176"/>
      <c r="O34" s="176"/>
      <c r="P34" s="176"/>
      <c r="Q34" s="176"/>
      <c r="R34" s="176"/>
      <c r="S34" s="176"/>
      <c r="T34" s="176"/>
      <c r="U34" s="176"/>
      <c r="V34" s="176"/>
      <c r="W34" s="176"/>
      <c r="X34" s="176"/>
      <c r="Y34" s="176"/>
      <c r="Z34" s="176"/>
      <c r="AA34" s="176"/>
      <c r="AB34" s="176"/>
      <c r="AC34" s="176"/>
      <c r="AD34" s="176"/>
      <c r="AE34" s="176"/>
      <c r="AF34" s="176"/>
      <c r="AG34" s="176"/>
      <c r="AH34" s="176"/>
      <c r="AI34" s="176"/>
      <c r="AJ34" s="176"/>
      <c r="AK34" s="176"/>
      <c r="AL34" s="176"/>
      <c r="AM34" s="176"/>
      <c r="AN34" s="176"/>
      <c r="AO34" s="176"/>
      <c r="AP34" s="176"/>
      <c r="AQ34" s="176"/>
      <c r="AR34" s="176"/>
      <c r="AS34" s="176"/>
      <c r="AT34" s="176"/>
      <c r="AU34" s="176"/>
      <c r="AV34" s="176"/>
      <c r="AW34" s="176"/>
      <c r="AX34" s="176"/>
      <c r="AY34" s="176"/>
      <c r="AZ34" s="176"/>
      <c r="BA34" s="176"/>
      <c r="BB34" s="176"/>
      <c r="BC34" s="176"/>
      <c r="BD34" s="176"/>
    </row>
    <row r="35" ht="15.75" customHeight="1">
      <c r="A35" s="176"/>
      <c r="B35" s="176"/>
      <c r="C35" s="176"/>
      <c r="D35" s="176"/>
      <c r="E35" s="176"/>
      <c r="F35" s="176"/>
      <c r="G35" s="178"/>
      <c r="H35" s="176"/>
      <c r="I35" s="176"/>
      <c r="J35" s="176"/>
      <c r="K35" s="176"/>
      <c r="L35" s="176"/>
      <c r="M35" s="176"/>
      <c r="N35" s="176"/>
      <c r="O35" s="176"/>
      <c r="P35" s="176"/>
      <c r="Q35" s="176"/>
      <c r="R35" s="176"/>
      <c r="S35" s="176"/>
      <c r="T35" s="176"/>
      <c r="U35" s="176"/>
      <c r="V35" s="176"/>
      <c r="W35" s="176"/>
      <c r="X35" s="176"/>
      <c r="Y35" s="176"/>
      <c r="Z35" s="176"/>
      <c r="AA35" s="176"/>
      <c r="AB35" s="176"/>
      <c r="AC35" s="176"/>
      <c r="AD35" s="176"/>
      <c r="AE35" s="176"/>
      <c r="AF35" s="176"/>
      <c r="AG35" s="176"/>
      <c r="AH35" s="176"/>
      <c r="AI35" s="176"/>
      <c r="AJ35" s="176"/>
      <c r="AK35" s="176"/>
      <c r="AL35" s="176"/>
      <c r="AM35" s="176"/>
      <c r="AN35" s="176"/>
      <c r="AO35" s="176"/>
      <c r="AP35" s="176"/>
      <c r="AQ35" s="176"/>
      <c r="AR35" s="176"/>
      <c r="AS35" s="176"/>
      <c r="AT35" s="176"/>
      <c r="AU35" s="176"/>
      <c r="AV35" s="176"/>
      <c r="AW35" s="176"/>
      <c r="AX35" s="176"/>
      <c r="AY35" s="176"/>
      <c r="AZ35" s="176"/>
      <c r="BA35" s="176"/>
      <c r="BB35" s="176"/>
      <c r="BC35" s="176"/>
      <c r="BD35" s="176"/>
    </row>
    <row r="36" ht="15.75" customHeight="1">
      <c r="A36" s="176"/>
      <c r="B36" s="176"/>
      <c r="C36" s="176"/>
      <c r="D36" s="176"/>
      <c r="E36" s="176"/>
      <c r="F36" s="176"/>
      <c r="G36" s="178"/>
      <c r="H36" s="176"/>
      <c r="I36" s="176"/>
      <c r="J36" s="176"/>
      <c r="K36" s="176"/>
      <c r="L36" s="176"/>
      <c r="M36" s="176"/>
      <c r="N36" s="176"/>
      <c r="O36" s="176"/>
      <c r="P36" s="176"/>
      <c r="Q36" s="176"/>
      <c r="R36" s="176"/>
      <c r="S36" s="176"/>
      <c r="T36" s="176"/>
      <c r="U36" s="176"/>
      <c r="V36" s="176"/>
      <c r="W36" s="176"/>
      <c r="X36" s="176"/>
      <c r="Y36" s="176"/>
      <c r="Z36" s="176"/>
      <c r="AA36" s="176"/>
      <c r="AB36" s="176"/>
      <c r="AC36" s="176"/>
      <c r="AD36" s="176"/>
      <c r="AE36" s="176"/>
      <c r="AF36" s="176"/>
      <c r="AG36" s="176"/>
      <c r="AH36" s="176"/>
      <c r="AI36" s="176"/>
      <c r="AJ36" s="176"/>
      <c r="AK36" s="176"/>
      <c r="AL36" s="176"/>
      <c r="AM36" s="176"/>
      <c r="AN36" s="176"/>
      <c r="AO36" s="176"/>
      <c r="AP36" s="176"/>
      <c r="AQ36" s="176"/>
      <c r="AR36" s="176"/>
      <c r="AS36" s="176"/>
      <c r="AT36" s="176"/>
      <c r="AU36" s="176"/>
      <c r="AV36" s="176"/>
      <c r="AW36" s="176"/>
      <c r="AX36" s="176"/>
      <c r="AY36" s="176"/>
      <c r="AZ36" s="176"/>
      <c r="BA36" s="176"/>
      <c r="BB36" s="176"/>
      <c r="BC36" s="176"/>
      <c r="BD36" s="176"/>
    </row>
    <row r="37" ht="15.75" customHeight="1">
      <c r="A37" s="176"/>
      <c r="B37" s="176"/>
      <c r="C37" s="176"/>
      <c r="D37" s="176"/>
      <c r="E37" s="176"/>
      <c r="F37" s="176"/>
      <c r="G37" s="178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6"/>
    </row>
    <row r="38" ht="15.75" customHeight="1">
      <c r="A38" s="176"/>
      <c r="B38" s="176"/>
      <c r="C38" s="176"/>
      <c r="D38" s="176"/>
      <c r="E38" s="176"/>
      <c r="F38" s="176"/>
      <c r="G38" s="178"/>
      <c r="H38" s="176"/>
      <c r="I38" s="176"/>
      <c r="J38" s="176"/>
      <c r="K38" s="176"/>
      <c r="L38" s="176"/>
      <c r="M38" s="176"/>
      <c r="N38" s="176"/>
      <c r="O38" s="176"/>
      <c r="P38" s="176"/>
      <c r="Q38" s="176"/>
      <c r="R38" s="176"/>
      <c r="S38" s="176"/>
      <c r="T38" s="176"/>
      <c r="U38" s="176"/>
      <c r="V38" s="176"/>
      <c r="W38" s="176"/>
      <c r="X38" s="176"/>
      <c r="Y38" s="176"/>
      <c r="Z38" s="176"/>
      <c r="AA38" s="176"/>
      <c r="AB38" s="176"/>
      <c r="AC38" s="176"/>
      <c r="AD38" s="176"/>
      <c r="AE38" s="176"/>
      <c r="AF38" s="176"/>
      <c r="AG38" s="176"/>
      <c r="AH38" s="176"/>
      <c r="AI38" s="176"/>
      <c r="AJ38" s="176"/>
      <c r="AK38" s="176"/>
      <c r="AL38" s="176"/>
      <c r="AM38" s="176"/>
      <c r="AN38" s="176"/>
      <c r="AO38" s="176"/>
      <c r="AP38" s="176"/>
      <c r="AQ38" s="176"/>
      <c r="AR38" s="176"/>
      <c r="AS38" s="176"/>
      <c r="AT38" s="176"/>
      <c r="AU38" s="176"/>
      <c r="AV38" s="176"/>
      <c r="AW38" s="176"/>
      <c r="AX38" s="176"/>
      <c r="AY38" s="176"/>
      <c r="AZ38" s="176"/>
      <c r="BA38" s="176"/>
      <c r="BB38" s="176"/>
      <c r="BC38" s="176"/>
      <c r="BD38" s="176"/>
    </row>
    <row r="39" ht="15.75" customHeight="1">
      <c r="A39" s="176"/>
      <c r="B39" s="176"/>
      <c r="C39" s="176"/>
      <c r="D39" s="176"/>
      <c r="E39" s="176"/>
      <c r="F39" s="176"/>
      <c r="G39" s="178"/>
      <c r="H39" s="176"/>
      <c r="I39" s="176"/>
      <c r="J39" s="176"/>
      <c r="K39" s="176"/>
      <c r="L39" s="176"/>
      <c r="M39" s="176"/>
      <c r="N39" s="176"/>
      <c r="O39" s="176"/>
      <c r="P39" s="176"/>
      <c r="Q39" s="176"/>
      <c r="R39" s="176"/>
      <c r="S39" s="176"/>
      <c r="T39" s="176"/>
      <c r="U39" s="176"/>
      <c r="V39" s="176"/>
      <c r="W39" s="176"/>
      <c r="X39" s="176"/>
      <c r="Y39" s="176"/>
      <c r="Z39" s="176"/>
      <c r="AA39" s="176"/>
      <c r="AB39" s="176"/>
      <c r="AC39" s="176"/>
      <c r="AD39" s="176"/>
      <c r="AE39" s="176"/>
      <c r="AF39" s="176"/>
      <c r="AG39" s="176"/>
      <c r="AH39" s="176"/>
      <c r="AI39" s="176"/>
      <c r="AJ39" s="176"/>
      <c r="AK39" s="176"/>
      <c r="AL39" s="176"/>
      <c r="AM39" s="176"/>
      <c r="AN39" s="176"/>
      <c r="AO39" s="176"/>
      <c r="AP39" s="176"/>
      <c r="AQ39" s="176"/>
      <c r="AR39" s="176"/>
      <c r="AS39" s="176"/>
      <c r="AT39" s="176"/>
      <c r="AU39" s="176"/>
      <c r="AV39" s="176"/>
      <c r="AW39" s="176"/>
      <c r="AX39" s="176"/>
      <c r="AY39" s="176"/>
      <c r="AZ39" s="176"/>
      <c r="BA39" s="176"/>
      <c r="BB39" s="176"/>
      <c r="BC39" s="176"/>
      <c r="BD39" s="176"/>
    </row>
    <row r="40" ht="15.75" customHeight="1">
      <c r="A40" s="176"/>
      <c r="B40" s="176"/>
      <c r="C40" s="176"/>
      <c r="D40" s="176"/>
      <c r="E40" s="176"/>
      <c r="F40" s="176"/>
      <c r="G40" s="178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  <c r="AC40" s="176"/>
      <c r="AD40" s="176"/>
      <c r="AE40" s="176"/>
      <c r="AF40" s="176"/>
      <c r="AG40" s="176"/>
      <c r="AH40" s="176"/>
      <c r="AI40" s="176"/>
      <c r="AJ40" s="176"/>
      <c r="AK40" s="176"/>
      <c r="AL40" s="176"/>
      <c r="AM40" s="176"/>
      <c r="AN40" s="176"/>
      <c r="AO40" s="176"/>
      <c r="AP40" s="176"/>
      <c r="AQ40" s="176"/>
      <c r="AR40" s="176"/>
      <c r="AS40" s="176"/>
      <c r="AT40" s="176"/>
      <c r="AU40" s="176"/>
      <c r="AV40" s="176"/>
      <c r="AW40" s="176"/>
      <c r="AX40" s="176"/>
      <c r="AY40" s="176"/>
      <c r="AZ40" s="176"/>
      <c r="BA40" s="176"/>
      <c r="BB40" s="176"/>
      <c r="BC40" s="176"/>
      <c r="BD40" s="176"/>
    </row>
    <row r="41" ht="15.75" customHeight="1">
      <c r="A41" s="176"/>
      <c r="B41" s="176"/>
      <c r="C41" s="176"/>
      <c r="D41" s="176"/>
      <c r="E41" s="176"/>
      <c r="F41" s="176"/>
      <c r="G41" s="178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76"/>
      <c r="AD41" s="176"/>
      <c r="AE41" s="176"/>
      <c r="AF41" s="176"/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76"/>
      <c r="BD41" s="176"/>
    </row>
    <row r="42" ht="15.75" customHeight="1">
      <c r="A42" s="176"/>
      <c r="B42" s="176"/>
      <c r="C42" s="176"/>
      <c r="D42" s="176"/>
      <c r="E42" s="176"/>
      <c r="F42" s="176"/>
      <c r="G42" s="178"/>
      <c r="H42" s="176"/>
      <c r="I42" s="176"/>
      <c r="J42" s="176"/>
      <c r="K42" s="176"/>
      <c r="L42" s="176"/>
      <c r="M42" s="176"/>
      <c r="N42" s="176"/>
      <c r="O42" s="176"/>
      <c r="P42" s="176"/>
      <c r="Q42" s="176"/>
      <c r="R42" s="176"/>
      <c r="S42" s="176"/>
      <c r="T42" s="176"/>
      <c r="U42" s="176"/>
      <c r="V42" s="176"/>
      <c r="W42" s="176"/>
      <c r="X42" s="176"/>
      <c r="Y42" s="176"/>
      <c r="Z42" s="176"/>
      <c r="AA42" s="176"/>
      <c r="AB42" s="176"/>
      <c r="AC42" s="176"/>
      <c r="AD42" s="176"/>
      <c r="AE42" s="176"/>
      <c r="AF42" s="176"/>
      <c r="AG42" s="176"/>
      <c r="AH42" s="176"/>
      <c r="AI42" s="176"/>
      <c r="AJ42" s="176"/>
      <c r="AK42" s="176"/>
      <c r="AL42" s="176"/>
      <c r="AM42" s="176"/>
      <c r="AN42" s="176"/>
      <c r="AO42" s="176"/>
      <c r="AP42" s="176"/>
      <c r="AQ42" s="176"/>
      <c r="AR42" s="176"/>
      <c r="AS42" s="176"/>
      <c r="AT42" s="176"/>
      <c r="AU42" s="176"/>
      <c r="AV42" s="176"/>
      <c r="AW42" s="176"/>
      <c r="AX42" s="176"/>
      <c r="AY42" s="176"/>
      <c r="AZ42" s="176"/>
      <c r="BA42" s="176"/>
      <c r="BB42" s="176"/>
      <c r="BC42" s="176"/>
      <c r="BD42" s="176"/>
    </row>
    <row r="43" ht="15.75" customHeight="1">
      <c r="A43" s="176"/>
      <c r="B43" s="176"/>
      <c r="C43" s="176"/>
      <c r="D43" s="176"/>
      <c r="E43" s="176"/>
      <c r="F43" s="176"/>
      <c r="G43" s="178"/>
      <c r="H43" s="176"/>
      <c r="I43" s="176"/>
      <c r="J43" s="176"/>
      <c r="K43" s="176"/>
      <c r="L43" s="176"/>
      <c r="M43" s="176"/>
      <c r="N43" s="176"/>
      <c r="O43" s="176"/>
      <c r="P43" s="176"/>
      <c r="Q43" s="176"/>
      <c r="R43" s="176"/>
      <c r="S43" s="176"/>
      <c r="T43" s="176"/>
      <c r="U43" s="176"/>
      <c r="V43" s="176"/>
      <c r="W43" s="176"/>
      <c r="X43" s="176"/>
      <c r="Y43" s="176"/>
      <c r="Z43" s="176"/>
      <c r="AA43" s="176"/>
      <c r="AB43" s="176"/>
      <c r="AC43" s="176"/>
      <c r="AD43" s="176"/>
      <c r="AE43" s="176"/>
      <c r="AF43" s="176"/>
      <c r="AG43" s="176"/>
      <c r="AH43" s="176"/>
      <c r="AI43" s="176"/>
      <c r="AJ43" s="176"/>
      <c r="AK43" s="176"/>
      <c r="AL43" s="176"/>
      <c r="AM43" s="176"/>
      <c r="AN43" s="176"/>
      <c r="AO43" s="176"/>
      <c r="AP43" s="176"/>
      <c r="AQ43" s="176"/>
      <c r="AR43" s="176"/>
      <c r="AS43" s="176"/>
      <c r="AT43" s="176"/>
      <c r="AU43" s="176"/>
      <c r="AV43" s="176"/>
      <c r="AW43" s="176"/>
      <c r="AX43" s="176"/>
      <c r="AY43" s="176"/>
      <c r="AZ43" s="176"/>
      <c r="BA43" s="176"/>
      <c r="BB43" s="176"/>
      <c r="BC43" s="176"/>
      <c r="BD43" s="176"/>
    </row>
    <row r="44" ht="15.75" customHeight="1">
      <c r="A44" s="176"/>
      <c r="B44" s="176"/>
      <c r="C44" s="176"/>
      <c r="D44" s="176"/>
      <c r="E44" s="176"/>
      <c r="F44" s="176"/>
      <c r="G44" s="178"/>
      <c r="H44" s="176"/>
      <c r="I44" s="176"/>
      <c r="J44" s="176"/>
      <c r="K44" s="176"/>
      <c r="L44" s="176"/>
      <c r="M44" s="176"/>
      <c r="N44" s="176"/>
      <c r="O44" s="176"/>
      <c r="P44" s="176"/>
      <c r="Q44" s="176"/>
      <c r="R44" s="176"/>
      <c r="S44" s="176"/>
      <c r="T44" s="176"/>
      <c r="U44" s="176"/>
      <c r="V44" s="176"/>
      <c r="W44" s="176"/>
      <c r="X44" s="176"/>
      <c r="Y44" s="176"/>
      <c r="Z44" s="176"/>
      <c r="AA44" s="176"/>
      <c r="AB44" s="176"/>
      <c r="AC44" s="176"/>
      <c r="AD44" s="176"/>
      <c r="AE44" s="176"/>
      <c r="AF44" s="176"/>
      <c r="AG44" s="176"/>
      <c r="AH44" s="176"/>
      <c r="AI44" s="176"/>
      <c r="AJ44" s="176"/>
      <c r="AK44" s="176"/>
      <c r="AL44" s="176"/>
      <c r="AM44" s="176"/>
      <c r="AN44" s="176"/>
      <c r="AO44" s="176"/>
      <c r="AP44" s="176"/>
      <c r="AQ44" s="176"/>
      <c r="AR44" s="176"/>
      <c r="AS44" s="176"/>
      <c r="AT44" s="176"/>
      <c r="AU44" s="176"/>
      <c r="AV44" s="176"/>
      <c r="AW44" s="176"/>
      <c r="AX44" s="176"/>
      <c r="AY44" s="176"/>
      <c r="AZ44" s="176"/>
      <c r="BA44" s="176"/>
      <c r="BB44" s="176"/>
      <c r="BC44" s="176"/>
      <c r="BD44" s="176"/>
    </row>
    <row r="45" ht="15.75" customHeight="1">
      <c r="A45" s="176"/>
      <c r="B45" s="176"/>
      <c r="C45" s="176"/>
      <c r="D45" s="176"/>
      <c r="E45" s="176"/>
      <c r="F45" s="176"/>
      <c r="G45" s="178"/>
      <c r="H45" s="176"/>
      <c r="I45" s="176"/>
      <c r="J45" s="176"/>
      <c r="K45" s="176"/>
      <c r="L45" s="176"/>
      <c r="M45" s="176"/>
      <c r="N45" s="176"/>
      <c r="O45" s="176"/>
      <c r="P45" s="176"/>
      <c r="Q45" s="176"/>
      <c r="R45" s="176"/>
      <c r="S45" s="176"/>
      <c r="T45" s="176"/>
      <c r="U45" s="176"/>
      <c r="V45" s="176"/>
      <c r="W45" s="176"/>
      <c r="X45" s="176"/>
      <c r="Y45" s="176"/>
      <c r="Z45" s="176"/>
      <c r="AA45" s="176"/>
      <c r="AB45" s="176"/>
      <c r="AC45" s="176"/>
      <c r="AD45" s="176"/>
      <c r="AE45" s="176"/>
      <c r="AF45" s="176"/>
      <c r="AG45" s="176"/>
      <c r="AH45" s="176"/>
      <c r="AI45" s="176"/>
      <c r="AJ45" s="176"/>
      <c r="AK45" s="176"/>
      <c r="AL45" s="176"/>
      <c r="AM45" s="176"/>
      <c r="AN45" s="176"/>
      <c r="AO45" s="176"/>
      <c r="AP45" s="176"/>
      <c r="AQ45" s="176"/>
      <c r="AR45" s="176"/>
      <c r="AS45" s="176"/>
      <c r="AT45" s="176"/>
      <c r="AU45" s="176"/>
      <c r="AV45" s="176"/>
      <c r="AW45" s="176"/>
      <c r="AX45" s="176"/>
      <c r="AY45" s="176"/>
      <c r="AZ45" s="176"/>
      <c r="BA45" s="176"/>
      <c r="BB45" s="176"/>
      <c r="BC45" s="176"/>
      <c r="BD45" s="176"/>
    </row>
    <row r="46" ht="15.75" customHeight="1">
      <c r="A46" s="176"/>
      <c r="B46" s="176"/>
      <c r="C46" s="176"/>
      <c r="D46" s="176"/>
      <c r="E46" s="176"/>
      <c r="F46" s="176"/>
      <c r="G46" s="178"/>
      <c r="H46" s="176"/>
      <c r="I46" s="176"/>
      <c r="J46" s="176"/>
      <c r="K46" s="176"/>
      <c r="L46" s="176"/>
      <c r="M46" s="176"/>
      <c r="N46" s="176"/>
      <c r="O46" s="176"/>
      <c r="P46" s="176"/>
      <c r="Q46" s="176"/>
      <c r="R46" s="176"/>
      <c r="S46" s="176"/>
      <c r="T46" s="176"/>
      <c r="U46" s="176"/>
      <c r="V46" s="176"/>
      <c r="W46" s="176"/>
      <c r="X46" s="176"/>
      <c r="Y46" s="176"/>
      <c r="Z46" s="176"/>
      <c r="AA46" s="176"/>
      <c r="AB46" s="176"/>
      <c r="AC46" s="176"/>
      <c r="AD46" s="176"/>
      <c r="AE46" s="176"/>
      <c r="AF46" s="176"/>
      <c r="AG46" s="176"/>
      <c r="AH46" s="176"/>
      <c r="AI46" s="176"/>
      <c r="AJ46" s="176"/>
      <c r="AK46" s="176"/>
      <c r="AL46" s="176"/>
      <c r="AM46" s="176"/>
      <c r="AN46" s="176"/>
      <c r="AO46" s="176"/>
      <c r="AP46" s="176"/>
      <c r="AQ46" s="176"/>
      <c r="AR46" s="176"/>
      <c r="AS46" s="176"/>
      <c r="AT46" s="176"/>
      <c r="AU46" s="176"/>
      <c r="AV46" s="176"/>
      <c r="AW46" s="176"/>
      <c r="AX46" s="176"/>
      <c r="AY46" s="176"/>
      <c r="AZ46" s="176"/>
      <c r="BA46" s="176"/>
      <c r="BB46" s="176"/>
      <c r="BC46" s="176"/>
      <c r="BD46" s="176"/>
    </row>
    <row r="47" ht="15.75" customHeight="1">
      <c r="A47" s="176"/>
      <c r="B47" s="176"/>
      <c r="C47" s="176"/>
      <c r="D47" s="176"/>
      <c r="E47" s="176"/>
      <c r="F47" s="176"/>
      <c r="G47" s="178"/>
      <c r="H47" s="176"/>
      <c r="I47" s="176"/>
      <c r="J47" s="176"/>
      <c r="K47" s="176"/>
      <c r="L47" s="176"/>
      <c r="M47" s="176"/>
      <c r="N47" s="176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  <c r="AA47" s="176"/>
      <c r="AB47" s="176"/>
      <c r="AC47" s="176"/>
      <c r="AD47" s="176"/>
      <c r="AE47" s="176"/>
      <c r="AF47" s="176"/>
      <c r="AG47" s="176"/>
      <c r="AH47" s="176"/>
      <c r="AI47" s="176"/>
      <c r="AJ47" s="176"/>
      <c r="AK47" s="176"/>
      <c r="AL47" s="176"/>
      <c r="AM47" s="176"/>
      <c r="AN47" s="176"/>
      <c r="AO47" s="176"/>
      <c r="AP47" s="176"/>
      <c r="AQ47" s="176"/>
      <c r="AR47" s="176"/>
      <c r="AS47" s="176"/>
      <c r="AT47" s="176"/>
      <c r="AU47" s="176"/>
      <c r="AV47" s="176"/>
      <c r="AW47" s="176"/>
      <c r="AX47" s="176"/>
      <c r="AY47" s="176"/>
      <c r="AZ47" s="176"/>
      <c r="BA47" s="176"/>
      <c r="BB47" s="176"/>
      <c r="BC47" s="176"/>
      <c r="BD47" s="176"/>
    </row>
    <row r="48" ht="15.75" customHeight="1">
      <c r="A48" s="176"/>
      <c r="B48" s="176"/>
      <c r="C48" s="176"/>
      <c r="D48" s="176"/>
      <c r="E48" s="176"/>
      <c r="F48" s="176"/>
      <c r="G48" s="178"/>
      <c r="H48" s="176"/>
      <c r="I48" s="176"/>
      <c r="J48" s="176"/>
      <c r="K48" s="176"/>
      <c r="L48" s="176"/>
      <c r="M48" s="176"/>
      <c r="N48" s="176"/>
      <c r="O48" s="176"/>
      <c r="P48" s="176"/>
      <c r="Q48" s="176"/>
      <c r="R48" s="176"/>
      <c r="S48" s="176"/>
      <c r="T48" s="176"/>
      <c r="U48" s="176"/>
      <c r="V48" s="176"/>
      <c r="W48" s="176"/>
      <c r="X48" s="176"/>
      <c r="Y48" s="176"/>
      <c r="Z48" s="176"/>
      <c r="AA48" s="176"/>
      <c r="AB48" s="176"/>
      <c r="AC48" s="176"/>
      <c r="AD48" s="176"/>
      <c r="AE48" s="176"/>
      <c r="AF48" s="176"/>
      <c r="AG48" s="176"/>
      <c r="AH48" s="176"/>
      <c r="AI48" s="176"/>
      <c r="AJ48" s="176"/>
      <c r="AK48" s="176"/>
      <c r="AL48" s="176"/>
      <c r="AM48" s="176"/>
      <c r="AN48" s="176"/>
      <c r="AO48" s="176"/>
      <c r="AP48" s="176"/>
      <c r="AQ48" s="176"/>
      <c r="AR48" s="176"/>
      <c r="AS48" s="176"/>
      <c r="AT48" s="176"/>
      <c r="AU48" s="176"/>
      <c r="AV48" s="176"/>
      <c r="AW48" s="176"/>
      <c r="AX48" s="176"/>
      <c r="AY48" s="176"/>
      <c r="AZ48" s="176"/>
      <c r="BA48" s="176"/>
      <c r="BB48" s="176"/>
      <c r="BC48" s="176"/>
      <c r="BD48" s="176"/>
    </row>
    <row r="49" ht="15.75" customHeight="1">
      <c r="A49" s="176"/>
      <c r="B49" s="176"/>
      <c r="C49" s="176"/>
      <c r="D49" s="176"/>
      <c r="E49" s="176"/>
      <c r="F49" s="176"/>
      <c r="G49" s="178"/>
      <c r="H49" s="176"/>
      <c r="I49" s="176"/>
      <c r="J49" s="176"/>
      <c r="K49" s="176"/>
      <c r="L49" s="176"/>
      <c r="M49" s="176"/>
      <c r="N49" s="176"/>
      <c r="O49" s="176"/>
      <c r="P49" s="176"/>
      <c r="Q49" s="176"/>
      <c r="R49" s="176"/>
      <c r="S49" s="176"/>
      <c r="T49" s="176"/>
      <c r="U49" s="176"/>
      <c r="V49" s="176"/>
      <c r="W49" s="176"/>
      <c r="X49" s="176"/>
      <c r="Y49" s="176"/>
      <c r="Z49" s="176"/>
      <c r="AA49" s="176"/>
      <c r="AB49" s="176"/>
      <c r="AC49" s="176"/>
      <c r="AD49" s="176"/>
      <c r="AE49" s="176"/>
      <c r="AF49" s="176"/>
      <c r="AG49" s="176"/>
      <c r="AH49" s="176"/>
      <c r="AI49" s="176"/>
      <c r="AJ49" s="176"/>
      <c r="AK49" s="176"/>
      <c r="AL49" s="176"/>
      <c r="AM49" s="176"/>
      <c r="AN49" s="176"/>
      <c r="AO49" s="176"/>
      <c r="AP49" s="176"/>
      <c r="AQ49" s="176"/>
      <c r="AR49" s="176"/>
      <c r="AS49" s="176"/>
      <c r="AT49" s="176"/>
      <c r="AU49" s="176"/>
      <c r="AV49" s="176"/>
      <c r="AW49" s="176"/>
      <c r="AX49" s="176"/>
      <c r="AY49" s="176"/>
      <c r="AZ49" s="176"/>
      <c r="BA49" s="176"/>
      <c r="BB49" s="176"/>
      <c r="BC49" s="176"/>
      <c r="BD49" s="176"/>
    </row>
    <row r="50" ht="15.75" customHeight="1">
      <c r="A50" s="176"/>
      <c r="B50" s="176"/>
      <c r="C50" s="176"/>
      <c r="D50" s="176"/>
      <c r="E50" s="176"/>
      <c r="F50" s="176"/>
      <c r="G50" s="178"/>
      <c r="H50" s="176"/>
      <c r="I50" s="176"/>
      <c r="J50" s="176"/>
      <c r="K50" s="176"/>
      <c r="L50" s="176"/>
      <c r="M50" s="176"/>
      <c r="N50" s="176"/>
      <c r="O50" s="176"/>
      <c r="P50" s="176"/>
      <c r="Q50" s="176"/>
      <c r="R50" s="176"/>
      <c r="S50" s="176"/>
      <c r="T50" s="176"/>
      <c r="U50" s="176"/>
      <c r="V50" s="176"/>
      <c r="W50" s="176"/>
      <c r="X50" s="176"/>
      <c r="Y50" s="176"/>
      <c r="Z50" s="176"/>
      <c r="AA50" s="176"/>
      <c r="AB50" s="176"/>
      <c r="AC50" s="176"/>
      <c r="AD50" s="176"/>
      <c r="AE50" s="176"/>
      <c r="AF50" s="176"/>
      <c r="AG50" s="176"/>
      <c r="AH50" s="176"/>
      <c r="AI50" s="176"/>
      <c r="AJ50" s="176"/>
      <c r="AK50" s="176"/>
      <c r="AL50" s="176"/>
      <c r="AM50" s="176"/>
      <c r="AN50" s="176"/>
      <c r="AO50" s="176"/>
      <c r="AP50" s="176"/>
      <c r="AQ50" s="176"/>
      <c r="AR50" s="176"/>
      <c r="AS50" s="176"/>
      <c r="AT50" s="176"/>
      <c r="AU50" s="176"/>
      <c r="AV50" s="176"/>
      <c r="AW50" s="176"/>
      <c r="AX50" s="176"/>
      <c r="AY50" s="176"/>
      <c r="AZ50" s="176"/>
      <c r="BA50" s="176"/>
      <c r="BB50" s="176"/>
      <c r="BC50" s="176"/>
      <c r="BD50" s="176"/>
    </row>
    <row r="51" ht="15.75" customHeight="1">
      <c r="A51" s="176"/>
      <c r="B51" s="176"/>
      <c r="C51" s="176"/>
      <c r="D51" s="176"/>
      <c r="E51" s="176"/>
      <c r="F51" s="176"/>
      <c r="G51" s="178"/>
      <c r="H51" s="176"/>
      <c r="I51" s="176"/>
      <c r="J51" s="176"/>
      <c r="K51" s="176"/>
      <c r="L51" s="176"/>
      <c r="M51" s="176"/>
      <c r="N51" s="176"/>
      <c r="O51" s="176"/>
      <c r="P51" s="176"/>
      <c r="Q51" s="176"/>
      <c r="R51" s="176"/>
      <c r="S51" s="176"/>
      <c r="T51" s="176"/>
      <c r="U51" s="176"/>
      <c r="V51" s="176"/>
      <c r="W51" s="176"/>
      <c r="X51" s="176"/>
      <c r="Y51" s="176"/>
      <c r="Z51" s="176"/>
      <c r="AA51" s="176"/>
      <c r="AB51" s="176"/>
      <c r="AC51" s="176"/>
      <c r="AD51" s="176"/>
      <c r="AE51" s="176"/>
      <c r="AF51" s="176"/>
      <c r="AG51" s="176"/>
      <c r="AH51" s="176"/>
      <c r="AI51" s="176"/>
      <c r="AJ51" s="176"/>
      <c r="AK51" s="176"/>
      <c r="AL51" s="176"/>
      <c r="AM51" s="176"/>
      <c r="AN51" s="176"/>
      <c r="AO51" s="176"/>
      <c r="AP51" s="176"/>
      <c r="AQ51" s="176"/>
      <c r="AR51" s="176"/>
      <c r="AS51" s="176"/>
      <c r="AT51" s="176"/>
      <c r="AU51" s="176"/>
      <c r="AV51" s="176"/>
      <c r="AW51" s="176"/>
      <c r="AX51" s="176"/>
      <c r="AY51" s="176"/>
      <c r="AZ51" s="176"/>
      <c r="BA51" s="176"/>
      <c r="BB51" s="176"/>
      <c r="BC51" s="176"/>
      <c r="BD51" s="176"/>
    </row>
    <row r="52" ht="15.75" customHeight="1">
      <c r="A52" s="176"/>
      <c r="B52" s="176"/>
      <c r="C52" s="176"/>
      <c r="D52" s="176"/>
      <c r="E52" s="176"/>
      <c r="F52" s="176"/>
      <c r="G52" s="178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  <c r="AC52" s="176"/>
      <c r="AD52" s="176"/>
      <c r="AE52" s="176"/>
      <c r="AF52" s="176"/>
      <c r="AG52" s="176"/>
      <c r="AH52" s="176"/>
      <c r="AI52" s="176"/>
      <c r="AJ52" s="176"/>
      <c r="AK52" s="176"/>
      <c r="AL52" s="176"/>
      <c r="AM52" s="176"/>
      <c r="AN52" s="176"/>
      <c r="AO52" s="176"/>
      <c r="AP52" s="176"/>
      <c r="AQ52" s="176"/>
      <c r="AR52" s="176"/>
      <c r="AS52" s="176"/>
      <c r="AT52" s="176"/>
      <c r="AU52" s="176"/>
      <c r="AV52" s="176"/>
      <c r="AW52" s="176"/>
      <c r="AX52" s="176"/>
      <c r="AY52" s="176"/>
      <c r="AZ52" s="176"/>
      <c r="BA52" s="176"/>
      <c r="BB52" s="176"/>
      <c r="BC52" s="176"/>
      <c r="BD52" s="176"/>
    </row>
    <row r="53" ht="15.75" customHeight="1">
      <c r="A53" s="176"/>
      <c r="B53" s="176"/>
      <c r="C53" s="176"/>
      <c r="D53" s="176"/>
      <c r="E53" s="176"/>
      <c r="F53" s="176"/>
      <c r="G53" s="178"/>
      <c r="H53" s="176"/>
      <c r="I53" s="176"/>
      <c r="J53" s="176"/>
      <c r="K53" s="176"/>
      <c r="L53" s="176"/>
      <c r="M53" s="176"/>
      <c r="N53" s="176"/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  <c r="AA53" s="176"/>
      <c r="AB53" s="176"/>
      <c r="AC53" s="176"/>
      <c r="AD53" s="176"/>
      <c r="AE53" s="176"/>
      <c r="AF53" s="176"/>
      <c r="AG53" s="176"/>
      <c r="AH53" s="176"/>
      <c r="AI53" s="176"/>
      <c r="AJ53" s="176"/>
      <c r="AK53" s="176"/>
      <c r="AL53" s="176"/>
      <c r="AM53" s="176"/>
      <c r="AN53" s="176"/>
      <c r="AO53" s="176"/>
      <c r="AP53" s="176"/>
      <c r="AQ53" s="176"/>
      <c r="AR53" s="176"/>
      <c r="AS53" s="176"/>
      <c r="AT53" s="176"/>
      <c r="AU53" s="176"/>
      <c r="AV53" s="176"/>
      <c r="AW53" s="176"/>
      <c r="AX53" s="176"/>
      <c r="AY53" s="176"/>
      <c r="AZ53" s="176"/>
      <c r="BA53" s="176"/>
      <c r="BB53" s="176"/>
      <c r="BC53" s="176"/>
      <c r="BD53" s="176"/>
    </row>
    <row r="54" ht="15.75" customHeight="1">
      <c r="A54" s="176"/>
      <c r="B54" s="176"/>
      <c r="C54" s="176"/>
      <c r="D54" s="176"/>
      <c r="E54" s="176"/>
      <c r="F54" s="176"/>
      <c r="G54" s="178"/>
      <c r="H54" s="176"/>
      <c r="I54" s="176"/>
      <c r="J54" s="176"/>
      <c r="K54" s="176"/>
      <c r="L54" s="176"/>
      <c r="M54" s="176"/>
      <c r="N54" s="176"/>
      <c r="O54" s="176"/>
      <c r="P54" s="176"/>
      <c r="Q54" s="176"/>
      <c r="R54" s="176"/>
      <c r="S54" s="176"/>
      <c r="T54" s="176"/>
      <c r="U54" s="176"/>
      <c r="V54" s="176"/>
      <c r="W54" s="176"/>
      <c r="X54" s="176"/>
      <c r="Y54" s="176"/>
      <c r="Z54" s="176"/>
      <c r="AA54" s="176"/>
      <c r="AB54" s="176"/>
      <c r="AC54" s="176"/>
      <c r="AD54" s="176"/>
      <c r="AE54" s="176"/>
      <c r="AF54" s="176"/>
      <c r="AG54" s="176"/>
      <c r="AH54" s="176"/>
      <c r="AI54" s="176"/>
      <c r="AJ54" s="176"/>
      <c r="AK54" s="176"/>
      <c r="AL54" s="176"/>
      <c r="AM54" s="176"/>
      <c r="AN54" s="176"/>
      <c r="AO54" s="176"/>
      <c r="AP54" s="176"/>
      <c r="AQ54" s="176"/>
      <c r="AR54" s="176"/>
      <c r="AS54" s="176"/>
      <c r="AT54" s="176"/>
      <c r="AU54" s="176"/>
      <c r="AV54" s="176"/>
      <c r="AW54" s="176"/>
      <c r="AX54" s="176"/>
      <c r="AY54" s="176"/>
      <c r="AZ54" s="176"/>
      <c r="BA54" s="176"/>
      <c r="BB54" s="176"/>
      <c r="BC54" s="176"/>
      <c r="BD54" s="176"/>
    </row>
    <row r="55" ht="15.75" customHeight="1">
      <c r="A55" s="176"/>
      <c r="B55" s="176"/>
      <c r="C55" s="176"/>
      <c r="D55" s="176"/>
      <c r="E55" s="176"/>
      <c r="F55" s="176"/>
      <c r="G55" s="178"/>
      <c r="H55" s="176"/>
      <c r="I55" s="176"/>
      <c r="J55" s="176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  <c r="AA55" s="176"/>
      <c r="AB55" s="176"/>
      <c r="AC55" s="176"/>
      <c r="AD55" s="176"/>
      <c r="AE55" s="176"/>
      <c r="AF55" s="176"/>
      <c r="AG55" s="176"/>
      <c r="AH55" s="176"/>
      <c r="AI55" s="176"/>
      <c r="AJ55" s="176"/>
      <c r="AK55" s="176"/>
      <c r="AL55" s="176"/>
      <c r="AM55" s="176"/>
      <c r="AN55" s="176"/>
      <c r="AO55" s="176"/>
      <c r="AP55" s="176"/>
      <c r="AQ55" s="176"/>
      <c r="AR55" s="176"/>
      <c r="AS55" s="176"/>
      <c r="AT55" s="176"/>
      <c r="AU55" s="176"/>
      <c r="AV55" s="176"/>
      <c r="AW55" s="176"/>
      <c r="AX55" s="176"/>
      <c r="AY55" s="176"/>
      <c r="AZ55" s="176"/>
      <c r="BA55" s="176"/>
      <c r="BB55" s="176"/>
      <c r="BC55" s="176"/>
      <c r="BD55" s="176"/>
    </row>
    <row r="56" ht="15.75" customHeight="1">
      <c r="A56" s="176"/>
      <c r="B56" s="176"/>
      <c r="C56" s="176"/>
      <c r="D56" s="176"/>
      <c r="E56" s="176"/>
      <c r="F56" s="176"/>
      <c r="G56" s="178"/>
      <c r="H56" s="176"/>
      <c r="I56" s="176"/>
      <c r="J56" s="176"/>
      <c r="K56" s="176"/>
      <c r="L56" s="176"/>
      <c r="M56" s="176"/>
      <c r="N56" s="176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  <c r="AA56" s="176"/>
      <c r="AB56" s="176"/>
      <c r="AC56" s="176"/>
      <c r="AD56" s="176"/>
      <c r="AE56" s="176"/>
      <c r="AF56" s="176"/>
      <c r="AG56" s="176"/>
      <c r="AH56" s="176"/>
      <c r="AI56" s="176"/>
      <c r="AJ56" s="176"/>
      <c r="AK56" s="176"/>
      <c r="AL56" s="176"/>
      <c r="AM56" s="176"/>
      <c r="AN56" s="176"/>
      <c r="AO56" s="176"/>
      <c r="AP56" s="176"/>
      <c r="AQ56" s="176"/>
      <c r="AR56" s="176"/>
      <c r="AS56" s="176"/>
      <c r="AT56" s="176"/>
      <c r="AU56" s="176"/>
      <c r="AV56" s="176"/>
      <c r="AW56" s="176"/>
      <c r="AX56" s="176"/>
      <c r="AY56" s="176"/>
      <c r="AZ56" s="176"/>
      <c r="BA56" s="176"/>
      <c r="BB56" s="176"/>
      <c r="BC56" s="176"/>
      <c r="BD56" s="176"/>
    </row>
    <row r="57" ht="15.75" customHeight="1">
      <c r="A57" s="176"/>
      <c r="B57" s="176"/>
      <c r="C57" s="176"/>
      <c r="D57" s="176"/>
      <c r="E57" s="176"/>
      <c r="F57" s="176"/>
      <c r="G57" s="178"/>
      <c r="H57" s="176"/>
      <c r="I57" s="176"/>
      <c r="J57" s="176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  <c r="AA57" s="176"/>
      <c r="AB57" s="176"/>
      <c r="AC57" s="176"/>
      <c r="AD57" s="176"/>
      <c r="AE57" s="176"/>
      <c r="AF57" s="176"/>
      <c r="AG57" s="176"/>
      <c r="AH57" s="176"/>
      <c r="AI57" s="176"/>
      <c r="AJ57" s="176"/>
      <c r="AK57" s="176"/>
      <c r="AL57" s="176"/>
      <c r="AM57" s="176"/>
      <c r="AN57" s="176"/>
      <c r="AO57" s="176"/>
      <c r="AP57" s="176"/>
      <c r="AQ57" s="176"/>
      <c r="AR57" s="176"/>
      <c r="AS57" s="176"/>
      <c r="AT57" s="176"/>
      <c r="AU57" s="176"/>
      <c r="AV57" s="176"/>
      <c r="AW57" s="176"/>
      <c r="AX57" s="176"/>
      <c r="AY57" s="176"/>
      <c r="AZ57" s="176"/>
      <c r="BA57" s="176"/>
      <c r="BB57" s="176"/>
      <c r="BC57" s="176"/>
      <c r="BD57" s="176"/>
    </row>
    <row r="58" ht="15.75" customHeight="1">
      <c r="A58" s="176"/>
      <c r="B58" s="176"/>
      <c r="C58" s="176"/>
      <c r="D58" s="176"/>
      <c r="E58" s="176"/>
      <c r="F58" s="176"/>
      <c r="G58" s="178"/>
      <c r="H58" s="176"/>
      <c r="I58" s="176"/>
      <c r="J58" s="176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  <c r="AA58" s="176"/>
      <c r="AB58" s="176"/>
      <c r="AC58" s="176"/>
      <c r="AD58" s="176"/>
      <c r="AE58" s="176"/>
      <c r="AF58" s="176"/>
      <c r="AG58" s="176"/>
      <c r="AH58" s="176"/>
      <c r="AI58" s="176"/>
      <c r="AJ58" s="176"/>
      <c r="AK58" s="176"/>
      <c r="AL58" s="176"/>
      <c r="AM58" s="176"/>
      <c r="AN58" s="176"/>
      <c r="AO58" s="176"/>
      <c r="AP58" s="176"/>
      <c r="AQ58" s="176"/>
      <c r="AR58" s="176"/>
      <c r="AS58" s="176"/>
      <c r="AT58" s="176"/>
      <c r="AU58" s="176"/>
      <c r="AV58" s="176"/>
      <c r="AW58" s="176"/>
      <c r="AX58" s="176"/>
      <c r="AY58" s="176"/>
      <c r="AZ58" s="176"/>
      <c r="BA58" s="176"/>
      <c r="BB58" s="176"/>
      <c r="BC58" s="176"/>
      <c r="BD58" s="176"/>
    </row>
    <row r="59" ht="15.75" customHeight="1">
      <c r="A59" s="176"/>
      <c r="B59" s="176"/>
      <c r="C59" s="176"/>
      <c r="D59" s="176"/>
      <c r="E59" s="176"/>
      <c r="F59" s="176"/>
      <c r="G59" s="178"/>
      <c r="H59" s="176"/>
      <c r="I59" s="176"/>
      <c r="J59" s="176"/>
      <c r="K59" s="176"/>
      <c r="L59" s="176"/>
      <c r="M59" s="176"/>
      <c r="N59" s="176"/>
      <c r="O59" s="176"/>
      <c r="P59" s="176"/>
      <c r="Q59" s="176"/>
      <c r="R59" s="176"/>
      <c r="S59" s="176"/>
      <c r="T59" s="176"/>
      <c r="U59" s="176"/>
      <c r="V59" s="176"/>
      <c r="W59" s="176"/>
      <c r="X59" s="176"/>
      <c r="Y59" s="176"/>
      <c r="Z59" s="176"/>
      <c r="AA59" s="176"/>
      <c r="AB59" s="176"/>
      <c r="AC59" s="176"/>
      <c r="AD59" s="176"/>
      <c r="AE59" s="176"/>
      <c r="AF59" s="176"/>
      <c r="AG59" s="176"/>
      <c r="AH59" s="176"/>
      <c r="AI59" s="176"/>
      <c r="AJ59" s="176"/>
      <c r="AK59" s="176"/>
      <c r="AL59" s="176"/>
      <c r="AM59" s="176"/>
      <c r="AN59" s="176"/>
      <c r="AO59" s="176"/>
      <c r="AP59" s="176"/>
      <c r="AQ59" s="176"/>
      <c r="AR59" s="176"/>
      <c r="AS59" s="176"/>
      <c r="AT59" s="176"/>
      <c r="AU59" s="176"/>
      <c r="AV59" s="176"/>
      <c r="AW59" s="176"/>
      <c r="AX59" s="176"/>
      <c r="AY59" s="176"/>
      <c r="AZ59" s="176"/>
      <c r="BA59" s="176"/>
      <c r="BB59" s="176"/>
      <c r="BC59" s="176"/>
      <c r="BD59" s="176"/>
    </row>
    <row r="60" ht="15.75" customHeight="1">
      <c r="A60" s="176"/>
      <c r="B60" s="176"/>
      <c r="C60" s="176"/>
      <c r="D60" s="176"/>
      <c r="E60" s="176"/>
      <c r="F60" s="176"/>
      <c r="G60" s="178"/>
      <c r="H60" s="176"/>
      <c r="I60" s="176"/>
      <c r="J60" s="176"/>
      <c r="K60" s="176"/>
      <c r="L60" s="176"/>
      <c r="M60" s="176"/>
      <c r="N60" s="176"/>
      <c r="O60" s="176"/>
      <c r="P60" s="176"/>
      <c r="Q60" s="176"/>
      <c r="R60" s="176"/>
      <c r="S60" s="176"/>
      <c r="T60" s="176"/>
      <c r="U60" s="176"/>
      <c r="V60" s="176"/>
      <c r="W60" s="176"/>
      <c r="X60" s="176"/>
      <c r="Y60" s="176"/>
      <c r="Z60" s="176"/>
      <c r="AA60" s="176"/>
      <c r="AB60" s="176"/>
      <c r="AC60" s="176"/>
      <c r="AD60" s="176"/>
      <c r="AE60" s="176"/>
      <c r="AF60" s="176"/>
      <c r="AG60" s="176"/>
      <c r="AH60" s="176"/>
      <c r="AI60" s="176"/>
      <c r="AJ60" s="176"/>
      <c r="AK60" s="176"/>
      <c r="AL60" s="176"/>
      <c r="AM60" s="176"/>
      <c r="AN60" s="176"/>
      <c r="AO60" s="176"/>
      <c r="AP60" s="176"/>
      <c r="AQ60" s="176"/>
      <c r="AR60" s="176"/>
      <c r="AS60" s="176"/>
      <c r="AT60" s="176"/>
      <c r="AU60" s="176"/>
      <c r="AV60" s="176"/>
      <c r="AW60" s="176"/>
      <c r="AX60" s="176"/>
      <c r="AY60" s="176"/>
      <c r="AZ60" s="176"/>
      <c r="BA60" s="176"/>
      <c r="BB60" s="176"/>
      <c r="BC60" s="176"/>
      <c r="BD60" s="176"/>
    </row>
    <row r="61" ht="15.75" customHeight="1">
      <c r="A61" s="176"/>
      <c r="B61" s="176"/>
      <c r="C61" s="176"/>
      <c r="D61" s="176"/>
      <c r="E61" s="176"/>
      <c r="F61" s="176"/>
      <c r="G61" s="178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76"/>
      <c r="AP61" s="176"/>
      <c r="AQ61" s="176"/>
      <c r="AR61" s="176"/>
      <c r="AS61" s="176"/>
      <c r="AT61" s="176"/>
      <c r="AU61" s="176"/>
      <c r="AV61" s="176"/>
      <c r="AW61" s="176"/>
      <c r="AX61" s="176"/>
      <c r="AY61" s="176"/>
      <c r="AZ61" s="176"/>
      <c r="BA61" s="176"/>
      <c r="BB61" s="176"/>
      <c r="BC61" s="176"/>
      <c r="BD61" s="176"/>
    </row>
    <row r="62" ht="15.75" customHeight="1">
      <c r="A62" s="176"/>
      <c r="B62" s="176"/>
      <c r="C62" s="176"/>
      <c r="D62" s="176"/>
      <c r="E62" s="176"/>
      <c r="F62" s="176"/>
      <c r="G62" s="178"/>
      <c r="H62" s="176"/>
      <c r="I62" s="176"/>
      <c r="J62" s="176"/>
      <c r="K62" s="176"/>
      <c r="L62" s="176"/>
      <c r="M62" s="176"/>
      <c r="N62" s="176"/>
      <c r="O62" s="176"/>
      <c r="P62" s="176"/>
      <c r="Q62" s="176"/>
      <c r="R62" s="176"/>
      <c r="S62" s="176"/>
      <c r="T62" s="176"/>
      <c r="U62" s="176"/>
      <c r="V62" s="176"/>
      <c r="W62" s="176"/>
      <c r="X62" s="176"/>
      <c r="Y62" s="176"/>
      <c r="Z62" s="176"/>
      <c r="AA62" s="176"/>
      <c r="AB62" s="176"/>
      <c r="AC62" s="176"/>
      <c r="AD62" s="176"/>
      <c r="AE62" s="176"/>
      <c r="AF62" s="176"/>
      <c r="AG62" s="176"/>
      <c r="AH62" s="176"/>
      <c r="AI62" s="176"/>
      <c r="AJ62" s="176"/>
      <c r="AK62" s="176"/>
      <c r="AL62" s="176"/>
      <c r="AM62" s="176"/>
      <c r="AN62" s="176"/>
      <c r="AO62" s="176"/>
      <c r="AP62" s="176"/>
      <c r="AQ62" s="176"/>
      <c r="AR62" s="176"/>
      <c r="AS62" s="176"/>
      <c r="AT62" s="176"/>
      <c r="AU62" s="176"/>
      <c r="AV62" s="176"/>
      <c r="AW62" s="176"/>
      <c r="AX62" s="176"/>
      <c r="AY62" s="176"/>
      <c r="AZ62" s="176"/>
      <c r="BA62" s="176"/>
      <c r="BB62" s="176"/>
      <c r="BC62" s="176"/>
      <c r="BD62" s="176"/>
    </row>
    <row r="63" ht="15.75" customHeight="1">
      <c r="A63" s="176"/>
      <c r="B63" s="176"/>
      <c r="C63" s="176"/>
      <c r="D63" s="176"/>
      <c r="E63" s="176"/>
      <c r="F63" s="176"/>
      <c r="G63" s="178"/>
      <c r="H63" s="176"/>
      <c r="I63" s="176"/>
      <c r="J63" s="176"/>
      <c r="K63" s="176"/>
      <c r="L63" s="176"/>
      <c r="M63" s="176"/>
      <c r="N63" s="176"/>
      <c r="O63" s="176"/>
      <c r="P63" s="176"/>
      <c r="Q63" s="176"/>
      <c r="R63" s="176"/>
      <c r="S63" s="176"/>
      <c r="T63" s="176"/>
      <c r="U63" s="176"/>
      <c r="V63" s="176"/>
      <c r="W63" s="176"/>
      <c r="X63" s="176"/>
      <c r="Y63" s="176"/>
      <c r="Z63" s="176"/>
      <c r="AA63" s="176"/>
      <c r="AB63" s="176"/>
      <c r="AC63" s="176"/>
      <c r="AD63" s="176"/>
      <c r="AE63" s="176"/>
      <c r="AF63" s="176"/>
      <c r="AG63" s="176"/>
      <c r="AH63" s="176"/>
      <c r="AI63" s="176"/>
      <c r="AJ63" s="176"/>
      <c r="AK63" s="176"/>
      <c r="AL63" s="176"/>
      <c r="AM63" s="176"/>
      <c r="AN63" s="176"/>
      <c r="AO63" s="176"/>
      <c r="AP63" s="176"/>
      <c r="AQ63" s="176"/>
      <c r="AR63" s="176"/>
      <c r="AS63" s="176"/>
      <c r="AT63" s="176"/>
      <c r="AU63" s="176"/>
      <c r="AV63" s="176"/>
      <c r="AW63" s="176"/>
      <c r="AX63" s="176"/>
      <c r="AY63" s="176"/>
      <c r="AZ63" s="176"/>
      <c r="BA63" s="176"/>
      <c r="BB63" s="176"/>
      <c r="BC63" s="176"/>
      <c r="BD63" s="176"/>
    </row>
    <row r="64" ht="15.75" customHeight="1">
      <c r="A64" s="176"/>
      <c r="B64" s="176"/>
      <c r="C64" s="176"/>
      <c r="D64" s="176"/>
      <c r="E64" s="176"/>
      <c r="F64" s="176"/>
      <c r="G64" s="178"/>
      <c r="H64" s="176"/>
      <c r="I64" s="176"/>
      <c r="J64" s="176"/>
      <c r="K64" s="176"/>
      <c r="L64" s="176"/>
      <c r="M64" s="176"/>
      <c r="N64" s="176"/>
      <c r="O64" s="176"/>
      <c r="P64" s="176"/>
      <c r="Q64" s="176"/>
      <c r="R64" s="176"/>
      <c r="S64" s="176"/>
      <c r="T64" s="176"/>
      <c r="U64" s="176"/>
      <c r="V64" s="176"/>
      <c r="W64" s="176"/>
      <c r="X64" s="176"/>
      <c r="Y64" s="176"/>
      <c r="Z64" s="176"/>
      <c r="AA64" s="176"/>
      <c r="AB64" s="176"/>
      <c r="AC64" s="176"/>
      <c r="AD64" s="176"/>
      <c r="AE64" s="176"/>
      <c r="AF64" s="176"/>
      <c r="AG64" s="176"/>
      <c r="AH64" s="176"/>
      <c r="AI64" s="176"/>
      <c r="AJ64" s="176"/>
      <c r="AK64" s="176"/>
      <c r="AL64" s="176"/>
      <c r="AM64" s="176"/>
      <c r="AN64" s="176"/>
      <c r="AO64" s="176"/>
      <c r="AP64" s="176"/>
      <c r="AQ64" s="176"/>
      <c r="AR64" s="176"/>
      <c r="AS64" s="176"/>
      <c r="AT64" s="176"/>
      <c r="AU64" s="176"/>
      <c r="AV64" s="176"/>
      <c r="AW64" s="176"/>
      <c r="AX64" s="176"/>
      <c r="AY64" s="176"/>
      <c r="AZ64" s="176"/>
      <c r="BA64" s="176"/>
      <c r="BB64" s="176"/>
      <c r="BC64" s="176"/>
      <c r="BD64" s="176"/>
    </row>
    <row r="65" ht="15.75" customHeight="1">
      <c r="A65" s="176"/>
      <c r="B65" s="176"/>
      <c r="C65" s="176"/>
      <c r="D65" s="176"/>
      <c r="E65" s="176"/>
      <c r="F65" s="176"/>
      <c r="G65" s="178"/>
      <c r="H65" s="176"/>
      <c r="I65" s="176"/>
      <c r="J65" s="176"/>
      <c r="K65" s="176"/>
      <c r="L65" s="176"/>
      <c r="M65" s="176"/>
      <c r="N65" s="176"/>
      <c r="O65" s="176"/>
      <c r="P65" s="176"/>
      <c r="Q65" s="176"/>
      <c r="R65" s="176"/>
      <c r="S65" s="176"/>
      <c r="T65" s="176"/>
      <c r="U65" s="176"/>
      <c r="V65" s="176"/>
      <c r="W65" s="176"/>
      <c r="X65" s="176"/>
      <c r="Y65" s="176"/>
      <c r="Z65" s="176"/>
      <c r="AA65" s="176"/>
      <c r="AB65" s="176"/>
      <c r="AC65" s="176"/>
      <c r="AD65" s="176"/>
      <c r="AE65" s="176"/>
      <c r="AF65" s="176"/>
      <c r="AG65" s="176"/>
      <c r="AH65" s="176"/>
      <c r="AI65" s="176"/>
      <c r="AJ65" s="176"/>
      <c r="AK65" s="176"/>
      <c r="AL65" s="176"/>
      <c r="AM65" s="176"/>
      <c r="AN65" s="176"/>
      <c r="AO65" s="176"/>
      <c r="AP65" s="176"/>
      <c r="AQ65" s="176"/>
      <c r="AR65" s="176"/>
      <c r="AS65" s="176"/>
      <c r="AT65" s="176"/>
      <c r="AU65" s="176"/>
      <c r="AV65" s="176"/>
      <c r="AW65" s="176"/>
      <c r="AX65" s="176"/>
      <c r="AY65" s="176"/>
      <c r="AZ65" s="176"/>
      <c r="BA65" s="176"/>
      <c r="BB65" s="176"/>
      <c r="BC65" s="176"/>
      <c r="BD65" s="176"/>
    </row>
    <row r="66" ht="15.75" customHeight="1">
      <c r="A66" s="176"/>
      <c r="B66" s="176"/>
      <c r="C66" s="176"/>
      <c r="D66" s="176"/>
      <c r="E66" s="176"/>
      <c r="F66" s="176"/>
      <c r="G66" s="178"/>
      <c r="H66" s="176"/>
      <c r="I66" s="176"/>
      <c r="J66" s="176"/>
      <c r="K66" s="176"/>
      <c r="L66" s="176"/>
      <c r="M66" s="176"/>
      <c r="N66" s="176"/>
      <c r="O66" s="176"/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  <c r="AA66" s="176"/>
      <c r="AB66" s="176"/>
      <c r="AC66" s="176"/>
      <c r="AD66" s="176"/>
      <c r="AE66" s="176"/>
      <c r="AF66" s="176"/>
      <c r="AG66" s="176"/>
      <c r="AH66" s="176"/>
      <c r="AI66" s="176"/>
      <c r="AJ66" s="176"/>
      <c r="AK66" s="176"/>
      <c r="AL66" s="176"/>
      <c r="AM66" s="176"/>
      <c r="AN66" s="176"/>
      <c r="AO66" s="176"/>
      <c r="AP66" s="176"/>
      <c r="AQ66" s="176"/>
      <c r="AR66" s="176"/>
      <c r="AS66" s="176"/>
      <c r="AT66" s="176"/>
      <c r="AU66" s="176"/>
      <c r="AV66" s="176"/>
      <c r="AW66" s="176"/>
      <c r="AX66" s="176"/>
      <c r="AY66" s="176"/>
      <c r="AZ66" s="176"/>
      <c r="BA66" s="176"/>
      <c r="BB66" s="176"/>
      <c r="BC66" s="176"/>
      <c r="BD66" s="176"/>
    </row>
    <row r="67" ht="15.75" customHeight="1">
      <c r="A67" s="176"/>
      <c r="B67" s="176"/>
      <c r="C67" s="176"/>
      <c r="D67" s="176"/>
      <c r="E67" s="176"/>
      <c r="F67" s="176"/>
      <c r="G67" s="178"/>
      <c r="H67" s="176"/>
      <c r="I67" s="176"/>
      <c r="J67" s="176"/>
      <c r="K67" s="176"/>
      <c r="L67" s="176"/>
      <c r="M67" s="176"/>
      <c r="N67" s="176"/>
      <c r="O67" s="176"/>
      <c r="P67" s="176"/>
      <c r="Q67" s="176"/>
      <c r="R67" s="176"/>
      <c r="S67" s="176"/>
      <c r="T67" s="176"/>
      <c r="U67" s="176"/>
      <c r="V67" s="176"/>
      <c r="W67" s="176"/>
      <c r="X67" s="176"/>
      <c r="Y67" s="176"/>
      <c r="Z67" s="176"/>
      <c r="AA67" s="176"/>
      <c r="AB67" s="176"/>
      <c r="AC67" s="176"/>
      <c r="AD67" s="176"/>
      <c r="AE67" s="176"/>
      <c r="AF67" s="176"/>
      <c r="AG67" s="176"/>
      <c r="AH67" s="176"/>
      <c r="AI67" s="176"/>
      <c r="AJ67" s="176"/>
      <c r="AK67" s="176"/>
      <c r="AL67" s="176"/>
      <c r="AM67" s="176"/>
      <c r="AN67" s="176"/>
      <c r="AO67" s="176"/>
      <c r="AP67" s="176"/>
      <c r="AQ67" s="176"/>
      <c r="AR67" s="176"/>
      <c r="AS67" s="176"/>
      <c r="AT67" s="176"/>
      <c r="AU67" s="176"/>
      <c r="AV67" s="176"/>
      <c r="AW67" s="176"/>
      <c r="AX67" s="176"/>
      <c r="AY67" s="176"/>
      <c r="AZ67" s="176"/>
      <c r="BA67" s="176"/>
      <c r="BB67" s="176"/>
      <c r="BC67" s="176"/>
      <c r="BD67" s="176"/>
    </row>
    <row r="68" ht="15.75" customHeight="1">
      <c r="A68" s="176"/>
      <c r="B68" s="176"/>
      <c r="C68" s="176"/>
      <c r="D68" s="176"/>
      <c r="E68" s="176"/>
      <c r="F68" s="176"/>
      <c r="G68" s="178"/>
      <c r="H68" s="176"/>
      <c r="I68" s="176"/>
      <c r="J68" s="176"/>
      <c r="K68" s="176"/>
      <c r="L68" s="176"/>
      <c r="M68" s="176"/>
      <c r="N68" s="176"/>
      <c r="O68" s="176"/>
      <c r="P68" s="176"/>
      <c r="Q68" s="176"/>
      <c r="R68" s="176"/>
      <c r="S68" s="176"/>
      <c r="T68" s="176"/>
      <c r="U68" s="176"/>
      <c r="V68" s="176"/>
      <c r="W68" s="176"/>
      <c r="X68" s="176"/>
      <c r="Y68" s="176"/>
      <c r="Z68" s="176"/>
      <c r="AA68" s="176"/>
      <c r="AB68" s="176"/>
      <c r="AC68" s="176"/>
      <c r="AD68" s="176"/>
      <c r="AE68" s="176"/>
      <c r="AF68" s="176"/>
      <c r="AG68" s="176"/>
      <c r="AH68" s="176"/>
      <c r="AI68" s="176"/>
      <c r="AJ68" s="176"/>
      <c r="AK68" s="176"/>
      <c r="AL68" s="176"/>
      <c r="AM68" s="176"/>
      <c r="AN68" s="176"/>
      <c r="AO68" s="176"/>
      <c r="AP68" s="176"/>
      <c r="AQ68" s="176"/>
      <c r="AR68" s="176"/>
      <c r="AS68" s="176"/>
      <c r="AT68" s="176"/>
      <c r="AU68" s="176"/>
      <c r="AV68" s="176"/>
      <c r="AW68" s="176"/>
      <c r="AX68" s="176"/>
      <c r="AY68" s="176"/>
      <c r="AZ68" s="176"/>
      <c r="BA68" s="176"/>
      <c r="BB68" s="176"/>
      <c r="BC68" s="176"/>
      <c r="BD68" s="176"/>
    </row>
    <row r="69" ht="15.75" customHeight="1">
      <c r="A69" s="176"/>
      <c r="B69" s="176"/>
      <c r="C69" s="176"/>
      <c r="D69" s="176"/>
      <c r="E69" s="176"/>
      <c r="F69" s="176"/>
      <c r="G69" s="178"/>
      <c r="H69" s="176"/>
      <c r="I69" s="176"/>
      <c r="J69" s="176"/>
      <c r="K69" s="176"/>
      <c r="L69" s="176"/>
      <c r="M69" s="176"/>
      <c r="N69" s="176"/>
      <c r="O69" s="176"/>
      <c r="P69" s="176"/>
      <c r="Q69" s="176"/>
      <c r="R69" s="176"/>
      <c r="S69" s="176"/>
      <c r="T69" s="176"/>
      <c r="U69" s="176"/>
      <c r="V69" s="176"/>
      <c r="W69" s="176"/>
      <c r="X69" s="176"/>
      <c r="Y69" s="176"/>
      <c r="Z69" s="176"/>
      <c r="AA69" s="176"/>
      <c r="AB69" s="176"/>
      <c r="AC69" s="176"/>
      <c r="AD69" s="176"/>
      <c r="AE69" s="176"/>
      <c r="AF69" s="176"/>
      <c r="AG69" s="176"/>
      <c r="AH69" s="176"/>
      <c r="AI69" s="176"/>
      <c r="AJ69" s="176"/>
      <c r="AK69" s="176"/>
      <c r="AL69" s="176"/>
      <c r="AM69" s="176"/>
      <c r="AN69" s="176"/>
      <c r="AO69" s="176"/>
      <c r="AP69" s="176"/>
      <c r="AQ69" s="176"/>
      <c r="AR69" s="176"/>
      <c r="AS69" s="176"/>
      <c r="AT69" s="176"/>
      <c r="AU69" s="176"/>
      <c r="AV69" s="176"/>
      <c r="AW69" s="176"/>
      <c r="AX69" s="176"/>
      <c r="AY69" s="176"/>
      <c r="AZ69" s="176"/>
      <c r="BA69" s="176"/>
      <c r="BB69" s="176"/>
      <c r="BC69" s="176"/>
      <c r="BD69" s="176"/>
    </row>
    <row r="70" ht="15.75" customHeight="1">
      <c r="A70" s="176"/>
      <c r="B70" s="176"/>
      <c r="C70" s="176"/>
      <c r="D70" s="176"/>
      <c r="E70" s="176"/>
      <c r="F70" s="176"/>
      <c r="G70" s="178"/>
      <c r="H70" s="176"/>
      <c r="I70" s="176"/>
      <c r="J70" s="176"/>
      <c r="K70" s="176"/>
      <c r="L70" s="176"/>
      <c r="M70" s="176"/>
      <c r="N70" s="176"/>
      <c r="O70" s="176"/>
      <c r="P70" s="176"/>
      <c r="Q70" s="176"/>
      <c r="R70" s="176"/>
      <c r="S70" s="176"/>
      <c r="T70" s="176"/>
      <c r="U70" s="176"/>
      <c r="V70" s="176"/>
      <c r="W70" s="176"/>
      <c r="X70" s="176"/>
      <c r="Y70" s="176"/>
      <c r="Z70" s="176"/>
      <c r="AA70" s="176"/>
      <c r="AB70" s="176"/>
      <c r="AC70" s="176"/>
      <c r="AD70" s="176"/>
      <c r="AE70" s="176"/>
      <c r="AF70" s="176"/>
      <c r="AG70" s="176"/>
      <c r="AH70" s="176"/>
      <c r="AI70" s="176"/>
      <c r="AJ70" s="176"/>
      <c r="AK70" s="176"/>
      <c r="AL70" s="176"/>
      <c r="AM70" s="176"/>
      <c r="AN70" s="176"/>
      <c r="AO70" s="176"/>
      <c r="AP70" s="176"/>
      <c r="AQ70" s="176"/>
      <c r="AR70" s="176"/>
      <c r="AS70" s="176"/>
      <c r="AT70" s="176"/>
      <c r="AU70" s="176"/>
      <c r="AV70" s="176"/>
      <c r="AW70" s="176"/>
      <c r="AX70" s="176"/>
      <c r="AY70" s="176"/>
      <c r="AZ70" s="176"/>
      <c r="BA70" s="176"/>
      <c r="BB70" s="176"/>
      <c r="BC70" s="176"/>
      <c r="BD70" s="176"/>
    </row>
    <row r="71" ht="15.75" customHeight="1">
      <c r="A71" s="176"/>
      <c r="B71" s="176"/>
      <c r="C71" s="176"/>
      <c r="D71" s="176"/>
      <c r="E71" s="176"/>
      <c r="F71" s="176"/>
      <c r="G71" s="178"/>
      <c r="H71" s="176"/>
      <c r="I71" s="176"/>
      <c r="J71" s="176"/>
      <c r="K71" s="176"/>
      <c r="L71" s="176"/>
      <c r="M71" s="176"/>
      <c r="N71" s="176"/>
      <c r="O71" s="176"/>
      <c r="P71" s="176"/>
      <c r="Q71" s="176"/>
      <c r="R71" s="176"/>
      <c r="S71" s="176"/>
      <c r="T71" s="176"/>
      <c r="U71" s="176"/>
      <c r="V71" s="176"/>
      <c r="W71" s="176"/>
      <c r="X71" s="176"/>
      <c r="Y71" s="176"/>
      <c r="Z71" s="176"/>
      <c r="AA71" s="176"/>
      <c r="AB71" s="176"/>
      <c r="AC71" s="176"/>
      <c r="AD71" s="176"/>
      <c r="AE71" s="176"/>
      <c r="AF71" s="176"/>
      <c r="AG71" s="176"/>
      <c r="AH71" s="176"/>
      <c r="AI71" s="176"/>
      <c r="AJ71" s="176"/>
      <c r="AK71" s="176"/>
      <c r="AL71" s="176"/>
      <c r="AM71" s="176"/>
      <c r="AN71" s="176"/>
      <c r="AO71" s="176"/>
      <c r="AP71" s="176"/>
      <c r="AQ71" s="176"/>
      <c r="AR71" s="176"/>
      <c r="AS71" s="176"/>
      <c r="AT71" s="176"/>
      <c r="AU71" s="176"/>
      <c r="AV71" s="176"/>
      <c r="AW71" s="176"/>
      <c r="AX71" s="176"/>
      <c r="AY71" s="176"/>
      <c r="AZ71" s="176"/>
      <c r="BA71" s="176"/>
      <c r="BB71" s="176"/>
      <c r="BC71" s="176"/>
      <c r="BD71" s="176"/>
    </row>
    <row r="72" ht="15.75" customHeight="1">
      <c r="A72" s="176"/>
      <c r="B72" s="176"/>
      <c r="C72" s="176"/>
      <c r="D72" s="176"/>
      <c r="E72" s="176"/>
      <c r="F72" s="176"/>
      <c r="G72" s="178"/>
      <c r="H72" s="176"/>
      <c r="I72" s="176"/>
      <c r="J72" s="176"/>
      <c r="K72" s="176"/>
      <c r="L72" s="176"/>
      <c r="M72" s="176"/>
      <c r="N72" s="176"/>
      <c r="O72" s="176"/>
      <c r="P72" s="176"/>
      <c r="Q72" s="176"/>
      <c r="R72" s="176"/>
      <c r="S72" s="176"/>
      <c r="T72" s="176"/>
      <c r="U72" s="176"/>
      <c r="V72" s="176"/>
      <c r="W72" s="176"/>
      <c r="X72" s="176"/>
      <c r="Y72" s="176"/>
      <c r="Z72" s="176"/>
      <c r="AA72" s="176"/>
      <c r="AB72" s="176"/>
      <c r="AC72" s="176"/>
      <c r="AD72" s="176"/>
      <c r="AE72" s="176"/>
      <c r="AF72" s="176"/>
      <c r="AG72" s="176"/>
      <c r="AH72" s="176"/>
      <c r="AI72" s="176"/>
      <c r="AJ72" s="176"/>
      <c r="AK72" s="176"/>
      <c r="AL72" s="176"/>
      <c r="AM72" s="176"/>
      <c r="AN72" s="176"/>
      <c r="AO72" s="176"/>
      <c r="AP72" s="176"/>
      <c r="AQ72" s="176"/>
      <c r="AR72" s="176"/>
      <c r="AS72" s="176"/>
      <c r="AT72" s="176"/>
      <c r="AU72" s="176"/>
      <c r="AV72" s="176"/>
      <c r="AW72" s="176"/>
      <c r="AX72" s="176"/>
      <c r="AY72" s="176"/>
      <c r="AZ72" s="176"/>
      <c r="BA72" s="176"/>
      <c r="BB72" s="176"/>
      <c r="BC72" s="176"/>
      <c r="BD72" s="176"/>
    </row>
    <row r="73" ht="15.75" customHeight="1">
      <c r="A73" s="176"/>
      <c r="B73" s="176"/>
      <c r="C73" s="176"/>
      <c r="D73" s="176"/>
      <c r="E73" s="176"/>
      <c r="F73" s="176"/>
      <c r="G73" s="178"/>
      <c r="H73" s="176"/>
      <c r="I73" s="176"/>
      <c r="J73" s="176"/>
      <c r="K73" s="176"/>
      <c r="L73" s="176"/>
      <c r="M73" s="176"/>
      <c r="N73" s="176"/>
      <c r="O73" s="176"/>
      <c r="P73" s="176"/>
      <c r="Q73" s="176"/>
      <c r="R73" s="176"/>
      <c r="S73" s="176"/>
      <c r="T73" s="176"/>
      <c r="U73" s="176"/>
      <c r="V73" s="176"/>
      <c r="W73" s="176"/>
      <c r="X73" s="176"/>
      <c r="Y73" s="176"/>
      <c r="Z73" s="176"/>
      <c r="AA73" s="176"/>
      <c r="AB73" s="176"/>
      <c r="AC73" s="176"/>
      <c r="AD73" s="176"/>
      <c r="AE73" s="176"/>
      <c r="AF73" s="176"/>
      <c r="AG73" s="176"/>
      <c r="AH73" s="176"/>
      <c r="AI73" s="176"/>
      <c r="AJ73" s="176"/>
      <c r="AK73" s="176"/>
      <c r="AL73" s="176"/>
      <c r="AM73" s="176"/>
      <c r="AN73" s="176"/>
      <c r="AO73" s="176"/>
      <c r="AP73" s="176"/>
      <c r="AQ73" s="176"/>
      <c r="AR73" s="176"/>
      <c r="AS73" s="176"/>
      <c r="AT73" s="176"/>
      <c r="AU73" s="176"/>
      <c r="AV73" s="176"/>
      <c r="AW73" s="176"/>
      <c r="AX73" s="176"/>
      <c r="AY73" s="176"/>
      <c r="AZ73" s="176"/>
      <c r="BA73" s="176"/>
      <c r="BB73" s="176"/>
      <c r="BC73" s="176"/>
      <c r="BD73" s="176"/>
    </row>
    <row r="74" ht="15.75" customHeight="1">
      <c r="A74" s="176"/>
      <c r="B74" s="176"/>
      <c r="C74" s="176"/>
      <c r="D74" s="176"/>
      <c r="E74" s="176"/>
      <c r="F74" s="176"/>
      <c r="G74" s="178"/>
      <c r="H74" s="176"/>
      <c r="I74" s="176"/>
      <c r="J74" s="176"/>
      <c r="K74" s="176"/>
      <c r="L74" s="176"/>
      <c r="M74" s="176"/>
      <c r="N74" s="176"/>
      <c r="O74" s="176"/>
      <c r="P74" s="176"/>
      <c r="Q74" s="176"/>
      <c r="R74" s="176"/>
      <c r="S74" s="176"/>
      <c r="T74" s="176"/>
      <c r="U74" s="176"/>
      <c r="V74" s="176"/>
      <c r="W74" s="176"/>
      <c r="X74" s="176"/>
      <c r="Y74" s="176"/>
      <c r="Z74" s="176"/>
      <c r="AA74" s="176"/>
      <c r="AB74" s="176"/>
      <c r="AC74" s="176"/>
      <c r="AD74" s="176"/>
      <c r="AE74" s="176"/>
      <c r="AF74" s="176"/>
      <c r="AG74" s="176"/>
      <c r="AH74" s="176"/>
      <c r="AI74" s="176"/>
      <c r="AJ74" s="176"/>
      <c r="AK74" s="176"/>
      <c r="AL74" s="176"/>
      <c r="AM74" s="176"/>
      <c r="AN74" s="176"/>
      <c r="AO74" s="176"/>
      <c r="AP74" s="176"/>
      <c r="AQ74" s="176"/>
      <c r="AR74" s="176"/>
      <c r="AS74" s="176"/>
      <c r="AT74" s="176"/>
      <c r="AU74" s="176"/>
      <c r="AV74" s="176"/>
      <c r="AW74" s="176"/>
      <c r="AX74" s="176"/>
      <c r="AY74" s="176"/>
      <c r="AZ74" s="176"/>
      <c r="BA74" s="176"/>
      <c r="BB74" s="176"/>
      <c r="BC74" s="176"/>
      <c r="BD74" s="176"/>
    </row>
    <row r="75" ht="15.75" customHeight="1">
      <c r="A75" s="176"/>
      <c r="B75" s="176"/>
      <c r="C75" s="176"/>
      <c r="D75" s="176"/>
      <c r="E75" s="176"/>
      <c r="F75" s="176"/>
      <c r="G75" s="178"/>
      <c r="H75" s="176"/>
      <c r="I75" s="176"/>
      <c r="J75" s="176"/>
      <c r="K75" s="176"/>
      <c r="L75" s="176"/>
      <c r="M75" s="176"/>
      <c r="N75" s="176"/>
      <c r="O75" s="176"/>
      <c r="P75" s="176"/>
      <c r="Q75" s="176"/>
      <c r="R75" s="176"/>
      <c r="S75" s="176"/>
      <c r="T75" s="176"/>
      <c r="U75" s="176"/>
      <c r="V75" s="176"/>
      <c r="W75" s="176"/>
      <c r="X75" s="176"/>
      <c r="Y75" s="176"/>
      <c r="Z75" s="176"/>
      <c r="AA75" s="176"/>
      <c r="AB75" s="176"/>
      <c r="AC75" s="176"/>
      <c r="AD75" s="176"/>
      <c r="AE75" s="176"/>
      <c r="AF75" s="176"/>
      <c r="AG75" s="176"/>
      <c r="AH75" s="176"/>
      <c r="AI75" s="176"/>
      <c r="AJ75" s="176"/>
      <c r="AK75" s="176"/>
      <c r="AL75" s="176"/>
      <c r="AM75" s="176"/>
      <c r="AN75" s="176"/>
      <c r="AO75" s="176"/>
      <c r="AP75" s="176"/>
      <c r="AQ75" s="176"/>
      <c r="AR75" s="176"/>
      <c r="AS75" s="176"/>
      <c r="AT75" s="176"/>
      <c r="AU75" s="176"/>
      <c r="AV75" s="176"/>
      <c r="AW75" s="176"/>
      <c r="AX75" s="176"/>
      <c r="AY75" s="176"/>
      <c r="AZ75" s="176"/>
      <c r="BA75" s="176"/>
      <c r="BB75" s="176"/>
      <c r="BC75" s="176"/>
      <c r="BD75" s="176"/>
    </row>
    <row r="76" ht="15.75" customHeight="1">
      <c r="A76" s="176"/>
      <c r="B76" s="176"/>
      <c r="C76" s="176"/>
      <c r="D76" s="176"/>
      <c r="E76" s="176"/>
      <c r="F76" s="176"/>
      <c r="G76" s="178"/>
      <c r="H76" s="176"/>
      <c r="I76" s="176"/>
      <c r="J76" s="176"/>
      <c r="K76" s="176"/>
      <c r="L76" s="176"/>
      <c r="M76" s="176"/>
      <c r="N76" s="176"/>
      <c r="O76" s="176"/>
      <c r="P76" s="176"/>
      <c r="Q76" s="176"/>
      <c r="R76" s="176"/>
      <c r="S76" s="176"/>
      <c r="T76" s="176"/>
      <c r="U76" s="176"/>
      <c r="V76" s="176"/>
      <c r="W76" s="176"/>
      <c r="X76" s="176"/>
      <c r="Y76" s="176"/>
      <c r="Z76" s="176"/>
      <c r="AA76" s="176"/>
      <c r="AB76" s="176"/>
      <c r="AC76" s="176"/>
      <c r="AD76" s="176"/>
      <c r="AE76" s="176"/>
      <c r="AF76" s="176"/>
      <c r="AG76" s="176"/>
      <c r="AH76" s="176"/>
      <c r="AI76" s="176"/>
      <c r="AJ76" s="176"/>
      <c r="AK76" s="176"/>
      <c r="AL76" s="176"/>
      <c r="AM76" s="176"/>
      <c r="AN76" s="176"/>
      <c r="AO76" s="176"/>
      <c r="AP76" s="176"/>
      <c r="AQ76" s="176"/>
      <c r="AR76" s="176"/>
      <c r="AS76" s="176"/>
      <c r="AT76" s="176"/>
      <c r="AU76" s="176"/>
      <c r="AV76" s="176"/>
      <c r="AW76" s="176"/>
      <c r="AX76" s="176"/>
      <c r="AY76" s="176"/>
      <c r="AZ76" s="176"/>
      <c r="BA76" s="176"/>
      <c r="BB76" s="176"/>
      <c r="BC76" s="176"/>
      <c r="BD76" s="176"/>
    </row>
    <row r="77" ht="15.75" customHeight="1">
      <c r="A77" s="176"/>
      <c r="B77" s="176"/>
      <c r="C77" s="176"/>
      <c r="D77" s="176"/>
      <c r="E77" s="176"/>
      <c r="F77" s="176"/>
      <c r="G77" s="178"/>
      <c r="H77" s="176"/>
      <c r="I77" s="176"/>
      <c r="J77" s="176"/>
      <c r="K77" s="176"/>
      <c r="L77" s="176"/>
      <c r="M77" s="176"/>
      <c r="N77" s="176"/>
      <c r="O77" s="176"/>
      <c r="P77" s="176"/>
      <c r="Q77" s="176"/>
      <c r="R77" s="176"/>
      <c r="S77" s="176"/>
      <c r="T77" s="176"/>
      <c r="U77" s="176"/>
      <c r="V77" s="176"/>
      <c r="W77" s="176"/>
      <c r="X77" s="176"/>
      <c r="Y77" s="176"/>
      <c r="Z77" s="176"/>
      <c r="AA77" s="176"/>
      <c r="AB77" s="176"/>
      <c r="AC77" s="176"/>
      <c r="AD77" s="176"/>
      <c r="AE77" s="176"/>
      <c r="AF77" s="176"/>
      <c r="AG77" s="176"/>
      <c r="AH77" s="176"/>
      <c r="AI77" s="176"/>
      <c r="AJ77" s="176"/>
      <c r="AK77" s="176"/>
      <c r="AL77" s="176"/>
      <c r="AM77" s="176"/>
      <c r="AN77" s="176"/>
      <c r="AO77" s="176"/>
      <c r="AP77" s="176"/>
      <c r="AQ77" s="176"/>
      <c r="AR77" s="176"/>
      <c r="AS77" s="176"/>
      <c r="AT77" s="176"/>
      <c r="AU77" s="176"/>
      <c r="AV77" s="176"/>
      <c r="AW77" s="176"/>
      <c r="AX77" s="176"/>
      <c r="AY77" s="176"/>
      <c r="AZ77" s="176"/>
      <c r="BA77" s="176"/>
      <c r="BB77" s="176"/>
      <c r="BC77" s="176"/>
      <c r="BD77" s="176"/>
    </row>
    <row r="78" ht="15.75" customHeight="1">
      <c r="A78" s="176"/>
      <c r="B78" s="176"/>
      <c r="C78" s="176"/>
      <c r="D78" s="176"/>
      <c r="E78" s="176"/>
      <c r="F78" s="176"/>
      <c r="G78" s="178"/>
      <c r="H78" s="176"/>
      <c r="I78" s="176"/>
      <c r="J78" s="176"/>
      <c r="K78" s="176"/>
      <c r="L78" s="176"/>
      <c r="M78" s="176"/>
      <c r="N78" s="176"/>
      <c r="O78" s="176"/>
      <c r="P78" s="176"/>
      <c r="Q78" s="176"/>
      <c r="R78" s="176"/>
      <c r="S78" s="176"/>
      <c r="T78" s="176"/>
      <c r="U78" s="176"/>
      <c r="V78" s="176"/>
      <c r="W78" s="176"/>
      <c r="X78" s="176"/>
      <c r="Y78" s="176"/>
      <c r="Z78" s="176"/>
      <c r="AA78" s="176"/>
      <c r="AB78" s="176"/>
      <c r="AC78" s="176"/>
      <c r="AD78" s="176"/>
      <c r="AE78" s="176"/>
      <c r="AF78" s="176"/>
      <c r="AG78" s="176"/>
      <c r="AH78" s="176"/>
      <c r="AI78" s="176"/>
      <c r="AJ78" s="176"/>
      <c r="AK78" s="176"/>
      <c r="AL78" s="176"/>
      <c r="AM78" s="176"/>
      <c r="AN78" s="176"/>
      <c r="AO78" s="176"/>
      <c r="AP78" s="176"/>
      <c r="AQ78" s="176"/>
      <c r="AR78" s="176"/>
      <c r="AS78" s="176"/>
      <c r="AT78" s="176"/>
      <c r="AU78" s="176"/>
      <c r="AV78" s="176"/>
      <c r="AW78" s="176"/>
      <c r="AX78" s="176"/>
      <c r="AY78" s="176"/>
      <c r="AZ78" s="176"/>
      <c r="BA78" s="176"/>
      <c r="BB78" s="176"/>
      <c r="BC78" s="176"/>
      <c r="BD78" s="176"/>
    </row>
    <row r="79" ht="15.75" customHeight="1">
      <c r="A79" s="176"/>
      <c r="B79" s="176"/>
      <c r="C79" s="176"/>
      <c r="D79" s="176"/>
      <c r="E79" s="176"/>
      <c r="F79" s="176"/>
      <c r="G79" s="178"/>
      <c r="H79" s="176"/>
      <c r="I79" s="176"/>
      <c r="J79" s="176"/>
      <c r="K79" s="176"/>
      <c r="L79" s="176"/>
      <c r="M79" s="176"/>
      <c r="N79" s="176"/>
      <c r="O79" s="176"/>
      <c r="P79" s="176"/>
      <c r="Q79" s="176"/>
      <c r="R79" s="176"/>
      <c r="S79" s="176"/>
      <c r="T79" s="176"/>
      <c r="U79" s="176"/>
      <c r="V79" s="176"/>
      <c r="W79" s="176"/>
      <c r="X79" s="176"/>
      <c r="Y79" s="176"/>
      <c r="Z79" s="176"/>
      <c r="AA79" s="176"/>
      <c r="AB79" s="176"/>
      <c r="AC79" s="176"/>
      <c r="AD79" s="176"/>
      <c r="AE79" s="176"/>
      <c r="AF79" s="176"/>
      <c r="AG79" s="176"/>
      <c r="AH79" s="176"/>
      <c r="AI79" s="176"/>
      <c r="AJ79" s="176"/>
      <c r="AK79" s="176"/>
      <c r="AL79" s="176"/>
      <c r="AM79" s="176"/>
      <c r="AN79" s="176"/>
      <c r="AO79" s="176"/>
      <c r="AP79" s="176"/>
      <c r="AQ79" s="176"/>
      <c r="AR79" s="176"/>
      <c r="AS79" s="176"/>
      <c r="AT79" s="176"/>
      <c r="AU79" s="176"/>
      <c r="AV79" s="176"/>
      <c r="AW79" s="176"/>
      <c r="AX79" s="176"/>
      <c r="AY79" s="176"/>
      <c r="AZ79" s="176"/>
      <c r="BA79" s="176"/>
      <c r="BB79" s="176"/>
      <c r="BC79" s="176"/>
      <c r="BD79" s="176"/>
    </row>
    <row r="80" ht="15.75" customHeight="1">
      <c r="A80" s="176"/>
      <c r="B80" s="176"/>
      <c r="C80" s="176"/>
      <c r="D80" s="176"/>
      <c r="E80" s="176"/>
      <c r="F80" s="176"/>
      <c r="G80" s="178"/>
      <c r="H80" s="176"/>
      <c r="I80" s="176"/>
      <c r="J80" s="176"/>
      <c r="K80" s="176"/>
      <c r="L80" s="176"/>
      <c r="M80" s="176"/>
      <c r="N80" s="176"/>
      <c r="O80" s="176"/>
      <c r="P80" s="176"/>
      <c r="Q80" s="176"/>
      <c r="R80" s="176"/>
      <c r="S80" s="176"/>
      <c r="T80" s="176"/>
      <c r="U80" s="176"/>
      <c r="V80" s="176"/>
      <c r="W80" s="176"/>
      <c r="X80" s="176"/>
      <c r="Y80" s="176"/>
      <c r="Z80" s="176"/>
      <c r="AA80" s="176"/>
      <c r="AB80" s="176"/>
      <c r="AC80" s="176"/>
      <c r="AD80" s="176"/>
      <c r="AE80" s="176"/>
      <c r="AF80" s="176"/>
      <c r="AG80" s="176"/>
      <c r="AH80" s="176"/>
      <c r="AI80" s="176"/>
      <c r="AJ80" s="176"/>
      <c r="AK80" s="176"/>
      <c r="AL80" s="176"/>
      <c r="AM80" s="176"/>
      <c r="AN80" s="176"/>
      <c r="AO80" s="176"/>
      <c r="AP80" s="176"/>
      <c r="AQ80" s="176"/>
      <c r="AR80" s="176"/>
      <c r="AS80" s="176"/>
      <c r="AT80" s="176"/>
      <c r="AU80" s="176"/>
      <c r="AV80" s="176"/>
      <c r="AW80" s="176"/>
      <c r="AX80" s="176"/>
      <c r="AY80" s="176"/>
      <c r="AZ80" s="176"/>
      <c r="BA80" s="176"/>
      <c r="BB80" s="176"/>
      <c r="BC80" s="176"/>
      <c r="BD80" s="176"/>
    </row>
    <row r="81" ht="15.75" customHeight="1">
      <c r="A81" s="176"/>
      <c r="B81" s="176"/>
      <c r="C81" s="176"/>
      <c r="D81" s="176"/>
      <c r="E81" s="176"/>
      <c r="F81" s="176"/>
      <c r="G81" s="178"/>
      <c r="H81" s="176"/>
      <c r="I81" s="176"/>
      <c r="J81" s="176"/>
      <c r="K81" s="176"/>
      <c r="L81" s="176"/>
      <c r="M81" s="176"/>
      <c r="N81" s="176"/>
      <c r="O81" s="176"/>
      <c r="P81" s="176"/>
      <c r="Q81" s="176"/>
      <c r="R81" s="176"/>
      <c r="S81" s="176"/>
      <c r="T81" s="176"/>
      <c r="U81" s="176"/>
      <c r="V81" s="176"/>
      <c r="W81" s="176"/>
      <c r="X81" s="176"/>
      <c r="Y81" s="176"/>
      <c r="Z81" s="176"/>
      <c r="AA81" s="176"/>
      <c r="AB81" s="176"/>
      <c r="AC81" s="176"/>
      <c r="AD81" s="176"/>
      <c r="AE81" s="176"/>
      <c r="AF81" s="176"/>
      <c r="AG81" s="176"/>
      <c r="AH81" s="176"/>
      <c r="AI81" s="176"/>
      <c r="AJ81" s="176"/>
      <c r="AK81" s="176"/>
      <c r="AL81" s="176"/>
      <c r="AM81" s="176"/>
      <c r="AN81" s="176"/>
      <c r="AO81" s="176"/>
      <c r="AP81" s="176"/>
      <c r="AQ81" s="176"/>
      <c r="AR81" s="176"/>
      <c r="AS81" s="176"/>
      <c r="AT81" s="176"/>
      <c r="AU81" s="176"/>
      <c r="AV81" s="176"/>
      <c r="AW81" s="176"/>
      <c r="AX81" s="176"/>
      <c r="AY81" s="176"/>
      <c r="AZ81" s="176"/>
      <c r="BA81" s="176"/>
      <c r="BB81" s="176"/>
      <c r="BC81" s="176"/>
      <c r="BD81" s="176"/>
    </row>
    <row r="82" ht="15.75" customHeight="1">
      <c r="A82" s="176"/>
      <c r="B82" s="176"/>
      <c r="C82" s="176"/>
      <c r="D82" s="176"/>
      <c r="E82" s="176"/>
      <c r="F82" s="176"/>
      <c r="G82" s="178"/>
      <c r="H82" s="176"/>
      <c r="I82" s="176"/>
      <c r="J82" s="176"/>
      <c r="K82" s="176"/>
      <c r="L82" s="176"/>
      <c r="M82" s="176"/>
      <c r="N82" s="176"/>
      <c r="O82" s="176"/>
      <c r="P82" s="176"/>
      <c r="Q82" s="176"/>
      <c r="R82" s="176"/>
      <c r="S82" s="176"/>
      <c r="T82" s="176"/>
      <c r="U82" s="176"/>
      <c r="V82" s="176"/>
      <c r="W82" s="176"/>
      <c r="X82" s="176"/>
      <c r="Y82" s="176"/>
      <c r="Z82" s="176"/>
      <c r="AA82" s="176"/>
      <c r="AB82" s="176"/>
      <c r="AC82" s="176"/>
      <c r="AD82" s="176"/>
      <c r="AE82" s="176"/>
      <c r="AF82" s="176"/>
      <c r="AG82" s="176"/>
      <c r="AH82" s="176"/>
      <c r="AI82" s="176"/>
      <c r="AJ82" s="176"/>
      <c r="AK82" s="176"/>
      <c r="AL82" s="176"/>
      <c r="AM82" s="176"/>
      <c r="AN82" s="176"/>
      <c r="AO82" s="176"/>
      <c r="AP82" s="176"/>
      <c r="AQ82" s="176"/>
      <c r="AR82" s="176"/>
      <c r="AS82" s="176"/>
      <c r="AT82" s="176"/>
      <c r="AU82" s="176"/>
      <c r="AV82" s="176"/>
      <c r="AW82" s="176"/>
      <c r="AX82" s="176"/>
      <c r="AY82" s="176"/>
      <c r="AZ82" s="176"/>
      <c r="BA82" s="176"/>
      <c r="BB82" s="176"/>
      <c r="BC82" s="176"/>
      <c r="BD82" s="176"/>
    </row>
    <row r="83" ht="15.75" customHeight="1">
      <c r="A83" s="176"/>
      <c r="B83" s="176"/>
      <c r="C83" s="176"/>
      <c r="D83" s="176"/>
      <c r="E83" s="176"/>
      <c r="F83" s="176"/>
      <c r="G83" s="178"/>
      <c r="H83" s="176"/>
      <c r="I83" s="176"/>
      <c r="J83" s="176"/>
      <c r="K83" s="176"/>
      <c r="L83" s="176"/>
      <c r="M83" s="176"/>
      <c r="N83" s="176"/>
      <c r="O83" s="176"/>
      <c r="P83" s="176"/>
      <c r="Q83" s="176"/>
      <c r="R83" s="176"/>
      <c r="S83" s="176"/>
      <c r="T83" s="176"/>
      <c r="U83" s="176"/>
      <c r="V83" s="176"/>
      <c r="W83" s="176"/>
      <c r="X83" s="176"/>
      <c r="Y83" s="176"/>
      <c r="Z83" s="176"/>
      <c r="AA83" s="176"/>
      <c r="AB83" s="176"/>
      <c r="AC83" s="176"/>
      <c r="AD83" s="176"/>
      <c r="AE83" s="176"/>
      <c r="AF83" s="176"/>
      <c r="AG83" s="176"/>
      <c r="AH83" s="176"/>
      <c r="AI83" s="176"/>
      <c r="AJ83" s="176"/>
      <c r="AK83" s="176"/>
      <c r="AL83" s="176"/>
      <c r="AM83" s="176"/>
      <c r="AN83" s="176"/>
      <c r="AO83" s="176"/>
      <c r="AP83" s="176"/>
      <c r="AQ83" s="176"/>
      <c r="AR83" s="176"/>
      <c r="AS83" s="176"/>
      <c r="AT83" s="176"/>
      <c r="AU83" s="176"/>
      <c r="AV83" s="176"/>
      <c r="AW83" s="176"/>
      <c r="AX83" s="176"/>
      <c r="AY83" s="176"/>
      <c r="AZ83" s="176"/>
      <c r="BA83" s="176"/>
      <c r="BB83" s="176"/>
      <c r="BC83" s="176"/>
      <c r="BD83" s="176"/>
    </row>
    <row r="84" ht="15.75" customHeight="1">
      <c r="A84" s="176"/>
      <c r="B84" s="176"/>
      <c r="C84" s="176"/>
      <c r="D84" s="176"/>
      <c r="E84" s="176"/>
      <c r="F84" s="176"/>
      <c r="G84" s="178"/>
      <c r="H84" s="176"/>
      <c r="I84" s="176"/>
      <c r="J84" s="176"/>
      <c r="K84" s="176"/>
      <c r="L84" s="176"/>
      <c r="M84" s="176"/>
      <c r="N84" s="176"/>
      <c r="O84" s="176"/>
      <c r="P84" s="176"/>
      <c r="Q84" s="176"/>
      <c r="R84" s="176"/>
      <c r="S84" s="176"/>
      <c r="T84" s="176"/>
      <c r="U84" s="176"/>
      <c r="V84" s="176"/>
      <c r="W84" s="176"/>
      <c r="X84" s="176"/>
      <c r="Y84" s="176"/>
      <c r="Z84" s="176"/>
      <c r="AA84" s="176"/>
      <c r="AB84" s="176"/>
      <c r="AC84" s="176"/>
      <c r="AD84" s="176"/>
      <c r="AE84" s="176"/>
      <c r="AF84" s="176"/>
      <c r="AG84" s="176"/>
      <c r="AH84" s="176"/>
      <c r="AI84" s="176"/>
      <c r="AJ84" s="176"/>
      <c r="AK84" s="176"/>
      <c r="AL84" s="176"/>
      <c r="AM84" s="176"/>
      <c r="AN84" s="176"/>
      <c r="AO84" s="176"/>
      <c r="AP84" s="176"/>
      <c r="AQ84" s="176"/>
      <c r="AR84" s="176"/>
      <c r="AS84" s="176"/>
      <c r="AT84" s="176"/>
      <c r="AU84" s="176"/>
      <c r="AV84" s="176"/>
      <c r="AW84" s="176"/>
      <c r="AX84" s="176"/>
      <c r="AY84" s="176"/>
      <c r="AZ84" s="176"/>
      <c r="BA84" s="176"/>
      <c r="BB84" s="176"/>
      <c r="BC84" s="176"/>
      <c r="BD84" s="176"/>
    </row>
    <row r="85" ht="15.75" customHeight="1">
      <c r="A85" s="176"/>
      <c r="B85" s="176"/>
      <c r="C85" s="176"/>
      <c r="D85" s="176"/>
      <c r="E85" s="176"/>
      <c r="F85" s="176"/>
      <c r="G85" s="178"/>
      <c r="H85" s="176"/>
      <c r="I85" s="176"/>
      <c r="J85" s="176"/>
      <c r="K85" s="176"/>
      <c r="L85" s="176"/>
      <c r="M85" s="176"/>
      <c r="N85" s="176"/>
      <c r="O85" s="176"/>
      <c r="P85" s="176"/>
      <c r="Q85" s="176"/>
      <c r="R85" s="176"/>
      <c r="S85" s="176"/>
      <c r="T85" s="176"/>
      <c r="U85" s="176"/>
      <c r="V85" s="176"/>
      <c r="W85" s="176"/>
      <c r="X85" s="176"/>
      <c r="Y85" s="176"/>
      <c r="Z85" s="176"/>
      <c r="AA85" s="176"/>
      <c r="AB85" s="176"/>
      <c r="AC85" s="176"/>
      <c r="AD85" s="176"/>
      <c r="AE85" s="176"/>
      <c r="AF85" s="176"/>
      <c r="AG85" s="176"/>
      <c r="AH85" s="176"/>
      <c r="AI85" s="176"/>
      <c r="AJ85" s="176"/>
      <c r="AK85" s="176"/>
      <c r="AL85" s="176"/>
      <c r="AM85" s="176"/>
      <c r="AN85" s="176"/>
      <c r="AO85" s="176"/>
      <c r="AP85" s="176"/>
      <c r="AQ85" s="176"/>
      <c r="AR85" s="176"/>
      <c r="AS85" s="176"/>
      <c r="AT85" s="176"/>
      <c r="AU85" s="176"/>
      <c r="AV85" s="176"/>
      <c r="AW85" s="176"/>
      <c r="AX85" s="176"/>
      <c r="AY85" s="176"/>
      <c r="AZ85" s="176"/>
      <c r="BA85" s="176"/>
      <c r="BB85" s="176"/>
      <c r="BC85" s="176"/>
      <c r="BD85" s="176"/>
    </row>
    <row r="86" ht="15.75" customHeight="1">
      <c r="A86" s="176"/>
      <c r="B86" s="176"/>
      <c r="C86" s="176"/>
      <c r="D86" s="176"/>
      <c r="E86" s="176"/>
      <c r="F86" s="176"/>
      <c r="G86" s="178"/>
      <c r="H86" s="176"/>
      <c r="I86" s="176"/>
      <c r="J86" s="176"/>
      <c r="K86" s="176"/>
      <c r="L86" s="176"/>
      <c r="M86" s="176"/>
      <c r="N86" s="176"/>
      <c r="O86" s="176"/>
      <c r="P86" s="176"/>
      <c r="Q86" s="176"/>
      <c r="R86" s="176"/>
      <c r="S86" s="176"/>
      <c r="T86" s="176"/>
      <c r="U86" s="176"/>
      <c r="V86" s="176"/>
      <c r="W86" s="176"/>
      <c r="X86" s="176"/>
      <c r="Y86" s="176"/>
      <c r="Z86" s="176"/>
      <c r="AA86" s="176"/>
      <c r="AB86" s="176"/>
      <c r="AC86" s="176"/>
      <c r="AD86" s="176"/>
      <c r="AE86" s="176"/>
      <c r="AF86" s="176"/>
      <c r="AG86" s="176"/>
      <c r="AH86" s="176"/>
      <c r="AI86" s="176"/>
      <c r="AJ86" s="176"/>
      <c r="AK86" s="176"/>
      <c r="AL86" s="176"/>
      <c r="AM86" s="176"/>
      <c r="AN86" s="176"/>
      <c r="AO86" s="176"/>
      <c r="AP86" s="176"/>
      <c r="AQ86" s="176"/>
      <c r="AR86" s="176"/>
      <c r="AS86" s="176"/>
      <c r="AT86" s="176"/>
      <c r="AU86" s="176"/>
      <c r="AV86" s="176"/>
      <c r="AW86" s="176"/>
      <c r="AX86" s="176"/>
      <c r="AY86" s="176"/>
      <c r="AZ86" s="176"/>
      <c r="BA86" s="176"/>
      <c r="BB86" s="176"/>
      <c r="BC86" s="176"/>
      <c r="BD86" s="176"/>
    </row>
    <row r="87" ht="15.75" customHeight="1">
      <c r="A87" s="176"/>
      <c r="B87" s="176"/>
      <c r="C87" s="176"/>
      <c r="D87" s="176"/>
      <c r="E87" s="176"/>
      <c r="F87" s="176"/>
      <c r="G87" s="178"/>
      <c r="H87" s="176"/>
      <c r="I87" s="176"/>
      <c r="J87" s="176"/>
      <c r="K87" s="176"/>
      <c r="L87" s="176"/>
      <c r="M87" s="176"/>
      <c r="N87" s="176"/>
      <c r="O87" s="176"/>
      <c r="P87" s="176"/>
      <c r="Q87" s="176"/>
      <c r="R87" s="176"/>
      <c r="S87" s="176"/>
      <c r="T87" s="176"/>
      <c r="U87" s="176"/>
      <c r="V87" s="176"/>
      <c r="W87" s="176"/>
      <c r="X87" s="176"/>
      <c r="Y87" s="176"/>
      <c r="Z87" s="176"/>
      <c r="AA87" s="176"/>
      <c r="AB87" s="176"/>
      <c r="AC87" s="176"/>
      <c r="AD87" s="176"/>
      <c r="AE87" s="176"/>
      <c r="AF87" s="176"/>
      <c r="AG87" s="176"/>
      <c r="AH87" s="176"/>
      <c r="AI87" s="176"/>
      <c r="AJ87" s="176"/>
      <c r="AK87" s="176"/>
      <c r="AL87" s="176"/>
      <c r="AM87" s="176"/>
      <c r="AN87" s="176"/>
      <c r="AO87" s="176"/>
      <c r="AP87" s="176"/>
      <c r="AQ87" s="176"/>
      <c r="AR87" s="176"/>
      <c r="AS87" s="176"/>
      <c r="AT87" s="176"/>
      <c r="AU87" s="176"/>
      <c r="AV87" s="176"/>
      <c r="AW87" s="176"/>
      <c r="AX87" s="176"/>
      <c r="AY87" s="176"/>
      <c r="AZ87" s="176"/>
      <c r="BA87" s="176"/>
      <c r="BB87" s="176"/>
      <c r="BC87" s="176"/>
      <c r="BD87" s="176"/>
    </row>
    <row r="88" ht="15.75" customHeight="1">
      <c r="A88" s="176"/>
      <c r="B88" s="176"/>
      <c r="C88" s="176"/>
      <c r="D88" s="176"/>
      <c r="E88" s="176"/>
      <c r="F88" s="176"/>
      <c r="G88" s="178"/>
      <c r="H88" s="176"/>
      <c r="I88" s="176"/>
      <c r="J88" s="176"/>
      <c r="K88" s="176"/>
      <c r="L88" s="176"/>
      <c r="M88" s="176"/>
      <c r="N88" s="176"/>
      <c r="O88" s="176"/>
      <c r="P88" s="176"/>
      <c r="Q88" s="176"/>
      <c r="R88" s="176"/>
      <c r="S88" s="176"/>
      <c r="T88" s="176"/>
      <c r="U88" s="176"/>
      <c r="V88" s="176"/>
      <c r="W88" s="176"/>
      <c r="X88" s="176"/>
      <c r="Y88" s="176"/>
      <c r="Z88" s="176"/>
      <c r="AA88" s="176"/>
      <c r="AB88" s="176"/>
      <c r="AC88" s="176"/>
      <c r="AD88" s="176"/>
      <c r="AE88" s="176"/>
      <c r="AF88" s="176"/>
      <c r="AG88" s="176"/>
      <c r="AH88" s="176"/>
      <c r="AI88" s="176"/>
      <c r="AJ88" s="176"/>
      <c r="AK88" s="176"/>
      <c r="AL88" s="176"/>
      <c r="AM88" s="176"/>
      <c r="AN88" s="176"/>
      <c r="AO88" s="176"/>
      <c r="AP88" s="176"/>
      <c r="AQ88" s="176"/>
      <c r="AR88" s="176"/>
      <c r="AS88" s="176"/>
      <c r="AT88" s="176"/>
      <c r="AU88" s="176"/>
      <c r="AV88" s="176"/>
      <c r="AW88" s="176"/>
      <c r="AX88" s="176"/>
      <c r="AY88" s="176"/>
      <c r="AZ88" s="176"/>
      <c r="BA88" s="176"/>
      <c r="BB88" s="176"/>
      <c r="BC88" s="176"/>
      <c r="BD88" s="176"/>
    </row>
    <row r="89" ht="15.75" customHeight="1">
      <c r="A89" s="176"/>
      <c r="B89" s="176"/>
      <c r="C89" s="176"/>
      <c r="D89" s="176"/>
      <c r="E89" s="176"/>
      <c r="F89" s="176"/>
      <c r="G89" s="178"/>
      <c r="H89" s="176"/>
      <c r="I89" s="176"/>
      <c r="J89" s="176"/>
      <c r="K89" s="176"/>
      <c r="L89" s="176"/>
      <c r="M89" s="176"/>
      <c r="N89" s="176"/>
      <c r="O89" s="176"/>
      <c r="P89" s="176"/>
      <c r="Q89" s="176"/>
      <c r="R89" s="176"/>
      <c r="S89" s="176"/>
      <c r="T89" s="176"/>
      <c r="U89" s="176"/>
      <c r="V89" s="176"/>
      <c r="W89" s="176"/>
      <c r="X89" s="176"/>
      <c r="Y89" s="176"/>
      <c r="Z89" s="176"/>
      <c r="AA89" s="176"/>
      <c r="AB89" s="176"/>
      <c r="AC89" s="176"/>
      <c r="AD89" s="176"/>
      <c r="AE89" s="176"/>
      <c r="AF89" s="176"/>
      <c r="AG89" s="176"/>
      <c r="AH89" s="176"/>
      <c r="AI89" s="176"/>
      <c r="AJ89" s="176"/>
      <c r="AK89" s="176"/>
      <c r="AL89" s="176"/>
      <c r="AM89" s="176"/>
      <c r="AN89" s="176"/>
      <c r="AO89" s="176"/>
      <c r="AP89" s="176"/>
      <c r="AQ89" s="176"/>
      <c r="AR89" s="176"/>
      <c r="AS89" s="176"/>
      <c r="AT89" s="176"/>
      <c r="AU89" s="176"/>
      <c r="AV89" s="176"/>
      <c r="AW89" s="176"/>
      <c r="AX89" s="176"/>
      <c r="AY89" s="176"/>
      <c r="AZ89" s="176"/>
      <c r="BA89" s="176"/>
      <c r="BB89" s="176"/>
      <c r="BC89" s="176"/>
      <c r="BD89" s="176"/>
    </row>
    <row r="90" ht="15.75" customHeight="1">
      <c r="A90" s="176"/>
      <c r="B90" s="176"/>
      <c r="C90" s="176"/>
      <c r="D90" s="176"/>
      <c r="E90" s="176"/>
      <c r="F90" s="176"/>
      <c r="G90" s="178"/>
      <c r="H90" s="176"/>
      <c r="I90" s="176"/>
      <c r="J90" s="176"/>
      <c r="K90" s="176"/>
      <c r="L90" s="176"/>
      <c r="M90" s="176"/>
      <c r="N90" s="176"/>
      <c r="O90" s="176"/>
      <c r="P90" s="176"/>
      <c r="Q90" s="176"/>
      <c r="R90" s="176"/>
      <c r="S90" s="176"/>
      <c r="T90" s="176"/>
      <c r="U90" s="176"/>
      <c r="V90" s="176"/>
      <c r="W90" s="176"/>
      <c r="X90" s="176"/>
      <c r="Y90" s="176"/>
      <c r="Z90" s="176"/>
      <c r="AA90" s="176"/>
      <c r="AB90" s="176"/>
      <c r="AC90" s="176"/>
      <c r="AD90" s="176"/>
      <c r="AE90" s="176"/>
      <c r="AF90" s="176"/>
      <c r="AG90" s="176"/>
      <c r="AH90" s="176"/>
      <c r="AI90" s="176"/>
      <c r="AJ90" s="176"/>
      <c r="AK90" s="176"/>
      <c r="AL90" s="176"/>
      <c r="AM90" s="176"/>
      <c r="AN90" s="176"/>
      <c r="AO90" s="176"/>
      <c r="AP90" s="176"/>
      <c r="AQ90" s="176"/>
      <c r="AR90" s="176"/>
      <c r="AS90" s="176"/>
      <c r="AT90" s="176"/>
      <c r="AU90" s="176"/>
      <c r="AV90" s="176"/>
      <c r="AW90" s="176"/>
      <c r="AX90" s="176"/>
      <c r="AY90" s="176"/>
      <c r="AZ90" s="176"/>
      <c r="BA90" s="176"/>
      <c r="BB90" s="176"/>
      <c r="BC90" s="176"/>
      <c r="BD90" s="176"/>
    </row>
    <row r="91" ht="15.75" customHeight="1">
      <c r="A91" s="176"/>
      <c r="B91" s="176"/>
      <c r="C91" s="176"/>
      <c r="D91" s="176"/>
      <c r="E91" s="176"/>
      <c r="F91" s="176"/>
      <c r="G91" s="178"/>
      <c r="H91" s="176"/>
      <c r="I91" s="176"/>
      <c r="J91" s="176"/>
      <c r="K91" s="176"/>
      <c r="L91" s="176"/>
      <c r="M91" s="176"/>
      <c r="N91" s="176"/>
      <c r="O91" s="176"/>
      <c r="P91" s="176"/>
      <c r="Q91" s="176"/>
      <c r="R91" s="176"/>
      <c r="S91" s="176"/>
      <c r="T91" s="176"/>
      <c r="U91" s="176"/>
      <c r="V91" s="176"/>
      <c r="W91" s="176"/>
      <c r="X91" s="176"/>
      <c r="Y91" s="176"/>
      <c r="Z91" s="176"/>
      <c r="AA91" s="176"/>
      <c r="AB91" s="176"/>
      <c r="AC91" s="176"/>
      <c r="AD91" s="176"/>
      <c r="AE91" s="176"/>
      <c r="AF91" s="176"/>
      <c r="AG91" s="176"/>
      <c r="AH91" s="176"/>
      <c r="AI91" s="176"/>
      <c r="AJ91" s="176"/>
      <c r="AK91" s="176"/>
      <c r="AL91" s="176"/>
      <c r="AM91" s="176"/>
      <c r="AN91" s="176"/>
      <c r="AO91" s="176"/>
      <c r="AP91" s="176"/>
      <c r="AQ91" s="176"/>
      <c r="AR91" s="176"/>
      <c r="AS91" s="176"/>
      <c r="AT91" s="176"/>
      <c r="AU91" s="176"/>
      <c r="AV91" s="176"/>
      <c r="AW91" s="176"/>
      <c r="AX91" s="176"/>
      <c r="AY91" s="176"/>
      <c r="AZ91" s="176"/>
      <c r="BA91" s="176"/>
      <c r="BB91" s="176"/>
      <c r="BC91" s="176"/>
      <c r="BD91" s="176"/>
    </row>
    <row r="92" ht="15.75" customHeight="1">
      <c r="A92" s="176"/>
      <c r="B92" s="176"/>
      <c r="C92" s="176"/>
      <c r="D92" s="176"/>
      <c r="E92" s="176"/>
      <c r="F92" s="176"/>
      <c r="G92" s="178"/>
      <c r="H92" s="176"/>
      <c r="I92" s="176"/>
      <c r="J92" s="176"/>
      <c r="K92" s="176"/>
      <c r="L92" s="176"/>
      <c r="M92" s="176"/>
      <c r="N92" s="176"/>
      <c r="O92" s="176"/>
      <c r="P92" s="176"/>
      <c r="Q92" s="176"/>
      <c r="R92" s="176"/>
      <c r="S92" s="176"/>
      <c r="T92" s="176"/>
      <c r="U92" s="176"/>
      <c r="V92" s="176"/>
      <c r="W92" s="176"/>
      <c r="X92" s="176"/>
      <c r="Y92" s="176"/>
      <c r="Z92" s="176"/>
      <c r="AA92" s="176"/>
      <c r="AB92" s="176"/>
      <c r="AC92" s="176"/>
      <c r="AD92" s="176"/>
      <c r="AE92" s="176"/>
      <c r="AF92" s="176"/>
      <c r="AG92" s="176"/>
      <c r="AH92" s="176"/>
      <c r="AI92" s="176"/>
      <c r="AJ92" s="176"/>
      <c r="AK92" s="176"/>
      <c r="AL92" s="176"/>
      <c r="AM92" s="176"/>
      <c r="AN92" s="176"/>
      <c r="AO92" s="176"/>
      <c r="AP92" s="176"/>
      <c r="AQ92" s="176"/>
      <c r="AR92" s="176"/>
      <c r="AS92" s="176"/>
      <c r="AT92" s="176"/>
      <c r="AU92" s="176"/>
      <c r="AV92" s="176"/>
      <c r="AW92" s="176"/>
      <c r="AX92" s="176"/>
      <c r="AY92" s="176"/>
      <c r="AZ92" s="176"/>
      <c r="BA92" s="176"/>
      <c r="BB92" s="176"/>
      <c r="BC92" s="176"/>
      <c r="BD92" s="176"/>
    </row>
    <row r="93" ht="15.75" customHeight="1">
      <c r="A93" s="176"/>
      <c r="B93" s="176"/>
      <c r="C93" s="176"/>
      <c r="D93" s="176"/>
      <c r="E93" s="176"/>
      <c r="F93" s="176"/>
      <c r="G93" s="178"/>
      <c r="H93" s="176"/>
      <c r="I93" s="176"/>
      <c r="J93" s="176"/>
      <c r="K93" s="176"/>
      <c r="L93" s="176"/>
      <c r="M93" s="176"/>
      <c r="N93" s="176"/>
      <c r="O93" s="176"/>
      <c r="P93" s="176"/>
      <c r="Q93" s="176"/>
      <c r="R93" s="176"/>
      <c r="S93" s="176"/>
      <c r="T93" s="176"/>
      <c r="U93" s="176"/>
      <c r="V93" s="176"/>
      <c r="W93" s="176"/>
      <c r="X93" s="176"/>
      <c r="Y93" s="176"/>
      <c r="Z93" s="176"/>
      <c r="AA93" s="176"/>
      <c r="AB93" s="176"/>
      <c r="AC93" s="176"/>
      <c r="AD93" s="176"/>
      <c r="AE93" s="176"/>
      <c r="AF93" s="176"/>
      <c r="AG93" s="176"/>
      <c r="AH93" s="176"/>
      <c r="AI93" s="176"/>
      <c r="AJ93" s="176"/>
      <c r="AK93" s="176"/>
      <c r="AL93" s="176"/>
      <c r="AM93" s="176"/>
      <c r="AN93" s="176"/>
      <c r="AO93" s="176"/>
      <c r="AP93" s="176"/>
      <c r="AQ93" s="176"/>
      <c r="AR93" s="176"/>
      <c r="AS93" s="176"/>
      <c r="AT93" s="176"/>
      <c r="AU93" s="176"/>
      <c r="AV93" s="176"/>
      <c r="AW93" s="176"/>
      <c r="AX93" s="176"/>
      <c r="AY93" s="176"/>
      <c r="AZ93" s="176"/>
      <c r="BA93" s="176"/>
      <c r="BB93" s="176"/>
      <c r="BC93" s="176"/>
      <c r="BD93" s="176"/>
    </row>
    <row r="94" ht="15.75" customHeight="1">
      <c r="A94" s="176"/>
      <c r="B94" s="176"/>
      <c r="C94" s="176"/>
      <c r="D94" s="176"/>
      <c r="E94" s="176"/>
      <c r="F94" s="176"/>
      <c r="G94" s="178"/>
      <c r="H94" s="176"/>
      <c r="I94" s="176"/>
      <c r="J94" s="176"/>
      <c r="K94" s="176"/>
      <c r="L94" s="176"/>
      <c r="M94" s="176"/>
      <c r="N94" s="176"/>
      <c r="O94" s="176"/>
      <c r="P94" s="176"/>
      <c r="Q94" s="176"/>
      <c r="R94" s="176"/>
      <c r="S94" s="176"/>
      <c r="T94" s="176"/>
      <c r="U94" s="176"/>
      <c r="V94" s="176"/>
      <c r="W94" s="176"/>
      <c r="X94" s="176"/>
      <c r="Y94" s="176"/>
      <c r="Z94" s="176"/>
      <c r="AA94" s="176"/>
      <c r="AB94" s="176"/>
      <c r="AC94" s="176"/>
      <c r="AD94" s="176"/>
      <c r="AE94" s="176"/>
      <c r="AF94" s="176"/>
      <c r="AG94" s="176"/>
      <c r="AH94" s="176"/>
      <c r="AI94" s="176"/>
      <c r="AJ94" s="176"/>
      <c r="AK94" s="176"/>
      <c r="AL94" s="176"/>
      <c r="AM94" s="176"/>
      <c r="AN94" s="176"/>
      <c r="AO94" s="176"/>
      <c r="AP94" s="176"/>
      <c r="AQ94" s="176"/>
      <c r="AR94" s="176"/>
      <c r="AS94" s="176"/>
      <c r="AT94" s="176"/>
      <c r="AU94" s="176"/>
      <c r="AV94" s="176"/>
      <c r="AW94" s="176"/>
      <c r="AX94" s="176"/>
      <c r="AY94" s="176"/>
      <c r="AZ94" s="176"/>
      <c r="BA94" s="176"/>
      <c r="BB94" s="176"/>
      <c r="BC94" s="176"/>
      <c r="BD94" s="176"/>
    </row>
    <row r="95" ht="15.75" customHeight="1">
      <c r="A95" s="176"/>
      <c r="B95" s="176"/>
      <c r="C95" s="176"/>
      <c r="D95" s="176"/>
      <c r="E95" s="176"/>
      <c r="F95" s="176"/>
      <c r="G95" s="178"/>
      <c r="H95" s="176"/>
      <c r="I95" s="176"/>
      <c r="J95" s="176"/>
      <c r="K95" s="176"/>
      <c r="L95" s="176"/>
      <c r="M95" s="176"/>
      <c r="N95" s="176"/>
      <c r="O95" s="176"/>
      <c r="P95" s="176"/>
      <c r="Q95" s="176"/>
      <c r="R95" s="176"/>
      <c r="S95" s="176"/>
      <c r="T95" s="176"/>
      <c r="U95" s="176"/>
      <c r="V95" s="176"/>
      <c r="W95" s="176"/>
      <c r="X95" s="176"/>
      <c r="Y95" s="176"/>
      <c r="Z95" s="176"/>
      <c r="AA95" s="176"/>
      <c r="AB95" s="176"/>
      <c r="AC95" s="176"/>
      <c r="AD95" s="176"/>
      <c r="AE95" s="176"/>
      <c r="AF95" s="176"/>
      <c r="AG95" s="176"/>
      <c r="AH95" s="176"/>
      <c r="AI95" s="176"/>
      <c r="AJ95" s="176"/>
      <c r="AK95" s="176"/>
      <c r="AL95" s="176"/>
      <c r="AM95" s="176"/>
      <c r="AN95" s="176"/>
      <c r="AO95" s="176"/>
      <c r="AP95" s="176"/>
      <c r="AQ95" s="176"/>
      <c r="AR95" s="176"/>
      <c r="AS95" s="176"/>
      <c r="AT95" s="176"/>
      <c r="AU95" s="176"/>
      <c r="AV95" s="176"/>
      <c r="AW95" s="176"/>
      <c r="AX95" s="176"/>
      <c r="AY95" s="176"/>
      <c r="AZ95" s="176"/>
      <c r="BA95" s="176"/>
      <c r="BB95" s="176"/>
      <c r="BC95" s="176"/>
      <c r="BD95" s="176"/>
    </row>
    <row r="96" ht="15.75" customHeight="1">
      <c r="A96" s="176"/>
      <c r="B96" s="176"/>
      <c r="C96" s="176"/>
      <c r="D96" s="176"/>
      <c r="E96" s="176"/>
      <c r="F96" s="176"/>
      <c r="G96" s="178"/>
      <c r="H96" s="176"/>
      <c r="I96" s="176"/>
      <c r="J96" s="176"/>
      <c r="K96" s="176"/>
      <c r="L96" s="176"/>
      <c r="M96" s="176"/>
      <c r="N96" s="176"/>
      <c r="O96" s="176"/>
      <c r="P96" s="176"/>
      <c r="Q96" s="176"/>
      <c r="R96" s="176"/>
      <c r="S96" s="176"/>
      <c r="T96" s="176"/>
      <c r="U96" s="176"/>
      <c r="V96" s="176"/>
      <c r="W96" s="176"/>
      <c r="X96" s="176"/>
      <c r="Y96" s="176"/>
      <c r="Z96" s="176"/>
      <c r="AA96" s="176"/>
      <c r="AB96" s="176"/>
      <c r="AC96" s="176"/>
      <c r="AD96" s="176"/>
      <c r="AE96" s="176"/>
      <c r="AF96" s="176"/>
      <c r="AG96" s="176"/>
      <c r="AH96" s="176"/>
      <c r="AI96" s="176"/>
      <c r="AJ96" s="176"/>
      <c r="AK96" s="176"/>
      <c r="AL96" s="176"/>
      <c r="AM96" s="176"/>
      <c r="AN96" s="176"/>
      <c r="AO96" s="176"/>
      <c r="AP96" s="176"/>
      <c r="AQ96" s="176"/>
      <c r="AR96" s="176"/>
      <c r="AS96" s="176"/>
      <c r="AT96" s="176"/>
      <c r="AU96" s="176"/>
      <c r="AV96" s="176"/>
      <c r="AW96" s="176"/>
      <c r="AX96" s="176"/>
      <c r="AY96" s="176"/>
      <c r="AZ96" s="176"/>
      <c r="BA96" s="176"/>
      <c r="BB96" s="176"/>
      <c r="BC96" s="176"/>
      <c r="BD96" s="176"/>
    </row>
    <row r="97" ht="15.75" customHeight="1">
      <c r="A97" s="176"/>
      <c r="B97" s="176"/>
      <c r="C97" s="176"/>
      <c r="D97" s="176"/>
      <c r="E97" s="176"/>
      <c r="F97" s="176"/>
      <c r="G97" s="178"/>
      <c r="H97" s="176"/>
      <c r="I97" s="176"/>
      <c r="J97" s="176"/>
      <c r="K97" s="176"/>
      <c r="L97" s="176"/>
      <c r="M97" s="176"/>
      <c r="N97" s="176"/>
      <c r="O97" s="176"/>
      <c r="P97" s="176"/>
      <c r="Q97" s="176"/>
      <c r="R97" s="176"/>
      <c r="S97" s="176"/>
      <c r="T97" s="176"/>
      <c r="U97" s="176"/>
      <c r="V97" s="176"/>
      <c r="W97" s="176"/>
      <c r="X97" s="176"/>
      <c r="Y97" s="176"/>
      <c r="Z97" s="176"/>
      <c r="AA97" s="176"/>
      <c r="AB97" s="176"/>
      <c r="AC97" s="176"/>
      <c r="AD97" s="176"/>
      <c r="AE97" s="176"/>
      <c r="AF97" s="176"/>
      <c r="AG97" s="176"/>
      <c r="AH97" s="176"/>
      <c r="AI97" s="176"/>
      <c r="AJ97" s="176"/>
      <c r="AK97" s="176"/>
      <c r="AL97" s="176"/>
      <c r="AM97" s="176"/>
      <c r="AN97" s="176"/>
      <c r="AO97" s="176"/>
      <c r="AP97" s="176"/>
      <c r="AQ97" s="176"/>
      <c r="AR97" s="176"/>
      <c r="AS97" s="176"/>
      <c r="AT97" s="176"/>
      <c r="AU97" s="176"/>
      <c r="AV97" s="176"/>
      <c r="AW97" s="176"/>
      <c r="AX97" s="176"/>
      <c r="AY97" s="176"/>
      <c r="AZ97" s="176"/>
      <c r="BA97" s="176"/>
      <c r="BB97" s="176"/>
      <c r="BC97" s="176"/>
      <c r="BD97" s="176"/>
    </row>
    <row r="98" ht="15.75" customHeight="1">
      <c r="A98" s="176"/>
      <c r="B98" s="176"/>
      <c r="C98" s="176"/>
      <c r="D98" s="176"/>
      <c r="E98" s="176"/>
      <c r="F98" s="176"/>
      <c r="G98" s="178"/>
      <c r="H98" s="176"/>
      <c r="I98" s="176"/>
      <c r="J98" s="176"/>
      <c r="K98" s="176"/>
      <c r="L98" s="176"/>
      <c r="M98" s="176"/>
      <c r="N98" s="176"/>
      <c r="O98" s="176"/>
      <c r="P98" s="176"/>
      <c r="Q98" s="176"/>
      <c r="R98" s="176"/>
      <c r="S98" s="176"/>
      <c r="T98" s="176"/>
      <c r="U98" s="176"/>
      <c r="V98" s="176"/>
      <c r="W98" s="176"/>
      <c r="X98" s="176"/>
      <c r="Y98" s="176"/>
      <c r="Z98" s="176"/>
      <c r="AA98" s="176"/>
      <c r="AB98" s="176"/>
      <c r="AC98" s="176"/>
      <c r="AD98" s="176"/>
      <c r="AE98" s="176"/>
      <c r="AF98" s="176"/>
      <c r="AG98" s="176"/>
      <c r="AH98" s="176"/>
      <c r="AI98" s="176"/>
      <c r="AJ98" s="176"/>
      <c r="AK98" s="176"/>
      <c r="AL98" s="176"/>
      <c r="AM98" s="176"/>
      <c r="AN98" s="176"/>
      <c r="AO98" s="176"/>
      <c r="AP98" s="176"/>
      <c r="AQ98" s="176"/>
      <c r="AR98" s="176"/>
      <c r="AS98" s="176"/>
      <c r="AT98" s="176"/>
      <c r="AU98" s="176"/>
      <c r="AV98" s="176"/>
      <c r="AW98" s="176"/>
      <c r="AX98" s="176"/>
      <c r="AY98" s="176"/>
      <c r="AZ98" s="176"/>
      <c r="BA98" s="176"/>
      <c r="BB98" s="176"/>
      <c r="BC98" s="176"/>
      <c r="BD98" s="176"/>
    </row>
    <row r="99" ht="15.75" customHeight="1">
      <c r="A99" s="176"/>
      <c r="B99" s="176"/>
      <c r="C99" s="176"/>
      <c r="D99" s="176"/>
      <c r="E99" s="176"/>
      <c r="F99" s="176"/>
      <c r="G99" s="178"/>
      <c r="H99" s="176"/>
      <c r="I99" s="176"/>
      <c r="J99" s="176"/>
      <c r="K99" s="176"/>
      <c r="L99" s="176"/>
      <c r="M99" s="176"/>
      <c r="N99" s="176"/>
      <c r="O99" s="176"/>
      <c r="P99" s="176"/>
      <c r="Q99" s="176"/>
      <c r="R99" s="176"/>
      <c r="S99" s="176"/>
      <c r="T99" s="176"/>
      <c r="U99" s="176"/>
      <c r="V99" s="176"/>
      <c r="W99" s="176"/>
      <c r="X99" s="176"/>
      <c r="Y99" s="176"/>
      <c r="Z99" s="176"/>
      <c r="AA99" s="176"/>
      <c r="AB99" s="176"/>
      <c r="AC99" s="176"/>
      <c r="AD99" s="176"/>
      <c r="AE99" s="176"/>
      <c r="AF99" s="176"/>
      <c r="AG99" s="176"/>
      <c r="AH99" s="176"/>
      <c r="AI99" s="176"/>
      <c r="AJ99" s="176"/>
      <c r="AK99" s="176"/>
      <c r="AL99" s="176"/>
      <c r="AM99" s="176"/>
      <c r="AN99" s="176"/>
      <c r="AO99" s="176"/>
      <c r="AP99" s="176"/>
      <c r="AQ99" s="176"/>
      <c r="AR99" s="176"/>
      <c r="AS99" s="176"/>
      <c r="AT99" s="176"/>
      <c r="AU99" s="176"/>
      <c r="AV99" s="176"/>
      <c r="AW99" s="176"/>
      <c r="AX99" s="176"/>
      <c r="AY99" s="176"/>
      <c r="AZ99" s="176"/>
      <c r="BA99" s="176"/>
      <c r="BB99" s="176"/>
      <c r="BC99" s="176"/>
      <c r="BD99" s="176"/>
    </row>
    <row r="100" ht="15.75" customHeight="1">
      <c r="A100" s="176"/>
      <c r="B100" s="176"/>
      <c r="C100" s="176"/>
      <c r="D100" s="176"/>
      <c r="E100" s="176"/>
      <c r="F100" s="176"/>
      <c r="G100" s="178"/>
      <c r="H100" s="176"/>
      <c r="I100" s="176"/>
      <c r="J100" s="176"/>
      <c r="K100" s="176"/>
      <c r="L100" s="176"/>
      <c r="M100" s="176"/>
      <c r="N100" s="176"/>
      <c r="O100" s="176"/>
      <c r="P100" s="176"/>
      <c r="Q100" s="176"/>
      <c r="R100" s="176"/>
      <c r="S100" s="176"/>
      <c r="T100" s="176"/>
      <c r="U100" s="176"/>
      <c r="V100" s="176"/>
      <c r="W100" s="176"/>
      <c r="X100" s="176"/>
      <c r="Y100" s="176"/>
      <c r="Z100" s="176"/>
      <c r="AA100" s="176"/>
      <c r="AB100" s="176"/>
      <c r="AC100" s="176"/>
      <c r="AD100" s="176"/>
      <c r="AE100" s="176"/>
      <c r="AF100" s="176"/>
      <c r="AG100" s="176"/>
      <c r="AH100" s="176"/>
      <c r="AI100" s="176"/>
      <c r="AJ100" s="176"/>
      <c r="AK100" s="176"/>
      <c r="AL100" s="176"/>
      <c r="AM100" s="176"/>
      <c r="AN100" s="176"/>
      <c r="AO100" s="176"/>
      <c r="AP100" s="176"/>
      <c r="AQ100" s="176"/>
      <c r="AR100" s="176"/>
      <c r="AS100" s="176"/>
      <c r="AT100" s="176"/>
      <c r="AU100" s="176"/>
      <c r="AV100" s="176"/>
      <c r="AW100" s="176"/>
      <c r="AX100" s="176"/>
      <c r="AY100" s="176"/>
      <c r="AZ100" s="176"/>
      <c r="BA100" s="176"/>
      <c r="BB100" s="176"/>
      <c r="BC100" s="176"/>
      <c r="BD100" s="176"/>
    </row>
    <row r="101" ht="15.75" customHeight="1">
      <c r="A101" s="176"/>
      <c r="B101" s="176"/>
      <c r="C101" s="176"/>
      <c r="D101" s="176"/>
      <c r="E101" s="176"/>
      <c r="F101" s="176"/>
      <c r="G101" s="178"/>
      <c r="H101" s="176"/>
      <c r="I101" s="176"/>
      <c r="J101" s="176"/>
      <c r="K101" s="176"/>
      <c r="L101" s="176"/>
      <c r="M101" s="176"/>
      <c r="N101" s="176"/>
      <c r="O101" s="176"/>
      <c r="P101" s="176"/>
      <c r="Q101" s="176"/>
      <c r="R101" s="176"/>
      <c r="S101" s="176"/>
      <c r="T101" s="176"/>
      <c r="U101" s="176"/>
      <c r="V101" s="176"/>
      <c r="W101" s="176"/>
      <c r="X101" s="176"/>
      <c r="Y101" s="176"/>
      <c r="Z101" s="176"/>
      <c r="AA101" s="176"/>
      <c r="AB101" s="176"/>
      <c r="AC101" s="176"/>
      <c r="AD101" s="176"/>
      <c r="AE101" s="176"/>
      <c r="AF101" s="176"/>
      <c r="AG101" s="176"/>
      <c r="AH101" s="176"/>
      <c r="AI101" s="176"/>
      <c r="AJ101" s="176"/>
      <c r="AK101" s="176"/>
      <c r="AL101" s="176"/>
      <c r="AM101" s="176"/>
      <c r="AN101" s="176"/>
      <c r="AO101" s="176"/>
      <c r="AP101" s="176"/>
      <c r="AQ101" s="176"/>
      <c r="AR101" s="176"/>
      <c r="AS101" s="176"/>
      <c r="AT101" s="176"/>
      <c r="AU101" s="176"/>
      <c r="AV101" s="176"/>
      <c r="AW101" s="176"/>
      <c r="AX101" s="176"/>
      <c r="AY101" s="176"/>
      <c r="AZ101" s="176"/>
      <c r="BA101" s="176"/>
      <c r="BB101" s="176"/>
      <c r="BC101" s="176"/>
      <c r="BD101" s="176"/>
    </row>
    <row r="102" ht="15.75" customHeight="1">
      <c r="A102" s="176"/>
      <c r="B102" s="176"/>
      <c r="C102" s="176"/>
      <c r="D102" s="176"/>
      <c r="E102" s="176"/>
      <c r="F102" s="176"/>
      <c r="G102" s="178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6"/>
      <c r="W102" s="176"/>
      <c r="X102" s="176"/>
      <c r="Y102" s="176"/>
      <c r="Z102" s="176"/>
      <c r="AA102" s="176"/>
      <c r="AB102" s="176"/>
      <c r="AC102" s="176"/>
      <c r="AD102" s="176"/>
      <c r="AE102" s="176"/>
      <c r="AF102" s="176"/>
      <c r="AG102" s="176"/>
      <c r="AH102" s="176"/>
      <c r="AI102" s="176"/>
      <c r="AJ102" s="176"/>
      <c r="AK102" s="176"/>
      <c r="AL102" s="176"/>
      <c r="AM102" s="176"/>
      <c r="AN102" s="176"/>
      <c r="AO102" s="176"/>
      <c r="AP102" s="176"/>
      <c r="AQ102" s="176"/>
      <c r="AR102" s="176"/>
      <c r="AS102" s="176"/>
      <c r="AT102" s="176"/>
      <c r="AU102" s="176"/>
      <c r="AV102" s="176"/>
      <c r="AW102" s="176"/>
      <c r="AX102" s="176"/>
      <c r="AY102" s="176"/>
      <c r="AZ102" s="176"/>
      <c r="BA102" s="176"/>
      <c r="BB102" s="176"/>
      <c r="BC102" s="176"/>
      <c r="BD102" s="176"/>
    </row>
    <row r="103" ht="15.75" customHeight="1">
      <c r="A103" s="176"/>
      <c r="B103" s="176"/>
      <c r="C103" s="176"/>
      <c r="D103" s="176"/>
      <c r="E103" s="176"/>
      <c r="F103" s="176"/>
      <c r="G103" s="178"/>
      <c r="H103" s="176"/>
      <c r="I103" s="176"/>
      <c r="J103" s="176"/>
      <c r="K103" s="176"/>
      <c r="L103" s="176"/>
      <c r="M103" s="176"/>
      <c r="N103" s="176"/>
      <c r="O103" s="176"/>
      <c r="P103" s="176"/>
      <c r="Q103" s="176"/>
      <c r="R103" s="176"/>
      <c r="S103" s="176"/>
      <c r="T103" s="176"/>
      <c r="U103" s="176"/>
      <c r="V103" s="176"/>
      <c r="W103" s="176"/>
      <c r="X103" s="176"/>
      <c r="Y103" s="176"/>
      <c r="Z103" s="176"/>
      <c r="AA103" s="176"/>
      <c r="AB103" s="176"/>
      <c r="AC103" s="176"/>
      <c r="AD103" s="176"/>
      <c r="AE103" s="176"/>
      <c r="AF103" s="176"/>
      <c r="AG103" s="176"/>
      <c r="AH103" s="176"/>
      <c r="AI103" s="176"/>
      <c r="AJ103" s="176"/>
      <c r="AK103" s="176"/>
      <c r="AL103" s="176"/>
      <c r="AM103" s="176"/>
      <c r="AN103" s="176"/>
      <c r="AO103" s="176"/>
      <c r="AP103" s="176"/>
      <c r="AQ103" s="176"/>
      <c r="AR103" s="176"/>
      <c r="AS103" s="176"/>
      <c r="AT103" s="176"/>
      <c r="AU103" s="176"/>
      <c r="AV103" s="176"/>
      <c r="AW103" s="176"/>
      <c r="AX103" s="176"/>
      <c r="AY103" s="176"/>
      <c r="AZ103" s="176"/>
      <c r="BA103" s="176"/>
      <c r="BB103" s="176"/>
      <c r="BC103" s="176"/>
      <c r="BD103" s="176"/>
    </row>
    <row r="104" ht="15.75" customHeight="1">
      <c r="A104" s="176"/>
      <c r="B104" s="176"/>
      <c r="C104" s="176"/>
      <c r="D104" s="176"/>
      <c r="E104" s="176"/>
      <c r="F104" s="176"/>
      <c r="G104" s="178"/>
      <c r="H104" s="176"/>
      <c r="I104" s="176"/>
      <c r="J104" s="176"/>
      <c r="K104" s="176"/>
      <c r="L104" s="176"/>
      <c r="M104" s="176"/>
      <c r="N104" s="176"/>
      <c r="O104" s="176"/>
      <c r="P104" s="176"/>
      <c r="Q104" s="176"/>
      <c r="R104" s="176"/>
      <c r="S104" s="176"/>
      <c r="T104" s="176"/>
      <c r="U104" s="176"/>
      <c r="V104" s="176"/>
      <c r="W104" s="176"/>
      <c r="X104" s="176"/>
      <c r="Y104" s="176"/>
      <c r="Z104" s="176"/>
      <c r="AA104" s="176"/>
      <c r="AB104" s="176"/>
      <c r="AC104" s="176"/>
      <c r="AD104" s="176"/>
      <c r="AE104" s="176"/>
      <c r="AF104" s="176"/>
      <c r="AG104" s="176"/>
      <c r="AH104" s="176"/>
      <c r="AI104" s="176"/>
      <c r="AJ104" s="176"/>
      <c r="AK104" s="176"/>
      <c r="AL104" s="176"/>
      <c r="AM104" s="176"/>
      <c r="AN104" s="176"/>
      <c r="AO104" s="176"/>
      <c r="AP104" s="176"/>
      <c r="AQ104" s="176"/>
      <c r="AR104" s="176"/>
      <c r="AS104" s="176"/>
      <c r="AT104" s="176"/>
      <c r="AU104" s="176"/>
      <c r="AV104" s="176"/>
      <c r="AW104" s="176"/>
      <c r="AX104" s="176"/>
      <c r="AY104" s="176"/>
      <c r="AZ104" s="176"/>
      <c r="BA104" s="176"/>
      <c r="BB104" s="176"/>
      <c r="BC104" s="176"/>
      <c r="BD104" s="176"/>
    </row>
    <row r="105" ht="15.75" customHeight="1">
      <c r="A105" s="176"/>
      <c r="B105" s="176"/>
      <c r="C105" s="176"/>
      <c r="D105" s="176"/>
      <c r="E105" s="176"/>
      <c r="F105" s="176"/>
      <c r="G105" s="178"/>
      <c r="H105" s="176"/>
      <c r="I105" s="176"/>
      <c r="J105" s="176"/>
      <c r="K105" s="176"/>
      <c r="L105" s="176"/>
      <c r="M105" s="176"/>
      <c r="N105" s="176"/>
      <c r="O105" s="176"/>
      <c r="P105" s="176"/>
      <c r="Q105" s="176"/>
      <c r="R105" s="176"/>
      <c r="S105" s="176"/>
      <c r="T105" s="176"/>
      <c r="U105" s="176"/>
      <c r="V105" s="176"/>
      <c r="W105" s="176"/>
      <c r="X105" s="176"/>
      <c r="Y105" s="176"/>
      <c r="Z105" s="176"/>
      <c r="AA105" s="176"/>
      <c r="AB105" s="176"/>
      <c r="AC105" s="176"/>
      <c r="AD105" s="176"/>
      <c r="AE105" s="176"/>
      <c r="AF105" s="176"/>
      <c r="AG105" s="176"/>
      <c r="AH105" s="176"/>
      <c r="AI105" s="176"/>
      <c r="AJ105" s="176"/>
      <c r="AK105" s="176"/>
      <c r="AL105" s="176"/>
      <c r="AM105" s="176"/>
      <c r="AN105" s="176"/>
      <c r="AO105" s="176"/>
      <c r="AP105" s="176"/>
      <c r="AQ105" s="176"/>
      <c r="AR105" s="176"/>
      <c r="AS105" s="176"/>
      <c r="AT105" s="176"/>
      <c r="AU105" s="176"/>
      <c r="AV105" s="176"/>
      <c r="AW105" s="176"/>
      <c r="AX105" s="176"/>
      <c r="AY105" s="176"/>
      <c r="AZ105" s="176"/>
      <c r="BA105" s="176"/>
      <c r="BB105" s="176"/>
      <c r="BC105" s="176"/>
      <c r="BD105" s="176"/>
    </row>
    <row r="106" ht="15.75" customHeight="1">
      <c r="A106" s="176"/>
      <c r="B106" s="176"/>
      <c r="C106" s="176"/>
      <c r="D106" s="176"/>
      <c r="E106" s="176"/>
      <c r="F106" s="176"/>
      <c r="G106" s="178"/>
      <c r="H106" s="176"/>
      <c r="I106" s="176"/>
      <c r="J106" s="176"/>
      <c r="K106" s="176"/>
      <c r="L106" s="176"/>
      <c r="M106" s="176"/>
      <c r="N106" s="176"/>
      <c r="O106" s="176"/>
      <c r="P106" s="176"/>
      <c r="Q106" s="176"/>
      <c r="R106" s="176"/>
      <c r="S106" s="176"/>
      <c r="T106" s="176"/>
      <c r="U106" s="176"/>
      <c r="V106" s="176"/>
      <c r="W106" s="176"/>
      <c r="X106" s="176"/>
      <c r="Y106" s="176"/>
      <c r="Z106" s="176"/>
      <c r="AA106" s="176"/>
      <c r="AB106" s="176"/>
      <c r="AC106" s="176"/>
      <c r="AD106" s="176"/>
      <c r="AE106" s="176"/>
      <c r="AF106" s="176"/>
      <c r="AG106" s="176"/>
      <c r="AH106" s="176"/>
      <c r="AI106" s="176"/>
      <c r="AJ106" s="176"/>
      <c r="AK106" s="176"/>
      <c r="AL106" s="176"/>
      <c r="AM106" s="176"/>
      <c r="AN106" s="176"/>
      <c r="AO106" s="176"/>
      <c r="AP106" s="176"/>
      <c r="AQ106" s="176"/>
      <c r="AR106" s="176"/>
      <c r="AS106" s="176"/>
      <c r="AT106" s="176"/>
      <c r="AU106" s="176"/>
      <c r="AV106" s="176"/>
      <c r="AW106" s="176"/>
      <c r="AX106" s="176"/>
      <c r="AY106" s="176"/>
      <c r="AZ106" s="176"/>
      <c r="BA106" s="176"/>
      <c r="BB106" s="176"/>
      <c r="BC106" s="176"/>
      <c r="BD106" s="176"/>
    </row>
    <row r="107" ht="15.75" customHeight="1">
      <c r="A107" s="176"/>
      <c r="B107" s="176"/>
      <c r="C107" s="176"/>
      <c r="D107" s="176"/>
      <c r="E107" s="176"/>
      <c r="F107" s="176"/>
      <c r="G107" s="178"/>
      <c r="H107" s="176"/>
      <c r="I107" s="176"/>
      <c r="J107" s="176"/>
      <c r="K107" s="176"/>
      <c r="L107" s="176"/>
      <c r="M107" s="176"/>
      <c r="N107" s="176"/>
      <c r="O107" s="176"/>
      <c r="P107" s="176"/>
      <c r="Q107" s="176"/>
      <c r="R107" s="176"/>
      <c r="S107" s="176"/>
      <c r="T107" s="176"/>
      <c r="U107" s="176"/>
      <c r="V107" s="176"/>
      <c r="W107" s="176"/>
      <c r="X107" s="176"/>
      <c r="Y107" s="176"/>
      <c r="Z107" s="176"/>
      <c r="AA107" s="176"/>
      <c r="AB107" s="176"/>
      <c r="AC107" s="176"/>
      <c r="AD107" s="176"/>
      <c r="AE107" s="176"/>
      <c r="AF107" s="176"/>
      <c r="AG107" s="176"/>
      <c r="AH107" s="176"/>
      <c r="AI107" s="176"/>
      <c r="AJ107" s="176"/>
      <c r="AK107" s="176"/>
      <c r="AL107" s="176"/>
      <c r="AM107" s="176"/>
      <c r="AN107" s="176"/>
      <c r="AO107" s="176"/>
      <c r="AP107" s="176"/>
      <c r="AQ107" s="176"/>
      <c r="AR107" s="176"/>
      <c r="AS107" s="176"/>
      <c r="AT107" s="176"/>
      <c r="AU107" s="176"/>
      <c r="AV107" s="176"/>
      <c r="AW107" s="176"/>
      <c r="AX107" s="176"/>
      <c r="AY107" s="176"/>
      <c r="AZ107" s="176"/>
      <c r="BA107" s="176"/>
      <c r="BB107" s="176"/>
      <c r="BC107" s="176"/>
      <c r="BD107" s="176"/>
    </row>
    <row r="108" ht="15.75" customHeight="1">
      <c r="A108" s="176"/>
      <c r="B108" s="176"/>
      <c r="C108" s="176"/>
      <c r="D108" s="176"/>
      <c r="E108" s="176"/>
      <c r="F108" s="176"/>
      <c r="G108" s="178"/>
      <c r="H108" s="176"/>
      <c r="I108" s="176"/>
      <c r="J108" s="176"/>
      <c r="K108" s="176"/>
      <c r="L108" s="176"/>
      <c r="M108" s="176"/>
      <c r="N108" s="176"/>
      <c r="O108" s="176"/>
      <c r="P108" s="176"/>
      <c r="Q108" s="176"/>
      <c r="R108" s="176"/>
      <c r="S108" s="176"/>
      <c r="T108" s="176"/>
      <c r="U108" s="176"/>
      <c r="V108" s="176"/>
      <c r="W108" s="176"/>
      <c r="X108" s="176"/>
      <c r="Y108" s="176"/>
      <c r="Z108" s="176"/>
      <c r="AA108" s="176"/>
      <c r="AB108" s="176"/>
      <c r="AC108" s="176"/>
      <c r="AD108" s="176"/>
      <c r="AE108" s="176"/>
      <c r="AF108" s="176"/>
      <c r="AG108" s="176"/>
      <c r="AH108" s="176"/>
      <c r="AI108" s="176"/>
      <c r="AJ108" s="176"/>
      <c r="AK108" s="176"/>
      <c r="AL108" s="176"/>
      <c r="AM108" s="176"/>
      <c r="AN108" s="176"/>
      <c r="AO108" s="176"/>
      <c r="AP108" s="176"/>
      <c r="AQ108" s="176"/>
      <c r="AR108" s="176"/>
      <c r="AS108" s="176"/>
      <c r="AT108" s="176"/>
      <c r="AU108" s="176"/>
      <c r="AV108" s="176"/>
      <c r="AW108" s="176"/>
      <c r="AX108" s="176"/>
      <c r="AY108" s="176"/>
      <c r="AZ108" s="176"/>
      <c r="BA108" s="176"/>
      <c r="BB108" s="176"/>
      <c r="BC108" s="176"/>
      <c r="BD108" s="176"/>
    </row>
    <row r="109" ht="15.75" customHeight="1">
      <c r="A109" s="176"/>
      <c r="B109" s="176"/>
      <c r="C109" s="176"/>
      <c r="D109" s="176"/>
      <c r="E109" s="176"/>
      <c r="F109" s="176"/>
      <c r="G109" s="178"/>
      <c r="H109" s="176"/>
      <c r="I109" s="176"/>
      <c r="J109" s="176"/>
      <c r="K109" s="176"/>
      <c r="L109" s="176"/>
      <c r="M109" s="176"/>
      <c r="N109" s="176"/>
      <c r="O109" s="176"/>
      <c r="P109" s="176"/>
      <c r="Q109" s="176"/>
      <c r="R109" s="176"/>
      <c r="S109" s="176"/>
      <c r="T109" s="176"/>
      <c r="U109" s="176"/>
      <c r="V109" s="176"/>
      <c r="W109" s="176"/>
      <c r="X109" s="176"/>
      <c r="Y109" s="176"/>
      <c r="Z109" s="176"/>
      <c r="AA109" s="176"/>
      <c r="AB109" s="176"/>
      <c r="AC109" s="176"/>
      <c r="AD109" s="176"/>
      <c r="AE109" s="176"/>
      <c r="AF109" s="176"/>
      <c r="AG109" s="176"/>
      <c r="AH109" s="176"/>
      <c r="AI109" s="176"/>
      <c r="AJ109" s="176"/>
      <c r="AK109" s="176"/>
      <c r="AL109" s="176"/>
      <c r="AM109" s="176"/>
      <c r="AN109" s="176"/>
      <c r="AO109" s="176"/>
      <c r="AP109" s="176"/>
      <c r="AQ109" s="176"/>
      <c r="AR109" s="176"/>
      <c r="AS109" s="176"/>
      <c r="AT109" s="176"/>
      <c r="AU109" s="176"/>
      <c r="AV109" s="176"/>
      <c r="AW109" s="176"/>
      <c r="AX109" s="176"/>
      <c r="AY109" s="176"/>
      <c r="AZ109" s="176"/>
      <c r="BA109" s="176"/>
      <c r="BB109" s="176"/>
      <c r="BC109" s="176"/>
      <c r="BD109" s="176"/>
    </row>
    <row r="110" ht="15.75" customHeight="1">
      <c r="A110" s="176"/>
      <c r="B110" s="176"/>
      <c r="C110" s="176"/>
      <c r="D110" s="176"/>
      <c r="E110" s="176"/>
      <c r="F110" s="176"/>
      <c r="G110" s="178"/>
      <c r="H110" s="176"/>
      <c r="I110" s="176"/>
      <c r="J110" s="176"/>
      <c r="K110" s="176"/>
      <c r="L110" s="176"/>
      <c r="M110" s="176"/>
      <c r="N110" s="176"/>
      <c r="O110" s="176"/>
      <c r="P110" s="176"/>
      <c r="Q110" s="176"/>
      <c r="R110" s="176"/>
      <c r="S110" s="176"/>
      <c r="T110" s="176"/>
      <c r="U110" s="176"/>
      <c r="V110" s="176"/>
      <c r="W110" s="176"/>
      <c r="X110" s="176"/>
      <c r="Y110" s="176"/>
      <c r="Z110" s="176"/>
      <c r="AA110" s="176"/>
      <c r="AB110" s="176"/>
      <c r="AC110" s="176"/>
      <c r="AD110" s="176"/>
      <c r="AE110" s="176"/>
      <c r="AF110" s="176"/>
      <c r="AG110" s="176"/>
      <c r="AH110" s="176"/>
      <c r="AI110" s="176"/>
      <c r="AJ110" s="176"/>
      <c r="AK110" s="176"/>
      <c r="AL110" s="176"/>
      <c r="AM110" s="176"/>
      <c r="AN110" s="176"/>
      <c r="AO110" s="176"/>
      <c r="AP110" s="176"/>
      <c r="AQ110" s="176"/>
      <c r="AR110" s="176"/>
      <c r="AS110" s="176"/>
      <c r="AT110" s="176"/>
      <c r="AU110" s="176"/>
      <c r="AV110" s="176"/>
      <c r="AW110" s="176"/>
      <c r="AX110" s="176"/>
      <c r="AY110" s="176"/>
      <c r="AZ110" s="176"/>
      <c r="BA110" s="176"/>
      <c r="BB110" s="176"/>
      <c r="BC110" s="176"/>
      <c r="BD110" s="176"/>
    </row>
    <row r="111" ht="15.75" customHeight="1">
      <c r="A111" s="176"/>
      <c r="B111" s="176"/>
      <c r="C111" s="176"/>
      <c r="D111" s="176"/>
      <c r="E111" s="176"/>
      <c r="F111" s="176"/>
      <c r="G111" s="178"/>
      <c r="H111" s="176"/>
      <c r="I111" s="176"/>
      <c r="J111" s="176"/>
      <c r="K111" s="176"/>
      <c r="L111" s="176"/>
      <c r="M111" s="176"/>
      <c r="N111" s="176"/>
      <c r="O111" s="176"/>
      <c r="P111" s="176"/>
      <c r="Q111" s="176"/>
      <c r="R111" s="176"/>
      <c r="S111" s="176"/>
      <c r="T111" s="176"/>
      <c r="U111" s="176"/>
      <c r="V111" s="176"/>
      <c r="W111" s="176"/>
      <c r="X111" s="176"/>
      <c r="Y111" s="176"/>
      <c r="Z111" s="176"/>
      <c r="AA111" s="176"/>
      <c r="AB111" s="176"/>
      <c r="AC111" s="176"/>
      <c r="AD111" s="176"/>
      <c r="AE111" s="176"/>
      <c r="AF111" s="176"/>
      <c r="AG111" s="176"/>
      <c r="AH111" s="176"/>
      <c r="AI111" s="176"/>
      <c r="AJ111" s="176"/>
      <c r="AK111" s="176"/>
      <c r="AL111" s="176"/>
      <c r="AM111" s="176"/>
      <c r="AN111" s="176"/>
      <c r="AO111" s="176"/>
      <c r="AP111" s="176"/>
      <c r="AQ111" s="176"/>
      <c r="AR111" s="176"/>
      <c r="AS111" s="176"/>
      <c r="AT111" s="176"/>
      <c r="AU111" s="176"/>
      <c r="AV111" s="176"/>
      <c r="AW111" s="176"/>
      <c r="AX111" s="176"/>
      <c r="AY111" s="176"/>
      <c r="AZ111" s="176"/>
      <c r="BA111" s="176"/>
      <c r="BB111" s="176"/>
      <c r="BC111" s="176"/>
      <c r="BD111" s="176"/>
    </row>
    <row r="112" ht="15.75" customHeight="1">
      <c r="A112" s="176"/>
      <c r="B112" s="176"/>
      <c r="C112" s="176"/>
      <c r="D112" s="176"/>
      <c r="E112" s="176"/>
      <c r="F112" s="176"/>
      <c r="G112" s="178"/>
      <c r="H112" s="176"/>
      <c r="I112" s="176"/>
      <c r="J112" s="176"/>
      <c r="K112" s="176"/>
      <c r="L112" s="176"/>
      <c r="M112" s="176"/>
      <c r="N112" s="176"/>
      <c r="O112" s="176"/>
      <c r="P112" s="176"/>
      <c r="Q112" s="176"/>
      <c r="R112" s="176"/>
      <c r="S112" s="176"/>
      <c r="T112" s="176"/>
      <c r="U112" s="176"/>
      <c r="V112" s="176"/>
      <c r="W112" s="176"/>
      <c r="X112" s="176"/>
      <c r="Y112" s="176"/>
      <c r="Z112" s="176"/>
      <c r="AA112" s="176"/>
      <c r="AB112" s="176"/>
      <c r="AC112" s="176"/>
      <c r="AD112" s="176"/>
      <c r="AE112" s="176"/>
      <c r="AF112" s="176"/>
      <c r="AG112" s="176"/>
      <c r="AH112" s="176"/>
      <c r="AI112" s="176"/>
      <c r="AJ112" s="176"/>
      <c r="AK112" s="176"/>
      <c r="AL112" s="176"/>
      <c r="AM112" s="176"/>
      <c r="AN112" s="176"/>
      <c r="AO112" s="176"/>
      <c r="AP112" s="176"/>
      <c r="AQ112" s="176"/>
      <c r="AR112" s="176"/>
      <c r="AS112" s="176"/>
      <c r="AT112" s="176"/>
      <c r="AU112" s="176"/>
      <c r="AV112" s="176"/>
      <c r="AW112" s="176"/>
      <c r="AX112" s="176"/>
      <c r="AY112" s="176"/>
      <c r="AZ112" s="176"/>
      <c r="BA112" s="176"/>
      <c r="BB112" s="176"/>
      <c r="BC112" s="176"/>
      <c r="BD112" s="176"/>
    </row>
    <row r="113" ht="15.75" customHeight="1">
      <c r="A113" s="176"/>
      <c r="B113" s="176"/>
      <c r="C113" s="176"/>
      <c r="D113" s="176"/>
      <c r="E113" s="176"/>
      <c r="F113" s="176"/>
      <c r="G113" s="178"/>
      <c r="H113" s="176"/>
      <c r="I113" s="176"/>
      <c r="J113" s="176"/>
      <c r="K113" s="176"/>
      <c r="L113" s="176"/>
      <c r="M113" s="176"/>
      <c r="N113" s="176"/>
      <c r="O113" s="176"/>
      <c r="P113" s="176"/>
      <c r="Q113" s="176"/>
      <c r="R113" s="176"/>
      <c r="S113" s="176"/>
      <c r="T113" s="176"/>
      <c r="U113" s="176"/>
      <c r="V113" s="176"/>
      <c r="W113" s="176"/>
      <c r="X113" s="176"/>
      <c r="Y113" s="176"/>
      <c r="Z113" s="176"/>
      <c r="AA113" s="176"/>
      <c r="AB113" s="176"/>
      <c r="AC113" s="176"/>
      <c r="AD113" s="176"/>
      <c r="AE113" s="176"/>
      <c r="AF113" s="176"/>
      <c r="AG113" s="176"/>
      <c r="AH113" s="176"/>
      <c r="AI113" s="176"/>
      <c r="AJ113" s="176"/>
      <c r="AK113" s="176"/>
      <c r="AL113" s="176"/>
      <c r="AM113" s="176"/>
      <c r="AN113" s="176"/>
      <c r="AO113" s="176"/>
      <c r="AP113" s="176"/>
      <c r="AQ113" s="176"/>
      <c r="AR113" s="176"/>
      <c r="AS113" s="176"/>
      <c r="AT113" s="176"/>
      <c r="AU113" s="176"/>
      <c r="AV113" s="176"/>
      <c r="AW113" s="176"/>
      <c r="AX113" s="176"/>
      <c r="AY113" s="176"/>
      <c r="AZ113" s="176"/>
      <c r="BA113" s="176"/>
      <c r="BB113" s="176"/>
      <c r="BC113" s="176"/>
      <c r="BD113" s="176"/>
    </row>
    <row r="114" ht="15.75" customHeight="1">
      <c r="A114" s="176"/>
      <c r="B114" s="176"/>
      <c r="C114" s="176"/>
      <c r="D114" s="176"/>
      <c r="E114" s="176"/>
      <c r="F114" s="176"/>
      <c r="G114" s="178"/>
      <c r="H114" s="176"/>
      <c r="I114" s="176"/>
      <c r="J114" s="176"/>
      <c r="K114" s="176"/>
      <c r="L114" s="176"/>
      <c r="M114" s="176"/>
      <c r="N114" s="176"/>
      <c r="O114" s="176"/>
      <c r="P114" s="176"/>
      <c r="Q114" s="176"/>
      <c r="R114" s="176"/>
      <c r="S114" s="176"/>
      <c r="T114" s="176"/>
      <c r="U114" s="176"/>
      <c r="V114" s="176"/>
      <c r="W114" s="176"/>
      <c r="X114" s="176"/>
      <c r="Y114" s="176"/>
      <c r="Z114" s="176"/>
      <c r="AA114" s="176"/>
      <c r="AB114" s="176"/>
      <c r="AC114" s="176"/>
      <c r="AD114" s="176"/>
      <c r="AE114" s="176"/>
      <c r="AF114" s="176"/>
      <c r="AG114" s="176"/>
      <c r="AH114" s="176"/>
      <c r="AI114" s="176"/>
      <c r="AJ114" s="176"/>
      <c r="AK114" s="176"/>
      <c r="AL114" s="176"/>
      <c r="AM114" s="176"/>
      <c r="AN114" s="176"/>
      <c r="AO114" s="176"/>
      <c r="AP114" s="176"/>
      <c r="AQ114" s="176"/>
      <c r="AR114" s="176"/>
      <c r="AS114" s="176"/>
      <c r="AT114" s="176"/>
      <c r="AU114" s="176"/>
      <c r="AV114" s="176"/>
      <c r="AW114" s="176"/>
      <c r="AX114" s="176"/>
      <c r="AY114" s="176"/>
      <c r="AZ114" s="176"/>
      <c r="BA114" s="176"/>
      <c r="BB114" s="176"/>
      <c r="BC114" s="176"/>
      <c r="BD114" s="176"/>
    </row>
    <row r="115" ht="15.75" customHeight="1">
      <c r="A115" s="176"/>
      <c r="B115" s="176"/>
      <c r="C115" s="176"/>
      <c r="D115" s="176"/>
      <c r="E115" s="176"/>
      <c r="F115" s="176"/>
      <c r="G115" s="178"/>
      <c r="H115" s="176"/>
      <c r="I115" s="176"/>
      <c r="J115" s="176"/>
      <c r="K115" s="176"/>
      <c r="L115" s="176"/>
      <c r="M115" s="176"/>
      <c r="N115" s="176"/>
      <c r="O115" s="176"/>
      <c r="P115" s="176"/>
      <c r="Q115" s="176"/>
      <c r="R115" s="176"/>
      <c r="S115" s="176"/>
      <c r="T115" s="176"/>
      <c r="U115" s="176"/>
      <c r="V115" s="176"/>
      <c r="W115" s="176"/>
      <c r="X115" s="176"/>
      <c r="Y115" s="176"/>
      <c r="Z115" s="176"/>
      <c r="AA115" s="176"/>
      <c r="AB115" s="176"/>
      <c r="AC115" s="176"/>
      <c r="AD115" s="176"/>
      <c r="AE115" s="176"/>
      <c r="AF115" s="176"/>
      <c r="AG115" s="176"/>
      <c r="AH115" s="176"/>
      <c r="AI115" s="176"/>
      <c r="AJ115" s="176"/>
      <c r="AK115" s="176"/>
      <c r="AL115" s="176"/>
      <c r="AM115" s="176"/>
      <c r="AN115" s="176"/>
      <c r="AO115" s="176"/>
      <c r="AP115" s="176"/>
      <c r="AQ115" s="176"/>
      <c r="AR115" s="176"/>
      <c r="AS115" s="176"/>
      <c r="AT115" s="176"/>
      <c r="AU115" s="176"/>
      <c r="AV115" s="176"/>
      <c r="AW115" s="176"/>
      <c r="AX115" s="176"/>
      <c r="AY115" s="176"/>
      <c r="AZ115" s="176"/>
      <c r="BA115" s="176"/>
      <c r="BB115" s="176"/>
      <c r="BC115" s="176"/>
      <c r="BD115" s="176"/>
    </row>
    <row r="116" ht="15.75" customHeight="1">
      <c r="A116" s="176"/>
      <c r="B116" s="176"/>
      <c r="C116" s="176"/>
      <c r="D116" s="176"/>
      <c r="E116" s="176"/>
      <c r="F116" s="176"/>
      <c r="G116" s="178"/>
      <c r="H116" s="176"/>
      <c r="I116" s="176"/>
      <c r="J116" s="176"/>
      <c r="K116" s="176"/>
      <c r="L116" s="176"/>
      <c r="M116" s="176"/>
      <c r="N116" s="176"/>
      <c r="O116" s="176"/>
      <c r="P116" s="176"/>
      <c r="Q116" s="176"/>
      <c r="R116" s="176"/>
      <c r="S116" s="176"/>
      <c r="T116" s="176"/>
      <c r="U116" s="176"/>
      <c r="V116" s="176"/>
      <c r="W116" s="176"/>
      <c r="X116" s="176"/>
      <c r="Y116" s="176"/>
      <c r="Z116" s="176"/>
      <c r="AA116" s="176"/>
      <c r="AB116" s="176"/>
      <c r="AC116" s="176"/>
      <c r="AD116" s="176"/>
      <c r="AE116" s="176"/>
      <c r="AF116" s="176"/>
      <c r="AG116" s="176"/>
      <c r="AH116" s="176"/>
      <c r="AI116" s="176"/>
      <c r="AJ116" s="176"/>
      <c r="AK116" s="176"/>
      <c r="AL116" s="176"/>
      <c r="AM116" s="176"/>
      <c r="AN116" s="176"/>
      <c r="AO116" s="176"/>
      <c r="AP116" s="176"/>
      <c r="AQ116" s="176"/>
      <c r="AR116" s="176"/>
      <c r="AS116" s="176"/>
      <c r="AT116" s="176"/>
      <c r="AU116" s="176"/>
      <c r="AV116" s="176"/>
      <c r="AW116" s="176"/>
      <c r="AX116" s="176"/>
      <c r="AY116" s="176"/>
      <c r="AZ116" s="176"/>
      <c r="BA116" s="176"/>
      <c r="BB116" s="176"/>
      <c r="BC116" s="176"/>
      <c r="BD116" s="176"/>
    </row>
    <row r="117" ht="15.75" customHeight="1">
      <c r="A117" s="176"/>
      <c r="B117" s="176"/>
      <c r="C117" s="176"/>
      <c r="D117" s="176"/>
      <c r="E117" s="176"/>
      <c r="F117" s="176"/>
      <c r="G117" s="178"/>
      <c r="H117" s="176"/>
      <c r="I117" s="176"/>
      <c r="J117" s="176"/>
      <c r="K117" s="176"/>
      <c r="L117" s="176"/>
      <c r="M117" s="176"/>
      <c r="N117" s="176"/>
      <c r="O117" s="176"/>
      <c r="P117" s="176"/>
      <c r="Q117" s="176"/>
      <c r="R117" s="176"/>
      <c r="S117" s="176"/>
      <c r="T117" s="176"/>
      <c r="U117" s="176"/>
      <c r="V117" s="176"/>
      <c r="W117" s="176"/>
      <c r="X117" s="176"/>
      <c r="Y117" s="176"/>
      <c r="Z117" s="176"/>
      <c r="AA117" s="176"/>
      <c r="AB117" s="176"/>
      <c r="AC117" s="176"/>
      <c r="AD117" s="176"/>
      <c r="AE117" s="176"/>
      <c r="AF117" s="176"/>
      <c r="AG117" s="176"/>
      <c r="AH117" s="176"/>
      <c r="AI117" s="176"/>
      <c r="AJ117" s="176"/>
      <c r="AK117" s="176"/>
      <c r="AL117" s="176"/>
      <c r="AM117" s="176"/>
      <c r="AN117" s="176"/>
      <c r="AO117" s="176"/>
      <c r="AP117" s="176"/>
      <c r="AQ117" s="176"/>
      <c r="AR117" s="176"/>
      <c r="AS117" s="176"/>
      <c r="AT117" s="176"/>
      <c r="AU117" s="176"/>
      <c r="AV117" s="176"/>
      <c r="AW117" s="176"/>
      <c r="AX117" s="176"/>
      <c r="AY117" s="176"/>
      <c r="AZ117" s="176"/>
      <c r="BA117" s="176"/>
      <c r="BB117" s="176"/>
      <c r="BC117" s="176"/>
      <c r="BD117" s="176"/>
    </row>
    <row r="118" ht="15.75" customHeight="1">
      <c r="A118" s="176"/>
      <c r="B118" s="176"/>
      <c r="C118" s="176"/>
      <c r="D118" s="176"/>
      <c r="E118" s="176"/>
      <c r="F118" s="176"/>
      <c r="G118" s="178"/>
      <c r="H118" s="176"/>
      <c r="I118" s="176"/>
      <c r="J118" s="176"/>
      <c r="K118" s="176"/>
      <c r="L118" s="176"/>
      <c r="M118" s="176"/>
      <c r="N118" s="176"/>
      <c r="O118" s="176"/>
      <c r="P118" s="176"/>
      <c r="Q118" s="176"/>
      <c r="R118" s="176"/>
      <c r="S118" s="176"/>
      <c r="T118" s="176"/>
      <c r="U118" s="176"/>
      <c r="V118" s="176"/>
      <c r="W118" s="176"/>
      <c r="X118" s="176"/>
      <c r="Y118" s="176"/>
      <c r="Z118" s="176"/>
      <c r="AA118" s="176"/>
      <c r="AB118" s="176"/>
      <c r="AC118" s="176"/>
      <c r="AD118" s="176"/>
      <c r="AE118" s="176"/>
      <c r="AF118" s="176"/>
      <c r="AG118" s="176"/>
      <c r="AH118" s="176"/>
      <c r="AI118" s="176"/>
      <c r="AJ118" s="176"/>
      <c r="AK118" s="176"/>
      <c r="AL118" s="176"/>
      <c r="AM118" s="176"/>
      <c r="AN118" s="176"/>
      <c r="AO118" s="176"/>
      <c r="AP118" s="176"/>
      <c r="AQ118" s="176"/>
      <c r="AR118" s="176"/>
      <c r="AS118" s="176"/>
      <c r="AT118" s="176"/>
      <c r="AU118" s="176"/>
      <c r="AV118" s="176"/>
      <c r="AW118" s="176"/>
      <c r="AX118" s="176"/>
      <c r="AY118" s="176"/>
      <c r="AZ118" s="176"/>
      <c r="BA118" s="176"/>
      <c r="BB118" s="176"/>
      <c r="BC118" s="176"/>
      <c r="BD118" s="176"/>
    </row>
    <row r="119" ht="15.75" customHeight="1">
      <c r="A119" s="176"/>
      <c r="B119" s="176"/>
      <c r="C119" s="176"/>
      <c r="D119" s="176"/>
      <c r="E119" s="176"/>
      <c r="F119" s="176"/>
      <c r="G119" s="178"/>
      <c r="H119" s="176"/>
      <c r="I119" s="176"/>
      <c r="J119" s="176"/>
      <c r="K119" s="176"/>
      <c r="L119" s="176"/>
      <c r="M119" s="176"/>
      <c r="N119" s="176"/>
      <c r="O119" s="176"/>
      <c r="P119" s="176"/>
      <c r="Q119" s="176"/>
      <c r="R119" s="176"/>
      <c r="S119" s="176"/>
      <c r="T119" s="176"/>
      <c r="U119" s="176"/>
      <c r="V119" s="176"/>
      <c r="W119" s="176"/>
      <c r="X119" s="176"/>
      <c r="Y119" s="176"/>
      <c r="Z119" s="176"/>
      <c r="AA119" s="176"/>
      <c r="AB119" s="176"/>
      <c r="AC119" s="176"/>
      <c r="AD119" s="176"/>
      <c r="AE119" s="176"/>
      <c r="AF119" s="176"/>
      <c r="AG119" s="176"/>
      <c r="AH119" s="176"/>
      <c r="AI119" s="176"/>
      <c r="AJ119" s="176"/>
      <c r="AK119" s="176"/>
      <c r="AL119" s="176"/>
      <c r="AM119" s="176"/>
      <c r="AN119" s="176"/>
      <c r="AO119" s="176"/>
      <c r="AP119" s="176"/>
      <c r="AQ119" s="176"/>
      <c r="AR119" s="176"/>
      <c r="AS119" s="176"/>
      <c r="AT119" s="176"/>
      <c r="AU119" s="176"/>
      <c r="AV119" s="176"/>
      <c r="AW119" s="176"/>
      <c r="AX119" s="176"/>
      <c r="AY119" s="176"/>
      <c r="AZ119" s="176"/>
      <c r="BA119" s="176"/>
      <c r="BB119" s="176"/>
      <c r="BC119" s="176"/>
      <c r="BD119" s="176"/>
    </row>
    <row r="120" ht="15.75" customHeight="1">
      <c r="A120" s="176"/>
      <c r="B120" s="176"/>
      <c r="C120" s="176"/>
      <c r="D120" s="176"/>
      <c r="E120" s="176"/>
      <c r="F120" s="176"/>
      <c r="G120" s="178"/>
      <c r="H120" s="176"/>
      <c r="I120" s="176"/>
      <c r="J120" s="176"/>
      <c r="K120" s="176"/>
      <c r="L120" s="176"/>
      <c r="M120" s="176"/>
      <c r="N120" s="176"/>
      <c r="O120" s="176"/>
      <c r="P120" s="176"/>
      <c r="Q120" s="176"/>
      <c r="R120" s="176"/>
      <c r="S120" s="176"/>
      <c r="T120" s="176"/>
      <c r="U120" s="176"/>
      <c r="V120" s="176"/>
      <c r="W120" s="176"/>
      <c r="X120" s="176"/>
      <c r="Y120" s="176"/>
      <c r="Z120" s="176"/>
      <c r="AA120" s="176"/>
      <c r="AB120" s="176"/>
      <c r="AC120" s="176"/>
      <c r="AD120" s="176"/>
      <c r="AE120" s="176"/>
      <c r="AF120" s="176"/>
      <c r="AG120" s="176"/>
      <c r="AH120" s="176"/>
      <c r="AI120" s="176"/>
      <c r="AJ120" s="176"/>
      <c r="AK120" s="176"/>
      <c r="AL120" s="176"/>
      <c r="AM120" s="176"/>
      <c r="AN120" s="176"/>
      <c r="AO120" s="176"/>
      <c r="AP120" s="176"/>
      <c r="AQ120" s="176"/>
      <c r="AR120" s="176"/>
      <c r="AS120" s="176"/>
      <c r="AT120" s="176"/>
      <c r="AU120" s="176"/>
      <c r="AV120" s="176"/>
      <c r="AW120" s="176"/>
      <c r="AX120" s="176"/>
      <c r="AY120" s="176"/>
      <c r="AZ120" s="176"/>
      <c r="BA120" s="176"/>
      <c r="BB120" s="176"/>
      <c r="BC120" s="176"/>
      <c r="BD120" s="176"/>
    </row>
    <row r="121" ht="15.75" customHeight="1">
      <c r="A121" s="176"/>
      <c r="B121" s="176"/>
      <c r="C121" s="176"/>
      <c r="D121" s="176"/>
      <c r="E121" s="176"/>
      <c r="F121" s="176"/>
      <c r="G121" s="178"/>
      <c r="H121" s="176"/>
      <c r="I121" s="176"/>
      <c r="J121" s="176"/>
      <c r="K121" s="176"/>
      <c r="L121" s="176"/>
      <c r="M121" s="176"/>
      <c r="N121" s="176"/>
      <c r="O121" s="176"/>
      <c r="P121" s="176"/>
      <c r="Q121" s="176"/>
      <c r="R121" s="176"/>
      <c r="S121" s="176"/>
      <c r="T121" s="176"/>
      <c r="U121" s="176"/>
      <c r="V121" s="176"/>
      <c r="W121" s="176"/>
      <c r="X121" s="176"/>
      <c r="Y121" s="176"/>
      <c r="Z121" s="176"/>
      <c r="AA121" s="176"/>
      <c r="AB121" s="176"/>
      <c r="AC121" s="176"/>
      <c r="AD121" s="176"/>
      <c r="AE121" s="176"/>
      <c r="AF121" s="176"/>
      <c r="AG121" s="176"/>
      <c r="AH121" s="176"/>
      <c r="AI121" s="176"/>
      <c r="AJ121" s="176"/>
      <c r="AK121" s="176"/>
      <c r="AL121" s="176"/>
      <c r="AM121" s="176"/>
      <c r="AN121" s="176"/>
      <c r="AO121" s="176"/>
      <c r="AP121" s="176"/>
      <c r="AQ121" s="176"/>
      <c r="AR121" s="176"/>
      <c r="AS121" s="176"/>
      <c r="AT121" s="176"/>
      <c r="AU121" s="176"/>
      <c r="AV121" s="176"/>
      <c r="AW121" s="176"/>
      <c r="AX121" s="176"/>
      <c r="AY121" s="176"/>
      <c r="AZ121" s="176"/>
      <c r="BA121" s="176"/>
      <c r="BB121" s="176"/>
      <c r="BC121" s="176"/>
      <c r="BD121" s="176"/>
    </row>
    <row r="122" ht="15.75" customHeight="1">
      <c r="A122" s="176"/>
      <c r="B122" s="176"/>
      <c r="C122" s="176"/>
      <c r="D122" s="176"/>
      <c r="E122" s="176"/>
      <c r="F122" s="176"/>
      <c r="G122" s="178"/>
      <c r="H122" s="176"/>
      <c r="I122" s="176"/>
      <c r="J122" s="176"/>
      <c r="K122" s="176"/>
      <c r="L122" s="176"/>
      <c r="M122" s="176"/>
      <c r="N122" s="176"/>
      <c r="O122" s="176"/>
      <c r="P122" s="176"/>
      <c r="Q122" s="176"/>
      <c r="R122" s="176"/>
      <c r="S122" s="176"/>
      <c r="T122" s="176"/>
      <c r="U122" s="176"/>
      <c r="V122" s="176"/>
      <c r="W122" s="176"/>
      <c r="X122" s="176"/>
      <c r="Y122" s="176"/>
      <c r="Z122" s="176"/>
      <c r="AA122" s="176"/>
      <c r="AB122" s="176"/>
      <c r="AC122" s="176"/>
      <c r="AD122" s="176"/>
      <c r="AE122" s="176"/>
      <c r="AF122" s="176"/>
      <c r="AG122" s="176"/>
      <c r="AH122" s="176"/>
      <c r="AI122" s="176"/>
      <c r="AJ122" s="176"/>
      <c r="AK122" s="176"/>
      <c r="AL122" s="176"/>
      <c r="AM122" s="176"/>
      <c r="AN122" s="176"/>
      <c r="AO122" s="176"/>
      <c r="AP122" s="176"/>
      <c r="AQ122" s="176"/>
      <c r="AR122" s="176"/>
      <c r="AS122" s="176"/>
      <c r="AT122" s="176"/>
      <c r="AU122" s="176"/>
      <c r="AV122" s="176"/>
      <c r="AW122" s="176"/>
      <c r="AX122" s="176"/>
      <c r="AY122" s="176"/>
      <c r="AZ122" s="176"/>
      <c r="BA122" s="176"/>
      <c r="BB122" s="176"/>
      <c r="BC122" s="176"/>
      <c r="BD122" s="176"/>
    </row>
    <row r="123" ht="15.75" customHeight="1">
      <c r="A123" s="176"/>
      <c r="B123" s="176"/>
      <c r="C123" s="176"/>
      <c r="D123" s="176"/>
      <c r="E123" s="176"/>
      <c r="F123" s="176"/>
      <c r="G123" s="178"/>
      <c r="H123" s="176"/>
      <c r="I123" s="176"/>
      <c r="J123" s="176"/>
      <c r="K123" s="176"/>
      <c r="L123" s="176"/>
      <c r="M123" s="176"/>
      <c r="N123" s="176"/>
      <c r="O123" s="176"/>
      <c r="P123" s="176"/>
      <c r="Q123" s="176"/>
      <c r="R123" s="176"/>
      <c r="S123" s="176"/>
      <c r="T123" s="176"/>
      <c r="U123" s="176"/>
      <c r="V123" s="176"/>
      <c r="W123" s="176"/>
      <c r="X123" s="176"/>
      <c r="Y123" s="176"/>
      <c r="Z123" s="176"/>
      <c r="AA123" s="176"/>
      <c r="AB123" s="176"/>
      <c r="AC123" s="176"/>
      <c r="AD123" s="176"/>
      <c r="AE123" s="176"/>
      <c r="AF123" s="176"/>
      <c r="AG123" s="176"/>
      <c r="AH123" s="176"/>
      <c r="AI123" s="176"/>
      <c r="AJ123" s="176"/>
      <c r="AK123" s="176"/>
      <c r="AL123" s="176"/>
      <c r="AM123" s="176"/>
      <c r="AN123" s="176"/>
      <c r="AO123" s="176"/>
      <c r="AP123" s="176"/>
      <c r="AQ123" s="176"/>
      <c r="AR123" s="176"/>
      <c r="AS123" s="176"/>
      <c r="AT123" s="176"/>
      <c r="AU123" s="176"/>
      <c r="AV123" s="176"/>
      <c r="AW123" s="176"/>
      <c r="AX123" s="176"/>
      <c r="AY123" s="176"/>
      <c r="AZ123" s="176"/>
      <c r="BA123" s="176"/>
      <c r="BB123" s="176"/>
      <c r="BC123" s="176"/>
      <c r="BD123" s="176"/>
    </row>
    <row r="124" ht="15.75" customHeight="1">
      <c r="A124" s="176"/>
      <c r="B124" s="176"/>
      <c r="C124" s="176"/>
      <c r="D124" s="176"/>
      <c r="E124" s="176"/>
      <c r="F124" s="176"/>
      <c r="G124" s="178"/>
      <c r="H124" s="176"/>
      <c r="I124" s="176"/>
      <c r="J124" s="176"/>
      <c r="K124" s="176"/>
      <c r="L124" s="176"/>
      <c r="M124" s="176"/>
      <c r="N124" s="176"/>
      <c r="O124" s="176"/>
      <c r="P124" s="176"/>
      <c r="Q124" s="176"/>
      <c r="R124" s="176"/>
      <c r="S124" s="176"/>
      <c r="T124" s="176"/>
      <c r="U124" s="176"/>
      <c r="V124" s="176"/>
      <c r="W124" s="176"/>
      <c r="X124" s="176"/>
      <c r="Y124" s="176"/>
      <c r="Z124" s="176"/>
      <c r="AA124" s="176"/>
      <c r="AB124" s="176"/>
      <c r="AC124" s="176"/>
      <c r="AD124" s="176"/>
      <c r="AE124" s="176"/>
      <c r="AF124" s="176"/>
      <c r="AG124" s="176"/>
      <c r="AH124" s="176"/>
      <c r="AI124" s="176"/>
      <c r="AJ124" s="176"/>
      <c r="AK124" s="176"/>
      <c r="AL124" s="176"/>
      <c r="AM124" s="176"/>
      <c r="AN124" s="176"/>
      <c r="AO124" s="176"/>
      <c r="AP124" s="176"/>
      <c r="AQ124" s="176"/>
      <c r="AR124" s="176"/>
      <c r="AS124" s="176"/>
      <c r="AT124" s="176"/>
      <c r="AU124" s="176"/>
      <c r="AV124" s="176"/>
      <c r="AW124" s="176"/>
      <c r="AX124" s="176"/>
      <c r="AY124" s="176"/>
      <c r="AZ124" s="176"/>
      <c r="BA124" s="176"/>
      <c r="BB124" s="176"/>
      <c r="BC124" s="176"/>
      <c r="BD124" s="176"/>
    </row>
    <row r="125" ht="15.75" customHeight="1">
      <c r="A125" s="176"/>
      <c r="B125" s="176"/>
      <c r="C125" s="176"/>
      <c r="D125" s="176"/>
      <c r="E125" s="176"/>
      <c r="F125" s="176"/>
      <c r="G125" s="178"/>
      <c r="H125" s="176"/>
      <c r="I125" s="176"/>
      <c r="J125" s="176"/>
      <c r="K125" s="176"/>
      <c r="L125" s="176"/>
      <c r="M125" s="176"/>
      <c r="N125" s="176"/>
      <c r="O125" s="176"/>
      <c r="P125" s="176"/>
      <c r="Q125" s="176"/>
      <c r="R125" s="176"/>
      <c r="S125" s="176"/>
      <c r="T125" s="176"/>
      <c r="U125" s="176"/>
      <c r="V125" s="176"/>
      <c r="W125" s="176"/>
      <c r="X125" s="176"/>
      <c r="Y125" s="176"/>
      <c r="Z125" s="176"/>
      <c r="AA125" s="176"/>
      <c r="AB125" s="176"/>
      <c r="AC125" s="176"/>
      <c r="AD125" s="176"/>
      <c r="AE125" s="176"/>
      <c r="AF125" s="176"/>
      <c r="AG125" s="176"/>
      <c r="AH125" s="176"/>
      <c r="AI125" s="176"/>
      <c r="AJ125" s="176"/>
      <c r="AK125" s="176"/>
      <c r="AL125" s="176"/>
      <c r="AM125" s="176"/>
      <c r="AN125" s="176"/>
      <c r="AO125" s="176"/>
      <c r="AP125" s="176"/>
      <c r="AQ125" s="176"/>
      <c r="AR125" s="176"/>
      <c r="AS125" s="176"/>
      <c r="AT125" s="176"/>
      <c r="AU125" s="176"/>
      <c r="AV125" s="176"/>
      <c r="AW125" s="176"/>
      <c r="AX125" s="176"/>
      <c r="AY125" s="176"/>
      <c r="AZ125" s="176"/>
      <c r="BA125" s="176"/>
      <c r="BB125" s="176"/>
      <c r="BC125" s="176"/>
      <c r="BD125" s="176"/>
    </row>
    <row r="126" ht="15.75" customHeight="1">
      <c r="A126" s="176"/>
      <c r="B126" s="176"/>
      <c r="C126" s="176"/>
      <c r="D126" s="176"/>
      <c r="E126" s="176"/>
      <c r="F126" s="176"/>
      <c r="G126" s="178"/>
      <c r="H126" s="176"/>
      <c r="I126" s="176"/>
      <c r="J126" s="176"/>
      <c r="K126" s="176"/>
      <c r="L126" s="176"/>
      <c r="M126" s="176"/>
      <c r="N126" s="176"/>
      <c r="O126" s="176"/>
      <c r="P126" s="176"/>
      <c r="Q126" s="176"/>
      <c r="R126" s="176"/>
      <c r="S126" s="176"/>
      <c r="T126" s="176"/>
      <c r="U126" s="176"/>
      <c r="V126" s="176"/>
      <c r="W126" s="176"/>
      <c r="X126" s="176"/>
      <c r="Y126" s="176"/>
      <c r="Z126" s="176"/>
      <c r="AA126" s="176"/>
      <c r="AB126" s="176"/>
      <c r="AC126" s="176"/>
      <c r="AD126" s="176"/>
      <c r="AE126" s="176"/>
      <c r="AF126" s="176"/>
      <c r="AG126" s="176"/>
      <c r="AH126" s="176"/>
      <c r="AI126" s="176"/>
      <c r="AJ126" s="176"/>
      <c r="AK126" s="176"/>
      <c r="AL126" s="176"/>
      <c r="AM126" s="176"/>
      <c r="AN126" s="176"/>
      <c r="AO126" s="176"/>
      <c r="AP126" s="176"/>
      <c r="AQ126" s="176"/>
      <c r="AR126" s="176"/>
      <c r="AS126" s="176"/>
      <c r="AT126" s="176"/>
      <c r="AU126" s="176"/>
      <c r="AV126" s="176"/>
      <c r="AW126" s="176"/>
      <c r="AX126" s="176"/>
      <c r="AY126" s="176"/>
      <c r="AZ126" s="176"/>
      <c r="BA126" s="176"/>
      <c r="BB126" s="176"/>
      <c r="BC126" s="176"/>
      <c r="BD126" s="176"/>
    </row>
    <row r="127" ht="15.75" customHeight="1">
      <c r="A127" s="176"/>
      <c r="B127" s="176"/>
      <c r="C127" s="176"/>
      <c r="D127" s="176"/>
      <c r="E127" s="176"/>
      <c r="F127" s="176"/>
      <c r="G127" s="178"/>
      <c r="H127" s="176"/>
      <c r="I127" s="176"/>
      <c r="J127" s="176"/>
      <c r="K127" s="176"/>
      <c r="L127" s="176"/>
      <c r="M127" s="176"/>
      <c r="N127" s="176"/>
      <c r="O127" s="176"/>
      <c r="P127" s="176"/>
      <c r="Q127" s="176"/>
      <c r="R127" s="176"/>
      <c r="S127" s="176"/>
      <c r="T127" s="176"/>
      <c r="U127" s="176"/>
      <c r="V127" s="176"/>
      <c r="W127" s="176"/>
      <c r="X127" s="176"/>
      <c r="Y127" s="176"/>
      <c r="Z127" s="176"/>
      <c r="AA127" s="176"/>
      <c r="AB127" s="176"/>
      <c r="AC127" s="176"/>
      <c r="AD127" s="176"/>
      <c r="AE127" s="176"/>
      <c r="AF127" s="176"/>
      <c r="AG127" s="176"/>
      <c r="AH127" s="176"/>
      <c r="AI127" s="176"/>
      <c r="AJ127" s="176"/>
      <c r="AK127" s="176"/>
      <c r="AL127" s="176"/>
      <c r="AM127" s="176"/>
      <c r="AN127" s="176"/>
      <c r="AO127" s="176"/>
      <c r="AP127" s="176"/>
      <c r="AQ127" s="176"/>
      <c r="AR127" s="176"/>
      <c r="AS127" s="176"/>
      <c r="AT127" s="176"/>
      <c r="AU127" s="176"/>
      <c r="AV127" s="176"/>
      <c r="AW127" s="176"/>
      <c r="AX127" s="176"/>
      <c r="AY127" s="176"/>
      <c r="AZ127" s="176"/>
      <c r="BA127" s="176"/>
      <c r="BB127" s="176"/>
      <c r="BC127" s="176"/>
      <c r="BD127" s="176"/>
    </row>
    <row r="128" ht="15.75" customHeight="1">
      <c r="A128" s="176"/>
      <c r="B128" s="176"/>
      <c r="C128" s="176"/>
      <c r="D128" s="176"/>
      <c r="E128" s="176"/>
      <c r="F128" s="176"/>
      <c r="G128" s="178"/>
      <c r="H128" s="176"/>
      <c r="I128" s="176"/>
      <c r="J128" s="176"/>
      <c r="K128" s="176"/>
      <c r="L128" s="176"/>
      <c r="M128" s="176"/>
      <c r="N128" s="176"/>
      <c r="O128" s="176"/>
      <c r="P128" s="176"/>
      <c r="Q128" s="176"/>
      <c r="R128" s="176"/>
      <c r="S128" s="176"/>
      <c r="T128" s="176"/>
      <c r="U128" s="176"/>
      <c r="V128" s="176"/>
      <c r="W128" s="176"/>
      <c r="X128" s="176"/>
      <c r="Y128" s="176"/>
      <c r="Z128" s="176"/>
      <c r="AA128" s="176"/>
      <c r="AB128" s="176"/>
      <c r="AC128" s="176"/>
      <c r="AD128" s="176"/>
      <c r="AE128" s="176"/>
      <c r="AF128" s="176"/>
      <c r="AG128" s="176"/>
      <c r="AH128" s="176"/>
      <c r="AI128" s="176"/>
      <c r="AJ128" s="176"/>
      <c r="AK128" s="176"/>
      <c r="AL128" s="176"/>
      <c r="AM128" s="176"/>
      <c r="AN128" s="176"/>
      <c r="AO128" s="176"/>
      <c r="AP128" s="176"/>
      <c r="AQ128" s="176"/>
      <c r="AR128" s="176"/>
      <c r="AS128" s="176"/>
      <c r="AT128" s="176"/>
      <c r="AU128" s="176"/>
      <c r="AV128" s="176"/>
      <c r="AW128" s="176"/>
      <c r="AX128" s="176"/>
      <c r="AY128" s="176"/>
      <c r="AZ128" s="176"/>
      <c r="BA128" s="176"/>
      <c r="BB128" s="176"/>
      <c r="BC128" s="176"/>
      <c r="BD128" s="176"/>
    </row>
    <row r="129" ht="15.75" customHeight="1">
      <c r="A129" s="176"/>
      <c r="B129" s="176"/>
      <c r="C129" s="176"/>
      <c r="D129" s="176"/>
      <c r="E129" s="176"/>
      <c r="F129" s="176"/>
      <c r="G129" s="178"/>
      <c r="H129" s="176"/>
      <c r="I129" s="176"/>
      <c r="J129" s="176"/>
      <c r="K129" s="176"/>
      <c r="L129" s="176"/>
      <c r="M129" s="176"/>
      <c r="N129" s="176"/>
      <c r="O129" s="176"/>
      <c r="P129" s="176"/>
      <c r="Q129" s="176"/>
      <c r="R129" s="176"/>
      <c r="S129" s="176"/>
      <c r="T129" s="176"/>
      <c r="U129" s="176"/>
      <c r="V129" s="176"/>
      <c r="W129" s="176"/>
      <c r="X129" s="176"/>
      <c r="Y129" s="176"/>
      <c r="Z129" s="176"/>
      <c r="AA129" s="176"/>
      <c r="AB129" s="176"/>
      <c r="AC129" s="176"/>
      <c r="AD129" s="176"/>
      <c r="AE129" s="176"/>
      <c r="AF129" s="176"/>
      <c r="AG129" s="176"/>
      <c r="AH129" s="176"/>
      <c r="AI129" s="176"/>
      <c r="AJ129" s="176"/>
      <c r="AK129" s="176"/>
      <c r="AL129" s="176"/>
      <c r="AM129" s="176"/>
      <c r="AN129" s="176"/>
      <c r="AO129" s="176"/>
      <c r="AP129" s="176"/>
      <c r="AQ129" s="176"/>
      <c r="AR129" s="176"/>
      <c r="AS129" s="176"/>
      <c r="AT129" s="176"/>
      <c r="AU129" s="176"/>
      <c r="AV129" s="176"/>
      <c r="AW129" s="176"/>
      <c r="AX129" s="176"/>
      <c r="AY129" s="176"/>
      <c r="AZ129" s="176"/>
      <c r="BA129" s="176"/>
      <c r="BB129" s="176"/>
      <c r="BC129" s="176"/>
      <c r="BD129" s="176"/>
    </row>
    <row r="130" ht="15.75" customHeight="1">
      <c r="A130" s="176"/>
      <c r="B130" s="176"/>
      <c r="C130" s="176"/>
      <c r="D130" s="176"/>
      <c r="E130" s="176"/>
      <c r="F130" s="176"/>
      <c r="G130" s="178"/>
      <c r="H130" s="176"/>
      <c r="I130" s="176"/>
      <c r="J130" s="176"/>
      <c r="K130" s="176"/>
      <c r="L130" s="176"/>
      <c r="M130" s="176"/>
      <c r="N130" s="176"/>
      <c r="O130" s="176"/>
      <c r="P130" s="176"/>
      <c r="Q130" s="176"/>
      <c r="R130" s="176"/>
      <c r="S130" s="176"/>
      <c r="T130" s="176"/>
      <c r="U130" s="176"/>
      <c r="V130" s="176"/>
      <c r="W130" s="176"/>
      <c r="X130" s="176"/>
      <c r="Y130" s="176"/>
      <c r="Z130" s="176"/>
      <c r="AA130" s="176"/>
      <c r="AB130" s="176"/>
      <c r="AC130" s="176"/>
      <c r="AD130" s="176"/>
      <c r="AE130" s="176"/>
      <c r="AF130" s="176"/>
      <c r="AG130" s="176"/>
      <c r="AH130" s="176"/>
      <c r="AI130" s="176"/>
      <c r="AJ130" s="176"/>
      <c r="AK130" s="176"/>
      <c r="AL130" s="176"/>
      <c r="AM130" s="176"/>
      <c r="AN130" s="176"/>
      <c r="AO130" s="176"/>
      <c r="AP130" s="176"/>
      <c r="AQ130" s="176"/>
      <c r="AR130" s="176"/>
      <c r="AS130" s="176"/>
      <c r="AT130" s="176"/>
      <c r="AU130" s="176"/>
      <c r="AV130" s="176"/>
      <c r="AW130" s="176"/>
      <c r="AX130" s="176"/>
      <c r="AY130" s="176"/>
      <c r="AZ130" s="176"/>
      <c r="BA130" s="176"/>
      <c r="BB130" s="176"/>
      <c r="BC130" s="176"/>
      <c r="BD130" s="176"/>
    </row>
    <row r="131" ht="15.75" customHeight="1">
      <c r="A131" s="176"/>
      <c r="B131" s="176"/>
      <c r="C131" s="176"/>
      <c r="D131" s="176"/>
      <c r="E131" s="176"/>
      <c r="F131" s="176"/>
      <c r="G131" s="178"/>
      <c r="H131" s="176"/>
      <c r="I131" s="176"/>
      <c r="J131" s="176"/>
      <c r="K131" s="176"/>
      <c r="L131" s="176"/>
      <c r="M131" s="176"/>
      <c r="N131" s="176"/>
      <c r="O131" s="176"/>
      <c r="P131" s="176"/>
      <c r="Q131" s="176"/>
      <c r="R131" s="176"/>
      <c r="S131" s="176"/>
      <c r="T131" s="176"/>
      <c r="U131" s="176"/>
      <c r="V131" s="176"/>
      <c r="W131" s="176"/>
      <c r="X131" s="176"/>
      <c r="Y131" s="176"/>
      <c r="Z131" s="176"/>
      <c r="AA131" s="176"/>
      <c r="AB131" s="176"/>
      <c r="AC131" s="176"/>
      <c r="AD131" s="176"/>
      <c r="AE131" s="176"/>
      <c r="AF131" s="176"/>
      <c r="AG131" s="176"/>
      <c r="AH131" s="176"/>
      <c r="AI131" s="176"/>
      <c r="AJ131" s="176"/>
      <c r="AK131" s="176"/>
      <c r="AL131" s="176"/>
      <c r="AM131" s="176"/>
      <c r="AN131" s="176"/>
      <c r="AO131" s="176"/>
      <c r="AP131" s="176"/>
      <c r="AQ131" s="176"/>
      <c r="AR131" s="176"/>
      <c r="AS131" s="176"/>
      <c r="AT131" s="176"/>
      <c r="AU131" s="176"/>
      <c r="AV131" s="176"/>
      <c r="AW131" s="176"/>
      <c r="AX131" s="176"/>
      <c r="AY131" s="176"/>
      <c r="AZ131" s="176"/>
      <c r="BA131" s="176"/>
      <c r="BB131" s="176"/>
      <c r="BC131" s="176"/>
      <c r="BD131" s="176"/>
    </row>
    <row r="132" ht="15.75" customHeight="1">
      <c r="A132" s="176"/>
      <c r="B132" s="176"/>
      <c r="C132" s="176"/>
      <c r="D132" s="176"/>
      <c r="E132" s="176"/>
      <c r="F132" s="176"/>
      <c r="G132" s="178"/>
      <c r="H132" s="176"/>
      <c r="I132" s="176"/>
      <c r="J132" s="176"/>
      <c r="K132" s="176"/>
      <c r="L132" s="176"/>
      <c r="M132" s="176"/>
      <c r="N132" s="176"/>
      <c r="O132" s="176"/>
      <c r="P132" s="176"/>
      <c r="Q132" s="176"/>
      <c r="R132" s="176"/>
      <c r="S132" s="176"/>
      <c r="T132" s="176"/>
      <c r="U132" s="176"/>
      <c r="V132" s="176"/>
      <c r="W132" s="176"/>
      <c r="X132" s="176"/>
      <c r="Y132" s="176"/>
      <c r="Z132" s="176"/>
      <c r="AA132" s="176"/>
      <c r="AB132" s="176"/>
      <c r="AC132" s="176"/>
      <c r="AD132" s="176"/>
      <c r="AE132" s="176"/>
      <c r="AF132" s="176"/>
      <c r="AG132" s="176"/>
      <c r="AH132" s="176"/>
      <c r="AI132" s="176"/>
      <c r="AJ132" s="176"/>
      <c r="AK132" s="176"/>
      <c r="AL132" s="176"/>
      <c r="AM132" s="176"/>
      <c r="AN132" s="176"/>
      <c r="AO132" s="176"/>
      <c r="AP132" s="176"/>
      <c r="AQ132" s="176"/>
      <c r="AR132" s="176"/>
      <c r="AS132" s="176"/>
      <c r="AT132" s="176"/>
      <c r="AU132" s="176"/>
      <c r="AV132" s="176"/>
      <c r="AW132" s="176"/>
      <c r="AX132" s="176"/>
      <c r="AY132" s="176"/>
      <c r="AZ132" s="176"/>
      <c r="BA132" s="176"/>
      <c r="BB132" s="176"/>
      <c r="BC132" s="176"/>
      <c r="BD132" s="176"/>
    </row>
    <row r="133" ht="15.75" customHeight="1">
      <c r="A133" s="176"/>
      <c r="B133" s="176"/>
      <c r="C133" s="176"/>
      <c r="D133" s="176"/>
      <c r="E133" s="176"/>
      <c r="F133" s="176"/>
      <c r="G133" s="178"/>
      <c r="H133" s="176"/>
      <c r="I133" s="176"/>
      <c r="J133" s="176"/>
      <c r="K133" s="176"/>
      <c r="L133" s="176"/>
      <c r="M133" s="176"/>
      <c r="N133" s="176"/>
      <c r="O133" s="176"/>
      <c r="P133" s="176"/>
      <c r="Q133" s="176"/>
      <c r="R133" s="176"/>
      <c r="S133" s="176"/>
      <c r="T133" s="176"/>
      <c r="U133" s="176"/>
      <c r="V133" s="176"/>
      <c r="W133" s="176"/>
      <c r="X133" s="176"/>
      <c r="Y133" s="176"/>
      <c r="Z133" s="176"/>
      <c r="AA133" s="176"/>
      <c r="AB133" s="176"/>
      <c r="AC133" s="176"/>
      <c r="AD133" s="176"/>
      <c r="AE133" s="176"/>
      <c r="AF133" s="176"/>
      <c r="AG133" s="176"/>
      <c r="AH133" s="176"/>
      <c r="AI133" s="176"/>
      <c r="AJ133" s="176"/>
      <c r="AK133" s="176"/>
      <c r="AL133" s="176"/>
      <c r="AM133" s="176"/>
      <c r="AN133" s="176"/>
      <c r="AO133" s="176"/>
      <c r="AP133" s="176"/>
      <c r="AQ133" s="176"/>
      <c r="AR133" s="176"/>
      <c r="AS133" s="176"/>
      <c r="AT133" s="176"/>
      <c r="AU133" s="176"/>
      <c r="AV133" s="176"/>
      <c r="AW133" s="176"/>
      <c r="AX133" s="176"/>
      <c r="AY133" s="176"/>
      <c r="AZ133" s="176"/>
      <c r="BA133" s="176"/>
      <c r="BB133" s="176"/>
      <c r="BC133" s="176"/>
      <c r="BD133" s="176"/>
    </row>
    <row r="134" ht="15.75" customHeight="1">
      <c r="A134" s="176"/>
      <c r="B134" s="176"/>
      <c r="C134" s="176"/>
      <c r="D134" s="176"/>
      <c r="E134" s="176"/>
      <c r="F134" s="176"/>
      <c r="G134" s="178"/>
      <c r="H134" s="176"/>
      <c r="I134" s="176"/>
      <c r="J134" s="176"/>
      <c r="K134" s="176"/>
      <c r="L134" s="176"/>
      <c r="M134" s="176"/>
      <c r="N134" s="176"/>
      <c r="O134" s="176"/>
      <c r="P134" s="176"/>
      <c r="Q134" s="176"/>
      <c r="R134" s="176"/>
      <c r="S134" s="176"/>
      <c r="T134" s="176"/>
      <c r="U134" s="176"/>
      <c r="V134" s="176"/>
      <c r="W134" s="176"/>
      <c r="X134" s="176"/>
      <c r="Y134" s="176"/>
      <c r="Z134" s="176"/>
      <c r="AA134" s="176"/>
      <c r="AB134" s="176"/>
      <c r="AC134" s="176"/>
      <c r="AD134" s="176"/>
      <c r="AE134" s="176"/>
      <c r="AF134" s="176"/>
      <c r="AG134" s="176"/>
      <c r="AH134" s="176"/>
      <c r="AI134" s="176"/>
      <c r="AJ134" s="176"/>
      <c r="AK134" s="176"/>
      <c r="AL134" s="176"/>
      <c r="AM134" s="176"/>
      <c r="AN134" s="176"/>
      <c r="AO134" s="176"/>
      <c r="AP134" s="176"/>
      <c r="AQ134" s="176"/>
      <c r="AR134" s="176"/>
      <c r="AS134" s="176"/>
      <c r="AT134" s="176"/>
      <c r="AU134" s="176"/>
      <c r="AV134" s="176"/>
      <c r="AW134" s="176"/>
      <c r="AX134" s="176"/>
      <c r="AY134" s="176"/>
      <c r="AZ134" s="176"/>
      <c r="BA134" s="176"/>
      <c r="BB134" s="176"/>
      <c r="BC134" s="176"/>
      <c r="BD134" s="176"/>
    </row>
    <row r="135" ht="15.75" customHeight="1">
      <c r="A135" s="176"/>
      <c r="B135" s="176"/>
      <c r="C135" s="176"/>
      <c r="D135" s="176"/>
      <c r="E135" s="176"/>
      <c r="F135" s="176"/>
      <c r="G135" s="178"/>
      <c r="H135" s="176"/>
      <c r="I135" s="176"/>
      <c r="J135" s="176"/>
      <c r="K135" s="176"/>
      <c r="L135" s="176"/>
      <c r="M135" s="176"/>
      <c r="N135" s="176"/>
      <c r="O135" s="176"/>
      <c r="P135" s="176"/>
      <c r="Q135" s="176"/>
      <c r="R135" s="176"/>
      <c r="S135" s="176"/>
      <c r="T135" s="176"/>
      <c r="U135" s="176"/>
      <c r="V135" s="176"/>
      <c r="W135" s="176"/>
      <c r="X135" s="176"/>
      <c r="Y135" s="176"/>
      <c r="Z135" s="176"/>
      <c r="AA135" s="176"/>
      <c r="AB135" s="176"/>
      <c r="AC135" s="176"/>
      <c r="AD135" s="176"/>
      <c r="AE135" s="176"/>
      <c r="AF135" s="176"/>
      <c r="AG135" s="176"/>
      <c r="AH135" s="176"/>
      <c r="AI135" s="176"/>
      <c r="AJ135" s="176"/>
      <c r="AK135" s="176"/>
      <c r="AL135" s="176"/>
      <c r="AM135" s="176"/>
      <c r="AN135" s="176"/>
      <c r="AO135" s="176"/>
      <c r="AP135" s="176"/>
      <c r="AQ135" s="176"/>
      <c r="AR135" s="176"/>
      <c r="AS135" s="176"/>
      <c r="AT135" s="176"/>
      <c r="AU135" s="176"/>
      <c r="AV135" s="176"/>
      <c r="AW135" s="176"/>
      <c r="AX135" s="176"/>
      <c r="AY135" s="176"/>
      <c r="AZ135" s="176"/>
      <c r="BA135" s="176"/>
      <c r="BB135" s="176"/>
      <c r="BC135" s="176"/>
      <c r="BD135" s="176"/>
    </row>
    <row r="136" ht="15.75" customHeight="1">
      <c r="A136" s="176"/>
      <c r="B136" s="176"/>
      <c r="C136" s="176"/>
      <c r="D136" s="176"/>
      <c r="E136" s="176"/>
      <c r="F136" s="176"/>
      <c r="G136" s="178"/>
      <c r="H136" s="176"/>
      <c r="I136" s="176"/>
      <c r="J136" s="176"/>
      <c r="K136" s="176"/>
      <c r="L136" s="176"/>
      <c r="M136" s="176"/>
      <c r="N136" s="176"/>
      <c r="O136" s="176"/>
      <c r="P136" s="176"/>
      <c r="Q136" s="176"/>
      <c r="R136" s="176"/>
      <c r="S136" s="176"/>
      <c r="T136" s="176"/>
      <c r="U136" s="176"/>
      <c r="V136" s="176"/>
      <c r="W136" s="176"/>
      <c r="X136" s="176"/>
      <c r="Y136" s="176"/>
      <c r="Z136" s="176"/>
      <c r="AA136" s="176"/>
      <c r="AB136" s="176"/>
      <c r="AC136" s="176"/>
      <c r="AD136" s="176"/>
      <c r="AE136" s="176"/>
      <c r="AF136" s="176"/>
      <c r="AG136" s="176"/>
      <c r="AH136" s="176"/>
      <c r="AI136" s="176"/>
      <c r="AJ136" s="176"/>
      <c r="AK136" s="176"/>
      <c r="AL136" s="176"/>
      <c r="AM136" s="176"/>
      <c r="AN136" s="176"/>
      <c r="AO136" s="176"/>
      <c r="AP136" s="176"/>
      <c r="AQ136" s="176"/>
      <c r="AR136" s="176"/>
      <c r="AS136" s="176"/>
      <c r="AT136" s="176"/>
      <c r="AU136" s="176"/>
      <c r="AV136" s="176"/>
      <c r="AW136" s="176"/>
      <c r="AX136" s="176"/>
      <c r="AY136" s="176"/>
      <c r="AZ136" s="176"/>
      <c r="BA136" s="176"/>
      <c r="BB136" s="176"/>
      <c r="BC136" s="176"/>
      <c r="BD136" s="176"/>
    </row>
    <row r="137" ht="15.75" customHeight="1">
      <c r="A137" s="176"/>
      <c r="B137" s="176"/>
      <c r="C137" s="176"/>
      <c r="D137" s="176"/>
      <c r="E137" s="176"/>
      <c r="F137" s="176"/>
      <c r="G137" s="178"/>
      <c r="H137" s="176"/>
      <c r="I137" s="176"/>
      <c r="J137" s="176"/>
      <c r="K137" s="176"/>
      <c r="L137" s="176"/>
      <c r="M137" s="176"/>
      <c r="N137" s="176"/>
      <c r="O137" s="176"/>
      <c r="P137" s="176"/>
      <c r="Q137" s="176"/>
      <c r="R137" s="176"/>
      <c r="S137" s="176"/>
      <c r="T137" s="176"/>
      <c r="U137" s="176"/>
      <c r="V137" s="176"/>
      <c r="W137" s="176"/>
      <c r="X137" s="176"/>
      <c r="Y137" s="176"/>
      <c r="Z137" s="176"/>
      <c r="AA137" s="176"/>
      <c r="AB137" s="176"/>
      <c r="AC137" s="176"/>
      <c r="AD137" s="176"/>
      <c r="AE137" s="176"/>
      <c r="AF137" s="176"/>
      <c r="AG137" s="176"/>
      <c r="AH137" s="176"/>
      <c r="AI137" s="176"/>
      <c r="AJ137" s="176"/>
      <c r="AK137" s="176"/>
      <c r="AL137" s="176"/>
      <c r="AM137" s="176"/>
      <c r="AN137" s="176"/>
      <c r="AO137" s="176"/>
      <c r="AP137" s="176"/>
      <c r="AQ137" s="176"/>
      <c r="AR137" s="176"/>
      <c r="AS137" s="176"/>
      <c r="AT137" s="176"/>
      <c r="AU137" s="176"/>
      <c r="AV137" s="176"/>
      <c r="AW137" s="176"/>
      <c r="AX137" s="176"/>
      <c r="AY137" s="176"/>
      <c r="AZ137" s="176"/>
      <c r="BA137" s="176"/>
      <c r="BB137" s="176"/>
      <c r="BC137" s="176"/>
      <c r="BD137" s="176"/>
    </row>
    <row r="138" ht="15.75" customHeight="1">
      <c r="A138" s="176"/>
      <c r="B138" s="176"/>
      <c r="C138" s="176"/>
      <c r="D138" s="176"/>
      <c r="E138" s="176"/>
      <c r="F138" s="176"/>
      <c r="G138" s="178"/>
      <c r="H138" s="176"/>
      <c r="I138" s="176"/>
      <c r="J138" s="176"/>
      <c r="K138" s="176"/>
      <c r="L138" s="176"/>
      <c r="M138" s="176"/>
      <c r="N138" s="176"/>
      <c r="O138" s="176"/>
      <c r="P138" s="176"/>
      <c r="Q138" s="176"/>
      <c r="R138" s="176"/>
      <c r="S138" s="176"/>
      <c r="T138" s="176"/>
      <c r="U138" s="176"/>
      <c r="V138" s="176"/>
      <c r="W138" s="176"/>
      <c r="X138" s="176"/>
      <c r="Y138" s="176"/>
      <c r="Z138" s="176"/>
      <c r="AA138" s="176"/>
      <c r="AB138" s="176"/>
      <c r="AC138" s="176"/>
      <c r="AD138" s="176"/>
      <c r="AE138" s="176"/>
      <c r="AF138" s="176"/>
      <c r="AG138" s="176"/>
      <c r="AH138" s="176"/>
      <c r="AI138" s="176"/>
      <c r="AJ138" s="176"/>
      <c r="AK138" s="176"/>
      <c r="AL138" s="176"/>
      <c r="AM138" s="176"/>
      <c r="AN138" s="176"/>
      <c r="AO138" s="176"/>
      <c r="AP138" s="176"/>
      <c r="AQ138" s="176"/>
      <c r="AR138" s="176"/>
      <c r="AS138" s="176"/>
      <c r="AT138" s="176"/>
      <c r="AU138" s="176"/>
      <c r="AV138" s="176"/>
      <c r="AW138" s="176"/>
      <c r="AX138" s="176"/>
      <c r="AY138" s="176"/>
      <c r="AZ138" s="176"/>
      <c r="BA138" s="176"/>
      <c r="BB138" s="176"/>
      <c r="BC138" s="176"/>
      <c r="BD138" s="176"/>
    </row>
    <row r="139" ht="15.75" customHeight="1">
      <c r="A139" s="176"/>
      <c r="B139" s="176"/>
      <c r="C139" s="176"/>
      <c r="D139" s="176"/>
      <c r="E139" s="176"/>
      <c r="F139" s="176"/>
      <c r="G139" s="178"/>
      <c r="H139" s="176"/>
      <c r="I139" s="176"/>
      <c r="J139" s="176"/>
      <c r="K139" s="176"/>
      <c r="L139" s="176"/>
      <c r="M139" s="176"/>
      <c r="N139" s="176"/>
      <c r="O139" s="176"/>
      <c r="P139" s="176"/>
      <c r="Q139" s="176"/>
      <c r="R139" s="176"/>
      <c r="S139" s="176"/>
      <c r="T139" s="176"/>
      <c r="U139" s="176"/>
      <c r="V139" s="176"/>
      <c r="W139" s="176"/>
      <c r="X139" s="176"/>
      <c r="Y139" s="176"/>
      <c r="Z139" s="176"/>
      <c r="AA139" s="176"/>
      <c r="AB139" s="176"/>
      <c r="AC139" s="176"/>
      <c r="AD139" s="176"/>
      <c r="AE139" s="176"/>
      <c r="AF139" s="176"/>
      <c r="AG139" s="176"/>
      <c r="AH139" s="176"/>
      <c r="AI139" s="176"/>
      <c r="AJ139" s="176"/>
      <c r="AK139" s="176"/>
      <c r="AL139" s="176"/>
      <c r="AM139" s="176"/>
      <c r="AN139" s="176"/>
      <c r="AO139" s="176"/>
      <c r="AP139" s="176"/>
      <c r="AQ139" s="176"/>
      <c r="AR139" s="176"/>
      <c r="AS139" s="176"/>
      <c r="AT139" s="176"/>
      <c r="AU139" s="176"/>
      <c r="AV139" s="176"/>
      <c r="AW139" s="176"/>
      <c r="AX139" s="176"/>
      <c r="AY139" s="176"/>
      <c r="AZ139" s="176"/>
      <c r="BA139" s="176"/>
      <c r="BB139" s="176"/>
      <c r="BC139" s="176"/>
      <c r="BD139" s="176"/>
    </row>
    <row r="140" ht="15.75" customHeight="1">
      <c r="A140" s="176"/>
      <c r="B140" s="176"/>
      <c r="C140" s="176"/>
      <c r="D140" s="176"/>
      <c r="E140" s="176"/>
      <c r="F140" s="176"/>
      <c r="G140" s="178"/>
      <c r="H140" s="176"/>
      <c r="I140" s="176"/>
      <c r="J140" s="176"/>
      <c r="K140" s="176"/>
      <c r="L140" s="176"/>
      <c r="M140" s="176"/>
      <c r="N140" s="176"/>
      <c r="O140" s="176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  <c r="AA140" s="176"/>
      <c r="AB140" s="176"/>
      <c r="AC140" s="176"/>
      <c r="AD140" s="176"/>
      <c r="AE140" s="176"/>
      <c r="AF140" s="176"/>
      <c r="AG140" s="176"/>
      <c r="AH140" s="176"/>
      <c r="AI140" s="176"/>
      <c r="AJ140" s="176"/>
      <c r="AK140" s="176"/>
      <c r="AL140" s="176"/>
      <c r="AM140" s="176"/>
      <c r="AN140" s="176"/>
      <c r="AO140" s="176"/>
      <c r="AP140" s="176"/>
      <c r="AQ140" s="176"/>
      <c r="AR140" s="176"/>
      <c r="AS140" s="176"/>
      <c r="AT140" s="176"/>
      <c r="AU140" s="176"/>
      <c r="AV140" s="176"/>
      <c r="AW140" s="176"/>
      <c r="AX140" s="176"/>
      <c r="AY140" s="176"/>
      <c r="AZ140" s="176"/>
      <c r="BA140" s="176"/>
      <c r="BB140" s="176"/>
      <c r="BC140" s="176"/>
      <c r="BD140" s="176"/>
    </row>
    <row r="141" ht="15.75" customHeight="1">
      <c r="A141" s="176"/>
      <c r="B141" s="176"/>
      <c r="C141" s="176"/>
      <c r="D141" s="176"/>
      <c r="E141" s="176"/>
      <c r="F141" s="176"/>
      <c r="G141" s="178"/>
      <c r="H141" s="176"/>
      <c r="I141" s="176"/>
      <c r="J141" s="176"/>
      <c r="K141" s="176"/>
      <c r="L141" s="176"/>
      <c r="M141" s="176"/>
      <c r="N141" s="176"/>
      <c r="O141" s="176"/>
      <c r="P141" s="176"/>
      <c r="Q141" s="176"/>
      <c r="R141" s="176"/>
      <c r="S141" s="176"/>
      <c r="T141" s="176"/>
      <c r="U141" s="176"/>
      <c r="V141" s="176"/>
      <c r="W141" s="176"/>
      <c r="X141" s="176"/>
      <c r="Y141" s="176"/>
      <c r="Z141" s="176"/>
      <c r="AA141" s="176"/>
      <c r="AB141" s="176"/>
      <c r="AC141" s="176"/>
      <c r="AD141" s="176"/>
      <c r="AE141" s="176"/>
      <c r="AF141" s="176"/>
      <c r="AG141" s="176"/>
      <c r="AH141" s="176"/>
      <c r="AI141" s="176"/>
      <c r="AJ141" s="176"/>
      <c r="AK141" s="176"/>
      <c r="AL141" s="176"/>
      <c r="AM141" s="176"/>
      <c r="AN141" s="176"/>
      <c r="AO141" s="176"/>
      <c r="AP141" s="176"/>
      <c r="AQ141" s="176"/>
      <c r="AR141" s="176"/>
      <c r="AS141" s="176"/>
      <c r="AT141" s="176"/>
      <c r="AU141" s="176"/>
      <c r="AV141" s="176"/>
      <c r="AW141" s="176"/>
      <c r="AX141" s="176"/>
      <c r="AY141" s="176"/>
      <c r="AZ141" s="176"/>
      <c r="BA141" s="176"/>
      <c r="BB141" s="176"/>
      <c r="BC141" s="176"/>
      <c r="BD141" s="176"/>
    </row>
    <row r="142" ht="15.75" customHeight="1">
      <c r="A142" s="176"/>
      <c r="B142" s="176"/>
      <c r="C142" s="176"/>
      <c r="D142" s="176"/>
      <c r="E142" s="176"/>
      <c r="F142" s="176"/>
      <c r="G142" s="178"/>
      <c r="H142" s="176"/>
      <c r="I142" s="176"/>
      <c r="J142" s="176"/>
      <c r="K142" s="176"/>
      <c r="L142" s="176"/>
      <c r="M142" s="176"/>
      <c r="N142" s="176"/>
      <c r="O142" s="176"/>
      <c r="P142" s="176"/>
      <c r="Q142" s="176"/>
      <c r="R142" s="176"/>
      <c r="S142" s="176"/>
      <c r="T142" s="176"/>
      <c r="U142" s="176"/>
      <c r="V142" s="176"/>
      <c r="W142" s="176"/>
      <c r="X142" s="176"/>
      <c r="Y142" s="176"/>
      <c r="Z142" s="176"/>
      <c r="AA142" s="176"/>
      <c r="AB142" s="176"/>
      <c r="AC142" s="176"/>
      <c r="AD142" s="176"/>
      <c r="AE142" s="176"/>
      <c r="AF142" s="176"/>
      <c r="AG142" s="176"/>
      <c r="AH142" s="176"/>
      <c r="AI142" s="176"/>
      <c r="AJ142" s="176"/>
      <c r="AK142" s="176"/>
      <c r="AL142" s="176"/>
      <c r="AM142" s="176"/>
      <c r="AN142" s="176"/>
      <c r="AO142" s="176"/>
      <c r="AP142" s="176"/>
      <c r="AQ142" s="176"/>
      <c r="AR142" s="176"/>
      <c r="AS142" s="176"/>
      <c r="AT142" s="176"/>
      <c r="AU142" s="176"/>
      <c r="AV142" s="176"/>
      <c r="AW142" s="176"/>
      <c r="AX142" s="176"/>
      <c r="AY142" s="176"/>
      <c r="AZ142" s="176"/>
      <c r="BA142" s="176"/>
      <c r="BB142" s="176"/>
      <c r="BC142" s="176"/>
      <c r="BD142" s="176"/>
    </row>
    <row r="143" ht="15.75" customHeight="1">
      <c r="A143" s="176"/>
      <c r="B143" s="176"/>
      <c r="C143" s="176"/>
      <c r="D143" s="176"/>
      <c r="E143" s="176"/>
      <c r="F143" s="176"/>
      <c r="G143" s="178"/>
      <c r="H143" s="176"/>
      <c r="I143" s="176"/>
      <c r="J143" s="176"/>
      <c r="K143" s="176"/>
      <c r="L143" s="176"/>
      <c r="M143" s="176"/>
      <c r="N143" s="176"/>
      <c r="O143" s="176"/>
      <c r="P143" s="176"/>
      <c r="Q143" s="176"/>
      <c r="R143" s="176"/>
      <c r="S143" s="176"/>
      <c r="T143" s="176"/>
      <c r="U143" s="176"/>
      <c r="V143" s="176"/>
      <c r="W143" s="176"/>
      <c r="X143" s="176"/>
      <c r="Y143" s="176"/>
      <c r="Z143" s="176"/>
      <c r="AA143" s="176"/>
      <c r="AB143" s="176"/>
      <c r="AC143" s="176"/>
      <c r="AD143" s="176"/>
      <c r="AE143" s="176"/>
      <c r="AF143" s="176"/>
      <c r="AG143" s="176"/>
      <c r="AH143" s="176"/>
      <c r="AI143" s="176"/>
      <c r="AJ143" s="176"/>
      <c r="AK143" s="176"/>
      <c r="AL143" s="176"/>
      <c r="AM143" s="176"/>
      <c r="AN143" s="176"/>
      <c r="AO143" s="176"/>
      <c r="AP143" s="176"/>
      <c r="AQ143" s="176"/>
      <c r="AR143" s="176"/>
      <c r="AS143" s="176"/>
      <c r="AT143" s="176"/>
      <c r="AU143" s="176"/>
      <c r="AV143" s="176"/>
      <c r="AW143" s="176"/>
      <c r="AX143" s="176"/>
      <c r="AY143" s="176"/>
      <c r="AZ143" s="176"/>
      <c r="BA143" s="176"/>
      <c r="BB143" s="176"/>
      <c r="BC143" s="176"/>
      <c r="BD143" s="176"/>
    </row>
    <row r="144" ht="15.75" customHeight="1">
      <c r="A144" s="176"/>
      <c r="B144" s="176"/>
      <c r="C144" s="176"/>
      <c r="D144" s="176"/>
      <c r="E144" s="176"/>
      <c r="F144" s="176"/>
      <c r="G144" s="178"/>
      <c r="H144" s="176"/>
      <c r="I144" s="176"/>
      <c r="J144" s="176"/>
      <c r="K144" s="176"/>
      <c r="L144" s="176"/>
      <c r="M144" s="176"/>
      <c r="N144" s="176"/>
      <c r="O144" s="176"/>
      <c r="P144" s="176"/>
      <c r="Q144" s="176"/>
      <c r="R144" s="176"/>
      <c r="S144" s="176"/>
      <c r="T144" s="176"/>
      <c r="U144" s="176"/>
      <c r="V144" s="176"/>
      <c r="W144" s="176"/>
      <c r="X144" s="176"/>
      <c r="Y144" s="176"/>
      <c r="Z144" s="176"/>
      <c r="AA144" s="176"/>
      <c r="AB144" s="176"/>
      <c r="AC144" s="176"/>
      <c r="AD144" s="176"/>
      <c r="AE144" s="176"/>
      <c r="AF144" s="176"/>
      <c r="AG144" s="176"/>
      <c r="AH144" s="176"/>
      <c r="AI144" s="176"/>
      <c r="AJ144" s="176"/>
      <c r="AK144" s="176"/>
      <c r="AL144" s="176"/>
      <c r="AM144" s="176"/>
      <c r="AN144" s="176"/>
      <c r="AO144" s="176"/>
      <c r="AP144" s="176"/>
      <c r="AQ144" s="176"/>
      <c r="AR144" s="176"/>
      <c r="AS144" s="176"/>
      <c r="AT144" s="176"/>
      <c r="AU144" s="176"/>
      <c r="AV144" s="176"/>
      <c r="AW144" s="176"/>
      <c r="AX144" s="176"/>
      <c r="AY144" s="176"/>
      <c r="AZ144" s="176"/>
      <c r="BA144" s="176"/>
      <c r="BB144" s="176"/>
      <c r="BC144" s="176"/>
      <c r="BD144" s="176"/>
    </row>
    <row r="145" ht="15.75" customHeight="1">
      <c r="A145" s="176"/>
      <c r="B145" s="176"/>
      <c r="C145" s="176"/>
      <c r="D145" s="176"/>
      <c r="E145" s="176"/>
      <c r="F145" s="176"/>
      <c r="G145" s="178"/>
      <c r="H145" s="176"/>
      <c r="I145" s="176"/>
      <c r="J145" s="176"/>
      <c r="K145" s="176"/>
      <c r="L145" s="176"/>
      <c r="M145" s="176"/>
      <c r="N145" s="176"/>
      <c r="O145" s="176"/>
      <c r="P145" s="176"/>
      <c r="Q145" s="176"/>
      <c r="R145" s="176"/>
      <c r="S145" s="176"/>
      <c r="T145" s="176"/>
      <c r="U145" s="176"/>
      <c r="V145" s="176"/>
      <c r="W145" s="176"/>
      <c r="X145" s="176"/>
      <c r="Y145" s="176"/>
      <c r="Z145" s="176"/>
      <c r="AA145" s="176"/>
      <c r="AB145" s="176"/>
      <c r="AC145" s="176"/>
      <c r="AD145" s="176"/>
      <c r="AE145" s="176"/>
      <c r="AF145" s="176"/>
      <c r="AG145" s="176"/>
      <c r="AH145" s="176"/>
      <c r="AI145" s="176"/>
      <c r="AJ145" s="176"/>
      <c r="AK145" s="176"/>
      <c r="AL145" s="176"/>
      <c r="AM145" s="176"/>
      <c r="AN145" s="176"/>
      <c r="AO145" s="176"/>
      <c r="AP145" s="176"/>
      <c r="AQ145" s="176"/>
      <c r="AR145" s="176"/>
      <c r="AS145" s="176"/>
      <c r="AT145" s="176"/>
      <c r="AU145" s="176"/>
      <c r="AV145" s="176"/>
      <c r="AW145" s="176"/>
      <c r="AX145" s="176"/>
      <c r="AY145" s="176"/>
      <c r="AZ145" s="176"/>
      <c r="BA145" s="176"/>
      <c r="BB145" s="176"/>
      <c r="BC145" s="176"/>
      <c r="BD145" s="176"/>
    </row>
    <row r="146" ht="15.75" customHeight="1">
      <c r="A146" s="176"/>
      <c r="B146" s="176"/>
      <c r="C146" s="176"/>
      <c r="D146" s="176"/>
      <c r="E146" s="176"/>
      <c r="F146" s="176"/>
      <c r="G146" s="178"/>
      <c r="H146" s="176"/>
      <c r="I146" s="176"/>
      <c r="J146" s="176"/>
      <c r="K146" s="176"/>
      <c r="L146" s="176"/>
      <c r="M146" s="176"/>
      <c r="N146" s="176"/>
      <c r="O146" s="176"/>
      <c r="P146" s="176"/>
      <c r="Q146" s="176"/>
      <c r="R146" s="176"/>
      <c r="S146" s="176"/>
      <c r="T146" s="176"/>
      <c r="U146" s="176"/>
      <c r="V146" s="176"/>
      <c r="W146" s="176"/>
      <c r="X146" s="176"/>
      <c r="Y146" s="176"/>
      <c r="Z146" s="176"/>
      <c r="AA146" s="176"/>
      <c r="AB146" s="176"/>
      <c r="AC146" s="176"/>
      <c r="AD146" s="176"/>
      <c r="AE146" s="176"/>
      <c r="AF146" s="176"/>
      <c r="AG146" s="176"/>
      <c r="AH146" s="176"/>
      <c r="AI146" s="176"/>
      <c r="AJ146" s="176"/>
      <c r="AK146" s="176"/>
      <c r="AL146" s="176"/>
      <c r="AM146" s="176"/>
      <c r="AN146" s="176"/>
      <c r="AO146" s="176"/>
      <c r="AP146" s="176"/>
      <c r="AQ146" s="176"/>
      <c r="AR146" s="176"/>
      <c r="AS146" s="176"/>
      <c r="AT146" s="176"/>
      <c r="AU146" s="176"/>
      <c r="AV146" s="176"/>
      <c r="AW146" s="176"/>
      <c r="AX146" s="176"/>
      <c r="AY146" s="176"/>
      <c r="AZ146" s="176"/>
      <c r="BA146" s="176"/>
      <c r="BB146" s="176"/>
      <c r="BC146" s="176"/>
      <c r="BD146" s="176"/>
    </row>
    <row r="147" ht="15.75" customHeight="1">
      <c r="A147" s="176"/>
      <c r="B147" s="176"/>
      <c r="C147" s="176"/>
      <c r="D147" s="176"/>
      <c r="E147" s="176"/>
      <c r="F147" s="176"/>
      <c r="G147" s="178"/>
      <c r="H147" s="176"/>
      <c r="I147" s="176"/>
      <c r="J147" s="176"/>
      <c r="K147" s="176"/>
      <c r="L147" s="176"/>
      <c r="M147" s="176"/>
      <c r="N147" s="176"/>
      <c r="O147" s="176"/>
      <c r="P147" s="176"/>
      <c r="Q147" s="176"/>
      <c r="R147" s="176"/>
      <c r="S147" s="176"/>
      <c r="T147" s="176"/>
      <c r="U147" s="176"/>
      <c r="V147" s="176"/>
      <c r="W147" s="176"/>
      <c r="X147" s="176"/>
      <c r="Y147" s="176"/>
      <c r="Z147" s="176"/>
      <c r="AA147" s="176"/>
      <c r="AB147" s="176"/>
      <c r="AC147" s="176"/>
      <c r="AD147" s="176"/>
      <c r="AE147" s="176"/>
      <c r="AF147" s="176"/>
      <c r="AG147" s="176"/>
      <c r="AH147" s="176"/>
      <c r="AI147" s="176"/>
      <c r="AJ147" s="176"/>
      <c r="AK147" s="176"/>
      <c r="AL147" s="176"/>
      <c r="AM147" s="176"/>
      <c r="AN147" s="176"/>
      <c r="AO147" s="176"/>
      <c r="AP147" s="176"/>
      <c r="AQ147" s="176"/>
      <c r="AR147" s="176"/>
      <c r="AS147" s="176"/>
      <c r="AT147" s="176"/>
      <c r="AU147" s="176"/>
      <c r="AV147" s="176"/>
      <c r="AW147" s="176"/>
      <c r="AX147" s="176"/>
      <c r="AY147" s="176"/>
      <c r="AZ147" s="176"/>
      <c r="BA147" s="176"/>
      <c r="BB147" s="176"/>
      <c r="BC147" s="176"/>
      <c r="BD147" s="176"/>
    </row>
    <row r="148" ht="15.75" customHeight="1">
      <c r="A148" s="176"/>
      <c r="B148" s="176"/>
      <c r="C148" s="176"/>
      <c r="D148" s="176"/>
      <c r="E148" s="176"/>
      <c r="F148" s="176"/>
      <c r="G148" s="178"/>
      <c r="H148" s="176"/>
      <c r="I148" s="176"/>
      <c r="J148" s="176"/>
      <c r="K148" s="176"/>
      <c r="L148" s="176"/>
      <c r="M148" s="176"/>
      <c r="N148" s="176"/>
      <c r="O148" s="176"/>
      <c r="P148" s="176"/>
      <c r="Q148" s="176"/>
      <c r="R148" s="176"/>
      <c r="S148" s="176"/>
      <c r="T148" s="176"/>
      <c r="U148" s="176"/>
      <c r="V148" s="176"/>
      <c r="W148" s="176"/>
      <c r="X148" s="176"/>
      <c r="Y148" s="176"/>
      <c r="Z148" s="176"/>
      <c r="AA148" s="176"/>
      <c r="AB148" s="176"/>
      <c r="AC148" s="176"/>
      <c r="AD148" s="176"/>
      <c r="AE148" s="176"/>
      <c r="AF148" s="176"/>
      <c r="AG148" s="176"/>
      <c r="AH148" s="176"/>
      <c r="AI148" s="176"/>
      <c r="AJ148" s="176"/>
      <c r="AK148" s="176"/>
      <c r="AL148" s="176"/>
      <c r="AM148" s="176"/>
      <c r="AN148" s="176"/>
      <c r="AO148" s="176"/>
      <c r="AP148" s="176"/>
      <c r="AQ148" s="176"/>
      <c r="AR148" s="176"/>
      <c r="AS148" s="176"/>
      <c r="AT148" s="176"/>
      <c r="AU148" s="176"/>
      <c r="AV148" s="176"/>
      <c r="AW148" s="176"/>
      <c r="AX148" s="176"/>
      <c r="AY148" s="176"/>
      <c r="AZ148" s="176"/>
      <c r="BA148" s="176"/>
      <c r="BB148" s="176"/>
      <c r="BC148" s="176"/>
      <c r="BD148" s="176"/>
    </row>
    <row r="149" ht="15.75" customHeight="1">
      <c r="A149" s="176"/>
      <c r="B149" s="176"/>
      <c r="C149" s="176"/>
      <c r="D149" s="176"/>
      <c r="E149" s="176"/>
      <c r="F149" s="176"/>
      <c r="G149" s="178"/>
      <c r="H149" s="176"/>
      <c r="I149" s="176"/>
      <c r="J149" s="176"/>
      <c r="K149" s="176"/>
      <c r="L149" s="176"/>
      <c r="M149" s="176"/>
      <c r="N149" s="176"/>
      <c r="O149" s="176"/>
      <c r="P149" s="176"/>
      <c r="Q149" s="176"/>
      <c r="R149" s="176"/>
      <c r="S149" s="176"/>
      <c r="T149" s="176"/>
      <c r="U149" s="176"/>
      <c r="V149" s="176"/>
      <c r="W149" s="176"/>
      <c r="X149" s="176"/>
      <c r="Y149" s="176"/>
      <c r="Z149" s="176"/>
      <c r="AA149" s="176"/>
      <c r="AB149" s="176"/>
      <c r="AC149" s="176"/>
      <c r="AD149" s="176"/>
      <c r="AE149" s="176"/>
      <c r="AF149" s="176"/>
      <c r="AG149" s="176"/>
      <c r="AH149" s="176"/>
      <c r="AI149" s="176"/>
      <c r="AJ149" s="176"/>
      <c r="AK149" s="176"/>
      <c r="AL149" s="176"/>
      <c r="AM149" s="176"/>
      <c r="AN149" s="176"/>
      <c r="AO149" s="176"/>
      <c r="AP149" s="176"/>
      <c r="AQ149" s="176"/>
      <c r="AR149" s="176"/>
      <c r="AS149" s="176"/>
      <c r="AT149" s="176"/>
      <c r="AU149" s="176"/>
      <c r="AV149" s="176"/>
      <c r="AW149" s="176"/>
      <c r="AX149" s="176"/>
      <c r="AY149" s="176"/>
      <c r="AZ149" s="176"/>
      <c r="BA149" s="176"/>
      <c r="BB149" s="176"/>
      <c r="BC149" s="176"/>
      <c r="BD149" s="176"/>
    </row>
    <row r="150" ht="15.75" customHeight="1">
      <c r="A150" s="176"/>
      <c r="B150" s="176"/>
      <c r="C150" s="176"/>
      <c r="D150" s="176"/>
      <c r="E150" s="176"/>
      <c r="F150" s="176"/>
      <c r="G150" s="178"/>
      <c r="H150" s="176"/>
      <c r="I150" s="176"/>
      <c r="J150" s="176"/>
      <c r="K150" s="176"/>
      <c r="L150" s="176"/>
      <c r="M150" s="176"/>
      <c r="N150" s="176"/>
      <c r="O150" s="176"/>
      <c r="P150" s="176"/>
      <c r="Q150" s="176"/>
      <c r="R150" s="176"/>
      <c r="S150" s="176"/>
      <c r="T150" s="176"/>
      <c r="U150" s="176"/>
      <c r="V150" s="176"/>
      <c r="W150" s="176"/>
      <c r="X150" s="176"/>
      <c r="Y150" s="176"/>
      <c r="Z150" s="176"/>
      <c r="AA150" s="176"/>
      <c r="AB150" s="176"/>
      <c r="AC150" s="176"/>
      <c r="AD150" s="176"/>
      <c r="AE150" s="176"/>
      <c r="AF150" s="176"/>
      <c r="AG150" s="176"/>
      <c r="AH150" s="176"/>
      <c r="AI150" s="176"/>
      <c r="AJ150" s="176"/>
      <c r="AK150" s="176"/>
      <c r="AL150" s="176"/>
      <c r="AM150" s="176"/>
      <c r="AN150" s="176"/>
      <c r="AO150" s="176"/>
      <c r="AP150" s="176"/>
      <c r="AQ150" s="176"/>
      <c r="AR150" s="176"/>
      <c r="AS150" s="176"/>
      <c r="AT150" s="176"/>
      <c r="AU150" s="176"/>
      <c r="AV150" s="176"/>
      <c r="AW150" s="176"/>
      <c r="AX150" s="176"/>
      <c r="AY150" s="176"/>
      <c r="AZ150" s="176"/>
      <c r="BA150" s="176"/>
      <c r="BB150" s="176"/>
      <c r="BC150" s="176"/>
      <c r="BD150" s="176"/>
    </row>
    <row r="151" ht="15.75" customHeight="1">
      <c r="A151" s="176"/>
      <c r="B151" s="176"/>
      <c r="C151" s="176"/>
      <c r="D151" s="176"/>
      <c r="E151" s="176"/>
      <c r="F151" s="176"/>
      <c r="G151" s="178"/>
      <c r="H151" s="176"/>
      <c r="I151" s="176"/>
      <c r="J151" s="176"/>
      <c r="K151" s="176"/>
      <c r="L151" s="176"/>
      <c r="M151" s="176"/>
      <c r="N151" s="176"/>
      <c r="O151" s="176"/>
      <c r="P151" s="176"/>
      <c r="Q151" s="176"/>
      <c r="R151" s="176"/>
      <c r="S151" s="176"/>
      <c r="T151" s="176"/>
      <c r="U151" s="176"/>
      <c r="V151" s="176"/>
      <c r="W151" s="176"/>
      <c r="X151" s="176"/>
      <c r="Y151" s="176"/>
      <c r="Z151" s="176"/>
      <c r="AA151" s="176"/>
      <c r="AB151" s="176"/>
      <c r="AC151" s="176"/>
      <c r="AD151" s="176"/>
      <c r="AE151" s="176"/>
      <c r="AF151" s="176"/>
      <c r="AG151" s="176"/>
      <c r="AH151" s="176"/>
      <c r="AI151" s="176"/>
      <c r="AJ151" s="176"/>
      <c r="AK151" s="176"/>
      <c r="AL151" s="176"/>
      <c r="AM151" s="176"/>
      <c r="AN151" s="176"/>
      <c r="AO151" s="176"/>
      <c r="AP151" s="176"/>
      <c r="AQ151" s="176"/>
      <c r="AR151" s="176"/>
      <c r="AS151" s="176"/>
      <c r="AT151" s="176"/>
      <c r="AU151" s="176"/>
      <c r="AV151" s="176"/>
      <c r="AW151" s="176"/>
      <c r="AX151" s="176"/>
      <c r="AY151" s="176"/>
      <c r="AZ151" s="176"/>
      <c r="BA151" s="176"/>
      <c r="BB151" s="176"/>
      <c r="BC151" s="176"/>
      <c r="BD151" s="176"/>
    </row>
    <row r="152" ht="15.75" customHeight="1">
      <c r="A152" s="176"/>
      <c r="B152" s="176"/>
      <c r="C152" s="176"/>
      <c r="D152" s="176"/>
      <c r="E152" s="176"/>
      <c r="F152" s="176"/>
      <c r="G152" s="178"/>
      <c r="H152" s="176"/>
      <c r="I152" s="176"/>
      <c r="J152" s="176"/>
      <c r="K152" s="176"/>
      <c r="L152" s="176"/>
      <c r="M152" s="176"/>
      <c r="N152" s="176"/>
      <c r="O152" s="176"/>
      <c r="P152" s="176"/>
      <c r="Q152" s="176"/>
      <c r="R152" s="176"/>
      <c r="S152" s="176"/>
      <c r="T152" s="176"/>
      <c r="U152" s="176"/>
      <c r="V152" s="176"/>
      <c r="W152" s="176"/>
      <c r="X152" s="176"/>
      <c r="Y152" s="176"/>
      <c r="Z152" s="176"/>
      <c r="AA152" s="176"/>
      <c r="AB152" s="176"/>
      <c r="AC152" s="176"/>
      <c r="AD152" s="176"/>
      <c r="AE152" s="176"/>
      <c r="AF152" s="176"/>
      <c r="AG152" s="176"/>
      <c r="AH152" s="176"/>
      <c r="AI152" s="176"/>
      <c r="AJ152" s="176"/>
      <c r="AK152" s="176"/>
      <c r="AL152" s="176"/>
      <c r="AM152" s="176"/>
      <c r="AN152" s="176"/>
      <c r="AO152" s="176"/>
      <c r="AP152" s="176"/>
      <c r="AQ152" s="176"/>
      <c r="AR152" s="176"/>
      <c r="AS152" s="176"/>
      <c r="AT152" s="176"/>
      <c r="AU152" s="176"/>
      <c r="AV152" s="176"/>
      <c r="AW152" s="176"/>
      <c r="AX152" s="176"/>
      <c r="AY152" s="176"/>
      <c r="AZ152" s="176"/>
      <c r="BA152" s="176"/>
      <c r="BB152" s="176"/>
      <c r="BC152" s="176"/>
      <c r="BD152" s="176"/>
    </row>
    <row r="153" ht="15.75" customHeight="1">
      <c r="A153" s="176"/>
      <c r="B153" s="176"/>
      <c r="C153" s="176"/>
      <c r="D153" s="176"/>
      <c r="E153" s="176"/>
      <c r="F153" s="176"/>
      <c r="G153" s="178"/>
      <c r="H153" s="176"/>
      <c r="I153" s="176"/>
      <c r="J153" s="176"/>
      <c r="K153" s="176"/>
      <c r="L153" s="176"/>
      <c r="M153" s="176"/>
      <c r="N153" s="176"/>
      <c r="O153" s="176"/>
      <c r="P153" s="176"/>
      <c r="Q153" s="176"/>
      <c r="R153" s="176"/>
      <c r="S153" s="176"/>
      <c r="T153" s="176"/>
      <c r="U153" s="176"/>
      <c r="V153" s="176"/>
      <c r="W153" s="176"/>
      <c r="X153" s="176"/>
      <c r="Y153" s="176"/>
      <c r="Z153" s="176"/>
      <c r="AA153" s="176"/>
      <c r="AB153" s="176"/>
      <c r="AC153" s="176"/>
      <c r="AD153" s="176"/>
      <c r="AE153" s="176"/>
      <c r="AF153" s="176"/>
      <c r="AG153" s="176"/>
      <c r="AH153" s="176"/>
      <c r="AI153" s="176"/>
      <c r="AJ153" s="176"/>
      <c r="AK153" s="176"/>
      <c r="AL153" s="176"/>
      <c r="AM153" s="176"/>
      <c r="AN153" s="176"/>
      <c r="AO153" s="176"/>
      <c r="AP153" s="176"/>
      <c r="AQ153" s="176"/>
      <c r="AR153" s="176"/>
      <c r="AS153" s="176"/>
      <c r="AT153" s="176"/>
      <c r="AU153" s="176"/>
      <c r="AV153" s="176"/>
      <c r="AW153" s="176"/>
      <c r="AX153" s="176"/>
      <c r="AY153" s="176"/>
      <c r="AZ153" s="176"/>
      <c r="BA153" s="176"/>
      <c r="BB153" s="176"/>
      <c r="BC153" s="176"/>
      <c r="BD153" s="176"/>
    </row>
    <row r="154" ht="15.75" customHeight="1">
      <c r="A154" s="176"/>
      <c r="B154" s="176"/>
      <c r="C154" s="176"/>
      <c r="D154" s="176"/>
      <c r="E154" s="176"/>
      <c r="F154" s="176"/>
      <c r="G154" s="178"/>
      <c r="H154" s="176"/>
      <c r="I154" s="176"/>
      <c r="J154" s="176"/>
      <c r="K154" s="176"/>
      <c r="L154" s="176"/>
      <c r="M154" s="176"/>
      <c r="N154" s="176"/>
      <c r="O154" s="176"/>
      <c r="P154" s="176"/>
      <c r="Q154" s="176"/>
      <c r="R154" s="176"/>
      <c r="S154" s="176"/>
      <c r="T154" s="176"/>
      <c r="U154" s="176"/>
      <c r="V154" s="176"/>
      <c r="W154" s="176"/>
      <c r="X154" s="176"/>
      <c r="Y154" s="176"/>
      <c r="Z154" s="176"/>
      <c r="AA154" s="176"/>
      <c r="AB154" s="176"/>
      <c r="AC154" s="176"/>
      <c r="AD154" s="176"/>
      <c r="AE154" s="176"/>
      <c r="AF154" s="176"/>
      <c r="AG154" s="176"/>
      <c r="AH154" s="176"/>
      <c r="AI154" s="176"/>
      <c r="AJ154" s="176"/>
      <c r="AK154" s="176"/>
      <c r="AL154" s="176"/>
      <c r="AM154" s="176"/>
      <c r="AN154" s="176"/>
      <c r="AO154" s="176"/>
      <c r="AP154" s="176"/>
      <c r="AQ154" s="176"/>
      <c r="AR154" s="176"/>
      <c r="AS154" s="176"/>
      <c r="AT154" s="176"/>
      <c r="AU154" s="176"/>
      <c r="AV154" s="176"/>
      <c r="AW154" s="176"/>
      <c r="AX154" s="176"/>
      <c r="AY154" s="176"/>
      <c r="AZ154" s="176"/>
      <c r="BA154" s="176"/>
      <c r="BB154" s="176"/>
      <c r="BC154" s="176"/>
      <c r="BD154" s="176"/>
    </row>
    <row r="155" ht="15.75" customHeight="1">
      <c r="A155" s="176"/>
      <c r="B155" s="176"/>
      <c r="C155" s="176"/>
      <c r="D155" s="176"/>
      <c r="E155" s="176"/>
      <c r="F155" s="176"/>
      <c r="G155" s="178"/>
      <c r="H155" s="176"/>
      <c r="I155" s="176"/>
      <c r="J155" s="176"/>
      <c r="K155" s="176"/>
      <c r="L155" s="176"/>
      <c r="M155" s="176"/>
      <c r="N155" s="176"/>
      <c r="O155" s="176"/>
      <c r="P155" s="176"/>
      <c r="Q155" s="176"/>
      <c r="R155" s="176"/>
      <c r="S155" s="176"/>
      <c r="T155" s="176"/>
      <c r="U155" s="176"/>
      <c r="V155" s="176"/>
      <c r="W155" s="176"/>
      <c r="X155" s="176"/>
      <c r="Y155" s="176"/>
      <c r="Z155" s="176"/>
      <c r="AA155" s="176"/>
      <c r="AB155" s="176"/>
      <c r="AC155" s="176"/>
      <c r="AD155" s="176"/>
      <c r="AE155" s="176"/>
      <c r="AF155" s="176"/>
      <c r="AG155" s="176"/>
      <c r="AH155" s="176"/>
      <c r="AI155" s="176"/>
      <c r="AJ155" s="176"/>
      <c r="AK155" s="176"/>
      <c r="AL155" s="176"/>
      <c r="AM155" s="176"/>
      <c r="AN155" s="176"/>
      <c r="AO155" s="176"/>
      <c r="AP155" s="176"/>
      <c r="AQ155" s="176"/>
      <c r="AR155" s="176"/>
      <c r="AS155" s="176"/>
      <c r="AT155" s="176"/>
      <c r="AU155" s="176"/>
      <c r="AV155" s="176"/>
      <c r="AW155" s="176"/>
      <c r="AX155" s="176"/>
      <c r="AY155" s="176"/>
      <c r="AZ155" s="176"/>
      <c r="BA155" s="176"/>
      <c r="BB155" s="176"/>
      <c r="BC155" s="176"/>
      <c r="BD155" s="176"/>
    </row>
    <row r="156" ht="15.75" customHeight="1">
      <c r="A156" s="176"/>
      <c r="B156" s="176"/>
      <c r="C156" s="176"/>
      <c r="D156" s="176"/>
      <c r="E156" s="176"/>
      <c r="F156" s="176"/>
      <c r="G156" s="178"/>
      <c r="H156" s="176"/>
      <c r="I156" s="176"/>
      <c r="J156" s="176"/>
      <c r="K156" s="176"/>
      <c r="L156" s="176"/>
      <c r="M156" s="176"/>
      <c r="N156" s="176"/>
      <c r="O156" s="176"/>
      <c r="P156" s="176"/>
      <c r="Q156" s="176"/>
      <c r="R156" s="176"/>
      <c r="S156" s="176"/>
      <c r="T156" s="176"/>
      <c r="U156" s="176"/>
      <c r="V156" s="176"/>
      <c r="W156" s="176"/>
      <c r="X156" s="176"/>
      <c r="Y156" s="176"/>
      <c r="Z156" s="176"/>
      <c r="AA156" s="176"/>
      <c r="AB156" s="176"/>
      <c r="AC156" s="176"/>
      <c r="AD156" s="176"/>
      <c r="AE156" s="176"/>
      <c r="AF156" s="176"/>
      <c r="AG156" s="176"/>
      <c r="AH156" s="176"/>
      <c r="AI156" s="176"/>
      <c r="AJ156" s="176"/>
      <c r="AK156" s="176"/>
      <c r="AL156" s="176"/>
      <c r="AM156" s="176"/>
      <c r="AN156" s="176"/>
      <c r="AO156" s="176"/>
      <c r="AP156" s="176"/>
      <c r="AQ156" s="176"/>
      <c r="AR156" s="176"/>
      <c r="AS156" s="176"/>
      <c r="AT156" s="176"/>
      <c r="AU156" s="176"/>
      <c r="AV156" s="176"/>
      <c r="AW156" s="176"/>
      <c r="AX156" s="176"/>
      <c r="AY156" s="176"/>
      <c r="AZ156" s="176"/>
      <c r="BA156" s="176"/>
      <c r="BB156" s="176"/>
      <c r="BC156" s="176"/>
      <c r="BD156" s="176"/>
    </row>
    <row r="157" ht="15.75" customHeight="1">
      <c r="A157" s="176"/>
      <c r="B157" s="176"/>
      <c r="C157" s="176"/>
      <c r="D157" s="176"/>
      <c r="E157" s="176"/>
      <c r="F157" s="176"/>
      <c r="G157" s="178"/>
      <c r="H157" s="176"/>
      <c r="I157" s="176"/>
      <c r="J157" s="176"/>
      <c r="K157" s="176"/>
      <c r="L157" s="176"/>
      <c r="M157" s="176"/>
      <c r="N157" s="176"/>
      <c r="O157" s="176"/>
      <c r="P157" s="176"/>
      <c r="Q157" s="176"/>
      <c r="R157" s="176"/>
      <c r="S157" s="176"/>
      <c r="T157" s="176"/>
      <c r="U157" s="176"/>
      <c r="V157" s="176"/>
      <c r="W157" s="176"/>
      <c r="X157" s="176"/>
      <c r="Y157" s="176"/>
      <c r="Z157" s="176"/>
      <c r="AA157" s="176"/>
      <c r="AB157" s="176"/>
      <c r="AC157" s="176"/>
      <c r="AD157" s="176"/>
      <c r="AE157" s="176"/>
      <c r="AF157" s="176"/>
      <c r="AG157" s="176"/>
      <c r="AH157" s="176"/>
      <c r="AI157" s="176"/>
      <c r="AJ157" s="176"/>
      <c r="AK157" s="176"/>
      <c r="AL157" s="176"/>
      <c r="AM157" s="176"/>
      <c r="AN157" s="176"/>
      <c r="AO157" s="176"/>
      <c r="AP157" s="176"/>
      <c r="AQ157" s="176"/>
      <c r="AR157" s="176"/>
      <c r="AS157" s="176"/>
      <c r="AT157" s="176"/>
      <c r="AU157" s="176"/>
      <c r="AV157" s="176"/>
      <c r="AW157" s="176"/>
      <c r="AX157" s="176"/>
      <c r="AY157" s="176"/>
      <c r="AZ157" s="176"/>
      <c r="BA157" s="176"/>
      <c r="BB157" s="176"/>
      <c r="BC157" s="176"/>
      <c r="BD157" s="176"/>
    </row>
    <row r="158" ht="15.75" customHeight="1">
      <c r="A158" s="176"/>
      <c r="B158" s="176"/>
      <c r="C158" s="176"/>
      <c r="D158" s="176"/>
      <c r="E158" s="176"/>
      <c r="F158" s="176"/>
      <c r="G158" s="178"/>
      <c r="H158" s="176"/>
      <c r="I158" s="176"/>
      <c r="J158" s="176"/>
      <c r="K158" s="176"/>
      <c r="L158" s="176"/>
      <c r="M158" s="176"/>
      <c r="N158" s="176"/>
      <c r="O158" s="176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  <c r="AA158" s="176"/>
      <c r="AB158" s="176"/>
      <c r="AC158" s="176"/>
      <c r="AD158" s="176"/>
      <c r="AE158" s="176"/>
      <c r="AF158" s="176"/>
      <c r="AG158" s="176"/>
      <c r="AH158" s="176"/>
      <c r="AI158" s="176"/>
      <c r="AJ158" s="176"/>
      <c r="AK158" s="176"/>
      <c r="AL158" s="176"/>
      <c r="AM158" s="176"/>
      <c r="AN158" s="176"/>
      <c r="AO158" s="176"/>
      <c r="AP158" s="176"/>
      <c r="AQ158" s="176"/>
      <c r="AR158" s="176"/>
      <c r="AS158" s="176"/>
      <c r="AT158" s="176"/>
      <c r="AU158" s="176"/>
      <c r="AV158" s="176"/>
      <c r="AW158" s="176"/>
      <c r="AX158" s="176"/>
      <c r="AY158" s="176"/>
      <c r="AZ158" s="176"/>
      <c r="BA158" s="176"/>
      <c r="BB158" s="176"/>
      <c r="BC158" s="176"/>
      <c r="BD158" s="176"/>
    </row>
    <row r="159" ht="15.75" customHeight="1">
      <c r="A159" s="176"/>
      <c r="B159" s="176"/>
      <c r="C159" s="176"/>
      <c r="D159" s="176"/>
      <c r="E159" s="176"/>
      <c r="F159" s="176"/>
      <c r="G159" s="178"/>
      <c r="H159" s="176"/>
      <c r="I159" s="176"/>
      <c r="J159" s="176"/>
      <c r="K159" s="176"/>
      <c r="L159" s="176"/>
      <c r="M159" s="176"/>
      <c r="N159" s="176"/>
      <c r="O159" s="176"/>
      <c r="P159" s="176"/>
      <c r="Q159" s="176"/>
      <c r="R159" s="176"/>
      <c r="S159" s="176"/>
      <c r="T159" s="176"/>
      <c r="U159" s="176"/>
      <c r="V159" s="176"/>
      <c r="W159" s="176"/>
      <c r="X159" s="176"/>
      <c r="Y159" s="176"/>
      <c r="Z159" s="176"/>
      <c r="AA159" s="176"/>
      <c r="AB159" s="176"/>
      <c r="AC159" s="176"/>
      <c r="AD159" s="176"/>
      <c r="AE159" s="176"/>
      <c r="AF159" s="176"/>
      <c r="AG159" s="176"/>
      <c r="AH159" s="176"/>
      <c r="AI159" s="176"/>
      <c r="AJ159" s="176"/>
      <c r="AK159" s="176"/>
      <c r="AL159" s="176"/>
      <c r="AM159" s="176"/>
      <c r="AN159" s="176"/>
      <c r="AO159" s="176"/>
      <c r="AP159" s="176"/>
      <c r="AQ159" s="176"/>
      <c r="AR159" s="176"/>
      <c r="AS159" s="176"/>
      <c r="AT159" s="176"/>
      <c r="AU159" s="176"/>
      <c r="AV159" s="176"/>
      <c r="AW159" s="176"/>
      <c r="AX159" s="176"/>
      <c r="AY159" s="176"/>
      <c r="AZ159" s="176"/>
      <c r="BA159" s="176"/>
      <c r="BB159" s="176"/>
      <c r="BC159" s="176"/>
      <c r="BD159" s="176"/>
    </row>
    <row r="160" ht="15.75" customHeight="1">
      <c r="A160" s="176"/>
      <c r="B160" s="176"/>
      <c r="C160" s="176"/>
      <c r="D160" s="176"/>
      <c r="E160" s="176"/>
      <c r="F160" s="176"/>
      <c r="G160" s="178"/>
      <c r="H160" s="176"/>
      <c r="I160" s="176"/>
      <c r="J160" s="176"/>
      <c r="K160" s="176"/>
      <c r="L160" s="176"/>
      <c r="M160" s="176"/>
      <c r="N160" s="176"/>
      <c r="O160" s="176"/>
      <c r="P160" s="176"/>
      <c r="Q160" s="176"/>
      <c r="R160" s="176"/>
      <c r="S160" s="176"/>
      <c r="T160" s="176"/>
      <c r="U160" s="176"/>
      <c r="V160" s="176"/>
      <c r="W160" s="176"/>
      <c r="X160" s="176"/>
      <c r="Y160" s="176"/>
      <c r="Z160" s="176"/>
      <c r="AA160" s="176"/>
      <c r="AB160" s="176"/>
      <c r="AC160" s="176"/>
      <c r="AD160" s="176"/>
      <c r="AE160" s="176"/>
      <c r="AF160" s="176"/>
      <c r="AG160" s="176"/>
      <c r="AH160" s="176"/>
      <c r="AI160" s="176"/>
      <c r="AJ160" s="176"/>
      <c r="AK160" s="176"/>
      <c r="AL160" s="176"/>
      <c r="AM160" s="176"/>
      <c r="AN160" s="176"/>
      <c r="AO160" s="176"/>
      <c r="AP160" s="176"/>
      <c r="AQ160" s="176"/>
      <c r="AR160" s="176"/>
      <c r="AS160" s="176"/>
      <c r="AT160" s="176"/>
      <c r="AU160" s="176"/>
      <c r="AV160" s="176"/>
      <c r="AW160" s="176"/>
      <c r="AX160" s="176"/>
      <c r="AY160" s="176"/>
      <c r="AZ160" s="176"/>
      <c r="BA160" s="176"/>
      <c r="BB160" s="176"/>
      <c r="BC160" s="176"/>
      <c r="BD160" s="176"/>
    </row>
    <row r="161" ht="15.75" customHeight="1">
      <c r="A161" s="176"/>
      <c r="B161" s="176"/>
      <c r="C161" s="176"/>
      <c r="D161" s="176"/>
      <c r="E161" s="176"/>
      <c r="F161" s="176"/>
      <c r="G161" s="178"/>
      <c r="H161" s="176"/>
      <c r="I161" s="176"/>
      <c r="J161" s="176"/>
      <c r="K161" s="176"/>
      <c r="L161" s="176"/>
      <c r="M161" s="176"/>
      <c r="N161" s="176"/>
      <c r="O161" s="176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  <c r="AA161" s="176"/>
      <c r="AB161" s="176"/>
      <c r="AC161" s="176"/>
      <c r="AD161" s="176"/>
      <c r="AE161" s="176"/>
      <c r="AF161" s="176"/>
      <c r="AG161" s="176"/>
      <c r="AH161" s="176"/>
      <c r="AI161" s="176"/>
      <c r="AJ161" s="176"/>
      <c r="AK161" s="176"/>
      <c r="AL161" s="176"/>
      <c r="AM161" s="176"/>
      <c r="AN161" s="176"/>
      <c r="AO161" s="176"/>
      <c r="AP161" s="176"/>
      <c r="AQ161" s="176"/>
      <c r="AR161" s="176"/>
      <c r="AS161" s="176"/>
      <c r="AT161" s="176"/>
      <c r="AU161" s="176"/>
      <c r="AV161" s="176"/>
      <c r="AW161" s="176"/>
      <c r="AX161" s="176"/>
      <c r="AY161" s="176"/>
      <c r="AZ161" s="176"/>
      <c r="BA161" s="176"/>
      <c r="BB161" s="176"/>
      <c r="BC161" s="176"/>
      <c r="BD161" s="176"/>
    </row>
    <row r="162" ht="15.75" customHeight="1">
      <c r="A162" s="176"/>
      <c r="B162" s="176"/>
      <c r="C162" s="176"/>
      <c r="D162" s="176"/>
      <c r="E162" s="176"/>
      <c r="F162" s="176"/>
      <c r="G162" s="178"/>
      <c r="H162" s="176"/>
      <c r="I162" s="176"/>
      <c r="J162" s="176"/>
      <c r="K162" s="176"/>
      <c r="L162" s="176"/>
      <c r="M162" s="176"/>
      <c r="N162" s="176"/>
      <c r="O162" s="176"/>
      <c r="P162" s="176"/>
      <c r="Q162" s="176"/>
      <c r="R162" s="176"/>
      <c r="S162" s="176"/>
      <c r="T162" s="176"/>
      <c r="U162" s="176"/>
      <c r="V162" s="176"/>
      <c r="W162" s="176"/>
      <c r="X162" s="176"/>
      <c r="Y162" s="176"/>
      <c r="Z162" s="176"/>
      <c r="AA162" s="176"/>
      <c r="AB162" s="176"/>
      <c r="AC162" s="176"/>
      <c r="AD162" s="176"/>
      <c r="AE162" s="176"/>
      <c r="AF162" s="176"/>
      <c r="AG162" s="176"/>
      <c r="AH162" s="176"/>
      <c r="AI162" s="176"/>
      <c r="AJ162" s="176"/>
      <c r="AK162" s="176"/>
      <c r="AL162" s="176"/>
      <c r="AM162" s="176"/>
      <c r="AN162" s="176"/>
      <c r="AO162" s="176"/>
      <c r="AP162" s="176"/>
      <c r="AQ162" s="176"/>
      <c r="AR162" s="176"/>
      <c r="AS162" s="176"/>
      <c r="AT162" s="176"/>
      <c r="AU162" s="176"/>
      <c r="AV162" s="176"/>
      <c r="AW162" s="176"/>
      <c r="AX162" s="176"/>
      <c r="AY162" s="176"/>
      <c r="AZ162" s="176"/>
      <c r="BA162" s="176"/>
      <c r="BB162" s="176"/>
      <c r="BC162" s="176"/>
      <c r="BD162" s="176"/>
    </row>
    <row r="163" ht="15.75" customHeight="1">
      <c r="A163" s="176"/>
      <c r="B163" s="176"/>
      <c r="C163" s="176"/>
      <c r="D163" s="176"/>
      <c r="E163" s="176"/>
      <c r="F163" s="176"/>
      <c r="G163" s="178"/>
      <c r="H163" s="176"/>
      <c r="I163" s="176"/>
      <c r="J163" s="176"/>
      <c r="K163" s="176"/>
      <c r="L163" s="176"/>
      <c r="M163" s="176"/>
      <c r="N163" s="176"/>
      <c r="O163" s="176"/>
      <c r="P163" s="176"/>
      <c r="Q163" s="176"/>
      <c r="R163" s="176"/>
      <c r="S163" s="176"/>
      <c r="T163" s="176"/>
      <c r="U163" s="176"/>
      <c r="V163" s="176"/>
      <c r="W163" s="176"/>
      <c r="X163" s="176"/>
      <c r="Y163" s="176"/>
      <c r="Z163" s="176"/>
      <c r="AA163" s="176"/>
      <c r="AB163" s="176"/>
      <c r="AC163" s="176"/>
      <c r="AD163" s="176"/>
      <c r="AE163" s="176"/>
      <c r="AF163" s="176"/>
      <c r="AG163" s="176"/>
      <c r="AH163" s="176"/>
      <c r="AI163" s="176"/>
      <c r="AJ163" s="176"/>
      <c r="AK163" s="176"/>
      <c r="AL163" s="176"/>
      <c r="AM163" s="176"/>
      <c r="AN163" s="176"/>
      <c r="AO163" s="176"/>
      <c r="AP163" s="176"/>
      <c r="AQ163" s="176"/>
      <c r="AR163" s="176"/>
      <c r="AS163" s="176"/>
      <c r="AT163" s="176"/>
      <c r="AU163" s="176"/>
      <c r="AV163" s="176"/>
      <c r="AW163" s="176"/>
      <c r="AX163" s="176"/>
      <c r="AY163" s="176"/>
      <c r="AZ163" s="176"/>
      <c r="BA163" s="176"/>
      <c r="BB163" s="176"/>
      <c r="BC163" s="176"/>
      <c r="BD163" s="176"/>
    </row>
    <row r="164" ht="15.75" customHeight="1">
      <c r="A164" s="176"/>
      <c r="B164" s="176"/>
      <c r="C164" s="176"/>
      <c r="D164" s="176"/>
      <c r="E164" s="176"/>
      <c r="F164" s="176"/>
      <c r="G164" s="178"/>
      <c r="H164" s="176"/>
      <c r="I164" s="176"/>
      <c r="J164" s="176"/>
      <c r="K164" s="176"/>
      <c r="L164" s="176"/>
      <c r="M164" s="176"/>
      <c r="N164" s="176"/>
      <c r="O164" s="176"/>
      <c r="P164" s="176"/>
      <c r="Q164" s="176"/>
      <c r="R164" s="176"/>
      <c r="S164" s="176"/>
      <c r="T164" s="176"/>
      <c r="U164" s="176"/>
      <c r="V164" s="176"/>
      <c r="W164" s="176"/>
      <c r="X164" s="176"/>
      <c r="Y164" s="176"/>
      <c r="Z164" s="176"/>
      <c r="AA164" s="176"/>
      <c r="AB164" s="176"/>
      <c r="AC164" s="176"/>
      <c r="AD164" s="176"/>
      <c r="AE164" s="176"/>
      <c r="AF164" s="176"/>
      <c r="AG164" s="176"/>
      <c r="AH164" s="176"/>
      <c r="AI164" s="176"/>
      <c r="AJ164" s="176"/>
      <c r="AK164" s="176"/>
      <c r="AL164" s="176"/>
      <c r="AM164" s="176"/>
      <c r="AN164" s="176"/>
      <c r="AO164" s="176"/>
      <c r="AP164" s="176"/>
      <c r="AQ164" s="176"/>
      <c r="AR164" s="176"/>
      <c r="AS164" s="176"/>
      <c r="AT164" s="176"/>
      <c r="AU164" s="176"/>
      <c r="AV164" s="176"/>
      <c r="AW164" s="176"/>
      <c r="AX164" s="176"/>
      <c r="AY164" s="176"/>
      <c r="AZ164" s="176"/>
      <c r="BA164" s="176"/>
      <c r="BB164" s="176"/>
      <c r="BC164" s="176"/>
      <c r="BD164" s="176"/>
    </row>
    <row r="165" ht="15.75" customHeight="1">
      <c r="A165" s="176"/>
      <c r="B165" s="176"/>
      <c r="C165" s="176"/>
      <c r="D165" s="176"/>
      <c r="E165" s="176"/>
      <c r="F165" s="176"/>
      <c r="G165" s="178"/>
      <c r="H165" s="176"/>
      <c r="I165" s="176"/>
      <c r="J165" s="176"/>
      <c r="K165" s="176"/>
      <c r="L165" s="176"/>
      <c r="M165" s="176"/>
      <c r="N165" s="176"/>
      <c r="O165" s="176"/>
      <c r="P165" s="176"/>
      <c r="Q165" s="176"/>
      <c r="R165" s="176"/>
      <c r="S165" s="176"/>
      <c r="T165" s="176"/>
      <c r="U165" s="176"/>
      <c r="V165" s="176"/>
      <c r="W165" s="176"/>
      <c r="X165" s="176"/>
      <c r="Y165" s="176"/>
      <c r="Z165" s="176"/>
      <c r="AA165" s="176"/>
      <c r="AB165" s="176"/>
      <c r="AC165" s="176"/>
      <c r="AD165" s="176"/>
      <c r="AE165" s="176"/>
      <c r="AF165" s="176"/>
      <c r="AG165" s="176"/>
      <c r="AH165" s="176"/>
      <c r="AI165" s="176"/>
      <c r="AJ165" s="176"/>
      <c r="AK165" s="176"/>
      <c r="AL165" s="176"/>
      <c r="AM165" s="176"/>
      <c r="AN165" s="176"/>
      <c r="AO165" s="176"/>
      <c r="AP165" s="176"/>
      <c r="AQ165" s="176"/>
      <c r="AR165" s="176"/>
      <c r="AS165" s="176"/>
      <c r="AT165" s="176"/>
      <c r="AU165" s="176"/>
      <c r="AV165" s="176"/>
      <c r="AW165" s="176"/>
      <c r="AX165" s="176"/>
      <c r="AY165" s="176"/>
      <c r="AZ165" s="176"/>
      <c r="BA165" s="176"/>
      <c r="BB165" s="176"/>
      <c r="BC165" s="176"/>
      <c r="BD165" s="176"/>
    </row>
    <row r="166" ht="15.75" customHeight="1">
      <c r="A166" s="176"/>
      <c r="B166" s="176"/>
      <c r="C166" s="176"/>
      <c r="D166" s="176"/>
      <c r="E166" s="176"/>
      <c r="F166" s="176"/>
      <c r="G166" s="178"/>
      <c r="H166" s="176"/>
      <c r="I166" s="176"/>
      <c r="J166" s="176"/>
      <c r="K166" s="176"/>
      <c r="L166" s="176"/>
      <c r="M166" s="176"/>
      <c r="N166" s="176"/>
      <c r="O166" s="176"/>
      <c r="P166" s="176"/>
      <c r="Q166" s="176"/>
      <c r="R166" s="176"/>
      <c r="S166" s="176"/>
      <c r="T166" s="176"/>
      <c r="U166" s="176"/>
      <c r="V166" s="176"/>
      <c r="W166" s="176"/>
      <c r="X166" s="176"/>
      <c r="Y166" s="176"/>
      <c r="Z166" s="176"/>
      <c r="AA166" s="176"/>
      <c r="AB166" s="176"/>
      <c r="AC166" s="176"/>
      <c r="AD166" s="176"/>
      <c r="AE166" s="176"/>
      <c r="AF166" s="176"/>
      <c r="AG166" s="176"/>
      <c r="AH166" s="176"/>
      <c r="AI166" s="176"/>
      <c r="AJ166" s="176"/>
      <c r="AK166" s="176"/>
      <c r="AL166" s="176"/>
      <c r="AM166" s="176"/>
      <c r="AN166" s="176"/>
      <c r="AO166" s="176"/>
      <c r="AP166" s="176"/>
      <c r="AQ166" s="176"/>
      <c r="AR166" s="176"/>
      <c r="AS166" s="176"/>
      <c r="AT166" s="176"/>
      <c r="AU166" s="176"/>
      <c r="AV166" s="176"/>
      <c r="AW166" s="176"/>
      <c r="AX166" s="176"/>
      <c r="AY166" s="176"/>
      <c r="AZ166" s="176"/>
      <c r="BA166" s="176"/>
      <c r="BB166" s="176"/>
      <c r="BC166" s="176"/>
      <c r="BD166" s="176"/>
    </row>
    <row r="167" ht="15.75" customHeight="1">
      <c r="A167" s="176"/>
      <c r="B167" s="176"/>
      <c r="C167" s="176"/>
      <c r="D167" s="176"/>
      <c r="E167" s="176"/>
      <c r="F167" s="176"/>
      <c r="G167" s="178"/>
      <c r="H167" s="176"/>
      <c r="I167" s="176"/>
      <c r="J167" s="176"/>
      <c r="K167" s="176"/>
      <c r="L167" s="176"/>
      <c r="M167" s="176"/>
      <c r="N167" s="176"/>
      <c r="O167" s="176"/>
      <c r="P167" s="176"/>
      <c r="Q167" s="176"/>
      <c r="R167" s="176"/>
      <c r="S167" s="176"/>
      <c r="T167" s="176"/>
      <c r="U167" s="176"/>
      <c r="V167" s="176"/>
      <c r="W167" s="176"/>
      <c r="X167" s="176"/>
      <c r="Y167" s="176"/>
      <c r="Z167" s="176"/>
      <c r="AA167" s="176"/>
      <c r="AB167" s="176"/>
      <c r="AC167" s="176"/>
      <c r="AD167" s="176"/>
      <c r="AE167" s="176"/>
      <c r="AF167" s="176"/>
      <c r="AG167" s="176"/>
      <c r="AH167" s="176"/>
      <c r="AI167" s="176"/>
      <c r="AJ167" s="176"/>
      <c r="AK167" s="176"/>
      <c r="AL167" s="176"/>
      <c r="AM167" s="176"/>
      <c r="AN167" s="176"/>
      <c r="AO167" s="176"/>
      <c r="AP167" s="176"/>
      <c r="AQ167" s="176"/>
      <c r="AR167" s="176"/>
      <c r="AS167" s="176"/>
      <c r="AT167" s="176"/>
      <c r="AU167" s="176"/>
      <c r="AV167" s="176"/>
      <c r="AW167" s="176"/>
      <c r="AX167" s="176"/>
      <c r="AY167" s="176"/>
      <c r="AZ167" s="176"/>
      <c r="BA167" s="176"/>
      <c r="BB167" s="176"/>
      <c r="BC167" s="176"/>
      <c r="BD167" s="176"/>
    </row>
    <row r="168" ht="15.75" customHeight="1">
      <c r="A168" s="176"/>
      <c r="B168" s="176"/>
      <c r="C168" s="176"/>
      <c r="D168" s="176"/>
      <c r="E168" s="176"/>
      <c r="F168" s="176"/>
      <c r="G168" s="178"/>
      <c r="H168" s="176"/>
      <c r="I168" s="176"/>
      <c r="J168" s="176"/>
      <c r="K168" s="176"/>
      <c r="L168" s="176"/>
      <c r="M168" s="176"/>
      <c r="N168" s="176"/>
      <c r="O168" s="176"/>
      <c r="P168" s="176"/>
      <c r="Q168" s="176"/>
      <c r="R168" s="176"/>
      <c r="S168" s="176"/>
      <c r="T168" s="176"/>
      <c r="U168" s="176"/>
      <c r="V168" s="176"/>
      <c r="W168" s="176"/>
      <c r="X168" s="176"/>
      <c r="Y168" s="176"/>
      <c r="Z168" s="176"/>
      <c r="AA168" s="176"/>
      <c r="AB168" s="176"/>
      <c r="AC168" s="176"/>
      <c r="AD168" s="176"/>
      <c r="AE168" s="176"/>
      <c r="AF168" s="176"/>
      <c r="AG168" s="176"/>
      <c r="AH168" s="176"/>
      <c r="AI168" s="176"/>
      <c r="AJ168" s="176"/>
      <c r="AK168" s="176"/>
      <c r="AL168" s="176"/>
      <c r="AM168" s="176"/>
      <c r="AN168" s="176"/>
      <c r="AO168" s="176"/>
      <c r="AP168" s="176"/>
      <c r="AQ168" s="176"/>
      <c r="AR168" s="176"/>
      <c r="AS168" s="176"/>
      <c r="AT168" s="176"/>
      <c r="AU168" s="176"/>
      <c r="AV168" s="176"/>
      <c r="AW168" s="176"/>
      <c r="AX168" s="176"/>
      <c r="AY168" s="176"/>
      <c r="AZ168" s="176"/>
      <c r="BA168" s="176"/>
      <c r="BB168" s="176"/>
      <c r="BC168" s="176"/>
      <c r="BD168" s="176"/>
    </row>
    <row r="169" ht="15.75" customHeight="1">
      <c r="A169" s="176"/>
      <c r="B169" s="176"/>
      <c r="C169" s="176"/>
      <c r="D169" s="176"/>
      <c r="E169" s="176"/>
      <c r="F169" s="176"/>
      <c r="G169" s="178"/>
      <c r="H169" s="176"/>
      <c r="I169" s="176"/>
      <c r="J169" s="176"/>
      <c r="K169" s="176"/>
      <c r="L169" s="176"/>
      <c r="M169" s="176"/>
      <c r="N169" s="176"/>
      <c r="O169" s="176"/>
      <c r="P169" s="176"/>
      <c r="Q169" s="176"/>
      <c r="R169" s="176"/>
      <c r="S169" s="176"/>
      <c r="T169" s="176"/>
      <c r="U169" s="176"/>
      <c r="V169" s="176"/>
      <c r="W169" s="176"/>
      <c r="X169" s="176"/>
      <c r="Y169" s="176"/>
      <c r="Z169" s="176"/>
      <c r="AA169" s="176"/>
      <c r="AB169" s="176"/>
      <c r="AC169" s="176"/>
      <c r="AD169" s="176"/>
      <c r="AE169" s="176"/>
      <c r="AF169" s="176"/>
      <c r="AG169" s="176"/>
      <c r="AH169" s="176"/>
      <c r="AI169" s="176"/>
      <c r="AJ169" s="176"/>
      <c r="AK169" s="176"/>
      <c r="AL169" s="176"/>
      <c r="AM169" s="176"/>
      <c r="AN169" s="176"/>
      <c r="AO169" s="176"/>
      <c r="AP169" s="176"/>
      <c r="AQ169" s="176"/>
      <c r="AR169" s="176"/>
      <c r="AS169" s="176"/>
      <c r="AT169" s="176"/>
      <c r="AU169" s="176"/>
      <c r="AV169" s="176"/>
      <c r="AW169" s="176"/>
      <c r="AX169" s="176"/>
      <c r="AY169" s="176"/>
      <c r="AZ169" s="176"/>
      <c r="BA169" s="176"/>
      <c r="BB169" s="176"/>
      <c r="BC169" s="176"/>
      <c r="BD169" s="176"/>
    </row>
    <row r="170" ht="15.75" customHeight="1">
      <c r="A170" s="176"/>
      <c r="B170" s="176"/>
      <c r="C170" s="176"/>
      <c r="D170" s="176"/>
      <c r="E170" s="176"/>
      <c r="F170" s="176"/>
      <c r="G170" s="178"/>
      <c r="H170" s="176"/>
      <c r="I170" s="176"/>
      <c r="J170" s="176"/>
      <c r="K170" s="176"/>
      <c r="L170" s="176"/>
      <c r="M170" s="176"/>
      <c r="N170" s="176"/>
      <c r="O170" s="176"/>
      <c r="P170" s="176"/>
      <c r="Q170" s="176"/>
      <c r="R170" s="176"/>
      <c r="S170" s="176"/>
      <c r="T170" s="176"/>
      <c r="U170" s="176"/>
      <c r="V170" s="176"/>
      <c r="W170" s="176"/>
      <c r="X170" s="176"/>
      <c r="Y170" s="176"/>
      <c r="Z170" s="176"/>
      <c r="AA170" s="176"/>
      <c r="AB170" s="176"/>
      <c r="AC170" s="176"/>
      <c r="AD170" s="176"/>
      <c r="AE170" s="176"/>
      <c r="AF170" s="176"/>
      <c r="AG170" s="176"/>
      <c r="AH170" s="176"/>
      <c r="AI170" s="176"/>
      <c r="AJ170" s="176"/>
      <c r="AK170" s="176"/>
      <c r="AL170" s="176"/>
      <c r="AM170" s="176"/>
      <c r="AN170" s="176"/>
      <c r="AO170" s="176"/>
      <c r="AP170" s="176"/>
      <c r="AQ170" s="176"/>
      <c r="AR170" s="176"/>
      <c r="AS170" s="176"/>
      <c r="AT170" s="176"/>
      <c r="AU170" s="176"/>
      <c r="AV170" s="176"/>
      <c r="AW170" s="176"/>
      <c r="AX170" s="176"/>
      <c r="AY170" s="176"/>
      <c r="AZ170" s="176"/>
      <c r="BA170" s="176"/>
      <c r="BB170" s="176"/>
      <c r="BC170" s="176"/>
      <c r="BD170" s="176"/>
    </row>
    <row r="171" ht="15.75" customHeight="1">
      <c r="A171" s="176"/>
      <c r="B171" s="176"/>
      <c r="C171" s="176"/>
      <c r="D171" s="176"/>
      <c r="E171" s="176"/>
      <c r="F171" s="176"/>
      <c r="G171" s="178"/>
      <c r="H171" s="176"/>
      <c r="I171" s="176"/>
      <c r="J171" s="176"/>
      <c r="K171" s="176"/>
      <c r="L171" s="176"/>
      <c r="M171" s="176"/>
      <c r="N171" s="176"/>
      <c r="O171" s="176"/>
      <c r="P171" s="176"/>
      <c r="Q171" s="176"/>
      <c r="R171" s="176"/>
      <c r="S171" s="176"/>
      <c r="T171" s="176"/>
      <c r="U171" s="176"/>
      <c r="V171" s="176"/>
      <c r="W171" s="176"/>
      <c r="X171" s="176"/>
      <c r="Y171" s="176"/>
      <c r="Z171" s="176"/>
      <c r="AA171" s="176"/>
      <c r="AB171" s="176"/>
      <c r="AC171" s="176"/>
      <c r="AD171" s="176"/>
      <c r="AE171" s="176"/>
      <c r="AF171" s="176"/>
      <c r="AG171" s="176"/>
      <c r="AH171" s="176"/>
      <c r="AI171" s="176"/>
      <c r="AJ171" s="176"/>
      <c r="AK171" s="176"/>
      <c r="AL171" s="176"/>
      <c r="AM171" s="176"/>
      <c r="AN171" s="176"/>
      <c r="AO171" s="176"/>
      <c r="AP171" s="176"/>
      <c r="AQ171" s="176"/>
      <c r="AR171" s="176"/>
      <c r="AS171" s="176"/>
      <c r="AT171" s="176"/>
      <c r="AU171" s="176"/>
      <c r="AV171" s="176"/>
      <c r="AW171" s="176"/>
      <c r="AX171" s="176"/>
      <c r="AY171" s="176"/>
      <c r="AZ171" s="176"/>
      <c r="BA171" s="176"/>
      <c r="BB171" s="176"/>
      <c r="BC171" s="176"/>
      <c r="BD171" s="176"/>
    </row>
    <row r="172" ht="15.75" customHeight="1">
      <c r="A172" s="176"/>
      <c r="B172" s="176"/>
      <c r="C172" s="176"/>
      <c r="D172" s="176"/>
      <c r="E172" s="176"/>
      <c r="F172" s="176"/>
      <c r="G172" s="178"/>
      <c r="H172" s="176"/>
      <c r="I172" s="176"/>
      <c r="J172" s="176"/>
      <c r="K172" s="176"/>
      <c r="L172" s="176"/>
      <c r="M172" s="176"/>
      <c r="N172" s="176"/>
      <c r="O172" s="176"/>
      <c r="P172" s="176"/>
      <c r="Q172" s="176"/>
      <c r="R172" s="176"/>
      <c r="S172" s="176"/>
      <c r="T172" s="176"/>
      <c r="U172" s="176"/>
      <c r="V172" s="176"/>
      <c r="W172" s="176"/>
      <c r="X172" s="176"/>
      <c r="Y172" s="176"/>
      <c r="Z172" s="176"/>
      <c r="AA172" s="176"/>
      <c r="AB172" s="176"/>
      <c r="AC172" s="176"/>
      <c r="AD172" s="176"/>
      <c r="AE172" s="176"/>
      <c r="AF172" s="176"/>
      <c r="AG172" s="176"/>
      <c r="AH172" s="176"/>
      <c r="AI172" s="176"/>
      <c r="AJ172" s="176"/>
      <c r="AK172" s="176"/>
      <c r="AL172" s="176"/>
      <c r="AM172" s="176"/>
      <c r="AN172" s="176"/>
      <c r="AO172" s="176"/>
      <c r="AP172" s="176"/>
      <c r="AQ172" s="176"/>
      <c r="AR172" s="176"/>
      <c r="AS172" s="176"/>
      <c r="AT172" s="176"/>
      <c r="AU172" s="176"/>
      <c r="AV172" s="176"/>
      <c r="AW172" s="176"/>
      <c r="AX172" s="176"/>
      <c r="AY172" s="176"/>
      <c r="AZ172" s="176"/>
      <c r="BA172" s="176"/>
      <c r="BB172" s="176"/>
      <c r="BC172" s="176"/>
      <c r="BD172" s="176"/>
    </row>
    <row r="173" ht="15.75" customHeight="1">
      <c r="A173" s="176"/>
      <c r="B173" s="176"/>
      <c r="C173" s="176"/>
      <c r="D173" s="176"/>
      <c r="E173" s="176"/>
      <c r="F173" s="176"/>
      <c r="G173" s="178"/>
      <c r="H173" s="176"/>
      <c r="I173" s="176"/>
      <c r="J173" s="176"/>
      <c r="K173" s="176"/>
      <c r="L173" s="176"/>
      <c r="M173" s="176"/>
      <c r="N173" s="176"/>
      <c r="O173" s="176"/>
      <c r="P173" s="176"/>
      <c r="Q173" s="176"/>
      <c r="R173" s="176"/>
      <c r="S173" s="176"/>
      <c r="T173" s="176"/>
      <c r="U173" s="176"/>
      <c r="V173" s="176"/>
      <c r="W173" s="176"/>
      <c r="X173" s="176"/>
      <c r="Y173" s="176"/>
      <c r="Z173" s="176"/>
      <c r="AA173" s="176"/>
      <c r="AB173" s="176"/>
      <c r="AC173" s="176"/>
      <c r="AD173" s="176"/>
      <c r="AE173" s="176"/>
      <c r="AF173" s="176"/>
      <c r="AG173" s="176"/>
      <c r="AH173" s="176"/>
      <c r="AI173" s="176"/>
      <c r="AJ173" s="176"/>
      <c r="AK173" s="176"/>
      <c r="AL173" s="176"/>
      <c r="AM173" s="176"/>
      <c r="AN173" s="176"/>
      <c r="AO173" s="176"/>
      <c r="AP173" s="176"/>
      <c r="AQ173" s="176"/>
      <c r="AR173" s="176"/>
      <c r="AS173" s="176"/>
      <c r="AT173" s="176"/>
      <c r="AU173" s="176"/>
      <c r="AV173" s="176"/>
      <c r="AW173" s="176"/>
      <c r="AX173" s="176"/>
      <c r="AY173" s="176"/>
      <c r="AZ173" s="176"/>
      <c r="BA173" s="176"/>
      <c r="BB173" s="176"/>
      <c r="BC173" s="176"/>
      <c r="BD173" s="176"/>
    </row>
    <row r="174" ht="15.75" customHeight="1">
      <c r="A174" s="176"/>
      <c r="B174" s="176"/>
      <c r="C174" s="176"/>
      <c r="D174" s="176"/>
      <c r="E174" s="176"/>
      <c r="F174" s="176"/>
      <c r="G174" s="178"/>
      <c r="H174" s="176"/>
      <c r="I174" s="176"/>
      <c r="J174" s="176"/>
      <c r="K174" s="176"/>
      <c r="L174" s="176"/>
      <c r="M174" s="176"/>
      <c r="N174" s="176"/>
      <c r="O174" s="176"/>
      <c r="P174" s="176"/>
      <c r="Q174" s="176"/>
      <c r="R174" s="176"/>
      <c r="S174" s="176"/>
      <c r="T174" s="176"/>
      <c r="U174" s="176"/>
      <c r="V174" s="176"/>
      <c r="W174" s="176"/>
      <c r="X174" s="176"/>
      <c r="Y174" s="176"/>
      <c r="Z174" s="176"/>
      <c r="AA174" s="176"/>
      <c r="AB174" s="176"/>
      <c r="AC174" s="176"/>
      <c r="AD174" s="176"/>
      <c r="AE174" s="176"/>
      <c r="AF174" s="176"/>
      <c r="AG174" s="176"/>
      <c r="AH174" s="176"/>
      <c r="AI174" s="176"/>
      <c r="AJ174" s="176"/>
      <c r="AK174" s="176"/>
      <c r="AL174" s="176"/>
      <c r="AM174" s="176"/>
      <c r="AN174" s="176"/>
      <c r="AO174" s="176"/>
      <c r="AP174" s="176"/>
      <c r="AQ174" s="176"/>
      <c r="AR174" s="176"/>
      <c r="AS174" s="176"/>
      <c r="AT174" s="176"/>
      <c r="AU174" s="176"/>
      <c r="AV174" s="176"/>
      <c r="AW174" s="176"/>
      <c r="AX174" s="176"/>
      <c r="AY174" s="176"/>
      <c r="AZ174" s="176"/>
      <c r="BA174" s="176"/>
      <c r="BB174" s="176"/>
      <c r="BC174" s="176"/>
      <c r="BD174" s="176"/>
    </row>
    <row r="175" ht="15.75" customHeight="1">
      <c r="A175" s="176"/>
      <c r="B175" s="176"/>
      <c r="C175" s="176"/>
      <c r="D175" s="176"/>
      <c r="E175" s="176"/>
      <c r="F175" s="176"/>
      <c r="G175" s="178"/>
      <c r="H175" s="176"/>
      <c r="I175" s="176"/>
      <c r="J175" s="176"/>
      <c r="K175" s="176"/>
      <c r="L175" s="176"/>
      <c r="M175" s="176"/>
      <c r="N175" s="176"/>
      <c r="O175" s="176"/>
      <c r="P175" s="176"/>
      <c r="Q175" s="176"/>
      <c r="R175" s="176"/>
      <c r="S175" s="176"/>
      <c r="T175" s="176"/>
      <c r="U175" s="176"/>
      <c r="V175" s="176"/>
      <c r="W175" s="176"/>
      <c r="X175" s="176"/>
      <c r="Y175" s="176"/>
      <c r="Z175" s="176"/>
      <c r="AA175" s="176"/>
      <c r="AB175" s="176"/>
      <c r="AC175" s="176"/>
      <c r="AD175" s="176"/>
      <c r="AE175" s="176"/>
      <c r="AF175" s="176"/>
      <c r="AG175" s="176"/>
      <c r="AH175" s="176"/>
      <c r="AI175" s="176"/>
      <c r="AJ175" s="176"/>
      <c r="AK175" s="176"/>
      <c r="AL175" s="176"/>
      <c r="AM175" s="176"/>
      <c r="AN175" s="176"/>
      <c r="AO175" s="176"/>
      <c r="AP175" s="176"/>
      <c r="AQ175" s="176"/>
      <c r="AR175" s="176"/>
      <c r="AS175" s="176"/>
      <c r="AT175" s="176"/>
      <c r="AU175" s="176"/>
      <c r="AV175" s="176"/>
      <c r="AW175" s="176"/>
      <c r="AX175" s="176"/>
      <c r="AY175" s="176"/>
      <c r="AZ175" s="176"/>
      <c r="BA175" s="176"/>
      <c r="BB175" s="176"/>
      <c r="BC175" s="176"/>
      <c r="BD175" s="176"/>
    </row>
    <row r="176" ht="15.75" customHeight="1">
      <c r="A176" s="176"/>
      <c r="B176" s="176"/>
      <c r="C176" s="176"/>
      <c r="D176" s="176"/>
      <c r="E176" s="176"/>
      <c r="F176" s="176"/>
      <c r="G176" s="178"/>
      <c r="H176" s="176"/>
      <c r="I176" s="176"/>
      <c r="J176" s="176"/>
      <c r="K176" s="176"/>
      <c r="L176" s="176"/>
      <c r="M176" s="176"/>
      <c r="N176" s="176"/>
      <c r="O176" s="176"/>
      <c r="P176" s="176"/>
      <c r="Q176" s="176"/>
      <c r="R176" s="176"/>
      <c r="S176" s="176"/>
      <c r="T176" s="176"/>
      <c r="U176" s="176"/>
      <c r="V176" s="176"/>
      <c r="W176" s="176"/>
      <c r="X176" s="176"/>
      <c r="Y176" s="176"/>
      <c r="Z176" s="176"/>
      <c r="AA176" s="176"/>
      <c r="AB176" s="176"/>
      <c r="AC176" s="176"/>
      <c r="AD176" s="176"/>
      <c r="AE176" s="176"/>
      <c r="AF176" s="176"/>
      <c r="AG176" s="176"/>
      <c r="AH176" s="176"/>
      <c r="AI176" s="176"/>
      <c r="AJ176" s="176"/>
      <c r="AK176" s="176"/>
      <c r="AL176" s="176"/>
      <c r="AM176" s="176"/>
      <c r="AN176" s="176"/>
      <c r="AO176" s="176"/>
      <c r="AP176" s="176"/>
      <c r="AQ176" s="176"/>
      <c r="AR176" s="176"/>
      <c r="AS176" s="176"/>
      <c r="AT176" s="176"/>
      <c r="AU176" s="176"/>
      <c r="AV176" s="176"/>
      <c r="AW176" s="176"/>
      <c r="AX176" s="176"/>
      <c r="AY176" s="176"/>
      <c r="AZ176" s="176"/>
      <c r="BA176" s="176"/>
      <c r="BB176" s="176"/>
      <c r="BC176" s="176"/>
      <c r="BD176" s="176"/>
    </row>
    <row r="177" ht="15.75" customHeight="1">
      <c r="A177" s="176"/>
      <c r="B177" s="176"/>
      <c r="C177" s="176"/>
      <c r="D177" s="176"/>
      <c r="E177" s="176"/>
      <c r="F177" s="176"/>
      <c r="G177" s="178"/>
      <c r="H177" s="176"/>
      <c r="I177" s="176"/>
      <c r="J177" s="176"/>
      <c r="K177" s="176"/>
      <c r="L177" s="176"/>
      <c r="M177" s="176"/>
      <c r="N177" s="176"/>
      <c r="O177" s="176"/>
      <c r="P177" s="176"/>
      <c r="Q177" s="176"/>
      <c r="R177" s="176"/>
      <c r="S177" s="176"/>
      <c r="T177" s="176"/>
      <c r="U177" s="176"/>
      <c r="V177" s="176"/>
      <c r="W177" s="176"/>
      <c r="X177" s="176"/>
      <c r="Y177" s="176"/>
      <c r="Z177" s="176"/>
      <c r="AA177" s="176"/>
      <c r="AB177" s="176"/>
      <c r="AC177" s="176"/>
      <c r="AD177" s="176"/>
      <c r="AE177" s="176"/>
      <c r="AF177" s="176"/>
      <c r="AG177" s="176"/>
      <c r="AH177" s="176"/>
      <c r="AI177" s="176"/>
      <c r="AJ177" s="176"/>
      <c r="AK177" s="176"/>
      <c r="AL177" s="176"/>
      <c r="AM177" s="176"/>
      <c r="AN177" s="176"/>
      <c r="AO177" s="176"/>
      <c r="AP177" s="176"/>
      <c r="AQ177" s="176"/>
      <c r="AR177" s="176"/>
      <c r="AS177" s="176"/>
      <c r="AT177" s="176"/>
      <c r="AU177" s="176"/>
      <c r="AV177" s="176"/>
      <c r="AW177" s="176"/>
      <c r="AX177" s="176"/>
      <c r="AY177" s="176"/>
      <c r="AZ177" s="176"/>
      <c r="BA177" s="176"/>
      <c r="BB177" s="176"/>
      <c r="BC177" s="176"/>
      <c r="BD177" s="176"/>
    </row>
    <row r="178" ht="15.75" customHeight="1">
      <c r="A178" s="176"/>
      <c r="B178" s="176"/>
      <c r="C178" s="176"/>
      <c r="D178" s="176"/>
      <c r="E178" s="176"/>
      <c r="F178" s="176"/>
      <c r="G178" s="178"/>
      <c r="H178" s="176"/>
      <c r="I178" s="176"/>
      <c r="J178" s="176"/>
      <c r="K178" s="176"/>
      <c r="L178" s="176"/>
      <c r="M178" s="176"/>
      <c r="N178" s="176"/>
      <c r="O178" s="176"/>
      <c r="P178" s="176"/>
      <c r="Q178" s="176"/>
      <c r="R178" s="176"/>
      <c r="S178" s="176"/>
      <c r="T178" s="176"/>
      <c r="U178" s="176"/>
      <c r="V178" s="176"/>
      <c r="W178" s="176"/>
      <c r="X178" s="176"/>
      <c r="Y178" s="176"/>
      <c r="Z178" s="176"/>
      <c r="AA178" s="176"/>
      <c r="AB178" s="176"/>
      <c r="AC178" s="176"/>
      <c r="AD178" s="176"/>
      <c r="AE178" s="176"/>
      <c r="AF178" s="176"/>
      <c r="AG178" s="176"/>
      <c r="AH178" s="176"/>
      <c r="AI178" s="176"/>
      <c r="AJ178" s="176"/>
      <c r="AK178" s="176"/>
      <c r="AL178" s="176"/>
      <c r="AM178" s="176"/>
      <c r="AN178" s="176"/>
      <c r="AO178" s="176"/>
      <c r="AP178" s="176"/>
      <c r="AQ178" s="176"/>
      <c r="AR178" s="176"/>
      <c r="AS178" s="176"/>
      <c r="AT178" s="176"/>
      <c r="AU178" s="176"/>
      <c r="AV178" s="176"/>
      <c r="AW178" s="176"/>
      <c r="AX178" s="176"/>
      <c r="AY178" s="176"/>
      <c r="AZ178" s="176"/>
      <c r="BA178" s="176"/>
      <c r="BB178" s="176"/>
      <c r="BC178" s="176"/>
      <c r="BD178" s="176"/>
    </row>
    <row r="179" ht="15.75" customHeight="1">
      <c r="A179" s="176"/>
      <c r="B179" s="176"/>
      <c r="C179" s="176"/>
      <c r="D179" s="176"/>
      <c r="E179" s="176"/>
      <c r="F179" s="176"/>
      <c r="G179" s="178"/>
      <c r="H179" s="176"/>
      <c r="I179" s="176"/>
      <c r="J179" s="176"/>
      <c r="K179" s="176"/>
      <c r="L179" s="176"/>
      <c r="M179" s="176"/>
      <c r="N179" s="176"/>
      <c r="O179" s="176"/>
      <c r="P179" s="176"/>
      <c r="Q179" s="176"/>
      <c r="R179" s="176"/>
      <c r="S179" s="176"/>
      <c r="T179" s="176"/>
      <c r="U179" s="176"/>
      <c r="V179" s="176"/>
      <c r="W179" s="176"/>
      <c r="X179" s="176"/>
      <c r="Y179" s="176"/>
      <c r="Z179" s="176"/>
      <c r="AA179" s="176"/>
      <c r="AB179" s="176"/>
      <c r="AC179" s="176"/>
      <c r="AD179" s="176"/>
      <c r="AE179" s="176"/>
      <c r="AF179" s="176"/>
      <c r="AG179" s="176"/>
      <c r="AH179" s="176"/>
      <c r="AI179" s="176"/>
      <c r="AJ179" s="176"/>
      <c r="AK179" s="176"/>
      <c r="AL179" s="176"/>
      <c r="AM179" s="176"/>
      <c r="AN179" s="176"/>
      <c r="AO179" s="176"/>
      <c r="AP179" s="176"/>
      <c r="AQ179" s="176"/>
      <c r="AR179" s="176"/>
      <c r="AS179" s="176"/>
      <c r="AT179" s="176"/>
      <c r="AU179" s="176"/>
      <c r="AV179" s="176"/>
      <c r="AW179" s="176"/>
      <c r="AX179" s="176"/>
      <c r="AY179" s="176"/>
      <c r="AZ179" s="176"/>
      <c r="BA179" s="176"/>
      <c r="BB179" s="176"/>
      <c r="BC179" s="176"/>
      <c r="BD179" s="176"/>
    </row>
    <row r="180" ht="15.75" customHeight="1">
      <c r="A180" s="176"/>
      <c r="B180" s="176"/>
      <c r="C180" s="176"/>
      <c r="D180" s="176"/>
      <c r="E180" s="176"/>
      <c r="F180" s="176"/>
      <c r="G180" s="178"/>
      <c r="H180" s="176"/>
      <c r="I180" s="176"/>
      <c r="J180" s="176"/>
      <c r="K180" s="176"/>
      <c r="L180" s="176"/>
      <c r="M180" s="176"/>
      <c r="N180" s="176"/>
      <c r="O180" s="176"/>
      <c r="P180" s="176"/>
      <c r="Q180" s="176"/>
      <c r="R180" s="176"/>
      <c r="S180" s="176"/>
      <c r="T180" s="176"/>
      <c r="U180" s="176"/>
      <c r="V180" s="176"/>
      <c r="W180" s="176"/>
      <c r="X180" s="176"/>
      <c r="Y180" s="176"/>
      <c r="Z180" s="176"/>
      <c r="AA180" s="176"/>
      <c r="AB180" s="176"/>
      <c r="AC180" s="176"/>
      <c r="AD180" s="176"/>
      <c r="AE180" s="176"/>
      <c r="AF180" s="176"/>
      <c r="AG180" s="176"/>
      <c r="AH180" s="176"/>
      <c r="AI180" s="176"/>
      <c r="AJ180" s="176"/>
      <c r="AK180" s="176"/>
      <c r="AL180" s="176"/>
      <c r="AM180" s="176"/>
      <c r="AN180" s="176"/>
      <c r="AO180" s="176"/>
      <c r="AP180" s="176"/>
      <c r="AQ180" s="176"/>
      <c r="AR180" s="176"/>
      <c r="AS180" s="176"/>
      <c r="AT180" s="176"/>
      <c r="AU180" s="176"/>
      <c r="AV180" s="176"/>
      <c r="AW180" s="176"/>
      <c r="AX180" s="176"/>
      <c r="AY180" s="176"/>
      <c r="AZ180" s="176"/>
      <c r="BA180" s="176"/>
      <c r="BB180" s="176"/>
      <c r="BC180" s="176"/>
      <c r="BD180" s="176"/>
    </row>
    <row r="181" ht="15.75" customHeight="1">
      <c r="A181" s="176"/>
      <c r="B181" s="176"/>
      <c r="C181" s="176"/>
      <c r="D181" s="176"/>
      <c r="E181" s="176"/>
      <c r="F181" s="176"/>
      <c r="G181" s="178"/>
      <c r="H181" s="176"/>
      <c r="I181" s="176"/>
      <c r="J181" s="176"/>
      <c r="K181" s="176"/>
      <c r="L181" s="176"/>
      <c r="M181" s="176"/>
      <c r="N181" s="176"/>
      <c r="O181" s="176"/>
      <c r="P181" s="176"/>
      <c r="Q181" s="176"/>
      <c r="R181" s="176"/>
      <c r="S181" s="176"/>
      <c r="T181" s="176"/>
      <c r="U181" s="176"/>
      <c r="V181" s="176"/>
      <c r="W181" s="176"/>
      <c r="X181" s="176"/>
      <c r="Y181" s="176"/>
      <c r="Z181" s="176"/>
      <c r="AA181" s="176"/>
      <c r="AB181" s="176"/>
      <c r="AC181" s="176"/>
      <c r="AD181" s="176"/>
      <c r="AE181" s="176"/>
      <c r="AF181" s="176"/>
      <c r="AG181" s="176"/>
      <c r="AH181" s="176"/>
      <c r="AI181" s="176"/>
      <c r="AJ181" s="176"/>
      <c r="AK181" s="176"/>
      <c r="AL181" s="176"/>
      <c r="AM181" s="176"/>
      <c r="AN181" s="176"/>
      <c r="AO181" s="176"/>
      <c r="AP181" s="176"/>
      <c r="AQ181" s="176"/>
      <c r="AR181" s="176"/>
      <c r="AS181" s="176"/>
      <c r="AT181" s="176"/>
      <c r="AU181" s="176"/>
      <c r="AV181" s="176"/>
      <c r="AW181" s="176"/>
      <c r="AX181" s="176"/>
      <c r="AY181" s="176"/>
      <c r="AZ181" s="176"/>
      <c r="BA181" s="176"/>
      <c r="BB181" s="176"/>
      <c r="BC181" s="176"/>
      <c r="BD181" s="176"/>
    </row>
    <row r="182" ht="15.75" customHeight="1">
      <c r="A182" s="176"/>
      <c r="B182" s="176"/>
      <c r="C182" s="176"/>
      <c r="D182" s="176"/>
      <c r="E182" s="176"/>
      <c r="F182" s="176"/>
      <c r="G182" s="178"/>
      <c r="H182" s="176"/>
      <c r="I182" s="176"/>
      <c r="J182" s="176"/>
      <c r="K182" s="176"/>
      <c r="L182" s="176"/>
      <c r="M182" s="176"/>
      <c r="N182" s="176"/>
      <c r="O182" s="176"/>
      <c r="P182" s="176"/>
      <c r="Q182" s="176"/>
      <c r="R182" s="176"/>
      <c r="S182" s="176"/>
      <c r="T182" s="176"/>
      <c r="U182" s="176"/>
      <c r="V182" s="176"/>
      <c r="W182" s="176"/>
      <c r="X182" s="176"/>
      <c r="Y182" s="176"/>
      <c r="Z182" s="176"/>
      <c r="AA182" s="176"/>
      <c r="AB182" s="176"/>
      <c r="AC182" s="176"/>
      <c r="AD182" s="176"/>
      <c r="AE182" s="176"/>
      <c r="AF182" s="176"/>
      <c r="AG182" s="176"/>
      <c r="AH182" s="176"/>
      <c r="AI182" s="176"/>
      <c r="AJ182" s="176"/>
      <c r="AK182" s="176"/>
      <c r="AL182" s="176"/>
      <c r="AM182" s="176"/>
      <c r="AN182" s="176"/>
      <c r="AO182" s="176"/>
      <c r="AP182" s="176"/>
      <c r="AQ182" s="176"/>
      <c r="AR182" s="176"/>
      <c r="AS182" s="176"/>
      <c r="AT182" s="176"/>
      <c r="AU182" s="176"/>
      <c r="AV182" s="176"/>
      <c r="AW182" s="176"/>
      <c r="AX182" s="176"/>
      <c r="AY182" s="176"/>
      <c r="AZ182" s="176"/>
      <c r="BA182" s="176"/>
      <c r="BB182" s="176"/>
      <c r="BC182" s="176"/>
      <c r="BD182" s="176"/>
    </row>
    <row r="183" ht="15.75" customHeight="1">
      <c r="A183" s="176"/>
      <c r="B183" s="176"/>
      <c r="C183" s="176"/>
      <c r="D183" s="176"/>
      <c r="E183" s="176"/>
      <c r="F183" s="176"/>
      <c r="G183" s="178"/>
      <c r="H183" s="176"/>
      <c r="I183" s="176"/>
      <c r="J183" s="176"/>
      <c r="K183" s="176"/>
      <c r="L183" s="176"/>
      <c r="M183" s="176"/>
      <c r="N183" s="176"/>
      <c r="O183" s="176"/>
      <c r="P183" s="176"/>
      <c r="Q183" s="176"/>
      <c r="R183" s="176"/>
      <c r="S183" s="176"/>
      <c r="T183" s="176"/>
      <c r="U183" s="176"/>
      <c r="V183" s="176"/>
      <c r="W183" s="176"/>
      <c r="X183" s="176"/>
      <c r="Y183" s="176"/>
      <c r="Z183" s="176"/>
      <c r="AA183" s="176"/>
      <c r="AB183" s="176"/>
      <c r="AC183" s="176"/>
      <c r="AD183" s="176"/>
      <c r="AE183" s="176"/>
      <c r="AF183" s="176"/>
      <c r="AG183" s="176"/>
      <c r="AH183" s="176"/>
      <c r="AI183" s="176"/>
      <c r="AJ183" s="176"/>
      <c r="AK183" s="176"/>
      <c r="AL183" s="176"/>
      <c r="AM183" s="176"/>
      <c r="AN183" s="176"/>
      <c r="AO183" s="176"/>
      <c r="AP183" s="176"/>
      <c r="AQ183" s="176"/>
      <c r="AR183" s="176"/>
      <c r="AS183" s="176"/>
      <c r="AT183" s="176"/>
      <c r="AU183" s="176"/>
      <c r="AV183" s="176"/>
      <c r="AW183" s="176"/>
      <c r="AX183" s="176"/>
      <c r="AY183" s="176"/>
      <c r="AZ183" s="176"/>
      <c r="BA183" s="176"/>
      <c r="BB183" s="176"/>
      <c r="BC183" s="176"/>
      <c r="BD183" s="176"/>
    </row>
    <row r="184" ht="15.75" customHeight="1">
      <c r="A184" s="176"/>
      <c r="B184" s="176"/>
      <c r="C184" s="176"/>
      <c r="D184" s="176"/>
      <c r="E184" s="176"/>
      <c r="F184" s="176"/>
      <c r="G184" s="178"/>
      <c r="H184" s="176"/>
      <c r="I184" s="176"/>
      <c r="J184" s="176"/>
      <c r="K184" s="176"/>
      <c r="L184" s="176"/>
      <c r="M184" s="176"/>
      <c r="N184" s="176"/>
      <c r="O184" s="176"/>
      <c r="P184" s="176"/>
      <c r="Q184" s="176"/>
      <c r="R184" s="176"/>
      <c r="S184" s="176"/>
      <c r="T184" s="176"/>
      <c r="U184" s="176"/>
      <c r="V184" s="176"/>
      <c r="W184" s="176"/>
      <c r="X184" s="176"/>
      <c r="Y184" s="176"/>
      <c r="Z184" s="176"/>
      <c r="AA184" s="176"/>
      <c r="AB184" s="176"/>
      <c r="AC184" s="176"/>
      <c r="AD184" s="176"/>
      <c r="AE184" s="176"/>
      <c r="AF184" s="176"/>
      <c r="AG184" s="176"/>
      <c r="AH184" s="176"/>
      <c r="AI184" s="176"/>
      <c r="AJ184" s="176"/>
      <c r="AK184" s="176"/>
      <c r="AL184" s="176"/>
      <c r="AM184" s="176"/>
      <c r="AN184" s="176"/>
      <c r="AO184" s="176"/>
      <c r="AP184" s="176"/>
      <c r="AQ184" s="176"/>
      <c r="AR184" s="176"/>
      <c r="AS184" s="176"/>
      <c r="AT184" s="176"/>
      <c r="AU184" s="176"/>
      <c r="AV184" s="176"/>
      <c r="AW184" s="176"/>
      <c r="AX184" s="176"/>
      <c r="AY184" s="176"/>
      <c r="AZ184" s="176"/>
      <c r="BA184" s="176"/>
      <c r="BB184" s="176"/>
      <c r="BC184" s="176"/>
      <c r="BD184" s="176"/>
    </row>
    <row r="185" ht="15.75" customHeight="1">
      <c r="A185" s="176"/>
      <c r="B185" s="176"/>
      <c r="C185" s="176"/>
      <c r="D185" s="176"/>
      <c r="E185" s="176"/>
      <c r="F185" s="176"/>
      <c r="G185" s="178"/>
      <c r="H185" s="176"/>
      <c r="I185" s="176"/>
      <c r="J185" s="176"/>
      <c r="K185" s="176"/>
      <c r="L185" s="176"/>
      <c r="M185" s="176"/>
      <c r="N185" s="176"/>
      <c r="O185" s="176"/>
      <c r="P185" s="176"/>
      <c r="Q185" s="176"/>
      <c r="R185" s="176"/>
      <c r="S185" s="176"/>
      <c r="T185" s="176"/>
      <c r="U185" s="176"/>
      <c r="V185" s="176"/>
      <c r="W185" s="176"/>
      <c r="X185" s="176"/>
      <c r="Y185" s="176"/>
      <c r="Z185" s="176"/>
      <c r="AA185" s="176"/>
      <c r="AB185" s="176"/>
      <c r="AC185" s="176"/>
      <c r="AD185" s="176"/>
      <c r="AE185" s="176"/>
      <c r="AF185" s="176"/>
      <c r="AG185" s="176"/>
      <c r="AH185" s="176"/>
      <c r="AI185" s="176"/>
      <c r="AJ185" s="176"/>
      <c r="AK185" s="176"/>
      <c r="AL185" s="176"/>
      <c r="AM185" s="176"/>
      <c r="AN185" s="176"/>
      <c r="AO185" s="176"/>
      <c r="AP185" s="176"/>
      <c r="AQ185" s="176"/>
      <c r="AR185" s="176"/>
      <c r="AS185" s="176"/>
      <c r="AT185" s="176"/>
      <c r="AU185" s="176"/>
      <c r="AV185" s="176"/>
      <c r="AW185" s="176"/>
      <c r="AX185" s="176"/>
      <c r="AY185" s="176"/>
      <c r="AZ185" s="176"/>
      <c r="BA185" s="176"/>
      <c r="BB185" s="176"/>
      <c r="BC185" s="176"/>
      <c r="BD185" s="176"/>
    </row>
    <row r="186" ht="15.75" customHeight="1">
      <c r="A186" s="176"/>
      <c r="B186" s="176"/>
      <c r="C186" s="176"/>
      <c r="D186" s="176"/>
      <c r="E186" s="176"/>
      <c r="F186" s="176"/>
      <c r="G186" s="178"/>
      <c r="H186" s="176"/>
      <c r="I186" s="176"/>
      <c r="J186" s="176"/>
      <c r="K186" s="176"/>
      <c r="L186" s="176"/>
      <c r="M186" s="176"/>
      <c r="N186" s="176"/>
      <c r="O186" s="176"/>
      <c r="P186" s="176"/>
      <c r="Q186" s="176"/>
      <c r="R186" s="176"/>
      <c r="S186" s="176"/>
      <c r="T186" s="176"/>
      <c r="U186" s="176"/>
      <c r="V186" s="176"/>
      <c r="W186" s="176"/>
      <c r="X186" s="176"/>
      <c r="Y186" s="176"/>
      <c r="Z186" s="176"/>
      <c r="AA186" s="176"/>
      <c r="AB186" s="176"/>
      <c r="AC186" s="176"/>
      <c r="AD186" s="176"/>
      <c r="AE186" s="176"/>
      <c r="AF186" s="176"/>
      <c r="AG186" s="176"/>
      <c r="AH186" s="176"/>
      <c r="AI186" s="176"/>
      <c r="AJ186" s="176"/>
      <c r="AK186" s="176"/>
      <c r="AL186" s="176"/>
      <c r="AM186" s="176"/>
      <c r="AN186" s="176"/>
      <c r="AO186" s="176"/>
      <c r="AP186" s="176"/>
      <c r="AQ186" s="176"/>
      <c r="AR186" s="176"/>
      <c r="AS186" s="176"/>
      <c r="AT186" s="176"/>
      <c r="AU186" s="176"/>
      <c r="AV186" s="176"/>
      <c r="AW186" s="176"/>
      <c r="AX186" s="176"/>
      <c r="AY186" s="176"/>
      <c r="AZ186" s="176"/>
      <c r="BA186" s="176"/>
      <c r="BB186" s="176"/>
      <c r="BC186" s="176"/>
      <c r="BD186" s="176"/>
    </row>
    <row r="187" ht="15.75" customHeight="1">
      <c r="A187" s="176"/>
      <c r="B187" s="176"/>
      <c r="C187" s="176"/>
      <c r="D187" s="176"/>
      <c r="E187" s="176"/>
      <c r="F187" s="176"/>
      <c r="G187" s="178"/>
      <c r="H187" s="176"/>
      <c r="I187" s="176"/>
      <c r="J187" s="176"/>
      <c r="K187" s="176"/>
      <c r="L187" s="176"/>
      <c r="M187" s="176"/>
      <c r="N187" s="176"/>
      <c r="O187" s="176"/>
      <c r="P187" s="176"/>
      <c r="Q187" s="176"/>
      <c r="R187" s="176"/>
      <c r="S187" s="176"/>
      <c r="T187" s="176"/>
      <c r="U187" s="176"/>
      <c r="V187" s="176"/>
      <c r="W187" s="176"/>
      <c r="X187" s="176"/>
      <c r="Y187" s="176"/>
      <c r="Z187" s="176"/>
      <c r="AA187" s="176"/>
      <c r="AB187" s="176"/>
      <c r="AC187" s="176"/>
      <c r="AD187" s="176"/>
      <c r="AE187" s="176"/>
      <c r="AF187" s="176"/>
      <c r="AG187" s="176"/>
      <c r="AH187" s="176"/>
      <c r="AI187" s="176"/>
      <c r="AJ187" s="176"/>
      <c r="AK187" s="176"/>
      <c r="AL187" s="176"/>
      <c r="AM187" s="176"/>
      <c r="AN187" s="176"/>
      <c r="AO187" s="176"/>
      <c r="AP187" s="176"/>
      <c r="AQ187" s="176"/>
      <c r="AR187" s="176"/>
      <c r="AS187" s="176"/>
      <c r="AT187" s="176"/>
      <c r="AU187" s="176"/>
      <c r="AV187" s="176"/>
      <c r="AW187" s="176"/>
      <c r="AX187" s="176"/>
      <c r="AY187" s="176"/>
      <c r="AZ187" s="176"/>
      <c r="BA187" s="176"/>
      <c r="BB187" s="176"/>
      <c r="BC187" s="176"/>
      <c r="BD187" s="176"/>
    </row>
    <row r="188" ht="15.75" customHeight="1">
      <c r="A188" s="176"/>
      <c r="B188" s="176"/>
      <c r="C188" s="176"/>
      <c r="D188" s="176"/>
      <c r="E188" s="176"/>
      <c r="F188" s="176"/>
      <c r="G188" s="178"/>
      <c r="H188" s="176"/>
      <c r="I188" s="176"/>
      <c r="J188" s="176"/>
      <c r="K188" s="176"/>
      <c r="L188" s="176"/>
      <c r="M188" s="176"/>
      <c r="N188" s="176"/>
      <c r="O188" s="176"/>
      <c r="P188" s="176"/>
      <c r="Q188" s="176"/>
      <c r="R188" s="176"/>
      <c r="S188" s="176"/>
      <c r="T188" s="176"/>
      <c r="U188" s="176"/>
      <c r="V188" s="176"/>
      <c r="W188" s="176"/>
      <c r="X188" s="176"/>
      <c r="Y188" s="176"/>
      <c r="Z188" s="176"/>
      <c r="AA188" s="176"/>
      <c r="AB188" s="176"/>
      <c r="AC188" s="176"/>
      <c r="AD188" s="176"/>
      <c r="AE188" s="176"/>
      <c r="AF188" s="176"/>
      <c r="AG188" s="176"/>
      <c r="AH188" s="176"/>
      <c r="AI188" s="176"/>
      <c r="AJ188" s="176"/>
      <c r="AK188" s="176"/>
      <c r="AL188" s="176"/>
      <c r="AM188" s="176"/>
      <c r="AN188" s="176"/>
      <c r="AO188" s="176"/>
      <c r="AP188" s="176"/>
      <c r="AQ188" s="176"/>
      <c r="AR188" s="176"/>
      <c r="AS188" s="176"/>
      <c r="AT188" s="176"/>
      <c r="AU188" s="176"/>
      <c r="AV188" s="176"/>
      <c r="AW188" s="176"/>
      <c r="AX188" s="176"/>
      <c r="AY188" s="176"/>
      <c r="AZ188" s="176"/>
      <c r="BA188" s="176"/>
      <c r="BB188" s="176"/>
      <c r="BC188" s="176"/>
      <c r="BD188" s="176"/>
    </row>
    <row r="189" ht="15.75" customHeight="1">
      <c r="A189" s="176"/>
      <c r="B189" s="176"/>
      <c r="C189" s="176"/>
      <c r="D189" s="176"/>
      <c r="E189" s="176"/>
      <c r="F189" s="176"/>
      <c r="G189" s="178"/>
      <c r="H189" s="176"/>
      <c r="I189" s="176"/>
      <c r="J189" s="176"/>
      <c r="K189" s="176"/>
      <c r="L189" s="176"/>
      <c r="M189" s="176"/>
      <c r="N189" s="176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  <c r="AA189" s="176"/>
      <c r="AB189" s="176"/>
      <c r="AC189" s="176"/>
      <c r="AD189" s="176"/>
      <c r="AE189" s="176"/>
      <c r="AF189" s="176"/>
      <c r="AG189" s="176"/>
      <c r="AH189" s="176"/>
      <c r="AI189" s="176"/>
      <c r="AJ189" s="176"/>
      <c r="AK189" s="176"/>
      <c r="AL189" s="176"/>
      <c r="AM189" s="176"/>
      <c r="AN189" s="176"/>
      <c r="AO189" s="176"/>
      <c r="AP189" s="176"/>
      <c r="AQ189" s="176"/>
      <c r="AR189" s="176"/>
      <c r="AS189" s="176"/>
      <c r="AT189" s="176"/>
      <c r="AU189" s="176"/>
      <c r="AV189" s="176"/>
      <c r="AW189" s="176"/>
      <c r="AX189" s="176"/>
      <c r="AY189" s="176"/>
      <c r="AZ189" s="176"/>
      <c r="BA189" s="176"/>
      <c r="BB189" s="176"/>
      <c r="BC189" s="176"/>
      <c r="BD189" s="176"/>
    </row>
    <row r="190" ht="15.75" customHeight="1">
      <c r="A190" s="176"/>
      <c r="B190" s="176"/>
      <c r="C190" s="176"/>
      <c r="D190" s="176"/>
      <c r="E190" s="176"/>
      <c r="F190" s="176"/>
      <c r="G190" s="178"/>
      <c r="H190" s="176"/>
      <c r="I190" s="176"/>
      <c r="J190" s="176"/>
      <c r="K190" s="176"/>
      <c r="L190" s="176"/>
      <c r="M190" s="176"/>
      <c r="N190" s="176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  <c r="AA190" s="176"/>
      <c r="AB190" s="176"/>
      <c r="AC190" s="176"/>
      <c r="AD190" s="176"/>
      <c r="AE190" s="176"/>
      <c r="AF190" s="176"/>
      <c r="AG190" s="176"/>
      <c r="AH190" s="176"/>
      <c r="AI190" s="176"/>
      <c r="AJ190" s="176"/>
      <c r="AK190" s="176"/>
      <c r="AL190" s="176"/>
      <c r="AM190" s="176"/>
      <c r="AN190" s="176"/>
      <c r="AO190" s="176"/>
      <c r="AP190" s="176"/>
      <c r="AQ190" s="176"/>
      <c r="AR190" s="176"/>
      <c r="AS190" s="176"/>
      <c r="AT190" s="176"/>
      <c r="AU190" s="176"/>
      <c r="AV190" s="176"/>
      <c r="AW190" s="176"/>
      <c r="AX190" s="176"/>
      <c r="AY190" s="176"/>
      <c r="AZ190" s="176"/>
      <c r="BA190" s="176"/>
      <c r="BB190" s="176"/>
      <c r="BC190" s="176"/>
      <c r="BD190" s="176"/>
    </row>
    <row r="191" ht="15.75" customHeight="1">
      <c r="A191" s="176"/>
      <c r="B191" s="176"/>
      <c r="C191" s="176"/>
      <c r="D191" s="176"/>
      <c r="E191" s="176"/>
      <c r="F191" s="176"/>
      <c r="G191" s="178"/>
      <c r="H191" s="176"/>
      <c r="I191" s="176"/>
      <c r="J191" s="176"/>
      <c r="K191" s="176"/>
      <c r="L191" s="176"/>
      <c r="M191" s="176"/>
      <c r="N191" s="176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  <c r="AA191" s="176"/>
      <c r="AB191" s="176"/>
      <c r="AC191" s="176"/>
      <c r="AD191" s="176"/>
      <c r="AE191" s="176"/>
      <c r="AF191" s="176"/>
      <c r="AG191" s="176"/>
      <c r="AH191" s="176"/>
      <c r="AI191" s="176"/>
      <c r="AJ191" s="176"/>
      <c r="AK191" s="176"/>
      <c r="AL191" s="176"/>
      <c r="AM191" s="176"/>
      <c r="AN191" s="176"/>
      <c r="AO191" s="176"/>
      <c r="AP191" s="176"/>
      <c r="AQ191" s="176"/>
      <c r="AR191" s="176"/>
      <c r="AS191" s="176"/>
      <c r="AT191" s="176"/>
      <c r="AU191" s="176"/>
      <c r="AV191" s="176"/>
      <c r="AW191" s="176"/>
      <c r="AX191" s="176"/>
      <c r="AY191" s="176"/>
      <c r="AZ191" s="176"/>
      <c r="BA191" s="176"/>
      <c r="BB191" s="176"/>
      <c r="BC191" s="176"/>
      <c r="BD191" s="176"/>
    </row>
    <row r="192" ht="15.75" customHeight="1">
      <c r="A192" s="176"/>
      <c r="B192" s="176"/>
      <c r="C192" s="176"/>
      <c r="D192" s="176"/>
      <c r="E192" s="176"/>
      <c r="F192" s="176"/>
      <c r="G192" s="178"/>
      <c r="H192" s="176"/>
      <c r="I192" s="176"/>
      <c r="J192" s="176"/>
      <c r="K192" s="176"/>
      <c r="L192" s="176"/>
      <c r="M192" s="176"/>
      <c r="N192" s="176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  <c r="AA192" s="176"/>
      <c r="AB192" s="176"/>
      <c r="AC192" s="176"/>
      <c r="AD192" s="176"/>
      <c r="AE192" s="176"/>
      <c r="AF192" s="176"/>
      <c r="AG192" s="176"/>
      <c r="AH192" s="176"/>
      <c r="AI192" s="176"/>
      <c r="AJ192" s="176"/>
      <c r="AK192" s="176"/>
      <c r="AL192" s="176"/>
      <c r="AM192" s="176"/>
      <c r="AN192" s="176"/>
      <c r="AO192" s="176"/>
      <c r="AP192" s="176"/>
      <c r="AQ192" s="176"/>
      <c r="AR192" s="176"/>
      <c r="AS192" s="176"/>
      <c r="AT192" s="176"/>
      <c r="AU192" s="176"/>
      <c r="AV192" s="176"/>
      <c r="AW192" s="176"/>
      <c r="AX192" s="176"/>
      <c r="AY192" s="176"/>
      <c r="AZ192" s="176"/>
      <c r="BA192" s="176"/>
      <c r="BB192" s="176"/>
      <c r="BC192" s="176"/>
      <c r="BD192" s="176"/>
    </row>
    <row r="193" ht="15.75" customHeight="1">
      <c r="A193" s="176"/>
      <c r="B193" s="176"/>
      <c r="C193" s="176"/>
      <c r="D193" s="176"/>
      <c r="E193" s="176"/>
      <c r="F193" s="176"/>
      <c r="G193" s="178"/>
      <c r="H193" s="176"/>
      <c r="I193" s="176"/>
      <c r="J193" s="176"/>
      <c r="K193" s="176"/>
      <c r="L193" s="176"/>
      <c r="M193" s="176"/>
      <c r="N193" s="176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  <c r="AA193" s="176"/>
      <c r="AB193" s="176"/>
      <c r="AC193" s="176"/>
      <c r="AD193" s="176"/>
      <c r="AE193" s="176"/>
      <c r="AF193" s="176"/>
      <c r="AG193" s="176"/>
      <c r="AH193" s="176"/>
      <c r="AI193" s="176"/>
      <c r="AJ193" s="176"/>
      <c r="AK193" s="176"/>
      <c r="AL193" s="176"/>
      <c r="AM193" s="176"/>
      <c r="AN193" s="176"/>
      <c r="AO193" s="176"/>
      <c r="AP193" s="176"/>
      <c r="AQ193" s="176"/>
      <c r="AR193" s="176"/>
      <c r="AS193" s="176"/>
      <c r="AT193" s="176"/>
      <c r="AU193" s="176"/>
      <c r="AV193" s="176"/>
      <c r="AW193" s="176"/>
      <c r="AX193" s="176"/>
      <c r="AY193" s="176"/>
      <c r="AZ193" s="176"/>
      <c r="BA193" s="176"/>
      <c r="BB193" s="176"/>
      <c r="BC193" s="176"/>
      <c r="BD193" s="176"/>
    </row>
    <row r="194" ht="15.75" customHeight="1">
      <c r="A194" s="176"/>
      <c r="B194" s="176"/>
      <c r="C194" s="176"/>
      <c r="D194" s="176"/>
      <c r="E194" s="176"/>
      <c r="F194" s="176"/>
      <c r="G194" s="178"/>
      <c r="H194" s="176"/>
      <c r="I194" s="176"/>
      <c r="J194" s="176"/>
      <c r="K194" s="176"/>
      <c r="L194" s="176"/>
      <c r="M194" s="176"/>
      <c r="N194" s="176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  <c r="AA194" s="176"/>
      <c r="AB194" s="176"/>
      <c r="AC194" s="176"/>
      <c r="AD194" s="176"/>
      <c r="AE194" s="176"/>
      <c r="AF194" s="176"/>
      <c r="AG194" s="176"/>
      <c r="AH194" s="176"/>
      <c r="AI194" s="176"/>
      <c r="AJ194" s="176"/>
      <c r="AK194" s="176"/>
      <c r="AL194" s="176"/>
      <c r="AM194" s="176"/>
      <c r="AN194" s="176"/>
      <c r="AO194" s="176"/>
      <c r="AP194" s="176"/>
      <c r="AQ194" s="176"/>
      <c r="AR194" s="176"/>
      <c r="AS194" s="176"/>
      <c r="AT194" s="176"/>
      <c r="AU194" s="176"/>
      <c r="AV194" s="176"/>
      <c r="AW194" s="176"/>
      <c r="AX194" s="176"/>
      <c r="AY194" s="176"/>
      <c r="AZ194" s="176"/>
      <c r="BA194" s="176"/>
      <c r="BB194" s="176"/>
      <c r="BC194" s="176"/>
      <c r="BD194" s="176"/>
    </row>
    <row r="195" ht="15.75" customHeight="1">
      <c r="A195" s="176"/>
      <c r="B195" s="176"/>
      <c r="C195" s="176"/>
      <c r="D195" s="176"/>
      <c r="E195" s="176"/>
      <c r="F195" s="176"/>
      <c r="G195" s="178"/>
      <c r="H195" s="176"/>
      <c r="I195" s="176"/>
      <c r="J195" s="176"/>
      <c r="K195" s="176"/>
      <c r="L195" s="176"/>
      <c r="M195" s="176"/>
      <c r="N195" s="176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  <c r="AA195" s="176"/>
      <c r="AB195" s="176"/>
      <c r="AC195" s="176"/>
      <c r="AD195" s="176"/>
      <c r="AE195" s="176"/>
      <c r="AF195" s="176"/>
      <c r="AG195" s="176"/>
      <c r="AH195" s="176"/>
      <c r="AI195" s="176"/>
      <c r="AJ195" s="176"/>
      <c r="AK195" s="176"/>
      <c r="AL195" s="176"/>
      <c r="AM195" s="176"/>
      <c r="AN195" s="176"/>
      <c r="AO195" s="176"/>
      <c r="AP195" s="176"/>
      <c r="AQ195" s="176"/>
      <c r="AR195" s="176"/>
      <c r="AS195" s="176"/>
      <c r="AT195" s="176"/>
      <c r="AU195" s="176"/>
      <c r="AV195" s="176"/>
      <c r="AW195" s="176"/>
      <c r="AX195" s="176"/>
      <c r="AY195" s="176"/>
      <c r="AZ195" s="176"/>
      <c r="BA195" s="176"/>
      <c r="BB195" s="176"/>
      <c r="BC195" s="176"/>
      <c r="BD195" s="176"/>
    </row>
    <row r="196" ht="15.75" customHeight="1">
      <c r="A196" s="176"/>
      <c r="B196" s="176"/>
      <c r="C196" s="176"/>
      <c r="D196" s="176"/>
      <c r="E196" s="176"/>
      <c r="F196" s="176"/>
      <c r="G196" s="178"/>
      <c r="H196" s="176"/>
      <c r="I196" s="176"/>
      <c r="J196" s="176"/>
      <c r="K196" s="176"/>
      <c r="L196" s="176"/>
      <c r="M196" s="176"/>
      <c r="N196" s="176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  <c r="AA196" s="176"/>
      <c r="AB196" s="176"/>
      <c r="AC196" s="176"/>
      <c r="AD196" s="176"/>
      <c r="AE196" s="176"/>
      <c r="AF196" s="176"/>
      <c r="AG196" s="176"/>
      <c r="AH196" s="176"/>
      <c r="AI196" s="176"/>
      <c r="AJ196" s="176"/>
      <c r="AK196" s="176"/>
      <c r="AL196" s="176"/>
      <c r="AM196" s="176"/>
      <c r="AN196" s="176"/>
      <c r="AO196" s="176"/>
      <c r="AP196" s="176"/>
      <c r="AQ196" s="176"/>
      <c r="AR196" s="176"/>
      <c r="AS196" s="176"/>
      <c r="AT196" s="176"/>
      <c r="AU196" s="176"/>
      <c r="AV196" s="176"/>
      <c r="AW196" s="176"/>
      <c r="AX196" s="176"/>
      <c r="AY196" s="176"/>
      <c r="AZ196" s="176"/>
      <c r="BA196" s="176"/>
      <c r="BB196" s="176"/>
      <c r="BC196" s="176"/>
      <c r="BD196" s="176"/>
    </row>
    <row r="197" ht="15.75" customHeight="1">
      <c r="A197" s="176"/>
      <c r="B197" s="176"/>
      <c r="C197" s="176"/>
      <c r="D197" s="176"/>
      <c r="E197" s="176"/>
      <c r="F197" s="176"/>
      <c r="G197" s="178"/>
      <c r="H197" s="176"/>
      <c r="I197" s="176"/>
      <c r="J197" s="176"/>
      <c r="K197" s="176"/>
      <c r="L197" s="176"/>
      <c r="M197" s="176"/>
      <c r="N197" s="176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  <c r="AA197" s="176"/>
      <c r="AB197" s="176"/>
      <c r="AC197" s="176"/>
      <c r="AD197" s="176"/>
      <c r="AE197" s="176"/>
      <c r="AF197" s="176"/>
      <c r="AG197" s="176"/>
      <c r="AH197" s="176"/>
      <c r="AI197" s="176"/>
      <c r="AJ197" s="176"/>
      <c r="AK197" s="176"/>
      <c r="AL197" s="176"/>
      <c r="AM197" s="176"/>
      <c r="AN197" s="176"/>
      <c r="AO197" s="176"/>
      <c r="AP197" s="176"/>
      <c r="AQ197" s="176"/>
      <c r="AR197" s="176"/>
      <c r="AS197" s="176"/>
      <c r="AT197" s="176"/>
      <c r="AU197" s="176"/>
      <c r="AV197" s="176"/>
      <c r="AW197" s="176"/>
      <c r="AX197" s="176"/>
      <c r="AY197" s="176"/>
      <c r="AZ197" s="176"/>
      <c r="BA197" s="176"/>
      <c r="BB197" s="176"/>
      <c r="BC197" s="176"/>
      <c r="BD197" s="176"/>
    </row>
    <row r="198" ht="15.75" customHeight="1">
      <c r="A198" s="176"/>
      <c r="B198" s="176"/>
      <c r="C198" s="176"/>
      <c r="D198" s="176"/>
      <c r="E198" s="176"/>
      <c r="F198" s="176"/>
      <c r="G198" s="178"/>
      <c r="H198" s="176"/>
      <c r="I198" s="176"/>
      <c r="J198" s="176"/>
      <c r="K198" s="176"/>
      <c r="L198" s="176"/>
      <c r="M198" s="176"/>
      <c r="N198" s="176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  <c r="AA198" s="176"/>
      <c r="AB198" s="176"/>
      <c r="AC198" s="176"/>
      <c r="AD198" s="176"/>
      <c r="AE198" s="176"/>
      <c r="AF198" s="176"/>
      <c r="AG198" s="176"/>
      <c r="AH198" s="176"/>
      <c r="AI198" s="176"/>
      <c r="AJ198" s="176"/>
      <c r="AK198" s="176"/>
      <c r="AL198" s="176"/>
      <c r="AM198" s="176"/>
      <c r="AN198" s="176"/>
      <c r="AO198" s="176"/>
      <c r="AP198" s="176"/>
      <c r="AQ198" s="176"/>
      <c r="AR198" s="176"/>
      <c r="AS198" s="176"/>
      <c r="AT198" s="176"/>
      <c r="AU198" s="176"/>
      <c r="AV198" s="176"/>
      <c r="AW198" s="176"/>
      <c r="AX198" s="176"/>
      <c r="AY198" s="176"/>
      <c r="AZ198" s="176"/>
      <c r="BA198" s="176"/>
      <c r="BB198" s="176"/>
      <c r="BC198" s="176"/>
      <c r="BD198" s="176"/>
    </row>
    <row r="199" ht="15.75" customHeight="1">
      <c r="A199" s="176"/>
      <c r="B199" s="176"/>
      <c r="C199" s="176"/>
      <c r="D199" s="176"/>
      <c r="E199" s="176"/>
      <c r="F199" s="176"/>
      <c r="G199" s="178"/>
      <c r="H199" s="176"/>
      <c r="I199" s="176"/>
      <c r="J199" s="176"/>
      <c r="K199" s="176"/>
      <c r="L199" s="176"/>
      <c r="M199" s="176"/>
      <c r="N199" s="176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  <c r="AA199" s="176"/>
      <c r="AB199" s="176"/>
      <c r="AC199" s="176"/>
      <c r="AD199" s="176"/>
      <c r="AE199" s="176"/>
      <c r="AF199" s="176"/>
      <c r="AG199" s="176"/>
      <c r="AH199" s="176"/>
      <c r="AI199" s="176"/>
      <c r="AJ199" s="176"/>
      <c r="AK199" s="176"/>
      <c r="AL199" s="176"/>
      <c r="AM199" s="176"/>
      <c r="AN199" s="176"/>
      <c r="AO199" s="176"/>
      <c r="AP199" s="176"/>
      <c r="AQ199" s="176"/>
      <c r="AR199" s="176"/>
      <c r="AS199" s="176"/>
      <c r="AT199" s="176"/>
      <c r="AU199" s="176"/>
      <c r="AV199" s="176"/>
      <c r="AW199" s="176"/>
      <c r="AX199" s="176"/>
      <c r="AY199" s="176"/>
      <c r="AZ199" s="176"/>
      <c r="BA199" s="176"/>
      <c r="BB199" s="176"/>
      <c r="BC199" s="176"/>
      <c r="BD199" s="176"/>
    </row>
    <row r="200" ht="15.75" customHeight="1">
      <c r="A200" s="176"/>
      <c r="B200" s="176"/>
      <c r="C200" s="176"/>
      <c r="D200" s="176"/>
      <c r="E200" s="176"/>
      <c r="F200" s="176"/>
      <c r="G200" s="178"/>
      <c r="H200" s="176"/>
      <c r="I200" s="176"/>
      <c r="J200" s="176"/>
      <c r="K200" s="176"/>
      <c r="L200" s="176"/>
      <c r="M200" s="176"/>
      <c r="N200" s="176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  <c r="AA200" s="176"/>
      <c r="AB200" s="176"/>
      <c r="AC200" s="176"/>
      <c r="AD200" s="176"/>
      <c r="AE200" s="176"/>
      <c r="AF200" s="176"/>
      <c r="AG200" s="176"/>
      <c r="AH200" s="176"/>
      <c r="AI200" s="176"/>
      <c r="AJ200" s="176"/>
      <c r="AK200" s="176"/>
      <c r="AL200" s="176"/>
      <c r="AM200" s="176"/>
      <c r="AN200" s="176"/>
      <c r="AO200" s="176"/>
      <c r="AP200" s="176"/>
      <c r="AQ200" s="176"/>
      <c r="AR200" s="176"/>
      <c r="AS200" s="176"/>
      <c r="AT200" s="176"/>
      <c r="AU200" s="176"/>
      <c r="AV200" s="176"/>
      <c r="AW200" s="176"/>
      <c r="AX200" s="176"/>
      <c r="AY200" s="176"/>
      <c r="AZ200" s="176"/>
      <c r="BA200" s="176"/>
      <c r="BB200" s="176"/>
      <c r="BC200" s="176"/>
      <c r="BD200" s="176"/>
    </row>
    <row r="201" ht="15.75" customHeight="1">
      <c r="A201" s="176"/>
      <c r="B201" s="176"/>
      <c r="C201" s="176"/>
      <c r="D201" s="176"/>
      <c r="E201" s="176"/>
      <c r="F201" s="176"/>
      <c r="G201" s="178"/>
      <c r="H201" s="176"/>
      <c r="I201" s="176"/>
      <c r="J201" s="176"/>
      <c r="K201" s="176"/>
      <c r="L201" s="176"/>
      <c r="M201" s="176"/>
      <c r="N201" s="176"/>
      <c r="O201" s="176"/>
      <c r="P201" s="176"/>
      <c r="Q201" s="176"/>
      <c r="R201" s="176"/>
      <c r="S201" s="176"/>
      <c r="T201" s="176"/>
      <c r="U201" s="176"/>
      <c r="V201" s="176"/>
      <c r="W201" s="176"/>
      <c r="X201" s="176"/>
      <c r="Y201" s="176"/>
      <c r="Z201" s="176"/>
      <c r="AA201" s="176"/>
      <c r="AB201" s="176"/>
      <c r="AC201" s="176"/>
      <c r="AD201" s="176"/>
      <c r="AE201" s="176"/>
      <c r="AF201" s="176"/>
      <c r="AG201" s="176"/>
      <c r="AH201" s="176"/>
      <c r="AI201" s="176"/>
      <c r="AJ201" s="176"/>
      <c r="AK201" s="176"/>
      <c r="AL201" s="176"/>
      <c r="AM201" s="176"/>
      <c r="AN201" s="176"/>
      <c r="AO201" s="176"/>
      <c r="AP201" s="176"/>
      <c r="AQ201" s="176"/>
      <c r="AR201" s="176"/>
      <c r="AS201" s="176"/>
      <c r="AT201" s="176"/>
      <c r="AU201" s="176"/>
      <c r="AV201" s="176"/>
      <c r="AW201" s="176"/>
      <c r="AX201" s="176"/>
      <c r="AY201" s="176"/>
      <c r="AZ201" s="176"/>
      <c r="BA201" s="176"/>
      <c r="BB201" s="176"/>
      <c r="BC201" s="176"/>
      <c r="BD201" s="176"/>
    </row>
    <row r="202" ht="15.75" customHeight="1">
      <c r="A202" s="176"/>
      <c r="B202" s="176"/>
      <c r="C202" s="176"/>
      <c r="D202" s="176"/>
      <c r="E202" s="176"/>
      <c r="F202" s="176"/>
      <c r="G202" s="178"/>
      <c r="H202" s="176"/>
      <c r="I202" s="176"/>
      <c r="J202" s="176"/>
      <c r="K202" s="176"/>
      <c r="L202" s="176"/>
      <c r="M202" s="176"/>
      <c r="N202" s="176"/>
      <c r="O202" s="176"/>
      <c r="P202" s="176"/>
      <c r="Q202" s="176"/>
      <c r="R202" s="176"/>
      <c r="S202" s="176"/>
      <c r="T202" s="176"/>
      <c r="U202" s="176"/>
      <c r="V202" s="176"/>
      <c r="W202" s="176"/>
      <c r="X202" s="176"/>
      <c r="Y202" s="176"/>
      <c r="Z202" s="176"/>
      <c r="AA202" s="176"/>
      <c r="AB202" s="176"/>
      <c r="AC202" s="176"/>
      <c r="AD202" s="176"/>
      <c r="AE202" s="176"/>
      <c r="AF202" s="176"/>
      <c r="AG202" s="176"/>
      <c r="AH202" s="176"/>
      <c r="AI202" s="176"/>
      <c r="AJ202" s="176"/>
      <c r="AK202" s="176"/>
      <c r="AL202" s="176"/>
      <c r="AM202" s="176"/>
      <c r="AN202" s="176"/>
      <c r="AO202" s="176"/>
      <c r="AP202" s="176"/>
      <c r="AQ202" s="176"/>
      <c r="AR202" s="176"/>
      <c r="AS202" s="176"/>
      <c r="AT202" s="176"/>
      <c r="AU202" s="176"/>
      <c r="AV202" s="176"/>
      <c r="AW202" s="176"/>
      <c r="AX202" s="176"/>
      <c r="AY202" s="176"/>
      <c r="AZ202" s="176"/>
      <c r="BA202" s="176"/>
      <c r="BB202" s="176"/>
      <c r="BC202" s="176"/>
      <c r="BD202" s="176"/>
    </row>
    <row r="203" ht="15.75" customHeight="1">
      <c r="A203" s="176"/>
      <c r="B203" s="176"/>
      <c r="C203" s="176"/>
      <c r="D203" s="176"/>
      <c r="E203" s="176"/>
      <c r="F203" s="176"/>
      <c r="G203" s="178"/>
      <c r="H203" s="176"/>
      <c r="I203" s="176"/>
      <c r="J203" s="176"/>
      <c r="K203" s="176"/>
      <c r="L203" s="176"/>
      <c r="M203" s="176"/>
      <c r="N203" s="176"/>
      <c r="O203" s="176"/>
      <c r="P203" s="176"/>
      <c r="Q203" s="176"/>
      <c r="R203" s="176"/>
      <c r="S203" s="176"/>
      <c r="T203" s="176"/>
      <c r="U203" s="176"/>
      <c r="V203" s="176"/>
      <c r="W203" s="176"/>
      <c r="X203" s="176"/>
      <c r="Y203" s="176"/>
      <c r="Z203" s="176"/>
      <c r="AA203" s="176"/>
      <c r="AB203" s="176"/>
      <c r="AC203" s="176"/>
      <c r="AD203" s="176"/>
      <c r="AE203" s="176"/>
      <c r="AF203" s="176"/>
      <c r="AG203" s="176"/>
      <c r="AH203" s="176"/>
      <c r="AI203" s="176"/>
      <c r="AJ203" s="176"/>
      <c r="AK203" s="176"/>
      <c r="AL203" s="176"/>
      <c r="AM203" s="176"/>
      <c r="AN203" s="176"/>
      <c r="AO203" s="176"/>
      <c r="AP203" s="176"/>
      <c r="AQ203" s="176"/>
      <c r="AR203" s="176"/>
      <c r="AS203" s="176"/>
      <c r="AT203" s="176"/>
      <c r="AU203" s="176"/>
      <c r="AV203" s="176"/>
      <c r="AW203" s="176"/>
      <c r="AX203" s="176"/>
      <c r="AY203" s="176"/>
      <c r="AZ203" s="176"/>
      <c r="BA203" s="176"/>
      <c r="BB203" s="176"/>
      <c r="BC203" s="176"/>
      <c r="BD203" s="176"/>
    </row>
    <row r="204" ht="15.75" customHeight="1">
      <c r="A204" s="176"/>
      <c r="B204" s="176"/>
      <c r="C204" s="176"/>
      <c r="D204" s="176"/>
      <c r="E204" s="176"/>
      <c r="F204" s="176"/>
      <c r="G204" s="178"/>
      <c r="H204" s="176"/>
      <c r="I204" s="176"/>
      <c r="J204" s="176"/>
      <c r="K204" s="176"/>
      <c r="L204" s="176"/>
      <c r="M204" s="176"/>
      <c r="N204" s="176"/>
      <c r="O204" s="176"/>
      <c r="P204" s="176"/>
      <c r="Q204" s="176"/>
      <c r="R204" s="176"/>
      <c r="S204" s="176"/>
      <c r="T204" s="176"/>
      <c r="U204" s="176"/>
      <c r="V204" s="176"/>
      <c r="W204" s="176"/>
      <c r="X204" s="176"/>
      <c r="Y204" s="176"/>
      <c r="Z204" s="176"/>
      <c r="AA204" s="176"/>
      <c r="AB204" s="176"/>
      <c r="AC204" s="176"/>
      <c r="AD204" s="176"/>
      <c r="AE204" s="176"/>
      <c r="AF204" s="176"/>
      <c r="AG204" s="176"/>
      <c r="AH204" s="176"/>
      <c r="AI204" s="176"/>
      <c r="AJ204" s="176"/>
      <c r="AK204" s="176"/>
      <c r="AL204" s="176"/>
      <c r="AM204" s="176"/>
      <c r="AN204" s="176"/>
      <c r="AO204" s="176"/>
      <c r="AP204" s="176"/>
      <c r="AQ204" s="176"/>
      <c r="AR204" s="176"/>
      <c r="AS204" s="176"/>
      <c r="AT204" s="176"/>
      <c r="AU204" s="176"/>
      <c r="AV204" s="176"/>
      <c r="AW204" s="176"/>
      <c r="AX204" s="176"/>
      <c r="AY204" s="176"/>
      <c r="AZ204" s="176"/>
      <c r="BA204" s="176"/>
      <c r="BB204" s="176"/>
      <c r="BC204" s="176"/>
      <c r="BD204" s="176"/>
    </row>
    <row r="205" ht="15.75" customHeight="1">
      <c r="A205" s="176"/>
      <c r="B205" s="176"/>
      <c r="C205" s="176"/>
      <c r="D205" s="176"/>
      <c r="E205" s="176"/>
      <c r="F205" s="176"/>
      <c r="G205" s="178"/>
      <c r="H205" s="176"/>
      <c r="I205" s="176"/>
      <c r="J205" s="176"/>
      <c r="K205" s="176"/>
      <c r="L205" s="176"/>
      <c r="M205" s="176"/>
      <c r="N205" s="176"/>
      <c r="O205" s="176"/>
      <c r="P205" s="176"/>
      <c r="Q205" s="176"/>
      <c r="R205" s="176"/>
      <c r="S205" s="176"/>
      <c r="T205" s="176"/>
      <c r="U205" s="176"/>
      <c r="V205" s="176"/>
      <c r="W205" s="176"/>
      <c r="X205" s="176"/>
      <c r="Y205" s="176"/>
      <c r="Z205" s="176"/>
      <c r="AA205" s="176"/>
      <c r="AB205" s="176"/>
      <c r="AC205" s="176"/>
      <c r="AD205" s="176"/>
      <c r="AE205" s="176"/>
      <c r="AF205" s="176"/>
      <c r="AG205" s="176"/>
      <c r="AH205" s="176"/>
      <c r="AI205" s="176"/>
      <c r="AJ205" s="176"/>
      <c r="AK205" s="176"/>
      <c r="AL205" s="176"/>
      <c r="AM205" s="176"/>
      <c r="AN205" s="176"/>
      <c r="AO205" s="176"/>
      <c r="AP205" s="176"/>
      <c r="AQ205" s="176"/>
      <c r="AR205" s="176"/>
      <c r="AS205" s="176"/>
      <c r="AT205" s="176"/>
      <c r="AU205" s="176"/>
      <c r="AV205" s="176"/>
      <c r="AW205" s="176"/>
      <c r="AX205" s="176"/>
      <c r="AY205" s="176"/>
      <c r="AZ205" s="176"/>
      <c r="BA205" s="176"/>
      <c r="BB205" s="176"/>
      <c r="BC205" s="176"/>
      <c r="BD205" s="176"/>
    </row>
    <row r="206" ht="15.75" customHeight="1">
      <c r="A206" s="176"/>
      <c r="B206" s="176"/>
      <c r="C206" s="176"/>
      <c r="D206" s="176"/>
      <c r="E206" s="176"/>
      <c r="F206" s="176"/>
      <c r="G206" s="178"/>
      <c r="H206" s="176"/>
      <c r="I206" s="176"/>
      <c r="J206" s="176"/>
      <c r="K206" s="176"/>
      <c r="L206" s="176"/>
      <c r="M206" s="176"/>
      <c r="N206" s="176"/>
      <c r="O206" s="176"/>
      <c r="P206" s="176"/>
      <c r="Q206" s="176"/>
      <c r="R206" s="176"/>
      <c r="S206" s="176"/>
      <c r="T206" s="176"/>
      <c r="U206" s="176"/>
      <c r="V206" s="176"/>
      <c r="W206" s="176"/>
      <c r="X206" s="176"/>
      <c r="Y206" s="176"/>
      <c r="Z206" s="176"/>
      <c r="AA206" s="176"/>
      <c r="AB206" s="176"/>
      <c r="AC206" s="176"/>
      <c r="AD206" s="176"/>
      <c r="AE206" s="176"/>
      <c r="AF206" s="176"/>
      <c r="AG206" s="176"/>
      <c r="AH206" s="176"/>
      <c r="AI206" s="176"/>
      <c r="AJ206" s="176"/>
      <c r="AK206" s="176"/>
      <c r="AL206" s="176"/>
      <c r="AM206" s="176"/>
      <c r="AN206" s="176"/>
      <c r="AO206" s="176"/>
      <c r="AP206" s="176"/>
      <c r="AQ206" s="176"/>
      <c r="AR206" s="176"/>
      <c r="AS206" s="176"/>
      <c r="AT206" s="176"/>
      <c r="AU206" s="176"/>
      <c r="AV206" s="176"/>
      <c r="AW206" s="176"/>
      <c r="AX206" s="176"/>
      <c r="AY206" s="176"/>
      <c r="AZ206" s="176"/>
      <c r="BA206" s="176"/>
      <c r="BB206" s="176"/>
      <c r="BC206" s="176"/>
      <c r="BD206" s="176"/>
    </row>
    <row r="207" ht="15.75" customHeight="1">
      <c r="A207" s="176"/>
      <c r="B207" s="176"/>
      <c r="C207" s="176"/>
      <c r="D207" s="176"/>
      <c r="E207" s="176"/>
      <c r="F207" s="176"/>
      <c r="G207" s="178"/>
      <c r="H207" s="176"/>
      <c r="I207" s="176"/>
      <c r="J207" s="176"/>
      <c r="K207" s="176"/>
      <c r="L207" s="176"/>
      <c r="M207" s="176"/>
      <c r="N207" s="176"/>
      <c r="O207" s="176"/>
      <c r="P207" s="176"/>
      <c r="Q207" s="176"/>
      <c r="R207" s="176"/>
      <c r="S207" s="176"/>
      <c r="T207" s="176"/>
      <c r="U207" s="176"/>
      <c r="V207" s="176"/>
      <c r="W207" s="176"/>
      <c r="X207" s="176"/>
      <c r="Y207" s="176"/>
      <c r="Z207" s="176"/>
      <c r="AA207" s="176"/>
      <c r="AB207" s="176"/>
      <c r="AC207" s="176"/>
      <c r="AD207" s="176"/>
      <c r="AE207" s="176"/>
      <c r="AF207" s="176"/>
      <c r="AG207" s="176"/>
      <c r="AH207" s="176"/>
      <c r="AI207" s="176"/>
      <c r="AJ207" s="176"/>
      <c r="AK207" s="176"/>
      <c r="AL207" s="176"/>
      <c r="AM207" s="176"/>
      <c r="AN207" s="176"/>
      <c r="AO207" s="176"/>
      <c r="AP207" s="176"/>
      <c r="AQ207" s="176"/>
      <c r="AR207" s="176"/>
      <c r="AS207" s="176"/>
      <c r="AT207" s="176"/>
      <c r="AU207" s="176"/>
      <c r="AV207" s="176"/>
      <c r="AW207" s="176"/>
      <c r="AX207" s="176"/>
      <c r="AY207" s="176"/>
      <c r="AZ207" s="176"/>
      <c r="BA207" s="176"/>
      <c r="BB207" s="176"/>
      <c r="BC207" s="176"/>
      <c r="BD207" s="176"/>
    </row>
    <row r="208" ht="15.75" customHeight="1">
      <c r="A208" s="176"/>
      <c r="B208" s="176"/>
      <c r="C208" s="176"/>
      <c r="D208" s="176"/>
      <c r="E208" s="176"/>
      <c r="F208" s="176"/>
      <c r="G208" s="178"/>
      <c r="H208" s="176"/>
      <c r="I208" s="176"/>
      <c r="J208" s="176"/>
      <c r="K208" s="176"/>
      <c r="L208" s="176"/>
      <c r="M208" s="176"/>
      <c r="N208" s="176"/>
      <c r="O208" s="176"/>
      <c r="P208" s="176"/>
      <c r="Q208" s="176"/>
      <c r="R208" s="176"/>
      <c r="S208" s="176"/>
      <c r="T208" s="176"/>
      <c r="U208" s="176"/>
      <c r="V208" s="176"/>
      <c r="W208" s="176"/>
      <c r="X208" s="176"/>
      <c r="Y208" s="176"/>
      <c r="Z208" s="176"/>
      <c r="AA208" s="176"/>
      <c r="AB208" s="176"/>
      <c r="AC208" s="176"/>
      <c r="AD208" s="176"/>
      <c r="AE208" s="176"/>
      <c r="AF208" s="176"/>
      <c r="AG208" s="176"/>
      <c r="AH208" s="176"/>
      <c r="AI208" s="176"/>
      <c r="AJ208" s="176"/>
      <c r="AK208" s="176"/>
      <c r="AL208" s="176"/>
      <c r="AM208" s="176"/>
      <c r="AN208" s="176"/>
      <c r="AO208" s="176"/>
      <c r="AP208" s="176"/>
      <c r="AQ208" s="176"/>
      <c r="AR208" s="176"/>
      <c r="AS208" s="176"/>
      <c r="AT208" s="176"/>
      <c r="AU208" s="176"/>
      <c r="AV208" s="176"/>
      <c r="AW208" s="176"/>
      <c r="AX208" s="176"/>
      <c r="AY208" s="176"/>
      <c r="AZ208" s="176"/>
      <c r="BA208" s="176"/>
      <c r="BB208" s="176"/>
      <c r="BC208" s="176"/>
      <c r="BD208" s="176"/>
    </row>
    <row r="209" ht="15.75" customHeight="1">
      <c r="A209" s="176"/>
      <c r="B209" s="176"/>
      <c r="C209" s="176"/>
      <c r="D209" s="176"/>
      <c r="E209" s="176"/>
      <c r="F209" s="176"/>
      <c r="G209" s="178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6"/>
      <c r="S209" s="176"/>
      <c r="T209" s="176"/>
      <c r="U209" s="176"/>
      <c r="V209" s="176"/>
      <c r="W209" s="176"/>
      <c r="X209" s="176"/>
      <c r="Y209" s="176"/>
      <c r="Z209" s="176"/>
      <c r="AA209" s="176"/>
      <c r="AB209" s="176"/>
      <c r="AC209" s="176"/>
      <c r="AD209" s="176"/>
      <c r="AE209" s="176"/>
      <c r="AF209" s="176"/>
      <c r="AG209" s="176"/>
      <c r="AH209" s="176"/>
      <c r="AI209" s="176"/>
      <c r="AJ209" s="176"/>
      <c r="AK209" s="176"/>
      <c r="AL209" s="176"/>
      <c r="AM209" s="176"/>
      <c r="AN209" s="176"/>
      <c r="AO209" s="176"/>
      <c r="AP209" s="176"/>
      <c r="AQ209" s="176"/>
      <c r="AR209" s="176"/>
      <c r="AS209" s="176"/>
      <c r="AT209" s="176"/>
      <c r="AU209" s="176"/>
      <c r="AV209" s="176"/>
      <c r="AW209" s="176"/>
      <c r="AX209" s="176"/>
      <c r="AY209" s="176"/>
      <c r="AZ209" s="176"/>
      <c r="BA209" s="176"/>
      <c r="BB209" s="176"/>
      <c r="BC209" s="176"/>
      <c r="BD209" s="176"/>
    </row>
    <row r="210" ht="15.75" customHeight="1">
      <c r="A210" s="176"/>
      <c r="B210" s="176"/>
      <c r="C210" s="176"/>
      <c r="D210" s="176"/>
      <c r="E210" s="176"/>
      <c r="F210" s="176"/>
      <c r="G210" s="178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6"/>
      <c r="S210" s="176"/>
      <c r="T210" s="176"/>
      <c r="U210" s="176"/>
      <c r="V210" s="176"/>
      <c r="W210" s="176"/>
      <c r="X210" s="176"/>
      <c r="Y210" s="176"/>
      <c r="Z210" s="176"/>
      <c r="AA210" s="176"/>
      <c r="AB210" s="176"/>
      <c r="AC210" s="176"/>
      <c r="AD210" s="176"/>
      <c r="AE210" s="176"/>
      <c r="AF210" s="176"/>
      <c r="AG210" s="176"/>
      <c r="AH210" s="176"/>
      <c r="AI210" s="176"/>
      <c r="AJ210" s="176"/>
      <c r="AK210" s="176"/>
      <c r="AL210" s="176"/>
      <c r="AM210" s="176"/>
      <c r="AN210" s="176"/>
      <c r="AO210" s="176"/>
      <c r="AP210" s="176"/>
      <c r="AQ210" s="176"/>
      <c r="AR210" s="176"/>
      <c r="AS210" s="176"/>
      <c r="AT210" s="176"/>
      <c r="AU210" s="176"/>
      <c r="AV210" s="176"/>
      <c r="AW210" s="176"/>
      <c r="AX210" s="176"/>
      <c r="AY210" s="176"/>
      <c r="AZ210" s="176"/>
      <c r="BA210" s="176"/>
      <c r="BB210" s="176"/>
      <c r="BC210" s="176"/>
      <c r="BD210" s="176"/>
    </row>
    <row r="211" ht="15.75" customHeight="1">
      <c r="A211" s="176"/>
      <c r="B211" s="176"/>
      <c r="C211" s="176"/>
      <c r="D211" s="176"/>
      <c r="E211" s="176"/>
      <c r="F211" s="176"/>
      <c r="G211" s="178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6"/>
      <c r="S211" s="176"/>
      <c r="T211" s="176"/>
      <c r="U211" s="176"/>
      <c r="V211" s="176"/>
      <c r="W211" s="176"/>
      <c r="X211" s="176"/>
      <c r="Y211" s="176"/>
      <c r="Z211" s="176"/>
      <c r="AA211" s="176"/>
      <c r="AB211" s="176"/>
      <c r="AC211" s="176"/>
      <c r="AD211" s="176"/>
      <c r="AE211" s="176"/>
      <c r="AF211" s="176"/>
      <c r="AG211" s="176"/>
      <c r="AH211" s="176"/>
      <c r="AI211" s="176"/>
      <c r="AJ211" s="176"/>
      <c r="AK211" s="176"/>
      <c r="AL211" s="176"/>
      <c r="AM211" s="176"/>
      <c r="AN211" s="176"/>
      <c r="AO211" s="176"/>
      <c r="AP211" s="176"/>
      <c r="AQ211" s="176"/>
      <c r="AR211" s="176"/>
      <c r="AS211" s="176"/>
      <c r="AT211" s="176"/>
      <c r="AU211" s="176"/>
      <c r="AV211" s="176"/>
      <c r="AW211" s="176"/>
      <c r="AX211" s="176"/>
      <c r="AY211" s="176"/>
      <c r="AZ211" s="176"/>
      <c r="BA211" s="176"/>
      <c r="BB211" s="176"/>
      <c r="BC211" s="176"/>
      <c r="BD211" s="176"/>
    </row>
    <row r="212" ht="15.75" customHeight="1">
      <c r="A212" s="176"/>
      <c r="B212" s="176"/>
      <c r="C212" s="176"/>
      <c r="D212" s="176"/>
      <c r="E212" s="176"/>
      <c r="F212" s="176"/>
      <c r="G212" s="178"/>
      <c r="H212" s="176"/>
      <c r="I212" s="176"/>
      <c r="J212" s="176"/>
      <c r="K212" s="176"/>
      <c r="L212" s="176"/>
      <c r="M212" s="176"/>
      <c r="N212" s="176"/>
      <c r="O212" s="176"/>
      <c r="P212" s="176"/>
      <c r="Q212" s="176"/>
      <c r="R212" s="176"/>
      <c r="S212" s="176"/>
      <c r="T212" s="176"/>
      <c r="U212" s="176"/>
      <c r="V212" s="176"/>
      <c r="W212" s="176"/>
      <c r="X212" s="176"/>
      <c r="Y212" s="176"/>
      <c r="Z212" s="176"/>
      <c r="AA212" s="176"/>
      <c r="AB212" s="176"/>
      <c r="AC212" s="176"/>
      <c r="AD212" s="176"/>
      <c r="AE212" s="176"/>
      <c r="AF212" s="176"/>
      <c r="AG212" s="176"/>
      <c r="AH212" s="176"/>
      <c r="AI212" s="176"/>
      <c r="AJ212" s="176"/>
      <c r="AK212" s="176"/>
      <c r="AL212" s="176"/>
      <c r="AM212" s="176"/>
      <c r="AN212" s="176"/>
      <c r="AO212" s="176"/>
      <c r="AP212" s="176"/>
      <c r="AQ212" s="176"/>
      <c r="AR212" s="176"/>
      <c r="AS212" s="176"/>
      <c r="AT212" s="176"/>
      <c r="AU212" s="176"/>
      <c r="AV212" s="176"/>
      <c r="AW212" s="176"/>
      <c r="AX212" s="176"/>
      <c r="AY212" s="176"/>
      <c r="AZ212" s="176"/>
      <c r="BA212" s="176"/>
      <c r="BB212" s="176"/>
      <c r="BC212" s="176"/>
      <c r="BD212" s="176"/>
    </row>
    <row r="213" ht="15.75" customHeight="1">
      <c r="A213" s="176"/>
      <c r="B213" s="176"/>
      <c r="C213" s="176"/>
      <c r="D213" s="176"/>
      <c r="E213" s="176"/>
      <c r="F213" s="176"/>
      <c r="G213" s="178"/>
      <c r="H213" s="176"/>
      <c r="I213" s="176"/>
      <c r="J213" s="176"/>
      <c r="K213" s="176"/>
      <c r="L213" s="176"/>
      <c r="M213" s="176"/>
      <c r="N213" s="176"/>
      <c r="O213" s="176"/>
      <c r="P213" s="176"/>
      <c r="Q213" s="176"/>
      <c r="R213" s="176"/>
      <c r="S213" s="176"/>
      <c r="T213" s="176"/>
      <c r="U213" s="176"/>
      <c r="V213" s="176"/>
      <c r="W213" s="176"/>
      <c r="X213" s="176"/>
      <c r="Y213" s="176"/>
      <c r="Z213" s="176"/>
      <c r="AA213" s="176"/>
      <c r="AB213" s="176"/>
      <c r="AC213" s="176"/>
      <c r="AD213" s="176"/>
      <c r="AE213" s="176"/>
      <c r="AF213" s="176"/>
      <c r="AG213" s="176"/>
      <c r="AH213" s="176"/>
      <c r="AI213" s="176"/>
      <c r="AJ213" s="176"/>
      <c r="AK213" s="176"/>
      <c r="AL213" s="176"/>
      <c r="AM213" s="176"/>
      <c r="AN213" s="176"/>
      <c r="AO213" s="176"/>
      <c r="AP213" s="176"/>
      <c r="AQ213" s="176"/>
      <c r="AR213" s="176"/>
      <c r="AS213" s="176"/>
      <c r="AT213" s="176"/>
      <c r="AU213" s="176"/>
      <c r="AV213" s="176"/>
      <c r="AW213" s="176"/>
      <c r="AX213" s="176"/>
      <c r="AY213" s="176"/>
      <c r="AZ213" s="176"/>
      <c r="BA213" s="176"/>
      <c r="BB213" s="176"/>
      <c r="BC213" s="176"/>
      <c r="BD213" s="176"/>
    </row>
    <row r="214" ht="15.75" customHeight="1">
      <c r="A214" s="176"/>
      <c r="B214" s="176"/>
      <c r="C214" s="176"/>
      <c r="D214" s="176"/>
      <c r="E214" s="176"/>
      <c r="F214" s="176"/>
      <c r="G214" s="178"/>
      <c r="H214" s="176"/>
      <c r="I214" s="176"/>
      <c r="J214" s="176"/>
      <c r="K214" s="176"/>
      <c r="L214" s="176"/>
      <c r="M214" s="176"/>
      <c r="N214" s="176"/>
      <c r="O214" s="176"/>
      <c r="P214" s="176"/>
      <c r="Q214" s="176"/>
      <c r="R214" s="176"/>
      <c r="S214" s="176"/>
      <c r="T214" s="176"/>
      <c r="U214" s="176"/>
      <c r="V214" s="176"/>
      <c r="W214" s="176"/>
      <c r="X214" s="176"/>
      <c r="Y214" s="176"/>
      <c r="Z214" s="176"/>
      <c r="AA214" s="176"/>
      <c r="AB214" s="176"/>
      <c r="AC214" s="176"/>
      <c r="AD214" s="176"/>
      <c r="AE214" s="176"/>
      <c r="AF214" s="176"/>
      <c r="AG214" s="176"/>
      <c r="AH214" s="176"/>
      <c r="AI214" s="176"/>
      <c r="AJ214" s="176"/>
      <c r="AK214" s="176"/>
      <c r="AL214" s="176"/>
      <c r="AM214" s="176"/>
      <c r="AN214" s="176"/>
      <c r="AO214" s="176"/>
      <c r="AP214" s="176"/>
      <c r="AQ214" s="176"/>
      <c r="AR214" s="176"/>
      <c r="AS214" s="176"/>
      <c r="AT214" s="176"/>
      <c r="AU214" s="176"/>
      <c r="AV214" s="176"/>
      <c r="AW214" s="176"/>
      <c r="AX214" s="176"/>
      <c r="AY214" s="176"/>
      <c r="AZ214" s="176"/>
      <c r="BA214" s="176"/>
      <c r="BB214" s="176"/>
      <c r="BC214" s="176"/>
      <c r="BD214" s="176"/>
    </row>
    <row r="215" ht="15.75" customHeight="1">
      <c r="A215" s="176"/>
      <c r="B215" s="176"/>
      <c r="C215" s="176"/>
      <c r="D215" s="176"/>
      <c r="E215" s="176"/>
      <c r="F215" s="176"/>
      <c r="G215" s="178"/>
      <c r="H215" s="176"/>
      <c r="I215" s="176"/>
      <c r="J215" s="176"/>
      <c r="K215" s="176"/>
      <c r="L215" s="176"/>
      <c r="M215" s="176"/>
      <c r="N215" s="176"/>
      <c r="O215" s="176"/>
      <c r="P215" s="176"/>
      <c r="Q215" s="176"/>
      <c r="R215" s="176"/>
      <c r="S215" s="176"/>
      <c r="T215" s="176"/>
      <c r="U215" s="176"/>
      <c r="V215" s="176"/>
      <c r="W215" s="176"/>
      <c r="X215" s="176"/>
      <c r="Y215" s="176"/>
      <c r="Z215" s="176"/>
      <c r="AA215" s="176"/>
      <c r="AB215" s="176"/>
      <c r="AC215" s="176"/>
      <c r="AD215" s="176"/>
      <c r="AE215" s="176"/>
      <c r="AF215" s="176"/>
      <c r="AG215" s="176"/>
      <c r="AH215" s="176"/>
      <c r="AI215" s="176"/>
      <c r="AJ215" s="176"/>
      <c r="AK215" s="176"/>
      <c r="AL215" s="176"/>
      <c r="AM215" s="176"/>
      <c r="AN215" s="176"/>
      <c r="AO215" s="176"/>
      <c r="AP215" s="176"/>
      <c r="AQ215" s="176"/>
      <c r="AR215" s="176"/>
      <c r="AS215" s="176"/>
      <c r="AT215" s="176"/>
      <c r="AU215" s="176"/>
      <c r="AV215" s="176"/>
      <c r="AW215" s="176"/>
      <c r="AX215" s="176"/>
      <c r="AY215" s="176"/>
      <c r="AZ215" s="176"/>
      <c r="BA215" s="176"/>
      <c r="BB215" s="176"/>
      <c r="BC215" s="176"/>
      <c r="BD215" s="176"/>
    </row>
    <row r="216" ht="15.75" customHeight="1">
      <c r="A216" s="176"/>
      <c r="B216" s="176"/>
      <c r="C216" s="176"/>
      <c r="D216" s="176"/>
      <c r="E216" s="176"/>
      <c r="F216" s="176"/>
      <c r="G216" s="178"/>
      <c r="H216" s="176"/>
      <c r="I216" s="176"/>
      <c r="J216" s="176"/>
      <c r="K216" s="176"/>
      <c r="L216" s="176"/>
      <c r="M216" s="176"/>
      <c r="N216" s="176"/>
      <c r="O216" s="176"/>
      <c r="P216" s="176"/>
      <c r="Q216" s="176"/>
      <c r="R216" s="176"/>
      <c r="S216" s="176"/>
      <c r="T216" s="176"/>
      <c r="U216" s="176"/>
      <c r="V216" s="176"/>
      <c r="W216" s="176"/>
      <c r="X216" s="176"/>
      <c r="Y216" s="176"/>
      <c r="Z216" s="176"/>
      <c r="AA216" s="176"/>
      <c r="AB216" s="176"/>
      <c r="AC216" s="176"/>
      <c r="AD216" s="176"/>
      <c r="AE216" s="176"/>
      <c r="AF216" s="176"/>
      <c r="AG216" s="176"/>
      <c r="AH216" s="176"/>
      <c r="AI216" s="176"/>
      <c r="AJ216" s="176"/>
      <c r="AK216" s="176"/>
      <c r="AL216" s="176"/>
      <c r="AM216" s="176"/>
      <c r="AN216" s="176"/>
      <c r="AO216" s="176"/>
      <c r="AP216" s="176"/>
      <c r="AQ216" s="176"/>
      <c r="AR216" s="176"/>
      <c r="AS216" s="176"/>
      <c r="AT216" s="176"/>
      <c r="AU216" s="176"/>
      <c r="AV216" s="176"/>
      <c r="AW216" s="176"/>
      <c r="AX216" s="176"/>
      <c r="AY216" s="176"/>
      <c r="AZ216" s="176"/>
      <c r="BA216" s="176"/>
      <c r="BB216" s="176"/>
      <c r="BC216" s="176"/>
      <c r="BD216" s="176"/>
    </row>
    <row r="217" ht="15.75" customHeight="1">
      <c r="A217" s="176"/>
      <c r="B217" s="176"/>
      <c r="C217" s="176"/>
      <c r="D217" s="176"/>
      <c r="E217" s="176"/>
      <c r="F217" s="176"/>
      <c r="G217" s="178"/>
      <c r="H217" s="176"/>
      <c r="I217" s="176"/>
      <c r="J217" s="176"/>
      <c r="K217" s="176"/>
      <c r="L217" s="176"/>
      <c r="M217" s="176"/>
      <c r="N217" s="176"/>
      <c r="O217" s="176"/>
      <c r="P217" s="176"/>
      <c r="Q217" s="176"/>
      <c r="R217" s="176"/>
      <c r="S217" s="176"/>
      <c r="T217" s="176"/>
      <c r="U217" s="176"/>
      <c r="V217" s="176"/>
      <c r="W217" s="176"/>
      <c r="X217" s="176"/>
      <c r="Y217" s="176"/>
      <c r="Z217" s="176"/>
      <c r="AA217" s="176"/>
      <c r="AB217" s="176"/>
      <c r="AC217" s="176"/>
      <c r="AD217" s="176"/>
      <c r="AE217" s="176"/>
      <c r="AF217" s="176"/>
      <c r="AG217" s="176"/>
      <c r="AH217" s="176"/>
      <c r="AI217" s="176"/>
      <c r="AJ217" s="176"/>
      <c r="AK217" s="176"/>
      <c r="AL217" s="176"/>
      <c r="AM217" s="176"/>
      <c r="AN217" s="176"/>
      <c r="AO217" s="176"/>
      <c r="AP217" s="176"/>
      <c r="AQ217" s="176"/>
      <c r="AR217" s="176"/>
      <c r="AS217" s="176"/>
      <c r="AT217" s="176"/>
      <c r="AU217" s="176"/>
      <c r="AV217" s="176"/>
      <c r="AW217" s="176"/>
      <c r="AX217" s="176"/>
      <c r="AY217" s="176"/>
      <c r="AZ217" s="176"/>
      <c r="BA217" s="176"/>
      <c r="BB217" s="176"/>
      <c r="BC217" s="176"/>
      <c r="BD217" s="176"/>
    </row>
    <row r="218" ht="15.75" customHeight="1">
      <c r="A218" s="176"/>
      <c r="B218" s="176"/>
      <c r="C218" s="176"/>
      <c r="D218" s="176"/>
      <c r="E218" s="176"/>
      <c r="F218" s="176"/>
      <c r="G218" s="178"/>
      <c r="H218" s="176"/>
      <c r="I218" s="176"/>
      <c r="J218" s="176"/>
      <c r="K218" s="176"/>
      <c r="L218" s="176"/>
      <c r="M218" s="176"/>
      <c r="N218" s="176"/>
      <c r="O218" s="176"/>
      <c r="P218" s="176"/>
      <c r="Q218" s="176"/>
      <c r="R218" s="176"/>
      <c r="S218" s="176"/>
      <c r="T218" s="176"/>
      <c r="U218" s="176"/>
      <c r="V218" s="176"/>
      <c r="W218" s="176"/>
      <c r="X218" s="176"/>
      <c r="Y218" s="176"/>
      <c r="Z218" s="176"/>
      <c r="AA218" s="176"/>
      <c r="AB218" s="176"/>
      <c r="AC218" s="176"/>
      <c r="AD218" s="176"/>
      <c r="AE218" s="176"/>
      <c r="AF218" s="176"/>
      <c r="AG218" s="176"/>
      <c r="AH218" s="176"/>
      <c r="AI218" s="176"/>
      <c r="AJ218" s="176"/>
      <c r="AK218" s="176"/>
      <c r="AL218" s="176"/>
      <c r="AM218" s="176"/>
      <c r="AN218" s="176"/>
      <c r="AO218" s="176"/>
      <c r="AP218" s="176"/>
      <c r="AQ218" s="176"/>
      <c r="AR218" s="176"/>
      <c r="AS218" s="176"/>
      <c r="AT218" s="176"/>
      <c r="AU218" s="176"/>
      <c r="AV218" s="176"/>
      <c r="AW218" s="176"/>
      <c r="AX218" s="176"/>
      <c r="AY218" s="176"/>
      <c r="AZ218" s="176"/>
      <c r="BA218" s="176"/>
      <c r="BB218" s="176"/>
      <c r="BC218" s="176"/>
      <c r="BD218" s="176"/>
    </row>
    <row r="219" ht="15.75" customHeight="1">
      <c r="A219" s="176"/>
      <c r="B219" s="176"/>
      <c r="C219" s="176"/>
      <c r="D219" s="176"/>
      <c r="E219" s="176"/>
      <c r="F219" s="176"/>
      <c r="G219" s="178"/>
      <c r="H219" s="176"/>
      <c r="I219" s="176"/>
      <c r="J219" s="176"/>
      <c r="K219" s="176"/>
      <c r="L219" s="176"/>
      <c r="M219" s="176"/>
      <c r="N219" s="176"/>
      <c r="O219" s="176"/>
      <c r="P219" s="176"/>
      <c r="Q219" s="176"/>
      <c r="R219" s="176"/>
      <c r="S219" s="176"/>
      <c r="T219" s="176"/>
      <c r="U219" s="176"/>
      <c r="V219" s="176"/>
      <c r="W219" s="176"/>
      <c r="X219" s="176"/>
      <c r="Y219" s="176"/>
      <c r="Z219" s="176"/>
      <c r="AA219" s="176"/>
      <c r="AB219" s="176"/>
      <c r="AC219" s="176"/>
      <c r="AD219" s="176"/>
      <c r="AE219" s="176"/>
      <c r="AF219" s="176"/>
      <c r="AG219" s="176"/>
      <c r="AH219" s="176"/>
      <c r="AI219" s="176"/>
      <c r="AJ219" s="176"/>
      <c r="AK219" s="176"/>
      <c r="AL219" s="176"/>
      <c r="AM219" s="176"/>
      <c r="AN219" s="176"/>
      <c r="AO219" s="176"/>
      <c r="AP219" s="176"/>
      <c r="AQ219" s="176"/>
      <c r="AR219" s="176"/>
      <c r="AS219" s="176"/>
      <c r="AT219" s="176"/>
      <c r="AU219" s="176"/>
      <c r="AV219" s="176"/>
      <c r="AW219" s="176"/>
      <c r="AX219" s="176"/>
      <c r="AY219" s="176"/>
      <c r="AZ219" s="176"/>
      <c r="BA219" s="176"/>
      <c r="BB219" s="176"/>
      <c r="BC219" s="176"/>
      <c r="BD219" s="176"/>
    </row>
    <row r="220" ht="15.75" customHeight="1">
      <c r="A220" s="176"/>
      <c r="B220" s="176"/>
      <c r="C220" s="176"/>
      <c r="D220" s="176"/>
      <c r="E220" s="176"/>
      <c r="F220" s="176"/>
      <c r="G220" s="178"/>
      <c r="H220" s="176"/>
      <c r="I220" s="176"/>
      <c r="J220" s="176"/>
      <c r="K220" s="176"/>
      <c r="L220" s="176"/>
      <c r="M220" s="176"/>
      <c r="N220" s="176"/>
      <c r="O220" s="176"/>
      <c r="P220" s="176"/>
      <c r="Q220" s="176"/>
      <c r="R220" s="176"/>
      <c r="S220" s="176"/>
      <c r="T220" s="176"/>
      <c r="U220" s="176"/>
      <c r="V220" s="176"/>
      <c r="W220" s="176"/>
      <c r="X220" s="176"/>
      <c r="Y220" s="176"/>
      <c r="Z220" s="176"/>
      <c r="AA220" s="176"/>
      <c r="AB220" s="176"/>
      <c r="AC220" s="176"/>
      <c r="AD220" s="176"/>
      <c r="AE220" s="176"/>
      <c r="AF220" s="176"/>
      <c r="AG220" s="176"/>
      <c r="AH220" s="176"/>
      <c r="AI220" s="176"/>
      <c r="AJ220" s="176"/>
      <c r="AK220" s="176"/>
      <c r="AL220" s="176"/>
      <c r="AM220" s="176"/>
      <c r="AN220" s="176"/>
      <c r="AO220" s="176"/>
      <c r="AP220" s="176"/>
      <c r="AQ220" s="176"/>
      <c r="AR220" s="176"/>
      <c r="AS220" s="176"/>
      <c r="AT220" s="176"/>
      <c r="AU220" s="176"/>
      <c r="AV220" s="176"/>
      <c r="AW220" s="176"/>
      <c r="AX220" s="176"/>
      <c r="AY220" s="176"/>
      <c r="AZ220" s="176"/>
      <c r="BA220" s="176"/>
      <c r="BB220" s="176"/>
      <c r="BC220" s="176"/>
      <c r="BD220" s="176"/>
    </row>
    <row r="221" ht="15.75" customHeight="1">
      <c r="A221" s="176"/>
      <c r="B221" s="176"/>
      <c r="C221" s="176"/>
      <c r="D221" s="176"/>
      <c r="E221" s="176"/>
      <c r="F221" s="176"/>
      <c r="G221" s="178"/>
      <c r="H221" s="176"/>
      <c r="I221" s="176"/>
      <c r="J221" s="176"/>
      <c r="K221" s="176"/>
      <c r="L221" s="176"/>
      <c r="M221" s="176"/>
      <c r="N221" s="176"/>
      <c r="O221" s="176"/>
      <c r="P221" s="176"/>
      <c r="Q221" s="176"/>
      <c r="R221" s="176"/>
      <c r="S221" s="176"/>
      <c r="T221" s="176"/>
      <c r="U221" s="176"/>
      <c r="V221" s="176"/>
      <c r="W221" s="176"/>
      <c r="X221" s="176"/>
      <c r="Y221" s="176"/>
      <c r="Z221" s="176"/>
      <c r="AA221" s="176"/>
      <c r="AB221" s="176"/>
      <c r="AC221" s="176"/>
      <c r="AD221" s="176"/>
      <c r="AE221" s="176"/>
      <c r="AF221" s="176"/>
      <c r="AG221" s="176"/>
      <c r="AH221" s="176"/>
      <c r="AI221" s="176"/>
      <c r="AJ221" s="176"/>
      <c r="AK221" s="176"/>
      <c r="AL221" s="176"/>
      <c r="AM221" s="176"/>
      <c r="AN221" s="176"/>
      <c r="AO221" s="176"/>
      <c r="AP221" s="176"/>
      <c r="AQ221" s="176"/>
      <c r="AR221" s="176"/>
      <c r="AS221" s="176"/>
      <c r="AT221" s="176"/>
      <c r="AU221" s="176"/>
      <c r="AV221" s="176"/>
      <c r="AW221" s="176"/>
      <c r="AX221" s="176"/>
      <c r="AY221" s="176"/>
      <c r="AZ221" s="176"/>
      <c r="BA221" s="176"/>
      <c r="BB221" s="176"/>
      <c r="BC221" s="176"/>
      <c r="BD221" s="176"/>
    </row>
    <row r="222" ht="15.75" customHeight="1">
      <c r="A222" s="176"/>
      <c r="B222" s="176"/>
      <c r="C222" s="176"/>
      <c r="D222" s="176"/>
      <c r="E222" s="176"/>
      <c r="F222" s="176"/>
      <c r="G222" s="178"/>
      <c r="H222" s="176"/>
      <c r="I222" s="176"/>
      <c r="J222" s="176"/>
      <c r="K222" s="176"/>
      <c r="L222" s="176"/>
      <c r="M222" s="176"/>
      <c r="N222" s="176"/>
      <c r="O222" s="176"/>
      <c r="P222" s="176"/>
      <c r="Q222" s="176"/>
      <c r="R222" s="176"/>
      <c r="S222" s="176"/>
      <c r="T222" s="176"/>
      <c r="U222" s="176"/>
      <c r="V222" s="176"/>
      <c r="W222" s="176"/>
      <c r="X222" s="176"/>
      <c r="Y222" s="176"/>
      <c r="Z222" s="176"/>
      <c r="AA222" s="176"/>
      <c r="AB222" s="176"/>
      <c r="AC222" s="176"/>
      <c r="AD222" s="176"/>
      <c r="AE222" s="176"/>
      <c r="AF222" s="176"/>
      <c r="AG222" s="176"/>
      <c r="AH222" s="176"/>
      <c r="AI222" s="176"/>
      <c r="AJ222" s="176"/>
      <c r="AK222" s="176"/>
      <c r="AL222" s="176"/>
      <c r="AM222" s="176"/>
      <c r="AN222" s="176"/>
      <c r="AO222" s="176"/>
      <c r="AP222" s="176"/>
      <c r="AQ222" s="176"/>
      <c r="AR222" s="176"/>
      <c r="AS222" s="176"/>
      <c r="AT222" s="176"/>
      <c r="AU222" s="176"/>
      <c r="AV222" s="176"/>
      <c r="AW222" s="176"/>
      <c r="AX222" s="176"/>
      <c r="AY222" s="176"/>
      <c r="AZ222" s="176"/>
      <c r="BA222" s="176"/>
      <c r="BB222" s="176"/>
      <c r="BC222" s="176"/>
      <c r="BD222" s="176"/>
    </row>
    <row r="223" ht="15.75" customHeight="1">
      <c r="A223" s="176"/>
      <c r="B223" s="176"/>
      <c r="C223" s="176"/>
      <c r="D223" s="176"/>
      <c r="E223" s="176"/>
      <c r="F223" s="176"/>
      <c r="G223" s="178"/>
      <c r="H223" s="176"/>
      <c r="I223" s="176"/>
      <c r="J223" s="176"/>
      <c r="K223" s="176"/>
      <c r="L223" s="176"/>
      <c r="M223" s="176"/>
      <c r="N223" s="176"/>
      <c r="O223" s="176"/>
      <c r="P223" s="176"/>
      <c r="Q223" s="176"/>
      <c r="R223" s="176"/>
      <c r="S223" s="176"/>
      <c r="T223" s="176"/>
      <c r="U223" s="176"/>
      <c r="V223" s="176"/>
      <c r="W223" s="176"/>
      <c r="X223" s="176"/>
      <c r="Y223" s="176"/>
      <c r="Z223" s="176"/>
      <c r="AA223" s="176"/>
      <c r="AB223" s="176"/>
      <c r="AC223" s="176"/>
      <c r="AD223" s="176"/>
      <c r="AE223" s="176"/>
      <c r="AF223" s="176"/>
      <c r="AG223" s="176"/>
      <c r="AH223" s="176"/>
      <c r="AI223" s="176"/>
      <c r="AJ223" s="176"/>
      <c r="AK223" s="176"/>
      <c r="AL223" s="176"/>
      <c r="AM223" s="176"/>
      <c r="AN223" s="176"/>
      <c r="AO223" s="176"/>
      <c r="AP223" s="176"/>
      <c r="AQ223" s="176"/>
      <c r="AR223" s="176"/>
      <c r="AS223" s="176"/>
      <c r="AT223" s="176"/>
      <c r="AU223" s="176"/>
      <c r="AV223" s="176"/>
      <c r="AW223" s="176"/>
      <c r="AX223" s="176"/>
      <c r="AY223" s="176"/>
      <c r="AZ223" s="176"/>
      <c r="BA223" s="176"/>
      <c r="BB223" s="176"/>
      <c r="BC223" s="176"/>
      <c r="BD223" s="176"/>
    </row>
    <row r="224" ht="15.75" customHeight="1">
      <c r="A224" s="176"/>
      <c r="B224" s="176"/>
      <c r="C224" s="176"/>
      <c r="D224" s="176"/>
      <c r="E224" s="176"/>
      <c r="F224" s="176"/>
      <c r="G224" s="178"/>
      <c r="H224" s="176"/>
      <c r="I224" s="176"/>
      <c r="J224" s="176"/>
      <c r="K224" s="176"/>
      <c r="L224" s="176"/>
      <c r="M224" s="176"/>
      <c r="N224" s="176"/>
      <c r="O224" s="176"/>
      <c r="P224" s="176"/>
      <c r="Q224" s="176"/>
      <c r="R224" s="176"/>
      <c r="S224" s="176"/>
      <c r="T224" s="176"/>
      <c r="U224" s="176"/>
      <c r="V224" s="176"/>
      <c r="W224" s="176"/>
      <c r="X224" s="176"/>
      <c r="Y224" s="176"/>
      <c r="Z224" s="176"/>
      <c r="AA224" s="176"/>
      <c r="AB224" s="176"/>
      <c r="AC224" s="176"/>
      <c r="AD224" s="176"/>
      <c r="AE224" s="176"/>
      <c r="AF224" s="176"/>
      <c r="AG224" s="176"/>
      <c r="AH224" s="176"/>
      <c r="AI224" s="176"/>
      <c r="AJ224" s="176"/>
      <c r="AK224" s="176"/>
      <c r="AL224" s="176"/>
      <c r="AM224" s="176"/>
      <c r="AN224" s="176"/>
      <c r="AO224" s="176"/>
      <c r="AP224" s="176"/>
      <c r="AQ224" s="176"/>
      <c r="AR224" s="176"/>
      <c r="AS224" s="176"/>
      <c r="AT224" s="176"/>
      <c r="AU224" s="176"/>
      <c r="AV224" s="176"/>
      <c r="AW224" s="176"/>
      <c r="AX224" s="176"/>
      <c r="AY224" s="176"/>
      <c r="AZ224" s="176"/>
      <c r="BA224" s="176"/>
      <c r="BB224" s="176"/>
      <c r="BC224" s="176"/>
      <c r="BD224" s="176"/>
    </row>
    <row r="225" ht="15.75" customHeight="1">
      <c r="A225" s="176"/>
      <c r="B225" s="176"/>
      <c r="C225" s="176"/>
      <c r="D225" s="176"/>
      <c r="E225" s="176"/>
      <c r="F225" s="176"/>
      <c r="G225" s="178"/>
      <c r="H225" s="176"/>
      <c r="I225" s="176"/>
      <c r="J225" s="176"/>
      <c r="K225" s="176"/>
      <c r="L225" s="176"/>
      <c r="M225" s="176"/>
      <c r="N225" s="176"/>
      <c r="O225" s="176"/>
      <c r="P225" s="176"/>
      <c r="Q225" s="176"/>
      <c r="R225" s="176"/>
      <c r="S225" s="176"/>
      <c r="T225" s="176"/>
      <c r="U225" s="176"/>
      <c r="V225" s="176"/>
      <c r="W225" s="176"/>
      <c r="X225" s="176"/>
      <c r="Y225" s="176"/>
      <c r="Z225" s="176"/>
      <c r="AA225" s="176"/>
      <c r="AB225" s="176"/>
      <c r="AC225" s="176"/>
      <c r="AD225" s="176"/>
      <c r="AE225" s="176"/>
      <c r="AF225" s="176"/>
      <c r="AG225" s="176"/>
      <c r="AH225" s="176"/>
      <c r="AI225" s="176"/>
      <c r="AJ225" s="176"/>
      <c r="AK225" s="176"/>
      <c r="AL225" s="176"/>
      <c r="AM225" s="176"/>
      <c r="AN225" s="176"/>
      <c r="AO225" s="176"/>
      <c r="AP225" s="176"/>
      <c r="AQ225" s="176"/>
      <c r="AR225" s="176"/>
      <c r="AS225" s="176"/>
      <c r="AT225" s="176"/>
      <c r="AU225" s="176"/>
      <c r="AV225" s="176"/>
      <c r="AW225" s="176"/>
      <c r="AX225" s="176"/>
      <c r="AY225" s="176"/>
      <c r="AZ225" s="176"/>
      <c r="BA225" s="176"/>
      <c r="BB225" s="176"/>
      <c r="BC225" s="176"/>
      <c r="BD225" s="176"/>
    </row>
    <row r="226" ht="15.75" customHeight="1">
      <c r="A226" s="176"/>
      <c r="B226" s="176"/>
      <c r="C226" s="176"/>
      <c r="D226" s="176"/>
      <c r="E226" s="176"/>
      <c r="F226" s="176"/>
      <c r="G226" s="178"/>
      <c r="H226" s="176"/>
      <c r="I226" s="176"/>
      <c r="J226" s="176"/>
      <c r="K226" s="176"/>
      <c r="L226" s="176"/>
      <c r="M226" s="176"/>
      <c r="N226" s="176"/>
      <c r="O226" s="176"/>
      <c r="P226" s="176"/>
      <c r="Q226" s="176"/>
      <c r="R226" s="176"/>
      <c r="S226" s="176"/>
      <c r="T226" s="176"/>
      <c r="U226" s="176"/>
      <c r="V226" s="176"/>
      <c r="W226" s="176"/>
      <c r="X226" s="176"/>
      <c r="Y226" s="176"/>
      <c r="Z226" s="176"/>
      <c r="AA226" s="176"/>
      <c r="AB226" s="176"/>
      <c r="AC226" s="176"/>
      <c r="AD226" s="176"/>
      <c r="AE226" s="176"/>
      <c r="AF226" s="176"/>
      <c r="AG226" s="176"/>
      <c r="AH226" s="176"/>
      <c r="AI226" s="176"/>
      <c r="AJ226" s="176"/>
      <c r="AK226" s="176"/>
      <c r="AL226" s="176"/>
      <c r="AM226" s="176"/>
      <c r="AN226" s="176"/>
      <c r="AO226" s="176"/>
      <c r="AP226" s="176"/>
      <c r="AQ226" s="176"/>
      <c r="AR226" s="176"/>
      <c r="AS226" s="176"/>
      <c r="AT226" s="176"/>
      <c r="AU226" s="176"/>
      <c r="AV226" s="176"/>
      <c r="AW226" s="176"/>
      <c r="AX226" s="176"/>
      <c r="AY226" s="176"/>
      <c r="AZ226" s="176"/>
      <c r="BA226" s="176"/>
      <c r="BB226" s="176"/>
      <c r="BC226" s="176"/>
      <c r="BD226" s="176"/>
    </row>
    <row r="227" ht="15.75" customHeight="1">
      <c r="A227" s="176"/>
      <c r="B227" s="176"/>
      <c r="C227" s="176"/>
      <c r="D227" s="176"/>
      <c r="E227" s="176"/>
      <c r="F227" s="176"/>
      <c r="G227" s="178"/>
      <c r="H227" s="176"/>
      <c r="I227" s="176"/>
      <c r="J227" s="176"/>
      <c r="K227" s="176"/>
      <c r="L227" s="176"/>
      <c r="M227" s="176"/>
      <c r="N227" s="176"/>
      <c r="O227" s="176"/>
      <c r="P227" s="176"/>
      <c r="Q227" s="176"/>
      <c r="R227" s="176"/>
      <c r="S227" s="176"/>
      <c r="T227" s="176"/>
      <c r="U227" s="176"/>
      <c r="V227" s="176"/>
      <c r="W227" s="176"/>
      <c r="X227" s="176"/>
      <c r="Y227" s="176"/>
      <c r="Z227" s="176"/>
      <c r="AA227" s="176"/>
      <c r="AB227" s="176"/>
      <c r="AC227" s="176"/>
      <c r="AD227" s="176"/>
      <c r="AE227" s="176"/>
      <c r="AF227" s="176"/>
      <c r="AG227" s="176"/>
      <c r="AH227" s="176"/>
      <c r="AI227" s="176"/>
      <c r="AJ227" s="176"/>
      <c r="AK227" s="176"/>
      <c r="AL227" s="176"/>
      <c r="AM227" s="176"/>
      <c r="AN227" s="176"/>
      <c r="AO227" s="176"/>
      <c r="AP227" s="176"/>
      <c r="AQ227" s="176"/>
      <c r="AR227" s="176"/>
      <c r="AS227" s="176"/>
      <c r="AT227" s="176"/>
      <c r="AU227" s="176"/>
      <c r="AV227" s="176"/>
      <c r="AW227" s="176"/>
      <c r="AX227" s="176"/>
      <c r="AY227" s="176"/>
      <c r="AZ227" s="176"/>
      <c r="BA227" s="176"/>
      <c r="BB227" s="176"/>
      <c r="BC227" s="176"/>
      <c r="BD227" s="176"/>
    </row>
    <row r="228" ht="15.75" customHeight="1">
      <c r="A228" s="176"/>
      <c r="B228" s="176"/>
      <c r="C228" s="176"/>
      <c r="D228" s="176"/>
      <c r="E228" s="176"/>
      <c r="F228" s="176"/>
      <c r="G228" s="178"/>
      <c r="H228" s="176"/>
      <c r="I228" s="176"/>
      <c r="J228" s="176"/>
      <c r="K228" s="176"/>
      <c r="L228" s="176"/>
      <c r="M228" s="176"/>
      <c r="N228" s="176"/>
      <c r="O228" s="176"/>
      <c r="P228" s="176"/>
      <c r="Q228" s="176"/>
      <c r="R228" s="176"/>
      <c r="S228" s="176"/>
      <c r="T228" s="176"/>
      <c r="U228" s="176"/>
      <c r="V228" s="176"/>
      <c r="W228" s="176"/>
      <c r="X228" s="176"/>
      <c r="Y228" s="176"/>
      <c r="Z228" s="176"/>
      <c r="AA228" s="176"/>
      <c r="AB228" s="176"/>
      <c r="AC228" s="176"/>
      <c r="AD228" s="176"/>
      <c r="AE228" s="176"/>
      <c r="AF228" s="176"/>
      <c r="AG228" s="176"/>
      <c r="AH228" s="176"/>
      <c r="AI228" s="176"/>
      <c r="AJ228" s="176"/>
      <c r="AK228" s="176"/>
      <c r="AL228" s="176"/>
      <c r="AM228" s="176"/>
      <c r="AN228" s="176"/>
      <c r="AO228" s="176"/>
      <c r="AP228" s="176"/>
      <c r="AQ228" s="176"/>
      <c r="AR228" s="176"/>
      <c r="AS228" s="176"/>
      <c r="AT228" s="176"/>
      <c r="AU228" s="176"/>
      <c r="AV228" s="176"/>
      <c r="AW228" s="176"/>
      <c r="AX228" s="176"/>
      <c r="AY228" s="176"/>
      <c r="AZ228" s="176"/>
      <c r="BA228" s="176"/>
      <c r="BB228" s="176"/>
      <c r="BC228" s="176"/>
      <c r="BD228" s="176"/>
    </row>
    <row r="229" ht="15.75" customHeight="1">
      <c r="A229" s="176"/>
      <c r="B229" s="176"/>
      <c r="C229" s="176"/>
      <c r="D229" s="176"/>
      <c r="E229" s="176"/>
      <c r="F229" s="176"/>
      <c r="G229" s="178"/>
      <c r="H229" s="176"/>
      <c r="I229" s="176"/>
      <c r="J229" s="176"/>
      <c r="K229" s="176"/>
      <c r="L229" s="176"/>
      <c r="M229" s="176"/>
      <c r="N229" s="176"/>
      <c r="O229" s="176"/>
      <c r="P229" s="176"/>
      <c r="Q229" s="176"/>
      <c r="R229" s="176"/>
      <c r="S229" s="176"/>
      <c r="T229" s="176"/>
      <c r="U229" s="176"/>
      <c r="V229" s="176"/>
      <c r="W229" s="176"/>
      <c r="X229" s="176"/>
      <c r="Y229" s="176"/>
      <c r="Z229" s="176"/>
      <c r="AA229" s="176"/>
      <c r="AB229" s="176"/>
      <c r="AC229" s="176"/>
      <c r="AD229" s="176"/>
      <c r="AE229" s="176"/>
      <c r="AF229" s="176"/>
      <c r="AG229" s="176"/>
      <c r="AH229" s="176"/>
      <c r="AI229" s="176"/>
      <c r="AJ229" s="176"/>
      <c r="AK229" s="176"/>
      <c r="AL229" s="176"/>
      <c r="AM229" s="176"/>
      <c r="AN229" s="176"/>
      <c r="AO229" s="176"/>
      <c r="AP229" s="176"/>
      <c r="AQ229" s="176"/>
      <c r="AR229" s="176"/>
      <c r="AS229" s="176"/>
      <c r="AT229" s="176"/>
      <c r="AU229" s="176"/>
      <c r="AV229" s="176"/>
      <c r="AW229" s="176"/>
      <c r="AX229" s="176"/>
      <c r="AY229" s="176"/>
      <c r="AZ229" s="176"/>
      <c r="BA229" s="176"/>
      <c r="BB229" s="176"/>
      <c r="BC229" s="176"/>
      <c r="BD229" s="176"/>
    </row>
    <row r="230" ht="15.75" customHeight="1">
      <c r="A230" s="176"/>
      <c r="B230" s="176"/>
      <c r="C230" s="176"/>
      <c r="D230" s="176"/>
      <c r="E230" s="176"/>
      <c r="F230" s="176"/>
      <c r="G230" s="178"/>
      <c r="H230" s="176"/>
      <c r="I230" s="176"/>
      <c r="J230" s="176"/>
      <c r="K230" s="176"/>
      <c r="L230" s="176"/>
      <c r="M230" s="176"/>
      <c r="N230" s="176"/>
      <c r="O230" s="176"/>
      <c r="P230" s="176"/>
      <c r="Q230" s="176"/>
      <c r="R230" s="176"/>
      <c r="S230" s="176"/>
      <c r="T230" s="176"/>
      <c r="U230" s="176"/>
      <c r="V230" s="176"/>
      <c r="W230" s="176"/>
      <c r="X230" s="176"/>
      <c r="Y230" s="176"/>
      <c r="Z230" s="176"/>
      <c r="AA230" s="176"/>
      <c r="AB230" s="176"/>
      <c r="AC230" s="176"/>
      <c r="AD230" s="176"/>
      <c r="AE230" s="176"/>
      <c r="AF230" s="176"/>
      <c r="AG230" s="176"/>
      <c r="AH230" s="176"/>
      <c r="AI230" s="176"/>
      <c r="AJ230" s="176"/>
      <c r="AK230" s="176"/>
      <c r="AL230" s="176"/>
      <c r="AM230" s="176"/>
      <c r="AN230" s="176"/>
      <c r="AO230" s="176"/>
      <c r="AP230" s="176"/>
      <c r="AQ230" s="176"/>
      <c r="AR230" s="176"/>
      <c r="AS230" s="176"/>
      <c r="AT230" s="176"/>
      <c r="AU230" s="176"/>
      <c r="AV230" s="176"/>
      <c r="AW230" s="176"/>
      <c r="AX230" s="176"/>
      <c r="AY230" s="176"/>
      <c r="AZ230" s="176"/>
      <c r="BA230" s="176"/>
      <c r="BB230" s="176"/>
      <c r="BC230" s="176"/>
      <c r="BD230" s="176"/>
    </row>
    <row r="231" ht="15.75" customHeight="1">
      <c r="A231" s="176"/>
      <c r="B231" s="176"/>
      <c r="C231" s="176"/>
      <c r="D231" s="176"/>
      <c r="E231" s="176"/>
      <c r="F231" s="176"/>
      <c r="G231" s="178"/>
      <c r="H231" s="176"/>
      <c r="I231" s="176"/>
      <c r="J231" s="176"/>
      <c r="K231" s="176"/>
      <c r="L231" s="176"/>
      <c r="M231" s="176"/>
      <c r="N231" s="176"/>
      <c r="O231" s="176"/>
      <c r="P231" s="176"/>
      <c r="Q231" s="176"/>
      <c r="R231" s="176"/>
      <c r="S231" s="176"/>
      <c r="T231" s="176"/>
      <c r="U231" s="176"/>
      <c r="V231" s="176"/>
      <c r="W231" s="176"/>
      <c r="X231" s="176"/>
      <c r="Y231" s="176"/>
      <c r="Z231" s="176"/>
      <c r="AA231" s="176"/>
      <c r="AB231" s="176"/>
      <c r="AC231" s="176"/>
      <c r="AD231" s="176"/>
      <c r="AE231" s="176"/>
      <c r="AF231" s="176"/>
      <c r="AG231" s="176"/>
      <c r="AH231" s="176"/>
      <c r="AI231" s="176"/>
      <c r="AJ231" s="176"/>
      <c r="AK231" s="176"/>
      <c r="AL231" s="176"/>
      <c r="AM231" s="176"/>
      <c r="AN231" s="176"/>
      <c r="AO231" s="176"/>
      <c r="AP231" s="176"/>
      <c r="AQ231" s="176"/>
      <c r="AR231" s="176"/>
      <c r="AS231" s="176"/>
      <c r="AT231" s="176"/>
      <c r="AU231" s="176"/>
      <c r="AV231" s="176"/>
      <c r="AW231" s="176"/>
      <c r="AX231" s="176"/>
      <c r="AY231" s="176"/>
      <c r="AZ231" s="176"/>
      <c r="BA231" s="176"/>
      <c r="BB231" s="176"/>
      <c r="BC231" s="176"/>
      <c r="BD231" s="176"/>
    </row>
    <row r="232" ht="15.75" customHeight="1">
      <c r="A232" s="176"/>
      <c r="B232" s="176"/>
      <c r="C232" s="176"/>
      <c r="D232" s="176"/>
      <c r="E232" s="176"/>
      <c r="F232" s="176"/>
      <c r="G232" s="178"/>
      <c r="H232" s="176"/>
      <c r="I232" s="176"/>
      <c r="J232" s="176"/>
      <c r="K232" s="176"/>
      <c r="L232" s="176"/>
      <c r="M232" s="176"/>
      <c r="N232" s="176"/>
      <c r="O232" s="176"/>
      <c r="P232" s="176"/>
      <c r="Q232" s="176"/>
      <c r="R232" s="176"/>
      <c r="S232" s="176"/>
      <c r="T232" s="176"/>
      <c r="U232" s="176"/>
      <c r="V232" s="176"/>
      <c r="W232" s="176"/>
      <c r="X232" s="176"/>
      <c r="Y232" s="176"/>
      <c r="Z232" s="176"/>
      <c r="AA232" s="176"/>
      <c r="AB232" s="176"/>
      <c r="AC232" s="176"/>
      <c r="AD232" s="176"/>
      <c r="AE232" s="176"/>
      <c r="AF232" s="176"/>
      <c r="AG232" s="176"/>
      <c r="AH232" s="176"/>
      <c r="AI232" s="176"/>
      <c r="AJ232" s="176"/>
      <c r="AK232" s="176"/>
      <c r="AL232" s="176"/>
      <c r="AM232" s="176"/>
      <c r="AN232" s="176"/>
      <c r="AO232" s="176"/>
      <c r="AP232" s="176"/>
      <c r="AQ232" s="176"/>
      <c r="AR232" s="176"/>
      <c r="AS232" s="176"/>
      <c r="AT232" s="176"/>
      <c r="AU232" s="176"/>
      <c r="AV232" s="176"/>
      <c r="AW232" s="176"/>
      <c r="AX232" s="176"/>
      <c r="AY232" s="176"/>
      <c r="AZ232" s="176"/>
      <c r="BA232" s="176"/>
      <c r="BB232" s="176"/>
      <c r="BC232" s="176"/>
      <c r="BD232" s="176"/>
    </row>
    <row r="233" ht="15.75" customHeight="1">
      <c r="A233" s="176"/>
      <c r="B233" s="176"/>
      <c r="C233" s="176"/>
      <c r="D233" s="176"/>
      <c r="E233" s="176"/>
      <c r="F233" s="176"/>
      <c r="G233" s="178"/>
      <c r="H233" s="176"/>
      <c r="I233" s="176"/>
      <c r="J233" s="176"/>
      <c r="K233" s="176"/>
      <c r="L233" s="176"/>
      <c r="M233" s="176"/>
      <c r="N233" s="176"/>
      <c r="O233" s="176"/>
      <c r="P233" s="176"/>
      <c r="Q233" s="176"/>
      <c r="R233" s="176"/>
      <c r="S233" s="176"/>
      <c r="T233" s="176"/>
      <c r="U233" s="176"/>
      <c r="V233" s="176"/>
      <c r="W233" s="176"/>
      <c r="X233" s="176"/>
      <c r="Y233" s="176"/>
      <c r="Z233" s="176"/>
      <c r="AA233" s="176"/>
      <c r="AB233" s="176"/>
      <c r="AC233" s="176"/>
      <c r="AD233" s="176"/>
      <c r="AE233" s="176"/>
      <c r="AF233" s="176"/>
      <c r="AG233" s="176"/>
      <c r="AH233" s="176"/>
      <c r="AI233" s="176"/>
      <c r="AJ233" s="176"/>
      <c r="AK233" s="176"/>
      <c r="AL233" s="176"/>
      <c r="AM233" s="176"/>
      <c r="AN233" s="176"/>
      <c r="AO233" s="176"/>
      <c r="AP233" s="176"/>
      <c r="AQ233" s="176"/>
      <c r="AR233" s="176"/>
      <c r="AS233" s="176"/>
      <c r="AT233" s="176"/>
      <c r="AU233" s="176"/>
      <c r="AV233" s="176"/>
      <c r="AW233" s="176"/>
      <c r="AX233" s="176"/>
      <c r="AY233" s="176"/>
      <c r="AZ233" s="176"/>
      <c r="BA233" s="176"/>
      <c r="BB233" s="176"/>
      <c r="BC233" s="176"/>
      <c r="BD233" s="176"/>
    </row>
    <row r="234" ht="15.75" customHeight="1">
      <c r="A234" s="176"/>
      <c r="B234" s="176"/>
      <c r="C234" s="176"/>
      <c r="D234" s="176"/>
      <c r="E234" s="176"/>
      <c r="F234" s="176"/>
      <c r="G234" s="178"/>
      <c r="H234" s="176"/>
      <c r="I234" s="176"/>
      <c r="J234" s="176"/>
      <c r="K234" s="176"/>
      <c r="L234" s="176"/>
      <c r="M234" s="176"/>
      <c r="N234" s="176"/>
      <c r="O234" s="176"/>
      <c r="P234" s="176"/>
      <c r="Q234" s="176"/>
      <c r="R234" s="176"/>
      <c r="S234" s="176"/>
      <c r="T234" s="176"/>
      <c r="U234" s="176"/>
      <c r="V234" s="176"/>
      <c r="W234" s="176"/>
      <c r="X234" s="176"/>
      <c r="Y234" s="176"/>
      <c r="Z234" s="176"/>
      <c r="AA234" s="176"/>
      <c r="AB234" s="176"/>
      <c r="AC234" s="176"/>
      <c r="AD234" s="176"/>
      <c r="AE234" s="176"/>
      <c r="AF234" s="176"/>
      <c r="AG234" s="176"/>
      <c r="AH234" s="176"/>
      <c r="AI234" s="176"/>
      <c r="AJ234" s="176"/>
      <c r="AK234" s="176"/>
      <c r="AL234" s="176"/>
      <c r="AM234" s="176"/>
      <c r="AN234" s="176"/>
      <c r="AO234" s="176"/>
      <c r="AP234" s="176"/>
      <c r="AQ234" s="176"/>
      <c r="AR234" s="176"/>
      <c r="AS234" s="176"/>
      <c r="AT234" s="176"/>
      <c r="AU234" s="176"/>
      <c r="AV234" s="176"/>
      <c r="AW234" s="176"/>
      <c r="AX234" s="176"/>
      <c r="AY234" s="176"/>
      <c r="AZ234" s="176"/>
      <c r="BA234" s="176"/>
      <c r="BB234" s="176"/>
      <c r="BC234" s="176"/>
      <c r="BD234" s="176"/>
    </row>
    <row r="235" ht="15.75" customHeight="1">
      <c r="A235" s="176"/>
      <c r="B235" s="176"/>
      <c r="C235" s="176"/>
      <c r="D235" s="176"/>
      <c r="E235" s="176"/>
      <c r="F235" s="176"/>
      <c r="G235" s="178"/>
      <c r="H235" s="176"/>
      <c r="I235" s="176"/>
      <c r="J235" s="176"/>
      <c r="K235" s="176"/>
      <c r="L235" s="176"/>
      <c r="M235" s="176"/>
      <c r="N235" s="176"/>
      <c r="O235" s="176"/>
      <c r="P235" s="176"/>
      <c r="Q235" s="176"/>
      <c r="R235" s="176"/>
      <c r="S235" s="176"/>
      <c r="T235" s="176"/>
      <c r="U235" s="176"/>
      <c r="V235" s="176"/>
      <c r="W235" s="176"/>
      <c r="X235" s="176"/>
      <c r="Y235" s="176"/>
      <c r="Z235" s="176"/>
      <c r="AA235" s="176"/>
      <c r="AB235" s="176"/>
      <c r="AC235" s="176"/>
      <c r="AD235" s="176"/>
      <c r="AE235" s="176"/>
      <c r="AF235" s="176"/>
      <c r="AG235" s="176"/>
      <c r="AH235" s="176"/>
      <c r="AI235" s="176"/>
      <c r="AJ235" s="176"/>
      <c r="AK235" s="176"/>
      <c r="AL235" s="176"/>
      <c r="AM235" s="176"/>
      <c r="AN235" s="176"/>
      <c r="AO235" s="176"/>
      <c r="AP235" s="176"/>
      <c r="AQ235" s="176"/>
      <c r="AR235" s="176"/>
      <c r="AS235" s="176"/>
      <c r="AT235" s="176"/>
      <c r="AU235" s="176"/>
      <c r="AV235" s="176"/>
      <c r="AW235" s="176"/>
      <c r="AX235" s="176"/>
      <c r="AY235" s="176"/>
      <c r="AZ235" s="176"/>
      <c r="BA235" s="176"/>
      <c r="BB235" s="176"/>
      <c r="BC235" s="176"/>
      <c r="BD235" s="176"/>
    </row>
    <row r="236" ht="15.75" customHeight="1">
      <c r="A236" s="176"/>
      <c r="B236" s="176"/>
      <c r="C236" s="176"/>
      <c r="D236" s="176"/>
      <c r="E236" s="176"/>
      <c r="F236" s="176"/>
      <c r="G236" s="178"/>
      <c r="H236" s="176"/>
      <c r="I236" s="176"/>
      <c r="J236" s="176"/>
      <c r="K236" s="176"/>
      <c r="L236" s="176"/>
      <c r="M236" s="176"/>
      <c r="N236" s="176"/>
      <c r="O236" s="176"/>
      <c r="P236" s="176"/>
      <c r="Q236" s="176"/>
      <c r="R236" s="176"/>
      <c r="S236" s="176"/>
      <c r="T236" s="176"/>
      <c r="U236" s="176"/>
      <c r="V236" s="176"/>
      <c r="W236" s="176"/>
      <c r="X236" s="176"/>
      <c r="Y236" s="176"/>
      <c r="Z236" s="176"/>
      <c r="AA236" s="176"/>
      <c r="AB236" s="176"/>
      <c r="AC236" s="176"/>
      <c r="AD236" s="176"/>
      <c r="AE236" s="176"/>
      <c r="AF236" s="176"/>
      <c r="AG236" s="176"/>
      <c r="AH236" s="176"/>
      <c r="AI236" s="176"/>
      <c r="AJ236" s="176"/>
      <c r="AK236" s="176"/>
      <c r="AL236" s="176"/>
      <c r="AM236" s="176"/>
      <c r="AN236" s="176"/>
      <c r="AO236" s="176"/>
      <c r="AP236" s="176"/>
      <c r="AQ236" s="176"/>
      <c r="AR236" s="176"/>
      <c r="AS236" s="176"/>
      <c r="AT236" s="176"/>
      <c r="AU236" s="176"/>
      <c r="AV236" s="176"/>
      <c r="AW236" s="176"/>
      <c r="AX236" s="176"/>
      <c r="AY236" s="176"/>
      <c r="AZ236" s="176"/>
      <c r="BA236" s="176"/>
      <c r="BB236" s="176"/>
      <c r="BC236" s="176"/>
      <c r="BD236" s="176"/>
    </row>
    <row r="237" ht="15.75" customHeight="1">
      <c r="A237" s="176"/>
      <c r="B237" s="176"/>
      <c r="C237" s="176"/>
      <c r="D237" s="176"/>
      <c r="E237" s="176"/>
      <c r="F237" s="176"/>
      <c r="G237" s="178"/>
      <c r="H237" s="176"/>
      <c r="I237" s="176"/>
      <c r="J237" s="176"/>
      <c r="K237" s="176"/>
      <c r="L237" s="176"/>
      <c r="M237" s="176"/>
      <c r="N237" s="176"/>
      <c r="O237" s="176"/>
      <c r="P237" s="176"/>
      <c r="Q237" s="176"/>
      <c r="R237" s="176"/>
      <c r="S237" s="176"/>
      <c r="T237" s="176"/>
      <c r="U237" s="176"/>
      <c r="V237" s="176"/>
      <c r="W237" s="176"/>
      <c r="X237" s="176"/>
      <c r="Y237" s="176"/>
      <c r="Z237" s="176"/>
      <c r="AA237" s="176"/>
      <c r="AB237" s="176"/>
      <c r="AC237" s="176"/>
      <c r="AD237" s="176"/>
      <c r="AE237" s="176"/>
      <c r="AF237" s="176"/>
      <c r="AG237" s="176"/>
      <c r="AH237" s="176"/>
      <c r="AI237" s="176"/>
      <c r="AJ237" s="176"/>
      <c r="AK237" s="176"/>
      <c r="AL237" s="176"/>
      <c r="AM237" s="176"/>
      <c r="AN237" s="176"/>
      <c r="AO237" s="176"/>
      <c r="AP237" s="176"/>
      <c r="AQ237" s="176"/>
      <c r="AR237" s="176"/>
      <c r="AS237" s="176"/>
      <c r="AT237" s="176"/>
      <c r="AU237" s="176"/>
      <c r="AV237" s="176"/>
      <c r="AW237" s="176"/>
      <c r="AX237" s="176"/>
      <c r="AY237" s="176"/>
      <c r="AZ237" s="176"/>
      <c r="BA237" s="176"/>
      <c r="BB237" s="176"/>
      <c r="BC237" s="176"/>
      <c r="BD237" s="176"/>
    </row>
    <row r="238" ht="15.75" customHeight="1">
      <c r="A238" s="176"/>
      <c r="B238" s="176"/>
      <c r="C238" s="176"/>
      <c r="D238" s="176"/>
      <c r="E238" s="176"/>
      <c r="F238" s="176"/>
      <c r="G238" s="178"/>
      <c r="H238" s="176"/>
      <c r="I238" s="176"/>
      <c r="J238" s="176"/>
      <c r="K238" s="176"/>
      <c r="L238" s="176"/>
      <c r="M238" s="176"/>
      <c r="N238" s="176"/>
      <c r="O238" s="176"/>
      <c r="P238" s="176"/>
      <c r="Q238" s="176"/>
      <c r="R238" s="176"/>
      <c r="S238" s="176"/>
      <c r="T238" s="176"/>
      <c r="U238" s="176"/>
      <c r="V238" s="176"/>
      <c r="W238" s="176"/>
      <c r="X238" s="176"/>
      <c r="Y238" s="176"/>
      <c r="Z238" s="176"/>
      <c r="AA238" s="176"/>
      <c r="AB238" s="176"/>
      <c r="AC238" s="176"/>
      <c r="AD238" s="176"/>
      <c r="AE238" s="176"/>
      <c r="AF238" s="176"/>
      <c r="AG238" s="176"/>
      <c r="AH238" s="176"/>
      <c r="AI238" s="176"/>
      <c r="AJ238" s="176"/>
      <c r="AK238" s="176"/>
      <c r="AL238" s="176"/>
      <c r="AM238" s="176"/>
      <c r="AN238" s="176"/>
      <c r="AO238" s="176"/>
      <c r="AP238" s="176"/>
      <c r="AQ238" s="176"/>
      <c r="AR238" s="176"/>
      <c r="AS238" s="176"/>
      <c r="AT238" s="176"/>
      <c r="AU238" s="176"/>
      <c r="AV238" s="176"/>
      <c r="AW238" s="176"/>
      <c r="AX238" s="176"/>
      <c r="AY238" s="176"/>
      <c r="AZ238" s="176"/>
      <c r="BA238" s="176"/>
      <c r="BB238" s="176"/>
      <c r="BC238" s="176"/>
      <c r="BD238" s="176"/>
    </row>
    <row r="239" ht="15.75" customHeight="1">
      <c r="A239" s="176"/>
      <c r="B239" s="176"/>
      <c r="C239" s="176"/>
      <c r="D239" s="176"/>
      <c r="E239" s="176"/>
      <c r="F239" s="176"/>
      <c r="G239" s="178"/>
      <c r="H239" s="176"/>
      <c r="I239" s="176"/>
      <c r="J239" s="176"/>
      <c r="K239" s="176"/>
      <c r="L239" s="176"/>
      <c r="M239" s="176"/>
      <c r="N239" s="176"/>
      <c r="O239" s="176"/>
      <c r="P239" s="176"/>
      <c r="Q239" s="176"/>
      <c r="R239" s="176"/>
      <c r="S239" s="176"/>
      <c r="T239" s="176"/>
      <c r="U239" s="176"/>
      <c r="V239" s="176"/>
      <c r="W239" s="176"/>
      <c r="X239" s="176"/>
      <c r="Y239" s="176"/>
      <c r="Z239" s="176"/>
      <c r="AA239" s="176"/>
      <c r="AB239" s="176"/>
      <c r="AC239" s="176"/>
      <c r="AD239" s="176"/>
      <c r="AE239" s="176"/>
      <c r="AF239" s="176"/>
      <c r="AG239" s="176"/>
      <c r="AH239" s="176"/>
      <c r="AI239" s="176"/>
      <c r="AJ239" s="176"/>
      <c r="AK239" s="176"/>
      <c r="AL239" s="176"/>
      <c r="AM239" s="176"/>
      <c r="AN239" s="176"/>
      <c r="AO239" s="176"/>
      <c r="AP239" s="176"/>
      <c r="AQ239" s="176"/>
      <c r="AR239" s="176"/>
      <c r="AS239" s="176"/>
      <c r="AT239" s="176"/>
      <c r="AU239" s="176"/>
      <c r="AV239" s="176"/>
      <c r="AW239" s="176"/>
      <c r="AX239" s="176"/>
      <c r="AY239" s="176"/>
      <c r="AZ239" s="176"/>
      <c r="BA239" s="176"/>
      <c r="BB239" s="176"/>
      <c r="BC239" s="176"/>
      <c r="BD239" s="176"/>
    </row>
    <row r="240" ht="15.75" customHeight="1">
      <c r="A240" s="176"/>
      <c r="B240" s="176"/>
      <c r="C240" s="176"/>
      <c r="D240" s="176"/>
      <c r="E240" s="176"/>
      <c r="F240" s="176"/>
      <c r="G240" s="178"/>
      <c r="H240" s="176"/>
      <c r="I240" s="176"/>
      <c r="J240" s="176"/>
      <c r="K240" s="176"/>
      <c r="L240" s="176"/>
      <c r="M240" s="176"/>
      <c r="N240" s="176"/>
      <c r="O240" s="176"/>
      <c r="P240" s="176"/>
      <c r="Q240" s="176"/>
      <c r="R240" s="176"/>
      <c r="S240" s="176"/>
      <c r="T240" s="176"/>
      <c r="U240" s="176"/>
      <c r="V240" s="176"/>
      <c r="W240" s="176"/>
      <c r="X240" s="176"/>
      <c r="Y240" s="176"/>
      <c r="Z240" s="176"/>
      <c r="AA240" s="176"/>
      <c r="AB240" s="176"/>
      <c r="AC240" s="176"/>
      <c r="AD240" s="176"/>
      <c r="AE240" s="176"/>
      <c r="AF240" s="176"/>
      <c r="AG240" s="176"/>
      <c r="AH240" s="176"/>
      <c r="AI240" s="176"/>
      <c r="AJ240" s="176"/>
      <c r="AK240" s="176"/>
      <c r="AL240" s="176"/>
      <c r="AM240" s="176"/>
      <c r="AN240" s="176"/>
      <c r="AO240" s="176"/>
      <c r="AP240" s="176"/>
      <c r="AQ240" s="176"/>
      <c r="AR240" s="176"/>
      <c r="AS240" s="176"/>
      <c r="AT240" s="176"/>
      <c r="AU240" s="176"/>
      <c r="AV240" s="176"/>
      <c r="AW240" s="176"/>
      <c r="AX240" s="176"/>
      <c r="AY240" s="176"/>
      <c r="AZ240" s="176"/>
      <c r="BA240" s="176"/>
      <c r="BB240" s="176"/>
      <c r="BC240" s="176"/>
      <c r="BD240" s="176"/>
    </row>
    <row r="241" ht="15.75" customHeight="1">
      <c r="A241" s="176"/>
      <c r="B241" s="176"/>
      <c r="C241" s="176"/>
      <c r="D241" s="176"/>
      <c r="E241" s="176"/>
      <c r="F241" s="176"/>
      <c r="G241" s="178"/>
      <c r="H241" s="176"/>
      <c r="I241" s="176"/>
      <c r="J241" s="176"/>
      <c r="K241" s="176"/>
      <c r="L241" s="176"/>
      <c r="M241" s="176"/>
      <c r="N241" s="176"/>
      <c r="O241" s="176"/>
      <c r="P241" s="176"/>
      <c r="Q241" s="176"/>
      <c r="R241" s="176"/>
      <c r="S241" s="176"/>
      <c r="T241" s="176"/>
      <c r="U241" s="176"/>
      <c r="V241" s="176"/>
      <c r="W241" s="176"/>
      <c r="X241" s="176"/>
      <c r="Y241" s="176"/>
      <c r="Z241" s="176"/>
      <c r="AA241" s="176"/>
      <c r="AB241" s="176"/>
      <c r="AC241" s="176"/>
      <c r="AD241" s="176"/>
      <c r="AE241" s="176"/>
      <c r="AF241" s="176"/>
      <c r="AG241" s="176"/>
      <c r="AH241" s="176"/>
      <c r="AI241" s="176"/>
      <c r="AJ241" s="176"/>
      <c r="AK241" s="176"/>
      <c r="AL241" s="176"/>
      <c r="AM241" s="176"/>
      <c r="AN241" s="176"/>
      <c r="AO241" s="176"/>
      <c r="AP241" s="176"/>
      <c r="AQ241" s="176"/>
      <c r="AR241" s="176"/>
      <c r="AS241" s="176"/>
      <c r="AT241" s="176"/>
      <c r="AU241" s="176"/>
      <c r="AV241" s="176"/>
      <c r="AW241" s="176"/>
      <c r="AX241" s="176"/>
      <c r="AY241" s="176"/>
      <c r="AZ241" s="176"/>
      <c r="BA241" s="176"/>
      <c r="BB241" s="176"/>
      <c r="BC241" s="176"/>
      <c r="BD241" s="176"/>
    </row>
    <row r="242" ht="15.75" customHeight="1">
      <c r="A242" s="176"/>
      <c r="B242" s="176"/>
      <c r="C242" s="176"/>
      <c r="D242" s="176"/>
      <c r="E242" s="176"/>
      <c r="F242" s="176"/>
      <c r="G242" s="178"/>
      <c r="H242" s="176"/>
      <c r="I242" s="176"/>
      <c r="J242" s="176"/>
      <c r="K242" s="176"/>
      <c r="L242" s="176"/>
      <c r="M242" s="176"/>
      <c r="N242" s="176"/>
      <c r="O242" s="176"/>
      <c r="P242" s="176"/>
      <c r="Q242" s="176"/>
      <c r="R242" s="176"/>
      <c r="S242" s="176"/>
      <c r="T242" s="176"/>
      <c r="U242" s="176"/>
      <c r="V242" s="176"/>
      <c r="W242" s="176"/>
      <c r="X242" s="176"/>
      <c r="Y242" s="176"/>
      <c r="Z242" s="176"/>
      <c r="AA242" s="176"/>
      <c r="AB242" s="176"/>
      <c r="AC242" s="176"/>
      <c r="AD242" s="176"/>
      <c r="AE242" s="176"/>
      <c r="AF242" s="176"/>
      <c r="AG242" s="176"/>
      <c r="AH242" s="176"/>
      <c r="AI242" s="176"/>
      <c r="AJ242" s="176"/>
      <c r="AK242" s="176"/>
      <c r="AL242" s="176"/>
      <c r="AM242" s="176"/>
      <c r="AN242" s="176"/>
      <c r="AO242" s="176"/>
      <c r="AP242" s="176"/>
      <c r="AQ242" s="176"/>
      <c r="AR242" s="176"/>
      <c r="AS242" s="176"/>
      <c r="AT242" s="176"/>
      <c r="AU242" s="176"/>
      <c r="AV242" s="176"/>
      <c r="AW242" s="176"/>
      <c r="AX242" s="176"/>
      <c r="AY242" s="176"/>
      <c r="AZ242" s="176"/>
      <c r="BA242" s="176"/>
      <c r="BB242" s="176"/>
      <c r="BC242" s="176"/>
      <c r="BD242" s="176"/>
    </row>
    <row r="243" ht="15.75" customHeight="1">
      <c r="A243" s="176"/>
      <c r="B243" s="176"/>
      <c r="C243" s="176"/>
      <c r="D243" s="176"/>
      <c r="E243" s="176"/>
      <c r="F243" s="176"/>
      <c r="G243" s="178"/>
      <c r="H243" s="176"/>
      <c r="I243" s="176"/>
      <c r="J243" s="176"/>
      <c r="K243" s="176"/>
      <c r="L243" s="176"/>
      <c r="M243" s="176"/>
      <c r="N243" s="176"/>
      <c r="O243" s="176"/>
      <c r="P243" s="176"/>
      <c r="Q243" s="176"/>
      <c r="R243" s="176"/>
      <c r="S243" s="176"/>
      <c r="T243" s="176"/>
      <c r="U243" s="176"/>
      <c r="V243" s="176"/>
      <c r="W243" s="176"/>
      <c r="X243" s="176"/>
      <c r="Y243" s="176"/>
      <c r="Z243" s="176"/>
      <c r="AA243" s="176"/>
      <c r="AB243" s="176"/>
      <c r="AC243" s="176"/>
      <c r="AD243" s="176"/>
      <c r="AE243" s="176"/>
      <c r="AF243" s="176"/>
      <c r="AG243" s="176"/>
      <c r="AH243" s="176"/>
      <c r="AI243" s="176"/>
      <c r="AJ243" s="176"/>
      <c r="AK243" s="176"/>
      <c r="AL243" s="176"/>
      <c r="AM243" s="176"/>
      <c r="AN243" s="176"/>
      <c r="AO243" s="176"/>
      <c r="AP243" s="176"/>
      <c r="AQ243" s="176"/>
      <c r="AR243" s="176"/>
      <c r="AS243" s="176"/>
      <c r="AT243" s="176"/>
      <c r="AU243" s="176"/>
      <c r="AV243" s="176"/>
      <c r="AW243" s="176"/>
      <c r="AX243" s="176"/>
      <c r="AY243" s="176"/>
      <c r="AZ243" s="176"/>
      <c r="BA243" s="176"/>
      <c r="BB243" s="176"/>
      <c r="BC243" s="176"/>
      <c r="BD243" s="176"/>
    </row>
    <row r="244" ht="15.75" customHeight="1">
      <c r="A244" s="176"/>
      <c r="B244" s="176"/>
      <c r="C244" s="176"/>
      <c r="D244" s="176"/>
      <c r="E244" s="176"/>
      <c r="F244" s="176"/>
      <c r="G244" s="178"/>
      <c r="H244" s="176"/>
      <c r="I244" s="176"/>
      <c r="J244" s="176"/>
      <c r="K244" s="176"/>
      <c r="L244" s="176"/>
      <c r="M244" s="176"/>
      <c r="N244" s="176"/>
      <c r="O244" s="176"/>
      <c r="P244" s="176"/>
      <c r="Q244" s="176"/>
      <c r="R244" s="176"/>
      <c r="S244" s="176"/>
      <c r="T244" s="176"/>
      <c r="U244" s="176"/>
      <c r="V244" s="176"/>
      <c r="W244" s="176"/>
      <c r="X244" s="176"/>
      <c r="Y244" s="176"/>
      <c r="Z244" s="176"/>
      <c r="AA244" s="176"/>
      <c r="AB244" s="176"/>
      <c r="AC244" s="176"/>
      <c r="AD244" s="176"/>
      <c r="AE244" s="176"/>
      <c r="AF244" s="176"/>
      <c r="AG244" s="176"/>
      <c r="AH244" s="176"/>
      <c r="AI244" s="176"/>
      <c r="AJ244" s="176"/>
      <c r="AK244" s="176"/>
      <c r="AL244" s="176"/>
      <c r="AM244" s="176"/>
      <c r="AN244" s="176"/>
      <c r="AO244" s="176"/>
      <c r="AP244" s="176"/>
      <c r="AQ244" s="176"/>
      <c r="AR244" s="176"/>
      <c r="AS244" s="176"/>
      <c r="AT244" s="176"/>
      <c r="AU244" s="176"/>
      <c r="AV244" s="176"/>
      <c r="AW244" s="176"/>
      <c r="AX244" s="176"/>
      <c r="AY244" s="176"/>
      <c r="AZ244" s="176"/>
      <c r="BA244" s="176"/>
      <c r="BB244" s="176"/>
      <c r="BC244" s="176"/>
      <c r="BD244" s="176"/>
    </row>
    <row r="245" ht="15.75" customHeight="1">
      <c r="A245" s="176"/>
      <c r="B245" s="176"/>
      <c r="C245" s="176"/>
      <c r="D245" s="176"/>
      <c r="E245" s="176"/>
      <c r="F245" s="176"/>
      <c r="G245" s="178"/>
      <c r="H245" s="176"/>
      <c r="I245" s="176"/>
      <c r="J245" s="176"/>
      <c r="K245" s="176"/>
      <c r="L245" s="176"/>
      <c r="M245" s="176"/>
      <c r="N245" s="176"/>
      <c r="O245" s="176"/>
      <c r="P245" s="176"/>
      <c r="Q245" s="176"/>
      <c r="R245" s="176"/>
      <c r="S245" s="176"/>
      <c r="T245" s="176"/>
      <c r="U245" s="176"/>
      <c r="V245" s="176"/>
      <c r="W245" s="176"/>
      <c r="X245" s="176"/>
      <c r="Y245" s="176"/>
      <c r="Z245" s="176"/>
      <c r="AA245" s="176"/>
      <c r="AB245" s="176"/>
      <c r="AC245" s="176"/>
      <c r="AD245" s="176"/>
      <c r="AE245" s="176"/>
      <c r="AF245" s="176"/>
      <c r="AG245" s="176"/>
      <c r="AH245" s="176"/>
      <c r="AI245" s="176"/>
      <c r="AJ245" s="176"/>
      <c r="AK245" s="176"/>
      <c r="AL245" s="176"/>
      <c r="AM245" s="176"/>
      <c r="AN245" s="176"/>
      <c r="AO245" s="176"/>
      <c r="AP245" s="176"/>
      <c r="AQ245" s="176"/>
      <c r="AR245" s="176"/>
      <c r="AS245" s="176"/>
      <c r="AT245" s="176"/>
      <c r="AU245" s="176"/>
      <c r="AV245" s="176"/>
      <c r="AW245" s="176"/>
      <c r="AX245" s="176"/>
      <c r="AY245" s="176"/>
      <c r="AZ245" s="176"/>
      <c r="BA245" s="176"/>
      <c r="BB245" s="176"/>
      <c r="BC245" s="176"/>
      <c r="BD245" s="176"/>
    </row>
    <row r="246" ht="15.75" customHeight="1">
      <c r="A246" s="176"/>
      <c r="B246" s="176"/>
      <c r="C246" s="176"/>
      <c r="D246" s="176"/>
      <c r="E246" s="176"/>
      <c r="F246" s="176"/>
      <c r="G246" s="178"/>
      <c r="H246" s="176"/>
      <c r="I246" s="176"/>
      <c r="J246" s="176"/>
      <c r="K246" s="176"/>
      <c r="L246" s="176"/>
      <c r="M246" s="176"/>
      <c r="N246" s="176"/>
      <c r="O246" s="176"/>
      <c r="P246" s="176"/>
      <c r="Q246" s="176"/>
      <c r="R246" s="176"/>
      <c r="S246" s="176"/>
      <c r="T246" s="176"/>
      <c r="U246" s="176"/>
      <c r="V246" s="176"/>
      <c r="W246" s="176"/>
      <c r="X246" s="176"/>
      <c r="Y246" s="176"/>
      <c r="Z246" s="176"/>
      <c r="AA246" s="176"/>
      <c r="AB246" s="176"/>
      <c r="AC246" s="176"/>
      <c r="AD246" s="176"/>
      <c r="AE246" s="176"/>
      <c r="AF246" s="176"/>
      <c r="AG246" s="176"/>
      <c r="AH246" s="176"/>
      <c r="AI246" s="176"/>
      <c r="AJ246" s="176"/>
      <c r="AK246" s="176"/>
      <c r="AL246" s="176"/>
      <c r="AM246" s="176"/>
      <c r="AN246" s="176"/>
      <c r="AO246" s="176"/>
      <c r="AP246" s="176"/>
      <c r="AQ246" s="176"/>
      <c r="AR246" s="176"/>
      <c r="AS246" s="176"/>
      <c r="AT246" s="176"/>
      <c r="AU246" s="176"/>
      <c r="AV246" s="176"/>
      <c r="AW246" s="176"/>
      <c r="AX246" s="176"/>
      <c r="AY246" s="176"/>
      <c r="AZ246" s="176"/>
      <c r="BA246" s="176"/>
      <c r="BB246" s="176"/>
      <c r="BC246" s="176"/>
      <c r="BD246" s="176"/>
    </row>
    <row r="247" ht="15.75" customHeight="1">
      <c r="A247" s="176"/>
      <c r="B247" s="176"/>
      <c r="C247" s="176"/>
      <c r="D247" s="176"/>
      <c r="E247" s="176"/>
      <c r="F247" s="176"/>
      <c r="G247" s="178"/>
      <c r="H247" s="176"/>
      <c r="I247" s="176"/>
      <c r="J247" s="176"/>
      <c r="K247" s="176"/>
      <c r="L247" s="176"/>
      <c r="M247" s="176"/>
      <c r="N247" s="176"/>
      <c r="O247" s="176"/>
      <c r="P247" s="176"/>
      <c r="Q247" s="176"/>
      <c r="R247" s="176"/>
      <c r="S247" s="176"/>
      <c r="T247" s="176"/>
      <c r="U247" s="176"/>
      <c r="V247" s="176"/>
      <c r="W247" s="176"/>
      <c r="X247" s="176"/>
      <c r="Y247" s="176"/>
      <c r="Z247" s="176"/>
      <c r="AA247" s="176"/>
      <c r="AB247" s="176"/>
      <c r="AC247" s="176"/>
      <c r="AD247" s="176"/>
      <c r="AE247" s="176"/>
      <c r="AF247" s="176"/>
      <c r="AG247" s="176"/>
      <c r="AH247" s="176"/>
      <c r="AI247" s="176"/>
      <c r="AJ247" s="176"/>
      <c r="AK247" s="176"/>
      <c r="AL247" s="176"/>
      <c r="AM247" s="176"/>
      <c r="AN247" s="176"/>
      <c r="AO247" s="176"/>
      <c r="AP247" s="176"/>
      <c r="AQ247" s="176"/>
      <c r="AR247" s="176"/>
      <c r="AS247" s="176"/>
      <c r="AT247" s="176"/>
      <c r="AU247" s="176"/>
      <c r="AV247" s="176"/>
      <c r="AW247" s="176"/>
      <c r="AX247" s="176"/>
      <c r="AY247" s="176"/>
      <c r="AZ247" s="176"/>
      <c r="BA247" s="176"/>
      <c r="BB247" s="176"/>
      <c r="BC247" s="176"/>
      <c r="BD247" s="176"/>
    </row>
    <row r="248" ht="15.75" customHeight="1">
      <c r="A248" s="176"/>
      <c r="B248" s="176"/>
      <c r="C248" s="176"/>
      <c r="D248" s="176"/>
      <c r="E248" s="176"/>
      <c r="F248" s="176"/>
      <c r="G248" s="178"/>
      <c r="H248" s="176"/>
      <c r="I248" s="176"/>
      <c r="J248" s="176"/>
      <c r="K248" s="176"/>
      <c r="L248" s="176"/>
      <c r="M248" s="176"/>
      <c r="N248" s="176"/>
      <c r="O248" s="176"/>
      <c r="P248" s="176"/>
      <c r="Q248" s="176"/>
      <c r="R248" s="176"/>
      <c r="S248" s="176"/>
      <c r="T248" s="176"/>
      <c r="U248" s="176"/>
      <c r="V248" s="176"/>
      <c r="W248" s="176"/>
      <c r="X248" s="176"/>
      <c r="Y248" s="176"/>
      <c r="Z248" s="176"/>
      <c r="AA248" s="176"/>
      <c r="AB248" s="176"/>
      <c r="AC248" s="176"/>
      <c r="AD248" s="176"/>
      <c r="AE248" s="176"/>
      <c r="AF248" s="176"/>
      <c r="AG248" s="176"/>
      <c r="AH248" s="176"/>
      <c r="AI248" s="176"/>
      <c r="AJ248" s="176"/>
      <c r="AK248" s="176"/>
      <c r="AL248" s="176"/>
      <c r="AM248" s="176"/>
      <c r="AN248" s="176"/>
      <c r="AO248" s="176"/>
      <c r="AP248" s="176"/>
      <c r="AQ248" s="176"/>
      <c r="AR248" s="176"/>
      <c r="AS248" s="176"/>
      <c r="AT248" s="176"/>
      <c r="AU248" s="176"/>
      <c r="AV248" s="176"/>
      <c r="AW248" s="176"/>
      <c r="AX248" s="176"/>
      <c r="AY248" s="176"/>
      <c r="AZ248" s="176"/>
      <c r="BA248" s="176"/>
      <c r="BB248" s="176"/>
      <c r="BC248" s="176"/>
      <c r="BD248" s="176"/>
    </row>
    <row r="249" ht="15.75" customHeight="1">
      <c r="A249" s="176"/>
      <c r="B249" s="176"/>
      <c r="C249" s="176"/>
      <c r="D249" s="176"/>
      <c r="E249" s="176"/>
      <c r="F249" s="176"/>
      <c r="G249" s="178"/>
      <c r="H249" s="176"/>
      <c r="I249" s="176"/>
      <c r="J249" s="176"/>
      <c r="K249" s="176"/>
      <c r="L249" s="176"/>
      <c r="M249" s="176"/>
      <c r="N249" s="176"/>
      <c r="O249" s="176"/>
      <c r="P249" s="176"/>
      <c r="Q249" s="176"/>
      <c r="R249" s="176"/>
      <c r="S249" s="176"/>
      <c r="T249" s="176"/>
      <c r="U249" s="176"/>
      <c r="V249" s="176"/>
      <c r="W249" s="176"/>
      <c r="X249" s="176"/>
      <c r="Y249" s="176"/>
      <c r="Z249" s="176"/>
      <c r="AA249" s="176"/>
      <c r="AB249" s="176"/>
      <c r="AC249" s="176"/>
      <c r="AD249" s="176"/>
      <c r="AE249" s="176"/>
      <c r="AF249" s="176"/>
      <c r="AG249" s="176"/>
      <c r="AH249" s="176"/>
      <c r="AI249" s="176"/>
      <c r="AJ249" s="176"/>
      <c r="AK249" s="176"/>
      <c r="AL249" s="176"/>
      <c r="AM249" s="176"/>
      <c r="AN249" s="176"/>
      <c r="AO249" s="176"/>
      <c r="AP249" s="176"/>
      <c r="AQ249" s="176"/>
      <c r="AR249" s="176"/>
      <c r="AS249" s="176"/>
      <c r="AT249" s="176"/>
      <c r="AU249" s="176"/>
      <c r="AV249" s="176"/>
      <c r="AW249" s="176"/>
      <c r="AX249" s="176"/>
      <c r="AY249" s="176"/>
      <c r="AZ249" s="176"/>
      <c r="BA249" s="176"/>
      <c r="BB249" s="176"/>
      <c r="BC249" s="176"/>
      <c r="BD249" s="176"/>
    </row>
    <row r="250" ht="15.75" customHeight="1">
      <c r="A250" s="176"/>
      <c r="B250" s="176"/>
      <c r="C250" s="176"/>
      <c r="D250" s="176"/>
      <c r="E250" s="176"/>
      <c r="F250" s="176"/>
      <c r="G250" s="178"/>
      <c r="H250" s="176"/>
      <c r="I250" s="176"/>
      <c r="J250" s="176"/>
      <c r="K250" s="176"/>
      <c r="L250" s="176"/>
      <c r="M250" s="176"/>
      <c r="N250" s="176"/>
      <c r="O250" s="176"/>
      <c r="P250" s="176"/>
      <c r="Q250" s="176"/>
      <c r="R250" s="176"/>
      <c r="S250" s="176"/>
      <c r="T250" s="176"/>
      <c r="U250" s="176"/>
      <c r="V250" s="176"/>
      <c r="W250" s="176"/>
      <c r="X250" s="176"/>
      <c r="Y250" s="176"/>
      <c r="Z250" s="176"/>
      <c r="AA250" s="176"/>
      <c r="AB250" s="176"/>
      <c r="AC250" s="176"/>
      <c r="AD250" s="176"/>
      <c r="AE250" s="176"/>
      <c r="AF250" s="176"/>
      <c r="AG250" s="176"/>
      <c r="AH250" s="176"/>
      <c r="AI250" s="176"/>
      <c r="AJ250" s="176"/>
      <c r="AK250" s="176"/>
      <c r="AL250" s="176"/>
      <c r="AM250" s="176"/>
      <c r="AN250" s="176"/>
      <c r="AO250" s="176"/>
      <c r="AP250" s="176"/>
      <c r="AQ250" s="176"/>
      <c r="AR250" s="176"/>
      <c r="AS250" s="176"/>
      <c r="AT250" s="176"/>
      <c r="AU250" s="176"/>
      <c r="AV250" s="176"/>
      <c r="AW250" s="176"/>
      <c r="AX250" s="176"/>
      <c r="AY250" s="176"/>
      <c r="AZ250" s="176"/>
      <c r="BA250" s="176"/>
      <c r="BB250" s="176"/>
      <c r="BC250" s="176"/>
      <c r="BD250" s="176"/>
    </row>
    <row r="251" ht="15.75" customHeight="1">
      <c r="A251" s="176"/>
      <c r="B251" s="176"/>
      <c r="C251" s="176"/>
      <c r="D251" s="176"/>
      <c r="E251" s="176"/>
      <c r="F251" s="176"/>
      <c r="G251" s="178"/>
      <c r="H251" s="176"/>
      <c r="I251" s="176"/>
      <c r="J251" s="176"/>
      <c r="K251" s="176"/>
      <c r="L251" s="176"/>
      <c r="M251" s="176"/>
      <c r="N251" s="176"/>
      <c r="O251" s="176"/>
      <c r="P251" s="176"/>
      <c r="Q251" s="176"/>
      <c r="R251" s="176"/>
      <c r="S251" s="176"/>
      <c r="T251" s="176"/>
      <c r="U251" s="176"/>
      <c r="V251" s="176"/>
      <c r="W251" s="176"/>
      <c r="X251" s="176"/>
      <c r="Y251" s="176"/>
      <c r="Z251" s="176"/>
      <c r="AA251" s="176"/>
      <c r="AB251" s="176"/>
      <c r="AC251" s="176"/>
      <c r="AD251" s="176"/>
      <c r="AE251" s="176"/>
      <c r="AF251" s="176"/>
      <c r="AG251" s="176"/>
      <c r="AH251" s="176"/>
      <c r="AI251" s="176"/>
      <c r="AJ251" s="176"/>
      <c r="AK251" s="176"/>
      <c r="AL251" s="176"/>
      <c r="AM251" s="176"/>
      <c r="AN251" s="176"/>
      <c r="AO251" s="176"/>
      <c r="AP251" s="176"/>
      <c r="AQ251" s="176"/>
      <c r="AR251" s="176"/>
      <c r="AS251" s="176"/>
      <c r="AT251" s="176"/>
      <c r="AU251" s="176"/>
      <c r="AV251" s="176"/>
      <c r="AW251" s="176"/>
      <c r="AX251" s="176"/>
      <c r="AY251" s="176"/>
      <c r="AZ251" s="176"/>
      <c r="BA251" s="176"/>
      <c r="BB251" s="176"/>
      <c r="BC251" s="176"/>
      <c r="BD251" s="176"/>
    </row>
    <row r="252" ht="15.75" customHeight="1">
      <c r="A252" s="176"/>
      <c r="B252" s="176"/>
      <c r="C252" s="176"/>
      <c r="D252" s="176"/>
      <c r="E252" s="176"/>
      <c r="F252" s="176"/>
      <c r="G252" s="178"/>
      <c r="H252" s="176"/>
      <c r="I252" s="176"/>
      <c r="J252" s="176"/>
      <c r="K252" s="176"/>
      <c r="L252" s="176"/>
      <c r="M252" s="176"/>
      <c r="N252" s="176"/>
      <c r="O252" s="176"/>
      <c r="P252" s="176"/>
      <c r="Q252" s="176"/>
      <c r="R252" s="176"/>
      <c r="S252" s="176"/>
      <c r="T252" s="176"/>
      <c r="U252" s="176"/>
      <c r="V252" s="176"/>
      <c r="W252" s="176"/>
      <c r="X252" s="176"/>
      <c r="Y252" s="176"/>
      <c r="Z252" s="176"/>
      <c r="AA252" s="176"/>
      <c r="AB252" s="176"/>
      <c r="AC252" s="176"/>
      <c r="AD252" s="176"/>
      <c r="AE252" s="176"/>
      <c r="AF252" s="176"/>
      <c r="AG252" s="176"/>
      <c r="AH252" s="176"/>
      <c r="AI252" s="176"/>
      <c r="AJ252" s="176"/>
      <c r="AK252" s="176"/>
      <c r="AL252" s="176"/>
      <c r="AM252" s="176"/>
      <c r="AN252" s="176"/>
      <c r="AO252" s="176"/>
      <c r="AP252" s="176"/>
      <c r="AQ252" s="176"/>
      <c r="AR252" s="176"/>
      <c r="AS252" s="176"/>
      <c r="AT252" s="176"/>
      <c r="AU252" s="176"/>
      <c r="AV252" s="176"/>
      <c r="AW252" s="176"/>
      <c r="AX252" s="176"/>
      <c r="AY252" s="176"/>
      <c r="AZ252" s="176"/>
      <c r="BA252" s="176"/>
      <c r="BB252" s="176"/>
      <c r="BC252" s="176"/>
      <c r="BD252" s="176"/>
    </row>
    <row r="253" ht="15.75" customHeight="1">
      <c r="A253" s="176"/>
      <c r="B253" s="176"/>
      <c r="C253" s="176"/>
      <c r="D253" s="176"/>
      <c r="E253" s="176"/>
      <c r="F253" s="176"/>
      <c r="G253" s="178"/>
      <c r="H253" s="176"/>
      <c r="I253" s="176"/>
      <c r="J253" s="176"/>
      <c r="K253" s="176"/>
      <c r="L253" s="176"/>
      <c r="M253" s="176"/>
      <c r="N253" s="176"/>
      <c r="O253" s="176"/>
      <c r="P253" s="176"/>
      <c r="Q253" s="176"/>
      <c r="R253" s="176"/>
      <c r="S253" s="176"/>
      <c r="T253" s="176"/>
      <c r="U253" s="176"/>
      <c r="V253" s="176"/>
      <c r="W253" s="176"/>
      <c r="X253" s="176"/>
      <c r="Y253" s="176"/>
      <c r="Z253" s="176"/>
      <c r="AA253" s="176"/>
      <c r="AB253" s="176"/>
      <c r="AC253" s="176"/>
      <c r="AD253" s="176"/>
      <c r="AE253" s="176"/>
      <c r="AF253" s="176"/>
      <c r="AG253" s="176"/>
      <c r="AH253" s="176"/>
      <c r="AI253" s="176"/>
      <c r="AJ253" s="176"/>
      <c r="AK253" s="176"/>
      <c r="AL253" s="176"/>
      <c r="AM253" s="176"/>
      <c r="AN253" s="176"/>
      <c r="AO253" s="176"/>
      <c r="AP253" s="176"/>
      <c r="AQ253" s="176"/>
      <c r="AR253" s="176"/>
      <c r="AS253" s="176"/>
      <c r="AT253" s="176"/>
      <c r="AU253" s="176"/>
      <c r="AV253" s="176"/>
      <c r="AW253" s="176"/>
      <c r="AX253" s="176"/>
      <c r="AY253" s="176"/>
      <c r="AZ253" s="176"/>
      <c r="BA253" s="176"/>
      <c r="BB253" s="176"/>
      <c r="BC253" s="176"/>
      <c r="BD253" s="176"/>
    </row>
    <row r="254" ht="15.75" customHeight="1">
      <c r="A254" s="176"/>
      <c r="B254" s="176"/>
      <c r="C254" s="176"/>
      <c r="D254" s="176"/>
      <c r="E254" s="176"/>
      <c r="F254" s="176"/>
      <c r="G254" s="178"/>
      <c r="H254" s="176"/>
      <c r="I254" s="176"/>
      <c r="J254" s="176"/>
      <c r="K254" s="176"/>
      <c r="L254" s="176"/>
      <c r="M254" s="176"/>
      <c r="N254" s="176"/>
      <c r="O254" s="176"/>
      <c r="P254" s="176"/>
      <c r="Q254" s="176"/>
      <c r="R254" s="176"/>
      <c r="S254" s="176"/>
      <c r="T254" s="176"/>
      <c r="U254" s="176"/>
      <c r="V254" s="176"/>
      <c r="W254" s="176"/>
      <c r="X254" s="176"/>
      <c r="Y254" s="176"/>
      <c r="Z254" s="176"/>
      <c r="AA254" s="176"/>
      <c r="AB254" s="176"/>
      <c r="AC254" s="176"/>
      <c r="AD254" s="176"/>
      <c r="AE254" s="176"/>
      <c r="AF254" s="176"/>
      <c r="AG254" s="176"/>
      <c r="AH254" s="176"/>
      <c r="AI254" s="176"/>
      <c r="AJ254" s="176"/>
      <c r="AK254" s="176"/>
      <c r="AL254" s="176"/>
      <c r="AM254" s="176"/>
      <c r="AN254" s="176"/>
      <c r="AO254" s="176"/>
      <c r="AP254" s="176"/>
      <c r="AQ254" s="176"/>
      <c r="AR254" s="176"/>
      <c r="AS254" s="176"/>
      <c r="AT254" s="176"/>
      <c r="AU254" s="176"/>
      <c r="AV254" s="176"/>
      <c r="AW254" s="176"/>
      <c r="AX254" s="176"/>
      <c r="AY254" s="176"/>
      <c r="AZ254" s="176"/>
      <c r="BA254" s="176"/>
      <c r="BB254" s="176"/>
      <c r="BC254" s="176"/>
      <c r="BD254" s="176"/>
    </row>
    <row r="255" ht="15.75" customHeight="1">
      <c r="A255" s="176"/>
      <c r="B255" s="176"/>
      <c r="C255" s="176"/>
      <c r="D255" s="176"/>
      <c r="E255" s="176"/>
      <c r="F255" s="176"/>
      <c r="G255" s="178"/>
      <c r="H255" s="176"/>
      <c r="I255" s="176"/>
      <c r="J255" s="176"/>
      <c r="K255" s="176"/>
      <c r="L255" s="176"/>
      <c r="M255" s="176"/>
      <c r="N255" s="176"/>
      <c r="O255" s="176"/>
      <c r="P255" s="176"/>
      <c r="Q255" s="176"/>
      <c r="R255" s="176"/>
      <c r="S255" s="176"/>
      <c r="T255" s="176"/>
      <c r="U255" s="176"/>
      <c r="V255" s="176"/>
      <c r="W255" s="176"/>
      <c r="X255" s="176"/>
      <c r="Y255" s="176"/>
      <c r="Z255" s="176"/>
      <c r="AA255" s="176"/>
      <c r="AB255" s="176"/>
      <c r="AC255" s="176"/>
      <c r="AD255" s="176"/>
      <c r="AE255" s="176"/>
      <c r="AF255" s="176"/>
      <c r="AG255" s="176"/>
      <c r="AH255" s="176"/>
      <c r="AI255" s="176"/>
      <c r="AJ255" s="176"/>
      <c r="AK255" s="176"/>
      <c r="AL255" s="176"/>
      <c r="AM255" s="176"/>
      <c r="AN255" s="176"/>
      <c r="AO255" s="176"/>
      <c r="AP255" s="176"/>
      <c r="AQ255" s="176"/>
      <c r="AR255" s="176"/>
      <c r="AS255" s="176"/>
      <c r="AT255" s="176"/>
      <c r="AU255" s="176"/>
      <c r="AV255" s="176"/>
      <c r="AW255" s="176"/>
      <c r="AX255" s="176"/>
      <c r="AY255" s="176"/>
      <c r="AZ255" s="176"/>
      <c r="BA255" s="176"/>
      <c r="BB255" s="176"/>
      <c r="BC255" s="176"/>
      <c r="BD255" s="176"/>
    </row>
    <row r="256" ht="15.75" customHeight="1">
      <c r="A256" s="176"/>
      <c r="B256" s="176"/>
      <c r="C256" s="176"/>
      <c r="D256" s="176"/>
      <c r="E256" s="176"/>
      <c r="F256" s="176"/>
      <c r="G256" s="178"/>
      <c r="H256" s="176"/>
      <c r="I256" s="176"/>
      <c r="J256" s="176"/>
      <c r="K256" s="176"/>
      <c r="L256" s="176"/>
      <c r="M256" s="176"/>
      <c r="N256" s="176"/>
      <c r="O256" s="176"/>
      <c r="P256" s="176"/>
      <c r="Q256" s="176"/>
      <c r="R256" s="176"/>
      <c r="S256" s="176"/>
      <c r="T256" s="176"/>
      <c r="U256" s="176"/>
      <c r="V256" s="176"/>
      <c r="W256" s="176"/>
      <c r="X256" s="176"/>
      <c r="Y256" s="176"/>
      <c r="Z256" s="176"/>
      <c r="AA256" s="176"/>
      <c r="AB256" s="176"/>
      <c r="AC256" s="176"/>
      <c r="AD256" s="176"/>
      <c r="AE256" s="176"/>
      <c r="AF256" s="176"/>
      <c r="AG256" s="176"/>
      <c r="AH256" s="176"/>
      <c r="AI256" s="176"/>
      <c r="AJ256" s="176"/>
      <c r="AK256" s="176"/>
      <c r="AL256" s="176"/>
      <c r="AM256" s="176"/>
      <c r="AN256" s="176"/>
      <c r="AO256" s="176"/>
      <c r="AP256" s="176"/>
      <c r="AQ256" s="176"/>
      <c r="AR256" s="176"/>
      <c r="AS256" s="176"/>
      <c r="AT256" s="176"/>
      <c r="AU256" s="176"/>
      <c r="AV256" s="176"/>
      <c r="AW256" s="176"/>
      <c r="AX256" s="176"/>
      <c r="AY256" s="176"/>
      <c r="AZ256" s="176"/>
      <c r="BA256" s="176"/>
      <c r="BB256" s="176"/>
      <c r="BC256" s="176"/>
      <c r="BD256" s="176"/>
    </row>
    <row r="257" ht="15.75" customHeight="1">
      <c r="A257" s="176"/>
      <c r="B257" s="176"/>
      <c r="C257" s="176"/>
      <c r="D257" s="176"/>
      <c r="E257" s="176"/>
      <c r="F257" s="176"/>
      <c r="G257" s="178"/>
      <c r="H257" s="176"/>
      <c r="I257" s="176"/>
      <c r="J257" s="176"/>
      <c r="K257" s="176"/>
      <c r="L257" s="176"/>
      <c r="M257" s="176"/>
      <c r="N257" s="176"/>
      <c r="O257" s="176"/>
      <c r="P257" s="176"/>
      <c r="Q257" s="176"/>
      <c r="R257" s="176"/>
      <c r="S257" s="176"/>
      <c r="T257" s="176"/>
      <c r="U257" s="176"/>
      <c r="V257" s="176"/>
      <c r="W257" s="176"/>
      <c r="X257" s="176"/>
      <c r="Y257" s="176"/>
      <c r="Z257" s="176"/>
      <c r="AA257" s="176"/>
      <c r="AB257" s="176"/>
      <c r="AC257" s="176"/>
      <c r="AD257" s="176"/>
      <c r="AE257" s="176"/>
      <c r="AF257" s="176"/>
      <c r="AG257" s="176"/>
      <c r="AH257" s="176"/>
      <c r="AI257" s="176"/>
      <c r="AJ257" s="176"/>
      <c r="AK257" s="176"/>
      <c r="AL257" s="176"/>
      <c r="AM257" s="176"/>
      <c r="AN257" s="176"/>
      <c r="AO257" s="176"/>
      <c r="AP257" s="176"/>
      <c r="AQ257" s="176"/>
      <c r="AR257" s="176"/>
      <c r="AS257" s="176"/>
      <c r="AT257" s="176"/>
      <c r="AU257" s="176"/>
      <c r="AV257" s="176"/>
      <c r="AW257" s="176"/>
      <c r="AX257" s="176"/>
      <c r="AY257" s="176"/>
      <c r="AZ257" s="176"/>
      <c r="BA257" s="176"/>
      <c r="BB257" s="176"/>
      <c r="BC257" s="176"/>
      <c r="BD257" s="176"/>
    </row>
    <row r="258" ht="15.75" customHeight="1">
      <c r="A258" s="176"/>
      <c r="B258" s="176"/>
      <c r="C258" s="176"/>
      <c r="D258" s="176"/>
      <c r="E258" s="176"/>
      <c r="F258" s="176"/>
      <c r="G258" s="178"/>
      <c r="H258" s="176"/>
      <c r="I258" s="176"/>
      <c r="J258" s="176"/>
      <c r="K258" s="176"/>
      <c r="L258" s="176"/>
      <c r="M258" s="176"/>
      <c r="N258" s="176"/>
      <c r="O258" s="176"/>
      <c r="P258" s="176"/>
      <c r="Q258" s="176"/>
      <c r="R258" s="176"/>
      <c r="S258" s="176"/>
      <c r="T258" s="176"/>
      <c r="U258" s="176"/>
      <c r="V258" s="176"/>
      <c r="W258" s="176"/>
      <c r="X258" s="176"/>
      <c r="Y258" s="176"/>
      <c r="Z258" s="176"/>
      <c r="AA258" s="176"/>
      <c r="AB258" s="176"/>
      <c r="AC258" s="176"/>
      <c r="AD258" s="176"/>
      <c r="AE258" s="176"/>
      <c r="AF258" s="176"/>
      <c r="AG258" s="176"/>
      <c r="AH258" s="176"/>
      <c r="AI258" s="176"/>
      <c r="AJ258" s="176"/>
      <c r="AK258" s="176"/>
      <c r="AL258" s="176"/>
      <c r="AM258" s="176"/>
      <c r="AN258" s="176"/>
      <c r="AO258" s="176"/>
      <c r="AP258" s="176"/>
      <c r="AQ258" s="176"/>
      <c r="AR258" s="176"/>
      <c r="AS258" s="176"/>
      <c r="AT258" s="176"/>
      <c r="AU258" s="176"/>
      <c r="AV258" s="176"/>
      <c r="AW258" s="176"/>
      <c r="AX258" s="176"/>
      <c r="AY258" s="176"/>
      <c r="AZ258" s="176"/>
      <c r="BA258" s="176"/>
      <c r="BB258" s="176"/>
      <c r="BC258" s="176"/>
      <c r="BD258" s="176"/>
    </row>
    <row r="259" ht="15.75" customHeight="1">
      <c r="A259" s="176"/>
      <c r="B259" s="176"/>
      <c r="C259" s="176"/>
      <c r="D259" s="176"/>
      <c r="E259" s="176"/>
      <c r="F259" s="176"/>
      <c r="G259" s="178"/>
      <c r="H259" s="176"/>
      <c r="I259" s="176"/>
      <c r="J259" s="176"/>
      <c r="K259" s="176"/>
      <c r="L259" s="176"/>
      <c r="M259" s="176"/>
      <c r="N259" s="176"/>
      <c r="O259" s="176"/>
      <c r="P259" s="176"/>
      <c r="Q259" s="176"/>
      <c r="R259" s="176"/>
      <c r="S259" s="176"/>
      <c r="T259" s="176"/>
      <c r="U259" s="176"/>
      <c r="V259" s="176"/>
      <c r="W259" s="176"/>
      <c r="X259" s="176"/>
      <c r="Y259" s="176"/>
      <c r="Z259" s="176"/>
      <c r="AA259" s="176"/>
      <c r="AB259" s="176"/>
      <c r="AC259" s="176"/>
      <c r="AD259" s="176"/>
      <c r="AE259" s="176"/>
      <c r="AF259" s="176"/>
      <c r="AG259" s="176"/>
      <c r="AH259" s="176"/>
      <c r="AI259" s="176"/>
      <c r="AJ259" s="176"/>
      <c r="AK259" s="176"/>
      <c r="AL259" s="176"/>
      <c r="AM259" s="176"/>
      <c r="AN259" s="176"/>
      <c r="AO259" s="176"/>
      <c r="AP259" s="176"/>
      <c r="AQ259" s="176"/>
      <c r="AR259" s="176"/>
      <c r="AS259" s="176"/>
      <c r="AT259" s="176"/>
      <c r="AU259" s="176"/>
      <c r="AV259" s="176"/>
      <c r="AW259" s="176"/>
      <c r="AX259" s="176"/>
      <c r="AY259" s="176"/>
      <c r="AZ259" s="176"/>
      <c r="BA259" s="176"/>
      <c r="BB259" s="176"/>
      <c r="BC259" s="176"/>
      <c r="BD259" s="176"/>
    </row>
    <row r="260" ht="15.75" customHeight="1">
      <c r="A260" s="176"/>
      <c r="B260" s="176"/>
      <c r="C260" s="176"/>
      <c r="D260" s="176"/>
      <c r="E260" s="176"/>
      <c r="F260" s="176"/>
      <c r="G260" s="178"/>
      <c r="H260" s="176"/>
      <c r="I260" s="176"/>
      <c r="J260" s="176"/>
      <c r="K260" s="176"/>
      <c r="L260" s="176"/>
      <c r="M260" s="176"/>
      <c r="N260" s="176"/>
      <c r="O260" s="176"/>
      <c r="P260" s="176"/>
      <c r="Q260" s="176"/>
      <c r="R260" s="176"/>
      <c r="S260" s="176"/>
      <c r="T260" s="176"/>
      <c r="U260" s="176"/>
      <c r="V260" s="176"/>
      <c r="W260" s="176"/>
      <c r="X260" s="176"/>
      <c r="Y260" s="176"/>
      <c r="Z260" s="176"/>
      <c r="AA260" s="176"/>
      <c r="AB260" s="176"/>
      <c r="AC260" s="176"/>
      <c r="AD260" s="176"/>
      <c r="AE260" s="176"/>
      <c r="AF260" s="176"/>
      <c r="AG260" s="176"/>
      <c r="AH260" s="176"/>
      <c r="AI260" s="176"/>
      <c r="AJ260" s="176"/>
      <c r="AK260" s="176"/>
      <c r="AL260" s="176"/>
      <c r="AM260" s="176"/>
      <c r="AN260" s="176"/>
      <c r="AO260" s="176"/>
      <c r="AP260" s="176"/>
      <c r="AQ260" s="176"/>
      <c r="AR260" s="176"/>
      <c r="AS260" s="176"/>
      <c r="AT260" s="176"/>
      <c r="AU260" s="176"/>
      <c r="AV260" s="176"/>
      <c r="AW260" s="176"/>
      <c r="AX260" s="176"/>
      <c r="AY260" s="176"/>
      <c r="AZ260" s="176"/>
      <c r="BA260" s="176"/>
      <c r="BB260" s="176"/>
      <c r="BC260" s="176"/>
      <c r="BD260" s="176"/>
    </row>
    <row r="261" ht="15.75" customHeight="1">
      <c r="A261" s="176"/>
      <c r="B261" s="176"/>
      <c r="C261" s="176"/>
      <c r="D261" s="176"/>
      <c r="E261" s="176"/>
      <c r="F261" s="176"/>
      <c r="G261" s="178"/>
      <c r="H261" s="176"/>
      <c r="I261" s="176"/>
      <c r="J261" s="176"/>
      <c r="K261" s="176"/>
      <c r="L261" s="176"/>
      <c r="M261" s="176"/>
      <c r="N261" s="176"/>
      <c r="O261" s="176"/>
      <c r="P261" s="176"/>
      <c r="Q261" s="176"/>
      <c r="R261" s="176"/>
      <c r="S261" s="176"/>
      <c r="T261" s="176"/>
      <c r="U261" s="176"/>
      <c r="V261" s="176"/>
      <c r="W261" s="176"/>
      <c r="X261" s="176"/>
      <c r="Y261" s="176"/>
      <c r="Z261" s="176"/>
      <c r="AA261" s="176"/>
      <c r="AB261" s="176"/>
      <c r="AC261" s="176"/>
      <c r="AD261" s="176"/>
      <c r="AE261" s="176"/>
      <c r="AF261" s="176"/>
      <c r="AG261" s="176"/>
      <c r="AH261" s="176"/>
      <c r="AI261" s="176"/>
      <c r="AJ261" s="176"/>
      <c r="AK261" s="176"/>
      <c r="AL261" s="176"/>
      <c r="AM261" s="176"/>
      <c r="AN261" s="176"/>
      <c r="AO261" s="176"/>
      <c r="AP261" s="176"/>
      <c r="AQ261" s="176"/>
      <c r="AR261" s="176"/>
      <c r="AS261" s="176"/>
      <c r="AT261" s="176"/>
      <c r="AU261" s="176"/>
      <c r="AV261" s="176"/>
      <c r="AW261" s="176"/>
      <c r="AX261" s="176"/>
      <c r="AY261" s="176"/>
      <c r="AZ261" s="176"/>
      <c r="BA261" s="176"/>
      <c r="BB261" s="176"/>
      <c r="BC261" s="176"/>
      <c r="BD261" s="176"/>
    </row>
    <row r="262" ht="15.75" customHeight="1">
      <c r="A262" s="176"/>
      <c r="B262" s="176"/>
      <c r="C262" s="176"/>
      <c r="D262" s="176"/>
      <c r="E262" s="176"/>
      <c r="F262" s="176"/>
      <c r="G262" s="178"/>
      <c r="H262" s="176"/>
      <c r="I262" s="176"/>
      <c r="J262" s="176"/>
      <c r="K262" s="176"/>
      <c r="L262" s="176"/>
      <c r="M262" s="176"/>
      <c r="N262" s="176"/>
      <c r="O262" s="176"/>
      <c r="P262" s="176"/>
      <c r="Q262" s="176"/>
      <c r="R262" s="176"/>
      <c r="S262" s="176"/>
      <c r="T262" s="176"/>
      <c r="U262" s="176"/>
      <c r="V262" s="176"/>
      <c r="W262" s="176"/>
      <c r="X262" s="176"/>
      <c r="Y262" s="176"/>
      <c r="Z262" s="176"/>
      <c r="AA262" s="176"/>
      <c r="AB262" s="176"/>
      <c r="AC262" s="176"/>
      <c r="AD262" s="176"/>
      <c r="AE262" s="176"/>
      <c r="AF262" s="176"/>
      <c r="AG262" s="176"/>
      <c r="AH262" s="176"/>
      <c r="AI262" s="176"/>
      <c r="AJ262" s="176"/>
      <c r="AK262" s="176"/>
      <c r="AL262" s="176"/>
      <c r="AM262" s="176"/>
      <c r="AN262" s="176"/>
      <c r="AO262" s="176"/>
      <c r="AP262" s="176"/>
      <c r="AQ262" s="176"/>
      <c r="AR262" s="176"/>
      <c r="AS262" s="176"/>
      <c r="AT262" s="176"/>
      <c r="AU262" s="176"/>
      <c r="AV262" s="176"/>
      <c r="AW262" s="176"/>
      <c r="AX262" s="176"/>
      <c r="AY262" s="176"/>
      <c r="AZ262" s="176"/>
      <c r="BA262" s="176"/>
      <c r="BB262" s="176"/>
      <c r="BC262" s="176"/>
      <c r="BD262" s="176"/>
    </row>
    <row r="263" ht="15.75" customHeight="1">
      <c r="A263" s="176"/>
      <c r="B263" s="176"/>
      <c r="C263" s="176"/>
      <c r="D263" s="176"/>
      <c r="E263" s="176"/>
      <c r="F263" s="176"/>
      <c r="G263" s="178"/>
      <c r="H263" s="176"/>
      <c r="I263" s="176"/>
      <c r="J263" s="176"/>
      <c r="K263" s="176"/>
      <c r="L263" s="176"/>
      <c r="M263" s="176"/>
      <c r="N263" s="176"/>
      <c r="O263" s="176"/>
      <c r="P263" s="176"/>
      <c r="Q263" s="176"/>
      <c r="R263" s="176"/>
      <c r="S263" s="176"/>
      <c r="T263" s="176"/>
      <c r="U263" s="176"/>
      <c r="V263" s="176"/>
      <c r="W263" s="176"/>
      <c r="X263" s="176"/>
      <c r="Y263" s="176"/>
      <c r="Z263" s="176"/>
      <c r="AA263" s="176"/>
      <c r="AB263" s="176"/>
      <c r="AC263" s="176"/>
      <c r="AD263" s="176"/>
      <c r="AE263" s="176"/>
      <c r="AF263" s="176"/>
      <c r="AG263" s="176"/>
      <c r="AH263" s="176"/>
      <c r="AI263" s="176"/>
      <c r="AJ263" s="176"/>
      <c r="AK263" s="176"/>
      <c r="AL263" s="176"/>
      <c r="AM263" s="176"/>
      <c r="AN263" s="176"/>
      <c r="AO263" s="176"/>
      <c r="AP263" s="176"/>
      <c r="AQ263" s="176"/>
      <c r="AR263" s="176"/>
      <c r="AS263" s="176"/>
      <c r="AT263" s="176"/>
      <c r="AU263" s="176"/>
      <c r="AV263" s="176"/>
      <c r="AW263" s="176"/>
      <c r="AX263" s="176"/>
      <c r="AY263" s="176"/>
      <c r="AZ263" s="176"/>
      <c r="BA263" s="176"/>
      <c r="BB263" s="176"/>
      <c r="BC263" s="176"/>
      <c r="BD263" s="176"/>
    </row>
    <row r="264" ht="15.75" customHeight="1">
      <c r="A264" s="176"/>
      <c r="B264" s="176"/>
      <c r="C264" s="176"/>
      <c r="D264" s="176"/>
      <c r="E264" s="176"/>
      <c r="F264" s="176"/>
      <c r="G264" s="178"/>
      <c r="H264" s="176"/>
      <c r="I264" s="176"/>
      <c r="J264" s="176"/>
      <c r="K264" s="176"/>
      <c r="L264" s="176"/>
      <c r="M264" s="176"/>
      <c r="N264" s="176"/>
      <c r="O264" s="176"/>
      <c r="P264" s="176"/>
      <c r="Q264" s="176"/>
      <c r="R264" s="176"/>
      <c r="S264" s="176"/>
      <c r="T264" s="176"/>
      <c r="U264" s="176"/>
      <c r="V264" s="176"/>
      <c r="W264" s="176"/>
      <c r="X264" s="176"/>
      <c r="Y264" s="176"/>
      <c r="Z264" s="176"/>
      <c r="AA264" s="176"/>
      <c r="AB264" s="176"/>
      <c r="AC264" s="176"/>
      <c r="AD264" s="176"/>
      <c r="AE264" s="176"/>
      <c r="AF264" s="176"/>
      <c r="AG264" s="176"/>
      <c r="AH264" s="176"/>
      <c r="AI264" s="176"/>
      <c r="AJ264" s="176"/>
      <c r="AK264" s="176"/>
      <c r="AL264" s="176"/>
      <c r="AM264" s="176"/>
      <c r="AN264" s="176"/>
      <c r="AO264" s="176"/>
      <c r="AP264" s="176"/>
      <c r="AQ264" s="176"/>
      <c r="AR264" s="176"/>
      <c r="AS264" s="176"/>
      <c r="AT264" s="176"/>
      <c r="AU264" s="176"/>
      <c r="AV264" s="176"/>
      <c r="AW264" s="176"/>
      <c r="AX264" s="176"/>
      <c r="AY264" s="176"/>
      <c r="AZ264" s="176"/>
      <c r="BA264" s="176"/>
      <c r="BB264" s="176"/>
      <c r="BC264" s="176"/>
      <c r="BD264" s="176"/>
    </row>
    <row r="265" ht="15.75" customHeight="1">
      <c r="A265" s="176"/>
      <c r="B265" s="176"/>
      <c r="C265" s="176"/>
      <c r="D265" s="176"/>
      <c r="E265" s="176"/>
      <c r="F265" s="176"/>
      <c r="G265" s="178"/>
      <c r="H265" s="176"/>
      <c r="I265" s="176"/>
      <c r="J265" s="176"/>
      <c r="K265" s="176"/>
      <c r="L265" s="176"/>
      <c r="M265" s="176"/>
      <c r="N265" s="176"/>
      <c r="O265" s="176"/>
      <c r="P265" s="176"/>
      <c r="Q265" s="176"/>
      <c r="R265" s="176"/>
      <c r="S265" s="176"/>
      <c r="T265" s="176"/>
      <c r="U265" s="176"/>
      <c r="V265" s="176"/>
      <c r="W265" s="176"/>
      <c r="X265" s="176"/>
      <c r="Y265" s="176"/>
      <c r="Z265" s="176"/>
      <c r="AA265" s="176"/>
      <c r="AB265" s="176"/>
      <c r="AC265" s="176"/>
      <c r="AD265" s="176"/>
      <c r="AE265" s="176"/>
      <c r="AF265" s="176"/>
      <c r="AG265" s="176"/>
      <c r="AH265" s="176"/>
      <c r="AI265" s="176"/>
      <c r="AJ265" s="176"/>
      <c r="AK265" s="176"/>
      <c r="AL265" s="176"/>
      <c r="AM265" s="176"/>
      <c r="AN265" s="176"/>
      <c r="AO265" s="176"/>
      <c r="AP265" s="176"/>
      <c r="AQ265" s="176"/>
      <c r="AR265" s="176"/>
      <c r="AS265" s="176"/>
      <c r="AT265" s="176"/>
      <c r="AU265" s="176"/>
      <c r="AV265" s="176"/>
      <c r="AW265" s="176"/>
      <c r="AX265" s="176"/>
      <c r="AY265" s="176"/>
      <c r="AZ265" s="176"/>
      <c r="BA265" s="176"/>
      <c r="BB265" s="176"/>
      <c r="BC265" s="176"/>
      <c r="BD265" s="176"/>
    </row>
    <row r="266" ht="15.75" customHeight="1">
      <c r="A266" s="176"/>
      <c r="B266" s="176"/>
      <c r="C266" s="176"/>
      <c r="D266" s="176"/>
      <c r="E266" s="176"/>
      <c r="F266" s="176"/>
      <c r="G266" s="178"/>
      <c r="H266" s="176"/>
      <c r="I266" s="176"/>
      <c r="J266" s="176"/>
      <c r="K266" s="176"/>
      <c r="L266" s="176"/>
      <c r="M266" s="176"/>
      <c r="N266" s="176"/>
      <c r="O266" s="176"/>
      <c r="P266" s="176"/>
      <c r="Q266" s="176"/>
      <c r="R266" s="176"/>
      <c r="S266" s="176"/>
      <c r="T266" s="176"/>
      <c r="U266" s="176"/>
      <c r="V266" s="176"/>
      <c r="W266" s="176"/>
      <c r="X266" s="176"/>
      <c r="Y266" s="176"/>
      <c r="Z266" s="176"/>
      <c r="AA266" s="176"/>
      <c r="AB266" s="176"/>
      <c r="AC266" s="176"/>
      <c r="AD266" s="176"/>
      <c r="AE266" s="176"/>
      <c r="AF266" s="176"/>
      <c r="AG266" s="176"/>
      <c r="AH266" s="176"/>
      <c r="AI266" s="176"/>
      <c r="AJ266" s="176"/>
      <c r="AK266" s="176"/>
      <c r="AL266" s="176"/>
      <c r="AM266" s="176"/>
      <c r="AN266" s="176"/>
      <c r="AO266" s="176"/>
      <c r="AP266" s="176"/>
      <c r="AQ266" s="176"/>
      <c r="AR266" s="176"/>
      <c r="AS266" s="176"/>
      <c r="AT266" s="176"/>
      <c r="AU266" s="176"/>
      <c r="AV266" s="176"/>
      <c r="AW266" s="176"/>
      <c r="AX266" s="176"/>
      <c r="AY266" s="176"/>
      <c r="AZ266" s="176"/>
      <c r="BA266" s="176"/>
      <c r="BB266" s="176"/>
      <c r="BC266" s="176"/>
      <c r="BD266" s="176"/>
    </row>
    <row r="267" ht="15.75" customHeight="1">
      <c r="A267" s="176"/>
      <c r="B267" s="176"/>
      <c r="C267" s="176"/>
      <c r="D267" s="176"/>
      <c r="E267" s="176"/>
      <c r="F267" s="176"/>
      <c r="G267" s="178"/>
      <c r="H267" s="176"/>
      <c r="I267" s="176"/>
      <c r="J267" s="176"/>
      <c r="K267" s="176"/>
      <c r="L267" s="176"/>
      <c r="M267" s="176"/>
      <c r="N267" s="176"/>
      <c r="O267" s="176"/>
      <c r="P267" s="176"/>
      <c r="Q267" s="176"/>
      <c r="R267" s="176"/>
      <c r="S267" s="176"/>
      <c r="T267" s="176"/>
      <c r="U267" s="176"/>
      <c r="V267" s="176"/>
      <c r="W267" s="176"/>
      <c r="X267" s="176"/>
      <c r="Y267" s="176"/>
      <c r="Z267" s="176"/>
      <c r="AA267" s="176"/>
      <c r="AB267" s="176"/>
      <c r="AC267" s="176"/>
      <c r="AD267" s="176"/>
      <c r="AE267" s="176"/>
      <c r="AF267" s="176"/>
      <c r="AG267" s="176"/>
      <c r="AH267" s="176"/>
      <c r="AI267" s="176"/>
      <c r="AJ267" s="176"/>
      <c r="AK267" s="176"/>
      <c r="AL267" s="176"/>
      <c r="AM267" s="176"/>
      <c r="AN267" s="176"/>
      <c r="AO267" s="176"/>
      <c r="AP267" s="176"/>
      <c r="AQ267" s="176"/>
      <c r="AR267" s="176"/>
      <c r="AS267" s="176"/>
      <c r="AT267" s="176"/>
      <c r="AU267" s="176"/>
      <c r="AV267" s="176"/>
      <c r="AW267" s="176"/>
      <c r="AX267" s="176"/>
      <c r="AY267" s="176"/>
      <c r="AZ267" s="176"/>
      <c r="BA267" s="176"/>
      <c r="BB267" s="176"/>
      <c r="BC267" s="176"/>
      <c r="BD267" s="176"/>
    </row>
    <row r="268" ht="15.75" customHeight="1">
      <c r="A268" s="176"/>
      <c r="B268" s="176"/>
      <c r="C268" s="176"/>
      <c r="D268" s="176"/>
      <c r="E268" s="176"/>
      <c r="F268" s="176"/>
      <c r="G268" s="178"/>
      <c r="H268" s="176"/>
      <c r="I268" s="176"/>
      <c r="J268" s="176"/>
      <c r="K268" s="176"/>
      <c r="L268" s="176"/>
      <c r="M268" s="176"/>
      <c r="N268" s="176"/>
      <c r="O268" s="176"/>
      <c r="P268" s="176"/>
      <c r="Q268" s="176"/>
      <c r="R268" s="176"/>
      <c r="S268" s="176"/>
      <c r="T268" s="176"/>
      <c r="U268" s="176"/>
      <c r="V268" s="176"/>
      <c r="W268" s="176"/>
      <c r="X268" s="176"/>
      <c r="Y268" s="176"/>
      <c r="Z268" s="176"/>
      <c r="AA268" s="176"/>
      <c r="AB268" s="176"/>
      <c r="AC268" s="176"/>
      <c r="AD268" s="176"/>
      <c r="AE268" s="176"/>
      <c r="AF268" s="176"/>
      <c r="AG268" s="176"/>
      <c r="AH268" s="176"/>
      <c r="AI268" s="176"/>
      <c r="AJ268" s="176"/>
      <c r="AK268" s="176"/>
      <c r="AL268" s="176"/>
      <c r="AM268" s="176"/>
      <c r="AN268" s="176"/>
      <c r="AO268" s="176"/>
      <c r="AP268" s="176"/>
      <c r="AQ268" s="176"/>
      <c r="AR268" s="176"/>
      <c r="AS268" s="176"/>
      <c r="AT268" s="176"/>
      <c r="AU268" s="176"/>
      <c r="AV268" s="176"/>
      <c r="AW268" s="176"/>
      <c r="AX268" s="176"/>
      <c r="AY268" s="176"/>
      <c r="AZ268" s="176"/>
      <c r="BA268" s="176"/>
      <c r="BB268" s="176"/>
      <c r="BC268" s="176"/>
      <c r="BD268" s="176"/>
    </row>
    <row r="269" ht="15.75" customHeight="1">
      <c r="A269" s="176"/>
      <c r="B269" s="176"/>
      <c r="C269" s="176"/>
      <c r="D269" s="176"/>
      <c r="E269" s="176"/>
      <c r="F269" s="176"/>
      <c r="G269" s="178"/>
      <c r="H269" s="176"/>
      <c r="I269" s="176"/>
      <c r="J269" s="176"/>
      <c r="K269" s="176"/>
      <c r="L269" s="176"/>
      <c r="M269" s="176"/>
      <c r="N269" s="176"/>
      <c r="O269" s="176"/>
      <c r="P269" s="176"/>
      <c r="Q269" s="176"/>
      <c r="R269" s="176"/>
      <c r="S269" s="176"/>
      <c r="T269" s="176"/>
      <c r="U269" s="176"/>
      <c r="V269" s="176"/>
      <c r="W269" s="176"/>
      <c r="X269" s="176"/>
      <c r="Y269" s="176"/>
      <c r="Z269" s="176"/>
      <c r="AA269" s="176"/>
      <c r="AB269" s="176"/>
      <c r="AC269" s="176"/>
      <c r="AD269" s="176"/>
      <c r="AE269" s="176"/>
      <c r="AF269" s="176"/>
      <c r="AG269" s="176"/>
      <c r="AH269" s="176"/>
      <c r="AI269" s="176"/>
      <c r="AJ269" s="176"/>
      <c r="AK269" s="176"/>
      <c r="AL269" s="176"/>
      <c r="AM269" s="176"/>
      <c r="AN269" s="176"/>
      <c r="AO269" s="176"/>
      <c r="AP269" s="176"/>
      <c r="AQ269" s="176"/>
      <c r="AR269" s="176"/>
      <c r="AS269" s="176"/>
      <c r="AT269" s="176"/>
      <c r="AU269" s="176"/>
      <c r="AV269" s="176"/>
      <c r="AW269" s="176"/>
      <c r="AX269" s="176"/>
      <c r="AY269" s="176"/>
      <c r="AZ269" s="176"/>
      <c r="BA269" s="176"/>
      <c r="BB269" s="176"/>
      <c r="BC269" s="176"/>
      <c r="BD269" s="176"/>
    </row>
    <row r="270" ht="15.75" customHeight="1">
      <c r="A270" s="176"/>
      <c r="B270" s="176"/>
      <c r="C270" s="176"/>
      <c r="D270" s="176"/>
      <c r="E270" s="176"/>
      <c r="F270" s="176"/>
      <c r="G270" s="178"/>
      <c r="H270" s="176"/>
      <c r="I270" s="176"/>
      <c r="J270" s="176"/>
      <c r="K270" s="176"/>
      <c r="L270" s="176"/>
      <c r="M270" s="176"/>
      <c r="N270" s="176"/>
      <c r="O270" s="176"/>
      <c r="P270" s="176"/>
      <c r="Q270" s="176"/>
      <c r="R270" s="176"/>
      <c r="S270" s="176"/>
      <c r="T270" s="176"/>
      <c r="U270" s="176"/>
      <c r="V270" s="176"/>
      <c r="W270" s="176"/>
      <c r="X270" s="176"/>
      <c r="Y270" s="176"/>
      <c r="Z270" s="176"/>
      <c r="AA270" s="176"/>
      <c r="AB270" s="176"/>
      <c r="AC270" s="176"/>
      <c r="AD270" s="176"/>
      <c r="AE270" s="176"/>
      <c r="AF270" s="176"/>
      <c r="AG270" s="176"/>
      <c r="AH270" s="176"/>
      <c r="AI270" s="176"/>
      <c r="AJ270" s="176"/>
      <c r="AK270" s="176"/>
      <c r="AL270" s="176"/>
      <c r="AM270" s="176"/>
      <c r="AN270" s="176"/>
      <c r="AO270" s="176"/>
      <c r="AP270" s="176"/>
      <c r="AQ270" s="176"/>
      <c r="AR270" s="176"/>
      <c r="AS270" s="176"/>
      <c r="AT270" s="176"/>
      <c r="AU270" s="176"/>
      <c r="AV270" s="176"/>
      <c r="AW270" s="176"/>
      <c r="AX270" s="176"/>
      <c r="AY270" s="176"/>
      <c r="AZ270" s="176"/>
      <c r="BA270" s="176"/>
      <c r="BB270" s="176"/>
      <c r="BC270" s="176"/>
      <c r="BD270" s="176"/>
    </row>
    <row r="271" ht="15.75" customHeight="1">
      <c r="A271" s="176"/>
      <c r="B271" s="176"/>
      <c r="C271" s="176"/>
      <c r="D271" s="176"/>
      <c r="E271" s="176"/>
      <c r="F271" s="176"/>
      <c r="G271" s="178"/>
      <c r="H271" s="176"/>
      <c r="I271" s="176"/>
      <c r="J271" s="176"/>
      <c r="K271" s="176"/>
      <c r="L271" s="176"/>
      <c r="M271" s="176"/>
      <c r="N271" s="176"/>
      <c r="O271" s="176"/>
      <c r="P271" s="176"/>
      <c r="Q271" s="176"/>
      <c r="R271" s="176"/>
      <c r="S271" s="176"/>
      <c r="T271" s="176"/>
      <c r="U271" s="176"/>
      <c r="V271" s="176"/>
      <c r="W271" s="176"/>
      <c r="X271" s="176"/>
      <c r="Y271" s="176"/>
      <c r="Z271" s="176"/>
      <c r="AA271" s="176"/>
      <c r="AB271" s="176"/>
      <c r="AC271" s="176"/>
      <c r="AD271" s="176"/>
      <c r="AE271" s="176"/>
      <c r="AF271" s="176"/>
      <c r="AG271" s="176"/>
      <c r="AH271" s="176"/>
      <c r="AI271" s="176"/>
      <c r="AJ271" s="176"/>
      <c r="AK271" s="176"/>
      <c r="AL271" s="176"/>
      <c r="AM271" s="176"/>
      <c r="AN271" s="176"/>
      <c r="AO271" s="176"/>
      <c r="AP271" s="176"/>
      <c r="AQ271" s="176"/>
      <c r="AR271" s="176"/>
      <c r="AS271" s="176"/>
      <c r="AT271" s="176"/>
      <c r="AU271" s="176"/>
      <c r="AV271" s="176"/>
      <c r="AW271" s="176"/>
      <c r="AX271" s="176"/>
      <c r="AY271" s="176"/>
      <c r="AZ271" s="176"/>
      <c r="BA271" s="176"/>
      <c r="BB271" s="176"/>
      <c r="BC271" s="176"/>
      <c r="BD271" s="176"/>
    </row>
    <row r="272" ht="15.75" customHeight="1">
      <c r="A272" s="176"/>
      <c r="B272" s="176"/>
      <c r="C272" s="176"/>
      <c r="D272" s="176"/>
      <c r="E272" s="176"/>
      <c r="F272" s="176"/>
      <c r="G272" s="178"/>
      <c r="H272" s="176"/>
      <c r="I272" s="176"/>
      <c r="J272" s="176"/>
      <c r="K272" s="176"/>
      <c r="L272" s="176"/>
      <c r="M272" s="176"/>
      <c r="N272" s="176"/>
      <c r="O272" s="176"/>
      <c r="P272" s="176"/>
      <c r="Q272" s="176"/>
      <c r="R272" s="176"/>
      <c r="S272" s="176"/>
      <c r="T272" s="176"/>
      <c r="U272" s="176"/>
      <c r="V272" s="176"/>
      <c r="W272" s="176"/>
      <c r="X272" s="176"/>
      <c r="Y272" s="176"/>
      <c r="Z272" s="176"/>
      <c r="AA272" s="176"/>
      <c r="AB272" s="176"/>
      <c r="AC272" s="176"/>
      <c r="AD272" s="176"/>
      <c r="AE272" s="176"/>
      <c r="AF272" s="176"/>
      <c r="AG272" s="176"/>
      <c r="AH272" s="176"/>
      <c r="AI272" s="176"/>
      <c r="AJ272" s="176"/>
      <c r="AK272" s="176"/>
      <c r="AL272" s="176"/>
      <c r="AM272" s="176"/>
      <c r="AN272" s="176"/>
      <c r="AO272" s="176"/>
      <c r="AP272" s="176"/>
      <c r="AQ272" s="176"/>
      <c r="AR272" s="176"/>
      <c r="AS272" s="176"/>
      <c r="AT272" s="176"/>
      <c r="AU272" s="176"/>
      <c r="AV272" s="176"/>
      <c r="AW272" s="176"/>
      <c r="AX272" s="176"/>
      <c r="AY272" s="176"/>
      <c r="AZ272" s="176"/>
      <c r="BA272" s="176"/>
      <c r="BB272" s="176"/>
      <c r="BC272" s="176"/>
      <c r="BD272" s="176"/>
    </row>
    <row r="273" ht="15.75" customHeight="1">
      <c r="A273" s="176"/>
      <c r="B273" s="176"/>
      <c r="C273" s="176"/>
      <c r="D273" s="176"/>
      <c r="E273" s="176"/>
      <c r="F273" s="176"/>
      <c r="G273" s="178"/>
      <c r="H273" s="176"/>
      <c r="I273" s="176"/>
      <c r="J273" s="176"/>
      <c r="K273" s="176"/>
      <c r="L273" s="176"/>
      <c r="M273" s="176"/>
      <c r="N273" s="176"/>
      <c r="O273" s="176"/>
      <c r="P273" s="176"/>
      <c r="Q273" s="176"/>
      <c r="R273" s="176"/>
      <c r="S273" s="176"/>
      <c r="T273" s="176"/>
      <c r="U273" s="176"/>
      <c r="V273" s="176"/>
      <c r="W273" s="176"/>
      <c r="X273" s="176"/>
      <c r="Y273" s="176"/>
      <c r="Z273" s="176"/>
      <c r="AA273" s="176"/>
      <c r="AB273" s="176"/>
      <c r="AC273" s="176"/>
      <c r="AD273" s="176"/>
      <c r="AE273" s="176"/>
      <c r="AF273" s="176"/>
      <c r="AG273" s="176"/>
      <c r="AH273" s="176"/>
      <c r="AI273" s="176"/>
      <c r="AJ273" s="176"/>
      <c r="AK273" s="176"/>
      <c r="AL273" s="176"/>
      <c r="AM273" s="176"/>
      <c r="AN273" s="176"/>
      <c r="AO273" s="176"/>
      <c r="AP273" s="176"/>
      <c r="AQ273" s="176"/>
      <c r="AR273" s="176"/>
      <c r="AS273" s="176"/>
      <c r="AT273" s="176"/>
      <c r="AU273" s="176"/>
      <c r="AV273" s="176"/>
      <c r="AW273" s="176"/>
      <c r="AX273" s="176"/>
      <c r="AY273" s="176"/>
      <c r="AZ273" s="176"/>
      <c r="BA273" s="176"/>
      <c r="BB273" s="176"/>
      <c r="BC273" s="176"/>
      <c r="BD273" s="176"/>
    </row>
    <row r="274" ht="15.75" customHeight="1">
      <c r="A274" s="176"/>
      <c r="B274" s="176"/>
      <c r="C274" s="176"/>
      <c r="D274" s="176"/>
      <c r="E274" s="176"/>
      <c r="F274" s="176"/>
      <c r="G274" s="178"/>
      <c r="H274" s="176"/>
      <c r="I274" s="176"/>
      <c r="J274" s="176"/>
      <c r="K274" s="176"/>
      <c r="L274" s="176"/>
      <c r="M274" s="176"/>
      <c r="N274" s="176"/>
      <c r="O274" s="176"/>
      <c r="P274" s="176"/>
      <c r="Q274" s="176"/>
      <c r="R274" s="176"/>
      <c r="S274" s="176"/>
      <c r="T274" s="176"/>
      <c r="U274" s="176"/>
      <c r="V274" s="176"/>
      <c r="W274" s="176"/>
      <c r="X274" s="176"/>
      <c r="Y274" s="176"/>
      <c r="Z274" s="176"/>
      <c r="AA274" s="176"/>
      <c r="AB274" s="176"/>
      <c r="AC274" s="176"/>
      <c r="AD274" s="176"/>
      <c r="AE274" s="176"/>
      <c r="AF274" s="176"/>
      <c r="AG274" s="176"/>
      <c r="AH274" s="176"/>
      <c r="AI274" s="176"/>
      <c r="AJ274" s="176"/>
      <c r="AK274" s="176"/>
      <c r="AL274" s="176"/>
      <c r="AM274" s="176"/>
      <c r="AN274" s="176"/>
      <c r="AO274" s="176"/>
      <c r="AP274" s="176"/>
      <c r="AQ274" s="176"/>
      <c r="AR274" s="176"/>
      <c r="AS274" s="176"/>
      <c r="AT274" s="176"/>
      <c r="AU274" s="176"/>
      <c r="AV274" s="176"/>
      <c r="AW274" s="176"/>
      <c r="AX274" s="176"/>
      <c r="AY274" s="176"/>
      <c r="AZ274" s="176"/>
      <c r="BA274" s="176"/>
      <c r="BB274" s="176"/>
      <c r="BC274" s="176"/>
      <c r="BD274" s="176"/>
    </row>
    <row r="275" ht="15.75" customHeight="1">
      <c r="A275" s="176"/>
      <c r="B275" s="176"/>
      <c r="C275" s="176"/>
      <c r="D275" s="176"/>
      <c r="E275" s="176"/>
      <c r="F275" s="176"/>
      <c r="G275" s="178"/>
      <c r="H275" s="176"/>
      <c r="I275" s="176"/>
      <c r="J275" s="176"/>
      <c r="K275" s="176"/>
      <c r="L275" s="176"/>
      <c r="M275" s="176"/>
      <c r="N275" s="176"/>
      <c r="O275" s="176"/>
      <c r="P275" s="176"/>
      <c r="Q275" s="176"/>
      <c r="R275" s="176"/>
      <c r="S275" s="176"/>
      <c r="T275" s="176"/>
      <c r="U275" s="176"/>
      <c r="V275" s="176"/>
      <c r="W275" s="176"/>
      <c r="X275" s="176"/>
      <c r="Y275" s="176"/>
      <c r="Z275" s="176"/>
      <c r="AA275" s="176"/>
      <c r="AB275" s="176"/>
      <c r="AC275" s="176"/>
      <c r="AD275" s="176"/>
      <c r="AE275" s="176"/>
      <c r="AF275" s="176"/>
      <c r="AG275" s="176"/>
      <c r="AH275" s="176"/>
      <c r="AI275" s="176"/>
      <c r="AJ275" s="176"/>
      <c r="AK275" s="176"/>
      <c r="AL275" s="176"/>
      <c r="AM275" s="176"/>
      <c r="AN275" s="176"/>
      <c r="AO275" s="176"/>
      <c r="AP275" s="176"/>
      <c r="AQ275" s="176"/>
      <c r="AR275" s="176"/>
      <c r="AS275" s="176"/>
      <c r="AT275" s="176"/>
      <c r="AU275" s="176"/>
      <c r="AV275" s="176"/>
      <c r="AW275" s="176"/>
      <c r="AX275" s="176"/>
      <c r="AY275" s="176"/>
      <c r="AZ275" s="176"/>
      <c r="BA275" s="176"/>
      <c r="BB275" s="176"/>
      <c r="BC275" s="176"/>
      <c r="BD275" s="176"/>
    </row>
    <row r="276" ht="15.75" customHeight="1">
      <c r="A276" s="176"/>
      <c r="B276" s="176"/>
      <c r="C276" s="176"/>
      <c r="D276" s="176"/>
      <c r="E276" s="176"/>
      <c r="F276" s="176"/>
      <c r="G276" s="178"/>
      <c r="H276" s="176"/>
      <c r="I276" s="176"/>
      <c r="J276" s="176"/>
      <c r="K276" s="176"/>
      <c r="L276" s="176"/>
      <c r="M276" s="176"/>
      <c r="N276" s="176"/>
      <c r="O276" s="176"/>
      <c r="P276" s="176"/>
      <c r="Q276" s="176"/>
      <c r="R276" s="176"/>
      <c r="S276" s="176"/>
      <c r="T276" s="176"/>
      <c r="U276" s="176"/>
      <c r="V276" s="176"/>
      <c r="W276" s="176"/>
      <c r="X276" s="176"/>
      <c r="Y276" s="176"/>
      <c r="Z276" s="176"/>
      <c r="AA276" s="176"/>
      <c r="AB276" s="176"/>
      <c r="AC276" s="176"/>
      <c r="AD276" s="176"/>
      <c r="AE276" s="176"/>
      <c r="AF276" s="176"/>
      <c r="AG276" s="176"/>
      <c r="AH276" s="176"/>
      <c r="AI276" s="176"/>
      <c r="AJ276" s="176"/>
      <c r="AK276" s="176"/>
      <c r="AL276" s="176"/>
      <c r="AM276" s="176"/>
      <c r="AN276" s="176"/>
      <c r="AO276" s="176"/>
      <c r="AP276" s="176"/>
      <c r="AQ276" s="176"/>
      <c r="AR276" s="176"/>
      <c r="AS276" s="176"/>
      <c r="AT276" s="176"/>
      <c r="AU276" s="176"/>
      <c r="AV276" s="176"/>
      <c r="AW276" s="176"/>
      <c r="AX276" s="176"/>
      <c r="AY276" s="176"/>
      <c r="AZ276" s="176"/>
      <c r="BA276" s="176"/>
      <c r="BB276" s="176"/>
      <c r="BC276" s="176"/>
      <c r="BD276" s="176"/>
    </row>
    <row r="277" ht="15.75" customHeight="1">
      <c r="A277" s="176"/>
      <c r="B277" s="176"/>
      <c r="C277" s="176"/>
      <c r="D277" s="176"/>
      <c r="E277" s="176"/>
      <c r="F277" s="176"/>
      <c r="G277" s="178"/>
      <c r="H277" s="176"/>
      <c r="I277" s="176"/>
      <c r="J277" s="176"/>
      <c r="K277" s="176"/>
      <c r="L277" s="176"/>
      <c r="M277" s="176"/>
      <c r="N277" s="176"/>
      <c r="O277" s="176"/>
      <c r="P277" s="176"/>
      <c r="Q277" s="176"/>
      <c r="R277" s="176"/>
      <c r="S277" s="176"/>
      <c r="T277" s="176"/>
      <c r="U277" s="176"/>
      <c r="V277" s="176"/>
      <c r="W277" s="176"/>
      <c r="X277" s="176"/>
      <c r="Y277" s="176"/>
      <c r="Z277" s="176"/>
      <c r="AA277" s="176"/>
      <c r="AB277" s="176"/>
      <c r="AC277" s="176"/>
      <c r="AD277" s="176"/>
      <c r="AE277" s="176"/>
      <c r="AF277" s="176"/>
      <c r="AG277" s="176"/>
      <c r="AH277" s="176"/>
      <c r="AI277" s="176"/>
      <c r="AJ277" s="176"/>
      <c r="AK277" s="176"/>
      <c r="AL277" s="176"/>
      <c r="AM277" s="176"/>
      <c r="AN277" s="176"/>
      <c r="AO277" s="176"/>
      <c r="AP277" s="176"/>
      <c r="AQ277" s="176"/>
      <c r="AR277" s="176"/>
      <c r="AS277" s="176"/>
      <c r="AT277" s="176"/>
      <c r="AU277" s="176"/>
      <c r="AV277" s="176"/>
      <c r="AW277" s="176"/>
      <c r="AX277" s="176"/>
      <c r="AY277" s="176"/>
      <c r="AZ277" s="176"/>
      <c r="BA277" s="176"/>
      <c r="BB277" s="176"/>
      <c r="BC277" s="176"/>
      <c r="BD277" s="176"/>
    </row>
    <row r="278" ht="15.75" customHeight="1">
      <c r="A278" s="176"/>
      <c r="B278" s="176"/>
      <c r="C278" s="176"/>
      <c r="D278" s="176"/>
      <c r="E278" s="176"/>
      <c r="F278" s="176"/>
      <c r="G278" s="178"/>
      <c r="H278" s="176"/>
      <c r="I278" s="176"/>
      <c r="J278" s="176"/>
      <c r="K278" s="176"/>
      <c r="L278" s="176"/>
      <c r="M278" s="176"/>
      <c r="N278" s="176"/>
      <c r="O278" s="176"/>
      <c r="P278" s="176"/>
      <c r="Q278" s="176"/>
      <c r="R278" s="176"/>
      <c r="S278" s="176"/>
      <c r="T278" s="176"/>
      <c r="U278" s="176"/>
      <c r="V278" s="176"/>
      <c r="W278" s="176"/>
      <c r="X278" s="176"/>
      <c r="Y278" s="176"/>
      <c r="Z278" s="176"/>
      <c r="AA278" s="176"/>
      <c r="AB278" s="176"/>
      <c r="AC278" s="176"/>
      <c r="AD278" s="176"/>
      <c r="AE278" s="176"/>
      <c r="AF278" s="176"/>
      <c r="AG278" s="176"/>
      <c r="AH278" s="176"/>
      <c r="AI278" s="176"/>
      <c r="AJ278" s="176"/>
      <c r="AK278" s="176"/>
      <c r="AL278" s="176"/>
      <c r="AM278" s="176"/>
      <c r="AN278" s="176"/>
      <c r="AO278" s="176"/>
      <c r="AP278" s="176"/>
      <c r="AQ278" s="176"/>
      <c r="AR278" s="176"/>
      <c r="AS278" s="176"/>
      <c r="AT278" s="176"/>
      <c r="AU278" s="176"/>
      <c r="AV278" s="176"/>
      <c r="AW278" s="176"/>
      <c r="AX278" s="176"/>
      <c r="AY278" s="176"/>
      <c r="AZ278" s="176"/>
      <c r="BA278" s="176"/>
      <c r="BB278" s="176"/>
      <c r="BC278" s="176"/>
      <c r="BD278" s="176"/>
    </row>
    <row r="279" ht="15.75" customHeight="1">
      <c r="A279" s="176"/>
      <c r="B279" s="176"/>
      <c r="C279" s="176"/>
      <c r="D279" s="176"/>
      <c r="E279" s="176"/>
      <c r="F279" s="176"/>
      <c r="G279" s="178"/>
      <c r="H279" s="176"/>
      <c r="I279" s="176"/>
      <c r="J279" s="176"/>
      <c r="K279" s="176"/>
      <c r="L279" s="176"/>
      <c r="M279" s="176"/>
      <c r="N279" s="176"/>
      <c r="O279" s="176"/>
      <c r="P279" s="176"/>
      <c r="Q279" s="176"/>
      <c r="R279" s="176"/>
      <c r="S279" s="176"/>
      <c r="T279" s="176"/>
      <c r="U279" s="176"/>
      <c r="V279" s="176"/>
      <c r="W279" s="176"/>
      <c r="X279" s="176"/>
      <c r="Y279" s="176"/>
      <c r="Z279" s="176"/>
      <c r="AA279" s="176"/>
      <c r="AB279" s="176"/>
      <c r="AC279" s="176"/>
      <c r="AD279" s="176"/>
      <c r="AE279" s="176"/>
      <c r="AF279" s="176"/>
      <c r="AG279" s="176"/>
      <c r="AH279" s="176"/>
      <c r="AI279" s="176"/>
      <c r="AJ279" s="176"/>
      <c r="AK279" s="176"/>
      <c r="AL279" s="176"/>
      <c r="AM279" s="176"/>
      <c r="AN279" s="176"/>
      <c r="AO279" s="176"/>
      <c r="AP279" s="176"/>
      <c r="AQ279" s="176"/>
      <c r="AR279" s="176"/>
      <c r="AS279" s="176"/>
      <c r="AT279" s="176"/>
      <c r="AU279" s="176"/>
      <c r="AV279" s="176"/>
      <c r="AW279" s="176"/>
      <c r="AX279" s="176"/>
      <c r="AY279" s="176"/>
      <c r="AZ279" s="176"/>
      <c r="BA279" s="176"/>
      <c r="BB279" s="176"/>
      <c r="BC279" s="176"/>
      <c r="BD279" s="176"/>
    </row>
    <row r="280" ht="15.75" customHeight="1">
      <c r="A280" s="176"/>
      <c r="B280" s="176"/>
      <c r="C280" s="176"/>
      <c r="D280" s="176"/>
      <c r="E280" s="176"/>
      <c r="F280" s="176"/>
      <c r="G280" s="178"/>
      <c r="H280" s="176"/>
      <c r="I280" s="176"/>
      <c r="J280" s="176"/>
      <c r="K280" s="176"/>
      <c r="L280" s="176"/>
      <c r="M280" s="176"/>
      <c r="N280" s="176"/>
      <c r="O280" s="176"/>
      <c r="P280" s="176"/>
      <c r="Q280" s="176"/>
      <c r="R280" s="176"/>
      <c r="S280" s="176"/>
      <c r="T280" s="176"/>
      <c r="U280" s="176"/>
      <c r="V280" s="176"/>
      <c r="W280" s="176"/>
      <c r="X280" s="176"/>
      <c r="Y280" s="176"/>
      <c r="Z280" s="176"/>
      <c r="AA280" s="176"/>
      <c r="AB280" s="176"/>
      <c r="AC280" s="176"/>
      <c r="AD280" s="176"/>
      <c r="AE280" s="176"/>
      <c r="AF280" s="176"/>
      <c r="AG280" s="176"/>
      <c r="AH280" s="176"/>
      <c r="AI280" s="176"/>
      <c r="AJ280" s="176"/>
      <c r="AK280" s="176"/>
      <c r="AL280" s="176"/>
      <c r="AM280" s="176"/>
      <c r="AN280" s="176"/>
      <c r="AO280" s="176"/>
      <c r="AP280" s="176"/>
      <c r="AQ280" s="176"/>
      <c r="AR280" s="176"/>
      <c r="AS280" s="176"/>
      <c r="AT280" s="176"/>
      <c r="AU280" s="176"/>
      <c r="AV280" s="176"/>
      <c r="AW280" s="176"/>
      <c r="AX280" s="176"/>
      <c r="AY280" s="176"/>
      <c r="AZ280" s="176"/>
      <c r="BA280" s="176"/>
      <c r="BB280" s="176"/>
      <c r="BC280" s="176"/>
      <c r="BD280" s="176"/>
    </row>
    <row r="281" ht="15.75" customHeight="1">
      <c r="A281" s="176"/>
      <c r="B281" s="176"/>
      <c r="C281" s="176"/>
      <c r="D281" s="176"/>
      <c r="E281" s="176"/>
      <c r="F281" s="176"/>
      <c r="G281" s="178"/>
      <c r="H281" s="176"/>
      <c r="I281" s="176"/>
      <c r="J281" s="176"/>
      <c r="K281" s="176"/>
      <c r="L281" s="176"/>
      <c r="M281" s="176"/>
      <c r="N281" s="176"/>
      <c r="O281" s="176"/>
      <c r="P281" s="176"/>
      <c r="Q281" s="176"/>
      <c r="R281" s="176"/>
      <c r="S281" s="176"/>
      <c r="T281" s="176"/>
      <c r="U281" s="176"/>
      <c r="V281" s="176"/>
      <c r="W281" s="176"/>
      <c r="X281" s="176"/>
      <c r="Y281" s="176"/>
      <c r="Z281" s="176"/>
      <c r="AA281" s="176"/>
      <c r="AB281" s="176"/>
      <c r="AC281" s="176"/>
      <c r="AD281" s="176"/>
      <c r="AE281" s="176"/>
      <c r="AF281" s="176"/>
      <c r="AG281" s="176"/>
      <c r="AH281" s="176"/>
      <c r="AI281" s="176"/>
      <c r="AJ281" s="176"/>
      <c r="AK281" s="176"/>
      <c r="AL281" s="176"/>
      <c r="AM281" s="176"/>
      <c r="AN281" s="176"/>
      <c r="AO281" s="176"/>
      <c r="AP281" s="176"/>
      <c r="AQ281" s="176"/>
      <c r="AR281" s="176"/>
      <c r="AS281" s="176"/>
      <c r="AT281" s="176"/>
      <c r="AU281" s="176"/>
      <c r="AV281" s="176"/>
      <c r="AW281" s="176"/>
      <c r="AX281" s="176"/>
      <c r="AY281" s="176"/>
      <c r="AZ281" s="176"/>
      <c r="BA281" s="176"/>
      <c r="BB281" s="176"/>
      <c r="BC281" s="176"/>
      <c r="BD281" s="176"/>
    </row>
    <row r="282" ht="15.75" customHeight="1">
      <c r="A282" s="176"/>
      <c r="B282" s="176"/>
      <c r="C282" s="176"/>
      <c r="D282" s="176"/>
      <c r="E282" s="176"/>
      <c r="F282" s="176"/>
      <c r="G282" s="178"/>
      <c r="H282" s="176"/>
      <c r="I282" s="176"/>
      <c r="J282" s="176"/>
      <c r="K282" s="176"/>
      <c r="L282" s="176"/>
      <c r="M282" s="176"/>
      <c r="N282" s="176"/>
      <c r="O282" s="176"/>
      <c r="P282" s="176"/>
      <c r="Q282" s="176"/>
      <c r="R282" s="176"/>
      <c r="S282" s="176"/>
      <c r="T282" s="176"/>
      <c r="U282" s="176"/>
      <c r="V282" s="176"/>
      <c r="W282" s="176"/>
      <c r="X282" s="176"/>
      <c r="Y282" s="176"/>
      <c r="Z282" s="176"/>
      <c r="AA282" s="176"/>
      <c r="AB282" s="176"/>
      <c r="AC282" s="176"/>
      <c r="AD282" s="176"/>
      <c r="AE282" s="176"/>
      <c r="AF282" s="176"/>
      <c r="AG282" s="176"/>
      <c r="AH282" s="176"/>
      <c r="AI282" s="176"/>
      <c r="AJ282" s="176"/>
      <c r="AK282" s="176"/>
      <c r="AL282" s="176"/>
      <c r="AM282" s="176"/>
      <c r="AN282" s="176"/>
      <c r="AO282" s="176"/>
      <c r="AP282" s="176"/>
      <c r="AQ282" s="176"/>
      <c r="AR282" s="176"/>
      <c r="AS282" s="176"/>
      <c r="AT282" s="176"/>
      <c r="AU282" s="176"/>
      <c r="AV282" s="176"/>
      <c r="AW282" s="176"/>
      <c r="AX282" s="176"/>
      <c r="AY282" s="176"/>
      <c r="AZ282" s="176"/>
      <c r="BA282" s="176"/>
      <c r="BB282" s="176"/>
      <c r="BC282" s="176"/>
      <c r="BD282" s="176"/>
    </row>
    <row r="283" ht="15.75" customHeight="1">
      <c r="A283" s="176"/>
      <c r="B283" s="176"/>
      <c r="C283" s="176"/>
      <c r="D283" s="176"/>
      <c r="E283" s="176"/>
      <c r="F283" s="176"/>
      <c r="G283" s="178"/>
      <c r="H283" s="176"/>
      <c r="I283" s="176"/>
      <c r="J283" s="176"/>
      <c r="K283" s="176"/>
      <c r="L283" s="176"/>
      <c r="M283" s="176"/>
      <c r="N283" s="176"/>
      <c r="O283" s="176"/>
      <c r="P283" s="176"/>
      <c r="Q283" s="176"/>
      <c r="R283" s="176"/>
      <c r="S283" s="176"/>
      <c r="T283" s="176"/>
      <c r="U283" s="176"/>
      <c r="V283" s="176"/>
      <c r="W283" s="176"/>
      <c r="X283" s="176"/>
      <c r="Y283" s="176"/>
      <c r="Z283" s="176"/>
      <c r="AA283" s="176"/>
      <c r="AB283" s="176"/>
      <c r="AC283" s="176"/>
      <c r="AD283" s="176"/>
      <c r="AE283" s="176"/>
      <c r="AF283" s="176"/>
      <c r="AG283" s="176"/>
      <c r="AH283" s="176"/>
      <c r="AI283" s="176"/>
      <c r="AJ283" s="176"/>
      <c r="AK283" s="176"/>
      <c r="AL283" s="176"/>
      <c r="AM283" s="176"/>
      <c r="AN283" s="176"/>
      <c r="AO283" s="176"/>
      <c r="AP283" s="176"/>
      <c r="AQ283" s="176"/>
      <c r="AR283" s="176"/>
      <c r="AS283" s="176"/>
      <c r="AT283" s="176"/>
      <c r="AU283" s="176"/>
      <c r="AV283" s="176"/>
      <c r="AW283" s="176"/>
      <c r="AX283" s="176"/>
      <c r="AY283" s="176"/>
      <c r="AZ283" s="176"/>
      <c r="BA283" s="176"/>
      <c r="BB283" s="176"/>
      <c r="BC283" s="176"/>
      <c r="BD283" s="176"/>
    </row>
    <row r="284" ht="15.75" customHeight="1">
      <c r="A284" s="176"/>
      <c r="B284" s="176"/>
      <c r="C284" s="176"/>
      <c r="D284" s="176"/>
      <c r="E284" s="176"/>
      <c r="F284" s="176"/>
      <c r="G284" s="178"/>
      <c r="H284" s="176"/>
      <c r="I284" s="176"/>
      <c r="J284" s="176"/>
      <c r="K284" s="176"/>
      <c r="L284" s="176"/>
      <c r="M284" s="176"/>
      <c r="N284" s="176"/>
      <c r="O284" s="176"/>
      <c r="P284" s="176"/>
      <c r="Q284" s="176"/>
      <c r="R284" s="176"/>
      <c r="S284" s="176"/>
      <c r="T284" s="176"/>
      <c r="U284" s="176"/>
      <c r="V284" s="176"/>
      <c r="W284" s="176"/>
      <c r="X284" s="176"/>
      <c r="Y284" s="176"/>
      <c r="Z284" s="176"/>
      <c r="AA284" s="176"/>
      <c r="AB284" s="176"/>
      <c r="AC284" s="176"/>
      <c r="AD284" s="176"/>
      <c r="AE284" s="176"/>
      <c r="AF284" s="176"/>
      <c r="AG284" s="176"/>
      <c r="AH284" s="176"/>
      <c r="AI284" s="176"/>
      <c r="AJ284" s="176"/>
      <c r="AK284" s="176"/>
      <c r="AL284" s="176"/>
      <c r="AM284" s="176"/>
      <c r="AN284" s="176"/>
      <c r="AO284" s="176"/>
      <c r="AP284" s="176"/>
      <c r="AQ284" s="176"/>
      <c r="AR284" s="176"/>
      <c r="AS284" s="176"/>
      <c r="AT284" s="176"/>
      <c r="AU284" s="176"/>
      <c r="AV284" s="176"/>
      <c r="AW284" s="176"/>
      <c r="AX284" s="176"/>
      <c r="AY284" s="176"/>
      <c r="AZ284" s="176"/>
      <c r="BA284" s="176"/>
      <c r="BB284" s="176"/>
      <c r="BC284" s="176"/>
      <c r="BD284" s="176"/>
    </row>
    <row r="285" ht="15.75" customHeight="1">
      <c r="A285" s="176"/>
      <c r="B285" s="176"/>
      <c r="C285" s="176"/>
      <c r="D285" s="176"/>
      <c r="E285" s="176"/>
      <c r="F285" s="176"/>
      <c r="G285" s="178"/>
      <c r="H285" s="176"/>
      <c r="I285" s="176"/>
      <c r="J285" s="176"/>
      <c r="K285" s="176"/>
      <c r="L285" s="176"/>
      <c r="M285" s="176"/>
      <c r="N285" s="176"/>
      <c r="O285" s="176"/>
      <c r="P285" s="176"/>
      <c r="Q285" s="176"/>
      <c r="R285" s="176"/>
      <c r="S285" s="176"/>
      <c r="T285" s="176"/>
      <c r="U285" s="176"/>
      <c r="V285" s="176"/>
      <c r="W285" s="176"/>
      <c r="X285" s="176"/>
      <c r="Y285" s="176"/>
      <c r="Z285" s="176"/>
      <c r="AA285" s="176"/>
      <c r="AB285" s="176"/>
      <c r="AC285" s="176"/>
      <c r="AD285" s="176"/>
      <c r="AE285" s="176"/>
      <c r="AF285" s="176"/>
      <c r="AG285" s="176"/>
      <c r="AH285" s="176"/>
      <c r="AI285" s="176"/>
      <c r="AJ285" s="176"/>
      <c r="AK285" s="176"/>
      <c r="AL285" s="176"/>
      <c r="AM285" s="176"/>
      <c r="AN285" s="176"/>
      <c r="AO285" s="176"/>
      <c r="AP285" s="176"/>
      <c r="AQ285" s="176"/>
      <c r="AR285" s="176"/>
      <c r="AS285" s="176"/>
      <c r="AT285" s="176"/>
      <c r="AU285" s="176"/>
      <c r="AV285" s="176"/>
      <c r="AW285" s="176"/>
      <c r="AX285" s="176"/>
      <c r="AY285" s="176"/>
      <c r="AZ285" s="176"/>
      <c r="BA285" s="176"/>
      <c r="BB285" s="176"/>
      <c r="BC285" s="176"/>
      <c r="BD285" s="176"/>
    </row>
    <row r="286" ht="15.75" customHeight="1">
      <c r="A286" s="176"/>
      <c r="B286" s="176"/>
      <c r="C286" s="176"/>
      <c r="D286" s="176"/>
      <c r="E286" s="176"/>
      <c r="F286" s="176"/>
      <c r="G286" s="178"/>
      <c r="H286" s="176"/>
      <c r="I286" s="176"/>
      <c r="J286" s="176"/>
      <c r="K286" s="176"/>
      <c r="L286" s="176"/>
      <c r="M286" s="176"/>
      <c r="N286" s="176"/>
      <c r="O286" s="176"/>
      <c r="P286" s="176"/>
      <c r="Q286" s="176"/>
      <c r="R286" s="176"/>
      <c r="S286" s="176"/>
      <c r="T286" s="176"/>
      <c r="U286" s="176"/>
      <c r="V286" s="176"/>
      <c r="W286" s="176"/>
      <c r="X286" s="176"/>
      <c r="Y286" s="176"/>
      <c r="Z286" s="176"/>
      <c r="AA286" s="176"/>
      <c r="AB286" s="176"/>
      <c r="AC286" s="176"/>
      <c r="AD286" s="176"/>
      <c r="AE286" s="176"/>
      <c r="AF286" s="176"/>
      <c r="AG286" s="176"/>
      <c r="AH286" s="176"/>
      <c r="AI286" s="176"/>
      <c r="AJ286" s="176"/>
      <c r="AK286" s="176"/>
      <c r="AL286" s="176"/>
      <c r="AM286" s="176"/>
      <c r="AN286" s="176"/>
      <c r="AO286" s="176"/>
      <c r="AP286" s="176"/>
      <c r="AQ286" s="176"/>
      <c r="AR286" s="176"/>
      <c r="AS286" s="176"/>
      <c r="AT286" s="176"/>
      <c r="AU286" s="176"/>
      <c r="AV286" s="176"/>
      <c r="AW286" s="176"/>
      <c r="AX286" s="176"/>
      <c r="AY286" s="176"/>
      <c r="AZ286" s="176"/>
      <c r="BA286" s="176"/>
      <c r="BB286" s="176"/>
      <c r="BC286" s="176"/>
      <c r="BD286" s="176"/>
    </row>
    <row r="287" ht="15.75" customHeight="1">
      <c r="A287" s="176"/>
      <c r="B287" s="176"/>
      <c r="C287" s="176"/>
      <c r="D287" s="176"/>
      <c r="E287" s="176"/>
      <c r="F287" s="176"/>
      <c r="G287" s="178"/>
      <c r="H287" s="176"/>
      <c r="I287" s="176"/>
      <c r="J287" s="176"/>
      <c r="K287" s="176"/>
      <c r="L287" s="176"/>
      <c r="M287" s="176"/>
      <c r="N287" s="176"/>
      <c r="O287" s="176"/>
      <c r="P287" s="176"/>
      <c r="Q287" s="176"/>
      <c r="R287" s="176"/>
      <c r="S287" s="176"/>
      <c r="T287" s="176"/>
      <c r="U287" s="176"/>
      <c r="V287" s="176"/>
      <c r="W287" s="176"/>
      <c r="X287" s="176"/>
      <c r="Y287" s="176"/>
      <c r="Z287" s="176"/>
      <c r="AA287" s="176"/>
      <c r="AB287" s="176"/>
      <c r="AC287" s="176"/>
      <c r="AD287" s="176"/>
      <c r="AE287" s="176"/>
      <c r="AF287" s="176"/>
      <c r="AG287" s="176"/>
      <c r="AH287" s="176"/>
      <c r="AI287" s="176"/>
      <c r="AJ287" s="176"/>
      <c r="AK287" s="176"/>
      <c r="AL287" s="176"/>
      <c r="AM287" s="176"/>
      <c r="AN287" s="176"/>
      <c r="AO287" s="176"/>
      <c r="AP287" s="176"/>
      <c r="AQ287" s="176"/>
      <c r="AR287" s="176"/>
      <c r="AS287" s="176"/>
      <c r="AT287" s="176"/>
      <c r="AU287" s="176"/>
      <c r="AV287" s="176"/>
      <c r="AW287" s="176"/>
      <c r="AX287" s="176"/>
      <c r="AY287" s="176"/>
      <c r="AZ287" s="176"/>
      <c r="BA287" s="176"/>
      <c r="BB287" s="176"/>
      <c r="BC287" s="176"/>
      <c r="BD287" s="176"/>
    </row>
    <row r="288" ht="15.75" customHeight="1">
      <c r="A288" s="176"/>
      <c r="B288" s="176"/>
      <c r="C288" s="176"/>
      <c r="D288" s="176"/>
      <c r="E288" s="176"/>
      <c r="F288" s="176"/>
      <c r="G288" s="178"/>
      <c r="H288" s="176"/>
      <c r="I288" s="176"/>
      <c r="J288" s="176"/>
      <c r="K288" s="176"/>
      <c r="L288" s="176"/>
      <c r="M288" s="176"/>
      <c r="N288" s="176"/>
      <c r="O288" s="176"/>
      <c r="P288" s="176"/>
      <c r="Q288" s="176"/>
      <c r="R288" s="176"/>
      <c r="S288" s="176"/>
      <c r="T288" s="176"/>
      <c r="U288" s="176"/>
      <c r="V288" s="176"/>
      <c r="W288" s="176"/>
      <c r="X288" s="176"/>
      <c r="Y288" s="176"/>
      <c r="Z288" s="176"/>
      <c r="AA288" s="176"/>
      <c r="AB288" s="176"/>
      <c r="AC288" s="176"/>
      <c r="AD288" s="176"/>
      <c r="AE288" s="176"/>
      <c r="AF288" s="176"/>
      <c r="AG288" s="176"/>
      <c r="AH288" s="176"/>
      <c r="AI288" s="176"/>
      <c r="AJ288" s="176"/>
      <c r="AK288" s="176"/>
      <c r="AL288" s="176"/>
      <c r="AM288" s="176"/>
      <c r="AN288" s="176"/>
      <c r="AO288" s="176"/>
      <c r="AP288" s="176"/>
      <c r="AQ288" s="176"/>
      <c r="AR288" s="176"/>
      <c r="AS288" s="176"/>
      <c r="AT288" s="176"/>
      <c r="AU288" s="176"/>
      <c r="AV288" s="176"/>
      <c r="AW288" s="176"/>
      <c r="AX288" s="176"/>
      <c r="AY288" s="176"/>
      <c r="AZ288" s="176"/>
      <c r="BA288" s="176"/>
      <c r="BB288" s="176"/>
      <c r="BC288" s="176"/>
      <c r="BD288" s="176"/>
    </row>
    <row r="289" ht="15.75" customHeight="1">
      <c r="A289" s="176"/>
      <c r="B289" s="176"/>
      <c r="C289" s="176"/>
      <c r="D289" s="176"/>
      <c r="E289" s="176"/>
      <c r="F289" s="176"/>
      <c r="G289" s="178"/>
      <c r="H289" s="176"/>
      <c r="I289" s="176"/>
      <c r="J289" s="176"/>
      <c r="K289" s="176"/>
      <c r="L289" s="176"/>
      <c r="M289" s="176"/>
      <c r="N289" s="176"/>
      <c r="O289" s="176"/>
      <c r="P289" s="176"/>
      <c r="Q289" s="176"/>
      <c r="R289" s="176"/>
      <c r="S289" s="176"/>
      <c r="T289" s="176"/>
      <c r="U289" s="176"/>
      <c r="V289" s="176"/>
      <c r="W289" s="176"/>
      <c r="X289" s="176"/>
      <c r="Y289" s="176"/>
      <c r="Z289" s="176"/>
      <c r="AA289" s="176"/>
      <c r="AB289" s="176"/>
      <c r="AC289" s="176"/>
      <c r="AD289" s="176"/>
      <c r="AE289" s="176"/>
      <c r="AF289" s="176"/>
      <c r="AG289" s="176"/>
      <c r="AH289" s="176"/>
      <c r="AI289" s="176"/>
      <c r="AJ289" s="176"/>
      <c r="AK289" s="176"/>
      <c r="AL289" s="176"/>
      <c r="AM289" s="176"/>
      <c r="AN289" s="176"/>
      <c r="AO289" s="176"/>
      <c r="AP289" s="176"/>
      <c r="AQ289" s="176"/>
      <c r="AR289" s="176"/>
      <c r="AS289" s="176"/>
      <c r="AT289" s="176"/>
      <c r="AU289" s="176"/>
      <c r="AV289" s="176"/>
      <c r="AW289" s="176"/>
      <c r="AX289" s="176"/>
      <c r="AY289" s="176"/>
      <c r="AZ289" s="176"/>
      <c r="BA289" s="176"/>
      <c r="BB289" s="176"/>
      <c r="BC289" s="176"/>
      <c r="BD289" s="176"/>
    </row>
    <row r="290" ht="15.75" customHeight="1">
      <c r="A290" s="176"/>
      <c r="B290" s="176"/>
      <c r="C290" s="176"/>
      <c r="D290" s="176"/>
      <c r="E290" s="176"/>
      <c r="F290" s="176"/>
      <c r="G290" s="178"/>
      <c r="H290" s="176"/>
      <c r="I290" s="176"/>
      <c r="J290" s="176"/>
      <c r="K290" s="176"/>
      <c r="L290" s="176"/>
      <c r="M290" s="176"/>
      <c r="N290" s="176"/>
      <c r="O290" s="176"/>
      <c r="P290" s="176"/>
      <c r="Q290" s="176"/>
      <c r="R290" s="176"/>
      <c r="S290" s="176"/>
      <c r="T290" s="176"/>
      <c r="U290" s="176"/>
      <c r="V290" s="176"/>
      <c r="W290" s="176"/>
      <c r="X290" s="176"/>
      <c r="Y290" s="176"/>
      <c r="Z290" s="176"/>
      <c r="AA290" s="176"/>
      <c r="AB290" s="176"/>
      <c r="AC290" s="176"/>
      <c r="AD290" s="176"/>
      <c r="AE290" s="176"/>
      <c r="AF290" s="176"/>
      <c r="AG290" s="176"/>
      <c r="AH290" s="176"/>
      <c r="AI290" s="176"/>
      <c r="AJ290" s="176"/>
      <c r="AK290" s="176"/>
      <c r="AL290" s="176"/>
      <c r="AM290" s="176"/>
      <c r="AN290" s="176"/>
      <c r="AO290" s="176"/>
      <c r="AP290" s="176"/>
      <c r="AQ290" s="176"/>
      <c r="AR290" s="176"/>
      <c r="AS290" s="176"/>
      <c r="AT290" s="176"/>
      <c r="AU290" s="176"/>
      <c r="AV290" s="176"/>
      <c r="AW290" s="176"/>
      <c r="AX290" s="176"/>
      <c r="AY290" s="176"/>
      <c r="AZ290" s="176"/>
      <c r="BA290" s="176"/>
      <c r="BB290" s="176"/>
      <c r="BC290" s="176"/>
      <c r="BD290" s="176"/>
    </row>
    <row r="291" ht="15.75" customHeight="1">
      <c r="A291" s="176"/>
      <c r="B291" s="176"/>
      <c r="C291" s="176"/>
      <c r="D291" s="176"/>
      <c r="E291" s="176"/>
      <c r="F291" s="176"/>
      <c r="G291" s="178"/>
      <c r="H291" s="176"/>
      <c r="I291" s="176"/>
      <c r="J291" s="176"/>
      <c r="K291" s="176"/>
      <c r="L291" s="176"/>
      <c r="M291" s="176"/>
      <c r="N291" s="176"/>
      <c r="O291" s="176"/>
      <c r="P291" s="176"/>
      <c r="Q291" s="176"/>
      <c r="R291" s="176"/>
      <c r="S291" s="176"/>
      <c r="T291" s="176"/>
      <c r="U291" s="176"/>
      <c r="V291" s="176"/>
      <c r="W291" s="176"/>
      <c r="X291" s="176"/>
      <c r="Y291" s="176"/>
      <c r="Z291" s="176"/>
      <c r="AA291" s="176"/>
      <c r="AB291" s="176"/>
      <c r="AC291" s="176"/>
      <c r="AD291" s="176"/>
      <c r="AE291" s="176"/>
      <c r="AF291" s="176"/>
      <c r="AG291" s="176"/>
      <c r="AH291" s="176"/>
      <c r="AI291" s="176"/>
      <c r="AJ291" s="176"/>
      <c r="AK291" s="176"/>
      <c r="AL291" s="176"/>
      <c r="AM291" s="176"/>
      <c r="AN291" s="176"/>
      <c r="AO291" s="176"/>
      <c r="AP291" s="176"/>
      <c r="AQ291" s="176"/>
      <c r="AR291" s="176"/>
      <c r="AS291" s="176"/>
      <c r="AT291" s="176"/>
      <c r="AU291" s="176"/>
      <c r="AV291" s="176"/>
      <c r="AW291" s="176"/>
      <c r="AX291" s="176"/>
      <c r="AY291" s="176"/>
      <c r="AZ291" s="176"/>
      <c r="BA291" s="176"/>
      <c r="BB291" s="176"/>
      <c r="BC291" s="176"/>
      <c r="BD291" s="176"/>
    </row>
    <row r="292" ht="15.75" customHeight="1">
      <c r="A292" s="176"/>
      <c r="B292" s="176"/>
      <c r="C292" s="176"/>
      <c r="D292" s="176"/>
      <c r="E292" s="176"/>
      <c r="F292" s="176"/>
      <c r="G292" s="178"/>
      <c r="H292" s="176"/>
      <c r="I292" s="176"/>
      <c r="J292" s="176"/>
      <c r="K292" s="176"/>
      <c r="L292" s="176"/>
      <c r="M292" s="176"/>
      <c r="N292" s="176"/>
      <c r="O292" s="176"/>
      <c r="P292" s="176"/>
      <c r="Q292" s="176"/>
      <c r="R292" s="176"/>
      <c r="S292" s="176"/>
      <c r="T292" s="176"/>
      <c r="U292" s="176"/>
      <c r="V292" s="176"/>
      <c r="W292" s="176"/>
      <c r="X292" s="176"/>
      <c r="Y292" s="176"/>
      <c r="Z292" s="176"/>
      <c r="AA292" s="176"/>
      <c r="AB292" s="176"/>
      <c r="AC292" s="176"/>
      <c r="AD292" s="176"/>
      <c r="AE292" s="176"/>
      <c r="AF292" s="176"/>
      <c r="AG292" s="176"/>
      <c r="AH292" s="176"/>
      <c r="AI292" s="176"/>
      <c r="AJ292" s="176"/>
      <c r="AK292" s="176"/>
      <c r="AL292" s="176"/>
      <c r="AM292" s="176"/>
      <c r="AN292" s="176"/>
      <c r="AO292" s="176"/>
      <c r="AP292" s="176"/>
      <c r="AQ292" s="176"/>
      <c r="AR292" s="176"/>
      <c r="AS292" s="176"/>
      <c r="AT292" s="176"/>
      <c r="AU292" s="176"/>
      <c r="AV292" s="176"/>
      <c r="AW292" s="176"/>
      <c r="AX292" s="176"/>
      <c r="AY292" s="176"/>
      <c r="AZ292" s="176"/>
      <c r="BA292" s="176"/>
      <c r="BB292" s="176"/>
      <c r="BC292" s="176"/>
      <c r="BD292" s="176"/>
    </row>
    <row r="293" ht="15.75" customHeight="1">
      <c r="A293" s="176"/>
      <c r="B293" s="176"/>
      <c r="C293" s="176"/>
      <c r="D293" s="176"/>
      <c r="E293" s="176"/>
      <c r="F293" s="176"/>
      <c r="G293" s="178"/>
      <c r="H293" s="176"/>
      <c r="I293" s="176"/>
      <c r="J293" s="176"/>
      <c r="K293" s="176"/>
      <c r="L293" s="176"/>
      <c r="M293" s="176"/>
      <c r="N293" s="176"/>
      <c r="O293" s="176"/>
      <c r="P293" s="176"/>
      <c r="Q293" s="176"/>
      <c r="R293" s="176"/>
      <c r="S293" s="176"/>
      <c r="T293" s="176"/>
      <c r="U293" s="176"/>
      <c r="V293" s="176"/>
      <c r="W293" s="176"/>
      <c r="X293" s="176"/>
      <c r="Y293" s="176"/>
      <c r="Z293" s="176"/>
      <c r="AA293" s="176"/>
      <c r="AB293" s="176"/>
      <c r="AC293" s="176"/>
      <c r="AD293" s="176"/>
      <c r="AE293" s="176"/>
      <c r="AF293" s="176"/>
      <c r="AG293" s="176"/>
      <c r="AH293" s="176"/>
      <c r="AI293" s="176"/>
      <c r="AJ293" s="176"/>
      <c r="AK293" s="176"/>
      <c r="AL293" s="176"/>
      <c r="AM293" s="176"/>
      <c r="AN293" s="176"/>
      <c r="AO293" s="176"/>
      <c r="AP293" s="176"/>
      <c r="AQ293" s="176"/>
      <c r="AR293" s="176"/>
      <c r="AS293" s="176"/>
      <c r="AT293" s="176"/>
      <c r="AU293" s="176"/>
      <c r="AV293" s="176"/>
      <c r="AW293" s="176"/>
      <c r="AX293" s="176"/>
      <c r="AY293" s="176"/>
      <c r="AZ293" s="176"/>
      <c r="BA293" s="176"/>
      <c r="BB293" s="176"/>
      <c r="BC293" s="176"/>
      <c r="BD293" s="176"/>
    </row>
    <row r="294" ht="15.75" customHeight="1">
      <c r="A294" s="176"/>
      <c r="B294" s="176"/>
      <c r="C294" s="176"/>
      <c r="D294" s="176"/>
      <c r="E294" s="176"/>
      <c r="F294" s="176"/>
      <c r="G294" s="178"/>
      <c r="H294" s="176"/>
      <c r="I294" s="176"/>
      <c r="J294" s="176"/>
      <c r="K294" s="176"/>
      <c r="L294" s="176"/>
      <c r="M294" s="176"/>
      <c r="N294" s="176"/>
      <c r="O294" s="176"/>
      <c r="P294" s="176"/>
      <c r="Q294" s="176"/>
      <c r="R294" s="176"/>
      <c r="S294" s="176"/>
      <c r="T294" s="176"/>
      <c r="U294" s="176"/>
      <c r="V294" s="176"/>
      <c r="W294" s="176"/>
      <c r="X294" s="176"/>
      <c r="Y294" s="176"/>
      <c r="Z294" s="176"/>
      <c r="AA294" s="176"/>
      <c r="AB294" s="176"/>
      <c r="AC294" s="176"/>
      <c r="AD294" s="176"/>
      <c r="AE294" s="176"/>
      <c r="AF294" s="176"/>
      <c r="AG294" s="176"/>
      <c r="AH294" s="176"/>
      <c r="AI294" s="176"/>
      <c r="AJ294" s="176"/>
      <c r="AK294" s="176"/>
      <c r="AL294" s="176"/>
      <c r="AM294" s="176"/>
      <c r="AN294" s="176"/>
      <c r="AO294" s="176"/>
      <c r="AP294" s="176"/>
      <c r="AQ294" s="176"/>
      <c r="AR294" s="176"/>
      <c r="AS294" s="176"/>
      <c r="AT294" s="176"/>
      <c r="AU294" s="176"/>
      <c r="AV294" s="176"/>
      <c r="AW294" s="176"/>
      <c r="AX294" s="176"/>
      <c r="AY294" s="176"/>
      <c r="AZ294" s="176"/>
      <c r="BA294" s="176"/>
      <c r="BB294" s="176"/>
      <c r="BC294" s="176"/>
      <c r="BD294" s="176"/>
    </row>
    <row r="295" ht="15.75" customHeight="1">
      <c r="A295" s="176"/>
      <c r="B295" s="176"/>
      <c r="C295" s="176"/>
      <c r="D295" s="176"/>
      <c r="E295" s="176"/>
      <c r="F295" s="176"/>
      <c r="G295" s="178"/>
      <c r="H295" s="176"/>
      <c r="I295" s="176"/>
      <c r="J295" s="176"/>
      <c r="K295" s="176"/>
      <c r="L295" s="176"/>
      <c r="M295" s="176"/>
      <c r="N295" s="176"/>
      <c r="O295" s="176"/>
      <c r="P295" s="176"/>
      <c r="Q295" s="176"/>
      <c r="R295" s="176"/>
      <c r="S295" s="176"/>
      <c r="T295" s="176"/>
      <c r="U295" s="176"/>
      <c r="V295" s="176"/>
      <c r="W295" s="176"/>
      <c r="X295" s="176"/>
      <c r="Y295" s="176"/>
      <c r="Z295" s="176"/>
      <c r="AA295" s="176"/>
      <c r="AB295" s="176"/>
      <c r="AC295" s="176"/>
      <c r="AD295" s="176"/>
      <c r="AE295" s="176"/>
      <c r="AF295" s="176"/>
      <c r="AG295" s="176"/>
      <c r="AH295" s="176"/>
      <c r="AI295" s="176"/>
      <c r="AJ295" s="176"/>
      <c r="AK295" s="176"/>
      <c r="AL295" s="176"/>
      <c r="AM295" s="176"/>
      <c r="AN295" s="176"/>
      <c r="AO295" s="176"/>
      <c r="AP295" s="176"/>
      <c r="AQ295" s="176"/>
      <c r="AR295" s="176"/>
      <c r="AS295" s="176"/>
      <c r="AT295" s="176"/>
      <c r="AU295" s="176"/>
      <c r="AV295" s="176"/>
      <c r="AW295" s="176"/>
      <c r="AX295" s="176"/>
      <c r="AY295" s="176"/>
      <c r="AZ295" s="176"/>
      <c r="BA295" s="176"/>
      <c r="BB295" s="176"/>
      <c r="BC295" s="176"/>
      <c r="BD295" s="176"/>
    </row>
    <row r="296" ht="15.75" customHeight="1">
      <c r="A296" s="176"/>
      <c r="B296" s="176"/>
      <c r="C296" s="176"/>
      <c r="D296" s="176"/>
      <c r="E296" s="176"/>
      <c r="F296" s="176"/>
      <c r="G296" s="178"/>
      <c r="H296" s="176"/>
      <c r="I296" s="176"/>
      <c r="J296" s="176"/>
      <c r="K296" s="176"/>
      <c r="L296" s="176"/>
      <c r="M296" s="176"/>
      <c r="N296" s="176"/>
      <c r="O296" s="176"/>
      <c r="P296" s="176"/>
      <c r="Q296" s="176"/>
      <c r="R296" s="176"/>
      <c r="S296" s="176"/>
      <c r="T296" s="176"/>
      <c r="U296" s="176"/>
      <c r="V296" s="176"/>
      <c r="W296" s="176"/>
      <c r="X296" s="176"/>
      <c r="Y296" s="176"/>
      <c r="Z296" s="176"/>
      <c r="AA296" s="176"/>
      <c r="AB296" s="176"/>
      <c r="AC296" s="176"/>
      <c r="AD296" s="176"/>
      <c r="AE296" s="176"/>
      <c r="AF296" s="176"/>
      <c r="AG296" s="176"/>
      <c r="AH296" s="176"/>
      <c r="AI296" s="176"/>
      <c r="AJ296" s="176"/>
      <c r="AK296" s="176"/>
      <c r="AL296" s="176"/>
      <c r="AM296" s="176"/>
      <c r="AN296" s="176"/>
      <c r="AO296" s="176"/>
      <c r="AP296" s="176"/>
      <c r="AQ296" s="176"/>
      <c r="AR296" s="176"/>
      <c r="AS296" s="176"/>
      <c r="AT296" s="176"/>
      <c r="AU296" s="176"/>
      <c r="AV296" s="176"/>
      <c r="AW296" s="176"/>
      <c r="AX296" s="176"/>
      <c r="AY296" s="176"/>
      <c r="AZ296" s="176"/>
      <c r="BA296" s="176"/>
      <c r="BB296" s="176"/>
      <c r="BC296" s="176"/>
      <c r="BD296" s="176"/>
    </row>
    <row r="297" ht="15.75" customHeight="1">
      <c r="A297" s="176"/>
      <c r="B297" s="176"/>
      <c r="C297" s="176"/>
      <c r="D297" s="176"/>
      <c r="E297" s="176"/>
      <c r="F297" s="176"/>
      <c r="G297" s="178"/>
      <c r="H297" s="176"/>
      <c r="I297" s="176"/>
      <c r="J297" s="176"/>
      <c r="K297" s="176"/>
      <c r="L297" s="176"/>
      <c r="M297" s="176"/>
      <c r="N297" s="176"/>
      <c r="O297" s="176"/>
      <c r="P297" s="176"/>
      <c r="Q297" s="176"/>
      <c r="R297" s="176"/>
      <c r="S297" s="176"/>
      <c r="T297" s="176"/>
      <c r="U297" s="176"/>
      <c r="V297" s="176"/>
      <c r="W297" s="176"/>
      <c r="X297" s="176"/>
      <c r="Y297" s="176"/>
      <c r="Z297" s="176"/>
      <c r="AA297" s="176"/>
      <c r="AB297" s="176"/>
      <c r="AC297" s="176"/>
      <c r="AD297" s="176"/>
      <c r="AE297" s="176"/>
      <c r="AF297" s="176"/>
      <c r="AG297" s="176"/>
      <c r="AH297" s="176"/>
      <c r="AI297" s="176"/>
      <c r="AJ297" s="176"/>
      <c r="AK297" s="176"/>
      <c r="AL297" s="176"/>
      <c r="AM297" s="176"/>
      <c r="AN297" s="176"/>
      <c r="AO297" s="176"/>
      <c r="AP297" s="176"/>
      <c r="AQ297" s="176"/>
      <c r="AR297" s="176"/>
      <c r="AS297" s="176"/>
      <c r="AT297" s="176"/>
      <c r="AU297" s="176"/>
      <c r="AV297" s="176"/>
      <c r="AW297" s="176"/>
      <c r="AX297" s="176"/>
      <c r="AY297" s="176"/>
      <c r="AZ297" s="176"/>
      <c r="BA297" s="176"/>
      <c r="BB297" s="176"/>
      <c r="BC297" s="176"/>
      <c r="BD297" s="176"/>
    </row>
    <row r="298" ht="15.75" customHeight="1">
      <c r="A298" s="176"/>
      <c r="B298" s="176"/>
      <c r="C298" s="176"/>
      <c r="D298" s="176"/>
      <c r="E298" s="176"/>
      <c r="F298" s="176"/>
      <c r="G298" s="178"/>
      <c r="H298" s="176"/>
      <c r="I298" s="176"/>
      <c r="J298" s="176"/>
      <c r="K298" s="176"/>
      <c r="L298" s="176"/>
      <c r="M298" s="176"/>
      <c r="N298" s="176"/>
      <c r="O298" s="176"/>
      <c r="P298" s="176"/>
      <c r="Q298" s="176"/>
      <c r="R298" s="176"/>
      <c r="S298" s="176"/>
      <c r="T298" s="176"/>
      <c r="U298" s="176"/>
      <c r="V298" s="176"/>
      <c r="W298" s="176"/>
      <c r="X298" s="176"/>
      <c r="Y298" s="176"/>
      <c r="Z298" s="176"/>
      <c r="AA298" s="176"/>
      <c r="AB298" s="176"/>
      <c r="AC298" s="176"/>
      <c r="AD298" s="176"/>
      <c r="AE298" s="176"/>
      <c r="AF298" s="176"/>
      <c r="AG298" s="176"/>
      <c r="AH298" s="176"/>
      <c r="AI298" s="176"/>
      <c r="AJ298" s="176"/>
      <c r="AK298" s="176"/>
      <c r="AL298" s="176"/>
      <c r="AM298" s="176"/>
      <c r="AN298" s="176"/>
      <c r="AO298" s="176"/>
      <c r="AP298" s="176"/>
      <c r="AQ298" s="176"/>
      <c r="AR298" s="176"/>
      <c r="AS298" s="176"/>
      <c r="AT298" s="176"/>
      <c r="AU298" s="176"/>
      <c r="AV298" s="176"/>
      <c r="AW298" s="176"/>
      <c r="AX298" s="176"/>
      <c r="AY298" s="176"/>
      <c r="AZ298" s="176"/>
      <c r="BA298" s="176"/>
      <c r="BB298" s="176"/>
      <c r="BC298" s="176"/>
      <c r="BD298" s="176"/>
    </row>
    <row r="299" ht="15.75" customHeight="1">
      <c r="A299" s="176"/>
      <c r="B299" s="176"/>
      <c r="C299" s="176"/>
      <c r="D299" s="176"/>
      <c r="E299" s="176"/>
      <c r="F299" s="176"/>
      <c r="G299" s="178"/>
      <c r="H299" s="176"/>
      <c r="I299" s="176"/>
      <c r="J299" s="176"/>
      <c r="K299" s="176"/>
      <c r="L299" s="176"/>
      <c r="M299" s="176"/>
      <c r="N299" s="176"/>
      <c r="O299" s="176"/>
      <c r="P299" s="176"/>
      <c r="Q299" s="176"/>
      <c r="R299" s="176"/>
      <c r="S299" s="176"/>
      <c r="T299" s="176"/>
      <c r="U299" s="176"/>
      <c r="V299" s="176"/>
      <c r="W299" s="176"/>
      <c r="X299" s="176"/>
      <c r="Y299" s="176"/>
      <c r="Z299" s="176"/>
      <c r="AA299" s="176"/>
      <c r="AB299" s="176"/>
      <c r="AC299" s="176"/>
      <c r="AD299" s="176"/>
      <c r="AE299" s="176"/>
      <c r="AF299" s="176"/>
      <c r="AG299" s="176"/>
      <c r="AH299" s="176"/>
      <c r="AI299" s="176"/>
      <c r="AJ299" s="176"/>
      <c r="AK299" s="176"/>
      <c r="AL299" s="176"/>
      <c r="AM299" s="176"/>
      <c r="AN299" s="176"/>
      <c r="AO299" s="176"/>
      <c r="AP299" s="176"/>
      <c r="AQ299" s="176"/>
      <c r="AR299" s="176"/>
      <c r="AS299" s="176"/>
      <c r="AT299" s="176"/>
      <c r="AU299" s="176"/>
      <c r="AV299" s="176"/>
      <c r="AW299" s="176"/>
      <c r="AX299" s="176"/>
      <c r="AY299" s="176"/>
      <c r="AZ299" s="176"/>
      <c r="BA299" s="176"/>
      <c r="BB299" s="176"/>
      <c r="BC299" s="176"/>
      <c r="BD299" s="176"/>
    </row>
    <row r="300" ht="15.75" customHeight="1">
      <c r="A300" s="176"/>
      <c r="B300" s="176"/>
      <c r="C300" s="176"/>
      <c r="D300" s="176"/>
      <c r="E300" s="176"/>
      <c r="F300" s="176"/>
      <c r="G300" s="178"/>
      <c r="H300" s="176"/>
      <c r="I300" s="176"/>
      <c r="J300" s="176"/>
      <c r="K300" s="176"/>
      <c r="L300" s="176"/>
      <c r="M300" s="176"/>
      <c r="N300" s="176"/>
      <c r="O300" s="176"/>
      <c r="P300" s="176"/>
      <c r="Q300" s="176"/>
      <c r="R300" s="176"/>
      <c r="S300" s="176"/>
      <c r="T300" s="176"/>
      <c r="U300" s="176"/>
      <c r="V300" s="176"/>
      <c r="W300" s="176"/>
      <c r="X300" s="176"/>
      <c r="Y300" s="176"/>
      <c r="Z300" s="176"/>
      <c r="AA300" s="176"/>
      <c r="AB300" s="176"/>
      <c r="AC300" s="176"/>
      <c r="AD300" s="176"/>
      <c r="AE300" s="176"/>
      <c r="AF300" s="176"/>
      <c r="AG300" s="176"/>
      <c r="AH300" s="176"/>
      <c r="AI300" s="176"/>
      <c r="AJ300" s="176"/>
      <c r="AK300" s="176"/>
      <c r="AL300" s="176"/>
      <c r="AM300" s="176"/>
      <c r="AN300" s="176"/>
      <c r="AO300" s="176"/>
      <c r="AP300" s="176"/>
      <c r="AQ300" s="176"/>
      <c r="AR300" s="176"/>
      <c r="AS300" s="176"/>
      <c r="AT300" s="176"/>
      <c r="AU300" s="176"/>
      <c r="AV300" s="176"/>
      <c r="AW300" s="176"/>
      <c r="AX300" s="176"/>
      <c r="AY300" s="176"/>
      <c r="AZ300" s="176"/>
      <c r="BA300" s="176"/>
      <c r="BB300" s="176"/>
      <c r="BC300" s="176"/>
      <c r="BD300" s="176"/>
    </row>
    <row r="301" ht="15.75" customHeight="1">
      <c r="A301" s="176"/>
      <c r="B301" s="176"/>
      <c r="C301" s="176"/>
      <c r="D301" s="176"/>
      <c r="E301" s="176"/>
      <c r="F301" s="176"/>
      <c r="G301" s="178"/>
      <c r="H301" s="176"/>
      <c r="I301" s="176"/>
      <c r="J301" s="176"/>
      <c r="K301" s="176"/>
      <c r="L301" s="176"/>
      <c r="M301" s="176"/>
      <c r="N301" s="176"/>
      <c r="O301" s="176"/>
      <c r="P301" s="176"/>
      <c r="Q301" s="176"/>
      <c r="R301" s="176"/>
      <c r="S301" s="176"/>
      <c r="T301" s="176"/>
      <c r="U301" s="176"/>
      <c r="V301" s="176"/>
      <c r="W301" s="176"/>
      <c r="X301" s="176"/>
      <c r="Y301" s="176"/>
      <c r="Z301" s="176"/>
      <c r="AA301" s="176"/>
      <c r="AB301" s="176"/>
      <c r="AC301" s="176"/>
      <c r="AD301" s="176"/>
      <c r="AE301" s="176"/>
      <c r="AF301" s="176"/>
      <c r="AG301" s="176"/>
      <c r="AH301" s="176"/>
      <c r="AI301" s="176"/>
      <c r="AJ301" s="176"/>
      <c r="AK301" s="176"/>
      <c r="AL301" s="176"/>
      <c r="AM301" s="176"/>
      <c r="AN301" s="176"/>
      <c r="AO301" s="176"/>
      <c r="AP301" s="176"/>
      <c r="AQ301" s="176"/>
      <c r="AR301" s="176"/>
      <c r="AS301" s="176"/>
      <c r="AT301" s="176"/>
      <c r="AU301" s="176"/>
      <c r="AV301" s="176"/>
      <c r="AW301" s="176"/>
      <c r="AX301" s="176"/>
      <c r="AY301" s="176"/>
      <c r="AZ301" s="176"/>
      <c r="BA301" s="176"/>
      <c r="BB301" s="176"/>
      <c r="BC301" s="176"/>
      <c r="BD301" s="176"/>
    </row>
    <row r="302" ht="15.75" customHeight="1">
      <c r="A302" s="176"/>
      <c r="B302" s="176"/>
      <c r="C302" s="176"/>
      <c r="D302" s="176"/>
      <c r="E302" s="176"/>
      <c r="F302" s="176"/>
      <c r="G302" s="178"/>
      <c r="H302" s="176"/>
      <c r="I302" s="176"/>
      <c r="J302" s="176"/>
      <c r="K302" s="176"/>
      <c r="L302" s="176"/>
      <c r="M302" s="176"/>
      <c r="N302" s="176"/>
      <c r="O302" s="176"/>
      <c r="P302" s="176"/>
      <c r="Q302" s="176"/>
      <c r="R302" s="176"/>
      <c r="S302" s="176"/>
      <c r="T302" s="176"/>
      <c r="U302" s="176"/>
      <c r="V302" s="176"/>
      <c r="W302" s="176"/>
      <c r="X302" s="176"/>
      <c r="Y302" s="176"/>
      <c r="Z302" s="176"/>
      <c r="AA302" s="176"/>
      <c r="AB302" s="176"/>
      <c r="AC302" s="176"/>
      <c r="AD302" s="176"/>
      <c r="AE302" s="176"/>
      <c r="AF302" s="176"/>
      <c r="AG302" s="176"/>
      <c r="AH302" s="176"/>
      <c r="AI302" s="176"/>
      <c r="AJ302" s="176"/>
      <c r="AK302" s="176"/>
      <c r="AL302" s="176"/>
      <c r="AM302" s="176"/>
      <c r="AN302" s="176"/>
      <c r="AO302" s="176"/>
      <c r="AP302" s="176"/>
      <c r="AQ302" s="176"/>
      <c r="AR302" s="176"/>
      <c r="AS302" s="176"/>
      <c r="AT302" s="176"/>
      <c r="AU302" s="176"/>
      <c r="AV302" s="176"/>
      <c r="AW302" s="176"/>
      <c r="AX302" s="176"/>
      <c r="AY302" s="176"/>
      <c r="AZ302" s="176"/>
      <c r="BA302" s="176"/>
      <c r="BB302" s="176"/>
      <c r="BC302" s="176"/>
      <c r="BD302" s="176"/>
    </row>
    <row r="303" ht="15.75" customHeight="1">
      <c r="A303" s="176"/>
      <c r="B303" s="176"/>
      <c r="C303" s="176"/>
      <c r="D303" s="176"/>
      <c r="E303" s="176"/>
      <c r="F303" s="176"/>
      <c r="G303" s="178"/>
      <c r="H303" s="176"/>
      <c r="I303" s="176"/>
      <c r="J303" s="176"/>
      <c r="K303" s="176"/>
      <c r="L303" s="176"/>
      <c r="M303" s="176"/>
      <c r="N303" s="176"/>
      <c r="O303" s="176"/>
      <c r="P303" s="176"/>
      <c r="Q303" s="176"/>
      <c r="R303" s="176"/>
      <c r="S303" s="176"/>
      <c r="T303" s="176"/>
      <c r="U303" s="176"/>
      <c r="V303" s="176"/>
      <c r="W303" s="176"/>
      <c r="X303" s="176"/>
      <c r="Y303" s="176"/>
      <c r="Z303" s="176"/>
      <c r="AA303" s="176"/>
      <c r="AB303" s="176"/>
      <c r="AC303" s="176"/>
      <c r="AD303" s="176"/>
      <c r="AE303" s="176"/>
      <c r="AF303" s="176"/>
      <c r="AG303" s="176"/>
      <c r="AH303" s="176"/>
      <c r="AI303" s="176"/>
      <c r="AJ303" s="176"/>
      <c r="AK303" s="176"/>
      <c r="AL303" s="176"/>
      <c r="AM303" s="176"/>
      <c r="AN303" s="176"/>
      <c r="AO303" s="176"/>
      <c r="AP303" s="176"/>
      <c r="AQ303" s="176"/>
      <c r="AR303" s="176"/>
      <c r="AS303" s="176"/>
      <c r="AT303" s="176"/>
      <c r="AU303" s="176"/>
      <c r="AV303" s="176"/>
      <c r="AW303" s="176"/>
      <c r="AX303" s="176"/>
      <c r="AY303" s="176"/>
      <c r="AZ303" s="176"/>
      <c r="BA303" s="176"/>
      <c r="BB303" s="176"/>
      <c r="BC303" s="176"/>
      <c r="BD303" s="176"/>
    </row>
    <row r="304" ht="15.75" customHeight="1">
      <c r="A304" s="176"/>
      <c r="B304" s="176"/>
      <c r="C304" s="176"/>
      <c r="D304" s="176"/>
      <c r="E304" s="176"/>
      <c r="F304" s="176"/>
      <c r="G304" s="178"/>
      <c r="H304" s="176"/>
      <c r="I304" s="176"/>
      <c r="J304" s="176"/>
      <c r="K304" s="176"/>
      <c r="L304" s="176"/>
      <c r="M304" s="176"/>
      <c r="N304" s="176"/>
      <c r="O304" s="176"/>
      <c r="P304" s="176"/>
      <c r="Q304" s="176"/>
      <c r="R304" s="176"/>
      <c r="S304" s="176"/>
      <c r="T304" s="176"/>
      <c r="U304" s="176"/>
      <c r="V304" s="176"/>
      <c r="W304" s="176"/>
      <c r="X304" s="176"/>
      <c r="Y304" s="176"/>
      <c r="Z304" s="176"/>
      <c r="AA304" s="176"/>
      <c r="AB304" s="176"/>
      <c r="AC304" s="176"/>
      <c r="AD304" s="176"/>
      <c r="AE304" s="176"/>
      <c r="AF304" s="176"/>
      <c r="AG304" s="176"/>
      <c r="AH304" s="176"/>
      <c r="AI304" s="176"/>
      <c r="AJ304" s="176"/>
      <c r="AK304" s="176"/>
      <c r="AL304" s="176"/>
      <c r="AM304" s="176"/>
      <c r="AN304" s="176"/>
      <c r="AO304" s="176"/>
      <c r="AP304" s="176"/>
      <c r="AQ304" s="176"/>
      <c r="AR304" s="176"/>
      <c r="AS304" s="176"/>
      <c r="AT304" s="176"/>
      <c r="AU304" s="176"/>
      <c r="AV304" s="176"/>
      <c r="AW304" s="176"/>
      <c r="AX304" s="176"/>
      <c r="AY304" s="176"/>
      <c r="AZ304" s="176"/>
      <c r="BA304" s="176"/>
      <c r="BB304" s="176"/>
      <c r="BC304" s="176"/>
      <c r="BD304" s="176"/>
    </row>
    <row r="305" ht="15.75" customHeight="1">
      <c r="A305" s="176"/>
      <c r="B305" s="176"/>
      <c r="C305" s="176"/>
      <c r="D305" s="176"/>
      <c r="E305" s="176"/>
      <c r="F305" s="176"/>
      <c r="G305" s="178"/>
      <c r="H305" s="176"/>
      <c r="I305" s="176"/>
      <c r="J305" s="176"/>
      <c r="K305" s="176"/>
      <c r="L305" s="176"/>
      <c r="M305" s="176"/>
      <c r="N305" s="176"/>
      <c r="O305" s="176"/>
      <c r="P305" s="176"/>
      <c r="Q305" s="176"/>
      <c r="R305" s="176"/>
      <c r="S305" s="176"/>
      <c r="T305" s="176"/>
      <c r="U305" s="176"/>
      <c r="V305" s="176"/>
      <c r="W305" s="176"/>
      <c r="X305" s="176"/>
      <c r="Y305" s="176"/>
      <c r="Z305" s="176"/>
      <c r="AA305" s="176"/>
      <c r="AB305" s="176"/>
      <c r="AC305" s="176"/>
      <c r="AD305" s="176"/>
      <c r="AE305" s="176"/>
      <c r="AF305" s="176"/>
      <c r="AG305" s="176"/>
      <c r="AH305" s="176"/>
      <c r="AI305" s="176"/>
      <c r="AJ305" s="176"/>
      <c r="AK305" s="176"/>
      <c r="AL305" s="176"/>
      <c r="AM305" s="176"/>
      <c r="AN305" s="176"/>
      <c r="AO305" s="176"/>
      <c r="AP305" s="176"/>
      <c r="AQ305" s="176"/>
      <c r="AR305" s="176"/>
      <c r="AS305" s="176"/>
      <c r="AT305" s="176"/>
      <c r="AU305" s="176"/>
      <c r="AV305" s="176"/>
      <c r="AW305" s="176"/>
      <c r="AX305" s="176"/>
      <c r="AY305" s="176"/>
      <c r="AZ305" s="176"/>
      <c r="BA305" s="176"/>
      <c r="BB305" s="176"/>
      <c r="BC305" s="176"/>
      <c r="BD305" s="176"/>
    </row>
    <row r="306" ht="15.75" customHeight="1">
      <c r="A306" s="176"/>
      <c r="B306" s="176"/>
      <c r="C306" s="176"/>
      <c r="D306" s="176"/>
      <c r="E306" s="176"/>
      <c r="F306" s="176"/>
      <c r="G306" s="178"/>
      <c r="H306" s="176"/>
      <c r="I306" s="176"/>
      <c r="J306" s="176"/>
      <c r="K306" s="176"/>
      <c r="L306" s="176"/>
      <c r="M306" s="176"/>
      <c r="N306" s="176"/>
      <c r="O306" s="176"/>
      <c r="P306" s="176"/>
      <c r="Q306" s="176"/>
      <c r="R306" s="176"/>
      <c r="S306" s="176"/>
      <c r="T306" s="176"/>
      <c r="U306" s="176"/>
      <c r="V306" s="176"/>
      <c r="W306" s="176"/>
      <c r="X306" s="176"/>
      <c r="Y306" s="176"/>
      <c r="Z306" s="176"/>
      <c r="AA306" s="176"/>
      <c r="AB306" s="176"/>
      <c r="AC306" s="176"/>
      <c r="AD306" s="176"/>
      <c r="AE306" s="176"/>
      <c r="AF306" s="176"/>
      <c r="AG306" s="176"/>
      <c r="AH306" s="176"/>
      <c r="AI306" s="176"/>
      <c r="AJ306" s="176"/>
      <c r="AK306" s="176"/>
      <c r="AL306" s="176"/>
      <c r="AM306" s="176"/>
      <c r="AN306" s="176"/>
      <c r="AO306" s="176"/>
      <c r="AP306" s="176"/>
      <c r="AQ306" s="176"/>
      <c r="AR306" s="176"/>
      <c r="AS306" s="176"/>
      <c r="AT306" s="176"/>
      <c r="AU306" s="176"/>
      <c r="AV306" s="176"/>
      <c r="AW306" s="176"/>
      <c r="AX306" s="176"/>
      <c r="AY306" s="176"/>
      <c r="AZ306" s="176"/>
      <c r="BA306" s="176"/>
      <c r="BB306" s="176"/>
      <c r="BC306" s="176"/>
      <c r="BD306" s="176"/>
    </row>
    <row r="307" ht="15.75" customHeight="1">
      <c r="A307" s="176"/>
      <c r="B307" s="176"/>
      <c r="C307" s="176"/>
      <c r="D307" s="176"/>
      <c r="E307" s="176"/>
      <c r="F307" s="176"/>
      <c r="G307" s="178"/>
      <c r="H307" s="176"/>
      <c r="I307" s="176"/>
      <c r="J307" s="176"/>
      <c r="K307" s="176"/>
      <c r="L307" s="176"/>
      <c r="M307" s="176"/>
      <c r="N307" s="176"/>
      <c r="O307" s="176"/>
      <c r="P307" s="176"/>
      <c r="Q307" s="176"/>
      <c r="R307" s="176"/>
      <c r="S307" s="176"/>
      <c r="T307" s="176"/>
      <c r="U307" s="176"/>
      <c r="V307" s="176"/>
      <c r="W307" s="176"/>
      <c r="X307" s="176"/>
      <c r="Y307" s="176"/>
      <c r="Z307" s="176"/>
      <c r="AA307" s="176"/>
      <c r="AB307" s="176"/>
      <c r="AC307" s="176"/>
      <c r="AD307" s="176"/>
      <c r="AE307" s="176"/>
      <c r="AF307" s="176"/>
      <c r="AG307" s="176"/>
      <c r="AH307" s="176"/>
      <c r="AI307" s="176"/>
      <c r="AJ307" s="176"/>
      <c r="AK307" s="176"/>
      <c r="AL307" s="176"/>
      <c r="AM307" s="176"/>
      <c r="AN307" s="176"/>
      <c r="AO307" s="176"/>
      <c r="AP307" s="176"/>
      <c r="AQ307" s="176"/>
      <c r="AR307" s="176"/>
      <c r="AS307" s="176"/>
      <c r="AT307" s="176"/>
      <c r="AU307" s="176"/>
      <c r="AV307" s="176"/>
      <c r="AW307" s="176"/>
      <c r="AX307" s="176"/>
      <c r="AY307" s="176"/>
      <c r="AZ307" s="176"/>
      <c r="BA307" s="176"/>
      <c r="BB307" s="176"/>
      <c r="BC307" s="176"/>
      <c r="BD307" s="176"/>
    </row>
    <row r="308" ht="15.75" customHeight="1">
      <c r="A308" s="176"/>
      <c r="B308" s="176"/>
      <c r="C308" s="176"/>
      <c r="D308" s="176"/>
      <c r="E308" s="176"/>
      <c r="F308" s="176"/>
      <c r="G308" s="178"/>
      <c r="H308" s="176"/>
      <c r="I308" s="176"/>
      <c r="J308" s="176"/>
      <c r="K308" s="176"/>
      <c r="L308" s="176"/>
      <c r="M308" s="176"/>
      <c r="N308" s="176"/>
      <c r="O308" s="176"/>
      <c r="P308" s="176"/>
      <c r="Q308" s="176"/>
      <c r="R308" s="176"/>
      <c r="S308" s="176"/>
      <c r="T308" s="176"/>
      <c r="U308" s="176"/>
      <c r="V308" s="176"/>
      <c r="W308" s="176"/>
      <c r="X308" s="176"/>
      <c r="Y308" s="176"/>
      <c r="Z308" s="176"/>
      <c r="AA308" s="176"/>
      <c r="AB308" s="176"/>
      <c r="AC308" s="176"/>
      <c r="AD308" s="176"/>
      <c r="AE308" s="176"/>
      <c r="AF308" s="176"/>
      <c r="AG308" s="176"/>
      <c r="AH308" s="176"/>
      <c r="AI308" s="176"/>
      <c r="AJ308" s="176"/>
      <c r="AK308" s="176"/>
      <c r="AL308" s="176"/>
      <c r="AM308" s="176"/>
      <c r="AN308" s="176"/>
      <c r="AO308" s="176"/>
      <c r="AP308" s="176"/>
      <c r="AQ308" s="176"/>
      <c r="AR308" s="176"/>
      <c r="AS308" s="176"/>
      <c r="AT308" s="176"/>
      <c r="AU308" s="176"/>
      <c r="AV308" s="176"/>
      <c r="AW308" s="176"/>
      <c r="AX308" s="176"/>
      <c r="AY308" s="176"/>
      <c r="AZ308" s="176"/>
      <c r="BA308" s="176"/>
      <c r="BB308" s="176"/>
      <c r="BC308" s="176"/>
      <c r="BD308" s="176"/>
    </row>
    <row r="309" ht="15.75" customHeight="1">
      <c r="A309" s="176"/>
      <c r="B309" s="176"/>
      <c r="C309" s="176"/>
      <c r="D309" s="176"/>
      <c r="E309" s="176"/>
      <c r="F309" s="176"/>
      <c r="G309" s="178"/>
      <c r="H309" s="176"/>
      <c r="I309" s="176"/>
      <c r="J309" s="176"/>
      <c r="K309" s="176"/>
      <c r="L309" s="176"/>
      <c r="M309" s="176"/>
      <c r="N309" s="176"/>
      <c r="O309" s="176"/>
      <c r="P309" s="176"/>
      <c r="Q309" s="176"/>
      <c r="R309" s="176"/>
      <c r="S309" s="176"/>
      <c r="T309" s="176"/>
      <c r="U309" s="176"/>
      <c r="V309" s="176"/>
      <c r="W309" s="176"/>
      <c r="X309" s="176"/>
      <c r="Y309" s="176"/>
      <c r="Z309" s="176"/>
      <c r="AA309" s="176"/>
      <c r="AB309" s="176"/>
      <c r="AC309" s="176"/>
      <c r="AD309" s="176"/>
      <c r="AE309" s="176"/>
      <c r="AF309" s="176"/>
      <c r="AG309" s="176"/>
      <c r="AH309" s="176"/>
      <c r="AI309" s="176"/>
      <c r="AJ309" s="176"/>
      <c r="AK309" s="176"/>
      <c r="AL309" s="176"/>
      <c r="AM309" s="176"/>
      <c r="AN309" s="176"/>
      <c r="AO309" s="176"/>
      <c r="AP309" s="176"/>
      <c r="AQ309" s="176"/>
      <c r="AR309" s="176"/>
      <c r="AS309" s="176"/>
      <c r="AT309" s="176"/>
      <c r="AU309" s="176"/>
      <c r="AV309" s="176"/>
      <c r="AW309" s="176"/>
      <c r="AX309" s="176"/>
      <c r="AY309" s="176"/>
      <c r="AZ309" s="176"/>
      <c r="BA309" s="176"/>
      <c r="BB309" s="176"/>
      <c r="BC309" s="176"/>
      <c r="BD309" s="176"/>
    </row>
    <row r="310" ht="15.75" customHeight="1">
      <c r="A310" s="176"/>
      <c r="B310" s="176"/>
      <c r="C310" s="176"/>
      <c r="D310" s="176"/>
      <c r="E310" s="176"/>
      <c r="F310" s="176"/>
      <c r="G310" s="178"/>
      <c r="H310" s="176"/>
      <c r="I310" s="176"/>
      <c r="J310" s="176"/>
      <c r="K310" s="176"/>
      <c r="L310" s="176"/>
      <c r="M310" s="176"/>
      <c r="N310" s="176"/>
      <c r="O310" s="176"/>
      <c r="P310" s="176"/>
      <c r="Q310" s="176"/>
      <c r="R310" s="176"/>
      <c r="S310" s="176"/>
      <c r="T310" s="176"/>
      <c r="U310" s="176"/>
      <c r="V310" s="176"/>
      <c r="W310" s="176"/>
      <c r="X310" s="176"/>
      <c r="Y310" s="176"/>
      <c r="Z310" s="176"/>
      <c r="AA310" s="176"/>
      <c r="AB310" s="176"/>
      <c r="AC310" s="176"/>
      <c r="AD310" s="176"/>
      <c r="AE310" s="176"/>
      <c r="AF310" s="176"/>
      <c r="AG310" s="176"/>
      <c r="AH310" s="176"/>
      <c r="AI310" s="176"/>
      <c r="AJ310" s="176"/>
      <c r="AK310" s="176"/>
      <c r="AL310" s="176"/>
      <c r="AM310" s="176"/>
      <c r="AN310" s="176"/>
      <c r="AO310" s="176"/>
      <c r="AP310" s="176"/>
      <c r="AQ310" s="176"/>
      <c r="AR310" s="176"/>
      <c r="AS310" s="176"/>
      <c r="AT310" s="176"/>
      <c r="AU310" s="176"/>
      <c r="AV310" s="176"/>
      <c r="AW310" s="176"/>
      <c r="AX310" s="176"/>
      <c r="AY310" s="176"/>
      <c r="AZ310" s="176"/>
      <c r="BA310" s="176"/>
      <c r="BB310" s="176"/>
      <c r="BC310" s="176"/>
      <c r="BD310" s="176"/>
    </row>
    <row r="311" ht="15.75" customHeight="1">
      <c r="A311" s="176"/>
      <c r="B311" s="176"/>
      <c r="C311" s="176"/>
      <c r="D311" s="176"/>
      <c r="E311" s="176"/>
      <c r="F311" s="176"/>
      <c r="G311" s="178"/>
      <c r="H311" s="176"/>
      <c r="I311" s="176"/>
      <c r="J311" s="176"/>
      <c r="K311" s="176"/>
      <c r="L311" s="176"/>
      <c r="M311" s="176"/>
      <c r="N311" s="176"/>
      <c r="O311" s="176"/>
      <c r="P311" s="176"/>
      <c r="Q311" s="176"/>
      <c r="R311" s="176"/>
      <c r="S311" s="176"/>
      <c r="T311" s="176"/>
      <c r="U311" s="176"/>
      <c r="V311" s="176"/>
      <c r="W311" s="176"/>
      <c r="X311" s="176"/>
      <c r="Y311" s="176"/>
      <c r="Z311" s="176"/>
      <c r="AA311" s="176"/>
      <c r="AB311" s="176"/>
      <c r="AC311" s="176"/>
      <c r="AD311" s="176"/>
      <c r="AE311" s="176"/>
      <c r="AF311" s="176"/>
      <c r="AG311" s="176"/>
      <c r="AH311" s="176"/>
      <c r="AI311" s="176"/>
      <c r="AJ311" s="176"/>
      <c r="AK311" s="176"/>
      <c r="AL311" s="176"/>
      <c r="AM311" s="176"/>
      <c r="AN311" s="176"/>
      <c r="AO311" s="176"/>
      <c r="AP311" s="176"/>
      <c r="AQ311" s="176"/>
      <c r="AR311" s="176"/>
      <c r="AS311" s="176"/>
      <c r="AT311" s="176"/>
      <c r="AU311" s="176"/>
      <c r="AV311" s="176"/>
      <c r="AW311" s="176"/>
      <c r="AX311" s="176"/>
      <c r="AY311" s="176"/>
      <c r="AZ311" s="176"/>
      <c r="BA311" s="176"/>
      <c r="BB311" s="176"/>
      <c r="BC311" s="176"/>
      <c r="BD311" s="176"/>
    </row>
    <row r="312" ht="15.75" customHeight="1">
      <c r="A312" s="176"/>
      <c r="B312" s="176"/>
      <c r="C312" s="176"/>
      <c r="D312" s="176"/>
      <c r="E312" s="176"/>
      <c r="F312" s="176"/>
      <c r="G312" s="178"/>
      <c r="H312" s="176"/>
      <c r="I312" s="176"/>
      <c r="J312" s="176"/>
      <c r="K312" s="176"/>
      <c r="L312" s="176"/>
      <c r="M312" s="176"/>
      <c r="N312" s="176"/>
      <c r="O312" s="176"/>
      <c r="P312" s="176"/>
      <c r="Q312" s="176"/>
      <c r="R312" s="176"/>
      <c r="S312" s="176"/>
      <c r="T312" s="176"/>
      <c r="U312" s="176"/>
      <c r="V312" s="176"/>
      <c r="W312" s="176"/>
      <c r="X312" s="176"/>
      <c r="Y312" s="176"/>
      <c r="Z312" s="176"/>
      <c r="AA312" s="176"/>
      <c r="AB312" s="176"/>
      <c r="AC312" s="176"/>
      <c r="AD312" s="176"/>
      <c r="AE312" s="176"/>
      <c r="AF312" s="176"/>
      <c r="AG312" s="176"/>
      <c r="AH312" s="176"/>
      <c r="AI312" s="176"/>
      <c r="AJ312" s="176"/>
      <c r="AK312" s="176"/>
      <c r="AL312" s="176"/>
      <c r="AM312" s="176"/>
      <c r="AN312" s="176"/>
      <c r="AO312" s="176"/>
      <c r="AP312" s="176"/>
      <c r="AQ312" s="176"/>
      <c r="AR312" s="176"/>
      <c r="AS312" s="176"/>
      <c r="AT312" s="176"/>
      <c r="AU312" s="176"/>
      <c r="AV312" s="176"/>
      <c r="AW312" s="176"/>
      <c r="AX312" s="176"/>
      <c r="AY312" s="176"/>
      <c r="AZ312" s="176"/>
      <c r="BA312" s="176"/>
      <c r="BB312" s="176"/>
      <c r="BC312" s="176"/>
      <c r="BD312" s="176"/>
    </row>
    <row r="313" ht="15.75" customHeight="1">
      <c r="A313" s="176"/>
      <c r="B313" s="176"/>
      <c r="C313" s="176"/>
      <c r="D313" s="176"/>
      <c r="E313" s="176"/>
      <c r="F313" s="176"/>
      <c r="G313" s="178"/>
      <c r="H313" s="176"/>
      <c r="I313" s="176"/>
      <c r="J313" s="176"/>
      <c r="K313" s="176"/>
      <c r="L313" s="176"/>
      <c r="M313" s="176"/>
      <c r="N313" s="176"/>
      <c r="O313" s="176"/>
      <c r="P313" s="176"/>
      <c r="Q313" s="176"/>
      <c r="R313" s="176"/>
      <c r="S313" s="176"/>
      <c r="T313" s="176"/>
      <c r="U313" s="176"/>
      <c r="V313" s="176"/>
      <c r="W313" s="176"/>
      <c r="X313" s="176"/>
      <c r="Y313" s="176"/>
      <c r="Z313" s="176"/>
      <c r="AA313" s="176"/>
      <c r="AB313" s="176"/>
      <c r="AC313" s="176"/>
      <c r="AD313" s="176"/>
      <c r="AE313" s="176"/>
      <c r="AF313" s="176"/>
      <c r="AG313" s="176"/>
      <c r="AH313" s="176"/>
      <c r="AI313" s="176"/>
      <c r="AJ313" s="176"/>
      <c r="AK313" s="176"/>
      <c r="AL313" s="176"/>
      <c r="AM313" s="176"/>
      <c r="AN313" s="176"/>
      <c r="AO313" s="176"/>
      <c r="AP313" s="176"/>
      <c r="AQ313" s="176"/>
      <c r="AR313" s="176"/>
      <c r="AS313" s="176"/>
      <c r="AT313" s="176"/>
      <c r="AU313" s="176"/>
      <c r="AV313" s="176"/>
      <c r="AW313" s="176"/>
      <c r="AX313" s="176"/>
      <c r="AY313" s="176"/>
      <c r="AZ313" s="176"/>
      <c r="BA313" s="176"/>
      <c r="BB313" s="176"/>
      <c r="BC313" s="176"/>
      <c r="BD313" s="176"/>
    </row>
    <row r="314" ht="15.75" customHeight="1">
      <c r="A314" s="176"/>
      <c r="B314" s="176"/>
      <c r="C314" s="176"/>
      <c r="D314" s="176"/>
      <c r="E314" s="176"/>
      <c r="F314" s="176"/>
      <c r="G314" s="178"/>
      <c r="H314" s="176"/>
      <c r="I314" s="176"/>
      <c r="J314" s="176"/>
      <c r="K314" s="176"/>
      <c r="L314" s="176"/>
      <c r="M314" s="176"/>
      <c r="N314" s="176"/>
      <c r="O314" s="176"/>
      <c r="P314" s="176"/>
      <c r="Q314" s="176"/>
      <c r="R314" s="176"/>
      <c r="S314" s="176"/>
      <c r="T314" s="176"/>
      <c r="U314" s="176"/>
      <c r="V314" s="176"/>
      <c r="W314" s="176"/>
      <c r="X314" s="176"/>
      <c r="Y314" s="176"/>
      <c r="Z314" s="176"/>
      <c r="AA314" s="176"/>
      <c r="AB314" s="176"/>
      <c r="AC314" s="176"/>
      <c r="AD314" s="176"/>
      <c r="AE314" s="176"/>
      <c r="AF314" s="176"/>
      <c r="AG314" s="176"/>
      <c r="AH314" s="176"/>
      <c r="AI314" s="176"/>
      <c r="AJ314" s="176"/>
      <c r="AK314" s="176"/>
      <c r="AL314" s="176"/>
      <c r="AM314" s="176"/>
      <c r="AN314" s="176"/>
      <c r="AO314" s="176"/>
      <c r="AP314" s="176"/>
      <c r="AQ314" s="176"/>
      <c r="AR314" s="176"/>
      <c r="AS314" s="176"/>
      <c r="AT314" s="176"/>
      <c r="AU314" s="176"/>
      <c r="AV314" s="176"/>
      <c r="AW314" s="176"/>
      <c r="AX314" s="176"/>
      <c r="AY314" s="176"/>
      <c r="AZ314" s="176"/>
      <c r="BA314" s="176"/>
      <c r="BB314" s="176"/>
      <c r="BC314" s="176"/>
      <c r="BD314" s="176"/>
    </row>
    <row r="315" ht="15.75" customHeight="1">
      <c r="A315" s="176"/>
      <c r="B315" s="176"/>
      <c r="C315" s="176"/>
      <c r="D315" s="176"/>
      <c r="E315" s="176"/>
      <c r="F315" s="176"/>
      <c r="G315" s="178"/>
      <c r="H315" s="176"/>
      <c r="I315" s="176"/>
      <c r="J315" s="176"/>
      <c r="K315" s="176"/>
      <c r="L315" s="176"/>
      <c r="M315" s="176"/>
      <c r="N315" s="176"/>
      <c r="O315" s="176"/>
      <c r="P315" s="176"/>
      <c r="Q315" s="176"/>
      <c r="R315" s="176"/>
      <c r="S315" s="176"/>
      <c r="T315" s="176"/>
      <c r="U315" s="176"/>
      <c r="V315" s="176"/>
      <c r="W315" s="176"/>
      <c r="X315" s="176"/>
      <c r="Y315" s="176"/>
      <c r="Z315" s="176"/>
      <c r="AA315" s="176"/>
      <c r="AB315" s="176"/>
      <c r="AC315" s="176"/>
      <c r="AD315" s="176"/>
      <c r="AE315" s="176"/>
      <c r="AF315" s="176"/>
      <c r="AG315" s="176"/>
      <c r="AH315" s="176"/>
      <c r="AI315" s="176"/>
      <c r="AJ315" s="176"/>
      <c r="AK315" s="176"/>
      <c r="AL315" s="176"/>
      <c r="AM315" s="176"/>
      <c r="AN315" s="176"/>
      <c r="AO315" s="176"/>
      <c r="AP315" s="176"/>
      <c r="AQ315" s="176"/>
      <c r="AR315" s="176"/>
      <c r="AS315" s="176"/>
      <c r="AT315" s="176"/>
      <c r="AU315" s="176"/>
      <c r="AV315" s="176"/>
      <c r="AW315" s="176"/>
      <c r="AX315" s="176"/>
      <c r="AY315" s="176"/>
      <c r="AZ315" s="176"/>
      <c r="BA315" s="176"/>
      <c r="BB315" s="176"/>
      <c r="BC315" s="176"/>
      <c r="BD315" s="176"/>
    </row>
    <row r="316" ht="15.75" customHeight="1">
      <c r="A316" s="176"/>
      <c r="B316" s="176"/>
      <c r="C316" s="176"/>
      <c r="D316" s="176"/>
      <c r="E316" s="176"/>
      <c r="F316" s="176"/>
      <c r="G316" s="178"/>
      <c r="H316" s="176"/>
      <c r="I316" s="176"/>
      <c r="J316" s="176"/>
      <c r="K316" s="176"/>
      <c r="L316" s="176"/>
      <c r="M316" s="176"/>
      <c r="N316" s="176"/>
      <c r="O316" s="176"/>
      <c r="P316" s="176"/>
      <c r="Q316" s="176"/>
      <c r="R316" s="176"/>
      <c r="S316" s="176"/>
      <c r="T316" s="176"/>
      <c r="U316" s="176"/>
      <c r="V316" s="176"/>
      <c r="W316" s="176"/>
      <c r="X316" s="176"/>
      <c r="Y316" s="176"/>
      <c r="Z316" s="176"/>
      <c r="AA316" s="176"/>
      <c r="AB316" s="176"/>
      <c r="AC316" s="176"/>
      <c r="AD316" s="176"/>
      <c r="AE316" s="176"/>
      <c r="AF316" s="176"/>
      <c r="AG316" s="176"/>
      <c r="AH316" s="176"/>
      <c r="AI316" s="176"/>
      <c r="AJ316" s="176"/>
      <c r="AK316" s="176"/>
      <c r="AL316" s="176"/>
      <c r="AM316" s="176"/>
      <c r="AN316" s="176"/>
      <c r="AO316" s="176"/>
      <c r="AP316" s="176"/>
      <c r="AQ316" s="176"/>
      <c r="AR316" s="176"/>
      <c r="AS316" s="176"/>
      <c r="AT316" s="176"/>
      <c r="AU316" s="176"/>
      <c r="AV316" s="176"/>
      <c r="AW316" s="176"/>
      <c r="AX316" s="176"/>
      <c r="AY316" s="176"/>
      <c r="AZ316" s="176"/>
      <c r="BA316" s="176"/>
      <c r="BB316" s="176"/>
      <c r="BC316" s="176"/>
      <c r="BD316" s="176"/>
    </row>
    <row r="317" ht="15.75" customHeight="1">
      <c r="A317" s="176"/>
      <c r="B317" s="176"/>
      <c r="C317" s="176"/>
      <c r="D317" s="176"/>
      <c r="E317" s="176"/>
      <c r="F317" s="176"/>
      <c r="G317" s="178"/>
      <c r="H317" s="176"/>
      <c r="I317" s="176"/>
      <c r="J317" s="176"/>
      <c r="K317" s="176"/>
      <c r="L317" s="176"/>
      <c r="M317" s="176"/>
      <c r="N317" s="176"/>
      <c r="O317" s="176"/>
      <c r="P317" s="176"/>
      <c r="Q317" s="176"/>
      <c r="R317" s="176"/>
      <c r="S317" s="176"/>
      <c r="T317" s="176"/>
      <c r="U317" s="176"/>
      <c r="V317" s="176"/>
      <c r="W317" s="176"/>
      <c r="X317" s="176"/>
      <c r="Y317" s="176"/>
      <c r="Z317" s="176"/>
      <c r="AA317" s="176"/>
      <c r="AB317" s="176"/>
      <c r="AC317" s="176"/>
      <c r="AD317" s="176"/>
      <c r="AE317" s="176"/>
      <c r="AF317" s="176"/>
      <c r="AG317" s="176"/>
      <c r="AH317" s="176"/>
      <c r="AI317" s="176"/>
      <c r="AJ317" s="176"/>
      <c r="AK317" s="176"/>
      <c r="AL317" s="176"/>
      <c r="AM317" s="176"/>
      <c r="AN317" s="176"/>
      <c r="AO317" s="176"/>
      <c r="AP317" s="176"/>
      <c r="AQ317" s="176"/>
      <c r="AR317" s="176"/>
      <c r="AS317" s="176"/>
      <c r="AT317" s="176"/>
      <c r="AU317" s="176"/>
      <c r="AV317" s="176"/>
      <c r="AW317" s="176"/>
      <c r="AX317" s="176"/>
      <c r="AY317" s="176"/>
      <c r="AZ317" s="176"/>
      <c r="BA317" s="176"/>
      <c r="BB317" s="176"/>
      <c r="BC317" s="176"/>
      <c r="BD317" s="176"/>
    </row>
    <row r="318" ht="15.75" customHeight="1">
      <c r="A318" s="176"/>
      <c r="B318" s="176"/>
      <c r="C318" s="176"/>
      <c r="D318" s="176"/>
      <c r="E318" s="176"/>
      <c r="F318" s="176"/>
      <c r="G318" s="178"/>
      <c r="H318" s="176"/>
      <c r="I318" s="176"/>
      <c r="J318" s="176"/>
      <c r="K318" s="176"/>
      <c r="L318" s="176"/>
      <c r="M318" s="176"/>
      <c r="N318" s="176"/>
      <c r="O318" s="176"/>
      <c r="P318" s="176"/>
      <c r="Q318" s="176"/>
      <c r="R318" s="176"/>
      <c r="S318" s="176"/>
      <c r="T318" s="176"/>
      <c r="U318" s="176"/>
      <c r="V318" s="176"/>
      <c r="W318" s="176"/>
      <c r="X318" s="176"/>
      <c r="Y318" s="176"/>
      <c r="Z318" s="176"/>
      <c r="AA318" s="176"/>
      <c r="AB318" s="176"/>
      <c r="AC318" s="176"/>
      <c r="AD318" s="176"/>
      <c r="AE318" s="176"/>
      <c r="AF318" s="176"/>
      <c r="AG318" s="176"/>
      <c r="AH318" s="176"/>
      <c r="AI318" s="176"/>
      <c r="AJ318" s="176"/>
      <c r="AK318" s="176"/>
      <c r="AL318" s="176"/>
      <c r="AM318" s="176"/>
      <c r="AN318" s="176"/>
      <c r="AO318" s="176"/>
      <c r="AP318" s="176"/>
      <c r="AQ318" s="176"/>
      <c r="AR318" s="176"/>
      <c r="AS318" s="176"/>
      <c r="AT318" s="176"/>
      <c r="AU318" s="176"/>
      <c r="AV318" s="176"/>
      <c r="AW318" s="176"/>
      <c r="AX318" s="176"/>
      <c r="AY318" s="176"/>
      <c r="AZ318" s="176"/>
      <c r="BA318" s="176"/>
      <c r="BB318" s="176"/>
      <c r="BC318" s="176"/>
      <c r="BD318" s="176"/>
    </row>
    <row r="319" ht="15.75" customHeight="1">
      <c r="A319" s="176"/>
      <c r="B319" s="176"/>
      <c r="C319" s="176"/>
      <c r="D319" s="176"/>
      <c r="E319" s="176"/>
      <c r="F319" s="176"/>
      <c r="G319" s="178"/>
      <c r="H319" s="176"/>
      <c r="I319" s="176"/>
      <c r="J319" s="176"/>
      <c r="K319" s="176"/>
      <c r="L319" s="176"/>
      <c r="M319" s="176"/>
      <c r="N319" s="176"/>
      <c r="O319" s="176"/>
      <c r="P319" s="176"/>
      <c r="Q319" s="176"/>
      <c r="R319" s="176"/>
      <c r="S319" s="176"/>
      <c r="T319" s="176"/>
      <c r="U319" s="176"/>
      <c r="V319" s="176"/>
      <c r="W319" s="176"/>
      <c r="X319" s="176"/>
      <c r="Y319" s="176"/>
      <c r="Z319" s="176"/>
      <c r="AA319" s="176"/>
      <c r="AB319" s="176"/>
      <c r="AC319" s="176"/>
      <c r="AD319" s="176"/>
      <c r="AE319" s="176"/>
      <c r="AF319" s="176"/>
      <c r="AG319" s="176"/>
      <c r="AH319" s="176"/>
      <c r="AI319" s="176"/>
      <c r="AJ319" s="176"/>
      <c r="AK319" s="176"/>
      <c r="AL319" s="176"/>
      <c r="AM319" s="176"/>
      <c r="AN319" s="176"/>
      <c r="AO319" s="176"/>
      <c r="AP319" s="176"/>
      <c r="AQ319" s="176"/>
      <c r="AR319" s="176"/>
      <c r="AS319" s="176"/>
      <c r="AT319" s="176"/>
      <c r="AU319" s="176"/>
      <c r="AV319" s="176"/>
      <c r="AW319" s="176"/>
      <c r="AX319" s="176"/>
      <c r="AY319" s="176"/>
      <c r="AZ319" s="176"/>
      <c r="BA319" s="176"/>
      <c r="BB319" s="176"/>
      <c r="BC319" s="176"/>
      <c r="BD319" s="176"/>
    </row>
    <row r="320" ht="15.75" customHeight="1">
      <c r="A320" s="176"/>
      <c r="B320" s="176"/>
      <c r="C320" s="176"/>
      <c r="D320" s="176"/>
      <c r="E320" s="176"/>
      <c r="F320" s="176"/>
      <c r="G320" s="178"/>
      <c r="H320" s="176"/>
      <c r="I320" s="176"/>
      <c r="J320" s="176"/>
      <c r="K320" s="176"/>
      <c r="L320" s="176"/>
      <c r="M320" s="176"/>
      <c r="N320" s="176"/>
      <c r="O320" s="176"/>
      <c r="P320" s="176"/>
      <c r="Q320" s="176"/>
      <c r="R320" s="176"/>
      <c r="S320" s="176"/>
      <c r="T320" s="176"/>
      <c r="U320" s="176"/>
      <c r="V320" s="176"/>
      <c r="W320" s="176"/>
      <c r="X320" s="176"/>
      <c r="Y320" s="176"/>
      <c r="Z320" s="176"/>
      <c r="AA320" s="176"/>
      <c r="AB320" s="176"/>
      <c r="AC320" s="176"/>
      <c r="AD320" s="176"/>
      <c r="AE320" s="176"/>
      <c r="AF320" s="176"/>
      <c r="AG320" s="176"/>
      <c r="AH320" s="176"/>
      <c r="AI320" s="176"/>
      <c r="AJ320" s="176"/>
      <c r="AK320" s="176"/>
      <c r="AL320" s="176"/>
      <c r="AM320" s="176"/>
      <c r="AN320" s="176"/>
      <c r="AO320" s="176"/>
      <c r="AP320" s="176"/>
      <c r="AQ320" s="176"/>
      <c r="AR320" s="176"/>
      <c r="AS320" s="176"/>
      <c r="AT320" s="176"/>
      <c r="AU320" s="176"/>
      <c r="AV320" s="176"/>
      <c r="AW320" s="176"/>
      <c r="AX320" s="176"/>
      <c r="AY320" s="176"/>
      <c r="AZ320" s="176"/>
      <c r="BA320" s="176"/>
      <c r="BB320" s="176"/>
      <c r="BC320" s="176"/>
      <c r="BD320" s="176"/>
    </row>
    <row r="321" ht="15.75" customHeight="1">
      <c r="A321" s="176"/>
      <c r="B321" s="176"/>
      <c r="C321" s="176"/>
      <c r="D321" s="176"/>
      <c r="E321" s="176"/>
      <c r="F321" s="176"/>
      <c r="G321" s="178"/>
      <c r="H321" s="176"/>
      <c r="I321" s="176"/>
      <c r="J321" s="176"/>
      <c r="K321" s="176"/>
      <c r="L321" s="176"/>
      <c r="M321" s="176"/>
      <c r="N321" s="176"/>
      <c r="O321" s="176"/>
      <c r="P321" s="176"/>
      <c r="Q321" s="176"/>
      <c r="R321" s="176"/>
      <c r="S321" s="176"/>
      <c r="T321" s="176"/>
      <c r="U321" s="176"/>
      <c r="V321" s="176"/>
      <c r="W321" s="176"/>
      <c r="X321" s="176"/>
      <c r="Y321" s="176"/>
      <c r="Z321" s="176"/>
      <c r="AA321" s="176"/>
      <c r="AB321" s="176"/>
      <c r="AC321" s="176"/>
      <c r="AD321" s="176"/>
      <c r="AE321" s="176"/>
      <c r="AF321" s="176"/>
      <c r="AG321" s="176"/>
      <c r="AH321" s="176"/>
      <c r="AI321" s="176"/>
      <c r="AJ321" s="176"/>
      <c r="AK321" s="176"/>
      <c r="AL321" s="176"/>
      <c r="AM321" s="176"/>
      <c r="AN321" s="176"/>
      <c r="AO321" s="176"/>
      <c r="AP321" s="176"/>
      <c r="AQ321" s="176"/>
      <c r="AR321" s="176"/>
      <c r="AS321" s="176"/>
      <c r="AT321" s="176"/>
      <c r="AU321" s="176"/>
      <c r="AV321" s="176"/>
      <c r="AW321" s="176"/>
      <c r="AX321" s="176"/>
      <c r="AY321" s="176"/>
      <c r="AZ321" s="176"/>
      <c r="BA321" s="176"/>
      <c r="BB321" s="176"/>
      <c r="BC321" s="176"/>
      <c r="BD321" s="176"/>
    </row>
    <row r="322" ht="15.75" customHeight="1">
      <c r="A322" s="176"/>
      <c r="B322" s="176"/>
      <c r="C322" s="176"/>
      <c r="D322" s="176"/>
      <c r="E322" s="176"/>
      <c r="F322" s="176"/>
      <c r="G322" s="178"/>
      <c r="H322" s="176"/>
      <c r="I322" s="176"/>
      <c r="J322" s="176"/>
      <c r="K322" s="176"/>
      <c r="L322" s="176"/>
      <c r="M322" s="176"/>
      <c r="N322" s="176"/>
      <c r="O322" s="176"/>
      <c r="P322" s="176"/>
      <c r="Q322" s="176"/>
      <c r="R322" s="176"/>
      <c r="S322" s="176"/>
      <c r="T322" s="176"/>
      <c r="U322" s="176"/>
      <c r="V322" s="176"/>
      <c r="W322" s="176"/>
      <c r="X322" s="176"/>
      <c r="Y322" s="176"/>
      <c r="Z322" s="176"/>
      <c r="AA322" s="176"/>
      <c r="AB322" s="176"/>
      <c r="AC322" s="176"/>
      <c r="AD322" s="176"/>
      <c r="AE322" s="176"/>
      <c r="AF322" s="176"/>
      <c r="AG322" s="176"/>
      <c r="AH322" s="176"/>
      <c r="AI322" s="176"/>
      <c r="AJ322" s="176"/>
      <c r="AK322" s="176"/>
      <c r="AL322" s="176"/>
      <c r="AM322" s="176"/>
      <c r="AN322" s="176"/>
      <c r="AO322" s="176"/>
      <c r="AP322" s="176"/>
      <c r="AQ322" s="176"/>
      <c r="AR322" s="176"/>
      <c r="AS322" s="176"/>
      <c r="AT322" s="176"/>
      <c r="AU322" s="176"/>
      <c r="AV322" s="176"/>
      <c r="AW322" s="176"/>
      <c r="AX322" s="176"/>
      <c r="AY322" s="176"/>
      <c r="AZ322" s="176"/>
      <c r="BA322" s="176"/>
      <c r="BB322" s="176"/>
      <c r="BC322" s="176"/>
      <c r="BD322" s="176"/>
    </row>
    <row r="323" ht="15.75" customHeight="1">
      <c r="A323" s="176"/>
      <c r="B323" s="176"/>
      <c r="C323" s="176"/>
      <c r="D323" s="176"/>
      <c r="E323" s="176"/>
      <c r="F323" s="176"/>
      <c r="G323" s="178"/>
      <c r="H323" s="176"/>
      <c r="I323" s="176"/>
      <c r="J323" s="176"/>
      <c r="K323" s="176"/>
      <c r="L323" s="176"/>
      <c r="M323" s="176"/>
      <c r="N323" s="176"/>
      <c r="O323" s="176"/>
      <c r="P323" s="176"/>
      <c r="Q323" s="176"/>
      <c r="R323" s="176"/>
      <c r="S323" s="176"/>
      <c r="T323" s="176"/>
      <c r="U323" s="176"/>
      <c r="V323" s="176"/>
      <c r="W323" s="176"/>
      <c r="X323" s="176"/>
      <c r="Y323" s="176"/>
      <c r="Z323" s="176"/>
      <c r="AA323" s="176"/>
      <c r="AB323" s="176"/>
      <c r="AC323" s="176"/>
      <c r="AD323" s="176"/>
      <c r="AE323" s="176"/>
      <c r="AF323" s="176"/>
      <c r="AG323" s="176"/>
      <c r="AH323" s="176"/>
      <c r="AI323" s="176"/>
      <c r="AJ323" s="176"/>
      <c r="AK323" s="176"/>
      <c r="AL323" s="176"/>
      <c r="AM323" s="176"/>
      <c r="AN323" s="176"/>
      <c r="AO323" s="176"/>
      <c r="AP323" s="176"/>
      <c r="AQ323" s="176"/>
      <c r="AR323" s="176"/>
      <c r="AS323" s="176"/>
      <c r="AT323" s="176"/>
      <c r="AU323" s="176"/>
      <c r="AV323" s="176"/>
      <c r="AW323" s="176"/>
      <c r="AX323" s="176"/>
      <c r="AY323" s="176"/>
      <c r="AZ323" s="176"/>
      <c r="BA323" s="176"/>
      <c r="BB323" s="176"/>
      <c r="BC323" s="176"/>
      <c r="BD323" s="176"/>
    </row>
    <row r="324" ht="15.75" customHeight="1">
      <c r="A324" s="176"/>
      <c r="B324" s="176"/>
      <c r="C324" s="176"/>
      <c r="D324" s="176"/>
      <c r="E324" s="176"/>
      <c r="F324" s="176"/>
      <c r="G324" s="178"/>
      <c r="H324" s="176"/>
      <c r="I324" s="176"/>
      <c r="J324" s="176"/>
      <c r="K324" s="176"/>
      <c r="L324" s="176"/>
      <c r="M324" s="176"/>
      <c r="N324" s="176"/>
      <c r="O324" s="176"/>
      <c r="P324" s="176"/>
      <c r="Q324" s="176"/>
      <c r="R324" s="176"/>
      <c r="S324" s="176"/>
      <c r="T324" s="176"/>
      <c r="U324" s="176"/>
      <c r="V324" s="176"/>
      <c r="W324" s="176"/>
      <c r="X324" s="176"/>
      <c r="Y324" s="176"/>
      <c r="Z324" s="176"/>
      <c r="AA324" s="176"/>
      <c r="AB324" s="176"/>
      <c r="AC324" s="176"/>
      <c r="AD324" s="176"/>
      <c r="AE324" s="176"/>
      <c r="AF324" s="176"/>
      <c r="AG324" s="176"/>
      <c r="AH324" s="176"/>
      <c r="AI324" s="176"/>
      <c r="AJ324" s="176"/>
      <c r="AK324" s="176"/>
      <c r="AL324" s="176"/>
      <c r="AM324" s="176"/>
      <c r="AN324" s="176"/>
      <c r="AO324" s="176"/>
      <c r="AP324" s="176"/>
      <c r="AQ324" s="176"/>
      <c r="AR324" s="176"/>
      <c r="AS324" s="176"/>
      <c r="AT324" s="176"/>
      <c r="AU324" s="176"/>
      <c r="AV324" s="176"/>
      <c r="AW324" s="176"/>
      <c r="AX324" s="176"/>
      <c r="AY324" s="176"/>
      <c r="AZ324" s="176"/>
      <c r="BA324" s="176"/>
      <c r="BB324" s="176"/>
      <c r="BC324" s="176"/>
      <c r="BD324" s="176"/>
    </row>
    <row r="325" ht="15.75" customHeight="1">
      <c r="A325" s="176"/>
      <c r="B325" s="176"/>
      <c r="C325" s="176"/>
      <c r="D325" s="176"/>
      <c r="E325" s="176"/>
      <c r="F325" s="176"/>
      <c r="G325" s="178"/>
      <c r="H325" s="176"/>
      <c r="I325" s="176"/>
      <c r="J325" s="176"/>
      <c r="K325" s="176"/>
      <c r="L325" s="176"/>
      <c r="M325" s="176"/>
      <c r="N325" s="176"/>
      <c r="O325" s="176"/>
      <c r="P325" s="176"/>
      <c r="Q325" s="176"/>
      <c r="R325" s="176"/>
      <c r="S325" s="176"/>
      <c r="T325" s="176"/>
      <c r="U325" s="176"/>
      <c r="V325" s="176"/>
      <c r="W325" s="176"/>
      <c r="X325" s="176"/>
      <c r="Y325" s="176"/>
      <c r="Z325" s="176"/>
      <c r="AA325" s="176"/>
      <c r="AB325" s="176"/>
      <c r="AC325" s="176"/>
      <c r="AD325" s="176"/>
      <c r="AE325" s="176"/>
      <c r="AF325" s="176"/>
      <c r="AG325" s="176"/>
      <c r="AH325" s="176"/>
      <c r="AI325" s="176"/>
      <c r="AJ325" s="176"/>
      <c r="AK325" s="176"/>
      <c r="AL325" s="176"/>
      <c r="AM325" s="176"/>
      <c r="AN325" s="176"/>
      <c r="AO325" s="176"/>
      <c r="AP325" s="176"/>
      <c r="AQ325" s="176"/>
      <c r="AR325" s="176"/>
      <c r="AS325" s="176"/>
      <c r="AT325" s="176"/>
      <c r="AU325" s="176"/>
      <c r="AV325" s="176"/>
      <c r="AW325" s="176"/>
      <c r="AX325" s="176"/>
      <c r="AY325" s="176"/>
      <c r="AZ325" s="176"/>
      <c r="BA325" s="176"/>
      <c r="BB325" s="176"/>
      <c r="BC325" s="176"/>
      <c r="BD325" s="176"/>
    </row>
    <row r="326" ht="15.75" customHeight="1">
      <c r="A326" s="176"/>
      <c r="B326" s="176"/>
      <c r="C326" s="176"/>
      <c r="D326" s="176"/>
      <c r="E326" s="176"/>
      <c r="F326" s="176"/>
      <c r="G326" s="178"/>
      <c r="H326" s="176"/>
      <c r="I326" s="176"/>
      <c r="J326" s="176"/>
      <c r="K326" s="176"/>
      <c r="L326" s="176"/>
      <c r="M326" s="176"/>
      <c r="N326" s="176"/>
      <c r="O326" s="176"/>
      <c r="P326" s="176"/>
      <c r="Q326" s="176"/>
      <c r="R326" s="176"/>
      <c r="S326" s="176"/>
      <c r="T326" s="176"/>
      <c r="U326" s="176"/>
      <c r="V326" s="176"/>
      <c r="W326" s="176"/>
      <c r="X326" s="176"/>
      <c r="Y326" s="176"/>
      <c r="Z326" s="176"/>
      <c r="AA326" s="176"/>
      <c r="AB326" s="176"/>
      <c r="AC326" s="176"/>
      <c r="AD326" s="176"/>
      <c r="AE326" s="176"/>
      <c r="AF326" s="176"/>
      <c r="AG326" s="176"/>
      <c r="AH326" s="176"/>
      <c r="AI326" s="176"/>
      <c r="AJ326" s="176"/>
      <c r="AK326" s="176"/>
      <c r="AL326" s="176"/>
      <c r="AM326" s="176"/>
      <c r="AN326" s="176"/>
      <c r="AO326" s="176"/>
      <c r="AP326" s="176"/>
      <c r="AQ326" s="176"/>
      <c r="AR326" s="176"/>
      <c r="AS326" s="176"/>
      <c r="AT326" s="176"/>
      <c r="AU326" s="176"/>
      <c r="AV326" s="176"/>
      <c r="AW326" s="176"/>
      <c r="AX326" s="176"/>
      <c r="AY326" s="176"/>
      <c r="AZ326" s="176"/>
      <c r="BA326" s="176"/>
      <c r="BB326" s="176"/>
      <c r="BC326" s="176"/>
      <c r="BD326" s="176"/>
    </row>
    <row r="327" ht="15.75" customHeight="1">
      <c r="A327" s="176"/>
      <c r="B327" s="176"/>
      <c r="C327" s="176"/>
      <c r="D327" s="176"/>
      <c r="E327" s="176"/>
      <c r="F327" s="176"/>
      <c r="G327" s="178"/>
      <c r="H327" s="176"/>
      <c r="I327" s="176"/>
      <c r="J327" s="176"/>
      <c r="K327" s="176"/>
      <c r="L327" s="176"/>
      <c r="M327" s="176"/>
      <c r="N327" s="176"/>
      <c r="O327" s="176"/>
      <c r="P327" s="176"/>
      <c r="Q327" s="176"/>
      <c r="R327" s="176"/>
      <c r="S327" s="176"/>
      <c r="T327" s="176"/>
      <c r="U327" s="176"/>
      <c r="V327" s="176"/>
      <c r="W327" s="176"/>
      <c r="X327" s="176"/>
      <c r="Y327" s="176"/>
      <c r="Z327" s="176"/>
      <c r="AA327" s="176"/>
      <c r="AB327" s="176"/>
      <c r="AC327" s="176"/>
      <c r="AD327" s="176"/>
      <c r="AE327" s="176"/>
      <c r="AF327" s="176"/>
      <c r="AG327" s="176"/>
      <c r="AH327" s="176"/>
      <c r="AI327" s="176"/>
      <c r="AJ327" s="176"/>
      <c r="AK327" s="176"/>
      <c r="AL327" s="176"/>
      <c r="AM327" s="176"/>
      <c r="AN327" s="176"/>
      <c r="AO327" s="176"/>
      <c r="AP327" s="176"/>
      <c r="AQ327" s="176"/>
      <c r="AR327" s="176"/>
      <c r="AS327" s="176"/>
      <c r="AT327" s="176"/>
      <c r="AU327" s="176"/>
      <c r="AV327" s="176"/>
      <c r="AW327" s="176"/>
      <c r="AX327" s="176"/>
      <c r="AY327" s="176"/>
      <c r="AZ327" s="176"/>
      <c r="BA327" s="176"/>
      <c r="BB327" s="176"/>
      <c r="BC327" s="176"/>
      <c r="BD327" s="176"/>
    </row>
    <row r="328" ht="15.75" customHeight="1">
      <c r="A328" s="176"/>
      <c r="B328" s="176"/>
      <c r="C328" s="176"/>
      <c r="D328" s="176"/>
      <c r="E328" s="176"/>
      <c r="F328" s="176"/>
      <c r="G328" s="178"/>
      <c r="H328" s="176"/>
      <c r="I328" s="176"/>
      <c r="J328" s="176"/>
      <c r="K328" s="176"/>
      <c r="L328" s="176"/>
      <c r="M328" s="176"/>
      <c r="N328" s="176"/>
      <c r="O328" s="176"/>
      <c r="P328" s="176"/>
      <c r="Q328" s="176"/>
      <c r="R328" s="176"/>
      <c r="S328" s="176"/>
      <c r="T328" s="176"/>
      <c r="U328" s="176"/>
      <c r="V328" s="176"/>
      <c r="W328" s="176"/>
      <c r="X328" s="176"/>
      <c r="Y328" s="176"/>
      <c r="Z328" s="176"/>
      <c r="AA328" s="176"/>
      <c r="AB328" s="176"/>
      <c r="AC328" s="176"/>
      <c r="AD328" s="176"/>
      <c r="AE328" s="176"/>
      <c r="AF328" s="176"/>
      <c r="AG328" s="176"/>
      <c r="AH328" s="176"/>
      <c r="AI328" s="176"/>
      <c r="AJ328" s="176"/>
      <c r="AK328" s="176"/>
      <c r="AL328" s="176"/>
      <c r="AM328" s="176"/>
      <c r="AN328" s="176"/>
      <c r="AO328" s="176"/>
      <c r="AP328" s="176"/>
      <c r="AQ328" s="176"/>
      <c r="AR328" s="176"/>
      <c r="AS328" s="176"/>
      <c r="AT328" s="176"/>
      <c r="AU328" s="176"/>
      <c r="AV328" s="176"/>
      <c r="AW328" s="176"/>
      <c r="AX328" s="176"/>
      <c r="AY328" s="176"/>
      <c r="AZ328" s="176"/>
      <c r="BA328" s="176"/>
      <c r="BB328" s="176"/>
      <c r="BC328" s="176"/>
      <c r="BD328" s="176"/>
    </row>
    <row r="329" ht="15.75" customHeight="1">
      <c r="A329" s="176"/>
      <c r="B329" s="176"/>
      <c r="C329" s="176"/>
      <c r="D329" s="176"/>
      <c r="E329" s="176"/>
      <c r="F329" s="176"/>
      <c r="G329" s="178"/>
      <c r="H329" s="176"/>
      <c r="I329" s="176"/>
      <c r="J329" s="176"/>
      <c r="K329" s="176"/>
      <c r="L329" s="176"/>
      <c r="M329" s="176"/>
      <c r="N329" s="176"/>
      <c r="O329" s="176"/>
      <c r="P329" s="176"/>
      <c r="Q329" s="176"/>
      <c r="R329" s="176"/>
      <c r="S329" s="176"/>
      <c r="T329" s="176"/>
      <c r="U329" s="176"/>
      <c r="V329" s="176"/>
      <c r="W329" s="176"/>
      <c r="X329" s="176"/>
      <c r="Y329" s="176"/>
      <c r="Z329" s="176"/>
      <c r="AA329" s="176"/>
      <c r="AB329" s="176"/>
      <c r="AC329" s="176"/>
      <c r="AD329" s="176"/>
      <c r="AE329" s="176"/>
      <c r="AF329" s="176"/>
      <c r="AG329" s="176"/>
      <c r="AH329" s="176"/>
      <c r="AI329" s="176"/>
      <c r="AJ329" s="176"/>
      <c r="AK329" s="176"/>
      <c r="AL329" s="176"/>
      <c r="AM329" s="176"/>
      <c r="AN329" s="176"/>
      <c r="AO329" s="176"/>
      <c r="AP329" s="176"/>
      <c r="AQ329" s="176"/>
      <c r="AR329" s="176"/>
      <c r="AS329" s="176"/>
      <c r="AT329" s="176"/>
      <c r="AU329" s="176"/>
      <c r="AV329" s="176"/>
      <c r="AW329" s="176"/>
      <c r="AX329" s="176"/>
      <c r="AY329" s="176"/>
      <c r="AZ329" s="176"/>
      <c r="BA329" s="176"/>
      <c r="BB329" s="176"/>
      <c r="BC329" s="176"/>
      <c r="BD329" s="176"/>
    </row>
    <row r="330" ht="15.75" customHeight="1">
      <c r="A330" s="176"/>
      <c r="B330" s="176"/>
      <c r="C330" s="176"/>
      <c r="D330" s="176"/>
      <c r="E330" s="176"/>
      <c r="F330" s="176"/>
      <c r="G330" s="178"/>
      <c r="H330" s="176"/>
      <c r="I330" s="176"/>
      <c r="J330" s="176"/>
      <c r="K330" s="176"/>
      <c r="L330" s="176"/>
      <c r="M330" s="176"/>
      <c r="N330" s="176"/>
      <c r="O330" s="176"/>
      <c r="P330" s="176"/>
      <c r="Q330" s="176"/>
      <c r="R330" s="176"/>
      <c r="S330" s="176"/>
      <c r="T330" s="176"/>
      <c r="U330" s="176"/>
      <c r="V330" s="176"/>
      <c r="W330" s="176"/>
      <c r="X330" s="176"/>
      <c r="Y330" s="176"/>
      <c r="Z330" s="176"/>
      <c r="AA330" s="176"/>
      <c r="AB330" s="176"/>
      <c r="AC330" s="176"/>
      <c r="AD330" s="176"/>
      <c r="AE330" s="176"/>
      <c r="AF330" s="176"/>
      <c r="AG330" s="176"/>
      <c r="AH330" s="176"/>
      <c r="AI330" s="176"/>
      <c r="AJ330" s="176"/>
      <c r="AK330" s="176"/>
      <c r="AL330" s="176"/>
      <c r="AM330" s="176"/>
      <c r="AN330" s="176"/>
      <c r="AO330" s="176"/>
      <c r="AP330" s="176"/>
      <c r="AQ330" s="176"/>
      <c r="AR330" s="176"/>
      <c r="AS330" s="176"/>
      <c r="AT330" s="176"/>
      <c r="AU330" s="176"/>
      <c r="AV330" s="176"/>
      <c r="AW330" s="176"/>
      <c r="AX330" s="176"/>
      <c r="AY330" s="176"/>
      <c r="AZ330" s="176"/>
      <c r="BA330" s="176"/>
      <c r="BB330" s="176"/>
      <c r="BC330" s="176"/>
      <c r="BD330" s="176"/>
    </row>
    <row r="331" ht="15.75" customHeight="1">
      <c r="A331" s="176"/>
      <c r="B331" s="176"/>
      <c r="C331" s="176"/>
      <c r="D331" s="176"/>
      <c r="E331" s="176"/>
      <c r="F331" s="176"/>
      <c r="G331" s="178"/>
      <c r="H331" s="176"/>
      <c r="I331" s="176"/>
      <c r="J331" s="176"/>
      <c r="K331" s="176"/>
      <c r="L331" s="176"/>
      <c r="M331" s="176"/>
      <c r="N331" s="176"/>
      <c r="O331" s="176"/>
      <c r="P331" s="176"/>
      <c r="Q331" s="176"/>
      <c r="R331" s="176"/>
      <c r="S331" s="176"/>
      <c r="T331" s="176"/>
      <c r="U331" s="176"/>
      <c r="V331" s="176"/>
      <c r="W331" s="176"/>
      <c r="X331" s="176"/>
      <c r="Y331" s="176"/>
      <c r="Z331" s="176"/>
      <c r="AA331" s="176"/>
      <c r="AB331" s="176"/>
      <c r="AC331" s="176"/>
      <c r="AD331" s="176"/>
      <c r="AE331" s="176"/>
      <c r="AF331" s="176"/>
      <c r="AG331" s="176"/>
      <c r="AH331" s="176"/>
      <c r="AI331" s="176"/>
      <c r="AJ331" s="176"/>
      <c r="AK331" s="176"/>
      <c r="AL331" s="176"/>
      <c r="AM331" s="176"/>
      <c r="AN331" s="176"/>
      <c r="AO331" s="176"/>
      <c r="AP331" s="176"/>
      <c r="AQ331" s="176"/>
      <c r="AR331" s="176"/>
      <c r="AS331" s="176"/>
      <c r="AT331" s="176"/>
      <c r="AU331" s="176"/>
      <c r="AV331" s="176"/>
      <c r="AW331" s="176"/>
      <c r="AX331" s="176"/>
      <c r="AY331" s="176"/>
      <c r="AZ331" s="176"/>
      <c r="BA331" s="176"/>
      <c r="BB331" s="176"/>
      <c r="BC331" s="176"/>
      <c r="BD331" s="176"/>
    </row>
    <row r="332" ht="15.75" customHeight="1">
      <c r="A332" s="176"/>
      <c r="B332" s="176"/>
      <c r="C332" s="176"/>
      <c r="D332" s="176"/>
      <c r="E332" s="176"/>
      <c r="F332" s="176"/>
      <c r="G332" s="178"/>
      <c r="H332" s="176"/>
      <c r="I332" s="176"/>
      <c r="J332" s="176"/>
      <c r="K332" s="176"/>
      <c r="L332" s="176"/>
      <c r="M332" s="176"/>
      <c r="N332" s="176"/>
      <c r="O332" s="176"/>
      <c r="P332" s="176"/>
      <c r="Q332" s="176"/>
      <c r="R332" s="176"/>
      <c r="S332" s="176"/>
      <c r="T332" s="176"/>
      <c r="U332" s="176"/>
      <c r="V332" s="176"/>
      <c r="W332" s="176"/>
      <c r="X332" s="176"/>
      <c r="Y332" s="176"/>
      <c r="Z332" s="176"/>
      <c r="AA332" s="176"/>
      <c r="AB332" s="176"/>
      <c r="AC332" s="176"/>
      <c r="AD332" s="176"/>
      <c r="AE332" s="176"/>
      <c r="AF332" s="176"/>
      <c r="AG332" s="176"/>
      <c r="AH332" s="176"/>
      <c r="AI332" s="176"/>
      <c r="AJ332" s="176"/>
      <c r="AK332" s="176"/>
      <c r="AL332" s="176"/>
      <c r="AM332" s="176"/>
      <c r="AN332" s="176"/>
      <c r="AO332" s="176"/>
      <c r="AP332" s="176"/>
      <c r="AQ332" s="176"/>
      <c r="AR332" s="176"/>
      <c r="AS332" s="176"/>
      <c r="AT332" s="176"/>
      <c r="AU332" s="176"/>
      <c r="AV332" s="176"/>
      <c r="AW332" s="176"/>
      <c r="AX332" s="176"/>
      <c r="AY332" s="176"/>
      <c r="AZ332" s="176"/>
      <c r="BA332" s="176"/>
      <c r="BB332" s="176"/>
      <c r="BC332" s="176"/>
      <c r="BD332" s="176"/>
    </row>
    <row r="333" ht="15.75" customHeight="1">
      <c r="A333" s="176"/>
      <c r="B333" s="176"/>
      <c r="C333" s="176"/>
      <c r="D333" s="176"/>
      <c r="E333" s="176"/>
      <c r="F333" s="176"/>
      <c r="G333" s="178"/>
      <c r="H333" s="176"/>
      <c r="I333" s="176"/>
      <c r="J333" s="176"/>
      <c r="K333" s="176"/>
      <c r="L333" s="176"/>
      <c r="M333" s="176"/>
      <c r="N333" s="176"/>
      <c r="O333" s="176"/>
      <c r="P333" s="176"/>
      <c r="Q333" s="176"/>
      <c r="R333" s="176"/>
      <c r="S333" s="176"/>
      <c r="T333" s="176"/>
      <c r="U333" s="176"/>
      <c r="V333" s="176"/>
      <c r="W333" s="176"/>
      <c r="X333" s="176"/>
      <c r="Y333" s="176"/>
      <c r="Z333" s="176"/>
      <c r="AA333" s="176"/>
      <c r="AB333" s="176"/>
      <c r="AC333" s="176"/>
      <c r="AD333" s="176"/>
      <c r="AE333" s="176"/>
      <c r="AF333" s="176"/>
      <c r="AG333" s="176"/>
      <c r="AH333" s="176"/>
      <c r="AI333" s="176"/>
      <c r="AJ333" s="176"/>
      <c r="AK333" s="176"/>
      <c r="AL333" s="176"/>
      <c r="AM333" s="176"/>
      <c r="AN333" s="176"/>
      <c r="AO333" s="176"/>
      <c r="AP333" s="176"/>
      <c r="AQ333" s="176"/>
      <c r="AR333" s="176"/>
      <c r="AS333" s="176"/>
      <c r="AT333" s="176"/>
      <c r="AU333" s="176"/>
      <c r="AV333" s="176"/>
      <c r="AW333" s="176"/>
      <c r="AX333" s="176"/>
      <c r="AY333" s="176"/>
      <c r="AZ333" s="176"/>
      <c r="BA333" s="176"/>
      <c r="BB333" s="176"/>
      <c r="BC333" s="176"/>
      <c r="BD333" s="176"/>
    </row>
    <row r="334" ht="15.75" customHeight="1">
      <c r="A334" s="176"/>
      <c r="B334" s="176"/>
      <c r="C334" s="176"/>
      <c r="D334" s="176"/>
      <c r="E334" s="176"/>
      <c r="F334" s="176"/>
      <c r="G334" s="178"/>
      <c r="H334" s="176"/>
      <c r="I334" s="176"/>
      <c r="J334" s="176"/>
      <c r="K334" s="176"/>
      <c r="L334" s="176"/>
      <c r="M334" s="176"/>
      <c r="N334" s="176"/>
      <c r="O334" s="176"/>
      <c r="P334" s="176"/>
      <c r="Q334" s="176"/>
      <c r="R334" s="176"/>
      <c r="S334" s="176"/>
      <c r="T334" s="176"/>
      <c r="U334" s="176"/>
      <c r="V334" s="176"/>
      <c r="W334" s="176"/>
      <c r="X334" s="176"/>
      <c r="Y334" s="176"/>
      <c r="Z334" s="176"/>
      <c r="AA334" s="176"/>
      <c r="AB334" s="176"/>
      <c r="AC334" s="176"/>
      <c r="AD334" s="176"/>
      <c r="AE334" s="176"/>
      <c r="AF334" s="176"/>
      <c r="AG334" s="176"/>
      <c r="AH334" s="176"/>
      <c r="AI334" s="176"/>
      <c r="AJ334" s="176"/>
      <c r="AK334" s="176"/>
      <c r="AL334" s="176"/>
      <c r="AM334" s="176"/>
      <c r="AN334" s="176"/>
      <c r="AO334" s="176"/>
      <c r="AP334" s="176"/>
      <c r="AQ334" s="176"/>
      <c r="AR334" s="176"/>
      <c r="AS334" s="176"/>
      <c r="AT334" s="176"/>
      <c r="AU334" s="176"/>
      <c r="AV334" s="176"/>
      <c r="AW334" s="176"/>
      <c r="AX334" s="176"/>
      <c r="AY334" s="176"/>
      <c r="AZ334" s="176"/>
      <c r="BA334" s="176"/>
      <c r="BB334" s="176"/>
      <c r="BC334" s="176"/>
      <c r="BD334" s="176"/>
    </row>
    <row r="335" ht="15.75" customHeight="1">
      <c r="A335" s="176"/>
      <c r="B335" s="176"/>
      <c r="C335" s="176"/>
      <c r="D335" s="176"/>
      <c r="E335" s="176"/>
      <c r="F335" s="176"/>
      <c r="G335" s="178"/>
      <c r="H335" s="176"/>
      <c r="I335" s="176"/>
      <c r="J335" s="176"/>
      <c r="K335" s="176"/>
      <c r="L335" s="176"/>
      <c r="M335" s="176"/>
      <c r="N335" s="176"/>
      <c r="O335" s="176"/>
      <c r="P335" s="176"/>
      <c r="Q335" s="176"/>
      <c r="R335" s="176"/>
      <c r="S335" s="176"/>
      <c r="T335" s="176"/>
      <c r="U335" s="176"/>
      <c r="V335" s="176"/>
      <c r="W335" s="176"/>
      <c r="X335" s="176"/>
      <c r="Y335" s="176"/>
      <c r="Z335" s="176"/>
      <c r="AA335" s="176"/>
      <c r="AB335" s="176"/>
      <c r="AC335" s="176"/>
      <c r="AD335" s="176"/>
      <c r="AE335" s="176"/>
      <c r="AF335" s="176"/>
      <c r="AG335" s="176"/>
      <c r="AH335" s="176"/>
      <c r="AI335" s="176"/>
      <c r="AJ335" s="176"/>
      <c r="AK335" s="176"/>
      <c r="AL335" s="176"/>
      <c r="AM335" s="176"/>
      <c r="AN335" s="176"/>
      <c r="AO335" s="176"/>
      <c r="AP335" s="176"/>
      <c r="AQ335" s="176"/>
      <c r="AR335" s="176"/>
      <c r="AS335" s="176"/>
      <c r="AT335" s="176"/>
      <c r="AU335" s="176"/>
      <c r="AV335" s="176"/>
      <c r="AW335" s="176"/>
      <c r="AX335" s="176"/>
      <c r="AY335" s="176"/>
      <c r="AZ335" s="176"/>
      <c r="BA335" s="176"/>
      <c r="BB335" s="176"/>
      <c r="BC335" s="176"/>
      <c r="BD335" s="176"/>
    </row>
    <row r="336" ht="15.75" customHeight="1">
      <c r="A336" s="176"/>
      <c r="B336" s="176"/>
      <c r="C336" s="176"/>
      <c r="D336" s="176"/>
      <c r="E336" s="176"/>
      <c r="F336" s="176"/>
      <c r="G336" s="178"/>
      <c r="H336" s="176"/>
      <c r="I336" s="176"/>
      <c r="J336" s="176"/>
      <c r="K336" s="176"/>
      <c r="L336" s="176"/>
      <c r="M336" s="176"/>
      <c r="N336" s="176"/>
      <c r="O336" s="176"/>
      <c r="P336" s="176"/>
      <c r="Q336" s="176"/>
      <c r="R336" s="176"/>
      <c r="S336" s="176"/>
      <c r="T336" s="176"/>
      <c r="U336" s="176"/>
      <c r="V336" s="176"/>
      <c r="W336" s="176"/>
      <c r="X336" s="176"/>
      <c r="Y336" s="176"/>
      <c r="Z336" s="176"/>
      <c r="AA336" s="176"/>
      <c r="AB336" s="176"/>
      <c r="AC336" s="176"/>
      <c r="AD336" s="176"/>
      <c r="AE336" s="176"/>
      <c r="AF336" s="176"/>
      <c r="AG336" s="176"/>
      <c r="AH336" s="176"/>
      <c r="AI336" s="176"/>
      <c r="AJ336" s="176"/>
      <c r="AK336" s="176"/>
      <c r="AL336" s="176"/>
      <c r="AM336" s="176"/>
      <c r="AN336" s="176"/>
      <c r="AO336" s="176"/>
      <c r="AP336" s="176"/>
      <c r="AQ336" s="176"/>
      <c r="AR336" s="176"/>
      <c r="AS336" s="176"/>
      <c r="AT336" s="176"/>
      <c r="AU336" s="176"/>
      <c r="AV336" s="176"/>
      <c r="AW336" s="176"/>
      <c r="AX336" s="176"/>
      <c r="AY336" s="176"/>
      <c r="AZ336" s="176"/>
      <c r="BA336" s="176"/>
      <c r="BB336" s="176"/>
      <c r="BC336" s="176"/>
      <c r="BD336" s="176"/>
    </row>
    <row r="337" ht="15.75" customHeight="1">
      <c r="A337" s="176"/>
      <c r="B337" s="176"/>
      <c r="C337" s="176"/>
      <c r="D337" s="176"/>
      <c r="E337" s="176"/>
      <c r="F337" s="176"/>
      <c r="G337" s="178"/>
      <c r="H337" s="176"/>
      <c r="I337" s="176"/>
      <c r="J337" s="176"/>
      <c r="K337" s="176"/>
      <c r="L337" s="176"/>
      <c r="M337" s="176"/>
      <c r="N337" s="176"/>
      <c r="O337" s="176"/>
      <c r="P337" s="176"/>
      <c r="Q337" s="176"/>
      <c r="R337" s="176"/>
      <c r="S337" s="176"/>
      <c r="T337" s="176"/>
      <c r="U337" s="176"/>
      <c r="V337" s="176"/>
      <c r="W337" s="176"/>
      <c r="X337" s="176"/>
      <c r="Y337" s="176"/>
      <c r="Z337" s="176"/>
      <c r="AA337" s="176"/>
      <c r="AB337" s="176"/>
      <c r="AC337" s="176"/>
      <c r="AD337" s="176"/>
      <c r="AE337" s="176"/>
      <c r="AF337" s="176"/>
      <c r="AG337" s="176"/>
      <c r="AH337" s="176"/>
      <c r="AI337" s="176"/>
      <c r="AJ337" s="176"/>
      <c r="AK337" s="176"/>
      <c r="AL337" s="176"/>
      <c r="AM337" s="176"/>
      <c r="AN337" s="176"/>
      <c r="AO337" s="176"/>
      <c r="AP337" s="176"/>
      <c r="AQ337" s="176"/>
      <c r="AR337" s="176"/>
      <c r="AS337" s="176"/>
      <c r="AT337" s="176"/>
      <c r="AU337" s="176"/>
      <c r="AV337" s="176"/>
      <c r="AW337" s="176"/>
      <c r="AX337" s="176"/>
      <c r="AY337" s="176"/>
      <c r="AZ337" s="176"/>
      <c r="BA337" s="176"/>
      <c r="BB337" s="176"/>
      <c r="BC337" s="176"/>
      <c r="BD337" s="176"/>
    </row>
    <row r="338" ht="15.75" customHeight="1">
      <c r="A338" s="176"/>
      <c r="B338" s="176"/>
      <c r="C338" s="176"/>
      <c r="D338" s="176"/>
      <c r="E338" s="176"/>
      <c r="F338" s="176"/>
      <c r="G338" s="178"/>
      <c r="H338" s="176"/>
      <c r="I338" s="176"/>
      <c r="J338" s="176"/>
      <c r="K338" s="176"/>
      <c r="L338" s="176"/>
      <c r="M338" s="176"/>
      <c r="N338" s="176"/>
      <c r="O338" s="176"/>
      <c r="P338" s="176"/>
      <c r="Q338" s="176"/>
      <c r="R338" s="176"/>
      <c r="S338" s="176"/>
      <c r="T338" s="176"/>
      <c r="U338" s="176"/>
      <c r="V338" s="176"/>
      <c r="W338" s="176"/>
      <c r="X338" s="176"/>
      <c r="Y338" s="176"/>
      <c r="Z338" s="176"/>
      <c r="AA338" s="176"/>
      <c r="AB338" s="176"/>
      <c r="AC338" s="176"/>
      <c r="AD338" s="176"/>
      <c r="AE338" s="176"/>
      <c r="AF338" s="176"/>
      <c r="AG338" s="176"/>
      <c r="AH338" s="176"/>
      <c r="AI338" s="176"/>
      <c r="AJ338" s="176"/>
      <c r="AK338" s="176"/>
      <c r="AL338" s="176"/>
      <c r="AM338" s="176"/>
      <c r="AN338" s="176"/>
      <c r="AO338" s="176"/>
      <c r="AP338" s="176"/>
      <c r="AQ338" s="176"/>
      <c r="AR338" s="176"/>
      <c r="AS338" s="176"/>
      <c r="AT338" s="176"/>
      <c r="AU338" s="176"/>
      <c r="AV338" s="176"/>
      <c r="AW338" s="176"/>
      <c r="AX338" s="176"/>
      <c r="AY338" s="176"/>
      <c r="AZ338" s="176"/>
      <c r="BA338" s="176"/>
      <c r="BB338" s="176"/>
      <c r="BC338" s="176"/>
      <c r="BD338" s="176"/>
    </row>
    <row r="339" ht="15.75" customHeight="1">
      <c r="A339" s="176"/>
      <c r="B339" s="176"/>
      <c r="C339" s="176"/>
      <c r="D339" s="176"/>
      <c r="E339" s="176"/>
      <c r="F339" s="176"/>
      <c r="G339" s="178"/>
      <c r="H339" s="176"/>
      <c r="I339" s="176"/>
      <c r="J339" s="176"/>
      <c r="K339" s="176"/>
      <c r="L339" s="176"/>
      <c r="M339" s="176"/>
      <c r="N339" s="176"/>
      <c r="O339" s="176"/>
      <c r="P339" s="176"/>
      <c r="Q339" s="176"/>
      <c r="R339" s="176"/>
      <c r="S339" s="176"/>
      <c r="T339" s="176"/>
      <c r="U339" s="176"/>
      <c r="V339" s="176"/>
      <c r="W339" s="176"/>
      <c r="X339" s="176"/>
      <c r="Y339" s="176"/>
      <c r="Z339" s="176"/>
      <c r="AA339" s="176"/>
      <c r="AB339" s="176"/>
      <c r="AC339" s="176"/>
      <c r="AD339" s="176"/>
      <c r="AE339" s="176"/>
      <c r="AF339" s="176"/>
      <c r="AG339" s="176"/>
      <c r="AH339" s="176"/>
      <c r="AI339" s="176"/>
      <c r="AJ339" s="176"/>
      <c r="AK339" s="176"/>
      <c r="AL339" s="176"/>
      <c r="AM339" s="176"/>
      <c r="AN339" s="176"/>
      <c r="AO339" s="176"/>
      <c r="AP339" s="176"/>
      <c r="AQ339" s="176"/>
      <c r="AR339" s="176"/>
      <c r="AS339" s="176"/>
      <c r="AT339" s="176"/>
      <c r="AU339" s="176"/>
      <c r="AV339" s="176"/>
      <c r="AW339" s="176"/>
      <c r="AX339" s="176"/>
      <c r="AY339" s="176"/>
      <c r="AZ339" s="176"/>
      <c r="BA339" s="176"/>
      <c r="BB339" s="176"/>
      <c r="BC339" s="176"/>
      <c r="BD339" s="176"/>
    </row>
    <row r="340" ht="15.75" customHeight="1">
      <c r="A340" s="176"/>
      <c r="B340" s="176"/>
      <c r="C340" s="176"/>
      <c r="D340" s="176"/>
      <c r="E340" s="176"/>
      <c r="F340" s="176"/>
      <c r="G340" s="178"/>
      <c r="H340" s="176"/>
      <c r="I340" s="176"/>
      <c r="J340" s="176"/>
      <c r="K340" s="176"/>
      <c r="L340" s="176"/>
      <c r="M340" s="176"/>
      <c r="N340" s="176"/>
      <c r="O340" s="176"/>
      <c r="P340" s="176"/>
      <c r="Q340" s="176"/>
      <c r="R340" s="176"/>
      <c r="S340" s="176"/>
      <c r="T340" s="176"/>
      <c r="U340" s="176"/>
      <c r="V340" s="176"/>
      <c r="W340" s="176"/>
      <c r="X340" s="176"/>
      <c r="Y340" s="176"/>
      <c r="Z340" s="176"/>
      <c r="AA340" s="176"/>
      <c r="AB340" s="176"/>
      <c r="AC340" s="176"/>
      <c r="AD340" s="176"/>
      <c r="AE340" s="176"/>
      <c r="AF340" s="176"/>
      <c r="AG340" s="176"/>
      <c r="AH340" s="176"/>
      <c r="AI340" s="176"/>
      <c r="AJ340" s="176"/>
      <c r="AK340" s="176"/>
      <c r="AL340" s="176"/>
      <c r="AM340" s="176"/>
      <c r="AN340" s="176"/>
      <c r="AO340" s="176"/>
      <c r="AP340" s="176"/>
      <c r="AQ340" s="176"/>
      <c r="AR340" s="176"/>
      <c r="AS340" s="176"/>
      <c r="AT340" s="176"/>
      <c r="AU340" s="176"/>
      <c r="AV340" s="176"/>
      <c r="AW340" s="176"/>
      <c r="AX340" s="176"/>
      <c r="AY340" s="176"/>
      <c r="AZ340" s="176"/>
      <c r="BA340" s="176"/>
      <c r="BB340" s="176"/>
      <c r="BC340" s="176"/>
      <c r="BD340" s="176"/>
    </row>
    <row r="341" ht="15.75" customHeight="1">
      <c r="A341" s="176"/>
      <c r="B341" s="176"/>
      <c r="C341" s="176"/>
      <c r="D341" s="176"/>
      <c r="E341" s="176"/>
      <c r="F341" s="176"/>
      <c r="G341" s="178"/>
      <c r="H341" s="176"/>
      <c r="I341" s="176"/>
      <c r="J341" s="176"/>
      <c r="K341" s="176"/>
      <c r="L341" s="176"/>
      <c r="M341" s="176"/>
      <c r="N341" s="176"/>
      <c r="O341" s="176"/>
      <c r="P341" s="176"/>
      <c r="Q341" s="176"/>
      <c r="R341" s="176"/>
      <c r="S341" s="176"/>
      <c r="T341" s="176"/>
      <c r="U341" s="176"/>
      <c r="V341" s="176"/>
      <c r="W341" s="176"/>
      <c r="X341" s="176"/>
      <c r="Y341" s="176"/>
      <c r="Z341" s="176"/>
      <c r="AA341" s="176"/>
      <c r="AB341" s="176"/>
      <c r="AC341" s="176"/>
      <c r="AD341" s="176"/>
      <c r="AE341" s="176"/>
      <c r="AF341" s="176"/>
      <c r="AG341" s="176"/>
      <c r="AH341" s="176"/>
      <c r="AI341" s="176"/>
      <c r="AJ341" s="176"/>
      <c r="AK341" s="176"/>
      <c r="AL341" s="176"/>
      <c r="AM341" s="176"/>
      <c r="AN341" s="176"/>
      <c r="AO341" s="176"/>
      <c r="AP341" s="176"/>
      <c r="AQ341" s="176"/>
      <c r="AR341" s="176"/>
      <c r="AS341" s="176"/>
      <c r="AT341" s="176"/>
      <c r="AU341" s="176"/>
      <c r="AV341" s="176"/>
      <c r="AW341" s="176"/>
      <c r="AX341" s="176"/>
      <c r="AY341" s="176"/>
      <c r="AZ341" s="176"/>
      <c r="BA341" s="176"/>
      <c r="BB341" s="176"/>
      <c r="BC341" s="176"/>
      <c r="BD341" s="176"/>
    </row>
    <row r="342" ht="15.75" customHeight="1">
      <c r="A342" s="176"/>
      <c r="B342" s="176"/>
      <c r="C342" s="176"/>
      <c r="D342" s="176"/>
      <c r="E342" s="176"/>
      <c r="F342" s="176"/>
      <c r="G342" s="178"/>
      <c r="H342" s="176"/>
      <c r="I342" s="176"/>
      <c r="J342" s="176"/>
      <c r="K342" s="176"/>
      <c r="L342" s="176"/>
      <c r="M342" s="176"/>
      <c r="N342" s="176"/>
      <c r="O342" s="176"/>
      <c r="P342" s="176"/>
      <c r="Q342" s="176"/>
      <c r="R342" s="176"/>
      <c r="S342" s="176"/>
      <c r="T342" s="176"/>
      <c r="U342" s="176"/>
      <c r="V342" s="176"/>
      <c r="W342" s="176"/>
      <c r="X342" s="176"/>
      <c r="Y342" s="176"/>
      <c r="Z342" s="176"/>
      <c r="AA342" s="176"/>
      <c r="AB342" s="176"/>
      <c r="AC342" s="176"/>
      <c r="AD342" s="176"/>
      <c r="AE342" s="176"/>
      <c r="AF342" s="176"/>
      <c r="AG342" s="176"/>
      <c r="AH342" s="176"/>
      <c r="AI342" s="176"/>
      <c r="AJ342" s="176"/>
      <c r="AK342" s="176"/>
      <c r="AL342" s="176"/>
      <c r="AM342" s="176"/>
      <c r="AN342" s="176"/>
      <c r="AO342" s="176"/>
      <c r="AP342" s="176"/>
      <c r="AQ342" s="176"/>
      <c r="AR342" s="176"/>
      <c r="AS342" s="176"/>
      <c r="AT342" s="176"/>
      <c r="AU342" s="176"/>
      <c r="AV342" s="176"/>
      <c r="AW342" s="176"/>
      <c r="AX342" s="176"/>
      <c r="AY342" s="176"/>
      <c r="AZ342" s="176"/>
      <c r="BA342" s="176"/>
      <c r="BB342" s="176"/>
      <c r="BC342" s="176"/>
      <c r="BD342" s="176"/>
    </row>
    <row r="343" ht="15.75" customHeight="1">
      <c r="A343" s="176"/>
      <c r="B343" s="176"/>
      <c r="C343" s="176"/>
      <c r="D343" s="176"/>
      <c r="E343" s="176"/>
      <c r="F343" s="176"/>
      <c r="G343" s="178"/>
      <c r="H343" s="176"/>
      <c r="I343" s="176"/>
      <c r="J343" s="176"/>
      <c r="K343" s="176"/>
      <c r="L343" s="176"/>
      <c r="M343" s="176"/>
      <c r="N343" s="176"/>
      <c r="O343" s="176"/>
      <c r="P343" s="176"/>
      <c r="Q343" s="176"/>
      <c r="R343" s="176"/>
      <c r="S343" s="176"/>
      <c r="T343" s="176"/>
      <c r="U343" s="176"/>
      <c r="V343" s="176"/>
      <c r="W343" s="176"/>
      <c r="X343" s="176"/>
      <c r="Y343" s="176"/>
      <c r="Z343" s="176"/>
      <c r="AA343" s="176"/>
      <c r="AB343" s="176"/>
      <c r="AC343" s="176"/>
      <c r="AD343" s="176"/>
      <c r="AE343" s="176"/>
      <c r="AF343" s="176"/>
      <c r="AG343" s="176"/>
      <c r="AH343" s="176"/>
      <c r="AI343" s="176"/>
      <c r="AJ343" s="176"/>
      <c r="AK343" s="176"/>
      <c r="AL343" s="176"/>
      <c r="AM343" s="176"/>
      <c r="AN343" s="176"/>
      <c r="AO343" s="176"/>
      <c r="AP343" s="176"/>
      <c r="AQ343" s="176"/>
      <c r="AR343" s="176"/>
      <c r="AS343" s="176"/>
      <c r="AT343" s="176"/>
      <c r="AU343" s="176"/>
      <c r="AV343" s="176"/>
      <c r="AW343" s="176"/>
      <c r="AX343" s="176"/>
      <c r="AY343" s="176"/>
      <c r="AZ343" s="176"/>
      <c r="BA343" s="176"/>
      <c r="BB343" s="176"/>
      <c r="BC343" s="176"/>
      <c r="BD343" s="176"/>
    </row>
    <row r="344" ht="15.75" customHeight="1">
      <c r="A344" s="176"/>
      <c r="B344" s="176"/>
      <c r="C344" s="176"/>
      <c r="D344" s="176"/>
      <c r="E344" s="176"/>
      <c r="F344" s="176"/>
      <c r="G344" s="178"/>
      <c r="H344" s="176"/>
      <c r="I344" s="176"/>
      <c r="J344" s="176"/>
      <c r="K344" s="176"/>
      <c r="L344" s="176"/>
      <c r="M344" s="176"/>
      <c r="N344" s="176"/>
      <c r="O344" s="176"/>
      <c r="P344" s="176"/>
      <c r="Q344" s="176"/>
      <c r="R344" s="176"/>
      <c r="S344" s="176"/>
      <c r="T344" s="176"/>
      <c r="U344" s="176"/>
      <c r="V344" s="176"/>
      <c r="W344" s="176"/>
      <c r="X344" s="176"/>
      <c r="Y344" s="176"/>
      <c r="Z344" s="176"/>
      <c r="AA344" s="176"/>
      <c r="AB344" s="176"/>
      <c r="AC344" s="176"/>
      <c r="AD344" s="176"/>
      <c r="AE344" s="176"/>
      <c r="AF344" s="176"/>
      <c r="AG344" s="176"/>
      <c r="AH344" s="176"/>
      <c r="AI344" s="176"/>
      <c r="AJ344" s="176"/>
      <c r="AK344" s="176"/>
      <c r="AL344" s="176"/>
      <c r="AM344" s="176"/>
      <c r="AN344" s="176"/>
      <c r="AO344" s="176"/>
      <c r="AP344" s="176"/>
      <c r="AQ344" s="176"/>
      <c r="AR344" s="176"/>
      <c r="AS344" s="176"/>
      <c r="AT344" s="176"/>
      <c r="AU344" s="176"/>
      <c r="AV344" s="176"/>
      <c r="AW344" s="176"/>
      <c r="AX344" s="176"/>
      <c r="AY344" s="176"/>
      <c r="AZ344" s="176"/>
      <c r="BA344" s="176"/>
      <c r="BB344" s="176"/>
      <c r="BC344" s="176"/>
      <c r="BD344" s="176"/>
    </row>
    <row r="345" ht="15.75" customHeight="1">
      <c r="A345" s="176"/>
      <c r="B345" s="176"/>
      <c r="C345" s="176"/>
      <c r="D345" s="176"/>
      <c r="E345" s="176"/>
      <c r="F345" s="176"/>
      <c r="G345" s="178"/>
      <c r="H345" s="176"/>
      <c r="I345" s="176"/>
      <c r="J345" s="176"/>
      <c r="K345" s="176"/>
      <c r="L345" s="176"/>
      <c r="M345" s="176"/>
      <c r="N345" s="176"/>
      <c r="O345" s="176"/>
      <c r="P345" s="176"/>
      <c r="Q345" s="176"/>
      <c r="R345" s="176"/>
      <c r="S345" s="176"/>
      <c r="T345" s="176"/>
      <c r="U345" s="176"/>
      <c r="V345" s="176"/>
      <c r="W345" s="176"/>
      <c r="X345" s="176"/>
      <c r="Y345" s="176"/>
      <c r="Z345" s="176"/>
      <c r="AA345" s="176"/>
      <c r="AB345" s="176"/>
      <c r="AC345" s="176"/>
      <c r="AD345" s="176"/>
      <c r="AE345" s="176"/>
      <c r="AF345" s="176"/>
      <c r="AG345" s="176"/>
      <c r="AH345" s="176"/>
      <c r="AI345" s="176"/>
      <c r="AJ345" s="176"/>
      <c r="AK345" s="176"/>
      <c r="AL345" s="176"/>
      <c r="AM345" s="176"/>
      <c r="AN345" s="176"/>
      <c r="AO345" s="176"/>
      <c r="AP345" s="176"/>
      <c r="AQ345" s="176"/>
      <c r="AR345" s="176"/>
      <c r="AS345" s="176"/>
      <c r="AT345" s="176"/>
      <c r="AU345" s="176"/>
      <c r="AV345" s="176"/>
      <c r="AW345" s="176"/>
      <c r="AX345" s="176"/>
      <c r="AY345" s="176"/>
      <c r="AZ345" s="176"/>
      <c r="BA345" s="176"/>
      <c r="BB345" s="176"/>
      <c r="BC345" s="176"/>
      <c r="BD345" s="176"/>
    </row>
    <row r="346" ht="15.75" customHeight="1">
      <c r="A346" s="176"/>
      <c r="B346" s="176"/>
      <c r="C346" s="176"/>
      <c r="D346" s="176"/>
      <c r="E346" s="176"/>
      <c r="F346" s="176"/>
      <c r="G346" s="178"/>
      <c r="H346" s="176"/>
      <c r="I346" s="176"/>
      <c r="J346" s="176"/>
      <c r="K346" s="176"/>
      <c r="L346" s="176"/>
      <c r="M346" s="176"/>
      <c r="N346" s="176"/>
      <c r="O346" s="176"/>
      <c r="P346" s="176"/>
      <c r="Q346" s="176"/>
      <c r="R346" s="176"/>
      <c r="S346" s="176"/>
      <c r="T346" s="176"/>
      <c r="U346" s="176"/>
      <c r="V346" s="176"/>
      <c r="W346" s="176"/>
      <c r="X346" s="176"/>
      <c r="Y346" s="176"/>
      <c r="Z346" s="176"/>
      <c r="AA346" s="176"/>
      <c r="AB346" s="176"/>
      <c r="AC346" s="176"/>
      <c r="AD346" s="176"/>
      <c r="AE346" s="176"/>
      <c r="AF346" s="176"/>
      <c r="AG346" s="176"/>
      <c r="AH346" s="176"/>
      <c r="AI346" s="176"/>
      <c r="AJ346" s="176"/>
      <c r="AK346" s="176"/>
      <c r="AL346" s="176"/>
      <c r="AM346" s="176"/>
      <c r="AN346" s="176"/>
      <c r="AO346" s="176"/>
      <c r="AP346" s="176"/>
      <c r="AQ346" s="176"/>
      <c r="AR346" s="176"/>
      <c r="AS346" s="176"/>
      <c r="AT346" s="176"/>
      <c r="AU346" s="176"/>
      <c r="AV346" s="176"/>
      <c r="AW346" s="176"/>
      <c r="AX346" s="176"/>
      <c r="AY346" s="176"/>
      <c r="AZ346" s="176"/>
      <c r="BA346" s="176"/>
      <c r="BB346" s="176"/>
      <c r="BC346" s="176"/>
      <c r="BD346" s="176"/>
    </row>
    <row r="347" ht="15.75" customHeight="1">
      <c r="A347" s="176"/>
      <c r="B347" s="176"/>
      <c r="C347" s="176"/>
      <c r="D347" s="176"/>
      <c r="E347" s="176"/>
      <c r="F347" s="176"/>
      <c r="G347" s="178"/>
      <c r="H347" s="176"/>
      <c r="I347" s="176"/>
      <c r="J347" s="176"/>
      <c r="K347" s="176"/>
      <c r="L347" s="176"/>
      <c r="M347" s="176"/>
      <c r="N347" s="176"/>
      <c r="O347" s="176"/>
      <c r="P347" s="176"/>
      <c r="Q347" s="176"/>
      <c r="R347" s="176"/>
      <c r="S347" s="176"/>
      <c r="T347" s="176"/>
      <c r="U347" s="176"/>
      <c r="V347" s="176"/>
      <c r="W347" s="176"/>
      <c r="X347" s="176"/>
      <c r="Y347" s="176"/>
      <c r="Z347" s="176"/>
      <c r="AA347" s="176"/>
      <c r="AB347" s="176"/>
      <c r="AC347" s="176"/>
      <c r="AD347" s="176"/>
      <c r="AE347" s="176"/>
      <c r="AF347" s="176"/>
      <c r="AG347" s="176"/>
      <c r="AH347" s="176"/>
      <c r="AI347" s="176"/>
      <c r="AJ347" s="176"/>
      <c r="AK347" s="176"/>
      <c r="AL347" s="176"/>
      <c r="AM347" s="176"/>
      <c r="AN347" s="176"/>
      <c r="AO347" s="176"/>
      <c r="AP347" s="176"/>
      <c r="AQ347" s="176"/>
      <c r="AR347" s="176"/>
      <c r="AS347" s="176"/>
      <c r="AT347" s="176"/>
      <c r="AU347" s="176"/>
      <c r="AV347" s="176"/>
      <c r="AW347" s="176"/>
      <c r="AX347" s="176"/>
      <c r="AY347" s="176"/>
      <c r="AZ347" s="176"/>
      <c r="BA347" s="176"/>
      <c r="BB347" s="176"/>
      <c r="BC347" s="176"/>
      <c r="BD347" s="176"/>
    </row>
    <row r="348" ht="15.75" customHeight="1">
      <c r="A348" s="176"/>
      <c r="B348" s="176"/>
      <c r="C348" s="176"/>
      <c r="D348" s="176"/>
      <c r="E348" s="176"/>
      <c r="F348" s="176"/>
      <c r="G348" s="178"/>
      <c r="H348" s="176"/>
      <c r="I348" s="176"/>
      <c r="J348" s="176"/>
      <c r="K348" s="176"/>
      <c r="L348" s="176"/>
      <c r="M348" s="176"/>
      <c r="N348" s="176"/>
      <c r="O348" s="176"/>
      <c r="P348" s="176"/>
      <c r="Q348" s="176"/>
      <c r="R348" s="176"/>
      <c r="S348" s="176"/>
      <c r="T348" s="176"/>
      <c r="U348" s="176"/>
      <c r="V348" s="176"/>
      <c r="W348" s="176"/>
      <c r="X348" s="176"/>
      <c r="Y348" s="176"/>
      <c r="Z348" s="176"/>
      <c r="AA348" s="176"/>
      <c r="AB348" s="176"/>
      <c r="AC348" s="176"/>
      <c r="AD348" s="176"/>
      <c r="AE348" s="176"/>
      <c r="AF348" s="176"/>
      <c r="AG348" s="176"/>
      <c r="AH348" s="176"/>
      <c r="AI348" s="176"/>
      <c r="AJ348" s="176"/>
      <c r="AK348" s="176"/>
      <c r="AL348" s="176"/>
      <c r="AM348" s="176"/>
      <c r="AN348" s="176"/>
      <c r="AO348" s="176"/>
      <c r="AP348" s="176"/>
      <c r="AQ348" s="176"/>
      <c r="AR348" s="176"/>
      <c r="AS348" s="176"/>
      <c r="AT348" s="176"/>
      <c r="AU348" s="176"/>
      <c r="AV348" s="176"/>
      <c r="AW348" s="176"/>
      <c r="AX348" s="176"/>
      <c r="AY348" s="176"/>
      <c r="AZ348" s="176"/>
      <c r="BA348" s="176"/>
      <c r="BB348" s="176"/>
      <c r="BC348" s="176"/>
      <c r="BD348" s="176"/>
    </row>
    <row r="349" ht="15.75" customHeight="1">
      <c r="A349" s="176"/>
      <c r="B349" s="176"/>
      <c r="C349" s="176"/>
      <c r="D349" s="176"/>
      <c r="E349" s="176"/>
      <c r="F349" s="176"/>
      <c r="G349" s="178"/>
      <c r="H349" s="176"/>
      <c r="I349" s="176"/>
      <c r="J349" s="176"/>
      <c r="K349" s="176"/>
      <c r="L349" s="176"/>
      <c r="M349" s="176"/>
      <c r="N349" s="176"/>
      <c r="O349" s="176"/>
      <c r="P349" s="176"/>
      <c r="Q349" s="176"/>
      <c r="R349" s="176"/>
      <c r="S349" s="176"/>
      <c r="T349" s="176"/>
      <c r="U349" s="176"/>
      <c r="V349" s="176"/>
      <c r="W349" s="176"/>
      <c r="X349" s="176"/>
      <c r="Y349" s="176"/>
      <c r="Z349" s="176"/>
      <c r="AA349" s="176"/>
      <c r="AB349" s="176"/>
      <c r="AC349" s="176"/>
      <c r="AD349" s="176"/>
      <c r="AE349" s="176"/>
      <c r="AF349" s="176"/>
      <c r="AG349" s="176"/>
      <c r="AH349" s="176"/>
      <c r="AI349" s="176"/>
      <c r="AJ349" s="176"/>
      <c r="AK349" s="176"/>
      <c r="AL349" s="176"/>
      <c r="AM349" s="176"/>
      <c r="AN349" s="176"/>
      <c r="AO349" s="176"/>
      <c r="AP349" s="176"/>
      <c r="AQ349" s="176"/>
      <c r="AR349" s="176"/>
      <c r="AS349" s="176"/>
      <c r="AT349" s="176"/>
      <c r="AU349" s="176"/>
      <c r="AV349" s="176"/>
      <c r="AW349" s="176"/>
      <c r="AX349" s="176"/>
      <c r="AY349" s="176"/>
      <c r="AZ349" s="176"/>
      <c r="BA349" s="176"/>
      <c r="BB349" s="176"/>
      <c r="BC349" s="176"/>
      <c r="BD349" s="176"/>
    </row>
    <row r="350" ht="15.75" customHeight="1">
      <c r="A350" s="176"/>
      <c r="B350" s="176"/>
      <c r="C350" s="176"/>
      <c r="D350" s="176"/>
      <c r="E350" s="176"/>
      <c r="F350" s="176"/>
      <c r="G350" s="178"/>
      <c r="H350" s="176"/>
      <c r="I350" s="176"/>
      <c r="J350" s="176"/>
      <c r="K350" s="176"/>
      <c r="L350" s="176"/>
      <c r="M350" s="176"/>
      <c r="N350" s="176"/>
      <c r="O350" s="176"/>
      <c r="P350" s="176"/>
      <c r="Q350" s="176"/>
      <c r="R350" s="176"/>
      <c r="S350" s="176"/>
      <c r="T350" s="176"/>
      <c r="U350" s="176"/>
      <c r="V350" s="176"/>
      <c r="W350" s="176"/>
      <c r="X350" s="176"/>
      <c r="Y350" s="176"/>
      <c r="Z350" s="176"/>
      <c r="AA350" s="176"/>
      <c r="AB350" s="176"/>
      <c r="AC350" s="176"/>
      <c r="AD350" s="176"/>
      <c r="AE350" s="176"/>
      <c r="AF350" s="176"/>
      <c r="AG350" s="176"/>
      <c r="AH350" s="176"/>
      <c r="AI350" s="176"/>
      <c r="AJ350" s="176"/>
      <c r="AK350" s="176"/>
      <c r="AL350" s="176"/>
      <c r="AM350" s="176"/>
      <c r="AN350" s="176"/>
      <c r="AO350" s="176"/>
      <c r="AP350" s="176"/>
      <c r="AQ350" s="176"/>
      <c r="AR350" s="176"/>
      <c r="AS350" s="176"/>
      <c r="AT350" s="176"/>
      <c r="AU350" s="176"/>
      <c r="AV350" s="176"/>
      <c r="AW350" s="176"/>
      <c r="AX350" s="176"/>
      <c r="AY350" s="176"/>
      <c r="AZ350" s="176"/>
      <c r="BA350" s="176"/>
      <c r="BB350" s="176"/>
      <c r="BC350" s="176"/>
      <c r="BD350" s="176"/>
    </row>
    <row r="351" ht="15.75" customHeight="1">
      <c r="A351" s="176"/>
      <c r="B351" s="176"/>
      <c r="C351" s="176"/>
      <c r="D351" s="176"/>
      <c r="E351" s="176"/>
      <c r="F351" s="176"/>
      <c r="G351" s="178"/>
      <c r="H351" s="176"/>
      <c r="I351" s="176"/>
      <c r="J351" s="176"/>
      <c r="K351" s="176"/>
      <c r="L351" s="176"/>
      <c r="M351" s="176"/>
      <c r="N351" s="176"/>
      <c r="O351" s="176"/>
      <c r="P351" s="176"/>
      <c r="Q351" s="176"/>
      <c r="R351" s="176"/>
      <c r="S351" s="176"/>
      <c r="T351" s="176"/>
      <c r="U351" s="176"/>
      <c r="V351" s="176"/>
      <c r="W351" s="176"/>
      <c r="X351" s="176"/>
      <c r="Y351" s="176"/>
      <c r="Z351" s="176"/>
      <c r="AA351" s="176"/>
      <c r="AB351" s="176"/>
      <c r="AC351" s="176"/>
      <c r="AD351" s="176"/>
      <c r="AE351" s="176"/>
      <c r="AF351" s="176"/>
      <c r="AG351" s="176"/>
      <c r="AH351" s="176"/>
      <c r="AI351" s="176"/>
      <c r="AJ351" s="176"/>
      <c r="AK351" s="176"/>
      <c r="AL351" s="176"/>
      <c r="AM351" s="176"/>
      <c r="AN351" s="176"/>
      <c r="AO351" s="176"/>
      <c r="AP351" s="176"/>
      <c r="AQ351" s="176"/>
      <c r="AR351" s="176"/>
      <c r="AS351" s="176"/>
      <c r="AT351" s="176"/>
      <c r="AU351" s="176"/>
      <c r="AV351" s="176"/>
      <c r="AW351" s="176"/>
      <c r="AX351" s="176"/>
      <c r="AY351" s="176"/>
      <c r="AZ351" s="176"/>
      <c r="BA351" s="176"/>
      <c r="BB351" s="176"/>
      <c r="BC351" s="176"/>
      <c r="BD351" s="176"/>
    </row>
    <row r="352" ht="15.75" customHeight="1">
      <c r="A352" s="176"/>
      <c r="B352" s="176"/>
      <c r="C352" s="176"/>
      <c r="D352" s="176"/>
      <c r="E352" s="176"/>
      <c r="F352" s="176"/>
      <c r="G352" s="178"/>
      <c r="H352" s="176"/>
      <c r="I352" s="176"/>
      <c r="J352" s="176"/>
      <c r="K352" s="176"/>
      <c r="L352" s="176"/>
      <c r="M352" s="176"/>
      <c r="N352" s="176"/>
      <c r="O352" s="176"/>
      <c r="P352" s="176"/>
      <c r="Q352" s="176"/>
      <c r="R352" s="176"/>
      <c r="S352" s="176"/>
      <c r="T352" s="176"/>
      <c r="U352" s="176"/>
      <c r="V352" s="176"/>
      <c r="W352" s="176"/>
      <c r="X352" s="176"/>
      <c r="Y352" s="176"/>
      <c r="Z352" s="176"/>
      <c r="AA352" s="176"/>
      <c r="AB352" s="176"/>
      <c r="AC352" s="176"/>
      <c r="AD352" s="176"/>
      <c r="AE352" s="176"/>
      <c r="AF352" s="176"/>
      <c r="AG352" s="176"/>
      <c r="AH352" s="176"/>
      <c r="AI352" s="176"/>
      <c r="AJ352" s="176"/>
      <c r="AK352" s="176"/>
      <c r="AL352" s="176"/>
      <c r="AM352" s="176"/>
      <c r="AN352" s="176"/>
      <c r="AO352" s="176"/>
      <c r="AP352" s="176"/>
      <c r="AQ352" s="176"/>
      <c r="AR352" s="176"/>
      <c r="AS352" s="176"/>
      <c r="AT352" s="176"/>
      <c r="AU352" s="176"/>
      <c r="AV352" s="176"/>
      <c r="AW352" s="176"/>
      <c r="AX352" s="176"/>
      <c r="AY352" s="176"/>
      <c r="AZ352" s="176"/>
      <c r="BA352" s="176"/>
      <c r="BB352" s="176"/>
      <c r="BC352" s="176"/>
      <c r="BD352" s="176"/>
    </row>
    <row r="353" ht="15.75" customHeight="1">
      <c r="A353" s="176"/>
      <c r="B353" s="176"/>
      <c r="C353" s="176"/>
      <c r="D353" s="176"/>
      <c r="E353" s="176"/>
      <c r="F353" s="176"/>
      <c r="G353" s="178"/>
      <c r="H353" s="176"/>
      <c r="I353" s="176"/>
      <c r="J353" s="176"/>
      <c r="K353" s="176"/>
      <c r="L353" s="176"/>
      <c r="M353" s="176"/>
      <c r="N353" s="176"/>
      <c r="O353" s="176"/>
      <c r="P353" s="176"/>
      <c r="Q353" s="176"/>
      <c r="R353" s="176"/>
      <c r="S353" s="176"/>
      <c r="T353" s="176"/>
      <c r="U353" s="176"/>
      <c r="V353" s="176"/>
      <c r="W353" s="176"/>
      <c r="X353" s="176"/>
      <c r="Y353" s="176"/>
      <c r="Z353" s="176"/>
      <c r="AA353" s="176"/>
      <c r="AB353" s="176"/>
      <c r="AC353" s="176"/>
      <c r="AD353" s="176"/>
      <c r="AE353" s="176"/>
      <c r="AF353" s="176"/>
      <c r="AG353" s="176"/>
      <c r="AH353" s="176"/>
      <c r="AI353" s="176"/>
      <c r="AJ353" s="176"/>
      <c r="AK353" s="176"/>
      <c r="AL353" s="176"/>
      <c r="AM353" s="176"/>
      <c r="AN353" s="176"/>
      <c r="AO353" s="176"/>
      <c r="AP353" s="176"/>
      <c r="AQ353" s="176"/>
      <c r="AR353" s="176"/>
      <c r="AS353" s="176"/>
      <c r="AT353" s="176"/>
      <c r="AU353" s="176"/>
      <c r="AV353" s="176"/>
      <c r="AW353" s="176"/>
      <c r="AX353" s="176"/>
      <c r="AY353" s="176"/>
      <c r="AZ353" s="176"/>
      <c r="BA353" s="176"/>
      <c r="BB353" s="176"/>
      <c r="BC353" s="176"/>
      <c r="BD353" s="176"/>
    </row>
    <row r="354" ht="15.75" customHeight="1">
      <c r="A354" s="176"/>
      <c r="B354" s="176"/>
      <c r="C354" s="176"/>
      <c r="D354" s="176"/>
      <c r="E354" s="176"/>
      <c r="F354" s="176"/>
      <c r="G354" s="178"/>
      <c r="H354" s="176"/>
      <c r="I354" s="176"/>
      <c r="J354" s="176"/>
      <c r="K354" s="176"/>
      <c r="L354" s="176"/>
      <c r="M354" s="176"/>
      <c r="N354" s="176"/>
      <c r="O354" s="176"/>
      <c r="P354" s="176"/>
      <c r="Q354" s="176"/>
      <c r="R354" s="176"/>
      <c r="S354" s="176"/>
      <c r="T354" s="176"/>
      <c r="U354" s="176"/>
      <c r="V354" s="176"/>
      <c r="W354" s="176"/>
      <c r="X354" s="176"/>
      <c r="Y354" s="176"/>
      <c r="Z354" s="176"/>
      <c r="AA354" s="176"/>
      <c r="AB354" s="176"/>
      <c r="AC354" s="176"/>
      <c r="AD354" s="176"/>
      <c r="AE354" s="176"/>
      <c r="AF354" s="176"/>
      <c r="AG354" s="176"/>
      <c r="AH354" s="176"/>
      <c r="AI354" s="176"/>
      <c r="AJ354" s="176"/>
      <c r="AK354" s="176"/>
      <c r="AL354" s="176"/>
      <c r="AM354" s="176"/>
      <c r="AN354" s="176"/>
      <c r="AO354" s="176"/>
      <c r="AP354" s="176"/>
      <c r="AQ354" s="176"/>
      <c r="AR354" s="176"/>
      <c r="AS354" s="176"/>
      <c r="AT354" s="176"/>
      <c r="AU354" s="176"/>
      <c r="AV354" s="176"/>
      <c r="AW354" s="176"/>
      <c r="AX354" s="176"/>
      <c r="AY354" s="176"/>
      <c r="AZ354" s="176"/>
      <c r="BA354" s="176"/>
      <c r="BB354" s="176"/>
      <c r="BC354" s="176"/>
      <c r="BD354" s="176"/>
    </row>
    <row r="355" ht="15.75" customHeight="1">
      <c r="A355" s="176"/>
      <c r="B355" s="176"/>
      <c r="C355" s="176"/>
      <c r="D355" s="176"/>
      <c r="E355" s="176"/>
      <c r="F355" s="176"/>
      <c r="G355" s="178"/>
      <c r="H355" s="176"/>
      <c r="I355" s="176"/>
      <c r="J355" s="176"/>
      <c r="K355" s="176"/>
      <c r="L355" s="176"/>
      <c r="M355" s="176"/>
      <c r="N355" s="176"/>
      <c r="O355" s="176"/>
      <c r="P355" s="176"/>
      <c r="Q355" s="176"/>
      <c r="R355" s="176"/>
      <c r="S355" s="176"/>
      <c r="T355" s="176"/>
      <c r="U355" s="176"/>
      <c r="V355" s="176"/>
      <c r="W355" s="176"/>
      <c r="X355" s="176"/>
      <c r="Y355" s="176"/>
      <c r="Z355" s="176"/>
      <c r="AA355" s="176"/>
      <c r="AB355" s="176"/>
      <c r="AC355" s="176"/>
      <c r="AD355" s="176"/>
      <c r="AE355" s="176"/>
      <c r="AF355" s="176"/>
      <c r="AG355" s="176"/>
      <c r="AH355" s="176"/>
      <c r="AI355" s="176"/>
      <c r="AJ355" s="176"/>
      <c r="AK355" s="176"/>
      <c r="AL355" s="176"/>
      <c r="AM355" s="176"/>
      <c r="AN355" s="176"/>
      <c r="AO355" s="176"/>
      <c r="AP355" s="176"/>
      <c r="AQ355" s="176"/>
      <c r="AR355" s="176"/>
      <c r="AS355" s="176"/>
      <c r="AT355" s="176"/>
      <c r="AU355" s="176"/>
      <c r="AV355" s="176"/>
      <c r="AW355" s="176"/>
      <c r="AX355" s="176"/>
      <c r="AY355" s="176"/>
      <c r="AZ355" s="176"/>
      <c r="BA355" s="176"/>
      <c r="BB355" s="176"/>
      <c r="BC355" s="176"/>
      <c r="BD355" s="176"/>
    </row>
    <row r="356" ht="15.75" customHeight="1">
      <c r="A356" s="176"/>
      <c r="B356" s="176"/>
      <c r="C356" s="176"/>
      <c r="D356" s="176"/>
      <c r="E356" s="176"/>
      <c r="F356" s="176"/>
      <c r="G356" s="178"/>
      <c r="H356" s="176"/>
      <c r="I356" s="176"/>
      <c r="J356" s="176"/>
      <c r="K356" s="176"/>
      <c r="L356" s="176"/>
      <c r="M356" s="176"/>
      <c r="N356" s="176"/>
      <c r="O356" s="176"/>
      <c r="P356" s="176"/>
      <c r="Q356" s="176"/>
      <c r="R356" s="176"/>
      <c r="S356" s="176"/>
      <c r="T356" s="176"/>
      <c r="U356" s="176"/>
      <c r="V356" s="176"/>
      <c r="W356" s="176"/>
      <c r="X356" s="176"/>
      <c r="Y356" s="176"/>
      <c r="Z356" s="176"/>
      <c r="AA356" s="176"/>
      <c r="AB356" s="176"/>
      <c r="AC356" s="176"/>
      <c r="AD356" s="176"/>
      <c r="AE356" s="176"/>
      <c r="AF356" s="176"/>
      <c r="AG356" s="176"/>
      <c r="AH356" s="176"/>
      <c r="AI356" s="176"/>
      <c r="AJ356" s="176"/>
      <c r="AK356" s="176"/>
      <c r="AL356" s="176"/>
      <c r="AM356" s="176"/>
      <c r="AN356" s="176"/>
      <c r="AO356" s="176"/>
      <c r="AP356" s="176"/>
      <c r="AQ356" s="176"/>
      <c r="AR356" s="176"/>
      <c r="AS356" s="176"/>
      <c r="AT356" s="176"/>
      <c r="AU356" s="176"/>
      <c r="AV356" s="176"/>
      <c r="AW356" s="176"/>
      <c r="AX356" s="176"/>
      <c r="AY356" s="176"/>
      <c r="AZ356" s="176"/>
      <c r="BA356" s="176"/>
      <c r="BB356" s="176"/>
      <c r="BC356" s="176"/>
      <c r="BD356" s="176"/>
    </row>
    <row r="357" ht="15.75" customHeight="1">
      <c r="A357" s="176"/>
      <c r="B357" s="176"/>
      <c r="C357" s="176"/>
      <c r="D357" s="176"/>
      <c r="E357" s="176"/>
      <c r="F357" s="176"/>
      <c r="G357" s="178"/>
      <c r="H357" s="176"/>
      <c r="I357" s="176"/>
      <c r="J357" s="176"/>
      <c r="K357" s="176"/>
      <c r="L357" s="176"/>
      <c r="M357" s="176"/>
      <c r="N357" s="176"/>
      <c r="O357" s="176"/>
      <c r="P357" s="176"/>
      <c r="Q357" s="176"/>
      <c r="R357" s="176"/>
      <c r="S357" s="176"/>
      <c r="T357" s="176"/>
      <c r="U357" s="176"/>
      <c r="V357" s="176"/>
      <c r="W357" s="176"/>
      <c r="X357" s="176"/>
      <c r="Y357" s="176"/>
      <c r="Z357" s="176"/>
      <c r="AA357" s="176"/>
      <c r="AB357" s="176"/>
      <c r="AC357" s="176"/>
      <c r="AD357" s="176"/>
      <c r="AE357" s="176"/>
      <c r="AF357" s="176"/>
      <c r="AG357" s="176"/>
      <c r="AH357" s="176"/>
      <c r="AI357" s="176"/>
      <c r="AJ357" s="176"/>
      <c r="AK357" s="176"/>
      <c r="AL357" s="176"/>
      <c r="AM357" s="176"/>
      <c r="AN357" s="176"/>
      <c r="AO357" s="176"/>
      <c r="AP357" s="176"/>
      <c r="AQ357" s="176"/>
      <c r="AR357" s="176"/>
      <c r="AS357" s="176"/>
      <c r="AT357" s="176"/>
      <c r="AU357" s="176"/>
      <c r="AV357" s="176"/>
      <c r="AW357" s="176"/>
      <c r="AX357" s="176"/>
      <c r="AY357" s="176"/>
      <c r="AZ357" s="176"/>
      <c r="BA357" s="176"/>
      <c r="BB357" s="176"/>
      <c r="BC357" s="176"/>
      <c r="BD357" s="176"/>
    </row>
    <row r="358" ht="15.75" customHeight="1">
      <c r="A358" s="176"/>
      <c r="B358" s="176"/>
      <c r="C358" s="176"/>
      <c r="D358" s="176"/>
      <c r="E358" s="176"/>
      <c r="F358" s="176"/>
      <c r="G358" s="178"/>
      <c r="H358" s="176"/>
      <c r="I358" s="176"/>
      <c r="J358" s="176"/>
      <c r="K358" s="176"/>
      <c r="L358" s="176"/>
      <c r="M358" s="176"/>
      <c r="N358" s="176"/>
      <c r="O358" s="176"/>
      <c r="P358" s="176"/>
      <c r="Q358" s="176"/>
      <c r="R358" s="176"/>
      <c r="S358" s="176"/>
      <c r="T358" s="176"/>
      <c r="U358" s="176"/>
      <c r="V358" s="176"/>
      <c r="W358" s="176"/>
      <c r="X358" s="176"/>
      <c r="Y358" s="176"/>
      <c r="Z358" s="176"/>
      <c r="AA358" s="176"/>
      <c r="AB358" s="176"/>
      <c r="AC358" s="176"/>
      <c r="AD358" s="176"/>
      <c r="AE358" s="176"/>
      <c r="AF358" s="176"/>
      <c r="AG358" s="176"/>
      <c r="AH358" s="176"/>
      <c r="AI358" s="176"/>
      <c r="AJ358" s="176"/>
      <c r="AK358" s="176"/>
      <c r="AL358" s="176"/>
      <c r="AM358" s="176"/>
      <c r="AN358" s="176"/>
      <c r="AO358" s="176"/>
      <c r="AP358" s="176"/>
      <c r="AQ358" s="176"/>
      <c r="AR358" s="176"/>
      <c r="AS358" s="176"/>
      <c r="AT358" s="176"/>
      <c r="AU358" s="176"/>
      <c r="AV358" s="176"/>
      <c r="AW358" s="176"/>
      <c r="AX358" s="176"/>
      <c r="AY358" s="176"/>
      <c r="AZ358" s="176"/>
      <c r="BA358" s="176"/>
      <c r="BB358" s="176"/>
      <c r="BC358" s="176"/>
      <c r="BD358" s="176"/>
    </row>
    <row r="359" ht="15.75" customHeight="1">
      <c r="A359" s="176"/>
      <c r="B359" s="176"/>
      <c r="C359" s="176"/>
      <c r="D359" s="176"/>
      <c r="E359" s="176"/>
      <c r="F359" s="176"/>
      <c r="G359" s="178"/>
      <c r="H359" s="176"/>
      <c r="I359" s="176"/>
      <c r="J359" s="176"/>
      <c r="K359" s="176"/>
      <c r="L359" s="176"/>
      <c r="M359" s="176"/>
      <c r="N359" s="176"/>
      <c r="O359" s="176"/>
      <c r="P359" s="176"/>
      <c r="Q359" s="176"/>
      <c r="R359" s="176"/>
      <c r="S359" s="176"/>
      <c r="T359" s="176"/>
      <c r="U359" s="176"/>
      <c r="V359" s="176"/>
      <c r="W359" s="176"/>
      <c r="X359" s="176"/>
      <c r="Y359" s="176"/>
      <c r="Z359" s="176"/>
      <c r="AA359" s="176"/>
      <c r="AB359" s="176"/>
      <c r="AC359" s="176"/>
      <c r="AD359" s="176"/>
      <c r="AE359" s="176"/>
      <c r="AF359" s="176"/>
      <c r="AG359" s="176"/>
      <c r="AH359" s="176"/>
      <c r="AI359" s="176"/>
      <c r="AJ359" s="176"/>
      <c r="AK359" s="176"/>
      <c r="AL359" s="176"/>
      <c r="AM359" s="176"/>
      <c r="AN359" s="176"/>
      <c r="AO359" s="176"/>
      <c r="AP359" s="176"/>
      <c r="AQ359" s="176"/>
      <c r="AR359" s="176"/>
      <c r="AS359" s="176"/>
      <c r="AT359" s="176"/>
      <c r="AU359" s="176"/>
      <c r="AV359" s="176"/>
      <c r="AW359" s="176"/>
      <c r="AX359" s="176"/>
      <c r="AY359" s="176"/>
      <c r="AZ359" s="176"/>
      <c r="BA359" s="176"/>
      <c r="BB359" s="176"/>
      <c r="BC359" s="176"/>
      <c r="BD359" s="176"/>
    </row>
    <row r="360" ht="15.75" customHeight="1">
      <c r="A360" s="176"/>
      <c r="B360" s="176"/>
      <c r="C360" s="176"/>
      <c r="D360" s="176"/>
      <c r="E360" s="176"/>
      <c r="F360" s="176"/>
      <c r="G360" s="178"/>
      <c r="H360" s="176"/>
      <c r="I360" s="176"/>
      <c r="J360" s="176"/>
      <c r="K360" s="176"/>
      <c r="L360" s="176"/>
      <c r="M360" s="176"/>
      <c r="N360" s="176"/>
      <c r="O360" s="176"/>
      <c r="P360" s="176"/>
      <c r="Q360" s="176"/>
      <c r="R360" s="176"/>
      <c r="S360" s="176"/>
      <c r="T360" s="176"/>
      <c r="U360" s="176"/>
      <c r="V360" s="176"/>
      <c r="W360" s="176"/>
      <c r="X360" s="176"/>
      <c r="Y360" s="176"/>
      <c r="Z360" s="176"/>
      <c r="AA360" s="176"/>
      <c r="AB360" s="176"/>
      <c r="AC360" s="176"/>
      <c r="AD360" s="176"/>
      <c r="AE360" s="176"/>
      <c r="AF360" s="176"/>
      <c r="AG360" s="176"/>
      <c r="AH360" s="176"/>
      <c r="AI360" s="176"/>
      <c r="AJ360" s="176"/>
      <c r="AK360" s="176"/>
      <c r="AL360" s="176"/>
      <c r="AM360" s="176"/>
      <c r="AN360" s="176"/>
      <c r="AO360" s="176"/>
      <c r="AP360" s="176"/>
      <c r="AQ360" s="176"/>
      <c r="AR360" s="176"/>
      <c r="AS360" s="176"/>
      <c r="AT360" s="176"/>
      <c r="AU360" s="176"/>
      <c r="AV360" s="176"/>
      <c r="AW360" s="176"/>
      <c r="AX360" s="176"/>
      <c r="AY360" s="176"/>
      <c r="AZ360" s="176"/>
      <c r="BA360" s="176"/>
      <c r="BB360" s="176"/>
      <c r="BC360" s="176"/>
      <c r="BD360" s="176"/>
    </row>
    <row r="361" ht="15.75" customHeight="1">
      <c r="A361" s="176"/>
      <c r="B361" s="176"/>
      <c r="C361" s="176"/>
      <c r="D361" s="176"/>
      <c r="E361" s="176"/>
      <c r="F361" s="176"/>
      <c r="G361" s="178"/>
      <c r="H361" s="176"/>
      <c r="I361" s="176"/>
      <c r="J361" s="176"/>
      <c r="K361" s="176"/>
      <c r="L361" s="176"/>
      <c r="M361" s="176"/>
      <c r="N361" s="176"/>
      <c r="O361" s="176"/>
      <c r="P361" s="176"/>
      <c r="Q361" s="176"/>
      <c r="R361" s="176"/>
      <c r="S361" s="176"/>
      <c r="T361" s="176"/>
      <c r="U361" s="176"/>
      <c r="V361" s="176"/>
      <c r="W361" s="176"/>
      <c r="X361" s="176"/>
      <c r="Y361" s="176"/>
      <c r="Z361" s="176"/>
      <c r="AA361" s="176"/>
      <c r="AB361" s="176"/>
      <c r="AC361" s="176"/>
      <c r="AD361" s="176"/>
      <c r="AE361" s="176"/>
      <c r="AF361" s="176"/>
      <c r="AG361" s="176"/>
      <c r="AH361" s="176"/>
      <c r="AI361" s="176"/>
      <c r="AJ361" s="176"/>
      <c r="AK361" s="176"/>
      <c r="AL361" s="176"/>
      <c r="AM361" s="176"/>
      <c r="AN361" s="176"/>
      <c r="AO361" s="176"/>
      <c r="AP361" s="176"/>
      <c r="AQ361" s="176"/>
      <c r="AR361" s="176"/>
      <c r="AS361" s="176"/>
      <c r="AT361" s="176"/>
      <c r="AU361" s="176"/>
      <c r="AV361" s="176"/>
      <c r="AW361" s="176"/>
      <c r="AX361" s="176"/>
      <c r="AY361" s="176"/>
      <c r="AZ361" s="176"/>
      <c r="BA361" s="176"/>
      <c r="BB361" s="176"/>
      <c r="BC361" s="176"/>
      <c r="BD361" s="176"/>
    </row>
    <row r="362" ht="15.75" customHeight="1">
      <c r="A362" s="176"/>
      <c r="B362" s="176"/>
      <c r="C362" s="176"/>
      <c r="D362" s="176"/>
      <c r="E362" s="176"/>
      <c r="F362" s="176"/>
      <c r="G362" s="178"/>
      <c r="H362" s="176"/>
      <c r="I362" s="176"/>
      <c r="J362" s="176"/>
      <c r="K362" s="176"/>
      <c r="L362" s="176"/>
      <c r="M362" s="176"/>
      <c r="N362" s="176"/>
      <c r="O362" s="176"/>
      <c r="P362" s="176"/>
      <c r="Q362" s="176"/>
      <c r="R362" s="176"/>
      <c r="S362" s="176"/>
      <c r="T362" s="176"/>
      <c r="U362" s="176"/>
      <c r="V362" s="176"/>
      <c r="W362" s="176"/>
      <c r="X362" s="176"/>
      <c r="Y362" s="176"/>
      <c r="Z362" s="176"/>
      <c r="AA362" s="176"/>
      <c r="AB362" s="176"/>
      <c r="AC362" s="176"/>
      <c r="AD362" s="176"/>
      <c r="AE362" s="176"/>
      <c r="AF362" s="176"/>
      <c r="AG362" s="176"/>
      <c r="AH362" s="176"/>
      <c r="AI362" s="176"/>
      <c r="AJ362" s="176"/>
      <c r="AK362" s="176"/>
      <c r="AL362" s="176"/>
      <c r="AM362" s="176"/>
      <c r="AN362" s="176"/>
      <c r="AO362" s="176"/>
      <c r="AP362" s="176"/>
      <c r="AQ362" s="176"/>
      <c r="AR362" s="176"/>
      <c r="AS362" s="176"/>
      <c r="AT362" s="176"/>
      <c r="AU362" s="176"/>
      <c r="AV362" s="176"/>
      <c r="AW362" s="176"/>
      <c r="AX362" s="176"/>
      <c r="AY362" s="176"/>
      <c r="AZ362" s="176"/>
      <c r="BA362" s="176"/>
      <c r="BB362" s="176"/>
      <c r="BC362" s="176"/>
      <c r="BD362" s="176"/>
    </row>
    <row r="363" ht="15.75" customHeight="1">
      <c r="A363" s="176"/>
      <c r="B363" s="176"/>
      <c r="C363" s="176"/>
      <c r="D363" s="176"/>
      <c r="E363" s="176"/>
      <c r="F363" s="176"/>
      <c r="G363" s="178"/>
      <c r="H363" s="176"/>
      <c r="I363" s="176"/>
      <c r="J363" s="176"/>
      <c r="K363" s="176"/>
      <c r="L363" s="176"/>
      <c r="M363" s="176"/>
      <c r="N363" s="176"/>
      <c r="O363" s="176"/>
      <c r="P363" s="176"/>
      <c r="Q363" s="176"/>
      <c r="R363" s="176"/>
      <c r="S363" s="176"/>
      <c r="T363" s="176"/>
      <c r="U363" s="176"/>
      <c r="V363" s="176"/>
      <c r="W363" s="176"/>
      <c r="X363" s="176"/>
      <c r="Y363" s="176"/>
      <c r="Z363" s="176"/>
      <c r="AA363" s="176"/>
      <c r="AB363" s="176"/>
      <c r="AC363" s="176"/>
      <c r="AD363" s="176"/>
      <c r="AE363" s="176"/>
      <c r="AF363" s="176"/>
      <c r="AG363" s="176"/>
      <c r="AH363" s="176"/>
      <c r="AI363" s="176"/>
      <c r="AJ363" s="176"/>
      <c r="AK363" s="176"/>
      <c r="AL363" s="176"/>
      <c r="AM363" s="176"/>
      <c r="AN363" s="176"/>
      <c r="AO363" s="176"/>
      <c r="AP363" s="176"/>
      <c r="AQ363" s="176"/>
      <c r="AR363" s="176"/>
      <c r="AS363" s="176"/>
      <c r="AT363" s="176"/>
      <c r="AU363" s="176"/>
      <c r="AV363" s="176"/>
      <c r="AW363" s="176"/>
      <c r="AX363" s="176"/>
      <c r="AY363" s="176"/>
      <c r="AZ363" s="176"/>
      <c r="BA363" s="176"/>
      <c r="BB363" s="176"/>
      <c r="BC363" s="176"/>
      <c r="BD363" s="176"/>
    </row>
    <row r="364" ht="15.75" customHeight="1">
      <c r="A364" s="176"/>
      <c r="B364" s="176"/>
      <c r="C364" s="176"/>
      <c r="D364" s="176"/>
      <c r="E364" s="176"/>
      <c r="F364" s="176"/>
      <c r="G364" s="178"/>
      <c r="H364" s="176"/>
      <c r="I364" s="176"/>
      <c r="J364" s="176"/>
      <c r="K364" s="176"/>
      <c r="L364" s="176"/>
      <c r="M364" s="176"/>
      <c r="N364" s="176"/>
      <c r="O364" s="176"/>
      <c r="P364" s="176"/>
      <c r="Q364" s="176"/>
      <c r="R364" s="176"/>
      <c r="S364" s="176"/>
      <c r="T364" s="176"/>
      <c r="U364" s="176"/>
      <c r="V364" s="176"/>
      <c r="W364" s="176"/>
      <c r="X364" s="176"/>
      <c r="Y364" s="176"/>
      <c r="Z364" s="176"/>
      <c r="AA364" s="176"/>
      <c r="AB364" s="176"/>
      <c r="AC364" s="176"/>
      <c r="AD364" s="176"/>
      <c r="AE364" s="176"/>
      <c r="AF364" s="176"/>
      <c r="AG364" s="176"/>
      <c r="AH364" s="176"/>
      <c r="AI364" s="176"/>
      <c r="AJ364" s="176"/>
      <c r="AK364" s="176"/>
      <c r="AL364" s="176"/>
      <c r="AM364" s="176"/>
      <c r="AN364" s="176"/>
      <c r="AO364" s="176"/>
      <c r="AP364" s="176"/>
      <c r="AQ364" s="176"/>
      <c r="AR364" s="176"/>
      <c r="AS364" s="176"/>
      <c r="AT364" s="176"/>
      <c r="AU364" s="176"/>
      <c r="AV364" s="176"/>
      <c r="AW364" s="176"/>
      <c r="AX364" s="176"/>
      <c r="AY364" s="176"/>
      <c r="AZ364" s="176"/>
      <c r="BA364" s="176"/>
      <c r="BB364" s="176"/>
      <c r="BC364" s="176"/>
      <c r="BD364" s="176"/>
    </row>
    <row r="365" ht="15.75" customHeight="1">
      <c r="A365" s="176"/>
      <c r="B365" s="176"/>
      <c r="C365" s="176"/>
      <c r="D365" s="176"/>
      <c r="E365" s="176"/>
      <c r="F365" s="176"/>
      <c r="G365" s="178"/>
      <c r="H365" s="176"/>
      <c r="I365" s="176"/>
      <c r="J365" s="176"/>
      <c r="K365" s="176"/>
      <c r="L365" s="176"/>
      <c r="M365" s="176"/>
      <c r="N365" s="176"/>
      <c r="O365" s="176"/>
      <c r="P365" s="176"/>
      <c r="Q365" s="176"/>
      <c r="R365" s="176"/>
      <c r="S365" s="176"/>
      <c r="T365" s="176"/>
      <c r="U365" s="176"/>
      <c r="V365" s="176"/>
      <c r="W365" s="176"/>
      <c r="X365" s="176"/>
      <c r="Y365" s="176"/>
      <c r="Z365" s="176"/>
      <c r="AA365" s="176"/>
      <c r="AB365" s="176"/>
      <c r="AC365" s="176"/>
      <c r="AD365" s="176"/>
      <c r="AE365" s="176"/>
      <c r="AF365" s="176"/>
      <c r="AG365" s="176"/>
      <c r="AH365" s="176"/>
      <c r="AI365" s="176"/>
      <c r="AJ365" s="176"/>
      <c r="AK365" s="176"/>
      <c r="AL365" s="176"/>
      <c r="AM365" s="176"/>
      <c r="AN365" s="176"/>
      <c r="AO365" s="176"/>
      <c r="AP365" s="176"/>
      <c r="AQ365" s="176"/>
      <c r="AR365" s="176"/>
      <c r="AS365" s="176"/>
      <c r="AT365" s="176"/>
      <c r="AU365" s="176"/>
      <c r="AV365" s="176"/>
      <c r="AW365" s="176"/>
      <c r="AX365" s="176"/>
      <c r="AY365" s="176"/>
      <c r="AZ365" s="176"/>
      <c r="BA365" s="176"/>
      <c r="BB365" s="176"/>
      <c r="BC365" s="176"/>
      <c r="BD365" s="176"/>
    </row>
    <row r="366" ht="15.75" customHeight="1">
      <c r="A366" s="176"/>
      <c r="B366" s="176"/>
      <c r="C366" s="176"/>
      <c r="D366" s="176"/>
      <c r="E366" s="176"/>
      <c r="F366" s="176"/>
      <c r="G366" s="178"/>
      <c r="H366" s="176"/>
      <c r="I366" s="176"/>
      <c r="J366" s="176"/>
      <c r="K366" s="176"/>
      <c r="L366" s="176"/>
      <c r="M366" s="176"/>
      <c r="N366" s="176"/>
      <c r="O366" s="176"/>
      <c r="P366" s="176"/>
      <c r="Q366" s="176"/>
      <c r="R366" s="176"/>
      <c r="S366" s="176"/>
      <c r="T366" s="176"/>
      <c r="U366" s="176"/>
      <c r="V366" s="176"/>
      <c r="W366" s="176"/>
      <c r="X366" s="176"/>
      <c r="Y366" s="176"/>
      <c r="Z366" s="176"/>
      <c r="AA366" s="176"/>
      <c r="AB366" s="176"/>
      <c r="AC366" s="176"/>
      <c r="AD366" s="176"/>
      <c r="AE366" s="176"/>
      <c r="AF366" s="176"/>
      <c r="AG366" s="176"/>
      <c r="AH366" s="176"/>
      <c r="AI366" s="176"/>
      <c r="AJ366" s="176"/>
      <c r="AK366" s="176"/>
      <c r="AL366" s="176"/>
      <c r="AM366" s="176"/>
      <c r="AN366" s="176"/>
      <c r="AO366" s="176"/>
      <c r="AP366" s="176"/>
      <c r="AQ366" s="176"/>
      <c r="AR366" s="176"/>
      <c r="AS366" s="176"/>
      <c r="AT366" s="176"/>
      <c r="AU366" s="176"/>
      <c r="AV366" s="176"/>
      <c r="AW366" s="176"/>
      <c r="AX366" s="176"/>
      <c r="AY366" s="176"/>
      <c r="AZ366" s="176"/>
      <c r="BA366" s="176"/>
      <c r="BB366" s="176"/>
      <c r="BC366" s="176"/>
      <c r="BD366" s="176"/>
    </row>
    <row r="367" ht="15.75" customHeight="1">
      <c r="A367" s="176"/>
      <c r="B367" s="176"/>
      <c r="C367" s="176"/>
      <c r="D367" s="176"/>
      <c r="E367" s="176"/>
      <c r="F367" s="176"/>
      <c r="G367" s="178"/>
      <c r="H367" s="176"/>
      <c r="I367" s="176"/>
      <c r="J367" s="176"/>
      <c r="K367" s="176"/>
      <c r="L367" s="176"/>
      <c r="M367" s="176"/>
      <c r="N367" s="176"/>
      <c r="O367" s="176"/>
      <c r="P367" s="176"/>
      <c r="Q367" s="176"/>
      <c r="R367" s="176"/>
      <c r="S367" s="176"/>
      <c r="T367" s="176"/>
      <c r="U367" s="176"/>
      <c r="V367" s="176"/>
      <c r="W367" s="176"/>
      <c r="X367" s="176"/>
      <c r="Y367" s="176"/>
      <c r="Z367" s="176"/>
      <c r="AA367" s="176"/>
      <c r="AB367" s="176"/>
      <c r="AC367" s="176"/>
      <c r="AD367" s="176"/>
      <c r="AE367" s="176"/>
      <c r="AF367" s="176"/>
      <c r="AG367" s="176"/>
      <c r="AH367" s="176"/>
      <c r="AI367" s="176"/>
      <c r="AJ367" s="176"/>
      <c r="AK367" s="176"/>
      <c r="AL367" s="176"/>
      <c r="AM367" s="176"/>
      <c r="AN367" s="176"/>
      <c r="AO367" s="176"/>
      <c r="AP367" s="176"/>
      <c r="AQ367" s="176"/>
      <c r="AR367" s="176"/>
      <c r="AS367" s="176"/>
      <c r="AT367" s="176"/>
      <c r="AU367" s="176"/>
      <c r="AV367" s="176"/>
      <c r="AW367" s="176"/>
      <c r="AX367" s="176"/>
      <c r="AY367" s="176"/>
      <c r="AZ367" s="176"/>
      <c r="BA367" s="176"/>
      <c r="BB367" s="176"/>
      <c r="BC367" s="176"/>
      <c r="BD367" s="176"/>
    </row>
    <row r="368" ht="15.75" customHeight="1">
      <c r="A368" s="176"/>
      <c r="B368" s="176"/>
      <c r="C368" s="176"/>
      <c r="D368" s="176"/>
      <c r="E368" s="176"/>
      <c r="F368" s="176"/>
      <c r="G368" s="178"/>
      <c r="H368" s="176"/>
      <c r="I368" s="176"/>
      <c r="J368" s="176"/>
      <c r="K368" s="176"/>
      <c r="L368" s="176"/>
      <c r="M368" s="176"/>
      <c r="N368" s="176"/>
      <c r="O368" s="176"/>
      <c r="P368" s="176"/>
      <c r="Q368" s="176"/>
      <c r="R368" s="176"/>
      <c r="S368" s="176"/>
      <c r="T368" s="176"/>
      <c r="U368" s="176"/>
      <c r="V368" s="176"/>
      <c r="W368" s="176"/>
      <c r="X368" s="176"/>
      <c r="Y368" s="176"/>
      <c r="Z368" s="176"/>
      <c r="AA368" s="176"/>
      <c r="AB368" s="176"/>
      <c r="AC368" s="176"/>
      <c r="AD368" s="176"/>
      <c r="AE368" s="176"/>
      <c r="AF368" s="176"/>
      <c r="AG368" s="176"/>
      <c r="AH368" s="176"/>
      <c r="AI368" s="176"/>
      <c r="AJ368" s="176"/>
      <c r="AK368" s="176"/>
      <c r="AL368" s="176"/>
      <c r="AM368" s="176"/>
      <c r="AN368" s="176"/>
      <c r="AO368" s="176"/>
      <c r="AP368" s="176"/>
      <c r="AQ368" s="176"/>
      <c r="AR368" s="176"/>
      <c r="AS368" s="176"/>
      <c r="AT368" s="176"/>
      <c r="AU368" s="176"/>
      <c r="AV368" s="176"/>
      <c r="AW368" s="176"/>
      <c r="AX368" s="176"/>
      <c r="AY368" s="176"/>
      <c r="AZ368" s="176"/>
      <c r="BA368" s="176"/>
      <c r="BB368" s="176"/>
      <c r="BC368" s="176"/>
      <c r="BD368" s="176"/>
    </row>
    <row r="369" ht="15.75" customHeight="1">
      <c r="A369" s="176"/>
      <c r="B369" s="176"/>
      <c r="C369" s="176"/>
      <c r="D369" s="176"/>
      <c r="E369" s="176"/>
      <c r="F369" s="176"/>
      <c r="G369" s="178"/>
      <c r="H369" s="176"/>
      <c r="I369" s="176"/>
      <c r="J369" s="176"/>
      <c r="K369" s="176"/>
      <c r="L369" s="176"/>
      <c r="M369" s="176"/>
      <c r="N369" s="176"/>
      <c r="O369" s="176"/>
      <c r="P369" s="176"/>
      <c r="Q369" s="176"/>
      <c r="R369" s="176"/>
      <c r="S369" s="176"/>
      <c r="T369" s="176"/>
      <c r="U369" s="176"/>
      <c r="V369" s="176"/>
      <c r="W369" s="176"/>
      <c r="X369" s="176"/>
      <c r="Y369" s="176"/>
      <c r="Z369" s="176"/>
      <c r="AA369" s="176"/>
      <c r="AB369" s="176"/>
      <c r="AC369" s="176"/>
      <c r="AD369" s="176"/>
      <c r="AE369" s="176"/>
      <c r="AF369" s="176"/>
      <c r="AG369" s="176"/>
      <c r="AH369" s="176"/>
      <c r="AI369" s="176"/>
      <c r="AJ369" s="176"/>
      <c r="AK369" s="176"/>
      <c r="AL369" s="176"/>
      <c r="AM369" s="176"/>
      <c r="AN369" s="176"/>
      <c r="AO369" s="176"/>
      <c r="AP369" s="176"/>
      <c r="AQ369" s="176"/>
      <c r="AR369" s="176"/>
      <c r="AS369" s="176"/>
      <c r="AT369" s="176"/>
      <c r="AU369" s="176"/>
      <c r="AV369" s="176"/>
      <c r="AW369" s="176"/>
      <c r="AX369" s="176"/>
      <c r="AY369" s="176"/>
      <c r="AZ369" s="176"/>
      <c r="BA369" s="176"/>
      <c r="BB369" s="176"/>
      <c r="BC369" s="176"/>
      <c r="BD369" s="176"/>
    </row>
    <row r="370" ht="15.75" customHeight="1">
      <c r="A370" s="176"/>
      <c r="B370" s="176"/>
      <c r="C370" s="176"/>
      <c r="D370" s="176"/>
      <c r="E370" s="176"/>
      <c r="F370" s="176"/>
      <c r="G370" s="178"/>
      <c r="H370" s="176"/>
      <c r="I370" s="176"/>
      <c r="J370" s="176"/>
      <c r="K370" s="176"/>
      <c r="L370" s="176"/>
      <c r="M370" s="176"/>
      <c r="N370" s="176"/>
      <c r="O370" s="176"/>
      <c r="P370" s="176"/>
      <c r="Q370" s="176"/>
      <c r="R370" s="176"/>
      <c r="S370" s="176"/>
      <c r="T370" s="176"/>
      <c r="U370" s="176"/>
      <c r="V370" s="176"/>
      <c r="W370" s="176"/>
      <c r="X370" s="176"/>
      <c r="Y370" s="176"/>
      <c r="Z370" s="176"/>
      <c r="AA370" s="176"/>
      <c r="AB370" s="176"/>
      <c r="AC370" s="176"/>
      <c r="AD370" s="176"/>
      <c r="AE370" s="176"/>
      <c r="AF370" s="176"/>
      <c r="AG370" s="176"/>
      <c r="AH370" s="176"/>
      <c r="AI370" s="176"/>
      <c r="AJ370" s="176"/>
      <c r="AK370" s="176"/>
      <c r="AL370" s="176"/>
      <c r="AM370" s="176"/>
      <c r="AN370" s="176"/>
      <c r="AO370" s="176"/>
      <c r="AP370" s="176"/>
      <c r="AQ370" s="176"/>
      <c r="AR370" s="176"/>
      <c r="AS370" s="176"/>
      <c r="AT370" s="176"/>
      <c r="AU370" s="176"/>
      <c r="AV370" s="176"/>
      <c r="AW370" s="176"/>
      <c r="AX370" s="176"/>
      <c r="AY370" s="176"/>
      <c r="AZ370" s="176"/>
      <c r="BA370" s="176"/>
      <c r="BB370" s="176"/>
      <c r="BC370" s="176"/>
      <c r="BD370" s="176"/>
    </row>
    <row r="371" ht="15.75" customHeight="1">
      <c r="A371" s="176"/>
      <c r="B371" s="176"/>
      <c r="C371" s="176"/>
      <c r="D371" s="176"/>
      <c r="E371" s="176"/>
      <c r="F371" s="176"/>
      <c r="G371" s="178"/>
      <c r="H371" s="176"/>
      <c r="I371" s="176"/>
      <c r="J371" s="176"/>
      <c r="K371" s="176"/>
      <c r="L371" s="176"/>
      <c r="M371" s="176"/>
      <c r="N371" s="176"/>
      <c r="O371" s="176"/>
      <c r="P371" s="176"/>
      <c r="Q371" s="176"/>
      <c r="R371" s="176"/>
      <c r="S371" s="176"/>
      <c r="T371" s="176"/>
      <c r="U371" s="176"/>
      <c r="V371" s="176"/>
      <c r="W371" s="176"/>
      <c r="X371" s="176"/>
      <c r="Y371" s="176"/>
      <c r="Z371" s="176"/>
      <c r="AA371" s="176"/>
      <c r="AB371" s="176"/>
      <c r="AC371" s="176"/>
      <c r="AD371" s="176"/>
      <c r="AE371" s="176"/>
      <c r="AF371" s="176"/>
      <c r="AG371" s="176"/>
      <c r="AH371" s="176"/>
      <c r="AI371" s="176"/>
      <c r="AJ371" s="176"/>
      <c r="AK371" s="176"/>
      <c r="AL371" s="176"/>
      <c r="AM371" s="176"/>
      <c r="AN371" s="176"/>
      <c r="AO371" s="176"/>
      <c r="AP371" s="176"/>
      <c r="AQ371" s="176"/>
      <c r="AR371" s="176"/>
      <c r="AS371" s="176"/>
      <c r="AT371" s="176"/>
      <c r="AU371" s="176"/>
      <c r="AV371" s="176"/>
      <c r="AW371" s="176"/>
      <c r="AX371" s="176"/>
      <c r="AY371" s="176"/>
      <c r="AZ371" s="176"/>
      <c r="BA371" s="176"/>
      <c r="BB371" s="176"/>
      <c r="BC371" s="176"/>
      <c r="BD371" s="176"/>
    </row>
    <row r="372" ht="15.75" customHeight="1">
      <c r="A372" s="176"/>
      <c r="B372" s="176"/>
      <c r="C372" s="176"/>
      <c r="D372" s="176"/>
      <c r="E372" s="176"/>
      <c r="F372" s="176"/>
      <c r="G372" s="178"/>
      <c r="H372" s="176"/>
      <c r="I372" s="176"/>
      <c r="J372" s="176"/>
      <c r="K372" s="176"/>
      <c r="L372" s="176"/>
      <c r="M372" s="176"/>
      <c r="N372" s="176"/>
      <c r="O372" s="176"/>
      <c r="P372" s="176"/>
      <c r="Q372" s="176"/>
      <c r="R372" s="176"/>
      <c r="S372" s="176"/>
      <c r="T372" s="176"/>
      <c r="U372" s="176"/>
      <c r="V372" s="176"/>
      <c r="W372" s="176"/>
      <c r="X372" s="176"/>
      <c r="Y372" s="176"/>
      <c r="Z372" s="176"/>
      <c r="AA372" s="176"/>
      <c r="AB372" s="176"/>
      <c r="AC372" s="176"/>
      <c r="AD372" s="176"/>
      <c r="AE372" s="176"/>
      <c r="AF372" s="176"/>
      <c r="AG372" s="176"/>
      <c r="AH372" s="176"/>
      <c r="AI372" s="176"/>
      <c r="AJ372" s="176"/>
      <c r="AK372" s="176"/>
      <c r="AL372" s="176"/>
      <c r="AM372" s="176"/>
      <c r="AN372" s="176"/>
      <c r="AO372" s="176"/>
      <c r="AP372" s="176"/>
      <c r="AQ372" s="176"/>
      <c r="AR372" s="176"/>
      <c r="AS372" s="176"/>
      <c r="AT372" s="176"/>
      <c r="AU372" s="176"/>
      <c r="AV372" s="176"/>
      <c r="AW372" s="176"/>
      <c r="AX372" s="176"/>
      <c r="AY372" s="176"/>
      <c r="AZ372" s="176"/>
      <c r="BA372" s="176"/>
      <c r="BB372" s="176"/>
      <c r="BC372" s="176"/>
      <c r="BD372" s="176"/>
    </row>
    <row r="373" ht="15.75" customHeight="1">
      <c r="A373" s="176"/>
      <c r="B373" s="176"/>
      <c r="C373" s="176"/>
      <c r="D373" s="176"/>
      <c r="E373" s="176"/>
      <c r="F373" s="176"/>
      <c r="G373" s="178"/>
      <c r="H373" s="176"/>
      <c r="I373" s="176"/>
      <c r="J373" s="176"/>
      <c r="K373" s="176"/>
      <c r="L373" s="176"/>
      <c r="M373" s="176"/>
      <c r="N373" s="176"/>
      <c r="O373" s="176"/>
      <c r="P373" s="176"/>
      <c r="Q373" s="176"/>
      <c r="R373" s="176"/>
      <c r="S373" s="176"/>
      <c r="T373" s="176"/>
      <c r="U373" s="176"/>
      <c r="V373" s="176"/>
      <c r="W373" s="176"/>
      <c r="X373" s="176"/>
      <c r="Y373" s="176"/>
      <c r="Z373" s="176"/>
      <c r="AA373" s="176"/>
      <c r="AB373" s="176"/>
      <c r="AC373" s="176"/>
      <c r="AD373" s="176"/>
      <c r="AE373" s="176"/>
      <c r="AF373" s="176"/>
      <c r="AG373" s="176"/>
      <c r="AH373" s="176"/>
      <c r="AI373" s="176"/>
      <c r="AJ373" s="176"/>
      <c r="AK373" s="176"/>
      <c r="AL373" s="176"/>
      <c r="AM373" s="176"/>
      <c r="AN373" s="176"/>
      <c r="AO373" s="176"/>
      <c r="AP373" s="176"/>
      <c r="AQ373" s="176"/>
      <c r="AR373" s="176"/>
      <c r="AS373" s="176"/>
      <c r="AT373" s="176"/>
      <c r="AU373" s="176"/>
      <c r="AV373" s="176"/>
      <c r="AW373" s="176"/>
      <c r="AX373" s="176"/>
      <c r="AY373" s="176"/>
      <c r="AZ373" s="176"/>
      <c r="BA373" s="176"/>
      <c r="BB373" s="176"/>
      <c r="BC373" s="176"/>
      <c r="BD373" s="176"/>
    </row>
    <row r="374" ht="15.75" customHeight="1">
      <c r="A374" s="176"/>
      <c r="B374" s="176"/>
      <c r="C374" s="176"/>
      <c r="D374" s="176"/>
      <c r="E374" s="176"/>
      <c r="F374" s="176"/>
      <c r="G374" s="178"/>
      <c r="H374" s="176"/>
      <c r="I374" s="176"/>
      <c r="J374" s="176"/>
      <c r="K374" s="176"/>
      <c r="L374" s="176"/>
      <c r="M374" s="176"/>
      <c r="N374" s="176"/>
      <c r="O374" s="176"/>
      <c r="P374" s="176"/>
      <c r="Q374" s="176"/>
      <c r="R374" s="176"/>
      <c r="S374" s="176"/>
      <c r="T374" s="176"/>
      <c r="U374" s="176"/>
      <c r="V374" s="176"/>
      <c r="W374" s="176"/>
      <c r="X374" s="176"/>
      <c r="Y374" s="176"/>
      <c r="Z374" s="176"/>
      <c r="AA374" s="176"/>
      <c r="AB374" s="176"/>
      <c r="AC374" s="176"/>
      <c r="AD374" s="176"/>
      <c r="AE374" s="176"/>
      <c r="AF374" s="176"/>
      <c r="AG374" s="176"/>
      <c r="AH374" s="176"/>
      <c r="AI374" s="176"/>
      <c r="AJ374" s="176"/>
      <c r="AK374" s="176"/>
      <c r="AL374" s="176"/>
      <c r="AM374" s="176"/>
      <c r="AN374" s="176"/>
      <c r="AO374" s="176"/>
      <c r="AP374" s="176"/>
      <c r="AQ374" s="176"/>
      <c r="AR374" s="176"/>
      <c r="AS374" s="176"/>
      <c r="AT374" s="176"/>
      <c r="AU374" s="176"/>
      <c r="AV374" s="176"/>
      <c r="AW374" s="176"/>
      <c r="AX374" s="176"/>
      <c r="AY374" s="176"/>
      <c r="AZ374" s="176"/>
      <c r="BA374" s="176"/>
      <c r="BB374" s="176"/>
      <c r="BC374" s="176"/>
      <c r="BD374" s="176"/>
    </row>
    <row r="375" ht="15.75" customHeight="1">
      <c r="A375" s="176"/>
      <c r="B375" s="176"/>
      <c r="C375" s="176"/>
      <c r="D375" s="176"/>
      <c r="E375" s="176"/>
      <c r="F375" s="176"/>
      <c r="G375" s="178"/>
      <c r="H375" s="176"/>
      <c r="I375" s="176"/>
      <c r="J375" s="176"/>
      <c r="K375" s="176"/>
      <c r="L375" s="176"/>
      <c r="M375" s="176"/>
      <c r="N375" s="176"/>
      <c r="O375" s="176"/>
      <c r="P375" s="176"/>
      <c r="Q375" s="176"/>
      <c r="R375" s="176"/>
      <c r="S375" s="176"/>
      <c r="T375" s="176"/>
      <c r="U375" s="176"/>
      <c r="V375" s="176"/>
      <c r="W375" s="176"/>
      <c r="X375" s="176"/>
      <c r="Y375" s="176"/>
      <c r="Z375" s="176"/>
      <c r="AA375" s="176"/>
      <c r="AB375" s="176"/>
      <c r="AC375" s="176"/>
      <c r="AD375" s="176"/>
      <c r="AE375" s="176"/>
      <c r="AF375" s="176"/>
      <c r="AG375" s="176"/>
      <c r="AH375" s="176"/>
      <c r="AI375" s="176"/>
      <c r="AJ375" s="176"/>
      <c r="AK375" s="176"/>
      <c r="AL375" s="176"/>
      <c r="AM375" s="176"/>
      <c r="AN375" s="176"/>
      <c r="AO375" s="176"/>
      <c r="AP375" s="176"/>
      <c r="AQ375" s="176"/>
      <c r="AR375" s="176"/>
      <c r="AS375" s="176"/>
      <c r="AT375" s="176"/>
      <c r="AU375" s="176"/>
      <c r="AV375" s="176"/>
      <c r="AW375" s="176"/>
      <c r="AX375" s="176"/>
      <c r="AY375" s="176"/>
      <c r="AZ375" s="176"/>
      <c r="BA375" s="176"/>
      <c r="BB375" s="176"/>
      <c r="BC375" s="176"/>
      <c r="BD375" s="176"/>
    </row>
    <row r="376" ht="15.75" customHeight="1">
      <c r="A376" s="176"/>
      <c r="B376" s="176"/>
      <c r="C376" s="176"/>
      <c r="D376" s="176"/>
      <c r="E376" s="176"/>
      <c r="F376" s="176"/>
      <c r="G376" s="178"/>
      <c r="H376" s="176"/>
      <c r="I376" s="176"/>
      <c r="J376" s="176"/>
      <c r="K376" s="176"/>
      <c r="L376" s="176"/>
      <c r="M376" s="176"/>
      <c r="N376" s="176"/>
      <c r="O376" s="176"/>
      <c r="P376" s="176"/>
      <c r="Q376" s="176"/>
      <c r="R376" s="176"/>
      <c r="S376" s="176"/>
      <c r="T376" s="176"/>
      <c r="U376" s="176"/>
      <c r="V376" s="176"/>
      <c r="W376" s="176"/>
      <c r="X376" s="176"/>
      <c r="Y376" s="176"/>
      <c r="Z376" s="176"/>
      <c r="AA376" s="176"/>
      <c r="AB376" s="176"/>
      <c r="AC376" s="176"/>
      <c r="AD376" s="176"/>
      <c r="AE376" s="176"/>
      <c r="AF376" s="176"/>
      <c r="AG376" s="176"/>
      <c r="AH376" s="176"/>
      <c r="AI376" s="176"/>
      <c r="AJ376" s="176"/>
      <c r="AK376" s="176"/>
      <c r="AL376" s="176"/>
      <c r="AM376" s="176"/>
      <c r="AN376" s="176"/>
      <c r="AO376" s="176"/>
      <c r="AP376" s="176"/>
      <c r="AQ376" s="176"/>
      <c r="AR376" s="176"/>
      <c r="AS376" s="176"/>
      <c r="AT376" s="176"/>
      <c r="AU376" s="176"/>
      <c r="AV376" s="176"/>
      <c r="AW376" s="176"/>
      <c r="AX376" s="176"/>
      <c r="AY376" s="176"/>
      <c r="AZ376" s="176"/>
      <c r="BA376" s="176"/>
      <c r="BB376" s="176"/>
      <c r="BC376" s="176"/>
      <c r="BD376" s="176"/>
    </row>
    <row r="377" ht="15.75" customHeight="1">
      <c r="A377" s="176"/>
      <c r="B377" s="176"/>
      <c r="C377" s="176"/>
      <c r="D377" s="176"/>
      <c r="E377" s="176"/>
      <c r="F377" s="176"/>
      <c r="G377" s="178"/>
      <c r="H377" s="176"/>
      <c r="I377" s="176"/>
      <c r="J377" s="176"/>
      <c r="K377" s="176"/>
      <c r="L377" s="176"/>
      <c r="M377" s="176"/>
      <c r="N377" s="176"/>
      <c r="O377" s="176"/>
      <c r="P377" s="176"/>
      <c r="Q377" s="176"/>
      <c r="R377" s="176"/>
      <c r="S377" s="176"/>
      <c r="T377" s="176"/>
      <c r="U377" s="176"/>
      <c r="V377" s="176"/>
      <c r="W377" s="176"/>
      <c r="X377" s="176"/>
      <c r="Y377" s="176"/>
      <c r="Z377" s="176"/>
      <c r="AA377" s="176"/>
      <c r="AB377" s="176"/>
      <c r="AC377" s="176"/>
      <c r="AD377" s="176"/>
      <c r="AE377" s="176"/>
      <c r="AF377" s="176"/>
      <c r="AG377" s="176"/>
      <c r="AH377" s="176"/>
      <c r="AI377" s="176"/>
      <c r="AJ377" s="176"/>
      <c r="AK377" s="176"/>
      <c r="AL377" s="176"/>
      <c r="AM377" s="176"/>
      <c r="AN377" s="176"/>
      <c r="AO377" s="176"/>
      <c r="AP377" s="176"/>
      <c r="AQ377" s="176"/>
      <c r="AR377" s="176"/>
      <c r="AS377" s="176"/>
      <c r="AT377" s="176"/>
      <c r="AU377" s="176"/>
      <c r="AV377" s="176"/>
      <c r="AW377" s="176"/>
      <c r="AX377" s="176"/>
      <c r="AY377" s="176"/>
      <c r="AZ377" s="176"/>
      <c r="BA377" s="176"/>
      <c r="BB377" s="176"/>
      <c r="BC377" s="176"/>
      <c r="BD377" s="176"/>
    </row>
    <row r="378" ht="15.75" customHeight="1">
      <c r="A378" s="176"/>
      <c r="B378" s="176"/>
      <c r="C378" s="176"/>
      <c r="D378" s="176"/>
      <c r="E378" s="176"/>
      <c r="F378" s="176"/>
      <c r="G378" s="178"/>
      <c r="H378" s="176"/>
      <c r="I378" s="176"/>
      <c r="J378" s="176"/>
      <c r="K378" s="176"/>
      <c r="L378" s="176"/>
      <c r="M378" s="176"/>
      <c r="N378" s="176"/>
      <c r="O378" s="176"/>
      <c r="P378" s="176"/>
      <c r="Q378" s="176"/>
      <c r="R378" s="176"/>
      <c r="S378" s="176"/>
      <c r="T378" s="176"/>
      <c r="U378" s="176"/>
      <c r="V378" s="176"/>
      <c r="W378" s="176"/>
      <c r="X378" s="176"/>
      <c r="Y378" s="176"/>
      <c r="Z378" s="176"/>
      <c r="AA378" s="176"/>
      <c r="AB378" s="176"/>
      <c r="AC378" s="176"/>
      <c r="AD378" s="176"/>
      <c r="AE378" s="176"/>
      <c r="AF378" s="176"/>
      <c r="AG378" s="176"/>
      <c r="AH378" s="176"/>
      <c r="AI378" s="176"/>
      <c r="AJ378" s="176"/>
      <c r="AK378" s="176"/>
      <c r="AL378" s="176"/>
      <c r="AM378" s="176"/>
      <c r="AN378" s="176"/>
      <c r="AO378" s="176"/>
      <c r="AP378" s="176"/>
      <c r="AQ378" s="176"/>
      <c r="AR378" s="176"/>
      <c r="AS378" s="176"/>
      <c r="AT378" s="176"/>
      <c r="AU378" s="176"/>
      <c r="AV378" s="176"/>
      <c r="AW378" s="176"/>
      <c r="AX378" s="176"/>
      <c r="AY378" s="176"/>
      <c r="AZ378" s="176"/>
      <c r="BA378" s="176"/>
      <c r="BB378" s="176"/>
      <c r="BC378" s="176"/>
      <c r="BD378" s="176"/>
    </row>
    <row r="379" ht="15.75" customHeight="1">
      <c r="A379" s="176"/>
      <c r="B379" s="176"/>
      <c r="C379" s="176"/>
      <c r="D379" s="176"/>
      <c r="E379" s="176"/>
      <c r="F379" s="176"/>
      <c r="G379" s="178"/>
      <c r="H379" s="176"/>
      <c r="I379" s="176"/>
      <c r="J379" s="176"/>
      <c r="K379" s="176"/>
      <c r="L379" s="176"/>
      <c r="M379" s="176"/>
      <c r="N379" s="176"/>
      <c r="O379" s="176"/>
      <c r="P379" s="176"/>
      <c r="Q379" s="176"/>
      <c r="R379" s="176"/>
      <c r="S379" s="176"/>
      <c r="T379" s="176"/>
      <c r="U379" s="176"/>
      <c r="V379" s="176"/>
      <c r="W379" s="176"/>
      <c r="X379" s="176"/>
      <c r="Y379" s="176"/>
      <c r="Z379" s="176"/>
      <c r="AA379" s="176"/>
      <c r="AB379" s="176"/>
      <c r="AC379" s="176"/>
      <c r="AD379" s="176"/>
      <c r="AE379" s="176"/>
      <c r="AF379" s="176"/>
      <c r="AG379" s="176"/>
      <c r="AH379" s="176"/>
      <c r="AI379" s="176"/>
      <c r="AJ379" s="176"/>
      <c r="AK379" s="176"/>
      <c r="AL379" s="176"/>
      <c r="AM379" s="176"/>
      <c r="AN379" s="176"/>
      <c r="AO379" s="176"/>
      <c r="AP379" s="176"/>
      <c r="AQ379" s="176"/>
      <c r="AR379" s="176"/>
      <c r="AS379" s="176"/>
      <c r="AT379" s="176"/>
      <c r="AU379" s="176"/>
      <c r="AV379" s="176"/>
      <c r="AW379" s="176"/>
      <c r="AX379" s="176"/>
      <c r="AY379" s="176"/>
      <c r="AZ379" s="176"/>
      <c r="BA379" s="176"/>
      <c r="BB379" s="176"/>
      <c r="BC379" s="176"/>
      <c r="BD379" s="176"/>
    </row>
    <row r="380" ht="15.75" customHeight="1">
      <c r="A380" s="176"/>
      <c r="B380" s="176"/>
      <c r="C380" s="176"/>
      <c r="D380" s="176"/>
      <c r="E380" s="176"/>
      <c r="F380" s="176"/>
      <c r="G380" s="178"/>
      <c r="H380" s="176"/>
      <c r="I380" s="176"/>
      <c r="J380" s="176"/>
      <c r="K380" s="176"/>
      <c r="L380" s="176"/>
      <c r="M380" s="176"/>
      <c r="N380" s="176"/>
      <c r="O380" s="176"/>
      <c r="P380" s="176"/>
      <c r="Q380" s="176"/>
      <c r="R380" s="176"/>
      <c r="S380" s="176"/>
      <c r="T380" s="176"/>
      <c r="U380" s="176"/>
      <c r="V380" s="176"/>
      <c r="W380" s="176"/>
      <c r="X380" s="176"/>
      <c r="Y380" s="176"/>
      <c r="Z380" s="176"/>
      <c r="AA380" s="176"/>
      <c r="AB380" s="176"/>
      <c r="AC380" s="176"/>
      <c r="AD380" s="176"/>
      <c r="AE380" s="176"/>
      <c r="AF380" s="176"/>
      <c r="AG380" s="176"/>
      <c r="AH380" s="176"/>
      <c r="AI380" s="176"/>
      <c r="AJ380" s="176"/>
      <c r="AK380" s="176"/>
      <c r="AL380" s="176"/>
      <c r="AM380" s="176"/>
      <c r="AN380" s="176"/>
      <c r="AO380" s="176"/>
      <c r="AP380" s="176"/>
      <c r="AQ380" s="176"/>
      <c r="AR380" s="176"/>
      <c r="AS380" s="176"/>
      <c r="AT380" s="176"/>
      <c r="AU380" s="176"/>
      <c r="AV380" s="176"/>
      <c r="AW380" s="176"/>
      <c r="AX380" s="176"/>
      <c r="AY380" s="176"/>
      <c r="AZ380" s="176"/>
      <c r="BA380" s="176"/>
      <c r="BB380" s="176"/>
      <c r="BC380" s="176"/>
      <c r="BD380" s="176"/>
    </row>
    <row r="381" ht="15.75" customHeight="1">
      <c r="A381" s="176"/>
      <c r="B381" s="176"/>
      <c r="C381" s="176"/>
      <c r="D381" s="176"/>
      <c r="E381" s="176"/>
      <c r="F381" s="176"/>
      <c r="G381" s="178"/>
      <c r="H381" s="176"/>
      <c r="I381" s="176"/>
      <c r="J381" s="176"/>
      <c r="K381" s="176"/>
      <c r="L381" s="176"/>
      <c r="M381" s="176"/>
      <c r="N381" s="176"/>
      <c r="O381" s="176"/>
      <c r="P381" s="176"/>
      <c r="Q381" s="176"/>
      <c r="R381" s="176"/>
      <c r="S381" s="176"/>
      <c r="T381" s="176"/>
      <c r="U381" s="176"/>
      <c r="V381" s="176"/>
      <c r="W381" s="176"/>
      <c r="X381" s="176"/>
      <c r="Y381" s="176"/>
      <c r="Z381" s="176"/>
      <c r="AA381" s="176"/>
      <c r="AB381" s="176"/>
      <c r="AC381" s="176"/>
      <c r="AD381" s="176"/>
      <c r="AE381" s="176"/>
      <c r="AF381" s="176"/>
      <c r="AG381" s="176"/>
      <c r="AH381" s="176"/>
      <c r="AI381" s="176"/>
      <c r="AJ381" s="176"/>
      <c r="AK381" s="176"/>
      <c r="AL381" s="176"/>
      <c r="AM381" s="176"/>
      <c r="AN381" s="176"/>
      <c r="AO381" s="176"/>
      <c r="AP381" s="176"/>
      <c r="AQ381" s="176"/>
      <c r="AR381" s="176"/>
      <c r="AS381" s="176"/>
      <c r="AT381" s="176"/>
      <c r="AU381" s="176"/>
      <c r="AV381" s="176"/>
      <c r="AW381" s="176"/>
      <c r="AX381" s="176"/>
      <c r="AY381" s="176"/>
      <c r="AZ381" s="176"/>
      <c r="BA381" s="176"/>
      <c r="BB381" s="176"/>
      <c r="BC381" s="176"/>
      <c r="BD381" s="176"/>
    </row>
    <row r="382" ht="15.75" customHeight="1">
      <c r="A382" s="176"/>
      <c r="B382" s="176"/>
      <c r="C382" s="176"/>
      <c r="D382" s="176"/>
      <c r="E382" s="176"/>
      <c r="F382" s="176"/>
      <c r="G382" s="178"/>
      <c r="H382" s="176"/>
      <c r="I382" s="176"/>
      <c r="J382" s="176"/>
      <c r="K382" s="176"/>
      <c r="L382" s="176"/>
      <c r="M382" s="176"/>
      <c r="N382" s="176"/>
      <c r="O382" s="176"/>
      <c r="P382" s="176"/>
      <c r="Q382" s="176"/>
      <c r="R382" s="176"/>
      <c r="S382" s="176"/>
      <c r="T382" s="176"/>
      <c r="U382" s="176"/>
      <c r="V382" s="176"/>
      <c r="W382" s="176"/>
      <c r="X382" s="176"/>
      <c r="Y382" s="176"/>
      <c r="Z382" s="176"/>
      <c r="AA382" s="176"/>
      <c r="AB382" s="176"/>
      <c r="AC382" s="176"/>
      <c r="AD382" s="176"/>
      <c r="AE382" s="176"/>
      <c r="AF382" s="176"/>
      <c r="AG382" s="176"/>
      <c r="AH382" s="176"/>
      <c r="AI382" s="176"/>
      <c r="AJ382" s="176"/>
      <c r="AK382" s="176"/>
      <c r="AL382" s="176"/>
      <c r="AM382" s="176"/>
      <c r="AN382" s="176"/>
      <c r="AO382" s="176"/>
      <c r="AP382" s="176"/>
      <c r="AQ382" s="176"/>
      <c r="AR382" s="176"/>
      <c r="AS382" s="176"/>
      <c r="AT382" s="176"/>
      <c r="AU382" s="176"/>
      <c r="AV382" s="176"/>
      <c r="AW382" s="176"/>
      <c r="AX382" s="176"/>
      <c r="AY382" s="176"/>
      <c r="AZ382" s="176"/>
      <c r="BA382" s="176"/>
      <c r="BB382" s="176"/>
      <c r="BC382" s="176"/>
      <c r="BD382" s="176"/>
    </row>
    <row r="383" ht="15.75" customHeight="1">
      <c r="A383" s="176"/>
      <c r="B383" s="176"/>
      <c r="C383" s="176"/>
      <c r="D383" s="176"/>
      <c r="E383" s="176"/>
      <c r="F383" s="176"/>
      <c r="G383" s="178"/>
      <c r="H383" s="176"/>
      <c r="I383" s="176"/>
      <c r="J383" s="176"/>
      <c r="K383" s="176"/>
      <c r="L383" s="176"/>
      <c r="M383" s="176"/>
      <c r="N383" s="176"/>
      <c r="O383" s="176"/>
      <c r="P383" s="176"/>
      <c r="Q383" s="176"/>
      <c r="R383" s="176"/>
      <c r="S383" s="176"/>
      <c r="T383" s="176"/>
      <c r="U383" s="176"/>
      <c r="V383" s="176"/>
      <c r="W383" s="176"/>
      <c r="X383" s="176"/>
      <c r="Y383" s="176"/>
      <c r="Z383" s="176"/>
      <c r="AA383" s="176"/>
      <c r="AB383" s="176"/>
      <c r="AC383" s="176"/>
      <c r="AD383" s="176"/>
      <c r="AE383" s="176"/>
      <c r="AF383" s="176"/>
      <c r="AG383" s="176"/>
      <c r="AH383" s="176"/>
      <c r="AI383" s="176"/>
      <c r="AJ383" s="176"/>
      <c r="AK383" s="176"/>
      <c r="AL383" s="176"/>
      <c r="AM383" s="176"/>
      <c r="AN383" s="176"/>
      <c r="AO383" s="176"/>
      <c r="AP383" s="176"/>
      <c r="AQ383" s="176"/>
      <c r="AR383" s="176"/>
      <c r="AS383" s="176"/>
      <c r="AT383" s="176"/>
      <c r="AU383" s="176"/>
      <c r="AV383" s="176"/>
      <c r="AW383" s="176"/>
      <c r="AX383" s="176"/>
      <c r="AY383" s="176"/>
      <c r="AZ383" s="176"/>
      <c r="BA383" s="176"/>
      <c r="BB383" s="176"/>
      <c r="BC383" s="176"/>
      <c r="BD383" s="176"/>
    </row>
    <row r="384" ht="15.75" customHeight="1">
      <c r="A384" s="176"/>
      <c r="B384" s="176"/>
      <c r="C384" s="176"/>
      <c r="D384" s="176"/>
      <c r="E384" s="176"/>
      <c r="F384" s="176"/>
      <c r="G384" s="178"/>
      <c r="H384" s="176"/>
      <c r="I384" s="176"/>
      <c r="J384" s="176"/>
      <c r="K384" s="176"/>
      <c r="L384" s="176"/>
      <c r="M384" s="176"/>
      <c r="N384" s="176"/>
      <c r="O384" s="176"/>
      <c r="P384" s="176"/>
      <c r="Q384" s="176"/>
      <c r="R384" s="176"/>
      <c r="S384" s="176"/>
      <c r="T384" s="176"/>
      <c r="U384" s="176"/>
      <c r="V384" s="176"/>
      <c r="W384" s="176"/>
      <c r="X384" s="176"/>
      <c r="Y384" s="176"/>
      <c r="Z384" s="176"/>
      <c r="AA384" s="176"/>
      <c r="AB384" s="176"/>
      <c r="AC384" s="176"/>
      <c r="AD384" s="176"/>
      <c r="AE384" s="176"/>
      <c r="AF384" s="176"/>
      <c r="AG384" s="176"/>
      <c r="AH384" s="176"/>
      <c r="AI384" s="176"/>
      <c r="AJ384" s="176"/>
      <c r="AK384" s="176"/>
      <c r="AL384" s="176"/>
      <c r="AM384" s="176"/>
      <c r="AN384" s="176"/>
      <c r="AO384" s="176"/>
      <c r="AP384" s="176"/>
      <c r="AQ384" s="176"/>
      <c r="AR384" s="176"/>
      <c r="AS384" s="176"/>
      <c r="AT384" s="176"/>
      <c r="AU384" s="176"/>
      <c r="AV384" s="176"/>
      <c r="AW384" s="176"/>
      <c r="AX384" s="176"/>
      <c r="AY384" s="176"/>
      <c r="AZ384" s="176"/>
      <c r="BA384" s="176"/>
      <c r="BB384" s="176"/>
      <c r="BC384" s="176"/>
      <c r="BD384" s="176"/>
    </row>
    <row r="385" ht="15.75" customHeight="1">
      <c r="A385" s="176"/>
      <c r="B385" s="176"/>
      <c r="C385" s="176"/>
      <c r="D385" s="176"/>
      <c r="E385" s="176"/>
      <c r="F385" s="176"/>
      <c r="G385" s="178"/>
      <c r="H385" s="176"/>
      <c r="I385" s="176"/>
      <c r="J385" s="176"/>
      <c r="K385" s="176"/>
      <c r="L385" s="176"/>
      <c r="M385" s="176"/>
      <c r="N385" s="176"/>
      <c r="O385" s="176"/>
      <c r="P385" s="176"/>
      <c r="Q385" s="176"/>
      <c r="R385" s="176"/>
      <c r="S385" s="176"/>
      <c r="T385" s="176"/>
      <c r="U385" s="176"/>
      <c r="V385" s="176"/>
      <c r="W385" s="176"/>
      <c r="X385" s="176"/>
      <c r="Y385" s="176"/>
      <c r="Z385" s="176"/>
      <c r="AA385" s="176"/>
      <c r="AB385" s="176"/>
      <c r="AC385" s="176"/>
      <c r="AD385" s="176"/>
      <c r="AE385" s="176"/>
      <c r="AF385" s="176"/>
      <c r="AG385" s="176"/>
      <c r="AH385" s="176"/>
      <c r="AI385" s="176"/>
      <c r="AJ385" s="176"/>
      <c r="AK385" s="176"/>
      <c r="AL385" s="176"/>
      <c r="AM385" s="176"/>
      <c r="AN385" s="176"/>
      <c r="AO385" s="176"/>
      <c r="AP385" s="176"/>
      <c r="AQ385" s="176"/>
      <c r="AR385" s="176"/>
      <c r="AS385" s="176"/>
      <c r="AT385" s="176"/>
      <c r="AU385" s="176"/>
      <c r="AV385" s="176"/>
      <c r="AW385" s="176"/>
      <c r="AX385" s="176"/>
      <c r="AY385" s="176"/>
      <c r="AZ385" s="176"/>
      <c r="BA385" s="176"/>
      <c r="BB385" s="176"/>
      <c r="BC385" s="176"/>
      <c r="BD385" s="176"/>
    </row>
    <row r="386" ht="15.75" customHeight="1">
      <c r="A386" s="176"/>
      <c r="B386" s="176"/>
      <c r="C386" s="176"/>
      <c r="D386" s="176"/>
      <c r="E386" s="176"/>
      <c r="F386" s="176"/>
      <c r="G386" s="178"/>
      <c r="H386" s="176"/>
      <c r="I386" s="176"/>
      <c r="J386" s="176"/>
      <c r="K386" s="176"/>
      <c r="L386" s="176"/>
      <c r="M386" s="176"/>
      <c r="N386" s="176"/>
      <c r="O386" s="176"/>
      <c r="P386" s="176"/>
      <c r="Q386" s="176"/>
      <c r="R386" s="176"/>
      <c r="S386" s="176"/>
      <c r="T386" s="176"/>
      <c r="U386" s="176"/>
      <c r="V386" s="176"/>
      <c r="W386" s="176"/>
      <c r="X386" s="176"/>
      <c r="Y386" s="176"/>
      <c r="Z386" s="176"/>
      <c r="AA386" s="176"/>
      <c r="AB386" s="176"/>
      <c r="AC386" s="176"/>
      <c r="AD386" s="176"/>
      <c r="AE386" s="176"/>
      <c r="AF386" s="176"/>
      <c r="AG386" s="176"/>
      <c r="AH386" s="176"/>
      <c r="AI386" s="176"/>
      <c r="AJ386" s="176"/>
      <c r="AK386" s="176"/>
      <c r="AL386" s="176"/>
      <c r="AM386" s="176"/>
      <c r="AN386" s="176"/>
      <c r="AO386" s="176"/>
      <c r="AP386" s="176"/>
      <c r="AQ386" s="176"/>
      <c r="AR386" s="176"/>
      <c r="AS386" s="176"/>
      <c r="AT386" s="176"/>
      <c r="AU386" s="176"/>
      <c r="AV386" s="176"/>
      <c r="AW386" s="176"/>
      <c r="AX386" s="176"/>
      <c r="AY386" s="176"/>
      <c r="AZ386" s="176"/>
      <c r="BA386" s="176"/>
      <c r="BB386" s="176"/>
      <c r="BC386" s="176"/>
      <c r="BD386" s="176"/>
    </row>
    <row r="387" ht="15.75" customHeight="1">
      <c r="A387" s="176"/>
      <c r="B387" s="176"/>
      <c r="C387" s="176"/>
      <c r="D387" s="176"/>
      <c r="E387" s="176"/>
      <c r="F387" s="176"/>
      <c r="G387" s="178"/>
      <c r="H387" s="176"/>
      <c r="I387" s="176"/>
      <c r="J387" s="176"/>
      <c r="K387" s="176"/>
      <c r="L387" s="176"/>
      <c r="M387" s="176"/>
      <c r="N387" s="176"/>
      <c r="O387" s="176"/>
      <c r="P387" s="176"/>
      <c r="Q387" s="176"/>
      <c r="R387" s="176"/>
      <c r="S387" s="176"/>
      <c r="T387" s="176"/>
      <c r="U387" s="176"/>
      <c r="V387" s="176"/>
      <c r="W387" s="176"/>
      <c r="X387" s="176"/>
      <c r="Y387" s="176"/>
      <c r="Z387" s="176"/>
      <c r="AA387" s="176"/>
      <c r="AB387" s="176"/>
      <c r="AC387" s="176"/>
      <c r="AD387" s="176"/>
      <c r="AE387" s="176"/>
      <c r="AF387" s="176"/>
      <c r="AG387" s="176"/>
      <c r="AH387" s="176"/>
      <c r="AI387" s="176"/>
      <c r="AJ387" s="176"/>
      <c r="AK387" s="176"/>
      <c r="AL387" s="176"/>
      <c r="AM387" s="176"/>
      <c r="AN387" s="176"/>
      <c r="AO387" s="176"/>
      <c r="AP387" s="176"/>
      <c r="AQ387" s="176"/>
      <c r="AR387" s="176"/>
      <c r="AS387" s="176"/>
      <c r="AT387" s="176"/>
      <c r="AU387" s="176"/>
      <c r="AV387" s="176"/>
      <c r="AW387" s="176"/>
      <c r="AX387" s="176"/>
      <c r="AY387" s="176"/>
      <c r="AZ387" s="176"/>
      <c r="BA387" s="176"/>
      <c r="BB387" s="176"/>
      <c r="BC387" s="176"/>
      <c r="BD387" s="176"/>
    </row>
    <row r="388" ht="15.75" customHeight="1">
      <c r="A388" s="176"/>
      <c r="B388" s="176"/>
      <c r="C388" s="176"/>
      <c r="D388" s="176"/>
      <c r="E388" s="176"/>
      <c r="F388" s="176"/>
      <c r="G388" s="178"/>
      <c r="H388" s="176"/>
      <c r="I388" s="176"/>
      <c r="J388" s="176"/>
      <c r="K388" s="176"/>
      <c r="L388" s="176"/>
      <c r="M388" s="176"/>
      <c r="N388" s="176"/>
      <c r="O388" s="176"/>
      <c r="P388" s="176"/>
      <c r="Q388" s="176"/>
      <c r="R388" s="176"/>
      <c r="S388" s="176"/>
      <c r="T388" s="176"/>
      <c r="U388" s="176"/>
      <c r="V388" s="176"/>
      <c r="W388" s="176"/>
      <c r="X388" s="176"/>
      <c r="Y388" s="176"/>
      <c r="Z388" s="176"/>
      <c r="AA388" s="176"/>
      <c r="AB388" s="176"/>
      <c r="AC388" s="176"/>
      <c r="AD388" s="176"/>
      <c r="AE388" s="176"/>
      <c r="AF388" s="176"/>
      <c r="AG388" s="176"/>
      <c r="AH388" s="176"/>
      <c r="AI388" s="176"/>
      <c r="AJ388" s="176"/>
      <c r="AK388" s="176"/>
      <c r="AL388" s="176"/>
      <c r="AM388" s="176"/>
      <c r="AN388" s="176"/>
      <c r="AO388" s="176"/>
      <c r="AP388" s="176"/>
      <c r="AQ388" s="176"/>
      <c r="AR388" s="176"/>
      <c r="AS388" s="176"/>
      <c r="AT388" s="176"/>
      <c r="AU388" s="176"/>
      <c r="AV388" s="176"/>
      <c r="AW388" s="176"/>
      <c r="AX388" s="176"/>
      <c r="AY388" s="176"/>
      <c r="AZ388" s="176"/>
      <c r="BA388" s="176"/>
      <c r="BB388" s="176"/>
      <c r="BC388" s="176"/>
      <c r="BD388" s="176"/>
    </row>
    <row r="389" ht="15.75" customHeight="1">
      <c r="A389" s="176"/>
      <c r="B389" s="176"/>
      <c r="C389" s="176"/>
      <c r="D389" s="176"/>
      <c r="E389" s="176"/>
      <c r="F389" s="176"/>
      <c r="G389" s="178"/>
      <c r="H389" s="176"/>
      <c r="I389" s="176"/>
      <c r="J389" s="176"/>
      <c r="K389" s="176"/>
      <c r="L389" s="176"/>
      <c r="M389" s="176"/>
      <c r="N389" s="176"/>
      <c r="O389" s="176"/>
      <c r="P389" s="176"/>
      <c r="Q389" s="176"/>
      <c r="R389" s="176"/>
      <c r="S389" s="176"/>
      <c r="T389" s="176"/>
      <c r="U389" s="176"/>
      <c r="V389" s="176"/>
      <c r="W389" s="176"/>
      <c r="X389" s="176"/>
      <c r="Y389" s="176"/>
      <c r="Z389" s="176"/>
      <c r="AA389" s="176"/>
      <c r="AB389" s="176"/>
      <c r="AC389" s="176"/>
      <c r="AD389" s="176"/>
      <c r="AE389" s="176"/>
      <c r="AF389" s="176"/>
      <c r="AG389" s="176"/>
      <c r="AH389" s="176"/>
      <c r="AI389" s="176"/>
      <c r="AJ389" s="176"/>
      <c r="AK389" s="176"/>
      <c r="AL389" s="176"/>
      <c r="AM389" s="176"/>
      <c r="AN389" s="176"/>
      <c r="AO389" s="176"/>
      <c r="AP389" s="176"/>
      <c r="AQ389" s="176"/>
      <c r="AR389" s="176"/>
      <c r="AS389" s="176"/>
      <c r="AT389" s="176"/>
      <c r="AU389" s="176"/>
      <c r="AV389" s="176"/>
      <c r="AW389" s="176"/>
      <c r="AX389" s="176"/>
      <c r="AY389" s="176"/>
      <c r="AZ389" s="176"/>
      <c r="BA389" s="176"/>
      <c r="BB389" s="176"/>
      <c r="BC389" s="176"/>
      <c r="BD389" s="176"/>
    </row>
    <row r="390" ht="15.75" customHeight="1">
      <c r="A390" s="176"/>
      <c r="B390" s="176"/>
      <c r="C390" s="176"/>
      <c r="D390" s="176"/>
      <c r="E390" s="176"/>
      <c r="F390" s="176"/>
      <c r="G390" s="178"/>
      <c r="H390" s="176"/>
      <c r="I390" s="176"/>
      <c r="J390" s="176"/>
      <c r="K390" s="176"/>
      <c r="L390" s="176"/>
      <c r="M390" s="176"/>
      <c r="N390" s="176"/>
      <c r="O390" s="176"/>
      <c r="P390" s="176"/>
      <c r="Q390" s="176"/>
      <c r="R390" s="176"/>
      <c r="S390" s="176"/>
      <c r="T390" s="176"/>
      <c r="U390" s="176"/>
      <c r="V390" s="176"/>
      <c r="W390" s="176"/>
      <c r="X390" s="176"/>
      <c r="Y390" s="176"/>
      <c r="Z390" s="176"/>
      <c r="AA390" s="176"/>
      <c r="AB390" s="176"/>
      <c r="AC390" s="176"/>
      <c r="AD390" s="176"/>
      <c r="AE390" s="176"/>
      <c r="AF390" s="176"/>
      <c r="AG390" s="176"/>
      <c r="AH390" s="176"/>
      <c r="AI390" s="176"/>
      <c r="AJ390" s="176"/>
      <c r="AK390" s="176"/>
      <c r="AL390" s="176"/>
      <c r="AM390" s="176"/>
      <c r="AN390" s="176"/>
      <c r="AO390" s="176"/>
      <c r="AP390" s="176"/>
      <c r="AQ390" s="176"/>
      <c r="AR390" s="176"/>
      <c r="AS390" s="176"/>
      <c r="AT390" s="176"/>
      <c r="AU390" s="176"/>
      <c r="AV390" s="176"/>
      <c r="AW390" s="176"/>
      <c r="AX390" s="176"/>
      <c r="AY390" s="176"/>
      <c r="AZ390" s="176"/>
      <c r="BA390" s="176"/>
      <c r="BB390" s="176"/>
      <c r="BC390" s="176"/>
      <c r="BD390" s="176"/>
    </row>
    <row r="391" ht="15.75" customHeight="1">
      <c r="A391" s="176"/>
      <c r="B391" s="176"/>
      <c r="C391" s="176"/>
      <c r="D391" s="176"/>
      <c r="E391" s="176"/>
      <c r="F391" s="176"/>
      <c r="G391" s="178"/>
      <c r="H391" s="176"/>
      <c r="I391" s="176"/>
      <c r="J391" s="176"/>
      <c r="K391" s="176"/>
      <c r="L391" s="176"/>
      <c r="M391" s="176"/>
      <c r="N391" s="176"/>
      <c r="O391" s="176"/>
      <c r="P391" s="176"/>
      <c r="Q391" s="176"/>
      <c r="R391" s="176"/>
      <c r="S391" s="176"/>
      <c r="T391" s="176"/>
      <c r="U391" s="176"/>
      <c r="V391" s="176"/>
      <c r="W391" s="176"/>
      <c r="X391" s="176"/>
      <c r="Y391" s="176"/>
      <c r="Z391" s="176"/>
      <c r="AA391" s="176"/>
      <c r="AB391" s="176"/>
      <c r="AC391" s="176"/>
      <c r="AD391" s="176"/>
      <c r="AE391" s="176"/>
      <c r="AF391" s="176"/>
      <c r="AG391" s="176"/>
      <c r="AH391" s="176"/>
      <c r="AI391" s="176"/>
      <c r="AJ391" s="176"/>
      <c r="AK391" s="176"/>
      <c r="AL391" s="176"/>
      <c r="AM391" s="176"/>
      <c r="AN391" s="176"/>
      <c r="AO391" s="176"/>
      <c r="AP391" s="176"/>
      <c r="AQ391" s="176"/>
      <c r="AR391" s="176"/>
      <c r="AS391" s="176"/>
      <c r="AT391" s="176"/>
      <c r="AU391" s="176"/>
      <c r="AV391" s="176"/>
      <c r="AW391" s="176"/>
      <c r="AX391" s="176"/>
      <c r="AY391" s="176"/>
      <c r="AZ391" s="176"/>
      <c r="BA391" s="176"/>
      <c r="BB391" s="176"/>
      <c r="BC391" s="176"/>
      <c r="BD391" s="176"/>
    </row>
    <row r="392" ht="15.75" customHeight="1">
      <c r="A392" s="176"/>
      <c r="B392" s="176"/>
      <c r="C392" s="176"/>
      <c r="D392" s="176"/>
      <c r="E392" s="176"/>
      <c r="F392" s="176"/>
      <c r="G392" s="178"/>
      <c r="H392" s="176"/>
      <c r="I392" s="176"/>
      <c r="J392" s="176"/>
      <c r="K392" s="176"/>
      <c r="L392" s="176"/>
      <c r="M392" s="176"/>
      <c r="N392" s="176"/>
      <c r="O392" s="176"/>
      <c r="P392" s="176"/>
      <c r="Q392" s="176"/>
      <c r="R392" s="176"/>
      <c r="S392" s="176"/>
      <c r="T392" s="176"/>
      <c r="U392" s="176"/>
      <c r="V392" s="176"/>
      <c r="W392" s="176"/>
      <c r="X392" s="176"/>
      <c r="Y392" s="176"/>
      <c r="Z392" s="176"/>
      <c r="AA392" s="176"/>
      <c r="AB392" s="176"/>
      <c r="AC392" s="176"/>
      <c r="AD392" s="176"/>
      <c r="AE392" s="176"/>
      <c r="AF392" s="176"/>
      <c r="AG392" s="176"/>
      <c r="AH392" s="176"/>
      <c r="AI392" s="176"/>
      <c r="AJ392" s="176"/>
      <c r="AK392" s="176"/>
      <c r="AL392" s="176"/>
      <c r="AM392" s="176"/>
      <c r="AN392" s="176"/>
      <c r="AO392" s="176"/>
      <c r="AP392" s="176"/>
      <c r="AQ392" s="176"/>
      <c r="AR392" s="176"/>
      <c r="AS392" s="176"/>
      <c r="AT392" s="176"/>
      <c r="AU392" s="176"/>
      <c r="AV392" s="176"/>
      <c r="AW392" s="176"/>
      <c r="AX392" s="176"/>
      <c r="AY392" s="176"/>
      <c r="AZ392" s="176"/>
      <c r="BA392" s="176"/>
      <c r="BB392" s="176"/>
      <c r="BC392" s="176"/>
      <c r="BD392" s="176"/>
    </row>
    <row r="393" ht="15.75" customHeight="1">
      <c r="A393" s="176"/>
      <c r="B393" s="176"/>
      <c r="C393" s="176"/>
      <c r="D393" s="176"/>
      <c r="E393" s="176"/>
      <c r="F393" s="176"/>
      <c r="G393" s="178"/>
      <c r="H393" s="176"/>
      <c r="I393" s="176"/>
      <c r="J393" s="176"/>
      <c r="K393" s="176"/>
      <c r="L393" s="176"/>
      <c r="M393" s="176"/>
      <c r="N393" s="176"/>
      <c r="O393" s="176"/>
      <c r="P393" s="176"/>
      <c r="Q393" s="176"/>
      <c r="R393" s="176"/>
      <c r="S393" s="176"/>
      <c r="T393" s="176"/>
      <c r="U393" s="176"/>
      <c r="V393" s="176"/>
      <c r="W393" s="176"/>
      <c r="X393" s="176"/>
      <c r="Y393" s="176"/>
      <c r="Z393" s="176"/>
      <c r="AA393" s="176"/>
      <c r="AB393" s="176"/>
      <c r="AC393" s="176"/>
      <c r="AD393" s="176"/>
      <c r="AE393" s="176"/>
      <c r="AF393" s="176"/>
      <c r="AG393" s="176"/>
      <c r="AH393" s="176"/>
      <c r="AI393" s="176"/>
      <c r="AJ393" s="176"/>
      <c r="AK393" s="176"/>
      <c r="AL393" s="176"/>
      <c r="AM393" s="176"/>
      <c r="AN393" s="176"/>
      <c r="AO393" s="176"/>
      <c r="AP393" s="176"/>
      <c r="AQ393" s="176"/>
      <c r="AR393" s="176"/>
      <c r="AS393" s="176"/>
      <c r="AT393" s="176"/>
      <c r="AU393" s="176"/>
      <c r="AV393" s="176"/>
      <c r="AW393" s="176"/>
      <c r="AX393" s="176"/>
      <c r="AY393" s="176"/>
      <c r="AZ393" s="176"/>
      <c r="BA393" s="176"/>
      <c r="BB393" s="176"/>
      <c r="BC393" s="176"/>
      <c r="BD393" s="176"/>
    </row>
    <row r="394" ht="15.75" customHeight="1">
      <c r="A394" s="176"/>
      <c r="B394" s="176"/>
      <c r="C394" s="176"/>
      <c r="D394" s="176"/>
      <c r="E394" s="176"/>
      <c r="F394" s="176"/>
      <c r="G394" s="178"/>
      <c r="H394" s="176"/>
      <c r="I394" s="176"/>
      <c r="J394" s="176"/>
      <c r="K394" s="176"/>
      <c r="L394" s="176"/>
      <c r="M394" s="176"/>
      <c r="N394" s="176"/>
      <c r="O394" s="176"/>
      <c r="P394" s="176"/>
      <c r="Q394" s="176"/>
      <c r="R394" s="176"/>
      <c r="S394" s="176"/>
      <c r="T394" s="176"/>
      <c r="U394" s="176"/>
      <c r="V394" s="176"/>
      <c r="W394" s="176"/>
      <c r="X394" s="176"/>
      <c r="Y394" s="176"/>
      <c r="Z394" s="176"/>
      <c r="AA394" s="176"/>
      <c r="AB394" s="176"/>
      <c r="AC394" s="176"/>
      <c r="AD394" s="176"/>
      <c r="AE394" s="176"/>
      <c r="AF394" s="176"/>
      <c r="AG394" s="176"/>
      <c r="AH394" s="176"/>
      <c r="AI394" s="176"/>
      <c r="AJ394" s="176"/>
      <c r="AK394" s="176"/>
      <c r="AL394" s="176"/>
      <c r="AM394" s="176"/>
      <c r="AN394" s="176"/>
      <c r="AO394" s="176"/>
      <c r="AP394" s="176"/>
      <c r="AQ394" s="176"/>
      <c r="AR394" s="176"/>
      <c r="AS394" s="176"/>
      <c r="AT394" s="176"/>
      <c r="AU394" s="176"/>
      <c r="AV394" s="176"/>
      <c r="AW394" s="176"/>
      <c r="AX394" s="176"/>
      <c r="AY394" s="176"/>
      <c r="AZ394" s="176"/>
      <c r="BA394" s="176"/>
      <c r="BB394" s="176"/>
      <c r="BC394" s="176"/>
      <c r="BD394" s="176"/>
    </row>
    <row r="395" ht="15.75" customHeight="1">
      <c r="A395" s="176"/>
      <c r="B395" s="176"/>
      <c r="C395" s="176"/>
      <c r="D395" s="176"/>
      <c r="E395" s="176"/>
      <c r="F395" s="176"/>
      <c r="G395" s="178"/>
      <c r="H395" s="176"/>
      <c r="I395" s="176"/>
      <c r="J395" s="176"/>
      <c r="K395" s="176"/>
      <c r="L395" s="176"/>
      <c r="M395" s="176"/>
      <c r="N395" s="176"/>
      <c r="O395" s="176"/>
      <c r="P395" s="176"/>
      <c r="Q395" s="176"/>
      <c r="R395" s="176"/>
      <c r="S395" s="176"/>
      <c r="T395" s="176"/>
      <c r="U395" s="176"/>
      <c r="V395" s="176"/>
      <c r="W395" s="176"/>
      <c r="X395" s="176"/>
      <c r="Y395" s="176"/>
      <c r="Z395" s="176"/>
      <c r="AA395" s="176"/>
      <c r="AB395" s="176"/>
      <c r="AC395" s="176"/>
      <c r="AD395" s="176"/>
      <c r="AE395" s="176"/>
      <c r="AF395" s="176"/>
      <c r="AG395" s="176"/>
      <c r="AH395" s="176"/>
      <c r="AI395" s="176"/>
      <c r="AJ395" s="176"/>
      <c r="AK395" s="176"/>
      <c r="AL395" s="176"/>
      <c r="AM395" s="176"/>
      <c r="AN395" s="176"/>
      <c r="AO395" s="176"/>
      <c r="AP395" s="176"/>
      <c r="AQ395" s="176"/>
      <c r="AR395" s="176"/>
      <c r="AS395" s="176"/>
      <c r="AT395" s="176"/>
      <c r="AU395" s="176"/>
      <c r="AV395" s="176"/>
      <c r="AW395" s="176"/>
      <c r="AX395" s="176"/>
      <c r="AY395" s="176"/>
      <c r="AZ395" s="176"/>
      <c r="BA395" s="176"/>
      <c r="BB395" s="176"/>
      <c r="BC395" s="176"/>
      <c r="BD395" s="176"/>
    </row>
    <row r="396" ht="15.75" customHeight="1">
      <c r="A396" s="176"/>
      <c r="B396" s="176"/>
      <c r="C396" s="176"/>
      <c r="D396" s="176"/>
      <c r="E396" s="176"/>
      <c r="F396" s="176"/>
      <c r="G396" s="178"/>
      <c r="H396" s="176"/>
      <c r="I396" s="176"/>
      <c r="J396" s="176"/>
      <c r="K396" s="176"/>
      <c r="L396" s="176"/>
      <c r="M396" s="176"/>
      <c r="N396" s="176"/>
      <c r="O396" s="176"/>
      <c r="P396" s="176"/>
      <c r="Q396" s="176"/>
      <c r="R396" s="176"/>
      <c r="S396" s="176"/>
      <c r="T396" s="176"/>
      <c r="U396" s="176"/>
      <c r="V396" s="176"/>
      <c r="W396" s="176"/>
      <c r="X396" s="176"/>
      <c r="Y396" s="176"/>
      <c r="Z396" s="176"/>
      <c r="AA396" s="176"/>
      <c r="AB396" s="176"/>
      <c r="AC396" s="176"/>
      <c r="AD396" s="176"/>
      <c r="AE396" s="176"/>
      <c r="AF396" s="176"/>
      <c r="AG396" s="176"/>
      <c r="AH396" s="176"/>
      <c r="AI396" s="176"/>
      <c r="AJ396" s="176"/>
      <c r="AK396" s="176"/>
      <c r="AL396" s="176"/>
      <c r="AM396" s="176"/>
      <c r="AN396" s="176"/>
      <c r="AO396" s="176"/>
      <c r="AP396" s="176"/>
      <c r="AQ396" s="176"/>
      <c r="AR396" s="176"/>
      <c r="AS396" s="176"/>
      <c r="AT396" s="176"/>
      <c r="AU396" s="176"/>
      <c r="AV396" s="176"/>
      <c r="AW396" s="176"/>
      <c r="AX396" s="176"/>
      <c r="AY396" s="176"/>
      <c r="AZ396" s="176"/>
      <c r="BA396" s="176"/>
      <c r="BB396" s="176"/>
      <c r="BC396" s="176"/>
      <c r="BD396" s="176"/>
    </row>
    <row r="397" ht="15.75" customHeight="1">
      <c r="A397" s="176"/>
      <c r="B397" s="176"/>
      <c r="C397" s="176"/>
      <c r="D397" s="176"/>
      <c r="E397" s="176"/>
      <c r="F397" s="176"/>
      <c r="G397" s="178"/>
      <c r="H397" s="176"/>
      <c r="I397" s="176"/>
      <c r="J397" s="176"/>
      <c r="K397" s="176"/>
      <c r="L397" s="176"/>
      <c r="M397" s="176"/>
      <c r="N397" s="176"/>
      <c r="O397" s="176"/>
      <c r="P397" s="176"/>
      <c r="Q397" s="176"/>
      <c r="R397" s="176"/>
      <c r="S397" s="176"/>
      <c r="T397" s="176"/>
      <c r="U397" s="176"/>
      <c r="V397" s="176"/>
      <c r="W397" s="176"/>
      <c r="X397" s="176"/>
      <c r="Y397" s="176"/>
      <c r="Z397" s="176"/>
      <c r="AA397" s="176"/>
      <c r="AB397" s="176"/>
      <c r="AC397" s="176"/>
      <c r="AD397" s="176"/>
      <c r="AE397" s="176"/>
      <c r="AF397" s="176"/>
      <c r="AG397" s="176"/>
      <c r="AH397" s="176"/>
      <c r="AI397" s="176"/>
      <c r="AJ397" s="176"/>
      <c r="AK397" s="176"/>
      <c r="AL397" s="176"/>
      <c r="AM397" s="176"/>
      <c r="AN397" s="176"/>
      <c r="AO397" s="176"/>
      <c r="AP397" s="176"/>
      <c r="AQ397" s="176"/>
      <c r="AR397" s="176"/>
      <c r="AS397" s="176"/>
      <c r="AT397" s="176"/>
      <c r="AU397" s="176"/>
      <c r="AV397" s="176"/>
      <c r="AW397" s="176"/>
      <c r="AX397" s="176"/>
      <c r="AY397" s="176"/>
      <c r="AZ397" s="176"/>
      <c r="BA397" s="176"/>
      <c r="BB397" s="176"/>
      <c r="BC397" s="176"/>
      <c r="BD397" s="176"/>
    </row>
    <row r="398" ht="15.75" customHeight="1">
      <c r="A398" s="176"/>
      <c r="B398" s="176"/>
      <c r="C398" s="176"/>
      <c r="D398" s="176"/>
      <c r="E398" s="176"/>
      <c r="F398" s="176"/>
      <c r="G398" s="178"/>
      <c r="H398" s="176"/>
      <c r="I398" s="176"/>
      <c r="J398" s="176"/>
      <c r="K398" s="176"/>
      <c r="L398" s="176"/>
      <c r="M398" s="176"/>
      <c r="N398" s="176"/>
      <c r="O398" s="176"/>
      <c r="P398" s="176"/>
      <c r="Q398" s="176"/>
      <c r="R398" s="176"/>
      <c r="S398" s="176"/>
      <c r="T398" s="176"/>
      <c r="U398" s="176"/>
      <c r="V398" s="176"/>
      <c r="W398" s="176"/>
      <c r="X398" s="176"/>
      <c r="Y398" s="176"/>
      <c r="Z398" s="176"/>
      <c r="AA398" s="176"/>
      <c r="AB398" s="176"/>
      <c r="AC398" s="176"/>
      <c r="AD398" s="176"/>
      <c r="AE398" s="176"/>
      <c r="AF398" s="176"/>
      <c r="AG398" s="176"/>
      <c r="AH398" s="176"/>
      <c r="AI398" s="176"/>
      <c r="AJ398" s="176"/>
      <c r="AK398" s="176"/>
      <c r="AL398" s="176"/>
      <c r="AM398" s="176"/>
      <c r="AN398" s="176"/>
      <c r="AO398" s="176"/>
      <c r="AP398" s="176"/>
      <c r="AQ398" s="176"/>
      <c r="AR398" s="176"/>
      <c r="AS398" s="176"/>
      <c r="AT398" s="176"/>
      <c r="AU398" s="176"/>
      <c r="AV398" s="176"/>
      <c r="AW398" s="176"/>
      <c r="AX398" s="176"/>
      <c r="AY398" s="176"/>
      <c r="AZ398" s="176"/>
      <c r="BA398" s="176"/>
      <c r="BB398" s="176"/>
      <c r="BC398" s="176"/>
      <c r="BD398" s="176"/>
    </row>
    <row r="399" ht="15.75" customHeight="1">
      <c r="A399" s="176"/>
      <c r="B399" s="176"/>
      <c r="C399" s="176"/>
      <c r="D399" s="176"/>
      <c r="E399" s="176"/>
      <c r="F399" s="176"/>
      <c r="G399" s="178"/>
      <c r="H399" s="176"/>
      <c r="I399" s="176"/>
      <c r="J399" s="176"/>
      <c r="K399" s="176"/>
      <c r="L399" s="176"/>
      <c r="M399" s="176"/>
      <c r="N399" s="176"/>
      <c r="O399" s="176"/>
      <c r="P399" s="176"/>
      <c r="Q399" s="176"/>
      <c r="R399" s="176"/>
      <c r="S399" s="176"/>
      <c r="T399" s="176"/>
      <c r="U399" s="176"/>
      <c r="V399" s="176"/>
      <c r="W399" s="176"/>
      <c r="X399" s="176"/>
      <c r="Y399" s="176"/>
      <c r="Z399" s="176"/>
      <c r="AA399" s="176"/>
      <c r="AB399" s="176"/>
      <c r="AC399" s="176"/>
      <c r="AD399" s="176"/>
      <c r="AE399" s="176"/>
      <c r="AF399" s="176"/>
      <c r="AG399" s="176"/>
      <c r="AH399" s="176"/>
      <c r="AI399" s="176"/>
      <c r="AJ399" s="176"/>
      <c r="AK399" s="176"/>
      <c r="AL399" s="176"/>
      <c r="AM399" s="176"/>
      <c r="AN399" s="176"/>
      <c r="AO399" s="176"/>
      <c r="AP399" s="176"/>
      <c r="AQ399" s="176"/>
      <c r="AR399" s="176"/>
      <c r="AS399" s="176"/>
      <c r="AT399" s="176"/>
      <c r="AU399" s="176"/>
      <c r="AV399" s="176"/>
      <c r="AW399" s="176"/>
      <c r="AX399" s="176"/>
      <c r="AY399" s="176"/>
      <c r="AZ399" s="176"/>
      <c r="BA399" s="176"/>
      <c r="BB399" s="176"/>
      <c r="BC399" s="176"/>
      <c r="BD399" s="176"/>
    </row>
    <row r="400" ht="15.75" customHeight="1">
      <c r="A400" s="176"/>
      <c r="B400" s="176"/>
      <c r="C400" s="176"/>
      <c r="D400" s="176"/>
      <c r="E400" s="176"/>
      <c r="F400" s="176"/>
      <c r="G400" s="178"/>
      <c r="H400" s="176"/>
      <c r="I400" s="176"/>
      <c r="J400" s="176"/>
      <c r="K400" s="176"/>
      <c r="L400" s="176"/>
      <c r="M400" s="176"/>
      <c r="N400" s="176"/>
      <c r="O400" s="176"/>
      <c r="P400" s="176"/>
      <c r="Q400" s="176"/>
      <c r="R400" s="176"/>
      <c r="S400" s="176"/>
      <c r="T400" s="176"/>
      <c r="U400" s="176"/>
      <c r="V400" s="176"/>
      <c r="W400" s="176"/>
      <c r="X400" s="176"/>
      <c r="Y400" s="176"/>
      <c r="Z400" s="176"/>
      <c r="AA400" s="176"/>
      <c r="AB400" s="176"/>
      <c r="AC400" s="176"/>
      <c r="AD400" s="176"/>
      <c r="AE400" s="176"/>
      <c r="AF400" s="176"/>
      <c r="AG400" s="176"/>
      <c r="AH400" s="176"/>
      <c r="AI400" s="176"/>
      <c r="AJ400" s="176"/>
      <c r="AK400" s="176"/>
      <c r="AL400" s="176"/>
      <c r="AM400" s="176"/>
      <c r="AN400" s="176"/>
      <c r="AO400" s="176"/>
      <c r="AP400" s="176"/>
      <c r="AQ400" s="176"/>
      <c r="AR400" s="176"/>
      <c r="AS400" s="176"/>
      <c r="AT400" s="176"/>
      <c r="AU400" s="176"/>
      <c r="AV400" s="176"/>
      <c r="AW400" s="176"/>
      <c r="AX400" s="176"/>
      <c r="AY400" s="176"/>
      <c r="AZ400" s="176"/>
      <c r="BA400" s="176"/>
      <c r="BB400" s="176"/>
      <c r="BC400" s="176"/>
      <c r="BD400" s="176"/>
    </row>
    <row r="401" ht="15.75" customHeight="1">
      <c r="A401" s="176"/>
      <c r="B401" s="176"/>
      <c r="C401" s="176"/>
      <c r="D401" s="176"/>
      <c r="E401" s="176"/>
      <c r="F401" s="176"/>
      <c r="G401" s="178"/>
      <c r="H401" s="176"/>
      <c r="I401" s="176"/>
      <c r="J401" s="176"/>
      <c r="K401" s="176"/>
      <c r="L401" s="176"/>
      <c r="M401" s="176"/>
      <c r="N401" s="176"/>
      <c r="O401" s="176"/>
      <c r="P401" s="176"/>
      <c r="Q401" s="176"/>
      <c r="R401" s="176"/>
      <c r="S401" s="176"/>
      <c r="T401" s="176"/>
      <c r="U401" s="176"/>
      <c r="V401" s="176"/>
      <c r="W401" s="176"/>
      <c r="X401" s="176"/>
      <c r="Y401" s="176"/>
      <c r="Z401" s="176"/>
      <c r="AA401" s="176"/>
      <c r="AB401" s="176"/>
      <c r="AC401" s="176"/>
      <c r="AD401" s="176"/>
      <c r="AE401" s="176"/>
      <c r="AF401" s="176"/>
      <c r="AG401" s="176"/>
      <c r="AH401" s="176"/>
      <c r="AI401" s="176"/>
      <c r="AJ401" s="176"/>
      <c r="AK401" s="176"/>
      <c r="AL401" s="176"/>
      <c r="AM401" s="176"/>
      <c r="AN401" s="176"/>
      <c r="AO401" s="176"/>
      <c r="AP401" s="176"/>
      <c r="AQ401" s="176"/>
      <c r="AR401" s="176"/>
      <c r="AS401" s="176"/>
      <c r="AT401" s="176"/>
      <c r="AU401" s="176"/>
      <c r="AV401" s="176"/>
      <c r="AW401" s="176"/>
      <c r="AX401" s="176"/>
      <c r="AY401" s="176"/>
      <c r="AZ401" s="176"/>
      <c r="BA401" s="176"/>
      <c r="BB401" s="176"/>
      <c r="BC401" s="176"/>
      <c r="BD401" s="176"/>
    </row>
    <row r="402" ht="15.75" customHeight="1">
      <c r="A402" s="176"/>
      <c r="B402" s="176"/>
      <c r="C402" s="176"/>
      <c r="D402" s="176"/>
      <c r="E402" s="176"/>
      <c r="F402" s="176"/>
      <c r="G402" s="178"/>
      <c r="H402" s="176"/>
      <c r="I402" s="176"/>
      <c r="J402" s="176"/>
      <c r="K402" s="176"/>
      <c r="L402" s="176"/>
      <c r="M402" s="176"/>
      <c r="N402" s="176"/>
      <c r="O402" s="176"/>
      <c r="P402" s="176"/>
      <c r="Q402" s="176"/>
      <c r="R402" s="176"/>
      <c r="S402" s="176"/>
      <c r="T402" s="176"/>
      <c r="U402" s="176"/>
      <c r="V402" s="176"/>
      <c r="W402" s="176"/>
      <c r="X402" s="176"/>
      <c r="Y402" s="176"/>
      <c r="Z402" s="176"/>
      <c r="AA402" s="176"/>
      <c r="AB402" s="176"/>
      <c r="AC402" s="176"/>
      <c r="AD402" s="176"/>
      <c r="AE402" s="176"/>
      <c r="AF402" s="176"/>
      <c r="AG402" s="176"/>
      <c r="AH402" s="176"/>
      <c r="AI402" s="176"/>
      <c r="AJ402" s="176"/>
      <c r="AK402" s="176"/>
      <c r="AL402" s="176"/>
      <c r="AM402" s="176"/>
      <c r="AN402" s="176"/>
      <c r="AO402" s="176"/>
      <c r="AP402" s="176"/>
      <c r="AQ402" s="176"/>
      <c r="AR402" s="176"/>
      <c r="AS402" s="176"/>
      <c r="AT402" s="176"/>
      <c r="AU402" s="176"/>
      <c r="AV402" s="176"/>
      <c r="AW402" s="176"/>
      <c r="AX402" s="176"/>
      <c r="AY402" s="176"/>
      <c r="AZ402" s="176"/>
      <c r="BA402" s="176"/>
      <c r="BB402" s="176"/>
      <c r="BC402" s="176"/>
      <c r="BD402" s="176"/>
    </row>
    <row r="403" ht="15.75" customHeight="1">
      <c r="A403" s="176"/>
      <c r="B403" s="176"/>
      <c r="C403" s="176"/>
      <c r="D403" s="176"/>
      <c r="E403" s="176"/>
      <c r="F403" s="176"/>
      <c r="G403" s="178"/>
      <c r="H403" s="176"/>
      <c r="I403" s="176"/>
      <c r="J403" s="176"/>
      <c r="K403" s="176"/>
      <c r="L403" s="176"/>
      <c r="M403" s="176"/>
      <c r="N403" s="176"/>
      <c r="O403" s="176"/>
      <c r="P403" s="176"/>
      <c r="Q403" s="176"/>
      <c r="R403" s="176"/>
      <c r="S403" s="176"/>
      <c r="T403" s="176"/>
      <c r="U403" s="176"/>
      <c r="V403" s="176"/>
      <c r="W403" s="176"/>
      <c r="X403" s="176"/>
      <c r="Y403" s="176"/>
      <c r="Z403" s="176"/>
      <c r="AA403" s="176"/>
      <c r="AB403" s="176"/>
      <c r="AC403" s="176"/>
      <c r="AD403" s="176"/>
      <c r="AE403" s="176"/>
      <c r="AF403" s="176"/>
      <c r="AG403" s="176"/>
      <c r="AH403" s="176"/>
      <c r="AI403" s="176"/>
      <c r="AJ403" s="176"/>
      <c r="AK403" s="176"/>
      <c r="AL403" s="176"/>
      <c r="AM403" s="176"/>
      <c r="AN403" s="176"/>
      <c r="AO403" s="176"/>
      <c r="AP403" s="176"/>
      <c r="AQ403" s="176"/>
      <c r="AR403" s="176"/>
      <c r="AS403" s="176"/>
      <c r="AT403" s="176"/>
      <c r="AU403" s="176"/>
      <c r="AV403" s="176"/>
      <c r="AW403" s="176"/>
      <c r="AX403" s="176"/>
      <c r="AY403" s="176"/>
      <c r="AZ403" s="176"/>
      <c r="BA403" s="176"/>
      <c r="BB403" s="176"/>
      <c r="BC403" s="176"/>
      <c r="BD403" s="176"/>
    </row>
    <row r="404" ht="15.75" customHeight="1">
      <c r="A404" s="176"/>
      <c r="B404" s="176"/>
      <c r="C404" s="176"/>
      <c r="D404" s="176"/>
      <c r="E404" s="176"/>
      <c r="F404" s="176"/>
      <c r="G404" s="178"/>
      <c r="H404" s="176"/>
      <c r="I404" s="176"/>
      <c r="J404" s="176"/>
      <c r="K404" s="176"/>
      <c r="L404" s="176"/>
      <c r="M404" s="176"/>
      <c r="N404" s="176"/>
      <c r="O404" s="176"/>
      <c r="P404" s="176"/>
      <c r="Q404" s="176"/>
      <c r="R404" s="176"/>
      <c r="S404" s="176"/>
      <c r="T404" s="176"/>
      <c r="U404" s="176"/>
      <c r="V404" s="176"/>
      <c r="W404" s="176"/>
      <c r="X404" s="176"/>
      <c r="Y404" s="176"/>
      <c r="Z404" s="176"/>
      <c r="AA404" s="176"/>
      <c r="AB404" s="176"/>
      <c r="AC404" s="176"/>
      <c r="AD404" s="176"/>
      <c r="AE404" s="176"/>
      <c r="AF404" s="176"/>
      <c r="AG404" s="176"/>
      <c r="AH404" s="176"/>
      <c r="AI404" s="176"/>
      <c r="AJ404" s="176"/>
      <c r="AK404" s="176"/>
      <c r="AL404" s="176"/>
      <c r="AM404" s="176"/>
      <c r="AN404" s="176"/>
      <c r="AO404" s="176"/>
      <c r="AP404" s="176"/>
      <c r="AQ404" s="176"/>
      <c r="AR404" s="176"/>
      <c r="AS404" s="176"/>
      <c r="AT404" s="176"/>
      <c r="AU404" s="176"/>
      <c r="AV404" s="176"/>
      <c r="AW404" s="176"/>
      <c r="AX404" s="176"/>
      <c r="AY404" s="176"/>
      <c r="AZ404" s="176"/>
      <c r="BA404" s="176"/>
      <c r="BB404" s="176"/>
      <c r="BC404" s="176"/>
      <c r="BD404" s="176"/>
    </row>
    <row r="405" ht="15.75" customHeight="1">
      <c r="A405" s="176"/>
      <c r="B405" s="176"/>
      <c r="C405" s="176"/>
      <c r="D405" s="176"/>
      <c r="E405" s="176"/>
      <c r="F405" s="176"/>
      <c r="G405" s="178"/>
      <c r="H405" s="176"/>
      <c r="I405" s="176"/>
      <c r="J405" s="176"/>
      <c r="K405" s="176"/>
      <c r="L405" s="176"/>
      <c r="M405" s="176"/>
      <c r="N405" s="176"/>
      <c r="O405" s="176"/>
      <c r="P405" s="176"/>
      <c r="Q405" s="176"/>
      <c r="R405" s="176"/>
      <c r="S405" s="176"/>
      <c r="T405" s="176"/>
      <c r="U405" s="176"/>
      <c r="V405" s="176"/>
      <c r="W405" s="176"/>
      <c r="X405" s="176"/>
      <c r="Y405" s="176"/>
      <c r="Z405" s="176"/>
      <c r="AA405" s="176"/>
      <c r="AB405" s="176"/>
      <c r="AC405" s="176"/>
      <c r="AD405" s="176"/>
      <c r="AE405" s="176"/>
      <c r="AF405" s="176"/>
      <c r="AG405" s="176"/>
      <c r="AH405" s="176"/>
      <c r="AI405" s="176"/>
      <c r="AJ405" s="176"/>
      <c r="AK405" s="176"/>
      <c r="AL405" s="176"/>
      <c r="AM405" s="176"/>
      <c r="AN405" s="176"/>
      <c r="AO405" s="176"/>
      <c r="AP405" s="176"/>
      <c r="AQ405" s="176"/>
      <c r="AR405" s="176"/>
      <c r="AS405" s="176"/>
      <c r="AT405" s="176"/>
      <c r="AU405" s="176"/>
      <c r="AV405" s="176"/>
      <c r="AW405" s="176"/>
      <c r="AX405" s="176"/>
      <c r="AY405" s="176"/>
      <c r="AZ405" s="176"/>
      <c r="BA405" s="176"/>
      <c r="BB405" s="176"/>
      <c r="BC405" s="176"/>
      <c r="BD405" s="176"/>
    </row>
    <row r="406" ht="15.75" customHeight="1">
      <c r="A406" s="176"/>
      <c r="B406" s="176"/>
      <c r="C406" s="176"/>
      <c r="D406" s="176"/>
      <c r="E406" s="176"/>
      <c r="F406" s="176"/>
      <c r="G406" s="178"/>
      <c r="H406" s="176"/>
      <c r="I406" s="176"/>
      <c r="J406" s="176"/>
      <c r="K406" s="176"/>
      <c r="L406" s="176"/>
      <c r="M406" s="176"/>
      <c r="N406" s="176"/>
      <c r="O406" s="176"/>
      <c r="P406" s="176"/>
      <c r="Q406" s="176"/>
      <c r="R406" s="176"/>
      <c r="S406" s="176"/>
      <c r="T406" s="176"/>
      <c r="U406" s="176"/>
      <c r="V406" s="176"/>
      <c r="W406" s="176"/>
      <c r="X406" s="176"/>
      <c r="Y406" s="176"/>
      <c r="Z406" s="176"/>
      <c r="AA406" s="176"/>
      <c r="AB406" s="176"/>
      <c r="AC406" s="176"/>
      <c r="AD406" s="176"/>
      <c r="AE406" s="176"/>
      <c r="AF406" s="176"/>
      <c r="AG406" s="176"/>
      <c r="AH406" s="176"/>
      <c r="AI406" s="176"/>
      <c r="AJ406" s="176"/>
      <c r="AK406" s="176"/>
      <c r="AL406" s="176"/>
      <c r="AM406" s="176"/>
      <c r="AN406" s="176"/>
      <c r="AO406" s="176"/>
      <c r="AP406" s="176"/>
      <c r="AQ406" s="176"/>
      <c r="AR406" s="176"/>
      <c r="AS406" s="176"/>
      <c r="AT406" s="176"/>
      <c r="AU406" s="176"/>
      <c r="AV406" s="176"/>
      <c r="AW406" s="176"/>
      <c r="AX406" s="176"/>
      <c r="AY406" s="176"/>
      <c r="AZ406" s="176"/>
      <c r="BA406" s="176"/>
      <c r="BB406" s="176"/>
      <c r="BC406" s="176"/>
      <c r="BD406" s="176"/>
    </row>
    <row r="407" ht="15.75" customHeight="1">
      <c r="A407" s="176"/>
      <c r="B407" s="176"/>
      <c r="C407" s="176"/>
      <c r="D407" s="176"/>
      <c r="E407" s="176"/>
      <c r="F407" s="176"/>
      <c r="G407" s="178"/>
      <c r="H407" s="176"/>
      <c r="I407" s="176"/>
      <c r="J407" s="176"/>
      <c r="K407" s="176"/>
      <c r="L407" s="176"/>
      <c r="M407" s="176"/>
      <c r="N407" s="176"/>
      <c r="O407" s="176"/>
      <c r="P407" s="176"/>
      <c r="Q407" s="176"/>
      <c r="R407" s="176"/>
      <c r="S407" s="176"/>
      <c r="T407" s="176"/>
      <c r="U407" s="176"/>
      <c r="V407" s="176"/>
      <c r="W407" s="176"/>
      <c r="X407" s="176"/>
      <c r="Y407" s="176"/>
      <c r="Z407" s="176"/>
      <c r="AA407" s="176"/>
      <c r="AB407" s="176"/>
      <c r="AC407" s="176"/>
      <c r="AD407" s="176"/>
      <c r="AE407" s="176"/>
      <c r="AF407" s="176"/>
      <c r="AG407" s="176"/>
      <c r="AH407" s="176"/>
      <c r="AI407" s="176"/>
      <c r="AJ407" s="176"/>
      <c r="AK407" s="176"/>
      <c r="AL407" s="176"/>
      <c r="AM407" s="176"/>
      <c r="AN407" s="176"/>
      <c r="AO407" s="176"/>
      <c r="AP407" s="176"/>
      <c r="AQ407" s="176"/>
      <c r="AR407" s="176"/>
      <c r="AS407" s="176"/>
      <c r="AT407" s="176"/>
      <c r="AU407" s="176"/>
      <c r="AV407" s="176"/>
      <c r="AW407" s="176"/>
      <c r="AX407" s="176"/>
      <c r="AY407" s="176"/>
      <c r="AZ407" s="176"/>
      <c r="BA407" s="176"/>
      <c r="BB407" s="176"/>
      <c r="BC407" s="176"/>
      <c r="BD407" s="176"/>
    </row>
    <row r="408" ht="15.75" customHeight="1">
      <c r="A408" s="176"/>
      <c r="B408" s="176"/>
      <c r="C408" s="176"/>
      <c r="D408" s="176"/>
      <c r="E408" s="176"/>
      <c r="F408" s="176"/>
      <c r="G408" s="178"/>
      <c r="H408" s="176"/>
      <c r="I408" s="176"/>
      <c r="J408" s="176"/>
      <c r="K408" s="176"/>
      <c r="L408" s="176"/>
      <c r="M408" s="176"/>
      <c r="N408" s="176"/>
      <c r="O408" s="176"/>
      <c r="P408" s="176"/>
      <c r="Q408" s="176"/>
      <c r="R408" s="176"/>
      <c r="S408" s="176"/>
      <c r="T408" s="176"/>
      <c r="U408" s="176"/>
      <c r="V408" s="176"/>
      <c r="W408" s="176"/>
      <c r="X408" s="176"/>
      <c r="Y408" s="176"/>
      <c r="Z408" s="176"/>
      <c r="AA408" s="176"/>
      <c r="AB408" s="176"/>
      <c r="AC408" s="176"/>
      <c r="AD408" s="176"/>
      <c r="AE408" s="176"/>
      <c r="AF408" s="176"/>
      <c r="AG408" s="176"/>
      <c r="AH408" s="176"/>
      <c r="AI408" s="176"/>
      <c r="AJ408" s="176"/>
      <c r="AK408" s="176"/>
      <c r="AL408" s="176"/>
      <c r="AM408" s="176"/>
      <c r="AN408" s="176"/>
      <c r="AO408" s="176"/>
      <c r="AP408" s="176"/>
      <c r="AQ408" s="176"/>
      <c r="AR408" s="176"/>
      <c r="AS408" s="176"/>
      <c r="AT408" s="176"/>
      <c r="AU408" s="176"/>
      <c r="AV408" s="176"/>
      <c r="AW408" s="176"/>
      <c r="AX408" s="176"/>
      <c r="AY408" s="176"/>
      <c r="AZ408" s="176"/>
      <c r="BA408" s="176"/>
      <c r="BB408" s="176"/>
      <c r="BC408" s="176"/>
      <c r="BD408" s="176"/>
    </row>
    <row r="409" ht="15.75" customHeight="1">
      <c r="A409" s="176"/>
      <c r="B409" s="176"/>
      <c r="C409" s="176"/>
      <c r="D409" s="176"/>
      <c r="E409" s="176"/>
      <c r="F409" s="176"/>
      <c r="G409" s="178"/>
      <c r="H409" s="176"/>
      <c r="I409" s="176"/>
      <c r="J409" s="176"/>
      <c r="K409" s="176"/>
      <c r="L409" s="176"/>
      <c r="M409" s="176"/>
      <c r="N409" s="176"/>
      <c r="O409" s="176"/>
      <c r="P409" s="176"/>
      <c r="Q409" s="176"/>
      <c r="R409" s="176"/>
      <c r="S409" s="176"/>
      <c r="T409" s="176"/>
      <c r="U409" s="176"/>
      <c r="V409" s="176"/>
      <c r="W409" s="176"/>
      <c r="X409" s="176"/>
      <c r="Y409" s="176"/>
      <c r="Z409" s="176"/>
      <c r="AA409" s="176"/>
      <c r="AB409" s="176"/>
      <c r="AC409" s="176"/>
      <c r="AD409" s="176"/>
      <c r="AE409" s="176"/>
      <c r="AF409" s="176"/>
      <c r="AG409" s="176"/>
      <c r="AH409" s="176"/>
      <c r="AI409" s="176"/>
      <c r="AJ409" s="176"/>
      <c r="AK409" s="176"/>
      <c r="AL409" s="176"/>
      <c r="AM409" s="176"/>
      <c r="AN409" s="176"/>
      <c r="AO409" s="176"/>
      <c r="AP409" s="176"/>
      <c r="AQ409" s="176"/>
      <c r="AR409" s="176"/>
      <c r="AS409" s="176"/>
      <c r="AT409" s="176"/>
      <c r="AU409" s="176"/>
      <c r="AV409" s="176"/>
      <c r="AW409" s="176"/>
      <c r="AX409" s="176"/>
      <c r="AY409" s="176"/>
      <c r="AZ409" s="176"/>
      <c r="BA409" s="176"/>
      <c r="BB409" s="176"/>
      <c r="BC409" s="176"/>
      <c r="BD409" s="176"/>
    </row>
    <row r="410" ht="15.75" customHeight="1">
      <c r="A410" s="176"/>
      <c r="B410" s="176"/>
      <c r="C410" s="176"/>
      <c r="D410" s="176"/>
      <c r="E410" s="176"/>
      <c r="F410" s="176"/>
      <c r="G410" s="178"/>
      <c r="H410" s="176"/>
      <c r="I410" s="176"/>
      <c r="J410" s="176"/>
      <c r="K410" s="176"/>
      <c r="L410" s="176"/>
      <c r="M410" s="176"/>
      <c r="N410" s="176"/>
      <c r="O410" s="176"/>
      <c r="P410" s="176"/>
      <c r="Q410" s="176"/>
      <c r="R410" s="176"/>
      <c r="S410" s="176"/>
      <c r="T410" s="176"/>
      <c r="U410" s="176"/>
      <c r="V410" s="176"/>
      <c r="W410" s="176"/>
      <c r="X410" s="176"/>
      <c r="Y410" s="176"/>
      <c r="Z410" s="176"/>
      <c r="AA410" s="176"/>
      <c r="AB410" s="176"/>
      <c r="AC410" s="176"/>
      <c r="AD410" s="176"/>
      <c r="AE410" s="176"/>
      <c r="AF410" s="176"/>
      <c r="AG410" s="176"/>
      <c r="AH410" s="176"/>
      <c r="AI410" s="176"/>
      <c r="AJ410" s="176"/>
      <c r="AK410" s="176"/>
      <c r="AL410" s="176"/>
      <c r="AM410" s="176"/>
      <c r="AN410" s="176"/>
      <c r="AO410" s="176"/>
      <c r="AP410" s="176"/>
      <c r="AQ410" s="176"/>
      <c r="AR410" s="176"/>
      <c r="AS410" s="176"/>
      <c r="AT410" s="176"/>
      <c r="AU410" s="176"/>
      <c r="AV410" s="176"/>
      <c r="AW410" s="176"/>
      <c r="AX410" s="176"/>
      <c r="AY410" s="176"/>
      <c r="AZ410" s="176"/>
      <c r="BA410" s="176"/>
      <c r="BB410" s="176"/>
      <c r="BC410" s="176"/>
      <c r="BD410" s="176"/>
    </row>
    <row r="411" ht="15.75" customHeight="1">
      <c r="A411" s="176"/>
      <c r="B411" s="176"/>
      <c r="C411" s="176"/>
      <c r="D411" s="176"/>
      <c r="E411" s="176"/>
      <c r="F411" s="176"/>
      <c r="G411" s="178"/>
      <c r="H411" s="176"/>
      <c r="I411" s="176"/>
      <c r="J411" s="176"/>
      <c r="K411" s="176"/>
      <c r="L411" s="176"/>
      <c r="M411" s="176"/>
      <c r="N411" s="176"/>
      <c r="O411" s="176"/>
      <c r="P411" s="176"/>
      <c r="Q411" s="176"/>
      <c r="R411" s="176"/>
      <c r="S411" s="176"/>
      <c r="T411" s="176"/>
      <c r="U411" s="176"/>
      <c r="V411" s="176"/>
      <c r="W411" s="176"/>
      <c r="X411" s="176"/>
      <c r="Y411" s="176"/>
      <c r="Z411" s="176"/>
      <c r="AA411" s="176"/>
      <c r="AB411" s="176"/>
      <c r="AC411" s="176"/>
      <c r="AD411" s="176"/>
      <c r="AE411" s="176"/>
      <c r="AF411" s="176"/>
      <c r="AG411" s="176"/>
      <c r="AH411" s="176"/>
      <c r="AI411" s="176"/>
      <c r="AJ411" s="176"/>
      <c r="AK411" s="176"/>
      <c r="AL411" s="176"/>
      <c r="AM411" s="176"/>
      <c r="AN411" s="176"/>
      <c r="AO411" s="176"/>
      <c r="AP411" s="176"/>
      <c r="AQ411" s="176"/>
      <c r="AR411" s="176"/>
      <c r="AS411" s="176"/>
      <c r="AT411" s="176"/>
      <c r="AU411" s="176"/>
      <c r="AV411" s="176"/>
      <c r="AW411" s="176"/>
      <c r="AX411" s="176"/>
      <c r="AY411" s="176"/>
      <c r="AZ411" s="176"/>
      <c r="BA411" s="176"/>
      <c r="BB411" s="176"/>
      <c r="BC411" s="176"/>
      <c r="BD411" s="176"/>
    </row>
    <row r="412" ht="15.75" customHeight="1">
      <c r="A412" s="176"/>
      <c r="B412" s="176"/>
      <c r="C412" s="176"/>
      <c r="D412" s="176"/>
      <c r="E412" s="176"/>
      <c r="F412" s="176"/>
      <c r="G412" s="178"/>
      <c r="H412" s="176"/>
      <c r="I412" s="176"/>
      <c r="J412" s="176"/>
      <c r="K412" s="176"/>
      <c r="L412" s="176"/>
      <c r="M412" s="176"/>
      <c r="N412" s="176"/>
      <c r="O412" s="176"/>
      <c r="P412" s="176"/>
      <c r="Q412" s="176"/>
      <c r="R412" s="176"/>
      <c r="S412" s="176"/>
      <c r="T412" s="176"/>
      <c r="U412" s="176"/>
      <c r="V412" s="176"/>
      <c r="W412" s="176"/>
      <c r="X412" s="176"/>
      <c r="Y412" s="176"/>
      <c r="Z412" s="176"/>
      <c r="AA412" s="176"/>
      <c r="AB412" s="176"/>
      <c r="AC412" s="176"/>
      <c r="AD412" s="176"/>
      <c r="AE412" s="176"/>
      <c r="AF412" s="176"/>
      <c r="AG412" s="176"/>
      <c r="AH412" s="176"/>
      <c r="AI412" s="176"/>
      <c r="AJ412" s="176"/>
      <c r="AK412" s="176"/>
      <c r="AL412" s="176"/>
      <c r="AM412" s="176"/>
      <c r="AN412" s="176"/>
      <c r="AO412" s="176"/>
      <c r="AP412" s="176"/>
      <c r="AQ412" s="176"/>
      <c r="AR412" s="176"/>
      <c r="AS412" s="176"/>
      <c r="AT412" s="176"/>
      <c r="AU412" s="176"/>
      <c r="AV412" s="176"/>
      <c r="AW412" s="176"/>
      <c r="AX412" s="176"/>
      <c r="AY412" s="176"/>
      <c r="AZ412" s="176"/>
      <c r="BA412" s="176"/>
      <c r="BB412" s="176"/>
      <c r="BC412" s="176"/>
      <c r="BD412" s="176"/>
    </row>
    <row r="413" ht="15.75" customHeight="1">
      <c r="A413" s="176"/>
      <c r="B413" s="176"/>
      <c r="C413" s="176"/>
      <c r="D413" s="176"/>
      <c r="E413" s="176"/>
      <c r="F413" s="176"/>
      <c r="G413" s="178"/>
      <c r="H413" s="176"/>
      <c r="I413" s="176"/>
      <c r="J413" s="176"/>
      <c r="K413" s="176"/>
      <c r="L413" s="176"/>
      <c r="M413" s="176"/>
      <c r="N413" s="176"/>
      <c r="O413" s="176"/>
      <c r="P413" s="176"/>
      <c r="Q413" s="176"/>
      <c r="R413" s="176"/>
      <c r="S413" s="176"/>
      <c r="T413" s="176"/>
      <c r="U413" s="176"/>
      <c r="V413" s="176"/>
      <c r="W413" s="176"/>
      <c r="X413" s="176"/>
      <c r="Y413" s="176"/>
      <c r="Z413" s="176"/>
      <c r="AA413" s="176"/>
      <c r="AB413" s="176"/>
      <c r="AC413" s="176"/>
      <c r="AD413" s="176"/>
      <c r="AE413" s="176"/>
      <c r="AF413" s="176"/>
      <c r="AG413" s="176"/>
      <c r="AH413" s="176"/>
      <c r="AI413" s="176"/>
      <c r="AJ413" s="176"/>
      <c r="AK413" s="176"/>
      <c r="AL413" s="176"/>
      <c r="AM413" s="176"/>
      <c r="AN413" s="176"/>
      <c r="AO413" s="176"/>
      <c r="AP413" s="176"/>
      <c r="AQ413" s="176"/>
      <c r="AR413" s="176"/>
      <c r="AS413" s="176"/>
      <c r="AT413" s="176"/>
      <c r="AU413" s="176"/>
      <c r="AV413" s="176"/>
      <c r="AW413" s="176"/>
      <c r="AX413" s="176"/>
      <c r="AY413" s="176"/>
      <c r="AZ413" s="176"/>
      <c r="BA413" s="176"/>
      <c r="BB413" s="176"/>
      <c r="BC413" s="176"/>
      <c r="BD413" s="176"/>
    </row>
    <row r="414" ht="15.75" customHeight="1">
      <c r="A414" s="176"/>
      <c r="B414" s="176"/>
      <c r="C414" s="176"/>
      <c r="D414" s="176"/>
      <c r="E414" s="176"/>
      <c r="F414" s="176"/>
      <c r="G414" s="178"/>
      <c r="H414" s="176"/>
      <c r="I414" s="176"/>
      <c r="J414" s="176"/>
      <c r="K414" s="176"/>
      <c r="L414" s="176"/>
      <c r="M414" s="176"/>
      <c r="N414" s="176"/>
      <c r="O414" s="176"/>
      <c r="P414" s="176"/>
      <c r="Q414" s="176"/>
      <c r="R414" s="176"/>
      <c r="S414" s="176"/>
      <c r="T414" s="176"/>
      <c r="U414" s="176"/>
      <c r="V414" s="176"/>
      <c r="W414" s="176"/>
      <c r="X414" s="176"/>
      <c r="Y414" s="176"/>
      <c r="Z414" s="176"/>
      <c r="AA414" s="176"/>
      <c r="AB414" s="176"/>
      <c r="AC414" s="176"/>
      <c r="AD414" s="176"/>
      <c r="AE414" s="176"/>
      <c r="AF414" s="176"/>
      <c r="AG414" s="176"/>
      <c r="AH414" s="176"/>
      <c r="AI414" s="176"/>
      <c r="AJ414" s="176"/>
      <c r="AK414" s="176"/>
      <c r="AL414" s="176"/>
      <c r="AM414" s="176"/>
      <c r="AN414" s="176"/>
      <c r="AO414" s="176"/>
      <c r="AP414" s="176"/>
      <c r="AQ414" s="176"/>
      <c r="AR414" s="176"/>
      <c r="AS414" s="176"/>
      <c r="AT414" s="176"/>
      <c r="AU414" s="176"/>
      <c r="AV414" s="176"/>
      <c r="AW414" s="176"/>
      <c r="AX414" s="176"/>
      <c r="AY414" s="176"/>
      <c r="AZ414" s="176"/>
      <c r="BA414" s="176"/>
      <c r="BB414" s="176"/>
      <c r="BC414" s="176"/>
      <c r="BD414" s="176"/>
    </row>
    <row r="415" ht="15.75" customHeight="1">
      <c r="A415" s="176"/>
      <c r="B415" s="176"/>
      <c r="C415" s="176"/>
      <c r="D415" s="176"/>
      <c r="E415" s="176"/>
      <c r="F415" s="176"/>
      <c r="G415" s="178"/>
      <c r="H415" s="176"/>
      <c r="I415" s="176"/>
      <c r="J415" s="176"/>
      <c r="K415" s="176"/>
      <c r="L415" s="176"/>
      <c r="M415" s="176"/>
      <c r="N415" s="176"/>
      <c r="O415" s="176"/>
      <c r="P415" s="176"/>
      <c r="Q415" s="176"/>
      <c r="R415" s="176"/>
      <c r="S415" s="176"/>
      <c r="T415" s="176"/>
      <c r="U415" s="176"/>
      <c r="V415" s="176"/>
      <c r="W415" s="176"/>
      <c r="X415" s="176"/>
      <c r="Y415" s="176"/>
      <c r="Z415" s="176"/>
      <c r="AA415" s="176"/>
      <c r="AB415" s="176"/>
      <c r="AC415" s="176"/>
      <c r="AD415" s="176"/>
      <c r="AE415" s="176"/>
      <c r="AF415" s="176"/>
      <c r="AG415" s="176"/>
      <c r="AH415" s="176"/>
      <c r="AI415" s="176"/>
      <c r="AJ415" s="176"/>
      <c r="AK415" s="176"/>
      <c r="AL415" s="176"/>
      <c r="AM415" s="176"/>
      <c r="AN415" s="176"/>
      <c r="AO415" s="176"/>
      <c r="AP415" s="176"/>
      <c r="AQ415" s="176"/>
      <c r="AR415" s="176"/>
      <c r="AS415" s="176"/>
      <c r="AT415" s="176"/>
      <c r="AU415" s="176"/>
      <c r="AV415" s="176"/>
      <c r="AW415" s="176"/>
      <c r="AX415" s="176"/>
      <c r="AY415" s="176"/>
      <c r="AZ415" s="176"/>
      <c r="BA415" s="176"/>
      <c r="BB415" s="176"/>
      <c r="BC415" s="176"/>
      <c r="BD415" s="176"/>
    </row>
    <row r="416" ht="15.75" customHeight="1">
      <c r="A416" s="176"/>
      <c r="B416" s="176"/>
      <c r="C416" s="176"/>
      <c r="D416" s="176"/>
      <c r="E416" s="176"/>
      <c r="F416" s="176"/>
      <c r="G416" s="178"/>
      <c r="H416" s="176"/>
      <c r="I416" s="176"/>
      <c r="J416" s="176"/>
      <c r="K416" s="176"/>
      <c r="L416" s="176"/>
      <c r="M416" s="176"/>
      <c r="N416" s="176"/>
      <c r="O416" s="176"/>
      <c r="P416" s="176"/>
      <c r="Q416" s="176"/>
      <c r="R416" s="176"/>
      <c r="S416" s="176"/>
      <c r="T416" s="176"/>
      <c r="U416" s="176"/>
      <c r="V416" s="176"/>
      <c r="W416" s="176"/>
      <c r="X416" s="176"/>
      <c r="Y416" s="176"/>
      <c r="Z416" s="176"/>
      <c r="AA416" s="176"/>
      <c r="AB416" s="176"/>
      <c r="AC416" s="176"/>
      <c r="AD416" s="176"/>
      <c r="AE416" s="176"/>
      <c r="AF416" s="176"/>
      <c r="AG416" s="176"/>
      <c r="AH416" s="176"/>
      <c r="AI416" s="176"/>
      <c r="AJ416" s="176"/>
      <c r="AK416" s="176"/>
      <c r="AL416" s="176"/>
      <c r="AM416" s="176"/>
      <c r="AN416" s="176"/>
      <c r="AO416" s="176"/>
      <c r="AP416" s="176"/>
      <c r="AQ416" s="176"/>
      <c r="AR416" s="176"/>
      <c r="AS416" s="176"/>
      <c r="AT416" s="176"/>
      <c r="AU416" s="176"/>
      <c r="AV416" s="176"/>
      <c r="AW416" s="176"/>
      <c r="AX416" s="176"/>
      <c r="AY416" s="176"/>
      <c r="AZ416" s="176"/>
      <c r="BA416" s="176"/>
      <c r="BB416" s="176"/>
      <c r="BC416" s="176"/>
      <c r="BD416" s="176"/>
    </row>
    <row r="417" ht="15.75" customHeight="1">
      <c r="A417" s="176"/>
      <c r="B417" s="176"/>
      <c r="C417" s="176"/>
      <c r="D417" s="176"/>
      <c r="E417" s="176"/>
      <c r="F417" s="176"/>
      <c r="G417" s="178"/>
      <c r="H417" s="176"/>
      <c r="I417" s="176"/>
      <c r="J417" s="176"/>
      <c r="K417" s="176"/>
      <c r="L417" s="176"/>
      <c r="M417" s="176"/>
      <c r="N417" s="176"/>
      <c r="O417" s="176"/>
      <c r="P417" s="176"/>
      <c r="Q417" s="176"/>
      <c r="R417" s="176"/>
      <c r="S417" s="176"/>
      <c r="T417" s="176"/>
      <c r="U417" s="176"/>
      <c r="V417" s="176"/>
      <c r="W417" s="176"/>
      <c r="X417" s="176"/>
      <c r="Y417" s="176"/>
      <c r="Z417" s="176"/>
      <c r="AA417" s="176"/>
      <c r="AB417" s="176"/>
      <c r="AC417" s="176"/>
      <c r="AD417" s="176"/>
      <c r="AE417" s="176"/>
      <c r="AF417" s="176"/>
      <c r="AG417" s="176"/>
      <c r="AH417" s="176"/>
      <c r="AI417" s="176"/>
      <c r="AJ417" s="176"/>
      <c r="AK417" s="176"/>
      <c r="AL417" s="176"/>
      <c r="AM417" s="176"/>
      <c r="AN417" s="176"/>
      <c r="AO417" s="176"/>
      <c r="AP417" s="176"/>
      <c r="AQ417" s="176"/>
      <c r="AR417" s="176"/>
      <c r="AS417" s="176"/>
      <c r="AT417" s="176"/>
      <c r="AU417" s="176"/>
      <c r="AV417" s="176"/>
      <c r="AW417" s="176"/>
      <c r="AX417" s="176"/>
      <c r="AY417" s="176"/>
      <c r="AZ417" s="176"/>
      <c r="BA417" s="176"/>
      <c r="BB417" s="176"/>
      <c r="BC417" s="176"/>
      <c r="BD417" s="176"/>
    </row>
    <row r="418" ht="15.75" customHeight="1">
      <c r="A418" s="176"/>
      <c r="B418" s="176"/>
      <c r="C418" s="176"/>
      <c r="D418" s="176"/>
      <c r="E418" s="176"/>
      <c r="F418" s="176"/>
      <c r="G418" s="178"/>
      <c r="H418" s="176"/>
      <c r="I418" s="176"/>
      <c r="J418" s="176"/>
      <c r="K418" s="176"/>
      <c r="L418" s="176"/>
      <c r="M418" s="176"/>
      <c r="N418" s="176"/>
      <c r="O418" s="176"/>
      <c r="P418" s="176"/>
      <c r="Q418" s="176"/>
      <c r="R418" s="176"/>
      <c r="S418" s="176"/>
      <c r="T418" s="176"/>
      <c r="U418" s="176"/>
      <c r="V418" s="176"/>
      <c r="W418" s="176"/>
      <c r="X418" s="176"/>
      <c r="Y418" s="176"/>
      <c r="Z418" s="176"/>
      <c r="AA418" s="176"/>
      <c r="AB418" s="176"/>
      <c r="AC418" s="176"/>
      <c r="AD418" s="176"/>
      <c r="AE418" s="176"/>
      <c r="AF418" s="176"/>
      <c r="AG418" s="176"/>
      <c r="AH418" s="176"/>
      <c r="AI418" s="176"/>
      <c r="AJ418" s="176"/>
      <c r="AK418" s="176"/>
      <c r="AL418" s="176"/>
      <c r="AM418" s="176"/>
      <c r="AN418" s="176"/>
      <c r="AO418" s="176"/>
      <c r="AP418" s="176"/>
      <c r="AQ418" s="176"/>
      <c r="AR418" s="176"/>
      <c r="AS418" s="176"/>
      <c r="AT418" s="176"/>
      <c r="AU418" s="176"/>
      <c r="AV418" s="176"/>
      <c r="AW418" s="176"/>
      <c r="AX418" s="176"/>
      <c r="AY418" s="176"/>
      <c r="AZ418" s="176"/>
      <c r="BA418" s="176"/>
      <c r="BB418" s="176"/>
      <c r="BC418" s="176"/>
      <c r="BD418" s="176"/>
    </row>
    <row r="419" ht="15.75" customHeight="1">
      <c r="A419" s="176"/>
      <c r="B419" s="176"/>
      <c r="C419" s="176"/>
      <c r="D419" s="176"/>
      <c r="E419" s="176"/>
      <c r="F419" s="176"/>
      <c r="G419" s="178"/>
      <c r="H419" s="176"/>
      <c r="I419" s="176"/>
      <c r="J419" s="176"/>
      <c r="K419" s="176"/>
      <c r="L419" s="176"/>
      <c r="M419" s="176"/>
      <c r="N419" s="176"/>
      <c r="O419" s="176"/>
      <c r="P419" s="176"/>
      <c r="Q419" s="176"/>
      <c r="R419" s="176"/>
      <c r="S419" s="176"/>
      <c r="T419" s="176"/>
      <c r="U419" s="176"/>
      <c r="V419" s="176"/>
      <c r="W419" s="176"/>
      <c r="X419" s="176"/>
      <c r="Y419" s="176"/>
      <c r="Z419" s="176"/>
      <c r="AA419" s="176"/>
      <c r="AB419" s="176"/>
      <c r="AC419" s="176"/>
      <c r="AD419" s="176"/>
      <c r="AE419" s="176"/>
      <c r="AF419" s="176"/>
      <c r="AG419" s="176"/>
      <c r="AH419" s="176"/>
      <c r="AI419" s="176"/>
      <c r="AJ419" s="176"/>
      <c r="AK419" s="176"/>
      <c r="AL419" s="176"/>
      <c r="AM419" s="176"/>
      <c r="AN419" s="176"/>
      <c r="AO419" s="176"/>
      <c r="AP419" s="176"/>
      <c r="AQ419" s="176"/>
      <c r="AR419" s="176"/>
      <c r="AS419" s="176"/>
      <c r="AT419" s="176"/>
      <c r="AU419" s="176"/>
      <c r="AV419" s="176"/>
      <c r="AW419" s="176"/>
      <c r="AX419" s="176"/>
      <c r="AY419" s="176"/>
      <c r="AZ419" s="176"/>
      <c r="BA419" s="176"/>
      <c r="BB419" s="176"/>
      <c r="BC419" s="176"/>
      <c r="BD419" s="176"/>
    </row>
    <row r="420" ht="15.75" customHeight="1">
      <c r="A420" s="176"/>
      <c r="B420" s="176"/>
      <c r="C420" s="176"/>
      <c r="D420" s="176"/>
      <c r="E420" s="176"/>
      <c r="F420" s="176"/>
      <c r="G420" s="178"/>
      <c r="H420" s="176"/>
      <c r="I420" s="176"/>
      <c r="J420" s="176"/>
      <c r="K420" s="176"/>
      <c r="L420" s="176"/>
      <c r="M420" s="176"/>
      <c r="N420" s="176"/>
      <c r="O420" s="176"/>
      <c r="P420" s="176"/>
      <c r="Q420" s="176"/>
      <c r="R420" s="176"/>
      <c r="S420" s="176"/>
      <c r="T420" s="176"/>
      <c r="U420" s="176"/>
      <c r="V420" s="176"/>
      <c r="W420" s="176"/>
      <c r="X420" s="176"/>
      <c r="Y420" s="176"/>
      <c r="Z420" s="176"/>
      <c r="AA420" s="176"/>
      <c r="AB420" s="176"/>
      <c r="AC420" s="176"/>
      <c r="AD420" s="176"/>
      <c r="AE420" s="176"/>
      <c r="AF420" s="176"/>
      <c r="AG420" s="176"/>
      <c r="AH420" s="176"/>
      <c r="AI420" s="176"/>
      <c r="AJ420" s="176"/>
      <c r="AK420" s="176"/>
      <c r="AL420" s="176"/>
      <c r="AM420" s="176"/>
      <c r="AN420" s="176"/>
      <c r="AO420" s="176"/>
      <c r="AP420" s="176"/>
      <c r="AQ420" s="176"/>
      <c r="AR420" s="176"/>
      <c r="AS420" s="176"/>
      <c r="AT420" s="176"/>
      <c r="AU420" s="176"/>
      <c r="AV420" s="176"/>
      <c r="AW420" s="176"/>
      <c r="AX420" s="176"/>
      <c r="AY420" s="176"/>
      <c r="AZ420" s="176"/>
      <c r="BA420" s="176"/>
      <c r="BB420" s="176"/>
      <c r="BC420" s="176"/>
      <c r="BD420" s="176"/>
    </row>
    <row r="421" ht="15.75" customHeight="1">
      <c r="A421" s="176"/>
      <c r="B421" s="176"/>
      <c r="C421" s="176"/>
      <c r="D421" s="176"/>
      <c r="E421" s="176"/>
      <c r="F421" s="176"/>
      <c r="G421" s="178"/>
      <c r="H421" s="176"/>
      <c r="I421" s="176"/>
      <c r="J421" s="176"/>
      <c r="K421" s="176"/>
      <c r="L421" s="176"/>
      <c r="M421" s="176"/>
      <c r="N421" s="176"/>
      <c r="O421" s="176"/>
      <c r="P421" s="176"/>
      <c r="Q421" s="176"/>
      <c r="R421" s="176"/>
      <c r="S421" s="176"/>
      <c r="T421" s="176"/>
      <c r="U421" s="176"/>
      <c r="V421" s="176"/>
      <c r="W421" s="176"/>
      <c r="X421" s="176"/>
      <c r="Y421" s="176"/>
      <c r="Z421" s="176"/>
      <c r="AA421" s="176"/>
      <c r="AB421" s="176"/>
      <c r="AC421" s="176"/>
      <c r="AD421" s="176"/>
      <c r="AE421" s="176"/>
      <c r="AF421" s="176"/>
      <c r="AG421" s="176"/>
      <c r="AH421" s="176"/>
      <c r="AI421" s="176"/>
      <c r="AJ421" s="176"/>
      <c r="AK421" s="176"/>
      <c r="AL421" s="176"/>
      <c r="AM421" s="176"/>
      <c r="AN421" s="176"/>
      <c r="AO421" s="176"/>
      <c r="AP421" s="176"/>
      <c r="AQ421" s="176"/>
      <c r="AR421" s="176"/>
      <c r="AS421" s="176"/>
      <c r="AT421" s="176"/>
      <c r="AU421" s="176"/>
      <c r="AV421" s="176"/>
      <c r="AW421" s="176"/>
      <c r="AX421" s="176"/>
      <c r="AY421" s="176"/>
      <c r="AZ421" s="176"/>
      <c r="BA421" s="176"/>
      <c r="BB421" s="176"/>
      <c r="BC421" s="176"/>
      <c r="BD421" s="176"/>
    </row>
    <row r="422" ht="15.75" customHeight="1">
      <c r="A422" s="176"/>
      <c r="B422" s="176"/>
      <c r="C422" s="176"/>
      <c r="D422" s="176"/>
      <c r="E422" s="176"/>
      <c r="F422" s="176"/>
      <c r="G422" s="178"/>
      <c r="H422" s="176"/>
      <c r="I422" s="176"/>
      <c r="J422" s="176"/>
      <c r="K422" s="176"/>
      <c r="L422" s="176"/>
      <c r="M422" s="176"/>
      <c r="N422" s="176"/>
      <c r="O422" s="176"/>
      <c r="P422" s="176"/>
      <c r="Q422" s="176"/>
      <c r="R422" s="176"/>
      <c r="S422" s="176"/>
      <c r="T422" s="176"/>
      <c r="U422" s="176"/>
      <c r="V422" s="176"/>
      <c r="W422" s="176"/>
      <c r="X422" s="176"/>
      <c r="Y422" s="176"/>
      <c r="Z422" s="176"/>
      <c r="AA422" s="176"/>
      <c r="AB422" s="176"/>
      <c r="AC422" s="176"/>
      <c r="AD422" s="176"/>
      <c r="AE422" s="176"/>
      <c r="AF422" s="176"/>
      <c r="AG422" s="176"/>
      <c r="AH422" s="176"/>
      <c r="AI422" s="176"/>
      <c r="AJ422" s="176"/>
      <c r="AK422" s="176"/>
      <c r="AL422" s="176"/>
      <c r="AM422" s="176"/>
      <c r="AN422" s="176"/>
      <c r="AO422" s="176"/>
      <c r="AP422" s="176"/>
      <c r="AQ422" s="176"/>
      <c r="AR422" s="176"/>
      <c r="AS422" s="176"/>
      <c r="AT422" s="176"/>
      <c r="AU422" s="176"/>
      <c r="AV422" s="176"/>
      <c r="AW422" s="176"/>
      <c r="AX422" s="176"/>
      <c r="AY422" s="176"/>
      <c r="AZ422" s="176"/>
      <c r="BA422" s="176"/>
      <c r="BB422" s="176"/>
      <c r="BC422" s="176"/>
      <c r="BD422" s="176"/>
    </row>
    <row r="423" ht="15.75" customHeight="1">
      <c r="A423" s="176"/>
      <c r="B423" s="176"/>
      <c r="C423" s="176"/>
      <c r="D423" s="176"/>
      <c r="E423" s="176"/>
      <c r="F423" s="176"/>
      <c r="G423" s="178"/>
      <c r="H423" s="176"/>
      <c r="I423" s="176"/>
      <c r="J423" s="176"/>
      <c r="K423" s="176"/>
      <c r="L423" s="176"/>
      <c r="M423" s="176"/>
      <c r="N423" s="176"/>
      <c r="O423" s="176"/>
      <c r="P423" s="176"/>
      <c r="Q423" s="176"/>
      <c r="R423" s="176"/>
      <c r="S423" s="176"/>
      <c r="T423" s="176"/>
      <c r="U423" s="176"/>
      <c r="V423" s="176"/>
      <c r="W423" s="176"/>
      <c r="X423" s="176"/>
      <c r="Y423" s="176"/>
      <c r="Z423" s="176"/>
      <c r="AA423" s="176"/>
      <c r="AB423" s="176"/>
      <c r="AC423" s="176"/>
      <c r="AD423" s="176"/>
      <c r="AE423" s="176"/>
      <c r="AF423" s="176"/>
      <c r="AG423" s="176"/>
      <c r="AH423" s="176"/>
      <c r="AI423" s="176"/>
      <c r="AJ423" s="176"/>
      <c r="AK423" s="176"/>
      <c r="AL423" s="176"/>
      <c r="AM423" s="176"/>
      <c r="AN423" s="176"/>
      <c r="AO423" s="176"/>
      <c r="AP423" s="176"/>
      <c r="AQ423" s="176"/>
      <c r="AR423" s="176"/>
      <c r="AS423" s="176"/>
      <c r="AT423" s="176"/>
      <c r="AU423" s="176"/>
      <c r="AV423" s="176"/>
      <c r="AW423" s="176"/>
      <c r="AX423" s="176"/>
      <c r="AY423" s="176"/>
      <c r="AZ423" s="176"/>
      <c r="BA423" s="176"/>
      <c r="BB423" s="176"/>
      <c r="BC423" s="176"/>
      <c r="BD423" s="176"/>
    </row>
    <row r="424" ht="15.75" customHeight="1">
      <c r="A424" s="176"/>
      <c r="B424" s="176"/>
      <c r="C424" s="176"/>
      <c r="D424" s="176"/>
      <c r="E424" s="176"/>
      <c r="F424" s="176"/>
      <c r="G424" s="178"/>
      <c r="H424" s="176"/>
      <c r="I424" s="176"/>
      <c r="J424" s="176"/>
      <c r="K424" s="176"/>
      <c r="L424" s="176"/>
      <c r="M424" s="176"/>
      <c r="N424" s="176"/>
      <c r="O424" s="176"/>
      <c r="P424" s="176"/>
      <c r="Q424" s="176"/>
      <c r="R424" s="176"/>
      <c r="S424" s="176"/>
      <c r="T424" s="176"/>
      <c r="U424" s="176"/>
      <c r="V424" s="176"/>
      <c r="W424" s="176"/>
      <c r="X424" s="176"/>
      <c r="Y424" s="176"/>
      <c r="Z424" s="176"/>
      <c r="AA424" s="176"/>
      <c r="AB424" s="176"/>
      <c r="AC424" s="176"/>
      <c r="AD424" s="176"/>
      <c r="AE424" s="176"/>
      <c r="AF424" s="176"/>
      <c r="AG424" s="176"/>
      <c r="AH424" s="176"/>
      <c r="AI424" s="176"/>
      <c r="AJ424" s="176"/>
      <c r="AK424" s="176"/>
      <c r="AL424" s="176"/>
      <c r="AM424" s="176"/>
      <c r="AN424" s="176"/>
      <c r="AO424" s="176"/>
      <c r="AP424" s="176"/>
      <c r="AQ424" s="176"/>
      <c r="AR424" s="176"/>
      <c r="AS424" s="176"/>
      <c r="AT424" s="176"/>
      <c r="AU424" s="176"/>
      <c r="AV424" s="176"/>
      <c r="AW424" s="176"/>
      <c r="AX424" s="176"/>
      <c r="AY424" s="176"/>
      <c r="AZ424" s="176"/>
      <c r="BA424" s="176"/>
      <c r="BB424" s="176"/>
      <c r="BC424" s="176"/>
      <c r="BD424" s="176"/>
    </row>
    <row r="425" ht="15.75" customHeight="1">
      <c r="A425" s="176"/>
      <c r="B425" s="176"/>
      <c r="C425" s="176"/>
      <c r="D425" s="176"/>
      <c r="E425" s="176"/>
      <c r="F425" s="176"/>
      <c r="G425" s="178"/>
      <c r="H425" s="176"/>
      <c r="I425" s="176"/>
      <c r="J425" s="176"/>
      <c r="K425" s="176"/>
      <c r="L425" s="176"/>
      <c r="M425" s="176"/>
      <c r="N425" s="176"/>
      <c r="O425" s="176"/>
      <c r="P425" s="176"/>
      <c r="Q425" s="176"/>
      <c r="R425" s="176"/>
      <c r="S425" s="176"/>
      <c r="T425" s="176"/>
      <c r="U425" s="176"/>
      <c r="V425" s="176"/>
      <c r="W425" s="176"/>
      <c r="X425" s="176"/>
      <c r="Y425" s="176"/>
      <c r="Z425" s="176"/>
      <c r="AA425" s="176"/>
      <c r="AB425" s="176"/>
      <c r="AC425" s="176"/>
      <c r="AD425" s="176"/>
      <c r="AE425" s="176"/>
      <c r="AF425" s="176"/>
      <c r="AG425" s="176"/>
      <c r="AH425" s="176"/>
      <c r="AI425" s="176"/>
      <c r="AJ425" s="176"/>
      <c r="AK425" s="176"/>
      <c r="AL425" s="176"/>
      <c r="AM425" s="176"/>
      <c r="AN425" s="176"/>
      <c r="AO425" s="176"/>
      <c r="AP425" s="176"/>
      <c r="AQ425" s="176"/>
      <c r="AR425" s="176"/>
      <c r="AS425" s="176"/>
      <c r="AT425" s="176"/>
      <c r="AU425" s="176"/>
      <c r="AV425" s="176"/>
      <c r="AW425" s="176"/>
      <c r="AX425" s="176"/>
      <c r="AY425" s="176"/>
      <c r="AZ425" s="176"/>
      <c r="BA425" s="176"/>
      <c r="BB425" s="176"/>
      <c r="BC425" s="176"/>
      <c r="BD425" s="176"/>
    </row>
    <row r="426" ht="15.75" customHeight="1">
      <c r="A426" s="176"/>
      <c r="B426" s="176"/>
      <c r="C426" s="176"/>
      <c r="D426" s="176"/>
      <c r="E426" s="176"/>
      <c r="F426" s="176"/>
      <c r="G426" s="178"/>
      <c r="H426" s="176"/>
      <c r="I426" s="176"/>
      <c r="J426" s="176"/>
      <c r="K426" s="176"/>
      <c r="L426" s="176"/>
      <c r="M426" s="176"/>
      <c r="N426" s="176"/>
      <c r="O426" s="176"/>
      <c r="P426" s="176"/>
      <c r="Q426" s="176"/>
      <c r="R426" s="176"/>
      <c r="S426" s="176"/>
      <c r="T426" s="176"/>
      <c r="U426" s="176"/>
      <c r="V426" s="176"/>
      <c r="W426" s="176"/>
      <c r="X426" s="176"/>
      <c r="Y426" s="176"/>
      <c r="Z426" s="176"/>
      <c r="AA426" s="176"/>
      <c r="AB426" s="176"/>
      <c r="AC426" s="176"/>
      <c r="AD426" s="176"/>
      <c r="AE426" s="176"/>
      <c r="AF426" s="176"/>
      <c r="AG426" s="176"/>
      <c r="AH426" s="176"/>
      <c r="AI426" s="176"/>
      <c r="AJ426" s="176"/>
      <c r="AK426" s="176"/>
      <c r="AL426" s="176"/>
      <c r="AM426" s="176"/>
      <c r="AN426" s="176"/>
      <c r="AO426" s="176"/>
      <c r="AP426" s="176"/>
      <c r="AQ426" s="176"/>
      <c r="AR426" s="176"/>
      <c r="AS426" s="176"/>
      <c r="AT426" s="176"/>
      <c r="AU426" s="176"/>
      <c r="AV426" s="176"/>
      <c r="AW426" s="176"/>
      <c r="AX426" s="176"/>
      <c r="AY426" s="176"/>
      <c r="AZ426" s="176"/>
      <c r="BA426" s="176"/>
      <c r="BB426" s="176"/>
      <c r="BC426" s="176"/>
      <c r="BD426" s="176"/>
    </row>
    <row r="427" ht="15.75" customHeight="1">
      <c r="A427" s="176"/>
      <c r="B427" s="176"/>
      <c r="C427" s="176"/>
      <c r="D427" s="176"/>
      <c r="E427" s="176"/>
      <c r="F427" s="176"/>
      <c r="G427" s="178"/>
      <c r="H427" s="176"/>
      <c r="I427" s="176"/>
      <c r="J427" s="176"/>
      <c r="K427" s="176"/>
      <c r="L427" s="176"/>
      <c r="M427" s="176"/>
      <c r="N427" s="176"/>
      <c r="O427" s="176"/>
      <c r="P427" s="176"/>
      <c r="Q427" s="176"/>
      <c r="R427" s="176"/>
      <c r="S427" s="176"/>
      <c r="T427" s="176"/>
      <c r="U427" s="176"/>
      <c r="V427" s="176"/>
      <c r="W427" s="176"/>
      <c r="X427" s="176"/>
      <c r="Y427" s="176"/>
      <c r="Z427" s="176"/>
      <c r="AA427" s="176"/>
      <c r="AB427" s="176"/>
      <c r="AC427" s="176"/>
      <c r="AD427" s="176"/>
      <c r="AE427" s="176"/>
      <c r="AF427" s="176"/>
      <c r="AG427" s="176"/>
      <c r="AH427" s="176"/>
      <c r="AI427" s="176"/>
      <c r="AJ427" s="176"/>
      <c r="AK427" s="176"/>
      <c r="AL427" s="176"/>
      <c r="AM427" s="176"/>
      <c r="AN427" s="176"/>
      <c r="AO427" s="176"/>
      <c r="AP427" s="176"/>
      <c r="AQ427" s="176"/>
      <c r="AR427" s="176"/>
      <c r="AS427" s="176"/>
      <c r="AT427" s="176"/>
      <c r="AU427" s="176"/>
      <c r="AV427" s="176"/>
      <c r="AW427" s="176"/>
      <c r="AX427" s="176"/>
      <c r="AY427" s="176"/>
      <c r="AZ427" s="176"/>
      <c r="BA427" s="176"/>
      <c r="BB427" s="176"/>
      <c r="BC427" s="176"/>
      <c r="BD427" s="176"/>
    </row>
    <row r="428" ht="15.75" customHeight="1">
      <c r="A428" s="176"/>
      <c r="B428" s="176"/>
      <c r="C428" s="176"/>
      <c r="D428" s="176"/>
      <c r="E428" s="176"/>
      <c r="F428" s="176"/>
      <c r="G428" s="178"/>
      <c r="H428" s="176"/>
      <c r="I428" s="176"/>
      <c r="J428" s="176"/>
      <c r="K428" s="176"/>
      <c r="L428" s="176"/>
      <c r="M428" s="176"/>
      <c r="N428" s="176"/>
      <c r="O428" s="176"/>
      <c r="P428" s="176"/>
      <c r="Q428" s="176"/>
      <c r="R428" s="176"/>
      <c r="S428" s="176"/>
      <c r="T428" s="176"/>
      <c r="U428" s="176"/>
      <c r="V428" s="176"/>
      <c r="W428" s="176"/>
      <c r="X428" s="176"/>
      <c r="Y428" s="176"/>
      <c r="Z428" s="176"/>
      <c r="AA428" s="176"/>
      <c r="AB428" s="176"/>
      <c r="AC428" s="176"/>
      <c r="AD428" s="176"/>
      <c r="AE428" s="176"/>
      <c r="AF428" s="176"/>
      <c r="AG428" s="176"/>
      <c r="AH428" s="176"/>
      <c r="AI428" s="176"/>
      <c r="AJ428" s="176"/>
      <c r="AK428" s="176"/>
      <c r="AL428" s="176"/>
      <c r="AM428" s="176"/>
      <c r="AN428" s="176"/>
      <c r="AO428" s="176"/>
      <c r="AP428" s="176"/>
      <c r="AQ428" s="176"/>
      <c r="AR428" s="176"/>
      <c r="AS428" s="176"/>
      <c r="AT428" s="176"/>
      <c r="AU428" s="176"/>
      <c r="AV428" s="176"/>
      <c r="AW428" s="176"/>
      <c r="AX428" s="176"/>
      <c r="AY428" s="176"/>
      <c r="AZ428" s="176"/>
      <c r="BA428" s="176"/>
      <c r="BB428" s="176"/>
      <c r="BC428" s="176"/>
      <c r="BD428" s="176"/>
    </row>
    <row r="429" ht="15.75" customHeight="1">
      <c r="A429" s="176"/>
      <c r="B429" s="176"/>
      <c r="C429" s="176"/>
      <c r="D429" s="176"/>
      <c r="E429" s="176"/>
      <c r="F429" s="176"/>
      <c r="G429" s="178"/>
      <c r="H429" s="176"/>
      <c r="I429" s="176"/>
      <c r="J429" s="176"/>
      <c r="K429" s="176"/>
      <c r="L429" s="176"/>
      <c r="M429" s="176"/>
      <c r="N429" s="176"/>
      <c r="O429" s="176"/>
      <c r="P429" s="176"/>
      <c r="Q429" s="176"/>
      <c r="R429" s="176"/>
      <c r="S429" s="176"/>
      <c r="T429" s="176"/>
      <c r="U429" s="176"/>
      <c r="V429" s="176"/>
      <c r="W429" s="176"/>
      <c r="X429" s="176"/>
      <c r="Y429" s="176"/>
      <c r="Z429" s="176"/>
      <c r="AA429" s="176"/>
      <c r="AB429" s="176"/>
      <c r="AC429" s="176"/>
      <c r="AD429" s="176"/>
      <c r="AE429" s="176"/>
      <c r="AF429" s="176"/>
      <c r="AG429" s="176"/>
      <c r="AH429" s="176"/>
      <c r="AI429" s="176"/>
      <c r="AJ429" s="176"/>
      <c r="AK429" s="176"/>
      <c r="AL429" s="176"/>
      <c r="AM429" s="176"/>
      <c r="AN429" s="176"/>
      <c r="AO429" s="176"/>
      <c r="AP429" s="176"/>
      <c r="AQ429" s="176"/>
      <c r="AR429" s="176"/>
      <c r="AS429" s="176"/>
      <c r="AT429" s="176"/>
      <c r="AU429" s="176"/>
      <c r="AV429" s="176"/>
      <c r="AW429" s="176"/>
      <c r="AX429" s="176"/>
      <c r="AY429" s="176"/>
      <c r="AZ429" s="176"/>
      <c r="BA429" s="176"/>
      <c r="BB429" s="176"/>
      <c r="BC429" s="176"/>
      <c r="BD429" s="176"/>
    </row>
    <row r="430" ht="15.75" customHeight="1">
      <c r="A430" s="176"/>
      <c r="B430" s="176"/>
      <c r="C430" s="176"/>
      <c r="D430" s="176"/>
      <c r="E430" s="176"/>
      <c r="F430" s="176"/>
      <c r="G430" s="178"/>
      <c r="H430" s="176"/>
      <c r="I430" s="176"/>
      <c r="J430" s="176"/>
      <c r="K430" s="176"/>
      <c r="L430" s="176"/>
      <c r="M430" s="176"/>
      <c r="N430" s="176"/>
      <c r="O430" s="176"/>
      <c r="P430" s="176"/>
      <c r="Q430" s="176"/>
      <c r="R430" s="176"/>
      <c r="S430" s="176"/>
      <c r="T430" s="176"/>
      <c r="U430" s="176"/>
      <c r="V430" s="176"/>
      <c r="W430" s="176"/>
      <c r="X430" s="176"/>
      <c r="Y430" s="176"/>
      <c r="Z430" s="176"/>
      <c r="AA430" s="176"/>
      <c r="AB430" s="176"/>
      <c r="AC430" s="176"/>
      <c r="AD430" s="176"/>
      <c r="AE430" s="176"/>
      <c r="AF430" s="176"/>
      <c r="AG430" s="176"/>
      <c r="AH430" s="176"/>
      <c r="AI430" s="176"/>
      <c r="AJ430" s="176"/>
      <c r="AK430" s="176"/>
      <c r="AL430" s="176"/>
      <c r="AM430" s="176"/>
      <c r="AN430" s="176"/>
      <c r="AO430" s="176"/>
      <c r="AP430" s="176"/>
      <c r="AQ430" s="176"/>
      <c r="AR430" s="176"/>
      <c r="AS430" s="176"/>
      <c r="AT430" s="176"/>
      <c r="AU430" s="176"/>
      <c r="AV430" s="176"/>
      <c r="AW430" s="176"/>
      <c r="AX430" s="176"/>
      <c r="AY430" s="176"/>
      <c r="AZ430" s="176"/>
      <c r="BA430" s="176"/>
      <c r="BB430" s="176"/>
      <c r="BC430" s="176"/>
      <c r="BD430" s="176"/>
    </row>
    <row r="431" ht="15.75" customHeight="1">
      <c r="A431" s="176"/>
      <c r="B431" s="176"/>
      <c r="C431" s="176"/>
      <c r="D431" s="176"/>
      <c r="E431" s="176"/>
      <c r="F431" s="176"/>
      <c r="G431" s="178"/>
      <c r="H431" s="176"/>
      <c r="I431" s="176"/>
      <c r="J431" s="176"/>
      <c r="K431" s="176"/>
      <c r="L431" s="176"/>
      <c r="M431" s="176"/>
      <c r="N431" s="176"/>
      <c r="O431" s="176"/>
      <c r="P431" s="176"/>
      <c r="Q431" s="176"/>
      <c r="R431" s="176"/>
      <c r="S431" s="176"/>
      <c r="T431" s="176"/>
      <c r="U431" s="176"/>
      <c r="V431" s="176"/>
      <c r="W431" s="176"/>
      <c r="X431" s="176"/>
      <c r="Y431" s="176"/>
      <c r="Z431" s="176"/>
      <c r="AA431" s="176"/>
      <c r="AB431" s="176"/>
      <c r="AC431" s="176"/>
      <c r="AD431" s="176"/>
      <c r="AE431" s="176"/>
      <c r="AF431" s="176"/>
      <c r="AG431" s="176"/>
      <c r="AH431" s="176"/>
      <c r="AI431" s="176"/>
      <c r="AJ431" s="176"/>
      <c r="AK431" s="176"/>
      <c r="AL431" s="176"/>
      <c r="AM431" s="176"/>
      <c r="AN431" s="176"/>
      <c r="AO431" s="176"/>
      <c r="AP431" s="176"/>
      <c r="AQ431" s="176"/>
      <c r="AR431" s="176"/>
      <c r="AS431" s="176"/>
      <c r="AT431" s="176"/>
      <c r="AU431" s="176"/>
      <c r="AV431" s="176"/>
      <c r="AW431" s="176"/>
      <c r="AX431" s="176"/>
      <c r="AY431" s="176"/>
      <c r="AZ431" s="176"/>
      <c r="BA431" s="176"/>
      <c r="BB431" s="176"/>
      <c r="BC431" s="176"/>
      <c r="BD431" s="176"/>
    </row>
    <row r="432" ht="15.75" customHeight="1">
      <c r="A432" s="176"/>
      <c r="B432" s="176"/>
      <c r="C432" s="176"/>
      <c r="D432" s="176"/>
      <c r="E432" s="176"/>
      <c r="F432" s="176"/>
      <c r="G432" s="178"/>
      <c r="H432" s="176"/>
      <c r="I432" s="176"/>
      <c r="J432" s="176"/>
      <c r="K432" s="176"/>
      <c r="L432" s="176"/>
      <c r="M432" s="176"/>
      <c r="N432" s="176"/>
      <c r="O432" s="176"/>
      <c r="P432" s="176"/>
      <c r="Q432" s="176"/>
      <c r="R432" s="176"/>
      <c r="S432" s="176"/>
      <c r="T432" s="176"/>
      <c r="U432" s="176"/>
      <c r="V432" s="176"/>
      <c r="W432" s="176"/>
      <c r="X432" s="176"/>
      <c r="Y432" s="176"/>
      <c r="Z432" s="176"/>
      <c r="AA432" s="176"/>
      <c r="AB432" s="176"/>
      <c r="AC432" s="176"/>
      <c r="AD432" s="176"/>
      <c r="AE432" s="176"/>
      <c r="AF432" s="176"/>
      <c r="AG432" s="176"/>
      <c r="AH432" s="176"/>
      <c r="AI432" s="176"/>
      <c r="AJ432" s="176"/>
      <c r="AK432" s="176"/>
      <c r="AL432" s="176"/>
      <c r="AM432" s="176"/>
      <c r="AN432" s="176"/>
      <c r="AO432" s="176"/>
      <c r="AP432" s="176"/>
      <c r="AQ432" s="176"/>
      <c r="AR432" s="176"/>
      <c r="AS432" s="176"/>
      <c r="AT432" s="176"/>
      <c r="AU432" s="176"/>
      <c r="AV432" s="176"/>
      <c r="AW432" s="176"/>
      <c r="AX432" s="176"/>
      <c r="AY432" s="176"/>
      <c r="AZ432" s="176"/>
      <c r="BA432" s="176"/>
      <c r="BB432" s="176"/>
      <c r="BC432" s="176"/>
      <c r="BD432" s="176"/>
    </row>
    <row r="433" ht="15.75" customHeight="1">
      <c r="A433" s="176"/>
      <c r="B433" s="176"/>
      <c r="C433" s="176"/>
      <c r="D433" s="176"/>
      <c r="E433" s="176"/>
      <c r="F433" s="176"/>
      <c r="G433" s="178"/>
      <c r="H433" s="176"/>
      <c r="I433" s="176"/>
      <c r="J433" s="176"/>
      <c r="K433" s="176"/>
      <c r="L433" s="176"/>
      <c r="M433" s="176"/>
      <c r="N433" s="176"/>
      <c r="O433" s="176"/>
      <c r="P433" s="176"/>
      <c r="Q433" s="176"/>
      <c r="R433" s="176"/>
      <c r="S433" s="176"/>
      <c r="T433" s="176"/>
      <c r="U433" s="176"/>
      <c r="V433" s="176"/>
      <c r="W433" s="176"/>
      <c r="X433" s="176"/>
      <c r="Y433" s="176"/>
      <c r="Z433" s="176"/>
      <c r="AA433" s="176"/>
      <c r="AB433" s="176"/>
      <c r="AC433" s="176"/>
      <c r="AD433" s="176"/>
      <c r="AE433" s="176"/>
      <c r="AF433" s="176"/>
      <c r="AG433" s="176"/>
      <c r="AH433" s="176"/>
      <c r="AI433" s="176"/>
      <c r="AJ433" s="176"/>
      <c r="AK433" s="176"/>
      <c r="AL433" s="176"/>
      <c r="AM433" s="176"/>
      <c r="AN433" s="176"/>
      <c r="AO433" s="176"/>
      <c r="AP433" s="176"/>
      <c r="AQ433" s="176"/>
      <c r="AR433" s="176"/>
      <c r="AS433" s="176"/>
      <c r="AT433" s="176"/>
      <c r="AU433" s="176"/>
      <c r="AV433" s="176"/>
      <c r="AW433" s="176"/>
      <c r="AX433" s="176"/>
      <c r="AY433" s="176"/>
      <c r="AZ433" s="176"/>
      <c r="BA433" s="176"/>
      <c r="BB433" s="176"/>
      <c r="BC433" s="176"/>
      <c r="BD433" s="176"/>
    </row>
    <row r="434" ht="15.75" customHeight="1">
      <c r="A434" s="176"/>
      <c r="B434" s="176"/>
      <c r="C434" s="176"/>
      <c r="D434" s="176"/>
      <c r="E434" s="176"/>
      <c r="F434" s="176"/>
      <c r="G434" s="178"/>
      <c r="H434" s="176"/>
      <c r="I434" s="176"/>
      <c r="J434" s="176"/>
      <c r="K434" s="176"/>
      <c r="L434" s="176"/>
      <c r="M434" s="176"/>
      <c r="N434" s="176"/>
      <c r="O434" s="176"/>
      <c r="P434" s="176"/>
      <c r="Q434" s="176"/>
      <c r="R434" s="176"/>
      <c r="S434" s="176"/>
      <c r="T434" s="176"/>
      <c r="U434" s="176"/>
      <c r="V434" s="176"/>
      <c r="W434" s="176"/>
      <c r="X434" s="176"/>
      <c r="Y434" s="176"/>
      <c r="Z434" s="176"/>
      <c r="AA434" s="176"/>
      <c r="AB434" s="176"/>
      <c r="AC434" s="176"/>
      <c r="AD434" s="176"/>
      <c r="AE434" s="176"/>
      <c r="AF434" s="176"/>
      <c r="AG434" s="176"/>
      <c r="AH434" s="176"/>
      <c r="AI434" s="176"/>
      <c r="AJ434" s="176"/>
      <c r="AK434" s="176"/>
      <c r="AL434" s="176"/>
      <c r="AM434" s="176"/>
      <c r="AN434" s="176"/>
      <c r="AO434" s="176"/>
      <c r="AP434" s="176"/>
      <c r="AQ434" s="176"/>
      <c r="AR434" s="176"/>
      <c r="AS434" s="176"/>
      <c r="AT434" s="176"/>
      <c r="AU434" s="176"/>
      <c r="AV434" s="176"/>
      <c r="AW434" s="176"/>
      <c r="AX434" s="176"/>
      <c r="AY434" s="176"/>
      <c r="AZ434" s="176"/>
      <c r="BA434" s="176"/>
      <c r="BB434" s="176"/>
      <c r="BC434" s="176"/>
      <c r="BD434" s="176"/>
    </row>
    <row r="435" ht="15.75" customHeight="1">
      <c r="A435" s="176"/>
      <c r="B435" s="176"/>
      <c r="C435" s="176"/>
      <c r="D435" s="176"/>
      <c r="E435" s="176"/>
      <c r="F435" s="176"/>
      <c r="G435" s="178"/>
      <c r="H435" s="176"/>
      <c r="I435" s="176"/>
      <c r="J435" s="176"/>
      <c r="K435" s="176"/>
      <c r="L435" s="176"/>
      <c r="M435" s="176"/>
      <c r="N435" s="176"/>
      <c r="O435" s="176"/>
      <c r="P435" s="176"/>
      <c r="Q435" s="176"/>
      <c r="R435" s="176"/>
      <c r="S435" s="176"/>
      <c r="T435" s="176"/>
      <c r="U435" s="176"/>
      <c r="V435" s="176"/>
      <c r="W435" s="176"/>
      <c r="X435" s="176"/>
      <c r="Y435" s="176"/>
      <c r="Z435" s="176"/>
      <c r="AA435" s="176"/>
      <c r="AB435" s="176"/>
      <c r="AC435" s="176"/>
      <c r="AD435" s="176"/>
      <c r="AE435" s="176"/>
      <c r="AF435" s="176"/>
      <c r="AG435" s="176"/>
      <c r="AH435" s="176"/>
      <c r="AI435" s="176"/>
      <c r="AJ435" s="176"/>
      <c r="AK435" s="176"/>
      <c r="AL435" s="176"/>
      <c r="AM435" s="176"/>
      <c r="AN435" s="176"/>
      <c r="AO435" s="176"/>
      <c r="AP435" s="176"/>
      <c r="AQ435" s="176"/>
      <c r="AR435" s="176"/>
      <c r="AS435" s="176"/>
      <c r="AT435" s="176"/>
      <c r="AU435" s="176"/>
      <c r="AV435" s="176"/>
      <c r="AW435" s="176"/>
      <c r="AX435" s="176"/>
      <c r="AY435" s="176"/>
      <c r="AZ435" s="176"/>
      <c r="BA435" s="176"/>
      <c r="BB435" s="176"/>
      <c r="BC435" s="176"/>
      <c r="BD435" s="176"/>
    </row>
    <row r="436" ht="15.75" customHeight="1">
      <c r="A436" s="176"/>
      <c r="B436" s="176"/>
      <c r="C436" s="176"/>
      <c r="D436" s="176"/>
      <c r="E436" s="176"/>
      <c r="F436" s="176"/>
      <c r="G436" s="178"/>
      <c r="H436" s="176"/>
      <c r="I436" s="176"/>
      <c r="J436" s="176"/>
      <c r="K436" s="176"/>
      <c r="L436" s="176"/>
      <c r="M436" s="176"/>
      <c r="N436" s="176"/>
      <c r="O436" s="176"/>
      <c r="P436" s="176"/>
      <c r="Q436" s="176"/>
      <c r="R436" s="176"/>
      <c r="S436" s="176"/>
      <c r="T436" s="176"/>
      <c r="U436" s="176"/>
      <c r="V436" s="176"/>
      <c r="W436" s="176"/>
      <c r="X436" s="176"/>
      <c r="Y436" s="176"/>
      <c r="Z436" s="176"/>
      <c r="AA436" s="176"/>
      <c r="AB436" s="176"/>
      <c r="AC436" s="176"/>
      <c r="AD436" s="176"/>
      <c r="AE436" s="176"/>
      <c r="AF436" s="176"/>
      <c r="AG436" s="176"/>
      <c r="AH436" s="176"/>
      <c r="AI436" s="176"/>
      <c r="AJ436" s="176"/>
      <c r="AK436" s="176"/>
      <c r="AL436" s="176"/>
      <c r="AM436" s="176"/>
      <c r="AN436" s="176"/>
      <c r="AO436" s="176"/>
      <c r="AP436" s="176"/>
      <c r="AQ436" s="176"/>
      <c r="AR436" s="176"/>
      <c r="AS436" s="176"/>
      <c r="AT436" s="176"/>
      <c r="AU436" s="176"/>
      <c r="AV436" s="176"/>
      <c r="AW436" s="176"/>
      <c r="AX436" s="176"/>
      <c r="AY436" s="176"/>
      <c r="AZ436" s="176"/>
      <c r="BA436" s="176"/>
      <c r="BB436" s="176"/>
      <c r="BC436" s="176"/>
      <c r="BD436" s="176"/>
    </row>
    <row r="437" ht="15.75" customHeight="1">
      <c r="A437" s="176"/>
      <c r="B437" s="176"/>
      <c r="C437" s="176"/>
      <c r="D437" s="176"/>
      <c r="E437" s="176"/>
      <c r="F437" s="176"/>
      <c r="G437" s="178"/>
      <c r="H437" s="176"/>
      <c r="I437" s="176"/>
      <c r="J437" s="176"/>
      <c r="K437" s="176"/>
      <c r="L437" s="176"/>
      <c r="M437" s="176"/>
      <c r="N437" s="176"/>
      <c r="O437" s="176"/>
      <c r="P437" s="176"/>
      <c r="Q437" s="176"/>
      <c r="R437" s="176"/>
      <c r="S437" s="176"/>
      <c r="T437" s="176"/>
      <c r="U437" s="176"/>
      <c r="V437" s="176"/>
      <c r="W437" s="176"/>
      <c r="X437" s="176"/>
      <c r="Y437" s="176"/>
      <c r="Z437" s="176"/>
      <c r="AA437" s="176"/>
      <c r="AB437" s="176"/>
      <c r="AC437" s="176"/>
      <c r="AD437" s="176"/>
      <c r="AE437" s="176"/>
      <c r="AF437" s="176"/>
      <c r="AG437" s="176"/>
      <c r="AH437" s="176"/>
      <c r="AI437" s="176"/>
      <c r="AJ437" s="176"/>
      <c r="AK437" s="176"/>
      <c r="AL437" s="176"/>
      <c r="AM437" s="176"/>
      <c r="AN437" s="176"/>
      <c r="AO437" s="176"/>
      <c r="AP437" s="176"/>
      <c r="AQ437" s="176"/>
      <c r="AR437" s="176"/>
      <c r="AS437" s="176"/>
      <c r="AT437" s="176"/>
      <c r="AU437" s="176"/>
      <c r="AV437" s="176"/>
      <c r="AW437" s="176"/>
      <c r="AX437" s="176"/>
      <c r="AY437" s="176"/>
      <c r="AZ437" s="176"/>
      <c r="BA437" s="176"/>
      <c r="BB437" s="176"/>
      <c r="BC437" s="176"/>
      <c r="BD437" s="176"/>
    </row>
    <row r="438" ht="15.75" customHeight="1">
      <c r="A438" s="176"/>
      <c r="B438" s="176"/>
      <c r="C438" s="176"/>
      <c r="D438" s="176"/>
      <c r="E438" s="176"/>
      <c r="F438" s="176"/>
      <c r="G438" s="178"/>
      <c r="H438" s="176"/>
      <c r="I438" s="176"/>
      <c r="J438" s="176"/>
      <c r="K438" s="176"/>
      <c r="L438" s="176"/>
      <c r="M438" s="176"/>
      <c r="N438" s="176"/>
      <c r="O438" s="176"/>
      <c r="P438" s="176"/>
      <c r="Q438" s="176"/>
      <c r="R438" s="176"/>
      <c r="S438" s="176"/>
      <c r="T438" s="176"/>
      <c r="U438" s="176"/>
      <c r="V438" s="176"/>
      <c r="W438" s="176"/>
      <c r="X438" s="176"/>
      <c r="Y438" s="176"/>
      <c r="Z438" s="176"/>
      <c r="AA438" s="176"/>
      <c r="AB438" s="176"/>
      <c r="AC438" s="176"/>
      <c r="AD438" s="176"/>
      <c r="AE438" s="176"/>
      <c r="AF438" s="176"/>
      <c r="AG438" s="176"/>
      <c r="AH438" s="176"/>
      <c r="AI438" s="176"/>
      <c r="AJ438" s="176"/>
      <c r="AK438" s="176"/>
      <c r="AL438" s="176"/>
      <c r="AM438" s="176"/>
      <c r="AN438" s="176"/>
      <c r="AO438" s="176"/>
      <c r="AP438" s="176"/>
      <c r="AQ438" s="176"/>
      <c r="AR438" s="176"/>
      <c r="AS438" s="176"/>
      <c r="AT438" s="176"/>
      <c r="AU438" s="176"/>
      <c r="AV438" s="176"/>
      <c r="AW438" s="176"/>
      <c r="AX438" s="176"/>
      <c r="AY438" s="176"/>
      <c r="AZ438" s="176"/>
      <c r="BA438" s="176"/>
      <c r="BB438" s="176"/>
      <c r="BC438" s="176"/>
      <c r="BD438" s="176"/>
    </row>
    <row r="439" ht="15.75" customHeight="1">
      <c r="A439" s="176"/>
      <c r="B439" s="176"/>
      <c r="C439" s="176"/>
      <c r="D439" s="176"/>
      <c r="E439" s="176"/>
      <c r="F439" s="176"/>
      <c r="G439" s="178"/>
      <c r="H439" s="176"/>
      <c r="I439" s="176"/>
      <c r="J439" s="176"/>
      <c r="K439" s="176"/>
      <c r="L439" s="176"/>
      <c r="M439" s="176"/>
      <c r="N439" s="176"/>
      <c r="O439" s="176"/>
      <c r="P439" s="176"/>
      <c r="Q439" s="176"/>
      <c r="R439" s="176"/>
      <c r="S439" s="176"/>
      <c r="T439" s="176"/>
      <c r="U439" s="176"/>
      <c r="V439" s="176"/>
      <c r="W439" s="176"/>
      <c r="X439" s="176"/>
      <c r="Y439" s="176"/>
      <c r="Z439" s="176"/>
      <c r="AA439" s="176"/>
      <c r="AB439" s="176"/>
      <c r="AC439" s="176"/>
      <c r="AD439" s="176"/>
      <c r="AE439" s="176"/>
      <c r="AF439" s="176"/>
      <c r="AG439" s="176"/>
      <c r="AH439" s="176"/>
      <c r="AI439" s="176"/>
      <c r="AJ439" s="176"/>
      <c r="AK439" s="176"/>
      <c r="AL439" s="176"/>
      <c r="AM439" s="176"/>
      <c r="AN439" s="176"/>
      <c r="AO439" s="176"/>
      <c r="AP439" s="176"/>
      <c r="AQ439" s="176"/>
      <c r="AR439" s="176"/>
      <c r="AS439" s="176"/>
      <c r="AT439" s="176"/>
      <c r="AU439" s="176"/>
      <c r="AV439" s="176"/>
      <c r="AW439" s="176"/>
      <c r="AX439" s="176"/>
      <c r="AY439" s="176"/>
      <c r="AZ439" s="176"/>
      <c r="BA439" s="176"/>
      <c r="BB439" s="176"/>
      <c r="BC439" s="176"/>
      <c r="BD439" s="176"/>
    </row>
    <row r="440" ht="15.75" customHeight="1">
      <c r="A440" s="176"/>
      <c r="B440" s="176"/>
      <c r="C440" s="176"/>
      <c r="D440" s="176"/>
      <c r="E440" s="176"/>
      <c r="F440" s="176"/>
      <c r="G440" s="178"/>
      <c r="H440" s="176"/>
      <c r="I440" s="176"/>
      <c r="J440" s="176"/>
      <c r="K440" s="176"/>
      <c r="L440" s="176"/>
      <c r="M440" s="176"/>
      <c r="N440" s="176"/>
      <c r="O440" s="176"/>
      <c r="P440" s="176"/>
      <c r="Q440" s="176"/>
      <c r="R440" s="176"/>
      <c r="S440" s="176"/>
      <c r="T440" s="176"/>
      <c r="U440" s="176"/>
      <c r="V440" s="176"/>
      <c r="W440" s="176"/>
      <c r="X440" s="176"/>
      <c r="Y440" s="176"/>
      <c r="Z440" s="176"/>
      <c r="AA440" s="176"/>
      <c r="AB440" s="176"/>
      <c r="AC440" s="176"/>
      <c r="AD440" s="176"/>
      <c r="AE440" s="176"/>
      <c r="AF440" s="176"/>
      <c r="AG440" s="176"/>
      <c r="AH440" s="176"/>
      <c r="AI440" s="176"/>
      <c r="AJ440" s="176"/>
      <c r="AK440" s="176"/>
      <c r="AL440" s="176"/>
      <c r="AM440" s="176"/>
      <c r="AN440" s="176"/>
      <c r="AO440" s="176"/>
      <c r="AP440" s="176"/>
      <c r="AQ440" s="176"/>
      <c r="AR440" s="176"/>
      <c r="AS440" s="176"/>
      <c r="AT440" s="176"/>
      <c r="AU440" s="176"/>
      <c r="AV440" s="176"/>
      <c r="AW440" s="176"/>
      <c r="AX440" s="176"/>
      <c r="AY440" s="176"/>
      <c r="AZ440" s="176"/>
      <c r="BA440" s="176"/>
      <c r="BB440" s="176"/>
      <c r="BC440" s="176"/>
      <c r="BD440" s="176"/>
    </row>
    <row r="441" ht="15.75" customHeight="1">
      <c r="A441" s="176"/>
      <c r="B441" s="176"/>
      <c r="C441" s="176"/>
      <c r="D441" s="176"/>
      <c r="E441" s="176"/>
      <c r="F441" s="176"/>
      <c r="G441" s="178"/>
      <c r="H441" s="176"/>
      <c r="I441" s="176"/>
      <c r="J441" s="176"/>
      <c r="K441" s="176"/>
      <c r="L441" s="176"/>
      <c r="M441" s="176"/>
      <c r="N441" s="176"/>
      <c r="O441" s="176"/>
      <c r="P441" s="176"/>
      <c r="Q441" s="176"/>
      <c r="R441" s="176"/>
      <c r="S441" s="176"/>
      <c r="T441" s="176"/>
      <c r="U441" s="176"/>
      <c r="V441" s="176"/>
      <c r="W441" s="176"/>
      <c r="X441" s="176"/>
      <c r="Y441" s="176"/>
      <c r="Z441" s="176"/>
      <c r="AA441" s="176"/>
      <c r="AB441" s="176"/>
      <c r="AC441" s="176"/>
      <c r="AD441" s="176"/>
      <c r="AE441" s="176"/>
      <c r="AF441" s="176"/>
      <c r="AG441" s="176"/>
      <c r="AH441" s="176"/>
      <c r="AI441" s="176"/>
      <c r="AJ441" s="176"/>
      <c r="AK441" s="176"/>
      <c r="AL441" s="176"/>
      <c r="AM441" s="176"/>
      <c r="AN441" s="176"/>
      <c r="AO441" s="176"/>
      <c r="AP441" s="176"/>
      <c r="AQ441" s="176"/>
      <c r="AR441" s="176"/>
      <c r="AS441" s="176"/>
      <c r="AT441" s="176"/>
      <c r="AU441" s="176"/>
      <c r="AV441" s="176"/>
      <c r="AW441" s="176"/>
      <c r="AX441" s="176"/>
      <c r="AY441" s="176"/>
      <c r="AZ441" s="176"/>
      <c r="BA441" s="176"/>
      <c r="BB441" s="176"/>
      <c r="BC441" s="176"/>
      <c r="BD441" s="176"/>
    </row>
    <row r="442" ht="15.75" customHeight="1">
      <c r="A442" s="176"/>
      <c r="B442" s="176"/>
      <c r="C442" s="176"/>
      <c r="D442" s="176"/>
      <c r="E442" s="176"/>
      <c r="F442" s="176"/>
      <c r="G442" s="178"/>
      <c r="H442" s="176"/>
      <c r="I442" s="176"/>
      <c r="J442" s="176"/>
      <c r="K442" s="176"/>
      <c r="L442" s="176"/>
      <c r="M442" s="176"/>
      <c r="N442" s="176"/>
      <c r="O442" s="176"/>
      <c r="P442" s="176"/>
      <c r="Q442" s="176"/>
      <c r="R442" s="176"/>
      <c r="S442" s="176"/>
      <c r="T442" s="176"/>
      <c r="U442" s="176"/>
      <c r="V442" s="176"/>
      <c r="W442" s="176"/>
      <c r="X442" s="176"/>
      <c r="Y442" s="176"/>
      <c r="Z442" s="176"/>
      <c r="AA442" s="176"/>
      <c r="AB442" s="176"/>
      <c r="AC442" s="176"/>
      <c r="AD442" s="176"/>
      <c r="AE442" s="176"/>
      <c r="AF442" s="176"/>
      <c r="AG442" s="176"/>
      <c r="AH442" s="176"/>
      <c r="AI442" s="176"/>
      <c r="AJ442" s="176"/>
      <c r="AK442" s="176"/>
      <c r="AL442" s="176"/>
      <c r="AM442" s="176"/>
      <c r="AN442" s="176"/>
      <c r="AO442" s="176"/>
      <c r="AP442" s="176"/>
      <c r="AQ442" s="176"/>
      <c r="AR442" s="176"/>
      <c r="AS442" s="176"/>
      <c r="AT442" s="176"/>
      <c r="AU442" s="176"/>
      <c r="AV442" s="176"/>
      <c r="AW442" s="176"/>
      <c r="AX442" s="176"/>
      <c r="AY442" s="176"/>
      <c r="AZ442" s="176"/>
      <c r="BA442" s="176"/>
      <c r="BB442" s="176"/>
      <c r="BC442" s="176"/>
      <c r="BD442" s="176"/>
    </row>
    <row r="443" ht="15.75" customHeight="1">
      <c r="A443" s="176"/>
      <c r="B443" s="176"/>
      <c r="C443" s="176"/>
      <c r="D443" s="176"/>
      <c r="E443" s="176"/>
      <c r="F443" s="176"/>
      <c r="G443" s="178"/>
      <c r="H443" s="176"/>
      <c r="I443" s="176"/>
      <c r="J443" s="176"/>
      <c r="K443" s="176"/>
      <c r="L443" s="176"/>
      <c r="M443" s="176"/>
      <c r="N443" s="176"/>
      <c r="O443" s="176"/>
      <c r="P443" s="176"/>
      <c r="Q443" s="176"/>
      <c r="R443" s="176"/>
      <c r="S443" s="176"/>
      <c r="T443" s="176"/>
      <c r="U443" s="176"/>
      <c r="V443" s="176"/>
      <c r="W443" s="176"/>
      <c r="X443" s="176"/>
      <c r="Y443" s="176"/>
      <c r="Z443" s="176"/>
      <c r="AA443" s="176"/>
      <c r="AB443" s="176"/>
      <c r="AC443" s="176"/>
      <c r="AD443" s="176"/>
      <c r="AE443" s="176"/>
      <c r="AF443" s="176"/>
      <c r="AG443" s="176"/>
      <c r="AH443" s="176"/>
      <c r="AI443" s="176"/>
      <c r="AJ443" s="176"/>
      <c r="AK443" s="176"/>
      <c r="AL443" s="176"/>
      <c r="AM443" s="176"/>
      <c r="AN443" s="176"/>
      <c r="AO443" s="176"/>
      <c r="AP443" s="176"/>
      <c r="AQ443" s="176"/>
      <c r="AR443" s="176"/>
      <c r="AS443" s="176"/>
      <c r="AT443" s="176"/>
      <c r="AU443" s="176"/>
      <c r="AV443" s="176"/>
      <c r="AW443" s="176"/>
      <c r="AX443" s="176"/>
      <c r="AY443" s="176"/>
      <c r="AZ443" s="176"/>
      <c r="BA443" s="176"/>
      <c r="BB443" s="176"/>
      <c r="BC443" s="176"/>
      <c r="BD443" s="176"/>
    </row>
    <row r="444" ht="15.75" customHeight="1">
      <c r="A444" s="176"/>
      <c r="B444" s="176"/>
      <c r="C444" s="176"/>
      <c r="D444" s="176"/>
      <c r="E444" s="176"/>
      <c r="F444" s="176"/>
      <c r="G444" s="178"/>
      <c r="H444" s="176"/>
      <c r="I444" s="176"/>
      <c r="J444" s="176"/>
      <c r="K444" s="176"/>
      <c r="L444" s="176"/>
      <c r="M444" s="176"/>
      <c r="N444" s="176"/>
      <c r="O444" s="176"/>
      <c r="P444" s="176"/>
      <c r="Q444" s="176"/>
      <c r="R444" s="176"/>
      <c r="S444" s="176"/>
      <c r="T444" s="176"/>
      <c r="U444" s="176"/>
      <c r="V444" s="176"/>
      <c r="W444" s="176"/>
      <c r="X444" s="176"/>
      <c r="Y444" s="176"/>
      <c r="Z444" s="176"/>
      <c r="AA444" s="176"/>
      <c r="AB444" s="176"/>
      <c r="AC444" s="176"/>
      <c r="AD444" s="176"/>
      <c r="AE444" s="176"/>
      <c r="AF444" s="176"/>
      <c r="AG444" s="176"/>
      <c r="AH444" s="176"/>
      <c r="AI444" s="176"/>
      <c r="AJ444" s="176"/>
      <c r="AK444" s="176"/>
      <c r="AL444" s="176"/>
      <c r="AM444" s="176"/>
      <c r="AN444" s="176"/>
      <c r="AO444" s="176"/>
      <c r="AP444" s="176"/>
      <c r="AQ444" s="176"/>
      <c r="AR444" s="176"/>
      <c r="AS444" s="176"/>
      <c r="AT444" s="176"/>
      <c r="AU444" s="176"/>
      <c r="AV444" s="176"/>
      <c r="AW444" s="176"/>
      <c r="AX444" s="176"/>
      <c r="AY444" s="176"/>
      <c r="AZ444" s="176"/>
      <c r="BA444" s="176"/>
      <c r="BB444" s="176"/>
      <c r="BC444" s="176"/>
      <c r="BD444" s="176"/>
    </row>
    <row r="445" ht="15.75" customHeight="1">
      <c r="A445" s="176"/>
      <c r="B445" s="176"/>
      <c r="C445" s="176"/>
      <c r="D445" s="176"/>
      <c r="E445" s="176"/>
      <c r="F445" s="176"/>
      <c r="G445" s="178"/>
      <c r="H445" s="176"/>
      <c r="I445" s="176"/>
      <c r="J445" s="176"/>
      <c r="K445" s="176"/>
      <c r="L445" s="176"/>
      <c r="M445" s="176"/>
      <c r="N445" s="176"/>
      <c r="O445" s="176"/>
      <c r="P445" s="176"/>
      <c r="Q445" s="176"/>
      <c r="R445" s="176"/>
      <c r="S445" s="176"/>
      <c r="T445" s="176"/>
      <c r="U445" s="176"/>
      <c r="V445" s="176"/>
      <c r="W445" s="176"/>
      <c r="X445" s="176"/>
      <c r="Y445" s="176"/>
      <c r="Z445" s="176"/>
      <c r="AA445" s="176"/>
      <c r="AB445" s="176"/>
      <c r="AC445" s="176"/>
      <c r="AD445" s="176"/>
      <c r="AE445" s="176"/>
      <c r="AF445" s="176"/>
      <c r="AG445" s="176"/>
      <c r="AH445" s="176"/>
      <c r="AI445" s="176"/>
      <c r="AJ445" s="176"/>
      <c r="AK445" s="176"/>
      <c r="AL445" s="176"/>
      <c r="AM445" s="176"/>
      <c r="AN445" s="176"/>
      <c r="AO445" s="176"/>
      <c r="AP445" s="176"/>
      <c r="AQ445" s="176"/>
      <c r="AR445" s="176"/>
      <c r="AS445" s="176"/>
      <c r="AT445" s="176"/>
      <c r="AU445" s="176"/>
      <c r="AV445" s="176"/>
      <c r="AW445" s="176"/>
      <c r="AX445" s="176"/>
      <c r="AY445" s="176"/>
      <c r="AZ445" s="176"/>
      <c r="BA445" s="176"/>
      <c r="BB445" s="176"/>
      <c r="BC445" s="176"/>
      <c r="BD445" s="176"/>
    </row>
    <row r="446" ht="15.75" customHeight="1">
      <c r="A446" s="176"/>
      <c r="B446" s="176"/>
      <c r="C446" s="176"/>
      <c r="D446" s="176"/>
      <c r="E446" s="176"/>
      <c r="F446" s="176"/>
      <c r="G446" s="178"/>
      <c r="H446" s="176"/>
      <c r="I446" s="176"/>
      <c r="J446" s="176"/>
      <c r="K446" s="176"/>
      <c r="L446" s="176"/>
      <c r="M446" s="176"/>
      <c r="N446" s="176"/>
      <c r="O446" s="176"/>
      <c r="P446" s="176"/>
      <c r="Q446" s="176"/>
      <c r="R446" s="176"/>
      <c r="S446" s="176"/>
      <c r="T446" s="176"/>
      <c r="U446" s="176"/>
      <c r="V446" s="176"/>
      <c r="W446" s="176"/>
      <c r="X446" s="176"/>
      <c r="Y446" s="176"/>
      <c r="Z446" s="176"/>
      <c r="AA446" s="176"/>
      <c r="AB446" s="176"/>
      <c r="AC446" s="176"/>
      <c r="AD446" s="176"/>
      <c r="AE446" s="176"/>
      <c r="AF446" s="176"/>
      <c r="AG446" s="176"/>
      <c r="AH446" s="176"/>
      <c r="AI446" s="176"/>
      <c r="AJ446" s="176"/>
      <c r="AK446" s="176"/>
      <c r="AL446" s="176"/>
      <c r="AM446" s="176"/>
      <c r="AN446" s="176"/>
      <c r="AO446" s="176"/>
      <c r="AP446" s="176"/>
      <c r="AQ446" s="176"/>
      <c r="AR446" s="176"/>
      <c r="AS446" s="176"/>
      <c r="AT446" s="176"/>
      <c r="AU446" s="176"/>
      <c r="AV446" s="176"/>
      <c r="AW446" s="176"/>
      <c r="AX446" s="176"/>
      <c r="AY446" s="176"/>
      <c r="AZ446" s="176"/>
      <c r="BA446" s="176"/>
      <c r="BB446" s="176"/>
      <c r="BC446" s="176"/>
      <c r="BD446" s="176"/>
    </row>
    <row r="447" ht="15.75" customHeight="1">
      <c r="A447" s="176"/>
      <c r="B447" s="176"/>
      <c r="C447" s="176"/>
      <c r="D447" s="176"/>
      <c r="E447" s="176"/>
      <c r="F447" s="176"/>
      <c r="G447" s="178"/>
      <c r="H447" s="176"/>
      <c r="I447" s="176"/>
      <c r="J447" s="176"/>
      <c r="K447" s="176"/>
      <c r="L447" s="176"/>
      <c r="M447" s="176"/>
      <c r="N447" s="176"/>
      <c r="O447" s="176"/>
      <c r="P447" s="176"/>
      <c r="Q447" s="176"/>
      <c r="R447" s="176"/>
      <c r="S447" s="176"/>
      <c r="T447" s="176"/>
      <c r="U447" s="176"/>
      <c r="V447" s="176"/>
      <c r="W447" s="176"/>
      <c r="X447" s="176"/>
      <c r="Y447" s="176"/>
      <c r="Z447" s="176"/>
      <c r="AA447" s="176"/>
      <c r="AB447" s="176"/>
      <c r="AC447" s="176"/>
      <c r="AD447" s="176"/>
      <c r="AE447" s="176"/>
      <c r="AF447" s="176"/>
      <c r="AG447" s="176"/>
      <c r="AH447" s="176"/>
      <c r="AI447" s="176"/>
      <c r="AJ447" s="176"/>
      <c r="AK447" s="176"/>
      <c r="AL447" s="176"/>
      <c r="AM447" s="176"/>
      <c r="AN447" s="176"/>
      <c r="AO447" s="176"/>
      <c r="AP447" s="176"/>
      <c r="AQ447" s="176"/>
      <c r="AR447" s="176"/>
      <c r="AS447" s="176"/>
      <c r="AT447" s="176"/>
      <c r="AU447" s="176"/>
      <c r="AV447" s="176"/>
      <c r="AW447" s="176"/>
      <c r="AX447" s="176"/>
      <c r="AY447" s="176"/>
      <c r="AZ447" s="176"/>
      <c r="BA447" s="176"/>
      <c r="BB447" s="176"/>
      <c r="BC447" s="176"/>
      <c r="BD447" s="176"/>
    </row>
    <row r="448" ht="15.75" customHeight="1">
      <c r="A448" s="176"/>
      <c r="B448" s="176"/>
      <c r="C448" s="176"/>
      <c r="D448" s="176"/>
      <c r="E448" s="176"/>
      <c r="F448" s="176"/>
      <c r="G448" s="178"/>
      <c r="H448" s="176"/>
      <c r="I448" s="176"/>
      <c r="J448" s="176"/>
      <c r="K448" s="176"/>
      <c r="L448" s="176"/>
      <c r="M448" s="176"/>
      <c r="N448" s="176"/>
      <c r="O448" s="176"/>
      <c r="P448" s="176"/>
      <c r="Q448" s="176"/>
      <c r="R448" s="176"/>
      <c r="S448" s="176"/>
      <c r="T448" s="176"/>
      <c r="U448" s="176"/>
      <c r="V448" s="176"/>
      <c r="W448" s="176"/>
      <c r="X448" s="176"/>
      <c r="Y448" s="176"/>
      <c r="Z448" s="176"/>
      <c r="AA448" s="176"/>
      <c r="AB448" s="176"/>
      <c r="AC448" s="176"/>
      <c r="AD448" s="176"/>
      <c r="AE448" s="176"/>
      <c r="AF448" s="176"/>
      <c r="AG448" s="176"/>
      <c r="AH448" s="176"/>
      <c r="AI448" s="176"/>
      <c r="AJ448" s="176"/>
      <c r="AK448" s="176"/>
      <c r="AL448" s="176"/>
      <c r="AM448" s="176"/>
      <c r="AN448" s="176"/>
      <c r="AO448" s="176"/>
      <c r="AP448" s="176"/>
      <c r="AQ448" s="176"/>
      <c r="AR448" s="176"/>
      <c r="AS448" s="176"/>
      <c r="AT448" s="176"/>
      <c r="AU448" s="176"/>
      <c r="AV448" s="176"/>
      <c r="AW448" s="176"/>
      <c r="AX448" s="176"/>
      <c r="AY448" s="176"/>
      <c r="AZ448" s="176"/>
      <c r="BA448" s="176"/>
      <c r="BB448" s="176"/>
      <c r="BC448" s="176"/>
      <c r="BD448" s="176"/>
    </row>
    <row r="449" ht="15.75" customHeight="1">
      <c r="A449" s="176"/>
      <c r="B449" s="176"/>
      <c r="C449" s="176"/>
      <c r="D449" s="176"/>
      <c r="E449" s="176"/>
      <c r="F449" s="176"/>
      <c r="G449" s="178"/>
      <c r="H449" s="176"/>
      <c r="I449" s="176"/>
      <c r="J449" s="176"/>
      <c r="K449" s="176"/>
      <c r="L449" s="176"/>
      <c r="M449" s="176"/>
      <c r="N449" s="176"/>
      <c r="O449" s="176"/>
      <c r="P449" s="176"/>
      <c r="Q449" s="176"/>
      <c r="R449" s="176"/>
      <c r="S449" s="176"/>
      <c r="T449" s="176"/>
      <c r="U449" s="176"/>
      <c r="V449" s="176"/>
      <c r="W449" s="176"/>
      <c r="X449" s="176"/>
      <c r="Y449" s="176"/>
      <c r="Z449" s="176"/>
      <c r="AA449" s="176"/>
      <c r="AB449" s="176"/>
      <c r="AC449" s="176"/>
      <c r="AD449" s="176"/>
      <c r="AE449" s="176"/>
      <c r="AF449" s="176"/>
      <c r="AG449" s="176"/>
      <c r="AH449" s="176"/>
      <c r="AI449" s="176"/>
      <c r="AJ449" s="176"/>
      <c r="AK449" s="176"/>
      <c r="AL449" s="176"/>
      <c r="AM449" s="176"/>
      <c r="AN449" s="176"/>
      <c r="AO449" s="176"/>
      <c r="AP449" s="176"/>
      <c r="AQ449" s="176"/>
      <c r="AR449" s="176"/>
      <c r="AS449" s="176"/>
      <c r="AT449" s="176"/>
      <c r="AU449" s="176"/>
      <c r="AV449" s="176"/>
      <c r="AW449" s="176"/>
      <c r="AX449" s="176"/>
      <c r="AY449" s="176"/>
      <c r="AZ449" s="176"/>
      <c r="BA449" s="176"/>
      <c r="BB449" s="176"/>
      <c r="BC449" s="176"/>
      <c r="BD449" s="176"/>
    </row>
    <row r="450" ht="15.75" customHeight="1">
      <c r="A450" s="176"/>
      <c r="B450" s="176"/>
      <c r="C450" s="176"/>
      <c r="D450" s="176"/>
      <c r="E450" s="176"/>
      <c r="F450" s="176"/>
      <c r="G450" s="178"/>
      <c r="H450" s="176"/>
      <c r="I450" s="176"/>
      <c r="J450" s="176"/>
      <c r="K450" s="176"/>
      <c r="L450" s="176"/>
      <c r="M450" s="176"/>
      <c r="N450" s="176"/>
      <c r="O450" s="176"/>
      <c r="P450" s="176"/>
      <c r="Q450" s="176"/>
      <c r="R450" s="176"/>
      <c r="S450" s="176"/>
      <c r="T450" s="176"/>
      <c r="U450" s="176"/>
      <c r="V450" s="176"/>
      <c r="W450" s="176"/>
      <c r="X450" s="176"/>
      <c r="Y450" s="176"/>
      <c r="Z450" s="176"/>
      <c r="AA450" s="176"/>
      <c r="AB450" s="176"/>
      <c r="AC450" s="176"/>
      <c r="AD450" s="176"/>
      <c r="AE450" s="176"/>
      <c r="AF450" s="176"/>
      <c r="AG450" s="176"/>
      <c r="AH450" s="176"/>
      <c r="AI450" s="176"/>
      <c r="AJ450" s="176"/>
      <c r="AK450" s="176"/>
      <c r="AL450" s="176"/>
      <c r="AM450" s="176"/>
      <c r="AN450" s="176"/>
      <c r="AO450" s="176"/>
      <c r="AP450" s="176"/>
      <c r="AQ450" s="176"/>
      <c r="AR450" s="176"/>
      <c r="AS450" s="176"/>
      <c r="AT450" s="176"/>
      <c r="AU450" s="176"/>
      <c r="AV450" s="176"/>
      <c r="AW450" s="176"/>
      <c r="AX450" s="176"/>
      <c r="AY450" s="176"/>
      <c r="AZ450" s="176"/>
      <c r="BA450" s="176"/>
      <c r="BB450" s="176"/>
      <c r="BC450" s="176"/>
      <c r="BD450" s="176"/>
    </row>
    <row r="451" ht="15.75" customHeight="1">
      <c r="A451" s="176"/>
      <c r="B451" s="176"/>
      <c r="C451" s="176"/>
      <c r="D451" s="176"/>
      <c r="E451" s="176"/>
      <c r="F451" s="176"/>
      <c r="G451" s="178"/>
      <c r="H451" s="176"/>
      <c r="I451" s="176"/>
      <c r="J451" s="176"/>
      <c r="K451" s="176"/>
      <c r="L451" s="176"/>
      <c r="M451" s="176"/>
      <c r="N451" s="176"/>
      <c r="O451" s="176"/>
      <c r="P451" s="176"/>
      <c r="Q451" s="176"/>
      <c r="R451" s="176"/>
      <c r="S451" s="176"/>
      <c r="T451" s="176"/>
      <c r="U451" s="176"/>
      <c r="V451" s="176"/>
      <c r="W451" s="176"/>
      <c r="X451" s="176"/>
      <c r="Y451" s="176"/>
      <c r="Z451" s="176"/>
      <c r="AA451" s="176"/>
      <c r="AB451" s="176"/>
      <c r="AC451" s="176"/>
      <c r="AD451" s="176"/>
      <c r="AE451" s="176"/>
      <c r="AF451" s="176"/>
      <c r="AG451" s="176"/>
      <c r="AH451" s="176"/>
      <c r="AI451" s="176"/>
      <c r="AJ451" s="176"/>
      <c r="AK451" s="176"/>
      <c r="AL451" s="176"/>
      <c r="AM451" s="176"/>
      <c r="AN451" s="176"/>
      <c r="AO451" s="176"/>
      <c r="AP451" s="176"/>
      <c r="AQ451" s="176"/>
      <c r="AR451" s="176"/>
      <c r="AS451" s="176"/>
      <c r="AT451" s="176"/>
      <c r="AU451" s="176"/>
      <c r="AV451" s="176"/>
      <c r="AW451" s="176"/>
      <c r="AX451" s="176"/>
      <c r="AY451" s="176"/>
      <c r="AZ451" s="176"/>
      <c r="BA451" s="176"/>
      <c r="BB451" s="176"/>
      <c r="BC451" s="176"/>
      <c r="BD451" s="176"/>
    </row>
    <row r="452" ht="15.75" customHeight="1">
      <c r="A452" s="176"/>
      <c r="B452" s="176"/>
      <c r="C452" s="176"/>
      <c r="D452" s="176"/>
      <c r="E452" s="176"/>
      <c r="F452" s="176"/>
      <c r="G452" s="178"/>
      <c r="H452" s="176"/>
      <c r="I452" s="176"/>
      <c r="J452" s="176"/>
      <c r="K452" s="176"/>
      <c r="L452" s="176"/>
      <c r="M452" s="176"/>
      <c r="N452" s="176"/>
      <c r="O452" s="176"/>
      <c r="P452" s="176"/>
      <c r="Q452" s="176"/>
      <c r="R452" s="176"/>
      <c r="S452" s="176"/>
      <c r="T452" s="176"/>
      <c r="U452" s="176"/>
      <c r="V452" s="176"/>
      <c r="W452" s="176"/>
      <c r="X452" s="176"/>
      <c r="Y452" s="176"/>
      <c r="Z452" s="176"/>
      <c r="AA452" s="176"/>
      <c r="AB452" s="176"/>
      <c r="AC452" s="176"/>
      <c r="AD452" s="176"/>
      <c r="AE452" s="176"/>
      <c r="AF452" s="176"/>
      <c r="AG452" s="176"/>
      <c r="AH452" s="176"/>
      <c r="AI452" s="176"/>
      <c r="AJ452" s="176"/>
      <c r="AK452" s="176"/>
      <c r="AL452" s="176"/>
      <c r="AM452" s="176"/>
      <c r="AN452" s="176"/>
      <c r="AO452" s="176"/>
      <c r="AP452" s="176"/>
      <c r="AQ452" s="176"/>
      <c r="AR452" s="176"/>
      <c r="AS452" s="176"/>
      <c r="AT452" s="176"/>
      <c r="AU452" s="176"/>
      <c r="AV452" s="176"/>
      <c r="AW452" s="176"/>
      <c r="AX452" s="176"/>
      <c r="AY452" s="176"/>
      <c r="AZ452" s="176"/>
      <c r="BA452" s="176"/>
      <c r="BB452" s="176"/>
      <c r="BC452" s="176"/>
      <c r="BD452" s="176"/>
    </row>
    <row r="453" ht="15.75" customHeight="1">
      <c r="A453" s="176"/>
      <c r="B453" s="176"/>
      <c r="C453" s="176"/>
      <c r="D453" s="176"/>
      <c r="E453" s="176"/>
      <c r="F453" s="176"/>
      <c r="G453" s="178"/>
      <c r="H453" s="176"/>
      <c r="I453" s="176"/>
      <c r="J453" s="176"/>
      <c r="K453" s="176"/>
      <c r="L453" s="176"/>
      <c r="M453" s="176"/>
      <c r="N453" s="176"/>
      <c r="O453" s="176"/>
      <c r="P453" s="176"/>
      <c r="Q453" s="176"/>
      <c r="R453" s="176"/>
      <c r="S453" s="176"/>
      <c r="T453" s="176"/>
      <c r="U453" s="176"/>
      <c r="V453" s="176"/>
      <c r="W453" s="176"/>
      <c r="X453" s="176"/>
      <c r="Y453" s="176"/>
      <c r="Z453" s="176"/>
      <c r="AA453" s="176"/>
      <c r="AB453" s="176"/>
      <c r="AC453" s="176"/>
      <c r="AD453" s="176"/>
      <c r="AE453" s="176"/>
      <c r="AF453" s="176"/>
      <c r="AG453" s="176"/>
      <c r="AH453" s="176"/>
      <c r="AI453" s="176"/>
      <c r="AJ453" s="176"/>
      <c r="AK453" s="176"/>
      <c r="AL453" s="176"/>
      <c r="AM453" s="176"/>
      <c r="AN453" s="176"/>
      <c r="AO453" s="176"/>
      <c r="AP453" s="176"/>
      <c r="AQ453" s="176"/>
      <c r="AR453" s="176"/>
      <c r="AS453" s="176"/>
      <c r="AT453" s="176"/>
      <c r="AU453" s="176"/>
      <c r="AV453" s="176"/>
      <c r="AW453" s="176"/>
      <c r="AX453" s="176"/>
      <c r="AY453" s="176"/>
      <c r="AZ453" s="176"/>
      <c r="BA453" s="176"/>
      <c r="BB453" s="176"/>
      <c r="BC453" s="176"/>
      <c r="BD453" s="176"/>
    </row>
    <row r="454" ht="15.75" customHeight="1">
      <c r="A454" s="176"/>
      <c r="B454" s="176"/>
      <c r="C454" s="176"/>
      <c r="D454" s="176"/>
      <c r="E454" s="176"/>
      <c r="F454" s="176"/>
      <c r="G454" s="178"/>
      <c r="H454" s="176"/>
      <c r="I454" s="176"/>
      <c r="J454" s="176"/>
      <c r="K454" s="176"/>
      <c r="L454" s="176"/>
      <c r="M454" s="176"/>
      <c r="N454" s="176"/>
      <c r="O454" s="176"/>
      <c r="P454" s="176"/>
      <c r="Q454" s="176"/>
      <c r="R454" s="176"/>
      <c r="S454" s="176"/>
      <c r="T454" s="176"/>
      <c r="U454" s="176"/>
      <c r="V454" s="176"/>
      <c r="W454" s="176"/>
      <c r="X454" s="176"/>
      <c r="Y454" s="176"/>
      <c r="Z454" s="176"/>
      <c r="AA454" s="176"/>
      <c r="AB454" s="176"/>
      <c r="AC454" s="176"/>
      <c r="AD454" s="176"/>
      <c r="AE454" s="176"/>
      <c r="AF454" s="176"/>
      <c r="AG454" s="176"/>
      <c r="AH454" s="176"/>
      <c r="AI454" s="176"/>
      <c r="AJ454" s="176"/>
      <c r="AK454" s="176"/>
      <c r="AL454" s="176"/>
      <c r="AM454" s="176"/>
      <c r="AN454" s="176"/>
      <c r="AO454" s="176"/>
      <c r="AP454" s="176"/>
      <c r="AQ454" s="176"/>
      <c r="AR454" s="176"/>
      <c r="AS454" s="176"/>
      <c r="AT454" s="176"/>
      <c r="AU454" s="176"/>
      <c r="AV454" s="176"/>
      <c r="AW454" s="176"/>
      <c r="AX454" s="176"/>
      <c r="AY454" s="176"/>
      <c r="AZ454" s="176"/>
      <c r="BA454" s="176"/>
      <c r="BB454" s="176"/>
      <c r="BC454" s="176"/>
      <c r="BD454" s="176"/>
    </row>
    <row r="455" ht="15.75" customHeight="1">
      <c r="A455" s="176"/>
      <c r="B455" s="176"/>
      <c r="C455" s="176"/>
      <c r="D455" s="176"/>
      <c r="E455" s="176"/>
      <c r="F455" s="176"/>
      <c r="G455" s="178"/>
      <c r="H455" s="176"/>
      <c r="I455" s="176"/>
      <c r="J455" s="176"/>
      <c r="K455" s="176"/>
      <c r="L455" s="176"/>
      <c r="M455" s="176"/>
      <c r="N455" s="176"/>
      <c r="O455" s="176"/>
      <c r="P455" s="176"/>
      <c r="Q455" s="176"/>
      <c r="R455" s="176"/>
      <c r="S455" s="176"/>
      <c r="T455" s="176"/>
      <c r="U455" s="176"/>
      <c r="V455" s="176"/>
      <c r="W455" s="176"/>
      <c r="X455" s="176"/>
      <c r="Y455" s="176"/>
      <c r="Z455" s="176"/>
      <c r="AA455" s="176"/>
      <c r="AB455" s="176"/>
      <c r="AC455" s="176"/>
      <c r="AD455" s="176"/>
      <c r="AE455" s="176"/>
      <c r="AF455" s="176"/>
      <c r="AG455" s="176"/>
      <c r="AH455" s="176"/>
      <c r="AI455" s="176"/>
      <c r="AJ455" s="176"/>
      <c r="AK455" s="176"/>
      <c r="AL455" s="176"/>
      <c r="AM455" s="176"/>
      <c r="AN455" s="176"/>
      <c r="AO455" s="176"/>
      <c r="AP455" s="176"/>
      <c r="AQ455" s="176"/>
      <c r="AR455" s="176"/>
      <c r="AS455" s="176"/>
      <c r="AT455" s="176"/>
      <c r="AU455" s="176"/>
      <c r="AV455" s="176"/>
      <c r="AW455" s="176"/>
      <c r="AX455" s="176"/>
      <c r="AY455" s="176"/>
      <c r="AZ455" s="176"/>
      <c r="BA455" s="176"/>
      <c r="BB455" s="176"/>
      <c r="BC455" s="176"/>
      <c r="BD455" s="176"/>
    </row>
    <row r="456" ht="15.75" customHeight="1">
      <c r="A456" s="176"/>
      <c r="B456" s="176"/>
      <c r="C456" s="176"/>
      <c r="D456" s="176"/>
      <c r="E456" s="176"/>
      <c r="F456" s="176"/>
      <c r="G456" s="178"/>
      <c r="H456" s="176"/>
      <c r="I456" s="176"/>
      <c r="J456" s="176"/>
      <c r="K456" s="176"/>
      <c r="L456" s="176"/>
      <c r="M456" s="176"/>
      <c r="N456" s="176"/>
      <c r="O456" s="176"/>
      <c r="P456" s="176"/>
      <c r="Q456" s="176"/>
      <c r="R456" s="176"/>
      <c r="S456" s="176"/>
      <c r="T456" s="176"/>
      <c r="U456" s="176"/>
      <c r="V456" s="176"/>
      <c r="W456" s="176"/>
      <c r="X456" s="176"/>
      <c r="Y456" s="176"/>
      <c r="Z456" s="176"/>
      <c r="AA456" s="176"/>
      <c r="AB456" s="176"/>
      <c r="AC456" s="176"/>
      <c r="AD456" s="176"/>
      <c r="AE456" s="176"/>
      <c r="AF456" s="176"/>
      <c r="AG456" s="176"/>
      <c r="AH456" s="176"/>
      <c r="AI456" s="176"/>
      <c r="AJ456" s="176"/>
      <c r="AK456" s="176"/>
      <c r="AL456" s="176"/>
      <c r="AM456" s="176"/>
      <c r="AN456" s="176"/>
      <c r="AO456" s="176"/>
      <c r="AP456" s="176"/>
      <c r="AQ456" s="176"/>
      <c r="AR456" s="176"/>
      <c r="AS456" s="176"/>
      <c r="AT456" s="176"/>
      <c r="AU456" s="176"/>
      <c r="AV456" s="176"/>
      <c r="AW456" s="176"/>
      <c r="AX456" s="176"/>
      <c r="AY456" s="176"/>
      <c r="AZ456" s="176"/>
      <c r="BA456" s="176"/>
      <c r="BB456" s="176"/>
      <c r="BC456" s="176"/>
      <c r="BD456" s="176"/>
    </row>
    <row r="457" ht="15.75" customHeight="1">
      <c r="A457" s="176"/>
      <c r="B457" s="176"/>
      <c r="C457" s="176"/>
      <c r="D457" s="176"/>
      <c r="E457" s="176"/>
      <c r="F457" s="176"/>
      <c r="G457" s="178"/>
      <c r="H457" s="176"/>
      <c r="I457" s="176"/>
      <c r="J457" s="176"/>
      <c r="K457" s="176"/>
      <c r="L457" s="176"/>
      <c r="M457" s="176"/>
      <c r="N457" s="176"/>
      <c r="O457" s="176"/>
      <c r="P457" s="176"/>
      <c r="Q457" s="176"/>
      <c r="R457" s="176"/>
      <c r="S457" s="176"/>
      <c r="T457" s="176"/>
      <c r="U457" s="176"/>
      <c r="V457" s="176"/>
      <c r="W457" s="176"/>
      <c r="X457" s="176"/>
      <c r="Y457" s="176"/>
      <c r="Z457" s="176"/>
      <c r="AA457" s="176"/>
      <c r="AB457" s="176"/>
      <c r="AC457" s="176"/>
      <c r="AD457" s="176"/>
      <c r="AE457" s="176"/>
      <c r="AF457" s="176"/>
      <c r="AG457" s="176"/>
      <c r="AH457" s="176"/>
      <c r="AI457" s="176"/>
      <c r="AJ457" s="176"/>
      <c r="AK457" s="176"/>
      <c r="AL457" s="176"/>
      <c r="AM457" s="176"/>
      <c r="AN457" s="176"/>
      <c r="AO457" s="176"/>
      <c r="AP457" s="176"/>
      <c r="AQ457" s="176"/>
      <c r="AR457" s="176"/>
      <c r="AS457" s="176"/>
      <c r="AT457" s="176"/>
      <c r="AU457" s="176"/>
      <c r="AV457" s="176"/>
      <c r="AW457" s="176"/>
      <c r="AX457" s="176"/>
      <c r="AY457" s="176"/>
      <c r="AZ457" s="176"/>
      <c r="BA457" s="176"/>
      <c r="BB457" s="176"/>
      <c r="BC457" s="176"/>
      <c r="BD457" s="176"/>
    </row>
    <row r="458" ht="15.75" customHeight="1">
      <c r="A458" s="176"/>
      <c r="B458" s="176"/>
      <c r="C458" s="176"/>
      <c r="D458" s="176"/>
      <c r="E458" s="176"/>
      <c r="F458" s="176"/>
      <c r="G458" s="178"/>
      <c r="H458" s="176"/>
      <c r="I458" s="176"/>
      <c r="J458" s="176"/>
      <c r="K458" s="176"/>
      <c r="L458" s="176"/>
      <c r="M458" s="176"/>
      <c r="N458" s="176"/>
      <c r="O458" s="176"/>
      <c r="P458" s="176"/>
      <c r="Q458" s="176"/>
      <c r="R458" s="176"/>
      <c r="S458" s="176"/>
      <c r="T458" s="176"/>
      <c r="U458" s="176"/>
      <c r="V458" s="176"/>
      <c r="W458" s="176"/>
      <c r="X458" s="176"/>
      <c r="Y458" s="176"/>
      <c r="Z458" s="176"/>
      <c r="AA458" s="176"/>
      <c r="AB458" s="176"/>
      <c r="AC458" s="176"/>
      <c r="AD458" s="176"/>
      <c r="AE458" s="176"/>
      <c r="AF458" s="176"/>
      <c r="AG458" s="176"/>
      <c r="AH458" s="176"/>
      <c r="AI458" s="176"/>
      <c r="AJ458" s="176"/>
      <c r="AK458" s="176"/>
      <c r="AL458" s="176"/>
      <c r="AM458" s="176"/>
      <c r="AN458" s="176"/>
      <c r="AO458" s="176"/>
      <c r="AP458" s="176"/>
      <c r="AQ458" s="176"/>
      <c r="AR458" s="176"/>
      <c r="AS458" s="176"/>
      <c r="AT458" s="176"/>
      <c r="AU458" s="176"/>
      <c r="AV458" s="176"/>
      <c r="AW458" s="176"/>
      <c r="AX458" s="176"/>
      <c r="AY458" s="176"/>
      <c r="AZ458" s="176"/>
      <c r="BA458" s="176"/>
      <c r="BB458" s="176"/>
      <c r="BC458" s="176"/>
      <c r="BD458" s="176"/>
    </row>
    <row r="459" ht="15.75" customHeight="1">
      <c r="A459" s="176"/>
      <c r="B459" s="176"/>
      <c r="C459" s="176"/>
      <c r="D459" s="176"/>
      <c r="E459" s="176"/>
      <c r="F459" s="176"/>
      <c r="G459" s="178"/>
      <c r="H459" s="176"/>
      <c r="I459" s="176"/>
      <c r="J459" s="176"/>
      <c r="K459" s="176"/>
      <c r="L459" s="176"/>
      <c r="M459" s="176"/>
      <c r="N459" s="176"/>
      <c r="O459" s="176"/>
      <c r="P459" s="176"/>
      <c r="Q459" s="176"/>
      <c r="R459" s="176"/>
      <c r="S459" s="176"/>
      <c r="T459" s="176"/>
      <c r="U459" s="176"/>
      <c r="V459" s="176"/>
      <c r="W459" s="176"/>
      <c r="X459" s="176"/>
      <c r="Y459" s="176"/>
      <c r="Z459" s="176"/>
      <c r="AA459" s="176"/>
      <c r="AB459" s="176"/>
      <c r="AC459" s="176"/>
      <c r="AD459" s="176"/>
      <c r="AE459" s="176"/>
      <c r="AF459" s="176"/>
      <c r="AG459" s="176"/>
      <c r="AH459" s="176"/>
      <c r="AI459" s="176"/>
      <c r="AJ459" s="176"/>
      <c r="AK459" s="176"/>
      <c r="AL459" s="176"/>
      <c r="AM459" s="176"/>
      <c r="AN459" s="176"/>
      <c r="AO459" s="176"/>
      <c r="AP459" s="176"/>
      <c r="AQ459" s="176"/>
      <c r="AR459" s="176"/>
      <c r="AS459" s="176"/>
      <c r="AT459" s="176"/>
      <c r="AU459" s="176"/>
      <c r="AV459" s="176"/>
      <c r="AW459" s="176"/>
      <c r="AX459" s="176"/>
      <c r="AY459" s="176"/>
      <c r="AZ459" s="176"/>
      <c r="BA459" s="176"/>
      <c r="BB459" s="176"/>
      <c r="BC459" s="176"/>
      <c r="BD459" s="176"/>
    </row>
    <row r="460" ht="15.75" customHeight="1">
      <c r="A460" s="176"/>
      <c r="B460" s="176"/>
      <c r="C460" s="176"/>
      <c r="D460" s="176"/>
      <c r="E460" s="176"/>
      <c r="F460" s="176"/>
      <c r="G460" s="178"/>
      <c r="H460" s="176"/>
      <c r="I460" s="176"/>
      <c r="J460" s="176"/>
      <c r="K460" s="176"/>
      <c r="L460" s="176"/>
      <c r="M460" s="176"/>
      <c r="N460" s="176"/>
      <c r="O460" s="176"/>
      <c r="P460" s="176"/>
      <c r="Q460" s="176"/>
      <c r="R460" s="176"/>
      <c r="S460" s="176"/>
      <c r="T460" s="176"/>
      <c r="U460" s="176"/>
      <c r="V460" s="176"/>
      <c r="W460" s="176"/>
      <c r="X460" s="176"/>
      <c r="Y460" s="176"/>
      <c r="Z460" s="176"/>
      <c r="AA460" s="176"/>
      <c r="AB460" s="176"/>
      <c r="AC460" s="176"/>
      <c r="AD460" s="176"/>
      <c r="AE460" s="176"/>
      <c r="AF460" s="176"/>
      <c r="AG460" s="176"/>
      <c r="AH460" s="176"/>
      <c r="AI460" s="176"/>
      <c r="AJ460" s="176"/>
      <c r="AK460" s="176"/>
      <c r="AL460" s="176"/>
      <c r="AM460" s="176"/>
      <c r="AN460" s="176"/>
      <c r="AO460" s="176"/>
      <c r="AP460" s="176"/>
      <c r="AQ460" s="176"/>
      <c r="AR460" s="176"/>
      <c r="AS460" s="176"/>
      <c r="AT460" s="176"/>
      <c r="AU460" s="176"/>
      <c r="AV460" s="176"/>
      <c r="AW460" s="176"/>
      <c r="AX460" s="176"/>
      <c r="AY460" s="176"/>
      <c r="AZ460" s="176"/>
      <c r="BA460" s="176"/>
      <c r="BB460" s="176"/>
      <c r="BC460" s="176"/>
      <c r="BD460" s="176"/>
    </row>
    <row r="461" ht="15.75" customHeight="1">
      <c r="A461" s="176"/>
      <c r="B461" s="176"/>
      <c r="C461" s="176"/>
      <c r="D461" s="176"/>
      <c r="E461" s="176"/>
      <c r="F461" s="176"/>
      <c r="G461" s="178"/>
      <c r="H461" s="176"/>
      <c r="I461" s="176"/>
      <c r="J461" s="176"/>
      <c r="K461" s="176"/>
      <c r="L461" s="176"/>
      <c r="M461" s="176"/>
      <c r="N461" s="176"/>
      <c r="O461" s="176"/>
      <c r="P461" s="176"/>
      <c r="Q461" s="176"/>
      <c r="R461" s="176"/>
      <c r="S461" s="176"/>
      <c r="T461" s="176"/>
      <c r="U461" s="176"/>
      <c r="V461" s="176"/>
      <c r="W461" s="176"/>
      <c r="X461" s="176"/>
      <c r="Y461" s="176"/>
      <c r="Z461" s="176"/>
      <c r="AA461" s="176"/>
      <c r="AB461" s="176"/>
      <c r="AC461" s="176"/>
      <c r="AD461" s="176"/>
      <c r="AE461" s="176"/>
      <c r="AF461" s="176"/>
      <c r="AG461" s="176"/>
      <c r="AH461" s="176"/>
      <c r="AI461" s="176"/>
      <c r="AJ461" s="176"/>
      <c r="AK461" s="176"/>
      <c r="AL461" s="176"/>
      <c r="AM461" s="176"/>
      <c r="AN461" s="176"/>
      <c r="AO461" s="176"/>
      <c r="AP461" s="176"/>
      <c r="AQ461" s="176"/>
      <c r="AR461" s="176"/>
      <c r="AS461" s="176"/>
      <c r="AT461" s="176"/>
      <c r="AU461" s="176"/>
      <c r="AV461" s="176"/>
      <c r="AW461" s="176"/>
      <c r="AX461" s="176"/>
      <c r="AY461" s="176"/>
      <c r="AZ461" s="176"/>
      <c r="BA461" s="176"/>
      <c r="BB461" s="176"/>
      <c r="BC461" s="176"/>
      <c r="BD461" s="176"/>
    </row>
    <row r="462" ht="15.75" customHeight="1">
      <c r="A462" s="176"/>
      <c r="B462" s="176"/>
      <c r="C462" s="176"/>
      <c r="D462" s="176"/>
      <c r="E462" s="176"/>
      <c r="F462" s="176"/>
      <c r="G462" s="178"/>
      <c r="H462" s="176"/>
      <c r="I462" s="176"/>
      <c r="J462" s="176"/>
      <c r="K462" s="176"/>
      <c r="L462" s="176"/>
      <c r="M462" s="176"/>
      <c r="N462" s="176"/>
      <c r="O462" s="176"/>
      <c r="P462" s="176"/>
      <c r="Q462" s="176"/>
      <c r="R462" s="176"/>
      <c r="S462" s="176"/>
      <c r="T462" s="176"/>
      <c r="U462" s="176"/>
      <c r="V462" s="176"/>
      <c r="W462" s="176"/>
      <c r="X462" s="176"/>
      <c r="Y462" s="176"/>
      <c r="Z462" s="176"/>
      <c r="AA462" s="176"/>
      <c r="AB462" s="176"/>
      <c r="AC462" s="176"/>
      <c r="AD462" s="176"/>
      <c r="AE462" s="176"/>
      <c r="AF462" s="176"/>
      <c r="AG462" s="176"/>
      <c r="AH462" s="176"/>
      <c r="AI462" s="176"/>
      <c r="AJ462" s="176"/>
      <c r="AK462" s="176"/>
      <c r="AL462" s="176"/>
      <c r="AM462" s="176"/>
      <c r="AN462" s="176"/>
      <c r="AO462" s="176"/>
      <c r="AP462" s="176"/>
      <c r="AQ462" s="176"/>
      <c r="AR462" s="176"/>
      <c r="AS462" s="176"/>
      <c r="AT462" s="176"/>
      <c r="AU462" s="176"/>
      <c r="AV462" s="176"/>
      <c r="AW462" s="176"/>
      <c r="AX462" s="176"/>
      <c r="AY462" s="176"/>
      <c r="AZ462" s="176"/>
      <c r="BA462" s="176"/>
      <c r="BB462" s="176"/>
      <c r="BC462" s="176"/>
      <c r="BD462" s="176"/>
    </row>
    <row r="463" ht="15.75" customHeight="1">
      <c r="A463" s="176"/>
      <c r="B463" s="176"/>
      <c r="C463" s="176"/>
      <c r="D463" s="176"/>
      <c r="E463" s="176"/>
      <c r="F463" s="176"/>
      <c r="G463" s="178"/>
      <c r="H463" s="176"/>
      <c r="I463" s="176"/>
      <c r="J463" s="176"/>
      <c r="K463" s="176"/>
      <c r="L463" s="176"/>
      <c r="M463" s="176"/>
      <c r="N463" s="176"/>
      <c r="O463" s="176"/>
      <c r="P463" s="176"/>
      <c r="Q463" s="176"/>
      <c r="R463" s="176"/>
      <c r="S463" s="176"/>
      <c r="T463" s="176"/>
      <c r="U463" s="176"/>
      <c r="V463" s="176"/>
      <c r="W463" s="176"/>
      <c r="X463" s="176"/>
      <c r="Y463" s="176"/>
      <c r="Z463" s="176"/>
      <c r="AA463" s="176"/>
      <c r="AB463" s="176"/>
      <c r="AC463" s="176"/>
      <c r="AD463" s="176"/>
      <c r="AE463" s="176"/>
      <c r="AF463" s="176"/>
      <c r="AG463" s="176"/>
      <c r="AH463" s="176"/>
      <c r="AI463" s="176"/>
      <c r="AJ463" s="176"/>
      <c r="AK463" s="176"/>
      <c r="AL463" s="176"/>
      <c r="AM463" s="176"/>
      <c r="AN463" s="176"/>
      <c r="AO463" s="176"/>
      <c r="AP463" s="176"/>
      <c r="AQ463" s="176"/>
      <c r="AR463" s="176"/>
      <c r="AS463" s="176"/>
      <c r="AT463" s="176"/>
      <c r="AU463" s="176"/>
      <c r="AV463" s="176"/>
      <c r="AW463" s="176"/>
      <c r="AX463" s="176"/>
      <c r="AY463" s="176"/>
      <c r="AZ463" s="176"/>
      <c r="BA463" s="176"/>
      <c r="BB463" s="176"/>
      <c r="BC463" s="176"/>
      <c r="BD463" s="176"/>
    </row>
    <row r="464" ht="15.75" customHeight="1">
      <c r="A464" s="176"/>
      <c r="B464" s="176"/>
      <c r="C464" s="176"/>
      <c r="D464" s="176"/>
      <c r="E464" s="176"/>
      <c r="F464" s="176"/>
      <c r="G464" s="178"/>
      <c r="H464" s="176"/>
      <c r="I464" s="176"/>
      <c r="J464" s="176"/>
      <c r="K464" s="176"/>
      <c r="L464" s="176"/>
      <c r="M464" s="176"/>
      <c r="N464" s="176"/>
      <c r="O464" s="176"/>
      <c r="P464" s="176"/>
      <c r="Q464" s="176"/>
      <c r="R464" s="176"/>
      <c r="S464" s="176"/>
      <c r="T464" s="176"/>
      <c r="U464" s="176"/>
      <c r="V464" s="176"/>
      <c r="W464" s="176"/>
      <c r="X464" s="176"/>
      <c r="Y464" s="176"/>
      <c r="Z464" s="176"/>
      <c r="AA464" s="176"/>
      <c r="AB464" s="176"/>
      <c r="AC464" s="176"/>
      <c r="AD464" s="176"/>
      <c r="AE464" s="176"/>
      <c r="AF464" s="176"/>
      <c r="AG464" s="176"/>
      <c r="AH464" s="176"/>
      <c r="AI464" s="176"/>
      <c r="AJ464" s="176"/>
      <c r="AK464" s="176"/>
      <c r="AL464" s="176"/>
      <c r="AM464" s="176"/>
      <c r="AN464" s="176"/>
      <c r="AO464" s="176"/>
      <c r="AP464" s="176"/>
      <c r="AQ464" s="176"/>
      <c r="AR464" s="176"/>
      <c r="AS464" s="176"/>
      <c r="AT464" s="176"/>
      <c r="AU464" s="176"/>
      <c r="AV464" s="176"/>
      <c r="AW464" s="176"/>
      <c r="AX464" s="176"/>
      <c r="AY464" s="176"/>
      <c r="AZ464" s="176"/>
      <c r="BA464" s="176"/>
      <c r="BB464" s="176"/>
      <c r="BC464" s="176"/>
      <c r="BD464" s="176"/>
    </row>
    <row r="465" ht="15.75" customHeight="1">
      <c r="A465" s="176"/>
      <c r="B465" s="176"/>
      <c r="C465" s="176"/>
      <c r="D465" s="176"/>
      <c r="E465" s="176"/>
      <c r="F465" s="176"/>
      <c r="G465" s="178"/>
      <c r="H465" s="176"/>
      <c r="I465" s="176"/>
      <c r="J465" s="176"/>
      <c r="K465" s="176"/>
      <c r="L465" s="176"/>
      <c r="M465" s="176"/>
      <c r="N465" s="176"/>
      <c r="O465" s="176"/>
      <c r="P465" s="176"/>
      <c r="Q465" s="176"/>
      <c r="R465" s="176"/>
      <c r="S465" s="176"/>
      <c r="T465" s="176"/>
      <c r="U465" s="176"/>
      <c r="V465" s="176"/>
      <c r="W465" s="176"/>
      <c r="X465" s="176"/>
      <c r="Y465" s="176"/>
      <c r="Z465" s="176"/>
      <c r="AA465" s="176"/>
      <c r="AB465" s="176"/>
      <c r="AC465" s="176"/>
      <c r="AD465" s="176"/>
      <c r="AE465" s="176"/>
      <c r="AF465" s="176"/>
      <c r="AG465" s="176"/>
      <c r="AH465" s="176"/>
      <c r="AI465" s="176"/>
      <c r="AJ465" s="176"/>
      <c r="AK465" s="176"/>
      <c r="AL465" s="176"/>
      <c r="AM465" s="176"/>
      <c r="AN465" s="176"/>
      <c r="AO465" s="176"/>
      <c r="AP465" s="176"/>
      <c r="AQ465" s="176"/>
      <c r="AR465" s="176"/>
      <c r="AS465" s="176"/>
      <c r="AT465" s="176"/>
      <c r="AU465" s="176"/>
      <c r="AV465" s="176"/>
      <c r="AW465" s="176"/>
      <c r="AX465" s="176"/>
      <c r="AY465" s="176"/>
      <c r="AZ465" s="176"/>
      <c r="BA465" s="176"/>
      <c r="BB465" s="176"/>
      <c r="BC465" s="176"/>
      <c r="BD465" s="176"/>
    </row>
    <row r="466" ht="15.75" customHeight="1">
      <c r="A466" s="176"/>
      <c r="B466" s="176"/>
      <c r="C466" s="176"/>
      <c r="D466" s="176"/>
      <c r="E466" s="176"/>
      <c r="F466" s="176"/>
      <c r="G466" s="178"/>
      <c r="H466" s="176"/>
      <c r="I466" s="176"/>
      <c r="J466" s="176"/>
      <c r="K466" s="176"/>
      <c r="L466" s="176"/>
      <c r="M466" s="176"/>
      <c r="N466" s="176"/>
      <c r="O466" s="176"/>
      <c r="P466" s="176"/>
      <c r="Q466" s="176"/>
      <c r="R466" s="176"/>
      <c r="S466" s="176"/>
      <c r="T466" s="176"/>
      <c r="U466" s="176"/>
      <c r="V466" s="176"/>
      <c r="W466" s="176"/>
      <c r="X466" s="176"/>
      <c r="Y466" s="176"/>
      <c r="Z466" s="176"/>
      <c r="AA466" s="176"/>
      <c r="AB466" s="176"/>
      <c r="AC466" s="176"/>
      <c r="AD466" s="176"/>
      <c r="AE466" s="176"/>
      <c r="AF466" s="176"/>
      <c r="AG466" s="176"/>
      <c r="AH466" s="176"/>
      <c r="AI466" s="176"/>
      <c r="AJ466" s="176"/>
      <c r="AK466" s="176"/>
      <c r="AL466" s="176"/>
      <c r="AM466" s="176"/>
      <c r="AN466" s="176"/>
      <c r="AO466" s="176"/>
      <c r="AP466" s="176"/>
      <c r="AQ466" s="176"/>
      <c r="AR466" s="176"/>
      <c r="AS466" s="176"/>
      <c r="AT466" s="176"/>
      <c r="AU466" s="176"/>
      <c r="AV466" s="176"/>
      <c r="AW466" s="176"/>
      <c r="AX466" s="176"/>
      <c r="AY466" s="176"/>
      <c r="AZ466" s="176"/>
      <c r="BA466" s="176"/>
      <c r="BB466" s="176"/>
      <c r="BC466" s="176"/>
      <c r="BD466" s="176"/>
    </row>
    <row r="467" ht="15.75" customHeight="1">
      <c r="A467" s="176"/>
      <c r="B467" s="176"/>
      <c r="C467" s="176"/>
      <c r="D467" s="176"/>
      <c r="E467" s="176"/>
      <c r="F467" s="176"/>
      <c r="G467" s="178"/>
      <c r="H467" s="176"/>
      <c r="I467" s="176"/>
      <c r="J467" s="176"/>
      <c r="K467" s="176"/>
      <c r="L467" s="176"/>
      <c r="M467" s="176"/>
      <c r="N467" s="176"/>
      <c r="O467" s="176"/>
      <c r="P467" s="176"/>
      <c r="Q467" s="176"/>
      <c r="R467" s="176"/>
      <c r="S467" s="176"/>
      <c r="T467" s="176"/>
      <c r="U467" s="176"/>
      <c r="V467" s="176"/>
      <c r="W467" s="176"/>
      <c r="X467" s="176"/>
      <c r="Y467" s="176"/>
      <c r="Z467" s="176"/>
      <c r="AA467" s="176"/>
      <c r="AB467" s="176"/>
      <c r="AC467" s="176"/>
      <c r="AD467" s="176"/>
      <c r="AE467" s="176"/>
      <c r="AF467" s="176"/>
      <c r="AG467" s="176"/>
      <c r="AH467" s="176"/>
      <c r="AI467" s="176"/>
      <c r="AJ467" s="176"/>
      <c r="AK467" s="176"/>
      <c r="AL467" s="176"/>
      <c r="AM467" s="176"/>
      <c r="AN467" s="176"/>
      <c r="AO467" s="176"/>
      <c r="AP467" s="176"/>
      <c r="AQ467" s="176"/>
      <c r="AR467" s="176"/>
      <c r="AS467" s="176"/>
      <c r="AT467" s="176"/>
      <c r="AU467" s="176"/>
      <c r="AV467" s="176"/>
      <c r="AW467" s="176"/>
      <c r="AX467" s="176"/>
      <c r="AY467" s="176"/>
      <c r="AZ467" s="176"/>
      <c r="BA467" s="176"/>
      <c r="BB467" s="176"/>
      <c r="BC467" s="176"/>
      <c r="BD467" s="176"/>
    </row>
    <row r="468" ht="15.75" customHeight="1">
      <c r="A468" s="176"/>
      <c r="B468" s="176"/>
      <c r="C468" s="176"/>
      <c r="D468" s="176"/>
      <c r="E468" s="176"/>
      <c r="F468" s="176"/>
      <c r="G468" s="178"/>
      <c r="H468" s="176"/>
      <c r="I468" s="176"/>
      <c r="J468" s="176"/>
      <c r="K468" s="176"/>
      <c r="L468" s="176"/>
      <c r="M468" s="176"/>
      <c r="N468" s="176"/>
      <c r="O468" s="176"/>
      <c r="P468" s="176"/>
      <c r="Q468" s="176"/>
      <c r="R468" s="176"/>
      <c r="S468" s="176"/>
      <c r="T468" s="176"/>
      <c r="U468" s="176"/>
      <c r="V468" s="176"/>
      <c r="W468" s="176"/>
      <c r="X468" s="176"/>
      <c r="Y468" s="176"/>
      <c r="Z468" s="176"/>
      <c r="AA468" s="176"/>
      <c r="AB468" s="176"/>
      <c r="AC468" s="176"/>
      <c r="AD468" s="176"/>
      <c r="AE468" s="176"/>
      <c r="AF468" s="176"/>
      <c r="AG468" s="176"/>
      <c r="AH468" s="176"/>
      <c r="AI468" s="176"/>
      <c r="AJ468" s="176"/>
      <c r="AK468" s="176"/>
      <c r="AL468" s="176"/>
      <c r="AM468" s="176"/>
      <c r="AN468" s="176"/>
      <c r="AO468" s="176"/>
      <c r="AP468" s="176"/>
      <c r="AQ468" s="176"/>
      <c r="AR468" s="176"/>
      <c r="AS468" s="176"/>
      <c r="AT468" s="176"/>
      <c r="AU468" s="176"/>
      <c r="AV468" s="176"/>
      <c r="AW468" s="176"/>
      <c r="AX468" s="176"/>
      <c r="AY468" s="176"/>
      <c r="AZ468" s="176"/>
      <c r="BA468" s="176"/>
      <c r="BB468" s="176"/>
      <c r="BC468" s="176"/>
      <c r="BD468" s="176"/>
    </row>
    <row r="469" ht="15.75" customHeight="1">
      <c r="A469" s="176"/>
      <c r="B469" s="176"/>
      <c r="C469" s="176"/>
      <c r="D469" s="176"/>
      <c r="E469" s="176"/>
      <c r="F469" s="176"/>
      <c r="G469" s="178"/>
      <c r="H469" s="176"/>
      <c r="I469" s="176"/>
      <c r="J469" s="176"/>
      <c r="K469" s="176"/>
      <c r="L469" s="176"/>
      <c r="M469" s="176"/>
      <c r="N469" s="176"/>
      <c r="O469" s="176"/>
      <c r="P469" s="176"/>
      <c r="Q469" s="176"/>
      <c r="R469" s="176"/>
      <c r="S469" s="176"/>
      <c r="T469" s="176"/>
      <c r="U469" s="176"/>
      <c r="V469" s="176"/>
      <c r="W469" s="176"/>
      <c r="X469" s="176"/>
      <c r="Y469" s="176"/>
      <c r="Z469" s="176"/>
      <c r="AA469" s="176"/>
      <c r="AB469" s="176"/>
      <c r="AC469" s="176"/>
      <c r="AD469" s="176"/>
      <c r="AE469" s="176"/>
      <c r="AF469" s="176"/>
      <c r="AG469" s="176"/>
      <c r="AH469" s="176"/>
      <c r="AI469" s="176"/>
      <c r="AJ469" s="176"/>
      <c r="AK469" s="176"/>
      <c r="AL469" s="176"/>
      <c r="AM469" s="176"/>
      <c r="AN469" s="176"/>
      <c r="AO469" s="176"/>
      <c r="AP469" s="176"/>
      <c r="AQ469" s="176"/>
      <c r="AR469" s="176"/>
      <c r="AS469" s="176"/>
      <c r="AT469" s="176"/>
      <c r="AU469" s="176"/>
      <c r="AV469" s="176"/>
      <c r="AW469" s="176"/>
      <c r="AX469" s="176"/>
      <c r="AY469" s="176"/>
      <c r="AZ469" s="176"/>
      <c r="BA469" s="176"/>
      <c r="BB469" s="176"/>
      <c r="BC469" s="176"/>
      <c r="BD469" s="176"/>
    </row>
    <row r="470" ht="15.75" customHeight="1">
      <c r="A470" s="176"/>
      <c r="B470" s="176"/>
      <c r="C470" s="176"/>
      <c r="D470" s="176"/>
      <c r="E470" s="176"/>
      <c r="F470" s="176"/>
      <c r="G470" s="178"/>
      <c r="H470" s="176"/>
      <c r="I470" s="176"/>
      <c r="J470" s="176"/>
      <c r="K470" s="176"/>
      <c r="L470" s="176"/>
      <c r="M470" s="176"/>
      <c r="N470" s="176"/>
      <c r="O470" s="176"/>
      <c r="P470" s="176"/>
      <c r="Q470" s="176"/>
      <c r="R470" s="176"/>
      <c r="S470" s="176"/>
      <c r="T470" s="176"/>
      <c r="U470" s="176"/>
      <c r="V470" s="176"/>
      <c r="W470" s="176"/>
      <c r="X470" s="176"/>
      <c r="Y470" s="176"/>
      <c r="Z470" s="176"/>
      <c r="AA470" s="176"/>
      <c r="AB470" s="176"/>
      <c r="AC470" s="176"/>
      <c r="AD470" s="176"/>
      <c r="AE470" s="176"/>
      <c r="AF470" s="176"/>
      <c r="AG470" s="176"/>
      <c r="AH470" s="176"/>
      <c r="AI470" s="176"/>
      <c r="AJ470" s="176"/>
      <c r="AK470" s="176"/>
      <c r="AL470" s="176"/>
      <c r="AM470" s="176"/>
      <c r="AN470" s="176"/>
      <c r="AO470" s="176"/>
      <c r="AP470" s="176"/>
      <c r="AQ470" s="176"/>
      <c r="AR470" s="176"/>
      <c r="AS470" s="176"/>
      <c r="AT470" s="176"/>
      <c r="AU470" s="176"/>
      <c r="AV470" s="176"/>
      <c r="AW470" s="176"/>
      <c r="AX470" s="176"/>
      <c r="AY470" s="176"/>
      <c r="AZ470" s="176"/>
      <c r="BA470" s="176"/>
      <c r="BB470" s="176"/>
      <c r="BC470" s="176"/>
      <c r="BD470" s="176"/>
    </row>
    <row r="471" ht="15.75" customHeight="1">
      <c r="A471" s="176"/>
      <c r="B471" s="176"/>
      <c r="C471" s="176"/>
      <c r="D471" s="176"/>
      <c r="E471" s="176"/>
      <c r="F471" s="176"/>
      <c r="G471" s="178"/>
      <c r="H471" s="176"/>
      <c r="I471" s="176"/>
      <c r="J471" s="176"/>
      <c r="K471" s="176"/>
      <c r="L471" s="176"/>
      <c r="M471" s="176"/>
      <c r="N471" s="176"/>
      <c r="O471" s="176"/>
      <c r="P471" s="176"/>
      <c r="Q471" s="176"/>
      <c r="R471" s="176"/>
      <c r="S471" s="176"/>
      <c r="T471" s="176"/>
      <c r="U471" s="176"/>
      <c r="V471" s="176"/>
      <c r="W471" s="176"/>
      <c r="X471" s="176"/>
      <c r="Y471" s="176"/>
      <c r="Z471" s="176"/>
      <c r="AA471" s="176"/>
      <c r="AB471" s="176"/>
      <c r="AC471" s="176"/>
      <c r="AD471" s="176"/>
      <c r="AE471" s="176"/>
      <c r="AF471" s="176"/>
      <c r="AG471" s="176"/>
      <c r="AH471" s="176"/>
      <c r="AI471" s="176"/>
      <c r="AJ471" s="176"/>
      <c r="AK471" s="176"/>
      <c r="AL471" s="176"/>
      <c r="AM471" s="176"/>
      <c r="AN471" s="176"/>
      <c r="AO471" s="176"/>
      <c r="AP471" s="176"/>
      <c r="AQ471" s="176"/>
      <c r="AR471" s="176"/>
      <c r="AS471" s="176"/>
      <c r="AT471" s="176"/>
      <c r="AU471" s="176"/>
      <c r="AV471" s="176"/>
      <c r="AW471" s="176"/>
      <c r="AX471" s="176"/>
      <c r="AY471" s="176"/>
      <c r="AZ471" s="176"/>
      <c r="BA471" s="176"/>
      <c r="BB471" s="176"/>
      <c r="BC471" s="176"/>
      <c r="BD471" s="176"/>
    </row>
    <row r="472" ht="15.75" customHeight="1">
      <c r="A472" s="176"/>
      <c r="B472" s="176"/>
      <c r="C472" s="176"/>
      <c r="D472" s="176"/>
      <c r="E472" s="176"/>
      <c r="F472" s="176"/>
      <c r="G472" s="178"/>
      <c r="H472" s="176"/>
      <c r="I472" s="176"/>
      <c r="J472" s="176"/>
      <c r="K472" s="176"/>
      <c r="L472" s="176"/>
      <c r="M472" s="176"/>
      <c r="N472" s="176"/>
      <c r="O472" s="176"/>
      <c r="P472" s="176"/>
      <c r="Q472" s="176"/>
      <c r="R472" s="176"/>
      <c r="S472" s="176"/>
      <c r="T472" s="176"/>
      <c r="U472" s="176"/>
      <c r="V472" s="176"/>
      <c r="W472" s="176"/>
      <c r="X472" s="176"/>
      <c r="Y472" s="176"/>
      <c r="Z472" s="176"/>
      <c r="AA472" s="176"/>
      <c r="AB472" s="176"/>
      <c r="AC472" s="176"/>
      <c r="AD472" s="176"/>
      <c r="AE472" s="176"/>
      <c r="AF472" s="176"/>
      <c r="AG472" s="176"/>
      <c r="AH472" s="176"/>
      <c r="AI472" s="176"/>
      <c r="AJ472" s="176"/>
      <c r="AK472" s="176"/>
      <c r="AL472" s="176"/>
      <c r="AM472" s="176"/>
      <c r="AN472" s="176"/>
      <c r="AO472" s="176"/>
      <c r="AP472" s="176"/>
      <c r="AQ472" s="176"/>
      <c r="AR472" s="176"/>
      <c r="AS472" s="176"/>
      <c r="AT472" s="176"/>
      <c r="AU472" s="176"/>
      <c r="AV472" s="176"/>
      <c r="AW472" s="176"/>
      <c r="AX472" s="176"/>
      <c r="AY472" s="176"/>
      <c r="AZ472" s="176"/>
      <c r="BA472" s="176"/>
      <c r="BB472" s="176"/>
      <c r="BC472" s="176"/>
      <c r="BD472" s="176"/>
    </row>
    <row r="473" ht="15.75" customHeight="1">
      <c r="A473" s="176"/>
      <c r="B473" s="176"/>
      <c r="C473" s="176"/>
      <c r="D473" s="176"/>
      <c r="E473" s="176"/>
      <c r="F473" s="176"/>
      <c r="G473" s="178"/>
      <c r="H473" s="176"/>
      <c r="I473" s="176"/>
      <c r="J473" s="176"/>
      <c r="K473" s="176"/>
      <c r="L473" s="176"/>
      <c r="M473" s="176"/>
      <c r="N473" s="176"/>
      <c r="O473" s="176"/>
      <c r="P473" s="176"/>
      <c r="Q473" s="176"/>
      <c r="R473" s="176"/>
      <c r="S473" s="176"/>
      <c r="T473" s="176"/>
      <c r="U473" s="176"/>
      <c r="V473" s="176"/>
      <c r="W473" s="176"/>
      <c r="X473" s="176"/>
      <c r="Y473" s="176"/>
      <c r="Z473" s="176"/>
      <c r="AA473" s="176"/>
      <c r="AB473" s="176"/>
      <c r="AC473" s="176"/>
      <c r="AD473" s="176"/>
      <c r="AE473" s="176"/>
      <c r="AF473" s="176"/>
      <c r="AG473" s="176"/>
      <c r="AH473" s="176"/>
      <c r="AI473" s="176"/>
      <c r="AJ473" s="176"/>
      <c r="AK473" s="176"/>
      <c r="AL473" s="176"/>
      <c r="AM473" s="176"/>
      <c r="AN473" s="176"/>
      <c r="AO473" s="176"/>
      <c r="AP473" s="176"/>
      <c r="AQ473" s="176"/>
      <c r="AR473" s="176"/>
      <c r="AS473" s="176"/>
      <c r="AT473" s="176"/>
      <c r="AU473" s="176"/>
      <c r="AV473" s="176"/>
      <c r="AW473" s="176"/>
      <c r="AX473" s="176"/>
      <c r="AY473" s="176"/>
      <c r="AZ473" s="176"/>
      <c r="BA473" s="176"/>
      <c r="BB473" s="176"/>
      <c r="BC473" s="176"/>
      <c r="BD473" s="176"/>
    </row>
    <row r="474" ht="15.75" customHeight="1">
      <c r="A474" s="176"/>
      <c r="B474" s="176"/>
      <c r="C474" s="176"/>
      <c r="D474" s="176"/>
      <c r="E474" s="176"/>
      <c r="F474" s="176"/>
      <c r="G474" s="178"/>
      <c r="H474" s="176"/>
      <c r="I474" s="176"/>
      <c r="J474" s="176"/>
      <c r="K474" s="176"/>
      <c r="L474" s="176"/>
      <c r="M474" s="176"/>
      <c r="N474" s="176"/>
      <c r="O474" s="176"/>
      <c r="P474" s="176"/>
      <c r="Q474" s="176"/>
      <c r="R474" s="176"/>
      <c r="S474" s="176"/>
      <c r="T474" s="176"/>
      <c r="U474" s="176"/>
      <c r="V474" s="176"/>
      <c r="W474" s="176"/>
      <c r="X474" s="176"/>
      <c r="Y474" s="176"/>
      <c r="Z474" s="176"/>
      <c r="AA474" s="176"/>
      <c r="AB474" s="176"/>
      <c r="AC474" s="176"/>
      <c r="AD474" s="176"/>
      <c r="AE474" s="176"/>
      <c r="AF474" s="176"/>
      <c r="AG474" s="176"/>
      <c r="AH474" s="176"/>
      <c r="AI474" s="176"/>
      <c r="AJ474" s="176"/>
      <c r="AK474" s="176"/>
      <c r="AL474" s="176"/>
      <c r="AM474" s="176"/>
      <c r="AN474" s="176"/>
      <c r="AO474" s="176"/>
      <c r="AP474" s="176"/>
      <c r="AQ474" s="176"/>
      <c r="AR474" s="176"/>
      <c r="AS474" s="176"/>
      <c r="AT474" s="176"/>
      <c r="AU474" s="176"/>
      <c r="AV474" s="176"/>
      <c r="AW474" s="176"/>
      <c r="AX474" s="176"/>
      <c r="AY474" s="176"/>
      <c r="AZ474" s="176"/>
      <c r="BA474" s="176"/>
      <c r="BB474" s="176"/>
      <c r="BC474" s="176"/>
      <c r="BD474" s="176"/>
    </row>
    <row r="475" ht="15.75" customHeight="1">
      <c r="A475" s="176"/>
      <c r="B475" s="176"/>
      <c r="C475" s="176"/>
      <c r="D475" s="176"/>
      <c r="E475" s="176"/>
      <c r="F475" s="176"/>
      <c r="G475" s="178"/>
      <c r="H475" s="176"/>
      <c r="I475" s="176"/>
      <c r="J475" s="176"/>
      <c r="K475" s="176"/>
      <c r="L475" s="176"/>
      <c r="M475" s="176"/>
      <c r="N475" s="176"/>
      <c r="O475" s="176"/>
      <c r="P475" s="176"/>
      <c r="Q475" s="176"/>
      <c r="R475" s="176"/>
      <c r="S475" s="176"/>
      <c r="T475" s="176"/>
      <c r="U475" s="176"/>
      <c r="V475" s="176"/>
      <c r="W475" s="176"/>
      <c r="X475" s="176"/>
      <c r="Y475" s="176"/>
      <c r="Z475" s="176"/>
      <c r="AA475" s="176"/>
      <c r="AB475" s="176"/>
      <c r="AC475" s="176"/>
      <c r="AD475" s="176"/>
      <c r="AE475" s="176"/>
      <c r="AF475" s="176"/>
      <c r="AG475" s="176"/>
      <c r="AH475" s="176"/>
      <c r="AI475" s="176"/>
      <c r="AJ475" s="176"/>
      <c r="AK475" s="176"/>
      <c r="AL475" s="176"/>
      <c r="AM475" s="176"/>
      <c r="AN475" s="176"/>
      <c r="AO475" s="176"/>
      <c r="AP475" s="176"/>
      <c r="AQ475" s="176"/>
      <c r="AR475" s="176"/>
      <c r="AS475" s="176"/>
      <c r="AT475" s="176"/>
      <c r="AU475" s="176"/>
      <c r="AV475" s="176"/>
      <c r="AW475" s="176"/>
      <c r="AX475" s="176"/>
      <c r="AY475" s="176"/>
      <c r="AZ475" s="176"/>
      <c r="BA475" s="176"/>
      <c r="BB475" s="176"/>
      <c r="BC475" s="176"/>
      <c r="BD475" s="176"/>
    </row>
    <row r="476" ht="15.75" customHeight="1">
      <c r="A476" s="176"/>
      <c r="B476" s="176"/>
      <c r="C476" s="176"/>
      <c r="D476" s="176"/>
      <c r="E476" s="176"/>
      <c r="F476" s="176"/>
      <c r="G476" s="178"/>
      <c r="H476" s="176"/>
      <c r="I476" s="176"/>
      <c r="J476" s="176"/>
      <c r="K476" s="176"/>
      <c r="L476" s="176"/>
      <c r="M476" s="176"/>
      <c r="N476" s="176"/>
      <c r="O476" s="176"/>
      <c r="P476" s="176"/>
      <c r="Q476" s="176"/>
      <c r="R476" s="176"/>
      <c r="S476" s="176"/>
      <c r="T476" s="176"/>
      <c r="U476" s="176"/>
      <c r="V476" s="176"/>
      <c r="W476" s="176"/>
      <c r="X476" s="176"/>
      <c r="Y476" s="176"/>
      <c r="Z476" s="176"/>
      <c r="AA476" s="176"/>
      <c r="AB476" s="176"/>
      <c r="AC476" s="176"/>
      <c r="AD476" s="176"/>
      <c r="AE476" s="176"/>
      <c r="AF476" s="176"/>
      <c r="AG476" s="176"/>
      <c r="AH476" s="176"/>
      <c r="AI476" s="176"/>
      <c r="AJ476" s="176"/>
      <c r="AK476" s="176"/>
      <c r="AL476" s="176"/>
      <c r="AM476" s="176"/>
      <c r="AN476" s="176"/>
      <c r="AO476" s="176"/>
      <c r="AP476" s="176"/>
      <c r="AQ476" s="176"/>
      <c r="AR476" s="176"/>
      <c r="AS476" s="176"/>
      <c r="AT476" s="176"/>
      <c r="AU476" s="176"/>
      <c r="AV476" s="176"/>
      <c r="AW476" s="176"/>
      <c r="AX476" s="176"/>
      <c r="AY476" s="176"/>
      <c r="AZ476" s="176"/>
      <c r="BA476" s="176"/>
      <c r="BB476" s="176"/>
      <c r="BC476" s="176"/>
      <c r="BD476" s="176"/>
    </row>
    <row r="477" ht="15.75" customHeight="1">
      <c r="A477" s="176"/>
      <c r="B477" s="176"/>
      <c r="C477" s="176"/>
      <c r="D477" s="176"/>
      <c r="E477" s="176"/>
      <c r="F477" s="176"/>
      <c r="G477" s="178"/>
      <c r="H477" s="176"/>
      <c r="I477" s="176"/>
      <c r="J477" s="176"/>
      <c r="K477" s="176"/>
      <c r="L477" s="176"/>
      <c r="M477" s="176"/>
      <c r="N477" s="176"/>
      <c r="O477" s="176"/>
      <c r="P477" s="176"/>
      <c r="Q477" s="176"/>
      <c r="R477" s="176"/>
      <c r="S477" s="176"/>
      <c r="T477" s="176"/>
      <c r="U477" s="176"/>
      <c r="V477" s="176"/>
      <c r="W477" s="176"/>
      <c r="X477" s="176"/>
      <c r="Y477" s="176"/>
      <c r="Z477" s="176"/>
      <c r="AA477" s="176"/>
      <c r="AB477" s="176"/>
      <c r="AC477" s="176"/>
      <c r="AD477" s="176"/>
      <c r="AE477" s="176"/>
      <c r="AF477" s="176"/>
      <c r="AG477" s="176"/>
      <c r="AH477" s="176"/>
      <c r="AI477" s="176"/>
      <c r="AJ477" s="176"/>
      <c r="AK477" s="176"/>
      <c r="AL477" s="176"/>
      <c r="AM477" s="176"/>
      <c r="AN477" s="176"/>
      <c r="AO477" s="176"/>
      <c r="AP477" s="176"/>
      <c r="AQ477" s="176"/>
      <c r="AR477" s="176"/>
      <c r="AS477" s="176"/>
      <c r="AT477" s="176"/>
      <c r="AU477" s="176"/>
      <c r="AV477" s="176"/>
      <c r="AW477" s="176"/>
      <c r="AX477" s="176"/>
      <c r="AY477" s="176"/>
      <c r="AZ477" s="176"/>
      <c r="BA477" s="176"/>
      <c r="BB477" s="176"/>
      <c r="BC477" s="176"/>
      <c r="BD477" s="176"/>
    </row>
    <row r="478" ht="15.75" customHeight="1">
      <c r="A478" s="176"/>
      <c r="B478" s="176"/>
      <c r="C478" s="176"/>
      <c r="D478" s="176"/>
      <c r="E478" s="176"/>
      <c r="F478" s="176"/>
      <c r="G478" s="178"/>
      <c r="H478" s="176"/>
      <c r="I478" s="176"/>
      <c r="J478" s="176"/>
      <c r="K478" s="176"/>
      <c r="L478" s="176"/>
      <c r="M478" s="176"/>
      <c r="N478" s="176"/>
      <c r="O478" s="176"/>
      <c r="P478" s="176"/>
      <c r="Q478" s="176"/>
      <c r="R478" s="176"/>
      <c r="S478" s="176"/>
      <c r="T478" s="176"/>
      <c r="U478" s="176"/>
      <c r="V478" s="176"/>
      <c r="W478" s="176"/>
      <c r="X478" s="176"/>
      <c r="Y478" s="176"/>
      <c r="Z478" s="176"/>
      <c r="AA478" s="176"/>
      <c r="AB478" s="176"/>
      <c r="AC478" s="176"/>
      <c r="AD478" s="176"/>
      <c r="AE478" s="176"/>
      <c r="AF478" s="176"/>
      <c r="AG478" s="176"/>
      <c r="AH478" s="176"/>
      <c r="AI478" s="176"/>
      <c r="AJ478" s="176"/>
      <c r="AK478" s="176"/>
      <c r="AL478" s="176"/>
      <c r="AM478" s="176"/>
      <c r="AN478" s="176"/>
      <c r="AO478" s="176"/>
      <c r="AP478" s="176"/>
      <c r="AQ478" s="176"/>
      <c r="AR478" s="176"/>
      <c r="AS478" s="176"/>
      <c r="AT478" s="176"/>
      <c r="AU478" s="176"/>
      <c r="AV478" s="176"/>
      <c r="AW478" s="176"/>
      <c r="AX478" s="176"/>
      <c r="AY478" s="176"/>
      <c r="AZ478" s="176"/>
      <c r="BA478" s="176"/>
      <c r="BB478" s="176"/>
      <c r="BC478" s="176"/>
      <c r="BD478" s="176"/>
    </row>
    <row r="479" ht="15.75" customHeight="1">
      <c r="A479" s="176"/>
      <c r="B479" s="176"/>
      <c r="C479" s="176"/>
      <c r="D479" s="176"/>
      <c r="E479" s="176"/>
      <c r="F479" s="176"/>
      <c r="G479" s="178"/>
      <c r="H479" s="176"/>
      <c r="I479" s="176"/>
      <c r="J479" s="176"/>
      <c r="K479" s="176"/>
      <c r="L479" s="176"/>
      <c r="M479" s="176"/>
      <c r="N479" s="176"/>
      <c r="O479" s="176"/>
      <c r="P479" s="176"/>
      <c r="Q479" s="176"/>
      <c r="R479" s="176"/>
      <c r="S479" s="176"/>
      <c r="T479" s="176"/>
      <c r="U479" s="176"/>
      <c r="V479" s="176"/>
      <c r="W479" s="176"/>
      <c r="X479" s="176"/>
      <c r="Y479" s="176"/>
      <c r="Z479" s="176"/>
      <c r="AA479" s="176"/>
      <c r="AB479" s="176"/>
      <c r="AC479" s="176"/>
      <c r="AD479" s="176"/>
      <c r="AE479" s="176"/>
      <c r="AF479" s="176"/>
      <c r="AG479" s="176"/>
      <c r="AH479" s="176"/>
      <c r="AI479" s="176"/>
      <c r="AJ479" s="176"/>
      <c r="AK479" s="176"/>
      <c r="AL479" s="176"/>
      <c r="AM479" s="176"/>
      <c r="AN479" s="176"/>
      <c r="AO479" s="176"/>
      <c r="AP479" s="176"/>
      <c r="AQ479" s="176"/>
      <c r="AR479" s="176"/>
      <c r="AS479" s="176"/>
      <c r="AT479" s="176"/>
      <c r="AU479" s="176"/>
      <c r="AV479" s="176"/>
      <c r="AW479" s="176"/>
      <c r="AX479" s="176"/>
      <c r="AY479" s="176"/>
      <c r="AZ479" s="176"/>
      <c r="BA479" s="176"/>
      <c r="BB479" s="176"/>
      <c r="BC479" s="176"/>
      <c r="BD479" s="176"/>
    </row>
    <row r="480" ht="15.75" customHeight="1">
      <c r="A480" s="176"/>
      <c r="B480" s="176"/>
      <c r="C480" s="176"/>
      <c r="D480" s="176"/>
      <c r="E480" s="176"/>
      <c r="F480" s="176"/>
      <c r="G480" s="178"/>
      <c r="H480" s="176"/>
      <c r="I480" s="176"/>
      <c r="J480" s="176"/>
      <c r="K480" s="176"/>
      <c r="L480" s="176"/>
      <c r="M480" s="176"/>
      <c r="N480" s="176"/>
      <c r="O480" s="176"/>
      <c r="P480" s="176"/>
      <c r="Q480" s="176"/>
      <c r="R480" s="176"/>
      <c r="S480" s="176"/>
      <c r="T480" s="176"/>
      <c r="U480" s="176"/>
      <c r="V480" s="176"/>
      <c r="W480" s="176"/>
      <c r="X480" s="176"/>
      <c r="Y480" s="176"/>
      <c r="Z480" s="176"/>
      <c r="AA480" s="176"/>
      <c r="AB480" s="176"/>
      <c r="AC480" s="176"/>
      <c r="AD480" s="176"/>
      <c r="AE480" s="176"/>
      <c r="AF480" s="176"/>
      <c r="AG480" s="176"/>
      <c r="AH480" s="176"/>
      <c r="AI480" s="176"/>
      <c r="AJ480" s="176"/>
      <c r="AK480" s="176"/>
      <c r="AL480" s="176"/>
      <c r="AM480" s="176"/>
      <c r="AN480" s="176"/>
      <c r="AO480" s="176"/>
      <c r="AP480" s="176"/>
      <c r="AQ480" s="176"/>
      <c r="AR480" s="176"/>
      <c r="AS480" s="176"/>
      <c r="AT480" s="176"/>
      <c r="AU480" s="176"/>
      <c r="AV480" s="176"/>
      <c r="AW480" s="176"/>
      <c r="AX480" s="176"/>
      <c r="AY480" s="176"/>
      <c r="AZ480" s="176"/>
      <c r="BA480" s="176"/>
      <c r="BB480" s="176"/>
      <c r="BC480" s="176"/>
      <c r="BD480" s="176"/>
    </row>
    <row r="481" ht="15.75" customHeight="1">
      <c r="A481" s="176"/>
      <c r="B481" s="176"/>
      <c r="C481" s="176"/>
      <c r="D481" s="176"/>
      <c r="E481" s="176"/>
      <c r="F481" s="176"/>
      <c r="G481" s="178"/>
      <c r="H481" s="176"/>
      <c r="I481" s="176"/>
      <c r="J481" s="176"/>
      <c r="K481" s="176"/>
      <c r="L481" s="176"/>
      <c r="M481" s="176"/>
      <c r="N481" s="176"/>
      <c r="O481" s="176"/>
      <c r="P481" s="176"/>
      <c r="Q481" s="176"/>
      <c r="R481" s="176"/>
      <c r="S481" s="176"/>
      <c r="T481" s="176"/>
      <c r="U481" s="176"/>
      <c r="V481" s="176"/>
      <c r="W481" s="176"/>
      <c r="X481" s="176"/>
      <c r="Y481" s="176"/>
      <c r="Z481" s="176"/>
      <c r="AA481" s="176"/>
      <c r="AB481" s="176"/>
      <c r="AC481" s="176"/>
      <c r="AD481" s="176"/>
      <c r="AE481" s="176"/>
      <c r="AF481" s="176"/>
      <c r="AG481" s="176"/>
      <c r="AH481" s="176"/>
      <c r="AI481" s="176"/>
      <c r="AJ481" s="176"/>
      <c r="AK481" s="176"/>
      <c r="AL481" s="176"/>
      <c r="AM481" s="176"/>
      <c r="AN481" s="176"/>
      <c r="AO481" s="176"/>
      <c r="AP481" s="176"/>
      <c r="AQ481" s="176"/>
      <c r="AR481" s="176"/>
      <c r="AS481" s="176"/>
      <c r="AT481" s="176"/>
      <c r="AU481" s="176"/>
      <c r="AV481" s="176"/>
      <c r="AW481" s="176"/>
      <c r="AX481" s="176"/>
      <c r="AY481" s="176"/>
      <c r="AZ481" s="176"/>
      <c r="BA481" s="176"/>
      <c r="BB481" s="176"/>
      <c r="BC481" s="176"/>
      <c r="BD481" s="176"/>
    </row>
    <row r="482" ht="15.75" customHeight="1">
      <c r="A482" s="176"/>
      <c r="B482" s="176"/>
      <c r="C482" s="176"/>
      <c r="D482" s="176"/>
      <c r="E482" s="176"/>
      <c r="F482" s="176"/>
      <c r="G482" s="178"/>
      <c r="H482" s="176"/>
      <c r="I482" s="176"/>
      <c r="J482" s="176"/>
      <c r="K482" s="176"/>
      <c r="L482" s="176"/>
      <c r="M482" s="176"/>
      <c r="N482" s="176"/>
      <c r="O482" s="176"/>
      <c r="P482" s="176"/>
      <c r="Q482" s="176"/>
      <c r="R482" s="176"/>
      <c r="S482" s="176"/>
      <c r="T482" s="176"/>
      <c r="U482" s="176"/>
      <c r="V482" s="176"/>
      <c r="W482" s="176"/>
      <c r="X482" s="176"/>
      <c r="Y482" s="176"/>
      <c r="Z482" s="176"/>
      <c r="AA482" s="176"/>
      <c r="AB482" s="176"/>
      <c r="AC482" s="176"/>
      <c r="AD482" s="176"/>
      <c r="AE482" s="176"/>
      <c r="AF482" s="176"/>
      <c r="AG482" s="176"/>
      <c r="AH482" s="176"/>
      <c r="AI482" s="176"/>
      <c r="AJ482" s="176"/>
      <c r="AK482" s="176"/>
      <c r="AL482" s="176"/>
      <c r="AM482" s="176"/>
      <c r="AN482" s="176"/>
      <c r="AO482" s="176"/>
      <c r="AP482" s="176"/>
      <c r="AQ482" s="176"/>
      <c r="AR482" s="176"/>
      <c r="AS482" s="176"/>
      <c r="AT482" s="176"/>
      <c r="AU482" s="176"/>
      <c r="AV482" s="176"/>
      <c r="AW482" s="176"/>
      <c r="AX482" s="176"/>
      <c r="AY482" s="176"/>
      <c r="AZ482" s="176"/>
      <c r="BA482" s="176"/>
      <c r="BB482" s="176"/>
      <c r="BC482" s="176"/>
      <c r="BD482" s="176"/>
    </row>
    <row r="483" ht="15.75" customHeight="1">
      <c r="A483" s="176"/>
      <c r="B483" s="176"/>
      <c r="C483" s="176"/>
      <c r="D483" s="176"/>
      <c r="E483" s="176"/>
      <c r="F483" s="176"/>
      <c r="G483" s="178"/>
      <c r="H483" s="176"/>
      <c r="I483" s="176"/>
      <c r="J483" s="176"/>
      <c r="K483" s="176"/>
      <c r="L483" s="176"/>
      <c r="M483" s="176"/>
      <c r="N483" s="176"/>
      <c r="O483" s="176"/>
      <c r="P483" s="176"/>
      <c r="Q483" s="176"/>
      <c r="R483" s="176"/>
      <c r="S483" s="176"/>
      <c r="T483" s="176"/>
      <c r="U483" s="176"/>
      <c r="V483" s="176"/>
      <c r="W483" s="176"/>
      <c r="X483" s="176"/>
      <c r="Y483" s="176"/>
      <c r="Z483" s="176"/>
      <c r="AA483" s="176"/>
      <c r="AB483" s="176"/>
      <c r="AC483" s="176"/>
      <c r="AD483" s="176"/>
      <c r="AE483" s="176"/>
      <c r="AF483" s="176"/>
      <c r="AG483" s="176"/>
      <c r="AH483" s="176"/>
      <c r="AI483" s="176"/>
      <c r="AJ483" s="176"/>
      <c r="AK483" s="176"/>
      <c r="AL483" s="176"/>
      <c r="AM483" s="176"/>
      <c r="AN483" s="176"/>
      <c r="AO483" s="176"/>
      <c r="AP483" s="176"/>
      <c r="AQ483" s="176"/>
      <c r="AR483" s="176"/>
      <c r="AS483" s="176"/>
      <c r="AT483" s="176"/>
      <c r="AU483" s="176"/>
      <c r="AV483" s="176"/>
      <c r="AW483" s="176"/>
      <c r="AX483" s="176"/>
      <c r="AY483" s="176"/>
      <c r="AZ483" s="176"/>
      <c r="BA483" s="176"/>
      <c r="BB483" s="176"/>
      <c r="BC483" s="176"/>
      <c r="BD483" s="176"/>
    </row>
    <row r="484" ht="15.75" customHeight="1">
      <c r="A484" s="176"/>
      <c r="B484" s="176"/>
      <c r="C484" s="176"/>
      <c r="D484" s="176"/>
      <c r="E484" s="176"/>
      <c r="F484" s="176"/>
      <c r="G484" s="178"/>
      <c r="H484" s="176"/>
      <c r="I484" s="176"/>
      <c r="J484" s="176"/>
      <c r="K484" s="176"/>
      <c r="L484" s="176"/>
      <c r="M484" s="176"/>
      <c r="N484" s="176"/>
      <c r="O484" s="176"/>
      <c r="P484" s="176"/>
      <c r="Q484" s="176"/>
      <c r="R484" s="176"/>
      <c r="S484" s="176"/>
      <c r="T484" s="176"/>
      <c r="U484" s="176"/>
      <c r="V484" s="176"/>
      <c r="W484" s="176"/>
      <c r="X484" s="176"/>
      <c r="Y484" s="176"/>
      <c r="Z484" s="176"/>
      <c r="AA484" s="176"/>
      <c r="AB484" s="176"/>
      <c r="AC484" s="176"/>
      <c r="AD484" s="176"/>
      <c r="AE484" s="176"/>
      <c r="AF484" s="176"/>
      <c r="AG484" s="176"/>
      <c r="AH484" s="176"/>
      <c r="AI484" s="176"/>
      <c r="AJ484" s="176"/>
      <c r="AK484" s="176"/>
      <c r="AL484" s="176"/>
      <c r="AM484" s="176"/>
      <c r="AN484" s="176"/>
      <c r="AO484" s="176"/>
      <c r="AP484" s="176"/>
      <c r="AQ484" s="176"/>
      <c r="AR484" s="176"/>
      <c r="AS484" s="176"/>
      <c r="AT484" s="176"/>
      <c r="AU484" s="176"/>
      <c r="AV484" s="176"/>
      <c r="AW484" s="176"/>
      <c r="AX484" s="176"/>
      <c r="AY484" s="176"/>
      <c r="AZ484" s="176"/>
      <c r="BA484" s="176"/>
      <c r="BB484" s="176"/>
      <c r="BC484" s="176"/>
      <c r="BD484" s="176"/>
    </row>
    <row r="485" ht="15.75" customHeight="1">
      <c r="A485" s="176"/>
      <c r="B485" s="176"/>
      <c r="C485" s="176"/>
      <c r="D485" s="176"/>
      <c r="E485" s="176"/>
      <c r="F485" s="176"/>
      <c r="G485" s="178"/>
      <c r="H485" s="176"/>
      <c r="I485" s="176"/>
      <c r="J485" s="176"/>
      <c r="K485" s="176"/>
      <c r="L485" s="176"/>
      <c r="M485" s="176"/>
      <c r="N485" s="176"/>
      <c r="O485" s="176"/>
      <c r="P485" s="176"/>
      <c r="Q485" s="176"/>
      <c r="R485" s="176"/>
      <c r="S485" s="176"/>
      <c r="T485" s="176"/>
      <c r="U485" s="176"/>
      <c r="V485" s="176"/>
      <c r="W485" s="176"/>
      <c r="X485" s="176"/>
      <c r="Y485" s="176"/>
      <c r="Z485" s="176"/>
      <c r="AA485" s="176"/>
      <c r="AB485" s="176"/>
      <c r="AC485" s="176"/>
      <c r="AD485" s="176"/>
      <c r="AE485" s="176"/>
      <c r="AF485" s="176"/>
      <c r="AG485" s="176"/>
      <c r="AH485" s="176"/>
      <c r="AI485" s="176"/>
      <c r="AJ485" s="176"/>
      <c r="AK485" s="176"/>
      <c r="AL485" s="176"/>
      <c r="AM485" s="176"/>
      <c r="AN485" s="176"/>
      <c r="AO485" s="176"/>
      <c r="AP485" s="176"/>
      <c r="AQ485" s="176"/>
      <c r="AR485" s="176"/>
      <c r="AS485" s="176"/>
      <c r="AT485" s="176"/>
      <c r="AU485" s="176"/>
      <c r="AV485" s="176"/>
      <c r="AW485" s="176"/>
      <c r="AX485" s="176"/>
      <c r="AY485" s="176"/>
      <c r="AZ485" s="176"/>
      <c r="BA485" s="176"/>
      <c r="BB485" s="176"/>
      <c r="BC485" s="176"/>
      <c r="BD485" s="176"/>
    </row>
    <row r="486" ht="15.75" customHeight="1">
      <c r="A486" s="176"/>
      <c r="B486" s="176"/>
      <c r="C486" s="176"/>
      <c r="D486" s="176"/>
      <c r="E486" s="176"/>
      <c r="F486" s="176"/>
      <c r="G486" s="178"/>
      <c r="H486" s="176"/>
      <c r="I486" s="176"/>
      <c r="J486" s="176"/>
      <c r="K486" s="176"/>
      <c r="L486" s="176"/>
      <c r="M486" s="176"/>
      <c r="N486" s="176"/>
      <c r="O486" s="176"/>
      <c r="P486" s="176"/>
      <c r="Q486" s="176"/>
      <c r="R486" s="176"/>
      <c r="S486" s="176"/>
      <c r="T486" s="176"/>
      <c r="U486" s="176"/>
      <c r="V486" s="176"/>
      <c r="W486" s="176"/>
      <c r="X486" s="176"/>
      <c r="Y486" s="176"/>
      <c r="Z486" s="176"/>
      <c r="AA486" s="176"/>
      <c r="AB486" s="176"/>
      <c r="AC486" s="176"/>
      <c r="AD486" s="176"/>
      <c r="AE486" s="176"/>
      <c r="AF486" s="176"/>
      <c r="AG486" s="176"/>
      <c r="AH486" s="176"/>
      <c r="AI486" s="176"/>
      <c r="AJ486" s="176"/>
      <c r="AK486" s="176"/>
      <c r="AL486" s="176"/>
      <c r="AM486" s="176"/>
      <c r="AN486" s="176"/>
      <c r="AO486" s="176"/>
      <c r="AP486" s="176"/>
      <c r="AQ486" s="176"/>
      <c r="AR486" s="176"/>
      <c r="AS486" s="176"/>
      <c r="AT486" s="176"/>
      <c r="AU486" s="176"/>
      <c r="AV486" s="176"/>
      <c r="AW486" s="176"/>
      <c r="AX486" s="176"/>
      <c r="AY486" s="176"/>
      <c r="AZ486" s="176"/>
      <c r="BA486" s="176"/>
      <c r="BB486" s="176"/>
      <c r="BC486" s="176"/>
      <c r="BD486" s="176"/>
    </row>
    <row r="487" ht="15.75" customHeight="1">
      <c r="A487" s="176"/>
      <c r="B487" s="176"/>
      <c r="C487" s="176"/>
      <c r="D487" s="176"/>
      <c r="E487" s="176"/>
      <c r="F487" s="176"/>
      <c r="G487" s="178"/>
      <c r="H487" s="176"/>
      <c r="I487" s="176"/>
      <c r="J487" s="176"/>
      <c r="K487" s="176"/>
      <c r="L487" s="176"/>
      <c r="M487" s="176"/>
      <c r="N487" s="176"/>
      <c r="O487" s="176"/>
      <c r="P487" s="176"/>
      <c r="Q487" s="176"/>
      <c r="R487" s="176"/>
      <c r="S487" s="176"/>
      <c r="T487" s="176"/>
      <c r="U487" s="176"/>
      <c r="V487" s="176"/>
      <c r="W487" s="176"/>
      <c r="X487" s="176"/>
      <c r="Y487" s="176"/>
      <c r="Z487" s="176"/>
      <c r="AA487" s="176"/>
      <c r="AB487" s="176"/>
      <c r="AC487" s="176"/>
      <c r="AD487" s="176"/>
      <c r="AE487" s="176"/>
      <c r="AF487" s="176"/>
      <c r="AG487" s="176"/>
      <c r="AH487" s="176"/>
      <c r="AI487" s="176"/>
      <c r="AJ487" s="176"/>
      <c r="AK487" s="176"/>
      <c r="AL487" s="176"/>
      <c r="AM487" s="176"/>
      <c r="AN487" s="176"/>
      <c r="AO487" s="176"/>
      <c r="AP487" s="176"/>
      <c r="AQ487" s="176"/>
      <c r="AR487" s="176"/>
      <c r="AS487" s="176"/>
      <c r="AT487" s="176"/>
      <c r="AU487" s="176"/>
      <c r="AV487" s="176"/>
      <c r="AW487" s="176"/>
      <c r="AX487" s="176"/>
      <c r="AY487" s="176"/>
      <c r="AZ487" s="176"/>
      <c r="BA487" s="176"/>
      <c r="BB487" s="176"/>
      <c r="BC487" s="176"/>
      <c r="BD487" s="176"/>
    </row>
    <row r="488" ht="15.75" customHeight="1">
      <c r="A488" s="176"/>
      <c r="B488" s="176"/>
      <c r="C488" s="176"/>
      <c r="D488" s="176"/>
      <c r="E488" s="176"/>
      <c r="F488" s="176"/>
      <c r="G488" s="178"/>
      <c r="H488" s="176"/>
      <c r="I488" s="176"/>
      <c r="J488" s="176"/>
      <c r="K488" s="176"/>
      <c r="L488" s="176"/>
      <c r="M488" s="176"/>
      <c r="N488" s="176"/>
      <c r="O488" s="176"/>
      <c r="P488" s="176"/>
      <c r="Q488" s="176"/>
      <c r="R488" s="176"/>
      <c r="S488" s="176"/>
      <c r="T488" s="176"/>
      <c r="U488" s="176"/>
      <c r="V488" s="176"/>
      <c r="W488" s="176"/>
      <c r="X488" s="176"/>
      <c r="Y488" s="176"/>
      <c r="Z488" s="176"/>
      <c r="AA488" s="176"/>
      <c r="AB488" s="176"/>
      <c r="AC488" s="176"/>
      <c r="AD488" s="176"/>
      <c r="AE488" s="176"/>
      <c r="AF488" s="176"/>
      <c r="AG488" s="176"/>
      <c r="AH488" s="176"/>
      <c r="AI488" s="176"/>
      <c r="AJ488" s="176"/>
      <c r="AK488" s="176"/>
      <c r="AL488" s="176"/>
      <c r="AM488" s="176"/>
      <c r="AN488" s="176"/>
      <c r="AO488" s="176"/>
      <c r="AP488" s="176"/>
      <c r="AQ488" s="176"/>
      <c r="AR488" s="176"/>
      <c r="AS488" s="176"/>
      <c r="AT488" s="176"/>
      <c r="AU488" s="176"/>
      <c r="AV488" s="176"/>
      <c r="AW488" s="176"/>
      <c r="AX488" s="176"/>
      <c r="AY488" s="176"/>
      <c r="AZ488" s="176"/>
      <c r="BA488" s="176"/>
      <c r="BB488" s="176"/>
      <c r="BC488" s="176"/>
      <c r="BD488" s="176"/>
    </row>
    <row r="489" ht="15.75" customHeight="1">
      <c r="A489" s="176"/>
      <c r="B489" s="176"/>
      <c r="C489" s="176"/>
      <c r="D489" s="176"/>
      <c r="E489" s="176"/>
      <c r="F489" s="176"/>
      <c r="G489" s="178"/>
      <c r="H489" s="176"/>
      <c r="I489" s="176"/>
      <c r="J489" s="176"/>
      <c r="K489" s="176"/>
      <c r="L489" s="176"/>
      <c r="M489" s="176"/>
      <c r="N489" s="176"/>
      <c r="O489" s="176"/>
      <c r="P489" s="176"/>
      <c r="Q489" s="176"/>
      <c r="R489" s="176"/>
      <c r="S489" s="176"/>
      <c r="T489" s="176"/>
      <c r="U489" s="176"/>
      <c r="V489" s="176"/>
      <c r="W489" s="176"/>
      <c r="X489" s="176"/>
      <c r="Y489" s="176"/>
      <c r="Z489" s="176"/>
      <c r="AA489" s="176"/>
      <c r="AB489" s="176"/>
      <c r="AC489" s="176"/>
      <c r="AD489" s="176"/>
      <c r="AE489" s="176"/>
      <c r="AF489" s="176"/>
      <c r="AG489" s="176"/>
      <c r="AH489" s="176"/>
      <c r="AI489" s="176"/>
      <c r="AJ489" s="176"/>
      <c r="AK489" s="176"/>
      <c r="AL489" s="176"/>
      <c r="AM489" s="176"/>
      <c r="AN489" s="176"/>
      <c r="AO489" s="176"/>
      <c r="AP489" s="176"/>
      <c r="AQ489" s="176"/>
      <c r="AR489" s="176"/>
      <c r="AS489" s="176"/>
      <c r="AT489" s="176"/>
      <c r="AU489" s="176"/>
      <c r="AV489" s="176"/>
      <c r="AW489" s="176"/>
      <c r="AX489" s="176"/>
      <c r="AY489" s="176"/>
      <c r="AZ489" s="176"/>
      <c r="BA489" s="176"/>
      <c r="BB489" s="176"/>
      <c r="BC489" s="176"/>
      <c r="BD489" s="176"/>
    </row>
    <row r="490" ht="15.75" customHeight="1">
      <c r="A490" s="176"/>
      <c r="B490" s="176"/>
      <c r="C490" s="176"/>
      <c r="D490" s="176"/>
      <c r="E490" s="176"/>
      <c r="F490" s="176"/>
      <c r="G490" s="178"/>
      <c r="H490" s="176"/>
      <c r="I490" s="176"/>
      <c r="J490" s="176"/>
      <c r="K490" s="176"/>
      <c r="L490" s="176"/>
      <c r="M490" s="176"/>
      <c r="N490" s="176"/>
      <c r="O490" s="176"/>
      <c r="P490" s="176"/>
      <c r="Q490" s="176"/>
      <c r="R490" s="176"/>
      <c r="S490" s="176"/>
      <c r="T490" s="176"/>
      <c r="U490" s="176"/>
      <c r="V490" s="176"/>
      <c r="W490" s="176"/>
      <c r="X490" s="176"/>
      <c r="Y490" s="176"/>
      <c r="Z490" s="176"/>
      <c r="AA490" s="176"/>
      <c r="AB490" s="176"/>
      <c r="AC490" s="176"/>
      <c r="AD490" s="176"/>
      <c r="AE490" s="176"/>
      <c r="AF490" s="176"/>
      <c r="AG490" s="176"/>
      <c r="AH490" s="176"/>
      <c r="AI490" s="176"/>
      <c r="AJ490" s="176"/>
      <c r="AK490" s="176"/>
      <c r="AL490" s="176"/>
      <c r="AM490" s="176"/>
      <c r="AN490" s="176"/>
      <c r="AO490" s="176"/>
      <c r="AP490" s="176"/>
      <c r="AQ490" s="176"/>
      <c r="AR490" s="176"/>
      <c r="AS490" s="176"/>
      <c r="AT490" s="176"/>
      <c r="AU490" s="176"/>
      <c r="AV490" s="176"/>
      <c r="AW490" s="176"/>
      <c r="AX490" s="176"/>
      <c r="AY490" s="176"/>
      <c r="AZ490" s="176"/>
      <c r="BA490" s="176"/>
      <c r="BB490" s="176"/>
      <c r="BC490" s="176"/>
      <c r="BD490" s="176"/>
    </row>
    <row r="491" ht="15.75" customHeight="1">
      <c r="A491" s="176"/>
      <c r="B491" s="176"/>
      <c r="C491" s="176"/>
      <c r="D491" s="176"/>
      <c r="E491" s="176"/>
      <c r="F491" s="176"/>
      <c r="G491" s="178"/>
      <c r="H491" s="176"/>
      <c r="I491" s="176"/>
      <c r="J491" s="176"/>
      <c r="K491" s="176"/>
      <c r="L491" s="176"/>
      <c r="M491" s="176"/>
      <c r="N491" s="176"/>
      <c r="O491" s="176"/>
      <c r="P491" s="176"/>
      <c r="Q491" s="176"/>
      <c r="R491" s="176"/>
      <c r="S491" s="176"/>
      <c r="T491" s="176"/>
      <c r="U491" s="176"/>
      <c r="V491" s="176"/>
      <c r="W491" s="176"/>
      <c r="X491" s="176"/>
      <c r="Y491" s="176"/>
      <c r="Z491" s="176"/>
      <c r="AA491" s="176"/>
      <c r="AB491" s="176"/>
      <c r="AC491" s="176"/>
      <c r="AD491" s="176"/>
      <c r="AE491" s="176"/>
      <c r="AF491" s="176"/>
      <c r="AG491" s="176"/>
      <c r="AH491" s="176"/>
      <c r="AI491" s="176"/>
      <c r="AJ491" s="176"/>
      <c r="AK491" s="176"/>
      <c r="AL491" s="176"/>
      <c r="AM491" s="176"/>
      <c r="AN491" s="176"/>
      <c r="AO491" s="176"/>
      <c r="AP491" s="176"/>
      <c r="AQ491" s="176"/>
      <c r="AR491" s="176"/>
      <c r="AS491" s="176"/>
      <c r="AT491" s="176"/>
      <c r="AU491" s="176"/>
      <c r="AV491" s="176"/>
      <c r="AW491" s="176"/>
      <c r="AX491" s="176"/>
      <c r="AY491" s="176"/>
      <c r="AZ491" s="176"/>
      <c r="BA491" s="176"/>
      <c r="BB491" s="176"/>
      <c r="BC491" s="176"/>
      <c r="BD491" s="176"/>
    </row>
    <row r="492" ht="15.75" customHeight="1">
      <c r="A492" s="176"/>
      <c r="B492" s="176"/>
      <c r="C492" s="176"/>
      <c r="D492" s="176"/>
      <c r="E492" s="176"/>
      <c r="F492" s="176"/>
      <c r="G492" s="178"/>
      <c r="H492" s="176"/>
      <c r="I492" s="176"/>
      <c r="J492" s="176"/>
      <c r="K492" s="176"/>
      <c r="L492" s="176"/>
      <c r="M492" s="176"/>
      <c r="N492" s="176"/>
      <c r="O492" s="176"/>
      <c r="P492" s="176"/>
      <c r="Q492" s="176"/>
      <c r="R492" s="176"/>
      <c r="S492" s="176"/>
      <c r="T492" s="176"/>
      <c r="U492" s="176"/>
      <c r="V492" s="176"/>
      <c r="W492" s="176"/>
      <c r="X492" s="176"/>
      <c r="Y492" s="176"/>
      <c r="Z492" s="176"/>
      <c r="AA492" s="176"/>
      <c r="AB492" s="176"/>
      <c r="AC492" s="176"/>
      <c r="AD492" s="176"/>
      <c r="AE492" s="176"/>
      <c r="AF492" s="176"/>
      <c r="AG492" s="176"/>
      <c r="AH492" s="176"/>
      <c r="AI492" s="176"/>
      <c r="AJ492" s="176"/>
      <c r="AK492" s="176"/>
      <c r="AL492" s="176"/>
      <c r="AM492" s="176"/>
      <c r="AN492" s="176"/>
      <c r="AO492" s="176"/>
      <c r="AP492" s="176"/>
      <c r="AQ492" s="176"/>
      <c r="AR492" s="176"/>
      <c r="AS492" s="176"/>
      <c r="AT492" s="176"/>
      <c r="AU492" s="176"/>
      <c r="AV492" s="176"/>
      <c r="AW492" s="176"/>
      <c r="AX492" s="176"/>
      <c r="AY492" s="176"/>
      <c r="AZ492" s="176"/>
      <c r="BA492" s="176"/>
      <c r="BB492" s="176"/>
      <c r="BC492" s="176"/>
      <c r="BD492" s="176"/>
    </row>
    <row r="493" ht="15.75" customHeight="1">
      <c r="A493" s="176"/>
      <c r="B493" s="176"/>
      <c r="C493" s="176"/>
      <c r="D493" s="176"/>
      <c r="E493" s="176"/>
      <c r="F493" s="176"/>
      <c r="G493" s="178"/>
      <c r="H493" s="176"/>
      <c r="I493" s="176"/>
      <c r="J493" s="176"/>
      <c r="K493" s="176"/>
      <c r="L493" s="176"/>
      <c r="M493" s="176"/>
      <c r="N493" s="176"/>
      <c r="O493" s="176"/>
      <c r="P493" s="176"/>
      <c r="Q493" s="176"/>
      <c r="R493" s="176"/>
      <c r="S493" s="176"/>
      <c r="T493" s="176"/>
      <c r="U493" s="176"/>
      <c r="V493" s="176"/>
      <c r="W493" s="176"/>
      <c r="X493" s="176"/>
      <c r="Y493" s="176"/>
      <c r="Z493" s="176"/>
      <c r="AA493" s="176"/>
      <c r="AB493" s="176"/>
      <c r="AC493" s="176"/>
      <c r="AD493" s="176"/>
      <c r="AE493" s="176"/>
      <c r="AF493" s="176"/>
      <c r="AG493" s="176"/>
      <c r="AH493" s="176"/>
      <c r="AI493" s="176"/>
      <c r="AJ493" s="176"/>
      <c r="AK493" s="176"/>
      <c r="AL493" s="176"/>
      <c r="AM493" s="176"/>
      <c r="AN493" s="176"/>
      <c r="AO493" s="176"/>
      <c r="AP493" s="176"/>
      <c r="AQ493" s="176"/>
      <c r="AR493" s="176"/>
      <c r="AS493" s="176"/>
      <c r="AT493" s="176"/>
      <c r="AU493" s="176"/>
      <c r="AV493" s="176"/>
      <c r="AW493" s="176"/>
      <c r="AX493" s="176"/>
      <c r="AY493" s="176"/>
      <c r="AZ493" s="176"/>
      <c r="BA493" s="176"/>
      <c r="BB493" s="176"/>
      <c r="BC493" s="176"/>
      <c r="BD493" s="176"/>
    </row>
    <row r="494" ht="15.75" customHeight="1">
      <c r="A494" s="176"/>
      <c r="B494" s="176"/>
      <c r="C494" s="176"/>
      <c r="D494" s="176"/>
      <c r="E494" s="176"/>
      <c r="F494" s="176"/>
      <c r="G494" s="178"/>
      <c r="H494" s="176"/>
      <c r="I494" s="176"/>
      <c r="J494" s="176"/>
      <c r="K494" s="176"/>
      <c r="L494" s="176"/>
      <c r="M494" s="176"/>
      <c r="N494" s="176"/>
      <c r="O494" s="176"/>
      <c r="P494" s="176"/>
      <c r="Q494" s="176"/>
      <c r="R494" s="176"/>
      <c r="S494" s="176"/>
      <c r="T494" s="176"/>
      <c r="U494" s="176"/>
      <c r="V494" s="176"/>
      <c r="W494" s="176"/>
      <c r="X494" s="176"/>
      <c r="Y494" s="176"/>
      <c r="Z494" s="176"/>
      <c r="AA494" s="176"/>
      <c r="AB494" s="176"/>
      <c r="AC494" s="176"/>
      <c r="AD494" s="176"/>
      <c r="AE494" s="176"/>
      <c r="AF494" s="176"/>
      <c r="AG494" s="176"/>
      <c r="AH494" s="176"/>
      <c r="AI494" s="176"/>
      <c r="AJ494" s="176"/>
      <c r="AK494" s="176"/>
      <c r="AL494" s="176"/>
      <c r="AM494" s="176"/>
      <c r="AN494" s="176"/>
      <c r="AO494" s="176"/>
      <c r="AP494" s="176"/>
      <c r="AQ494" s="176"/>
      <c r="AR494" s="176"/>
      <c r="AS494" s="176"/>
      <c r="AT494" s="176"/>
      <c r="AU494" s="176"/>
      <c r="AV494" s="176"/>
      <c r="AW494" s="176"/>
      <c r="AX494" s="176"/>
      <c r="AY494" s="176"/>
      <c r="AZ494" s="176"/>
      <c r="BA494" s="176"/>
      <c r="BB494" s="176"/>
      <c r="BC494" s="176"/>
      <c r="BD494" s="176"/>
    </row>
    <row r="495" ht="15.75" customHeight="1">
      <c r="A495" s="176"/>
      <c r="B495" s="176"/>
      <c r="C495" s="176"/>
      <c r="D495" s="176"/>
      <c r="E495" s="176"/>
      <c r="F495" s="176"/>
      <c r="G495" s="178"/>
      <c r="H495" s="176"/>
      <c r="I495" s="176"/>
      <c r="J495" s="176"/>
      <c r="K495" s="176"/>
      <c r="L495" s="176"/>
      <c r="M495" s="176"/>
      <c r="N495" s="176"/>
      <c r="O495" s="176"/>
      <c r="P495" s="176"/>
      <c r="Q495" s="176"/>
      <c r="R495" s="176"/>
      <c r="S495" s="176"/>
      <c r="T495" s="176"/>
      <c r="U495" s="176"/>
      <c r="V495" s="176"/>
      <c r="W495" s="176"/>
      <c r="X495" s="176"/>
      <c r="Y495" s="176"/>
      <c r="Z495" s="176"/>
      <c r="AA495" s="176"/>
      <c r="AB495" s="176"/>
      <c r="AC495" s="176"/>
      <c r="AD495" s="176"/>
      <c r="AE495" s="176"/>
      <c r="AF495" s="176"/>
      <c r="AG495" s="176"/>
      <c r="AH495" s="176"/>
      <c r="AI495" s="176"/>
      <c r="AJ495" s="176"/>
      <c r="AK495" s="176"/>
      <c r="AL495" s="176"/>
      <c r="AM495" s="176"/>
      <c r="AN495" s="176"/>
      <c r="AO495" s="176"/>
      <c r="AP495" s="176"/>
      <c r="AQ495" s="176"/>
      <c r="AR495" s="176"/>
      <c r="AS495" s="176"/>
      <c r="AT495" s="176"/>
      <c r="AU495" s="176"/>
      <c r="AV495" s="176"/>
      <c r="AW495" s="176"/>
      <c r="AX495" s="176"/>
      <c r="AY495" s="176"/>
      <c r="AZ495" s="176"/>
      <c r="BA495" s="176"/>
      <c r="BB495" s="176"/>
      <c r="BC495" s="176"/>
      <c r="BD495" s="176"/>
    </row>
    <row r="496" ht="15.75" customHeight="1">
      <c r="A496" s="176"/>
      <c r="B496" s="176"/>
      <c r="C496" s="176"/>
      <c r="D496" s="176"/>
      <c r="E496" s="176"/>
      <c r="F496" s="176"/>
      <c r="G496" s="178"/>
      <c r="H496" s="176"/>
      <c r="I496" s="176"/>
      <c r="J496" s="176"/>
      <c r="K496" s="176"/>
      <c r="L496" s="176"/>
      <c r="M496" s="176"/>
      <c r="N496" s="176"/>
      <c r="O496" s="176"/>
      <c r="P496" s="176"/>
      <c r="Q496" s="176"/>
      <c r="R496" s="176"/>
      <c r="S496" s="176"/>
      <c r="T496" s="176"/>
      <c r="U496" s="176"/>
      <c r="V496" s="176"/>
      <c r="W496" s="176"/>
      <c r="X496" s="176"/>
      <c r="Y496" s="176"/>
      <c r="Z496" s="176"/>
      <c r="AA496" s="176"/>
      <c r="AB496" s="176"/>
      <c r="AC496" s="176"/>
      <c r="AD496" s="176"/>
      <c r="AE496" s="176"/>
      <c r="AF496" s="176"/>
      <c r="AG496" s="176"/>
      <c r="AH496" s="176"/>
      <c r="AI496" s="176"/>
      <c r="AJ496" s="176"/>
      <c r="AK496" s="176"/>
      <c r="AL496" s="176"/>
      <c r="AM496" s="176"/>
      <c r="AN496" s="176"/>
      <c r="AO496" s="176"/>
      <c r="AP496" s="176"/>
      <c r="AQ496" s="176"/>
      <c r="AR496" s="176"/>
      <c r="AS496" s="176"/>
      <c r="AT496" s="176"/>
      <c r="AU496" s="176"/>
      <c r="AV496" s="176"/>
      <c r="AW496" s="176"/>
      <c r="AX496" s="176"/>
      <c r="AY496" s="176"/>
      <c r="AZ496" s="176"/>
      <c r="BA496" s="176"/>
      <c r="BB496" s="176"/>
      <c r="BC496" s="176"/>
      <c r="BD496" s="176"/>
    </row>
    <row r="497" ht="15.75" customHeight="1">
      <c r="A497" s="176"/>
      <c r="B497" s="176"/>
      <c r="C497" s="176"/>
      <c r="D497" s="176"/>
      <c r="E497" s="176"/>
      <c r="F497" s="176"/>
      <c r="G497" s="178"/>
      <c r="H497" s="176"/>
      <c r="I497" s="176"/>
      <c r="J497" s="176"/>
      <c r="K497" s="176"/>
      <c r="L497" s="176"/>
      <c r="M497" s="176"/>
      <c r="N497" s="176"/>
      <c r="O497" s="176"/>
      <c r="P497" s="176"/>
      <c r="Q497" s="176"/>
      <c r="R497" s="176"/>
      <c r="S497" s="176"/>
      <c r="T497" s="176"/>
      <c r="U497" s="176"/>
      <c r="V497" s="176"/>
      <c r="W497" s="176"/>
      <c r="X497" s="176"/>
      <c r="Y497" s="176"/>
      <c r="Z497" s="176"/>
      <c r="AA497" s="176"/>
      <c r="AB497" s="176"/>
      <c r="AC497" s="176"/>
      <c r="AD497" s="176"/>
      <c r="AE497" s="176"/>
      <c r="AF497" s="176"/>
      <c r="AG497" s="176"/>
      <c r="AH497" s="176"/>
      <c r="AI497" s="176"/>
      <c r="AJ497" s="176"/>
      <c r="AK497" s="176"/>
      <c r="AL497" s="176"/>
      <c r="AM497" s="176"/>
      <c r="AN497" s="176"/>
      <c r="AO497" s="176"/>
      <c r="AP497" s="176"/>
      <c r="AQ497" s="176"/>
      <c r="AR497" s="176"/>
      <c r="AS497" s="176"/>
      <c r="AT497" s="176"/>
      <c r="AU497" s="176"/>
      <c r="AV497" s="176"/>
      <c r="AW497" s="176"/>
      <c r="AX497" s="176"/>
      <c r="AY497" s="176"/>
      <c r="AZ497" s="176"/>
      <c r="BA497" s="176"/>
      <c r="BB497" s="176"/>
      <c r="BC497" s="176"/>
      <c r="BD497" s="176"/>
    </row>
    <row r="498" ht="15.75" customHeight="1">
      <c r="A498" s="176"/>
      <c r="B498" s="176"/>
      <c r="C498" s="176"/>
      <c r="D498" s="176"/>
      <c r="E498" s="176"/>
      <c r="F498" s="176"/>
      <c r="G498" s="178"/>
      <c r="H498" s="176"/>
      <c r="I498" s="176"/>
      <c r="J498" s="176"/>
      <c r="K498" s="176"/>
      <c r="L498" s="176"/>
      <c r="M498" s="176"/>
      <c r="N498" s="176"/>
      <c r="O498" s="176"/>
      <c r="P498" s="176"/>
      <c r="Q498" s="176"/>
      <c r="R498" s="176"/>
      <c r="S498" s="176"/>
      <c r="T498" s="176"/>
      <c r="U498" s="176"/>
      <c r="V498" s="176"/>
      <c r="W498" s="176"/>
      <c r="X498" s="176"/>
      <c r="Y498" s="176"/>
      <c r="Z498" s="176"/>
      <c r="AA498" s="176"/>
      <c r="AB498" s="176"/>
      <c r="AC498" s="176"/>
      <c r="AD498" s="176"/>
      <c r="AE498" s="176"/>
      <c r="AF498" s="176"/>
      <c r="AG498" s="176"/>
      <c r="AH498" s="176"/>
      <c r="AI498" s="176"/>
      <c r="AJ498" s="176"/>
      <c r="AK498" s="176"/>
      <c r="AL498" s="176"/>
      <c r="AM498" s="176"/>
      <c r="AN498" s="176"/>
      <c r="AO498" s="176"/>
      <c r="AP498" s="176"/>
      <c r="AQ498" s="176"/>
      <c r="AR498" s="176"/>
      <c r="AS498" s="176"/>
      <c r="AT498" s="176"/>
      <c r="AU498" s="176"/>
      <c r="AV498" s="176"/>
      <c r="AW498" s="176"/>
      <c r="AX498" s="176"/>
      <c r="AY498" s="176"/>
      <c r="AZ498" s="176"/>
      <c r="BA498" s="176"/>
      <c r="BB498" s="176"/>
      <c r="BC498" s="176"/>
      <c r="BD498" s="176"/>
    </row>
    <row r="499" ht="15.75" customHeight="1">
      <c r="A499" s="176"/>
      <c r="B499" s="176"/>
      <c r="C499" s="176"/>
      <c r="D499" s="176"/>
      <c r="E499" s="176"/>
      <c r="F499" s="176"/>
      <c r="G499" s="178"/>
      <c r="H499" s="176"/>
      <c r="I499" s="176"/>
      <c r="J499" s="176"/>
      <c r="K499" s="176"/>
      <c r="L499" s="176"/>
      <c r="M499" s="176"/>
      <c r="N499" s="176"/>
      <c r="O499" s="176"/>
      <c r="P499" s="176"/>
      <c r="Q499" s="176"/>
      <c r="R499" s="176"/>
      <c r="S499" s="176"/>
      <c r="T499" s="176"/>
      <c r="U499" s="176"/>
      <c r="V499" s="176"/>
      <c r="W499" s="176"/>
      <c r="X499" s="176"/>
      <c r="Y499" s="176"/>
      <c r="Z499" s="176"/>
      <c r="AA499" s="176"/>
      <c r="AB499" s="176"/>
      <c r="AC499" s="176"/>
      <c r="AD499" s="176"/>
      <c r="AE499" s="176"/>
      <c r="AF499" s="176"/>
      <c r="AG499" s="176"/>
      <c r="AH499" s="176"/>
      <c r="AI499" s="176"/>
      <c r="AJ499" s="176"/>
      <c r="AK499" s="176"/>
      <c r="AL499" s="176"/>
      <c r="AM499" s="176"/>
      <c r="AN499" s="176"/>
      <c r="AO499" s="176"/>
      <c r="AP499" s="176"/>
      <c r="AQ499" s="176"/>
      <c r="AR499" s="176"/>
      <c r="AS499" s="176"/>
      <c r="AT499" s="176"/>
      <c r="AU499" s="176"/>
      <c r="AV499" s="176"/>
      <c r="AW499" s="176"/>
      <c r="AX499" s="176"/>
      <c r="AY499" s="176"/>
      <c r="AZ499" s="176"/>
      <c r="BA499" s="176"/>
      <c r="BB499" s="176"/>
      <c r="BC499" s="176"/>
      <c r="BD499" s="176"/>
    </row>
    <row r="500" ht="15.75" customHeight="1">
      <c r="A500" s="176"/>
      <c r="B500" s="176"/>
      <c r="C500" s="176"/>
      <c r="D500" s="176"/>
      <c r="E500" s="176"/>
      <c r="F500" s="176"/>
      <c r="G500" s="178"/>
      <c r="H500" s="176"/>
      <c r="I500" s="176"/>
      <c r="J500" s="176"/>
      <c r="K500" s="176"/>
      <c r="L500" s="176"/>
      <c r="M500" s="176"/>
      <c r="N500" s="176"/>
      <c r="O500" s="176"/>
      <c r="P500" s="176"/>
      <c r="Q500" s="176"/>
      <c r="R500" s="176"/>
      <c r="S500" s="176"/>
      <c r="T500" s="176"/>
      <c r="U500" s="176"/>
      <c r="V500" s="176"/>
      <c r="W500" s="176"/>
      <c r="X500" s="176"/>
      <c r="Y500" s="176"/>
      <c r="Z500" s="176"/>
      <c r="AA500" s="176"/>
      <c r="AB500" s="176"/>
      <c r="AC500" s="176"/>
      <c r="AD500" s="176"/>
      <c r="AE500" s="176"/>
      <c r="AF500" s="176"/>
      <c r="AG500" s="176"/>
      <c r="AH500" s="176"/>
      <c r="AI500" s="176"/>
      <c r="AJ500" s="176"/>
      <c r="AK500" s="176"/>
      <c r="AL500" s="176"/>
      <c r="AM500" s="176"/>
      <c r="AN500" s="176"/>
      <c r="AO500" s="176"/>
      <c r="AP500" s="176"/>
      <c r="AQ500" s="176"/>
      <c r="AR500" s="176"/>
      <c r="AS500" s="176"/>
      <c r="AT500" s="176"/>
      <c r="AU500" s="176"/>
      <c r="AV500" s="176"/>
      <c r="AW500" s="176"/>
      <c r="AX500" s="176"/>
      <c r="AY500" s="176"/>
      <c r="AZ500" s="176"/>
      <c r="BA500" s="176"/>
      <c r="BB500" s="176"/>
      <c r="BC500" s="176"/>
      <c r="BD500" s="176"/>
    </row>
    <row r="501" ht="15.75" customHeight="1">
      <c r="A501" s="176"/>
      <c r="B501" s="176"/>
      <c r="C501" s="176"/>
      <c r="D501" s="176"/>
      <c r="E501" s="176"/>
      <c r="F501" s="176"/>
      <c r="G501" s="178"/>
      <c r="H501" s="176"/>
      <c r="I501" s="176"/>
      <c r="J501" s="176"/>
      <c r="K501" s="176"/>
      <c r="L501" s="176"/>
      <c r="M501" s="176"/>
      <c r="N501" s="176"/>
      <c r="O501" s="176"/>
      <c r="P501" s="176"/>
      <c r="Q501" s="176"/>
      <c r="R501" s="176"/>
      <c r="S501" s="176"/>
      <c r="T501" s="176"/>
      <c r="U501" s="176"/>
      <c r="V501" s="176"/>
      <c r="W501" s="176"/>
      <c r="X501" s="176"/>
      <c r="Y501" s="176"/>
      <c r="Z501" s="176"/>
      <c r="AA501" s="176"/>
      <c r="AB501" s="176"/>
      <c r="AC501" s="176"/>
      <c r="AD501" s="176"/>
      <c r="AE501" s="176"/>
      <c r="AF501" s="176"/>
      <c r="AG501" s="176"/>
      <c r="AH501" s="176"/>
      <c r="AI501" s="176"/>
      <c r="AJ501" s="176"/>
      <c r="AK501" s="176"/>
      <c r="AL501" s="176"/>
      <c r="AM501" s="176"/>
      <c r="AN501" s="176"/>
      <c r="AO501" s="176"/>
      <c r="AP501" s="176"/>
      <c r="AQ501" s="176"/>
      <c r="AR501" s="176"/>
      <c r="AS501" s="176"/>
      <c r="AT501" s="176"/>
      <c r="AU501" s="176"/>
      <c r="AV501" s="176"/>
      <c r="AW501" s="176"/>
      <c r="AX501" s="176"/>
      <c r="AY501" s="176"/>
      <c r="AZ501" s="176"/>
      <c r="BA501" s="176"/>
      <c r="BB501" s="176"/>
      <c r="BC501" s="176"/>
      <c r="BD501" s="176"/>
    </row>
    <row r="502" ht="15.75" customHeight="1">
      <c r="A502" s="176"/>
      <c r="B502" s="176"/>
      <c r="C502" s="176"/>
      <c r="D502" s="176"/>
      <c r="E502" s="176"/>
      <c r="F502" s="176"/>
      <c r="G502" s="178"/>
      <c r="H502" s="176"/>
      <c r="I502" s="176"/>
      <c r="J502" s="176"/>
      <c r="K502" s="176"/>
      <c r="L502" s="176"/>
      <c r="M502" s="176"/>
      <c r="N502" s="176"/>
      <c r="O502" s="176"/>
      <c r="P502" s="176"/>
      <c r="Q502" s="176"/>
      <c r="R502" s="176"/>
      <c r="S502" s="176"/>
      <c r="T502" s="176"/>
      <c r="U502" s="176"/>
      <c r="V502" s="176"/>
      <c r="W502" s="176"/>
      <c r="X502" s="176"/>
      <c r="Y502" s="176"/>
      <c r="Z502" s="176"/>
      <c r="AA502" s="176"/>
      <c r="AB502" s="176"/>
      <c r="AC502" s="176"/>
      <c r="AD502" s="176"/>
      <c r="AE502" s="176"/>
      <c r="AF502" s="176"/>
      <c r="AG502" s="176"/>
      <c r="AH502" s="176"/>
      <c r="AI502" s="176"/>
      <c r="AJ502" s="176"/>
      <c r="AK502" s="176"/>
      <c r="AL502" s="176"/>
      <c r="AM502" s="176"/>
      <c r="AN502" s="176"/>
      <c r="AO502" s="176"/>
      <c r="AP502" s="176"/>
      <c r="AQ502" s="176"/>
      <c r="AR502" s="176"/>
      <c r="AS502" s="176"/>
      <c r="AT502" s="176"/>
      <c r="AU502" s="176"/>
      <c r="AV502" s="176"/>
      <c r="AW502" s="176"/>
      <c r="AX502" s="176"/>
      <c r="AY502" s="176"/>
      <c r="AZ502" s="176"/>
      <c r="BA502" s="176"/>
      <c r="BB502" s="176"/>
      <c r="BC502" s="176"/>
      <c r="BD502" s="176"/>
    </row>
    <row r="503" ht="15.75" customHeight="1">
      <c r="A503" s="176"/>
      <c r="B503" s="176"/>
      <c r="C503" s="176"/>
      <c r="D503" s="176"/>
      <c r="E503" s="176"/>
      <c r="F503" s="176"/>
      <c r="G503" s="178"/>
      <c r="H503" s="176"/>
      <c r="I503" s="176"/>
      <c r="J503" s="176"/>
      <c r="K503" s="176"/>
      <c r="L503" s="176"/>
      <c r="M503" s="176"/>
      <c r="N503" s="176"/>
      <c r="O503" s="176"/>
      <c r="P503" s="176"/>
      <c r="Q503" s="176"/>
      <c r="R503" s="176"/>
      <c r="S503" s="176"/>
      <c r="T503" s="176"/>
      <c r="U503" s="176"/>
      <c r="V503" s="176"/>
      <c r="W503" s="176"/>
      <c r="X503" s="176"/>
      <c r="Y503" s="176"/>
      <c r="Z503" s="176"/>
      <c r="AA503" s="176"/>
      <c r="AB503" s="176"/>
      <c r="AC503" s="176"/>
      <c r="AD503" s="176"/>
      <c r="AE503" s="176"/>
      <c r="AF503" s="176"/>
      <c r="AG503" s="176"/>
      <c r="AH503" s="176"/>
      <c r="AI503" s="176"/>
      <c r="AJ503" s="176"/>
      <c r="AK503" s="176"/>
      <c r="AL503" s="176"/>
      <c r="AM503" s="176"/>
      <c r="AN503" s="176"/>
      <c r="AO503" s="176"/>
      <c r="AP503" s="176"/>
      <c r="AQ503" s="176"/>
      <c r="AR503" s="176"/>
      <c r="AS503" s="176"/>
      <c r="AT503" s="176"/>
      <c r="AU503" s="176"/>
      <c r="AV503" s="176"/>
      <c r="AW503" s="176"/>
      <c r="AX503" s="176"/>
      <c r="AY503" s="176"/>
      <c r="AZ503" s="176"/>
      <c r="BA503" s="176"/>
      <c r="BB503" s="176"/>
      <c r="BC503" s="176"/>
      <c r="BD503" s="176"/>
    </row>
    <row r="504" ht="15.75" customHeight="1">
      <c r="A504" s="176"/>
      <c r="B504" s="176"/>
      <c r="C504" s="176"/>
      <c r="D504" s="176"/>
      <c r="E504" s="176"/>
      <c r="F504" s="176"/>
      <c r="G504" s="178"/>
      <c r="H504" s="176"/>
      <c r="I504" s="176"/>
      <c r="J504" s="176"/>
      <c r="K504" s="176"/>
      <c r="L504" s="176"/>
      <c r="M504" s="176"/>
      <c r="N504" s="176"/>
      <c r="O504" s="176"/>
      <c r="P504" s="176"/>
      <c r="Q504" s="176"/>
      <c r="R504" s="176"/>
      <c r="S504" s="176"/>
      <c r="T504" s="176"/>
      <c r="U504" s="176"/>
      <c r="V504" s="176"/>
      <c r="W504" s="176"/>
      <c r="X504" s="176"/>
      <c r="Y504" s="176"/>
      <c r="Z504" s="176"/>
      <c r="AA504" s="176"/>
      <c r="AB504" s="176"/>
      <c r="AC504" s="176"/>
      <c r="AD504" s="176"/>
      <c r="AE504" s="176"/>
      <c r="AF504" s="176"/>
      <c r="AG504" s="176"/>
      <c r="AH504" s="176"/>
      <c r="AI504" s="176"/>
      <c r="AJ504" s="176"/>
      <c r="AK504" s="176"/>
      <c r="AL504" s="176"/>
      <c r="AM504" s="176"/>
      <c r="AN504" s="176"/>
      <c r="AO504" s="176"/>
      <c r="AP504" s="176"/>
      <c r="AQ504" s="176"/>
      <c r="AR504" s="176"/>
      <c r="AS504" s="176"/>
      <c r="AT504" s="176"/>
      <c r="AU504" s="176"/>
      <c r="AV504" s="176"/>
      <c r="AW504" s="176"/>
      <c r="AX504" s="176"/>
      <c r="AY504" s="176"/>
      <c r="AZ504" s="176"/>
      <c r="BA504" s="176"/>
      <c r="BB504" s="176"/>
      <c r="BC504" s="176"/>
      <c r="BD504" s="176"/>
    </row>
    <row r="505" ht="15.75" customHeight="1">
      <c r="A505" s="176"/>
      <c r="B505" s="176"/>
      <c r="C505" s="176"/>
      <c r="D505" s="176"/>
      <c r="E505" s="176"/>
      <c r="F505" s="176"/>
      <c r="G505" s="178"/>
      <c r="H505" s="176"/>
      <c r="I505" s="176"/>
      <c r="J505" s="176"/>
      <c r="K505" s="176"/>
      <c r="L505" s="176"/>
      <c r="M505" s="176"/>
      <c r="N505" s="176"/>
      <c r="O505" s="176"/>
      <c r="P505" s="176"/>
      <c r="Q505" s="176"/>
      <c r="R505" s="176"/>
      <c r="S505" s="176"/>
      <c r="T505" s="176"/>
      <c r="U505" s="176"/>
      <c r="V505" s="176"/>
      <c r="W505" s="176"/>
      <c r="X505" s="176"/>
      <c r="Y505" s="176"/>
      <c r="Z505" s="176"/>
      <c r="AA505" s="176"/>
      <c r="AB505" s="176"/>
      <c r="AC505" s="176"/>
      <c r="AD505" s="176"/>
      <c r="AE505" s="176"/>
      <c r="AF505" s="176"/>
      <c r="AG505" s="176"/>
      <c r="AH505" s="176"/>
      <c r="AI505" s="176"/>
      <c r="AJ505" s="176"/>
      <c r="AK505" s="176"/>
      <c r="AL505" s="176"/>
      <c r="AM505" s="176"/>
      <c r="AN505" s="176"/>
      <c r="AO505" s="176"/>
      <c r="AP505" s="176"/>
      <c r="AQ505" s="176"/>
      <c r="AR505" s="176"/>
      <c r="AS505" s="176"/>
      <c r="AT505" s="176"/>
      <c r="AU505" s="176"/>
      <c r="AV505" s="176"/>
      <c r="AW505" s="176"/>
      <c r="AX505" s="176"/>
      <c r="AY505" s="176"/>
      <c r="AZ505" s="176"/>
      <c r="BA505" s="176"/>
      <c r="BB505" s="176"/>
      <c r="BC505" s="176"/>
      <c r="BD505" s="176"/>
    </row>
    <row r="506" ht="15.75" customHeight="1">
      <c r="A506" s="176"/>
      <c r="B506" s="176"/>
      <c r="C506" s="176"/>
      <c r="D506" s="176"/>
      <c r="E506" s="176"/>
      <c r="F506" s="176"/>
      <c r="G506" s="178"/>
      <c r="H506" s="176"/>
      <c r="I506" s="176"/>
      <c r="J506" s="176"/>
      <c r="K506" s="176"/>
      <c r="L506" s="176"/>
      <c r="M506" s="176"/>
      <c r="N506" s="176"/>
      <c r="O506" s="176"/>
      <c r="P506" s="176"/>
      <c r="Q506" s="176"/>
      <c r="R506" s="176"/>
      <c r="S506" s="176"/>
      <c r="T506" s="176"/>
      <c r="U506" s="176"/>
      <c r="V506" s="176"/>
      <c r="W506" s="176"/>
      <c r="X506" s="176"/>
      <c r="Y506" s="176"/>
      <c r="Z506" s="176"/>
      <c r="AA506" s="176"/>
      <c r="AB506" s="176"/>
      <c r="AC506" s="176"/>
      <c r="AD506" s="176"/>
      <c r="AE506" s="176"/>
      <c r="AF506" s="176"/>
      <c r="AG506" s="176"/>
      <c r="AH506" s="176"/>
      <c r="AI506" s="176"/>
      <c r="AJ506" s="176"/>
      <c r="AK506" s="176"/>
      <c r="AL506" s="176"/>
      <c r="AM506" s="176"/>
      <c r="AN506" s="176"/>
      <c r="AO506" s="176"/>
      <c r="AP506" s="176"/>
      <c r="AQ506" s="176"/>
      <c r="AR506" s="176"/>
      <c r="AS506" s="176"/>
      <c r="AT506" s="176"/>
      <c r="AU506" s="176"/>
      <c r="AV506" s="176"/>
      <c r="AW506" s="176"/>
      <c r="AX506" s="176"/>
      <c r="AY506" s="176"/>
      <c r="AZ506" s="176"/>
      <c r="BA506" s="176"/>
      <c r="BB506" s="176"/>
      <c r="BC506" s="176"/>
      <c r="BD506" s="176"/>
    </row>
    <row r="507" ht="15.75" customHeight="1">
      <c r="A507" s="176"/>
      <c r="B507" s="176"/>
      <c r="C507" s="176"/>
      <c r="D507" s="176"/>
      <c r="E507" s="176"/>
      <c r="F507" s="176"/>
      <c r="G507" s="178"/>
      <c r="H507" s="176"/>
      <c r="I507" s="176"/>
      <c r="J507" s="176"/>
      <c r="K507" s="176"/>
      <c r="L507" s="176"/>
      <c r="M507" s="176"/>
      <c r="N507" s="176"/>
      <c r="O507" s="176"/>
      <c r="P507" s="176"/>
      <c r="Q507" s="176"/>
      <c r="R507" s="176"/>
      <c r="S507" s="176"/>
      <c r="T507" s="176"/>
      <c r="U507" s="176"/>
      <c r="V507" s="176"/>
      <c r="W507" s="176"/>
      <c r="X507" s="176"/>
      <c r="Y507" s="176"/>
      <c r="Z507" s="176"/>
      <c r="AA507" s="176"/>
      <c r="AB507" s="176"/>
      <c r="AC507" s="176"/>
      <c r="AD507" s="176"/>
      <c r="AE507" s="176"/>
      <c r="AF507" s="176"/>
      <c r="AG507" s="176"/>
      <c r="AH507" s="176"/>
      <c r="AI507" s="176"/>
      <c r="AJ507" s="176"/>
      <c r="AK507" s="176"/>
      <c r="AL507" s="176"/>
      <c r="AM507" s="176"/>
      <c r="AN507" s="176"/>
      <c r="AO507" s="176"/>
      <c r="AP507" s="176"/>
      <c r="AQ507" s="176"/>
      <c r="AR507" s="176"/>
      <c r="AS507" s="176"/>
      <c r="AT507" s="176"/>
      <c r="AU507" s="176"/>
      <c r="AV507" s="176"/>
      <c r="AW507" s="176"/>
      <c r="AX507" s="176"/>
      <c r="AY507" s="176"/>
      <c r="AZ507" s="176"/>
      <c r="BA507" s="176"/>
      <c r="BB507" s="176"/>
      <c r="BC507" s="176"/>
      <c r="BD507" s="176"/>
    </row>
    <row r="508" ht="15.75" customHeight="1">
      <c r="A508" s="176"/>
      <c r="B508" s="176"/>
      <c r="C508" s="176"/>
      <c r="D508" s="176"/>
      <c r="E508" s="176"/>
      <c r="F508" s="176"/>
      <c r="G508" s="178"/>
      <c r="H508" s="176"/>
      <c r="I508" s="176"/>
      <c r="J508" s="176"/>
      <c r="K508" s="176"/>
      <c r="L508" s="176"/>
      <c r="M508" s="176"/>
      <c r="N508" s="176"/>
      <c r="O508" s="176"/>
      <c r="P508" s="176"/>
      <c r="Q508" s="176"/>
      <c r="R508" s="176"/>
      <c r="S508" s="176"/>
      <c r="T508" s="176"/>
      <c r="U508" s="176"/>
      <c r="V508" s="176"/>
      <c r="W508" s="176"/>
      <c r="X508" s="176"/>
      <c r="Y508" s="176"/>
      <c r="Z508" s="176"/>
      <c r="AA508" s="176"/>
      <c r="AB508" s="176"/>
      <c r="AC508" s="176"/>
      <c r="AD508" s="176"/>
      <c r="AE508" s="176"/>
      <c r="AF508" s="176"/>
      <c r="AG508" s="176"/>
      <c r="AH508" s="176"/>
      <c r="AI508" s="176"/>
      <c r="AJ508" s="176"/>
      <c r="AK508" s="176"/>
      <c r="AL508" s="176"/>
      <c r="AM508" s="176"/>
      <c r="AN508" s="176"/>
      <c r="AO508" s="176"/>
      <c r="AP508" s="176"/>
      <c r="AQ508" s="176"/>
      <c r="AR508" s="176"/>
      <c r="AS508" s="176"/>
      <c r="AT508" s="176"/>
      <c r="AU508" s="176"/>
      <c r="AV508" s="176"/>
      <c r="AW508" s="176"/>
      <c r="AX508" s="176"/>
      <c r="AY508" s="176"/>
      <c r="AZ508" s="176"/>
      <c r="BA508" s="176"/>
      <c r="BB508" s="176"/>
      <c r="BC508" s="176"/>
      <c r="BD508" s="176"/>
    </row>
    <row r="509" ht="15.75" customHeight="1">
      <c r="A509" s="176"/>
      <c r="B509" s="176"/>
      <c r="C509" s="176"/>
      <c r="D509" s="176"/>
      <c r="E509" s="176"/>
      <c r="F509" s="176"/>
      <c r="G509" s="178"/>
      <c r="H509" s="176"/>
      <c r="I509" s="176"/>
      <c r="J509" s="176"/>
      <c r="K509" s="176"/>
      <c r="L509" s="176"/>
      <c r="M509" s="176"/>
      <c r="N509" s="176"/>
      <c r="O509" s="176"/>
      <c r="P509" s="176"/>
      <c r="Q509" s="176"/>
      <c r="R509" s="176"/>
      <c r="S509" s="176"/>
      <c r="T509" s="176"/>
      <c r="U509" s="176"/>
      <c r="V509" s="176"/>
      <c r="W509" s="176"/>
      <c r="X509" s="176"/>
      <c r="Y509" s="176"/>
      <c r="Z509" s="176"/>
      <c r="AA509" s="176"/>
      <c r="AB509" s="176"/>
      <c r="AC509" s="176"/>
      <c r="AD509" s="176"/>
      <c r="AE509" s="176"/>
      <c r="AF509" s="176"/>
      <c r="AG509" s="176"/>
      <c r="AH509" s="176"/>
      <c r="AI509" s="176"/>
      <c r="AJ509" s="176"/>
      <c r="AK509" s="176"/>
      <c r="AL509" s="176"/>
      <c r="AM509" s="176"/>
      <c r="AN509" s="176"/>
      <c r="AO509" s="176"/>
      <c r="AP509" s="176"/>
      <c r="AQ509" s="176"/>
      <c r="AR509" s="176"/>
      <c r="AS509" s="176"/>
      <c r="AT509" s="176"/>
      <c r="AU509" s="176"/>
      <c r="AV509" s="176"/>
      <c r="AW509" s="176"/>
      <c r="AX509" s="176"/>
      <c r="AY509" s="176"/>
      <c r="AZ509" s="176"/>
      <c r="BA509" s="176"/>
      <c r="BB509" s="176"/>
      <c r="BC509" s="176"/>
      <c r="BD509" s="176"/>
    </row>
    <row r="510" ht="15.75" customHeight="1">
      <c r="A510" s="176"/>
      <c r="B510" s="176"/>
      <c r="C510" s="176"/>
      <c r="D510" s="176"/>
      <c r="E510" s="176"/>
      <c r="F510" s="176"/>
      <c r="G510" s="178"/>
      <c r="H510" s="176"/>
      <c r="I510" s="176"/>
      <c r="J510" s="176"/>
      <c r="K510" s="176"/>
      <c r="L510" s="176"/>
      <c r="M510" s="176"/>
      <c r="N510" s="176"/>
      <c r="O510" s="176"/>
      <c r="P510" s="176"/>
      <c r="Q510" s="176"/>
      <c r="R510" s="176"/>
      <c r="S510" s="176"/>
      <c r="T510" s="176"/>
      <c r="U510" s="176"/>
      <c r="V510" s="176"/>
      <c r="W510" s="176"/>
      <c r="X510" s="176"/>
      <c r="Y510" s="176"/>
      <c r="Z510" s="176"/>
      <c r="AA510" s="176"/>
      <c r="AB510" s="176"/>
      <c r="AC510" s="176"/>
      <c r="AD510" s="176"/>
      <c r="AE510" s="176"/>
      <c r="AF510" s="176"/>
      <c r="AG510" s="176"/>
      <c r="AH510" s="176"/>
      <c r="AI510" s="176"/>
      <c r="AJ510" s="176"/>
      <c r="AK510" s="176"/>
      <c r="AL510" s="176"/>
      <c r="AM510" s="176"/>
      <c r="AN510" s="176"/>
      <c r="AO510" s="176"/>
      <c r="AP510" s="176"/>
      <c r="AQ510" s="176"/>
      <c r="AR510" s="176"/>
      <c r="AS510" s="176"/>
      <c r="AT510" s="176"/>
      <c r="AU510" s="176"/>
      <c r="AV510" s="176"/>
      <c r="AW510" s="176"/>
      <c r="AX510" s="176"/>
      <c r="AY510" s="176"/>
      <c r="AZ510" s="176"/>
      <c r="BA510" s="176"/>
      <c r="BB510" s="176"/>
      <c r="BC510" s="176"/>
      <c r="BD510" s="176"/>
    </row>
    <row r="511" ht="15.75" customHeight="1">
      <c r="A511" s="176"/>
      <c r="B511" s="176"/>
      <c r="C511" s="176"/>
      <c r="D511" s="176"/>
      <c r="E511" s="176"/>
      <c r="F511" s="176"/>
      <c r="G511" s="178"/>
      <c r="H511" s="176"/>
      <c r="I511" s="176"/>
      <c r="J511" s="176"/>
      <c r="K511" s="176"/>
      <c r="L511" s="176"/>
      <c r="M511" s="176"/>
      <c r="N511" s="176"/>
      <c r="O511" s="176"/>
      <c r="P511" s="176"/>
      <c r="Q511" s="176"/>
      <c r="R511" s="176"/>
      <c r="S511" s="176"/>
      <c r="T511" s="176"/>
      <c r="U511" s="176"/>
      <c r="V511" s="176"/>
      <c r="W511" s="176"/>
      <c r="X511" s="176"/>
      <c r="Y511" s="176"/>
      <c r="Z511" s="176"/>
      <c r="AA511" s="176"/>
      <c r="AB511" s="176"/>
      <c r="AC511" s="176"/>
      <c r="AD511" s="176"/>
      <c r="AE511" s="176"/>
      <c r="AF511" s="176"/>
      <c r="AG511" s="176"/>
      <c r="AH511" s="176"/>
      <c r="AI511" s="176"/>
      <c r="AJ511" s="176"/>
      <c r="AK511" s="176"/>
      <c r="AL511" s="176"/>
      <c r="AM511" s="176"/>
      <c r="AN511" s="176"/>
      <c r="AO511" s="176"/>
      <c r="AP511" s="176"/>
      <c r="AQ511" s="176"/>
      <c r="AR511" s="176"/>
      <c r="AS511" s="176"/>
      <c r="AT511" s="176"/>
      <c r="AU511" s="176"/>
      <c r="AV511" s="176"/>
      <c r="AW511" s="176"/>
      <c r="AX511" s="176"/>
      <c r="AY511" s="176"/>
      <c r="AZ511" s="176"/>
      <c r="BA511" s="176"/>
      <c r="BB511" s="176"/>
      <c r="BC511" s="176"/>
      <c r="BD511" s="176"/>
    </row>
    <row r="512" ht="15.75" customHeight="1">
      <c r="A512" s="176"/>
      <c r="B512" s="176"/>
      <c r="C512" s="176"/>
      <c r="D512" s="176"/>
      <c r="E512" s="176"/>
      <c r="F512" s="176"/>
      <c r="G512" s="178"/>
      <c r="H512" s="176"/>
      <c r="I512" s="176"/>
      <c r="J512" s="176"/>
      <c r="K512" s="176"/>
      <c r="L512" s="176"/>
      <c r="M512" s="176"/>
      <c r="N512" s="176"/>
      <c r="O512" s="176"/>
      <c r="P512" s="176"/>
      <c r="Q512" s="176"/>
      <c r="R512" s="176"/>
      <c r="S512" s="176"/>
      <c r="T512" s="176"/>
      <c r="U512" s="176"/>
      <c r="V512" s="176"/>
      <c r="W512" s="176"/>
      <c r="X512" s="176"/>
      <c r="Y512" s="176"/>
      <c r="Z512" s="176"/>
      <c r="AA512" s="176"/>
      <c r="AB512" s="176"/>
      <c r="AC512" s="176"/>
      <c r="AD512" s="176"/>
      <c r="AE512" s="176"/>
      <c r="AF512" s="176"/>
      <c r="AG512" s="176"/>
      <c r="AH512" s="176"/>
      <c r="AI512" s="176"/>
      <c r="AJ512" s="176"/>
      <c r="AK512" s="176"/>
      <c r="AL512" s="176"/>
      <c r="AM512" s="176"/>
      <c r="AN512" s="176"/>
      <c r="AO512" s="176"/>
      <c r="AP512" s="176"/>
      <c r="AQ512" s="176"/>
      <c r="AR512" s="176"/>
      <c r="AS512" s="176"/>
      <c r="AT512" s="176"/>
      <c r="AU512" s="176"/>
      <c r="AV512" s="176"/>
      <c r="AW512" s="176"/>
      <c r="AX512" s="176"/>
      <c r="AY512" s="176"/>
      <c r="AZ512" s="176"/>
      <c r="BA512" s="176"/>
      <c r="BB512" s="176"/>
      <c r="BC512" s="176"/>
      <c r="BD512" s="176"/>
    </row>
    <row r="513" ht="15.75" customHeight="1">
      <c r="A513" s="176"/>
      <c r="B513" s="176"/>
      <c r="C513" s="176"/>
      <c r="D513" s="176"/>
      <c r="E513" s="176"/>
      <c r="F513" s="176"/>
      <c r="G513" s="178"/>
      <c r="H513" s="176"/>
      <c r="I513" s="176"/>
      <c r="J513" s="176"/>
      <c r="K513" s="176"/>
      <c r="L513" s="176"/>
      <c r="M513" s="176"/>
      <c r="N513" s="176"/>
      <c r="O513" s="176"/>
      <c r="P513" s="176"/>
      <c r="Q513" s="176"/>
      <c r="R513" s="176"/>
      <c r="S513" s="176"/>
      <c r="T513" s="176"/>
      <c r="U513" s="176"/>
      <c r="V513" s="176"/>
      <c r="W513" s="176"/>
      <c r="X513" s="176"/>
      <c r="Y513" s="176"/>
      <c r="Z513" s="176"/>
      <c r="AA513" s="176"/>
      <c r="AB513" s="176"/>
      <c r="AC513" s="176"/>
      <c r="AD513" s="176"/>
      <c r="AE513" s="176"/>
      <c r="AF513" s="176"/>
      <c r="AG513" s="176"/>
      <c r="AH513" s="176"/>
      <c r="AI513" s="176"/>
      <c r="AJ513" s="176"/>
      <c r="AK513" s="176"/>
      <c r="AL513" s="176"/>
      <c r="AM513" s="176"/>
      <c r="AN513" s="176"/>
      <c r="AO513" s="176"/>
      <c r="AP513" s="176"/>
      <c r="AQ513" s="176"/>
      <c r="AR513" s="176"/>
      <c r="AS513" s="176"/>
      <c r="AT513" s="176"/>
      <c r="AU513" s="176"/>
      <c r="AV513" s="176"/>
      <c r="AW513" s="176"/>
      <c r="AX513" s="176"/>
      <c r="AY513" s="176"/>
      <c r="AZ513" s="176"/>
      <c r="BA513" s="176"/>
      <c r="BB513" s="176"/>
      <c r="BC513" s="176"/>
      <c r="BD513" s="176"/>
    </row>
    <row r="514" ht="15.75" customHeight="1">
      <c r="A514" s="176"/>
      <c r="B514" s="176"/>
      <c r="C514" s="176"/>
      <c r="D514" s="176"/>
      <c r="E514" s="176"/>
      <c r="F514" s="176"/>
      <c r="G514" s="178"/>
      <c r="H514" s="176"/>
      <c r="I514" s="176"/>
      <c r="J514" s="176"/>
      <c r="K514" s="176"/>
      <c r="L514" s="176"/>
      <c r="M514" s="176"/>
      <c r="N514" s="176"/>
      <c r="O514" s="176"/>
      <c r="P514" s="176"/>
      <c r="Q514" s="176"/>
      <c r="R514" s="176"/>
      <c r="S514" s="176"/>
      <c r="T514" s="176"/>
      <c r="U514" s="176"/>
      <c r="V514" s="176"/>
      <c r="W514" s="176"/>
      <c r="X514" s="176"/>
      <c r="Y514" s="176"/>
      <c r="Z514" s="176"/>
      <c r="AA514" s="176"/>
      <c r="AB514" s="176"/>
      <c r="AC514" s="176"/>
      <c r="AD514" s="176"/>
      <c r="AE514" s="176"/>
      <c r="AF514" s="176"/>
      <c r="AG514" s="176"/>
      <c r="AH514" s="176"/>
      <c r="AI514" s="176"/>
      <c r="AJ514" s="176"/>
      <c r="AK514" s="176"/>
      <c r="AL514" s="176"/>
      <c r="AM514" s="176"/>
      <c r="AN514" s="176"/>
      <c r="AO514" s="176"/>
      <c r="AP514" s="176"/>
      <c r="AQ514" s="176"/>
      <c r="AR514" s="176"/>
      <c r="AS514" s="176"/>
      <c r="AT514" s="176"/>
      <c r="AU514" s="176"/>
      <c r="AV514" s="176"/>
      <c r="AW514" s="176"/>
      <c r="AX514" s="176"/>
      <c r="AY514" s="176"/>
      <c r="AZ514" s="176"/>
      <c r="BA514" s="176"/>
      <c r="BB514" s="176"/>
      <c r="BC514" s="176"/>
      <c r="BD514" s="176"/>
    </row>
    <row r="515" ht="15.75" customHeight="1">
      <c r="A515" s="176"/>
      <c r="B515" s="176"/>
      <c r="C515" s="176"/>
      <c r="D515" s="176"/>
      <c r="E515" s="176"/>
      <c r="F515" s="176"/>
      <c r="G515" s="178"/>
      <c r="H515" s="176"/>
      <c r="I515" s="176"/>
      <c r="J515" s="176"/>
      <c r="K515" s="176"/>
      <c r="L515" s="176"/>
      <c r="M515" s="176"/>
      <c r="N515" s="176"/>
      <c r="O515" s="176"/>
      <c r="P515" s="176"/>
      <c r="Q515" s="176"/>
      <c r="R515" s="176"/>
      <c r="S515" s="176"/>
      <c r="T515" s="176"/>
      <c r="U515" s="176"/>
      <c r="V515" s="176"/>
      <c r="W515" s="176"/>
      <c r="X515" s="176"/>
      <c r="Y515" s="176"/>
      <c r="Z515" s="176"/>
      <c r="AA515" s="176"/>
      <c r="AB515" s="176"/>
      <c r="AC515" s="176"/>
      <c r="AD515" s="176"/>
      <c r="AE515" s="176"/>
      <c r="AF515" s="176"/>
      <c r="AG515" s="176"/>
      <c r="AH515" s="176"/>
      <c r="AI515" s="176"/>
      <c r="AJ515" s="176"/>
      <c r="AK515" s="176"/>
      <c r="AL515" s="176"/>
      <c r="AM515" s="176"/>
      <c r="AN515" s="176"/>
      <c r="AO515" s="176"/>
      <c r="AP515" s="176"/>
      <c r="AQ515" s="176"/>
      <c r="AR515" s="176"/>
      <c r="AS515" s="176"/>
      <c r="AT515" s="176"/>
      <c r="AU515" s="176"/>
      <c r="AV515" s="176"/>
      <c r="AW515" s="176"/>
      <c r="AX515" s="176"/>
      <c r="AY515" s="176"/>
      <c r="AZ515" s="176"/>
      <c r="BA515" s="176"/>
      <c r="BB515" s="176"/>
      <c r="BC515" s="176"/>
      <c r="BD515" s="176"/>
    </row>
    <row r="516" ht="15.75" customHeight="1">
      <c r="A516" s="176"/>
      <c r="B516" s="176"/>
      <c r="C516" s="176"/>
      <c r="D516" s="176"/>
      <c r="E516" s="176"/>
      <c r="F516" s="176"/>
      <c r="G516" s="178"/>
      <c r="H516" s="176"/>
      <c r="I516" s="176"/>
      <c r="J516" s="176"/>
      <c r="K516" s="176"/>
      <c r="L516" s="176"/>
      <c r="M516" s="176"/>
      <c r="N516" s="176"/>
      <c r="O516" s="176"/>
      <c r="P516" s="176"/>
      <c r="Q516" s="176"/>
      <c r="R516" s="176"/>
      <c r="S516" s="176"/>
      <c r="T516" s="176"/>
      <c r="U516" s="176"/>
      <c r="V516" s="176"/>
      <c r="W516" s="176"/>
      <c r="X516" s="176"/>
      <c r="Y516" s="176"/>
      <c r="Z516" s="176"/>
      <c r="AA516" s="176"/>
      <c r="AB516" s="176"/>
      <c r="AC516" s="176"/>
      <c r="AD516" s="176"/>
      <c r="AE516" s="176"/>
      <c r="AF516" s="176"/>
      <c r="AG516" s="176"/>
      <c r="AH516" s="176"/>
      <c r="AI516" s="176"/>
      <c r="AJ516" s="176"/>
      <c r="AK516" s="176"/>
      <c r="AL516" s="176"/>
      <c r="AM516" s="176"/>
      <c r="AN516" s="176"/>
      <c r="AO516" s="176"/>
      <c r="AP516" s="176"/>
      <c r="AQ516" s="176"/>
      <c r="AR516" s="176"/>
      <c r="AS516" s="176"/>
      <c r="AT516" s="176"/>
      <c r="AU516" s="176"/>
      <c r="AV516" s="176"/>
      <c r="AW516" s="176"/>
      <c r="AX516" s="176"/>
      <c r="AY516" s="176"/>
      <c r="AZ516" s="176"/>
      <c r="BA516" s="176"/>
      <c r="BB516" s="176"/>
      <c r="BC516" s="176"/>
      <c r="BD516" s="176"/>
    </row>
    <row r="517" ht="15.75" customHeight="1">
      <c r="A517" s="176"/>
      <c r="B517" s="176"/>
      <c r="C517" s="176"/>
      <c r="D517" s="176"/>
      <c r="E517" s="176"/>
      <c r="F517" s="176"/>
      <c r="G517" s="178"/>
      <c r="H517" s="176"/>
      <c r="I517" s="176"/>
      <c r="J517" s="176"/>
      <c r="K517" s="176"/>
      <c r="L517" s="176"/>
      <c r="M517" s="176"/>
      <c r="N517" s="176"/>
      <c r="O517" s="176"/>
      <c r="P517" s="176"/>
      <c r="Q517" s="176"/>
      <c r="R517" s="176"/>
      <c r="S517" s="176"/>
      <c r="T517" s="176"/>
      <c r="U517" s="176"/>
      <c r="V517" s="176"/>
      <c r="W517" s="176"/>
      <c r="X517" s="176"/>
      <c r="Y517" s="176"/>
      <c r="Z517" s="176"/>
      <c r="AA517" s="176"/>
      <c r="AB517" s="176"/>
      <c r="AC517" s="176"/>
      <c r="AD517" s="176"/>
      <c r="AE517" s="176"/>
      <c r="AF517" s="176"/>
      <c r="AG517" s="176"/>
      <c r="AH517" s="176"/>
      <c r="AI517" s="176"/>
      <c r="AJ517" s="176"/>
      <c r="AK517" s="176"/>
      <c r="AL517" s="176"/>
      <c r="AM517" s="176"/>
      <c r="AN517" s="176"/>
      <c r="AO517" s="176"/>
      <c r="AP517" s="176"/>
      <c r="AQ517" s="176"/>
      <c r="AR517" s="176"/>
      <c r="AS517" s="176"/>
      <c r="AT517" s="176"/>
      <c r="AU517" s="176"/>
      <c r="AV517" s="176"/>
      <c r="AW517" s="176"/>
      <c r="AX517" s="176"/>
      <c r="AY517" s="176"/>
      <c r="AZ517" s="176"/>
      <c r="BA517" s="176"/>
      <c r="BB517" s="176"/>
      <c r="BC517" s="176"/>
      <c r="BD517" s="176"/>
    </row>
    <row r="518" ht="15.75" customHeight="1">
      <c r="A518" s="176"/>
      <c r="B518" s="176"/>
      <c r="C518" s="176"/>
      <c r="D518" s="176"/>
      <c r="E518" s="176"/>
      <c r="F518" s="176"/>
      <c r="G518" s="178"/>
      <c r="H518" s="176"/>
      <c r="I518" s="176"/>
      <c r="J518" s="176"/>
      <c r="K518" s="176"/>
      <c r="L518" s="176"/>
      <c r="M518" s="176"/>
      <c r="N518" s="176"/>
      <c r="O518" s="176"/>
      <c r="P518" s="176"/>
      <c r="Q518" s="176"/>
      <c r="R518" s="176"/>
      <c r="S518" s="176"/>
      <c r="T518" s="176"/>
      <c r="U518" s="176"/>
      <c r="V518" s="176"/>
      <c r="W518" s="176"/>
      <c r="X518" s="176"/>
      <c r="Y518" s="176"/>
      <c r="Z518" s="176"/>
      <c r="AA518" s="176"/>
      <c r="AB518" s="176"/>
      <c r="AC518" s="176"/>
      <c r="AD518" s="176"/>
      <c r="AE518" s="176"/>
      <c r="AF518" s="176"/>
      <c r="AG518" s="176"/>
      <c r="AH518" s="176"/>
      <c r="AI518" s="176"/>
      <c r="AJ518" s="176"/>
      <c r="AK518" s="176"/>
      <c r="AL518" s="176"/>
      <c r="AM518" s="176"/>
      <c r="AN518" s="176"/>
      <c r="AO518" s="176"/>
      <c r="AP518" s="176"/>
      <c r="AQ518" s="176"/>
      <c r="AR518" s="176"/>
      <c r="AS518" s="176"/>
      <c r="AT518" s="176"/>
      <c r="AU518" s="176"/>
      <c r="AV518" s="176"/>
      <c r="AW518" s="176"/>
      <c r="AX518" s="176"/>
      <c r="AY518" s="176"/>
      <c r="AZ518" s="176"/>
      <c r="BA518" s="176"/>
      <c r="BB518" s="176"/>
      <c r="BC518" s="176"/>
      <c r="BD518" s="176"/>
    </row>
    <row r="519" ht="15.75" customHeight="1">
      <c r="A519" s="176"/>
      <c r="B519" s="176"/>
      <c r="C519" s="176"/>
      <c r="D519" s="176"/>
      <c r="E519" s="176"/>
      <c r="F519" s="176"/>
      <c r="G519" s="178"/>
      <c r="H519" s="176"/>
      <c r="I519" s="176"/>
      <c r="J519" s="176"/>
      <c r="K519" s="176"/>
      <c r="L519" s="176"/>
      <c r="M519" s="176"/>
      <c r="N519" s="176"/>
      <c r="O519" s="176"/>
      <c r="P519" s="176"/>
      <c r="Q519" s="176"/>
      <c r="R519" s="176"/>
      <c r="S519" s="176"/>
      <c r="T519" s="176"/>
      <c r="U519" s="176"/>
      <c r="V519" s="176"/>
      <c r="W519" s="176"/>
      <c r="X519" s="176"/>
      <c r="Y519" s="176"/>
      <c r="Z519" s="176"/>
      <c r="AA519" s="176"/>
      <c r="AB519" s="176"/>
      <c r="AC519" s="176"/>
      <c r="AD519" s="176"/>
      <c r="AE519" s="176"/>
      <c r="AF519" s="176"/>
      <c r="AG519" s="176"/>
      <c r="AH519" s="176"/>
      <c r="AI519" s="176"/>
      <c r="AJ519" s="176"/>
      <c r="AK519" s="176"/>
      <c r="AL519" s="176"/>
      <c r="AM519" s="176"/>
      <c r="AN519" s="176"/>
      <c r="AO519" s="176"/>
      <c r="AP519" s="176"/>
      <c r="AQ519" s="176"/>
      <c r="AR519" s="176"/>
      <c r="AS519" s="176"/>
      <c r="AT519" s="176"/>
      <c r="AU519" s="176"/>
      <c r="AV519" s="176"/>
      <c r="AW519" s="176"/>
      <c r="AX519" s="176"/>
      <c r="AY519" s="176"/>
      <c r="AZ519" s="176"/>
      <c r="BA519" s="176"/>
      <c r="BB519" s="176"/>
      <c r="BC519" s="176"/>
      <c r="BD519" s="176"/>
    </row>
    <row r="520" ht="15.75" customHeight="1">
      <c r="A520" s="176"/>
      <c r="B520" s="176"/>
      <c r="C520" s="176"/>
      <c r="D520" s="176"/>
      <c r="E520" s="176"/>
      <c r="F520" s="176"/>
      <c r="G520" s="178"/>
      <c r="H520" s="176"/>
      <c r="I520" s="176"/>
      <c r="J520" s="176"/>
      <c r="K520" s="176"/>
      <c r="L520" s="176"/>
      <c r="M520" s="176"/>
      <c r="N520" s="176"/>
      <c r="O520" s="176"/>
      <c r="P520" s="176"/>
      <c r="Q520" s="176"/>
      <c r="R520" s="176"/>
      <c r="S520" s="176"/>
      <c r="T520" s="176"/>
      <c r="U520" s="176"/>
      <c r="V520" s="176"/>
      <c r="W520" s="176"/>
      <c r="X520" s="176"/>
      <c r="Y520" s="176"/>
      <c r="Z520" s="176"/>
      <c r="AA520" s="176"/>
      <c r="AB520" s="176"/>
      <c r="AC520" s="176"/>
      <c r="AD520" s="176"/>
      <c r="AE520" s="176"/>
      <c r="AF520" s="176"/>
      <c r="AG520" s="176"/>
      <c r="AH520" s="176"/>
      <c r="AI520" s="176"/>
      <c r="AJ520" s="176"/>
      <c r="AK520" s="176"/>
      <c r="AL520" s="176"/>
      <c r="AM520" s="176"/>
      <c r="AN520" s="176"/>
      <c r="AO520" s="176"/>
      <c r="AP520" s="176"/>
      <c r="AQ520" s="176"/>
      <c r="AR520" s="176"/>
      <c r="AS520" s="176"/>
      <c r="AT520" s="176"/>
      <c r="AU520" s="176"/>
      <c r="AV520" s="176"/>
      <c r="AW520" s="176"/>
      <c r="AX520" s="176"/>
      <c r="AY520" s="176"/>
      <c r="AZ520" s="176"/>
      <c r="BA520" s="176"/>
      <c r="BB520" s="176"/>
      <c r="BC520" s="176"/>
      <c r="BD520" s="176"/>
    </row>
    <row r="521" ht="15.75" customHeight="1">
      <c r="A521" s="176"/>
      <c r="B521" s="176"/>
      <c r="C521" s="176"/>
      <c r="D521" s="176"/>
      <c r="E521" s="176"/>
      <c r="F521" s="176"/>
      <c r="G521" s="178"/>
      <c r="H521" s="176"/>
      <c r="I521" s="176"/>
      <c r="J521" s="176"/>
      <c r="K521" s="176"/>
      <c r="L521" s="176"/>
      <c r="M521" s="176"/>
      <c r="N521" s="176"/>
      <c r="O521" s="176"/>
      <c r="P521" s="176"/>
      <c r="Q521" s="176"/>
      <c r="R521" s="176"/>
      <c r="S521" s="176"/>
      <c r="T521" s="176"/>
      <c r="U521" s="176"/>
      <c r="V521" s="176"/>
      <c r="W521" s="176"/>
      <c r="X521" s="176"/>
      <c r="Y521" s="176"/>
      <c r="Z521" s="176"/>
      <c r="AA521" s="176"/>
      <c r="AB521" s="176"/>
      <c r="AC521" s="176"/>
      <c r="AD521" s="176"/>
      <c r="AE521" s="176"/>
      <c r="AF521" s="176"/>
      <c r="AG521" s="176"/>
      <c r="AH521" s="176"/>
      <c r="AI521" s="176"/>
      <c r="AJ521" s="176"/>
      <c r="AK521" s="176"/>
      <c r="AL521" s="176"/>
      <c r="AM521" s="176"/>
      <c r="AN521" s="176"/>
      <c r="AO521" s="176"/>
      <c r="AP521" s="176"/>
      <c r="AQ521" s="176"/>
      <c r="AR521" s="176"/>
      <c r="AS521" s="176"/>
      <c r="AT521" s="176"/>
      <c r="AU521" s="176"/>
      <c r="AV521" s="176"/>
      <c r="AW521" s="176"/>
      <c r="AX521" s="176"/>
      <c r="AY521" s="176"/>
      <c r="AZ521" s="176"/>
      <c r="BA521" s="176"/>
      <c r="BB521" s="176"/>
      <c r="BC521" s="176"/>
      <c r="BD521" s="176"/>
    </row>
    <row r="522" ht="15.75" customHeight="1">
      <c r="A522" s="176"/>
      <c r="B522" s="176"/>
      <c r="C522" s="176"/>
      <c r="D522" s="176"/>
      <c r="E522" s="176"/>
      <c r="F522" s="176"/>
      <c r="G522" s="178"/>
      <c r="H522" s="176"/>
      <c r="I522" s="176"/>
      <c r="J522" s="176"/>
      <c r="K522" s="176"/>
      <c r="L522" s="176"/>
      <c r="M522" s="176"/>
      <c r="N522" s="176"/>
      <c r="O522" s="176"/>
      <c r="P522" s="176"/>
      <c r="Q522" s="176"/>
      <c r="R522" s="176"/>
      <c r="S522" s="176"/>
      <c r="T522" s="176"/>
      <c r="U522" s="176"/>
      <c r="V522" s="176"/>
      <c r="W522" s="176"/>
      <c r="X522" s="176"/>
      <c r="Y522" s="176"/>
      <c r="Z522" s="176"/>
      <c r="AA522" s="176"/>
      <c r="AB522" s="176"/>
      <c r="AC522" s="176"/>
      <c r="AD522" s="176"/>
      <c r="AE522" s="176"/>
      <c r="AF522" s="176"/>
      <c r="AG522" s="176"/>
      <c r="AH522" s="176"/>
      <c r="AI522" s="176"/>
      <c r="AJ522" s="176"/>
      <c r="AK522" s="176"/>
      <c r="AL522" s="176"/>
      <c r="AM522" s="176"/>
      <c r="AN522" s="176"/>
      <c r="AO522" s="176"/>
      <c r="AP522" s="176"/>
      <c r="AQ522" s="176"/>
      <c r="AR522" s="176"/>
      <c r="AS522" s="176"/>
      <c r="AT522" s="176"/>
      <c r="AU522" s="176"/>
      <c r="AV522" s="176"/>
      <c r="AW522" s="176"/>
      <c r="AX522" s="176"/>
      <c r="AY522" s="176"/>
      <c r="AZ522" s="176"/>
      <c r="BA522" s="176"/>
      <c r="BB522" s="176"/>
      <c r="BC522" s="176"/>
      <c r="BD522" s="176"/>
    </row>
    <row r="523" ht="15.75" customHeight="1">
      <c r="A523" s="176"/>
      <c r="B523" s="176"/>
      <c r="C523" s="176"/>
      <c r="D523" s="176"/>
      <c r="E523" s="176"/>
      <c r="F523" s="176"/>
      <c r="G523" s="178"/>
      <c r="H523" s="176"/>
      <c r="I523" s="176"/>
      <c r="J523" s="176"/>
      <c r="K523" s="176"/>
      <c r="L523" s="176"/>
      <c r="M523" s="176"/>
      <c r="N523" s="176"/>
      <c r="O523" s="176"/>
      <c r="P523" s="176"/>
      <c r="Q523" s="176"/>
      <c r="R523" s="176"/>
      <c r="S523" s="176"/>
      <c r="T523" s="176"/>
      <c r="U523" s="176"/>
      <c r="V523" s="176"/>
      <c r="W523" s="176"/>
      <c r="X523" s="176"/>
      <c r="Y523" s="176"/>
      <c r="Z523" s="176"/>
      <c r="AA523" s="176"/>
      <c r="AB523" s="176"/>
      <c r="AC523" s="176"/>
      <c r="AD523" s="176"/>
      <c r="AE523" s="176"/>
      <c r="AF523" s="176"/>
      <c r="AG523" s="176"/>
      <c r="AH523" s="176"/>
      <c r="AI523" s="176"/>
      <c r="AJ523" s="176"/>
      <c r="AK523" s="176"/>
      <c r="AL523" s="176"/>
      <c r="AM523" s="176"/>
      <c r="AN523" s="176"/>
      <c r="AO523" s="176"/>
      <c r="AP523" s="176"/>
      <c r="AQ523" s="176"/>
      <c r="AR523" s="176"/>
      <c r="AS523" s="176"/>
      <c r="AT523" s="176"/>
      <c r="AU523" s="176"/>
      <c r="AV523" s="176"/>
      <c r="AW523" s="176"/>
      <c r="AX523" s="176"/>
      <c r="AY523" s="176"/>
      <c r="AZ523" s="176"/>
      <c r="BA523" s="176"/>
      <c r="BB523" s="176"/>
      <c r="BC523" s="176"/>
      <c r="BD523" s="176"/>
    </row>
    <row r="524" ht="15.75" customHeight="1">
      <c r="A524" s="176"/>
      <c r="B524" s="176"/>
      <c r="C524" s="176"/>
      <c r="D524" s="176"/>
      <c r="E524" s="176"/>
      <c r="F524" s="176"/>
      <c r="G524" s="178"/>
      <c r="H524" s="176"/>
      <c r="I524" s="176"/>
      <c r="J524" s="176"/>
      <c r="K524" s="176"/>
      <c r="L524" s="176"/>
      <c r="M524" s="176"/>
      <c r="N524" s="176"/>
      <c r="O524" s="176"/>
      <c r="P524" s="176"/>
      <c r="Q524" s="176"/>
      <c r="R524" s="176"/>
      <c r="S524" s="176"/>
      <c r="T524" s="176"/>
      <c r="U524" s="176"/>
      <c r="V524" s="176"/>
      <c r="W524" s="176"/>
      <c r="X524" s="176"/>
      <c r="Y524" s="176"/>
      <c r="Z524" s="176"/>
      <c r="AA524" s="176"/>
      <c r="AB524" s="176"/>
      <c r="AC524" s="176"/>
      <c r="AD524" s="176"/>
      <c r="AE524" s="176"/>
      <c r="AF524" s="176"/>
      <c r="AG524" s="176"/>
      <c r="AH524" s="176"/>
      <c r="AI524" s="176"/>
      <c r="AJ524" s="176"/>
      <c r="AK524" s="176"/>
      <c r="AL524" s="176"/>
      <c r="AM524" s="176"/>
      <c r="AN524" s="176"/>
      <c r="AO524" s="176"/>
      <c r="AP524" s="176"/>
      <c r="AQ524" s="176"/>
      <c r="AR524" s="176"/>
      <c r="AS524" s="176"/>
      <c r="AT524" s="176"/>
      <c r="AU524" s="176"/>
      <c r="AV524" s="176"/>
      <c r="AW524" s="176"/>
      <c r="AX524" s="176"/>
      <c r="AY524" s="176"/>
      <c r="AZ524" s="176"/>
      <c r="BA524" s="176"/>
      <c r="BB524" s="176"/>
      <c r="BC524" s="176"/>
      <c r="BD524" s="176"/>
    </row>
    <row r="525" ht="15.75" customHeight="1">
      <c r="A525" s="176"/>
      <c r="B525" s="176"/>
      <c r="C525" s="176"/>
      <c r="D525" s="176"/>
      <c r="E525" s="176"/>
      <c r="F525" s="176"/>
      <c r="G525" s="178"/>
      <c r="H525" s="176"/>
      <c r="I525" s="176"/>
      <c r="J525" s="176"/>
      <c r="K525" s="176"/>
      <c r="L525" s="176"/>
      <c r="M525" s="176"/>
      <c r="N525" s="176"/>
      <c r="O525" s="176"/>
      <c r="P525" s="176"/>
      <c r="Q525" s="176"/>
      <c r="R525" s="176"/>
      <c r="S525" s="176"/>
      <c r="T525" s="176"/>
      <c r="U525" s="176"/>
      <c r="V525" s="176"/>
      <c r="W525" s="176"/>
      <c r="X525" s="176"/>
      <c r="Y525" s="176"/>
      <c r="Z525" s="176"/>
      <c r="AA525" s="176"/>
      <c r="AB525" s="176"/>
      <c r="AC525" s="176"/>
      <c r="AD525" s="176"/>
      <c r="AE525" s="176"/>
      <c r="AF525" s="176"/>
      <c r="AG525" s="176"/>
      <c r="AH525" s="176"/>
      <c r="AI525" s="176"/>
      <c r="AJ525" s="176"/>
      <c r="AK525" s="176"/>
      <c r="AL525" s="176"/>
      <c r="AM525" s="176"/>
      <c r="AN525" s="176"/>
      <c r="AO525" s="176"/>
      <c r="AP525" s="176"/>
      <c r="AQ525" s="176"/>
      <c r="AR525" s="176"/>
      <c r="AS525" s="176"/>
      <c r="AT525" s="176"/>
      <c r="AU525" s="176"/>
      <c r="AV525" s="176"/>
      <c r="AW525" s="176"/>
      <c r="AX525" s="176"/>
      <c r="AY525" s="176"/>
      <c r="AZ525" s="176"/>
      <c r="BA525" s="176"/>
      <c r="BB525" s="176"/>
      <c r="BC525" s="176"/>
      <c r="BD525" s="176"/>
    </row>
    <row r="526" ht="15.75" customHeight="1">
      <c r="A526" s="176"/>
      <c r="B526" s="176"/>
      <c r="C526" s="176"/>
      <c r="D526" s="176"/>
      <c r="E526" s="176"/>
      <c r="F526" s="176"/>
      <c r="G526" s="178"/>
      <c r="H526" s="176"/>
      <c r="I526" s="176"/>
      <c r="J526" s="176"/>
      <c r="K526" s="176"/>
      <c r="L526" s="176"/>
      <c r="M526" s="176"/>
      <c r="N526" s="176"/>
      <c r="O526" s="176"/>
      <c r="P526" s="176"/>
      <c r="Q526" s="176"/>
      <c r="R526" s="176"/>
      <c r="S526" s="176"/>
      <c r="T526" s="176"/>
      <c r="U526" s="176"/>
      <c r="V526" s="176"/>
      <c r="W526" s="176"/>
      <c r="X526" s="176"/>
      <c r="Y526" s="176"/>
      <c r="Z526" s="176"/>
      <c r="AA526" s="176"/>
      <c r="AB526" s="176"/>
      <c r="AC526" s="176"/>
      <c r="AD526" s="176"/>
      <c r="AE526" s="176"/>
      <c r="AF526" s="176"/>
      <c r="AG526" s="176"/>
      <c r="AH526" s="176"/>
      <c r="AI526" s="176"/>
      <c r="AJ526" s="176"/>
      <c r="AK526" s="176"/>
      <c r="AL526" s="176"/>
      <c r="AM526" s="176"/>
      <c r="AN526" s="176"/>
      <c r="AO526" s="176"/>
      <c r="AP526" s="176"/>
      <c r="AQ526" s="176"/>
      <c r="AR526" s="176"/>
      <c r="AS526" s="176"/>
      <c r="AT526" s="176"/>
      <c r="AU526" s="176"/>
      <c r="AV526" s="176"/>
      <c r="AW526" s="176"/>
      <c r="AX526" s="176"/>
      <c r="AY526" s="176"/>
      <c r="AZ526" s="176"/>
      <c r="BA526" s="176"/>
      <c r="BB526" s="176"/>
      <c r="BC526" s="176"/>
      <c r="BD526" s="176"/>
    </row>
    <row r="527" ht="15.75" customHeight="1">
      <c r="A527" s="176"/>
      <c r="B527" s="176"/>
      <c r="C527" s="176"/>
      <c r="D527" s="176"/>
      <c r="E527" s="176"/>
      <c r="F527" s="176"/>
      <c r="G527" s="178"/>
      <c r="H527" s="176"/>
      <c r="I527" s="176"/>
      <c r="J527" s="176"/>
      <c r="K527" s="176"/>
      <c r="L527" s="176"/>
      <c r="M527" s="176"/>
      <c r="N527" s="176"/>
      <c r="O527" s="176"/>
      <c r="P527" s="176"/>
      <c r="Q527" s="176"/>
      <c r="R527" s="176"/>
      <c r="S527" s="176"/>
      <c r="T527" s="176"/>
      <c r="U527" s="176"/>
      <c r="V527" s="176"/>
      <c r="W527" s="176"/>
      <c r="X527" s="176"/>
      <c r="Y527" s="176"/>
      <c r="Z527" s="176"/>
      <c r="AA527" s="176"/>
      <c r="AB527" s="176"/>
      <c r="AC527" s="176"/>
      <c r="AD527" s="176"/>
      <c r="AE527" s="176"/>
      <c r="AF527" s="176"/>
      <c r="AG527" s="176"/>
      <c r="AH527" s="176"/>
      <c r="AI527" s="176"/>
      <c r="AJ527" s="176"/>
      <c r="AK527" s="176"/>
      <c r="AL527" s="176"/>
      <c r="AM527" s="176"/>
      <c r="AN527" s="176"/>
      <c r="AO527" s="176"/>
      <c r="AP527" s="176"/>
      <c r="AQ527" s="176"/>
      <c r="AR527" s="176"/>
      <c r="AS527" s="176"/>
      <c r="AT527" s="176"/>
      <c r="AU527" s="176"/>
      <c r="AV527" s="176"/>
      <c r="AW527" s="176"/>
      <c r="AX527" s="176"/>
      <c r="AY527" s="176"/>
      <c r="AZ527" s="176"/>
      <c r="BA527" s="176"/>
      <c r="BB527" s="176"/>
      <c r="BC527" s="176"/>
      <c r="BD527" s="176"/>
    </row>
    <row r="528" ht="15.75" customHeight="1">
      <c r="A528" s="176"/>
      <c r="B528" s="176"/>
      <c r="C528" s="176"/>
      <c r="D528" s="176"/>
      <c r="E528" s="176"/>
      <c r="F528" s="176"/>
      <c r="G528" s="178"/>
      <c r="H528" s="176"/>
      <c r="I528" s="176"/>
      <c r="J528" s="176"/>
      <c r="K528" s="176"/>
      <c r="L528" s="176"/>
      <c r="M528" s="176"/>
      <c r="N528" s="176"/>
      <c r="O528" s="176"/>
      <c r="P528" s="176"/>
      <c r="Q528" s="176"/>
      <c r="R528" s="176"/>
      <c r="S528" s="176"/>
      <c r="T528" s="176"/>
      <c r="U528" s="176"/>
      <c r="V528" s="176"/>
      <c r="W528" s="176"/>
      <c r="X528" s="176"/>
      <c r="Y528" s="176"/>
      <c r="Z528" s="176"/>
      <c r="AA528" s="176"/>
      <c r="AB528" s="176"/>
      <c r="AC528" s="176"/>
      <c r="AD528" s="176"/>
      <c r="AE528" s="176"/>
      <c r="AF528" s="176"/>
      <c r="AG528" s="176"/>
      <c r="AH528" s="176"/>
      <c r="AI528" s="176"/>
      <c r="AJ528" s="176"/>
      <c r="AK528" s="176"/>
      <c r="AL528" s="176"/>
      <c r="AM528" s="176"/>
      <c r="AN528" s="176"/>
      <c r="AO528" s="176"/>
      <c r="AP528" s="176"/>
      <c r="AQ528" s="176"/>
      <c r="AR528" s="176"/>
      <c r="AS528" s="176"/>
      <c r="AT528" s="176"/>
      <c r="AU528" s="176"/>
      <c r="AV528" s="176"/>
      <c r="AW528" s="176"/>
      <c r="AX528" s="176"/>
      <c r="AY528" s="176"/>
      <c r="AZ528" s="176"/>
      <c r="BA528" s="176"/>
      <c r="BB528" s="176"/>
      <c r="BC528" s="176"/>
      <c r="BD528" s="176"/>
    </row>
    <row r="529" ht="15.75" customHeight="1">
      <c r="A529" s="176"/>
      <c r="B529" s="176"/>
      <c r="C529" s="176"/>
      <c r="D529" s="176"/>
      <c r="E529" s="176"/>
      <c r="F529" s="176"/>
      <c r="G529" s="178"/>
      <c r="H529" s="176"/>
      <c r="I529" s="176"/>
      <c r="J529" s="176"/>
      <c r="K529" s="176"/>
      <c r="L529" s="176"/>
      <c r="M529" s="176"/>
      <c r="N529" s="176"/>
      <c r="O529" s="176"/>
      <c r="P529" s="176"/>
      <c r="Q529" s="176"/>
      <c r="R529" s="176"/>
      <c r="S529" s="176"/>
      <c r="T529" s="176"/>
      <c r="U529" s="176"/>
      <c r="V529" s="176"/>
      <c r="W529" s="176"/>
      <c r="X529" s="176"/>
      <c r="Y529" s="176"/>
      <c r="Z529" s="176"/>
      <c r="AA529" s="176"/>
      <c r="AB529" s="176"/>
      <c r="AC529" s="176"/>
      <c r="AD529" s="176"/>
      <c r="AE529" s="176"/>
      <c r="AF529" s="176"/>
      <c r="AG529" s="176"/>
      <c r="AH529" s="176"/>
      <c r="AI529" s="176"/>
      <c r="AJ529" s="176"/>
      <c r="AK529" s="176"/>
      <c r="AL529" s="176"/>
      <c r="AM529" s="176"/>
      <c r="AN529" s="176"/>
      <c r="AO529" s="176"/>
      <c r="AP529" s="176"/>
      <c r="AQ529" s="176"/>
      <c r="AR529" s="176"/>
      <c r="AS529" s="176"/>
      <c r="AT529" s="176"/>
      <c r="AU529" s="176"/>
      <c r="AV529" s="176"/>
      <c r="AW529" s="176"/>
      <c r="AX529" s="176"/>
      <c r="AY529" s="176"/>
      <c r="AZ529" s="176"/>
      <c r="BA529" s="176"/>
      <c r="BB529" s="176"/>
      <c r="BC529" s="176"/>
      <c r="BD529" s="176"/>
    </row>
    <row r="530" ht="15.75" customHeight="1">
      <c r="A530" s="176"/>
      <c r="B530" s="176"/>
      <c r="C530" s="176"/>
      <c r="D530" s="176"/>
      <c r="E530" s="176"/>
      <c r="F530" s="176"/>
      <c r="G530" s="178"/>
      <c r="H530" s="176"/>
      <c r="I530" s="176"/>
      <c r="J530" s="176"/>
      <c r="K530" s="176"/>
      <c r="L530" s="176"/>
      <c r="M530" s="176"/>
      <c r="N530" s="176"/>
      <c r="O530" s="176"/>
      <c r="P530" s="176"/>
      <c r="Q530" s="176"/>
      <c r="R530" s="176"/>
      <c r="S530" s="176"/>
      <c r="T530" s="176"/>
      <c r="U530" s="176"/>
      <c r="V530" s="176"/>
      <c r="W530" s="176"/>
      <c r="X530" s="176"/>
      <c r="Y530" s="176"/>
      <c r="Z530" s="176"/>
      <c r="AA530" s="176"/>
      <c r="AB530" s="176"/>
      <c r="AC530" s="176"/>
      <c r="AD530" s="176"/>
      <c r="AE530" s="176"/>
      <c r="AF530" s="176"/>
      <c r="AG530" s="176"/>
      <c r="AH530" s="176"/>
      <c r="AI530" s="176"/>
      <c r="AJ530" s="176"/>
      <c r="AK530" s="176"/>
      <c r="AL530" s="176"/>
      <c r="AM530" s="176"/>
      <c r="AN530" s="176"/>
      <c r="AO530" s="176"/>
      <c r="AP530" s="176"/>
      <c r="AQ530" s="176"/>
      <c r="AR530" s="176"/>
      <c r="AS530" s="176"/>
      <c r="AT530" s="176"/>
      <c r="AU530" s="176"/>
      <c r="AV530" s="176"/>
      <c r="AW530" s="176"/>
      <c r="AX530" s="176"/>
      <c r="AY530" s="176"/>
      <c r="AZ530" s="176"/>
      <c r="BA530" s="176"/>
      <c r="BB530" s="176"/>
      <c r="BC530" s="176"/>
      <c r="BD530" s="176"/>
    </row>
    <row r="531" ht="15.75" customHeight="1">
      <c r="A531" s="176"/>
      <c r="B531" s="176"/>
      <c r="C531" s="176"/>
      <c r="D531" s="176"/>
      <c r="E531" s="176"/>
      <c r="F531" s="176"/>
      <c r="G531" s="178"/>
      <c r="H531" s="176"/>
      <c r="I531" s="176"/>
      <c r="J531" s="176"/>
      <c r="K531" s="176"/>
      <c r="L531" s="176"/>
      <c r="M531" s="176"/>
      <c r="N531" s="176"/>
      <c r="O531" s="176"/>
      <c r="P531" s="176"/>
      <c r="Q531" s="176"/>
      <c r="R531" s="176"/>
      <c r="S531" s="176"/>
      <c r="T531" s="176"/>
      <c r="U531" s="176"/>
      <c r="V531" s="176"/>
      <c r="W531" s="176"/>
      <c r="X531" s="176"/>
      <c r="Y531" s="176"/>
      <c r="Z531" s="176"/>
      <c r="AA531" s="176"/>
      <c r="AB531" s="176"/>
      <c r="AC531" s="176"/>
      <c r="AD531" s="176"/>
      <c r="AE531" s="176"/>
      <c r="AF531" s="176"/>
      <c r="AG531" s="176"/>
      <c r="AH531" s="176"/>
      <c r="AI531" s="176"/>
      <c r="AJ531" s="176"/>
      <c r="AK531" s="176"/>
      <c r="AL531" s="176"/>
      <c r="AM531" s="176"/>
      <c r="AN531" s="176"/>
      <c r="AO531" s="176"/>
      <c r="AP531" s="176"/>
      <c r="AQ531" s="176"/>
      <c r="AR531" s="176"/>
      <c r="AS531" s="176"/>
      <c r="AT531" s="176"/>
      <c r="AU531" s="176"/>
      <c r="AV531" s="176"/>
      <c r="AW531" s="176"/>
      <c r="AX531" s="176"/>
      <c r="AY531" s="176"/>
      <c r="AZ531" s="176"/>
      <c r="BA531" s="176"/>
      <c r="BB531" s="176"/>
      <c r="BC531" s="176"/>
      <c r="BD531" s="176"/>
    </row>
    <row r="532" ht="15.75" customHeight="1">
      <c r="A532" s="176"/>
      <c r="B532" s="176"/>
      <c r="C532" s="176"/>
      <c r="D532" s="176"/>
      <c r="E532" s="176"/>
      <c r="F532" s="176"/>
      <c r="G532" s="178"/>
      <c r="H532" s="176"/>
      <c r="I532" s="176"/>
      <c r="J532" s="176"/>
      <c r="K532" s="176"/>
      <c r="L532" s="176"/>
      <c r="M532" s="176"/>
      <c r="N532" s="176"/>
      <c r="O532" s="176"/>
      <c r="P532" s="176"/>
      <c r="Q532" s="176"/>
      <c r="R532" s="176"/>
      <c r="S532" s="176"/>
      <c r="T532" s="176"/>
      <c r="U532" s="176"/>
      <c r="V532" s="176"/>
      <c r="W532" s="176"/>
      <c r="X532" s="176"/>
      <c r="Y532" s="176"/>
      <c r="Z532" s="176"/>
      <c r="AA532" s="176"/>
      <c r="AB532" s="176"/>
      <c r="AC532" s="176"/>
      <c r="AD532" s="176"/>
      <c r="AE532" s="176"/>
      <c r="AF532" s="176"/>
      <c r="AG532" s="176"/>
      <c r="AH532" s="176"/>
      <c r="AI532" s="176"/>
      <c r="AJ532" s="176"/>
      <c r="AK532" s="176"/>
      <c r="AL532" s="176"/>
      <c r="AM532" s="176"/>
      <c r="AN532" s="176"/>
      <c r="AO532" s="176"/>
      <c r="AP532" s="176"/>
      <c r="AQ532" s="176"/>
      <c r="AR532" s="176"/>
      <c r="AS532" s="176"/>
      <c r="AT532" s="176"/>
      <c r="AU532" s="176"/>
      <c r="AV532" s="176"/>
      <c r="AW532" s="176"/>
      <c r="AX532" s="176"/>
      <c r="AY532" s="176"/>
      <c r="AZ532" s="176"/>
      <c r="BA532" s="176"/>
      <c r="BB532" s="176"/>
      <c r="BC532" s="176"/>
      <c r="BD532" s="176"/>
    </row>
    <row r="533" ht="15.75" customHeight="1">
      <c r="A533" s="176"/>
      <c r="B533" s="176"/>
      <c r="C533" s="176"/>
      <c r="D533" s="176"/>
      <c r="E533" s="176"/>
      <c r="F533" s="176"/>
      <c r="G533" s="178"/>
      <c r="H533" s="176"/>
      <c r="I533" s="176"/>
      <c r="J533" s="176"/>
      <c r="K533" s="176"/>
      <c r="L533" s="176"/>
      <c r="M533" s="176"/>
      <c r="N533" s="176"/>
      <c r="O533" s="176"/>
      <c r="P533" s="176"/>
      <c r="Q533" s="176"/>
      <c r="R533" s="176"/>
      <c r="S533" s="176"/>
      <c r="T533" s="176"/>
      <c r="U533" s="176"/>
      <c r="V533" s="176"/>
      <c r="W533" s="176"/>
      <c r="X533" s="176"/>
      <c r="Y533" s="176"/>
      <c r="Z533" s="176"/>
      <c r="AA533" s="176"/>
      <c r="AB533" s="176"/>
      <c r="AC533" s="176"/>
      <c r="AD533" s="176"/>
      <c r="AE533" s="176"/>
      <c r="AF533" s="176"/>
      <c r="AG533" s="176"/>
      <c r="AH533" s="176"/>
      <c r="AI533" s="176"/>
      <c r="AJ533" s="176"/>
      <c r="AK533" s="176"/>
      <c r="AL533" s="176"/>
      <c r="AM533" s="176"/>
      <c r="AN533" s="176"/>
      <c r="AO533" s="176"/>
      <c r="AP533" s="176"/>
      <c r="AQ533" s="176"/>
      <c r="AR533" s="176"/>
      <c r="AS533" s="176"/>
      <c r="AT533" s="176"/>
      <c r="AU533" s="176"/>
      <c r="AV533" s="176"/>
      <c r="AW533" s="176"/>
      <c r="AX533" s="176"/>
      <c r="AY533" s="176"/>
      <c r="AZ533" s="176"/>
      <c r="BA533" s="176"/>
      <c r="BB533" s="176"/>
      <c r="BC533" s="176"/>
      <c r="BD533" s="176"/>
    </row>
    <row r="534" ht="15.75" customHeight="1">
      <c r="A534" s="176"/>
      <c r="B534" s="176"/>
      <c r="C534" s="176"/>
      <c r="D534" s="176"/>
      <c r="E534" s="176"/>
      <c r="F534" s="176"/>
      <c r="G534" s="178"/>
      <c r="H534" s="176"/>
      <c r="I534" s="176"/>
      <c r="J534" s="176"/>
      <c r="K534" s="176"/>
      <c r="L534" s="176"/>
      <c r="M534" s="176"/>
      <c r="N534" s="176"/>
      <c r="O534" s="176"/>
      <c r="P534" s="176"/>
      <c r="Q534" s="176"/>
      <c r="R534" s="176"/>
      <c r="S534" s="176"/>
      <c r="T534" s="176"/>
      <c r="U534" s="176"/>
      <c r="V534" s="176"/>
      <c r="W534" s="176"/>
      <c r="X534" s="176"/>
      <c r="Y534" s="176"/>
      <c r="Z534" s="176"/>
      <c r="AA534" s="176"/>
      <c r="AB534" s="176"/>
      <c r="AC534" s="176"/>
      <c r="AD534" s="176"/>
      <c r="AE534" s="176"/>
      <c r="AF534" s="176"/>
      <c r="AG534" s="176"/>
      <c r="AH534" s="176"/>
      <c r="AI534" s="176"/>
      <c r="AJ534" s="176"/>
      <c r="AK534" s="176"/>
      <c r="AL534" s="176"/>
      <c r="AM534" s="176"/>
      <c r="AN534" s="176"/>
      <c r="AO534" s="176"/>
      <c r="AP534" s="176"/>
      <c r="AQ534" s="176"/>
      <c r="AR534" s="176"/>
      <c r="AS534" s="176"/>
      <c r="AT534" s="176"/>
      <c r="AU534" s="176"/>
      <c r="AV534" s="176"/>
      <c r="AW534" s="176"/>
      <c r="AX534" s="176"/>
      <c r="AY534" s="176"/>
      <c r="AZ534" s="176"/>
      <c r="BA534" s="176"/>
      <c r="BB534" s="176"/>
      <c r="BC534" s="176"/>
      <c r="BD534" s="176"/>
    </row>
    <row r="535" ht="15.75" customHeight="1">
      <c r="A535" s="176"/>
      <c r="B535" s="176"/>
      <c r="C535" s="176"/>
      <c r="D535" s="176"/>
      <c r="E535" s="176"/>
      <c r="F535" s="176"/>
      <c r="G535" s="178"/>
      <c r="H535" s="176"/>
      <c r="I535" s="176"/>
      <c r="J535" s="176"/>
      <c r="K535" s="176"/>
      <c r="L535" s="176"/>
      <c r="M535" s="176"/>
      <c r="N535" s="176"/>
      <c r="O535" s="176"/>
      <c r="P535" s="176"/>
      <c r="Q535" s="176"/>
      <c r="R535" s="176"/>
      <c r="S535" s="176"/>
      <c r="T535" s="176"/>
      <c r="U535" s="176"/>
      <c r="V535" s="176"/>
      <c r="W535" s="176"/>
      <c r="X535" s="176"/>
      <c r="Y535" s="176"/>
      <c r="Z535" s="176"/>
      <c r="AA535" s="176"/>
      <c r="AB535" s="176"/>
      <c r="AC535" s="176"/>
      <c r="AD535" s="176"/>
      <c r="AE535" s="176"/>
      <c r="AF535" s="176"/>
      <c r="AG535" s="176"/>
      <c r="AH535" s="176"/>
      <c r="AI535" s="176"/>
      <c r="AJ535" s="176"/>
      <c r="AK535" s="176"/>
      <c r="AL535" s="176"/>
      <c r="AM535" s="176"/>
      <c r="AN535" s="176"/>
      <c r="AO535" s="176"/>
      <c r="AP535" s="176"/>
      <c r="AQ535" s="176"/>
      <c r="AR535" s="176"/>
      <c r="AS535" s="176"/>
      <c r="AT535" s="176"/>
      <c r="AU535" s="176"/>
      <c r="AV535" s="176"/>
      <c r="AW535" s="176"/>
      <c r="AX535" s="176"/>
      <c r="AY535" s="176"/>
      <c r="AZ535" s="176"/>
      <c r="BA535" s="176"/>
      <c r="BB535" s="176"/>
      <c r="BC535" s="176"/>
      <c r="BD535" s="176"/>
    </row>
    <row r="536" ht="15.75" customHeight="1">
      <c r="A536" s="176"/>
      <c r="B536" s="176"/>
      <c r="C536" s="176"/>
      <c r="D536" s="176"/>
      <c r="E536" s="176"/>
      <c r="F536" s="176"/>
      <c r="G536" s="178"/>
      <c r="H536" s="176"/>
      <c r="I536" s="176"/>
      <c r="J536" s="176"/>
      <c r="K536" s="176"/>
      <c r="L536" s="176"/>
      <c r="M536" s="176"/>
      <c r="N536" s="176"/>
      <c r="O536" s="176"/>
      <c r="P536" s="176"/>
      <c r="Q536" s="176"/>
      <c r="R536" s="176"/>
      <c r="S536" s="176"/>
      <c r="T536" s="176"/>
      <c r="U536" s="176"/>
      <c r="V536" s="176"/>
      <c r="W536" s="176"/>
      <c r="X536" s="176"/>
      <c r="Y536" s="176"/>
      <c r="Z536" s="176"/>
      <c r="AA536" s="176"/>
      <c r="AB536" s="176"/>
      <c r="AC536" s="176"/>
      <c r="AD536" s="176"/>
      <c r="AE536" s="176"/>
      <c r="AF536" s="176"/>
      <c r="AG536" s="176"/>
      <c r="AH536" s="176"/>
      <c r="AI536" s="176"/>
      <c r="AJ536" s="176"/>
      <c r="AK536" s="176"/>
      <c r="AL536" s="176"/>
      <c r="AM536" s="176"/>
      <c r="AN536" s="176"/>
      <c r="AO536" s="176"/>
      <c r="AP536" s="176"/>
      <c r="AQ536" s="176"/>
      <c r="AR536" s="176"/>
      <c r="AS536" s="176"/>
      <c r="AT536" s="176"/>
      <c r="AU536" s="176"/>
      <c r="AV536" s="176"/>
      <c r="AW536" s="176"/>
      <c r="AX536" s="176"/>
      <c r="AY536" s="176"/>
      <c r="AZ536" s="176"/>
      <c r="BA536" s="176"/>
      <c r="BB536" s="176"/>
      <c r="BC536" s="176"/>
      <c r="BD536" s="176"/>
    </row>
    <row r="537" ht="15.75" customHeight="1">
      <c r="A537" s="176"/>
      <c r="B537" s="176"/>
      <c r="C537" s="176"/>
      <c r="D537" s="176"/>
      <c r="E537" s="176"/>
      <c r="F537" s="176"/>
      <c r="G537" s="178"/>
      <c r="H537" s="176"/>
      <c r="I537" s="176"/>
      <c r="J537" s="176"/>
      <c r="K537" s="176"/>
      <c r="L537" s="176"/>
      <c r="M537" s="176"/>
      <c r="N537" s="176"/>
      <c r="O537" s="176"/>
      <c r="P537" s="176"/>
      <c r="Q537" s="176"/>
      <c r="R537" s="176"/>
      <c r="S537" s="176"/>
      <c r="T537" s="176"/>
      <c r="U537" s="176"/>
      <c r="V537" s="176"/>
      <c r="W537" s="176"/>
      <c r="X537" s="176"/>
      <c r="Y537" s="176"/>
      <c r="Z537" s="176"/>
      <c r="AA537" s="176"/>
      <c r="AB537" s="176"/>
      <c r="AC537" s="176"/>
      <c r="AD537" s="176"/>
      <c r="AE537" s="176"/>
      <c r="AF537" s="176"/>
      <c r="AG537" s="176"/>
      <c r="AH537" s="176"/>
      <c r="AI537" s="176"/>
      <c r="AJ537" s="176"/>
      <c r="AK537" s="176"/>
      <c r="AL537" s="176"/>
      <c r="AM537" s="176"/>
      <c r="AN537" s="176"/>
      <c r="AO537" s="176"/>
      <c r="AP537" s="176"/>
      <c r="AQ537" s="176"/>
      <c r="AR537" s="176"/>
      <c r="AS537" s="176"/>
      <c r="AT537" s="176"/>
      <c r="AU537" s="176"/>
      <c r="AV537" s="176"/>
      <c r="AW537" s="176"/>
      <c r="AX537" s="176"/>
      <c r="AY537" s="176"/>
      <c r="AZ537" s="176"/>
      <c r="BA537" s="176"/>
      <c r="BB537" s="176"/>
      <c r="BC537" s="176"/>
      <c r="BD537" s="176"/>
    </row>
    <row r="538" ht="15.75" customHeight="1">
      <c r="A538" s="176"/>
      <c r="B538" s="176"/>
      <c r="C538" s="176"/>
      <c r="D538" s="176"/>
      <c r="E538" s="176"/>
      <c r="F538" s="176"/>
      <c r="G538" s="178"/>
      <c r="H538" s="176"/>
      <c r="I538" s="176"/>
      <c r="J538" s="176"/>
      <c r="K538" s="176"/>
      <c r="L538" s="176"/>
      <c r="M538" s="176"/>
      <c r="N538" s="176"/>
      <c r="O538" s="176"/>
      <c r="P538" s="176"/>
      <c r="Q538" s="176"/>
      <c r="R538" s="176"/>
      <c r="S538" s="176"/>
      <c r="T538" s="176"/>
      <c r="U538" s="176"/>
      <c r="V538" s="176"/>
      <c r="W538" s="176"/>
      <c r="X538" s="176"/>
      <c r="Y538" s="176"/>
      <c r="Z538" s="176"/>
      <c r="AA538" s="176"/>
      <c r="AB538" s="176"/>
      <c r="AC538" s="176"/>
      <c r="AD538" s="176"/>
      <c r="AE538" s="176"/>
      <c r="AF538" s="176"/>
      <c r="AG538" s="176"/>
      <c r="AH538" s="176"/>
      <c r="AI538" s="176"/>
      <c r="AJ538" s="176"/>
      <c r="AK538" s="176"/>
      <c r="AL538" s="176"/>
      <c r="AM538" s="176"/>
      <c r="AN538" s="176"/>
      <c r="AO538" s="176"/>
      <c r="AP538" s="176"/>
      <c r="AQ538" s="176"/>
      <c r="AR538" s="176"/>
      <c r="AS538" s="176"/>
      <c r="AT538" s="176"/>
      <c r="AU538" s="176"/>
      <c r="AV538" s="176"/>
      <c r="AW538" s="176"/>
      <c r="AX538" s="176"/>
      <c r="AY538" s="176"/>
      <c r="AZ538" s="176"/>
      <c r="BA538" s="176"/>
      <c r="BB538" s="176"/>
      <c r="BC538" s="176"/>
      <c r="BD538" s="176"/>
    </row>
    <row r="539" ht="15.75" customHeight="1">
      <c r="A539" s="176"/>
      <c r="B539" s="176"/>
      <c r="C539" s="176"/>
      <c r="D539" s="176"/>
      <c r="E539" s="176"/>
      <c r="F539" s="176"/>
      <c r="G539" s="178"/>
      <c r="H539" s="176"/>
      <c r="I539" s="176"/>
      <c r="J539" s="176"/>
      <c r="K539" s="176"/>
      <c r="L539" s="176"/>
      <c r="M539" s="176"/>
      <c r="N539" s="176"/>
      <c r="O539" s="176"/>
      <c r="P539" s="176"/>
      <c r="Q539" s="176"/>
      <c r="R539" s="176"/>
      <c r="S539" s="176"/>
      <c r="T539" s="176"/>
      <c r="U539" s="176"/>
      <c r="V539" s="176"/>
      <c r="W539" s="176"/>
      <c r="X539" s="176"/>
      <c r="Y539" s="176"/>
      <c r="Z539" s="176"/>
      <c r="AA539" s="176"/>
      <c r="AB539" s="176"/>
      <c r="AC539" s="176"/>
      <c r="AD539" s="176"/>
      <c r="AE539" s="176"/>
      <c r="AF539" s="176"/>
      <c r="AG539" s="176"/>
      <c r="AH539" s="176"/>
      <c r="AI539" s="176"/>
      <c r="AJ539" s="176"/>
      <c r="AK539" s="176"/>
      <c r="AL539" s="176"/>
      <c r="AM539" s="176"/>
      <c r="AN539" s="176"/>
      <c r="AO539" s="176"/>
      <c r="AP539" s="176"/>
      <c r="AQ539" s="176"/>
      <c r="AR539" s="176"/>
      <c r="AS539" s="176"/>
      <c r="AT539" s="176"/>
      <c r="AU539" s="176"/>
      <c r="AV539" s="176"/>
      <c r="AW539" s="176"/>
      <c r="AX539" s="176"/>
      <c r="AY539" s="176"/>
      <c r="AZ539" s="176"/>
      <c r="BA539" s="176"/>
      <c r="BB539" s="176"/>
      <c r="BC539" s="176"/>
      <c r="BD539" s="176"/>
    </row>
    <row r="540" ht="15.75" customHeight="1">
      <c r="A540" s="176"/>
      <c r="B540" s="176"/>
      <c r="C540" s="176"/>
      <c r="D540" s="176"/>
      <c r="E540" s="176"/>
      <c r="F540" s="176"/>
      <c r="G540" s="178"/>
      <c r="H540" s="176"/>
      <c r="I540" s="176"/>
      <c r="J540" s="176"/>
      <c r="K540" s="176"/>
      <c r="L540" s="176"/>
      <c r="M540" s="176"/>
      <c r="N540" s="176"/>
      <c r="O540" s="176"/>
      <c r="P540" s="176"/>
      <c r="Q540" s="176"/>
      <c r="R540" s="176"/>
      <c r="S540" s="176"/>
      <c r="T540" s="176"/>
      <c r="U540" s="176"/>
      <c r="V540" s="176"/>
      <c r="W540" s="176"/>
      <c r="X540" s="176"/>
      <c r="Y540" s="176"/>
      <c r="Z540" s="176"/>
      <c r="AA540" s="176"/>
      <c r="AB540" s="176"/>
      <c r="AC540" s="176"/>
      <c r="AD540" s="176"/>
      <c r="AE540" s="176"/>
      <c r="AF540" s="176"/>
      <c r="AG540" s="176"/>
      <c r="AH540" s="176"/>
      <c r="AI540" s="176"/>
      <c r="AJ540" s="176"/>
      <c r="AK540" s="176"/>
      <c r="AL540" s="176"/>
      <c r="AM540" s="176"/>
      <c r="AN540" s="176"/>
      <c r="AO540" s="176"/>
      <c r="AP540" s="176"/>
      <c r="AQ540" s="176"/>
      <c r="AR540" s="176"/>
      <c r="AS540" s="176"/>
      <c r="AT540" s="176"/>
      <c r="AU540" s="176"/>
      <c r="AV540" s="176"/>
      <c r="AW540" s="176"/>
      <c r="AX540" s="176"/>
      <c r="AY540" s="176"/>
      <c r="AZ540" s="176"/>
      <c r="BA540" s="176"/>
      <c r="BB540" s="176"/>
      <c r="BC540" s="176"/>
      <c r="BD540" s="176"/>
    </row>
    <row r="541" ht="15.75" customHeight="1">
      <c r="A541" s="176"/>
      <c r="B541" s="176"/>
      <c r="C541" s="176"/>
      <c r="D541" s="176"/>
      <c r="E541" s="176"/>
      <c r="F541" s="176"/>
      <c r="G541" s="178"/>
      <c r="H541" s="176"/>
      <c r="I541" s="176"/>
      <c r="J541" s="176"/>
      <c r="K541" s="176"/>
      <c r="L541" s="176"/>
      <c r="M541" s="176"/>
      <c r="N541" s="176"/>
      <c r="O541" s="176"/>
      <c r="P541" s="176"/>
      <c r="Q541" s="176"/>
      <c r="R541" s="176"/>
      <c r="S541" s="176"/>
      <c r="T541" s="176"/>
      <c r="U541" s="176"/>
      <c r="V541" s="176"/>
      <c r="W541" s="176"/>
      <c r="X541" s="176"/>
      <c r="Y541" s="176"/>
      <c r="Z541" s="176"/>
      <c r="AA541" s="176"/>
      <c r="AB541" s="176"/>
      <c r="AC541" s="176"/>
      <c r="AD541" s="176"/>
      <c r="AE541" s="176"/>
      <c r="AF541" s="176"/>
      <c r="AG541" s="176"/>
      <c r="AH541" s="176"/>
      <c r="AI541" s="176"/>
      <c r="AJ541" s="176"/>
      <c r="AK541" s="176"/>
      <c r="AL541" s="176"/>
      <c r="AM541" s="176"/>
      <c r="AN541" s="176"/>
      <c r="AO541" s="176"/>
      <c r="AP541" s="176"/>
      <c r="AQ541" s="176"/>
      <c r="AR541" s="176"/>
      <c r="AS541" s="176"/>
      <c r="AT541" s="176"/>
      <c r="AU541" s="176"/>
      <c r="AV541" s="176"/>
      <c r="AW541" s="176"/>
      <c r="AX541" s="176"/>
      <c r="AY541" s="176"/>
      <c r="AZ541" s="176"/>
      <c r="BA541" s="176"/>
      <c r="BB541" s="176"/>
      <c r="BC541" s="176"/>
      <c r="BD541" s="176"/>
    </row>
    <row r="542" ht="15.75" customHeight="1">
      <c r="A542" s="176"/>
      <c r="B542" s="176"/>
      <c r="C542" s="176"/>
      <c r="D542" s="176"/>
      <c r="E542" s="176"/>
      <c r="F542" s="176"/>
      <c r="G542" s="178"/>
      <c r="H542" s="176"/>
      <c r="I542" s="176"/>
      <c r="J542" s="176"/>
      <c r="K542" s="176"/>
      <c r="L542" s="176"/>
      <c r="M542" s="176"/>
      <c r="N542" s="176"/>
      <c r="O542" s="176"/>
      <c r="P542" s="176"/>
      <c r="Q542" s="176"/>
      <c r="R542" s="176"/>
      <c r="S542" s="176"/>
      <c r="T542" s="176"/>
      <c r="U542" s="176"/>
      <c r="V542" s="176"/>
      <c r="W542" s="176"/>
      <c r="X542" s="176"/>
      <c r="Y542" s="176"/>
      <c r="Z542" s="176"/>
      <c r="AA542" s="176"/>
      <c r="AB542" s="176"/>
      <c r="AC542" s="176"/>
      <c r="AD542" s="176"/>
      <c r="AE542" s="176"/>
      <c r="AF542" s="176"/>
      <c r="AG542" s="176"/>
      <c r="AH542" s="176"/>
      <c r="AI542" s="176"/>
      <c r="AJ542" s="176"/>
      <c r="AK542" s="176"/>
      <c r="AL542" s="176"/>
      <c r="AM542" s="176"/>
      <c r="AN542" s="176"/>
      <c r="AO542" s="176"/>
      <c r="AP542" s="176"/>
      <c r="AQ542" s="176"/>
      <c r="AR542" s="176"/>
      <c r="AS542" s="176"/>
      <c r="AT542" s="176"/>
      <c r="AU542" s="176"/>
      <c r="AV542" s="176"/>
      <c r="AW542" s="176"/>
      <c r="AX542" s="176"/>
      <c r="AY542" s="176"/>
      <c r="AZ542" s="176"/>
      <c r="BA542" s="176"/>
      <c r="BB542" s="176"/>
      <c r="BC542" s="176"/>
      <c r="BD542" s="176"/>
    </row>
    <row r="543" ht="15.75" customHeight="1">
      <c r="A543" s="176"/>
      <c r="B543" s="176"/>
      <c r="C543" s="176"/>
      <c r="D543" s="176"/>
      <c r="E543" s="176"/>
      <c r="F543" s="176"/>
      <c r="G543" s="178"/>
      <c r="H543" s="176"/>
      <c r="I543" s="176"/>
      <c r="J543" s="176"/>
      <c r="K543" s="176"/>
      <c r="L543" s="176"/>
      <c r="M543" s="176"/>
      <c r="N543" s="176"/>
      <c r="O543" s="176"/>
      <c r="P543" s="176"/>
      <c r="Q543" s="176"/>
      <c r="R543" s="176"/>
      <c r="S543" s="176"/>
      <c r="T543" s="176"/>
      <c r="U543" s="176"/>
      <c r="V543" s="176"/>
      <c r="W543" s="176"/>
      <c r="X543" s="176"/>
      <c r="Y543" s="176"/>
      <c r="Z543" s="176"/>
      <c r="AA543" s="176"/>
      <c r="AB543" s="176"/>
      <c r="AC543" s="176"/>
      <c r="AD543" s="176"/>
      <c r="AE543" s="176"/>
      <c r="AF543" s="176"/>
      <c r="AG543" s="176"/>
      <c r="AH543" s="176"/>
      <c r="AI543" s="176"/>
      <c r="AJ543" s="176"/>
      <c r="AK543" s="176"/>
      <c r="AL543" s="176"/>
      <c r="AM543" s="176"/>
      <c r="AN543" s="176"/>
      <c r="AO543" s="176"/>
      <c r="AP543" s="176"/>
      <c r="AQ543" s="176"/>
      <c r="AR543" s="176"/>
      <c r="AS543" s="176"/>
      <c r="AT543" s="176"/>
      <c r="AU543" s="176"/>
      <c r="AV543" s="176"/>
      <c r="AW543" s="176"/>
      <c r="AX543" s="176"/>
      <c r="AY543" s="176"/>
      <c r="AZ543" s="176"/>
      <c r="BA543" s="176"/>
      <c r="BB543" s="176"/>
      <c r="BC543" s="176"/>
      <c r="BD543" s="176"/>
    </row>
    <row r="544" ht="15.75" customHeight="1">
      <c r="A544" s="176"/>
      <c r="B544" s="176"/>
      <c r="C544" s="176"/>
      <c r="D544" s="176"/>
      <c r="E544" s="176"/>
      <c r="F544" s="176"/>
      <c r="G544" s="178"/>
      <c r="H544" s="176"/>
      <c r="I544" s="176"/>
      <c r="J544" s="176"/>
      <c r="K544" s="176"/>
      <c r="L544" s="176"/>
      <c r="M544" s="176"/>
      <c r="N544" s="176"/>
      <c r="O544" s="176"/>
      <c r="P544" s="176"/>
      <c r="Q544" s="176"/>
      <c r="R544" s="176"/>
      <c r="S544" s="176"/>
      <c r="T544" s="176"/>
      <c r="U544" s="176"/>
      <c r="V544" s="176"/>
      <c r="W544" s="176"/>
      <c r="X544" s="176"/>
      <c r="Y544" s="176"/>
      <c r="Z544" s="176"/>
      <c r="AA544" s="176"/>
      <c r="AB544" s="176"/>
      <c r="AC544" s="176"/>
      <c r="AD544" s="176"/>
      <c r="AE544" s="176"/>
      <c r="AF544" s="176"/>
      <c r="AG544" s="176"/>
      <c r="AH544" s="176"/>
      <c r="AI544" s="176"/>
      <c r="AJ544" s="176"/>
      <c r="AK544" s="176"/>
      <c r="AL544" s="176"/>
      <c r="AM544" s="176"/>
      <c r="AN544" s="176"/>
      <c r="AO544" s="176"/>
      <c r="AP544" s="176"/>
      <c r="AQ544" s="176"/>
      <c r="AR544" s="176"/>
      <c r="AS544" s="176"/>
      <c r="AT544" s="176"/>
      <c r="AU544" s="176"/>
      <c r="AV544" s="176"/>
      <c r="AW544" s="176"/>
      <c r="AX544" s="176"/>
      <c r="AY544" s="176"/>
      <c r="AZ544" s="176"/>
      <c r="BA544" s="176"/>
      <c r="BB544" s="176"/>
      <c r="BC544" s="176"/>
      <c r="BD544" s="176"/>
    </row>
    <row r="545" ht="15.75" customHeight="1">
      <c r="A545" s="176"/>
      <c r="B545" s="176"/>
      <c r="C545" s="176"/>
      <c r="D545" s="176"/>
      <c r="E545" s="176"/>
      <c r="F545" s="176"/>
      <c r="G545" s="178"/>
      <c r="H545" s="176"/>
      <c r="I545" s="176"/>
      <c r="J545" s="176"/>
      <c r="K545" s="176"/>
      <c r="L545" s="176"/>
      <c r="M545" s="176"/>
      <c r="N545" s="176"/>
      <c r="O545" s="176"/>
      <c r="P545" s="176"/>
      <c r="Q545" s="176"/>
      <c r="R545" s="176"/>
      <c r="S545" s="176"/>
      <c r="T545" s="176"/>
      <c r="U545" s="176"/>
      <c r="V545" s="176"/>
      <c r="W545" s="176"/>
      <c r="X545" s="176"/>
      <c r="Y545" s="176"/>
      <c r="Z545" s="176"/>
      <c r="AA545" s="176"/>
      <c r="AB545" s="176"/>
      <c r="AC545" s="176"/>
      <c r="AD545" s="176"/>
      <c r="AE545" s="176"/>
      <c r="AF545" s="176"/>
      <c r="AG545" s="176"/>
      <c r="AH545" s="176"/>
      <c r="AI545" s="176"/>
      <c r="AJ545" s="176"/>
      <c r="AK545" s="176"/>
      <c r="AL545" s="176"/>
      <c r="AM545" s="176"/>
      <c r="AN545" s="176"/>
      <c r="AO545" s="176"/>
      <c r="AP545" s="176"/>
      <c r="AQ545" s="176"/>
      <c r="AR545" s="176"/>
      <c r="AS545" s="176"/>
      <c r="AT545" s="176"/>
      <c r="AU545" s="176"/>
      <c r="AV545" s="176"/>
      <c r="AW545" s="176"/>
      <c r="AX545" s="176"/>
      <c r="AY545" s="176"/>
      <c r="AZ545" s="176"/>
      <c r="BA545" s="176"/>
      <c r="BB545" s="176"/>
      <c r="BC545" s="176"/>
      <c r="BD545" s="176"/>
    </row>
    <row r="546" ht="15.75" customHeight="1">
      <c r="A546" s="176"/>
      <c r="B546" s="176"/>
      <c r="C546" s="176"/>
      <c r="D546" s="176"/>
      <c r="E546" s="176"/>
      <c r="F546" s="176"/>
      <c r="G546" s="178"/>
      <c r="H546" s="176"/>
      <c r="I546" s="176"/>
      <c r="J546" s="176"/>
      <c r="K546" s="176"/>
      <c r="L546" s="176"/>
      <c r="M546" s="176"/>
      <c r="N546" s="176"/>
      <c r="O546" s="176"/>
      <c r="P546" s="176"/>
      <c r="Q546" s="176"/>
      <c r="R546" s="176"/>
      <c r="S546" s="176"/>
      <c r="T546" s="176"/>
      <c r="U546" s="176"/>
      <c r="V546" s="176"/>
      <c r="W546" s="176"/>
      <c r="X546" s="176"/>
      <c r="Y546" s="176"/>
      <c r="Z546" s="176"/>
      <c r="AA546" s="176"/>
      <c r="AB546" s="176"/>
      <c r="AC546" s="176"/>
      <c r="AD546" s="176"/>
      <c r="AE546" s="176"/>
      <c r="AF546" s="176"/>
      <c r="AG546" s="176"/>
      <c r="AH546" s="176"/>
      <c r="AI546" s="176"/>
      <c r="AJ546" s="176"/>
      <c r="AK546" s="176"/>
      <c r="AL546" s="176"/>
      <c r="AM546" s="176"/>
      <c r="AN546" s="176"/>
      <c r="AO546" s="176"/>
      <c r="AP546" s="176"/>
      <c r="AQ546" s="176"/>
      <c r="AR546" s="176"/>
      <c r="AS546" s="176"/>
      <c r="AT546" s="176"/>
      <c r="AU546" s="176"/>
      <c r="AV546" s="176"/>
      <c r="AW546" s="176"/>
      <c r="AX546" s="176"/>
      <c r="AY546" s="176"/>
      <c r="AZ546" s="176"/>
      <c r="BA546" s="176"/>
      <c r="BB546" s="176"/>
      <c r="BC546" s="176"/>
      <c r="BD546" s="176"/>
    </row>
    <row r="547" ht="15.75" customHeight="1">
      <c r="A547" s="176"/>
      <c r="B547" s="176"/>
      <c r="C547" s="176"/>
      <c r="D547" s="176"/>
      <c r="E547" s="176"/>
      <c r="F547" s="176"/>
      <c r="G547" s="178"/>
      <c r="H547" s="176"/>
      <c r="I547" s="176"/>
      <c r="J547" s="176"/>
      <c r="K547" s="176"/>
      <c r="L547" s="176"/>
      <c r="M547" s="176"/>
      <c r="N547" s="176"/>
      <c r="O547" s="176"/>
      <c r="P547" s="176"/>
      <c r="Q547" s="176"/>
      <c r="R547" s="176"/>
      <c r="S547" s="176"/>
      <c r="T547" s="176"/>
      <c r="U547" s="176"/>
      <c r="V547" s="176"/>
      <c r="W547" s="176"/>
      <c r="X547" s="176"/>
      <c r="Y547" s="176"/>
      <c r="Z547" s="176"/>
      <c r="AA547" s="176"/>
      <c r="AB547" s="176"/>
      <c r="AC547" s="176"/>
      <c r="AD547" s="176"/>
      <c r="AE547" s="176"/>
      <c r="AF547" s="176"/>
      <c r="AG547" s="176"/>
      <c r="AH547" s="176"/>
      <c r="AI547" s="176"/>
      <c r="AJ547" s="176"/>
      <c r="AK547" s="176"/>
      <c r="AL547" s="176"/>
      <c r="AM547" s="176"/>
      <c r="AN547" s="176"/>
      <c r="AO547" s="176"/>
      <c r="AP547" s="176"/>
      <c r="AQ547" s="176"/>
      <c r="AR547" s="176"/>
      <c r="AS547" s="176"/>
      <c r="AT547" s="176"/>
      <c r="AU547" s="176"/>
      <c r="AV547" s="176"/>
      <c r="AW547" s="176"/>
      <c r="AX547" s="176"/>
      <c r="AY547" s="176"/>
      <c r="AZ547" s="176"/>
      <c r="BA547" s="176"/>
      <c r="BB547" s="176"/>
      <c r="BC547" s="176"/>
      <c r="BD547" s="176"/>
    </row>
    <row r="548" ht="15.75" customHeight="1">
      <c r="A548" s="176"/>
      <c r="B548" s="176"/>
      <c r="C548" s="176"/>
      <c r="D548" s="176"/>
      <c r="E548" s="176"/>
      <c r="F548" s="176"/>
      <c r="G548" s="178"/>
      <c r="H548" s="176"/>
      <c r="I548" s="176"/>
      <c r="J548" s="176"/>
      <c r="K548" s="176"/>
      <c r="L548" s="176"/>
      <c r="M548" s="176"/>
      <c r="N548" s="176"/>
      <c r="O548" s="176"/>
      <c r="P548" s="176"/>
      <c r="Q548" s="176"/>
      <c r="R548" s="176"/>
      <c r="S548" s="176"/>
      <c r="T548" s="176"/>
      <c r="U548" s="176"/>
      <c r="V548" s="176"/>
      <c r="W548" s="176"/>
      <c r="X548" s="176"/>
      <c r="Y548" s="176"/>
      <c r="Z548" s="176"/>
      <c r="AA548" s="176"/>
      <c r="AB548" s="176"/>
      <c r="AC548" s="176"/>
      <c r="AD548" s="176"/>
      <c r="AE548" s="176"/>
      <c r="AF548" s="176"/>
      <c r="AG548" s="176"/>
      <c r="AH548" s="176"/>
      <c r="AI548" s="176"/>
      <c r="AJ548" s="176"/>
      <c r="AK548" s="176"/>
      <c r="AL548" s="176"/>
      <c r="AM548" s="176"/>
      <c r="AN548" s="176"/>
      <c r="AO548" s="176"/>
      <c r="AP548" s="176"/>
      <c r="AQ548" s="176"/>
      <c r="AR548" s="176"/>
      <c r="AS548" s="176"/>
      <c r="AT548" s="176"/>
      <c r="AU548" s="176"/>
      <c r="AV548" s="176"/>
      <c r="AW548" s="176"/>
      <c r="AX548" s="176"/>
      <c r="AY548" s="176"/>
      <c r="AZ548" s="176"/>
      <c r="BA548" s="176"/>
      <c r="BB548" s="176"/>
      <c r="BC548" s="176"/>
      <c r="BD548" s="176"/>
    </row>
    <row r="549" ht="15.75" customHeight="1">
      <c r="A549" s="176"/>
      <c r="B549" s="176"/>
      <c r="C549" s="176"/>
      <c r="D549" s="176"/>
      <c r="E549" s="176"/>
      <c r="F549" s="176"/>
      <c r="G549" s="178"/>
      <c r="H549" s="176"/>
      <c r="I549" s="176"/>
      <c r="J549" s="176"/>
      <c r="K549" s="176"/>
      <c r="L549" s="176"/>
      <c r="M549" s="176"/>
      <c r="N549" s="176"/>
      <c r="O549" s="176"/>
      <c r="P549" s="176"/>
      <c r="Q549" s="176"/>
      <c r="R549" s="176"/>
      <c r="S549" s="176"/>
      <c r="T549" s="176"/>
      <c r="U549" s="176"/>
      <c r="V549" s="176"/>
      <c r="W549" s="176"/>
      <c r="X549" s="176"/>
      <c r="Y549" s="176"/>
      <c r="Z549" s="176"/>
      <c r="AA549" s="176"/>
      <c r="AB549" s="176"/>
      <c r="AC549" s="176"/>
      <c r="AD549" s="176"/>
      <c r="AE549" s="176"/>
      <c r="AF549" s="176"/>
      <c r="AG549" s="176"/>
      <c r="AH549" s="176"/>
      <c r="AI549" s="176"/>
      <c r="AJ549" s="176"/>
      <c r="AK549" s="176"/>
      <c r="AL549" s="176"/>
      <c r="AM549" s="176"/>
      <c r="AN549" s="176"/>
      <c r="AO549" s="176"/>
      <c r="AP549" s="176"/>
      <c r="AQ549" s="176"/>
      <c r="AR549" s="176"/>
      <c r="AS549" s="176"/>
      <c r="AT549" s="176"/>
      <c r="AU549" s="176"/>
      <c r="AV549" s="176"/>
      <c r="AW549" s="176"/>
      <c r="AX549" s="176"/>
      <c r="AY549" s="176"/>
      <c r="AZ549" s="176"/>
      <c r="BA549" s="176"/>
      <c r="BB549" s="176"/>
      <c r="BC549" s="176"/>
      <c r="BD549" s="176"/>
    </row>
    <row r="550" ht="15.75" customHeight="1">
      <c r="A550" s="176"/>
      <c r="B550" s="176"/>
      <c r="C550" s="176"/>
      <c r="D550" s="176"/>
      <c r="E550" s="176"/>
      <c r="F550" s="176"/>
      <c r="G550" s="178"/>
      <c r="H550" s="176"/>
      <c r="I550" s="176"/>
      <c r="J550" s="176"/>
      <c r="K550" s="176"/>
      <c r="L550" s="176"/>
      <c r="M550" s="176"/>
      <c r="N550" s="176"/>
      <c r="O550" s="176"/>
      <c r="P550" s="176"/>
      <c r="Q550" s="176"/>
      <c r="R550" s="176"/>
      <c r="S550" s="176"/>
      <c r="T550" s="176"/>
      <c r="U550" s="176"/>
      <c r="V550" s="176"/>
      <c r="W550" s="176"/>
      <c r="X550" s="176"/>
      <c r="Y550" s="176"/>
      <c r="Z550" s="176"/>
      <c r="AA550" s="176"/>
      <c r="AB550" s="176"/>
      <c r="AC550" s="176"/>
      <c r="AD550" s="176"/>
      <c r="AE550" s="176"/>
      <c r="AF550" s="176"/>
      <c r="AG550" s="176"/>
      <c r="AH550" s="176"/>
      <c r="AI550" s="176"/>
      <c r="AJ550" s="176"/>
      <c r="AK550" s="176"/>
      <c r="AL550" s="176"/>
      <c r="AM550" s="176"/>
      <c r="AN550" s="176"/>
      <c r="AO550" s="176"/>
      <c r="AP550" s="176"/>
      <c r="AQ550" s="176"/>
      <c r="AR550" s="176"/>
      <c r="AS550" s="176"/>
      <c r="AT550" s="176"/>
      <c r="AU550" s="176"/>
      <c r="AV550" s="176"/>
      <c r="AW550" s="176"/>
      <c r="AX550" s="176"/>
      <c r="AY550" s="176"/>
      <c r="AZ550" s="176"/>
      <c r="BA550" s="176"/>
      <c r="BB550" s="176"/>
      <c r="BC550" s="176"/>
      <c r="BD550" s="176"/>
    </row>
    <row r="551" ht="15.75" customHeight="1">
      <c r="A551" s="176"/>
      <c r="B551" s="176"/>
      <c r="C551" s="176"/>
      <c r="D551" s="176"/>
      <c r="E551" s="176"/>
      <c r="F551" s="176"/>
      <c r="G551" s="178"/>
      <c r="H551" s="176"/>
      <c r="I551" s="176"/>
      <c r="J551" s="176"/>
      <c r="K551" s="176"/>
      <c r="L551" s="176"/>
      <c r="M551" s="176"/>
      <c r="N551" s="176"/>
      <c r="O551" s="176"/>
      <c r="P551" s="176"/>
      <c r="Q551" s="176"/>
      <c r="R551" s="176"/>
      <c r="S551" s="176"/>
      <c r="T551" s="176"/>
      <c r="U551" s="176"/>
      <c r="V551" s="176"/>
      <c r="W551" s="176"/>
      <c r="X551" s="176"/>
      <c r="Y551" s="176"/>
      <c r="Z551" s="176"/>
      <c r="AA551" s="176"/>
      <c r="AB551" s="176"/>
      <c r="AC551" s="176"/>
      <c r="AD551" s="176"/>
      <c r="AE551" s="176"/>
      <c r="AF551" s="176"/>
      <c r="AG551" s="176"/>
      <c r="AH551" s="176"/>
      <c r="AI551" s="176"/>
      <c r="AJ551" s="176"/>
      <c r="AK551" s="176"/>
      <c r="AL551" s="176"/>
      <c r="AM551" s="176"/>
      <c r="AN551" s="176"/>
      <c r="AO551" s="176"/>
      <c r="AP551" s="176"/>
      <c r="AQ551" s="176"/>
      <c r="AR551" s="176"/>
      <c r="AS551" s="176"/>
      <c r="AT551" s="176"/>
      <c r="AU551" s="176"/>
      <c r="AV551" s="176"/>
      <c r="AW551" s="176"/>
      <c r="AX551" s="176"/>
      <c r="AY551" s="176"/>
      <c r="AZ551" s="176"/>
      <c r="BA551" s="176"/>
      <c r="BB551" s="176"/>
      <c r="BC551" s="176"/>
      <c r="BD551" s="176"/>
    </row>
    <row r="552" ht="15.75" customHeight="1">
      <c r="A552" s="176"/>
      <c r="B552" s="176"/>
      <c r="C552" s="176"/>
      <c r="D552" s="176"/>
      <c r="E552" s="176"/>
      <c r="F552" s="176"/>
      <c r="G552" s="178"/>
      <c r="H552" s="176"/>
      <c r="I552" s="176"/>
      <c r="J552" s="176"/>
      <c r="K552" s="176"/>
      <c r="L552" s="176"/>
      <c r="M552" s="176"/>
      <c r="N552" s="176"/>
      <c r="O552" s="176"/>
      <c r="P552" s="176"/>
      <c r="Q552" s="176"/>
      <c r="R552" s="176"/>
      <c r="S552" s="176"/>
      <c r="T552" s="176"/>
      <c r="U552" s="176"/>
      <c r="V552" s="176"/>
      <c r="W552" s="176"/>
      <c r="X552" s="176"/>
      <c r="Y552" s="176"/>
      <c r="Z552" s="176"/>
      <c r="AA552" s="176"/>
      <c r="AB552" s="176"/>
      <c r="AC552" s="176"/>
      <c r="AD552" s="176"/>
      <c r="AE552" s="176"/>
      <c r="AF552" s="176"/>
      <c r="AG552" s="176"/>
      <c r="AH552" s="176"/>
      <c r="AI552" s="176"/>
      <c r="AJ552" s="176"/>
      <c r="AK552" s="176"/>
      <c r="AL552" s="176"/>
      <c r="AM552" s="176"/>
      <c r="AN552" s="176"/>
      <c r="AO552" s="176"/>
      <c r="AP552" s="176"/>
      <c r="AQ552" s="176"/>
      <c r="AR552" s="176"/>
      <c r="AS552" s="176"/>
      <c r="AT552" s="176"/>
      <c r="AU552" s="176"/>
      <c r="AV552" s="176"/>
      <c r="AW552" s="176"/>
      <c r="AX552" s="176"/>
      <c r="AY552" s="176"/>
      <c r="AZ552" s="176"/>
      <c r="BA552" s="176"/>
      <c r="BB552" s="176"/>
      <c r="BC552" s="176"/>
      <c r="BD552" s="176"/>
    </row>
    <row r="553" ht="15.75" customHeight="1">
      <c r="A553" s="176"/>
      <c r="B553" s="176"/>
      <c r="C553" s="176"/>
      <c r="D553" s="176"/>
      <c r="E553" s="176"/>
      <c r="F553" s="176"/>
      <c r="G553" s="178"/>
      <c r="H553" s="176"/>
      <c r="I553" s="176"/>
      <c r="J553" s="176"/>
      <c r="K553" s="176"/>
      <c r="L553" s="176"/>
      <c r="M553" s="176"/>
      <c r="N553" s="176"/>
      <c r="O553" s="176"/>
      <c r="P553" s="176"/>
      <c r="Q553" s="176"/>
      <c r="R553" s="176"/>
      <c r="S553" s="176"/>
      <c r="T553" s="176"/>
      <c r="U553" s="176"/>
      <c r="V553" s="176"/>
      <c r="W553" s="176"/>
      <c r="X553" s="176"/>
      <c r="Y553" s="176"/>
      <c r="Z553" s="176"/>
      <c r="AA553" s="176"/>
      <c r="AB553" s="176"/>
      <c r="AC553" s="176"/>
      <c r="AD553" s="176"/>
      <c r="AE553" s="176"/>
      <c r="AF553" s="176"/>
      <c r="AG553" s="176"/>
      <c r="AH553" s="176"/>
      <c r="AI553" s="176"/>
      <c r="AJ553" s="176"/>
      <c r="AK553" s="176"/>
      <c r="AL553" s="176"/>
      <c r="AM553" s="176"/>
      <c r="AN553" s="176"/>
      <c r="AO553" s="176"/>
      <c r="AP553" s="176"/>
      <c r="AQ553" s="176"/>
      <c r="AR553" s="176"/>
      <c r="AS553" s="176"/>
      <c r="AT553" s="176"/>
      <c r="AU553" s="176"/>
      <c r="AV553" s="176"/>
      <c r="AW553" s="176"/>
      <c r="AX553" s="176"/>
      <c r="AY553" s="176"/>
      <c r="AZ553" s="176"/>
      <c r="BA553" s="176"/>
      <c r="BB553" s="176"/>
      <c r="BC553" s="176"/>
      <c r="BD553" s="176"/>
    </row>
    <row r="554" ht="15.75" customHeight="1">
      <c r="A554" s="176"/>
      <c r="B554" s="176"/>
      <c r="C554" s="176"/>
      <c r="D554" s="176"/>
      <c r="E554" s="176"/>
      <c r="F554" s="176"/>
      <c r="G554" s="178"/>
      <c r="H554" s="176"/>
      <c r="I554" s="176"/>
      <c r="J554" s="176"/>
      <c r="K554" s="176"/>
      <c r="L554" s="176"/>
      <c r="M554" s="176"/>
      <c r="N554" s="176"/>
      <c r="O554" s="176"/>
      <c r="P554" s="176"/>
      <c r="Q554" s="176"/>
      <c r="R554" s="176"/>
      <c r="S554" s="176"/>
      <c r="T554" s="176"/>
      <c r="U554" s="176"/>
      <c r="V554" s="176"/>
      <c r="W554" s="176"/>
      <c r="X554" s="176"/>
      <c r="Y554" s="176"/>
      <c r="Z554" s="176"/>
      <c r="AA554" s="176"/>
      <c r="AB554" s="176"/>
      <c r="AC554" s="176"/>
      <c r="AD554" s="176"/>
      <c r="AE554" s="176"/>
      <c r="AF554" s="176"/>
      <c r="AG554" s="176"/>
      <c r="AH554" s="176"/>
      <c r="AI554" s="176"/>
      <c r="AJ554" s="176"/>
      <c r="AK554" s="176"/>
      <c r="AL554" s="176"/>
      <c r="AM554" s="176"/>
      <c r="AN554" s="176"/>
      <c r="AO554" s="176"/>
      <c r="AP554" s="176"/>
      <c r="AQ554" s="176"/>
      <c r="AR554" s="176"/>
      <c r="AS554" s="176"/>
      <c r="AT554" s="176"/>
      <c r="AU554" s="176"/>
      <c r="AV554" s="176"/>
      <c r="AW554" s="176"/>
      <c r="AX554" s="176"/>
      <c r="AY554" s="176"/>
      <c r="AZ554" s="176"/>
      <c r="BA554" s="176"/>
      <c r="BB554" s="176"/>
      <c r="BC554" s="176"/>
      <c r="BD554" s="176"/>
    </row>
    <row r="555" ht="15.75" customHeight="1">
      <c r="A555" s="176"/>
      <c r="B555" s="176"/>
      <c r="C555" s="176"/>
      <c r="D555" s="176"/>
      <c r="E555" s="176"/>
      <c r="F555" s="176"/>
      <c r="G555" s="178"/>
      <c r="H555" s="176"/>
      <c r="I555" s="176"/>
      <c r="J555" s="176"/>
      <c r="K555" s="176"/>
      <c r="L555" s="176"/>
      <c r="M555" s="176"/>
      <c r="N555" s="176"/>
      <c r="O555" s="176"/>
      <c r="P555" s="176"/>
      <c r="Q555" s="176"/>
      <c r="R555" s="176"/>
      <c r="S555" s="176"/>
      <c r="T555" s="176"/>
      <c r="U555" s="176"/>
      <c r="V555" s="176"/>
      <c r="W555" s="176"/>
      <c r="X555" s="176"/>
      <c r="Y555" s="176"/>
      <c r="Z555" s="176"/>
      <c r="AA555" s="176"/>
      <c r="AB555" s="176"/>
      <c r="AC555" s="176"/>
      <c r="AD555" s="176"/>
      <c r="AE555" s="176"/>
      <c r="AF555" s="176"/>
      <c r="AG555" s="176"/>
      <c r="AH555" s="176"/>
      <c r="AI555" s="176"/>
      <c r="AJ555" s="176"/>
      <c r="AK555" s="176"/>
      <c r="AL555" s="176"/>
      <c r="AM555" s="176"/>
      <c r="AN555" s="176"/>
      <c r="AO555" s="176"/>
      <c r="AP555" s="176"/>
      <c r="AQ555" s="176"/>
      <c r="AR555" s="176"/>
      <c r="AS555" s="176"/>
      <c r="AT555" s="176"/>
      <c r="AU555" s="176"/>
      <c r="AV555" s="176"/>
      <c r="AW555" s="176"/>
      <c r="AX555" s="176"/>
      <c r="AY555" s="176"/>
      <c r="AZ555" s="176"/>
      <c r="BA555" s="176"/>
      <c r="BB555" s="176"/>
      <c r="BC555" s="176"/>
      <c r="BD555" s="176"/>
    </row>
    <row r="556" ht="15.75" customHeight="1">
      <c r="A556" s="176"/>
      <c r="B556" s="176"/>
      <c r="C556" s="176"/>
      <c r="D556" s="176"/>
      <c r="E556" s="176"/>
      <c r="F556" s="176"/>
      <c r="G556" s="178"/>
      <c r="H556" s="176"/>
      <c r="I556" s="176"/>
      <c r="J556" s="176"/>
      <c r="K556" s="176"/>
      <c r="L556" s="176"/>
      <c r="M556" s="176"/>
      <c r="N556" s="176"/>
      <c r="O556" s="176"/>
      <c r="P556" s="176"/>
      <c r="Q556" s="176"/>
      <c r="R556" s="176"/>
      <c r="S556" s="176"/>
      <c r="T556" s="176"/>
      <c r="U556" s="176"/>
      <c r="V556" s="176"/>
      <c r="W556" s="176"/>
      <c r="X556" s="176"/>
      <c r="Y556" s="176"/>
      <c r="Z556" s="176"/>
      <c r="AA556" s="176"/>
      <c r="AB556" s="176"/>
      <c r="AC556" s="176"/>
      <c r="AD556" s="176"/>
      <c r="AE556" s="176"/>
      <c r="AF556" s="176"/>
      <c r="AG556" s="176"/>
      <c r="AH556" s="176"/>
      <c r="AI556" s="176"/>
      <c r="AJ556" s="176"/>
      <c r="AK556" s="176"/>
      <c r="AL556" s="176"/>
      <c r="AM556" s="176"/>
      <c r="AN556" s="176"/>
      <c r="AO556" s="176"/>
      <c r="AP556" s="176"/>
      <c r="AQ556" s="176"/>
      <c r="AR556" s="176"/>
      <c r="AS556" s="176"/>
      <c r="AT556" s="176"/>
      <c r="AU556" s="176"/>
      <c r="AV556" s="176"/>
      <c r="AW556" s="176"/>
      <c r="AX556" s="176"/>
      <c r="AY556" s="176"/>
      <c r="AZ556" s="176"/>
      <c r="BA556" s="176"/>
      <c r="BB556" s="176"/>
      <c r="BC556" s="176"/>
      <c r="BD556" s="176"/>
    </row>
    <row r="557" ht="15.75" customHeight="1">
      <c r="A557" s="176"/>
      <c r="B557" s="176"/>
      <c r="C557" s="176"/>
      <c r="D557" s="176"/>
      <c r="E557" s="176"/>
      <c r="F557" s="176"/>
      <c r="G557" s="178"/>
      <c r="H557" s="176"/>
      <c r="I557" s="176"/>
      <c r="J557" s="176"/>
      <c r="K557" s="176"/>
      <c r="L557" s="176"/>
      <c r="M557" s="176"/>
      <c r="N557" s="176"/>
      <c r="O557" s="176"/>
      <c r="P557" s="176"/>
      <c r="Q557" s="176"/>
      <c r="R557" s="176"/>
      <c r="S557" s="176"/>
      <c r="T557" s="176"/>
      <c r="U557" s="176"/>
      <c r="V557" s="176"/>
      <c r="W557" s="176"/>
      <c r="X557" s="176"/>
      <c r="Y557" s="176"/>
      <c r="Z557" s="176"/>
      <c r="AA557" s="176"/>
      <c r="AB557" s="176"/>
      <c r="AC557" s="176"/>
      <c r="AD557" s="176"/>
      <c r="AE557" s="176"/>
      <c r="AF557" s="176"/>
      <c r="AG557" s="176"/>
      <c r="AH557" s="176"/>
      <c r="AI557" s="176"/>
      <c r="AJ557" s="176"/>
      <c r="AK557" s="176"/>
      <c r="AL557" s="176"/>
      <c r="AM557" s="176"/>
      <c r="AN557" s="176"/>
      <c r="AO557" s="176"/>
      <c r="AP557" s="176"/>
      <c r="AQ557" s="176"/>
      <c r="AR557" s="176"/>
      <c r="AS557" s="176"/>
      <c r="AT557" s="176"/>
      <c r="AU557" s="176"/>
      <c r="AV557" s="176"/>
      <c r="AW557" s="176"/>
      <c r="AX557" s="176"/>
      <c r="AY557" s="176"/>
      <c r="AZ557" s="176"/>
      <c r="BA557" s="176"/>
      <c r="BB557" s="176"/>
      <c r="BC557" s="176"/>
      <c r="BD557" s="176"/>
    </row>
    <row r="558" ht="15.75" customHeight="1">
      <c r="A558" s="176"/>
      <c r="B558" s="176"/>
      <c r="C558" s="176"/>
      <c r="D558" s="176"/>
      <c r="E558" s="176"/>
      <c r="F558" s="176"/>
      <c r="G558" s="178"/>
      <c r="H558" s="176"/>
      <c r="I558" s="176"/>
      <c r="J558" s="176"/>
      <c r="K558" s="176"/>
      <c r="L558" s="176"/>
      <c r="M558" s="176"/>
      <c r="N558" s="176"/>
      <c r="O558" s="176"/>
      <c r="P558" s="176"/>
      <c r="Q558" s="176"/>
      <c r="R558" s="176"/>
      <c r="S558" s="176"/>
      <c r="T558" s="176"/>
      <c r="U558" s="176"/>
      <c r="V558" s="176"/>
      <c r="W558" s="176"/>
      <c r="X558" s="176"/>
      <c r="Y558" s="176"/>
      <c r="Z558" s="176"/>
      <c r="AA558" s="176"/>
      <c r="AB558" s="176"/>
      <c r="AC558" s="176"/>
      <c r="AD558" s="176"/>
      <c r="AE558" s="176"/>
      <c r="AF558" s="176"/>
      <c r="AG558" s="176"/>
      <c r="AH558" s="176"/>
      <c r="AI558" s="176"/>
      <c r="AJ558" s="176"/>
      <c r="AK558" s="176"/>
      <c r="AL558" s="176"/>
      <c r="AM558" s="176"/>
      <c r="AN558" s="176"/>
      <c r="AO558" s="176"/>
      <c r="AP558" s="176"/>
      <c r="AQ558" s="176"/>
      <c r="AR558" s="176"/>
      <c r="AS558" s="176"/>
      <c r="AT558" s="176"/>
      <c r="AU558" s="176"/>
      <c r="AV558" s="176"/>
      <c r="AW558" s="176"/>
      <c r="AX558" s="176"/>
      <c r="AY558" s="176"/>
      <c r="AZ558" s="176"/>
      <c r="BA558" s="176"/>
      <c r="BB558" s="176"/>
      <c r="BC558" s="176"/>
      <c r="BD558" s="176"/>
    </row>
    <row r="559" ht="15.75" customHeight="1">
      <c r="A559" s="176"/>
      <c r="B559" s="176"/>
      <c r="C559" s="176"/>
      <c r="D559" s="176"/>
      <c r="E559" s="176"/>
      <c r="F559" s="176"/>
      <c r="G559" s="178"/>
      <c r="H559" s="176"/>
      <c r="I559" s="176"/>
      <c r="J559" s="176"/>
      <c r="K559" s="176"/>
      <c r="L559" s="176"/>
      <c r="M559" s="176"/>
      <c r="N559" s="176"/>
      <c r="O559" s="176"/>
      <c r="P559" s="176"/>
      <c r="Q559" s="176"/>
      <c r="R559" s="176"/>
      <c r="S559" s="176"/>
      <c r="T559" s="176"/>
      <c r="U559" s="176"/>
      <c r="V559" s="176"/>
      <c r="W559" s="176"/>
      <c r="X559" s="176"/>
      <c r="Y559" s="176"/>
      <c r="Z559" s="176"/>
      <c r="AA559" s="176"/>
      <c r="AB559" s="176"/>
      <c r="AC559" s="176"/>
      <c r="AD559" s="176"/>
      <c r="AE559" s="176"/>
      <c r="AF559" s="176"/>
      <c r="AG559" s="176"/>
      <c r="AH559" s="176"/>
      <c r="AI559" s="176"/>
      <c r="AJ559" s="176"/>
      <c r="AK559" s="176"/>
      <c r="AL559" s="176"/>
      <c r="AM559" s="176"/>
      <c r="AN559" s="176"/>
      <c r="AO559" s="176"/>
      <c r="AP559" s="176"/>
      <c r="AQ559" s="176"/>
      <c r="AR559" s="176"/>
      <c r="AS559" s="176"/>
      <c r="AT559" s="176"/>
      <c r="AU559" s="176"/>
      <c r="AV559" s="176"/>
      <c r="AW559" s="176"/>
      <c r="AX559" s="176"/>
      <c r="AY559" s="176"/>
      <c r="AZ559" s="176"/>
      <c r="BA559" s="176"/>
      <c r="BB559" s="176"/>
      <c r="BC559" s="176"/>
      <c r="BD559" s="176"/>
    </row>
    <row r="560" ht="15.75" customHeight="1">
      <c r="A560" s="176"/>
      <c r="B560" s="176"/>
      <c r="C560" s="176"/>
      <c r="D560" s="176"/>
      <c r="E560" s="176"/>
      <c r="F560" s="176"/>
      <c r="G560" s="178"/>
      <c r="H560" s="176"/>
      <c r="I560" s="176"/>
      <c r="J560" s="176"/>
      <c r="K560" s="176"/>
      <c r="L560" s="176"/>
      <c r="M560" s="176"/>
      <c r="N560" s="176"/>
      <c r="O560" s="176"/>
      <c r="P560" s="176"/>
      <c r="Q560" s="176"/>
      <c r="R560" s="176"/>
      <c r="S560" s="176"/>
      <c r="T560" s="176"/>
      <c r="U560" s="176"/>
      <c r="V560" s="176"/>
      <c r="W560" s="176"/>
      <c r="X560" s="176"/>
      <c r="Y560" s="176"/>
      <c r="Z560" s="176"/>
      <c r="AA560" s="176"/>
      <c r="AB560" s="176"/>
      <c r="AC560" s="176"/>
      <c r="AD560" s="176"/>
      <c r="AE560" s="176"/>
      <c r="AF560" s="176"/>
      <c r="AG560" s="176"/>
      <c r="AH560" s="176"/>
      <c r="AI560" s="176"/>
      <c r="AJ560" s="176"/>
      <c r="AK560" s="176"/>
      <c r="AL560" s="176"/>
      <c r="AM560" s="176"/>
      <c r="AN560" s="176"/>
      <c r="AO560" s="176"/>
      <c r="AP560" s="176"/>
      <c r="AQ560" s="176"/>
      <c r="AR560" s="176"/>
      <c r="AS560" s="176"/>
      <c r="AT560" s="176"/>
      <c r="AU560" s="176"/>
      <c r="AV560" s="176"/>
      <c r="AW560" s="176"/>
      <c r="AX560" s="176"/>
      <c r="AY560" s="176"/>
      <c r="AZ560" s="176"/>
      <c r="BA560" s="176"/>
      <c r="BB560" s="176"/>
      <c r="BC560" s="176"/>
      <c r="BD560" s="176"/>
    </row>
    <row r="561" ht="15.75" customHeight="1">
      <c r="A561" s="176"/>
      <c r="B561" s="176"/>
      <c r="C561" s="176"/>
      <c r="D561" s="176"/>
      <c r="E561" s="176"/>
      <c r="F561" s="176"/>
      <c r="G561" s="178"/>
      <c r="H561" s="176"/>
      <c r="I561" s="176"/>
      <c r="J561" s="176"/>
      <c r="K561" s="176"/>
      <c r="L561" s="176"/>
      <c r="M561" s="176"/>
      <c r="N561" s="176"/>
      <c r="O561" s="176"/>
      <c r="P561" s="176"/>
      <c r="Q561" s="176"/>
      <c r="R561" s="176"/>
      <c r="S561" s="176"/>
      <c r="T561" s="176"/>
      <c r="U561" s="176"/>
      <c r="V561" s="176"/>
      <c r="W561" s="176"/>
      <c r="X561" s="176"/>
      <c r="Y561" s="176"/>
      <c r="Z561" s="176"/>
      <c r="AA561" s="176"/>
      <c r="AB561" s="176"/>
      <c r="AC561" s="176"/>
      <c r="AD561" s="176"/>
      <c r="AE561" s="176"/>
      <c r="AF561" s="176"/>
      <c r="AG561" s="176"/>
      <c r="AH561" s="176"/>
      <c r="AI561" s="176"/>
      <c r="AJ561" s="176"/>
      <c r="AK561" s="176"/>
      <c r="AL561" s="176"/>
      <c r="AM561" s="176"/>
      <c r="AN561" s="176"/>
      <c r="AO561" s="176"/>
      <c r="AP561" s="176"/>
      <c r="AQ561" s="176"/>
      <c r="AR561" s="176"/>
      <c r="AS561" s="176"/>
      <c r="AT561" s="176"/>
      <c r="AU561" s="176"/>
      <c r="AV561" s="176"/>
      <c r="AW561" s="176"/>
      <c r="AX561" s="176"/>
      <c r="AY561" s="176"/>
      <c r="AZ561" s="176"/>
      <c r="BA561" s="176"/>
      <c r="BB561" s="176"/>
      <c r="BC561" s="176"/>
      <c r="BD561" s="176"/>
    </row>
    <row r="562" ht="15.75" customHeight="1">
      <c r="A562" s="176"/>
      <c r="B562" s="176"/>
      <c r="C562" s="176"/>
      <c r="D562" s="176"/>
      <c r="E562" s="176"/>
      <c r="F562" s="176"/>
      <c r="G562" s="178"/>
      <c r="H562" s="176"/>
      <c r="I562" s="176"/>
      <c r="J562" s="176"/>
      <c r="K562" s="176"/>
      <c r="L562" s="176"/>
      <c r="M562" s="176"/>
      <c r="N562" s="176"/>
      <c r="O562" s="176"/>
      <c r="P562" s="176"/>
      <c r="Q562" s="176"/>
      <c r="R562" s="176"/>
      <c r="S562" s="176"/>
      <c r="T562" s="176"/>
      <c r="U562" s="176"/>
      <c r="V562" s="176"/>
      <c r="W562" s="176"/>
      <c r="X562" s="176"/>
      <c r="Y562" s="176"/>
      <c r="Z562" s="176"/>
      <c r="AA562" s="176"/>
      <c r="AB562" s="176"/>
      <c r="AC562" s="176"/>
      <c r="AD562" s="176"/>
      <c r="AE562" s="176"/>
      <c r="AF562" s="176"/>
      <c r="AG562" s="176"/>
      <c r="AH562" s="176"/>
      <c r="AI562" s="176"/>
      <c r="AJ562" s="176"/>
      <c r="AK562" s="176"/>
      <c r="AL562" s="176"/>
      <c r="AM562" s="176"/>
      <c r="AN562" s="176"/>
      <c r="AO562" s="176"/>
      <c r="AP562" s="176"/>
      <c r="AQ562" s="176"/>
      <c r="AR562" s="176"/>
      <c r="AS562" s="176"/>
      <c r="AT562" s="176"/>
      <c r="AU562" s="176"/>
      <c r="AV562" s="176"/>
      <c r="AW562" s="176"/>
      <c r="AX562" s="176"/>
      <c r="AY562" s="176"/>
      <c r="AZ562" s="176"/>
      <c r="BA562" s="176"/>
      <c r="BB562" s="176"/>
      <c r="BC562" s="176"/>
      <c r="BD562" s="176"/>
    </row>
    <row r="563" ht="15.75" customHeight="1">
      <c r="A563" s="176"/>
      <c r="B563" s="176"/>
      <c r="C563" s="176"/>
      <c r="D563" s="176"/>
      <c r="E563" s="176"/>
      <c r="F563" s="176"/>
      <c r="G563" s="178"/>
      <c r="H563" s="176"/>
      <c r="I563" s="176"/>
      <c r="J563" s="176"/>
      <c r="K563" s="176"/>
      <c r="L563" s="176"/>
      <c r="M563" s="176"/>
      <c r="N563" s="176"/>
      <c r="O563" s="176"/>
      <c r="P563" s="176"/>
      <c r="Q563" s="176"/>
      <c r="R563" s="176"/>
      <c r="S563" s="176"/>
      <c r="T563" s="176"/>
      <c r="U563" s="176"/>
      <c r="V563" s="176"/>
      <c r="W563" s="176"/>
      <c r="X563" s="176"/>
      <c r="Y563" s="176"/>
      <c r="Z563" s="176"/>
      <c r="AA563" s="176"/>
      <c r="AB563" s="176"/>
      <c r="AC563" s="176"/>
      <c r="AD563" s="176"/>
      <c r="AE563" s="176"/>
      <c r="AF563" s="176"/>
      <c r="AG563" s="176"/>
      <c r="AH563" s="176"/>
      <c r="AI563" s="176"/>
      <c r="AJ563" s="176"/>
      <c r="AK563" s="176"/>
      <c r="AL563" s="176"/>
      <c r="AM563" s="176"/>
      <c r="AN563" s="176"/>
      <c r="AO563" s="176"/>
      <c r="AP563" s="176"/>
      <c r="AQ563" s="176"/>
      <c r="AR563" s="176"/>
      <c r="AS563" s="176"/>
      <c r="AT563" s="176"/>
      <c r="AU563" s="176"/>
      <c r="AV563" s="176"/>
      <c r="AW563" s="176"/>
      <c r="AX563" s="176"/>
      <c r="AY563" s="176"/>
      <c r="AZ563" s="176"/>
      <c r="BA563" s="176"/>
      <c r="BB563" s="176"/>
      <c r="BC563" s="176"/>
      <c r="BD563" s="176"/>
    </row>
    <row r="564" ht="15.75" customHeight="1">
      <c r="A564" s="176"/>
      <c r="B564" s="176"/>
      <c r="C564" s="176"/>
      <c r="D564" s="176"/>
      <c r="E564" s="176"/>
      <c r="F564" s="176"/>
      <c r="G564" s="178"/>
      <c r="H564" s="176"/>
      <c r="I564" s="176"/>
      <c r="J564" s="176"/>
      <c r="K564" s="176"/>
      <c r="L564" s="176"/>
      <c r="M564" s="176"/>
      <c r="N564" s="176"/>
      <c r="O564" s="176"/>
      <c r="P564" s="176"/>
      <c r="Q564" s="176"/>
      <c r="R564" s="176"/>
      <c r="S564" s="176"/>
      <c r="T564" s="176"/>
      <c r="U564" s="176"/>
      <c r="V564" s="176"/>
      <c r="W564" s="176"/>
      <c r="X564" s="176"/>
      <c r="Y564" s="176"/>
      <c r="Z564" s="176"/>
      <c r="AA564" s="176"/>
      <c r="AB564" s="176"/>
      <c r="AC564" s="176"/>
      <c r="AD564" s="176"/>
      <c r="AE564" s="176"/>
      <c r="AF564" s="176"/>
      <c r="AG564" s="176"/>
      <c r="AH564" s="176"/>
      <c r="AI564" s="176"/>
      <c r="AJ564" s="176"/>
      <c r="AK564" s="176"/>
      <c r="AL564" s="176"/>
      <c r="AM564" s="176"/>
      <c r="AN564" s="176"/>
      <c r="AO564" s="176"/>
      <c r="AP564" s="176"/>
      <c r="AQ564" s="176"/>
      <c r="AR564" s="176"/>
      <c r="AS564" s="176"/>
      <c r="AT564" s="176"/>
      <c r="AU564" s="176"/>
      <c r="AV564" s="176"/>
      <c r="AW564" s="176"/>
      <c r="AX564" s="176"/>
      <c r="AY564" s="176"/>
      <c r="AZ564" s="176"/>
      <c r="BA564" s="176"/>
      <c r="BB564" s="176"/>
      <c r="BC564" s="176"/>
      <c r="BD564" s="176"/>
    </row>
    <row r="565" ht="15.75" customHeight="1">
      <c r="A565" s="176"/>
      <c r="B565" s="176"/>
      <c r="C565" s="176"/>
      <c r="D565" s="176"/>
      <c r="E565" s="176"/>
      <c r="F565" s="176"/>
      <c r="G565" s="178"/>
      <c r="H565" s="176"/>
      <c r="I565" s="176"/>
      <c r="J565" s="176"/>
      <c r="K565" s="176"/>
      <c r="L565" s="176"/>
      <c r="M565" s="176"/>
      <c r="N565" s="176"/>
      <c r="O565" s="176"/>
      <c r="P565" s="176"/>
      <c r="Q565" s="176"/>
      <c r="R565" s="176"/>
      <c r="S565" s="176"/>
      <c r="T565" s="176"/>
      <c r="U565" s="176"/>
      <c r="V565" s="176"/>
      <c r="W565" s="176"/>
      <c r="X565" s="176"/>
      <c r="Y565" s="176"/>
      <c r="Z565" s="176"/>
      <c r="AA565" s="176"/>
      <c r="AB565" s="176"/>
      <c r="AC565" s="176"/>
      <c r="AD565" s="176"/>
      <c r="AE565" s="176"/>
      <c r="AF565" s="176"/>
      <c r="AG565" s="176"/>
      <c r="AH565" s="176"/>
      <c r="AI565" s="176"/>
      <c r="AJ565" s="176"/>
      <c r="AK565" s="176"/>
      <c r="AL565" s="176"/>
      <c r="AM565" s="176"/>
      <c r="AN565" s="176"/>
      <c r="AO565" s="176"/>
      <c r="AP565" s="176"/>
      <c r="AQ565" s="176"/>
      <c r="AR565" s="176"/>
      <c r="AS565" s="176"/>
      <c r="AT565" s="176"/>
      <c r="AU565" s="176"/>
      <c r="AV565" s="176"/>
      <c r="AW565" s="176"/>
      <c r="AX565" s="176"/>
      <c r="AY565" s="176"/>
      <c r="AZ565" s="176"/>
      <c r="BA565" s="176"/>
      <c r="BB565" s="176"/>
      <c r="BC565" s="176"/>
      <c r="BD565" s="176"/>
    </row>
    <row r="566" ht="15.75" customHeight="1">
      <c r="A566" s="176"/>
      <c r="B566" s="176"/>
      <c r="C566" s="176"/>
      <c r="D566" s="176"/>
      <c r="E566" s="176"/>
      <c r="F566" s="176"/>
      <c r="G566" s="178"/>
      <c r="H566" s="176"/>
      <c r="I566" s="176"/>
      <c r="J566" s="176"/>
      <c r="K566" s="176"/>
      <c r="L566" s="176"/>
      <c r="M566" s="176"/>
      <c r="N566" s="176"/>
      <c r="O566" s="176"/>
      <c r="P566" s="176"/>
      <c r="Q566" s="176"/>
      <c r="R566" s="176"/>
      <c r="S566" s="176"/>
      <c r="T566" s="176"/>
      <c r="U566" s="176"/>
      <c r="V566" s="176"/>
      <c r="W566" s="176"/>
      <c r="X566" s="176"/>
      <c r="Y566" s="176"/>
      <c r="Z566" s="176"/>
      <c r="AA566" s="176"/>
      <c r="AB566" s="176"/>
      <c r="AC566" s="176"/>
      <c r="AD566" s="176"/>
      <c r="AE566" s="176"/>
      <c r="AF566" s="176"/>
      <c r="AG566" s="176"/>
      <c r="AH566" s="176"/>
      <c r="AI566" s="176"/>
      <c r="AJ566" s="176"/>
      <c r="AK566" s="176"/>
      <c r="AL566" s="176"/>
      <c r="AM566" s="176"/>
      <c r="AN566" s="176"/>
      <c r="AO566" s="176"/>
      <c r="AP566" s="176"/>
      <c r="AQ566" s="176"/>
      <c r="AR566" s="176"/>
      <c r="AS566" s="176"/>
      <c r="AT566" s="176"/>
      <c r="AU566" s="176"/>
      <c r="AV566" s="176"/>
      <c r="AW566" s="176"/>
      <c r="AX566" s="176"/>
      <c r="AY566" s="176"/>
      <c r="AZ566" s="176"/>
      <c r="BA566" s="176"/>
      <c r="BB566" s="176"/>
      <c r="BC566" s="176"/>
      <c r="BD566" s="176"/>
    </row>
    <row r="567" ht="15.75" customHeight="1">
      <c r="A567" s="176"/>
      <c r="B567" s="176"/>
      <c r="C567" s="176"/>
      <c r="D567" s="176"/>
      <c r="E567" s="176"/>
      <c r="F567" s="176"/>
      <c r="G567" s="178"/>
      <c r="H567" s="176"/>
      <c r="I567" s="176"/>
      <c r="J567" s="176"/>
      <c r="K567" s="176"/>
      <c r="L567" s="176"/>
      <c r="M567" s="176"/>
      <c r="N567" s="176"/>
      <c r="O567" s="176"/>
      <c r="P567" s="176"/>
      <c r="Q567" s="176"/>
      <c r="R567" s="176"/>
      <c r="S567" s="176"/>
      <c r="T567" s="176"/>
      <c r="U567" s="176"/>
      <c r="V567" s="176"/>
      <c r="W567" s="176"/>
      <c r="X567" s="176"/>
      <c r="Y567" s="176"/>
      <c r="Z567" s="176"/>
      <c r="AA567" s="176"/>
      <c r="AB567" s="176"/>
      <c r="AC567" s="176"/>
      <c r="AD567" s="176"/>
      <c r="AE567" s="176"/>
      <c r="AF567" s="176"/>
      <c r="AG567" s="176"/>
      <c r="AH567" s="176"/>
      <c r="AI567" s="176"/>
      <c r="AJ567" s="176"/>
      <c r="AK567" s="176"/>
      <c r="AL567" s="176"/>
      <c r="AM567" s="176"/>
      <c r="AN567" s="176"/>
      <c r="AO567" s="176"/>
      <c r="AP567" s="176"/>
      <c r="AQ567" s="176"/>
      <c r="AR567" s="176"/>
      <c r="AS567" s="176"/>
      <c r="AT567" s="176"/>
      <c r="AU567" s="176"/>
      <c r="AV567" s="176"/>
      <c r="AW567" s="176"/>
      <c r="AX567" s="176"/>
      <c r="AY567" s="176"/>
      <c r="AZ567" s="176"/>
      <c r="BA567" s="176"/>
      <c r="BB567" s="176"/>
      <c r="BC567" s="176"/>
      <c r="BD567" s="176"/>
    </row>
    <row r="568" ht="15.75" customHeight="1">
      <c r="A568" s="176"/>
      <c r="B568" s="176"/>
      <c r="C568" s="176"/>
      <c r="D568" s="176"/>
      <c r="E568" s="176"/>
      <c r="F568" s="176"/>
      <c r="G568" s="178"/>
      <c r="H568" s="176"/>
      <c r="I568" s="176"/>
      <c r="J568" s="176"/>
      <c r="K568" s="176"/>
      <c r="L568" s="176"/>
      <c r="M568" s="176"/>
      <c r="N568" s="176"/>
      <c r="O568" s="176"/>
      <c r="P568" s="176"/>
      <c r="Q568" s="176"/>
      <c r="R568" s="176"/>
      <c r="S568" s="176"/>
      <c r="T568" s="176"/>
      <c r="U568" s="176"/>
      <c r="V568" s="176"/>
      <c r="W568" s="176"/>
      <c r="X568" s="176"/>
      <c r="Y568" s="176"/>
      <c r="Z568" s="176"/>
      <c r="AA568" s="176"/>
      <c r="AB568" s="176"/>
      <c r="AC568" s="176"/>
      <c r="AD568" s="176"/>
      <c r="AE568" s="176"/>
      <c r="AF568" s="176"/>
      <c r="AG568" s="176"/>
      <c r="AH568" s="176"/>
      <c r="AI568" s="176"/>
      <c r="AJ568" s="176"/>
      <c r="AK568" s="176"/>
      <c r="AL568" s="176"/>
      <c r="AM568" s="176"/>
      <c r="AN568" s="176"/>
      <c r="AO568" s="176"/>
      <c r="AP568" s="176"/>
      <c r="AQ568" s="176"/>
      <c r="AR568" s="176"/>
      <c r="AS568" s="176"/>
      <c r="AT568" s="176"/>
      <c r="AU568" s="176"/>
      <c r="AV568" s="176"/>
      <c r="AW568" s="176"/>
      <c r="AX568" s="176"/>
      <c r="AY568" s="176"/>
      <c r="AZ568" s="176"/>
      <c r="BA568" s="176"/>
      <c r="BB568" s="176"/>
      <c r="BC568" s="176"/>
      <c r="BD568" s="176"/>
    </row>
    <row r="569" ht="15.75" customHeight="1">
      <c r="A569" s="176"/>
      <c r="B569" s="176"/>
      <c r="C569" s="176"/>
      <c r="D569" s="176"/>
      <c r="E569" s="176"/>
      <c r="F569" s="176"/>
      <c r="G569" s="178"/>
      <c r="H569" s="176"/>
      <c r="I569" s="176"/>
      <c r="J569" s="176"/>
      <c r="K569" s="176"/>
      <c r="L569" s="176"/>
      <c r="M569" s="176"/>
      <c r="N569" s="176"/>
      <c r="O569" s="176"/>
      <c r="P569" s="176"/>
      <c r="Q569" s="176"/>
      <c r="R569" s="176"/>
      <c r="S569" s="176"/>
      <c r="T569" s="176"/>
      <c r="U569" s="176"/>
      <c r="V569" s="176"/>
      <c r="W569" s="176"/>
      <c r="X569" s="176"/>
      <c r="Y569" s="176"/>
      <c r="Z569" s="176"/>
      <c r="AA569" s="176"/>
      <c r="AB569" s="176"/>
      <c r="AC569" s="176"/>
      <c r="AD569" s="176"/>
      <c r="AE569" s="176"/>
      <c r="AF569" s="176"/>
      <c r="AG569" s="176"/>
      <c r="AH569" s="176"/>
      <c r="AI569" s="176"/>
      <c r="AJ569" s="176"/>
      <c r="AK569" s="176"/>
      <c r="AL569" s="176"/>
      <c r="AM569" s="176"/>
      <c r="AN569" s="176"/>
      <c r="AO569" s="176"/>
      <c r="AP569" s="176"/>
      <c r="AQ569" s="176"/>
      <c r="AR569" s="176"/>
      <c r="AS569" s="176"/>
      <c r="AT569" s="176"/>
      <c r="AU569" s="176"/>
      <c r="AV569" s="176"/>
      <c r="AW569" s="176"/>
      <c r="AX569" s="176"/>
      <c r="AY569" s="176"/>
      <c r="AZ569" s="176"/>
      <c r="BA569" s="176"/>
      <c r="BB569" s="176"/>
      <c r="BC569" s="176"/>
      <c r="BD569" s="176"/>
    </row>
    <row r="570" ht="15.75" customHeight="1">
      <c r="A570" s="176"/>
      <c r="B570" s="176"/>
      <c r="C570" s="176"/>
      <c r="D570" s="176"/>
      <c r="E570" s="176"/>
      <c r="F570" s="176"/>
      <c r="G570" s="178"/>
      <c r="H570" s="176"/>
      <c r="I570" s="176"/>
      <c r="J570" s="176"/>
      <c r="K570" s="176"/>
      <c r="L570" s="176"/>
      <c r="M570" s="176"/>
      <c r="N570" s="176"/>
      <c r="O570" s="176"/>
      <c r="P570" s="176"/>
      <c r="Q570" s="176"/>
      <c r="R570" s="176"/>
      <c r="S570" s="176"/>
      <c r="T570" s="176"/>
      <c r="U570" s="176"/>
      <c r="V570" s="176"/>
      <c r="W570" s="176"/>
      <c r="X570" s="176"/>
      <c r="Y570" s="176"/>
      <c r="Z570" s="176"/>
      <c r="AA570" s="176"/>
      <c r="AB570" s="176"/>
      <c r="AC570" s="176"/>
      <c r="AD570" s="176"/>
      <c r="AE570" s="176"/>
      <c r="AF570" s="176"/>
      <c r="AG570" s="176"/>
      <c r="AH570" s="176"/>
      <c r="AI570" s="176"/>
      <c r="AJ570" s="176"/>
      <c r="AK570" s="176"/>
      <c r="AL570" s="176"/>
      <c r="AM570" s="176"/>
      <c r="AN570" s="176"/>
      <c r="AO570" s="176"/>
      <c r="AP570" s="176"/>
      <c r="AQ570" s="176"/>
      <c r="AR570" s="176"/>
      <c r="AS570" s="176"/>
      <c r="AT570" s="176"/>
      <c r="AU570" s="176"/>
      <c r="AV570" s="176"/>
      <c r="AW570" s="176"/>
      <c r="AX570" s="176"/>
      <c r="AY570" s="176"/>
      <c r="AZ570" s="176"/>
      <c r="BA570" s="176"/>
      <c r="BB570" s="176"/>
      <c r="BC570" s="176"/>
      <c r="BD570" s="176"/>
    </row>
    <row r="571" ht="15.75" customHeight="1">
      <c r="A571" s="176"/>
      <c r="B571" s="176"/>
      <c r="C571" s="176"/>
      <c r="D571" s="176"/>
      <c r="E571" s="176"/>
      <c r="F571" s="176"/>
      <c r="G571" s="178"/>
      <c r="H571" s="176"/>
      <c r="I571" s="176"/>
      <c r="J571" s="176"/>
      <c r="K571" s="176"/>
      <c r="L571" s="176"/>
      <c r="M571" s="176"/>
      <c r="N571" s="176"/>
      <c r="O571" s="176"/>
      <c r="P571" s="176"/>
      <c r="Q571" s="176"/>
      <c r="R571" s="176"/>
      <c r="S571" s="176"/>
      <c r="T571" s="176"/>
      <c r="U571" s="176"/>
      <c r="V571" s="176"/>
      <c r="W571" s="176"/>
      <c r="X571" s="176"/>
      <c r="Y571" s="176"/>
      <c r="Z571" s="176"/>
      <c r="AA571" s="176"/>
      <c r="AB571" s="176"/>
      <c r="AC571" s="176"/>
      <c r="AD571" s="176"/>
      <c r="AE571" s="176"/>
      <c r="AF571" s="176"/>
      <c r="AG571" s="176"/>
      <c r="AH571" s="176"/>
      <c r="AI571" s="176"/>
      <c r="AJ571" s="176"/>
      <c r="AK571" s="176"/>
      <c r="AL571" s="176"/>
      <c r="AM571" s="176"/>
      <c r="AN571" s="176"/>
      <c r="AO571" s="176"/>
      <c r="AP571" s="176"/>
      <c r="AQ571" s="176"/>
      <c r="AR571" s="176"/>
      <c r="AS571" s="176"/>
      <c r="AT571" s="176"/>
      <c r="AU571" s="176"/>
      <c r="AV571" s="176"/>
      <c r="AW571" s="176"/>
      <c r="AX571" s="176"/>
      <c r="AY571" s="176"/>
      <c r="AZ571" s="176"/>
      <c r="BA571" s="176"/>
      <c r="BB571" s="176"/>
      <c r="BC571" s="176"/>
      <c r="BD571" s="176"/>
    </row>
    <row r="572" ht="15.75" customHeight="1">
      <c r="A572" s="176"/>
      <c r="B572" s="176"/>
      <c r="C572" s="176"/>
      <c r="D572" s="176"/>
      <c r="E572" s="176"/>
      <c r="F572" s="176"/>
      <c r="G572" s="178"/>
      <c r="H572" s="176"/>
      <c r="I572" s="176"/>
      <c r="J572" s="176"/>
      <c r="K572" s="176"/>
      <c r="L572" s="176"/>
      <c r="M572" s="176"/>
      <c r="N572" s="176"/>
      <c r="O572" s="176"/>
      <c r="P572" s="176"/>
      <c r="Q572" s="176"/>
      <c r="R572" s="176"/>
      <c r="S572" s="176"/>
      <c r="T572" s="176"/>
      <c r="U572" s="176"/>
      <c r="V572" s="176"/>
      <c r="W572" s="176"/>
      <c r="X572" s="176"/>
      <c r="Y572" s="176"/>
      <c r="Z572" s="176"/>
      <c r="AA572" s="176"/>
      <c r="AB572" s="176"/>
      <c r="AC572" s="176"/>
      <c r="AD572" s="176"/>
      <c r="AE572" s="176"/>
      <c r="AF572" s="176"/>
      <c r="AG572" s="176"/>
      <c r="AH572" s="176"/>
      <c r="AI572" s="176"/>
      <c r="AJ572" s="176"/>
      <c r="AK572" s="176"/>
      <c r="AL572" s="176"/>
      <c r="AM572" s="176"/>
      <c r="AN572" s="176"/>
      <c r="AO572" s="176"/>
      <c r="AP572" s="176"/>
      <c r="AQ572" s="176"/>
      <c r="AR572" s="176"/>
      <c r="AS572" s="176"/>
      <c r="AT572" s="176"/>
      <c r="AU572" s="176"/>
      <c r="AV572" s="176"/>
      <c r="AW572" s="176"/>
      <c r="AX572" s="176"/>
      <c r="AY572" s="176"/>
      <c r="AZ572" s="176"/>
      <c r="BA572" s="176"/>
      <c r="BB572" s="176"/>
      <c r="BC572" s="176"/>
      <c r="BD572" s="176"/>
    </row>
    <row r="573" ht="15.75" customHeight="1">
      <c r="A573" s="176"/>
      <c r="B573" s="176"/>
      <c r="C573" s="176"/>
      <c r="D573" s="176"/>
      <c r="E573" s="176"/>
      <c r="F573" s="176"/>
      <c r="G573" s="178"/>
      <c r="H573" s="176"/>
      <c r="I573" s="176"/>
      <c r="J573" s="176"/>
      <c r="K573" s="176"/>
      <c r="L573" s="176"/>
      <c r="M573" s="176"/>
      <c r="N573" s="176"/>
      <c r="O573" s="176"/>
      <c r="P573" s="176"/>
      <c r="Q573" s="176"/>
      <c r="R573" s="176"/>
      <c r="S573" s="176"/>
      <c r="T573" s="176"/>
      <c r="U573" s="176"/>
      <c r="V573" s="176"/>
      <c r="W573" s="176"/>
      <c r="X573" s="176"/>
      <c r="Y573" s="176"/>
      <c r="Z573" s="176"/>
      <c r="AA573" s="176"/>
      <c r="AB573" s="176"/>
      <c r="AC573" s="176"/>
      <c r="AD573" s="176"/>
      <c r="AE573" s="176"/>
      <c r="AF573" s="176"/>
      <c r="AG573" s="176"/>
      <c r="AH573" s="176"/>
      <c r="AI573" s="176"/>
      <c r="AJ573" s="176"/>
      <c r="AK573" s="176"/>
      <c r="AL573" s="176"/>
      <c r="AM573" s="176"/>
      <c r="AN573" s="176"/>
      <c r="AO573" s="176"/>
      <c r="AP573" s="176"/>
      <c r="AQ573" s="176"/>
      <c r="AR573" s="176"/>
      <c r="AS573" s="176"/>
      <c r="AT573" s="176"/>
      <c r="AU573" s="176"/>
      <c r="AV573" s="176"/>
      <c r="AW573" s="176"/>
      <c r="AX573" s="176"/>
      <c r="AY573" s="176"/>
      <c r="AZ573" s="176"/>
      <c r="BA573" s="176"/>
      <c r="BB573" s="176"/>
      <c r="BC573" s="176"/>
      <c r="BD573" s="176"/>
    </row>
    <row r="574" ht="15.75" customHeight="1">
      <c r="A574" s="176"/>
      <c r="B574" s="176"/>
      <c r="C574" s="176"/>
      <c r="D574" s="176"/>
      <c r="E574" s="176"/>
      <c r="F574" s="176"/>
      <c r="G574" s="178"/>
      <c r="H574" s="176"/>
      <c r="I574" s="176"/>
      <c r="J574" s="176"/>
      <c r="K574" s="176"/>
      <c r="L574" s="176"/>
      <c r="M574" s="176"/>
      <c r="N574" s="176"/>
      <c r="O574" s="176"/>
      <c r="P574" s="176"/>
      <c r="Q574" s="176"/>
      <c r="R574" s="176"/>
      <c r="S574" s="176"/>
      <c r="T574" s="176"/>
      <c r="U574" s="176"/>
      <c r="V574" s="176"/>
      <c r="W574" s="176"/>
      <c r="X574" s="176"/>
      <c r="Y574" s="176"/>
      <c r="Z574" s="176"/>
      <c r="AA574" s="176"/>
      <c r="AB574" s="176"/>
      <c r="AC574" s="176"/>
      <c r="AD574" s="176"/>
      <c r="AE574" s="176"/>
      <c r="AF574" s="176"/>
      <c r="AG574" s="176"/>
      <c r="AH574" s="176"/>
      <c r="AI574" s="176"/>
      <c r="AJ574" s="176"/>
      <c r="AK574" s="176"/>
      <c r="AL574" s="176"/>
      <c r="AM574" s="176"/>
      <c r="AN574" s="176"/>
      <c r="AO574" s="176"/>
      <c r="AP574" s="176"/>
      <c r="AQ574" s="176"/>
      <c r="AR574" s="176"/>
      <c r="AS574" s="176"/>
      <c r="AT574" s="176"/>
      <c r="AU574" s="176"/>
      <c r="AV574" s="176"/>
      <c r="AW574" s="176"/>
      <c r="AX574" s="176"/>
      <c r="AY574" s="176"/>
      <c r="AZ574" s="176"/>
      <c r="BA574" s="176"/>
      <c r="BB574" s="176"/>
      <c r="BC574" s="176"/>
      <c r="BD574" s="176"/>
    </row>
    <row r="575" ht="15.75" customHeight="1">
      <c r="A575" s="176"/>
      <c r="B575" s="176"/>
      <c r="C575" s="176"/>
      <c r="D575" s="176"/>
      <c r="E575" s="176"/>
      <c r="F575" s="176"/>
      <c r="G575" s="178"/>
      <c r="H575" s="176"/>
      <c r="I575" s="176"/>
      <c r="J575" s="176"/>
      <c r="K575" s="176"/>
      <c r="L575" s="176"/>
      <c r="M575" s="176"/>
      <c r="N575" s="176"/>
      <c r="O575" s="176"/>
      <c r="P575" s="176"/>
      <c r="Q575" s="176"/>
      <c r="R575" s="176"/>
      <c r="S575" s="176"/>
      <c r="T575" s="176"/>
      <c r="U575" s="176"/>
      <c r="V575" s="176"/>
      <c r="W575" s="176"/>
      <c r="X575" s="176"/>
      <c r="Y575" s="176"/>
      <c r="Z575" s="176"/>
      <c r="AA575" s="176"/>
      <c r="AB575" s="176"/>
      <c r="AC575" s="176"/>
      <c r="AD575" s="176"/>
      <c r="AE575" s="176"/>
      <c r="AF575" s="176"/>
      <c r="AG575" s="176"/>
      <c r="AH575" s="176"/>
      <c r="AI575" s="176"/>
      <c r="AJ575" s="176"/>
      <c r="AK575" s="176"/>
      <c r="AL575" s="176"/>
      <c r="AM575" s="176"/>
      <c r="AN575" s="176"/>
      <c r="AO575" s="176"/>
      <c r="AP575" s="176"/>
      <c r="AQ575" s="176"/>
      <c r="AR575" s="176"/>
      <c r="AS575" s="176"/>
      <c r="AT575" s="176"/>
      <c r="AU575" s="176"/>
      <c r="AV575" s="176"/>
      <c r="AW575" s="176"/>
      <c r="AX575" s="176"/>
      <c r="AY575" s="176"/>
      <c r="AZ575" s="176"/>
      <c r="BA575" s="176"/>
      <c r="BB575" s="176"/>
      <c r="BC575" s="176"/>
      <c r="BD575" s="176"/>
    </row>
    <row r="576" ht="15.75" customHeight="1">
      <c r="A576" s="176"/>
      <c r="B576" s="176"/>
      <c r="C576" s="176"/>
      <c r="D576" s="176"/>
      <c r="E576" s="176"/>
      <c r="F576" s="176"/>
      <c r="G576" s="178"/>
      <c r="H576" s="176"/>
      <c r="I576" s="176"/>
      <c r="J576" s="176"/>
      <c r="K576" s="176"/>
      <c r="L576" s="176"/>
      <c r="M576" s="176"/>
      <c r="N576" s="176"/>
      <c r="O576" s="176"/>
      <c r="P576" s="176"/>
      <c r="Q576" s="176"/>
      <c r="R576" s="176"/>
      <c r="S576" s="176"/>
      <c r="T576" s="176"/>
      <c r="U576" s="176"/>
      <c r="V576" s="176"/>
      <c r="W576" s="176"/>
      <c r="X576" s="176"/>
      <c r="Y576" s="176"/>
      <c r="Z576" s="176"/>
      <c r="AA576" s="176"/>
      <c r="AB576" s="176"/>
      <c r="AC576" s="176"/>
      <c r="AD576" s="176"/>
      <c r="AE576" s="176"/>
      <c r="AF576" s="176"/>
      <c r="AG576" s="176"/>
      <c r="AH576" s="176"/>
      <c r="AI576" s="176"/>
      <c r="AJ576" s="176"/>
      <c r="AK576" s="176"/>
      <c r="AL576" s="176"/>
      <c r="AM576" s="176"/>
      <c r="AN576" s="176"/>
      <c r="AO576" s="176"/>
      <c r="AP576" s="176"/>
      <c r="AQ576" s="176"/>
      <c r="AR576" s="176"/>
      <c r="AS576" s="176"/>
      <c r="AT576" s="176"/>
      <c r="AU576" s="176"/>
      <c r="AV576" s="176"/>
      <c r="AW576" s="176"/>
      <c r="AX576" s="176"/>
      <c r="AY576" s="176"/>
      <c r="AZ576" s="176"/>
      <c r="BA576" s="176"/>
      <c r="BB576" s="176"/>
      <c r="BC576" s="176"/>
      <c r="BD576" s="176"/>
    </row>
    <row r="577" ht="15.75" customHeight="1">
      <c r="A577" s="176"/>
      <c r="B577" s="176"/>
      <c r="C577" s="176"/>
      <c r="D577" s="176"/>
      <c r="E577" s="176"/>
      <c r="F577" s="176"/>
      <c r="G577" s="178"/>
      <c r="H577" s="176"/>
      <c r="I577" s="176"/>
      <c r="J577" s="176"/>
      <c r="K577" s="176"/>
      <c r="L577" s="176"/>
      <c r="M577" s="176"/>
      <c r="N577" s="176"/>
      <c r="O577" s="176"/>
      <c r="P577" s="176"/>
      <c r="Q577" s="176"/>
      <c r="R577" s="176"/>
      <c r="S577" s="176"/>
      <c r="T577" s="176"/>
      <c r="U577" s="176"/>
      <c r="V577" s="176"/>
      <c r="W577" s="176"/>
      <c r="X577" s="176"/>
      <c r="Y577" s="176"/>
      <c r="Z577" s="176"/>
      <c r="AA577" s="176"/>
      <c r="AB577" s="176"/>
      <c r="AC577" s="176"/>
      <c r="AD577" s="176"/>
      <c r="AE577" s="176"/>
      <c r="AF577" s="176"/>
      <c r="AG577" s="176"/>
      <c r="AH577" s="176"/>
      <c r="AI577" s="176"/>
      <c r="AJ577" s="176"/>
      <c r="AK577" s="176"/>
      <c r="AL577" s="176"/>
      <c r="AM577" s="176"/>
      <c r="AN577" s="176"/>
      <c r="AO577" s="176"/>
      <c r="AP577" s="176"/>
      <c r="AQ577" s="176"/>
      <c r="AR577" s="176"/>
      <c r="AS577" s="176"/>
      <c r="AT577" s="176"/>
      <c r="AU577" s="176"/>
      <c r="AV577" s="176"/>
      <c r="AW577" s="176"/>
      <c r="AX577" s="176"/>
      <c r="AY577" s="176"/>
      <c r="AZ577" s="176"/>
      <c r="BA577" s="176"/>
      <c r="BB577" s="176"/>
      <c r="BC577" s="176"/>
      <c r="BD577" s="176"/>
    </row>
    <row r="578" ht="15.75" customHeight="1">
      <c r="A578" s="176"/>
      <c r="B578" s="176"/>
      <c r="C578" s="176"/>
      <c r="D578" s="176"/>
      <c r="E578" s="176"/>
      <c r="F578" s="176"/>
      <c r="G578" s="178"/>
      <c r="H578" s="176"/>
      <c r="I578" s="176"/>
      <c r="J578" s="176"/>
      <c r="K578" s="176"/>
      <c r="L578" s="176"/>
      <c r="M578" s="176"/>
      <c r="N578" s="176"/>
      <c r="O578" s="176"/>
      <c r="P578" s="176"/>
      <c r="Q578" s="176"/>
      <c r="R578" s="176"/>
      <c r="S578" s="176"/>
      <c r="T578" s="176"/>
      <c r="U578" s="176"/>
      <c r="V578" s="176"/>
      <c r="W578" s="176"/>
      <c r="X578" s="176"/>
      <c r="Y578" s="176"/>
      <c r="Z578" s="176"/>
      <c r="AA578" s="176"/>
      <c r="AB578" s="176"/>
      <c r="AC578" s="176"/>
      <c r="AD578" s="176"/>
      <c r="AE578" s="176"/>
      <c r="AF578" s="176"/>
      <c r="AG578" s="176"/>
      <c r="AH578" s="176"/>
      <c r="AI578" s="176"/>
      <c r="AJ578" s="176"/>
      <c r="AK578" s="176"/>
      <c r="AL578" s="176"/>
      <c r="AM578" s="176"/>
      <c r="AN578" s="176"/>
      <c r="AO578" s="176"/>
      <c r="AP578" s="176"/>
      <c r="AQ578" s="176"/>
      <c r="AR578" s="176"/>
      <c r="AS578" s="176"/>
      <c r="AT578" s="176"/>
      <c r="AU578" s="176"/>
      <c r="AV578" s="176"/>
      <c r="AW578" s="176"/>
      <c r="AX578" s="176"/>
      <c r="AY578" s="176"/>
      <c r="AZ578" s="176"/>
      <c r="BA578" s="176"/>
      <c r="BB578" s="176"/>
      <c r="BC578" s="176"/>
      <c r="BD578" s="176"/>
    </row>
    <row r="579" ht="15.75" customHeight="1">
      <c r="A579" s="176"/>
      <c r="B579" s="176"/>
      <c r="C579" s="176"/>
      <c r="D579" s="176"/>
      <c r="E579" s="176"/>
      <c r="F579" s="176"/>
      <c r="G579" s="178"/>
      <c r="H579" s="176"/>
      <c r="I579" s="176"/>
      <c r="J579" s="176"/>
      <c r="K579" s="176"/>
      <c r="L579" s="176"/>
      <c r="M579" s="176"/>
      <c r="N579" s="176"/>
      <c r="O579" s="176"/>
      <c r="P579" s="176"/>
      <c r="Q579" s="176"/>
      <c r="R579" s="176"/>
      <c r="S579" s="176"/>
      <c r="T579" s="176"/>
      <c r="U579" s="176"/>
      <c r="V579" s="176"/>
      <c r="W579" s="176"/>
      <c r="X579" s="176"/>
      <c r="Y579" s="176"/>
      <c r="Z579" s="176"/>
      <c r="AA579" s="176"/>
      <c r="AB579" s="176"/>
      <c r="AC579" s="176"/>
      <c r="AD579" s="176"/>
      <c r="AE579" s="176"/>
      <c r="AF579" s="176"/>
      <c r="AG579" s="176"/>
      <c r="AH579" s="176"/>
      <c r="AI579" s="176"/>
      <c r="AJ579" s="176"/>
      <c r="AK579" s="176"/>
      <c r="AL579" s="176"/>
      <c r="AM579" s="176"/>
      <c r="AN579" s="176"/>
      <c r="AO579" s="176"/>
      <c r="AP579" s="176"/>
      <c r="AQ579" s="176"/>
      <c r="AR579" s="176"/>
      <c r="AS579" s="176"/>
      <c r="AT579" s="176"/>
      <c r="AU579" s="176"/>
      <c r="AV579" s="176"/>
      <c r="AW579" s="176"/>
      <c r="AX579" s="176"/>
      <c r="AY579" s="176"/>
      <c r="AZ579" s="176"/>
      <c r="BA579" s="176"/>
      <c r="BB579" s="176"/>
      <c r="BC579" s="176"/>
      <c r="BD579" s="176"/>
    </row>
    <row r="580" ht="15.75" customHeight="1">
      <c r="A580" s="176"/>
      <c r="B580" s="176"/>
      <c r="C580" s="176"/>
      <c r="D580" s="176"/>
      <c r="E580" s="176"/>
      <c r="F580" s="176"/>
      <c r="G580" s="178"/>
      <c r="H580" s="176"/>
      <c r="I580" s="176"/>
      <c r="J580" s="176"/>
      <c r="K580" s="176"/>
      <c r="L580" s="176"/>
      <c r="M580" s="176"/>
      <c r="N580" s="176"/>
      <c r="O580" s="176"/>
      <c r="P580" s="176"/>
      <c r="Q580" s="176"/>
      <c r="R580" s="176"/>
      <c r="S580" s="176"/>
      <c r="T580" s="176"/>
      <c r="U580" s="176"/>
      <c r="V580" s="176"/>
      <c r="W580" s="176"/>
      <c r="X580" s="176"/>
      <c r="Y580" s="176"/>
      <c r="Z580" s="176"/>
      <c r="AA580" s="176"/>
      <c r="AB580" s="176"/>
      <c r="AC580" s="176"/>
      <c r="AD580" s="176"/>
      <c r="AE580" s="176"/>
      <c r="AF580" s="176"/>
      <c r="AG580" s="176"/>
      <c r="AH580" s="176"/>
      <c r="AI580" s="176"/>
      <c r="AJ580" s="176"/>
      <c r="AK580" s="176"/>
      <c r="AL580" s="176"/>
      <c r="AM580" s="176"/>
      <c r="AN580" s="176"/>
      <c r="AO580" s="176"/>
      <c r="AP580" s="176"/>
      <c r="AQ580" s="176"/>
      <c r="AR580" s="176"/>
      <c r="AS580" s="176"/>
      <c r="AT580" s="176"/>
      <c r="AU580" s="176"/>
      <c r="AV580" s="176"/>
      <c r="AW580" s="176"/>
      <c r="AX580" s="176"/>
      <c r="AY580" s="176"/>
      <c r="AZ580" s="176"/>
      <c r="BA580" s="176"/>
      <c r="BB580" s="176"/>
      <c r="BC580" s="176"/>
      <c r="BD580" s="176"/>
    </row>
    <row r="581" ht="15.75" customHeight="1">
      <c r="A581" s="176"/>
      <c r="B581" s="176"/>
      <c r="C581" s="176"/>
      <c r="D581" s="176"/>
      <c r="E581" s="176"/>
      <c r="F581" s="176"/>
      <c r="G581" s="178"/>
      <c r="H581" s="176"/>
      <c r="I581" s="176"/>
      <c r="J581" s="176"/>
      <c r="K581" s="176"/>
      <c r="L581" s="176"/>
      <c r="M581" s="176"/>
      <c r="N581" s="176"/>
      <c r="O581" s="176"/>
      <c r="P581" s="176"/>
      <c r="Q581" s="176"/>
      <c r="R581" s="176"/>
      <c r="S581" s="176"/>
      <c r="T581" s="176"/>
      <c r="U581" s="176"/>
      <c r="V581" s="176"/>
      <c r="W581" s="176"/>
      <c r="X581" s="176"/>
      <c r="Y581" s="176"/>
      <c r="Z581" s="176"/>
      <c r="AA581" s="176"/>
      <c r="AB581" s="176"/>
      <c r="AC581" s="176"/>
      <c r="AD581" s="176"/>
      <c r="AE581" s="176"/>
      <c r="AF581" s="176"/>
      <c r="AG581" s="176"/>
      <c r="AH581" s="176"/>
      <c r="AI581" s="176"/>
      <c r="AJ581" s="176"/>
      <c r="AK581" s="176"/>
      <c r="AL581" s="176"/>
      <c r="AM581" s="176"/>
      <c r="AN581" s="176"/>
      <c r="AO581" s="176"/>
      <c r="AP581" s="176"/>
      <c r="AQ581" s="176"/>
      <c r="AR581" s="176"/>
      <c r="AS581" s="176"/>
      <c r="AT581" s="176"/>
      <c r="AU581" s="176"/>
      <c r="AV581" s="176"/>
      <c r="AW581" s="176"/>
      <c r="AX581" s="176"/>
      <c r="AY581" s="176"/>
      <c r="AZ581" s="176"/>
      <c r="BA581" s="176"/>
      <c r="BB581" s="176"/>
      <c r="BC581" s="176"/>
      <c r="BD581" s="176"/>
    </row>
    <row r="582" ht="15.75" customHeight="1">
      <c r="A582" s="176"/>
      <c r="B582" s="176"/>
      <c r="C582" s="176"/>
      <c r="D582" s="176"/>
      <c r="E582" s="176"/>
      <c r="F582" s="176"/>
      <c r="G582" s="178"/>
      <c r="H582" s="176"/>
      <c r="I582" s="176"/>
      <c r="J582" s="176"/>
      <c r="K582" s="176"/>
      <c r="L582" s="176"/>
      <c r="M582" s="176"/>
      <c r="N582" s="176"/>
      <c r="O582" s="176"/>
      <c r="P582" s="176"/>
      <c r="Q582" s="176"/>
      <c r="R582" s="176"/>
      <c r="S582" s="176"/>
      <c r="T582" s="176"/>
      <c r="U582" s="176"/>
      <c r="V582" s="176"/>
      <c r="W582" s="176"/>
      <c r="X582" s="176"/>
      <c r="Y582" s="176"/>
      <c r="Z582" s="176"/>
      <c r="AA582" s="176"/>
      <c r="AB582" s="176"/>
      <c r="AC582" s="176"/>
      <c r="AD582" s="176"/>
      <c r="AE582" s="176"/>
      <c r="AF582" s="176"/>
      <c r="AG582" s="176"/>
      <c r="AH582" s="176"/>
      <c r="AI582" s="176"/>
      <c r="AJ582" s="176"/>
      <c r="AK582" s="176"/>
      <c r="AL582" s="176"/>
      <c r="AM582" s="176"/>
      <c r="AN582" s="176"/>
      <c r="AO582" s="176"/>
      <c r="AP582" s="176"/>
      <c r="AQ582" s="176"/>
      <c r="AR582" s="176"/>
      <c r="AS582" s="176"/>
      <c r="AT582" s="176"/>
      <c r="AU582" s="176"/>
      <c r="AV582" s="176"/>
      <c r="AW582" s="176"/>
      <c r="AX582" s="176"/>
      <c r="AY582" s="176"/>
      <c r="AZ582" s="176"/>
      <c r="BA582" s="176"/>
      <c r="BB582" s="176"/>
      <c r="BC582" s="176"/>
      <c r="BD582" s="176"/>
    </row>
    <row r="583" ht="15.75" customHeight="1">
      <c r="A583" s="176"/>
      <c r="B583" s="176"/>
      <c r="C583" s="176"/>
      <c r="D583" s="176"/>
      <c r="E583" s="176"/>
      <c r="F583" s="176"/>
      <c r="G583" s="178"/>
      <c r="H583" s="176"/>
      <c r="I583" s="176"/>
      <c r="J583" s="176"/>
      <c r="K583" s="176"/>
      <c r="L583" s="176"/>
      <c r="M583" s="176"/>
      <c r="N583" s="176"/>
      <c r="O583" s="176"/>
      <c r="P583" s="176"/>
      <c r="Q583" s="176"/>
      <c r="R583" s="176"/>
      <c r="S583" s="176"/>
      <c r="T583" s="176"/>
      <c r="U583" s="176"/>
      <c r="V583" s="176"/>
      <c r="W583" s="176"/>
      <c r="X583" s="176"/>
      <c r="Y583" s="176"/>
      <c r="Z583" s="176"/>
      <c r="AA583" s="176"/>
      <c r="AB583" s="176"/>
      <c r="AC583" s="176"/>
      <c r="AD583" s="176"/>
      <c r="AE583" s="176"/>
      <c r="AF583" s="176"/>
      <c r="AG583" s="176"/>
      <c r="AH583" s="176"/>
      <c r="AI583" s="176"/>
      <c r="AJ583" s="176"/>
      <c r="AK583" s="176"/>
      <c r="AL583" s="176"/>
      <c r="AM583" s="176"/>
      <c r="AN583" s="176"/>
      <c r="AO583" s="176"/>
      <c r="AP583" s="176"/>
      <c r="AQ583" s="176"/>
      <c r="AR583" s="176"/>
      <c r="AS583" s="176"/>
      <c r="AT583" s="176"/>
      <c r="AU583" s="176"/>
      <c r="AV583" s="176"/>
      <c r="AW583" s="176"/>
      <c r="AX583" s="176"/>
      <c r="AY583" s="176"/>
      <c r="AZ583" s="176"/>
      <c r="BA583" s="176"/>
      <c r="BB583" s="176"/>
      <c r="BC583" s="176"/>
      <c r="BD583" s="176"/>
    </row>
    <row r="584" ht="15.75" customHeight="1">
      <c r="A584" s="176"/>
      <c r="B584" s="176"/>
      <c r="C584" s="176"/>
      <c r="D584" s="176"/>
      <c r="E584" s="176"/>
      <c r="F584" s="176"/>
      <c r="G584" s="178"/>
      <c r="H584" s="176"/>
      <c r="I584" s="176"/>
      <c r="J584" s="176"/>
      <c r="K584" s="176"/>
      <c r="L584" s="176"/>
      <c r="M584" s="176"/>
      <c r="N584" s="176"/>
      <c r="O584" s="176"/>
      <c r="P584" s="176"/>
      <c r="Q584" s="176"/>
      <c r="R584" s="176"/>
      <c r="S584" s="176"/>
      <c r="T584" s="176"/>
      <c r="U584" s="176"/>
      <c r="V584" s="176"/>
      <c r="W584" s="176"/>
      <c r="X584" s="176"/>
      <c r="Y584" s="176"/>
      <c r="Z584" s="176"/>
      <c r="AA584" s="176"/>
      <c r="AB584" s="176"/>
      <c r="AC584" s="176"/>
      <c r="AD584" s="176"/>
      <c r="AE584" s="176"/>
      <c r="AF584" s="176"/>
      <c r="AG584" s="176"/>
      <c r="AH584" s="176"/>
      <c r="AI584" s="176"/>
      <c r="AJ584" s="176"/>
      <c r="AK584" s="176"/>
      <c r="AL584" s="176"/>
      <c r="AM584" s="176"/>
      <c r="AN584" s="176"/>
      <c r="AO584" s="176"/>
      <c r="AP584" s="176"/>
      <c r="AQ584" s="176"/>
      <c r="AR584" s="176"/>
      <c r="AS584" s="176"/>
      <c r="AT584" s="176"/>
      <c r="AU584" s="176"/>
      <c r="AV584" s="176"/>
      <c r="AW584" s="176"/>
      <c r="AX584" s="176"/>
      <c r="AY584" s="176"/>
      <c r="AZ584" s="176"/>
      <c r="BA584" s="176"/>
      <c r="BB584" s="176"/>
      <c r="BC584" s="176"/>
      <c r="BD584" s="176"/>
    </row>
    <row r="585" ht="15.75" customHeight="1">
      <c r="A585" s="176"/>
      <c r="B585" s="176"/>
      <c r="C585" s="176"/>
      <c r="D585" s="176"/>
      <c r="E585" s="176"/>
      <c r="F585" s="176"/>
      <c r="G585" s="178"/>
      <c r="H585" s="176"/>
      <c r="I585" s="176"/>
      <c r="J585" s="176"/>
      <c r="K585" s="176"/>
      <c r="L585" s="176"/>
      <c r="M585" s="176"/>
      <c r="N585" s="176"/>
      <c r="O585" s="176"/>
      <c r="P585" s="176"/>
      <c r="Q585" s="176"/>
      <c r="R585" s="176"/>
      <c r="S585" s="176"/>
      <c r="T585" s="176"/>
      <c r="U585" s="176"/>
      <c r="V585" s="176"/>
      <c r="W585" s="176"/>
      <c r="X585" s="176"/>
      <c r="Y585" s="176"/>
      <c r="Z585" s="176"/>
      <c r="AA585" s="176"/>
      <c r="AB585" s="176"/>
      <c r="AC585" s="176"/>
      <c r="AD585" s="176"/>
      <c r="AE585" s="176"/>
      <c r="AF585" s="176"/>
      <c r="AG585" s="176"/>
      <c r="AH585" s="176"/>
      <c r="AI585" s="176"/>
      <c r="AJ585" s="176"/>
      <c r="AK585" s="176"/>
      <c r="AL585" s="176"/>
      <c r="AM585" s="176"/>
      <c r="AN585" s="176"/>
      <c r="AO585" s="176"/>
      <c r="AP585" s="176"/>
      <c r="AQ585" s="176"/>
      <c r="AR585" s="176"/>
      <c r="AS585" s="176"/>
      <c r="AT585" s="176"/>
      <c r="AU585" s="176"/>
      <c r="AV585" s="176"/>
      <c r="AW585" s="176"/>
      <c r="AX585" s="176"/>
      <c r="AY585" s="176"/>
      <c r="AZ585" s="176"/>
      <c r="BA585" s="176"/>
      <c r="BB585" s="176"/>
      <c r="BC585" s="176"/>
      <c r="BD585" s="176"/>
    </row>
    <row r="586" ht="15.75" customHeight="1">
      <c r="A586" s="176"/>
      <c r="B586" s="176"/>
      <c r="C586" s="176"/>
      <c r="D586" s="176"/>
      <c r="E586" s="176"/>
      <c r="F586" s="176"/>
      <c r="G586" s="178"/>
      <c r="H586" s="176"/>
      <c r="I586" s="176"/>
      <c r="J586" s="176"/>
      <c r="K586" s="176"/>
      <c r="L586" s="176"/>
      <c r="M586" s="176"/>
      <c r="N586" s="176"/>
      <c r="O586" s="176"/>
      <c r="P586" s="176"/>
      <c r="Q586" s="176"/>
      <c r="R586" s="176"/>
      <c r="S586" s="176"/>
      <c r="T586" s="176"/>
      <c r="U586" s="176"/>
      <c r="V586" s="176"/>
      <c r="W586" s="176"/>
      <c r="X586" s="176"/>
      <c r="Y586" s="176"/>
      <c r="Z586" s="176"/>
      <c r="AA586" s="176"/>
      <c r="AB586" s="176"/>
      <c r="AC586" s="176"/>
      <c r="AD586" s="176"/>
      <c r="AE586" s="176"/>
      <c r="AF586" s="176"/>
      <c r="AG586" s="176"/>
      <c r="AH586" s="176"/>
      <c r="AI586" s="176"/>
      <c r="AJ586" s="176"/>
      <c r="AK586" s="176"/>
      <c r="AL586" s="176"/>
      <c r="AM586" s="176"/>
      <c r="AN586" s="176"/>
      <c r="AO586" s="176"/>
      <c r="AP586" s="176"/>
      <c r="AQ586" s="176"/>
      <c r="AR586" s="176"/>
      <c r="AS586" s="176"/>
      <c r="AT586" s="176"/>
      <c r="AU586" s="176"/>
      <c r="AV586" s="176"/>
      <c r="AW586" s="176"/>
      <c r="AX586" s="176"/>
      <c r="AY586" s="176"/>
      <c r="AZ586" s="176"/>
      <c r="BA586" s="176"/>
      <c r="BB586" s="176"/>
      <c r="BC586" s="176"/>
      <c r="BD586" s="176"/>
    </row>
    <row r="587" ht="15.75" customHeight="1">
      <c r="A587" s="176"/>
      <c r="B587" s="176"/>
      <c r="C587" s="176"/>
      <c r="D587" s="176"/>
      <c r="E587" s="176"/>
      <c r="F587" s="176"/>
      <c r="G587" s="178"/>
      <c r="H587" s="176"/>
      <c r="I587" s="176"/>
      <c r="J587" s="176"/>
      <c r="K587" s="176"/>
      <c r="L587" s="176"/>
      <c r="M587" s="176"/>
      <c r="N587" s="176"/>
      <c r="O587" s="176"/>
      <c r="P587" s="176"/>
      <c r="Q587" s="176"/>
      <c r="R587" s="176"/>
      <c r="S587" s="176"/>
      <c r="T587" s="176"/>
      <c r="U587" s="176"/>
      <c r="V587" s="176"/>
      <c r="W587" s="176"/>
      <c r="X587" s="176"/>
      <c r="Y587" s="176"/>
      <c r="Z587" s="176"/>
      <c r="AA587" s="176"/>
      <c r="AB587" s="176"/>
      <c r="AC587" s="176"/>
      <c r="AD587" s="176"/>
      <c r="AE587" s="176"/>
      <c r="AF587" s="176"/>
      <c r="AG587" s="176"/>
      <c r="AH587" s="176"/>
      <c r="AI587" s="176"/>
      <c r="AJ587" s="176"/>
      <c r="AK587" s="176"/>
      <c r="AL587" s="176"/>
      <c r="AM587" s="176"/>
      <c r="AN587" s="176"/>
      <c r="AO587" s="176"/>
      <c r="AP587" s="176"/>
      <c r="AQ587" s="176"/>
      <c r="AR587" s="176"/>
      <c r="AS587" s="176"/>
      <c r="AT587" s="176"/>
      <c r="AU587" s="176"/>
      <c r="AV587" s="176"/>
      <c r="AW587" s="176"/>
      <c r="AX587" s="176"/>
      <c r="AY587" s="176"/>
      <c r="AZ587" s="176"/>
      <c r="BA587" s="176"/>
      <c r="BB587" s="176"/>
      <c r="BC587" s="176"/>
      <c r="BD587" s="176"/>
    </row>
    <row r="588" ht="15.75" customHeight="1">
      <c r="A588" s="176"/>
      <c r="B588" s="176"/>
      <c r="C588" s="176"/>
      <c r="D588" s="176"/>
      <c r="E588" s="176"/>
      <c r="F588" s="176"/>
      <c r="G588" s="178"/>
      <c r="H588" s="176"/>
      <c r="I588" s="176"/>
      <c r="J588" s="176"/>
      <c r="K588" s="176"/>
      <c r="L588" s="176"/>
      <c r="M588" s="176"/>
      <c r="N588" s="176"/>
      <c r="O588" s="176"/>
      <c r="P588" s="176"/>
      <c r="Q588" s="176"/>
      <c r="R588" s="176"/>
      <c r="S588" s="176"/>
      <c r="T588" s="176"/>
      <c r="U588" s="176"/>
      <c r="V588" s="176"/>
      <c r="W588" s="176"/>
      <c r="X588" s="176"/>
      <c r="Y588" s="176"/>
      <c r="Z588" s="176"/>
      <c r="AA588" s="176"/>
      <c r="AB588" s="176"/>
      <c r="AC588" s="176"/>
      <c r="AD588" s="176"/>
      <c r="AE588" s="176"/>
      <c r="AF588" s="176"/>
      <c r="AG588" s="176"/>
      <c r="AH588" s="176"/>
      <c r="AI588" s="176"/>
      <c r="AJ588" s="176"/>
      <c r="AK588" s="176"/>
      <c r="AL588" s="176"/>
      <c r="AM588" s="176"/>
      <c r="AN588" s="176"/>
      <c r="AO588" s="176"/>
      <c r="AP588" s="176"/>
      <c r="AQ588" s="176"/>
      <c r="AR588" s="176"/>
      <c r="AS588" s="176"/>
      <c r="AT588" s="176"/>
      <c r="AU588" s="176"/>
      <c r="AV588" s="176"/>
      <c r="AW588" s="176"/>
      <c r="AX588" s="176"/>
      <c r="AY588" s="176"/>
      <c r="AZ588" s="176"/>
      <c r="BA588" s="176"/>
      <c r="BB588" s="176"/>
      <c r="BC588" s="176"/>
      <c r="BD588" s="176"/>
    </row>
    <row r="589" ht="15.75" customHeight="1">
      <c r="A589" s="176"/>
      <c r="B589" s="176"/>
      <c r="C589" s="176"/>
      <c r="D589" s="176"/>
      <c r="E589" s="176"/>
      <c r="F589" s="176"/>
      <c r="G589" s="178"/>
      <c r="H589" s="176"/>
      <c r="I589" s="176"/>
      <c r="J589" s="176"/>
      <c r="K589" s="176"/>
      <c r="L589" s="176"/>
      <c r="M589" s="176"/>
      <c r="N589" s="176"/>
      <c r="O589" s="176"/>
      <c r="P589" s="176"/>
      <c r="Q589" s="176"/>
      <c r="R589" s="176"/>
      <c r="S589" s="176"/>
      <c r="T589" s="176"/>
      <c r="U589" s="176"/>
      <c r="V589" s="176"/>
      <c r="W589" s="176"/>
      <c r="X589" s="176"/>
      <c r="Y589" s="176"/>
      <c r="Z589" s="176"/>
      <c r="AA589" s="176"/>
      <c r="AB589" s="176"/>
      <c r="AC589" s="176"/>
      <c r="AD589" s="176"/>
      <c r="AE589" s="176"/>
      <c r="AF589" s="176"/>
      <c r="AG589" s="176"/>
      <c r="AH589" s="176"/>
      <c r="AI589" s="176"/>
      <c r="AJ589" s="176"/>
      <c r="AK589" s="176"/>
      <c r="AL589" s="176"/>
      <c r="AM589" s="176"/>
      <c r="AN589" s="176"/>
      <c r="AO589" s="176"/>
      <c r="AP589" s="176"/>
      <c r="AQ589" s="176"/>
      <c r="AR589" s="176"/>
      <c r="AS589" s="176"/>
      <c r="AT589" s="176"/>
      <c r="AU589" s="176"/>
      <c r="AV589" s="176"/>
      <c r="AW589" s="176"/>
      <c r="AX589" s="176"/>
      <c r="AY589" s="176"/>
      <c r="AZ589" s="176"/>
      <c r="BA589" s="176"/>
      <c r="BB589" s="176"/>
      <c r="BC589" s="176"/>
      <c r="BD589" s="176"/>
    </row>
    <row r="590" ht="15.75" customHeight="1">
      <c r="A590" s="176"/>
      <c r="B590" s="176"/>
      <c r="C590" s="176"/>
      <c r="D590" s="176"/>
      <c r="E590" s="176"/>
      <c r="F590" s="176"/>
      <c r="G590" s="178"/>
      <c r="H590" s="176"/>
      <c r="I590" s="176"/>
      <c r="J590" s="176"/>
      <c r="K590" s="176"/>
      <c r="L590" s="176"/>
      <c r="M590" s="176"/>
      <c r="N590" s="176"/>
      <c r="O590" s="176"/>
      <c r="P590" s="176"/>
      <c r="Q590" s="176"/>
      <c r="R590" s="176"/>
      <c r="S590" s="176"/>
      <c r="T590" s="176"/>
      <c r="U590" s="176"/>
      <c r="V590" s="176"/>
      <c r="W590" s="176"/>
      <c r="X590" s="176"/>
      <c r="Y590" s="176"/>
      <c r="Z590" s="176"/>
      <c r="AA590" s="176"/>
      <c r="AB590" s="176"/>
      <c r="AC590" s="176"/>
      <c r="AD590" s="176"/>
      <c r="AE590" s="176"/>
      <c r="AF590" s="176"/>
      <c r="AG590" s="176"/>
      <c r="AH590" s="176"/>
      <c r="AI590" s="176"/>
      <c r="AJ590" s="176"/>
      <c r="AK590" s="176"/>
      <c r="AL590" s="176"/>
      <c r="AM590" s="176"/>
      <c r="AN590" s="176"/>
      <c r="AO590" s="176"/>
      <c r="AP590" s="176"/>
      <c r="AQ590" s="176"/>
      <c r="AR590" s="176"/>
      <c r="AS590" s="176"/>
      <c r="AT590" s="176"/>
      <c r="AU590" s="176"/>
      <c r="AV590" s="176"/>
      <c r="AW590" s="176"/>
      <c r="AX590" s="176"/>
      <c r="AY590" s="176"/>
      <c r="AZ590" s="176"/>
      <c r="BA590" s="176"/>
      <c r="BB590" s="176"/>
      <c r="BC590" s="176"/>
      <c r="BD590" s="176"/>
    </row>
    <row r="591" ht="15.75" customHeight="1">
      <c r="A591" s="176"/>
      <c r="B591" s="176"/>
      <c r="C591" s="176"/>
      <c r="D591" s="176"/>
      <c r="E591" s="176"/>
      <c r="F591" s="176"/>
      <c r="G591" s="178"/>
      <c r="H591" s="176"/>
      <c r="I591" s="176"/>
      <c r="J591" s="176"/>
      <c r="K591" s="176"/>
      <c r="L591" s="176"/>
      <c r="M591" s="176"/>
      <c r="N591" s="176"/>
      <c r="O591" s="176"/>
      <c r="P591" s="176"/>
      <c r="Q591" s="176"/>
      <c r="R591" s="176"/>
      <c r="S591" s="176"/>
      <c r="T591" s="176"/>
      <c r="U591" s="176"/>
      <c r="V591" s="176"/>
      <c r="W591" s="176"/>
      <c r="X591" s="176"/>
      <c r="Y591" s="176"/>
      <c r="Z591" s="176"/>
      <c r="AA591" s="176"/>
      <c r="AB591" s="176"/>
      <c r="AC591" s="176"/>
      <c r="AD591" s="176"/>
      <c r="AE591" s="176"/>
      <c r="AF591" s="176"/>
      <c r="AG591" s="176"/>
      <c r="AH591" s="176"/>
      <c r="AI591" s="176"/>
      <c r="AJ591" s="176"/>
      <c r="AK591" s="176"/>
      <c r="AL591" s="176"/>
      <c r="AM591" s="176"/>
      <c r="AN591" s="176"/>
      <c r="AO591" s="176"/>
      <c r="AP591" s="176"/>
      <c r="AQ591" s="176"/>
      <c r="AR591" s="176"/>
      <c r="AS591" s="176"/>
      <c r="AT591" s="176"/>
      <c r="AU591" s="176"/>
      <c r="AV591" s="176"/>
      <c r="AW591" s="176"/>
      <c r="AX591" s="176"/>
      <c r="AY591" s="176"/>
      <c r="AZ591" s="176"/>
      <c r="BA591" s="176"/>
      <c r="BB591" s="176"/>
      <c r="BC591" s="176"/>
      <c r="BD591" s="176"/>
    </row>
    <row r="592" ht="15.75" customHeight="1">
      <c r="A592" s="176"/>
      <c r="B592" s="176"/>
      <c r="C592" s="176"/>
      <c r="D592" s="176"/>
      <c r="E592" s="176"/>
      <c r="F592" s="176"/>
      <c r="G592" s="178"/>
      <c r="H592" s="176"/>
      <c r="I592" s="176"/>
      <c r="J592" s="176"/>
      <c r="K592" s="176"/>
      <c r="L592" s="176"/>
      <c r="M592" s="176"/>
      <c r="N592" s="176"/>
      <c r="O592" s="176"/>
      <c r="P592" s="176"/>
      <c r="Q592" s="176"/>
      <c r="R592" s="176"/>
      <c r="S592" s="176"/>
      <c r="T592" s="176"/>
      <c r="U592" s="176"/>
      <c r="V592" s="176"/>
      <c r="W592" s="176"/>
      <c r="X592" s="176"/>
      <c r="Y592" s="176"/>
      <c r="Z592" s="176"/>
      <c r="AA592" s="176"/>
      <c r="AB592" s="176"/>
      <c r="AC592" s="176"/>
      <c r="AD592" s="176"/>
      <c r="AE592" s="176"/>
      <c r="AF592" s="176"/>
      <c r="AG592" s="176"/>
      <c r="AH592" s="176"/>
      <c r="AI592" s="176"/>
      <c r="AJ592" s="176"/>
      <c r="AK592" s="176"/>
      <c r="AL592" s="176"/>
      <c r="AM592" s="176"/>
      <c r="AN592" s="176"/>
      <c r="AO592" s="176"/>
      <c r="AP592" s="176"/>
      <c r="AQ592" s="176"/>
      <c r="AR592" s="176"/>
      <c r="AS592" s="176"/>
      <c r="AT592" s="176"/>
      <c r="AU592" s="176"/>
      <c r="AV592" s="176"/>
      <c r="AW592" s="176"/>
      <c r="AX592" s="176"/>
      <c r="AY592" s="176"/>
      <c r="AZ592" s="176"/>
      <c r="BA592" s="176"/>
      <c r="BB592" s="176"/>
      <c r="BC592" s="176"/>
      <c r="BD592" s="176"/>
    </row>
    <row r="593" ht="15.75" customHeight="1">
      <c r="A593" s="176"/>
      <c r="B593" s="176"/>
      <c r="C593" s="176"/>
      <c r="D593" s="176"/>
      <c r="E593" s="176"/>
      <c r="F593" s="176"/>
      <c r="G593" s="178"/>
      <c r="H593" s="176"/>
      <c r="I593" s="176"/>
      <c r="J593" s="176"/>
      <c r="K593" s="176"/>
      <c r="L593" s="176"/>
      <c r="M593" s="176"/>
      <c r="N593" s="176"/>
      <c r="O593" s="176"/>
      <c r="P593" s="176"/>
      <c r="Q593" s="176"/>
      <c r="R593" s="176"/>
      <c r="S593" s="176"/>
      <c r="T593" s="176"/>
      <c r="U593" s="176"/>
      <c r="V593" s="176"/>
      <c r="W593" s="176"/>
      <c r="X593" s="176"/>
      <c r="Y593" s="176"/>
      <c r="Z593" s="176"/>
      <c r="AA593" s="176"/>
      <c r="AB593" s="176"/>
      <c r="AC593" s="176"/>
      <c r="AD593" s="176"/>
      <c r="AE593" s="176"/>
      <c r="AF593" s="176"/>
      <c r="AG593" s="176"/>
      <c r="AH593" s="176"/>
      <c r="AI593" s="176"/>
      <c r="AJ593" s="176"/>
      <c r="AK593" s="176"/>
      <c r="AL593" s="176"/>
      <c r="AM593" s="176"/>
      <c r="AN593" s="176"/>
      <c r="AO593" s="176"/>
      <c r="AP593" s="176"/>
      <c r="AQ593" s="176"/>
      <c r="AR593" s="176"/>
      <c r="AS593" s="176"/>
      <c r="AT593" s="176"/>
      <c r="AU593" s="176"/>
      <c r="AV593" s="176"/>
      <c r="AW593" s="176"/>
      <c r="AX593" s="176"/>
      <c r="AY593" s="176"/>
      <c r="AZ593" s="176"/>
      <c r="BA593" s="176"/>
      <c r="BB593" s="176"/>
      <c r="BC593" s="176"/>
      <c r="BD593" s="176"/>
    </row>
    <row r="594" ht="15.75" customHeight="1">
      <c r="A594" s="176"/>
      <c r="B594" s="176"/>
      <c r="C594" s="176"/>
      <c r="D594" s="176"/>
      <c r="E594" s="176"/>
      <c r="F594" s="176"/>
      <c r="G594" s="178"/>
      <c r="H594" s="176"/>
      <c r="I594" s="176"/>
      <c r="J594" s="176"/>
      <c r="K594" s="176"/>
      <c r="L594" s="176"/>
      <c r="M594" s="176"/>
      <c r="N594" s="176"/>
      <c r="O594" s="176"/>
      <c r="P594" s="176"/>
      <c r="Q594" s="176"/>
      <c r="R594" s="176"/>
      <c r="S594" s="176"/>
      <c r="T594" s="176"/>
      <c r="U594" s="176"/>
      <c r="V594" s="176"/>
      <c r="W594" s="176"/>
      <c r="X594" s="176"/>
      <c r="Y594" s="176"/>
      <c r="Z594" s="176"/>
      <c r="AA594" s="176"/>
      <c r="AB594" s="176"/>
      <c r="AC594" s="176"/>
      <c r="AD594" s="176"/>
      <c r="AE594" s="176"/>
      <c r="AF594" s="176"/>
      <c r="AG594" s="176"/>
      <c r="AH594" s="176"/>
      <c r="AI594" s="176"/>
      <c r="AJ594" s="176"/>
      <c r="AK594" s="176"/>
      <c r="AL594" s="176"/>
      <c r="AM594" s="176"/>
      <c r="AN594" s="176"/>
      <c r="AO594" s="176"/>
      <c r="AP594" s="176"/>
      <c r="AQ594" s="176"/>
      <c r="AR594" s="176"/>
      <c r="AS594" s="176"/>
      <c r="AT594" s="176"/>
      <c r="AU594" s="176"/>
      <c r="AV594" s="176"/>
      <c r="AW594" s="176"/>
      <c r="AX594" s="176"/>
      <c r="AY594" s="176"/>
      <c r="AZ594" s="176"/>
      <c r="BA594" s="176"/>
      <c r="BB594" s="176"/>
      <c r="BC594" s="176"/>
      <c r="BD594" s="176"/>
    </row>
    <row r="595" ht="15.75" customHeight="1">
      <c r="A595" s="176"/>
      <c r="B595" s="176"/>
      <c r="C595" s="176"/>
      <c r="D595" s="176"/>
      <c r="E595" s="176"/>
      <c r="F595" s="176"/>
      <c r="G595" s="178"/>
      <c r="H595" s="176"/>
      <c r="I595" s="176"/>
      <c r="J595" s="176"/>
      <c r="K595" s="176"/>
      <c r="L595" s="176"/>
      <c r="M595" s="176"/>
      <c r="N595" s="176"/>
      <c r="O595" s="176"/>
      <c r="P595" s="176"/>
      <c r="Q595" s="176"/>
      <c r="R595" s="176"/>
      <c r="S595" s="176"/>
      <c r="T595" s="176"/>
      <c r="U595" s="176"/>
      <c r="V595" s="176"/>
      <c r="W595" s="176"/>
      <c r="X595" s="176"/>
      <c r="Y595" s="176"/>
      <c r="Z595" s="176"/>
      <c r="AA595" s="176"/>
      <c r="AB595" s="176"/>
      <c r="AC595" s="176"/>
      <c r="AD595" s="176"/>
      <c r="AE595" s="176"/>
      <c r="AF595" s="176"/>
      <c r="AG595" s="176"/>
      <c r="AH595" s="176"/>
      <c r="AI595" s="176"/>
      <c r="AJ595" s="176"/>
      <c r="AK595" s="176"/>
      <c r="AL595" s="176"/>
      <c r="AM595" s="176"/>
      <c r="AN595" s="176"/>
      <c r="AO595" s="176"/>
      <c r="AP595" s="176"/>
      <c r="AQ595" s="176"/>
      <c r="AR595" s="176"/>
      <c r="AS595" s="176"/>
      <c r="AT595" s="176"/>
      <c r="AU595" s="176"/>
      <c r="AV595" s="176"/>
      <c r="AW595" s="176"/>
      <c r="AX595" s="176"/>
      <c r="AY595" s="176"/>
      <c r="AZ595" s="176"/>
      <c r="BA595" s="176"/>
      <c r="BB595" s="176"/>
      <c r="BC595" s="176"/>
      <c r="BD595" s="176"/>
    </row>
    <row r="596" ht="15.75" customHeight="1">
      <c r="A596" s="176"/>
      <c r="B596" s="176"/>
      <c r="C596" s="176"/>
      <c r="D596" s="176"/>
      <c r="E596" s="176"/>
      <c r="F596" s="176"/>
      <c r="G596" s="178"/>
      <c r="H596" s="176"/>
      <c r="I596" s="176"/>
      <c r="J596" s="176"/>
      <c r="K596" s="176"/>
      <c r="L596" s="176"/>
      <c r="M596" s="176"/>
      <c r="N596" s="176"/>
      <c r="O596" s="176"/>
      <c r="P596" s="176"/>
      <c r="Q596" s="176"/>
      <c r="R596" s="176"/>
      <c r="S596" s="176"/>
      <c r="T596" s="176"/>
      <c r="U596" s="176"/>
      <c r="V596" s="176"/>
      <c r="W596" s="176"/>
      <c r="X596" s="176"/>
      <c r="Y596" s="176"/>
      <c r="Z596" s="176"/>
      <c r="AA596" s="176"/>
      <c r="AB596" s="176"/>
      <c r="AC596" s="176"/>
      <c r="AD596" s="176"/>
      <c r="AE596" s="176"/>
      <c r="AF596" s="176"/>
      <c r="AG596" s="176"/>
      <c r="AH596" s="176"/>
      <c r="AI596" s="176"/>
      <c r="AJ596" s="176"/>
      <c r="AK596" s="176"/>
      <c r="AL596" s="176"/>
      <c r="AM596" s="176"/>
      <c r="AN596" s="176"/>
      <c r="AO596" s="176"/>
      <c r="AP596" s="176"/>
      <c r="AQ596" s="176"/>
      <c r="AR596" s="176"/>
      <c r="AS596" s="176"/>
      <c r="AT596" s="176"/>
      <c r="AU596" s="176"/>
      <c r="AV596" s="176"/>
      <c r="AW596" s="176"/>
      <c r="AX596" s="176"/>
      <c r="AY596" s="176"/>
      <c r="AZ596" s="176"/>
      <c r="BA596" s="176"/>
      <c r="BB596" s="176"/>
      <c r="BC596" s="176"/>
      <c r="BD596" s="176"/>
    </row>
    <row r="597" ht="15.75" customHeight="1">
      <c r="A597" s="176"/>
      <c r="B597" s="176"/>
      <c r="C597" s="176"/>
      <c r="D597" s="176"/>
      <c r="E597" s="176"/>
      <c r="F597" s="176"/>
      <c r="G597" s="178"/>
      <c r="H597" s="176"/>
      <c r="I597" s="176"/>
      <c r="J597" s="176"/>
      <c r="K597" s="176"/>
      <c r="L597" s="176"/>
      <c r="M597" s="176"/>
      <c r="N597" s="176"/>
      <c r="O597" s="176"/>
      <c r="P597" s="176"/>
      <c r="Q597" s="176"/>
      <c r="R597" s="176"/>
      <c r="S597" s="176"/>
      <c r="T597" s="176"/>
      <c r="U597" s="176"/>
      <c r="V597" s="176"/>
      <c r="W597" s="176"/>
      <c r="X597" s="176"/>
      <c r="Y597" s="176"/>
      <c r="Z597" s="176"/>
      <c r="AA597" s="176"/>
      <c r="AB597" s="176"/>
      <c r="AC597" s="176"/>
      <c r="AD597" s="176"/>
      <c r="AE597" s="176"/>
      <c r="AF597" s="176"/>
      <c r="AG597" s="176"/>
      <c r="AH597" s="176"/>
      <c r="AI597" s="176"/>
      <c r="AJ597" s="176"/>
      <c r="AK597" s="176"/>
      <c r="AL597" s="176"/>
      <c r="AM597" s="176"/>
      <c r="AN597" s="176"/>
      <c r="AO597" s="176"/>
      <c r="AP597" s="176"/>
      <c r="AQ597" s="176"/>
      <c r="AR597" s="176"/>
      <c r="AS597" s="176"/>
      <c r="AT597" s="176"/>
      <c r="AU597" s="176"/>
      <c r="AV597" s="176"/>
      <c r="AW597" s="176"/>
      <c r="AX597" s="176"/>
      <c r="AY597" s="176"/>
      <c r="AZ597" s="176"/>
      <c r="BA597" s="176"/>
      <c r="BB597" s="176"/>
      <c r="BC597" s="176"/>
      <c r="BD597" s="176"/>
    </row>
    <row r="598" ht="15.75" customHeight="1">
      <c r="A598" s="176"/>
      <c r="B598" s="176"/>
      <c r="C598" s="176"/>
      <c r="D598" s="176"/>
      <c r="E598" s="176"/>
      <c r="F598" s="176"/>
      <c r="G598" s="178"/>
      <c r="H598" s="176"/>
      <c r="I598" s="176"/>
      <c r="J598" s="176"/>
      <c r="K598" s="176"/>
      <c r="L598" s="176"/>
      <c r="M598" s="176"/>
      <c r="N598" s="176"/>
      <c r="O598" s="176"/>
      <c r="P598" s="176"/>
      <c r="Q598" s="176"/>
      <c r="R598" s="176"/>
      <c r="S598" s="176"/>
      <c r="T598" s="176"/>
      <c r="U598" s="176"/>
      <c r="V598" s="176"/>
      <c r="W598" s="176"/>
      <c r="X598" s="176"/>
      <c r="Y598" s="176"/>
      <c r="Z598" s="176"/>
      <c r="AA598" s="176"/>
      <c r="AB598" s="176"/>
      <c r="AC598" s="176"/>
      <c r="AD598" s="176"/>
      <c r="AE598" s="176"/>
      <c r="AF598" s="176"/>
      <c r="AG598" s="176"/>
      <c r="AH598" s="176"/>
      <c r="AI598" s="176"/>
      <c r="AJ598" s="176"/>
      <c r="AK598" s="176"/>
      <c r="AL598" s="176"/>
      <c r="AM598" s="176"/>
      <c r="AN598" s="176"/>
      <c r="AO598" s="176"/>
      <c r="AP598" s="176"/>
      <c r="AQ598" s="176"/>
      <c r="AR598" s="176"/>
      <c r="AS598" s="176"/>
      <c r="AT598" s="176"/>
      <c r="AU598" s="176"/>
      <c r="AV598" s="176"/>
      <c r="AW598" s="176"/>
      <c r="AX598" s="176"/>
      <c r="AY598" s="176"/>
      <c r="AZ598" s="176"/>
      <c r="BA598" s="176"/>
      <c r="BB598" s="176"/>
      <c r="BC598" s="176"/>
      <c r="BD598" s="176"/>
    </row>
    <row r="599" ht="15.75" customHeight="1">
      <c r="A599" s="176"/>
      <c r="B599" s="176"/>
      <c r="C599" s="176"/>
      <c r="D599" s="176"/>
      <c r="E599" s="176"/>
      <c r="F599" s="176"/>
      <c r="G599" s="178"/>
      <c r="H599" s="176"/>
      <c r="I599" s="176"/>
      <c r="J599" s="176"/>
      <c r="K599" s="176"/>
      <c r="L599" s="176"/>
      <c r="M599" s="176"/>
      <c r="N599" s="176"/>
      <c r="O599" s="176"/>
      <c r="P599" s="176"/>
      <c r="Q599" s="176"/>
      <c r="R599" s="176"/>
      <c r="S599" s="176"/>
      <c r="T599" s="176"/>
      <c r="U599" s="176"/>
      <c r="V599" s="176"/>
      <c r="W599" s="176"/>
      <c r="X599" s="176"/>
      <c r="Y599" s="176"/>
      <c r="Z599" s="176"/>
      <c r="AA599" s="176"/>
      <c r="AB599" s="176"/>
      <c r="AC599" s="176"/>
      <c r="AD599" s="176"/>
      <c r="AE599" s="176"/>
      <c r="AF599" s="176"/>
      <c r="AG599" s="176"/>
      <c r="AH599" s="176"/>
      <c r="AI599" s="176"/>
      <c r="AJ599" s="176"/>
      <c r="AK599" s="176"/>
      <c r="AL599" s="176"/>
      <c r="AM599" s="176"/>
      <c r="AN599" s="176"/>
      <c r="AO599" s="176"/>
      <c r="AP599" s="176"/>
      <c r="AQ599" s="176"/>
      <c r="AR599" s="176"/>
      <c r="AS599" s="176"/>
      <c r="AT599" s="176"/>
      <c r="AU599" s="176"/>
      <c r="AV599" s="176"/>
      <c r="AW599" s="176"/>
      <c r="AX599" s="176"/>
      <c r="AY599" s="176"/>
      <c r="AZ599" s="176"/>
      <c r="BA599" s="176"/>
      <c r="BB599" s="176"/>
      <c r="BC599" s="176"/>
      <c r="BD599" s="176"/>
    </row>
    <row r="600" ht="15.75" customHeight="1">
      <c r="A600" s="176"/>
      <c r="B600" s="176"/>
      <c r="C600" s="176"/>
      <c r="D600" s="176"/>
      <c r="E600" s="176"/>
      <c r="F600" s="176"/>
      <c r="G600" s="178"/>
      <c r="H600" s="176"/>
      <c r="I600" s="176"/>
      <c r="J600" s="176"/>
      <c r="K600" s="176"/>
      <c r="L600" s="176"/>
      <c r="M600" s="176"/>
      <c r="N600" s="176"/>
      <c r="O600" s="176"/>
      <c r="P600" s="176"/>
      <c r="Q600" s="176"/>
      <c r="R600" s="176"/>
      <c r="S600" s="176"/>
      <c r="T600" s="176"/>
      <c r="U600" s="176"/>
      <c r="V600" s="176"/>
      <c r="W600" s="176"/>
      <c r="X600" s="176"/>
      <c r="Y600" s="176"/>
      <c r="Z600" s="176"/>
      <c r="AA600" s="176"/>
      <c r="AB600" s="176"/>
      <c r="AC600" s="176"/>
      <c r="AD600" s="176"/>
      <c r="AE600" s="176"/>
      <c r="AF600" s="176"/>
      <c r="AG600" s="176"/>
      <c r="AH600" s="176"/>
      <c r="AI600" s="176"/>
      <c r="AJ600" s="176"/>
      <c r="AK600" s="176"/>
      <c r="AL600" s="176"/>
      <c r="AM600" s="176"/>
      <c r="AN600" s="176"/>
      <c r="AO600" s="176"/>
      <c r="AP600" s="176"/>
      <c r="AQ600" s="176"/>
      <c r="AR600" s="176"/>
      <c r="AS600" s="176"/>
      <c r="AT600" s="176"/>
      <c r="AU600" s="176"/>
      <c r="AV600" s="176"/>
      <c r="AW600" s="176"/>
      <c r="AX600" s="176"/>
      <c r="AY600" s="176"/>
      <c r="AZ600" s="176"/>
      <c r="BA600" s="176"/>
      <c r="BB600" s="176"/>
      <c r="BC600" s="176"/>
      <c r="BD600" s="176"/>
    </row>
    <row r="601" ht="15.75" customHeight="1">
      <c r="A601" s="176"/>
      <c r="B601" s="176"/>
      <c r="C601" s="176"/>
      <c r="D601" s="176"/>
      <c r="E601" s="176"/>
      <c r="F601" s="176"/>
      <c r="G601" s="178"/>
      <c r="H601" s="176"/>
      <c r="I601" s="176"/>
      <c r="J601" s="176"/>
      <c r="K601" s="176"/>
      <c r="L601" s="176"/>
      <c r="M601" s="176"/>
      <c r="N601" s="176"/>
      <c r="O601" s="176"/>
      <c r="P601" s="176"/>
      <c r="Q601" s="176"/>
      <c r="R601" s="176"/>
      <c r="S601" s="176"/>
      <c r="T601" s="176"/>
      <c r="U601" s="176"/>
      <c r="V601" s="176"/>
      <c r="W601" s="176"/>
      <c r="X601" s="176"/>
      <c r="Y601" s="176"/>
      <c r="Z601" s="176"/>
      <c r="AA601" s="176"/>
      <c r="AB601" s="176"/>
      <c r="AC601" s="176"/>
      <c r="AD601" s="176"/>
      <c r="AE601" s="176"/>
      <c r="AF601" s="176"/>
      <c r="AG601" s="176"/>
      <c r="AH601" s="176"/>
      <c r="AI601" s="176"/>
      <c r="AJ601" s="176"/>
      <c r="AK601" s="176"/>
      <c r="AL601" s="176"/>
      <c r="AM601" s="176"/>
      <c r="AN601" s="176"/>
      <c r="AO601" s="176"/>
      <c r="AP601" s="176"/>
      <c r="AQ601" s="176"/>
      <c r="AR601" s="176"/>
      <c r="AS601" s="176"/>
      <c r="AT601" s="176"/>
      <c r="AU601" s="176"/>
      <c r="AV601" s="176"/>
      <c r="AW601" s="176"/>
      <c r="AX601" s="176"/>
      <c r="AY601" s="176"/>
      <c r="AZ601" s="176"/>
      <c r="BA601" s="176"/>
      <c r="BB601" s="176"/>
      <c r="BC601" s="176"/>
      <c r="BD601" s="176"/>
    </row>
    <row r="602" ht="15.75" customHeight="1">
      <c r="A602" s="176"/>
      <c r="B602" s="176"/>
      <c r="C602" s="176"/>
      <c r="D602" s="176"/>
      <c r="E602" s="176"/>
      <c r="F602" s="176"/>
      <c r="G602" s="178"/>
      <c r="H602" s="176"/>
      <c r="I602" s="176"/>
      <c r="J602" s="176"/>
      <c r="K602" s="176"/>
      <c r="L602" s="176"/>
      <c r="M602" s="176"/>
      <c r="N602" s="176"/>
      <c r="O602" s="176"/>
      <c r="P602" s="176"/>
      <c r="Q602" s="176"/>
      <c r="R602" s="176"/>
      <c r="S602" s="176"/>
      <c r="T602" s="176"/>
      <c r="U602" s="176"/>
      <c r="V602" s="176"/>
      <c r="W602" s="176"/>
      <c r="X602" s="176"/>
      <c r="Y602" s="176"/>
      <c r="Z602" s="176"/>
      <c r="AA602" s="176"/>
      <c r="AB602" s="176"/>
      <c r="AC602" s="176"/>
      <c r="AD602" s="176"/>
      <c r="AE602" s="176"/>
      <c r="AF602" s="176"/>
      <c r="AG602" s="176"/>
      <c r="AH602" s="176"/>
      <c r="AI602" s="176"/>
      <c r="AJ602" s="176"/>
      <c r="AK602" s="176"/>
      <c r="AL602" s="176"/>
      <c r="AM602" s="176"/>
      <c r="AN602" s="176"/>
      <c r="AO602" s="176"/>
      <c r="AP602" s="176"/>
      <c r="AQ602" s="176"/>
      <c r="AR602" s="176"/>
      <c r="AS602" s="176"/>
      <c r="AT602" s="176"/>
      <c r="AU602" s="176"/>
      <c r="AV602" s="176"/>
      <c r="AW602" s="176"/>
      <c r="AX602" s="176"/>
      <c r="AY602" s="176"/>
      <c r="AZ602" s="176"/>
      <c r="BA602" s="176"/>
      <c r="BB602" s="176"/>
      <c r="BC602" s="176"/>
      <c r="BD602" s="176"/>
    </row>
    <row r="603" ht="15.75" customHeight="1">
      <c r="A603" s="176"/>
      <c r="B603" s="176"/>
      <c r="C603" s="176"/>
      <c r="D603" s="176"/>
      <c r="E603" s="176"/>
      <c r="F603" s="176"/>
      <c r="G603" s="178"/>
      <c r="H603" s="176"/>
      <c r="I603" s="176"/>
      <c r="J603" s="176"/>
      <c r="K603" s="176"/>
      <c r="L603" s="176"/>
      <c r="M603" s="176"/>
      <c r="N603" s="176"/>
      <c r="O603" s="176"/>
      <c r="P603" s="176"/>
      <c r="Q603" s="176"/>
      <c r="R603" s="176"/>
      <c r="S603" s="176"/>
      <c r="T603" s="176"/>
      <c r="U603" s="176"/>
      <c r="V603" s="176"/>
      <c r="W603" s="176"/>
      <c r="X603" s="176"/>
      <c r="Y603" s="176"/>
      <c r="Z603" s="176"/>
      <c r="AA603" s="176"/>
      <c r="AB603" s="176"/>
      <c r="AC603" s="176"/>
      <c r="AD603" s="176"/>
      <c r="AE603" s="176"/>
      <c r="AF603" s="176"/>
      <c r="AG603" s="176"/>
      <c r="AH603" s="176"/>
      <c r="AI603" s="176"/>
      <c r="AJ603" s="176"/>
      <c r="AK603" s="176"/>
      <c r="AL603" s="176"/>
      <c r="AM603" s="176"/>
      <c r="AN603" s="176"/>
      <c r="AO603" s="176"/>
      <c r="AP603" s="176"/>
      <c r="AQ603" s="176"/>
      <c r="AR603" s="176"/>
      <c r="AS603" s="176"/>
      <c r="AT603" s="176"/>
      <c r="AU603" s="176"/>
      <c r="AV603" s="176"/>
      <c r="AW603" s="176"/>
      <c r="AX603" s="176"/>
      <c r="AY603" s="176"/>
      <c r="AZ603" s="176"/>
      <c r="BA603" s="176"/>
      <c r="BB603" s="176"/>
      <c r="BC603" s="176"/>
      <c r="BD603" s="176"/>
    </row>
    <row r="604" ht="15.75" customHeight="1">
      <c r="A604" s="176"/>
      <c r="B604" s="176"/>
      <c r="C604" s="176"/>
      <c r="D604" s="176"/>
      <c r="E604" s="176"/>
      <c r="F604" s="176"/>
      <c r="G604" s="178"/>
      <c r="H604" s="176"/>
      <c r="I604" s="176"/>
      <c r="J604" s="176"/>
      <c r="K604" s="176"/>
      <c r="L604" s="176"/>
      <c r="M604" s="176"/>
      <c r="N604" s="176"/>
      <c r="O604" s="176"/>
      <c r="P604" s="176"/>
      <c r="Q604" s="176"/>
      <c r="R604" s="176"/>
      <c r="S604" s="176"/>
      <c r="T604" s="176"/>
      <c r="U604" s="176"/>
      <c r="V604" s="176"/>
      <c r="W604" s="176"/>
      <c r="X604" s="176"/>
      <c r="Y604" s="176"/>
      <c r="Z604" s="176"/>
      <c r="AA604" s="176"/>
      <c r="AB604" s="176"/>
      <c r="AC604" s="176"/>
      <c r="AD604" s="176"/>
      <c r="AE604" s="176"/>
      <c r="AF604" s="176"/>
      <c r="AG604" s="176"/>
      <c r="AH604" s="176"/>
      <c r="AI604" s="176"/>
      <c r="AJ604" s="176"/>
      <c r="AK604" s="176"/>
      <c r="AL604" s="176"/>
      <c r="AM604" s="176"/>
      <c r="AN604" s="176"/>
      <c r="AO604" s="176"/>
      <c r="AP604" s="176"/>
      <c r="AQ604" s="176"/>
      <c r="AR604" s="176"/>
      <c r="AS604" s="176"/>
      <c r="AT604" s="176"/>
      <c r="AU604" s="176"/>
      <c r="AV604" s="176"/>
      <c r="AW604" s="176"/>
      <c r="AX604" s="176"/>
      <c r="AY604" s="176"/>
      <c r="AZ604" s="176"/>
      <c r="BA604" s="176"/>
      <c r="BB604" s="176"/>
      <c r="BC604" s="176"/>
      <c r="BD604" s="176"/>
    </row>
    <row r="605" ht="15.75" customHeight="1">
      <c r="A605" s="176"/>
      <c r="B605" s="176"/>
      <c r="C605" s="176"/>
      <c r="D605" s="176"/>
      <c r="E605" s="176"/>
      <c r="F605" s="176"/>
      <c r="G605" s="178"/>
      <c r="H605" s="176"/>
      <c r="I605" s="176"/>
      <c r="J605" s="176"/>
      <c r="K605" s="176"/>
      <c r="L605" s="176"/>
      <c r="M605" s="176"/>
      <c r="N605" s="176"/>
      <c r="O605" s="176"/>
      <c r="P605" s="176"/>
      <c r="Q605" s="176"/>
      <c r="R605" s="176"/>
      <c r="S605" s="176"/>
      <c r="T605" s="176"/>
      <c r="U605" s="176"/>
      <c r="V605" s="176"/>
      <c r="W605" s="176"/>
      <c r="X605" s="176"/>
      <c r="Y605" s="176"/>
      <c r="Z605" s="176"/>
      <c r="AA605" s="176"/>
      <c r="AB605" s="176"/>
      <c r="AC605" s="176"/>
      <c r="AD605" s="176"/>
      <c r="AE605" s="176"/>
      <c r="AF605" s="176"/>
      <c r="AG605" s="176"/>
      <c r="AH605" s="176"/>
      <c r="AI605" s="176"/>
      <c r="AJ605" s="176"/>
      <c r="AK605" s="176"/>
      <c r="AL605" s="176"/>
      <c r="AM605" s="176"/>
      <c r="AN605" s="176"/>
      <c r="AO605" s="176"/>
      <c r="AP605" s="176"/>
      <c r="AQ605" s="176"/>
      <c r="AR605" s="176"/>
      <c r="AS605" s="176"/>
      <c r="AT605" s="176"/>
      <c r="AU605" s="176"/>
      <c r="AV605" s="176"/>
      <c r="AW605" s="176"/>
      <c r="AX605" s="176"/>
      <c r="AY605" s="176"/>
      <c r="AZ605" s="176"/>
      <c r="BA605" s="176"/>
      <c r="BB605" s="176"/>
      <c r="BC605" s="176"/>
      <c r="BD605" s="176"/>
    </row>
    <row r="606" ht="15.75" customHeight="1">
      <c r="A606" s="176"/>
      <c r="B606" s="176"/>
      <c r="C606" s="176"/>
      <c r="D606" s="176"/>
      <c r="E606" s="176"/>
      <c r="F606" s="176"/>
      <c r="G606" s="178"/>
      <c r="H606" s="176"/>
      <c r="I606" s="176"/>
      <c r="J606" s="176"/>
      <c r="K606" s="176"/>
      <c r="L606" s="176"/>
      <c r="M606" s="176"/>
      <c r="N606" s="176"/>
      <c r="O606" s="176"/>
      <c r="P606" s="176"/>
      <c r="Q606" s="176"/>
      <c r="R606" s="176"/>
      <c r="S606" s="176"/>
      <c r="T606" s="176"/>
      <c r="U606" s="176"/>
      <c r="V606" s="176"/>
      <c r="W606" s="176"/>
      <c r="X606" s="176"/>
      <c r="Y606" s="176"/>
      <c r="Z606" s="176"/>
      <c r="AA606" s="176"/>
      <c r="AB606" s="176"/>
      <c r="AC606" s="176"/>
      <c r="AD606" s="176"/>
      <c r="AE606" s="176"/>
      <c r="AF606" s="176"/>
      <c r="AG606" s="176"/>
      <c r="AH606" s="176"/>
      <c r="AI606" s="176"/>
      <c r="AJ606" s="176"/>
      <c r="AK606" s="176"/>
      <c r="AL606" s="176"/>
      <c r="AM606" s="176"/>
      <c r="AN606" s="176"/>
      <c r="AO606" s="176"/>
      <c r="AP606" s="176"/>
      <c r="AQ606" s="176"/>
      <c r="AR606" s="176"/>
      <c r="AS606" s="176"/>
      <c r="AT606" s="176"/>
      <c r="AU606" s="176"/>
      <c r="AV606" s="176"/>
      <c r="AW606" s="176"/>
      <c r="AX606" s="176"/>
      <c r="AY606" s="176"/>
      <c r="AZ606" s="176"/>
      <c r="BA606" s="176"/>
      <c r="BB606" s="176"/>
      <c r="BC606" s="176"/>
      <c r="BD606" s="176"/>
    </row>
    <row r="607" ht="15.75" customHeight="1">
      <c r="A607" s="176"/>
      <c r="B607" s="176"/>
      <c r="C607" s="176"/>
      <c r="D607" s="176"/>
      <c r="E607" s="176"/>
      <c r="F607" s="176"/>
      <c r="G607" s="178"/>
      <c r="H607" s="176"/>
      <c r="I607" s="176"/>
      <c r="J607" s="176"/>
      <c r="K607" s="176"/>
      <c r="L607" s="176"/>
      <c r="M607" s="176"/>
      <c r="N607" s="176"/>
      <c r="O607" s="176"/>
      <c r="P607" s="176"/>
      <c r="Q607" s="176"/>
      <c r="R607" s="176"/>
      <c r="S607" s="176"/>
      <c r="T607" s="176"/>
      <c r="U607" s="176"/>
      <c r="V607" s="176"/>
      <c r="W607" s="176"/>
      <c r="X607" s="176"/>
      <c r="Y607" s="176"/>
      <c r="Z607" s="176"/>
      <c r="AA607" s="176"/>
      <c r="AB607" s="176"/>
      <c r="AC607" s="176"/>
      <c r="AD607" s="176"/>
      <c r="AE607" s="176"/>
      <c r="AF607" s="176"/>
      <c r="AG607" s="176"/>
      <c r="AH607" s="176"/>
      <c r="AI607" s="176"/>
      <c r="AJ607" s="176"/>
      <c r="AK607" s="176"/>
      <c r="AL607" s="176"/>
      <c r="AM607" s="176"/>
      <c r="AN607" s="176"/>
      <c r="AO607" s="176"/>
      <c r="AP607" s="176"/>
      <c r="AQ607" s="176"/>
      <c r="AR607" s="176"/>
      <c r="AS607" s="176"/>
      <c r="AT607" s="176"/>
      <c r="AU607" s="176"/>
      <c r="AV607" s="176"/>
      <c r="AW607" s="176"/>
      <c r="AX607" s="176"/>
      <c r="AY607" s="176"/>
      <c r="AZ607" s="176"/>
      <c r="BA607" s="176"/>
      <c r="BB607" s="176"/>
      <c r="BC607" s="176"/>
      <c r="BD607" s="176"/>
    </row>
    <row r="608" ht="15.75" customHeight="1">
      <c r="A608" s="176"/>
      <c r="B608" s="176"/>
      <c r="C608" s="176"/>
      <c r="D608" s="176"/>
      <c r="E608" s="176"/>
      <c r="F608" s="176"/>
      <c r="G608" s="178"/>
      <c r="H608" s="176"/>
      <c r="I608" s="176"/>
      <c r="J608" s="176"/>
      <c r="K608" s="176"/>
      <c r="L608" s="176"/>
      <c r="M608" s="176"/>
      <c r="N608" s="176"/>
      <c r="O608" s="176"/>
      <c r="P608" s="176"/>
      <c r="Q608" s="176"/>
      <c r="R608" s="176"/>
      <c r="S608" s="176"/>
      <c r="T608" s="176"/>
      <c r="U608" s="176"/>
      <c r="V608" s="176"/>
      <c r="W608" s="176"/>
      <c r="X608" s="176"/>
      <c r="Y608" s="176"/>
      <c r="Z608" s="176"/>
      <c r="AA608" s="176"/>
      <c r="AB608" s="176"/>
      <c r="AC608" s="176"/>
      <c r="AD608" s="176"/>
      <c r="AE608" s="176"/>
      <c r="AF608" s="176"/>
      <c r="AG608" s="176"/>
      <c r="AH608" s="176"/>
      <c r="AI608" s="176"/>
      <c r="AJ608" s="176"/>
      <c r="AK608" s="176"/>
      <c r="AL608" s="176"/>
      <c r="AM608" s="176"/>
      <c r="AN608" s="176"/>
      <c r="AO608" s="176"/>
      <c r="AP608" s="176"/>
      <c r="AQ608" s="176"/>
      <c r="AR608" s="176"/>
      <c r="AS608" s="176"/>
      <c r="AT608" s="176"/>
      <c r="AU608" s="176"/>
      <c r="AV608" s="176"/>
      <c r="AW608" s="176"/>
      <c r="AX608" s="176"/>
      <c r="AY608" s="176"/>
      <c r="AZ608" s="176"/>
      <c r="BA608" s="176"/>
      <c r="BB608" s="176"/>
      <c r="BC608" s="176"/>
      <c r="BD608" s="176"/>
    </row>
    <row r="609" ht="15.75" customHeight="1">
      <c r="A609" s="176"/>
      <c r="B609" s="176"/>
      <c r="C609" s="176"/>
      <c r="D609" s="176"/>
      <c r="E609" s="176"/>
      <c r="F609" s="176"/>
      <c r="G609" s="178"/>
      <c r="H609" s="176"/>
      <c r="I609" s="176"/>
      <c r="J609" s="176"/>
      <c r="K609" s="176"/>
      <c r="L609" s="176"/>
      <c r="M609" s="176"/>
      <c r="N609" s="176"/>
      <c r="O609" s="176"/>
      <c r="P609" s="176"/>
      <c r="Q609" s="176"/>
      <c r="R609" s="176"/>
      <c r="S609" s="176"/>
      <c r="T609" s="176"/>
      <c r="U609" s="176"/>
      <c r="V609" s="176"/>
      <c r="W609" s="176"/>
      <c r="X609" s="176"/>
      <c r="Y609" s="176"/>
      <c r="Z609" s="176"/>
      <c r="AA609" s="176"/>
      <c r="AB609" s="176"/>
      <c r="AC609" s="176"/>
      <c r="AD609" s="176"/>
      <c r="AE609" s="176"/>
      <c r="AF609" s="176"/>
      <c r="AG609" s="176"/>
      <c r="AH609" s="176"/>
      <c r="AI609" s="176"/>
      <c r="AJ609" s="176"/>
      <c r="AK609" s="176"/>
      <c r="AL609" s="176"/>
      <c r="AM609" s="176"/>
      <c r="AN609" s="176"/>
      <c r="AO609" s="176"/>
      <c r="AP609" s="176"/>
      <c r="AQ609" s="176"/>
      <c r="AR609" s="176"/>
      <c r="AS609" s="176"/>
      <c r="AT609" s="176"/>
      <c r="AU609" s="176"/>
      <c r="AV609" s="176"/>
      <c r="AW609" s="176"/>
      <c r="AX609" s="176"/>
      <c r="AY609" s="176"/>
      <c r="AZ609" s="176"/>
      <c r="BA609" s="176"/>
      <c r="BB609" s="176"/>
      <c r="BC609" s="176"/>
      <c r="BD609" s="176"/>
    </row>
    <row r="610" ht="15.75" customHeight="1">
      <c r="A610" s="176"/>
      <c r="B610" s="176"/>
      <c r="C610" s="176"/>
      <c r="D610" s="176"/>
      <c r="E610" s="176"/>
      <c r="F610" s="176"/>
      <c r="G610" s="178"/>
      <c r="H610" s="176"/>
      <c r="I610" s="176"/>
      <c r="J610" s="176"/>
      <c r="K610" s="176"/>
      <c r="L610" s="176"/>
      <c r="M610" s="176"/>
      <c r="N610" s="176"/>
      <c r="O610" s="176"/>
      <c r="P610" s="176"/>
      <c r="Q610" s="176"/>
      <c r="R610" s="176"/>
      <c r="S610" s="176"/>
      <c r="T610" s="176"/>
      <c r="U610" s="176"/>
      <c r="V610" s="176"/>
      <c r="W610" s="176"/>
      <c r="X610" s="176"/>
      <c r="Y610" s="176"/>
      <c r="Z610" s="176"/>
      <c r="AA610" s="176"/>
      <c r="AB610" s="176"/>
      <c r="AC610" s="176"/>
      <c r="AD610" s="176"/>
      <c r="AE610" s="176"/>
      <c r="AF610" s="176"/>
      <c r="AG610" s="176"/>
      <c r="AH610" s="176"/>
      <c r="AI610" s="176"/>
      <c r="AJ610" s="176"/>
      <c r="AK610" s="176"/>
      <c r="AL610" s="176"/>
      <c r="AM610" s="176"/>
      <c r="AN610" s="176"/>
      <c r="AO610" s="176"/>
      <c r="AP610" s="176"/>
      <c r="AQ610" s="176"/>
      <c r="AR610" s="176"/>
      <c r="AS610" s="176"/>
      <c r="AT610" s="176"/>
      <c r="AU610" s="176"/>
      <c r="AV610" s="176"/>
      <c r="AW610" s="176"/>
      <c r="AX610" s="176"/>
      <c r="AY610" s="176"/>
      <c r="AZ610" s="176"/>
      <c r="BA610" s="176"/>
      <c r="BB610" s="176"/>
      <c r="BC610" s="176"/>
      <c r="BD610" s="176"/>
    </row>
    <row r="611" ht="15.75" customHeight="1">
      <c r="A611" s="176"/>
      <c r="B611" s="176"/>
      <c r="C611" s="176"/>
      <c r="D611" s="176"/>
      <c r="E611" s="176"/>
      <c r="F611" s="176"/>
      <c r="G611" s="178"/>
      <c r="H611" s="176"/>
      <c r="I611" s="176"/>
      <c r="J611" s="176"/>
      <c r="K611" s="176"/>
      <c r="L611" s="176"/>
      <c r="M611" s="176"/>
      <c r="N611" s="176"/>
      <c r="O611" s="176"/>
      <c r="P611" s="176"/>
      <c r="Q611" s="176"/>
      <c r="R611" s="176"/>
      <c r="S611" s="176"/>
      <c r="T611" s="176"/>
      <c r="U611" s="176"/>
      <c r="V611" s="176"/>
      <c r="W611" s="176"/>
      <c r="X611" s="176"/>
      <c r="Y611" s="176"/>
      <c r="Z611" s="176"/>
      <c r="AA611" s="176"/>
      <c r="AB611" s="176"/>
      <c r="AC611" s="176"/>
      <c r="AD611" s="176"/>
      <c r="AE611" s="176"/>
      <c r="AF611" s="176"/>
      <c r="AG611" s="176"/>
      <c r="AH611" s="176"/>
      <c r="AI611" s="176"/>
      <c r="AJ611" s="176"/>
      <c r="AK611" s="176"/>
      <c r="AL611" s="176"/>
      <c r="AM611" s="176"/>
      <c r="AN611" s="176"/>
      <c r="AO611" s="176"/>
      <c r="AP611" s="176"/>
      <c r="AQ611" s="176"/>
      <c r="AR611" s="176"/>
      <c r="AS611" s="176"/>
      <c r="AT611" s="176"/>
      <c r="AU611" s="176"/>
      <c r="AV611" s="176"/>
      <c r="AW611" s="176"/>
      <c r="AX611" s="176"/>
      <c r="AY611" s="176"/>
      <c r="AZ611" s="176"/>
      <c r="BA611" s="176"/>
      <c r="BB611" s="176"/>
      <c r="BC611" s="176"/>
      <c r="BD611" s="176"/>
    </row>
    <row r="612" ht="15.75" customHeight="1">
      <c r="A612" s="176"/>
      <c r="B612" s="176"/>
      <c r="C612" s="176"/>
      <c r="D612" s="176"/>
      <c r="E612" s="176"/>
      <c r="F612" s="176"/>
      <c r="G612" s="178"/>
      <c r="H612" s="176"/>
      <c r="I612" s="176"/>
      <c r="J612" s="176"/>
      <c r="K612" s="176"/>
      <c r="L612" s="176"/>
      <c r="M612" s="176"/>
      <c r="N612" s="176"/>
      <c r="O612" s="176"/>
      <c r="P612" s="176"/>
      <c r="Q612" s="176"/>
      <c r="R612" s="176"/>
      <c r="S612" s="176"/>
      <c r="T612" s="176"/>
      <c r="U612" s="176"/>
      <c r="V612" s="176"/>
      <c r="W612" s="176"/>
      <c r="X612" s="176"/>
      <c r="Y612" s="176"/>
      <c r="Z612" s="176"/>
      <c r="AA612" s="176"/>
      <c r="AB612" s="176"/>
      <c r="AC612" s="176"/>
      <c r="AD612" s="176"/>
      <c r="AE612" s="176"/>
      <c r="AF612" s="176"/>
      <c r="AG612" s="176"/>
      <c r="AH612" s="176"/>
      <c r="AI612" s="176"/>
      <c r="AJ612" s="176"/>
      <c r="AK612" s="176"/>
      <c r="AL612" s="176"/>
      <c r="AM612" s="176"/>
      <c r="AN612" s="176"/>
      <c r="AO612" s="176"/>
      <c r="AP612" s="176"/>
      <c r="AQ612" s="176"/>
      <c r="AR612" s="176"/>
      <c r="AS612" s="176"/>
      <c r="AT612" s="176"/>
      <c r="AU612" s="176"/>
      <c r="AV612" s="176"/>
      <c r="AW612" s="176"/>
      <c r="AX612" s="176"/>
      <c r="AY612" s="176"/>
      <c r="AZ612" s="176"/>
      <c r="BA612" s="176"/>
      <c r="BB612" s="176"/>
      <c r="BC612" s="176"/>
      <c r="BD612" s="176"/>
    </row>
    <row r="613" ht="15.75" customHeight="1">
      <c r="A613" s="176"/>
      <c r="B613" s="176"/>
      <c r="C613" s="176"/>
      <c r="D613" s="176"/>
      <c r="E613" s="176"/>
      <c r="F613" s="176"/>
      <c r="G613" s="178"/>
      <c r="H613" s="176"/>
      <c r="I613" s="176"/>
      <c r="J613" s="176"/>
      <c r="K613" s="176"/>
      <c r="L613" s="176"/>
      <c r="M613" s="176"/>
      <c r="N613" s="176"/>
      <c r="O613" s="176"/>
      <c r="P613" s="176"/>
      <c r="Q613" s="176"/>
      <c r="R613" s="176"/>
      <c r="S613" s="176"/>
      <c r="T613" s="176"/>
      <c r="U613" s="176"/>
      <c r="V613" s="176"/>
      <c r="W613" s="176"/>
      <c r="X613" s="176"/>
      <c r="Y613" s="176"/>
      <c r="Z613" s="176"/>
      <c r="AA613" s="176"/>
      <c r="AB613" s="176"/>
      <c r="AC613" s="176"/>
      <c r="AD613" s="176"/>
      <c r="AE613" s="176"/>
      <c r="AF613" s="176"/>
      <c r="AG613" s="176"/>
      <c r="AH613" s="176"/>
      <c r="AI613" s="176"/>
      <c r="AJ613" s="176"/>
      <c r="AK613" s="176"/>
      <c r="AL613" s="176"/>
      <c r="AM613" s="176"/>
      <c r="AN613" s="176"/>
      <c r="AO613" s="176"/>
      <c r="AP613" s="176"/>
      <c r="AQ613" s="176"/>
      <c r="AR613" s="176"/>
      <c r="AS613" s="176"/>
      <c r="AT613" s="176"/>
      <c r="AU613" s="176"/>
      <c r="AV613" s="176"/>
      <c r="AW613" s="176"/>
      <c r="AX613" s="176"/>
      <c r="AY613" s="176"/>
      <c r="AZ613" s="176"/>
      <c r="BA613" s="176"/>
      <c r="BB613" s="176"/>
      <c r="BC613" s="176"/>
      <c r="BD613" s="176"/>
    </row>
    <row r="614" ht="15.75" customHeight="1">
      <c r="A614" s="176"/>
      <c r="B614" s="176"/>
      <c r="C614" s="176"/>
      <c r="D614" s="176"/>
      <c r="E614" s="176"/>
      <c r="F614" s="176"/>
      <c r="G614" s="178"/>
      <c r="H614" s="176"/>
      <c r="I614" s="176"/>
      <c r="J614" s="176"/>
      <c r="K614" s="176"/>
      <c r="L614" s="176"/>
      <c r="M614" s="176"/>
      <c r="N614" s="176"/>
      <c r="O614" s="176"/>
      <c r="P614" s="176"/>
      <c r="Q614" s="176"/>
      <c r="R614" s="176"/>
      <c r="S614" s="176"/>
      <c r="T614" s="176"/>
      <c r="U614" s="176"/>
      <c r="V614" s="176"/>
      <c r="W614" s="176"/>
      <c r="X614" s="176"/>
      <c r="Y614" s="176"/>
      <c r="Z614" s="176"/>
      <c r="AA614" s="176"/>
      <c r="AB614" s="176"/>
      <c r="AC614" s="176"/>
      <c r="AD614" s="176"/>
      <c r="AE614" s="176"/>
      <c r="AF614" s="176"/>
      <c r="AG614" s="176"/>
      <c r="AH614" s="176"/>
      <c r="AI614" s="176"/>
      <c r="AJ614" s="176"/>
      <c r="AK614" s="176"/>
      <c r="AL614" s="176"/>
      <c r="AM614" s="176"/>
      <c r="AN614" s="176"/>
      <c r="AO614" s="176"/>
      <c r="AP614" s="176"/>
      <c r="AQ614" s="176"/>
      <c r="AR614" s="176"/>
      <c r="AS614" s="176"/>
      <c r="AT614" s="176"/>
      <c r="AU614" s="176"/>
      <c r="AV614" s="176"/>
      <c r="AW614" s="176"/>
      <c r="AX614" s="176"/>
      <c r="AY614" s="176"/>
      <c r="AZ614" s="176"/>
      <c r="BA614" s="176"/>
      <c r="BB614" s="176"/>
      <c r="BC614" s="176"/>
      <c r="BD614" s="176"/>
    </row>
    <row r="615" ht="15.75" customHeight="1">
      <c r="A615" s="176"/>
      <c r="B615" s="176"/>
      <c r="C615" s="176"/>
      <c r="D615" s="176"/>
      <c r="E615" s="176"/>
      <c r="F615" s="176"/>
      <c r="G615" s="178"/>
      <c r="H615" s="176"/>
      <c r="I615" s="176"/>
      <c r="J615" s="176"/>
      <c r="K615" s="176"/>
      <c r="L615" s="176"/>
      <c r="M615" s="176"/>
      <c r="N615" s="176"/>
      <c r="O615" s="176"/>
      <c r="P615" s="176"/>
      <c r="Q615" s="176"/>
      <c r="R615" s="176"/>
      <c r="S615" s="176"/>
      <c r="T615" s="176"/>
      <c r="U615" s="176"/>
      <c r="V615" s="176"/>
      <c r="W615" s="176"/>
      <c r="X615" s="176"/>
      <c r="Y615" s="176"/>
      <c r="Z615" s="176"/>
      <c r="AA615" s="176"/>
      <c r="AB615" s="176"/>
      <c r="AC615" s="176"/>
      <c r="AD615" s="176"/>
      <c r="AE615" s="176"/>
      <c r="AF615" s="176"/>
      <c r="AG615" s="176"/>
      <c r="AH615" s="176"/>
      <c r="AI615" s="176"/>
      <c r="AJ615" s="176"/>
      <c r="AK615" s="176"/>
      <c r="AL615" s="176"/>
      <c r="AM615" s="176"/>
      <c r="AN615" s="176"/>
      <c r="AO615" s="176"/>
      <c r="AP615" s="176"/>
      <c r="AQ615" s="176"/>
      <c r="AR615" s="176"/>
      <c r="AS615" s="176"/>
      <c r="AT615" s="176"/>
      <c r="AU615" s="176"/>
      <c r="AV615" s="176"/>
      <c r="AW615" s="176"/>
      <c r="AX615" s="176"/>
      <c r="AY615" s="176"/>
      <c r="AZ615" s="176"/>
      <c r="BA615" s="176"/>
      <c r="BB615" s="176"/>
      <c r="BC615" s="176"/>
      <c r="BD615" s="176"/>
    </row>
    <row r="616" ht="15.75" customHeight="1">
      <c r="A616" s="176"/>
      <c r="B616" s="176"/>
      <c r="C616" s="176"/>
      <c r="D616" s="176"/>
      <c r="E616" s="176"/>
      <c r="F616" s="176"/>
      <c r="G616" s="178"/>
      <c r="H616" s="176"/>
      <c r="I616" s="176"/>
      <c r="J616" s="176"/>
      <c r="K616" s="176"/>
      <c r="L616" s="176"/>
      <c r="M616" s="176"/>
      <c r="N616" s="176"/>
      <c r="O616" s="176"/>
      <c r="P616" s="176"/>
      <c r="Q616" s="176"/>
      <c r="R616" s="176"/>
      <c r="S616" s="176"/>
      <c r="T616" s="176"/>
      <c r="U616" s="176"/>
      <c r="V616" s="176"/>
      <c r="W616" s="176"/>
      <c r="X616" s="176"/>
      <c r="Y616" s="176"/>
      <c r="Z616" s="176"/>
      <c r="AA616" s="176"/>
      <c r="AB616" s="176"/>
      <c r="AC616" s="176"/>
      <c r="AD616" s="176"/>
      <c r="AE616" s="176"/>
      <c r="AF616" s="176"/>
      <c r="AG616" s="176"/>
      <c r="AH616" s="176"/>
      <c r="AI616" s="176"/>
      <c r="AJ616" s="176"/>
      <c r="AK616" s="176"/>
      <c r="AL616" s="176"/>
      <c r="AM616" s="176"/>
      <c r="AN616" s="176"/>
      <c r="AO616" s="176"/>
      <c r="AP616" s="176"/>
      <c r="AQ616" s="176"/>
      <c r="AR616" s="176"/>
      <c r="AS616" s="176"/>
      <c r="AT616" s="176"/>
      <c r="AU616" s="176"/>
      <c r="AV616" s="176"/>
      <c r="AW616" s="176"/>
      <c r="AX616" s="176"/>
      <c r="AY616" s="176"/>
      <c r="AZ616" s="176"/>
      <c r="BA616" s="176"/>
      <c r="BB616" s="176"/>
      <c r="BC616" s="176"/>
      <c r="BD616" s="176"/>
    </row>
    <row r="617" ht="15.75" customHeight="1">
      <c r="A617" s="176"/>
      <c r="B617" s="176"/>
      <c r="C617" s="176"/>
      <c r="D617" s="176"/>
      <c r="E617" s="176"/>
      <c r="F617" s="176"/>
      <c r="G617" s="178"/>
      <c r="H617" s="176"/>
      <c r="I617" s="176"/>
      <c r="J617" s="176"/>
      <c r="K617" s="176"/>
      <c r="L617" s="176"/>
      <c r="M617" s="176"/>
      <c r="N617" s="176"/>
      <c r="O617" s="176"/>
      <c r="P617" s="176"/>
      <c r="Q617" s="176"/>
      <c r="R617" s="176"/>
      <c r="S617" s="176"/>
      <c r="T617" s="176"/>
      <c r="U617" s="176"/>
      <c r="V617" s="176"/>
      <c r="W617" s="176"/>
      <c r="X617" s="176"/>
      <c r="Y617" s="176"/>
      <c r="Z617" s="176"/>
      <c r="AA617" s="176"/>
      <c r="AB617" s="176"/>
      <c r="AC617" s="176"/>
      <c r="AD617" s="176"/>
      <c r="AE617" s="176"/>
      <c r="AF617" s="176"/>
      <c r="AG617" s="176"/>
      <c r="AH617" s="176"/>
      <c r="AI617" s="176"/>
      <c r="AJ617" s="176"/>
      <c r="AK617" s="176"/>
      <c r="AL617" s="176"/>
      <c r="AM617" s="176"/>
      <c r="AN617" s="176"/>
      <c r="AO617" s="176"/>
      <c r="AP617" s="176"/>
      <c r="AQ617" s="176"/>
      <c r="AR617" s="176"/>
      <c r="AS617" s="176"/>
      <c r="AT617" s="176"/>
      <c r="AU617" s="176"/>
      <c r="AV617" s="176"/>
      <c r="AW617" s="176"/>
      <c r="AX617" s="176"/>
      <c r="AY617" s="176"/>
      <c r="AZ617" s="176"/>
      <c r="BA617" s="176"/>
      <c r="BB617" s="176"/>
      <c r="BC617" s="176"/>
      <c r="BD617" s="176"/>
    </row>
    <row r="618" ht="15.75" customHeight="1">
      <c r="A618" s="176"/>
      <c r="B618" s="176"/>
      <c r="C618" s="176"/>
      <c r="D618" s="176"/>
      <c r="E618" s="176"/>
      <c r="F618" s="176"/>
      <c r="G618" s="178"/>
      <c r="H618" s="176"/>
      <c r="I618" s="176"/>
      <c r="J618" s="176"/>
      <c r="K618" s="176"/>
      <c r="L618" s="176"/>
      <c r="M618" s="176"/>
      <c r="N618" s="176"/>
      <c r="O618" s="176"/>
      <c r="P618" s="176"/>
      <c r="Q618" s="176"/>
      <c r="R618" s="176"/>
      <c r="S618" s="176"/>
      <c r="T618" s="176"/>
      <c r="U618" s="176"/>
      <c r="V618" s="176"/>
      <c r="W618" s="176"/>
      <c r="X618" s="176"/>
      <c r="Y618" s="176"/>
      <c r="Z618" s="176"/>
      <c r="AA618" s="176"/>
      <c r="AB618" s="176"/>
      <c r="AC618" s="176"/>
      <c r="AD618" s="176"/>
      <c r="AE618" s="176"/>
      <c r="AF618" s="176"/>
      <c r="AG618" s="176"/>
      <c r="AH618" s="176"/>
      <c r="AI618" s="176"/>
      <c r="AJ618" s="176"/>
      <c r="AK618" s="176"/>
      <c r="AL618" s="176"/>
      <c r="AM618" s="176"/>
      <c r="AN618" s="176"/>
      <c r="AO618" s="176"/>
      <c r="AP618" s="176"/>
      <c r="AQ618" s="176"/>
      <c r="AR618" s="176"/>
      <c r="AS618" s="176"/>
      <c r="AT618" s="176"/>
      <c r="AU618" s="176"/>
      <c r="AV618" s="176"/>
      <c r="AW618" s="176"/>
      <c r="AX618" s="176"/>
      <c r="AY618" s="176"/>
      <c r="AZ618" s="176"/>
      <c r="BA618" s="176"/>
      <c r="BB618" s="176"/>
      <c r="BC618" s="176"/>
      <c r="BD618" s="176"/>
    </row>
    <row r="619" ht="15.75" customHeight="1">
      <c r="A619" s="176"/>
      <c r="B619" s="176"/>
      <c r="C619" s="176"/>
      <c r="D619" s="176"/>
      <c r="E619" s="176"/>
      <c r="F619" s="176"/>
      <c r="G619" s="178"/>
      <c r="H619" s="176"/>
      <c r="I619" s="176"/>
      <c r="J619" s="176"/>
      <c r="K619" s="176"/>
      <c r="L619" s="176"/>
      <c r="M619" s="176"/>
      <c r="N619" s="176"/>
      <c r="O619" s="176"/>
      <c r="P619" s="176"/>
      <c r="Q619" s="176"/>
      <c r="R619" s="176"/>
      <c r="S619" s="176"/>
      <c r="T619" s="176"/>
      <c r="U619" s="176"/>
      <c r="V619" s="176"/>
      <c r="W619" s="176"/>
      <c r="X619" s="176"/>
      <c r="Y619" s="176"/>
      <c r="Z619" s="176"/>
      <c r="AA619" s="176"/>
      <c r="AB619" s="176"/>
      <c r="AC619" s="176"/>
      <c r="AD619" s="176"/>
      <c r="AE619" s="176"/>
      <c r="AF619" s="176"/>
      <c r="AG619" s="176"/>
      <c r="AH619" s="176"/>
      <c r="AI619" s="176"/>
      <c r="AJ619" s="176"/>
      <c r="AK619" s="176"/>
      <c r="AL619" s="176"/>
      <c r="AM619" s="176"/>
      <c r="AN619" s="176"/>
      <c r="AO619" s="176"/>
      <c r="AP619" s="176"/>
      <c r="AQ619" s="176"/>
      <c r="AR619" s="176"/>
      <c r="AS619" s="176"/>
      <c r="AT619" s="176"/>
      <c r="AU619" s="176"/>
      <c r="AV619" s="176"/>
      <c r="AW619" s="176"/>
      <c r="AX619" s="176"/>
      <c r="AY619" s="176"/>
      <c r="AZ619" s="176"/>
      <c r="BA619" s="176"/>
      <c r="BB619" s="176"/>
      <c r="BC619" s="176"/>
      <c r="BD619" s="176"/>
    </row>
    <row r="620" ht="15.75" customHeight="1">
      <c r="A620" s="176"/>
      <c r="B620" s="176"/>
      <c r="C620" s="176"/>
      <c r="D620" s="176"/>
      <c r="E620" s="176"/>
      <c r="F620" s="176"/>
      <c r="G620" s="178"/>
      <c r="H620" s="176"/>
      <c r="I620" s="176"/>
      <c r="J620" s="176"/>
      <c r="K620" s="176"/>
      <c r="L620" s="176"/>
      <c r="M620" s="176"/>
      <c r="N620" s="176"/>
      <c r="O620" s="176"/>
      <c r="P620" s="176"/>
      <c r="Q620" s="176"/>
      <c r="R620" s="176"/>
      <c r="S620" s="176"/>
      <c r="T620" s="176"/>
      <c r="U620" s="176"/>
      <c r="V620" s="176"/>
      <c r="W620" s="176"/>
      <c r="X620" s="176"/>
      <c r="Y620" s="176"/>
      <c r="Z620" s="176"/>
      <c r="AA620" s="176"/>
      <c r="AB620" s="176"/>
      <c r="AC620" s="176"/>
      <c r="AD620" s="176"/>
      <c r="AE620" s="176"/>
      <c r="AF620" s="176"/>
      <c r="AG620" s="176"/>
      <c r="AH620" s="176"/>
      <c r="AI620" s="176"/>
      <c r="AJ620" s="176"/>
      <c r="AK620" s="176"/>
      <c r="AL620" s="176"/>
      <c r="AM620" s="176"/>
      <c r="AN620" s="176"/>
      <c r="AO620" s="176"/>
      <c r="AP620" s="176"/>
      <c r="AQ620" s="176"/>
      <c r="AR620" s="176"/>
      <c r="AS620" s="176"/>
      <c r="AT620" s="176"/>
      <c r="AU620" s="176"/>
      <c r="AV620" s="176"/>
      <c r="AW620" s="176"/>
      <c r="AX620" s="176"/>
      <c r="AY620" s="176"/>
      <c r="AZ620" s="176"/>
      <c r="BA620" s="176"/>
      <c r="BB620" s="176"/>
      <c r="BC620" s="176"/>
      <c r="BD620" s="176"/>
    </row>
    <row r="621" ht="15.75" customHeight="1">
      <c r="A621" s="176"/>
      <c r="B621" s="176"/>
      <c r="C621" s="176"/>
      <c r="D621" s="176"/>
      <c r="E621" s="176"/>
      <c r="F621" s="176"/>
      <c r="G621" s="178"/>
      <c r="H621" s="176"/>
      <c r="I621" s="176"/>
      <c r="J621" s="176"/>
      <c r="K621" s="176"/>
      <c r="L621" s="176"/>
      <c r="M621" s="176"/>
      <c r="N621" s="176"/>
      <c r="O621" s="176"/>
      <c r="P621" s="176"/>
      <c r="Q621" s="176"/>
      <c r="R621" s="176"/>
      <c r="S621" s="176"/>
      <c r="T621" s="176"/>
      <c r="U621" s="176"/>
      <c r="V621" s="176"/>
      <c r="W621" s="176"/>
      <c r="X621" s="176"/>
      <c r="Y621" s="176"/>
      <c r="Z621" s="176"/>
      <c r="AA621" s="176"/>
      <c r="AB621" s="176"/>
      <c r="AC621" s="176"/>
      <c r="AD621" s="176"/>
      <c r="AE621" s="176"/>
      <c r="AF621" s="176"/>
      <c r="AG621" s="176"/>
      <c r="AH621" s="176"/>
      <c r="AI621" s="176"/>
      <c r="AJ621" s="176"/>
      <c r="AK621" s="176"/>
      <c r="AL621" s="176"/>
      <c r="AM621" s="176"/>
      <c r="AN621" s="176"/>
      <c r="AO621" s="176"/>
      <c r="AP621" s="176"/>
      <c r="AQ621" s="176"/>
      <c r="AR621" s="176"/>
      <c r="AS621" s="176"/>
      <c r="AT621" s="176"/>
      <c r="AU621" s="176"/>
      <c r="AV621" s="176"/>
      <c r="AW621" s="176"/>
      <c r="AX621" s="176"/>
      <c r="AY621" s="176"/>
      <c r="AZ621" s="176"/>
      <c r="BA621" s="176"/>
      <c r="BB621" s="176"/>
      <c r="BC621" s="176"/>
      <c r="BD621" s="176"/>
    </row>
    <row r="622" ht="15.75" customHeight="1">
      <c r="A622" s="176"/>
      <c r="B622" s="176"/>
      <c r="C622" s="176"/>
      <c r="D622" s="176"/>
      <c r="E622" s="176"/>
      <c r="F622" s="176"/>
      <c r="G622" s="178"/>
      <c r="H622" s="176"/>
      <c r="I622" s="176"/>
      <c r="J622" s="176"/>
      <c r="K622" s="176"/>
      <c r="L622" s="176"/>
      <c r="M622" s="176"/>
      <c r="N622" s="176"/>
      <c r="O622" s="176"/>
      <c r="P622" s="176"/>
      <c r="Q622" s="176"/>
      <c r="R622" s="176"/>
      <c r="S622" s="176"/>
      <c r="T622" s="176"/>
      <c r="U622" s="176"/>
      <c r="V622" s="176"/>
      <c r="W622" s="176"/>
      <c r="X622" s="176"/>
      <c r="Y622" s="176"/>
      <c r="Z622" s="176"/>
      <c r="AA622" s="176"/>
      <c r="AB622" s="176"/>
      <c r="AC622" s="176"/>
      <c r="AD622" s="176"/>
      <c r="AE622" s="176"/>
      <c r="AF622" s="176"/>
      <c r="AG622" s="176"/>
      <c r="AH622" s="176"/>
      <c r="AI622" s="176"/>
      <c r="AJ622" s="176"/>
      <c r="AK622" s="176"/>
      <c r="AL622" s="176"/>
      <c r="AM622" s="176"/>
      <c r="AN622" s="176"/>
      <c r="AO622" s="176"/>
      <c r="AP622" s="176"/>
      <c r="AQ622" s="176"/>
      <c r="AR622" s="176"/>
      <c r="AS622" s="176"/>
      <c r="AT622" s="176"/>
      <c r="AU622" s="176"/>
      <c r="AV622" s="176"/>
      <c r="AW622" s="176"/>
      <c r="AX622" s="176"/>
      <c r="AY622" s="176"/>
      <c r="AZ622" s="176"/>
      <c r="BA622" s="176"/>
      <c r="BB622" s="176"/>
      <c r="BC622" s="176"/>
      <c r="BD622" s="176"/>
    </row>
    <row r="623" ht="15.75" customHeight="1">
      <c r="A623" s="176"/>
      <c r="B623" s="176"/>
      <c r="C623" s="176"/>
      <c r="D623" s="176"/>
      <c r="E623" s="176"/>
      <c r="F623" s="176"/>
      <c r="G623" s="178"/>
      <c r="H623" s="176"/>
      <c r="I623" s="176"/>
      <c r="J623" s="176"/>
      <c r="K623" s="176"/>
      <c r="L623" s="176"/>
      <c r="M623" s="176"/>
      <c r="N623" s="176"/>
      <c r="O623" s="176"/>
      <c r="P623" s="176"/>
      <c r="Q623" s="176"/>
      <c r="R623" s="176"/>
      <c r="S623" s="176"/>
      <c r="T623" s="176"/>
      <c r="U623" s="176"/>
      <c r="V623" s="176"/>
      <c r="W623" s="176"/>
      <c r="X623" s="176"/>
      <c r="Y623" s="176"/>
      <c r="Z623" s="176"/>
      <c r="AA623" s="176"/>
      <c r="AB623" s="176"/>
      <c r="AC623" s="176"/>
      <c r="AD623" s="176"/>
      <c r="AE623" s="176"/>
      <c r="AF623" s="176"/>
      <c r="AG623" s="176"/>
      <c r="AH623" s="176"/>
      <c r="AI623" s="176"/>
      <c r="AJ623" s="176"/>
      <c r="AK623" s="176"/>
      <c r="AL623" s="176"/>
      <c r="AM623" s="176"/>
      <c r="AN623" s="176"/>
      <c r="AO623" s="176"/>
      <c r="AP623" s="176"/>
      <c r="AQ623" s="176"/>
      <c r="AR623" s="176"/>
      <c r="AS623" s="176"/>
      <c r="AT623" s="176"/>
      <c r="AU623" s="176"/>
      <c r="AV623" s="176"/>
      <c r="AW623" s="176"/>
      <c r="AX623" s="176"/>
      <c r="AY623" s="176"/>
      <c r="AZ623" s="176"/>
      <c r="BA623" s="176"/>
      <c r="BB623" s="176"/>
      <c r="BC623" s="176"/>
      <c r="BD623" s="176"/>
    </row>
    <row r="624" ht="15.75" customHeight="1">
      <c r="A624" s="176"/>
      <c r="B624" s="176"/>
      <c r="C624" s="176"/>
      <c r="D624" s="176"/>
      <c r="E624" s="176"/>
      <c r="F624" s="176"/>
      <c r="G624" s="178"/>
      <c r="H624" s="176"/>
      <c r="I624" s="176"/>
      <c r="J624" s="176"/>
      <c r="K624" s="176"/>
      <c r="L624" s="176"/>
      <c r="M624" s="176"/>
      <c r="N624" s="176"/>
      <c r="O624" s="176"/>
      <c r="P624" s="176"/>
      <c r="Q624" s="176"/>
      <c r="R624" s="176"/>
      <c r="S624" s="176"/>
      <c r="T624" s="176"/>
      <c r="U624" s="176"/>
      <c r="V624" s="176"/>
      <c r="W624" s="176"/>
      <c r="X624" s="176"/>
      <c r="Y624" s="176"/>
      <c r="Z624" s="176"/>
      <c r="AA624" s="176"/>
      <c r="AB624" s="176"/>
      <c r="AC624" s="176"/>
      <c r="AD624" s="176"/>
      <c r="AE624" s="176"/>
      <c r="AF624" s="176"/>
      <c r="AG624" s="176"/>
      <c r="AH624" s="176"/>
      <c r="AI624" s="176"/>
      <c r="AJ624" s="176"/>
      <c r="AK624" s="176"/>
      <c r="AL624" s="176"/>
      <c r="AM624" s="176"/>
      <c r="AN624" s="176"/>
      <c r="AO624" s="176"/>
      <c r="AP624" s="176"/>
      <c r="AQ624" s="176"/>
      <c r="AR624" s="176"/>
      <c r="AS624" s="176"/>
      <c r="AT624" s="176"/>
      <c r="AU624" s="176"/>
      <c r="AV624" s="176"/>
      <c r="AW624" s="176"/>
      <c r="AX624" s="176"/>
      <c r="AY624" s="176"/>
      <c r="AZ624" s="176"/>
      <c r="BA624" s="176"/>
      <c r="BB624" s="176"/>
      <c r="BC624" s="176"/>
      <c r="BD624" s="176"/>
    </row>
    <row r="625" ht="15.75" customHeight="1">
      <c r="A625" s="176"/>
      <c r="B625" s="176"/>
      <c r="C625" s="176"/>
      <c r="D625" s="176"/>
      <c r="E625" s="176"/>
      <c r="F625" s="176"/>
      <c r="G625" s="178"/>
      <c r="H625" s="176"/>
      <c r="I625" s="176"/>
      <c r="J625" s="176"/>
      <c r="K625" s="176"/>
      <c r="L625" s="176"/>
      <c r="M625" s="176"/>
      <c r="N625" s="176"/>
      <c r="O625" s="176"/>
      <c r="P625" s="176"/>
      <c r="Q625" s="176"/>
      <c r="R625" s="176"/>
      <c r="S625" s="176"/>
      <c r="T625" s="176"/>
      <c r="U625" s="176"/>
      <c r="V625" s="176"/>
      <c r="W625" s="176"/>
      <c r="X625" s="176"/>
      <c r="Y625" s="176"/>
      <c r="Z625" s="176"/>
      <c r="AA625" s="176"/>
      <c r="AB625" s="176"/>
      <c r="AC625" s="176"/>
      <c r="AD625" s="176"/>
      <c r="AE625" s="176"/>
      <c r="AF625" s="176"/>
      <c r="AG625" s="176"/>
      <c r="AH625" s="176"/>
      <c r="AI625" s="176"/>
      <c r="AJ625" s="176"/>
      <c r="AK625" s="176"/>
      <c r="AL625" s="176"/>
      <c r="AM625" s="176"/>
      <c r="AN625" s="176"/>
      <c r="AO625" s="176"/>
      <c r="AP625" s="176"/>
      <c r="AQ625" s="176"/>
      <c r="AR625" s="176"/>
      <c r="AS625" s="176"/>
      <c r="AT625" s="176"/>
      <c r="AU625" s="176"/>
      <c r="AV625" s="176"/>
      <c r="AW625" s="176"/>
      <c r="AX625" s="176"/>
      <c r="AY625" s="176"/>
      <c r="AZ625" s="176"/>
      <c r="BA625" s="176"/>
      <c r="BB625" s="176"/>
      <c r="BC625" s="176"/>
      <c r="BD625" s="176"/>
    </row>
    <row r="626" ht="15.75" customHeight="1">
      <c r="A626" s="176"/>
      <c r="B626" s="176"/>
      <c r="C626" s="176"/>
      <c r="D626" s="176"/>
      <c r="E626" s="176"/>
      <c r="F626" s="176"/>
      <c r="G626" s="178"/>
      <c r="H626" s="176"/>
      <c r="I626" s="176"/>
      <c r="J626" s="176"/>
      <c r="K626" s="176"/>
      <c r="L626" s="176"/>
      <c r="M626" s="176"/>
      <c r="N626" s="176"/>
      <c r="O626" s="176"/>
      <c r="P626" s="176"/>
      <c r="Q626" s="176"/>
      <c r="R626" s="176"/>
      <c r="S626" s="176"/>
      <c r="T626" s="176"/>
      <c r="U626" s="176"/>
      <c r="V626" s="176"/>
      <c r="W626" s="176"/>
      <c r="X626" s="176"/>
      <c r="Y626" s="176"/>
      <c r="Z626" s="176"/>
      <c r="AA626" s="176"/>
      <c r="AB626" s="176"/>
      <c r="AC626" s="176"/>
      <c r="AD626" s="176"/>
      <c r="AE626" s="176"/>
      <c r="AF626" s="176"/>
      <c r="AG626" s="176"/>
      <c r="AH626" s="176"/>
      <c r="AI626" s="176"/>
      <c r="AJ626" s="176"/>
      <c r="AK626" s="176"/>
      <c r="AL626" s="176"/>
      <c r="AM626" s="176"/>
      <c r="AN626" s="176"/>
      <c r="AO626" s="176"/>
      <c r="AP626" s="176"/>
      <c r="AQ626" s="176"/>
      <c r="AR626" s="176"/>
      <c r="AS626" s="176"/>
      <c r="AT626" s="176"/>
      <c r="AU626" s="176"/>
      <c r="AV626" s="176"/>
      <c r="AW626" s="176"/>
      <c r="AX626" s="176"/>
      <c r="AY626" s="176"/>
      <c r="AZ626" s="176"/>
      <c r="BA626" s="176"/>
      <c r="BB626" s="176"/>
      <c r="BC626" s="176"/>
      <c r="BD626" s="176"/>
    </row>
    <row r="627" ht="15.75" customHeight="1">
      <c r="A627" s="176"/>
      <c r="B627" s="176"/>
      <c r="C627" s="176"/>
      <c r="D627" s="176"/>
      <c r="E627" s="176"/>
      <c r="F627" s="176"/>
      <c r="G627" s="178"/>
      <c r="H627" s="176"/>
      <c r="I627" s="176"/>
      <c r="J627" s="176"/>
      <c r="K627" s="176"/>
      <c r="L627" s="176"/>
      <c r="M627" s="176"/>
      <c r="N627" s="176"/>
      <c r="O627" s="176"/>
      <c r="P627" s="176"/>
      <c r="Q627" s="176"/>
      <c r="R627" s="176"/>
      <c r="S627" s="176"/>
      <c r="T627" s="176"/>
      <c r="U627" s="176"/>
      <c r="V627" s="176"/>
      <c r="W627" s="176"/>
      <c r="X627" s="176"/>
      <c r="Y627" s="176"/>
      <c r="Z627" s="176"/>
      <c r="AA627" s="176"/>
      <c r="AB627" s="176"/>
      <c r="AC627" s="176"/>
      <c r="AD627" s="176"/>
      <c r="AE627" s="176"/>
      <c r="AF627" s="176"/>
      <c r="AG627" s="176"/>
      <c r="AH627" s="176"/>
      <c r="AI627" s="176"/>
      <c r="AJ627" s="176"/>
      <c r="AK627" s="176"/>
      <c r="AL627" s="176"/>
      <c r="AM627" s="176"/>
      <c r="AN627" s="176"/>
      <c r="AO627" s="176"/>
      <c r="AP627" s="176"/>
      <c r="AQ627" s="176"/>
      <c r="AR627" s="176"/>
      <c r="AS627" s="176"/>
      <c r="AT627" s="176"/>
      <c r="AU627" s="176"/>
      <c r="AV627" s="176"/>
      <c r="AW627" s="176"/>
      <c r="AX627" s="176"/>
      <c r="AY627" s="176"/>
      <c r="AZ627" s="176"/>
      <c r="BA627" s="176"/>
      <c r="BB627" s="176"/>
      <c r="BC627" s="176"/>
      <c r="BD627" s="176"/>
    </row>
    <row r="628" ht="15.75" customHeight="1">
      <c r="A628" s="176"/>
      <c r="B628" s="176"/>
      <c r="C628" s="176"/>
      <c r="D628" s="176"/>
      <c r="E628" s="176"/>
      <c r="F628" s="176"/>
      <c r="G628" s="178"/>
      <c r="H628" s="176"/>
      <c r="I628" s="176"/>
      <c r="J628" s="176"/>
      <c r="K628" s="176"/>
      <c r="L628" s="176"/>
      <c r="M628" s="176"/>
      <c r="N628" s="176"/>
      <c r="O628" s="176"/>
      <c r="P628" s="176"/>
      <c r="Q628" s="176"/>
      <c r="R628" s="176"/>
      <c r="S628" s="176"/>
      <c r="T628" s="176"/>
      <c r="U628" s="176"/>
      <c r="V628" s="176"/>
      <c r="W628" s="176"/>
      <c r="X628" s="176"/>
      <c r="Y628" s="176"/>
      <c r="Z628" s="176"/>
      <c r="AA628" s="176"/>
      <c r="AB628" s="176"/>
      <c r="AC628" s="176"/>
      <c r="AD628" s="176"/>
      <c r="AE628" s="176"/>
      <c r="AF628" s="176"/>
      <c r="AG628" s="176"/>
      <c r="AH628" s="176"/>
      <c r="AI628" s="176"/>
      <c r="AJ628" s="176"/>
      <c r="AK628" s="176"/>
      <c r="AL628" s="176"/>
      <c r="AM628" s="176"/>
      <c r="AN628" s="176"/>
      <c r="AO628" s="176"/>
      <c r="AP628" s="176"/>
      <c r="AQ628" s="176"/>
      <c r="AR628" s="176"/>
      <c r="AS628" s="176"/>
      <c r="AT628" s="176"/>
      <c r="AU628" s="176"/>
      <c r="AV628" s="176"/>
      <c r="AW628" s="176"/>
      <c r="AX628" s="176"/>
      <c r="AY628" s="176"/>
      <c r="AZ628" s="176"/>
      <c r="BA628" s="176"/>
      <c r="BB628" s="176"/>
      <c r="BC628" s="176"/>
      <c r="BD628" s="176"/>
    </row>
    <row r="629" ht="15.75" customHeight="1">
      <c r="A629" s="176"/>
      <c r="B629" s="176"/>
      <c r="C629" s="176"/>
      <c r="D629" s="176"/>
      <c r="E629" s="176"/>
      <c r="F629" s="176"/>
      <c r="G629" s="178"/>
      <c r="H629" s="176"/>
      <c r="I629" s="176"/>
      <c r="J629" s="176"/>
      <c r="K629" s="176"/>
      <c r="L629" s="176"/>
      <c r="M629" s="176"/>
      <c r="N629" s="176"/>
      <c r="O629" s="176"/>
      <c r="P629" s="176"/>
      <c r="Q629" s="176"/>
      <c r="R629" s="176"/>
      <c r="S629" s="176"/>
      <c r="T629" s="176"/>
      <c r="U629" s="176"/>
      <c r="V629" s="176"/>
      <c r="W629" s="176"/>
      <c r="X629" s="176"/>
      <c r="Y629" s="176"/>
      <c r="Z629" s="176"/>
      <c r="AA629" s="176"/>
      <c r="AB629" s="176"/>
      <c r="AC629" s="176"/>
      <c r="AD629" s="176"/>
      <c r="AE629" s="176"/>
      <c r="AF629" s="176"/>
      <c r="AG629" s="176"/>
      <c r="AH629" s="176"/>
      <c r="AI629" s="176"/>
      <c r="AJ629" s="176"/>
      <c r="AK629" s="176"/>
      <c r="AL629" s="176"/>
      <c r="AM629" s="176"/>
      <c r="AN629" s="176"/>
      <c r="AO629" s="176"/>
      <c r="AP629" s="176"/>
      <c r="AQ629" s="176"/>
      <c r="AR629" s="176"/>
      <c r="AS629" s="176"/>
      <c r="AT629" s="176"/>
      <c r="AU629" s="176"/>
      <c r="AV629" s="176"/>
      <c r="AW629" s="176"/>
      <c r="AX629" s="176"/>
      <c r="AY629" s="176"/>
      <c r="AZ629" s="176"/>
      <c r="BA629" s="176"/>
      <c r="BB629" s="176"/>
      <c r="BC629" s="176"/>
      <c r="BD629" s="176"/>
    </row>
    <row r="630" ht="15.75" customHeight="1">
      <c r="A630" s="176"/>
      <c r="B630" s="176"/>
      <c r="C630" s="176"/>
      <c r="D630" s="176"/>
      <c r="E630" s="176"/>
      <c r="F630" s="176"/>
      <c r="G630" s="178"/>
      <c r="H630" s="176"/>
      <c r="I630" s="176"/>
      <c r="J630" s="176"/>
      <c r="K630" s="176"/>
      <c r="L630" s="176"/>
      <c r="M630" s="176"/>
      <c r="N630" s="176"/>
      <c r="O630" s="176"/>
      <c r="P630" s="176"/>
      <c r="Q630" s="176"/>
      <c r="R630" s="176"/>
      <c r="S630" s="176"/>
      <c r="T630" s="176"/>
      <c r="U630" s="176"/>
      <c r="V630" s="176"/>
      <c r="W630" s="176"/>
      <c r="X630" s="176"/>
      <c r="Y630" s="176"/>
      <c r="Z630" s="176"/>
      <c r="AA630" s="176"/>
      <c r="AB630" s="176"/>
      <c r="AC630" s="176"/>
      <c r="AD630" s="176"/>
      <c r="AE630" s="176"/>
      <c r="AF630" s="176"/>
      <c r="AG630" s="176"/>
      <c r="AH630" s="176"/>
      <c r="AI630" s="176"/>
      <c r="AJ630" s="176"/>
      <c r="AK630" s="176"/>
      <c r="AL630" s="176"/>
      <c r="AM630" s="176"/>
      <c r="AN630" s="176"/>
      <c r="AO630" s="176"/>
      <c r="AP630" s="176"/>
      <c r="AQ630" s="176"/>
      <c r="AR630" s="176"/>
      <c r="AS630" s="176"/>
      <c r="AT630" s="176"/>
      <c r="AU630" s="176"/>
      <c r="AV630" s="176"/>
      <c r="AW630" s="176"/>
      <c r="AX630" s="176"/>
      <c r="AY630" s="176"/>
      <c r="AZ630" s="176"/>
      <c r="BA630" s="176"/>
      <c r="BB630" s="176"/>
      <c r="BC630" s="176"/>
      <c r="BD630" s="176"/>
    </row>
    <row r="631" ht="15.75" customHeight="1">
      <c r="A631" s="176"/>
      <c r="B631" s="176"/>
      <c r="C631" s="176"/>
      <c r="D631" s="176"/>
      <c r="E631" s="176"/>
      <c r="F631" s="176"/>
      <c r="G631" s="178"/>
      <c r="H631" s="176"/>
      <c r="I631" s="176"/>
      <c r="J631" s="176"/>
      <c r="K631" s="176"/>
      <c r="L631" s="176"/>
      <c r="M631" s="176"/>
      <c r="N631" s="176"/>
      <c r="O631" s="176"/>
      <c r="P631" s="176"/>
      <c r="Q631" s="176"/>
      <c r="R631" s="176"/>
      <c r="S631" s="176"/>
      <c r="T631" s="176"/>
      <c r="U631" s="176"/>
      <c r="V631" s="176"/>
      <c r="W631" s="176"/>
      <c r="X631" s="176"/>
      <c r="Y631" s="176"/>
      <c r="Z631" s="176"/>
      <c r="AA631" s="176"/>
      <c r="AB631" s="176"/>
      <c r="AC631" s="176"/>
      <c r="AD631" s="176"/>
      <c r="AE631" s="176"/>
      <c r="AF631" s="176"/>
      <c r="AG631" s="176"/>
      <c r="AH631" s="176"/>
      <c r="AI631" s="176"/>
      <c r="AJ631" s="176"/>
      <c r="AK631" s="176"/>
      <c r="AL631" s="176"/>
      <c r="AM631" s="176"/>
      <c r="AN631" s="176"/>
      <c r="AO631" s="176"/>
      <c r="AP631" s="176"/>
      <c r="AQ631" s="176"/>
      <c r="AR631" s="176"/>
      <c r="AS631" s="176"/>
      <c r="AT631" s="176"/>
      <c r="AU631" s="176"/>
      <c r="AV631" s="176"/>
      <c r="AW631" s="176"/>
      <c r="AX631" s="176"/>
      <c r="AY631" s="176"/>
      <c r="AZ631" s="176"/>
      <c r="BA631" s="176"/>
      <c r="BB631" s="176"/>
      <c r="BC631" s="176"/>
      <c r="BD631" s="176"/>
    </row>
    <row r="632" ht="15.75" customHeight="1">
      <c r="A632" s="176"/>
      <c r="B632" s="176"/>
      <c r="C632" s="176"/>
      <c r="D632" s="176"/>
      <c r="E632" s="176"/>
      <c r="F632" s="176"/>
      <c r="G632" s="178"/>
      <c r="H632" s="176"/>
      <c r="I632" s="176"/>
      <c r="J632" s="176"/>
      <c r="K632" s="176"/>
      <c r="L632" s="176"/>
      <c r="M632" s="176"/>
      <c r="N632" s="176"/>
      <c r="O632" s="176"/>
      <c r="P632" s="176"/>
      <c r="Q632" s="176"/>
      <c r="R632" s="176"/>
      <c r="S632" s="176"/>
      <c r="T632" s="176"/>
      <c r="U632" s="176"/>
      <c r="V632" s="176"/>
      <c r="W632" s="176"/>
      <c r="X632" s="176"/>
      <c r="Y632" s="176"/>
      <c r="Z632" s="176"/>
      <c r="AA632" s="176"/>
      <c r="AB632" s="176"/>
      <c r="AC632" s="176"/>
      <c r="AD632" s="176"/>
      <c r="AE632" s="176"/>
      <c r="AF632" s="176"/>
      <c r="AG632" s="176"/>
      <c r="AH632" s="176"/>
      <c r="AI632" s="176"/>
      <c r="AJ632" s="176"/>
      <c r="AK632" s="176"/>
      <c r="AL632" s="176"/>
      <c r="AM632" s="176"/>
      <c r="AN632" s="176"/>
      <c r="AO632" s="176"/>
      <c r="AP632" s="176"/>
      <c r="AQ632" s="176"/>
      <c r="AR632" s="176"/>
      <c r="AS632" s="176"/>
      <c r="AT632" s="176"/>
      <c r="AU632" s="176"/>
      <c r="AV632" s="176"/>
      <c r="AW632" s="176"/>
      <c r="AX632" s="176"/>
      <c r="AY632" s="176"/>
      <c r="AZ632" s="176"/>
      <c r="BA632" s="176"/>
      <c r="BB632" s="176"/>
      <c r="BC632" s="176"/>
      <c r="BD632" s="176"/>
    </row>
    <row r="633" ht="15.75" customHeight="1">
      <c r="A633" s="176"/>
      <c r="B633" s="176"/>
      <c r="C633" s="176"/>
      <c r="D633" s="176"/>
      <c r="E633" s="176"/>
      <c r="F633" s="176"/>
      <c r="G633" s="178"/>
      <c r="H633" s="176"/>
      <c r="I633" s="176"/>
      <c r="J633" s="176"/>
      <c r="K633" s="176"/>
      <c r="L633" s="176"/>
      <c r="M633" s="176"/>
      <c r="N633" s="176"/>
      <c r="O633" s="176"/>
      <c r="P633" s="176"/>
      <c r="Q633" s="176"/>
      <c r="R633" s="176"/>
      <c r="S633" s="176"/>
      <c r="T633" s="176"/>
      <c r="U633" s="176"/>
      <c r="V633" s="176"/>
      <c r="W633" s="176"/>
      <c r="X633" s="176"/>
      <c r="Y633" s="176"/>
      <c r="Z633" s="176"/>
      <c r="AA633" s="176"/>
      <c r="AB633" s="176"/>
      <c r="AC633" s="176"/>
      <c r="AD633" s="176"/>
      <c r="AE633" s="176"/>
      <c r="AF633" s="176"/>
      <c r="AG633" s="176"/>
      <c r="AH633" s="176"/>
      <c r="AI633" s="176"/>
      <c r="AJ633" s="176"/>
      <c r="AK633" s="176"/>
      <c r="AL633" s="176"/>
      <c r="AM633" s="176"/>
      <c r="AN633" s="176"/>
      <c r="AO633" s="176"/>
      <c r="AP633" s="176"/>
      <c r="AQ633" s="176"/>
      <c r="AR633" s="176"/>
      <c r="AS633" s="176"/>
      <c r="AT633" s="176"/>
      <c r="AU633" s="176"/>
      <c r="AV633" s="176"/>
      <c r="AW633" s="176"/>
      <c r="AX633" s="176"/>
      <c r="AY633" s="176"/>
      <c r="AZ633" s="176"/>
      <c r="BA633" s="176"/>
      <c r="BB633" s="176"/>
      <c r="BC633" s="176"/>
      <c r="BD633" s="176"/>
    </row>
    <row r="634" ht="15.75" customHeight="1">
      <c r="A634" s="176"/>
      <c r="B634" s="176"/>
      <c r="C634" s="176"/>
      <c r="D634" s="176"/>
      <c r="E634" s="176"/>
      <c r="F634" s="176"/>
      <c r="G634" s="178"/>
      <c r="H634" s="176"/>
      <c r="I634" s="176"/>
      <c r="J634" s="176"/>
      <c r="K634" s="176"/>
      <c r="L634" s="176"/>
      <c r="M634" s="176"/>
      <c r="N634" s="176"/>
      <c r="O634" s="176"/>
      <c r="P634" s="176"/>
      <c r="Q634" s="176"/>
      <c r="R634" s="176"/>
      <c r="S634" s="176"/>
      <c r="T634" s="176"/>
      <c r="U634" s="176"/>
      <c r="V634" s="176"/>
      <c r="W634" s="176"/>
      <c r="X634" s="176"/>
      <c r="Y634" s="176"/>
      <c r="Z634" s="176"/>
      <c r="AA634" s="176"/>
      <c r="AB634" s="176"/>
      <c r="AC634" s="176"/>
      <c r="AD634" s="176"/>
      <c r="AE634" s="176"/>
      <c r="AF634" s="176"/>
      <c r="AG634" s="176"/>
      <c r="AH634" s="176"/>
      <c r="AI634" s="176"/>
      <c r="AJ634" s="176"/>
      <c r="AK634" s="176"/>
      <c r="AL634" s="176"/>
      <c r="AM634" s="176"/>
      <c r="AN634" s="176"/>
      <c r="AO634" s="176"/>
      <c r="AP634" s="176"/>
      <c r="AQ634" s="176"/>
      <c r="AR634" s="176"/>
      <c r="AS634" s="176"/>
      <c r="AT634" s="176"/>
      <c r="AU634" s="176"/>
      <c r="AV634" s="176"/>
      <c r="AW634" s="176"/>
      <c r="AX634" s="176"/>
      <c r="AY634" s="176"/>
      <c r="AZ634" s="176"/>
      <c r="BA634" s="176"/>
      <c r="BB634" s="176"/>
      <c r="BC634" s="176"/>
      <c r="BD634" s="176"/>
    </row>
    <row r="635" ht="15.75" customHeight="1">
      <c r="A635" s="176"/>
      <c r="B635" s="176"/>
      <c r="C635" s="176"/>
      <c r="D635" s="176"/>
      <c r="E635" s="176"/>
      <c r="F635" s="176"/>
      <c r="G635" s="178"/>
      <c r="H635" s="176"/>
      <c r="I635" s="176"/>
      <c r="J635" s="176"/>
      <c r="K635" s="176"/>
      <c r="L635" s="176"/>
      <c r="M635" s="176"/>
      <c r="N635" s="176"/>
      <c r="O635" s="176"/>
      <c r="P635" s="176"/>
      <c r="Q635" s="176"/>
      <c r="R635" s="176"/>
      <c r="S635" s="176"/>
      <c r="T635" s="176"/>
      <c r="U635" s="176"/>
      <c r="V635" s="176"/>
      <c r="W635" s="176"/>
      <c r="X635" s="176"/>
      <c r="Y635" s="176"/>
      <c r="Z635" s="176"/>
      <c r="AA635" s="176"/>
      <c r="AB635" s="176"/>
      <c r="AC635" s="176"/>
      <c r="AD635" s="176"/>
      <c r="AE635" s="176"/>
      <c r="AF635" s="176"/>
      <c r="AG635" s="176"/>
      <c r="AH635" s="176"/>
      <c r="AI635" s="176"/>
      <c r="AJ635" s="176"/>
      <c r="AK635" s="176"/>
      <c r="AL635" s="176"/>
      <c r="AM635" s="176"/>
      <c r="AN635" s="176"/>
      <c r="AO635" s="176"/>
      <c r="AP635" s="176"/>
      <c r="AQ635" s="176"/>
      <c r="AR635" s="176"/>
      <c r="AS635" s="176"/>
      <c r="AT635" s="176"/>
      <c r="AU635" s="176"/>
      <c r="AV635" s="176"/>
      <c r="AW635" s="176"/>
      <c r="AX635" s="176"/>
      <c r="AY635" s="176"/>
      <c r="AZ635" s="176"/>
      <c r="BA635" s="176"/>
      <c r="BB635" s="176"/>
      <c r="BC635" s="176"/>
      <c r="BD635" s="176"/>
    </row>
    <row r="636" ht="15.75" customHeight="1">
      <c r="A636" s="176"/>
      <c r="B636" s="176"/>
      <c r="C636" s="176"/>
      <c r="D636" s="176"/>
      <c r="E636" s="176"/>
      <c r="F636" s="176"/>
      <c r="G636" s="178"/>
      <c r="H636" s="176"/>
      <c r="I636" s="176"/>
      <c r="J636" s="176"/>
      <c r="K636" s="176"/>
      <c r="L636" s="176"/>
      <c r="M636" s="176"/>
      <c r="N636" s="176"/>
      <c r="O636" s="176"/>
      <c r="P636" s="176"/>
      <c r="Q636" s="176"/>
      <c r="R636" s="176"/>
      <c r="S636" s="176"/>
      <c r="T636" s="176"/>
      <c r="U636" s="176"/>
      <c r="V636" s="176"/>
      <c r="W636" s="176"/>
      <c r="X636" s="176"/>
      <c r="Y636" s="176"/>
      <c r="Z636" s="176"/>
      <c r="AA636" s="176"/>
      <c r="AB636" s="176"/>
      <c r="AC636" s="176"/>
      <c r="AD636" s="176"/>
      <c r="AE636" s="176"/>
      <c r="AF636" s="176"/>
      <c r="AG636" s="176"/>
      <c r="AH636" s="176"/>
      <c r="AI636" s="176"/>
      <c r="AJ636" s="176"/>
      <c r="AK636" s="176"/>
      <c r="AL636" s="176"/>
      <c r="AM636" s="176"/>
      <c r="AN636" s="176"/>
      <c r="AO636" s="176"/>
      <c r="AP636" s="176"/>
      <c r="AQ636" s="176"/>
      <c r="AR636" s="176"/>
      <c r="AS636" s="176"/>
      <c r="AT636" s="176"/>
      <c r="AU636" s="176"/>
      <c r="AV636" s="176"/>
      <c r="AW636" s="176"/>
      <c r="AX636" s="176"/>
      <c r="AY636" s="176"/>
      <c r="AZ636" s="176"/>
      <c r="BA636" s="176"/>
      <c r="BB636" s="176"/>
      <c r="BC636" s="176"/>
      <c r="BD636" s="176"/>
    </row>
    <row r="637" ht="15.75" customHeight="1">
      <c r="A637" s="176"/>
      <c r="B637" s="176"/>
      <c r="C637" s="176"/>
      <c r="D637" s="176"/>
      <c r="E637" s="176"/>
      <c r="F637" s="176"/>
      <c r="G637" s="178"/>
      <c r="H637" s="176"/>
      <c r="I637" s="176"/>
      <c r="J637" s="176"/>
      <c r="K637" s="176"/>
      <c r="L637" s="176"/>
      <c r="M637" s="176"/>
      <c r="N637" s="176"/>
      <c r="O637" s="176"/>
      <c r="P637" s="176"/>
      <c r="Q637" s="176"/>
      <c r="R637" s="176"/>
      <c r="S637" s="176"/>
      <c r="T637" s="176"/>
      <c r="U637" s="176"/>
      <c r="V637" s="176"/>
      <c r="W637" s="176"/>
      <c r="X637" s="176"/>
      <c r="Y637" s="176"/>
      <c r="Z637" s="176"/>
      <c r="AA637" s="176"/>
      <c r="AB637" s="176"/>
      <c r="AC637" s="176"/>
      <c r="AD637" s="176"/>
      <c r="AE637" s="176"/>
      <c r="AF637" s="176"/>
      <c r="AG637" s="176"/>
      <c r="AH637" s="176"/>
      <c r="AI637" s="176"/>
      <c r="AJ637" s="176"/>
      <c r="AK637" s="176"/>
      <c r="AL637" s="176"/>
      <c r="AM637" s="176"/>
      <c r="AN637" s="176"/>
      <c r="AO637" s="176"/>
      <c r="AP637" s="176"/>
      <c r="AQ637" s="176"/>
      <c r="AR637" s="176"/>
      <c r="AS637" s="176"/>
      <c r="AT637" s="176"/>
      <c r="AU637" s="176"/>
      <c r="AV637" s="176"/>
      <c r="AW637" s="176"/>
      <c r="AX637" s="176"/>
      <c r="AY637" s="176"/>
      <c r="AZ637" s="176"/>
      <c r="BA637" s="176"/>
      <c r="BB637" s="176"/>
      <c r="BC637" s="176"/>
      <c r="BD637" s="176"/>
    </row>
    <row r="638" ht="15.75" customHeight="1">
      <c r="A638" s="176"/>
      <c r="B638" s="176"/>
      <c r="C638" s="176"/>
      <c r="D638" s="176"/>
      <c r="E638" s="176"/>
      <c r="F638" s="176"/>
      <c r="G638" s="178"/>
      <c r="H638" s="176"/>
      <c r="I638" s="176"/>
      <c r="J638" s="176"/>
      <c r="K638" s="176"/>
      <c r="L638" s="176"/>
      <c r="M638" s="176"/>
      <c r="N638" s="176"/>
      <c r="O638" s="176"/>
      <c r="P638" s="176"/>
      <c r="Q638" s="176"/>
      <c r="R638" s="176"/>
      <c r="S638" s="176"/>
      <c r="T638" s="176"/>
      <c r="U638" s="176"/>
      <c r="V638" s="176"/>
      <c r="W638" s="176"/>
      <c r="X638" s="176"/>
      <c r="Y638" s="176"/>
      <c r="Z638" s="176"/>
      <c r="AA638" s="176"/>
      <c r="AB638" s="176"/>
      <c r="AC638" s="176"/>
      <c r="AD638" s="176"/>
      <c r="AE638" s="176"/>
      <c r="AF638" s="176"/>
      <c r="AG638" s="176"/>
      <c r="AH638" s="176"/>
      <c r="AI638" s="176"/>
      <c r="AJ638" s="176"/>
      <c r="AK638" s="176"/>
      <c r="AL638" s="176"/>
      <c r="AM638" s="176"/>
      <c r="AN638" s="176"/>
      <c r="AO638" s="176"/>
      <c r="AP638" s="176"/>
      <c r="AQ638" s="176"/>
      <c r="AR638" s="176"/>
      <c r="AS638" s="176"/>
      <c r="AT638" s="176"/>
      <c r="AU638" s="176"/>
      <c r="AV638" s="176"/>
      <c r="AW638" s="176"/>
      <c r="AX638" s="176"/>
      <c r="AY638" s="176"/>
      <c r="AZ638" s="176"/>
      <c r="BA638" s="176"/>
      <c r="BB638" s="176"/>
      <c r="BC638" s="176"/>
      <c r="BD638" s="176"/>
    </row>
    <row r="639" ht="15.75" customHeight="1">
      <c r="A639" s="176"/>
      <c r="B639" s="176"/>
      <c r="C639" s="176"/>
      <c r="D639" s="176"/>
      <c r="E639" s="176"/>
      <c r="F639" s="176"/>
      <c r="G639" s="178"/>
      <c r="H639" s="176"/>
      <c r="I639" s="176"/>
      <c r="J639" s="176"/>
      <c r="K639" s="176"/>
      <c r="L639" s="176"/>
      <c r="M639" s="176"/>
      <c r="N639" s="176"/>
      <c r="O639" s="176"/>
      <c r="P639" s="176"/>
      <c r="Q639" s="176"/>
      <c r="R639" s="176"/>
      <c r="S639" s="176"/>
      <c r="T639" s="176"/>
      <c r="U639" s="176"/>
      <c r="V639" s="176"/>
      <c r="W639" s="176"/>
      <c r="X639" s="176"/>
      <c r="Y639" s="176"/>
      <c r="Z639" s="176"/>
      <c r="AA639" s="176"/>
      <c r="AB639" s="176"/>
      <c r="AC639" s="176"/>
      <c r="AD639" s="176"/>
      <c r="AE639" s="176"/>
      <c r="AF639" s="176"/>
      <c r="AG639" s="176"/>
      <c r="AH639" s="176"/>
      <c r="AI639" s="176"/>
      <c r="AJ639" s="176"/>
      <c r="AK639" s="176"/>
      <c r="AL639" s="176"/>
      <c r="AM639" s="176"/>
      <c r="AN639" s="176"/>
      <c r="AO639" s="176"/>
      <c r="AP639" s="176"/>
      <c r="AQ639" s="176"/>
      <c r="AR639" s="176"/>
      <c r="AS639" s="176"/>
      <c r="AT639" s="176"/>
      <c r="AU639" s="176"/>
      <c r="AV639" s="176"/>
      <c r="AW639" s="176"/>
      <c r="AX639" s="176"/>
      <c r="AY639" s="176"/>
      <c r="AZ639" s="176"/>
      <c r="BA639" s="176"/>
      <c r="BB639" s="176"/>
      <c r="BC639" s="176"/>
      <c r="BD639" s="176"/>
    </row>
    <row r="640" ht="15.75" customHeight="1">
      <c r="A640" s="176"/>
      <c r="B640" s="176"/>
      <c r="C640" s="176"/>
      <c r="D640" s="176"/>
      <c r="E640" s="176"/>
      <c r="F640" s="176"/>
      <c r="G640" s="178"/>
      <c r="H640" s="176"/>
      <c r="I640" s="176"/>
      <c r="J640" s="176"/>
      <c r="K640" s="176"/>
      <c r="L640" s="176"/>
      <c r="M640" s="176"/>
      <c r="N640" s="176"/>
      <c r="O640" s="176"/>
      <c r="P640" s="176"/>
      <c r="Q640" s="176"/>
      <c r="R640" s="176"/>
      <c r="S640" s="176"/>
      <c r="T640" s="176"/>
      <c r="U640" s="176"/>
      <c r="V640" s="176"/>
      <c r="W640" s="176"/>
      <c r="X640" s="176"/>
      <c r="Y640" s="176"/>
      <c r="Z640" s="176"/>
      <c r="AA640" s="176"/>
      <c r="AB640" s="176"/>
      <c r="AC640" s="176"/>
      <c r="AD640" s="176"/>
      <c r="AE640" s="176"/>
      <c r="AF640" s="176"/>
      <c r="AG640" s="176"/>
      <c r="AH640" s="176"/>
      <c r="AI640" s="176"/>
      <c r="AJ640" s="176"/>
      <c r="AK640" s="176"/>
      <c r="AL640" s="176"/>
      <c r="AM640" s="176"/>
      <c r="AN640" s="176"/>
      <c r="AO640" s="176"/>
      <c r="AP640" s="176"/>
      <c r="AQ640" s="176"/>
      <c r="AR640" s="176"/>
      <c r="AS640" s="176"/>
      <c r="AT640" s="176"/>
      <c r="AU640" s="176"/>
      <c r="AV640" s="176"/>
      <c r="AW640" s="176"/>
      <c r="AX640" s="176"/>
      <c r="AY640" s="176"/>
      <c r="AZ640" s="176"/>
      <c r="BA640" s="176"/>
      <c r="BB640" s="176"/>
      <c r="BC640" s="176"/>
      <c r="BD640" s="176"/>
    </row>
    <row r="641" ht="15.75" customHeight="1">
      <c r="A641" s="176"/>
      <c r="B641" s="176"/>
      <c r="C641" s="176"/>
      <c r="D641" s="176"/>
      <c r="E641" s="176"/>
      <c r="F641" s="176"/>
      <c r="G641" s="178"/>
      <c r="H641" s="176"/>
      <c r="I641" s="176"/>
      <c r="J641" s="176"/>
      <c r="K641" s="176"/>
      <c r="L641" s="176"/>
      <c r="M641" s="176"/>
      <c r="N641" s="176"/>
      <c r="O641" s="176"/>
      <c r="P641" s="176"/>
      <c r="Q641" s="176"/>
      <c r="R641" s="176"/>
      <c r="S641" s="176"/>
      <c r="T641" s="176"/>
      <c r="U641" s="176"/>
      <c r="V641" s="176"/>
      <c r="W641" s="176"/>
      <c r="X641" s="176"/>
      <c r="Y641" s="176"/>
      <c r="Z641" s="176"/>
      <c r="AA641" s="176"/>
      <c r="AB641" s="176"/>
      <c r="AC641" s="176"/>
      <c r="AD641" s="176"/>
      <c r="AE641" s="176"/>
      <c r="AF641" s="176"/>
      <c r="AG641" s="176"/>
      <c r="AH641" s="176"/>
      <c r="AI641" s="176"/>
      <c r="AJ641" s="176"/>
      <c r="AK641" s="176"/>
      <c r="AL641" s="176"/>
      <c r="AM641" s="176"/>
      <c r="AN641" s="176"/>
      <c r="AO641" s="176"/>
      <c r="AP641" s="176"/>
      <c r="AQ641" s="176"/>
      <c r="AR641" s="176"/>
      <c r="AS641" s="176"/>
      <c r="AT641" s="176"/>
      <c r="AU641" s="176"/>
      <c r="AV641" s="176"/>
      <c r="AW641" s="176"/>
      <c r="AX641" s="176"/>
      <c r="AY641" s="176"/>
      <c r="AZ641" s="176"/>
      <c r="BA641" s="176"/>
      <c r="BB641" s="176"/>
      <c r="BC641" s="176"/>
      <c r="BD641" s="176"/>
    </row>
    <row r="642" ht="15.75" customHeight="1">
      <c r="A642" s="176"/>
      <c r="B642" s="176"/>
      <c r="C642" s="176"/>
      <c r="D642" s="176"/>
      <c r="E642" s="176"/>
      <c r="F642" s="176"/>
      <c r="G642" s="178"/>
      <c r="H642" s="176"/>
      <c r="I642" s="176"/>
      <c r="J642" s="176"/>
      <c r="K642" s="176"/>
      <c r="L642" s="176"/>
      <c r="M642" s="176"/>
      <c r="N642" s="176"/>
      <c r="O642" s="176"/>
      <c r="P642" s="176"/>
      <c r="Q642" s="176"/>
      <c r="R642" s="176"/>
      <c r="S642" s="176"/>
      <c r="T642" s="176"/>
      <c r="U642" s="176"/>
      <c r="V642" s="176"/>
      <c r="W642" s="176"/>
      <c r="X642" s="176"/>
      <c r="Y642" s="176"/>
      <c r="Z642" s="176"/>
      <c r="AA642" s="176"/>
      <c r="AB642" s="176"/>
      <c r="AC642" s="176"/>
      <c r="AD642" s="176"/>
      <c r="AE642" s="176"/>
      <c r="AF642" s="176"/>
      <c r="AG642" s="176"/>
      <c r="AH642" s="176"/>
      <c r="AI642" s="176"/>
      <c r="AJ642" s="176"/>
      <c r="AK642" s="176"/>
      <c r="AL642" s="176"/>
      <c r="AM642" s="176"/>
      <c r="AN642" s="176"/>
      <c r="AO642" s="176"/>
      <c r="AP642" s="176"/>
      <c r="AQ642" s="176"/>
      <c r="AR642" s="176"/>
      <c r="AS642" s="176"/>
      <c r="AT642" s="176"/>
      <c r="AU642" s="176"/>
      <c r="AV642" s="176"/>
      <c r="AW642" s="176"/>
      <c r="AX642" s="176"/>
      <c r="AY642" s="176"/>
      <c r="AZ642" s="176"/>
      <c r="BA642" s="176"/>
      <c r="BB642" s="176"/>
      <c r="BC642" s="176"/>
      <c r="BD642" s="176"/>
    </row>
    <row r="643" ht="15.75" customHeight="1">
      <c r="A643" s="176"/>
      <c r="B643" s="176"/>
      <c r="C643" s="176"/>
      <c r="D643" s="176"/>
      <c r="E643" s="176"/>
      <c r="F643" s="176"/>
      <c r="G643" s="178"/>
      <c r="H643" s="176"/>
      <c r="I643" s="176"/>
      <c r="J643" s="176"/>
      <c r="K643" s="176"/>
      <c r="L643" s="176"/>
      <c r="M643" s="176"/>
      <c r="N643" s="176"/>
      <c r="O643" s="176"/>
      <c r="P643" s="176"/>
      <c r="Q643" s="176"/>
      <c r="R643" s="176"/>
      <c r="S643" s="176"/>
      <c r="T643" s="176"/>
      <c r="U643" s="176"/>
      <c r="V643" s="176"/>
      <c r="W643" s="176"/>
      <c r="X643" s="176"/>
      <c r="Y643" s="176"/>
      <c r="Z643" s="176"/>
      <c r="AA643" s="176"/>
      <c r="AB643" s="176"/>
      <c r="AC643" s="176"/>
      <c r="AD643" s="176"/>
      <c r="AE643" s="176"/>
      <c r="AF643" s="176"/>
      <c r="AG643" s="176"/>
      <c r="AH643" s="176"/>
      <c r="AI643" s="176"/>
      <c r="AJ643" s="176"/>
      <c r="AK643" s="176"/>
      <c r="AL643" s="176"/>
      <c r="AM643" s="176"/>
      <c r="AN643" s="176"/>
      <c r="AO643" s="176"/>
      <c r="AP643" s="176"/>
      <c r="AQ643" s="176"/>
      <c r="AR643" s="176"/>
      <c r="AS643" s="176"/>
      <c r="AT643" s="176"/>
      <c r="AU643" s="176"/>
      <c r="AV643" s="176"/>
      <c r="AW643" s="176"/>
      <c r="AX643" s="176"/>
      <c r="AY643" s="176"/>
      <c r="AZ643" s="176"/>
      <c r="BA643" s="176"/>
      <c r="BB643" s="176"/>
      <c r="BC643" s="176"/>
      <c r="BD643" s="176"/>
    </row>
    <row r="644" ht="15.75" customHeight="1">
      <c r="A644" s="176"/>
      <c r="B644" s="176"/>
      <c r="C644" s="176"/>
      <c r="D644" s="176"/>
      <c r="E644" s="176"/>
      <c r="F644" s="176"/>
      <c r="G644" s="178"/>
      <c r="H644" s="176"/>
      <c r="I644" s="176"/>
      <c r="J644" s="176"/>
      <c r="K644" s="176"/>
      <c r="L644" s="176"/>
      <c r="M644" s="176"/>
      <c r="N644" s="176"/>
      <c r="O644" s="176"/>
      <c r="P644" s="176"/>
      <c r="Q644" s="176"/>
      <c r="R644" s="176"/>
      <c r="S644" s="176"/>
      <c r="T644" s="176"/>
      <c r="U644" s="176"/>
      <c r="V644" s="176"/>
      <c r="W644" s="176"/>
      <c r="X644" s="176"/>
      <c r="Y644" s="176"/>
      <c r="Z644" s="176"/>
      <c r="AA644" s="176"/>
      <c r="AB644" s="176"/>
      <c r="AC644" s="176"/>
      <c r="AD644" s="176"/>
      <c r="AE644" s="176"/>
      <c r="AF644" s="176"/>
      <c r="AG644" s="176"/>
      <c r="AH644" s="176"/>
      <c r="AI644" s="176"/>
      <c r="AJ644" s="176"/>
      <c r="AK644" s="176"/>
      <c r="AL644" s="176"/>
      <c r="AM644" s="176"/>
      <c r="AN644" s="176"/>
      <c r="AO644" s="176"/>
      <c r="AP644" s="176"/>
      <c r="AQ644" s="176"/>
      <c r="AR644" s="176"/>
      <c r="AS644" s="176"/>
      <c r="AT644" s="176"/>
      <c r="AU644" s="176"/>
      <c r="AV644" s="176"/>
      <c r="AW644" s="176"/>
      <c r="AX644" s="176"/>
      <c r="AY644" s="176"/>
      <c r="AZ644" s="176"/>
      <c r="BA644" s="176"/>
      <c r="BB644" s="176"/>
      <c r="BC644" s="176"/>
      <c r="BD644" s="176"/>
    </row>
    <row r="645" ht="15.75" customHeight="1">
      <c r="A645" s="176"/>
      <c r="B645" s="176"/>
      <c r="C645" s="176"/>
      <c r="D645" s="176"/>
      <c r="E645" s="176"/>
      <c r="F645" s="176"/>
      <c r="G645" s="178"/>
      <c r="H645" s="176"/>
      <c r="I645" s="176"/>
      <c r="J645" s="176"/>
      <c r="K645" s="176"/>
      <c r="L645" s="176"/>
      <c r="M645" s="176"/>
      <c r="N645" s="176"/>
      <c r="O645" s="176"/>
      <c r="P645" s="176"/>
      <c r="Q645" s="176"/>
      <c r="R645" s="176"/>
      <c r="S645" s="176"/>
      <c r="T645" s="176"/>
      <c r="U645" s="176"/>
      <c r="V645" s="176"/>
      <c r="W645" s="176"/>
      <c r="X645" s="176"/>
      <c r="Y645" s="176"/>
      <c r="Z645" s="176"/>
      <c r="AA645" s="176"/>
      <c r="AB645" s="176"/>
      <c r="AC645" s="176"/>
      <c r="AD645" s="176"/>
      <c r="AE645" s="176"/>
      <c r="AF645" s="176"/>
      <c r="AG645" s="176"/>
      <c r="AH645" s="176"/>
      <c r="AI645" s="176"/>
      <c r="AJ645" s="176"/>
      <c r="AK645" s="176"/>
      <c r="AL645" s="176"/>
      <c r="AM645" s="176"/>
      <c r="AN645" s="176"/>
      <c r="AO645" s="176"/>
      <c r="AP645" s="176"/>
      <c r="AQ645" s="176"/>
      <c r="AR645" s="176"/>
      <c r="AS645" s="176"/>
      <c r="AT645" s="176"/>
      <c r="AU645" s="176"/>
      <c r="AV645" s="176"/>
      <c r="AW645" s="176"/>
      <c r="AX645" s="176"/>
      <c r="AY645" s="176"/>
      <c r="AZ645" s="176"/>
      <c r="BA645" s="176"/>
      <c r="BB645" s="176"/>
      <c r="BC645" s="176"/>
      <c r="BD645" s="176"/>
    </row>
    <row r="646" ht="15.75" customHeight="1">
      <c r="A646" s="176"/>
      <c r="B646" s="176"/>
      <c r="C646" s="176"/>
      <c r="D646" s="176"/>
      <c r="E646" s="176"/>
      <c r="F646" s="176"/>
      <c r="G646" s="178"/>
      <c r="H646" s="176"/>
      <c r="I646" s="176"/>
      <c r="J646" s="176"/>
      <c r="K646" s="176"/>
      <c r="L646" s="176"/>
      <c r="M646" s="176"/>
      <c r="N646" s="176"/>
      <c r="O646" s="176"/>
      <c r="P646" s="176"/>
      <c r="Q646" s="176"/>
      <c r="R646" s="176"/>
      <c r="S646" s="176"/>
      <c r="T646" s="176"/>
      <c r="U646" s="176"/>
      <c r="V646" s="176"/>
      <c r="W646" s="176"/>
      <c r="X646" s="176"/>
      <c r="Y646" s="176"/>
      <c r="Z646" s="176"/>
      <c r="AA646" s="176"/>
      <c r="AB646" s="176"/>
      <c r="AC646" s="176"/>
      <c r="AD646" s="176"/>
      <c r="AE646" s="176"/>
      <c r="AF646" s="176"/>
      <c r="AG646" s="176"/>
      <c r="AH646" s="176"/>
      <c r="AI646" s="176"/>
      <c r="AJ646" s="176"/>
      <c r="AK646" s="176"/>
      <c r="AL646" s="176"/>
      <c r="AM646" s="176"/>
      <c r="AN646" s="176"/>
      <c r="AO646" s="176"/>
      <c r="AP646" s="176"/>
      <c r="AQ646" s="176"/>
      <c r="AR646" s="176"/>
      <c r="AS646" s="176"/>
      <c r="AT646" s="176"/>
      <c r="AU646" s="176"/>
      <c r="AV646" s="176"/>
      <c r="AW646" s="176"/>
      <c r="AX646" s="176"/>
      <c r="AY646" s="176"/>
      <c r="AZ646" s="176"/>
      <c r="BA646" s="176"/>
      <c r="BB646" s="176"/>
      <c r="BC646" s="176"/>
      <c r="BD646" s="176"/>
    </row>
    <row r="647" ht="15.75" customHeight="1">
      <c r="A647" s="176"/>
      <c r="B647" s="176"/>
      <c r="C647" s="176"/>
      <c r="D647" s="176"/>
      <c r="E647" s="176"/>
      <c r="F647" s="176"/>
      <c r="G647" s="178"/>
      <c r="H647" s="176"/>
      <c r="I647" s="176"/>
      <c r="J647" s="176"/>
      <c r="K647" s="176"/>
      <c r="L647" s="176"/>
      <c r="M647" s="176"/>
      <c r="N647" s="176"/>
      <c r="O647" s="176"/>
      <c r="P647" s="176"/>
      <c r="Q647" s="176"/>
      <c r="R647" s="176"/>
      <c r="S647" s="176"/>
      <c r="T647" s="176"/>
      <c r="U647" s="176"/>
      <c r="V647" s="176"/>
      <c r="W647" s="176"/>
      <c r="X647" s="176"/>
      <c r="Y647" s="176"/>
      <c r="Z647" s="176"/>
      <c r="AA647" s="176"/>
      <c r="AB647" s="176"/>
      <c r="AC647" s="176"/>
      <c r="AD647" s="176"/>
      <c r="AE647" s="176"/>
      <c r="AF647" s="176"/>
      <c r="AG647" s="176"/>
      <c r="AH647" s="176"/>
      <c r="AI647" s="176"/>
      <c r="AJ647" s="176"/>
      <c r="AK647" s="176"/>
      <c r="AL647" s="176"/>
      <c r="AM647" s="176"/>
      <c r="AN647" s="176"/>
      <c r="AO647" s="176"/>
      <c r="AP647" s="176"/>
      <c r="AQ647" s="176"/>
      <c r="AR647" s="176"/>
      <c r="AS647" s="176"/>
      <c r="AT647" s="176"/>
      <c r="AU647" s="176"/>
      <c r="AV647" s="176"/>
      <c r="AW647" s="176"/>
      <c r="AX647" s="176"/>
      <c r="AY647" s="176"/>
      <c r="AZ647" s="176"/>
      <c r="BA647" s="176"/>
      <c r="BB647" s="176"/>
      <c r="BC647" s="176"/>
      <c r="BD647" s="176"/>
    </row>
    <row r="648" ht="15.75" customHeight="1">
      <c r="A648" s="176"/>
      <c r="B648" s="176"/>
      <c r="C648" s="176"/>
      <c r="D648" s="176"/>
      <c r="E648" s="176"/>
      <c r="F648" s="176"/>
      <c r="G648" s="178"/>
      <c r="H648" s="176"/>
      <c r="I648" s="176"/>
      <c r="J648" s="176"/>
      <c r="K648" s="176"/>
      <c r="L648" s="176"/>
      <c r="M648" s="176"/>
      <c r="N648" s="176"/>
      <c r="O648" s="176"/>
      <c r="P648" s="176"/>
      <c r="Q648" s="176"/>
      <c r="R648" s="176"/>
      <c r="S648" s="176"/>
      <c r="T648" s="176"/>
      <c r="U648" s="176"/>
      <c r="V648" s="176"/>
      <c r="W648" s="176"/>
      <c r="X648" s="176"/>
      <c r="Y648" s="176"/>
      <c r="Z648" s="176"/>
      <c r="AA648" s="176"/>
      <c r="AB648" s="176"/>
      <c r="AC648" s="176"/>
      <c r="AD648" s="176"/>
      <c r="AE648" s="176"/>
      <c r="AF648" s="176"/>
      <c r="AG648" s="176"/>
      <c r="AH648" s="176"/>
      <c r="AI648" s="176"/>
      <c r="AJ648" s="176"/>
      <c r="AK648" s="176"/>
      <c r="AL648" s="176"/>
      <c r="AM648" s="176"/>
      <c r="AN648" s="176"/>
      <c r="AO648" s="176"/>
      <c r="AP648" s="176"/>
      <c r="AQ648" s="176"/>
      <c r="AR648" s="176"/>
      <c r="AS648" s="176"/>
      <c r="AT648" s="176"/>
      <c r="AU648" s="176"/>
      <c r="AV648" s="176"/>
      <c r="AW648" s="176"/>
      <c r="AX648" s="176"/>
      <c r="AY648" s="176"/>
      <c r="AZ648" s="176"/>
      <c r="BA648" s="176"/>
      <c r="BB648" s="176"/>
      <c r="BC648" s="176"/>
      <c r="BD648" s="176"/>
    </row>
    <row r="649" ht="15.75" customHeight="1">
      <c r="A649" s="176"/>
      <c r="B649" s="176"/>
      <c r="C649" s="176"/>
      <c r="D649" s="176"/>
      <c r="E649" s="176"/>
      <c r="F649" s="176"/>
      <c r="G649" s="178"/>
      <c r="H649" s="176"/>
      <c r="I649" s="176"/>
      <c r="J649" s="176"/>
      <c r="K649" s="176"/>
      <c r="L649" s="176"/>
      <c r="M649" s="176"/>
      <c r="N649" s="176"/>
      <c r="O649" s="176"/>
      <c r="P649" s="176"/>
      <c r="Q649" s="176"/>
      <c r="R649" s="176"/>
      <c r="S649" s="176"/>
      <c r="T649" s="176"/>
      <c r="U649" s="176"/>
      <c r="V649" s="176"/>
      <c r="W649" s="176"/>
      <c r="X649" s="176"/>
      <c r="Y649" s="176"/>
      <c r="Z649" s="176"/>
      <c r="AA649" s="176"/>
      <c r="AB649" s="176"/>
      <c r="AC649" s="176"/>
      <c r="AD649" s="176"/>
      <c r="AE649" s="176"/>
      <c r="AF649" s="176"/>
      <c r="AG649" s="176"/>
      <c r="AH649" s="176"/>
      <c r="AI649" s="176"/>
      <c r="AJ649" s="176"/>
      <c r="AK649" s="176"/>
      <c r="AL649" s="176"/>
      <c r="AM649" s="176"/>
      <c r="AN649" s="176"/>
      <c r="AO649" s="176"/>
      <c r="AP649" s="176"/>
      <c r="AQ649" s="176"/>
      <c r="AR649" s="176"/>
      <c r="AS649" s="176"/>
      <c r="AT649" s="176"/>
      <c r="AU649" s="176"/>
      <c r="AV649" s="176"/>
      <c r="AW649" s="176"/>
      <c r="AX649" s="176"/>
      <c r="AY649" s="176"/>
      <c r="AZ649" s="176"/>
      <c r="BA649" s="176"/>
      <c r="BB649" s="176"/>
      <c r="BC649" s="176"/>
      <c r="BD649" s="176"/>
    </row>
    <row r="650" ht="15.75" customHeight="1">
      <c r="A650" s="176"/>
      <c r="B650" s="176"/>
      <c r="C650" s="176"/>
      <c r="D650" s="176"/>
      <c r="E650" s="176"/>
      <c r="F650" s="176"/>
      <c r="G650" s="178"/>
      <c r="H650" s="176"/>
      <c r="I650" s="176"/>
      <c r="J650" s="176"/>
      <c r="K650" s="176"/>
      <c r="L650" s="176"/>
      <c r="M650" s="176"/>
      <c r="N650" s="176"/>
      <c r="O650" s="176"/>
      <c r="P650" s="176"/>
      <c r="Q650" s="176"/>
      <c r="R650" s="176"/>
      <c r="S650" s="176"/>
      <c r="T650" s="176"/>
      <c r="U650" s="176"/>
      <c r="V650" s="176"/>
      <c r="W650" s="176"/>
      <c r="X650" s="176"/>
      <c r="Y650" s="176"/>
      <c r="Z650" s="176"/>
      <c r="AA650" s="176"/>
      <c r="AB650" s="176"/>
      <c r="AC650" s="176"/>
      <c r="AD650" s="176"/>
      <c r="AE650" s="176"/>
      <c r="AF650" s="176"/>
      <c r="AG650" s="176"/>
      <c r="AH650" s="176"/>
      <c r="AI650" s="176"/>
      <c r="AJ650" s="176"/>
      <c r="AK650" s="176"/>
      <c r="AL650" s="176"/>
      <c r="AM650" s="176"/>
      <c r="AN650" s="176"/>
      <c r="AO650" s="176"/>
      <c r="AP650" s="176"/>
      <c r="AQ650" s="176"/>
      <c r="AR650" s="176"/>
      <c r="AS650" s="176"/>
      <c r="AT650" s="176"/>
      <c r="AU650" s="176"/>
      <c r="AV650" s="176"/>
      <c r="AW650" s="176"/>
      <c r="AX650" s="176"/>
      <c r="AY650" s="176"/>
      <c r="AZ650" s="176"/>
      <c r="BA650" s="176"/>
      <c r="BB650" s="176"/>
      <c r="BC650" s="176"/>
      <c r="BD650" s="176"/>
    </row>
    <row r="651" ht="15.75" customHeight="1">
      <c r="A651" s="176"/>
      <c r="B651" s="176"/>
      <c r="C651" s="176"/>
      <c r="D651" s="176"/>
      <c r="E651" s="176"/>
      <c r="F651" s="176"/>
      <c r="G651" s="178"/>
      <c r="H651" s="176"/>
      <c r="I651" s="176"/>
      <c r="J651" s="176"/>
      <c r="K651" s="176"/>
      <c r="L651" s="176"/>
      <c r="M651" s="176"/>
      <c r="N651" s="176"/>
      <c r="O651" s="176"/>
      <c r="P651" s="176"/>
      <c r="Q651" s="176"/>
      <c r="R651" s="176"/>
      <c r="S651" s="176"/>
      <c r="T651" s="176"/>
      <c r="U651" s="176"/>
      <c r="V651" s="176"/>
      <c r="W651" s="176"/>
      <c r="X651" s="176"/>
      <c r="Y651" s="176"/>
      <c r="Z651" s="176"/>
      <c r="AA651" s="176"/>
      <c r="AB651" s="176"/>
      <c r="AC651" s="176"/>
      <c r="AD651" s="176"/>
      <c r="AE651" s="176"/>
      <c r="AF651" s="176"/>
      <c r="AG651" s="176"/>
      <c r="AH651" s="176"/>
      <c r="AI651" s="176"/>
      <c r="AJ651" s="176"/>
      <c r="AK651" s="176"/>
      <c r="AL651" s="176"/>
      <c r="AM651" s="176"/>
      <c r="AN651" s="176"/>
      <c r="AO651" s="176"/>
      <c r="AP651" s="176"/>
      <c r="AQ651" s="176"/>
      <c r="AR651" s="176"/>
      <c r="AS651" s="176"/>
      <c r="AT651" s="176"/>
      <c r="AU651" s="176"/>
      <c r="AV651" s="176"/>
      <c r="AW651" s="176"/>
      <c r="AX651" s="176"/>
      <c r="AY651" s="176"/>
      <c r="AZ651" s="176"/>
      <c r="BA651" s="176"/>
      <c r="BB651" s="176"/>
      <c r="BC651" s="176"/>
      <c r="BD651" s="176"/>
    </row>
    <row r="652" ht="15.75" customHeight="1">
      <c r="A652" s="176"/>
      <c r="B652" s="176"/>
      <c r="C652" s="176"/>
      <c r="D652" s="176"/>
      <c r="E652" s="176"/>
      <c r="F652" s="176"/>
      <c r="G652" s="178"/>
      <c r="H652" s="176"/>
      <c r="I652" s="176"/>
      <c r="J652" s="176"/>
      <c r="K652" s="176"/>
      <c r="L652" s="176"/>
      <c r="M652" s="176"/>
      <c r="N652" s="176"/>
      <c r="O652" s="176"/>
      <c r="P652" s="176"/>
      <c r="Q652" s="176"/>
      <c r="R652" s="176"/>
      <c r="S652" s="176"/>
      <c r="T652" s="176"/>
      <c r="U652" s="176"/>
      <c r="V652" s="176"/>
      <c r="W652" s="176"/>
      <c r="X652" s="176"/>
      <c r="Y652" s="176"/>
      <c r="Z652" s="176"/>
      <c r="AA652" s="176"/>
      <c r="AB652" s="176"/>
      <c r="AC652" s="176"/>
      <c r="AD652" s="176"/>
      <c r="AE652" s="176"/>
      <c r="AF652" s="176"/>
      <c r="AG652" s="176"/>
      <c r="AH652" s="176"/>
      <c r="AI652" s="176"/>
      <c r="AJ652" s="176"/>
      <c r="AK652" s="176"/>
      <c r="AL652" s="176"/>
      <c r="AM652" s="176"/>
      <c r="AN652" s="176"/>
      <c r="AO652" s="176"/>
      <c r="AP652" s="176"/>
      <c r="AQ652" s="176"/>
      <c r="AR652" s="176"/>
      <c r="AS652" s="176"/>
      <c r="AT652" s="176"/>
      <c r="AU652" s="176"/>
      <c r="AV652" s="176"/>
      <c r="AW652" s="176"/>
      <c r="AX652" s="176"/>
      <c r="AY652" s="176"/>
      <c r="AZ652" s="176"/>
      <c r="BA652" s="176"/>
      <c r="BB652" s="176"/>
      <c r="BC652" s="176"/>
      <c r="BD652" s="176"/>
    </row>
    <row r="653" ht="15.75" customHeight="1">
      <c r="A653" s="176"/>
      <c r="B653" s="176"/>
      <c r="C653" s="176"/>
      <c r="D653" s="176"/>
      <c r="E653" s="176"/>
      <c r="F653" s="176"/>
      <c r="G653" s="178"/>
      <c r="H653" s="176"/>
      <c r="I653" s="176"/>
      <c r="J653" s="176"/>
      <c r="K653" s="176"/>
      <c r="L653" s="176"/>
      <c r="M653" s="176"/>
      <c r="N653" s="176"/>
      <c r="O653" s="176"/>
      <c r="P653" s="176"/>
      <c r="Q653" s="176"/>
      <c r="R653" s="176"/>
      <c r="S653" s="176"/>
      <c r="T653" s="176"/>
      <c r="U653" s="176"/>
      <c r="V653" s="176"/>
      <c r="W653" s="176"/>
      <c r="X653" s="176"/>
      <c r="Y653" s="176"/>
      <c r="Z653" s="176"/>
      <c r="AA653" s="176"/>
      <c r="AB653" s="176"/>
      <c r="AC653" s="176"/>
      <c r="AD653" s="176"/>
      <c r="AE653" s="176"/>
      <c r="AF653" s="176"/>
      <c r="AG653" s="176"/>
      <c r="AH653" s="176"/>
      <c r="AI653" s="176"/>
      <c r="AJ653" s="176"/>
      <c r="AK653" s="176"/>
      <c r="AL653" s="176"/>
      <c r="AM653" s="176"/>
      <c r="AN653" s="176"/>
      <c r="AO653" s="176"/>
      <c r="AP653" s="176"/>
      <c r="AQ653" s="176"/>
      <c r="AR653" s="176"/>
      <c r="AS653" s="176"/>
      <c r="AT653" s="176"/>
      <c r="AU653" s="176"/>
      <c r="AV653" s="176"/>
      <c r="AW653" s="176"/>
      <c r="AX653" s="176"/>
      <c r="AY653" s="176"/>
      <c r="AZ653" s="176"/>
      <c r="BA653" s="176"/>
      <c r="BB653" s="176"/>
      <c r="BC653" s="176"/>
      <c r="BD653" s="176"/>
    </row>
    <row r="654" ht="15.75" customHeight="1">
      <c r="A654" s="176"/>
      <c r="B654" s="176"/>
      <c r="C654" s="176"/>
      <c r="D654" s="176"/>
      <c r="E654" s="176"/>
      <c r="F654" s="176"/>
      <c r="G654" s="178"/>
      <c r="H654" s="176"/>
      <c r="I654" s="176"/>
      <c r="J654" s="176"/>
      <c r="K654" s="176"/>
      <c r="L654" s="176"/>
      <c r="M654" s="176"/>
      <c r="N654" s="176"/>
      <c r="O654" s="176"/>
      <c r="P654" s="176"/>
      <c r="Q654" s="176"/>
      <c r="R654" s="176"/>
      <c r="S654" s="176"/>
      <c r="T654" s="176"/>
      <c r="U654" s="176"/>
      <c r="V654" s="176"/>
      <c r="W654" s="176"/>
      <c r="X654" s="176"/>
      <c r="Y654" s="176"/>
      <c r="Z654" s="176"/>
      <c r="AA654" s="176"/>
      <c r="AB654" s="176"/>
      <c r="AC654" s="176"/>
      <c r="AD654" s="176"/>
      <c r="AE654" s="176"/>
      <c r="AF654" s="176"/>
      <c r="AG654" s="176"/>
      <c r="AH654" s="176"/>
      <c r="AI654" s="176"/>
      <c r="AJ654" s="176"/>
      <c r="AK654" s="176"/>
      <c r="AL654" s="176"/>
      <c r="AM654" s="176"/>
      <c r="AN654" s="176"/>
      <c r="AO654" s="176"/>
      <c r="AP654" s="176"/>
      <c r="AQ654" s="176"/>
      <c r="AR654" s="176"/>
      <c r="AS654" s="176"/>
      <c r="AT654" s="176"/>
      <c r="AU654" s="176"/>
      <c r="AV654" s="176"/>
      <c r="AW654" s="176"/>
      <c r="AX654" s="176"/>
      <c r="AY654" s="176"/>
      <c r="AZ654" s="176"/>
      <c r="BA654" s="176"/>
      <c r="BB654" s="176"/>
      <c r="BC654" s="176"/>
      <c r="BD654" s="176"/>
    </row>
    <row r="655" ht="15.75" customHeight="1">
      <c r="A655" s="176"/>
      <c r="B655" s="176"/>
      <c r="C655" s="176"/>
      <c r="D655" s="176"/>
      <c r="E655" s="176"/>
      <c r="F655" s="176"/>
      <c r="G655" s="178"/>
      <c r="H655" s="176"/>
      <c r="I655" s="176"/>
      <c r="J655" s="176"/>
      <c r="K655" s="176"/>
      <c r="L655" s="176"/>
      <c r="M655" s="176"/>
      <c r="N655" s="176"/>
      <c r="O655" s="176"/>
      <c r="P655" s="176"/>
      <c r="Q655" s="176"/>
      <c r="R655" s="176"/>
      <c r="S655" s="176"/>
      <c r="T655" s="176"/>
      <c r="U655" s="176"/>
      <c r="V655" s="176"/>
      <c r="W655" s="176"/>
      <c r="X655" s="176"/>
      <c r="Y655" s="176"/>
      <c r="Z655" s="176"/>
      <c r="AA655" s="176"/>
      <c r="AB655" s="176"/>
      <c r="AC655" s="176"/>
      <c r="AD655" s="176"/>
      <c r="AE655" s="176"/>
      <c r="AF655" s="176"/>
      <c r="AG655" s="176"/>
      <c r="AH655" s="176"/>
      <c r="AI655" s="176"/>
      <c r="AJ655" s="176"/>
      <c r="AK655" s="176"/>
      <c r="AL655" s="176"/>
      <c r="AM655" s="176"/>
      <c r="AN655" s="176"/>
      <c r="AO655" s="176"/>
      <c r="AP655" s="176"/>
      <c r="AQ655" s="176"/>
      <c r="AR655" s="176"/>
      <c r="AS655" s="176"/>
      <c r="AT655" s="176"/>
      <c r="AU655" s="176"/>
      <c r="AV655" s="176"/>
      <c r="AW655" s="176"/>
      <c r="AX655" s="176"/>
      <c r="AY655" s="176"/>
      <c r="AZ655" s="176"/>
      <c r="BA655" s="176"/>
      <c r="BB655" s="176"/>
      <c r="BC655" s="176"/>
      <c r="BD655" s="176"/>
    </row>
    <row r="656" ht="15.75" customHeight="1">
      <c r="A656" s="176"/>
      <c r="B656" s="176"/>
      <c r="C656" s="176"/>
      <c r="D656" s="176"/>
      <c r="E656" s="176"/>
      <c r="F656" s="176"/>
      <c r="G656" s="178"/>
      <c r="H656" s="176"/>
      <c r="I656" s="176"/>
      <c r="J656" s="176"/>
      <c r="K656" s="176"/>
      <c r="L656" s="176"/>
      <c r="M656" s="176"/>
      <c r="N656" s="176"/>
      <c r="O656" s="176"/>
      <c r="P656" s="176"/>
      <c r="Q656" s="176"/>
      <c r="R656" s="176"/>
      <c r="S656" s="176"/>
      <c r="T656" s="176"/>
      <c r="U656" s="176"/>
      <c r="V656" s="176"/>
      <c r="W656" s="176"/>
      <c r="X656" s="176"/>
      <c r="Y656" s="176"/>
      <c r="Z656" s="176"/>
      <c r="AA656" s="176"/>
      <c r="AB656" s="176"/>
      <c r="AC656" s="176"/>
      <c r="AD656" s="176"/>
      <c r="AE656" s="176"/>
      <c r="AF656" s="176"/>
      <c r="AG656" s="176"/>
      <c r="AH656" s="176"/>
      <c r="AI656" s="176"/>
      <c r="AJ656" s="176"/>
      <c r="AK656" s="176"/>
      <c r="AL656" s="176"/>
      <c r="AM656" s="176"/>
      <c r="AN656" s="176"/>
      <c r="AO656" s="176"/>
      <c r="AP656" s="176"/>
      <c r="AQ656" s="176"/>
      <c r="AR656" s="176"/>
      <c r="AS656" s="176"/>
      <c r="AT656" s="176"/>
      <c r="AU656" s="176"/>
      <c r="AV656" s="176"/>
      <c r="AW656" s="176"/>
      <c r="AX656" s="176"/>
      <c r="AY656" s="176"/>
      <c r="AZ656" s="176"/>
      <c r="BA656" s="176"/>
      <c r="BB656" s="176"/>
      <c r="BC656" s="176"/>
      <c r="BD656" s="176"/>
    </row>
    <row r="657" ht="15.75" customHeight="1">
      <c r="A657" s="176"/>
      <c r="B657" s="176"/>
      <c r="C657" s="176"/>
      <c r="D657" s="176"/>
      <c r="E657" s="176"/>
      <c r="F657" s="176"/>
      <c r="G657" s="178"/>
      <c r="H657" s="176"/>
      <c r="I657" s="176"/>
      <c r="J657" s="176"/>
      <c r="K657" s="176"/>
      <c r="L657" s="176"/>
      <c r="M657" s="176"/>
      <c r="N657" s="176"/>
      <c r="O657" s="176"/>
      <c r="P657" s="176"/>
      <c r="Q657" s="176"/>
      <c r="R657" s="176"/>
      <c r="S657" s="176"/>
      <c r="T657" s="176"/>
      <c r="U657" s="176"/>
      <c r="V657" s="176"/>
      <c r="W657" s="176"/>
      <c r="X657" s="176"/>
      <c r="Y657" s="176"/>
      <c r="Z657" s="176"/>
      <c r="AA657" s="176"/>
      <c r="AB657" s="176"/>
      <c r="AC657" s="176"/>
      <c r="AD657" s="176"/>
      <c r="AE657" s="176"/>
      <c r="AF657" s="176"/>
      <c r="AG657" s="176"/>
      <c r="AH657" s="176"/>
      <c r="AI657" s="176"/>
      <c r="AJ657" s="176"/>
      <c r="AK657" s="176"/>
      <c r="AL657" s="176"/>
      <c r="AM657" s="176"/>
      <c r="AN657" s="176"/>
      <c r="AO657" s="176"/>
      <c r="AP657" s="176"/>
      <c r="AQ657" s="176"/>
      <c r="AR657" s="176"/>
      <c r="AS657" s="176"/>
      <c r="AT657" s="176"/>
      <c r="AU657" s="176"/>
      <c r="AV657" s="176"/>
      <c r="AW657" s="176"/>
      <c r="AX657" s="176"/>
      <c r="AY657" s="176"/>
      <c r="AZ657" s="176"/>
      <c r="BA657" s="176"/>
      <c r="BB657" s="176"/>
      <c r="BC657" s="176"/>
      <c r="BD657" s="176"/>
    </row>
    <row r="658" ht="15.75" customHeight="1">
      <c r="A658" s="176"/>
      <c r="B658" s="176"/>
      <c r="C658" s="176"/>
      <c r="D658" s="176"/>
      <c r="E658" s="176"/>
      <c r="F658" s="176"/>
      <c r="G658" s="178"/>
      <c r="H658" s="176"/>
      <c r="I658" s="176"/>
      <c r="J658" s="176"/>
      <c r="K658" s="176"/>
      <c r="L658" s="176"/>
      <c r="M658" s="176"/>
      <c r="N658" s="176"/>
      <c r="O658" s="176"/>
      <c r="P658" s="176"/>
      <c r="Q658" s="176"/>
      <c r="R658" s="176"/>
      <c r="S658" s="176"/>
      <c r="T658" s="176"/>
      <c r="U658" s="176"/>
      <c r="V658" s="176"/>
      <c r="W658" s="176"/>
      <c r="X658" s="176"/>
      <c r="Y658" s="176"/>
      <c r="Z658" s="176"/>
      <c r="AA658" s="176"/>
      <c r="AB658" s="176"/>
      <c r="AC658" s="176"/>
      <c r="AD658" s="176"/>
      <c r="AE658" s="176"/>
      <c r="AF658" s="176"/>
      <c r="AG658" s="176"/>
      <c r="AH658" s="176"/>
      <c r="AI658" s="176"/>
      <c r="AJ658" s="176"/>
      <c r="AK658" s="176"/>
      <c r="AL658" s="176"/>
      <c r="AM658" s="176"/>
      <c r="AN658" s="176"/>
      <c r="AO658" s="176"/>
      <c r="AP658" s="176"/>
      <c r="AQ658" s="176"/>
      <c r="AR658" s="176"/>
      <c r="AS658" s="176"/>
      <c r="AT658" s="176"/>
      <c r="AU658" s="176"/>
      <c r="AV658" s="176"/>
      <c r="AW658" s="176"/>
      <c r="AX658" s="176"/>
      <c r="AY658" s="176"/>
      <c r="AZ658" s="176"/>
      <c r="BA658" s="176"/>
      <c r="BB658" s="176"/>
      <c r="BC658" s="176"/>
      <c r="BD658" s="176"/>
    </row>
    <row r="659" ht="15.75" customHeight="1">
      <c r="A659" s="176"/>
      <c r="B659" s="176"/>
      <c r="C659" s="176"/>
      <c r="D659" s="176"/>
      <c r="E659" s="176"/>
      <c r="F659" s="176"/>
      <c r="G659" s="178"/>
      <c r="H659" s="176"/>
      <c r="I659" s="176"/>
      <c r="J659" s="176"/>
      <c r="K659" s="176"/>
      <c r="L659" s="176"/>
      <c r="M659" s="176"/>
      <c r="N659" s="176"/>
      <c r="O659" s="176"/>
      <c r="P659" s="176"/>
      <c r="Q659" s="176"/>
      <c r="R659" s="176"/>
      <c r="S659" s="176"/>
      <c r="T659" s="176"/>
      <c r="U659" s="176"/>
      <c r="V659" s="176"/>
      <c r="W659" s="176"/>
      <c r="X659" s="176"/>
      <c r="Y659" s="176"/>
      <c r="Z659" s="176"/>
      <c r="AA659" s="176"/>
      <c r="AB659" s="176"/>
      <c r="AC659" s="176"/>
      <c r="AD659" s="176"/>
      <c r="AE659" s="176"/>
      <c r="AF659" s="176"/>
      <c r="AG659" s="176"/>
      <c r="AH659" s="176"/>
      <c r="AI659" s="176"/>
      <c r="AJ659" s="176"/>
      <c r="AK659" s="176"/>
      <c r="AL659" s="176"/>
      <c r="AM659" s="176"/>
      <c r="AN659" s="176"/>
      <c r="AO659" s="176"/>
      <c r="AP659" s="176"/>
      <c r="AQ659" s="176"/>
      <c r="AR659" s="176"/>
      <c r="AS659" s="176"/>
      <c r="AT659" s="176"/>
      <c r="AU659" s="176"/>
      <c r="AV659" s="176"/>
      <c r="AW659" s="176"/>
      <c r="AX659" s="176"/>
      <c r="AY659" s="176"/>
      <c r="AZ659" s="176"/>
      <c r="BA659" s="176"/>
      <c r="BB659" s="176"/>
      <c r="BC659" s="176"/>
      <c r="BD659" s="176"/>
    </row>
    <row r="660" ht="15.75" customHeight="1">
      <c r="A660" s="176"/>
      <c r="B660" s="176"/>
      <c r="C660" s="176"/>
      <c r="D660" s="176"/>
      <c r="E660" s="176"/>
      <c r="F660" s="176"/>
      <c r="G660" s="178"/>
      <c r="H660" s="176"/>
      <c r="I660" s="176"/>
      <c r="J660" s="176"/>
      <c r="K660" s="176"/>
      <c r="L660" s="176"/>
      <c r="M660" s="176"/>
      <c r="N660" s="176"/>
      <c r="O660" s="176"/>
      <c r="P660" s="176"/>
      <c r="Q660" s="176"/>
      <c r="R660" s="176"/>
      <c r="S660" s="176"/>
      <c r="T660" s="176"/>
      <c r="U660" s="176"/>
      <c r="V660" s="176"/>
      <c r="W660" s="176"/>
      <c r="X660" s="176"/>
      <c r="Y660" s="176"/>
      <c r="Z660" s="176"/>
      <c r="AA660" s="176"/>
      <c r="AB660" s="176"/>
      <c r="AC660" s="176"/>
      <c r="AD660" s="176"/>
      <c r="AE660" s="176"/>
      <c r="AF660" s="176"/>
      <c r="AG660" s="176"/>
      <c r="AH660" s="176"/>
      <c r="AI660" s="176"/>
      <c r="AJ660" s="176"/>
      <c r="AK660" s="176"/>
      <c r="AL660" s="176"/>
      <c r="AM660" s="176"/>
      <c r="AN660" s="176"/>
      <c r="AO660" s="176"/>
      <c r="AP660" s="176"/>
      <c r="AQ660" s="176"/>
      <c r="AR660" s="176"/>
      <c r="AS660" s="176"/>
      <c r="AT660" s="176"/>
      <c r="AU660" s="176"/>
      <c r="AV660" s="176"/>
      <c r="AW660" s="176"/>
      <c r="AX660" s="176"/>
      <c r="AY660" s="176"/>
      <c r="AZ660" s="176"/>
      <c r="BA660" s="176"/>
      <c r="BB660" s="176"/>
      <c r="BC660" s="176"/>
      <c r="BD660" s="176"/>
    </row>
    <row r="661" ht="15.75" customHeight="1">
      <c r="A661" s="176"/>
      <c r="B661" s="176"/>
      <c r="C661" s="176"/>
      <c r="D661" s="176"/>
      <c r="E661" s="176"/>
      <c r="F661" s="176"/>
      <c r="G661" s="178"/>
      <c r="H661" s="176"/>
      <c r="I661" s="176"/>
      <c r="J661" s="176"/>
      <c r="K661" s="176"/>
      <c r="L661" s="176"/>
      <c r="M661" s="176"/>
      <c r="N661" s="176"/>
      <c r="O661" s="176"/>
      <c r="P661" s="176"/>
      <c r="Q661" s="176"/>
      <c r="R661" s="176"/>
      <c r="S661" s="176"/>
      <c r="T661" s="176"/>
      <c r="U661" s="176"/>
      <c r="V661" s="176"/>
      <c r="W661" s="176"/>
      <c r="X661" s="176"/>
      <c r="Y661" s="176"/>
      <c r="Z661" s="176"/>
      <c r="AA661" s="176"/>
      <c r="AB661" s="176"/>
      <c r="AC661" s="176"/>
      <c r="AD661" s="176"/>
      <c r="AE661" s="176"/>
      <c r="AF661" s="176"/>
      <c r="AG661" s="176"/>
      <c r="AH661" s="176"/>
      <c r="AI661" s="176"/>
      <c r="AJ661" s="176"/>
      <c r="AK661" s="176"/>
      <c r="AL661" s="176"/>
      <c r="AM661" s="176"/>
      <c r="AN661" s="176"/>
      <c r="AO661" s="176"/>
      <c r="AP661" s="176"/>
      <c r="AQ661" s="176"/>
      <c r="AR661" s="176"/>
      <c r="AS661" s="176"/>
      <c r="AT661" s="176"/>
      <c r="AU661" s="176"/>
      <c r="AV661" s="176"/>
      <c r="AW661" s="176"/>
      <c r="AX661" s="176"/>
      <c r="AY661" s="176"/>
      <c r="AZ661" s="176"/>
      <c r="BA661" s="176"/>
      <c r="BB661" s="176"/>
      <c r="BC661" s="176"/>
      <c r="BD661" s="176"/>
    </row>
    <row r="662" ht="15.75" customHeight="1">
      <c r="A662" s="176"/>
      <c r="B662" s="176"/>
      <c r="C662" s="176"/>
      <c r="D662" s="176"/>
      <c r="E662" s="176"/>
      <c r="F662" s="176"/>
      <c r="G662" s="178"/>
      <c r="H662" s="176"/>
      <c r="I662" s="176"/>
      <c r="J662" s="176"/>
      <c r="K662" s="176"/>
      <c r="L662" s="176"/>
      <c r="M662" s="176"/>
      <c r="N662" s="176"/>
      <c r="O662" s="176"/>
      <c r="P662" s="176"/>
      <c r="Q662" s="176"/>
      <c r="R662" s="176"/>
      <c r="S662" s="176"/>
      <c r="T662" s="176"/>
      <c r="U662" s="176"/>
      <c r="V662" s="176"/>
      <c r="W662" s="176"/>
      <c r="X662" s="176"/>
      <c r="Y662" s="176"/>
      <c r="Z662" s="176"/>
      <c r="AA662" s="176"/>
      <c r="AB662" s="176"/>
      <c r="AC662" s="176"/>
      <c r="AD662" s="176"/>
      <c r="AE662" s="176"/>
      <c r="AF662" s="176"/>
      <c r="AG662" s="176"/>
      <c r="AH662" s="176"/>
      <c r="AI662" s="176"/>
      <c r="AJ662" s="176"/>
      <c r="AK662" s="176"/>
      <c r="AL662" s="176"/>
      <c r="AM662" s="176"/>
      <c r="AN662" s="176"/>
      <c r="AO662" s="176"/>
      <c r="AP662" s="176"/>
      <c r="AQ662" s="176"/>
      <c r="AR662" s="176"/>
      <c r="AS662" s="176"/>
      <c r="AT662" s="176"/>
      <c r="AU662" s="176"/>
      <c r="AV662" s="176"/>
      <c r="AW662" s="176"/>
      <c r="AX662" s="176"/>
      <c r="AY662" s="176"/>
      <c r="AZ662" s="176"/>
      <c r="BA662" s="176"/>
      <c r="BB662" s="176"/>
      <c r="BC662" s="176"/>
      <c r="BD662" s="176"/>
    </row>
    <row r="663" ht="15.75" customHeight="1">
      <c r="A663" s="176"/>
      <c r="B663" s="176"/>
      <c r="C663" s="176"/>
      <c r="D663" s="176"/>
      <c r="E663" s="176"/>
      <c r="F663" s="176"/>
      <c r="G663" s="178"/>
      <c r="H663" s="176"/>
      <c r="I663" s="176"/>
      <c r="J663" s="176"/>
      <c r="K663" s="176"/>
      <c r="L663" s="176"/>
      <c r="M663" s="176"/>
      <c r="N663" s="176"/>
      <c r="O663" s="176"/>
      <c r="P663" s="176"/>
      <c r="Q663" s="176"/>
      <c r="R663" s="176"/>
      <c r="S663" s="176"/>
      <c r="T663" s="176"/>
      <c r="U663" s="176"/>
      <c r="V663" s="176"/>
      <c r="W663" s="176"/>
      <c r="X663" s="176"/>
      <c r="Y663" s="176"/>
      <c r="Z663" s="176"/>
      <c r="AA663" s="176"/>
      <c r="AB663" s="176"/>
      <c r="AC663" s="176"/>
      <c r="AD663" s="176"/>
      <c r="AE663" s="176"/>
      <c r="AF663" s="176"/>
      <c r="AG663" s="176"/>
      <c r="AH663" s="176"/>
      <c r="AI663" s="176"/>
      <c r="AJ663" s="176"/>
      <c r="AK663" s="176"/>
      <c r="AL663" s="176"/>
      <c r="AM663" s="176"/>
      <c r="AN663" s="176"/>
      <c r="AO663" s="176"/>
      <c r="AP663" s="176"/>
      <c r="AQ663" s="176"/>
      <c r="AR663" s="176"/>
      <c r="AS663" s="176"/>
      <c r="AT663" s="176"/>
      <c r="AU663" s="176"/>
      <c r="AV663" s="176"/>
      <c r="AW663" s="176"/>
      <c r="AX663" s="176"/>
      <c r="AY663" s="176"/>
      <c r="AZ663" s="176"/>
      <c r="BA663" s="176"/>
      <c r="BB663" s="176"/>
      <c r="BC663" s="176"/>
      <c r="BD663" s="176"/>
    </row>
    <row r="664" ht="15.75" customHeight="1">
      <c r="A664" s="176"/>
      <c r="B664" s="176"/>
      <c r="C664" s="176"/>
      <c r="D664" s="176"/>
      <c r="E664" s="176"/>
      <c r="F664" s="176"/>
      <c r="G664" s="178"/>
      <c r="H664" s="176"/>
      <c r="I664" s="176"/>
      <c r="J664" s="176"/>
      <c r="K664" s="176"/>
      <c r="L664" s="176"/>
      <c r="M664" s="176"/>
      <c r="N664" s="176"/>
      <c r="O664" s="176"/>
      <c r="P664" s="176"/>
      <c r="Q664" s="176"/>
      <c r="R664" s="176"/>
      <c r="S664" s="176"/>
      <c r="T664" s="176"/>
      <c r="U664" s="176"/>
      <c r="V664" s="176"/>
      <c r="W664" s="176"/>
      <c r="X664" s="176"/>
      <c r="Y664" s="176"/>
      <c r="Z664" s="176"/>
      <c r="AA664" s="176"/>
      <c r="AB664" s="176"/>
      <c r="AC664" s="176"/>
      <c r="AD664" s="176"/>
      <c r="AE664" s="176"/>
      <c r="AF664" s="176"/>
      <c r="AG664" s="176"/>
      <c r="AH664" s="176"/>
      <c r="AI664" s="176"/>
      <c r="AJ664" s="176"/>
      <c r="AK664" s="176"/>
      <c r="AL664" s="176"/>
      <c r="AM664" s="176"/>
      <c r="AN664" s="176"/>
      <c r="AO664" s="176"/>
      <c r="AP664" s="176"/>
      <c r="AQ664" s="176"/>
      <c r="AR664" s="176"/>
      <c r="AS664" s="176"/>
      <c r="AT664" s="176"/>
      <c r="AU664" s="176"/>
      <c r="AV664" s="176"/>
      <c r="AW664" s="176"/>
      <c r="AX664" s="176"/>
      <c r="AY664" s="176"/>
      <c r="AZ664" s="176"/>
      <c r="BA664" s="176"/>
      <c r="BB664" s="176"/>
      <c r="BC664" s="176"/>
      <c r="BD664" s="176"/>
    </row>
    <row r="665" ht="15.75" customHeight="1">
      <c r="A665" s="176"/>
      <c r="B665" s="176"/>
      <c r="C665" s="176"/>
      <c r="D665" s="176"/>
      <c r="E665" s="176"/>
      <c r="F665" s="176"/>
      <c r="G665" s="178"/>
      <c r="H665" s="176"/>
      <c r="I665" s="176"/>
      <c r="J665" s="176"/>
      <c r="K665" s="176"/>
      <c r="L665" s="176"/>
      <c r="M665" s="176"/>
      <c r="N665" s="176"/>
      <c r="O665" s="176"/>
      <c r="P665" s="176"/>
      <c r="Q665" s="176"/>
      <c r="R665" s="176"/>
      <c r="S665" s="176"/>
      <c r="T665" s="176"/>
      <c r="U665" s="176"/>
      <c r="V665" s="176"/>
      <c r="W665" s="176"/>
      <c r="X665" s="176"/>
      <c r="Y665" s="176"/>
      <c r="Z665" s="176"/>
      <c r="AA665" s="176"/>
      <c r="AB665" s="176"/>
      <c r="AC665" s="176"/>
      <c r="AD665" s="176"/>
      <c r="AE665" s="176"/>
      <c r="AF665" s="176"/>
      <c r="AG665" s="176"/>
      <c r="AH665" s="176"/>
      <c r="AI665" s="176"/>
      <c r="AJ665" s="176"/>
      <c r="AK665" s="176"/>
      <c r="AL665" s="176"/>
      <c r="AM665" s="176"/>
      <c r="AN665" s="176"/>
      <c r="AO665" s="176"/>
      <c r="AP665" s="176"/>
      <c r="AQ665" s="176"/>
      <c r="AR665" s="176"/>
      <c r="AS665" s="176"/>
      <c r="AT665" s="176"/>
      <c r="AU665" s="176"/>
      <c r="AV665" s="176"/>
      <c r="AW665" s="176"/>
      <c r="AX665" s="176"/>
      <c r="AY665" s="176"/>
      <c r="AZ665" s="176"/>
      <c r="BA665" s="176"/>
      <c r="BB665" s="176"/>
      <c r="BC665" s="176"/>
      <c r="BD665" s="176"/>
    </row>
    <row r="666" ht="15.75" customHeight="1">
      <c r="A666" s="176"/>
      <c r="B666" s="176"/>
      <c r="C666" s="176"/>
      <c r="D666" s="176"/>
      <c r="E666" s="176"/>
      <c r="F666" s="176"/>
      <c r="G666" s="178"/>
      <c r="H666" s="176"/>
      <c r="I666" s="176"/>
      <c r="J666" s="176"/>
      <c r="K666" s="176"/>
      <c r="L666" s="176"/>
      <c r="M666" s="176"/>
      <c r="N666" s="176"/>
      <c r="O666" s="176"/>
      <c r="P666" s="176"/>
      <c r="Q666" s="176"/>
      <c r="R666" s="176"/>
      <c r="S666" s="176"/>
      <c r="T666" s="176"/>
      <c r="U666" s="176"/>
      <c r="V666" s="176"/>
      <c r="W666" s="176"/>
      <c r="X666" s="176"/>
      <c r="Y666" s="176"/>
      <c r="Z666" s="176"/>
      <c r="AA666" s="176"/>
      <c r="AB666" s="176"/>
      <c r="AC666" s="176"/>
      <c r="AD666" s="176"/>
      <c r="AE666" s="176"/>
      <c r="AF666" s="176"/>
      <c r="AG666" s="176"/>
      <c r="AH666" s="176"/>
      <c r="AI666" s="176"/>
      <c r="AJ666" s="176"/>
      <c r="AK666" s="176"/>
      <c r="AL666" s="176"/>
      <c r="AM666" s="176"/>
      <c r="AN666" s="176"/>
      <c r="AO666" s="176"/>
      <c r="AP666" s="176"/>
      <c r="AQ666" s="176"/>
      <c r="AR666" s="176"/>
      <c r="AS666" s="176"/>
      <c r="AT666" s="176"/>
      <c r="AU666" s="176"/>
      <c r="AV666" s="176"/>
      <c r="AW666" s="176"/>
      <c r="AX666" s="176"/>
      <c r="AY666" s="176"/>
      <c r="AZ666" s="176"/>
      <c r="BA666" s="176"/>
      <c r="BB666" s="176"/>
      <c r="BC666" s="176"/>
      <c r="BD666" s="176"/>
    </row>
    <row r="667" ht="15.75" customHeight="1">
      <c r="A667" s="176"/>
      <c r="B667" s="176"/>
      <c r="C667" s="176"/>
      <c r="D667" s="176"/>
      <c r="E667" s="176"/>
      <c r="F667" s="176"/>
      <c r="G667" s="178"/>
      <c r="H667" s="176"/>
      <c r="I667" s="176"/>
      <c r="J667" s="176"/>
      <c r="K667" s="176"/>
      <c r="L667" s="176"/>
      <c r="M667" s="176"/>
      <c r="N667" s="176"/>
      <c r="O667" s="176"/>
      <c r="P667" s="176"/>
      <c r="Q667" s="176"/>
      <c r="R667" s="176"/>
      <c r="S667" s="176"/>
      <c r="T667" s="176"/>
      <c r="U667" s="176"/>
      <c r="V667" s="176"/>
      <c r="W667" s="176"/>
      <c r="X667" s="176"/>
      <c r="Y667" s="176"/>
      <c r="Z667" s="176"/>
      <c r="AA667" s="176"/>
      <c r="AB667" s="176"/>
      <c r="AC667" s="176"/>
      <c r="AD667" s="176"/>
      <c r="AE667" s="176"/>
      <c r="AF667" s="176"/>
      <c r="AG667" s="176"/>
      <c r="AH667" s="176"/>
      <c r="AI667" s="176"/>
      <c r="AJ667" s="176"/>
      <c r="AK667" s="176"/>
      <c r="AL667" s="176"/>
      <c r="AM667" s="176"/>
      <c r="AN667" s="176"/>
      <c r="AO667" s="176"/>
      <c r="AP667" s="176"/>
      <c r="AQ667" s="176"/>
      <c r="AR667" s="176"/>
      <c r="AS667" s="176"/>
      <c r="AT667" s="176"/>
      <c r="AU667" s="176"/>
      <c r="AV667" s="176"/>
      <c r="AW667" s="176"/>
      <c r="AX667" s="176"/>
      <c r="AY667" s="176"/>
      <c r="AZ667" s="176"/>
      <c r="BA667" s="176"/>
      <c r="BB667" s="176"/>
      <c r="BC667" s="176"/>
      <c r="BD667" s="176"/>
    </row>
    <row r="668" ht="15.75" customHeight="1">
      <c r="A668" s="176"/>
      <c r="B668" s="176"/>
      <c r="C668" s="176"/>
      <c r="D668" s="176"/>
      <c r="E668" s="176"/>
      <c r="F668" s="176"/>
      <c r="G668" s="178"/>
      <c r="H668" s="176"/>
      <c r="I668" s="176"/>
      <c r="J668" s="176"/>
      <c r="K668" s="176"/>
      <c r="L668" s="176"/>
      <c r="M668" s="176"/>
      <c r="N668" s="176"/>
      <c r="O668" s="176"/>
      <c r="P668" s="176"/>
      <c r="Q668" s="176"/>
      <c r="R668" s="176"/>
      <c r="S668" s="176"/>
      <c r="T668" s="176"/>
      <c r="U668" s="176"/>
      <c r="V668" s="176"/>
      <c r="W668" s="176"/>
      <c r="X668" s="176"/>
      <c r="Y668" s="176"/>
      <c r="Z668" s="176"/>
      <c r="AA668" s="176"/>
      <c r="AB668" s="176"/>
      <c r="AC668" s="176"/>
      <c r="AD668" s="176"/>
      <c r="AE668" s="176"/>
      <c r="AF668" s="176"/>
      <c r="AG668" s="176"/>
      <c r="AH668" s="176"/>
      <c r="AI668" s="176"/>
      <c r="AJ668" s="176"/>
      <c r="AK668" s="176"/>
      <c r="AL668" s="176"/>
      <c r="AM668" s="176"/>
      <c r="AN668" s="176"/>
      <c r="AO668" s="176"/>
      <c r="AP668" s="176"/>
      <c r="AQ668" s="176"/>
      <c r="AR668" s="176"/>
      <c r="AS668" s="176"/>
      <c r="AT668" s="176"/>
      <c r="AU668" s="176"/>
      <c r="AV668" s="176"/>
      <c r="AW668" s="176"/>
      <c r="AX668" s="176"/>
      <c r="AY668" s="176"/>
      <c r="AZ668" s="176"/>
      <c r="BA668" s="176"/>
      <c r="BB668" s="176"/>
      <c r="BC668" s="176"/>
      <c r="BD668" s="176"/>
    </row>
    <row r="669" ht="15.75" customHeight="1">
      <c r="A669" s="176"/>
      <c r="B669" s="176"/>
      <c r="C669" s="176"/>
      <c r="D669" s="176"/>
      <c r="E669" s="176"/>
      <c r="F669" s="176"/>
      <c r="G669" s="178"/>
      <c r="H669" s="176"/>
      <c r="I669" s="176"/>
      <c r="J669" s="176"/>
      <c r="K669" s="176"/>
      <c r="L669" s="176"/>
      <c r="M669" s="176"/>
      <c r="N669" s="176"/>
      <c r="O669" s="176"/>
      <c r="P669" s="176"/>
      <c r="Q669" s="176"/>
      <c r="R669" s="176"/>
      <c r="S669" s="176"/>
      <c r="T669" s="176"/>
      <c r="U669" s="176"/>
      <c r="V669" s="176"/>
      <c r="W669" s="176"/>
      <c r="X669" s="176"/>
      <c r="Y669" s="176"/>
      <c r="Z669" s="176"/>
      <c r="AA669" s="176"/>
      <c r="AB669" s="176"/>
      <c r="AC669" s="176"/>
      <c r="AD669" s="176"/>
      <c r="AE669" s="176"/>
      <c r="AF669" s="176"/>
      <c r="AG669" s="176"/>
      <c r="AH669" s="176"/>
      <c r="AI669" s="176"/>
      <c r="AJ669" s="176"/>
      <c r="AK669" s="176"/>
      <c r="AL669" s="176"/>
      <c r="AM669" s="176"/>
      <c r="AN669" s="176"/>
      <c r="AO669" s="176"/>
      <c r="AP669" s="176"/>
      <c r="AQ669" s="176"/>
      <c r="AR669" s="176"/>
      <c r="AS669" s="176"/>
      <c r="AT669" s="176"/>
      <c r="AU669" s="176"/>
      <c r="AV669" s="176"/>
      <c r="AW669" s="176"/>
      <c r="AX669" s="176"/>
      <c r="AY669" s="176"/>
      <c r="AZ669" s="176"/>
      <c r="BA669" s="176"/>
      <c r="BB669" s="176"/>
      <c r="BC669" s="176"/>
      <c r="BD669" s="176"/>
    </row>
    <row r="670" ht="15.75" customHeight="1">
      <c r="A670" s="176"/>
      <c r="B670" s="176"/>
      <c r="C670" s="176"/>
      <c r="D670" s="176"/>
      <c r="E670" s="176"/>
      <c r="F670" s="176"/>
      <c r="G670" s="178"/>
      <c r="H670" s="176"/>
      <c r="I670" s="176"/>
      <c r="J670" s="176"/>
      <c r="K670" s="176"/>
      <c r="L670" s="176"/>
      <c r="M670" s="176"/>
      <c r="N670" s="176"/>
      <c r="O670" s="176"/>
      <c r="P670" s="176"/>
      <c r="Q670" s="176"/>
      <c r="R670" s="176"/>
      <c r="S670" s="176"/>
      <c r="T670" s="176"/>
      <c r="U670" s="176"/>
      <c r="V670" s="176"/>
      <c r="W670" s="176"/>
      <c r="X670" s="176"/>
      <c r="Y670" s="176"/>
      <c r="Z670" s="176"/>
      <c r="AA670" s="176"/>
      <c r="AB670" s="176"/>
      <c r="AC670" s="176"/>
      <c r="AD670" s="176"/>
      <c r="AE670" s="176"/>
      <c r="AF670" s="176"/>
      <c r="AG670" s="176"/>
      <c r="AH670" s="176"/>
      <c r="AI670" s="176"/>
      <c r="AJ670" s="176"/>
      <c r="AK670" s="176"/>
      <c r="AL670" s="176"/>
      <c r="AM670" s="176"/>
      <c r="AN670" s="176"/>
      <c r="AO670" s="176"/>
      <c r="AP670" s="176"/>
      <c r="AQ670" s="176"/>
      <c r="AR670" s="176"/>
      <c r="AS670" s="176"/>
      <c r="AT670" s="176"/>
      <c r="AU670" s="176"/>
      <c r="AV670" s="176"/>
      <c r="AW670" s="176"/>
      <c r="AX670" s="176"/>
      <c r="AY670" s="176"/>
      <c r="AZ670" s="176"/>
      <c r="BA670" s="176"/>
      <c r="BB670" s="176"/>
      <c r="BC670" s="176"/>
      <c r="BD670" s="176"/>
    </row>
    <row r="671" ht="15.75" customHeight="1">
      <c r="A671" s="176"/>
      <c r="B671" s="176"/>
      <c r="C671" s="176"/>
      <c r="D671" s="176"/>
      <c r="E671" s="176"/>
      <c r="F671" s="176"/>
      <c r="G671" s="178"/>
      <c r="H671" s="176"/>
      <c r="I671" s="176"/>
      <c r="J671" s="176"/>
      <c r="K671" s="176"/>
      <c r="L671" s="176"/>
      <c r="M671" s="176"/>
      <c r="N671" s="176"/>
      <c r="O671" s="176"/>
      <c r="P671" s="176"/>
      <c r="Q671" s="176"/>
      <c r="R671" s="176"/>
      <c r="S671" s="176"/>
      <c r="T671" s="176"/>
      <c r="U671" s="176"/>
      <c r="V671" s="176"/>
      <c r="W671" s="176"/>
      <c r="X671" s="176"/>
      <c r="Y671" s="176"/>
      <c r="Z671" s="176"/>
      <c r="AA671" s="176"/>
      <c r="AB671" s="176"/>
      <c r="AC671" s="176"/>
      <c r="AD671" s="176"/>
      <c r="AE671" s="176"/>
      <c r="AF671" s="176"/>
      <c r="AG671" s="176"/>
      <c r="AH671" s="176"/>
      <c r="AI671" s="176"/>
      <c r="AJ671" s="176"/>
      <c r="AK671" s="176"/>
      <c r="AL671" s="176"/>
      <c r="AM671" s="176"/>
      <c r="AN671" s="176"/>
      <c r="AO671" s="176"/>
      <c r="AP671" s="176"/>
      <c r="AQ671" s="176"/>
      <c r="AR671" s="176"/>
      <c r="AS671" s="176"/>
      <c r="AT671" s="176"/>
      <c r="AU671" s="176"/>
      <c r="AV671" s="176"/>
      <c r="AW671" s="176"/>
      <c r="AX671" s="176"/>
      <c r="AY671" s="176"/>
      <c r="AZ671" s="176"/>
      <c r="BA671" s="176"/>
      <c r="BB671" s="176"/>
      <c r="BC671" s="176"/>
      <c r="BD671" s="176"/>
    </row>
    <row r="672" ht="15.75" customHeight="1">
      <c r="A672" s="176"/>
      <c r="B672" s="176"/>
      <c r="C672" s="176"/>
      <c r="D672" s="176"/>
      <c r="E672" s="176"/>
      <c r="F672" s="176"/>
      <c r="G672" s="178"/>
      <c r="H672" s="176"/>
      <c r="I672" s="176"/>
      <c r="J672" s="176"/>
      <c r="K672" s="176"/>
      <c r="L672" s="176"/>
      <c r="M672" s="176"/>
      <c r="N672" s="176"/>
      <c r="O672" s="176"/>
      <c r="P672" s="176"/>
      <c r="Q672" s="176"/>
      <c r="R672" s="176"/>
      <c r="S672" s="176"/>
      <c r="T672" s="176"/>
      <c r="U672" s="176"/>
      <c r="V672" s="176"/>
      <c r="W672" s="176"/>
      <c r="X672" s="176"/>
      <c r="Y672" s="176"/>
      <c r="Z672" s="176"/>
      <c r="AA672" s="176"/>
      <c r="AB672" s="176"/>
      <c r="AC672" s="176"/>
      <c r="AD672" s="176"/>
      <c r="AE672" s="176"/>
      <c r="AF672" s="176"/>
      <c r="AG672" s="176"/>
      <c r="AH672" s="176"/>
      <c r="AI672" s="176"/>
      <c r="AJ672" s="176"/>
      <c r="AK672" s="176"/>
      <c r="AL672" s="176"/>
      <c r="AM672" s="176"/>
      <c r="AN672" s="176"/>
      <c r="AO672" s="176"/>
      <c r="AP672" s="176"/>
      <c r="AQ672" s="176"/>
      <c r="AR672" s="176"/>
      <c r="AS672" s="176"/>
      <c r="AT672" s="176"/>
      <c r="AU672" s="176"/>
      <c r="AV672" s="176"/>
      <c r="AW672" s="176"/>
      <c r="AX672" s="176"/>
      <c r="AY672" s="176"/>
      <c r="AZ672" s="176"/>
      <c r="BA672" s="176"/>
      <c r="BB672" s="176"/>
      <c r="BC672" s="176"/>
      <c r="BD672" s="176"/>
    </row>
    <row r="673" ht="15.75" customHeight="1">
      <c r="A673" s="176"/>
      <c r="B673" s="176"/>
      <c r="C673" s="176"/>
      <c r="D673" s="176"/>
      <c r="E673" s="176"/>
      <c r="F673" s="176"/>
      <c r="G673" s="178"/>
      <c r="H673" s="176"/>
      <c r="I673" s="176"/>
      <c r="J673" s="176"/>
      <c r="K673" s="176"/>
      <c r="L673" s="176"/>
      <c r="M673" s="176"/>
      <c r="N673" s="176"/>
      <c r="O673" s="176"/>
      <c r="P673" s="176"/>
      <c r="Q673" s="176"/>
      <c r="R673" s="176"/>
      <c r="S673" s="176"/>
      <c r="T673" s="176"/>
      <c r="U673" s="176"/>
      <c r="V673" s="176"/>
      <c r="W673" s="176"/>
      <c r="X673" s="176"/>
      <c r="Y673" s="176"/>
      <c r="Z673" s="176"/>
      <c r="AA673" s="176"/>
      <c r="AB673" s="176"/>
      <c r="AC673" s="176"/>
      <c r="AD673" s="176"/>
      <c r="AE673" s="176"/>
      <c r="AF673" s="176"/>
      <c r="AG673" s="176"/>
      <c r="AH673" s="176"/>
      <c r="AI673" s="176"/>
      <c r="AJ673" s="176"/>
      <c r="AK673" s="176"/>
      <c r="AL673" s="176"/>
      <c r="AM673" s="176"/>
      <c r="AN673" s="176"/>
      <c r="AO673" s="176"/>
      <c r="AP673" s="176"/>
      <c r="AQ673" s="176"/>
      <c r="AR673" s="176"/>
      <c r="AS673" s="176"/>
      <c r="AT673" s="176"/>
      <c r="AU673" s="176"/>
      <c r="AV673" s="176"/>
      <c r="AW673" s="176"/>
      <c r="AX673" s="176"/>
      <c r="AY673" s="176"/>
      <c r="AZ673" s="176"/>
      <c r="BA673" s="176"/>
      <c r="BB673" s="176"/>
      <c r="BC673" s="176"/>
      <c r="BD673" s="176"/>
    </row>
    <row r="674" ht="15.75" customHeight="1">
      <c r="A674" s="176"/>
      <c r="B674" s="176"/>
      <c r="C674" s="176"/>
      <c r="D674" s="176"/>
      <c r="E674" s="176"/>
      <c r="F674" s="176"/>
      <c r="G674" s="178"/>
      <c r="H674" s="176"/>
      <c r="I674" s="176"/>
      <c r="J674" s="176"/>
      <c r="K674" s="176"/>
      <c r="L674" s="176"/>
      <c r="M674" s="176"/>
      <c r="N674" s="176"/>
      <c r="O674" s="176"/>
      <c r="P674" s="176"/>
      <c r="Q674" s="176"/>
      <c r="R674" s="176"/>
      <c r="S674" s="176"/>
      <c r="T674" s="176"/>
      <c r="U674" s="176"/>
      <c r="V674" s="176"/>
      <c r="W674" s="176"/>
      <c r="X674" s="176"/>
      <c r="Y674" s="176"/>
      <c r="Z674" s="176"/>
      <c r="AA674" s="176"/>
      <c r="AB674" s="176"/>
      <c r="AC674" s="176"/>
      <c r="AD674" s="176"/>
      <c r="AE674" s="176"/>
      <c r="AF674" s="176"/>
      <c r="AG674" s="176"/>
      <c r="AH674" s="176"/>
      <c r="AI674" s="176"/>
      <c r="AJ674" s="176"/>
      <c r="AK674" s="176"/>
      <c r="AL674" s="176"/>
      <c r="AM674" s="176"/>
      <c r="AN674" s="176"/>
      <c r="AO674" s="176"/>
      <c r="AP674" s="176"/>
      <c r="AQ674" s="176"/>
      <c r="AR674" s="176"/>
      <c r="AS674" s="176"/>
      <c r="AT674" s="176"/>
      <c r="AU674" s="176"/>
      <c r="AV674" s="176"/>
      <c r="AW674" s="176"/>
      <c r="AX674" s="176"/>
      <c r="AY674" s="176"/>
      <c r="AZ674" s="176"/>
      <c r="BA674" s="176"/>
      <c r="BB674" s="176"/>
      <c r="BC674" s="176"/>
      <c r="BD674" s="176"/>
    </row>
    <row r="675" ht="15.75" customHeight="1">
      <c r="A675" s="176"/>
      <c r="B675" s="176"/>
      <c r="C675" s="176"/>
      <c r="D675" s="176"/>
      <c r="E675" s="176"/>
      <c r="F675" s="176"/>
      <c r="G675" s="178"/>
      <c r="H675" s="176"/>
      <c r="I675" s="176"/>
      <c r="J675" s="176"/>
      <c r="K675" s="176"/>
      <c r="L675" s="176"/>
      <c r="M675" s="176"/>
      <c r="N675" s="176"/>
      <c r="O675" s="176"/>
      <c r="P675" s="176"/>
      <c r="Q675" s="176"/>
      <c r="R675" s="176"/>
      <c r="S675" s="176"/>
      <c r="T675" s="176"/>
      <c r="U675" s="176"/>
      <c r="V675" s="176"/>
      <c r="W675" s="176"/>
      <c r="X675" s="176"/>
      <c r="Y675" s="176"/>
      <c r="Z675" s="176"/>
      <c r="AA675" s="176"/>
      <c r="AB675" s="176"/>
      <c r="AC675" s="176"/>
      <c r="AD675" s="176"/>
      <c r="AE675" s="176"/>
      <c r="AF675" s="176"/>
      <c r="AG675" s="176"/>
      <c r="AH675" s="176"/>
      <c r="AI675" s="176"/>
      <c r="AJ675" s="176"/>
      <c r="AK675" s="176"/>
      <c r="AL675" s="176"/>
      <c r="AM675" s="176"/>
      <c r="AN675" s="176"/>
      <c r="AO675" s="176"/>
      <c r="AP675" s="176"/>
      <c r="AQ675" s="176"/>
      <c r="AR675" s="176"/>
      <c r="AS675" s="176"/>
      <c r="AT675" s="176"/>
      <c r="AU675" s="176"/>
      <c r="AV675" s="176"/>
      <c r="AW675" s="176"/>
      <c r="AX675" s="176"/>
      <c r="AY675" s="176"/>
      <c r="AZ675" s="176"/>
      <c r="BA675" s="176"/>
      <c r="BB675" s="176"/>
      <c r="BC675" s="176"/>
      <c r="BD675" s="176"/>
    </row>
    <row r="676" ht="15.75" customHeight="1">
      <c r="A676" s="176"/>
      <c r="B676" s="176"/>
      <c r="C676" s="176"/>
      <c r="D676" s="176"/>
      <c r="E676" s="176"/>
      <c r="F676" s="176"/>
      <c r="G676" s="178"/>
      <c r="H676" s="176"/>
      <c r="I676" s="176"/>
      <c r="J676" s="176"/>
      <c r="K676" s="176"/>
      <c r="L676" s="176"/>
      <c r="M676" s="176"/>
      <c r="N676" s="176"/>
      <c r="O676" s="176"/>
      <c r="P676" s="176"/>
      <c r="Q676" s="176"/>
      <c r="R676" s="176"/>
      <c r="S676" s="176"/>
      <c r="T676" s="176"/>
      <c r="U676" s="176"/>
      <c r="V676" s="176"/>
      <c r="W676" s="176"/>
      <c r="X676" s="176"/>
      <c r="Y676" s="176"/>
      <c r="Z676" s="176"/>
      <c r="AA676" s="176"/>
      <c r="AB676" s="176"/>
      <c r="AC676" s="176"/>
      <c r="AD676" s="176"/>
      <c r="AE676" s="176"/>
      <c r="AF676" s="176"/>
      <c r="AG676" s="176"/>
      <c r="AH676" s="176"/>
      <c r="AI676" s="176"/>
      <c r="AJ676" s="176"/>
      <c r="AK676" s="176"/>
      <c r="AL676" s="176"/>
      <c r="AM676" s="176"/>
      <c r="AN676" s="176"/>
      <c r="AO676" s="176"/>
      <c r="AP676" s="176"/>
      <c r="AQ676" s="176"/>
      <c r="AR676" s="176"/>
      <c r="AS676" s="176"/>
      <c r="AT676" s="176"/>
      <c r="AU676" s="176"/>
      <c r="AV676" s="176"/>
      <c r="AW676" s="176"/>
      <c r="AX676" s="176"/>
      <c r="AY676" s="176"/>
      <c r="AZ676" s="176"/>
      <c r="BA676" s="176"/>
      <c r="BB676" s="176"/>
      <c r="BC676" s="176"/>
      <c r="BD676" s="176"/>
    </row>
    <row r="677" ht="15.75" customHeight="1">
      <c r="A677" s="176"/>
      <c r="B677" s="176"/>
      <c r="C677" s="176"/>
      <c r="D677" s="176"/>
      <c r="E677" s="176"/>
      <c r="F677" s="176"/>
      <c r="G677" s="178"/>
      <c r="H677" s="176"/>
      <c r="I677" s="176"/>
      <c r="J677" s="176"/>
      <c r="K677" s="176"/>
      <c r="L677" s="176"/>
      <c r="M677" s="176"/>
      <c r="N677" s="176"/>
      <c r="O677" s="176"/>
      <c r="P677" s="176"/>
      <c r="Q677" s="176"/>
      <c r="R677" s="176"/>
      <c r="S677" s="176"/>
      <c r="T677" s="176"/>
      <c r="U677" s="176"/>
      <c r="V677" s="176"/>
      <c r="W677" s="176"/>
      <c r="X677" s="176"/>
      <c r="Y677" s="176"/>
      <c r="Z677" s="176"/>
      <c r="AA677" s="176"/>
      <c r="AB677" s="176"/>
      <c r="AC677" s="176"/>
      <c r="AD677" s="176"/>
      <c r="AE677" s="176"/>
      <c r="AF677" s="176"/>
      <c r="AG677" s="176"/>
      <c r="AH677" s="176"/>
      <c r="AI677" s="176"/>
      <c r="AJ677" s="176"/>
      <c r="AK677" s="176"/>
      <c r="AL677" s="176"/>
      <c r="AM677" s="176"/>
      <c r="AN677" s="176"/>
      <c r="AO677" s="176"/>
      <c r="AP677" s="176"/>
      <c r="AQ677" s="176"/>
      <c r="AR677" s="176"/>
      <c r="AS677" s="176"/>
      <c r="AT677" s="176"/>
      <c r="AU677" s="176"/>
      <c r="AV677" s="176"/>
      <c r="AW677" s="176"/>
      <c r="AX677" s="176"/>
      <c r="AY677" s="176"/>
      <c r="AZ677" s="176"/>
      <c r="BA677" s="176"/>
      <c r="BB677" s="176"/>
      <c r="BC677" s="176"/>
      <c r="BD677" s="176"/>
    </row>
    <row r="678" ht="15.75" customHeight="1">
      <c r="A678" s="176"/>
      <c r="B678" s="176"/>
      <c r="C678" s="176"/>
      <c r="D678" s="176"/>
      <c r="E678" s="176"/>
      <c r="F678" s="176"/>
      <c r="G678" s="178"/>
      <c r="H678" s="176"/>
      <c r="I678" s="176"/>
      <c r="J678" s="176"/>
      <c r="K678" s="176"/>
      <c r="L678" s="176"/>
      <c r="M678" s="176"/>
      <c r="N678" s="176"/>
      <c r="O678" s="176"/>
      <c r="P678" s="176"/>
      <c r="Q678" s="176"/>
      <c r="R678" s="176"/>
      <c r="S678" s="176"/>
      <c r="T678" s="176"/>
      <c r="U678" s="176"/>
      <c r="V678" s="176"/>
      <c r="W678" s="176"/>
      <c r="X678" s="176"/>
      <c r="Y678" s="176"/>
      <c r="Z678" s="176"/>
      <c r="AA678" s="176"/>
      <c r="AB678" s="176"/>
      <c r="AC678" s="176"/>
      <c r="AD678" s="176"/>
      <c r="AE678" s="176"/>
      <c r="AF678" s="176"/>
      <c r="AG678" s="176"/>
      <c r="AH678" s="176"/>
      <c r="AI678" s="176"/>
      <c r="AJ678" s="176"/>
      <c r="AK678" s="176"/>
      <c r="AL678" s="176"/>
      <c r="AM678" s="176"/>
      <c r="AN678" s="176"/>
      <c r="AO678" s="176"/>
      <c r="AP678" s="176"/>
      <c r="AQ678" s="176"/>
      <c r="AR678" s="176"/>
      <c r="AS678" s="176"/>
      <c r="AT678" s="176"/>
      <c r="AU678" s="176"/>
      <c r="AV678" s="176"/>
      <c r="AW678" s="176"/>
      <c r="AX678" s="176"/>
      <c r="AY678" s="176"/>
      <c r="AZ678" s="176"/>
      <c r="BA678" s="176"/>
      <c r="BB678" s="176"/>
      <c r="BC678" s="176"/>
      <c r="BD678" s="176"/>
    </row>
    <row r="679" ht="15.75" customHeight="1">
      <c r="A679" s="176"/>
      <c r="B679" s="176"/>
      <c r="C679" s="176"/>
      <c r="D679" s="176"/>
      <c r="E679" s="176"/>
      <c r="F679" s="176"/>
      <c r="G679" s="178"/>
      <c r="H679" s="176"/>
      <c r="I679" s="176"/>
      <c r="J679" s="176"/>
      <c r="K679" s="176"/>
      <c r="L679" s="176"/>
      <c r="M679" s="176"/>
      <c r="N679" s="176"/>
      <c r="O679" s="176"/>
      <c r="P679" s="176"/>
      <c r="Q679" s="176"/>
      <c r="R679" s="176"/>
      <c r="S679" s="176"/>
      <c r="T679" s="176"/>
      <c r="U679" s="176"/>
      <c r="V679" s="176"/>
      <c r="W679" s="176"/>
      <c r="X679" s="176"/>
      <c r="Y679" s="176"/>
      <c r="Z679" s="176"/>
      <c r="AA679" s="176"/>
      <c r="AB679" s="176"/>
      <c r="AC679" s="176"/>
      <c r="AD679" s="176"/>
      <c r="AE679" s="176"/>
      <c r="AF679" s="176"/>
      <c r="AG679" s="176"/>
      <c r="AH679" s="176"/>
      <c r="AI679" s="176"/>
      <c r="AJ679" s="176"/>
      <c r="AK679" s="176"/>
      <c r="AL679" s="176"/>
      <c r="AM679" s="176"/>
      <c r="AN679" s="176"/>
      <c r="AO679" s="176"/>
      <c r="AP679" s="176"/>
      <c r="AQ679" s="176"/>
      <c r="AR679" s="176"/>
      <c r="AS679" s="176"/>
      <c r="AT679" s="176"/>
      <c r="AU679" s="176"/>
      <c r="AV679" s="176"/>
      <c r="AW679" s="176"/>
      <c r="AX679" s="176"/>
      <c r="AY679" s="176"/>
      <c r="AZ679" s="176"/>
      <c r="BA679" s="176"/>
      <c r="BB679" s="176"/>
      <c r="BC679" s="176"/>
      <c r="BD679" s="176"/>
    </row>
    <row r="680" ht="15.75" customHeight="1">
      <c r="A680" s="176"/>
      <c r="B680" s="176"/>
      <c r="C680" s="176"/>
      <c r="D680" s="176"/>
      <c r="E680" s="176"/>
      <c r="F680" s="176"/>
      <c r="G680" s="178"/>
      <c r="H680" s="176"/>
      <c r="I680" s="176"/>
      <c r="J680" s="176"/>
      <c r="K680" s="176"/>
      <c r="L680" s="176"/>
      <c r="M680" s="176"/>
      <c r="N680" s="176"/>
      <c r="O680" s="176"/>
      <c r="P680" s="176"/>
      <c r="Q680" s="176"/>
      <c r="R680" s="176"/>
      <c r="S680" s="176"/>
      <c r="T680" s="176"/>
      <c r="U680" s="176"/>
      <c r="V680" s="176"/>
      <c r="W680" s="176"/>
      <c r="X680" s="176"/>
      <c r="Y680" s="176"/>
      <c r="Z680" s="176"/>
      <c r="AA680" s="176"/>
      <c r="AB680" s="176"/>
      <c r="AC680" s="176"/>
      <c r="AD680" s="176"/>
      <c r="AE680" s="176"/>
      <c r="AF680" s="176"/>
      <c r="AG680" s="176"/>
      <c r="AH680" s="176"/>
      <c r="AI680" s="176"/>
      <c r="AJ680" s="176"/>
      <c r="AK680" s="176"/>
      <c r="AL680" s="176"/>
      <c r="AM680" s="176"/>
      <c r="AN680" s="176"/>
      <c r="AO680" s="176"/>
      <c r="AP680" s="176"/>
      <c r="AQ680" s="176"/>
      <c r="AR680" s="176"/>
      <c r="AS680" s="176"/>
      <c r="AT680" s="176"/>
      <c r="AU680" s="176"/>
      <c r="AV680" s="176"/>
      <c r="AW680" s="176"/>
      <c r="AX680" s="176"/>
      <c r="AY680" s="176"/>
      <c r="AZ680" s="176"/>
      <c r="BA680" s="176"/>
      <c r="BB680" s="176"/>
      <c r="BC680" s="176"/>
      <c r="BD680" s="176"/>
    </row>
    <row r="681" ht="15.75" customHeight="1">
      <c r="A681" s="176"/>
      <c r="B681" s="176"/>
      <c r="C681" s="176"/>
      <c r="D681" s="176"/>
      <c r="E681" s="176"/>
      <c r="F681" s="176"/>
      <c r="G681" s="178"/>
      <c r="H681" s="176"/>
      <c r="I681" s="176"/>
      <c r="J681" s="176"/>
      <c r="K681" s="176"/>
      <c r="L681" s="176"/>
      <c r="M681" s="176"/>
      <c r="N681" s="176"/>
      <c r="O681" s="176"/>
      <c r="P681" s="176"/>
      <c r="Q681" s="176"/>
      <c r="R681" s="176"/>
      <c r="S681" s="176"/>
      <c r="T681" s="176"/>
      <c r="U681" s="176"/>
      <c r="V681" s="176"/>
      <c r="W681" s="176"/>
      <c r="X681" s="176"/>
      <c r="Y681" s="176"/>
      <c r="Z681" s="176"/>
      <c r="AA681" s="176"/>
      <c r="AB681" s="176"/>
      <c r="AC681" s="176"/>
      <c r="AD681" s="176"/>
      <c r="AE681" s="176"/>
      <c r="AF681" s="176"/>
      <c r="AG681" s="176"/>
      <c r="AH681" s="176"/>
      <c r="AI681" s="176"/>
      <c r="AJ681" s="176"/>
      <c r="AK681" s="176"/>
      <c r="AL681" s="176"/>
      <c r="AM681" s="176"/>
      <c r="AN681" s="176"/>
      <c r="AO681" s="176"/>
      <c r="AP681" s="176"/>
      <c r="AQ681" s="176"/>
      <c r="AR681" s="176"/>
      <c r="AS681" s="176"/>
      <c r="AT681" s="176"/>
      <c r="AU681" s="176"/>
      <c r="AV681" s="176"/>
      <c r="AW681" s="176"/>
      <c r="AX681" s="176"/>
      <c r="AY681" s="176"/>
      <c r="AZ681" s="176"/>
      <c r="BA681" s="176"/>
      <c r="BB681" s="176"/>
      <c r="BC681" s="176"/>
      <c r="BD681" s="176"/>
    </row>
    <row r="682" ht="15.75" customHeight="1">
      <c r="A682" s="176"/>
      <c r="B682" s="176"/>
      <c r="C682" s="176"/>
      <c r="D682" s="176"/>
      <c r="E682" s="176"/>
      <c r="F682" s="176"/>
      <c r="G682" s="178"/>
      <c r="H682" s="176"/>
      <c r="I682" s="176"/>
      <c r="J682" s="176"/>
      <c r="K682" s="176"/>
      <c r="L682" s="176"/>
      <c r="M682" s="176"/>
      <c r="N682" s="176"/>
      <c r="O682" s="176"/>
      <c r="P682" s="176"/>
      <c r="Q682" s="176"/>
      <c r="R682" s="176"/>
      <c r="S682" s="176"/>
      <c r="T682" s="176"/>
      <c r="U682" s="176"/>
      <c r="V682" s="176"/>
      <c r="W682" s="176"/>
      <c r="X682" s="176"/>
      <c r="Y682" s="176"/>
      <c r="Z682" s="176"/>
      <c r="AA682" s="176"/>
      <c r="AB682" s="176"/>
      <c r="AC682" s="176"/>
      <c r="AD682" s="176"/>
      <c r="AE682" s="176"/>
      <c r="AF682" s="176"/>
      <c r="AG682" s="176"/>
      <c r="AH682" s="176"/>
      <c r="AI682" s="176"/>
      <c r="AJ682" s="176"/>
      <c r="AK682" s="176"/>
      <c r="AL682" s="176"/>
      <c r="AM682" s="176"/>
      <c r="AN682" s="176"/>
      <c r="AO682" s="176"/>
      <c r="AP682" s="176"/>
      <c r="AQ682" s="176"/>
      <c r="AR682" s="176"/>
      <c r="AS682" s="176"/>
      <c r="AT682" s="176"/>
      <c r="AU682" s="176"/>
      <c r="AV682" s="176"/>
      <c r="AW682" s="176"/>
      <c r="AX682" s="176"/>
      <c r="AY682" s="176"/>
      <c r="AZ682" s="176"/>
      <c r="BA682" s="176"/>
      <c r="BB682" s="176"/>
      <c r="BC682" s="176"/>
      <c r="BD682" s="176"/>
    </row>
    <row r="683" ht="15.75" customHeight="1">
      <c r="A683" s="176"/>
      <c r="B683" s="176"/>
      <c r="C683" s="176"/>
      <c r="D683" s="176"/>
      <c r="E683" s="176"/>
      <c r="F683" s="176"/>
      <c r="G683" s="178"/>
      <c r="H683" s="176"/>
      <c r="I683" s="176"/>
      <c r="J683" s="176"/>
      <c r="K683" s="176"/>
      <c r="L683" s="176"/>
      <c r="M683" s="176"/>
      <c r="N683" s="176"/>
      <c r="O683" s="176"/>
      <c r="P683" s="176"/>
      <c r="Q683" s="176"/>
      <c r="R683" s="176"/>
      <c r="S683" s="176"/>
      <c r="T683" s="176"/>
      <c r="U683" s="176"/>
      <c r="V683" s="176"/>
      <c r="W683" s="176"/>
      <c r="X683" s="176"/>
      <c r="Y683" s="176"/>
      <c r="Z683" s="176"/>
      <c r="AA683" s="176"/>
      <c r="AB683" s="176"/>
      <c r="AC683" s="176"/>
      <c r="AD683" s="176"/>
      <c r="AE683" s="176"/>
      <c r="AF683" s="176"/>
      <c r="AG683" s="176"/>
      <c r="AH683" s="176"/>
      <c r="AI683" s="176"/>
      <c r="AJ683" s="176"/>
      <c r="AK683" s="176"/>
      <c r="AL683" s="176"/>
      <c r="AM683" s="176"/>
      <c r="AN683" s="176"/>
      <c r="AO683" s="176"/>
      <c r="AP683" s="176"/>
      <c r="AQ683" s="176"/>
      <c r="AR683" s="176"/>
      <c r="AS683" s="176"/>
      <c r="AT683" s="176"/>
      <c r="AU683" s="176"/>
      <c r="AV683" s="176"/>
      <c r="AW683" s="176"/>
      <c r="AX683" s="176"/>
      <c r="AY683" s="176"/>
      <c r="AZ683" s="176"/>
      <c r="BA683" s="176"/>
      <c r="BB683" s="176"/>
      <c r="BC683" s="176"/>
      <c r="BD683" s="176"/>
    </row>
    <row r="684" ht="15.75" customHeight="1">
      <c r="A684" s="176"/>
      <c r="B684" s="176"/>
      <c r="C684" s="176"/>
      <c r="D684" s="176"/>
      <c r="E684" s="176"/>
      <c r="F684" s="176"/>
      <c r="G684" s="178"/>
      <c r="H684" s="176"/>
      <c r="I684" s="176"/>
      <c r="J684" s="176"/>
      <c r="K684" s="176"/>
      <c r="L684" s="176"/>
      <c r="M684" s="176"/>
      <c r="N684" s="176"/>
      <c r="O684" s="176"/>
      <c r="P684" s="176"/>
      <c r="Q684" s="176"/>
      <c r="R684" s="176"/>
      <c r="S684" s="176"/>
      <c r="T684" s="176"/>
      <c r="U684" s="176"/>
      <c r="V684" s="176"/>
      <c r="W684" s="176"/>
      <c r="X684" s="176"/>
      <c r="Y684" s="176"/>
      <c r="Z684" s="176"/>
      <c r="AA684" s="176"/>
      <c r="AB684" s="176"/>
      <c r="AC684" s="176"/>
      <c r="AD684" s="176"/>
      <c r="AE684" s="176"/>
      <c r="AF684" s="176"/>
      <c r="AG684" s="176"/>
      <c r="AH684" s="176"/>
      <c r="AI684" s="176"/>
      <c r="AJ684" s="176"/>
      <c r="AK684" s="176"/>
      <c r="AL684" s="176"/>
      <c r="AM684" s="176"/>
      <c r="AN684" s="176"/>
      <c r="AO684" s="176"/>
      <c r="AP684" s="176"/>
      <c r="AQ684" s="176"/>
      <c r="AR684" s="176"/>
      <c r="AS684" s="176"/>
      <c r="AT684" s="176"/>
      <c r="AU684" s="176"/>
      <c r="AV684" s="176"/>
      <c r="AW684" s="176"/>
      <c r="AX684" s="176"/>
      <c r="AY684" s="176"/>
      <c r="AZ684" s="176"/>
      <c r="BA684" s="176"/>
      <c r="BB684" s="176"/>
      <c r="BC684" s="176"/>
      <c r="BD684" s="176"/>
    </row>
    <row r="685" ht="15.75" customHeight="1">
      <c r="A685" s="176"/>
      <c r="B685" s="176"/>
      <c r="C685" s="176"/>
      <c r="D685" s="176"/>
      <c r="E685" s="176"/>
      <c r="F685" s="176"/>
      <c r="G685" s="178"/>
      <c r="H685" s="176"/>
      <c r="I685" s="176"/>
      <c r="J685" s="176"/>
      <c r="K685" s="176"/>
      <c r="L685" s="176"/>
      <c r="M685" s="176"/>
      <c r="N685" s="176"/>
      <c r="O685" s="176"/>
      <c r="P685" s="176"/>
      <c r="Q685" s="176"/>
      <c r="R685" s="176"/>
      <c r="S685" s="176"/>
      <c r="T685" s="176"/>
      <c r="U685" s="176"/>
      <c r="V685" s="176"/>
      <c r="W685" s="176"/>
      <c r="X685" s="176"/>
      <c r="Y685" s="176"/>
      <c r="Z685" s="176"/>
      <c r="AA685" s="176"/>
      <c r="AB685" s="176"/>
      <c r="AC685" s="176"/>
      <c r="AD685" s="176"/>
      <c r="AE685" s="176"/>
      <c r="AF685" s="176"/>
      <c r="AG685" s="176"/>
      <c r="AH685" s="176"/>
      <c r="AI685" s="176"/>
      <c r="AJ685" s="176"/>
      <c r="AK685" s="176"/>
      <c r="AL685" s="176"/>
      <c r="AM685" s="176"/>
      <c r="AN685" s="176"/>
      <c r="AO685" s="176"/>
      <c r="AP685" s="176"/>
      <c r="AQ685" s="176"/>
      <c r="AR685" s="176"/>
      <c r="AS685" s="176"/>
      <c r="AT685" s="176"/>
      <c r="AU685" s="176"/>
      <c r="AV685" s="176"/>
      <c r="AW685" s="176"/>
      <c r="AX685" s="176"/>
      <c r="AY685" s="176"/>
      <c r="AZ685" s="176"/>
      <c r="BA685" s="176"/>
      <c r="BB685" s="176"/>
      <c r="BC685" s="176"/>
      <c r="BD685" s="176"/>
    </row>
    <row r="686" ht="15.75" customHeight="1">
      <c r="A686" s="176"/>
      <c r="B686" s="176"/>
      <c r="C686" s="176"/>
      <c r="D686" s="176"/>
      <c r="E686" s="176"/>
      <c r="F686" s="176"/>
      <c r="G686" s="178"/>
      <c r="H686" s="176"/>
      <c r="I686" s="176"/>
      <c r="J686" s="176"/>
      <c r="K686" s="176"/>
      <c r="L686" s="176"/>
      <c r="M686" s="176"/>
      <c r="N686" s="176"/>
      <c r="O686" s="176"/>
      <c r="P686" s="176"/>
      <c r="Q686" s="176"/>
      <c r="R686" s="176"/>
      <c r="S686" s="176"/>
      <c r="T686" s="176"/>
      <c r="U686" s="176"/>
      <c r="V686" s="176"/>
      <c r="W686" s="176"/>
      <c r="X686" s="176"/>
      <c r="Y686" s="176"/>
      <c r="Z686" s="176"/>
      <c r="AA686" s="176"/>
      <c r="AB686" s="176"/>
      <c r="AC686" s="176"/>
      <c r="AD686" s="176"/>
      <c r="AE686" s="176"/>
      <c r="AF686" s="176"/>
      <c r="AG686" s="176"/>
      <c r="AH686" s="176"/>
      <c r="AI686" s="176"/>
      <c r="AJ686" s="176"/>
      <c r="AK686" s="176"/>
      <c r="AL686" s="176"/>
      <c r="AM686" s="176"/>
      <c r="AN686" s="176"/>
      <c r="AO686" s="176"/>
      <c r="AP686" s="176"/>
      <c r="AQ686" s="176"/>
      <c r="AR686" s="176"/>
      <c r="AS686" s="176"/>
      <c r="AT686" s="176"/>
      <c r="AU686" s="176"/>
      <c r="AV686" s="176"/>
      <c r="AW686" s="176"/>
      <c r="AX686" s="176"/>
      <c r="AY686" s="176"/>
      <c r="AZ686" s="176"/>
      <c r="BA686" s="176"/>
      <c r="BB686" s="176"/>
      <c r="BC686" s="176"/>
      <c r="BD686" s="176"/>
    </row>
    <row r="687" ht="15.75" customHeight="1">
      <c r="A687" s="176"/>
      <c r="B687" s="176"/>
      <c r="C687" s="176"/>
      <c r="D687" s="176"/>
      <c r="E687" s="176"/>
      <c r="F687" s="176"/>
      <c r="G687" s="178"/>
      <c r="H687" s="176"/>
      <c r="I687" s="176"/>
      <c r="J687" s="176"/>
      <c r="K687" s="176"/>
      <c r="L687" s="176"/>
      <c r="M687" s="176"/>
      <c r="N687" s="176"/>
      <c r="O687" s="176"/>
      <c r="P687" s="176"/>
      <c r="Q687" s="176"/>
      <c r="R687" s="176"/>
      <c r="S687" s="176"/>
      <c r="T687" s="176"/>
      <c r="U687" s="176"/>
      <c r="V687" s="176"/>
      <c r="W687" s="176"/>
      <c r="X687" s="176"/>
      <c r="Y687" s="176"/>
      <c r="Z687" s="176"/>
      <c r="AA687" s="176"/>
      <c r="AB687" s="176"/>
      <c r="AC687" s="176"/>
      <c r="AD687" s="176"/>
      <c r="AE687" s="176"/>
      <c r="AF687" s="176"/>
      <c r="AG687" s="176"/>
      <c r="AH687" s="176"/>
      <c r="AI687" s="176"/>
      <c r="AJ687" s="176"/>
      <c r="AK687" s="176"/>
      <c r="AL687" s="176"/>
      <c r="AM687" s="176"/>
      <c r="AN687" s="176"/>
      <c r="AO687" s="176"/>
      <c r="AP687" s="176"/>
      <c r="AQ687" s="176"/>
      <c r="AR687" s="176"/>
      <c r="AS687" s="176"/>
      <c r="AT687" s="176"/>
      <c r="AU687" s="176"/>
      <c r="AV687" s="176"/>
      <c r="AW687" s="176"/>
      <c r="AX687" s="176"/>
      <c r="AY687" s="176"/>
      <c r="AZ687" s="176"/>
      <c r="BA687" s="176"/>
      <c r="BB687" s="176"/>
      <c r="BC687" s="176"/>
      <c r="BD687" s="176"/>
    </row>
    <row r="688" ht="15.75" customHeight="1">
      <c r="A688" s="176"/>
      <c r="B688" s="176"/>
      <c r="C688" s="176"/>
      <c r="D688" s="176"/>
      <c r="E688" s="176"/>
      <c r="F688" s="176"/>
      <c r="G688" s="178"/>
      <c r="H688" s="176"/>
      <c r="I688" s="176"/>
      <c r="J688" s="176"/>
      <c r="K688" s="176"/>
      <c r="L688" s="176"/>
      <c r="M688" s="176"/>
      <c r="N688" s="176"/>
      <c r="O688" s="176"/>
      <c r="P688" s="176"/>
      <c r="Q688" s="176"/>
      <c r="R688" s="176"/>
      <c r="S688" s="176"/>
      <c r="T688" s="176"/>
      <c r="U688" s="176"/>
      <c r="V688" s="176"/>
      <c r="W688" s="176"/>
      <c r="X688" s="176"/>
      <c r="Y688" s="176"/>
      <c r="Z688" s="176"/>
      <c r="AA688" s="176"/>
      <c r="AB688" s="176"/>
      <c r="AC688" s="176"/>
      <c r="AD688" s="176"/>
      <c r="AE688" s="176"/>
      <c r="AF688" s="176"/>
      <c r="AG688" s="176"/>
      <c r="AH688" s="176"/>
      <c r="AI688" s="176"/>
      <c r="AJ688" s="176"/>
      <c r="AK688" s="176"/>
      <c r="AL688" s="176"/>
      <c r="AM688" s="176"/>
      <c r="AN688" s="176"/>
      <c r="AO688" s="176"/>
      <c r="AP688" s="176"/>
      <c r="AQ688" s="176"/>
      <c r="AR688" s="176"/>
      <c r="AS688" s="176"/>
      <c r="AT688" s="176"/>
      <c r="AU688" s="176"/>
      <c r="AV688" s="176"/>
      <c r="AW688" s="176"/>
      <c r="AX688" s="176"/>
      <c r="AY688" s="176"/>
      <c r="AZ688" s="176"/>
      <c r="BA688" s="176"/>
      <c r="BB688" s="176"/>
      <c r="BC688" s="176"/>
      <c r="BD688" s="176"/>
    </row>
    <row r="689" ht="15.75" customHeight="1">
      <c r="A689" s="176"/>
      <c r="B689" s="176"/>
      <c r="C689" s="176"/>
      <c r="D689" s="176"/>
      <c r="E689" s="176"/>
      <c r="F689" s="176"/>
      <c r="G689" s="178"/>
      <c r="H689" s="176"/>
      <c r="I689" s="176"/>
      <c r="J689" s="176"/>
      <c r="K689" s="176"/>
      <c r="L689" s="176"/>
      <c r="M689" s="176"/>
      <c r="N689" s="176"/>
      <c r="O689" s="176"/>
      <c r="P689" s="176"/>
      <c r="Q689" s="176"/>
      <c r="R689" s="176"/>
      <c r="S689" s="176"/>
      <c r="T689" s="176"/>
      <c r="U689" s="176"/>
      <c r="V689" s="176"/>
      <c r="W689" s="176"/>
      <c r="X689" s="176"/>
      <c r="Y689" s="176"/>
      <c r="Z689" s="176"/>
      <c r="AA689" s="176"/>
      <c r="AB689" s="176"/>
      <c r="AC689" s="176"/>
      <c r="AD689" s="176"/>
      <c r="AE689" s="176"/>
      <c r="AF689" s="176"/>
      <c r="AG689" s="176"/>
      <c r="AH689" s="176"/>
      <c r="AI689" s="176"/>
      <c r="AJ689" s="176"/>
      <c r="AK689" s="176"/>
      <c r="AL689" s="176"/>
      <c r="AM689" s="176"/>
      <c r="AN689" s="176"/>
      <c r="AO689" s="176"/>
      <c r="AP689" s="176"/>
      <c r="AQ689" s="176"/>
      <c r="AR689" s="176"/>
      <c r="AS689" s="176"/>
      <c r="AT689" s="176"/>
      <c r="AU689" s="176"/>
      <c r="AV689" s="176"/>
      <c r="AW689" s="176"/>
      <c r="AX689" s="176"/>
      <c r="AY689" s="176"/>
      <c r="AZ689" s="176"/>
      <c r="BA689" s="176"/>
      <c r="BB689" s="176"/>
      <c r="BC689" s="176"/>
      <c r="BD689" s="176"/>
    </row>
    <row r="690" ht="15.75" customHeight="1">
      <c r="A690" s="176"/>
      <c r="B690" s="176"/>
      <c r="C690" s="176"/>
      <c r="D690" s="176"/>
      <c r="E690" s="176"/>
      <c r="F690" s="176"/>
      <c r="G690" s="178"/>
      <c r="H690" s="176"/>
      <c r="I690" s="176"/>
      <c r="J690" s="176"/>
      <c r="K690" s="176"/>
      <c r="L690" s="176"/>
      <c r="M690" s="176"/>
      <c r="N690" s="176"/>
      <c r="O690" s="176"/>
      <c r="P690" s="176"/>
      <c r="Q690" s="176"/>
      <c r="R690" s="176"/>
      <c r="S690" s="176"/>
      <c r="T690" s="176"/>
      <c r="U690" s="176"/>
      <c r="V690" s="176"/>
      <c r="W690" s="176"/>
      <c r="X690" s="176"/>
      <c r="Y690" s="176"/>
      <c r="Z690" s="176"/>
      <c r="AA690" s="176"/>
      <c r="AB690" s="176"/>
      <c r="AC690" s="176"/>
      <c r="AD690" s="176"/>
      <c r="AE690" s="176"/>
      <c r="AF690" s="176"/>
      <c r="AG690" s="176"/>
      <c r="AH690" s="176"/>
      <c r="AI690" s="176"/>
      <c r="AJ690" s="176"/>
      <c r="AK690" s="176"/>
      <c r="AL690" s="176"/>
      <c r="AM690" s="176"/>
      <c r="AN690" s="176"/>
      <c r="AO690" s="176"/>
      <c r="AP690" s="176"/>
      <c r="AQ690" s="176"/>
      <c r="AR690" s="176"/>
      <c r="AS690" s="176"/>
      <c r="AT690" s="176"/>
      <c r="AU690" s="176"/>
      <c r="AV690" s="176"/>
      <c r="AW690" s="176"/>
      <c r="AX690" s="176"/>
      <c r="AY690" s="176"/>
      <c r="AZ690" s="176"/>
      <c r="BA690" s="176"/>
      <c r="BB690" s="176"/>
      <c r="BC690" s="176"/>
      <c r="BD690" s="176"/>
    </row>
    <row r="691" ht="15.75" customHeight="1">
      <c r="A691" s="176"/>
      <c r="B691" s="176"/>
      <c r="C691" s="176"/>
      <c r="D691" s="176"/>
      <c r="E691" s="176"/>
      <c r="F691" s="176"/>
      <c r="G691" s="178"/>
      <c r="H691" s="176"/>
      <c r="I691" s="176"/>
      <c r="J691" s="176"/>
      <c r="K691" s="176"/>
      <c r="L691" s="176"/>
      <c r="M691" s="176"/>
      <c r="N691" s="176"/>
      <c r="O691" s="176"/>
      <c r="P691" s="176"/>
      <c r="Q691" s="176"/>
      <c r="R691" s="176"/>
      <c r="S691" s="176"/>
      <c r="T691" s="176"/>
      <c r="U691" s="176"/>
      <c r="V691" s="176"/>
      <c r="W691" s="176"/>
      <c r="X691" s="176"/>
      <c r="Y691" s="176"/>
      <c r="Z691" s="176"/>
      <c r="AA691" s="176"/>
      <c r="AB691" s="176"/>
      <c r="AC691" s="176"/>
      <c r="AD691" s="176"/>
      <c r="AE691" s="176"/>
      <c r="AF691" s="176"/>
      <c r="AG691" s="176"/>
      <c r="AH691" s="176"/>
      <c r="AI691" s="176"/>
      <c r="AJ691" s="176"/>
      <c r="AK691" s="176"/>
      <c r="AL691" s="176"/>
      <c r="AM691" s="176"/>
      <c r="AN691" s="176"/>
      <c r="AO691" s="176"/>
      <c r="AP691" s="176"/>
      <c r="AQ691" s="176"/>
      <c r="AR691" s="176"/>
      <c r="AS691" s="176"/>
      <c r="AT691" s="176"/>
      <c r="AU691" s="176"/>
      <c r="AV691" s="176"/>
      <c r="AW691" s="176"/>
      <c r="AX691" s="176"/>
      <c r="AY691" s="176"/>
      <c r="AZ691" s="176"/>
      <c r="BA691" s="176"/>
      <c r="BB691" s="176"/>
      <c r="BC691" s="176"/>
      <c r="BD691" s="176"/>
    </row>
    <row r="692" ht="15.75" customHeight="1">
      <c r="A692" s="176"/>
      <c r="B692" s="176"/>
      <c r="C692" s="176"/>
      <c r="D692" s="176"/>
      <c r="E692" s="176"/>
      <c r="F692" s="176"/>
      <c r="G692" s="178"/>
      <c r="H692" s="176"/>
      <c r="I692" s="176"/>
      <c r="J692" s="176"/>
      <c r="K692" s="176"/>
      <c r="L692" s="176"/>
      <c r="M692" s="176"/>
      <c r="N692" s="176"/>
      <c r="O692" s="176"/>
      <c r="P692" s="176"/>
      <c r="Q692" s="176"/>
      <c r="R692" s="176"/>
      <c r="S692" s="176"/>
      <c r="T692" s="176"/>
      <c r="U692" s="176"/>
      <c r="V692" s="176"/>
      <c r="W692" s="176"/>
      <c r="X692" s="176"/>
      <c r="Y692" s="176"/>
      <c r="Z692" s="176"/>
      <c r="AA692" s="176"/>
      <c r="AB692" s="176"/>
      <c r="AC692" s="176"/>
      <c r="AD692" s="176"/>
      <c r="AE692" s="176"/>
      <c r="AF692" s="176"/>
      <c r="AG692" s="176"/>
      <c r="AH692" s="176"/>
      <c r="AI692" s="176"/>
      <c r="AJ692" s="176"/>
      <c r="AK692" s="176"/>
      <c r="AL692" s="176"/>
      <c r="AM692" s="176"/>
      <c r="AN692" s="176"/>
      <c r="AO692" s="176"/>
      <c r="AP692" s="176"/>
      <c r="AQ692" s="176"/>
      <c r="AR692" s="176"/>
      <c r="AS692" s="176"/>
      <c r="AT692" s="176"/>
      <c r="AU692" s="176"/>
      <c r="AV692" s="176"/>
      <c r="AW692" s="176"/>
      <c r="AX692" s="176"/>
      <c r="AY692" s="176"/>
      <c r="AZ692" s="176"/>
      <c r="BA692" s="176"/>
      <c r="BB692" s="176"/>
      <c r="BC692" s="176"/>
      <c r="BD692" s="176"/>
    </row>
    <row r="693" ht="15.75" customHeight="1">
      <c r="A693" s="176"/>
      <c r="B693" s="176"/>
      <c r="C693" s="176"/>
      <c r="D693" s="176"/>
      <c r="E693" s="176"/>
      <c r="F693" s="176"/>
      <c r="G693" s="178"/>
      <c r="H693" s="176"/>
      <c r="I693" s="176"/>
      <c r="J693" s="176"/>
      <c r="K693" s="176"/>
      <c r="L693" s="176"/>
      <c r="M693" s="176"/>
      <c r="N693" s="176"/>
      <c r="O693" s="176"/>
      <c r="P693" s="176"/>
      <c r="Q693" s="176"/>
      <c r="R693" s="176"/>
      <c r="S693" s="176"/>
      <c r="T693" s="176"/>
      <c r="U693" s="176"/>
      <c r="V693" s="176"/>
      <c r="W693" s="176"/>
      <c r="X693" s="176"/>
      <c r="Y693" s="176"/>
      <c r="Z693" s="176"/>
      <c r="AA693" s="176"/>
      <c r="AB693" s="176"/>
      <c r="AC693" s="176"/>
      <c r="AD693" s="176"/>
      <c r="AE693" s="176"/>
      <c r="AF693" s="176"/>
      <c r="AG693" s="176"/>
      <c r="AH693" s="176"/>
      <c r="AI693" s="176"/>
      <c r="AJ693" s="176"/>
      <c r="AK693" s="176"/>
      <c r="AL693" s="176"/>
      <c r="AM693" s="176"/>
      <c r="AN693" s="176"/>
      <c r="AO693" s="176"/>
      <c r="AP693" s="176"/>
      <c r="AQ693" s="176"/>
      <c r="AR693" s="176"/>
      <c r="AS693" s="176"/>
      <c r="AT693" s="176"/>
      <c r="AU693" s="176"/>
      <c r="AV693" s="176"/>
      <c r="AW693" s="176"/>
      <c r="AX693" s="176"/>
      <c r="AY693" s="176"/>
      <c r="AZ693" s="176"/>
      <c r="BA693" s="176"/>
      <c r="BB693" s="176"/>
      <c r="BC693" s="176"/>
      <c r="BD693" s="176"/>
    </row>
    <row r="694" ht="15.75" customHeight="1">
      <c r="A694" s="176"/>
      <c r="B694" s="176"/>
      <c r="C694" s="176"/>
      <c r="D694" s="176"/>
      <c r="E694" s="176"/>
      <c r="F694" s="176"/>
      <c r="G694" s="178"/>
      <c r="H694" s="176"/>
      <c r="I694" s="176"/>
      <c r="J694" s="176"/>
      <c r="K694" s="176"/>
      <c r="L694" s="176"/>
      <c r="M694" s="176"/>
      <c r="N694" s="176"/>
      <c r="O694" s="176"/>
      <c r="P694" s="176"/>
      <c r="Q694" s="176"/>
      <c r="R694" s="176"/>
      <c r="S694" s="176"/>
      <c r="T694" s="176"/>
      <c r="U694" s="176"/>
      <c r="V694" s="176"/>
      <c r="W694" s="176"/>
      <c r="X694" s="176"/>
      <c r="Y694" s="176"/>
      <c r="Z694" s="176"/>
      <c r="AA694" s="176"/>
      <c r="AB694" s="176"/>
      <c r="AC694" s="176"/>
      <c r="AD694" s="176"/>
      <c r="AE694" s="176"/>
      <c r="AF694" s="176"/>
      <c r="AG694" s="176"/>
      <c r="AH694" s="176"/>
      <c r="AI694" s="176"/>
      <c r="AJ694" s="176"/>
      <c r="AK694" s="176"/>
      <c r="AL694" s="176"/>
      <c r="AM694" s="176"/>
      <c r="AN694" s="176"/>
      <c r="AO694" s="176"/>
      <c r="AP694" s="176"/>
      <c r="AQ694" s="176"/>
      <c r="AR694" s="176"/>
      <c r="AS694" s="176"/>
      <c r="AT694" s="176"/>
      <c r="AU694" s="176"/>
      <c r="AV694" s="176"/>
      <c r="AW694" s="176"/>
      <c r="AX694" s="176"/>
      <c r="AY694" s="176"/>
      <c r="AZ694" s="176"/>
      <c r="BA694" s="176"/>
      <c r="BB694" s="176"/>
      <c r="BC694" s="176"/>
      <c r="BD694" s="176"/>
    </row>
    <row r="695" ht="15.75" customHeight="1">
      <c r="A695" s="176"/>
      <c r="B695" s="176"/>
      <c r="C695" s="176"/>
      <c r="D695" s="176"/>
      <c r="E695" s="176"/>
      <c r="F695" s="176"/>
      <c r="G695" s="178"/>
      <c r="H695" s="176"/>
      <c r="I695" s="176"/>
      <c r="J695" s="176"/>
      <c r="K695" s="176"/>
      <c r="L695" s="176"/>
      <c r="M695" s="176"/>
      <c r="N695" s="176"/>
      <c r="O695" s="176"/>
      <c r="P695" s="176"/>
      <c r="Q695" s="176"/>
      <c r="R695" s="176"/>
      <c r="S695" s="176"/>
      <c r="T695" s="176"/>
      <c r="U695" s="176"/>
      <c r="V695" s="176"/>
      <c r="W695" s="176"/>
      <c r="X695" s="176"/>
      <c r="Y695" s="176"/>
      <c r="Z695" s="176"/>
      <c r="AA695" s="176"/>
      <c r="AB695" s="176"/>
      <c r="AC695" s="176"/>
      <c r="AD695" s="176"/>
      <c r="AE695" s="176"/>
      <c r="AF695" s="176"/>
      <c r="AG695" s="176"/>
      <c r="AH695" s="176"/>
      <c r="AI695" s="176"/>
      <c r="AJ695" s="176"/>
      <c r="AK695" s="176"/>
      <c r="AL695" s="176"/>
      <c r="AM695" s="176"/>
      <c r="AN695" s="176"/>
      <c r="AO695" s="176"/>
      <c r="AP695" s="176"/>
      <c r="AQ695" s="176"/>
      <c r="AR695" s="176"/>
      <c r="AS695" s="176"/>
      <c r="AT695" s="176"/>
      <c r="AU695" s="176"/>
      <c r="AV695" s="176"/>
      <c r="AW695" s="176"/>
      <c r="AX695" s="176"/>
      <c r="AY695" s="176"/>
      <c r="AZ695" s="176"/>
      <c r="BA695" s="176"/>
      <c r="BB695" s="176"/>
      <c r="BC695" s="176"/>
      <c r="BD695" s="176"/>
    </row>
    <row r="696" ht="15.75" customHeight="1">
      <c r="A696" s="176"/>
      <c r="B696" s="176"/>
      <c r="C696" s="176"/>
      <c r="D696" s="176"/>
      <c r="E696" s="176"/>
      <c r="F696" s="176"/>
      <c r="G696" s="178"/>
      <c r="H696" s="176"/>
      <c r="I696" s="176"/>
      <c r="J696" s="176"/>
      <c r="K696" s="176"/>
      <c r="L696" s="176"/>
      <c r="M696" s="176"/>
      <c r="N696" s="176"/>
      <c r="O696" s="176"/>
      <c r="P696" s="176"/>
      <c r="Q696" s="176"/>
      <c r="R696" s="176"/>
      <c r="S696" s="176"/>
      <c r="T696" s="176"/>
      <c r="U696" s="176"/>
      <c r="V696" s="176"/>
      <c r="W696" s="176"/>
      <c r="X696" s="176"/>
      <c r="Y696" s="176"/>
      <c r="Z696" s="176"/>
      <c r="AA696" s="176"/>
      <c r="AB696" s="176"/>
      <c r="AC696" s="176"/>
      <c r="AD696" s="176"/>
      <c r="AE696" s="176"/>
      <c r="AF696" s="176"/>
      <c r="AG696" s="176"/>
      <c r="AH696" s="176"/>
      <c r="AI696" s="176"/>
      <c r="AJ696" s="176"/>
      <c r="AK696" s="176"/>
      <c r="AL696" s="176"/>
      <c r="AM696" s="176"/>
      <c r="AN696" s="176"/>
      <c r="AO696" s="176"/>
      <c r="AP696" s="176"/>
      <c r="AQ696" s="176"/>
      <c r="AR696" s="176"/>
      <c r="AS696" s="176"/>
      <c r="AT696" s="176"/>
      <c r="AU696" s="176"/>
      <c r="AV696" s="176"/>
      <c r="AW696" s="176"/>
      <c r="AX696" s="176"/>
      <c r="AY696" s="176"/>
      <c r="AZ696" s="176"/>
      <c r="BA696" s="176"/>
      <c r="BB696" s="176"/>
      <c r="BC696" s="176"/>
      <c r="BD696" s="176"/>
    </row>
    <row r="697" ht="15.75" customHeight="1">
      <c r="A697" s="176"/>
      <c r="B697" s="176"/>
      <c r="C697" s="176"/>
      <c r="D697" s="176"/>
      <c r="E697" s="176"/>
      <c r="F697" s="176"/>
      <c r="G697" s="178"/>
      <c r="H697" s="176"/>
      <c r="I697" s="176"/>
      <c r="J697" s="176"/>
      <c r="K697" s="176"/>
      <c r="L697" s="176"/>
      <c r="M697" s="176"/>
      <c r="N697" s="176"/>
      <c r="O697" s="176"/>
      <c r="P697" s="176"/>
      <c r="Q697" s="176"/>
      <c r="R697" s="176"/>
      <c r="S697" s="176"/>
      <c r="T697" s="176"/>
      <c r="U697" s="176"/>
      <c r="V697" s="176"/>
      <c r="W697" s="176"/>
      <c r="X697" s="176"/>
      <c r="Y697" s="176"/>
      <c r="Z697" s="176"/>
      <c r="AA697" s="176"/>
      <c r="AB697" s="176"/>
      <c r="AC697" s="176"/>
      <c r="AD697" s="176"/>
      <c r="AE697" s="176"/>
      <c r="AF697" s="176"/>
      <c r="AG697" s="176"/>
      <c r="AH697" s="176"/>
      <c r="AI697" s="176"/>
      <c r="AJ697" s="176"/>
      <c r="AK697" s="176"/>
      <c r="AL697" s="176"/>
      <c r="AM697" s="176"/>
      <c r="AN697" s="176"/>
      <c r="AO697" s="176"/>
      <c r="AP697" s="176"/>
      <c r="AQ697" s="176"/>
      <c r="AR697" s="176"/>
      <c r="AS697" s="176"/>
      <c r="AT697" s="176"/>
      <c r="AU697" s="176"/>
      <c r="AV697" s="176"/>
      <c r="AW697" s="176"/>
      <c r="AX697" s="176"/>
      <c r="AY697" s="176"/>
      <c r="AZ697" s="176"/>
      <c r="BA697" s="176"/>
      <c r="BB697" s="176"/>
      <c r="BC697" s="176"/>
      <c r="BD697" s="176"/>
    </row>
    <row r="698" ht="15.75" customHeight="1">
      <c r="A698" s="176"/>
      <c r="B698" s="176"/>
      <c r="C698" s="176"/>
      <c r="D698" s="176"/>
      <c r="E698" s="176"/>
      <c r="F698" s="176"/>
      <c r="G698" s="178"/>
      <c r="H698" s="176"/>
      <c r="I698" s="176"/>
      <c r="J698" s="176"/>
      <c r="K698" s="176"/>
      <c r="L698" s="176"/>
      <c r="M698" s="176"/>
      <c r="N698" s="176"/>
      <c r="O698" s="176"/>
      <c r="P698" s="176"/>
      <c r="Q698" s="176"/>
      <c r="R698" s="176"/>
      <c r="S698" s="176"/>
      <c r="T698" s="176"/>
      <c r="U698" s="176"/>
      <c r="V698" s="176"/>
      <c r="W698" s="176"/>
      <c r="X698" s="176"/>
      <c r="Y698" s="176"/>
      <c r="Z698" s="176"/>
      <c r="AA698" s="176"/>
      <c r="AB698" s="176"/>
      <c r="AC698" s="176"/>
      <c r="AD698" s="176"/>
      <c r="AE698" s="176"/>
      <c r="AF698" s="176"/>
      <c r="AG698" s="176"/>
      <c r="AH698" s="176"/>
      <c r="AI698" s="176"/>
      <c r="AJ698" s="176"/>
      <c r="AK698" s="176"/>
      <c r="AL698" s="176"/>
      <c r="AM698" s="176"/>
      <c r="AN698" s="176"/>
      <c r="AO698" s="176"/>
      <c r="AP698" s="176"/>
      <c r="AQ698" s="176"/>
      <c r="AR698" s="176"/>
      <c r="AS698" s="176"/>
      <c r="AT698" s="176"/>
      <c r="AU698" s="176"/>
      <c r="AV698" s="176"/>
      <c r="AW698" s="176"/>
      <c r="AX698" s="176"/>
      <c r="AY698" s="176"/>
      <c r="AZ698" s="176"/>
      <c r="BA698" s="176"/>
      <c r="BB698" s="176"/>
      <c r="BC698" s="176"/>
      <c r="BD698" s="176"/>
    </row>
    <row r="699" ht="15.75" customHeight="1">
      <c r="A699" s="176"/>
      <c r="B699" s="176"/>
      <c r="C699" s="176"/>
      <c r="D699" s="176"/>
      <c r="E699" s="176"/>
      <c r="F699" s="176"/>
      <c r="G699" s="178"/>
      <c r="H699" s="176"/>
      <c r="I699" s="176"/>
      <c r="J699" s="176"/>
      <c r="K699" s="176"/>
      <c r="L699" s="176"/>
      <c r="M699" s="176"/>
      <c r="N699" s="176"/>
      <c r="O699" s="176"/>
      <c r="P699" s="176"/>
      <c r="Q699" s="176"/>
      <c r="R699" s="176"/>
      <c r="S699" s="176"/>
      <c r="T699" s="176"/>
      <c r="U699" s="176"/>
      <c r="V699" s="176"/>
      <c r="W699" s="176"/>
      <c r="X699" s="176"/>
      <c r="Y699" s="176"/>
      <c r="Z699" s="176"/>
      <c r="AA699" s="176"/>
      <c r="AB699" s="176"/>
      <c r="AC699" s="176"/>
      <c r="AD699" s="176"/>
      <c r="AE699" s="176"/>
      <c r="AF699" s="176"/>
      <c r="AG699" s="176"/>
      <c r="AH699" s="176"/>
      <c r="AI699" s="176"/>
      <c r="AJ699" s="176"/>
      <c r="AK699" s="176"/>
      <c r="AL699" s="176"/>
      <c r="AM699" s="176"/>
      <c r="AN699" s="176"/>
      <c r="AO699" s="176"/>
      <c r="AP699" s="176"/>
      <c r="AQ699" s="176"/>
      <c r="AR699" s="176"/>
      <c r="AS699" s="176"/>
      <c r="AT699" s="176"/>
      <c r="AU699" s="176"/>
      <c r="AV699" s="176"/>
      <c r="AW699" s="176"/>
      <c r="AX699" s="176"/>
      <c r="AY699" s="176"/>
      <c r="AZ699" s="176"/>
      <c r="BA699" s="176"/>
      <c r="BB699" s="176"/>
      <c r="BC699" s="176"/>
      <c r="BD699" s="176"/>
    </row>
    <row r="700" ht="15.75" customHeight="1">
      <c r="A700" s="176"/>
      <c r="B700" s="176"/>
      <c r="C700" s="176"/>
      <c r="D700" s="176"/>
      <c r="E700" s="176"/>
      <c r="F700" s="176"/>
      <c r="G700" s="178"/>
      <c r="H700" s="176"/>
      <c r="I700" s="176"/>
      <c r="J700" s="176"/>
      <c r="K700" s="176"/>
      <c r="L700" s="176"/>
      <c r="M700" s="176"/>
      <c r="N700" s="176"/>
      <c r="O700" s="176"/>
      <c r="P700" s="176"/>
      <c r="Q700" s="176"/>
      <c r="R700" s="176"/>
      <c r="S700" s="176"/>
      <c r="T700" s="176"/>
      <c r="U700" s="176"/>
      <c r="V700" s="176"/>
      <c r="W700" s="176"/>
      <c r="X700" s="176"/>
      <c r="Y700" s="176"/>
      <c r="Z700" s="176"/>
      <c r="AA700" s="176"/>
      <c r="AB700" s="176"/>
      <c r="AC700" s="176"/>
      <c r="AD700" s="176"/>
      <c r="AE700" s="176"/>
      <c r="AF700" s="176"/>
      <c r="AG700" s="176"/>
      <c r="AH700" s="176"/>
      <c r="AI700" s="176"/>
      <c r="AJ700" s="176"/>
      <c r="AK700" s="176"/>
      <c r="AL700" s="176"/>
      <c r="AM700" s="176"/>
      <c r="AN700" s="176"/>
      <c r="AO700" s="176"/>
      <c r="AP700" s="176"/>
      <c r="AQ700" s="176"/>
      <c r="AR700" s="176"/>
      <c r="AS700" s="176"/>
      <c r="AT700" s="176"/>
      <c r="AU700" s="176"/>
      <c r="AV700" s="176"/>
      <c r="AW700" s="176"/>
      <c r="AX700" s="176"/>
      <c r="AY700" s="176"/>
      <c r="AZ700" s="176"/>
      <c r="BA700" s="176"/>
      <c r="BB700" s="176"/>
      <c r="BC700" s="176"/>
      <c r="BD700" s="176"/>
    </row>
    <row r="701" ht="15.75" customHeight="1">
      <c r="A701" s="176"/>
      <c r="B701" s="176"/>
      <c r="C701" s="176"/>
      <c r="D701" s="176"/>
      <c r="E701" s="176"/>
      <c r="F701" s="176"/>
      <c r="G701" s="178"/>
      <c r="H701" s="176"/>
      <c r="I701" s="176"/>
      <c r="J701" s="176"/>
      <c r="K701" s="176"/>
      <c r="L701" s="176"/>
      <c r="M701" s="176"/>
      <c r="N701" s="176"/>
      <c r="O701" s="176"/>
      <c r="P701" s="176"/>
      <c r="Q701" s="176"/>
      <c r="R701" s="176"/>
      <c r="S701" s="176"/>
      <c r="T701" s="176"/>
      <c r="U701" s="176"/>
      <c r="V701" s="176"/>
      <c r="W701" s="176"/>
      <c r="X701" s="176"/>
      <c r="Y701" s="176"/>
      <c r="Z701" s="176"/>
      <c r="AA701" s="176"/>
      <c r="AB701" s="176"/>
      <c r="AC701" s="176"/>
      <c r="AD701" s="176"/>
      <c r="AE701" s="176"/>
      <c r="AF701" s="176"/>
      <c r="AG701" s="176"/>
      <c r="AH701" s="176"/>
      <c r="AI701" s="176"/>
      <c r="AJ701" s="176"/>
      <c r="AK701" s="176"/>
      <c r="AL701" s="176"/>
      <c r="AM701" s="176"/>
      <c r="AN701" s="176"/>
      <c r="AO701" s="176"/>
      <c r="AP701" s="176"/>
      <c r="AQ701" s="176"/>
      <c r="AR701" s="176"/>
      <c r="AS701" s="176"/>
      <c r="AT701" s="176"/>
      <c r="AU701" s="176"/>
      <c r="AV701" s="176"/>
      <c r="AW701" s="176"/>
      <c r="AX701" s="176"/>
      <c r="AY701" s="176"/>
      <c r="AZ701" s="176"/>
      <c r="BA701" s="176"/>
      <c r="BB701" s="176"/>
      <c r="BC701" s="176"/>
      <c r="BD701" s="176"/>
    </row>
    <row r="702" ht="15.75" customHeight="1">
      <c r="A702" s="176"/>
      <c r="B702" s="176"/>
      <c r="C702" s="176"/>
      <c r="D702" s="176"/>
      <c r="E702" s="176"/>
      <c r="F702" s="176"/>
      <c r="G702" s="178"/>
      <c r="H702" s="176"/>
      <c r="I702" s="176"/>
      <c r="J702" s="176"/>
      <c r="K702" s="176"/>
      <c r="L702" s="176"/>
      <c r="M702" s="176"/>
      <c r="N702" s="176"/>
      <c r="O702" s="176"/>
      <c r="P702" s="176"/>
      <c r="Q702" s="176"/>
      <c r="R702" s="176"/>
      <c r="S702" s="176"/>
      <c r="T702" s="176"/>
      <c r="U702" s="176"/>
      <c r="V702" s="176"/>
      <c r="W702" s="176"/>
      <c r="X702" s="176"/>
      <c r="Y702" s="176"/>
      <c r="Z702" s="176"/>
      <c r="AA702" s="176"/>
      <c r="AB702" s="176"/>
      <c r="AC702" s="176"/>
      <c r="AD702" s="176"/>
      <c r="AE702" s="176"/>
      <c r="AF702" s="176"/>
      <c r="AG702" s="176"/>
      <c r="AH702" s="176"/>
      <c r="AI702" s="176"/>
      <c r="AJ702" s="176"/>
      <c r="AK702" s="176"/>
      <c r="AL702" s="176"/>
      <c r="AM702" s="176"/>
      <c r="AN702" s="176"/>
      <c r="AO702" s="176"/>
      <c r="AP702" s="176"/>
      <c r="AQ702" s="176"/>
      <c r="AR702" s="176"/>
      <c r="AS702" s="176"/>
      <c r="AT702" s="176"/>
      <c r="AU702" s="176"/>
      <c r="AV702" s="176"/>
      <c r="AW702" s="176"/>
      <c r="AX702" s="176"/>
      <c r="AY702" s="176"/>
      <c r="AZ702" s="176"/>
      <c r="BA702" s="176"/>
      <c r="BB702" s="176"/>
      <c r="BC702" s="176"/>
      <c r="BD702" s="176"/>
    </row>
    <row r="703" ht="15.75" customHeight="1">
      <c r="A703" s="176"/>
      <c r="B703" s="176"/>
      <c r="C703" s="176"/>
      <c r="D703" s="176"/>
      <c r="E703" s="176"/>
      <c r="F703" s="176"/>
      <c r="G703" s="178"/>
      <c r="H703" s="176"/>
      <c r="I703" s="176"/>
      <c r="J703" s="176"/>
      <c r="K703" s="176"/>
      <c r="L703" s="176"/>
      <c r="M703" s="176"/>
      <c r="N703" s="176"/>
      <c r="O703" s="176"/>
      <c r="P703" s="176"/>
      <c r="Q703" s="176"/>
      <c r="R703" s="176"/>
      <c r="S703" s="176"/>
      <c r="T703" s="176"/>
      <c r="U703" s="176"/>
      <c r="V703" s="176"/>
      <c r="W703" s="176"/>
      <c r="X703" s="176"/>
      <c r="Y703" s="176"/>
      <c r="Z703" s="176"/>
      <c r="AA703" s="176"/>
      <c r="AB703" s="176"/>
      <c r="AC703" s="176"/>
      <c r="AD703" s="176"/>
      <c r="AE703" s="176"/>
      <c r="AF703" s="176"/>
      <c r="AG703" s="176"/>
      <c r="AH703" s="176"/>
      <c r="AI703" s="176"/>
      <c r="AJ703" s="176"/>
      <c r="AK703" s="176"/>
      <c r="AL703" s="176"/>
      <c r="AM703" s="176"/>
      <c r="AN703" s="176"/>
      <c r="AO703" s="176"/>
      <c r="AP703" s="176"/>
      <c r="AQ703" s="176"/>
      <c r="AR703" s="176"/>
      <c r="AS703" s="176"/>
      <c r="AT703" s="176"/>
      <c r="AU703" s="176"/>
      <c r="AV703" s="176"/>
      <c r="AW703" s="176"/>
      <c r="AX703" s="176"/>
      <c r="AY703" s="176"/>
      <c r="AZ703" s="176"/>
      <c r="BA703" s="176"/>
      <c r="BB703" s="176"/>
      <c r="BC703" s="176"/>
      <c r="BD703" s="176"/>
    </row>
    <row r="704" ht="15.75" customHeight="1">
      <c r="A704" s="176"/>
      <c r="B704" s="176"/>
      <c r="C704" s="176"/>
      <c r="D704" s="176"/>
      <c r="E704" s="176"/>
      <c r="F704" s="176"/>
      <c r="G704" s="178"/>
      <c r="H704" s="176"/>
      <c r="I704" s="176"/>
      <c r="J704" s="176"/>
      <c r="K704" s="176"/>
      <c r="L704" s="176"/>
      <c r="M704" s="176"/>
      <c r="N704" s="176"/>
      <c r="O704" s="176"/>
      <c r="P704" s="176"/>
      <c r="Q704" s="176"/>
      <c r="R704" s="176"/>
      <c r="S704" s="176"/>
      <c r="T704" s="176"/>
      <c r="U704" s="176"/>
      <c r="V704" s="176"/>
      <c r="W704" s="176"/>
      <c r="X704" s="176"/>
      <c r="Y704" s="176"/>
      <c r="Z704" s="176"/>
      <c r="AA704" s="176"/>
      <c r="AB704" s="176"/>
      <c r="AC704" s="176"/>
      <c r="AD704" s="176"/>
      <c r="AE704" s="176"/>
      <c r="AF704" s="176"/>
      <c r="AG704" s="176"/>
      <c r="AH704" s="176"/>
      <c r="AI704" s="176"/>
      <c r="AJ704" s="176"/>
      <c r="AK704" s="176"/>
      <c r="AL704" s="176"/>
      <c r="AM704" s="176"/>
      <c r="AN704" s="176"/>
      <c r="AO704" s="176"/>
      <c r="AP704" s="176"/>
      <c r="AQ704" s="176"/>
      <c r="AR704" s="176"/>
      <c r="AS704" s="176"/>
      <c r="AT704" s="176"/>
      <c r="AU704" s="176"/>
      <c r="AV704" s="176"/>
      <c r="AW704" s="176"/>
      <c r="AX704" s="176"/>
      <c r="AY704" s="176"/>
      <c r="AZ704" s="176"/>
      <c r="BA704" s="176"/>
      <c r="BB704" s="176"/>
      <c r="BC704" s="176"/>
      <c r="BD704" s="176"/>
    </row>
    <row r="705" ht="15.75" customHeight="1">
      <c r="A705" s="176"/>
      <c r="B705" s="176"/>
      <c r="C705" s="176"/>
      <c r="D705" s="176"/>
      <c r="E705" s="176"/>
      <c r="F705" s="176"/>
      <c r="G705" s="178"/>
      <c r="H705" s="176"/>
      <c r="I705" s="176"/>
      <c r="J705" s="176"/>
      <c r="K705" s="176"/>
      <c r="L705" s="176"/>
      <c r="M705" s="176"/>
      <c r="N705" s="176"/>
      <c r="O705" s="176"/>
      <c r="P705" s="176"/>
      <c r="Q705" s="176"/>
      <c r="R705" s="176"/>
      <c r="S705" s="176"/>
      <c r="T705" s="176"/>
      <c r="U705" s="176"/>
      <c r="V705" s="176"/>
      <c r="W705" s="176"/>
      <c r="X705" s="176"/>
      <c r="Y705" s="176"/>
      <c r="Z705" s="176"/>
      <c r="AA705" s="176"/>
      <c r="AB705" s="176"/>
      <c r="AC705" s="176"/>
      <c r="AD705" s="176"/>
      <c r="AE705" s="176"/>
      <c r="AF705" s="176"/>
      <c r="AG705" s="176"/>
      <c r="AH705" s="176"/>
      <c r="AI705" s="176"/>
      <c r="AJ705" s="176"/>
      <c r="AK705" s="176"/>
      <c r="AL705" s="176"/>
      <c r="AM705" s="176"/>
      <c r="AN705" s="176"/>
      <c r="AO705" s="176"/>
      <c r="AP705" s="176"/>
      <c r="AQ705" s="176"/>
      <c r="AR705" s="176"/>
      <c r="AS705" s="176"/>
      <c r="AT705" s="176"/>
      <c r="AU705" s="176"/>
      <c r="AV705" s="176"/>
      <c r="AW705" s="176"/>
      <c r="AX705" s="176"/>
      <c r="AY705" s="176"/>
      <c r="AZ705" s="176"/>
      <c r="BA705" s="176"/>
      <c r="BB705" s="176"/>
      <c r="BC705" s="176"/>
      <c r="BD705" s="176"/>
    </row>
    <row r="706" ht="15.75" customHeight="1">
      <c r="A706" s="176"/>
      <c r="B706" s="176"/>
      <c r="C706" s="176"/>
      <c r="D706" s="176"/>
      <c r="E706" s="176"/>
      <c r="F706" s="176"/>
      <c r="G706" s="178"/>
      <c r="H706" s="176"/>
      <c r="I706" s="176"/>
      <c r="J706" s="176"/>
      <c r="K706" s="176"/>
      <c r="L706" s="176"/>
      <c r="M706" s="176"/>
      <c r="N706" s="176"/>
      <c r="O706" s="176"/>
      <c r="P706" s="176"/>
      <c r="Q706" s="176"/>
      <c r="R706" s="176"/>
      <c r="S706" s="176"/>
      <c r="T706" s="176"/>
      <c r="U706" s="176"/>
      <c r="V706" s="176"/>
      <c r="W706" s="176"/>
      <c r="X706" s="176"/>
      <c r="Y706" s="176"/>
      <c r="Z706" s="176"/>
      <c r="AA706" s="176"/>
      <c r="AB706" s="176"/>
      <c r="AC706" s="176"/>
      <c r="AD706" s="176"/>
      <c r="AE706" s="176"/>
      <c r="AF706" s="176"/>
      <c r="AG706" s="176"/>
      <c r="AH706" s="176"/>
      <c r="AI706" s="176"/>
      <c r="AJ706" s="176"/>
      <c r="AK706" s="176"/>
      <c r="AL706" s="176"/>
      <c r="AM706" s="176"/>
      <c r="AN706" s="176"/>
      <c r="AO706" s="176"/>
      <c r="AP706" s="176"/>
      <c r="AQ706" s="176"/>
      <c r="AR706" s="176"/>
      <c r="AS706" s="176"/>
      <c r="AT706" s="176"/>
      <c r="AU706" s="176"/>
      <c r="AV706" s="176"/>
      <c r="AW706" s="176"/>
      <c r="AX706" s="176"/>
      <c r="AY706" s="176"/>
      <c r="AZ706" s="176"/>
      <c r="BA706" s="176"/>
      <c r="BB706" s="176"/>
      <c r="BC706" s="176"/>
      <c r="BD706" s="176"/>
    </row>
    <row r="707" ht="15.75" customHeight="1">
      <c r="A707" s="176"/>
      <c r="B707" s="176"/>
      <c r="C707" s="176"/>
      <c r="D707" s="176"/>
      <c r="E707" s="176"/>
      <c r="F707" s="176"/>
      <c r="G707" s="178"/>
      <c r="H707" s="176"/>
      <c r="I707" s="176"/>
      <c r="J707" s="176"/>
      <c r="K707" s="176"/>
      <c r="L707" s="176"/>
      <c r="M707" s="176"/>
      <c r="N707" s="176"/>
      <c r="O707" s="176"/>
      <c r="P707" s="176"/>
      <c r="Q707" s="176"/>
      <c r="R707" s="176"/>
      <c r="S707" s="176"/>
      <c r="T707" s="176"/>
      <c r="U707" s="176"/>
      <c r="V707" s="176"/>
      <c r="W707" s="176"/>
      <c r="X707" s="176"/>
      <c r="Y707" s="176"/>
      <c r="Z707" s="176"/>
      <c r="AA707" s="176"/>
      <c r="AB707" s="176"/>
      <c r="AC707" s="176"/>
      <c r="AD707" s="176"/>
      <c r="AE707" s="176"/>
      <c r="AF707" s="176"/>
      <c r="AG707" s="176"/>
      <c r="AH707" s="176"/>
      <c r="AI707" s="176"/>
      <c r="AJ707" s="176"/>
      <c r="AK707" s="176"/>
      <c r="AL707" s="176"/>
      <c r="AM707" s="176"/>
      <c r="AN707" s="176"/>
      <c r="AO707" s="176"/>
      <c r="AP707" s="176"/>
      <c r="AQ707" s="176"/>
      <c r="AR707" s="176"/>
      <c r="AS707" s="176"/>
      <c r="AT707" s="176"/>
      <c r="AU707" s="176"/>
      <c r="AV707" s="176"/>
      <c r="AW707" s="176"/>
      <c r="AX707" s="176"/>
      <c r="AY707" s="176"/>
      <c r="AZ707" s="176"/>
      <c r="BA707" s="176"/>
      <c r="BB707" s="176"/>
      <c r="BC707" s="176"/>
      <c r="BD707" s="176"/>
    </row>
    <row r="708" ht="15.75" customHeight="1">
      <c r="A708" s="176"/>
      <c r="B708" s="176"/>
      <c r="C708" s="176"/>
      <c r="D708" s="176"/>
      <c r="E708" s="176"/>
      <c r="F708" s="176"/>
      <c r="G708" s="178"/>
      <c r="H708" s="176"/>
      <c r="I708" s="176"/>
      <c r="J708" s="176"/>
      <c r="K708" s="176"/>
      <c r="L708" s="176"/>
      <c r="M708" s="176"/>
      <c r="N708" s="176"/>
      <c r="O708" s="176"/>
      <c r="P708" s="176"/>
      <c r="Q708" s="176"/>
      <c r="R708" s="176"/>
      <c r="S708" s="176"/>
      <c r="T708" s="176"/>
      <c r="U708" s="176"/>
      <c r="V708" s="176"/>
      <c r="W708" s="176"/>
      <c r="X708" s="176"/>
      <c r="Y708" s="176"/>
      <c r="Z708" s="176"/>
      <c r="AA708" s="176"/>
      <c r="AB708" s="176"/>
      <c r="AC708" s="176"/>
      <c r="AD708" s="176"/>
      <c r="AE708" s="176"/>
      <c r="AF708" s="176"/>
      <c r="AG708" s="176"/>
      <c r="AH708" s="176"/>
      <c r="AI708" s="176"/>
      <c r="AJ708" s="176"/>
      <c r="AK708" s="176"/>
      <c r="AL708" s="176"/>
      <c r="AM708" s="176"/>
      <c r="AN708" s="176"/>
      <c r="AO708" s="176"/>
      <c r="AP708" s="176"/>
      <c r="AQ708" s="176"/>
      <c r="AR708" s="176"/>
      <c r="AS708" s="176"/>
      <c r="AT708" s="176"/>
      <c r="AU708" s="176"/>
      <c r="AV708" s="176"/>
      <c r="AW708" s="176"/>
      <c r="AX708" s="176"/>
      <c r="AY708" s="176"/>
      <c r="AZ708" s="176"/>
      <c r="BA708" s="176"/>
      <c r="BB708" s="176"/>
      <c r="BC708" s="176"/>
      <c r="BD708" s="176"/>
    </row>
    <row r="709" ht="15.75" customHeight="1">
      <c r="A709" s="176"/>
      <c r="B709" s="176"/>
      <c r="C709" s="176"/>
      <c r="D709" s="176"/>
      <c r="E709" s="176"/>
      <c r="F709" s="176"/>
      <c r="G709" s="178"/>
      <c r="H709" s="176"/>
      <c r="I709" s="176"/>
      <c r="J709" s="176"/>
      <c r="K709" s="176"/>
      <c r="L709" s="176"/>
      <c r="M709" s="176"/>
      <c r="N709" s="176"/>
      <c r="O709" s="176"/>
      <c r="P709" s="176"/>
      <c r="Q709" s="176"/>
      <c r="R709" s="176"/>
      <c r="S709" s="176"/>
      <c r="T709" s="176"/>
      <c r="U709" s="176"/>
      <c r="V709" s="176"/>
      <c r="W709" s="176"/>
      <c r="X709" s="176"/>
      <c r="Y709" s="176"/>
      <c r="Z709" s="176"/>
      <c r="AA709" s="176"/>
      <c r="AB709" s="176"/>
      <c r="AC709" s="176"/>
      <c r="AD709" s="176"/>
      <c r="AE709" s="176"/>
      <c r="AF709" s="176"/>
      <c r="AG709" s="176"/>
      <c r="AH709" s="176"/>
      <c r="AI709" s="176"/>
      <c r="AJ709" s="176"/>
      <c r="AK709" s="176"/>
      <c r="AL709" s="176"/>
      <c r="AM709" s="176"/>
      <c r="AN709" s="176"/>
      <c r="AO709" s="176"/>
      <c r="AP709" s="176"/>
      <c r="AQ709" s="176"/>
      <c r="AR709" s="176"/>
      <c r="AS709" s="176"/>
      <c r="AT709" s="176"/>
      <c r="AU709" s="176"/>
      <c r="AV709" s="176"/>
      <c r="AW709" s="176"/>
      <c r="AX709" s="176"/>
      <c r="AY709" s="176"/>
      <c r="AZ709" s="176"/>
      <c r="BA709" s="176"/>
      <c r="BB709" s="176"/>
      <c r="BC709" s="176"/>
      <c r="BD709" s="176"/>
    </row>
    <row r="710" ht="15.75" customHeight="1">
      <c r="A710" s="176"/>
      <c r="B710" s="176"/>
      <c r="C710" s="176"/>
      <c r="D710" s="176"/>
      <c r="E710" s="176"/>
      <c r="F710" s="176"/>
      <c r="G710" s="178"/>
      <c r="H710" s="176"/>
      <c r="I710" s="176"/>
      <c r="J710" s="176"/>
      <c r="K710" s="176"/>
      <c r="L710" s="176"/>
      <c r="M710" s="176"/>
      <c r="N710" s="176"/>
      <c r="O710" s="176"/>
      <c r="P710" s="176"/>
      <c r="Q710" s="176"/>
      <c r="R710" s="176"/>
      <c r="S710" s="176"/>
      <c r="T710" s="176"/>
      <c r="U710" s="176"/>
      <c r="V710" s="176"/>
      <c r="W710" s="176"/>
      <c r="X710" s="176"/>
      <c r="Y710" s="176"/>
      <c r="Z710" s="176"/>
      <c r="AA710" s="176"/>
      <c r="AB710" s="176"/>
      <c r="AC710" s="176"/>
      <c r="AD710" s="176"/>
      <c r="AE710" s="176"/>
      <c r="AF710" s="176"/>
      <c r="AG710" s="176"/>
      <c r="AH710" s="176"/>
      <c r="AI710" s="176"/>
      <c r="AJ710" s="176"/>
      <c r="AK710" s="176"/>
      <c r="AL710" s="176"/>
      <c r="AM710" s="176"/>
      <c r="AN710" s="176"/>
      <c r="AO710" s="176"/>
      <c r="AP710" s="176"/>
      <c r="AQ710" s="176"/>
      <c r="AR710" s="176"/>
      <c r="AS710" s="176"/>
      <c r="AT710" s="176"/>
      <c r="AU710" s="176"/>
      <c r="AV710" s="176"/>
      <c r="AW710" s="176"/>
      <c r="AX710" s="176"/>
      <c r="AY710" s="176"/>
      <c r="AZ710" s="176"/>
      <c r="BA710" s="176"/>
      <c r="BB710" s="176"/>
      <c r="BC710" s="176"/>
      <c r="BD710" s="176"/>
    </row>
    <row r="711" ht="15.75" customHeight="1">
      <c r="A711" s="176"/>
      <c r="B711" s="176"/>
      <c r="C711" s="176"/>
      <c r="D711" s="176"/>
      <c r="E711" s="176"/>
      <c r="F711" s="176"/>
      <c r="G711" s="178"/>
      <c r="H711" s="176"/>
      <c r="I711" s="176"/>
      <c r="J711" s="176"/>
      <c r="K711" s="176"/>
      <c r="L711" s="176"/>
      <c r="M711" s="176"/>
      <c r="N711" s="176"/>
      <c r="O711" s="176"/>
      <c r="P711" s="176"/>
      <c r="Q711" s="176"/>
      <c r="R711" s="176"/>
      <c r="S711" s="176"/>
      <c r="T711" s="176"/>
      <c r="U711" s="176"/>
      <c r="V711" s="176"/>
      <c r="W711" s="176"/>
      <c r="X711" s="176"/>
      <c r="Y711" s="176"/>
      <c r="Z711" s="176"/>
      <c r="AA711" s="176"/>
      <c r="AB711" s="176"/>
      <c r="AC711" s="176"/>
      <c r="AD711" s="176"/>
      <c r="AE711" s="176"/>
      <c r="AF711" s="176"/>
      <c r="AG711" s="176"/>
      <c r="AH711" s="176"/>
      <c r="AI711" s="176"/>
      <c r="AJ711" s="176"/>
      <c r="AK711" s="176"/>
      <c r="AL711" s="176"/>
      <c r="AM711" s="176"/>
      <c r="AN711" s="176"/>
      <c r="AO711" s="176"/>
      <c r="AP711" s="176"/>
      <c r="AQ711" s="176"/>
      <c r="AR711" s="176"/>
      <c r="AS711" s="176"/>
      <c r="AT711" s="176"/>
      <c r="AU711" s="176"/>
      <c r="AV711" s="176"/>
      <c r="AW711" s="176"/>
      <c r="AX711" s="176"/>
      <c r="AY711" s="176"/>
      <c r="AZ711" s="176"/>
      <c r="BA711" s="176"/>
      <c r="BB711" s="176"/>
      <c r="BC711" s="176"/>
      <c r="BD711" s="176"/>
    </row>
    <row r="712" ht="15.75" customHeight="1">
      <c r="A712" s="176"/>
      <c r="B712" s="176"/>
      <c r="C712" s="176"/>
      <c r="D712" s="176"/>
      <c r="E712" s="176"/>
      <c r="F712" s="176"/>
      <c r="G712" s="178"/>
      <c r="H712" s="176"/>
      <c r="I712" s="176"/>
      <c r="J712" s="176"/>
      <c r="K712" s="176"/>
      <c r="L712" s="176"/>
      <c r="M712" s="176"/>
      <c r="N712" s="176"/>
      <c r="O712" s="176"/>
      <c r="P712" s="176"/>
      <c r="Q712" s="176"/>
      <c r="R712" s="176"/>
      <c r="S712" s="176"/>
      <c r="T712" s="176"/>
      <c r="U712" s="176"/>
      <c r="V712" s="176"/>
      <c r="W712" s="176"/>
      <c r="X712" s="176"/>
      <c r="Y712" s="176"/>
      <c r="Z712" s="176"/>
      <c r="AA712" s="176"/>
      <c r="AB712" s="176"/>
      <c r="AC712" s="176"/>
      <c r="AD712" s="176"/>
      <c r="AE712" s="176"/>
      <c r="AF712" s="176"/>
      <c r="AG712" s="176"/>
      <c r="AH712" s="176"/>
      <c r="AI712" s="176"/>
      <c r="AJ712" s="176"/>
      <c r="AK712" s="176"/>
      <c r="AL712" s="176"/>
      <c r="AM712" s="176"/>
      <c r="AN712" s="176"/>
      <c r="AO712" s="176"/>
      <c r="AP712" s="176"/>
      <c r="AQ712" s="176"/>
      <c r="AR712" s="176"/>
      <c r="AS712" s="176"/>
      <c r="AT712" s="176"/>
      <c r="AU712" s="176"/>
      <c r="AV712" s="176"/>
      <c r="AW712" s="176"/>
      <c r="AX712" s="176"/>
      <c r="AY712" s="176"/>
      <c r="AZ712" s="176"/>
      <c r="BA712" s="176"/>
      <c r="BB712" s="176"/>
      <c r="BC712" s="176"/>
      <c r="BD712" s="176"/>
    </row>
    <row r="713" ht="15.75" customHeight="1">
      <c r="A713" s="176"/>
      <c r="B713" s="176"/>
      <c r="C713" s="176"/>
      <c r="D713" s="176"/>
      <c r="E713" s="176"/>
      <c r="F713" s="176"/>
      <c r="G713" s="178"/>
      <c r="H713" s="176"/>
      <c r="I713" s="176"/>
      <c r="J713" s="176"/>
      <c r="K713" s="176"/>
      <c r="L713" s="176"/>
      <c r="M713" s="176"/>
      <c r="N713" s="176"/>
      <c r="O713" s="176"/>
      <c r="P713" s="176"/>
      <c r="Q713" s="176"/>
      <c r="R713" s="176"/>
      <c r="S713" s="176"/>
      <c r="T713" s="176"/>
      <c r="U713" s="176"/>
      <c r="V713" s="176"/>
      <c r="W713" s="176"/>
      <c r="X713" s="176"/>
      <c r="Y713" s="176"/>
      <c r="Z713" s="176"/>
      <c r="AA713" s="176"/>
      <c r="AB713" s="176"/>
      <c r="AC713" s="176"/>
      <c r="AD713" s="176"/>
      <c r="AE713" s="176"/>
      <c r="AF713" s="176"/>
      <c r="AG713" s="176"/>
      <c r="AH713" s="176"/>
      <c r="AI713" s="176"/>
      <c r="AJ713" s="176"/>
      <c r="AK713" s="176"/>
      <c r="AL713" s="176"/>
      <c r="AM713" s="176"/>
      <c r="AN713" s="176"/>
      <c r="AO713" s="176"/>
      <c r="AP713" s="176"/>
      <c r="AQ713" s="176"/>
      <c r="AR713" s="176"/>
      <c r="AS713" s="176"/>
      <c r="AT713" s="176"/>
      <c r="AU713" s="176"/>
      <c r="AV713" s="176"/>
      <c r="AW713" s="176"/>
      <c r="AX713" s="176"/>
      <c r="AY713" s="176"/>
      <c r="AZ713" s="176"/>
      <c r="BA713" s="176"/>
      <c r="BB713" s="176"/>
      <c r="BC713" s="176"/>
      <c r="BD713" s="176"/>
    </row>
    <row r="714" ht="15.75" customHeight="1">
      <c r="A714" s="176"/>
      <c r="B714" s="176"/>
      <c r="C714" s="176"/>
      <c r="D714" s="176"/>
      <c r="E714" s="176"/>
      <c r="F714" s="176"/>
      <c r="G714" s="178"/>
      <c r="H714" s="176"/>
      <c r="I714" s="176"/>
      <c r="J714" s="176"/>
      <c r="K714" s="176"/>
      <c r="L714" s="176"/>
      <c r="M714" s="176"/>
      <c r="N714" s="176"/>
      <c r="O714" s="176"/>
      <c r="P714" s="176"/>
      <c r="Q714" s="176"/>
      <c r="R714" s="176"/>
      <c r="S714" s="176"/>
      <c r="T714" s="176"/>
      <c r="U714" s="176"/>
      <c r="V714" s="176"/>
      <c r="W714" s="176"/>
      <c r="X714" s="176"/>
      <c r="Y714" s="176"/>
      <c r="Z714" s="176"/>
      <c r="AA714" s="176"/>
      <c r="AB714" s="176"/>
      <c r="AC714" s="176"/>
      <c r="AD714" s="176"/>
      <c r="AE714" s="176"/>
      <c r="AF714" s="176"/>
      <c r="AG714" s="176"/>
      <c r="AH714" s="176"/>
      <c r="AI714" s="176"/>
      <c r="AJ714" s="176"/>
      <c r="AK714" s="176"/>
      <c r="AL714" s="176"/>
      <c r="AM714" s="176"/>
      <c r="AN714" s="176"/>
      <c r="AO714" s="176"/>
      <c r="AP714" s="176"/>
      <c r="AQ714" s="176"/>
      <c r="AR714" s="176"/>
      <c r="AS714" s="176"/>
      <c r="AT714" s="176"/>
      <c r="AU714" s="176"/>
      <c r="AV714" s="176"/>
      <c r="AW714" s="176"/>
      <c r="AX714" s="176"/>
      <c r="AY714" s="176"/>
      <c r="AZ714" s="176"/>
      <c r="BA714" s="176"/>
      <c r="BB714" s="176"/>
      <c r="BC714" s="176"/>
      <c r="BD714" s="176"/>
    </row>
    <row r="715" ht="15.75" customHeight="1">
      <c r="A715" s="176"/>
      <c r="B715" s="176"/>
      <c r="C715" s="176"/>
      <c r="D715" s="176"/>
      <c r="E715" s="176"/>
      <c r="F715" s="176"/>
      <c r="G715" s="178"/>
      <c r="H715" s="176"/>
      <c r="I715" s="176"/>
      <c r="J715" s="176"/>
      <c r="K715" s="176"/>
      <c r="L715" s="176"/>
      <c r="M715" s="176"/>
      <c r="N715" s="176"/>
      <c r="O715" s="176"/>
      <c r="P715" s="176"/>
      <c r="Q715" s="176"/>
      <c r="R715" s="176"/>
      <c r="S715" s="176"/>
      <c r="T715" s="176"/>
      <c r="U715" s="176"/>
      <c r="V715" s="176"/>
      <c r="W715" s="176"/>
      <c r="X715" s="176"/>
      <c r="Y715" s="176"/>
      <c r="Z715" s="176"/>
      <c r="AA715" s="176"/>
      <c r="AB715" s="176"/>
      <c r="AC715" s="176"/>
      <c r="AD715" s="176"/>
      <c r="AE715" s="176"/>
      <c r="AF715" s="176"/>
      <c r="AG715" s="176"/>
      <c r="AH715" s="176"/>
      <c r="AI715" s="176"/>
      <c r="AJ715" s="176"/>
      <c r="AK715" s="176"/>
      <c r="AL715" s="176"/>
      <c r="AM715" s="176"/>
      <c r="AN715" s="176"/>
      <c r="AO715" s="176"/>
      <c r="AP715" s="176"/>
      <c r="AQ715" s="176"/>
      <c r="AR715" s="176"/>
      <c r="AS715" s="176"/>
      <c r="AT715" s="176"/>
      <c r="AU715" s="176"/>
      <c r="AV715" s="176"/>
      <c r="AW715" s="176"/>
      <c r="AX715" s="176"/>
      <c r="AY715" s="176"/>
      <c r="AZ715" s="176"/>
      <c r="BA715" s="176"/>
      <c r="BB715" s="176"/>
      <c r="BC715" s="176"/>
      <c r="BD715" s="176"/>
    </row>
    <row r="716" ht="15.75" customHeight="1">
      <c r="A716" s="176"/>
      <c r="B716" s="176"/>
      <c r="C716" s="176"/>
      <c r="D716" s="176"/>
      <c r="E716" s="176"/>
      <c r="F716" s="176"/>
      <c r="G716" s="178"/>
      <c r="H716" s="176"/>
      <c r="I716" s="176"/>
      <c r="J716" s="176"/>
      <c r="K716" s="176"/>
      <c r="L716" s="176"/>
      <c r="M716" s="176"/>
      <c r="N716" s="176"/>
      <c r="O716" s="176"/>
      <c r="P716" s="176"/>
      <c r="Q716" s="176"/>
      <c r="R716" s="176"/>
      <c r="S716" s="176"/>
      <c r="T716" s="176"/>
      <c r="U716" s="176"/>
      <c r="V716" s="176"/>
      <c r="W716" s="176"/>
      <c r="X716" s="176"/>
      <c r="Y716" s="176"/>
      <c r="Z716" s="176"/>
      <c r="AA716" s="176"/>
      <c r="AB716" s="176"/>
      <c r="AC716" s="176"/>
      <c r="AD716" s="176"/>
      <c r="AE716" s="176"/>
      <c r="AF716" s="176"/>
      <c r="AG716" s="176"/>
      <c r="AH716" s="176"/>
      <c r="AI716" s="176"/>
      <c r="AJ716" s="176"/>
      <c r="AK716" s="176"/>
      <c r="AL716" s="176"/>
      <c r="AM716" s="176"/>
      <c r="AN716" s="176"/>
      <c r="AO716" s="176"/>
      <c r="AP716" s="176"/>
      <c r="AQ716" s="176"/>
      <c r="AR716" s="176"/>
      <c r="AS716" s="176"/>
      <c r="AT716" s="176"/>
      <c r="AU716" s="176"/>
      <c r="AV716" s="176"/>
      <c r="AW716" s="176"/>
      <c r="AX716" s="176"/>
      <c r="AY716" s="176"/>
      <c r="AZ716" s="176"/>
      <c r="BA716" s="176"/>
      <c r="BB716" s="176"/>
      <c r="BC716" s="176"/>
      <c r="BD716" s="176"/>
    </row>
    <row r="717" ht="15.75" customHeight="1">
      <c r="A717" s="176"/>
      <c r="B717" s="176"/>
      <c r="C717" s="176"/>
      <c r="D717" s="176"/>
      <c r="E717" s="176"/>
      <c r="F717" s="176"/>
      <c r="G717" s="178"/>
      <c r="H717" s="176"/>
      <c r="I717" s="176"/>
      <c r="J717" s="176"/>
      <c r="K717" s="176"/>
      <c r="L717" s="176"/>
      <c r="M717" s="176"/>
      <c r="N717" s="176"/>
      <c r="O717" s="176"/>
      <c r="P717" s="176"/>
      <c r="Q717" s="176"/>
      <c r="R717" s="176"/>
      <c r="S717" s="176"/>
      <c r="T717" s="176"/>
      <c r="U717" s="176"/>
      <c r="V717" s="176"/>
      <c r="W717" s="176"/>
      <c r="X717" s="176"/>
      <c r="Y717" s="176"/>
      <c r="Z717" s="176"/>
      <c r="AA717" s="176"/>
      <c r="AB717" s="176"/>
      <c r="AC717" s="176"/>
      <c r="AD717" s="176"/>
      <c r="AE717" s="176"/>
      <c r="AF717" s="176"/>
      <c r="AG717" s="176"/>
      <c r="AH717" s="176"/>
      <c r="AI717" s="176"/>
      <c r="AJ717" s="176"/>
      <c r="AK717" s="176"/>
      <c r="AL717" s="176"/>
      <c r="AM717" s="176"/>
      <c r="AN717" s="176"/>
      <c r="AO717" s="176"/>
      <c r="AP717" s="176"/>
      <c r="AQ717" s="176"/>
      <c r="AR717" s="176"/>
      <c r="AS717" s="176"/>
      <c r="AT717" s="176"/>
      <c r="AU717" s="176"/>
      <c r="AV717" s="176"/>
      <c r="AW717" s="176"/>
      <c r="AX717" s="176"/>
      <c r="AY717" s="176"/>
      <c r="AZ717" s="176"/>
      <c r="BA717" s="176"/>
      <c r="BB717" s="176"/>
      <c r="BC717" s="176"/>
      <c r="BD717" s="176"/>
    </row>
    <row r="718" ht="15.75" customHeight="1">
      <c r="A718" s="176"/>
      <c r="B718" s="176"/>
      <c r="C718" s="176"/>
      <c r="D718" s="176"/>
      <c r="E718" s="176"/>
      <c r="F718" s="176"/>
      <c r="G718" s="178"/>
      <c r="H718" s="176"/>
      <c r="I718" s="176"/>
      <c r="J718" s="176"/>
      <c r="K718" s="176"/>
      <c r="L718" s="176"/>
      <c r="M718" s="176"/>
      <c r="N718" s="176"/>
      <c r="O718" s="176"/>
      <c r="P718" s="176"/>
      <c r="Q718" s="176"/>
      <c r="R718" s="176"/>
      <c r="S718" s="176"/>
      <c r="T718" s="176"/>
      <c r="U718" s="176"/>
      <c r="V718" s="176"/>
      <c r="W718" s="176"/>
      <c r="X718" s="176"/>
      <c r="Y718" s="176"/>
      <c r="Z718" s="176"/>
      <c r="AA718" s="176"/>
      <c r="AB718" s="176"/>
      <c r="AC718" s="176"/>
      <c r="AD718" s="176"/>
      <c r="AE718" s="176"/>
      <c r="AF718" s="176"/>
      <c r="AG718" s="176"/>
      <c r="AH718" s="176"/>
      <c r="AI718" s="176"/>
      <c r="AJ718" s="176"/>
      <c r="AK718" s="176"/>
      <c r="AL718" s="176"/>
      <c r="AM718" s="176"/>
      <c r="AN718" s="176"/>
      <c r="AO718" s="176"/>
      <c r="AP718" s="176"/>
      <c r="AQ718" s="176"/>
      <c r="AR718" s="176"/>
      <c r="AS718" s="176"/>
      <c r="AT718" s="176"/>
      <c r="AU718" s="176"/>
      <c r="AV718" s="176"/>
      <c r="AW718" s="176"/>
      <c r="AX718" s="176"/>
      <c r="AY718" s="176"/>
      <c r="AZ718" s="176"/>
      <c r="BA718" s="176"/>
      <c r="BB718" s="176"/>
      <c r="BC718" s="176"/>
      <c r="BD718" s="176"/>
    </row>
    <row r="719" ht="15.75" customHeight="1">
      <c r="A719" s="176"/>
      <c r="B719" s="176"/>
      <c r="C719" s="176"/>
      <c r="D719" s="176"/>
      <c r="E719" s="176"/>
      <c r="F719" s="176"/>
      <c r="G719" s="178"/>
      <c r="H719" s="176"/>
      <c r="I719" s="176"/>
      <c r="J719" s="176"/>
      <c r="K719" s="176"/>
      <c r="L719" s="176"/>
      <c r="M719" s="176"/>
      <c r="N719" s="176"/>
      <c r="O719" s="176"/>
      <c r="P719" s="176"/>
      <c r="Q719" s="176"/>
      <c r="R719" s="176"/>
      <c r="S719" s="176"/>
      <c r="T719" s="176"/>
      <c r="U719" s="176"/>
      <c r="V719" s="176"/>
      <c r="W719" s="176"/>
      <c r="X719" s="176"/>
      <c r="Y719" s="176"/>
      <c r="Z719" s="176"/>
      <c r="AA719" s="176"/>
      <c r="AB719" s="176"/>
      <c r="AC719" s="176"/>
      <c r="AD719" s="176"/>
      <c r="AE719" s="176"/>
      <c r="AF719" s="176"/>
      <c r="AG719" s="176"/>
      <c r="AH719" s="176"/>
      <c r="AI719" s="176"/>
      <c r="AJ719" s="176"/>
      <c r="AK719" s="176"/>
      <c r="AL719" s="176"/>
      <c r="AM719" s="176"/>
      <c r="AN719" s="176"/>
      <c r="AO719" s="176"/>
      <c r="AP719" s="176"/>
      <c r="AQ719" s="176"/>
      <c r="AR719" s="176"/>
      <c r="AS719" s="176"/>
      <c r="AT719" s="176"/>
      <c r="AU719" s="176"/>
      <c r="AV719" s="176"/>
      <c r="AW719" s="176"/>
      <c r="AX719" s="176"/>
      <c r="AY719" s="176"/>
      <c r="AZ719" s="176"/>
      <c r="BA719" s="176"/>
      <c r="BB719" s="176"/>
      <c r="BC719" s="176"/>
      <c r="BD719" s="176"/>
    </row>
    <row r="720" ht="15.75" customHeight="1">
      <c r="A720" s="176"/>
      <c r="B720" s="176"/>
      <c r="C720" s="176"/>
      <c r="D720" s="176"/>
      <c r="E720" s="176"/>
      <c r="F720" s="176"/>
      <c r="G720" s="178"/>
      <c r="H720" s="176"/>
      <c r="I720" s="176"/>
      <c r="J720" s="176"/>
      <c r="K720" s="176"/>
      <c r="L720" s="176"/>
      <c r="M720" s="176"/>
      <c r="N720" s="176"/>
      <c r="O720" s="176"/>
      <c r="P720" s="176"/>
      <c r="Q720" s="176"/>
      <c r="R720" s="176"/>
      <c r="S720" s="176"/>
      <c r="T720" s="176"/>
      <c r="U720" s="176"/>
      <c r="V720" s="176"/>
      <c r="W720" s="176"/>
      <c r="X720" s="176"/>
      <c r="Y720" s="176"/>
      <c r="Z720" s="176"/>
      <c r="AA720" s="176"/>
      <c r="AB720" s="176"/>
      <c r="AC720" s="176"/>
      <c r="AD720" s="176"/>
      <c r="AE720" s="176"/>
      <c r="AF720" s="176"/>
      <c r="AG720" s="176"/>
      <c r="AH720" s="176"/>
      <c r="AI720" s="176"/>
      <c r="AJ720" s="176"/>
      <c r="AK720" s="176"/>
      <c r="AL720" s="176"/>
      <c r="AM720" s="176"/>
      <c r="AN720" s="176"/>
      <c r="AO720" s="176"/>
      <c r="AP720" s="176"/>
      <c r="AQ720" s="176"/>
      <c r="AR720" s="176"/>
      <c r="AS720" s="176"/>
      <c r="AT720" s="176"/>
      <c r="AU720" s="176"/>
      <c r="AV720" s="176"/>
      <c r="AW720" s="176"/>
      <c r="AX720" s="176"/>
      <c r="AY720" s="176"/>
      <c r="AZ720" s="176"/>
      <c r="BA720" s="176"/>
      <c r="BB720" s="176"/>
      <c r="BC720" s="176"/>
      <c r="BD720" s="176"/>
    </row>
    <row r="721" ht="15.75" customHeight="1">
      <c r="A721" s="176"/>
      <c r="B721" s="176"/>
      <c r="C721" s="176"/>
      <c r="D721" s="176"/>
      <c r="E721" s="176"/>
      <c r="F721" s="176"/>
      <c r="G721" s="178"/>
      <c r="H721" s="176"/>
      <c r="I721" s="176"/>
      <c r="J721" s="176"/>
      <c r="K721" s="176"/>
      <c r="L721" s="176"/>
      <c r="M721" s="176"/>
      <c r="N721" s="176"/>
      <c r="O721" s="176"/>
      <c r="P721" s="176"/>
      <c r="Q721" s="176"/>
      <c r="R721" s="176"/>
      <c r="S721" s="176"/>
      <c r="T721" s="176"/>
      <c r="U721" s="176"/>
      <c r="V721" s="176"/>
      <c r="W721" s="176"/>
      <c r="X721" s="176"/>
      <c r="Y721" s="176"/>
      <c r="Z721" s="176"/>
      <c r="AA721" s="176"/>
      <c r="AB721" s="176"/>
      <c r="AC721" s="176"/>
      <c r="AD721" s="176"/>
      <c r="AE721" s="176"/>
      <c r="AF721" s="176"/>
      <c r="AG721" s="176"/>
      <c r="AH721" s="176"/>
      <c r="AI721" s="176"/>
      <c r="AJ721" s="176"/>
      <c r="AK721" s="176"/>
      <c r="AL721" s="176"/>
      <c r="AM721" s="176"/>
      <c r="AN721" s="176"/>
      <c r="AO721" s="176"/>
      <c r="AP721" s="176"/>
      <c r="AQ721" s="176"/>
      <c r="AR721" s="176"/>
      <c r="AS721" s="176"/>
      <c r="AT721" s="176"/>
      <c r="AU721" s="176"/>
      <c r="AV721" s="176"/>
      <c r="AW721" s="176"/>
      <c r="AX721" s="176"/>
      <c r="AY721" s="176"/>
      <c r="AZ721" s="176"/>
      <c r="BA721" s="176"/>
      <c r="BB721" s="176"/>
      <c r="BC721" s="176"/>
      <c r="BD721" s="176"/>
    </row>
    <row r="722" ht="15.75" customHeight="1">
      <c r="A722" s="176"/>
      <c r="B722" s="176"/>
      <c r="C722" s="176"/>
      <c r="D722" s="176"/>
      <c r="E722" s="176"/>
      <c r="F722" s="176"/>
      <c r="G722" s="178"/>
      <c r="H722" s="176"/>
      <c r="I722" s="176"/>
      <c r="J722" s="176"/>
      <c r="K722" s="176"/>
      <c r="L722" s="176"/>
      <c r="M722" s="176"/>
      <c r="N722" s="176"/>
      <c r="O722" s="176"/>
      <c r="P722" s="176"/>
      <c r="Q722" s="176"/>
      <c r="R722" s="176"/>
      <c r="S722" s="176"/>
      <c r="T722" s="176"/>
      <c r="U722" s="176"/>
      <c r="V722" s="176"/>
      <c r="W722" s="176"/>
      <c r="X722" s="176"/>
      <c r="Y722" s="176"/>
      <c r="Z722" s="176"/>
      <c r="AA722" s="176"/>
      <c r="AB722" s="176"/>
      <c r="AC722" s="176"/>
      <c r="AD722" s="176"/>
      <c r="AE722" s="176"/>
      <c r="AF722" s="176"/>
      <c r="AG722" s="176"/>
      <c r="AH722" s="176"/>
      <c r="AI722" s="176"/>
      <c r="AJ722" s="176"/>
      <c r="AK722" s="176"/>
      <c r="AL722" s="176"/>
      <c r="AM722" s="176"/>
      <c r="AN722" s="176"/>
      <c r="AO722" s="176"/>
      <c r="AP722" s="176"/>
      <c r="AQ722" s="176"/>
      <c r="AR722" s="176"/>
      <c r="AS722" s="176"/>
      <c r="AT722" s="176"/>
      <c r="AU722" s="176"/>
      <c r="AV722" s="176"/>
      <c r="AW722" s="176"/>
      <c r="AX722" s="176"/>
      <c r="AY722" s="176"/>
      <c r="AZ722" s="176"/>
      <c r="BA722" s="176"/>
      <c r="BB722" s="176"/>
      <c r="BC722" s="176"/>
      <c r="BD722" s="176"/>
    </row>
    <row r="723" ht="15.75" customHeight="1">
      <c r="A723" s="176"/>
      <c r="B723" s="176"/>
      <c r="C723" s="176"/>
      <c r="D723" s="176"/>
      <c r="E723" s="176"/>
      <c r="F723" s="176"/>
      <c r="G723" s="178"/>
      <c r="H723" s="176"/>
      <c r="I723" s="176"/>
      <c r="J723" s="176"/>
      <c r="K723" s="176"/>
      <c r="L723" s="176"/>
      <c r="M723" s="176"/>
      <c r="N723" s="176"/>
      <c r="O723" s="176"/>
      <c r="P723" s="176"/>
      <c r="Q723" s="176"/>
      <c r="R723" s="176"/>
      <c r="S723" s="176"/>
      <c r="T723" s="176"/>
      <c r="U723" s="176"/>
      <c r="V723" s="176"/>
      <c r="W723" s="176"/>
      <c r="X723" s="176"/>
      <c r="Y723" s="176"/>
      <c r="Z723" s="176"/>
      <c r="AA723" s="176"/>
      <c r="AB723" s="176"/>
      <c r="AC723" s="176"/>
      <c r="AD723" s="176"/>
      <c r="AE723" s="176"/>
      <c r="AF723" s="176"/>
      <c r="AG723" s="176"/>
      <c r="AH723" s="176"/>
      <c r="AI723" s="176"/>
      <c r="AJ723" s="176"/>
      <c r="AK723" s="176"/>
      <c r="AL723" s="176"/>
      <c r="AM723" s="176"/>
      <c r="AN723" s="176"/>
      <c r="AO723" s="176"/>
      <c r="AP723" s="176"/>
      <c r="AQ723" s="176"/>
      <c r="AR723" s="176"/>
      <c r="AS723" s="176"/>
      <c r="AT723" s="176"/>
      <c r="AU723" s="176"/>
      <c r="AV723" s="176"/>
      <c r="AW723" s="176"/>
      <c r="AX723" s="176"/>
      <c r="AY723" s="176"/>
      <c r="AZ723" s="176"/>
      <c r="BA723" s="176"/>
      <c r="BB723" s="176"/>
      <c r="BC723" s="176"/>
      <c r="BD723" s="176"/>
    </row>
    <row r="724" ht="15.75" customHeight="1">
      <c r="A724" s="176"/>
      <c r="B724" s="176"/>
      <c r="C724" s="176"/>
      <c r="D724" s="176"/>
      <c r="E724" s="176"/>
      <c r="F724" s="176"/>
      <c r="G724" s="178"/>
      <c r="H724" s="176"/>
      <c r="I724" s="176"/>
      <c r="J724" s="176"/>
      <c r="K724" s="176"/>
      <c r="L724" s="176"/>
      <c r="M724" s="176"/>
      <c r="N724" s="176"/>
      <c r="O724" s="176"/>
      <c r="P724" s="176"/>
      <c r="Q724" s="176"/>
      <c r="R724" s="176"/>
      <c r="S724" s="176"/>
      <c r="T724" s="176"/>
      <c r="U724" s="176"/>
      <c r="V724" s="176"/>
      <c r="W724" s="176"/>
      <c r="X724" s="176"/>
      <c r="Y724" s="176"/>
      <c r="Z724" s="176"/>
      <c r="AA724" s="176"/>
      <c r="AB724" s="176"/>
      <c r="AC724" s="176"/>
      <c r="AD724" s="176"/>
      <c r="AE724" s="176"/>
      <c r="AF724" s="176"/>
      <c r="AG724" s="176"/>
      <c r="AH724" s="176"/>
      <c r="AI724" s="176"/>
      <c r="AJ724" s="176"/>
      <c r="AK724" s="176"/>
      <c r="AL724" s="176"/>
      <c r="AM724" s="176"/>
      <c r="AN724" s="176"/>
      <c r="AO724" s="176"/>
      <c r="AP724" s="176"/>
      <c r="AQ724" s="176"/>
      <c r="AR724" s="176"/>
      <c r="AS724" s="176"/>
      <c r="AT724" s="176"/>
      <c r="AU724" s="176"/>
      <c r="AV724" s="176"/>
      <c r="AW724" s="176"/>
      <c r="AX724" s="176"/>
      <c r="AY724" s="176"/>
      <c r="AZ724" s="176"/>
      <c r="BA724" s="176"/>
      <c r="BB724" s="176"/>
      <c r="BC724" s="176"/>
      <c r="BD724" s="176"/>
    </row>
    <row r="725" ht="15.75" customHeight="1">
      <c r="A725" s="176"/>
      <c r="B725" s="176"/>
      <c r="C725" s="176"/>
      <c r="D725" s="176"/>
      <c r="E725" s="176"/>
      <c r="F725" s="176"/>
      <c r="G725" s="178"/>
      <c r="H725" s="176"/>
      <c r="I725" s="176"/>
      <c r="J725" s="176"/>
      <c r="K725" s="176"/>
      <c r="L725" s="176"/>
      <c r="M725" s="176"/>
      <c r="N725" s="176"/>
      <c r="O725" s="176"/>
      <c r="P725" s="176"/>
      <c r="Q725" s="176"/>
      <c r="R725" s="176"/>
      <c r="S725" s="176"/>
      <c r="T725" s="176"/>
      <c r="U725" s="176"/>
      <c r="V725" s="176"/>
      <c r="W725" s="176"/>
      <c r="X725" s="176"/>
      <c r="Y725" s="176"/>
      <c r="Z725" s="176"/>
      <c r="AA725" s="176"/>
      <c r="AB725" s="176"/>
      <c r="AC725" s="176"/>
      <c r="AD725" s="176"/>
      <c r="AE725" s="176"/>
      <c r="AF725" s="176"/>
      <c r="AG725" s="176"/>
      <c r="AH725" s="176"/>
      <c r="AI725" s="176"/>
      <c r="AJ725" s="176"/>
      <c r="AK725" s="176"/>
      <c r="AL725" s="176"/>
      <c r="AM725" s="176"/>
      <c r="AN725" s="176"/>
      <c r="AO725" s="176"/>
      <c r="AP725" s="176"/>
      <c r="AQ725" s="176"/>
      <c r="AR725" s="176"/>
      <c r="AS725" s="176"/>
      <c r="AT725" s="176"/>
      <c r="AU725" s="176"/>
      <c r="AV725" s="176"/>
      <c r="AW725" s="176"/>
      <c r="AX725" s="176"/>
      <c r="AY725" s="176"/>
      <c r="AZ725" s="176"/>
      <c r="BA725" s="176"/>
      <c r="BB725" s="176"/>
      <c r="BC725" s="176"/>
      <c r="BD725" s="176"/>
    </row>
    <row r="726" ht="15.75" customHeight="1">
      <c r="A726" s="176"/>
      <c r="B726" s="176"/>
      <c r="C726" s="176"/>
      <c r="D726" s="176"/>
      <c r="E726" s="176"/>
      <c r="F726" s="176"/>
      <c r="G726" s="178"/>
      <c r="H726" s="176"/>
      <c r="I726" s="176"/>
      <c r="J726" s="176"/>
      <c r="K726" s="176"/>
      <c r="L726" s="176"/>
      <c r="M726" s="176"/>
      <c r="N726" s="176"/>
      <c r="O726" s="176"/>
      <c r="P726" s="176"/>
      <c r="Q726" s="176"/>
      <c r="R726" s="176"/>
      <c r="S726" s="176"/>
      <c r="T726" s="176"/>
      <c r="U726" s="176"/>
      <c r="V726" s="176"/>
      <c r="W726" s="176"/>
      <c r="X726" s="176"/>
      <c r="Y726" s="176"/>
      <c r="Z726" s="176"/>
      <c r="AA726" s="176"/>
      <c r="AB726" s="176"/>
      <c r="AC726" s="176"/>
      <c r="AD726" s="176"/>
      <c r="AE726" s="176"/>
      <c r="AF726" s="176"/>
      <c r="AG726" s="176"/>
      <c r="AH726" s="176"/>
      <c r="AI726" s="176"/>
      <c r="AJ726" s="176"/>
      <c r="AK726" s="176"/>
      <c r="AL726" s="176"/>
      <c r="AM726" s="176"/>
      <c r="AN726" s="176"/>
      <c r="AO726" s="176"/>
      <c r="AP726" s="176"/>
      <c r="AQ726" s="176"/>
      <c r="AR726" s="176"/>
      <c r="AS726" s="176"/>
      <c r="AT726" s="176"/>
      <c r="AU726" s="176"/>
      <c r="AV726" s="176"/>
      <c r="AW726" s="176"/>
      <c r="AX726" s="176"/>
      <c r="AY726" s="176"/>
      <c r="AZ726" s="176"/>
      <c r="BA726" s="176"/>
      <c r="BB726" s="176"/>
      <c r="BC726" s="176"/>
      <c r="BD726" s="176"/>
    </row>
    <row r="727" ht="15.75" customHeight="1">
      <c r="A727" s="176"/>
      <c r="B727" s="176"/>
      <c r="C727" s="176"/>
      <c r="D727" s="176"/>
      <c r="E727" s="176"/>
      <c r="F727" s="176"/>
      <c r="G727" s="178"/>
      <c r="H727" s="176"/>
      <c r="I727" s="176"/>
      <c r="J727" s="176"/>
      <c r="K727" s="176"/>
      <c r="L727" s="176"/>
      <c r="M727" s="176"/>
      <c r="N727" s="176"/>
      <c r="O727" s="176"/>
      <c r="P727" s="176"/>
      <c r="Q727" s="176"/>
      <c r="R727" s="176"/>
      <c r="S727" s="176"/>
      <c r="T727" s="176"/>
      <c r="U727" s="176"/>
      <c r="V727" s="176"/>
      <c r="W727" s="176"/>
      <c r="X727" s="176"/>
      <c r="Y727" s="176"/>
      <c r="Z727" s="176"/>
      <c r="AA727" s="176"/>
      <c r="AB727" s="176"/>
      <c r="AC727" s="176"/>
      <c r="AD727" s="176"/>
      <c r="AE727" s="176"/>
      <c r="AF727" s="176"/>
      <c r="AG727" s="176"/>
      <c r="AH727" s="176"/>
      <c r="AI727" s="176"/>
      <c r="AJ727" s="176"/>
      <c r="AK727" s="176"/>
      <c r="AL727" s="176"/>
      <c r="AM727" s="176"/>
      <c r="AN727" s="176"/>
      <c r="AO727" s="176"/>
      <c r="AP727" s="176"/>
      <c r="AQ727" s="176"/>
      <c r="AR727" s="176"/>
      <c r="AS727" s="176"/>
      <c r="AT727" s="176"/>
      <c r="AU727" s="176"/>
      <c r="AV727" s="176"/>
      <c r="AW727" s="176"/>
      <c r="AX727" s="176"/>
      <c r="AY727" s="176"/>
      <c r="AZ727" s="176"/>
      <c r="BA727" s="176"/>
      <c r="BB727" s="176"/>
      <c r="BC727" s="176"/>
      <c r="BD727" s="176"/>
    </row>
    <row r="728" ht="15.75" customHeight="1">
      <c r="A728" s="176"/>
      <c r="B728" s="176"/>
      <c r="C728" s="176"/>
      <c r="D728" s="176"/>
      <c r="E728" s="176"/>
      <c r="F728" s="176"/>
      <c r="G728" s="178"/>
      <c r="H728" s="176"/>
      <c r="I728" s="176"/>
      <c r="J728" s="176"/>
      <c r="K728" s="176"/>
      <c r="L728" s="176"/>
      <c r="M728" s="176"/>
      <c r="N728" s="176"/>
      <c r="O728" s="176"/>
      <c r="P728" s="176"/>
      <c r="Q728" s="176"/>
      <c r="R728" s="176"/>
      <c r="S728" s="176"/>
      <c r="T728" s="176"/>
      <c r="U728" s="176"/>
      <c r="V728" s="176"/>
      <c r="W728" s="176"/>
      <c r="X728" s="176"/>
      <c r="Y728" s="176"/>
      <c r="Z728" s="176"/>
      <c r="AA728" s="176"/>
      <c r="AB728" s="176"/>
      <c r="AC728" s="176"/>
      <c r="AD728" s="176"/>
      <c r="AE728" s="176"/>
      <c r="AF728" s="176"/>
      <c r="AG728" s="176"/>
      <c r="AH728" s="176"/>
      <c r="AI728" s="176"/>
      <c r="AJ728" s="176"/>
      <c r="AK728" s="176"/>
      <c r="AL728" s="176"/>
      <c r="AM728" s="176"/>
      <c r="AN728" s="176"/>
      <c r="AO728" s="176"/>
      <c r="AP728" s="176"/>
      <c r="AQ728" s="176"/>
      <c r="AR728" s="176"/>
      <c r="AS728" s="176"/>
      <c r="AT728" s="176"/>
      <c r="AU728" s="176"/>
      <c r="AV728" s="176"/>
      <c r="AW728" s="176"/>
      <c r="AX728" s="176"/>
      <c r="AY728" s="176"/>
      <c r="AZ728" s="176"/>
      <c r="BA728" s="176"/>
      <c r="BB728" s="176"/>
      <c r="BC728" s="176"/>
      <c r="BD728" s="176"/>
    </row>
    <row r="729" ht="15.75" customHeight="1">
      <c r="A729" s="176"/>
      <c r="B729" s="176"/>
      <c r="C729" s="176"/>
      <c r="D729" s="176"/>
      <c r="E729" s="176"/>
      <c r="F729" s="176"/>
      <c r="G729" s="178"/>
      <c r="H729" s="176"/>
      <c r="I729" s="176"/>
      <c r="J729" s="176"/>
      <c r="K729" s="176"/>
      <c r="L729" s="176"/>
      <c r="M729" s="176"/>
      <c r="N729" s="176"/>
      <c r="O729" s="176"/>
      <c r="P729" s="176"/>
      <c r="Q729" s="176"/>
      <c r="R729" s="176"/>
      <c r="S729" s="176"/>
      <c r="T729" s="176"/>
      <c r="U729" s="176"/>
      <c r="V729" s="176"/>
      <c r="W729" s="176"/>
      <c r="X729" s="176"/>
      <c r="Y729" s="176"/>
      <c r="Z729" s="176"/>
      <c r="AA729" s="176"/>
      <c r="AB729" s="176"/>
      <c r="AC729" s="176"/>
      <c r="AD729" s="176"/>
      <c r="AE729" s="176"/>
      <c r="AF729" s="176"/>
      <c r="AG729" s="176"/>
      <c r="AH729" s="176"/>
      <c r="AI729" s="176"/>
      <c r="AJ729" s="176"/>
      <c r="AK729" s="176"/>
      <c r="AL729" s="176"/>
      <c r="AM729" s="176"/>
      <c r="AN729" s="176"/>
      <c r="AO729" s="176"/>
      <c r="AP729" s="176"/>
      <c r="AQ729" s="176"/>
      <c r="AR729" s="176"/>
      <c r="AS729" s="176"/>
      <c r="AT729" s="176"/>
      <c r="AU729" s="176"/>
      <c r="AV729" s="176"/>
      <c r="AW729" s="176"/>
      <c r="AX729" s="176"/>
      <c r="AY729" s="176"/>
      <c r="AZ729" s="176"/>
      <c r="BA729" s="176"/>
      <c r="BB729" s="176"/>
      <c r="BC729" s="176"/>
      <c r="BD729" s="176"/>
    </row>
    <row r="730" ht="15.75" customHeight="1">
      <c r="A730" s="176"/>
      <c r="B730" s="176"/>
      <c r="C730" s="176"/>
      <c r="D730" s="176"/>
      <c r="E730" s="176"/>
      <c r="F730" s="176"/>
      <c r="G730" s="178"/>
      <c r="H730" s="176"/>
      <c r="I730" s="176"/>
      <c r="J730" s="176"/>
      <c r="K730" s="176"/>
      <c r="L730" s="176"/>
      <c r="M730" s="176"/>
      <c r="N730" s="176"/>
      <c r="O730" s="176"/>
      <c r="P730" s="176"/>
      <c r="Q730" s="176"/>
      <c r="R730" s="176"/>
      <c r="S730" s="176"/>
      <c r="T730" s="176"/>
      <c r="U730" s="176"/>
      <c r="V730" s="176"/>
      <c r="W730" s="176"/>
      <c r="X730" s="176"/>
      <c r="Y730" s="176"/>
      <c r="Z730" s="176"/>
      <c r="AA730" s="176"/>
      <c r="AB730" s="176"/>
      <c r="AC730" s="176"/>
      <c r="AD730" s="176"/>
      <c r="AE730" s="176"/>
      <c r="AF730" s="176"/>
      <c r="AG730" s="176"/>
      <c r="AH730" s="176"/>
      <c r="AI730" s="176"/>
      <c r="AJ730" s="176"/>
      <c r="AK730" s="176"/>
      <c r="AL730" s="176"/>
      <c r="AM730" s="176"/>
      <c r="AN730" s="176"/>
      <c r="AO730" s="176"/>
      <c r="AP730" s="176"/>
      <c r="AQ730" s="176"/>
      <c r="AR730" s="176"/>
      <c r="AS730" s="176"/>
      <c r="AT730" s="176"/>
      <c r="AU730" s="176"/>
      <c r="AV730" s="176"/>
      <c r="AW730" s="176"/>
      <c r="AX730" s="176"/>
      <c r="AY730" s="176"/>
      <c r="AZ730" s="176"/>
      <c r="BA730" s="176"/>
      <c r="BB730" s="176"/>
      <c r="BC730" s="176"/>
      <c r="BD730" s="176"/>
    </row>
    <row r="731" ht="15.75" customHeight="1">
      <c r="A731" s="176"/>
      <c r="B731" s="176"/>
      <c r="C731" s="176"/>
      <c r="D731" s="176"/>
      <c r="E731" s="176"/>
      <c r="F731" s="176"/>
      <c r="G731" s="178"/>
      <c r="H731" s="176"/>
      <c r="I731" s="176"/>
      <c r="J731" s="176"/>
      <c r="K731" s="176"/>
      <c r="L731" s="176"/>
      <c r="M731" s="176"/>
      <c r="N731" s="176"/>
      <c r="O731" s="176"/>
      <c r="P731" s="176"/>
      <c r="Q731" s="176"/>
      <c r="R731" s="176"/>
      <c r="S731" s="176"/>
      <c r="T731" s="176"/>
      <c r="U731" s="176"/>
      <c r="V731" s="176"/>
      <c r="W731" s="176"/>
      <c r="X731" s="176"/>
      <c r="Y731" s="176"/>
      <c r="Z731" s="176"/>
      <c r="AA731" s="176"/>
      <c r="AB731" s="176"/>
      <c r="AC731" s="176"/>
      <c r="AD731" s="176"/>
      <c r="AE731" s="176"/>
      <c r="AF731" s="176"/>
      <c r="AG731" s="176"/>
      <c r="AH731" s="176"/>
      <c r="AI731" s="176"/>
      <c r="AJ731" s="176"/>
      <c r="AK731" s="176"/>
      <c r="AL731" s="176"/>
      <c r="AM731" s="176"/>
      <c r="AN731" s="176"/>
      <c r="AO731" s="176"/>
      <c r="AP731" s="176"/>
      <c r="AQ731" s="176"/>
      <c r="AR731" s="176"/>
      <c r="AS731" s="176"/>
      <c r="AT731" s="176"/>
      <c r="AU731" s="176"/>
      <c r="AV731" s="176"/>
      <c r="AW731" s="176"/>
      <c r="AX731" s="176"/>
      <c r="AY731" s="176"/>
      <c r="AZ731" s="176"/>
      <c r="BA731" s="176"/>
      <c r="BB731" s="176"/>
      <c r="BC731" s="176"/>
      <c r="BD731" s="176"/>
    </row>
    <row r="732" ht="15.75" customHeight="1">
      <c r="A732" s="176"/>
      <c r="B732" s="176"/>
      <c r="C732" s="176"/>
      <c r="D732" s="176"/>
      <c r="E732" s="176"/>
      <c r="F732" s="176"/>
      <c r="G732" s="178"/>
      <c r="H732" s="176"/>
      <c r="I732" s="176"/>
      <c r="J732" s="176"/>
      <c r="K732" s="176"/>
      <c r="L732" s="176"/>
      <c r="M732" s="176"/>
      <c r="N732" s="176"/>
      <c r="O732" s="176"/>
      <c r="P732" s="176"/>
      <c r="Q732" s="176"/>
      <c r="R732" s="176"/>
      <c r="S732" s="176"/>
      <c r="T732" s="176"/>
      <c r="U732" s="176"/>
      <c r="V732" s="176"/>
      <c r="W732" s="176"/>
      <c r="X732" s="176"/>
      <c r="Y732" s="176"/>
      <c r="Z732" s="176"/>
      <c r="AA732" s="176"/>
      <c r="AB732" s="176"/>
      <c r="AC732" s="176"/>
      <c r="AD732" s="176"/>
      <c r="AE732" s="176"/>
      <c r="AF732" s="176"/>
      <c r="AG732" s="176"/>
      <c r="AH732" s="176"/>
      <c r="AI732" s="176"/>
      <c r="AJ732" s="176"/>
      <c r="AK732" s="176"/>
      <c r="AL732" s="176"/>
      <c r="AM732" s="176"/>
      <c r="AN732" s="176"/>
      <c r="AO732" s="176"/>
      <c r="AP732" s="176"/>
      <c r="AQ732" s="176"/>
      <c r="AR732" s="176"/>
      <c r="AS732" s="176"/>
      <c r="AT732" s="176"/>
      <c r="AU732" s="176"/>
      <c r="AV732" s="176"/>
      <c r="AW732" s="176"/>
      <c r="AX732" s="176"/>
      <c r="AY732" s="176"/>
      <c r="AZ732" s="176"/>
      <c r="BA732" s="176"/>
      <c r="BB732" s="176"/>
      <c r="BC732" s="176"/>
      <c r="BD732" s="176"/>
    </row>
    <row r="733" ht="15.75" customHeight="1">
      <c r="A733" s="176"/>
      <c r="B733" s="176"/>
      <c r="C733" s="176"/>
      <c r="D733" s="176"/>
      <c r="E733" s="176"/>
      <c r="F733" s="176"/>
      <c r="G733" s="178"/>
      <c r="H733" s="176"/>
      <c r="I733" s="176"/>
      <c r="J733" s="176"/>
      <c r="K733" s="176"/>
      <c r="L733" s="176"/>
      <c r="M733" s="176"/>
      <c r="N733" s="176"/>
      <c r="O733" s="176"/>
      <c r="P733" s="176"/>
      <c r="Q733" s="176"/>
      <c r="R733" s="176"/>
      <c r="S733" s="176"/>
      <c r="T733" s="176"/>
      <c r="U733" s="176"/>
      <c r="V733" s="176"/>
      <c r="W733" s="176"/>
      <c r="X733" s="176"/>
      <c r="Y733" s="176"/>
      <c r="Z733" s="176"/>
      <c r="AA733" s="176"/>
      <c r="AB733" s="176"/>
      <c r="AC733" s="176"/>
      <c r="AD733" s="176"/>
      <c r="AE733" s="176"/>
      <c r="AF733" s="176"/>
      <c r="AG733" s="176"/>
      <c r="AH733" s="176"/>
      <c r="AI733" s="176"/>
      <c r="AJ733" s="176"/>
      <c r="AK733" s="176"/>
      <c r="AL733" s="176"/>
      <c r="AM733" s="176"/>
      <c r="AN733" s="176"/>
      <c r="AO733" s="176"/>
      <c r="AP733" s="176"/>
      <c r="AQ733" s="176"/>
      <c r="AR733" s="176"/>
      <c r="AS733" s="176"/>
      <c r="AT733" s="176"/>
      <c r="AU733" s="176"/>
      <c r="AV733" s="176"/>
      <c r="AW733" s="176"/>
      <c r="AX733" s="176"/>
      <c r="AY733" s="176"/>
      <c r="AZ733" s="176"/>
      <c r="BA733" s="176"/>
      <c r="BB733" s="176"/>
      <c r="BC733" s="176"/>
      <c r="BD733" s="176"/>
    </row>
    <row r="734" ht="15.75" customHeight="1">
      <c r="A734" s="176"/>
      <c r="B734" s="176"/>
      <c r="C734" s="176"/>
      <c r="D734" s="176"/>
      <c r="E734" s="176"/>
      <c r="F734" s="176"/>
      <c r="G734" s="178"/>
      <c r="H734" s="176"/>
      <c r="I734" s="176"/>
      <c r="J734" s="176"/>
      <c r="K734" s="176"/>
      <c r="L734" s="176"/>
      <c r="M734" s="176"/>
      <c r="N734" s="176"/>
      <c r="O734" s="176"/>
      <c r="P734" s="176"/>
      <c r="Q734" s="176"/>
      <c r="R734" s="176"/>
      <c r="S734" s="176"/>
      <c r="T734" s="176"/>
      <c r="U734" s="176"/>
      <c r="V734" s="176"/>
      <c r="W734" s="176"/>
      <c r="X734" s="176"/>
      <c r="Y734" s="176"/>
      <c r="Z734" s="176"/>
      <c r="AA734" s="176"/>
      <c r="AB734" s="176"/>
      <c r="AC734" s="176"/>
      <c r="AD734" s="176"/>
      <c r="AE734" s="176"/>
      <c r="AF734" s="176"/>
      <c r="AG734" s="176"/>
      <c r="AH734" s="176"/>
      <c r="AI734" s="176"/>
      <c r="AJ734" s="176"/>
      <c r="AK734" s="176"/>
      <c r="AL734" s="176"/>
      <c r="AM734" s="176"/>
      <c r="AN734" s="176"/>
      <c r="AO734" s="176"/>
      <c r="AP734" s="176"/>
      <c r="AQ734" s="176"/>
      <c r="AR734" s="176"/>
      <c r="AS734" s="176"/>
      <c r="AT734" s="176"/>
      <c r="AU734" s="176"/>
      <c r="AV734" s="176"/>
      <c r="AW734" s="176"/>
      <c r="AX734" s="176"/>
      <c r="AY734" s="176"/>
      <c r="AZ734" s="176"/>
      <c r="BA734" s="176"/>
      <c r="BB734" s="176"/>
      <c r="BC734" s="176"/>
      <c r="BD734" s="176"/>
    </row>
    <row r="735" ht="15.75" customHeight="1">
      <c r="A735" s="176"/>
      <c r="B735" s="176"/>
      <c r="C735" s="176"/>
      <c r="D735" s="176"/>
      <c r="E735" s="176"/>
      <c r="F735" s="176"/>
      <c r="G735" s="178"/>
      <c r="H735" s="176"/>
      <c r="I735" s="176"/>
      <c r="J735" s="176"/>
      <c r="K735" s="176"/>
      <c r="L735" s="176"/>
      <c r="M735" s="176"/>
      <c r="N735" s="176"/>
      <c r="O735" s="176"/>
      <c r="P735" s="176"/>
      <c r="Q735" s="176"/>
      <c r="R735" s="176"/>
      <c r="S735" s="176"/>
      <c r="T735" s="176"/>
      <c r="U735" s="176"/>
      <c r="V735" s="176"/>
      <c r="W735" s="176"/>
      <c r="X735" s="176"/>
      <c r="Y735" s="176"/>
      <c r="Z735" s="176"/>
      <c r="AA735" s="176"/>
      <c r="AB735" s="176"/>
      <c r="AC735" s="176"/>
      <c r="AD735" s="176"/>
      <c r="AE735" s="176"/>
      <c r="AF735" s="176"/>
      <c r="AG735" s="176"/>
      <c r="AH735" s="176"/>
      <c r="AI735" s="176"/>
      <c r="AJ735" s="176"/>
      <c r="AK735" s="176"/>
      <c r="AL735" s="176"/>
      <c r="AM735" s="176"/>
      <c r="AN735" s="176"/>
      <c r="AO735" s="176"/>
      <c r="AP735" s="176"/>
      <c r="AQ735" s="176"/>
      <c r="AR735" s="176"/>
      <c r="AS735" s="176"/>
      <c r="AT735" s="176"/>
      <c r="AU735" s="176"/>
      <c r="AV735" s="176"/>
      <c r="AW735" s="176"/>
      <c r="AX735" s="176"/>
      <c r="AY735" s="176"/>
      <c r="AZ735" s="176"/>
      <c r="BA735" s="176"/>
      <c r="BB735" s="176"/>
      <c r="BC735" s="176"/>
      <c r="BD735" s="176"/>
    </row>
    <row r="736" ht="15.75" customHeight="1">
      <c r="A736" s="176"/>
      <c r="B736" s="176"/>
      <c r="C736" s="176"/>
      <c r="D736" s="176"/>
      <c r="E736" s="176"/>
      <c r="F736" s="176"/>
      <c r="G736" s="178"/>
      <c r="H736" s="176"/>
      <c r="I736" s="176"/>
      <c r="J736" s="176"/>
      <c r="K736" s="176"/>
      <c r="L736" s="176"/>
      <c r="M736" s="176"/>
      <c r="N736" s="176"/>
      <c r="O736" s="176"/>
      <c r="P736" s="176"/>
      <c r="Q736" s="176"/>
      <c r="R736" s="176"/>
      <c r="S736" s="176"/>
      <c r="T736" s="176"/>
      <c r="U736" s="176"/>
      <c r="V736" s="176"/>
      <c r="W736" s="176"/>
      <c r="X736" s="176"/>
      <c r="Y736" s="176"/>
      <c r="Z736" s="176"/>
      <c r="AA736" s="176"/>
      <c r="AB736" s="176"/>
      <c r="AC736" s="176"/>
      <c r="AD736" s="176"/>
      <c r="AE736" s="176"/>
      <c r="AF736" s="176"/>
      <c r="AG736" s="176"/>
      <c r="AH736" s="176"/>
      <c r="AI736" s="176"/>
      <c r="AJ736" s="176"/>
      <c r="AK736" s="176"/>
      <c r="AL736" s="176"/>
      <c r="AM736" s="176"/>
      <c r="AN736" s="176"/>
      <c r="AO736" s="176"/>
      <c r="AP736" s="176"/>
      <c r="AQ736" s="176"/>
      <c r="AR736" s="176"/>
      <c r="AS736" s="176"/>
      <c r="AT736" s="176"/>
      <c r="AU736" s="176"/>
      <c r="AV736" s="176"/>
      <c r="AW736" s="176"/>
      <c r="AX736" s="176"/>
      <c r="AY736" s="176"/>
      <c r="AZ736" s="176"/>
      <c r="BA736" s="176"/>
      <c r="BB736" s="176"/>
      <c r="BC736" s="176"/>
      <c r="BD736" s="176"/>
    </row>
    <row r="737" ht="15.75" customHeight="1">
      <c r="A737" s="176"/>
      <c r="B737" s="176"/>
      <c r="C737" s="176"/>
      <c r="D737" s="176"/>
      <c r="E737" s="176"/>
      <c r="F737" s="176"/>
      <c r="G737" s="178"/>
      <c r="H737" s="176"/>
      <c r="I737" s="176"/>
      <c r="J737" s="176"/>
      <c r="K737" s="176"/>
      <c r="L737" s="176"/>
      <c r="M737" s="176"/>
      <c r="N737" s="176"/>
      <c r="O737" s="176"/>
      <c r="P737" s="176"/>
      <c r="Q737" s="176"/>
      <c r="R737" s="176"/>
      <c r="S737" s="176"/>
      <c r="T737" s="176"/>
      <c r="U737" s="176"/>
      <c r="V737" s="176"/>
      <c r="W737" s="176"/>
      <c r="X737" s="176"/>
      <c r="Y737" s="176"/>
      <c r="Z737" s="176"/>
      <c r="AA737" s="176"/>
      <c r="AB737" s="176"/>
      <c r="AC737" s="176"/>
      <c r="AD737" s="176"/>
      <c r="AE737" s="176"/>
      <c r="AF737" s="176"/>
      <c r="AG737" s="176"/>
      <c r="AH737" s="176"/>
      <c r="AI737" s="176"/>
      <c r="AJ737" s="176"/>
      <c r="AK737" s="176"/>
      <c r="AL737" s="176"/>
      <c r="AM737" s="176"/>
      <c r="AN737" s="176"/>
      <c r="AO737" s="176"/>
      <c r="AP737" s="176"/>
      <c r="AQ737" s="176"/>
      <c r="AR737" s="176"/>
      <c r="AS737" s="176"/>
      <c r="AT737" s="176"/>
      <c r="AU737" s="176"/>
      <c r="AV737" s="176"/>
      <c r="AW737" s="176"/>
      <c r="AX737" s="176"/>
      <c r="AY737" s="176"/>
      <c r="AZ737" s="176"/>
      <c r="BA737" s="176"/>
      <c r="BB737" s="176"/>
      <c r="BC737" s="176"/>
      <c r="BD737" s="176"/>
    </row>
    <row r="738" ht="15.75" customHeight="1">
      <c r="A738" s="176"/>
      <c r="B738" s="176"/>
      <c r="C738" s="176"/>
      <c r="D738" s="176"/>
      <c r="E738" s="176"/>
      <c r="F738" s="176"/>
      <c r="G738" s="178"/>
      <c r="H738" s="176"/>
      <c r="I738" s="176"/>
      <c r="J738" s="176"/>
      <c r="K738" s="176"/>
      <c r="L738" s="176"/>
      <c r="M738" s="176"/>
      <c r="N738" s="176"/>
      <c r="O738" s="176"/>
      <c r="P738" s="176"/>
      <c r="Q738" s="176"/>
      <c r="R738" s="176"/>
      <c r="S738" s="176"/>
      <c r="T738" s="176"/>
      <c r="U738" s="176"/>
      <c r="V738" s="176"/>
      <c r="W738" s="176"/>
      <c r="X738" s="176"/>
      <c r="Y738" s="176"/>
      <c r="Z738" s="176"/>
      <c r="AA738" s="176"/>
      <c r="AB738" s="176"/>
      <c r="AC738" s="176"/>
      <c r="AD738" s="176"/>
      <c r="AE738" s="176"/>
      <c r="AF738" s="176"/>
      <c r="AG738" s="176"/>
      <c r="AH738" s="176"/>
      <c r="AI738" s="176"/>
      <c r="AJ738" s="176"/>
      <c r="AK738" s="176"/>
      <c r="AL738" s="176"/>
      <c r="AM738" s="176"/>
      <c r="AN738" s="176"/>
      <c r="AO738" s="176"/>
      <c r="AP738" s="176"/>
      <c r="AQ738" s="176"/>
      <c r="AR738" s="176"/>
      <c r="AS738" s="176"/>
      <c r="AT738" s="176"/>
      <c r="AU738" s="176"/>
      <c r="AV738" s="176"/>
      <c r="AW738" s="176"/>
      <c r="AX738" s="176"/>
      <c r="AY738" s="176"/>
      <c r="AZ738" s="176"/>
      <c r="BA738" s="176"/>
      <c r="BB738" s="176"/>
      <c r="BC738" s="176"/>
      <c r="BD738" s="176"/>
    </row>
    <row r="739" ht="15.75" customHeight="1">
      <c r="A739" s="176"/>
      <c r="B739" s="176"/>
      <c r="C739" s="176"/>
      <c r="D739" s="176"/>
      <c r="E739" s="176"/>
      <c r="F739" s="176"/>
      <c r="G739" s="178"/>
      <c r="H739" s="176"/>
      <c r="I739" s="176"/>
      <c r="J739" s="176"/>
      <c r="K739" s="176"/>
      <c r="L739" s="176"/>
      <c r="M739" s="176"/>
      <c r="N739" s="176"/>
      <c r="O739" s="176"/>
      <c r="P739" s="176"/>
      <c r="Q739" s="176"/>
      <c r="R739" s="176"/>
      <c r="S739" s="176"/>
      <c r="T739" s="176"/>
      <c r="U739" s="176"/>
      <c r="V739" s="176"/>
      <c r="W739" s="176"/>
      <c r="X739" s="176"/>
      <c r="Y739" s="176"/>
      <c r="Z739" s="176"/>
      <c r="AA739" s="176"/>
      <c r="AB739" s="176"/>
      <c r="AC739" s="176"/>
      <c r="AD739" s="176"/>
      <c r="AE739" s="176"/>
      <c r="AF739" s="176"/>
      <c r="AG739" s="176"/>
      <c r="AH739" s="176"/>
      <c r="AI739" s="176"/>
      <c r="AJ739" s="176"/>
      <c r="AK739" s="176"/>
      <c r="AL739" s="176"/>
      <c r="AM739" s="176"/>
      <c r="AN739" s="176"/>
      <c r="AO739" s="176"/>
      <c r="AP739" s="176"/>
      <c r="AQ739" s="176"/>
      <c r="AR739" s="176"/>
      <c r="AS739" s="176"/>
      <c r="AT739" s="176"/>
      <c r="AU739" s="176"/>
      <c r="AV739" s="176"/>
      <c r="AW739" s="176"/>
      <c r="AX739" s="176"/>
      <c r="AY739" s="176"/>
      <c r="AZ739" s="176"/>
      <c r="BA739" s="176"/>
      <c r="BB739" s="176"/>
      <c r="BC739" s="176"/>
      <c r="BD739" s="176"/>
    </row>
    <row r="740" ht="15.75" customHeight="1">
      <c r="A740" s="176"/>
      <c r="B740" s="176"/>
      <c r="C740" s="176"/>
      <c r="D740" s="176"/>
      <c r="E740" s="176"/>
      <c r="F740" s="176"/>
      <c r="G740" s="178"/>
      <c r="H740" s="176"/>
      <c r="I740" s="176"/>
      <c r="J740" s="176"/>
      <c r="K740" s="176"/>
      <c r="L740" s="176"/>
      <c r="M740" s="176"/>
      <c r="N740" s="176"/>
      <c r="O740" s="176"/>
      <c r="P740" s="176"/>
      <c r="Q740" s="176"/>
      <c r="R740" s="176"/>
      <c r="S740" s="176"/>
      <c r="T740" s="176"/>
      <c r="U740" s="176"/>
      <c r="V740" s="176"/>
      <c r="W740" s="176"/>
      <c r="X740" s="176"/>
      <c r="Y740" s="176"/>
      <c r="Z740" s="176"/>
      <c r="AA740" s="176"/>
      <c r="AB740" s="176"/>
      <c r="AC740" s="176"/>
      <c r="AD740" s="176"/>
      <c r="AE740" s="176"/>
      <c r="AF740" s="176"/>
      <c r="AG740" s="176"/>
      <c r="AH740" s="176"/>
      <c r="AI740" s="176"/>
      <c r="AJ740" s="176"/>
      <c r="AK740" s="176"/>
      <c r="AL740" s="176"/>
      <c r="AM740" s="176"/>
      <c r="AN740" s="176"/>
      <c r="AO740" s="176"/>
      <c r="AP740" s="176"/>
      <c r="AQ740" s="176"/>
      <c r="AR740" s="176"/>
      <c r="AS740" s="176"/>
      <c r="AT740" s="176"/>
      <c r="AU740" s="176"/>
      <c r="AV740" s="176"/>
      <c r="AW740" s="176"/>
      <c r="AX740" s="176"/>
      <c r="AY740" s="176"/>
      <c r="AZ740" s="176"/>
      <c r="BA740" s="176"/>
      <c r="BB740" s="176"/>
      <c r="BC740" s="176"/>
      <c r="BD740" s="176"/>
    </row>
    <row r="741" ht="15.75" customHeight="1">
      <c r="A741" s="176"/>
      <c r="B741" s="176"/>
      <c r="C741" s="176"/>
      <c r="D741" s="176"/>
      <c r="E741" s="176"/>
      <c r="F741" s="176"/>
      <c r="G741" s="178"/>
      <c r="H741" s="176"/>
      <c r="I741" s="176"/>
      <c r="J741" s="176"/>
      <c r="K741" s="176"/>
      <c r="L741" s="176"/>
      <c r="M741" s="176"/>
      <c r="N741" s="176"/>
      <c r="O741" s="176"/>
      <c r="P741" s="176"/>
      <c r="Q741" s="176"/>
      <c r="R741" s="176"/>
      <c r="S741" s="176"/>
      <c r="T741" s="176"/>
      <c r="U741" s="176"/>
      <c r="V741" s="176"/>
      <c r="W741" s="176"/>
      <c r="X741" s="176"/>
      <c r="Y741" s="176"/>
      <c r="Z741" s="176"/>
      <c r="AA741" s="176"/>
      <c r="AB741" s="176"/>
      <c r="AC741" s="176"/>
      <c r="AD741" s="176"/>
      <c r="AE741" s="176"/>
      <c r="AF741" s="176"/>
      <c r="AG741" s="176"/>
      <c r="AH741" s="176"/>
      <c r="AI741" s="176"/>
      <c r="AJ741" s="176"/>
      <c r="AK741" s="176"/>
      <c r="AL741" s="176"/>
      <c r="AM741" s="176"/>
      <c r="AN741" s="176"/>
      <c r="AO741" s="176"/>
      <c r="AP741" s="176"/>
      <c r="AQ741" s="176"/>
      <c r="AR741" s="176"/>
      <c r="AS741" s="176"/>
      <c r="AT741" s="176"/>
      <c r="AU741" s="176"/>
      <c r="AV741" s="176"/>
      <c r="AW741" s="176"/>
      <c r="AX741" s="176"/>
      <c r="AY741" s="176"/>
      <c r="AZ741" s="176"/>
      <c r="BA741" s="176"/>
      <c r="BB741" s="176"/>
      <c r="BC741" s="176"/>
      <c r="BD741" s="176"/>
    </row>
    <row r="742" ht="15.75" customHeight="1">
      <c r="A742" s="176"/>
      <c r="B742" s="176"/>
      <c r="C742" s="176"/>
      <c r="D742" s="176"/>
      <c r="E742" s="176"/>
      <c r="F742" s="176"/>
      <c r="G742" s="178"/>
      <c r="H742" s="176"/>
      <c r="I742" s="176"/>
      <c r="J742" s="176"/>
      <c r="K742" s="176"/>
      <c r="L742" s="176"/>
      <c r="M742" s="176"/>
      <c r="N742" s="176"/>
      <c r="O742" s="176"/>
      <c r="P742" s="176"/>
      <c r="Q742" s="176"/>
      <c r="R742" s="176"/>
      <c r="S742" s="176"/>
      <c r="T742" s="176"/>
      <c r="U742" s="176"/>
      <c r="V742" s="176"/>
      <c r="W742" s="176"/>
      <c r="X742" s="176"/>
      <c r="Y742" s="176"/>
      <c r="Z742" s="176"/>
      <c r="AA742" s="176"/>
      <c r="AB742" s="176"/>
      <c r="AC742" s="176"/>
      <c r="AD742" s="176"/>
      <c r="AE742" s="176"/>
      <c r="AF742" s="176"/>
      <c r="AG742" s="176"/>
      <c r="AH742" s="176"/>
      <c r="AI742" s="176"/>
      <c r="AJ742" s="176"/>
      <c r="AK742" s="176"/>
      <c r="AL742" s="176"/>
      <c r="AM742" s="176"/>
      <c r="AN742" s="176"/>
      <c r="AO742" s="176"/>
      <c r="AP742" s="176"/>
      <c r="AQ742" s="176"/>
      <c r="AR742" s="176"/>
      <c r="AS742" s="176"/>
      <c r="AT742" s="176"/>
      <c r="AU742" s="176"/>
      <c r="AV742" s="176"/>
      <c r="AW742" s="176"/>
      <c r="AX742" s="176"/>
      <c r="AY742" s="176"/>
      <c r="AZ742" s="176"/>
      <c r="BA742" s="176"/>
      <c r="BB742" s="176"/>
      <c r="BC742" s="176"/>
      <c r="BD742" s="176"/>
    </row>
    <row r="743" ht="15.75" customHeight="1">
      <c r="A743" s="176"/>
      <c r="B743" s="176"/>
      <c r="C743" s="176"/>
      <c r="D743" s="176"/>
      <c r="E743" s="176"/>
      <c r="F743" s="176"/>
      <c r="G743" s="178"/>
      <c r="H743" s="176"/>
      <c r="I743" s="176"/>
      <c r="J743" s="176"/>
      <c r="K743" s="176"/>
      <c r="L743" s="176"/>
      <c r="M743" s="176"/>
      <c r="N743" s="176"/>
      <c r="O743" s="176"/>
      <c r="P743" s="176"/>
      <c r="Q743" s="176"/>
      <c r="R743" s="176"/>
      <c r="S743" s="176"/>
      <c r="T743" s="176"/>
      <c r="U743" s="176"/>
      <c r="V743" s="176"/>
      <c r="W743" s="176"/>
      <c r="X743" s="176"/>
      <c r="Y743" s="176"/>
      <c r="Z743" s="176"/>
      <c r="AA743" s="176"/>
      <c r="AB743" s="176"/>
      <c r="AC743" s="176"/>
      <c r="AD743" s="176"/>
      <c r="AE743" s="176"/>
      <c r="AF743" s="176"/>
      <c r="AG743" s="176"/>
      <c r="AH743" s="176"/>
      <c r="AI743" s="176"/>
      <c r="AJ743" s="176"/>
      <c r="AK743" s="176"/>
      <c r="AL743" s="176"/>
      <c r="AM743" s="176"/>
      <c r="AN743" s="176"/>
      <c r="AO743" s="176"/>
      <c r="AP743" s="176"/>
      <c r="AQ743" s="176"/>
      <c r="AR743" s="176"/>
      <c r="AS743" s="176"/>
      <c r="AT743" s="176"/>
      <c r="AU743" s="176"/>
      <c r="AV743" s="176"/>
      <c r="AW743" s="176"/>
      <c r="AX743" s="176"/>
      <c r="AY743" s="176"/>
      <c r="AZ743" s="176"/>
      <c r="BA743" s="176"/>
      <c r="BB743" s="176"/>
      <c r="BC743" s="176"/>
      <c r="BD743" s="176"/>
    </row>
    <row r="744" ht="15.75" customHeight="1">
      <c r="A744" s="176"/>
      <c r="B744" s="176"/>
      <c r="C744" s="176"/>
      <c r="D744" s="176"/>
      <c r="E744" s="176"/>
      <c r="F744" s="176"/>
      <c r="G744" s="178"/>
      <c r="H744" s="176"/>
      <c r="I744" s="176"/>
      <c r="J744" s="176"/>
      <c r="K744" s="176"/>
      <c r="L744" s="176"/>
      <c r="M744" s="176"/>
      <c r="N744" s="176"/>
      <c r="O744" s="176"/>
      <c r="P744" s="176"/>
      <c r="Q744" s="176"/>
      <c r="R744" s="176"/>
      <c r="S744" s="176"/>
      <c r="T744" s="176"/>
      <c r="U744" s="176"/>
      <c r="V744" s="176"/>
      <c r="W744" s="176"/>
      <c r="X744" s="176"/>
      <c r="Y744" s="176"/>
      <c r="Z744" s="176"/>
      <c r="AA744" s="176"/>
      <c r="AB744" s="176"/>
      <c r="AC744" s="176"/>
      <c r="AD744" s="176"/>
      <c r="AE744" s="176"/>
      <c r="AF744" s="176"/>
      <c r="AG744" s="176"/>
      <c r="AH744" s="176"/>
      <c r="AI744" s="176"/>
      <c r="AJ744" s="176"/>
      <c r="AK744" s="176"/>
      <c r="AL744" s="176"/>
      <c r="AM744" s="176"/>
      <c r="AN744" s="176"/>
      <c r="AO744" s="176"/>
      <c r="AP744" s="176"/>
      <c r="AQ744" s="176"/>
      <c r="AR744" s="176"/>
      <c r="AS744" s="176"/>
      <c r="AT744" s="176"/>
      <c r="AU744" s="176"/>
      <c r="AV744" s="176"/>
      <c r="AW744" s="176"/>
      <c r="AX744" s="176"/>
      <c r="AY744" s="176"/>
      <c r="AZ744" s="176"/>
      <c r="BA744" s="176"/>
      <c r="BB744" s="176"/>
      <c r="BC744" s="176"/>
      <c r="BD744" s="176"/>
    </row>
    <row r="745" ht="15.75" customHeight="1">
      <c r="A745" s="176"/>
      <c r="B745" s="176"/>
      <c r="C745" s="176"/>
      <c r="D745" s="176"/>
      <c r="E745" s="176"/>
      <c r="F745" s="176"/>
      <c r="G745" s="178"/>
      <c r="H745" s="176"/>
      <c r="I745" s="176"/>
      <c r="J745" s="176"/>
      <c r="K745" s="176"/>
      <c r="L745" s="176"/>
      <c r="M745" s="176"/>
      <c r="N745" s="176"/>
      <c r="O745" s="176"/>
      <c r="P745" s="176"/>
      <c r="Q745" s="176"/>
      <c r="R745" s="176"/>
      <c r="S745" s="176"/>
      <c r="T745" s="176"/>
      <c r="U745" s="176"/>
      <c r="V745" s="176"/>
      <c r="W745" s="176"/>
      <c r="X745" s="176"/>
      <c r="Y745" s="176"/>
      <c r="Z745" s="176"/>
      <c r="AA745" s="176"/>
      <c r="AB745" s="176"/>
      <c r="AC745" s="176"/>
      <c r="AD745" s="176"/>
      <c r="AE745" s="176"/>
      <c r="AF745" s="176"/>
      <c r="AG745" s="176"/>
      <c r="AH745" s="176"/>
      <c r="AI745" s="176"/>
      <c r="AJ745" s="176"/>
      <c r="AK745" s="176"/>
      <c r="AL745" s="176"/>
      <c r="AM745" s="176"/>
      <c r="AN745" s="176"/>
      <c r="AO745" s="176"/>
      <c r="AP745" s="176"/>
      <c r="AQ745" s="176"/>
      <c r="AR745" s="176"/>
      <c r="AS745" s="176"/>
      <c r="AT745" s="176"/>
      <c r="AU745" s="176"/>
      <c r="AV745" s="176"/>
      <c r="AW745" s="176"/>
      <c r="AX745" s="176"/>
      <c r="AY745" s="176"/>
      <c r="AZ745" s="176"/>
      <c r="BA745" s="176"/>
      <c r="BB745" s="176"/>
      <c r="BC745" s="176"/>
      <c r="BD745" s="176"/>
    </row>
    <row r="746" ht="15.75" customHeight="1">
      <c r="A746" s="176"/>
      <c r="B746" s="176"/>
      <c r="C746" s="176"/>
      <c r="D746" s="176"/>
      <c r="E746" s="176"/>
      <c r="F746" s="176"/>
      <c r="G746" s="178"/>
      <c r="H746" s="176"/>
      <c r="I746" s="176"/>
      <c r="J746" s="176"/>
      <c r="K746" s="176"/>
      <c r="L746" s="176"/>
      <c r="M746" s="176"/>
      <c r="N746" s="176"/>
      <c r="O746" s="176"/>
      <c r="P746" s="176"/>
      <c r="Q746" s="176"/>
      <c r="R746" s="176"/>
      <c r="S746" s="176"/>
      <c r="T746" s="176"/>
      <c r="U746" s="176"/>
      <c r="V746" s="176"/>
      <c r="W746" s="176"/>
      <c r="X746" s="176"/>
      <c r="Y746" s="176"/>
      <c r="Z746" s="176"/>
      <c r="AA746" s="176"/>
      <c r="AB746" s="176"/>
      <c r="AC746" s="176"/>
      <c r="AD746" s="176"/>
      <c r="AE746" s="176"/>
      <c r="AF746" s="176"/>
      <c r="AG746" s="176"/>
      <c r="AH746" s="176"/>
      <c r="AI746" s="176"/>
      <c r="AJ746" s="176"/>
      <c r="AK746" s="176"/>
      <c r="AL746" s="176"/>
      <c r="AM746" s="176"/>
      <c r="AN746" s="176"/>
      <c r="AO746" s="176"/>
      <c r="AP746" s="176"/>
      <c r="AQ746" s="176"/>
      <c r="AR746" s="176"/>
      <c r="AS746" s="176"/>
      <c r="AT746" s="176"/>
      <c r="AU746" s="176"/>
      <c r="AV746" s="176"/>
      <c r="AW746" s="176"/>
      <c r="AX746" s="176"/>
      <c r="AY746" s="176"/>
      <c r="AZ746" s="176"/>
      <c r="BA746" s="176"/>
      <c r="BB746" s="176"/>
      <c r="BC746" s="176"/>
      <c r="BD746" s="176"/>
    </row>
    <row r="747" ht="15.75" customHeight="1">
      <c r="A747" s="176"/>
      <c r="B747" s="176"/>
      <c r="C747" s="176"/>
      <c r="D747" s="176"/>
      <c r="E747" s="176"/>
      <c r="F747" s="176"/>
      <c r="G747" s="178"/>
      <c r="H747" s="176"/>
      <c r="I747" s="176"/>
      <c r="J747" s="176"/>
      <c r="K747" s="176"/>
      <c r="L747" s="176"/>
      <c r="M747" s="176"/>
      <c r="N747" s="176"/>
      <c r="O747" s="176"/>
      <c r="P747" s="176"/>
      <c r="Q747" s="176"/>
      <c r="R747" s="176"/>
      <c r="S747" s="176"/>
      <c r="T747" s="176"/>
      <c r="U747" s="176"/>
      <c r="V747" s="176"/>
      <c r="W747" s="176"/>
      <c r="X747" s="176"/>
      <c r="Y747" s="176"/>
      <c r="Z747" s="176"/>
      <c r="AA747" s="176"/>
      <c r="AB747" s="176"/>
      <c r="AC747" s="176"/>
      <c r="AD747" s="176"/>
      <c r="AE747" s="176"/>
      <c r="AF747" s="176"/>
      <c r="AG747" s="176"/>
      <c r="AH747" s="176"/>
      <c r="AI747" s="176"/>
      <c r="AJ747" s="176"/>
      <c r="AK747" s="176"/>
      <c r="AL747" s="176"/>
      <c r="AM747" s="176"/>
      <c r="AN747" s="176"/>
      <c r="AO747" s="176"/>
      <c r="AP747" s="176"/>
      <c r="AQ747" s="176"/>
      <c r="AR747" s="176"/>
      <c r="AS747" s="176"/>
      <c r="AT747" s="176"/>
      <c r="AU747" s="176"/>
      <c r="AV747" s="176"/>
      <c r="AW747" s="176"/>
      <c r="AX747" s="176"/>
      <c r="AY747" s="176"/>
      <c r="AZ747" s="176"/>
      <c r="BA747" s="176"/>
      <c r="BB747" s="176"/>
      <c r="BC747" s="176"/>
      <c r="BD747" s="176"/>
    </row>
    <row r="748" ht="15.75" customHeight="1">
      <c r="A748" s="176"/>
      <c r="B748" s="176"/>
      <c r="C748" s="176"/>
      <c r="D748" s="176"/>
      <c r="E748" s="176"/>
      <c r="F748" s="176"/>
      <c r="G748" s="178"/>
      <c r="H748" s="176"/>
      <c r="I748" s="176"/>
      <c r="J748" s="176"/>
      <c r="K748" s="176"/>
      <c r="L748" s="176"/>
      <c r="M748" s="176"/>
      <c r="N748" s="176"/>
      <c r="O748" s="176"/>
      <c r="P748" s="176"/>
      <c r="Q748" s="176"/>
      <c r="R748" s="176"/>
      <c r="S748" s="176"/>
      <c r="T748" s="176"/>
      <c r="U748" s="176"/>
      <c r="V748" s="176"/>
      <c r="W748" s="176"/>
      <c r="X748" s="176"/>
      <c r="Y748" s="176"/>
      <c r="Z748" s="176"/>
      <c r="AA748" s="176"/>
      <c r="AB748" s="176"/>
      <c r="AC748" s="176"/>
      <c r="AD748" s="176"/>
      <c r="AE748" s="176"/>
      <c r="AF748" s="176"/>
      <c r="AG748" s="176"/>
      <c r="AH748" s="176"/>
      <c r="AI748" s="176"/>
      <c r="AJ748" s="176"/>
      <c r="AK748" s="176"/>
      <c r="AL748" s="176"/>
      <c r="AM748" s="176"/>
      <c r="AN748" s="176"/>
      <c r="AO748" s="176"/>
      <c r="AP748" s="176"/>
      <c r="AQ748" s="176"/>
      <c r="AR748" s="176"/>
      <c r="AS748" s="176"/>
      <c r="AT748" s="176"/>
      <c r="AU748" s="176"/>
      <c r="AV748" s="176"/>
      <c r="AW748" s="176"/>
      <c r="AX748" s="176"/>
      <c r="AY748" s="176"/>
      <c r="AZ748" s="176"/>
      <c r="BA748" s="176"/>
      <c r="BB748" s="176"/>
      <c r="BC748" s="176"/>
      <c r="BD748" s="176"/>
    </row>
    <row r="749" ht="15.75" customHeight="1">
      <c r="A749" s="176"/>
      <c r="B749" s="176"/>
      <c r="C749" s="176"/>
      <c r="D749" s="176"/>
      <c r="E749" s="176"/>
      <c r="F749" s="176"/>
      <c r="G749" s="178"/>
      <c r="H749" s="176"/>
      <c r="I749" s="176"/>
      <c r="J749" s="176"/>
      <c r="K749" s="176"/>
      <c r="L749" s="176"/>
      <c r="M749" s="176"/>
      <c r="N749" s="176"/>
      <c r="O749" s="176"/>
      <c r="P749" s="176"/>
      <c r="Q749" s="176"/>
      <c r="R749" s="176"/>
      <c r="S749" s="176"/>
      <c r="T749" s="176"/>
      <c r="U749" s="176"/>
      <c r="V749" s="176"/>
      <c r="W749" s="176"/>
      <c r="X749" s="176"/>
      <c r="Y749" s="176"/>
      <c r="Z749" s="176"/>
      <c r="AA749" s="176"/>
      <c r="AB749" s="176"/>
      <c r="AC749" s="176"/>
      <c r="AD749" s="176"/>
      <c r="AE749" s="176"/>
      <c r="AF749" s="176"/>
      <c r="AG749" s="176"/>
      <c r="AH749" s="176"/>
      <c r="AI749" s="176"/>
      <c r="AJ749" s="176"/>
      <c r="AK749" s="176"/>
      <c r="AL749" s="176"/>
      <c r="AM749" s="176"/>
      <c r="AN749" s="176"/>
      <c r="AO749" s="176"/>
      <c r="AP749" s="176"/>
      <c r="AQ749" s="176"/>
      <c r="AR749" s="176"/>
      <c r="AS749" s="176"/>
      <c r="AT749" s="176"/>
      <c r="AU749" s="176"/>
      <c r="AV749" s="176"/>
      <c r="AW749" s="176"/>
      <c r="AX749" s="176"/>
      <c r="AY749" s="176"/>
      <c r="AZ749" s="176"/>
      <c r="BA749" s="176"/>
      <c r="BB749" s="176"/>
      <c r="BC749" s="176"/>
      <c r="BD749" s="176"/>
    </row>
    <row r="750" ht="15.75" customHeight="1">
      <c r="A750" s="176"/>
      <c r="B750" s="176"/>
      <c r="C750" s="176"/>
      <c r="D750" s="176"/>
      <c r="E750" s="176"/>
      <c r="F750" s="176"/>
      <c r="G750" s="178"/>
      <c r="H750" s="176"/>
      <c r="I750" s="176"/>
      <c r="J750" s="176"/>
      <c r="K750" s="176"/>
      <c r="L750" s="176"/>
      <c r="M750" s="176"/>
      <c r="N750" s="176"/>
      <c r="O750" s="176"/>
      <c r="P750" s="176"/>
      <c r="Q750" s="176"/>
      <c r="R750" s="176"/>
      <c r="S750" s="176"/>
      <c r="T750" s="176"/>
      <c r="U750" s="176"/>
      <c r="V750" s="176"/>
      <c r="W750" s="176"/>
      <c r="X750" s="176"/>
      <c r="Y750" s="176"/>
      <c r="Z750" s="176"/>
      <c r="AA750" s="176"/>
      <c r="AB750" s="176"/>
      <c r="AC750" s="176"/>
      <c r="AD750" s="176"/>
      <c r="AE750" s="176"/>
      <c r="AF750" s="176"/>
      <c r="AG750" s="176"/>
      <c r="AH750" s="176"/>
      <c r="AI750" s="176"/>
      <c r="AJ750" s="176"/>
      <c r="AK750" s="176"/>
      <c r="AL750" s="176"/>
      <c r="AM750" s="176"/>
      <c r="AN750" s="176"/>
      <c r="AO750" s="176"/>
      <c r="AP750" s="176"/>
      <c r="AQ750" s="176"/>
      <c r="AR750" s="176"/>
      <c r="AS750" s="176"/>
      <c r="AT750" s="176"/>
      <c r="AU750" s="176"/>
      <c r="AV750" s="176"/>
      <c r="AW750" s="176"/>
      <c r="AX750" s="176"/>
      <c r="AY750" s="176"/>
      <c r="AZ750" s="176"/>
      <c r="BA750" s="176"/>
      <c r="BB750" s="176"/>
      <c r="BC750" s="176"/>
      <c r="BD750" s="176"/>
    </row>
    <row r="751" ht="15.75" customHeight="1">
      <c r="A751" s="176"/>
      <c r="B751" s="176"/>
      <c r="C751" s="176"/>
      <c r="D751" s="176"/>
      <c r="E751" s="176"/>
      <c r="F751" s="176"/>
      <c r="G751" s="178"/>
      <c r="H751" s="176"/>
      <c r="I751" s="176"/>
      <c r="J751" s="176"/>
      <c r="K751" s="176"/>
      <c r="L751" s="176"/>
      <c r="M751" s="176"/>
      <c r="N751" s="176"/>
      <c r="O751" s="176"/>
      <c r="P751" s="176"/>
      <c r="Q751" s="176"/>
      <c r="R751" s="176"/>
      <c r="S751" s="176"/>
      <c r="T751" s="176"/>
      <c r="U751" s="176"/>
      <c r="V751" s="176"/>
      <c r="W751" s="176"/>
      <c r="X751" s="176"/>
      <c r="Y751" s="176"/>
      <c r="Z751" s="176"/>
      <c r="AA751" s="176"/>
      <c r="AB751" s="176"/>
      <c r="AC751" s="176"/>
      <c r="AD751" s="176"/>
      <c r="AE751" s="176"/>
      <c r="AF751" s="176"/>
      <c r="AG751" s="176"/>
      <c r="AH751" s="176"/>
      <c r="AI751" s="176"/>
      <c r="AJ751" s="176"/>
      <c r="AK751" s="176"/>
      <c r="AL751" s="176"/>
      <c r="AM751" s="176"/>
      <c r="AN751" s="176"/>
      <c r="AO751" s="176"/>
      <c r="AP751" s="176"/>
      <c r="AQ751" s="176"/>
      <c r="AR751" s="176"/>
      <c r="AS751" s="176"/>
      <c r="AT751" s="176"/>
      <c r="AU751" s="176"/>
      <c r="AV751" s="176"/>
      <c r="AW751" s="176"/>
      <c r="AX751" s="176"/>
      <c r="AY751" s="176"/>
      <c r="AZ751" s="176"/>
      <c r="BA751" s="176"/>
      <c r="BB751" s="176"/>
      <c r="BC751" s="176"/>
      <c r="BD751" s="176"/>
    </row>
    <row r="752" ht="15.75" customHeight="1">
      <c r="A752" s="176"/>
      <c r="B752" s="176"/>
      <c r="C752" s="176"/>
      <c r="D752" s="176"/>
      <c r="E752" s="176"/>
      <c r="F752" s="176"/>
      <c r="G752" s="178"/>
      <c r="H752" s="176"/>
      <c r="I752" s="176"/>
      <c r="J752" s="176"/>
      <c r="K752" s="176"/>
      <c r="L752" s="176"/>
      <c r="M752" s="176"/>
      <c r="N752" s="176"/>
      <c r="O752" s="176"/>
      <c r="P752" s="176"/>
      <c r="Q752" s="176"/>
      <c r="R752" s="176"/>
      <c r="S752" s="176"/>
      <c r="T752" s="176"/>
      <c r="U752" s="176"/>
      <c r="V752" s="176"/>
      <c r="W752" s="176"/>
      <c r="X752" s="176"/>
      <c r="Y752" s="176"/>
      <c r="Z752" s="176"/>
      <c r="AA752" s="176"/>
      <c r="AB752" s="176"/>
      <c r="AC752" s="176"/>
      <c r="AD752" s="176"/>
      <c r="AE752" s="176"/>
      <c r="AF752" s="176"/>
      <c r="AG752" s="176"/>
      <c r="AH752" s="176"/>
      <c r="AI752" s="176"/>
      <c r="AJ752" s="176"/>
      <c r="AK752" s="176"/>
      <c r="AL752" s="176"/>
      <c r="AM752" s="176"/>
      <c r="AN752" s="176"/>
      <c r="AO752" s="176"/>
      <c r="AP752" s="176"/>
      <c r="AQ752" s="176"/>
      <c r="AR752" s="176"/>
      <c r="AS752" s="176"/>
      <c r="AT752" s="176"/>
      <c r="AU752" s="176"/>
      <c r="AV752" s="176"/>
      <c r="AW752" s="176"/>
      <c r="AX752" s="176"/>
      <c r="AY752" s="176"/>
      <c r="AZ752" s="176"/>
      <c r="BA752" s="176"/>
      <c r="BB752" s="176"/>
      <c r="BC752" s="176"/>
      <c r="BD752" s="176"/>
    </row>
    <row r="753" ht="15.75" customHeight="1">
      <c r="A753" s="176"/>
      <c r="B753" s="176"/>
      <c r="C753" s="176"/>
      <c r="D753" s="176"/>
      <c r="E753" s="176"/>
      <c r="F753" s="176"/>
      <c r="G753" s="178"/>
      <c r="H753" s="176"/>
      <c r="I753" s="176"/>
      <c r="J753" s="176"/>
      <c r="K753" s="176"/>
      <c r="L753" s="176"/>
      <c r="M753" s="176"/>
      <c r="N753" s="176"/>
      <c r="O753" s="176"/>
      <c r="P753" s="176"/>
      <c r="Q753" s="176"/>
      <c r="R753" s="176"/>
      <c r="S753" s="176"/>
      <c r="T753" s="176"/>
      <c r="U753" s="176"/>
      <c r="V753" s="176"/>
      <c r="W753" s="176"/>
      <c r="X753" s="176"/>
      <c r="Y753" s="176"/>
      <c r="Z753" s="176"/>
      <c r="AA753" s="176"/>
      <c r="AB753" s="176"/>
      <c r="AC753" s="176"/>
      <c r="AD753" s="176"/>
      <c r="AE753" s="176"/>
      <c r="AF753" s="176"/>
      <c r="AG753" s="176"/>
      <c r="AH753" s="176"/>
      <c r="AI753" s="176"/>
      <c r="AJ753" s="176"/>
      <c r="AK753" s="176"/>
      <c r="AL753" s="176"/>
      <c r="AM753" s="176"/>
      <c r="AN753" s="176"/>
      <c r="AO753" s="176"/>
      <c r="AP753" s="176"/>
      <c r="AQ753" s="176"/>
      <c r="AR753" s="176"/>
      <c r="AS753" s="176"/>
      <c r="AT753" s="176"/>
      <c r="AU753" s="176"/>
      <c r="AV753" s="176"/>
      <c r="AW753" s="176"/>
      <c r="AX753" s="176"/>
      <c r="AY753" s="176"/>
      <c r="AZ753" s="176"/>
      <c r="BA753" s="176"/>
      <c r="BB753" s="176"/>
      <c r="BC753" s="176"/>
      <c r="BD753" s="176"/>
    </row>
    <row r="754" ht="15.75" customHeight="1">
      <c r="A754" s="176"/>
      <c r="B754" s="176"/>
      <c r="C754" s="176"/>
      <c r="D754" s="176"/>
      <c r="E754" s="176"/>
      <c r="F754" s="176"/>
      <c r="G754" s="178"/>
      <c r="H754" s="176"/>
      <c r="I754" s="176"/>
      <c r="J754" s="176"/>
      <c r="K754" s="176"/>
      <c r="L754" s="176"/>
      <c r="M754" s="176"/>
      <c r="N754" s="176"/>
      <c r="O754" s="176"/>
      <c r="P754" s="176"/>
      <c r="Q754" s="176"/>
      <c r="R754" s="176"/>
      <c r="S754" s="176"/>
      <c r="T754" s="176"/>
      <c r="U754" s="176"/>
      <c r="V754" s="176"/>
      <c r="W754" s="176"/>
      <c r="X754" s="176"/>
      <c r="Y754" s="176"/>
      <c r="Z754" s="176"/>
      <c r="AA754" s="176"/>
      <c r="AB754" s="176"/>
      <c r="AC754" s="176"/>
      <c r="AD754" s="176"/>
      <c r="AE754" s="176"/>
      <c r="AF754" s="176"/>
      <c r="AG754" s="176"/>
      <c r="AH754" s="176"/>
      <c r="AI754" s="176"/>
      <c r="AJ754" s="176"/>
      <c r="AK754" s="176"/>
      <c r="AL754" s="176"/>
      <c r="AM754" s="176"/>
      <c r="AN754" s="176"/>
      <c r="AO754" s="176"/>
      <c r="AP754" s="176"/>
      <c r="AQ754" s="176"/>
      <c r="AR754" s="176"/>
      <c r="AS754" s="176"/>
      <c r="AT754" s="176"/>
      <c r="AU754" s="176"/>
      <c r="AV754" s="176"/>
      <c r="AW754" s="176"/>
      <c r="AX754" s="176"/>
      <c r="AY754" s="176"/>
      <c r="AZ754" s="176"/>
      <c r="BA754" s="176"/>
      <c r="BB754" s="176"/>
      <c r="BC754" s="176"/>
      <c r="BD754" s="176"/>
    </row>
    <row r="755" ht="15.75" customHeight="1">
      <c r="A755" s="176"/>
      <c r="B755" s="176"/>
      <c r="C755" s="176"/>
      <c r="D755" s="176"/>
      <c r="E755" s="176"/>
      <c r="F755" s="176"/>
      <c r="G755" s="178"/>
      <c r="H755" s="176"/>
      <c r="I755" s="176"/>
      <c r="J755" s="176"/>
      <c r="K755" s="176"/>
      <c r="L755" s="176"/>
      <c r="M755" s="176"/>
      <c r="N755" s="176"/>
      <c r="O755" s="176"/>
      <c r="P755" s="176"/>
      <c r="Q755" s="176"/>
      <c r="R755" s="176"/>
      <c r="S755" s="176"/>
      <c r="T755" s="176"/>
      <c r="U755" s="176"/>
      <c r="V755" s="176"/>
      <c r="W755" s="176"/>
      <c r="X755" s="176"/>
      <c r="Y755" s="176"/>
      <c r="Z755" s="176"/>
      <c r="AA755" s="176"/>
      <c r="AB755" s="176"/>
      <c r="AC755" s="176"/>
      <c r="AD755" s="176"/>
      <c r="AE755" s="176"/>
      <c r="AF755" s="176"/>
      <c r="AG755" s="176"/>
      <c r="AH755" s="176"/>
      <c r="AI755" s="176"/>
      <c r="AJ755" s="176"/>
      <c r="AK755" s="176"/>
      <c r="AL755" s="176"/>
      <c r="AM755" s="176"/>
      <c r="AN755" s="176"/>
      <c r="AO755" s="176"/>
      <c r="AP755" s="176"/>
      <c r="AQ755" s="176"/>
      <c r="AR755" s="176"/>
      <c r="AS755" s="176"/>
      <c r="AT755" s="176"/>
      <c r="AU755" s="176"/>
      <c r="AV755" s="176"/>
      <c r="AW755" s="176"/>
      <c r="AX755" s="176"/>
      <c r="AY755" s="176"/>
      <c r="AZ755" s="176"/>
      <c r="BA755" s="176"/>
      <c r="BB755" s="176"/>
      <c r="BC755" s="176"/>
      <c r="BD755" s="176"/>
    </row>
    <row r="756" ht="15.75" customHeight="1">
      <c r="A756" s="176"/>
      <c r="B756" s="176"/>
      <c r="C756" s="176"/>
      <c r="D756" s="176"/>
      <c r="E756" s="176"/>
      <c r="F756" s="176"/>
      <c r="G756" s="178"/>
      <c r="H756" s="176"/>
      <c r="I756" s="176"/>
      <c r="J756" s="176"/>
      <c r="K756" s="176"/>
      <c r="L756" s="176"/>
      <c r="M756" s="176"/>
      <c r="N756" s="176"/>
      <c r="O756" s="176"/>
      <c r="P756" s="176"/>
      <c r="Q756" s="176"/>
      <c r="R756" s="176"/>
      <c r="S756" s="176"/>
      <c r="T756" s="176"/>
      <c r="U756" s="176"/>
      <c r="V756" s="176"/>
      <c r="W756" s="176"/>
      <c r="X756" s="176"/>
      <c r="Y756" s="176"/>
      <c r="Z756" s="176"/>
      <c r="AA756" s="176"/>
      <c r="AB756" s="176"/>
      <c r="AC756" s="176"/>
      <c r="AD756" s="176"/>
      <c r="AE756" s="176"/>
      <c r="AF756" s="176"/>
      <c r="AG756" s="176"/>
      <c r="AH756" s="176"/>
      <c r="AI756" s="176"/>
      <c r="AJ756" s="176"/>
      <c r="AK756" s="176"/>
      <c r="AL756" s="176"/>
      <c r="AM756" s="176"/>
      <c r="AN756" s="176"/>
      <c r="AO756" s="176"/>
      <c r="AP756" s="176"/>
      <c r="AQ756" s="176"/>
      <c r="AR756" s="176"/>
      <c r="AS756" s="176"/>
      <c r="AT756" s="176"/>
      <c r="AU756" s="176"/>
      <c r="AV756" s="176"/>
      <c r="AW756" s="176"/>
      <c r="AX756" s="176"/>
      <c r="AY756" s="176"/>
      <c r="AZ756" s="176"/>
      <c r="BA756" s="176"/>
      <c r="BB756" s="176"/>
      <c r="BC756" s="176"/>
      <c r="BD756" s="176"/>
    </row>
    <row r="757" ht="15.75" customHeight="1">
      <c r="A757" s="176"/>
      <c r="B757" s="176"/>
      <c r="C757" s="176"/>
      <c r="D757" s="176"/>
      <c r="E757" s="176"/>
      <c r="F757" s="176"/>
      <c r="G757" s="178"/>
      <c r="H757" s="176"/>
      <c r="I757" s="176"/>
      <c r="J757" s="176"/>
      <c r="K757" s="176"/>
      <c r="L757" s="176"/>
      <c r="M757" s="176"/>
      <c r="N757" s="176"/>
      <c r="O757" s="176"/>
      <c r="P757" s="176"/>
      <c r="Q757" s="176"/>
      <c r="R757" s="176"/>
      <c r="S757" s="176"/>
      <c r="T757" s="176"/>
      <c r="U757" s="176"/>
      <c r="V757" s="176"/>
      <c r="W757" s="176"/>
      <c r="X757" s="176"/>
      <c r="Y757" s="176"/>
      <c r="Z757" s="176"/>
      <c r="AA757" s="176"/>
      <c r="AB757" s="176"/>
      <c r="AC757" s="176"/>
      <c r="AD757" s="176"/>
      <c r="AE757" s="176"/>
      <c r="AF757" s="176"/>
      <c r="AG757" s="176"/>
      <c r="AH757" s="176"/>
      <c r="AI757" s="176"/>
      <c r="AJ757" s="176"/>
      <c r="AK757" s="176"/>
      <c r="AL757" s="176"/>
      <c r="AM757" s="176"/>
      <c r="AN757" s="176"/>
      <c r="AO757" s="176"/>
      <c r="AP757" s="176"/>
      <c r="AQ757" s="176"/>
      <c r="AR757" s="176"/>
      <c r="AS757" s="176"/>
      <c r="AT757" s="176"/>
      <c r="AU757" s="176"/>
      <c r="AV757" s="176"/>
      <c r="AW757" s="176"/>
      <c r="AX757" s="176"/>
      <c r="AY757" s="176"/>
      <c r="AZ757" s="176"/>
      <c r="BA757" s="176"/>
      <c r="BB757" s="176"/>
      <c r="BC757" s="176"/>
      <c r="BD757" s="176"/>
    </row>
    <row r="758" ht="15.75" customHeight="1">
      <c r="A758" s="176"/>
      <c r="B758" s="176"/>
      <c r="C758" s="176"/>
      <c r="D758" s="176"/>
      <c r="E758" s="176"/>
      <c r="F758" s="176"/>
      <c r="G758" s="178"/>
      <c r="H758" s="176"/>
      <c r="I758" s="176"/>
      <c r="J758" s="176"/>
      <c r="K758" s="176"/>
      <c r="L758" s="176"/>
      <c r="M758" s="176"/>
      <c r="N758" s="176"/>
      <c r="O758" s="176"/>
      <c r="P758" s="176"/>
      <c r="Q758" s="176"/>
      <c r="R758" s="176"/>
      <c r="S758" s="176"/>
      <c r="T758" s="176"/>
      <c r="U758" s="176"/>
      <c r="V758" s="176"/>
      <c r="W758" s="176"/>
      <c r="X758" s="176"/>
      <c r="Y758" s="176"/>
      <c r="Z758" s="176"/>
      <c r="AA758" s="176"/>
      <c r="AB758" s="176"/>
      <c r="AC758" s="176"/>
      <c r="AD758" s="176"/>
      <c r="AE758" s="176"/>
      <c r="AF758" s="176"/>
      <c r="AG758" s="176"/>
      <c r="AH758" s="176"/>
      <c r="AI758" s="176"/>
      <c r="AJ758" s="176"/>
      <c r="AK758" s="176"/>
      <c r="AL758" s="176"/>
      <c r="AM758" s="176"/>
      <c r="AN758" s="176"/>
      <c r="AO758" s="176"/>
      <c r="AP758" s="176"/>
      <c r="AQ758" s="176"/>
      <c r="AR758" s="176"/>
      <c r="AS758" s="176"/>
      <c r="AT758" s="176"/>
      <c r="AU758" s="176"/>
      <c r="AV758" s="176"/>
      <c r="AW758" s="176"/>
      <c r="AX758" s="176"/>
      <c r="AY758" s="176"/>
      <c r="AZ758" s="176"/>
      <c r="BA758" s="176"/>
      <c r="BB758" s="176"/>
      <c r="BC758" s="176"/>
      <c r="BD758" s="176"/>
    </row>
    <row r="759" ht="15.75" customHeight="1">
      <c r="A759" s="176"/>
      <c r="B759" s="176"/>
      <c r="C759" s="176"/>
      <c r="D759" s="176"/>
      <c r="E759" s="176"/>
      <c r="F759" s="176"/>
      <c r="G759" s="178"/>
      <c r="H759" s="176"/>
      <c r="I759" s="176"/>
      <c r="J759" s="176"/>
      <c r="K759" s="176"/>
      <c r="L759" s="176"/>
      <c r="M759" s="176"/>
      <c r="N759" s="176"/>
      <c r="O759" s="176"/>
      <c r="P759" s="176"/>
      <c r="Q759" s="176"/>
      <c r="R759" s="176"/>
      <c r="S759" s="176"/>
      <c r="T759" s="176"/>
      <c r="U759" s="176"/>
      <c r="V759" s="176"/>
      <c r="W759" s="176"/>
      <c r="X759" s="176"/>
      <c r="Y759" s="176"/>
      <c r="Z759" s="176"/>
      <c r="AA759" s="176"/>
      <c r="AB759" s="176"/>
      <c r="AC759" s="176"/>
      <c r="AD759" s="176"/>
      <c r="AE759" s="176"/>
      <c r="AF759" s="176"/>
      <c r="AG759" s="176"/>
      <c r="AH759" s="176"/>
      <c r="AI759" s="176"/>
      <c r="AJ759" s="176"/>
      <c r="AK759" s="176"/>
      <c r="AL759" s="176"/>
      <c r="AM759" s="176"/>
      <c r="AN759" s="176"/>
      <c r="AO759" s="176"/>
      <c r="AP759" s="176"/>
      <c r="AQ759" s="176"/>
      <c r="AR759" s="176"/>
      <c r="AS759" s="176"/>
      <c r="AT759" s="176"/>
      <c r="AU759" s="176"/>
      <c r="AV759" s="176"/>
      <c r="AW759" s="176"/>
      <c r="AX759" s="176"/>
      <c r="AY759" s="176"/>
      <c r="AZ759" s="176"/>
      <c r="BA759" s="176"/>
      <c r="BB759" s="176"/>
      <c r="BC759" s="176"/>
      <c r="BD759" s="176"/>
    </row>
    <row r="760" ht="15.75" customHeight="1">
      <c r="A760" s="176"/>
      <c r="B760" s="176"/>
      <c r="C760" s="176"/>
      <c r="D760" s="176"/>
      <c r="E760" s="176"/>
      <c r="F760" s="176"/>
      <c r="G760" s="178"/>
      <c r="H760" s="176"/>
      <c r="I760" s="176"/>
      <c r="J760" s="176"/>
      <c r="K760" s="176"/>
      <c r="L760" s="176"/>
      <c r="M760" s="176"/>
      <c r="N760" s="176"/>
      <c r="O760" s="176"/>
      <c r="P760" s="176"/>
      <c r="Q760" s="176"/>
      <c r="R760" s="176"/>
      <c r="S760" s="176"/>
      <c r="T760" s="176"/>
      <c r="U760" s="176"/>
      <c r="V760" s="176"/>
      <c r="W760" s="176"/>
      <c r="X760" s="176"/>
      <c r="Y760" s="176"/>
      <c r="Z760" s="176"/>
      <c r="AA760" s="176"/>
      <c r="AB760" s="176"/>
      <c r="AC760" s="176"/>
      <c r="AD760" s="176"/>
      <c r="AE760" s="176"/>
      <c r="AF760" s="176"/>
      <c r="AG760" s="176"/>
      <c r="AH760" s="176"/>
      <c r="AI760" s="176"/>
      <c r="AJ760" s="176"/>
      <c r="AK760" s="176"/>
      <c r="AL760" s="176"/>
      <c r="AM760" s="176"/>
      <c r="AN760" s="176"/>
      <c r="AO760" s="176"/>
      <c r="AP760" s="176"/>
      <c r="AQ760" s="176"/>
      <c r="AR760" s="176"/>
      <c r="AS760" s="176"/>
      <c r="AT760" s="176"/>
      <c r="AU760" s="176"/>
      <c r="AV760" s="176"/>
      <c r="AW760" s="176"/>
      <c r="AX760" s="176"/>
      <c r="AY760" s="176"/>
      <c r="AZ760" s="176"/>
      <c r="BA760" s="176"/>
      <c r="BB760" s="176"/>
      <c r="BC760" s="176"/>
      <c r="BD760" s="176"/>
    </row>
    <row r="761" ht="15.75" customHeight="1">
      <c r="A761" s="176"/>
      <c r="B761" s="176"/>
      <c r="C761" s="176"/>
      <c r="D761" s="176"/>
      <c r="E761" s="176"/>
      <c r="F761" s="176"/>
      <c r="G761" s="178"/>
      <c r="H761" s="176"/>
      <c r="I761" s="176"/>
      <c r="J761" s="176"/>
      <c r="K761" s="176"/>
      <c r="L761" s="176"/>
      <c r="M761" s="176"/>
      <c r="N761" s="176"/>
      <c r="O761" s="176"/>
      <c r="P761" s="176"/>
      <c r="Q761" s="176"/>
      <c r="R761" s="176"/>
      <c r="S761" s="176"/>
      <c r="T761" s="176"/>
      <c r="U761" s="176"/>
      <c r="V761" s="176"/>
      <c r="W761" s="176"/>
      <c r="X761" s="176"/>
      <c r="Y761" s="176"/>
      <c r="Z761" s="176"/>
      <c r="AA761" s="176"/>
      <c r="AB761" s="176"/>
      <c r="AC761" s="176"/>
      <c r="AD761" s="176"/>
      <c r="AE761" s="176"/>
      <c r="AF761" s="176"/>
      <c r="AG761" s="176"/>
      <c r="AH761" s="176"/>
      <c r="AI761" s="176"/>
      <c r="AJ761" s="176"/>
      <c r="AK761" s="176"/>
      <c r="AL761" s="176"/>
      <c r="AM761" s="176"/>
      <c r="AN761" s="176"/>
      <c r="AO761" s="176"/>
      <c r="AP761" s="176"/>
      <c r="AQ761" s="176"/>
      <c r="AR761" s="176"/>
      <c r="AS761" s="176"/>
      <c r="AT761" s="176"/>
      <c r="AU761" s="176"/>
      <c r="AV761" s="176"/>
      <c r="AW761" s="176"/>
      <c r="AX761" s="176"/>
      <c r="AY761" s="176"/>
      <c r="AZ761" s="176"/>
      <c r="BA761" s="176"/>
      <c r="BB761" s="176"/>
      <c r="BC761" s="176"/>
      <c r="BD761" s="176"/>
    </row>
    <row r="762" ht="15.75" customHeight="1">
      <c r="A762" s="176"/>
      <c r="B762" s="176"/>
      <c r="C762" s="176"/>
      <c r="D762" s="176"/>
      <c r="E762" s="176"/>
      <c r="F762" s="176"/>
      <c r="G762" s="178"/>
      <c r="H762" s="176"/>
      <c r="I762" s="176"/>
      <c r="J762" s="176"/>
      <c r="K762" s="176"/>
      <c r="L762" s="176"/>
      <c r="M762" s="176"/>
      <c r="N762" s="176"/>
      <c r="O762" s="176"/>
      <c r="P762" s="176"/>
      <c r="Q762" s="176"/>
      <c r="R762" s="176"/>
      <c r="S762" s="176"/>
      <c r="T762" s="176"/>
      <c r="U762" s="176"/>
      <c r="V762" s="176"/>
      <c r="W762" s="176"/>
      <c r="X762" s="176"/>
      <c r="Y762" s="176"/>
      <c r="Z762" s="176"/>
      <c r="AA762" s="176"/>
      <c r="AB762" s="176"/>
      <c r="AC762" s="176"/>
      <c r="AD762" s="176"/>
      <c r="AE762" s="176"/>
      <c r="AF762" s="176"/>
      <c r="AG762" s="176"/>
      <c r="AH762" s="176"/>
      <c r="AI762" s="176"/>
      <c r="AJ762" s="176"/>
      <c r="AK762" s="176"/>
      <c r="AL762" s="176"/>
      <c r="AM762" s="176"/>
      <c r="AN762" s="176"/>
      <c r="AO762" s="176"/>
      <c r="AP762" s="176"/>
      <c r="AQ762" s="176"/>
      <c r="AR762" s="176"/>
      <c r="AS762" s="176"/>
      <c r="AT762" s="176"/>
      <c r="AU762" s="176"/>
      <c r="AV762" s="176"/>
      <c r="AW762" s="176"/>
      <c r="AX762" s="176"/>
      <c r="AY762" s="176"/>
      <c r="AZ762" s="176"/>
      <c r="BA762" s="176"/>
      <c r="BB762" s="176"/>
      <c r="BC762" s="176"/>
      <c r="BD762" s="176"/>
    </row>
    <row r="763" ht="15.75" customHeight="1">
      <c r="A763" s="176"/>
      <c r="B763" s="176"/>
      <c r="C763" s="176"/>
      <c r="D763" s="176"/>
      <c r="E763" s="176"/>
      <c r="F763" s="176"/>
      <c r="G763" s="178"/>
      <c r="H763" s="176"/>
      <c r="I763" s="176"/>
      <c r="J763" s="176"/>
      <c r="K763" s="176"/>
      <c r="L763" s="176"/>
      <c r="M763" s="176"/>
      <c r="N763" s="176"/>
      <c r="O763" s="176"/>
      <c r="P763" s="176"/>
      <c r="Q763" s="176"/>
      <c r="R763" s="176"/>
      <c r="S763" s="176"/>
      <c r="T763" s="176"/>
      <c r="U763" s="176"/>
      <c r="V763" s="176"/>
      <c r="W763" s="176"/>
      <c r="X763" s="176"/>
      <c r="Y763" s="176"/>
      <c r="Z763" s="176"/>
      <c r="AA763" s="176"/>
      <c r="AB763" s="176"/>
      <c r="AC763" s="176"/>
      <c r="AD763" s="176"/>
      <c r="AE763" s="176"/>
      <c r="AF763" s="176"/>
      <c r="AG763" s="176"/>
      <c r="AH763" s="176"/>
      <c r="AI763" s="176"/>
      <c r="AJ763" s="176"/>
      <c r="AK763" s="176"/>
      <c r="AL763" s="176"/>
      <c r="AM763" s="176"/>
      <c r="AN763" s="176"/>
      <c r="AO763" s="176"/>
      <c r="AP763" s="176"/>
      <c r="AQ763" s="176"/>
      <c r="AR763" s="176"/>
      <c r="AS763" s="176"/>
      <c r="AT763" s="176"/>
      <c r="AU763" s="176"/>
      <c r="AV763" s="176"/>
      <c r="AW763" s="176"/>
      <c r="AX763" s="176"/>
      <c r="AY763" s="176"/>
      <c r="AZ763" s="176"/>
      <c r="BA763" s="176"/>
      <c r="BB763" s="176"/>
      <c r="BC763" s="176"/>
      <c r="BD763" s="176"/>
    </row>
    <row r="764" ht="15.75" customHeight="1">
      <c r="A764" s="176"/>
      <c r="B764" s="176"/>
      <c r="C764" s="176"/>
      <c r="D764" s="176"/>
      <c r="E764" s="176"/>
      <c r="F764" s="176"/>
      <c r="G764" s="178"/>
      <c r="H764" s="176"/>
      <c r="I764" s="176"/>
      <c r="J764" s="176"/>
      <c r="K764" s="176"/>
      <c r="L764" s="176"/>
      <c r="M764" s="176"/>
      <c r="N764" s="176"/>
      <c r="O764" s="176"/>
      <c r="P764" s="176"/>
      <c r="Q764" s="176"/>
      <c r="R764" s="176"/>
      <c r="S764" s="176"/>
      <c r="T764" s="176"/>
      <c r="U764" s="176"/>
      <c r="V764" s="176"/>
      <c r="W764" s="176"/>
      <c r="X764" s="176"/>
      <c r="Y764" s="176"/>
      <c r="Z764" s="176"/>
      <c r="AA764" s="176"/>
      <c r="AB764" s="176"/>
      <c r="AC764" s="176"/>
      <c r="AD764" s="176"/>
      <c r="AE764" s="176"/>
      <c r="AF764" s="176"/>
      <c r="AG764" s="176"/>
      <c r="AH764" s="176"/>
      <c r="AI764" s="176"/>
      <c r="AJ764" s="176"/>
      <c r="AK764" s="176"/>
      <c r="AL764" s="176"/>
      <c r="AM764" s="176"/>
      <c r="AN764" s="176"/>
      <c r="AO764" s="176"/>
      <c r="AP764" s="176"/>
      <c r="AQ764" s="176"/>
      <c r="AR764" s="176"/>
      <c r="AS764" s="176"/>
      <c r="AT764" s="176"/>
      <c r="AU764" s="176"/>
      <c r="AV764" s="176"/>
      <c r="AW764" s="176"/>
      <c r="AX764" s="176"/>
      <c r="AY764" s="176"/>
      <c r="AZ764" s="176"/>
      <c r="BA764" s="176"/>
      <c r="BB764" s="176"/>
      <c r="BC764" s="176"/>
      <c r="BD764" s="176"/>
    </row>
    <row r="765" ht="15.75" customHeight="1">
      <c r="A765" s="176"/>
      <c r="B765" s="176"/>
      <c r="C765" s="176"/>
      <c r="D765" s="176"/>
      <c r="E765" s="176"/>
      <c r="F765" s="176"/>
      <c r="G765" s="178"/>
      <c r="H765" s="176"/>
      <c r="I765" s="176"/>
      <c r="J765" s="176"/>
      <c r="K765" s="176"/>
      <c r="L765" s="176"/>
      <c r="M765" s="176"/>
      <c r="N765" s="176"/>
      <c r="O765" s="176"/>
      <c r="P765" s="176"/>
      <c r="Q765" s="176"/>
      <c r="R765" s="176"/>
      <c r="S765" s="176"/>
      <c r="T765" s="176"/>
      <c r="U765" s="176"/>
      <c r="V765" s="176"/>
      <c r="W765" s="176"/>
      <c r="X765" s="176"/>
      <c r="Y765" s="176"/>
      <c r="Z765" s="176"/>
      <c r="AA765" s="176"/>
      <c r="AB765" s="176"/>
      <c r="AC765" s="176"/>
      <c r="AD765" s="176"/>
      <c r="AE765" s="176"/>
      <c r="AF765" s="176"/>
      <c r="AG765" s="176"/>
      <c r="AH765" s="176"/>
      <c r="AI765" s="176"/>
      <c r="AJ765" s="176"/>
      <c r="AK765" s="176"/>
      <c r="AL765" s="176"/>
      <c r="AM765" s="176"/>
      <c r="AN765" s="176"/>
      <c r="AO765" s="176"/>
      <c r="AP765" s="176"/>
      <c r="AQ765" s="176"/>
      <c r="AR765" s="176"/>
      <c r="AS765" s="176"/>
      <c r="AT765" s="176"/>
      <c r="AU765" s="176"/>
      <c r="AV765" s="176"/>
      <c r="AW765" s="176"/>
      <c r="AX765" s="176"/>
      <c r="AY765" s="176"/>
      <c r="AZ765" s="176"/>
      <c r="BA765" s="176"/>
      <c r="BB765" s="176"/>
      <c r="BC765" s="176"/>
      <c r="BD765" s="176"/>
    </row>
    <row r="766" ht="15.75" customHeight="1">
      <c r="A766" s="176"/>
      <c r="B766" s="176"/>
      <c r="C766" s="176"/>
      <c r="D766" s="176"/>
      <c r="E766" s="176"/>
      <c r="F766" s="176"/>
      <c r="G766" s="178"/>
      <c r="H766" s="176"/>
      <c r="I766" s="176"/>
      <c r="J766" s="176"/>
      <c r="K766" s="176"/>
      <c r="L766" s="176"/>
      <c r="M766" s="176"/>
      <c r="N766" s="176"/>
      <c r="O766" s="176"/>
      <c r="P766" s="176"/>
      <c r="Q766" s="176"/>
      <c r="R766" s="176"/>
      <c r="S766" s="176"/>
      <c r="T766" s="176"/>
      <c r="U766" s="176"/>
      <c r="V766" s="176"/>
      <c r="W766" s="176"/>
      <c r="X766" s="176"/>
      <c r="Y766" s="176"/>
      <c r="Z766" s="176"/>
      <c r="AA766" s="176"/>
      <c r="AB766" s="176"/>
      <c r="AC766" s="176"/>
      <c r="AD766" s="176"/>
      <c r="AE766" s="176"/>
      <c r="AF766" s="176"/>
      <c r="AG766" s="176"/>
      <c r="AH766" s="176"/>
      <c r="AI766" s="176"/>
      <c r="AJ766" s="176"/>
      <c r="AK766" s="176"/>
      <c r="AL766" s="176"/>
      <c r="AM766" s="176"/>
      <c r="AN766" s="176"/>
      <c r="AO766" s="176"/>
      <c r="AP766" s="176"/>
      <c r="AQ766" s="176"/>
      <c r="AR766" s="176"/>
      <c r="AS766" s="176"/>
      <c r="AT766" s="176"/>
      <c r="AU766" s="176"/>
      <c r="AV766" s="176"/>
      <c r="AW766" s="176"/>
      <c r="AX766" s="176"/>
      <c r="AY766" s="176"/>
      <c r="AZ766" s="176"/>
      <c r="BA766" s="176"/>
      <c r="BB766" s="176"/>
      <c r="BC766" s="176"/>
      <c r="BD766" s="176"/>
    </row>
    <row r="767" ht="15.75" customHeight="1">
      <c r="A767" s="176"/>
      <c r="B767" s="176"/>
      <c r="C767" s="176"/>
      <c r="D767" s="176"/>
      <c r="E767" s="176"/>
      <c r="F767" s="176"/>
      <c r="G767" s="178"/>
      <c r="H767" s="176"/>
      <c r="I767" s="176"/>
      <c r="J767" s="176"/>
      <c r="K767" s="176"/>
      <c r="L767" s="176"/>
      <c r="M767" s="176"/>
      <c r="N767" s="176"/>
      <c r="O767" s="176"/>
      <c r="P767" s="176"/>
      <c r="Q767" s="176"/>
      <c r="R767" s="176"/>
      <c r="S767" s="176"/>
      <c r="T767" s="176"/>
      <c r="U767" s="176"/>
      <c r="V767" s="176"/>
      <c r="W767" s="176"/>
      <c r="X767" s="176"/>
      <c r="Y767" s="176"/>
      <c r="Z767" s="176"/>
      <c r="AA767" s="176"/>
      <c r="AB767" s="176"/>
      <c r="AC767" s="176"/>
      <c r="AD767" s="176"/>
      <c r="AE767" s="176"/>
      <c r="AF767" s="176"/>
      <c r="AG767" s="176"/>
      <c r="AH767" s="176"/>
      <c r="AI767" s="176"/>
      <c r="AJ767" s="176"/>
      <c r="AK767" s="176"/>
      <c r="AL767" s="176"/>
      <c r="AM767" s="176"/>
      <c r="AN767" s="176"/>
      <c r="AO767" s="176"/>
      <c r="AP767" s="176"/>
      <c r="AQ767" s="176"/>
      <c r="AR767" s="176"/>
      <c r="AS767" s="176"/>
      <c r="AT767" s="176"/>
      <c r="AU767" s="176"/>
      <c r="AV767" s="176"/>
      <c r="AW767" s="176"/>
      <c r="AX767" s="176"/>
      <c r="AY767" s="176"/>
      <c r="AZ767" s="176"/>
      <c r="BA767" s="176"/>
      <c r="BB767" s="176"/>
      <c r="BC767" s="176"/>
      <c r="BD767" s="176"/>
    </row>
    <row r="768" ht="15.75" customHeight="1">
      <c r="A768" s="176"/>
      <c r="B768" s="176"/>
      <c r="C768" s="176"/>
      <c r="D768" s="176"/>
      <c r="E768" s="176"/>
      <c r="F768" s="176"/>
      <c r="G768" s="178"/>
      <c r="H768" s="176"/>
      <c r="I768" s="176"/>
      <c r="J768" s="176"/>
      <c r="K768" s="176"/>
      <c r="L768" s="176"/>
      <c r="M768" s="176"/>
      <c r="N768" s="176"/>
      <c r="O768" s="176"/>
      <c r="P768" s="176"/>
      <c r="Q768" s="176"/>
      <c r="R768" s="176"/>
      <c r="S768" s="176"/>
      <c r="T768" s="176"/>
      <c r="U768" s="176"/>
      <c r="V768" s="176"/>
      <c r="W768" s="176"/>
      <c r="X768" s="176"/>
      <c r="Y768" s="176"/>
      <c r="Z768" s="176"/>
      <c r="AA768" s="176"/>
      <c r="AB768" s="176"/>
      <c r="AC768" s="176"/>
      <c r="AD768" s="176"/>
      <c r="AE768" s="176"/>
      <c r="AF768" s="176"/>
      <c r="AG768" s="176"/>
      <c r="AH768" s="176"/>
      <c r="AI768" s="176"/>
      <c r="AJ768" s="176"/>
      <c r="AK768" s="176"/>
      <c r="AL768" s="176"/>
      <c r="AM768" s="176"/>
      <c r="AN768" s="176"/>
      <c r="AO768" s="176"/>
      <c r="AP768" s="176"/>
      <c r="AQ768" s="176"/>
      <c r="AR768" s="176"/>
      <c r="AS768" s="176"/>
      <c r="AT768" s="176"/>
      <c r="AU768" s="176"/>
      <c r="AV768" s="176"/>
      <c r="AW768" s="176"/>
      <c r="AX768" s="176"/>
      <c r="AY768" s="176"/>
      <c r="AZ768" s="176"/>
      <c r="BA768" s="176"/>
      <c r="BB768" s="176"/>
      <c r="BC768" s="176"/>
      <c r="BD768" s="176"/>
    </row>
    <row r="769" ht="15.75" customHeight="1">
      <c r="A769" s="176"/>
      <c r="B769" s="176"/>
      <c r="C769" s="176"/>
      <c r="D769" s="176"/>
      <c r="E769" s="176"/>
      <c r="F769" s="176"/>
      <c r="G769" s="178"/>
      <c r="H769" s="176"/>
      <c r="I769" s="176"/>
      <c r="J769" s="176"/>
      <c r="K769" s="176"/>
      <c r="L769" s="176"/>
      <c r="M769" s="176"/>
      <c r="N769" s="176"/>
      <c r="O769" s="176"/>
      <c r="P769" s="176"/>
      <c r="Q769" s="176"/>
      <c r="R769" s="176"/>
      <c r="S769" s="176"/>
      <c r="T769" s="176"/>
      <c r="U769" s="176"/>
      <c r="V769" s="176"/>
      <c r="W769" s="176"/>
      <c r="X769" s="176"/>
      <c r="Y769" s="176"/>
      <c r="Z769" s="176"/>
      <c r="AA769" s="176"/>
      <c r="AB769" s="176"/>
      <c r="AC769" s="176"/>
      <c r="AD769" s="176"/>
      <c r="AE769" s="176"/>
      <c r="AF769" s="176"/>
      <c r="AG769" s="176"/>
      <c r="AH769" s="176"/>
      <c r="AI769" s="176"/>
      <c r="AJ769" s="176"/>
      <c r="AK769" s="176"/>
      <c r="AL769" s="176"/>
      <c r="AM769" s="176"/>
      <c r="AN769" s="176"/>
      <c r="AO769" s="176"/>
      <c r="AP769" s="176"/>
      <c r="AQ769" s="176"/>
      <c r="AR769" s="176"/>
      <c r="AS769" s="176"/>
      <c r="AT769" s="176"/>
      <c r="AU769" s="176"/>
      <c r="AV769" s="176"/>
      <c r="AW769" s="176"/>
      <c r="AX769" s="176"/>
      <c r="AY769" s="176"/>
      <c r="AZ769" s="176"/>
      <c r="BA769" s="176"/>
      <c r="BB769" s="176"/>
      <c r="BC769" s="176"/>
      <c r="BD769" s="176"/>
    </row>
    <row r="770" ht="15.75" customHeight="1">
      <c r="A770" s="176"/>
      <c r="B770" s="176"/>
      <c r="C770" s="176"/>
      <c r="D770" s="176"/>
      <c r="E770" s="176"/>
      <c r="F770" s="176"/>
      <c r="G770" s="178"/>
      <c r="H770" s="176"/>
      <c r="I770" s="176"/>
      <c r="J770" s="176"/>
      <c r="K770" s="176"/>
      <c r="L770" s="176"/>
      <c r="M770" s="176"/>
      <c r="N770" s="176"/>
      <c r="O770" s="176"/>
      <c r="P770" s="176"/>
      <c r="Q770" s="176"/>
      <c r="R770" s="176"/>
      <c r="S770" s="176"/>
      <c r="T770" s="176"/>
      <c r="U770" s="176"/>
      <c r="V770" s="176"/>
      <c r="W770" s="176"/>
      <c r="X770" s="176"/>
      <c r="Y770" s="176"/>
      <c r="Z770" s="176"/>
      <c r="AA770" s="176"/>
      <c r="AB770" s="176"/>
      <c r="AC770" s="176"/>
      <c r="AD770" s="176"/>
      <c r="AE770" s="176"/>
      <c r="AF770" s="176"/>
      <c r="AG770" s="176"/>
      <c r="AH770" s="176"/>
      <c r="AI770" s="176"/>
      <c r="AJ770" s="176"/>
      <c r="AK770" s="176"/>
      <c r="AL770" s="176"/>
      <c r="AM770" s="176"/>
      <c r="AN770" s="176"/>
      <c r="AO770" s="176"/>
      <c r="AP770" s="176"/>
      <c r="AQ770" s="176"/>
      <c r="AR770" s="176"/>
      <c r="AS770" s="176"/>
      <c r="AT770" s="176"/>
      <c r="AU770" s="176"/>
      <c r="AV770" s="176"/>
      <c r="AW770" s="176"/>
      <c r="AX770" s="176"/>
      <c r="AY770" s="176"/>
      <c r="AZ770" s="176"/>
      <c r="BA770" s="176"/>
      <c r="BB770" s="176"/>
      <c r="BC770" s="176"/>
      <c r="BD770" s="176"/>
    </row>
    <row r="771" ht="15.75" customHeight="1">
      <c r="A771" s="176"/>
      <c r="B771" s="176"/>
      <c r="C771" s="176"/>
      <c r="D771" s="176"/>
      <c r="E771" s="176"/>
      <c r="F771" s="176"/>
      <c r="G771" s="178"/>
      <c r="H771" s="176"/>
      <c r="I771" s="176"/>
      <c r="J771" s="176"/>
      <c r="K771" s="176"/>
      <c r="L771" s="176"/>
      <c r="M771" s="176"/>
      <c r="N771" s="176"/>
      <c r="O771" s="176"/>
      <c r="P771" s="176"/>
      <c r="Q771" s="176"/>
      <c r="R771" s="176"/>
      <c r="S771" s="176"/>
      <c r="T771" s="176"/>
      <c r="U771" s="176"/>
      <c r="V771" s="176"/>
      <c r="W771" s="176"/>
      <c r="X771" s="176"/>
      <c r="Y771" s="176"/>
      <c r="Z771" s="176"/>
      <c r="AA771" s="176"/>
      <c r="AB771" s="176"/>
      <c r="AC771" s="176"/>
      <c r="AD771" s="176"/>
      <c r="AE771" s="176"/>
      <c r="AF771" s="176"/>
      <c r="AG771" s="176"/>
      <c r="AH771" s="176"/>
      <c r="AI771" s="176"/>
      <c r="AJ771" s="176"/>
      <c r="AK771" s="176"/>
      <c r="AL771" s="176"/>
      <c r="AM771" s="176"/>
      <c r="AN771" s="176"/>
      <c r="AO771" s="176"/>
      <c r="AP771" s="176"/>
      <c r="AQ771" s="176"/>
      <c r="AR771" s="176"/>
      <c r="AS771" s="176"/>
      <c r="AT771" s="176"/>
      <c r="AU771" s="176"/>
      <c r="AV771" s="176"/>
      <c r="AW771" s="176"/>
      <c r="AX771" s="176"/>
      <c r="AY771" s="176"/>
      <c r="AZ771" s="176"/>
      <c r="BA771" s="176"/>
      <c r="BB771" s="176"/>
      <c r="BC771" s="176"/>
      <c r="BD771" s="176"/>
    </row>
    <row r="772" ht="15.75" customHeight="1">
      <c r="A772" s="176"/>
      <c r="B772" s="176"/>
      <c r="C772" s="176"/>
      <c r="D772" s="176"/>
      <c r="E772" s="176"/>
      <c r="F772" s="176"/>
      <c r="G772" s="178"/>
      <c r="H772" s="176"/>
      <c r="I772" s="176"/>
      <c r="J772" s="176"/>
      <c r="K772" s="176"/>
      <c r="L772" s="176"/>
      <c r="M772" s="176"/>
      <c r="N772" s="176"/>
      <c r="O772" s="176"/>
      <c r="P772" s="176"/>
      <c r="Q772" s="176"/>
      <c r="R772" s="176"/>
      <c r="S772" s="176"/>
      <c r="T772" s="176"/>
      <c r="U772" s="176"/>
      <c r="V772" s="176"/>
      <c r="W772" s="176"/>
      <c r="X772" s="176"/>
      <c r="Y772" s="176"/>
      <c r="Z772" s="176"/>
      <c r="AA772" s="176"/>
      <c r="AB772" s="176"/>
      <c r="AC772" s="176"/>
      <c r="AD772" s="176"/>
      <c r="AE772" s="176"/>
      <c r="AF772" s="176"/>
      <c r="AG772" s="176"/>
      <c r="AH772" s="176"/>
      <c r="AI772" s="176"/>
      <c r="AJ772" s="176"/>
      <c r="AK772" s="176"/>
      <c r="AL772" s="176"/>
      <c r="AM772" s="176"/>
      <c r="AN772" s="176"/>
      <c r="AO772" s="176"/>
      <c r="AP772" s="176"/>
      <c r="AQ772" s="176"/>
      <c r="AR772" s="176"/>
      <c r="AS772" s="176"/>
      <c r="AT772" s="176"/>
      <c r="AU772" s="176"/>
      <c r="AV772" s="176"/>
      <c r="AW772" s="176"/>
      <c r="AX772" s="176"/>
      <c r="AY772" s="176"/>
      <c r="AZ772" s="176"/>
      <c r="BA772" s="176"/>
      <c r="BB772" s="176"/>
      <c r="BC772" s="176"/>
      <c r="BD772" s="176"/>
    </row>
    <row r="773" ht="15.75" customHeight="1">
      <c r="A773" s="176"/>
      <c r="B773" s="176"/>
      <c r="C773" s="176"/>
      <c r="D773" s="176"/>
      <c r="E773" s="176"/>
      <c r="F773" s="176"/>
      <c r="G773" s="178"/>
      <c r="H773" s="176"/>
      <c r="I773" s="176"/>
      <c r="J773" s="176"/>
      <c r="K773" s="176"/>
      <c r="L773" s="176"/>
      <c r="M773" s="176"/>
      <c r="N773" s="176"/>
      <c r="O773" s="176"/>
      <c r="P773" s="176"/>
      <c r="Q773" s="176"/>
      <c r="R773" s="176"/>
      <c r="S773" s="176"/>
      <c r="T773" s="176"/>
      <c r="U773" s="176"/>
      <c r="V773" s="176"/>
      <c r="W773" s="176"/>
      <c r="X773" s="176"/>
      <c r="Y773" s="176"/>
      <c r="Z773" s="176"/>
      <c r="AA773" s="176"/>
      <c r="AB773" s="176"/>
      <c r="AC773" s="176"/>
      <c r="AD773" s="176"/>
      <c r="AE773" s="176"/>
      <c r="AF773" s="176"/>
      <c r="AG773" s="176"/>
      <c r="AH773" s="176"/>
      <c r="AI773" s="176"/>
      <c r="AJ773" s="176"/>
      <c r="AK773" s="176"/>
      <c r="AL773" s="176"/>
      <c r="AM773" s="176"/>
      <c r="AN773" s="176"/>
      <c r="AO773" s="176"/>
      <c r="AP773" s="176"/>
      <c r="AQ773" s="176"/>
      <c r="AR773" s="176"/>
      <c r="AS773" s="176"/>
      <c r="AT773" s="176"/>
      <c r="AU773" s="176"/>
      <c r="AV773" s="176"/>
      <c r="AW773" s="176"/>
      <c r="AX773" s="176"/>
      <c r="AY773" s="176"/>
      <c r="AZ773" s="176"/>
      <c r="BA773" s="176"/>
      <c r="BB773" s="176"/>
      <c r="BC773" s="176"/>
      <c r="BD773" s="176"/>
    </row>
    <row r="774" ht="15.75" customHeight="1">
      <c r="A774" s="176"/>
      <c r="B774" s="176"/>
      <c r="C774" s="176"/>
      <c r="D774" s="176"/>
      <c r="E774" s="176"/>
      <c r="F774" s="176"/>
      <c r="G774" s="178"/>
      <c r="H774" s="176"/>
      <c r="I774" s="176"/>
      <c r="J774" s="176"/>
      <c r="K774" s="176"/>
      <c r="L774" s="176"/>
      <c r="M774" s="176"/>
      <c r="N774" s="176"/>
      <c r="O774" s="176"/>
      <c r="P774" s="176"/>
      <c r="Q774" s="176"/>
      <c r="R774" s="176"/>
      <c r="S774" s="176"/>
      <c r="T774" s="176"/>
      <c r="U774" s="176"/>
      <c r="V774" s="176"/>
      <c r="W774" s="176"/>
      <c r="X774" s="176"/>
      <c r="Y774" s="176"/>
      <c r="Z774" s="176"/>
      <c r="AA774" s="176"/>
      <c r="AB774" s="176"/>
      <c r="AC774" s="176"/>
      <c r="AD774" s="176"/>
      <c r="AE774" s="176"/>
      <c r="AF774" s="176"/>
      <c r="AG774" s="176"/>
      <c r="AH774" s="176"/>
      <c r="AI774" s="176"/>
      <c r="AJ774" s="176"/>
      <c r="AK774" s="176"/>
      <c r="AL774" s="176"/>
      <c r="AM774" s="176"/>
      <c r="AN774" s="176"/>
      <c r="AO774" s="176"/>
      <c r="AP774" s="176"/>
      <c r="AQ774" s="176"/>
      <c r="AR774" s="176"/>
      <c r="AS774" s="176"/>
      <c r="AT774" s="176"/>
      <c r="AU774" s="176"/>
      <c r="AV774" s="176"/>
      <c r="AW774" s="176"/>
      <c r="AX774" s="176"/>
      <c r="AY774" s="176"/>
      <c r="AZ774" s="176"/>
      <c r="BA774" s="176"/>
      <c r="BB774" s="176"/>
      <c r="BC774" s="176"/>
      <c r="BD774" s="176"/>
    </row>
    <row r="775" ht="15.75" customHeight="1">
      <c r="A775" s="176"/>
      <c r="B775" s="176"/>
      <c r="C775" s="176"/>
      <c r="D775" s="176"/>
      <c r="E775" s="176"/>
      <c r="F775" s="176"/>
      <c r="G775" s="178"/>
      <c r="H775" s="176"/>
      <c r="I775" s="176"/>
      <c r="J775" s="176"/>
      <c r="K775" s="176"/>
      <c r="L775" s="176"/>
      <c r="M775" s="176"/>
      <c r="N775" s="176"/>
      <c r="O775" s="176"/>
      <c r="P775" s="176"/>
      <c r="Q775" s="176"/>
      <c r="R775" s="176"/>
      <c r="S775" s="176"/>
      <c r="T775" s="176"/>
      <c r="U775" s="176"/>
      <c r="V775" s="176"/>
      <c r="W775" s="176"/>
      <c r="X775" s="176"/>
      <c r="Y775" s="176"/>
      <c r="Z775" s="176"/>
      <c r="AA775" s="176"/>
      <c r="AB775" s="176"/>
      <c r="AC775" s="176"/>
      <c r="AD775" s="176"/>
      <c r="AE775" s="176"/>
      <c r="AF775" s="176"/>
      <c r="AG775" s="176"/>
      <c r="AH775" s="176"/>
      <c r="AI775" s="176"/>
      <c r="AJ775" s="176"/>
      <c r="AK775" s="176"/>
      <c r="AL775" s="176"/>
      <c r="AM775" s="176"/>
      <c r="AN775" s="176"/>
      <c r="AO775" s="176"/>
      <c r="AP775" s="176"/>
      <c r="AQ775" s="176"/>
      <c r="AR775" s="176"/>
      <c r="AS775" s="176"/>
      <c r="AT775" s="176"/>
      <c r="AU775" s="176"/>
      <c r="AV775" s="176"/>
      <c r="AW775" s="176"/>
      <c r="AX775" s="176"/>
      <c r="AY775" s="176"/>
      <c r="AZ775" s="176"/>
      <c r="BA775" s="176"/>
      <c r="BB775" s="176"/>
      <c r="BC775" s="176"/>
      <c r="BD775" s="176"/>
    </row>
    <row r="776" ht="15.75" customHeight="1">
      <c r="A776" s="176"/>
      <c r="B776" s="176"/>
      <c r="C776" s="176"/>
      <c r="D776" s="176"/>
      <c r="E776" s="176"/>
      <c r="F776" s="176"/>
      <c r="G776" s="178"/>
      <c r="H776" s="176"/>
      <c r="I776" s="176"/>
      <c r="J776" s="176"/>
      <c r="K776" s="176"/>
      <c r="L776" s="176"/>
      <c r="M776" s="176"/>
      <c r="N776" s="176"/>
      <c r="O776" s="176"/>
      <c r="P776" s="176"/>
      <c r="Q776" s="176"/>
      <c r="R776" s="176"/>
      <c r="S776" s="176"/>
      <c r="T776" s="176"/>
      <c r="U776" s="176"/>
      <c r="V776" s="176"/>
      <c r="W776" s="176"/>
      <c r="X776" s="176"/>
      <c r="Y776" s="176"/>
      <c r="Z776" s="176"/>
      <c r="AA776" s="176"/>
      <c r="AB776" s="176"/>
      <c r="AC776" s="176"/>
      <c r="AD776" s="176"/>
      <c r="AE776" s="176"/>
      <c r="AF776" s="176"/>
      <c r="AG776" s="176"/>
      <c r="AH776" s="176"/>
      <c r="AI776" s="176"/>
      <c r="AJ776" s="176"/>
      <c r="AK776" s="176"/>
      <c r="AL776" s="176"/>
      <c r="AM776" s="176"/>
      <c r="AN776" s="176"/>
      <c r="AO776" s="176"/>
      <c r="AP776" s="176"/>
      <c r="AQ776" s="176"/>
      <c r="AR776" s="176"/>
      <c r="AS776" s="176"/>
      <c r="AT776" s="176"/>
      <c r="AU776" s="176"/>
      <c r="AV776" s="176"/>
      <c r="AW776" s="176"/>
      <c r="AX776" s="176"/>
      <c r="AY776" s="176"/>
      <c r="AZ776" s="176"/>
      <c r="BA776" s="176"/>
      <c r="BB776" s="176"/>
      <c r="BC776" s="176"/>
      <c r="BD776" s="176"/>
    </row>
    <row r="777" ht="15.75" customHeight="1">
      <c r="A777" s="176"/>
      <c r="B777" s="176"/>
      <c r="C777" s="176"/>
      <c r="D777" s="176"/>
      <c r="E777" s="176"/>
      <c r="F777" s="176"/>
      <c r="G777" s="178"/>
      <c r="H777" s="176"/>
      <c r="I777" s="176"/>
      <c r="J777" s="176"/>
      <c r="K777" s="176"/>
      <c r="L777" s="176"/>
      <c r="M777" s="176"/>
      <c r="N777" s="176"/>
      <c r="O777" s="176"/>
      <c r="P777" s="176"/>
      <c r="Q777" s="176"/>
      <c r="R777" s="176"/>
      <c r="S777" s="176"/>
      <c r="T777" s="176"/>
      <c r="U777" s="176"/>
      <c r="V777" s="176"/>
      <c r="W777" s="176"/>
      <c r="X777" s="176"/>
      <c r="Y777" s="176"/>
      <c r="Z777" s="176"/>
      <c r="AA777" s="176"/>
      <c r="AB777" s="176"/>
      <c r="AC777" s="176"/>
      <c r="AD777" s="176"/>
      <c r="AE777" s="176"/>
      <c r="AF777" s="176"/>
      <c r="AG777" s="176"/>
      <c r="AH777" s="176"/>
      <c r="AI777" s="176"/>
      <c r="AJ777" s="176"/>
      <c r="AK777" s="176"/>
      <c r="AL777" s="176"/>
      <c r="AM777" s="176"/>
      <c r="AN777" s="176"/>
      <c r="AO777" s="176"/>
      <c r="AP777" s="176"/>
      <c r="AQ777" s="176"/>
      <c r="AR777" s="176"/>
      <c r="AS777" s="176"/>
      <c r="AT777" s="176"/>
      <c r="AU777" s="176"/>
      <c r="AV777" s="176"/>
      <c r="AW777" s="176"/>
      <c r="AX777" s="176"/>
      <c r="AY777" s="176"/>
      <c r="AZ777" s="176"/>
      <c r="BA777" s="176"/>
      <c r="BB777" s="176"/>
      <c r="BC777" s="176"/>
      <c r="BD777" s="176"/>
    </row>
    <row r="778" ht="15.75" customHeight="1">
      <c r="A778" s="176"/>
      <c r="B778" s="176"/>
      <c r="C778" s="176"/>
      <c r="D778" s="176"/>
      <c r="E778" s="176"/>
      <c r="F778" s="176"/>
      <c r="G778" s="178"/>
      <c r="H778" s="176"/>
      <c r="I778" s="176"/>
      <c r="J778" s="176"/>
      <c r="K778" s="176"/>
      <c r="L778" s="176"/>
      <c r="M778" s="176"/>
      <c r="N778" s="176"/>
      <c r="O778" s="176"/>
      <c r="P778" s="176"/>
      <c r="Q778" s="176"/>
      <c r="R778" s="176"/>
      <c r="S778" s="176"/>
      <c r="T778" s="176"/>
      <c r="U778" s="176"/>
      <c r="V778" s="176"/>
      <c r="W778" s="176"/>
      <c r="X778" s="176"/>
      <c r="Y778" s="176"/>
      <c r="Z778" s="176"/>
      <c r="AA778" s="176"/>
      <c r="AB778" s="176"/>
      <c r="AC778" s="176"/>
      <c r="AD778" s="176"/>
      <c r="AE778" s="176"/>
      <c r="AF778" s="176"/>
      <c r="AG778" s="176"/>
      <c r="AH778" s="176"/>
      <c r="AI778" s="176"/>
      <c r="AJ778" s="176"/>
      <c r="AK778" s="176"/>
      <c r="AL778" s="176"/>
      <c r="AM778" s="176"/>
      <c r="AN778" s="176"/>
      <c r="AO778" s="176"/>
      <c r="AP778" s="176"/>
      <c r="AQ778" s="176"/>
      <c r="AR778" s="176"/>
      <c r="AS778" s="176"/>
      <c r="AT778" s="176"/>
      <c r="AU778" s="176"/>
      <c r="AV778" s="176"/>
      <c r="AW778" s="176"/>
      <c r="AX778" s="176"/>
      <c r="AY778" s="176"/>
      <c r="AZ778" s="176"/>
      <c r="BA778" s="176"/>
      <c r="BB778" s="176"/>
      <c r="BC778" s="176"/>
      <c r="BD778" s="176"/>
    </row>
    <row r="779" ht="15.75" customHeight="1">
      <c r="A779" s="176"/>
      <c r="B779" s="176"/>
      <c r="C779" s="176"/>
      <c r="D779" s="176"/>
      <c r="E779" s="176"/>
      <c r="F779" s="176"/>
      <c r="G779" s="178"/>
      <c r="H779" s="176"/>
      <c r="I779" s="176"/>
      <c r="J779" s="176"/>
      <c r="K779" s="176"/>
      <c r="L779" s="176"/>
      <c r="M779" s="176"/>
      <c r="N779" s="176"/>
      <c r="O779" s="176"/>
      <c r="P779" s="176"/>
      <c r="Q779" s="176"/>
      <c r="R779" s="176"/>
      <c r="S779" s="176"/>
      <c r="T779" s="176"/>
      <c r="U779" s="176"/>
      <c r="V779" s="176"/>
      <c r="W779" s="176"/>
      <c r="X779" s="176"/>
      <c r="Y779" s="176"/>
      <c r="Z779" s="176"/>
      <c r="AA779" s="176"/>
      <c r="AB779" s="176"/>
      <c r="AC779" s="176"/>
      <c r="AD779" s="176"/>
      <c r="AE779" s="176"/>
      <c r="AF779" s="176"/>
      <c r="AG779" s="176"/>
      <c r="AH779" s="176"/>
      <c r="AI779" s="176"/>
      <c r="AJ779" s="176"/>
      <c r="AK779" s="176"/>
      <c r="AL779" s="176"/>
      <c r="AM779" s="176"/>
      <c r="AN779" s="176"/>
      <c r="AO779" s="176"/>
      <c r="AP779" s="176"/>
      <c r="AQ779" s="176"/>
      <c r="AR779" s="176"/>
      <c r="AS779" s="176"/>
      <c r="AT779" s="176"/>
      <c r="AU779" s="176"/>
      <c r="AV779" s="176"/>
      <c r="AW779" s="176"/>
      <c r="AX779" s="176"/>
      <c r="AY779" s="176"/>
      <c r="AZ779" s="176"/>
      <c r="BA779" s="176"/>
      <c r="BB779" s="176"/>
      <c r="BC779" s="176"/>
      <c r="BD779" s="176"/>
    </row>
    <row r="780" ht="15.75" customHeight="1">
      <c r="A780" s="176"/>
      <c r="B780" s="176"/>
      <c r="C780" s="176"/>
      <c r="D780" s="176"/>
      <c r="E780" s="176"/>
      <c r="F780" s="176"/>
      <c r="G780" s="178"/>
      <c r="H780" s="176"/>
      <c r="I780" s="176"/>
      <c r="J780" s="176"/>
      <c r="K780" s="176"/>
      <c r="L780" s="176"/>
      <c r="M780" s="176"/>
      <c r="N780" s="176"/>
      <c r="O780" s="176"/>
      <c r="P780" s="176"/>
      <c r="Q780" s="176"/>
      <c r="R780" s="176"/>
      <c r="S780" s="176"/>
      <c r="T780" s="176"/>
      <c r="U780" s="176"/>
      <c r="V780" s="176"/>
      <c r="W780" s="176"/>
      <c r="X780" s="176"/>
      <c r="Y780" s="176"/>
      <c r="Z780" s="176"/>
      <c r="AA780" s="176"/>
      <c r="AB780" s="176"/>
      <c r="AC780" s="176"/>
      <c r="AD780" s="176"/>
      <c r="AE780" s="176"/>
      <c r="AF780" s="176"/>
      <c r="AG780" s="176"/>
      <c r="AH780" s="176"/>
      <c r="AI780" s="176"/>
      <c r="AJ780" s="176"/>
      <c r="AK780" s="176"/>
      <c r="AL780" s="176"/>
      <c r="AM780" s="176"/>
      <c r="AN780" s="176"/>
      <c r="AO780" s="176"/>
      <c r="AP780" s="176"/>
      <c r="AQ780" s="176"/>
      <c r="AR780" s="176"/>
      <c r="AS780" s="176"/>
      <c r="AT780" s="176"/>
      <c r="AU780" s="176"/>
      <c r="AV780" s="176"/>
      <c r="AW780" s="176"/>
      <c r="AX780" s="176"/>
      <c r="AY780" s="176"/>
      <c r="AZ780" s="176"/>
      <c r="BA780" s="176"/>
      <c r="BB780" s="176"/>
      <c r="BC780" s="176"/>
      <c r="BD780" s="176"/>
    </row>
    <row r="781" ht="15.75" customHeight="1">
      <c r="A781" s="176"/>
      <c r="B781" s="176"/>
      <c r="C781" s="176"/>
      <c r="D781" s="176"/>
      <c r="E781" s="176"/>
      <c r="F781" s="176"/>
      <c r="G781" s="178"/>
      <c r="H781" s="176"/>
      <c r="I781" s="176"/>
      <c r="J781" s="176"/>
      <c r="K781" s="176"/>
      <c r="L781" s="176"/>
      <c r="M781" s="176"/>
      <c r="N781" s="176"/>
      <c r="O781" s="176"/>
      <c r="P781" s="176"/>
      <c r="Q781" s="176"/>
      <c r="R781" s="176"/>
      <c r="S781" s="176"/>
      <c r="T781" s="176"/>
      <c r="U781" s="176"/>
      <c r="V781" s="176"/>
      <c r="W781" s="176"/>
      <c r="X781" s="176"/>
      <c r="Y781" s="176"/>
      <c r="Z781" s="176"/>
      <c r="AA781" s="176"/>
      <c r="AB781" s="176"/>
      <c r="AC781" s="176"/>
      <c r="AD781" s="176"/>
      <c r="AE781" s="176"/>
      <c r="AF781" s="176"/>
      <c r="AG781" s="176"/>
      <c r="AH781" s="176"/>
      <c r="AI781" s="176"/>
      <c r="AJ781" s="176"/>
      <c r="AK781" s="176"/>
      <c r="AL781" s="176"/>
      <c r="AM781" s="176"/>
      <c r="AN781" s="176"/>
      <c r="AO781" s="176"/>
      <c r="AP781" s="176"/>
      <c r="AQ781" s="176"/>
      <c r="AR781" s="176"/>
      <c r="AS781" s="176"/>
      <c r="AT781" s="176"/>
      <c r="AU781" s="176"/>
      <c r="AV781" s="176"/>
      <c r="AW781" s="176"/>
      <c r="AX781" s="176"/>
      <c r="AY781" s="176"/>
      <c r="AZ781" s="176"/>
      <c r="BA781" s="176"/>
      <c r="BB781" s="176"/>
      <c r="BC781" s="176"/>
      <c r="BD781" s="176"/>
    </row>
    <row r="782" ht="15.75" customHeight="1">
      <c r="A782" s="176"/>
      <c r="B782" s="176"/>
      <c r="C782" s="176"/>
      <c r="D782" s="176"/>
      <c r="E782" s="176"/>
      <c r="F782" s="176"/>
      <c r="G782" s="178"/>
      <c r="H782" s="176"/>
      <c r="I782" s="176"/>
      <c r="J782" s="176"/>
      <c r="K782" s="176"/>
      <c r="L782" s="176"/>
      <c r="M782" s="176"/>
      <c r="N782" s="176"/>
      <c r="O782" s="176"/>
      <c r="P782" s="176"/>
      <c r="Q782" s="176"/>
      <c r="R782" s="176"/>
      <c r="S782" s="176"/>
      <c r="T782" s="176"/>
      <c r="U782" s="176"/>
      <c r="V782" s="176"/>
      <c r="W782" s="176"/>
      <c r="X782" s="176"/>
      <c r="Y782" s="176"/>
      <c r="Z782" s="176"/>
      <c r="AA782" s="176"/>
      <c r="AB782" s="176"/>
      <c r="AC782" s="176"/>
      <c r="AD782" s="176"/>
      <c r="AE782" s="176"/>
      <c r="AF782" s="176"/>
      <c r="AG782" s="176"/>
      <c r="AH782" s="176"/>
      <c r="AI782" s="176"/>
      <c r="AJ782" s="176"/>
      <c r="AK782" s="176"/>
      <c r="AL782" s="176"/>
      <c r="AM782" s="176"/>
      <c r="AN782" s="176"/>
      <c r="AO782" s="176"/>
      <c r="AP782" s="176"/>
      <c r="AQ782" s="176"/>
      <c r="AR782" s="176"/>
      <c r="AS782" s="176"/>
      <c r="AT782" s="176"/>
      <c r="AU782" s="176"/>
      <c r="AV782" s="176"/>
      <c r="AW782" s="176"/>
      <c r="AX782" s="176"/>
      <c r="AY782" s="176"/>
      <c r="AZ782" s="176"/>
      <c r="BA782" s="176"/>
      <c r="BB782" s="176"/>
      <c r="BC782" s="176"/>
      <c r="BD782" s="176"/>
    </row>
    <row r="783" ht="15.75" customHeight="1">
      <c r="A783" s="176"/>
      <c r="B783" s="176"/>
      <c r="C783" s="176"/>
      <c r="D783" s="176"/>
      <c r="E783" s="176"/>
      <c r="F783" s="176"/>
      <c r="G783" s="178"/>
      <c r="H783" s="176"/>
      <c r="I783" s="176"/>
      <c r="J783" s="176"/>
      <c r="K783" s="176"/>
      <c r="L783" s="176"/>
      <c r="M783" s="176"/>
      <c r="N783" s="176"/>
      <c r="O783" s="176"/>
      <c r="P783" s="176"/>
      <c r="Q783" s="176"/>
      <c r="R783" s="176"/>
      <c r="S783" s="176"/>
      <c r="T783" s="176"/>
      <c r="U783" s="176"/>
      <c r="V783" s="176"/>
      <c r="W783" s="176"/>
      <c r="X783" s="176"/>
      <c r="Y783" s="176"/>
      <c r="Z783" s="176"/>
      <c r="AA783" s="176"/>
      <c r="AB783" s="176"/>
      <c r="AC783" s="176"/>
      <c r="AD783" s="176"/>
      <c r="AE783" s="176"/>
      <c r="AF783" s="176"/>
      <c r="AG783" s="176"/>
      <c r="AH783" s="176"/>
      <c r="AI783" s="176"/>
      <c r="AJ783" s="176"/>
      <c r="AK783" s="176"/>
      <c r="AL783" s="176"/>
      <c r="AM783" s="176"/>
      <c r="AN783" s="176"/>
      <c r="AO783" s="176"/>
      <c r="AP783" s="176"/>
      <c r="AQ783" s="176"/>
      <c r="AR783" s="176"/>
      <c r="AS783" s="176"/>
      <c r="AT783" s="176"/>
      <c r="AU783" s="176"/>
      <c r="AV783" s="176"/>
      <c r="AW783" s="176"/>
      <c r="AX783" s="176"/>
      <c r="AY783" s="176"/>
      <c r="AZ783" s="176"/>
      <c r="BA783" s="176"/>
      <c r="BB783" s="176"/>
      <c r="BC783" s="176"/>
      <c r="BD783" s="176"/>
    </row>
    <row r="784" ht="15.75" customHeight="1">
      <c r="A784" s="176"/>
      <c r="B784" s="176"/>
      <c r="C784" s="176"/>
      <c r="D784" s="176"/>
      <c r="E784" s="176"/>
      <c r="F784" s="176"/>
      <c r="G784" s="178"/>
      <c r="H784" s="176"/>
      <c r="I784" s="176"/>
      <c r="J784" s="176"/>
      <c r="K784" s="176"/>
      <c r="L784" s="176"/>
      <c r="M784" s="176"/>
      <c r="N784" s="176"/>
      <c r="O784" s="176"/>
      <c r="P784" s="176"/>
      <c r="Q784" s="176"/>
      <c r="R784" s="176"/>
      <c r="S784" s="176"/>
      <c r="T784" s="176"/>
      <c r="U784" s="176"/>
      <c r="V784" s="176"/>
      <c r="W784" s="176"/>
      <c r="X784" s="176"/>
      <c r="Y784" s="176"/>
      <c r="Z784" s="176"/>
      <c r="AA784" s="176"/>
      <c r="AB784" s="176"/>
      <c r="AC784" s="176"/>
      <c r="AD784" s="176"/>
      <c r="AE784" s="176"/>
      <c r="AF784" s="176"/>
      <c r="AG784" s="176"/>
      <c r="AH784" s="176"/>
      <c r="AI784" s="176"/>
      <c r="AJ784" s="176"/>
      <c r="AK784" s="176"/>
      <c r="AL784" s="176"/>
      <c r="AM784" s="176"/>
      <c r="AN784" s="176"/>
      <c r="AO784" s="176"/>
      <c r="AP784" s="176"/>
      <c r="AQ784" s="176"/>
      <c r="AR784" s="176"/>
      <c r="AS784" s="176"/>
      <c r="AT784" s="176"/>
      <c r="AU784" s="176"/>
      <c r="AV784" s="176"/>
      <c r="AW784" s="176"/>
      <c r="AX784" s="176"/>
      <c r="AY784" s="176"/>
      <c r="AZ784" s="176"/>
      <c r="BA784" s="176"/>
      <c r="BB784" s="176"/>
      <c r="BC784" s="176"/>
      <c r="BD784" s="176"/>
    </row>
    <row r="785" ht="15.75" customHeight="1">
      <c r="A785" s="176"/>
      <c r="B785" s="176"/>
      <c r="C785" s="176"/>
      <c r="D785" s="176"/>
      <c r="E785" s="176"/>
      <c r="F785" s="176"/>
      <c r="G785" s="178"/>
      <c r="H785" s="176"/>
      <c r="I785" s="176"/>
      <c r="J785" s="176"/>
      <c r="K785" s="176"/>
      <c r="L785" s="176"/>
      <c r="M785" s="176"/>
      <c r="N785" s="176"/>
      <c r="O785" s="176"/>
      <c r="P785" s="176"/>
      <c r="Q785" s="176"/>
      <c r="R785" s="176"/>
      <c r="S785" s="176"/>
      <c r="T785" s="176"/>
      <c r="U785" s="176"/>
      <c r="V785" s="176"/>
      <c r="W785" s="176"/>
      <c r="X785" s="176"/>
      <c r="Y785" s="176"/>
      <c r="Z785" s="176"/>
      <c r="AA785" s="176"/>
      <c r="AB785" s="176"/>
      <c r="AC785" s="176"/>
      <c r="AD785" s="176"/>
      <c r="AE785" s="176"/>
      <c r="AF785" s="176"/>
      <c r="AG785" s="176"/>
      <c r="AH785" s="176"/>
      <c r="AI785" s="176"/>
      <c r="AJ785" s="176"/>
      <c r="AK785" s="176"/>
      <c r="AL785" s="176"/>
      <c r="AM785" s="176"/>
      <c r="AN785" s="176"/>
      <c r="AO785" s="176"/>
      <c r="AP785" s="176"/>
      <c r="AQ785" s="176"/>
      <c r="AR785" s="176"/>
      <c r="AS785" s="176"/>
      <c r="AT785" s="176"/>
      <c r="AU785" s="176"/>
      <c r="AV785" s="176"/>
      <c r="AW785" s="176"/>
      <c r="AX785" s="176"/>
      <c r="AY785" s="176"/>
      <c r="AZ785" s="176"/>
      <c r="BA785" s="176"/>
      <c r="BB785" s="176"/>
      <c r="BC785" s="176"/>
      <c r="BD785" s="176"/>
    </row>
    <row r="786" ht="15.75" customHeight="1">
      <c r="A786" s="176"/>
      <c r="B786" s="176"/>
      <c r="C786" s="176"/>
      <c r="D786" s="176"/>
      <c r="E786" s="176"/>
      <c r="F786" s="176"/>
      <c r="G786" s="178"/>
      <c r="H786" s="176"/>
      <c r="I786" s="176"/>
      <c r="J786" s="176"/>
      <c r="K786" s="176"/>
      <c r="L786" s="176"/>
      <c r="M786" s="176"/>
      <c r="N786" s="176"/>
      <c r="O786" s="176"/>
      <c r="P786" s="176"/>
      <c r="Q786" s="176"/>
      <c r="R786" s="176"/>
      <c r="S786" s="176"/>
      <c r="T786" s="176"/>
      <c r="U786" s="176"/>
      <c r="V786" s="176"/>
      <c r="W786" s="176"/>
      <c r="X786" s="176"/>
      <c r="Y786" s="176"/>
      <c r="Z786" s="176"/>
      <c r="AA786" s="176"/>
      <c r="AB786" s="176"/>
      <c r="AC786" s="176"/>
      <c r="AD786" s="176"/>
      <c r="AE786" s="176"/>
      <c r="AF786" s="176"/>
      <c r="AG786" s="176"/>
      <c r="AH786" s="176"/>
      <c r="AI786" s="176"/>
      <c r="AJ786" s="176"/>
      <c r="AK786" s="176"/>
      <c r="AL786" s="176"/>
      <c r="AM786" s="176"/>
      <c r="AN786" s="176"/>
      <c r="AO786" s="176"/>
      <c r="AP786" s="176"/>
      <c r="AQ786" s="176"/>
      <c r="AR786" s="176"/>
      <c r="AS786" s="176"/>
      <c r="AT786" s="176"/>
      <c r="AU786" s="176"/>
      <c r="AV786" s="176"/>
      <c r="AW786" s="176"/>
      <c r="AX786" s="176"/>
      <c r="AY786" s="176"/>
      <c r="AZ786" s="176"/>
      <c r="BA786" s="176"/>
      <c r="BB786" s="176"/>
      <c r="BC786" s="176"/>
      <c r="BD786" s="176"/>
    </row>
    <row r="787" ht="15.75" customHeight="1">
      <c r="A787" s="176"/>
      <c r="B787" s="176"/>
      <c r="C787" s="176"/>
      <c r="D787" s="176"/>
      <c r="E787" s="176"/>
      <c r="F787" s="176"/>
      <c r="G787" s="178"/>
      <c r="H787" s="176"/>
      <c r="I787" s="176"/>
      <c r="J787" s="176"/>
      <c r="K787" s="176"/>
      <c r="L787" s="176"/>
      <c r="M787" s="176"/>
      <c r="N787" s="176"/>
      <c r="O787" s="176"/>
      <c r="P787" s="176"/>
      <c r="Q787" s="176"/>
      <c r="R787" s="176"/>
      <c r="S787" s="176"/>
      <c r="T787" s="176"/>
      <c r="U787" s="176"/>
      <c r="V787" s="176"/>
      <c r="W787" s="176"/>
      <c r="X787" s="176"/>
      <c r="Y787" s="176"/>
      <c r="Z787" s="176"/>
      <c r="AA787" s="176"/>
      <c r="AB787" s="176"/>
      <c r="AC787" s="176"/>
      <c r="AD787" s="176"/>
      <c r="AE787" s="176"/>
      <c r="AF787" s="176"/>
      <c r="AG787" s="176"/>
      <c r="AH787" s="176"/>
      <c r="AI787" s="176"/>
      <c r="AJ787" s="176"/>
      <c r="AK787" s="176"/>
      <c r="AL787" s="176"/>
      <c r="AM787" s="176"/>
      <c r="AN787" s="176"/>
      <c r="AO787" s="176"/>
      <c r="AP787" s="176"/>
      <c r="AQ787" s="176"/>
      <c r="AR787" s="176"/>
      <c r="AS787" s="176"/>
      <c r="AT787" s="176"/>
      <c r="AU787" s="176"/>
      <c r="AV787" s="176"/>
      <c r="AW787" s="176"/>
      <c r="AX787" s="176"/>
      <c r="AY787" s="176"/>
      <c r="AZ787" s="176"/>
      <c r="BA787" s="176"/>
      <c r="BB787" s="176"/>
      <c r="BC787" s="176"/>
      <c r="BD787" s="176"/>
    </row>
    <row r="788" ht="15.75" customHeight="1">
      <c r="A788" s="176"/>
      <c r="B788" s="176"/>
      <c r="C788" s="176"/>
      <c r="D788" s="176"/>
      <c r="E788" s="176"/>
      <c r="F788" s="176"/>
      <c r="G788" s="178"/>
      <c r="H788" s="176"/>
      <c r="I788" s="176"/>
      <c r="J788" s="176"/>
      <c r="K788" s="176"/>
      <c r="L788" s="176"/>
      <c r="M788" s="176"/>
      <c r="N788" s="176"/>
      <c r="O788" s="176"/>
      <c r="P788" s="176"/>
      <c r="Q788" s="176"/>
      <c r="R788" s="176"/>
      <c r="S788" s="176"/>
      <c r="T788" s="176"/>
      <c r="U788" s="176"/>
      <c r="V788" s="176"/>
      <c r="W788" s="176"/>
      <c r="X788" s="176"/>
      <c r="Y788" s="176"/>
      <c r="Z788" s="176"/>
      <c r="AA788" s="176"/>
      <c r="AB788" s="176"/>
      <c r="AC788" s="176"/>
      <c r="AD788" s="176"/>
      <c r="AE788" s="176"/>
      <c r="AF788" s="176"/>
      <c r="AG788" s="176"/>
      <c r="AH788" s="176"/>
      <c r="AI788" s="176"/>
      <c r="AJ788" s="176"/>
      <c r="AK788" s="176"/>
      <c r="AL788" s="176"/>
      <c r="AM788" s="176"/>
      <c r="AN788" s="176"/>
      <c r="AO788" s="176"/>
      <c r="AP788" s="176"/>
      <c r="AQ788" s="176"/>
      <c r="AR788" s="176"/>
      <c r="AS788" s="176"/>
      <c r="AT788" s="176"/>
      <c r="AU788" s="176"/>
      <c r="AV788" s="176"/>
      <c r="AW788" s="176"/>
      <c r="AX788" s="176"/>
      <c r="AY788" s="176"/>
      <c r="AZ788" s="176"/>
      <c r="BA788" s="176"/>
      <c r="BB788" s="176"/>
      <c r="BC788" s="176"/>
      <c r="BD788" s="176"/>
    </row>
    <row r="789" ht="15.75" customHeight="1">
      <c r="A789" s="176"/>
      <c r="B789" s="176"/>
      <c r="C789" s="176"/>
      <c r="D789" s="176"/>
      <c r="E789" s="176"/>
      <c r="F789" s="176"/>
      <c r="G789" s="178"/>
      <c r="H789" s="176"/>
      <c r="I789" s="176"/>
      <c r="J789" s="176"/>
      <c r="K789" s="176"/>
      <c r="L789" s="176"/>
      <c r="M789" s="176"/>
      <c r="N789" s="176"/>
      <c r="O789" s="176"/>
      <c r="P789" s="176"/>
      <c r="Q789" s="176"/>
      <c r="R789" s="176"/>
      <c r="S789" s="176"/>
      <c r="T789" s="176"/>
      <c r="U789" s="176"/>
      <c r="V789" s="176"/>
      <c r="W789" s="176"/>
      <c r="X789" s="176"/>
      <c r="Y789" s="176"/>
      <c r="Z789" s="176"/>
      <c r="AA789" s="176"/>
      <c r="AB789" s="176"/>
      <c r="AC789" s="176"/>
      <c r="AD789" s="176"/>
      <c r="AE789" s="176"/>
      <c r="AF789" s="176"/>
      <c r="AG789" s="176"/>
      <c r="AH789" s="176"/>
      <c r="AI789" s="176"/>
      <c r="AJ789" s="176"/>
      <c r="AK789" s="176"/>
      <c r="AL789" s="176"/>
      <c r="AM789" s="176"/>
      <c r="AN789" s="176"/>
      <c r="AO789" s="176"/>
      <c r="AP789" s="176"/>
      <c r="AQ789" s="176"/>
      <c r="AR789" s="176"/>
      <c r="AS789" s="176"/>
      <c r="AT789" s="176"/>
      <c r="AU789" s="176"/>
      <c r="AV789" s="176"/>
      <c r="AW789" s="176"/>
      <c r="AX789" s="176"/>
      <c r="AY789" s="176"/>
      <c r="AZ789" s="176"/>
      <c r="BA789" s="176"/>
      <c r="BB789" s="176"/>
      <c r="BC789" s="176"/>
      <c r="BD789" s="176"/>
    </row>
    <row r="790" ht="15.75" customHeight="1">
      <c r="A790" s="176"/>
      <c r="B790" s="176"/>
      <c r="C790" s="176"/>
      <c r="D790" s="176"/>
      <c r="E790" s="176"/>
      <c r="F790" s="176"/>
      <c r="G790" s="178"/>
      <c r="H790" s="176"/>
      <c r="I790" s="176"/>
      <c r="J790" s="176"/>
      <c r="K790" s="176"/>
      <c r="L790" s="176"/>
      <c r="M790" s="176"/>
      <c r="N790" s="176"/>
      <c r="O790" s="176"/>
      <c r="P790" s="176"/>
      <c r="Q790" s="176"/>
      <c r="R790" s="176"/>
      <c r="S790" s="176"/>
      <c r="T790" s="176"/>
      <c r="U790" s="176"/>
      <c r="V790" s="176"/>
      <c r="W790" s="176"/>
      <c r="X790" s="176"/>
      <c r="Y790" s="176"/>
      <c r="Z790" s="176"/>
      <c r="AA790" s="176"/>
      <c r="AB790" s="176"/>
      <c r="AC790" s="176"/>
      <c r="AD790" s="176"/>
      <c r="AE790" s="176"/>
      <c r="AF790" s="176"/>
      <c r="AG790" s="176"/>
      <c r="AH790" s="176"/>
      <c r="AI790" s="176"/>
      <c r="AJ790" s="176"/>
      <c r="AK790" s="176"/>
      <c r="AL790" s="176"/>
      <c r="AM790" s="176"/>
      <c r="AN790" s="176"/>
      <c r="AO790" s="176"/>
      <c r="AP790" s="176"/>
      <c r="AQ790" s="176"/>
      <c r="AR790" s="176"/>
      <c r="AS790" s="176"/>
      <c r="AT790" s="176"/>
      <c r="AU790" s="176"/>
      <c r="AV790" s="176"/>
      <c r="AW790" s="176"/>
      <c r="AX790" s="176"/>
      <c r="AY790" s="176"/>
      <c r="AZ790" s="176"/>
      <c r="BA790" s="176"/>
      <c r="BB790" s="176"/>
      <c r="BC790" s="176"/>
      <c r="BD790" s="176"/>
    </row>
    <row r="791" ht="15.75" customHeight="1">
      <c r="A791" s="176"/>
      <c r="B791" s="176"/>
      <c r="C791" s="176"/>
      <c r="D791" s="176"/>
      <c r="E791" s="176"/>
      <c r="F791" s="176"/>
      <c r="G791" s="178"/>
      <c r="H791" s="176"/>
      <c r="I791" s="176"/>
      <c r="J791" s="176"/>
      <c r="K791" s="176"/>
      <c r="L791" s="176"/>
      <c r="M791" s="176"/>
      <c r="N791" s="176"/>
      <c r="O791" s="176"/>
      <c r="P791" s="176"/>
      <c r="Q791" s="176"/>
      <c r="R791" s="176"/>
      <c r="S791" s="176"/>
      <c r="T791" s="176"/>
      <c r="U791" s="176"/>
      <c r="V791" s="176"/>
      <c r="W791" s="176"/>
      <c r="X791" s="176"/>
      <c r="Y791" s="176"/>
      <c r="Z791" s="176"/>
      <c r="AA791" s="176"/>
      <c r="AB791" s="176"/>
      <c r="AC791" s="176"/>
      <c r="AD791" s="176"/>
      <c r="AE791" s="176"/>
      <c r="AF791" s="176"/>
      <c r="AG791" s="176"/>
      <c r="AH791" s="176"/>
      <c r="AI791" s="176"/>
      <c r="AJ791" s="176"/>
      <c r="AK791" s="176"/>
      <c r="AL791" s="176"/>
      <c r="AM791" s="176"/>
      <c r="AN791" s="176"/>
      <c r="AO791" s="176"/>
      <c r="AP791" s="176"/>
      <c r="AQ791" s="176"/>
      <c r="AR791" s="176"/>
      <c r="AS791" s="176"/>
      <c r="AT791" s="176"/>
      <c r="AU791" s="176"/>
      <c r="AV791" s="176"/>
      <c r="AW791" s="176"/>
      <c r="AX791" s="176"/>
      <c r="AY791" s="176"/>
      <c r="AZ791" s="176"/>
      <c r="BA791" s="176"/>
      <c r="BB791" s="176"/>
      <c r="BC791" s="176"/>
      <c r="BD791" s="176"/>
    </row>
    <row r="792" ht="15.75" customHeight="1">
      <c r="A792" s="176"/>
      <c r="B792" s="176"/>
      <c r="C792" s="176"/>
      <c r="D792" s="176"/>
      <c r="E792" s="176"/>
      <c r="F792" s="176"/>
      <c r="G792" s="178"/>
      <c r="H792" s="176"/>
      <c r="I792" s="176"/>
      <c r="J792" s="176"/>
      <c r="K792" s="176"/>
      <c r="L792" s="176"/>
      <c r="M792" s="176"/>
      <c r="N792" s="176"/>
      <c r="O792" s="176"/>
      <c r="P792" s="176"/>
      <c r="Q792" s="176"/>
      <c r="R792" s="176"/>
      <c r="S792" s="176"/>
      <c r="T792" s="176"/>
      <c r="U792" s="176"/>
      <c r="V792" s="176"/>
      <c r="W792" s="176"/>
      <c r="X792" s="176"/>
      <c r="Y792" s="176"/>
      <c r="Z792" s="176"/>
      <c r="AA792" s="176"/>
      <c r="AB792" s="176"/>
      <c r="AC792" s="176"/>
      <c r="AD792" s="176"/>
      <c r="AE792" s="176"/>
      <c r="AF792" s="176"/>
      <c r="AG792" s="176"/>
      <c r="AH792" s="176"/>
      <c r="AI792" s="176"/>
      <c r="AJ792" s="176"/>
      <c r="AK792" s="176"/>
      <c r="AL792" s="176"/>
      <c r="AM792" s="176"/>
      <c r="AN792" s="176"/>
      <c r="AO792" s="176"/>
      <c r="AP792" s="176"/>
      <c r="AQ792" s="176"/>
      <c r="AR792" s="176"/>
      <c r="AS792" s="176"/>
      <c r="AT792" s="176"/>
      <c r="AU792" s="176"/>
      <c r="AV792" s="176"/>
      <c r="AW792" s="176"/>
      <c r="AX792" s="176"/>
      <c r="AY792" s="176"/>
      <c r="AZ792" s="176"/>
      <c r="BA792" s="176"/>
      <c r="BB792" s="176"/>
      <c r="BC792" s="176"/>
      <c r="BD792" s="176"/>
    </row>
    <row r="793" ht="15.75" customHeight="1">
      <c r="A793" s="176"/>
      <c r="B793" s="176"/>
      <c r="C793" s="176"/>
      <c r="D793" s="176"/>
      <c r="E793" s="176"/>
      <c r="F793" s="176"/>
      <c r="G793" s="178"/>
      <c r="H793" s="176"/>
      <c r="I793" s="176"/>
      <c r="J793" s="176"/>
      <c r="K793" s="176"/>
      <c r="L793" s="176"/>
      <c r="M793" s="176"/>
      <c r="N793" s="176"/>
      <c r="O793" s="176"/>
      <c r="P793" s="176"/>
      <c r="Q793" s="176"/>
      <c r="R793" s="176"/>
      <c r="S793" s="176"/>
      <c r="T793" s="176"/>
      <c r="U793" s="176"/>
      <c r="V793" s="176"/>
      <c r="W793" s="176"/>
      <c r="X793" s="176"/>
      <c r="Y793" s="176"/>
      <c r="Z793" s="176"/>
      <c r="AA793" s="176"/>
      <c r="AB793" s="176"/>
      <c r="AC793" s="176"/>
      <c r="AD793" s="176"/>
      <c r="AE793" s="176"/>
      <c r="AF793" s="176"/>
      <c r="AG793" s="176"/>
      <c r="AH793" s="176"/>
      <c r="AI793" s="176"/>
      <c r="AJ793" s="176"/>
      <c r="AK793" s="176"/>
      <c r="AL793" s="176"/>
      <c r="AM793" s="176"/>
      <c r="AN793" s="176"/>
      <c r="AO793" s="176"/>
      <c r="AP793" s="176"/>
      <c r="AQ793" s="176"/>
      <c r="AR793" s="176"/>
      <c r="AS793" s="176"/>
      <c r="AT793" s="176"/>
      <c r="AU793" s="176"/>
      <c r="AV793" s="176"/>
      <c r="AW793" s="176"/>
      <c r="AX793" s="176"/>
      <c r="AY793" s="176"/>
      <c r="AZ793" s="176"/>
      <c r="BA793" s="176"/>
      <c r="BB793" s="176"/>
      <c r="BC793" s="176"/>
      <c r="BD793" s="176"/>
    </row>
    <row r="794" ht="15.75" customHeight="1">
      <c r="A794" s="176"/>
      <c r="B794" s="176"/>
      <c r="C794" s="176"/>
      <c r="D794" s="176"/>
      <c r="E794" s="176"/>
      <c r="F794" s="176"/>
      <c r="G794" s="178"/>
      <c r="H794" s="176"/>
      <c r="I794" s="176"/>
      <c r="J794" s="176"/>
      <c r="K794" s="176"/>
      <c r="L794" s="176"/>
      <c r="M794" s="176"/>
      <c r="N794" s="176"/>
      <c r="O794" s="176"/>
      <c r="P794" s="176"/>
      <c r="Q794" s="176"/>
      <c r="R794" s="176"/>
      <c r="S794" s="176"/>
      <c r="T794" s="176"/>
      <c r="U794" s="176"/>
      <c r="V794" s="176"/>
      <c r="W794" s="176"/>
      <c r="X794" s="176"/>
      <c r="Y794" s="176"/>
      <c r="Z794" s="176"/>
      <c r="AA794" s="176"/>
      <c r="AB794" s="176"/>
      <c r="AC794" s="176"/>
      <c r="AD794" s="176"/>
      <c r="AE794" s="176"/>
      <c r="AF794" s="176"/>
      <c r="AG794" s="176"/>
      <c r="AH794" s="176"/>
      <c r="AI794" s="176"/>
      <c r="AJ794" s="176"/>
      <c r="AK794" s="176"/>
      <c r="AL794" s="176"/>
      <c r="AM794" s="176"/>
      <c r="AN794" s="176"/>
      <c r="AO794" s="176"/>
      <c r="AP794" s="176"/>
      <c r="AQ794" s="176"/>
      <c r="AR794" s="176"/>
      <c r="AS794" s="176"/>
      <c r="AT794" s="176"/>
      <c r="AU794" s="176"/>
      <c r="AV794" s="176"/>
      <c r="AW794" s="176"/>
      <c r="AX794" s="176"/>
      <c r="AY794" s="176"/>
      <c r="AZ794" s="176"/>
      <c r="BA794" s="176"/>
      <c r="BB794" s="176"/>
      <c r="BC794" s="176"/>
      <c r="BD794" s="176"/>
    </row>
    <row r="795" ht="15.75" customHeight="1">
      <c r="A795" s="176"/>
      <c r="B795" s="176"/>
      <c r="C795" s="176"/>
      <c r="D795" s="176"/>
      <c r="E795" s="176"/>
      <c r="F795" s="176"/>
      <c r="G795" s="178"/>
      <c r="H795" s="176"/>
      <c r="I795" s="176"/>
      <c r="J795" s="176"/>
      <c r="K795" s="176"/>
      <c r="L795" s="176"/>
      <c r="M795" s="176"/>
      <c r="N795" s="176"/>
      <c r="O795" s="176"/>
      <c r="P795" s="176"/>
      <c r="Q795" s="176"/>
      <c r="R795" s="176"/>
      <c r="S795" s="176"/>
      <c r="T795" s="176"/>
      <c r="U795" s="176"/>
      <c r="V795" s="176"/>
      <c r="W795" s="176"/>
      <c r="X795" s="176"/>
      <c r="Y795" s="176"/>
      <c r="Z795" s="176"/>
      <c r="AA795" s="176"/>
      <c r="AB795" s="176"/>
      <c r="AC795" s="176"/>
      <c r="AD795" s="176"/>
      <c r="AE795" s="176"/>
      <c r="AF795" s="176"/>
      <c r="AG795" s="176"/>
      <c r="AH795" s="176"/>
      <c r="AI795" s="176"/>
      <c r="AJ795" s="176"/>
      <c r="AK795" s="176"/>
      <c r="AL795" s="176"/>
      <c r="AM795" s="176"/>
      <c r="AN795" s="176"/>
      <c r="AO795" s="176"/>
      <c r="AP795" s="176"/>
      <c r="AQ795" s="176"/>
      <c r="AR795" s="176"/>
      <c r="AS795" s="176"/>
      <c r="AT795" s="176"/>
      <c r="AU795" s="176"/>
      <c r="AV795" s="176"/>
      <c r="AW795" s="176"/>
      <c r="AX795" s="176"/>
      <c r="AY795" s="176"/>
      <c r="AZ795" s="176"/>
      <c r="BA795" s="176"/>
      <c r="BB795" s="176"/>
      <c r="BC795" s="176"/>
      <c r="BD795" s="176"/>
    </row>
    <row r="796" ht="15.75" customHeight="1">
      <c r="A796" s="176"/>
      <c r="B796" s="176"/>
      <c r="C796" s="176"/>
      <c r="D796" s="176"/>
      <c r="E796" s="176"/>
      <c r="F796" s="176"/>
      <c r="G796" s="178"/>
      <c r="H796" s="176"/>
      <c r="I796" s="176"/>
      <c r="J796" s="176"/>
      <c r="K796" s="176"/>
      <c r="L796" s="176"/>
      <c r="M796" s="176"/>
      <c r="N796" s="176"/>
      <c r="O796" s="176"/>
      <c r="P796" s="176"/>
      <c r="Q796" s="176"/>
      <c r="R796" s="176"/>
      <c r="S796" s="176"/>
      <c r="T796" s="176"/>
      <c r="U796" s="176"/>
      <c r="V796" s="176"/>
      <c r="W796" s="176"/>
      <c r="X796" s="176"/>
      <c r="Y796" s="176"/>
      <c r="Z796" s="176"/>
      <c r="AA796" s="176"/>
      <c r="AB796" s="176"/>
      <c r="AC796" s="176"/>
      <c r="AD796" s="176"/>
      <c r="AE796" s="176"/>
      <c r="AF796" s="176"/>
      <c r="AG796" s="176"/>
      <c r="AH796" s="176"/>
      <c r="AI796" s="176"/>
      <c r="AJ796" s="176"/>
      <c r="AK796" s="176"/>
      <c r="AL796" s="176"/>
      <c r="AM796" s="176"/>
      <c r="AN796" s="176"/>
      <c r="AO796" s="176"/>
      <c r="AP796" s="176"/>
      <c r="AQ796" s="176"/>
      <c r="AR796" s="176"/>
      <c r="AS796" s="176"/>
      <c r="AT796" s="176"/>
      <c r="AU796" s="176"/>
      <c r="AV796" s="176"/>
      <c r="AW796" s="176"/>
      <c r="AX796" s="176"/>
      <c r="AY796" s="176"/>
      <c r="AZ796" s="176"/>
      <c r="BA796" s="176"/>
      <c r="BB796" s="176"/>
      <c r="BC796" s="176"/>
      <c r="BD796" s="176"/>
    </row>
    <row r="797" ht="15.75" customHeight="1">
      <c r="A797" s="176"/>
      <c r="B797" s="176"/>
      <c r="C797" s="176"/>
      <c r="D797" s="176"/>
      <c r="E797" s="176"/>
      <c r="F797" s="176"/>
      <c r="G797" s="178"/>
      <c r="H797" s="176"/>
      <c r="I797" s="176"/>
      <c r="J797" s="176"/>
      <c r="K797" s="176"/>
      <c r="L797" s="176"/>
      <c r="M797" s="176"/>
      <c r="N797" s="176"/>
      <c r="O797" s="176"/>
      <c r="P797" s="176"/>
      <c r="Q797" s="176"/>
      <c r="R797" s="176"/>
      <c r="S797" s="176"/>
      <c r="T797" s="176"/>
      <c r="U797" s="176"/>
      <c r="V797" s="176"/>
      <c r="W797" s="176"/>
      <c r="X797" s="176"/>
      <c r="Y797" s="176"/>
      <c r="Z797" s="176"/>
      <c r="AA797" s="176"/>
      <c r="AB797" s="176"/>
      <c r="AC797" s="176"/>
      <c r="AD797" s="176"/>
      <c r="AE797" s="176"/>
      <c r="AF797" s="176"/>
      <c r="AG797" s="176"/>
      <c r="AH797" s="176"/>
      <c r="AI797" s="176"/>
      <c r="AJ797" s="176"/>
      <c r="AK797" s="176"/>
      <c r="AL797" s="176"/>
      <c r="AM797" s="176"/>
      <c r="AN797" s="176"/>
      <c r="AO797" s="176"/>
      <c r="AP797" s="176"/>
      <c r="AQ797" s="176"/>
      <c r="AR797" s="176"/>
      <c r="AS797" s="176"/>
      <c r="AT797" s="176"/>
      <c r="AU797" s="176"/>
      <c r="AV797" s="176"/>
      <c r="AW797" s="176"/>
      <c r="AX797" s="176"/>
      <c r="AY797" s="176"/>
      <c r="AZ797" s="176"/>
      <c r="BA797" s="176"/>
      <c r="BB797" s="176"/>
      <c r="BC797" s="176"/>
      <c r="BD797" s="176"/>
    </row>
    <row r="798" ht="15.75" customHeight="1">
      <c r="A798" s="176"/>
      <c r="B798" s="176"/>
      <c r="C798" s="176"/>
      <c r="D798" s="176"/>
      <c r="E798" s="176"/>
      <c r="F798" s="176"/>
      <c r="G798" s="178"/>
      <c r="H798" s="176"/>
      <c r="I798" s="176"/>
      <c r="J798" s="176"/>
      <c r="K798" s="176"/>
      <c r="L798" s="176"/>
      <c r="M798" s="176"/>
      <c r="N798" s="176"/>
      <c r="O798" s="176"/>
      <c r="P798" s="176"/>
      <c r="Q798" s="176"/>
      <c r="R798" s="176"/>
      <c r="S798" s="176"/>
      <c r="T798" s="176"/>
      <c r="U798" s="176"/>
      <c r="V798" s="176"/>
      <c r="W798" s="176"/>
      <c r="X798" s="176"/>
      <c r="Y798" s="176"/>
      <c r="Z798" s="176"/>
      <c r="AA798" s="176"/>
      <c r="AB798" s="176"/>
      <c r="AC798" s="176"/>
      <c r="AD798" s="176"/>
      <c r="AE798" s="176"/>
      <c r="AF798" s="176"/>
      <c r="AG798" s="176"/>
      <c r="AH798" s="176"/>
      <c r="AI798" s="176"/>
      <c r="AJ798" s="176"/>
      <c r="AK798" s="176"/>
      <c r="AL798" s="176"/>
      <c r="AM798" s="176"/>
      <c r="AN798" s="176"/>
      <c r="AO798" s="176"/>
      <c r="AP798" s="176"/>
      <c r="AQ798" s="176"/>
      <c r="AR798" s="176"/>
      <c r="AS798" s="176"/>
      <c r="AT798" s="176"/>
      <c r="AU798" s="176"/>
      <c r="AV798" s="176"/>
      <c r="AW798" s="176"/>
      <c r="AX798" s="176"/>
      <c r="AY798" s="176"/>
      <c r="AZ798" s="176"/>
      <c r="BA798" s="176"/>
      <c r="BB798" s="176"/>
      <c r="BC798" s="176"/>
      <c r="BD798" s="176"/>
    </row>
    <row r="799" ht="15.75" customHeight="1">
      <c r="A799" s="176"/>
      <c r="B799" s="176"/>
      <c r="C799" s="176"/>
      <c r="D799" s="176"/>
      <c r="E799" s="176"/>
      <c r="F799" s="176"/>
      <c r="G799" s="178"/>
      <c r="H799" s="176"/>
      <c r="I799" s="176"/>
      <c r="J799" s="176"/>
      <c r="K799" s="176"/>
      <c r="L799" s="176"/>
      <c r="M799" s="176"/>
      <c r="N799" s="176"/>
      <c r="O799" s="176"/>
      <c r="P799" s="176"/>
      <c r="Q799" s="176"/>
      <c r="R799" s="176"/>
      <c r="S799" s="176"/>
      <c r="T799" s="176"/>
      <c r="U799" s="176"/>
      <c r="V799" s="176"/>
      <c r="W799" s="176"/>
      <c r="X799" s="176"/>
      <c r="Y799" s="176"/>
      <c r="Z799" s="176"/>
      <c r="AA799" s="176"/>
      <c r="AB799" s="176"/>
      <c r="AC799" s="176"/>
      <c r="AD799" s="176"/>
      <c r="AE799" s="176"/>
      <c r="AF799" s="176"/>
      <c r="AG799" s="176"/>
      <c r="AH799" s="176"/>
      <c r="AI799" s="176"/>
      <c r="AJ799" s="176"/>
      <c r="AK799" s="176"/>
      <c r="AL799" s="176"/>
      <c r="AM799" s="176"/>
      <c r="AN799" s="176"/>
      <c r="AO799" s="176"/>
      <c r="AP799" s="176"/>
      <c r="AQ799" s="176"/>
      <c r="AR799" s="176"/>
      <c r="AS799" s="176"/>
      <c r="AT799" s="176"/>
      <c r="AU799" s="176"/>
      <c r="AV799" s="176"/>
      <c r="AW799" s="176"/>
      <c r="AX799" s="176"/>
      <c r="AY799" s="176"/>
      <c r="AZ799" s="176"/>
      <c r="BA799" s="176"/>
      <c r="BB799" s="176"/>
      <c r="BC799" s="176"/>
      <c r="BD799" s="176"/>
    </row>
    <row r="800" ht="15.75" customHeight="1">
      <c r="A800" s="176"/>
      <c r="B800" s="176"/>
      <c r="C800" s="176"/>
      <c r="D800" s="176"/>
      <c r="E800" s="176"/>
      <c r="F800" s="176"/>
      <c r="G800" s="178"/>
      <c r="H800" s="176"/>
      <c r="I800" s="176"/>
      <c r="J800" s="176"/>
      <c r="K800" s="176"/>
      <c r="L800" s="176"/>
      <c r="M800" s="176"/>
      <c r="N800" s="176"/>
      <c r="O800" s="176"/>
      <c r="P800" s="176"/>
      <c r="Q800" s="176"/>
      <c r="R800" s="176"/>
      <c r="S800" s="176"/>
      <c r="T800" s="176"/>
      <c r="U800" s="176"/>
      <c r="V800" s="176"/>
      <c r="W800" s="176"/>
      <c r="X800" s="176"/>
      <c r="Y800" s="176"/>
      <c r="Z800" s="176"/>
      <c r="AA800" s="176"/>
      <c r="AB800" s="176"/>
      <c r="AC800" s="176"/>
      <c r="AD800" s="176"/>
      <c r="AE800" s="176"/>
      <c r="AF800" s="176"/>
      <c r="AG800" s="176"/>
      <c r="AH800" s="176"/>
      <c r="AI800" s="176"/>
      <c r="AJ800" s="176"/>
      <c r="AK800" s="176"/>
      <c r="AL800" s="176"/>
      <c r="AM800" s="176"/>
      <c r="AN800" s="176"/>
      <c r="AO800" s="176"/>
      <c r="AP800" s="176"/>
      <c r="AQ800" s="176"/>
      <c r="AR800" s="176"/>
      <c r="AS800" s="176"/>
      <c r="AT800" s="176"/>
      <c r="AU800" s="176"/>
      <c r="AV800" s="176"/>
      <c r="AW800" s="176"/>
      <c r="AX800" s="176"/>
      <c r="AY800" s="176"/>
      <c r="AZ800" s="176"/>
      <c r="BA800" s="176"/>
      <c r="BB800" s="176"/>
      <c r="BC800" s="176"/>
      <c r="BD800" s="176"/>
    </row>
    <row r="801" ht="15.75" customHeight="1">
      <c r="A801" s="176"/>
      <c r="B801" s="176"/>
      <c r="C801" s="176"/>
      <c r="D801" s="176"/>
      <c r="E801" s="176"/>
      <c r="F801" s="176"/>
      <c r="G801" s="178"/>
      <c r="H801" s="176"/>
      <c r="I801" s="176"/>
      <c r="J801" s="176"/>
      <c r="K801" s="176"/>
      <c r="L801" s="176"/>
      <c r="M801" s="176"/>
      <c r="N801" s="176"/>
      <c r="O801" s="176"/>
      <c r="P801" s="176"/>
      <c r="Q801" s="176"/>
      <c r="R801" s="176"/>
      <c r="S801" s="176"/>
      <c r="T801" s="176"/>
      <c r="U801" s="176"/>
      <c r="V801" s="176"/>
      <c r="W801" s="176"/>
      <c r="X801" s="176"/>
      <c r="Y801" s="176"/>
      <c r="Z801" s="176"/>
      <c r="AA801" s="176"/>
      <c r="AB801" s="176"/>
      <c r="AC801" s="176"/>
      <c r="AD801" s="176"/>
      <c r="AE801" s="176"/>
      <c r="AF801" s="176"/>
      <c r="AG801" s="176"/>
      <c r="AH801" s="176"/>
      <c r="AI801" s="176"/>
      <c r="AJ801" s="176"/>
      <c r="AK801" s="176"/>
      <c r="AL801" s="176"/>
      <c r="AM801" s="176"/>
      <c r="AN801" s="176"/>
      <c r="AO801" s="176"/>
      <c r="AP801" s="176"/>
      <c r="AQ801" s="176"/>
      <c r="AR801" s="176"/>
      <c r="AS801" s="176"/>
      <c r="AT801" s="176"/>
      <c r="AU801" s="176"/>
      <c r="AV801" s="176"/>
      <c r="AW801" s="176"/>
      <c r="AX801" s="176"/>
      <c r="AY801" s="176"/>
      <c r="AZ801" s="176"/>
      <c r="BA801" s="176"/>
      <c r="BB801" s="176"/>
      <c r="BC801" s="176"/>
      <c r="BD801" s="176"/>
    </row>
    <row r="802" ht="15.75" customHeight="1">
      <c r="A802" s="176"/>
      <c r="B802" s="176"/>
      <c r="C802" s="176"/>
      <c r="D802" s="176"/>
      <c r="E802" s="176"/>
      <c r="F802" s="176"/>
      <c r="G802" s="178"/>
      <c r="H802" s="176"/>
      <c r="I802" s="176"/>
      <c r="J802" s="176"/>
      <c r="K802" s="176"/>
      <c r="L802" s="176"/>
      <c r="M802" s="176"/>
      <c r="N802" s="176"/>
      <c r="O802" s="176"/>
      <c r="P802" s="176"/>
      <c r="Q802" s="176"/>
      <c r="R802" s="176"/>
      <c r="S802" s="176"/>
      <c r="T802" s="176"/>
      <c r="U802" s="176"/>
      <c r="V802" s="176"/>
      <c r="W802" s="176"/>
      <c r="X802" s="176"/>
      <c r="Y802" s="176"/>
      <c r="Z802" s="176"/>
      <c r="AA802" s="176"/>
      <c r="AB802" s="176"/>
      <c r="AC802" s="176"/>
      <c r="AD802" s="176"/>
      <c r="AE802" s="176"/>
      <c r="AF802" s="176"/>
      <c r="AG802" s="176"/>
      <c r="AH802" s="176"/>
      <c r="AI802" s="176"/>
      <c r="AJ802" s="176"/>
      <c r="AK802" s="176"/>
      <c r="AL802" s="176"/>
      <c r="AM802" s="176"/>
      <c r="AN802" s="176"/>
      <c r="AO802" s="176"/>
      <c r="AP802" s="176"/>
      <c r="AQ802" s="176"/>
      <c r="AR802" s="176"/>
      <c r="AS802" s="176"/>
      <c r="AT802" s="176"/>
      <c r="AU802" s="176"/>
      <c r="AV802" s="176"/>
      <c r="AW802" s="176"/>
      <c r="AX802" s="176"/>
      <c r="AY802" s="176"/>
      <c r="AZ802" s="176"/>
      <c r="BA802" s="176"/>
      <c r="BB802" s="176"/>
      <c r="BC802" s="176"/>
      <c r="BD802" s="176"/>
    </row>
    <row r="803" ht="15.75" customHeight="1">
      <c r="A803" s="176"/>
      <c r="B803" s="176"/>
      <c r="C803" s="176"/>
      <c r="D803" s="176"/>
      <c r="E803" s="176"/>
      <c r="F803" s="176"/>
      <c r="G803" s="178"/>
      <c r="H803" s="176"/>
      <c r="I803" s="176"/>
      <c r="J803" s="176"/>
      <c r="K803" s="176"/>
      <c r="L803" s="176"/>
      <c r="M803" s="176"/>
      <c r="N803" s="176"/>
      <c r="O803" s="176"/>
      <c r="P803" s="176"/>
      <c r="Q803" s="176"/>
      <c r="R803" s="176"/>
      <c r="S803" s="176"/>
      <c r="T803" s="176"/>
      <c r="U803" s="176"/>
      <c r="V803" s="176"/>
      <c r="W803" s="176"/>
      <c r="X803" s="176"/>
      <c r="Y803" s="176"/>
      <c r="Z803" s="176"/>
      <c r="AA803" s="176"/>
      <c r="AB803" s="176"/>
      <c r="AC803" s="176"/>
      <c r="AD803" s="176"/>
      <c r="AE803" s="176"/>
      <c r="AF803" s="176"/>
      <c r="AG803" s="176"/>
      <c r="AH803" s="176"/>
      <c r="AI803" s="176"/>
      <c r="AJ803" s="176"/>
      <c r="AK803" s="176"/>
      <c r="AL803" s="176"/>
      <c r="AM803" s="176"/>
      <c r="AN803" s="176"/>
      <c r="AO803" s="176"/>
      <c r="AP803" s="176"/>
      <c r="AQ803" s="176"/>
      <c r="AR803" s="176"/>
      <c r="AS803" s="176"/>
      <c r="AT803" s="176"/>
      <c r="AU803" s="176"/>
      <c r="AV803" s="176"/>
      <c r="AW803" s="176"/>
      <c r="AX803" s="176"/>
      <c r="AY803" s="176"/>
      <c r="AZ803" s="176"/>
      <c r="BA803" s="176"/>
      <c r="BB803" s="176"/>
      <c r="BC803" s="176"/>
      <c r="BD803" s="176"/>
    </row>
    <row r="804" ht="15.75" customHeight="1">
      <c r="A804" s="176"/>
      <c r="B804" s="176"/>
      <c r="C804" s="176"/>
      <c r="D804" s="176"/>
      <c r="E804" s="176"/>
      <c r="F804" s="176"/>
      <c r="G804" s="178"/>
      <c r="H804" s="176"/>
      <c r="I804" s="176"/>
      <c r="J804" s="176"/>
      <c r="K804" s="176"/>
      <c r="L804" s="176"/>
      <c r="M804" s="176"/>
      <c r="N804" s="176"/>
      <c r="O804" s="176"/>
      <c r="P804" s="176"/>
      <c r="Q804" s="176"/>
      <c r="R804" s="176"/>
      <c r="S804" s="176"/>
      <c r="T804" s="176"/>
      <c r="U804" s="176"/>
      <c r="V804" s="176"/>
      <c r="W804" s="176"/>
      <c r="X804" s="176"/>
      <c r="Y804" s="176"/>
      <c r="Z804" s="176"/>
      <c r="AA804" s="176"/>
      <c r="AB804" s="176"/>
      <c r="AC804" s="176"/>
      <c r="AD804" s="176"/>
      <c r="AE804" s="176"/>
      <c r="AF804" s="176"/>
      <c r="AG804" s="176"/>
      <c r="AH804" s="176"/>
      <c r="AI804" s="176"/>
      <c r="AJ804" s="176"/>
      <c r="AK804" s="176"/>
      <c r="AL804" s="176"/>
      <c r="AM804" s="176"/>
      <c r="AN804" s="176"/>
      <c r="AO804" s="176"/>
      <c r="AP804" s="176"/>
      <c r="AQ804" s="176"/>
      <c r="AR804" s="176"/>
      <c r="AS804" s="176"/>
      <c r="AT804" s="176"/>
      <c r="AU804" s="176"/>
      <c r="AV804" s="176"/>
      <c r="AW804" s="176"/>
      <c r="AX804" s="176"/>
      <c r="AY804" s="176"/>
      <c r="AZ804" s="176"/>
      <c r="BA804" s="176"/>
      <c r="BB804" s="176"/>
      <c r="BC804" s="176"/>
      <c r="BD804" s="176"/>
    </row>
    <row r="805" ht="15.75" customHeight="1">
      <c r="A805" s="176"/>
      <c r="B805" s="176"/>
      <c r="C805" s="176"/>
      <c r="D805" s="176"/>
      <c r="E805" s="176"/>
      <c r="F805" s="176"/>
      <c r="G805" s="178"/>
      <c r="H805" s="176"/>
      <c r="I805" s="176"/>
      <c r="J805" s="176"/>
      <c r="K805" s="176"/>
      <c r="L805" s="176"/>
      <c r="M805" s="176"/>
      <c r="N805" s="176"/>
      <c r="O805" s="176"/>
      <c r="P805" s="176"/>
      <c r="Q805" s="176"/>
      <c r="R805" s="176"/>
      <c r="S805" s="176"/>
      <c r="T805" s="176"/>
      <c r="U805" s="176"/>
      <c r="V805" s="176"/>
      <c r="W805" s="176"/>
      <c r="X805" s="176"/>
      <c r="Y805" s="176"/>
      <c r="Z805" s="176"/>
      <c r="AA805" s="176"/>
      <c r="AB805" s="176"/>
      <c r="AC805" s="176"/>
      <c r="AD805" s="176"/>
      <c r="AE805" s="176"/>
      <c r="AF805" s="176"/>
      <c r="AG805" s="176"/>
      <c r="AH805" s="176"/>
      <c r="AI805" s="176"/>
      <c r="AJ805" s="176"/>
      <c r="AK805" s="176"/>
      <c r="AL805" s="176"/>
      <c r="AM805" s="176"/>
      <c r="AN805" s="176"/>
      <c r="AO805" s="176"/>
      <c r="AP805" s="176"/>
      <c r="AQ805" s="176"/>
      <c r="AR805" s="176"/>
      <c r="AS805" s="176"/>
      <c r="AT805" s="176"/>
      <c r="AU805" s="176"/>
      <c r="AV805" s="176"/>
      <c r="AW805" s="176"/>
      <c r="AX805" s="176"/>
      <c r="AY805" s="176"/>
      <c r="AZ805" s="176"/>
      <c r="BA805" s="176"/>
      <c r="BB805" s="176"/>
      <c r="BC805" s="176"/>
      <c r="BD805" s="176"/>
    </row>
    <row r="806" ht="15.75" customHeight="1">
      <c r="A806" s="176"/>
      <c r="B806" s="176"/>
      <c r="C806" s="176"/>
      <c r="D806" s="176"/>
      <c r="E806" s="176"/>
      <c r="F806" s="176"/>
      <c r="G806" s="178"/>
      <c r="H806" s="176"/>
      <c r="I806" s="176"/>
      <c r="J806" s="176"/>
      <c r="K806" s="176"/>
      <c r="L806" s="176"/>
      <c r="M806" s="176"/>
      <c r="N806" s="176"/>
      <c r="O806" s="176"/>
      <c r="P806" s="176"/>
      <c r="Q806" s="176"/>
      <c r="R806" s="176"/>
      <c r="S806" s="176"/>
      <c r="T806" s="176"/>
      <c r="U806" s="176"/>
      <c r="V806" s="176"/>
      <c r="W806" s="176"/>
      <c r="X806" s="176"/>
      <c r="Y806" s="176"/>
      <c r="Z806" s="176"/>
      <c r="AA806" s="176"/>
      <c r="AB806" s="176"/>
      <c r="AC806" s="176"/>
      <c r="AD806" s="176"/>
      <c r="AE806" s="176"/>
      <c r="AF806" s="176"/>
      <c r="AG806" s="176"/>
      <c r="AH806" s="176"/>
      <c r="AI806" s="176"/>
      <c r="AJ806" s="176"/>
      <c r="AK806" s="176"/>
      <c r="AL806" s="176"/>
      <c r="AM806" s="176"/>
      <c r="AN806" s="176"/>
      <c r="AO806" s="176"/>
      <c r="AP806" s="176"/>
      <c r="AQ806" s="176"/>
      <c r="AR806" s="176"/>
      <c r="AS806" s="176"/>
      <c r="AT806" s="176"/>
      <c r="AU806" s="176"/>
      <c r="AV806" s="176"/>
      <c r="AW806" s="176"/>
      <c r="AX806" s="176"/>
      <c r="AY806" s="176"/>
      <c r="AZ806" s="176"/>
      <c r="BA806" s="176"/>
      <c r="BB806" s="176"/>
      <c r="BC806" s="176"/>
      <c r="BD806" s="176"/>
    </row>
    <row r="807" ht="15.75" customHeight="1">
      <c r="A807" s="176"/>
      <c r="B807" s="176"/>
      <c r="C807" s="176"/>
      <c r="D807" s="176"/>
      <c r="E807" s="176"/>
      <c r="F807" s="176"/>
      <c r="G807" s="178"/>
      <c r="H807" s="176"/>
      <c r="I807" s="176"/>
      <c r="J807" s="176"/>
      <c r="K807" s="176"/>
      <c r="L807" s="176"/>
      <c r="M807" s="176"/>
      <c r="N807" s="176"/>
      <c r="O807" s="176"/>
      <c r="P807" s="176"/>
      <c r="Q807" s="176"/>
      <c r="R807" s="176"/>
      <c r="S807" s="176"/>
      <c r="T807" s="176"/>
      <c r="U807" s="176"/>
      <c r="V807" s="176"/>
      <c r="W807" s="176"/>
      <c r="X807" s="176"/>
      <c r="Y807" s="176"/>
      <c r="Z807" s="176"/>
      <c r="AA807" s="176"/>
      <c r="AB807" s="176"/>
      <c r="AC807" s="176"/>
      <c r="AD807" s="176"/>
      <c r="AE807" s="176"/>
      <c r="AF807" s="176"/>
      <c r="AG807" s="176"/>
      <c r="AH807" s="176"/>
      <c r="AI807" s="176"/>
      <c r="AJ807" s="176"/>
      <c r="AK807" s="176"/>
      <c r="AL807" s="176"/>
      <c r="AM807" s="176"/>
      <c r="AN807" s="176"/>
      <c r="AO807" s="176"/>
      <c r="AP807" s="176"/>
      <c r="AQ807" s="176"/>
      <c r="AR807" s="176"/>
      <c r="AS807" s="176"/>
      <c r="AT807" s="176"/>
      <c r="AU807" s="176"/>
      <c r="AV807" s="176"/>
      <c r="AW807" s="176"/>
      <c r="AX807" s="176"/>
      <c r="AY807" s="176"/>
      <c r="AZ807" s="176"/>
      <c r="BA807" s="176"/>
      <c r="BB807" s="176"/>
      <c r="BC807" s="176"/>
      <c r="BD807" s="176"/>
    </row>
    <row r="808" ht="15.75" customHeight="1">
      <c r="A808" s="176"/>
      <c r="B808" s="176"/>
      <c r="C808" s="176"/>
      <c r="D808" s="176"/>
      <c r="E808" s="176"/>
      <c r="F808" s="176"/>
      <c r="G808" s="178"/>
      <c r="H808" s="176"/>
      <c r="I808" s="176"/>
      <c r="J808" s="176"/>
      <c r="K808" s="176"/>
      <c r="L808" s="176"/>
      <c r="M808" s="176"/>
      <c r="N808" s="176"/>
      <c r="O808" s="176"/>
      <c r="P808" s="176"/>
      <c r="Q808" s="176"/>
      <c r="R808" s="176"/>
      <c r="S808" s="176"/>
      <c r="T808" s="176"/>
      <c r="U808" s="176"/>
      <c r="V808" s="176"/>
      <c r="W808" s="176"/>
      <c r="X808" s="176"/>
      <c r="Y808" s="176"/>
      <c r="Z808" s="176"/>
      <c r="AA808" s="176"/>
      <c r="AB808" s="176"/>
      <c r="AC808" s="176"/>
      <c r="AD808" s="176"/>
      <c r="AE808" s="176"/>
      <c r="AF808" s="176"/>
      <c r="AG808" s="176"/>
      <c r="AH808" s="176"/>
      <c r="AI808" s="176"/>
      <c r="AJ808" s="176"/>
      <c r="AK808" s="176"/>
      <c r="AL808" s="176"/>
      <c r="AM808" s="176"/>
      <c r="AN808" s="176"/>
      <c r="AO808" s="176"/>
      <c r="AP808" s="176"/>
      <c r="AQ808" s="176"/>
      <c r="AR808" s="176"/>
      <c r="AS808" s="176"/>
      <c r="AT808" s="176"/>
      <c r="AU808" s="176"/>
      <c r="AV808" s="176"/>
      <c r="AW808" s="176"/>
      <c r="AX808" s="176"/>
      <c r="AY808" s="176"/>
      <c r="AZ808" s="176"/>
      <c r="BA808" s="176"/>
      <c r="BB808" s="176"/>
      <c r="BC808" s="176"/>
      <c r="BD808" s="176"/>
    </row>
    <row r="809" ht="15.75" customHeight="1">
      <c r="A809" s="176"/>
      <c r="B809" s="176"/>
      <c r="C809" s="176"/>
      <c r="D809" s="176"/>
      <c r="E809" s="176"/>
      <c r="F809" s="176"/>
      <c r="G809" s="178"/>
      <c r="H809" s="176"/>
      <c r="I809" s="176"/>
      <c r="J809" s="176"/>
      <c r="K809" s="176"/>
      <c r="L809" s="176"/>
      <c r="M809" s="176"/>
      <c r="N809" s="176"/>
      <c r="O809" s="176"/>
      <c r="P809" s="176"/>
      <c r="Q809" s="176"/>
      <c r="R809" s="176"/>
      <c r="S809" s="176"/>
      <c r="T809" s="176"/>
      <c r="U809" s="176"/>
      <c r="V809" s="176"/>
      <c r="W809" s="176"/>
      <c r="X809" s="176"/>
      <c r="Y809" s="176"/>
      <c r="Z809" s="176"/>
      <c r="AA809" s="176"/>
      <c r="AB809" s="176"/>
      <c r="AC809" s="176"/>
      <c r="AD809" s="176"/>
      <c r="AE809" s="176"/>
      <c r="AF809" s="176"/>
      <c r="AG809" s="176"/>
      <c r="AH809" s="176"/>
      <c r="AI809" s="176"/>
      <c r="AJ809" s="176"/>
      <c r="AK809" s="176"/>
      <c r="AL809" s="176"/>
      <c r="AM809" s="176"/>
      <c r="AN809" s="176"/>
      <c r="AO809" s="176"/>
      <c r="AP809" s="176"/>
      <c r="AQ809" s="176"/>
      <c r="AR809" s="176"/>
      <c r="AS809" s="176"/>
      <c r="AT809" s="176"/>
      <c r="AU809" s="176"/>
      <c r="AV809" s="176"/>
      <c r="AW809" s="176"/>
      <c r="AX809" s="176"/>
      <c r="AY809" s="176"/>
      <c r="AZ809" s="176"/>
      <c r="BA809" s="176"/>
      <c r="BB809" s="176"/>
      <c r="BC809" s="176"/>
      <c r="BD809" s="176"/>
    </row>
    <row r="810" ht="15.75" customHeight="1">
      <c r="A810" s="176"/>
      <c r="B810" s="176"/>
      <c r="C810" s="176"/>
      <c r="D810" s="176"/>
      <c r="E810" s="176"/>
      <c r="F810" s="176"/>
      <c r="G810" s="178"/>
      <c r="H810" s="176"/>
      <c r="I810" s="176"/>
      <c r="J810" s="176"/>
      <c r="K810" s="176"/>
      <c r="L810" s="176"/>
      <c r="M810" s="176"/>
      <c r="N810" s="176"/>
      <c r="O810" s="176"/>
      <c r="P810" s="176"/>
      <c r="Q810" s="176"/>
      <c r="R810" s="176"/>
      <c r="S810" s="176"/>
      <c r="T810" s="176"/>
      <c r="U810" s="176"/>
      <c r="V810" s="176"/>
      <c r="W810" s="176"/>
      <c r="X810" s="176"/>
      <c r="Y810" s="176"/>
      <c r="Z810" s="176"/>
      <c r="AA810" s="176"/>
      <c r="AB810" s="176"/>
      <c r="AC810" s="176"/>
      <c r="AD810" s="176"/>
      <c r="AE810" s="176"/>
      <c r="AF810" s="176"/>
      <c r="AG810" s="176"/>
      <c r="AH810" s="176"/>
      <c r="AI810" s="176"/>
      <c r="AJ810" s="176"/>
      <c r="AK810" s="176"/>
      <c r="AL810" s="176"/>
      <c r="AM810" s="176"/>
      <c r="AN810" s="176"/>
      <c r="AO810" s="176"/>
      <c r="AP810" s="176"/>
      <c r="AQ810" s="176"/>
      <c r="AR810" s="176"/>
      <c r="AS810" s="176"/>
      <c r="AT810" s="176"/>
      <c r="AU810" s="176"/>
      <c r="AV810" s="176"/>
      <c r="AW810" s="176"/>
      <c r="AX810" s="176"/>
      <c r="AY810" s="176"/>
      <c r="AZ810" s="176"/>
      <c r="BA810" s="176"/>
      <c r="BB810" s="176"/>
      <c r="BC810" s="176"/>
      <c r="BD810" s="176"/>
    </row>
    <row r="811" ht="15.75" customHeight="1">
      <c r="A811" s="176"/>
      <c r="B811" s="176"/>
      <c r="C811" s="176"/>
      <c r="D811" s="176"/>
      <c r="E811" s="176"/>
      <c r="F811" s="176"/>
      <c r="G811" s="178"/>
      <c r="H811" s="176"/>
      <c r="I811" s="176"/>
      <c r="J811" s="176"/>
      <c r="K811" s="176"/>
      <c r="L811" s="176"/>
      <c r="M811" s="176"/>
      <c r="N811" s="176"/>
      <c r="O811" s="176"/>
      <c r="P811" s="176"/>
      <c r="Q811" s="176"/>
      <c r="R811" s="176"/>
      <c r="S811" s="176"/>
      <c r="T811" s="176"/>
      <c r="U811" s="176"/>
      <c r="V811" s="176"/>
      <c r="W811" s="176"/>
      <c r="X811" s="176"/>
      <c r="Y811" s="176"/>
      <c r="Z811" s="176"/>
      <c r="AA811" s="176"/>
      <c r="AB811" s="176"/>
      <c r="AC811" s="176"/>
      <c r="AD811" s="176"/>
      <c r="AE811" s="176"/>
      <c r="AF811" s="176"/>
      <c r="AG811" s="176"/>
      <c r="AH811" s="176"/>
      <c r="AI811" s="176"/>
      <c r="AJ811" s="176"/>
      <c r="AK811" s="176"/>
      <c r="AL811" s="176"/>
      <c r="AM811" s="176"/>
      <c r="AN811" s="176"/>
      <c r="AO811" s="176"/>
      <c r="AP811" s="176"/>
      <c r="AQ811" s="176"/>
      <c r="AR811" s="176"/>
      <c r="AS811" s="176"/>
      <c r="AT811" s="176"/>
      <c r="AU811" s="176"/>
      <c r="AV811" s="176"/>
      <c r="AW811" s="176"/>
      <c r="AX811" s="176"/>
      <c r="AY811" s="176"/>
      <c r="AZ811" s="176"/>
      <c r="BA811" s="176"/>
      <c r="BB811" s="176"/>
      <c r="BC811" s="176"/>
      <c r="BD811" s="176"/>
    </row>
    <row r="812" ht="15.75" customHeight="1">
      <c r="A812" s="176"/>
      <c r="B812" s="176"/>
      <c r="C812" s="176"/>
      <c r="D812" s="176"/>
      <c r="E812" s="176"/>
      <c r="F812" s="176"/>
      <c r="G812" s="178"/>
      <c r="H812" s="176"/>
      <c r="I812" s="176"/>
      <c r="J812" s="176"/>
      <c r="K812" s="176"/>
      <c r="L812" s="176"/>
      <c r="M812" s="176"/>
      <c r="N812" s="176"/>
      <c r="O812" s="176"/>
      <c r="P812" s="176"/>
      <c r="Q812" s="176"/>
      <c r="R812" s="176"/>
      <c r="S812" s="176"/>
      <c r="T812" s="176"/>
      <c r="U812" s="176"/>
      <c r="V812" s="176"/>
      <c r="W812" s="176"/>
      <c r="X812" s="176"/>
      <c r="Y812" s="176"/>
      <c r="Z812" s="176"/>
      <c r="AA812" s="176"/>
      <c r="AB812" s="176"/>
      <c r="AC812" s="176"/>
      <c r="AD812" s="176"/>
      <c r="AE812" s="176"/>
      <c r="AF812" s="176"/>
      <c r="AG812" s="176"/>
      <c r="AH812" s="176"/>
      <c r="AI812" s="176"/>
      <c r="AJ812" s="176"/>
      <c r="AK812" s="176"/>
      <c r="AL812" s="176"/>
      <c r="AM812" s="176"/>
      <c r="AN812" s="176"/>
      <c r="AO812" s="176"/>
      <c r="AP812" s="176"/>
      <c r="AQ812" s="176"/>
      <c r="AR812" s="176"/>
      <c r="AS812" s="176"/>
      <c r="AT812" s="176"/>
      <c r="AU812" s="176"/>
      <c r="AV812" s="176"/>
      <c r="AW812" s="176"/>
      <c r="AX812" s="176"/>
      <c r="AY812" s="176"/>
      <c r="AZ812" s="176"/>
      <c r="BA812" s="176"/>
      <c r="BB812" s="176"/>
      <c r="BC812" s="176"/>
      <c r="BD812" s="176"/>
    </row>
    <row r="813" ht="15.75" customHeight="1">
      <c r="A813" s="176"/>
      <c r="B813" s="176"/>
      <c r="C813" s="176"/>
      <c r="D813" s="176"/>
      <c r="E813" s="176"/>
      <c r="F813" s="176"/>
      <c r="G813" s="178"/>
      <c r="H813" s="176"/>
      <c r="I813" s="176"/>
      <c r="J813" s="176"/>
      <c r="K813" s="176"/>
      <c r="L813" s="176"/>
      <c r="M813" s="176"/>
      <c r="N813" s="176"/>
      <c r="O813" s="176"/>
      <c r="P813" s="176"/>
      <c r="Q813" s="176"/>
      <c r="R813" s="176"/>
      <c r="S813" s="176"/>
      <c r="T813" s="176"/>
      <c r="U813" s="176"/>
      <c r="V813" s="176"/>
      <c r="W813" s="176"/>
      <c r="X813" s="176"/>
      <c r="Y813" s="176"/>
      <c r="Z813" s="176"/>
      <c r="AA813" s="176"/>
      <c r="AB813" s="176"/>
      <c r="AC813" s="176"/>
      <c r="AD813" s="176"/>
      <c r="AE813" s="176"/>
      <c r="AF813" s="176"/>
      <c r="AG813" s="176"/>
      <c r="AH813" s="176"/>
      <c r="AI813" s="176"/>
      <c r="AJ813" s="176"/>
      <c r="AK813" s="176"/>
      <c r="AL813" s="176"/>
      <c r="AM813" s="176"/>
      <c r="AN813" s="176"/>
      <c r="AO813" s="176"/>
      <c r="AP813" s="176"/>
      <c r="AQ813" s="176"/>
      <c r="AR813" s="176"/>
      <c r="AS813" s="176"/>
      <c r="AT813" s="176"/>
      <c r="AU813" s="176"/>
      <c r="AV813" s="176"/>
      <c r="AW813" s="176"/>
      <c r="AX813" s="176"/>
      <c r="AY813" s="176"/>
      <c r="AZ813" s="176"/>
      <c r="BA813" s="176"/>
      <c r="BB813" s="176"/>
      <c r="BC813" s="176"/>
      <c r="BD813" s="176"/>
    </row>
    <row r="814" ht="15.75" customHeight="1">
      <c r="A814" s="176"/>
      <c r="B814" s="176"/>
      <c r="C814" s="176"/>
      <c r="D814" s="176"/>
      <c r="E814" s="176"/>
      <c r="F814" s="176"/>
      <c r="G814" s="178"/>
      <c r="H814" s="176"/>
      <c r="I814" s="176"/>
      <c r="J814" s="176"/>
      <c r="K814" s="176"/>
      <c r="L814" s="176"/>
      <c r="M814" s="176"/>
      <c r="N814" s="176"/>
      <c r="O814" s="176"/>
      <c r="P814" s="176"/>
      <c r="Q814" s="176"/>
      <c r="R814" s="176"/>
      <c r="S814" s="176"/>
      <c r="T814" s="176"/>
      <c r="U814" s="176"/>
      <c r="V814" s="176"/>
      <c r="W814" s="176"/>
      <c r="X814" s="176"/>
      <c r="Y814" s="176"/>
      <c r="Z814" s="176"/>
      <c r="AA814" s="176"/>
      <c r="AB814" s="176"/>
      <c r="AC814" s="176"/>
      <c r="AD814" s="176"/>
      <c r="AE814" s="176"/>
      <c r="AF814" s="176"/>
      <c r="AG814" s="176"/>
      <c r="AH814" s="176"/>
      <c r="AI814" s="176"/>
      <c r="AJ814" s="176"/>
      <c r="AK814" s="176"/>
      <c r="AL814" s="176"/>
      <c r="AM814" s="176"/>
      <c r="AN814" s="176"/>
      <c r="AO814" s="176"/>
      <c r="AP814" s="176"/>
      <c r="AQ814" s="176"/>
      <c r="AR814" s="176"/>
      <c r="AS814" s="176"/>
      <c r="AT814" s="176"/>
      <c r="AU814" s="176"/>
      <c r="AV814" s="176"/>
      <c r="AW814" s="176"/>
      <c r="AX814" s="176"/>
      <c r="AY814" s="176"/>
      <c r="AZ814" s="176"/>
      <c r="BA814" s="176"/>
      <c r="BB814" s="176"/>
      <c r="BC814" s="176"/>
      <c r="BD814" s="176"/>
    </row>
    <row r="815" ht="15.75" customHeight="1">
      <c r="A815" s="176"/>
      <c r="B815" s="176"/>
      <c r="C815" s="176"/>
      <c r="D815" s="176"/>
      <c r="E815" s="176"/>
      <c r="F815" s="176"/>
      <c r="G815" s="178"/>
      <c r="H815" s="176"/>
      <c r="I815" s="176"/>
      <c r="J815" s="176"/>
      <c r="K815" s="176"/>
      <c r="L815" s="176"/>
      <c r="M815" s="176"/>
      <c r="N815" s="176"/>
      <c r="O815" s="176"/>
      <c r="P815" s="176"/>
      <c r="Q815" s="176"/>
      <c r="R815" s="176"/>
      <c r="S815" s="176"/>
      <c r="T815" s="176"/>
      <c r="U815" s="176"/>
      <c r="V815" s="176"/>
      <c r="W815" s="176"/>
      <c r="X815" s="176"/>
      <c r="Y815" s="176"/>
      <c r="Z815" s="176"/>
      <c r="AA815" s="176"/>
      <c r="AB815" s="176"/>
      <c r="AC815" s="176"/>
      <c r="AD815" s="176"/>
      <c r="AE815" s="176"/>
      <c r="AF815" s="176"/>
      <c r="AG815" s="176"/>
      <c r="AH815" s="176"/>
      <c r="AI815" s="176"/>
      <c r="AJ815" s="176"/>
      <c r="AK815" s="176"/>
      <c r="AL815" s="176"/>
      <c r="AM815" s="176"/>
      <c r="AN815" s="176"/>
      <c r="AO815" s="176"/>
      <c r="AP815" s="176"/>
      <c r="AQ815" s="176"/>
      <c r="AR815" s="176"/>
      <c r="AS815" s="176"/>
      <c r="AT815" s="176"/>
      <c r="AU815" s="176"/>
      <c r="AV815" s="176"/>
      <c r="AW815" s="176"/>
      <c r="AX815" s="176"/>
      <c r="AY815" s="176"/>
      <c r="AZ815" s="176"/>
      <c r="BA815" s="176"/>
      <c r="BB815" s="176"/>
      <c r="BC815" s="176"/>
      <c r="BD815" s="176"/>
    </row>
    <row r="816" ht="15.75" customHeight="1">
      <c r="A816" s="176"/>
      <c r="B816" s="176"/>
      <c r="C816" s="176"/>
      <c r="D816" s="176"/>
      <c r="E816" s="176"/>
      <c r="F816" s="176"/>
      <c r="G816" s="178"/>
      <c r="H816" s="176"/>
      <c r="I816" s="176"/>
      <c r="J816" s="176"/>
      <c r="K816" s="176"/>
      <c r="L816" s="176"/>
      <c r="M816" s="176"/>
      <c r="N816" s="176"/>
      <c r="O816" s="176"/>
      <c r="P816" s="176"/>
      <c r="Q816" s="176"/>
      <c r="R816" s="176"/>
      <c r="S816" s="176"/>
      <c r="T816" s="176"/>
      <c r="U816" s="176"/>
      <c r="V816" s="176"/>
      <c r="W816" s="176"/>
      <c r="X816" s="176"/>
      <c r="Y816" s="176"/>
      <c r="Z816" s="176"/>
      <c r="AA816" s="176"/>
      <c r="AB816" s="176"/>
      <c r="AC816" s="176"/>
      <c r="AD816" s="176"/>
      <c r="AE816" s="176"/>
      <c r="AF816" s="176"/>
      <c r="AG816" s="176"/>
      <c r="AH816" s="176"/>
      <c r="AI816" s="176"/>
      <c r="AJ816" s="176"/>
      <c r="AK816" s="176"/>
      <c r="AL816" s="176"/>
      <c r="AM816" s="176"/>
      <c r="AN816" s="176"/>
      <c r="AO816" s="176"/>
      <c r="AP816" s="176"/>
      <c r="AQ816" s="176"/>
      <c r="AR816" s="176"/>
      <c r="AS816" s="176"/>
      <c r="AT816" s="176"/>
      <c r="AU816" s="176"/>
      <c r="AV816" s="176"/>
      <c r="AW816" s="176"/>
      <c r="AX816" s="176"/>
      <c r="AY816" s="176"/>
      <c r="AZ816" s="176"/>
      <c r="BA816" s="176"/>
      <c r="BB816" s="176"/>
      <c r="BC816" s="176"/>
      <c r="BD816" s="176"/>
    </row>
    <row r="817" ht="15.75" customHeight="1">
      <c r="A817" s="176"/>
      <c r="B817" s="176"/>
      <c r="C817" s="176"/>
      <c r="D817" s="176"/>
      <c r="E817" s="176"/>
      <c r="F817" s="176"/>
      <c r="G817" s="178"/>
      <c r="H817" s="176"/>
      <c r="I817" s="176"/>
      <c r="J817" s="176"/>
      <c r="K817" s="176"/>
      <c r="L817" s="176"/>
      <c r="M817" s="176"/>
      <c r="N817" s="176"/>
      <c r="O817" s="176"/>
      <c r="P817" s="176"/>
      <c r="Q817" s="176"/>
      <c r="R817" s="176"/>
      <c r="S817" s="176"/>
      <c r="T817" s="176"/>
      <c r="U817" s="176"/>
      <c r="V817" s="176"/>
      <c r="W817" s="176"/>
      <c r="X817" s="176"/>
      <c r="Y817" s="176"/>
      <c r="Z817" s="176"/>
      <c r="AA817" s="176"/>
      <c r="AB817" s="176"/>
      <c r="AC817" s="176"/>
      <c r="AD817" s="176"/>
      <c r="AE817" s="176"/>
      <c r="AF817" s="176"/>
      <c r="AG817" s="176"/>
      <c r="AH817" s="176"/>
      <c r="AI817" s="176"/>
      <c r="AJ817" s="176"/>
      <c r="AK817" s="176"/>
      <c r="AL817" s="176"/>
      <c r="AM817" s="176"/>
      <c r="AN817" s="176"/>
      <c r="AO817" s="176"/>
      <c r="AP817" s="176"/>
      <c r="AQ817" s="176"/>
      <c r="AR817" s="176"/>
      <c r="AS817" s="176"/>
      <c r="AT817" s="176"/>
      <c r="AU817" s="176"/>
      <c r="AV817" s="176"/>
      <c r="AW817" s="176"/>
      <c r="AX817" s="176"/>
      <c r="AY817" s="176"/>
      <c r="AZ817" s="176"/>
      <c r="BA817" s="176"/>
      <c r="BB817" s="176"/>
      <c r="BC817" s="176"/>
      <c r="BD817" s="176"/>
    </row>
    <row r="818" ht="15.75" customHeight="1">
      <c r="A818" s="176"/>
      <c r="B818" s="176"/>
      <c r="C818" s="176"/>
      <c r="D818" s="176"/>
      <c r="E818" s="176"/>
      <c r="F818" s="176"/>
      <c r="G818" s="178"/>
      <c r="H818" s="176"/>
      <c r="I818" s="176"/>
      <c r="J818" s="176"/>
      <c r="K818" s="176"/>
      <c r="L818" s="176"/>
      <c r="M818" s="176"/>
      <c r="N818" s="176"/>
      <c r="O818" s="176"/>
      <c r="P818" s="176"/>
      <c r="Q818" s="176"/>
      <c r="R818" s="176"/>
      <c r="S818" s="176"/>
      <c r="T818" s="176"/>
      <c r="U818" s="176"/>
      <c r="V818" s="176"/>
      <c r="W818" s="176"/>
      <c r="X818" s="176"/>
      <c r="Y818" s="176"/>
      <c r="Z818" s="176"/>
      <c r="AA818" s="176"/>
      <c r="AB818" s="176"/>
      <c r="AC818" s="176"/>
      <c r="AD818" s="176"/>
      <c r="AE818" s="176"/>
      <c r="AF818" s="176"/>
      <c r="AG818" s="176"/>
      <c r="AH818" s="176"/>
      <c r="AI818" s="176"/>
      <c r="AJ818" s="176"/>
      <c r="AK818" s="176"/>
      <c r="AL818" s="176"/>
      <c r="AM818" s="176"/>
      <c r="AN818" s="176"/>
      <c r="AO818" s="176"/>
      <c r="AP818" s="176"/>
      <c r="AQ818" s="176"/>
      <c r="AR818" s="176"/>
      <c r="AS818" s="176"/>
      <c r="AT818" s="176"/>
      <c r="AU818" s="176"/>
      <c r="AV818" s="176"/>
      <c r="AW818" s="176"/>
      <c r="AX818" s="176"/>
      <c r="AY818" s="176"/>
      <c r="AZ818" s="176"/>
      <c r="BA818" s="176"/>
      <c r="BB818" s="176"/>
      <c r="BC818" s="176"/>
      <c r="BD818" s="176"/>
    </row>
    <row r="819" ht="15.75" customHeight="1">
      <c r="A819" s="176"/>
      <c r="B819" s="176"/>
      <c r="C819" s="176"/>
      <c r="D819" s="176"/>
      <c r="E819" s="176"/>
      <c r="F819" s="176"/>
      <c r="G819" s="178"/>
      <c r="H819" s="176"/>
      <c r="I819" s="176"/>
      <c r="J819" s="176"/>
      <c r="K819" s="176"/>
      <c r="L819" s="176"/>
      <c r="M819" s="176"/>
      <c r="N819" s="176"/>
      <c r="O819" s="176"/>
      <c r="P819" s="176"/>
      <c r="Q819" s="176"/>
      <c r="R819" s="176"/>
      <c r="S819" s="176"/>
      <c r="T819" s="176"/>
      <c r="U819" s="176"/>
      <c r="V819" s="176"/>
      <c r="W819" s="176"/>
      <c r="X819" s="176"/>
      <c r="Y819" s="176"/>
      <c r="Z819" s="176"/>
      <c r="AA819" s="176"/>
      <c r="AB819" s="176"/>
      <c r="AC819" s="176"/>
      <c r="AD819" s="176"/>
      <c r="AE819" s="176"/>
      <c r="AF819" s="176"/>
      <c r="AG819" s="176"/>
      <c r="AH819" s="176"/>
      <c r="AI819" s="176"/>
      <c r="AJ819" s="176"/>
      <c r="AK819" s="176"/>
      <c r="AL819" s="176"/>
      <c r="AM819" s="176"/>
      <c r="AN819" s="176"/>
      <c r="AO819" s="176"/>
      <c r="AP819" s="176"/>
      <c r="AQ819" s="176"/>
      <c r="AR819" s="176"/>
      <c r="AS819" s="176"/>
      <c r="AT819" s="176"/>
      <c r="AU819" s="176"/>
      <c r="AV819" s="176"/>
      <c r="AW819" s="176"/>
      <c r="AX819" s="176"/>
      <c r="AY819" s="176"/>
      <c r="AZ819" s="176"/>
      <c r="BA819" s="176"/>
      <c r="BB819" s="176"/>
      <c r="BC819" s="176"/>
      <c r="BD819" s="176"/>
    </row>
    <row r="820" ht="15.75" customHeight="1">
      <c r="A820" s="176"/>
      <c r="B820" s="176"/>
      <c r="C820" s="176"/>
      <c r="D820" s="176"/>
      <c r="E820" s="176"/>
      <c r="F820" s="176"/>
      <c r="G820" s="178"/>
      <c r="H820" s="176"/>
      <c r="I820" s="176"/>
      <c r="J820" s="176"/>
      <c r="K820" s="176"/>
      <c r="L820" s="176"/>
      <c r="M820" s="176"/>
      <c r="N820" s="176"/>
      <c r="O820" s="176"/>
      <c r="P820" s="176"/>
      <c r="Q820" s="176"/>
      <c r="R820" s="176"/>
      <c r="S820" s="176"/>
      <c r="T820" s="176"/>
      <c r="U820" s="176"/>
      <c r="V820" s="176"/>
      <c r="W820" s="176"/>
      <c r="X820" s="176"/>
      <c r="Y820" s="176"/>
      <c r="Z820" s="176"/>
      <c r="AA820" s="176"/>
      <c r="AB820" s="176"/>
      <c r="AC820" s="176"/>
      <c r="AD820" s="176"/>
      <c r="AE820" s="176"/>
      <c r="AF820" s="176"/>
      <c r="AG820" s="176"/>
      <c r="AH820" s="176"/>
      <c r="AI820" s="176"/>
      <c r="AJ820" s="176"/>
      <c r="AK820" s="176"/>
      <c r="AL820" s="176"/>
      <c r="AM820" s="176"/>
      <c r="AN820" s="176"/>
      <c r="AO820" s="176"/>
      <c r="AP820" s="176"/>
      <c r="AQ820" s="176"/>
      <c r="AR820" s="176"/>
      <c r="AS820" s="176"/>
      <c r="AT820" s="176"/>
      <c r="AU820" s="176"/>
      <c r="AV820" s="176"/>
      <c r="AW820" s="176"/>
      <c r="AX820" s="176"/>
      <c r="AY820" s="176"/>
      <c r="AZ820" s="176"/>
      <c r="BA820" s="176"/>
      <c r="BB820" s="176"/>
      <c r="BC820" s="176"/>
      <c r="BD820" s="176"/>
    </row>
    <row r="821" ht="15.75" customHeight="1">
      <c r="A821" s="176"/>
      <c r="B821" s="176"/>
      <c r="C821" s="176"/>
      <c r="D821" s="176"/>
      <c r="E821" s="176"/>
      <c r="F821" s="176"/>
      <c r="G821" s="178"/>
      <c r="H821" s="176"/>
      <c r="I821" s="176"/>
      <c r="J821" s="176"/>
      <c r="K821" s="176"/>
      <c r="L821" s="176"/>
      <c r="M821" s="176"/>
      <c r="N821" s="176"/>
      <c r="O821" s="176"/>
      <c r="P821" s="176"/>
      <c r="Q821" s="176"/>
      <c r="R821" s="176"/>
      <c r="S821" s="176"/>
      <c r="T821" s="176"/>
      <c r="U821" s="176"/>
      <c r="V821" s="176"/>
      <c r="W821" s="176"/>
      <c r="X821" s="176"/>
      <c r="Y821" s="176"/>
      <c r="Z821" s="176"/>
      <c r="AA821" s="176"/>
      <c r="AB821" s="176"/>
      <c r="AC821" s="176"/>
      <c r="AD821" s="176"/>
      <c r="AE821" s="176"/>
      <c r="AF821" s="176"/>
      <c r="AG821" s="176"/>
      <c r="AH821" s="176"/>
      <c r="AI821" s="176"/>
      <c r="AJ821" s="176"/>
      <c r="AK821" s="176"/>
      <c r="AL821" s="176"/>
      <c r="AM821" s="176"/>
      <c r="AN821" s="176"/>
      <c r="AO821" s="176"/>
      <c r="AP821" s="176"/>
      <c r="AQ821" s="176"/>
      <c r="AR821" s="176"/>
      <c r="AS821" s="176"/>
      <c r="AT821" s="176"/>
      <c r="AU821" s="176"/>
      <c r="AV821" s="176"/>
      <c r="AW821" s="176"/>
      <c r="AX821" s="176"/>
      <c r="AY821" s="176"/>
      <c r="AZ821" s="176"/>
      <c r="BA821" s="176"/>
      <c r="BB821" s="176"/>
      <c r="BC821" s="176"/>
      <c r="BD821" s="176"/>
    </row>
    <row r="822" ht="15.75" customHeight="1">
      <c r="A822" s="176"/>
      <c r="B822" s="176"/>
      <c r="C822" s="176"/>
      <c r="D822" s="176"/>
      <c r="E822" s="176"/>
      <c r="F822" s="176"/>
      <c r="G822" s="178"/>
      <c r="H822" s="176"/>
      <c r="I822" s="176"/>
      <c r="J822" s="176"/>
      <c r="K822" s="176"/>
      <c r="L822" s="176"/>
      <c r="M822" s="176"/>
      <c r="N822" s="176"/>
      <c r="O822" s="176"/>
      <c r="P822" s="176"/>
      <c r="Q822" s="176"/>
      <c r="R822" s="176"/>
      <c r="S822" s="176"/>
      <c r="T822" s="176"/>
      <c r="U822" s="176"/>
      <c r="V822" s="176"/>
      <c r="W822" s="176"/>
      <c r="X822" s="176"/>
      <c r="Y822" s="176"/>
      <c r="Z822" s="176"/>
      <c r="AA822" s="176"/>
      <c r="AB822" s="176"/>
      <c r="AC822" s="176"/>
      <c r="AD822" s="176"/>
      <c r="AE822" s="176"/>
      <c r="AF822" s="176"/>
      <c r="AG822" s="176"/>
      <c r="AH822" s="176"/>
      <c r="AI822" s="176"/>
      <c r="AJ822" s="176"/>
      <c r="AK822" s="176"/>
      <c r="AL822" s="176"/>
      <c r="AM822" s="176"/>
      <c r="AN822" s="176"/>
      <c r="AO822" s="176"/>
      <c r="AP822" s="176"/>
      <c r="AQ822" s="176"/>
      <c r="AR822" s="176"/>
      <c r="AS822" s="176"/>
      <c r="AT822" s="176"/>
      <c r="AU822" s="176"/>
      <c r="AV822" s="176"/>
      <c r="AW822" s="176"/>
      <c r="AX822" s="176"/>
      <c r="AY822" s="176"/>
      <c r="AZ822" s="176"/>
      <c r="BA822" s="176"/>
      <c r="BB822" s="176"/>
      <c r="BC822" s="176"/>
      <c r="BD822" s="176"/>
    </row>
    <row r="823" ht="15.75" customHeight="1">
      <c r="A823" s="176"/>
      <c r="B823" s="176"/>
      <c r="C823" s="176"/>
      <c r="D823" s="176"/>
      <c r="E823" s="176"/>
      <c r="F823" s="176"/>
      <c r="G823" s="178"/>
      <c r="H823" s="176"/>
      <c r="I823" s="176"/>
      <c r="J823" s="176"/>
      <c r="K823" s="176"/>
      <c r="L823" s="176"/>
      <c r="M823" s="176"/>
      <c r="N823" s="176"/>
      <c r="O823" s="176"/>
      <c r="P823" s="176"/>
      <c r="Q823" s="176"/>
      <c r="R823" s="176"/>
      <c r="S823" s="176"/>
      <c r="T823" s="176"/>
      <c r="U823" s="176"/>
      <c r="V823" s="176"/>
      <c r="W823" s="176"/>
      <c r="X823" s="176"/>
      <c r="Y823" s="176"/>
      <c r="Z823" s="176"/>
      <c r="AA823" s="176"/>
      <c r="AB823" s="176"/>
      <c r="AC823" s="176"/>
      <c r="AD823" s="176"/>
      <c r="AE823" s="176"/>
      <c r="AF823" s="176"/>
      <c r="AG823" s="176"/>
      <c r="AH823" s="176"/>
      <c r="AI823" s="176"/>
      <c r="AJ823" s="176"/>
      <c r="AK823" s="176"/>
      <c r="AL823" s="176"/>
      <c r="AM823" s="176"/>
      <c r="AN823" s="176"/>
      <c r="AO823" s="176"/>
      <c r="AP823" s="176"/>
      <c r="AQ823" s="176"/>
      <c r="AR823" s="176"/>
      <c r="AS823" s="176"/>
      <c r="AT823" s="176"/>
      <c r="AU823" s="176"/>
      <c r="AV823" s="176"/>
      <c r="AW823" s="176"/>
      <c r="AX823" s="176"/>
      <c r="AY823" s="176"/>
      <c r="AZ823" s="176"/>
      <c r="BA823" s="176"/>
      <c r="BB823" s="176"/>
      <c r="BC823" s="176"/>
      <c r="BD823" s="176"/>
    </row>
    <row r="824" ht="15.75" customHeight="1">
      <c r="A824" s="176"/>
      <c r="B824" s="176"/>
      <c r="C824" s="176"/>
      <c r="D824" s="176"/>
      <c r="E824" s="176"/>
      <c r="F824" s="176"/>
      <c r="G824" s="178"/>
      <c r="H824" s="176"/>
      <c r="I824" s="176"/>
      <c r="J824" s="176"/>
      <c r="K824" s="176"/>
      <c r="L824" s="176"/>
      <c r="M824" s="176"/>
      <c r="N824" s="176"/>
      <c r="O824" s="176"/>
      <c r="P824" s="176"/>
      <c r="Q824" s="176"/>
      <c r="R824" s="176"/>
      <c r="S824" s="176"/>
      <c r="T824" s="176"/>
      <c r="U824" s="176"/>
      <c r="V824" s="176"/>
      <c r="W824" s="176"/>
      <c r="X824" s="176"/>
      <c r="Y824" s="176"/>
      <c r="Z824" s="176"/>
      <c r="AA824" s="176"/>
      <c r="AB824" s="176"/>
      <c r="AC824" s="176"/>
      <c r="AD824" s="176"/>
      <c r="AE824" s="176"/>
      <c r="AF824" s="176"/>
      <c r="AG824" s="176"/>
      <c r="AH824" s="176"/>
      <c r="AI824" s="176"/>
      <c r="AJ824" s="176"/>
      <c r="AK824" s="176"/>
      <c r="AL824" s="176"/>
      <c r="AM824" s="176"/>
      <c r="AN824" s="176"/>
      <c r="AO824" s="176"/>
      <c r="AP824" s="176"/>
      <c r="AQ824" s="176"/>
      <c r="AR824" s="176"/>
      <c r="AS824" s="176"/>
      <c r="AT824" s="176"/>
      <c r="AU824" s="176"/>
      <c r="AV824" s="176"/>
      <c r="AW824" s="176"/>
      <c r="AX824" s="176"/>
      <c r="AY824" s="176"/>
      <c r="AZ824" s="176"/>
      <c r="BA824" s="176"/>
      <c r="BB824" s="176"/>
      <c r="BC824" s="176"/>
      <c r="BD824" s="176"/>
    </row>
    <row r="825" ht="15.75" customHeight="1">
      <c r="A825" s="176"/>
      <c r="B825" s="176"/>
      <c r="C825" s="176"/>
      <c r="D825" s="176"/>
      <c r="E825" s="176"/>
      <c r="F825" s="176"/>
      <c r="G825" s="178"/>
      <c r="H825" s="176"/>
      <c r="I825" s="176"/>
      <c r="J825" s="176"/>
      <c r="K825" s="176"/>
      <c r="L825" s="176"/>
      <c r="M825" s="176"/>
      <c r="N825" s="176"/>
      <c r="O825" s="176"/>
      <c r="P825" s="176"/>
      <c r="Q825" s="176"/>
      <c r="R825" s="176"/>
      <c r="S825" s="176"/>
      <c r="T825" s="176"/>
      <c r="U825" s="176"/>
      <c r="V825" s="176"/>
      <c r="W825" s="176"/>
      <c r="X825" s="176"/>
      <c r="Y825" s="176"/>
      <c r="Z825" s="176"/>
      <c r="AA825" s="176"/>
      <c r="AB825" s="176"/>
      <c r="AC825" s="176"/>
      <c r="AD825" s="176"/>
      <c r="AE825" s="176"/>
      <c r="AF825" s="176"/>
      <c r="AG825" s="176"/>
      <c r="AH825" s="176"/>
      <c r="AI825" s="176"/>
      <c r="AJ825" s="176"/>
      <c r="AK825" s="176"/>
      <c r="AL825" s="176"/>
      <c r="AM825" s="176"/>
      <c r="AN825" s="176"/>
      <c r="AO825" s="176"/>
      <c r="AP825" s="176"/>
      <c r="AQ825" s="176"/>
      <c r="AR825" s="176"/>
      <c r="AS825" s="176"/>
      <c r="AT825" s="176"/>
      <c r="AU825" s="176"/>
      <c r="AV825" s="176"/>
      <c r="AW825" s="176"/>
      <c r="AX825" s="176"/>
      <c r="AY825" s="176"/>
      <c r="AZ825" s="176"/>
      <c r="BA825" s="176"/>
      <c r="BB825" s="176"/>
      <c r="BC825" s="176"/>
      <c r="BD825" s="176"/>
    </row>
    <row r="826" ht="15.75" customHeight="1">
      <c r="A826" s="176"/>
      <c r="B826" s="176"/>
      <c r="C826" s="176"/>
      <c r="D826" s="176"/>
      <c r="E826" s="176"/>
      <c r="F826" s="176"/>
      <c r="G826" s="178"/>
      <c r="H826" s="176"/>
      <c r="I826" s="176"/>
      <c r="J826" s="176"/>
      <c r="K826" s="176"/>
      <c r="L826" s="176"/>
      <c r="M826" s="176"/>
      <c r="N826" s="176"/>
      <c r="O826" s="176"/>
      <c r="P826" s="176"/>
      <c r="Q826" s="176"/>
      <c r="R826" s="176"/>
      <c r="S826" s="176"/>
      <c r="T826" s="176"/>
      <c r="U826" s="176"/>
      <c r="V826" s="176"/>
      <c r="W826" s="176"/>
      <c r="X826" s="176"/>
      <c r="Y826" s="176"/>
      <c r="Z826" s="176"/>
      <c r="AA826" s="176"/>
      <c r="AB826" s="176"/>
      <c r="AC826" s="176"/>
      <c r="AD826" s="176"/>
      <c r="AE826" s="176"/>
      <c r="AF826" s="176"/>
      <c r="AG826" s="176"/>
      <c r="AH826" s="176"/>
      <c r="AI826" s="176"/>
      <c r="AJ826" s="176"/>
      <c r="AK826" s="176"/>
      <c r="AL826" s="176"/>
      <c r="AM826" s="176"/>
      <c r="AN826" s="176"/>
      <c r="AO826" s="176"/>
      <c r="AP826" s="176"/>
      <c r="AQ826" s="176"/>
      <c r="AR826" s="176"/>
      <c r="AS826" s="176"/>
      <c r="AT826" s="176"/>
      <c r="AU826" s="176"/>
      <c r="AV826" s="176"/>
      <c r="AW826" s="176"/>
      <c r="AX826" s="176"/>
      <c r="AY826" s="176"/>
      <c r="AZ826" s="176"/>
      <c r="BA826" s="176"/>
      <c r="BB826" s="176"/>
      <c r="BC826" s="176"/>
      <c r="BD826" s="176"/>
    </row>
    <row r="827" ht="15.75" customHeight="1">
      <c r="A827" s="176"/>
      <c r="B827" s="176"/>
      <c r="C827" s="176"/>
      <c r="D827" s="176"/>
      <c r="E827" s="176"/>
      <c r="F827" s="176"/>
      <c r="G827" s="178"/>
      <c r="H827" s="176"/>
      <c r="I827" s="176"/>
      <c r="J827" s="176"/>
      <c r="K827" s="176"/>
      <c r="L827" s="176"/>
      <c r="M827" s="176"/>
      <c r="N827" s="176"/>
      <c r="O827" s="176"/>
      <c r="P827" s="176"/>
      <c r="Q827" s="176"/>
      <c r="R827" s="176"/>
      <c r="S827" s="176"/>
      <c r="T827" s="176"/>
      <c r="U827" s="176"/>
      <c r="V827" s="176"/>
      <c r="W827" s="176"/>
      <c r="X827" s="176"/>
      <c r="Y827" s="176"/>
      <c r="Z827" s="176"/>
      <c r="AA827" s="176"/>
      <c r="AB827" s="176"/>
      <c r="AC827" s="176"/>
      <c r="AD827" s="176"/>
      <c r="AE827" s="176"/>
      <c r="AF827" s="176"/>
      <c r="AG827" s="176"/>
      <c r="AH827" s="176"/>
      <c r="AI827" s="176"/>
      <c r="AJ827" s="176"/>
      <c r="AK827" s="176"/>
      <c r="AL827" s="176"/>
      <c r="AM827" s="176"/>
      <c r="AN827" s="176"/>
      <c r="AO827" s="176"/>
      <c r="AP827" s="176"/>
      <c r="AQ827" s="176"/>
      <c r="AR827" s="176"/>
      <c r="AS827" s="176"/>
      <c r="AT827" s="176"/>
      <c r="AU827" s="176"/>
      <c r="AV827" s="176"/>
      <c r="AW827" s="176"/>
      <c r="AX827" s="176"/>
      <c r="AY827" s="176"/>
      <c r="AZ827" s="176"/>
      <c r="BA827" s="176"/>
      <c r="BB827" s="176"/>
      <c r="BC827" s="176"/>
      <c r="BD827" s="176"/>
    </row>
    <row r="828" ht="15.75" customHeight="1">
      <c r="A828" s="176"/>
      <c r="B828" s="176"/>
      <c r="C828" s="176"/>
      <c r="D828" s="176"/>
      <c r="E828" s="176"/>
      <c r="F828" s="176"/>
      <c r="G828" s="178"/>
      <c r="H828" s="176"/>
      <c r="I828" s="176"/>
      <c r="J828" s="176"/>
      <c r="K828" s="176"/>
      <c r="L828" s="176"/>
      <c r="M828" s="176"/>
      <c r="N828" s="176"/>
      <c r="O828" s="176"/>
      <c r="P828" s="176"/>
      <c r="Q828" s="176"/>
      <c r="R828" s="176"/>
      <c r="S828" s="176"/>
      <c r="T828" s="176"/>
      <c r="U828" s="176"/>
      <c r="V828" s="176"/>
      <c r="W828" s="176"/>
      <c r="X828" s="176"/>
      <c r="Y828" s="176"/>
      <c r="Z828" s="176"/>
      <c r="AA828" s="176"/>
      <c r="AB828" s="176"/>
      <c r="AC828" s="176"/>
      <c r="AD828" s="176"/>
      <c r="AE828" s="176"/>
      <c r="AF828" s="176"/>
      <c r="AG828" s="176"/>
      <c r="AH828" s="176"/>
      <c r="AI828" s="176"/>
      <c r="AJ828" s="176"/>
      <c r="AK828" s="176"/>
      <c r="AL828" s="176"/>
      <c r="AM828" s="176"/>
      <c r="AN828" s="176"/>
      <c r="AO828" s="176"/>
      <c r="AP828" s="176"/>
      <c r="AQ828" s="176"/>
      <c r="AR828" s="176"/>
      <c r="AS828" s="176"/>
      <c r="AT828" s="176"/>
      <c r="AU828" s="176"/>
      <c r="AV828" s="176"/>
      <c r="AW828" s="176"/>
      <c r="AX828" s="176"/>
      <c r="AY828" s="176"/>
      <c r="AZ828" s="176"/>
      <c r="BA828" s="176"/>
      <c r="BB828" s="176"/>
      <c r="BC828" s="176"/>
      <c r="BD828" s="176"/>
    </row>
    <row r="829" ht="15.75" customHeight="1">
      <c r="A829" s="176"/>
      <c r="B829" s="176"/>
      <c r="C829" s="176"/>
      <c r="D829" s="176"/>
      <c r="E829" s="176"/>
      <c r="F829" s="176"/>
      <c r="G829" s="178"/>
      <c r="H829" s="176"/>
      <c r="I829" s="176"/>
      <c r="J829" s="176"/>
      <c r="K829" s="176"/>
      <c r="L829" s="176"/>
      <c r="M829" s="176"/>
      <c r="N829" s="176"/>
      <c r="O829" s="176"/>
      <c r="P829" s="176"/>
      <c r="Q829" s="176"/>
      <c r="R829" s="176"/>
      <c r="S829" s="176"/>
      <c r="T829" s="176"/>
      <c r="U829" s="176"/>
      <c r="V829" s="176"/>
      <c r="W829" s="176"/>
      <c r="X829" s="176"/>
      <c r="Y829" s="176"/>
      <c r="Z829" s="176"/>
      <c r="AA829" s="176"/>
      <c r="AB829" s="176"/>
      <c r="AC829" s="176"/>
      <c r="AD829" s="176"/>
      <c r="AE829" s="176"/>
      <c r="AF829" s="176"/>
      <c r="AG829" s="176"/>
      <c r="AH829" s="176"/>
      <c r="AI829" s="176"/>
      <c r="AJ829" s="176"/>
      <c r="AK829" s="176"/>
      <c r="AL829" s="176"/>
      <c r="AM829" s="176"/>
      <c r="AN829" s="176"/>
      <c r="AO829" s="176"/>
      <c r="AP829" s="176"/>
      <c r="AQ829" s="176"/>
      <c r="AR829" s="176"/>
      <c r="AS829" s="176"/>
      <c r="AT829" s="176"/>
      <c r="AU829" s="176"/>
      <c r="AV829" s="176"/>
      <c r="AW829" s="176"/>
      <c r="AX829" s="176"/>
      <c r="AY829" s="176"/>
      <c r="AZ829" s="176"/>
      <c r="BA829" s="176"/>
      <c r="BB829" s="176"/>
      <c r="BC829" s="176"/>
      <c r="BD829" s="176"/>
    </row>
    <row r="830" ht="15.75" customHeight="1">
      <c r="A830" s="176"/>
      <c r="B830" s="176"/>
      <c r="C830" s="176"/>
      <c r="D830" s="176"/>
      <c r="E830" s="176"/>
      <c r="F830" s="176"/>
      <c r="G830" s="178"/>
      <c r="H830" s="176"/>
      <c r="I830" s="176"/>
      <c r="J830" s="176"/>
      <c r="K830" s="176"/>
      <c r="L830" s="176"/>
      <c r="M830" s="176"/>
      <c r="N830" s="176"/>
      <c r="O830" s="176"/>
      <c r="P830" s="176"/>
      <c r="Q830" s="176"/>
      <c r="R830" s="176"/>
      <c r="S830" s="176"/>
      <c r="T830" s="176"/>
      <c r="U830" s="176"/>
      <c r="V830" s="176"/>
      <c r="W830" s="176"/>
      <c r="X830" s="176"/>
      <c r="Y830" s="176"/>
      <c r="Z830" s="176"/>
      <c r="AA830" s="176"/>
      <c r="AB830" s="176"/>
      <c r="AC830" s="176"/>
      <c r="AD830" s="176"/>
      <c r="AE830" s="176"/>
      <c r="AF830" s="176"/>
      <c r="AG830" s="176"/>
      <c r="AH830" s="176"/>
      <c r="AI830" s="176"/>
      <c r="AJ830" s="176"/>
      <c r="AK830" s="176"/>
      <c r="AL830" s="176"/>
      <c r="AM830" s="176"/>
      <c r="AN830" s="176"/>
      <c r="AO830" s="176"/>
      <c r="AP830" s="176"/>
      <c r="AQ830" s="176"/>
      <c r="AR830" s="176"/>
      <c r="AS830" s="176"/>
      <c r="AT830" s="176"/>
      <c r="AU830" s="176"/>
      <c r="AV830" s="176"/>
      <c r="AW830" s="176"/>
      <c r="AX830" s="176"/>
      <c r="AY830" s="176"/>
      <c r="AZ830" s="176"/>
      <c r="BA830" s="176"/>
      <c r="BB830" s="176"/>
      <c r="BC830" s="176"/>
      <c r="BD830" s="176"/>
    </row>
    <row r="831" ht="15.75" customHeight="1">
      <c r="A831" s="176"/>
      <c r="B831" s="176"/>
      <c r="C831" s="176"/>
      <c r="D831" s="176"/>
      <c r="E831" s="176"/>
      <c r="F831" s="176"/>
      <c r="G831" s="178"/>
      <c r="H831" s="176"/>
      <c r="I831" s="176"/>
      <c r="J831" s="176"/>
      <c r="K831" s="176"/>
      <c r="L831" s="176"/>
      <c r="M831" s="176"/>
      <c r="N831" s="176"/>
      <c r="O831" s="176"/>
      <c r="P831" s="176"/>
      <c r="Q831" s="176"/>
      <c r="R831" s="176"/>
      <c r="S831" s="176"/>
      <c r="T831" s="176"/>
      <c r="U831" s="176"/>
      <c r="V831" s="176"/>
      <c r="W831" s="176"/>
      <c r="X831" s="176"/>
      <c r="Y831" s="176"/>
      <c r="Z831" s="176"/>
      <c r="AA831" s="176"/>
      <c r="AB831" s="176"/>
      <c r="AC831" s="176"/>
      <c r="AD831" s="176"/>
      <c r="AE831" s="176"/>
      <c r="AF831" s="176"/>
      <c r="AG831" s="176"/>
      <c r="AH831" s="176"/>
      <c r="AI831" s="176"/>
      <c r="AJ831" s="176"/>
      <c r="AK831" s="176"/>
      <c r="AL831" s="176"/>
      <c r="AM831" s="176"/>
      <c r="AN831" s="176"/>
      <c r="AO831" s="176"/>
      <c r="AP831" s="176"/>
      <c r="AQ831" s="176"/>
      <c r="AR831" s="176"/>
      <c r="AS831" s="176"/>
      <c r="AT831" s="176"/>
      <c r="AU831" s="176"/>
      <c r="AV831" s="176"/>
      <c r="AW831" s="176"/>
      <c r="AX831" s="176"/>
      <c r="AY831" s="176"/>
      <c r="AZ831" s="176"/>
      <c r="BA831" s="176"/>
      <c r="BB831" s="176"/>
      <c r="BC831" s="176"/>
      <c r="BD831" s="176"/>
    </row>
    <row r="832" ht="15.75" customHeight="1">
      <c r="A832" s="176"/>
      <c r="B832" s="176"/>
      <c r="C832" s="176"/>
      <c r="D832" s="176"/>
      <c r="E832" s="176"/>
      <c r="F832" s="176"/>
      <c r="G832" s="178"/>
      <c r="H832" s="176"/>
      <c r="I832" s="176"/>
      <c r="J832" s="176"/>
      <c r="K832" s="176"/>
      <c r="L832" s="176"/>
      <c r="M832" s="176"/>
      <c r="N832" s="176"/>
      <c r="O832" s="176"/>
      <c r="P832" s="176"/>
      <c r="Q832" s="176"/>
      <c r="R832" s="176"/>
      <c r="S832" s="176"/>
      <c r="T832" s="176"/>
      <c r="U832" s="176"/>
      <c r="V832" s="176"/>
      <c r="W832" s="176"/>
      <c r="X832" s="176"/>
      <c r="Y832" s="176"/>
      <c r="Z832" s="176"/>
      <c r="AA832" s="176"/>
      <c r="AB832" s="176"/>
      <c r="AC832" s="176"/>
      <c r="AD832" s="176"/>
      <c r="AE832" s="176"/>
      <c r="AF832" s="176"/>
      <c r="AG832" s="176"/>
      <c r="AH832" s="176"/>
      <c r="AI832" s="176"/>
      <c r="AJ832" s="176"/>
      <c r="AK832" s="176"/>
      <c r="AL832" s="176"/>
      <c r="AM832" s="176"/>
      <c r="AN832" s="176"/>
      <c r="AO832" s="176"/>
      <c r="AP832" s="176"/>
      <c r="AQ832" s="176"/>
      <c r="AR832" s="176"/>
      <c r="AS832" s="176"/>
      <c r="AT832" s="176"/>
      <c r="AU832" s="176"/>
      <c r="AV832" s="176"/>
      <c r="AW832" s="176"/>
      <c r="AX832" s="176"/>
      <c r="AY832" s="176"/>
      <c r="AZ832" s="176"/>
      <c r="BA832" s="176"/>
      <c r="BB832" s="176"/>
      <c r="BC832" s="176"/>
      <c r="BD832" s="176"/>
    </row>
    <row r="833" ht="15.75" customHeight="1">
      <c r="A833" s="176"/>
      <c r="B833" s="176"/>
      <c r="C833" s="176"/>
      <c r="D833" s="176"/>
      <c r="E833" s="176"/>
      <c r="F833" s="176"/>
      <c r="G833" s="178"/>
      <c r="H833" s="176"/>
      <c r="I833" s="176"/>
      <c r="J833" s="176"/>
      <c r="K833" s="176"/>
      <c r="L833" s="176"/>
      <c r="M833" s="176"/>
      <c r="N833" s="176"/>
      <c r="O833" s="176"/>
      <c r="P833" s="176"/>
      <c r="Q833" s="176"/>
      <c r="R833" s="176"/>
      <c r="S833" s="176"/>
      <c r="T833" s="176"/>
      <c r="U833" s="176"/>
      <c r="V833" s="176"/>
      <c r="W833" s="176"/>
      <c r="X833" s="176"/>
      <c r="Y833" s="176"/>
      <c r="Z833" s="176"/>
      <c r="AA833" s="176"/>
      <c r="AB833" s="176"/>
      <c r="AC833" s="176"/>
      <c r="AD833" s="176"/>
      <c r="AE833" s="176"/>
      <c r="AF833" s="176"/>
      <c r="AG833" s="176"/>
      <c r="AH833" s="176"/>
      <c r="AI833" s="176"/>
      <c r="AJ833" s="176"/>
      <c r="AK833" s="176"/>
      <c r="AL833" s="176"/>
      <c r="AM833" s="176"/>
      <c r="AN833" s="176"/>
      <c r="AO833" s="176"/>
      <c r="AP833" s="176"/>
      <c r="AQ833" s="176"/>
      <c r="AR833" s="176"/>
      <c r="AS833" s="176"/>
      <c r="AT833" s="176"/>
      <c r="AU833" s="176"/>
      <c r="AV833" s="176"/>
      <c r="AW833" s="176"/>
      <c r="AX833" s="176"/>
      <c r="AY833" s="176"/>
      <c r="AZ833" s="176"/>
      <c r="BA833" s="176"/>
      <c r="BB833" s="176"/>
      <c r="BC833" s="176"/>
      <c r="BD833" s="176"/>
    </row>
    <row r="834" ht="15.75" customHeight="1">
      <c r="A834" s="176"/>
      <c r="B834" s="176"/>
      <c r="C834" s="176"/>
      <c r="D834" s="176"/>
      <c r="E834" s="176"/>
      <c r="F834" s="176"/>
      <c r="G834" s="178"/>
      <c r="H834" s="176"/>
      <c r="I834" s="176"/>
      <c r="J834" s="176"/>
      <c r="K834" s="176"/>
      <c r="L834" s="176"/>
      <c r="M834" s="176"/>
      <c r="N834" s="176"/>
      <c r="O834" s="176"/>
      <c r="P834" s="176"/>
      <c r="Q834" s="176"/>
      <c r="R834" s="176"/>
      <c r="S834" s="176"/>
      <c r="T834" s="176"/>
      <c r="U834" s="176"/>
      <c r="V834" s="176"/>
      <c r="W834" s="176"/>
      <c r="X834" s="176"/>
      <c r="Y834" s="176"/>
      <c r="Z834" s="176"/>
      <c r="AA834" s="176"/>
      <c r="AB834" s="176"/>
      <c r="AC834" s="176"/>
      <c r="AD834" s="176"/>
      <c r="AE834" s="176"/>
      <c r="AF834" s="176"/>
      <c r="AG834" s="176"/>
      <c r="AH834" s="176"/>
      <c r="AI834" s="176"/>
      <c r="AJ834" s="176"/>
      <c r="AK834" s="176"/>
      <c r="AL834" s="176"/>
      <c r="AM834" s="176"/>
      <c r="AN834" s="176"/>
      <c r="AO834" s="176"/>
      <c r="AP834" s="176"/>
      <c r="AQ834" s="176"/>
      <c r="AR834" s="176"/>
      <c r="AS834" s="176"/>
      <c r="AT834" s="176"/>
      <c r="AU834" s="176"/>
      <c r="AV834" s="176"/>
      <c r="AW834" s="176"/>
      <c r="AX834" s="176"/>
      <c r="AY834" s="176"/>
      <c r="AZ834" s="176"/>
      <c r="BA834" s="176"/>
      <c r="BB834" s="176"/>
      <c r="BC834" s="176"/>
      <c r="BD834" s="176"/>
    </row>
    <row r="835" ht="15.75" customHeight="1">
      <c r="A835" s="176"/>
      <c r="B835" s="176"/>
      <c r="C835" s="176"/>
      <c r="D835" s="176"/>
      <c r="E835" s="176"/>
      <c r="F835" s="176"/>
      <c r="G835" s="178"/>
      <c r="H835" s="176"/>
      <c r="I835" s="176"/>
      <c r="J835" s="176"/>
      <c r="K835" s="176"/>
      <c r="L835" s="176"/>
      <c r="M835" s="176"/>
      <c r="N835" s="176"/>
      <c r="O835" s="176"/>
      <c r="P835" s="176"/>
      <c r="Q835" s="176"/>
      <c r="R835" s="176"/>
      <c r="S835" s="176"/>
      <c r="T835" s="176"/>
      <c r="U835" s="176"/>
      <c r="V835" s="176"/>
      <c r="W835" s="176"/>
      <c r="X835" s="176"/>
      <c r="Y835" s="176"/>
      <c r="Z835" s="176"/>
      <c r="AA835" s="176"/>
      <c r="AB835" s="176"/>
      <c r="AC835" s="176"/>
      <c r="AD835" s="176"/>
      <c r="AE835" s="176"/>
      <c r="AF835" s="176"/>
      <c r="AG835" s="176"/>
      <c r="AH835" s="176"/>
      <c r="AI835" s="176"/>
      <c r="AJ835" s="176"/>
      <c r="AK835" s="176"/>
      <c r="AL835" s="176"/>
      <c r="AM835" s="176"/>
      <c r="AN835" s="176"/>
      <c r="AO835" s="176"/>
      <c r="AP835" s="176"/>
      <c r="AQ835" s="176"/>
      <c r="AR835" s="176"/>
      <c r="AS835" s="176"/>
      <c r="AT835" s="176"/>
      <c r="AU835" s="176"/>
      <c r="AV835" s="176"/>
      <c r="AW835" s="176"/>
      <c r="AX835" s="176"/>
      <c r="AY835" s="176"/>
      <c r="AZ835" s="176"/>
      <c r="BA835" s="176"/>
      <c r="BB835" s="176"/>
      <c r="BC835" s="176"/>
      <c r="BD835" s="176"/>
    </row>
    <row r="836" ht="15.75" customHeight="1">
      <c r="A836" s="176"/>
      <c r="B836" s="176"/>
      <c r="C836" s="176"/>
      <c r="D836" s="176"/>
      <c r="E836" s="176"/>
      <c r="F836" s="176"/>
      <c r="G836" s="178"/>
      <c r="H836" s="176"/>
      <c r="I836" s="176"/>
      <c r="J836" s="176"/>
      <c r="K836" s="176"/>
      <c r="L836" s="176"/>
      <c r="M836" s="176"/>
      <c r="N836" s="176"/>
      <c r="O836" s="176"/>
      <c r="P836" s="176"/>
      <c r="Q836" s="176"/>
      <c r="R836" s="176"/>
      <c r="S836" s="176"/>
      <c r="T836" s="176"/>
      <c r="U836" s="176"/>
      <c r="V836" s="176"/>
      <c r="W836" s="176"/>
      <c r="X836" s="176"/>
      <c r="Y836" s="176"/>
      <c r="Z836" s="176"/>
      <c r="AA836" s="176"/>
      <c r="AB836" s="176"/>
      <c r="AC836" s="176"/>
      <c r="AD836" s="176"/>
      <c r="AE836" s="176"/>
      <c r="AF836" s="176"/>
      <c r="AG836" s="176"/>
      <c r="AH836" s="176"/>
      <c r="AI836" s="176"/>
      <c r="AJ836" s="176"/>
      <c r="AK836" s="176"/>
      <c r="AL836" s="176"/>
      <c r="AM836" s="176"/>
      <c r="AN836" s="176"/>
      <c r="AO836" s="176"/>
      <c r="AP836" s="176"/>
      <c r="AQ836" s="176"/>
      <c r="AR836" s="176"/>
      <c r="AS836" s="176"/>
      <c r="AT836" s="176"/>
      <c r="AU836" s="176"/>
      <c r="AV836" s="176"/>
      <c r="AW836" s="176"/>
      <c r="AX836" s="176"/>
      <c r="AY836" s="176"/>
      <c r="AZ836" s="176"/>
      <c r="BA836" s="176"/>
      <c r="BB836" s="176"/>
      <c r="BC836" s="176"/>
      <c r="BD836" s="176"/>
    </row>
    <row r="837" ht="15.75" customHeight="1">
      <c r="A837" s="176"/>
      <c r="B837" s="176"/>
      <c r="C837" s="176"/>
      <c r="D837" s="176"/>
      <c r="E837" s="176"/>
      <c r="F837" s="176"/>
      <c r="G837" s="178"/>
      <c r="H837" s="176"/>
      <c r="I837" s="176"/>
      <c r="J837" s="176"/>
      <c r="K837" s="176"/>
      <c r="L837" s="176"/>
      <c r="M837" s="176"/>
      <c r="N837" s="176"/>
      <c r="O837" s="176"/>
      <c r="P837" s="176"/>
      <c r="Q837" s="176"/>
      <c r="R837" s="176"/>
      <c r="S837" s="176"/>
      <c r="T837" s="176"/>
      <c r="U837" s="176"/>
      <c r="V837" s="176"/>
      <c r="W837" s="176"/>
      <c r="X837" s="176"/>
      <c r="Y837" s="176"/>
      <c r="Z837" s="176"/>
      <c r="AA837" s="176"/>
      <c r="AB837" s="176"/>
      <c r="AC837" s="176"/>
      <c r="AD837" s="176"/>
      <c r="AE837" s="176"/>
      <c r="AF837" s="176"/>
      <c r="AG837" s="176"/>
      <c r="AH837" s="176"/>
      <c r="AI837" s="176"/>
      <c r="AJ837" s="176"/>
      <c r="AK837" s="176"/>
      <c r="AL837" s="176"/>
      <c r="AM837" s="176"/>
      <c r="AN837" s="176"/>
      <c r="AO837" s="176"/>
      <c r="AP837" s="176"/>
      <c r="AQ837" s="176"/>
      <c r="AR837" s="176"/>
      <c r="AS837" s="176"/>
      <c r="AT837" s="176"/>
      <c r="AU837" s="176"/>
      <c r="AV837" s="176"/>
      <c r="AW837" s="176"/>
      <c r="AX837" s="176"/>
      <c r="AY837" s="176"/>
      <c r="AZ837" s="176"/>
      <c r="BA837" s="176"/>
      <c r="BB837" s="176"/>
      <c r="BC837" s="176"/>
      <c r="BD837" s="176"/>
    </row>
    <row r="838" ht="15.75" customHeight="1">
      <c r="A838" s="176"/>
      <c r="B838" s="176"/>
      <c r="C838" s="176"/>
      <c r="D838" s="176"/>
      <c r="E838" s="176"/>
      <c r="F838" s="176"/>
      <c r="G838" s="178"/>
      <c r="H838" s="176"/>
      <c r="I838" s="176"/>
      <c r="J838" s="176"/>
      <c r="K838" s="176"/>
      <c r="L838" s="176"/>
      <c r="M838" s="176"/>
      <c r="N838" s="176"/>
      <c r="O838" s="176"/>
      <c r="P838" s="176"/>
      <c r="Q838" s="176"/>
      <c r="R838" s="176"/>
      <c r="S838" s="176"/>
      <c r="T838" s="176"/>
      <c r="U838" s="176"/>
      <c r="V838" s="176"/>
      <c r="W838" s="176"/>
      <c r="X838" s="176"/>
      <c r="Y838" s="176"/>
      <c r="Z838" s="176"/>
      <c r="AA838" s="176"/>
      <c r="AB838" s="176"/>
      <c r="AC838" s="176"/>
      <c r="AD838" s="176"/>
      <c r="AE838" s="176"/>
      <c r="AF838" s="176"/>
      <c r="AG838" s="176"/>
      <c r="AH838" s="176"/>
      <c r="AI838" s="176"/>
      <c r="AJ838" s="176"/>
      <c r="AK838" s="176"/>
      <c r="AL838" s="176"/>
      <c r="AM838" s="176"/>
      <c r="AN838" s="176"/>
      <c r="AO838" s="176"/>
      <c r="AP838" s="176"/>
      <c r="AQ838" s="176"/>
      <c r="AR838" s="176"/>
      <c r="AS838" s="176"/>
      <c r="AT838" s="176"/>
      <c r="AU838" s="176"/>
      <c r="AV838" s="176"/>
      <c r="AW838" s="176"/>
      <c r="AX838" s="176"/>
      <c r="AY838" s="176"/>
      <c r="AZ838" s="176"/>
      <c r="BA838" s="176"/>
      <c r="BB838" s="176"/>
      <c r="BC838" s="176"/>
      <c r="BD838" s="176"/>
    </row>
    <row r="839" ht="15.75" customHeight="1">
      <c r="A839" s="176"/>
      <c r="B839" s="176"/>
      <c r="C839" s="176"/>
      <c r="D839" s="176"/>
      <c r="E839" s="176"/>
      <c r="F839" s="176"/>
      <c r="G839" s="178"/>
      <c r="H839" s="176"/>
      <c r="I839" s="176"/>
      <c r="J839" s="176"/>
      <c r="K839" s="176"/>
      <c r="L839" s="176"/>
      <c r="M839" s="176"/>
      <c r="N839" s="176"/>
      <c r="O839" s="176"/>
      <c r="P839" s="176"/>
      <c r="Q839" s="176"/>
      <c r="R839" s="176"/>
      <c r="S839" s="176"/>
      <c r="T839" s="176"/>
      <c r="U839" s="176"/>
      <c r="V839" s="176"/>
      <c r="W839" s="176"/>
      <c r="X839" s="176"/>
      <c r="Y839" s="176"/>
      <c r="Z839" s="176"/>
      <c r="AA839" s="176"/>
      <c r="AB839" s="176"/>
      <c r="AC839" s="176"/>
      <c r="AD839" s="176"/>
      <c r="AE839" s="176"/>
      <c r="AF839" s="176"/>
      <c r="AG839" s="176"/>
      <c r="AH839" s="176"/>
      <c r="AI839" s="176"/>
      <c r="AJ839" s="176"/>
      <c r="AK839" s="176"/>
      <c r="AL839" s="176"/>
      <c r="AM839" s="176"/>
      <c r="AN839" s="176"/>
      <c r="AO839" s="176"/>
      <c r="AP839" s="176"/>
      <c r="AQ839" s="176"/>
      <c r="AR839" s="176"/>
      <c r="AS839" s="176"/>
      <c r="AT839" s="176"/>
      <c r="AU839" s="176"/>
      <c r="AV839" s="176"/>
      <c r="AW839" s="176"/>
      <c r="AX839" s="176"/>
      <c r="AY839" s="176"/>
      <c r="AZ839" s="176"/>
      <c r="BA839" s="176"/>
      <c r="BB839" s="176"/>
      <c r="BC839" s="176"/>
      <c r="BD839" s="176"/>
    </row>
    <row r="840" ht="15.75" customHeight="1">
      <c r="A840" s="176"/>
      <c r="B840" s="176"/>
      <c r="C840" s="176"/>
      <c r="D840" s="176"/>
      <c r="E840" s="176"/>
      <c r="F840" s="176"/>
      <c r="G840" s="178"/>
      <c r="H840" s="176"/>
      <c r="I840" s="176"/>
      <c r="J840" s="176"/>
      <c r="K840" s="176"/>
      <c r="L840" s="176"/>
      <c r="M840" s="176"/>
      <c r="N840" s="176"/>
      <c r="O840" s="176"/>
      <c r="P840" s="176"/>
      <c r="Q840" s="176"/>
      <c r="R840" s="176"/>
      <c r="S840" s="176"/>
      <c r="T840" s="176"/>
      <c r="U840" s="176"/>
      <c r="V840" s="176"/>
      <c r="W840" s="176"/>
      <c r="X840" s="176"/>
      <c r="Y840" s="176"/>
      <c r="Z840" s="176"/>
      <c r="AA840" s="176"/>
      <c r="AB840" s="176"/>
      <c r="AC840" s="176"/>
      <c r="AD840" s="176"/>
      <c r="AE840" s="176"/>
      <c r="AF840" s="176"/>
      <c r="AG840" s="176"/>
      <c r="AH840" s="176"/>
      <c r="AI840" s="176"/>
      <c r="AJ840" s="176"/>
      <c r="AK840" s="176"/>
      <c r="AL840" s="176"/>
      <c r="AM840" s="176"/>
      <c r="AN840" s="176"/>
      <c r="AO840" s="176"/>
      <c r="AP840" s="176"/>
      <c r="AQ840" s="176"/>
      <c r="AR840" s="176"/>
      <c r="AS840" s="176"/>
      <c r="AT840" s="176"/>
      <c r="AU840" s="176"/>
      <c r="AV840" s="176"/>
      <c r="AW840" s="176"/>
      <c r="AX840" s="176"/>
      <c r="AY840" s="176"/>
      <c r="AZ840" s="176"/>
      <c r="BA840" s="176"/>
      <c r="BB840" s="176"/>
      <c r="BC840" s="176"/>
      <c r="BD840" s="176"/>
    </row>
    <row r="841" ht="15.75" customHeight="1">
      <c r="A841" s="176"/>
      <c r="B841" s="176"/>
      <c r="C841" s="176"/>
      <c r="D841" s="176"/>
      <c r="E841" s="176"/>
      <c r="F841" s="176"/>
      <c r="G841" s="178"/>
      <c r="H841" s="176"/>
      <c r="I841" s="176"/>
      <c r="J841" s="176"/>
      <c r="K841" s="176"/>
      <c r="L841" s="176"/>
      <c r="M841" s="176"/>
      <c r="N841" s="176"/>
      <c r="O841" s="176"/>
      <c r="P841" s="176"/>
      <c r="Q841" s="176"/>
      <c r="R841" s="176"/>
      <c r="S841" s="176"/>
      <c r="T841" s="176"/>
      <c r="U841" s="176"/>
      <c r="V841" s="176"/>
      <c r="W841" s="176"/>
      <c r="X841" s="176"/>
      <c r="Y841" s="176"/>
      <c r="Z841" s="176"/>
      <c r="AA841" s="176"/>
      <c r="AB841" s="176"/>
      <c r="AC841" s="176"/>
      <c r="AD841" s="176"/>
      <c r="AE841" s="176"/>
      <c r="AF841" s="176"/>
      <c r="AG841" s="176"/>
      <c r="AH841" s="176"/>
      <c r="AI841" s="176"/>
      <c r="AJ841" s="176"/>
      <c r="AK841" s="176"/>
      <c r="AL841" s="176"/>
      <c r="AM841" s="176"/>
      <c r="AN841" s="176"/>
      <c r="AO841" s="176"/>
      <c r="AP841" s="176"/>
      <c r="AQ841" s="176"/>
      <c r="AR841" s="176"/>
      <c r="AS841" s="176"/>
      <c r="AT841" s="176"/>
      <c r="AU841" s="176"/>
      <c r="AV841" s="176"/>
      <c r="AW841" s="176"/>
      <c r="AX841" s="176"/>
      <c r="AY841" s="176"/>
      <c r="AZ841" s="176"/>
      <c r="BA841" s="176"/>
      <c r="BB841" s="176"/>
      <c r="BC841" s="176"/>
      <c r="BD841" s="176"/>
    </row>
    <row r="842" ht="15.75" customHeight="1">
      <c r="A842" s="176"/>
      <c r="B842" s="176"/>
      <c r="C842" s="176"/>
      <c r="D842" s="176"/>
      <c r="E842" s="176"/>
      <c r="F842" s="176"/>
      <c r="G842" s="178"/>
      <c r="H842" s="176"/>
      <c r="I842" s="176"/>
      <c r="J842" s="176"/>
      <c r="K842" s="176"/>
      <c r="L842" s="176"/>
      <c r="M842" s="176"/>
      <c r="N842" s="176"/>
      <c r="O842" s="176"/>
      <c r="P842" s="176"/>
      <c r="Q842" s="176"/>
      <c r="R842" s="176"/>
      <c r="S842" s="176"/>
      <c r="T842" s="176"/>
      <c r="U842" s="176"/>
      <c r="V842" s="176"/>
      <c r="W842" s="176"/>
      <c r="X842" s="176"/>
      <c r="Y842" s="176"/>
      <c r="Z842" s="176"/>
      <c r="AA842" s="176"/>
      <c r="AB842" s="176"/>
      <c r="AC842" s="176"/>
      <c r="AD842" s="176"/>
      <c r="AE842" s="176"/>
      <c r="AF842" s="176"/>
      <c r="AG842" s="176"/>
      <c r="AH842" s="176"/>
      <c r="AI842" s="176"/>
      <c r="AJ842" s="176"/>
      <c r="AK842" s="176"/>
      <c r="AL842" s="176"/>
      <c r="AM842" s="176"/>
      <c r="AN842" s="176"/>
      <c r="AO842" s="176"/>
      <c r="AP842" s="176"/>
      <c r="AQ842" s="176"/>
      <c r="AR842" s="176"/>
      <c r="AS842" s="176"/>
      <c r="AT842" s="176"/>
      <c r="AU842" s="176"/>
      <c r="AV842" s="176"/>
      <c r="AW842" s="176"/>
      <c r="AX842" s="176"/>
      <c r="AY842" s="176"/>
      <c r="AZ842" s="176"/>
      <c r="BA842" s="176"/>
      <c r="BB842" s="176"/>
      <c r="BC842" s="176"/>
      <c r="BD842" s="176"/>
    </row>
    <row r="843" ht="15.75" customHeight="1">
      <c r="A843" s="176"/>
      <c r="B843" s="176"/>
      <c r="C843" s="176"/>
      <c r="D843" s="176"/>
      <c r="E843" s="176"/>
      <c r="F843" s="176"/>
      <c r="G843" s="178"/>
      <c r="H843" s="176"/>
      <c r="I843" s="176"/>
      <c r="J843" s="176"/>
      <c r="K843" s="176"/>
      <c r="L843" s="176"/>
      <c r="M843" s="176"/>
      <c r="N843" s="176"/>
      <c r="O843" s="176"/>
      <c r="P843" s="176"/>
      <c r="Q843" s="176"/>
      <c r="R843" s="176"/>
      <c r="S843" s="176"/>
      <c r="T843" s="176"/>
      <c r="U843" s="176"/>
      <c r="V843" s="176"/>
      <c r="W843" s="176"/>
      <c r="X843" s="176"/>
      <c r="Y843" s="176"/>
      <c r="Z843" s="176"/>
      <c r="AA843" s="176"/>
      <c r="AB843" s="176"/>
      <c r="AC843" s="176"/>
      <c r="AD843" s="176"/>
      <c r="AE843" s="176"/>
      <c r="AF843" s="176"/>
      <c r="AG843" s="176"/>
      <c r="AH843" s="176"/>
      <c r="AI843" s="176"/>
      <c r="AJ843" s="176"/>
      <c r="AK843" s="176"/>
      <c r="AL843" s="176"/>
      <c r="AM843" s="176"/>
      <c r="AN843" s="176"/>
      <c r="AO843" s="176"/>
      <c r="AP843" s="176"/>
      <c r="AQ843" s="176"/>
      <c r="AR843" s="176"/>
      <c r="AS843" s="176"/>
      <c r="AT843" s="176"/>
      <c r="AU843" s="176"/>
      <c r="AV843" s="176"/>
      <c r="AW843" s="176"/>
      <c r="AX843" s="176"/>
      <c r="AY843" s="176"/>
      <c r="AZ843" s="176"/>
      <c r="BA843" s="176"/>
      <c r="BB843" s="176"/>
      <c r="BC843" s="176"/>
      <c r="BD843" s="176"/>
    </row>
    <row r="844" ht="15.75" customHeight="1">
      <c r="A844" s="176"/>
      <c r="B844" s="176"/>
      <c r="C844" s="176"/>
      <c r="D844" s="176"/>
      <c r="E844" s="176"/>
      <c r="F844" s="176"/>
      <c r="G844" s="178"/>
      <c r="H844" s="176"/>
      <c r="I844" s="176"/>
      <c r="J844" s="176"/>
      <c r="K844" s="176"/>
      <c r="L844" s="176"/>
      <c r="M844" s="176"/>
      <c r="N844" s="176"/>
      <c r="O844" s="176"/>
      <c r="P844" s="176"/>
      <c r="Q844" s="176"/>
      <c r="R844" s="176"/>
      <c r="S844" s="176"/>
      <c r="T844" s="176"/>
      <c r="U844" s="176"/>
      <c r="V844" s="176"/>
      <c r="W844" s="176"/>
      <c r="X844" s="176"/>
      <c r="Y844" s="176"/>
      <c r="Z844" s="176"/>
      <c r="AA844" s="176"/>
      <c r="AB844" s="176"/>
      <c r="AC844" s="176"/>
      <c r="AD844" s="176"/>
      <c r="AE844" s="176"/>
      <c r="AF844" s="176"/>
      <c r="AG844" s="176"/>
      <c r="AH844" s="176"/>
      <c r="AI844" s="176"/>
      <c r="AJ844" s="176"/>
      <c r="AK844" s="176"/>
      <c r="AL844" s="176"/>
      <c r="AM844" s="176"/>
      <c r="AN844" s="176"/>
      <c r="AO844" s="176"/>
      <c r="AP844" s="176"/>
      <c r="AQ844" s="176"/>
      <c r="AR844" s="176"/>
      <c r="AS844" s="176"/>
      <c r="AT844" s="176"/>
      <c r="AU844" s="176"/>
      <c r="AV844" s="176"/>
      <c r="AW844" s="176"/>
      <c r="AX844" s="176"/>
      <c r="AY844" s="176"/>
      <c r="AZ844" s="176"/>
      <c r="BA844" s="176"/>
      <c r="BB844" s="176"/>
      <c r="BC844" s="176"/>
      <c r="BD844" s="176"/>
    </row>
    <row r="845" ht="15.75" customHeight="1">
      <c r="A845" s="176"/>
      <c r="B845" s="176"/>
      <c r="C845" s="176"/>
      <c r="D845" s="176"/>
      <c r="E845" s="176"/>
      <c r="F845" s="176"/>
      <c r="G845" s="178"/>
      <c r="H845" s="176"/>
      <c r="I845" s="176"/>
      <c r="J845" s="176"/>
      <c r="K845" s="176"/>
      <c r="L845" s="176"/>
      <c r="M845" s="176"/>
      <c r="N845" s="176"/>
      <c r="O845" s="176"/>
      <c r="P845" s="176"/>
      <c r="Q845" s="176"/>
      <c r="R845" s="176"/>
      <c r="S845" s="176"/>
      <c r="T845" s="176"/>
      <c r="U845" s="176"/>
      <c r="V845" s="176"/>
      <c r="W845" s="176"/>
      <c r="X845" s="176"/>
      <c r="Y845" s="176"/>
      <c r="Z845" s="176"/>
      <c r="AA845" s="176"/>
      <c r="AB845" s="176"/>
      <c r="AC845" s="176"/>
      <c r="AD845" s="176"/>
      <c r="AE845" s="176"/>
      <c r="AF845" s="176"/>
      <c r="AG845" s="176"/>
      <c r="AH845" s="176"/>
      <c r="AI845" s="176"/>
      <c r="AJ845" s="176"/>
      <c r="AK845" s="176"/>
      <c r="AL845" s="176"/>
      <c r="AM845" s="176"/>
      <c r="AN845" s="176"/>
      <c r="AO845" s="176"/>
      <c r="AP845" s="176"/>
      <c r="AQ845" s="176"/>
      <c r="AR845" s="176"/>
      <c r="AS845" s="176"/>
      <c r="AT845" s="176"/>
      <c r="AU845" s="176"/>
      <c r="AV845" s="176"/>
      <c r="AW845" s="176"/>
      <c r="AX845" s="176"/>
      <c r="AY845" s="176"/>
      <c r="AZ845" s="176"/>
      <c r="BA845" s="176"/>
      <c r="BB845" s="176"/>
      <c r="BC845" s="176"/>
      <c r="BD845" s="176"/>
    </row>
    <row r="846" ht="15.75" customHeight="1">
      <c r="A846" s="176"/>
      <c r="B846" s="176"/>
      <c r="C846" s="176"/>
      <c r="D846" s="176"/>
      <c r="E846" s="176"/>
      <c r="F846" s="176"/>
      <c r="G846" s="178"/>
      <c r="H846" s="176"/>
      <c r="I846" s="176"/>
      <c r="J846" s="176"/>
      <c r="K846" s="176"/>
      <c r="L846" s="176"/>
      <c r="M846" s="176"/>
      <c r="N846" s="176"/>
      <c r="O846" s="176"/>
      <c r="P846" s="176"/>
      <c r="Q846" s="176"/>
      <c r="R846" s="176"/>
      <c r="S846" s="176"/>
      <c r="T846" s="176"/>
      <c r="U846" s="176"/>
      <c r="V846" s="176"/>
      <c r="W846" s="176"/>
      <c r="X846" s="176"/>
      <c r="Y846" s="176"/>
      <c r="Z846" s="176"/>
      <c r="AA846" s="176"/>
      <c r="AB846" s="176"/>
      <c r="AC846" s="176"/>
      <c r="AD846" s="176"/>
      <c r="AE846" s="176"/>
      <c r="AF846" s="176"/>
      <c r="AG846" s="176"/>
      <c r="AH846" s="176"/>
      <c r="AI846" s="176"/>
      <c r="AJ846" s="176"/>
      <c r="AK846" s="176"/>
      <c r="AL846" s="176"/>
      <c r="AM846" s="176"/>
      <c r="AN846" s="176"/>
      <c r="AO846" s="176"/>
      <c r="AP846" s="176"/>
      <c r="AQ846" s="176"/>
      <c r="AR846" s="176"/>
      <c r="AS846" s="176"/>
      <c r="AT846" s="176"/>
      <c r="AU846" s="176"/>
      <c r="AV846" s="176"/>
      <c r="AW846" s="176"/>
      <c r="AX846" s="176"/>
      <c r="AY846" s="176"/>
      <c r="AZ846" s="176"/>
      <c r="BA846" s="176"/>
      <c r="BB846" s="176"/>
      <c r="BC846" s="176"/>
      <c r="BD846" s="176"/>
    </row>
    <row r="847" ht="15.75" customHeight="1">
      <c r="A847" s="176"/>
      <c r="B847" s="176"/>
      <c r="C847" s="176"/>
      <c r="D847" s="176"/>
      <c r="E847" s="176"/>
      <c r="F847" s="176"/>
      <c r="G847" s="178"/>
      <c r="H847" s="176"/>
      <c r="I847" s="176"/>
      <c r="J847" s="176"/>
      <c r="K847" s="176"/>
      <c r="L847" s="176"/>
      <c r="M847" s="176"/>
      <c r="N847" s="176"/>
      <c r="O847" s="176"/>
      <c r="P847" s="176"/>
      <c r="Q847" s="176"/>
      <c r="R847" s="176"/>
      <c r="S847" s="176"/>
      <c r="T847" s="176"/>
      <c r="U847" s="176"/>
      <c r="V847" s="176"/>
      <c r="W847" s="176"/>
      <c r="X847" s="176"/>
      <c r="Y847" s="176"/>
      <c r="Z847" s="176"/>
      <c r="AA847" s="176"/>
      <c r="AB847" s="176"/>
      <c r="AC847" s="176"/>
      <c r="AD847" s="176"/>
      <c r="AE847" s="176"/>
      <c r="AF847" s="176"/>
      <c r="AG847" s="176"/>
      <c r="AH847" s="176"/>
      <c r="AI847" s="176"/>
      <c r="AJ847" s="176"/>
      <c r="AK847" s="176"/>
      <c r="AL847" s="176"/>
      <c r="AM847" s="176"/>
      <c r="AN847" s="176"/>
      <c r="AO847" s="176"/>
      <c r="AP847" s="176"/>
      <c r="AQ847" s="176"/>
      <c r="AR847" s="176"/>
      <c r="AS847" s="176"/>
      <c r="AT847" s="176"/>
      <c r="AU847" s="176"/>
      <c r="AV847" s="176"/>
      <c r="AW847" s="176"/>
      <c r="AX847" s="176"/>
      <c r="AY847" s="176"/>
      <c r="AZ847" s="176"/>
      <c r="BA847" s="176"/>
      <c r="BB847" s="176"/>
      <c r="BC847" s="176"/>
      <c r="BD847" s="176"/>
    </row>
    <row r="848" ht="15.75" customHeight="1">
      <c r="A848" s="176"/>
      <c r="B848" s="176"/>
      <c r="C848" s="176"/>
      <c r="D848" s="176"/>
      <c r="E848" s="176"/>
      <c r="F848" s="176"/>
      <c r="G848" s="178"/>
      <c r="H848" s="176"/>
      <c r="I848" s="176"/>
      <c r="J848" s="176"/>
      <c r="K848" s="176"/>
      <c r="L848" s="176"/>
      <c r="M848" s="176"/>
      <c r="N848" s="176"/>
      <c r="O848" s="176"/>
      <c r="P848" s="176"/>
      <c r="Q848" s="176"/>
      <c r="R848" s="176"/>
      <c r="S848" s="176"/>
      <c r="T848" s="176"/>
      <c r="U848" s="176"/>
      <c r="V848" s="176"/>
      <c r="W848" s="176"/>
      <c r="X848" s="176"/>
      <c r="Y848" s="176"/>
      <c r="Z848" s="176"/>
      <c r="AA848" s="176"/>
      <c r="AB848" s="176"/>
      <c r="AC848" s="176"/>
      <c r="AD848" s="176"/>
      <c r="AE848" s="176"/>
      <c r="AF848" s="176"/>
      <c r="AG848" s="176"/>
      <c r="AH848" s="176"/>
      <c r="AI848" s="176"/>
      <c r="AJ848" s="176"/>
      <c r="AK848" s="176"/>
      <c r="AL848" s="176"/>
      <c r="AM848" s="176"/>
      <c r="AN848" s="176"/>
      <c r="AO848" s="176"/>
      <c r="AP848" s="176"/>
      <c r="AQ848" s="176"/>
      <c r="AR848" s="176"/>
      <c r="AS848" s="176"/>
      <c r="AT848" s="176"/>
      <c r="AU848" s="176"/>
      <c r="AV848" s="176"/>
      <c r="AW848" s="176"/>
      <c r="AX848" s="176"/>
      <c r="AY848" s="176"/>
      <c r="AZ848" s="176"/>
      <c r="BA848" s="176"/>
      <c r="BB848" s="176"/>
      <c r="BC848" s="176"/>
      <c r="BD848" s="176"/>
    </row>
    <row r="849" ht="15.75" customHeight="1">
      <c r="A849" s="176"/>
      <c r="B849" s="176"/>
      <c r="C849" s="176"/>
      <c r="D849" s="176"/>
      <c r="E849" s="176"/>
      <c r="F849" s="176"/>
      <c r="G849" s="178"/>
      <c r="H849" s="176"/>
      <c r="I849" s="176"/>
      <c r="J849" s="176"/>
      <c r="K849" s="176"/>
      <c r="L849" s="176"/>
      <c r="M849" s="176"/>
      <c r="N849" s="176"/>
      <c r="O849" s="176"/>
      <c r="P849" s="176"/>
      <c r="Q849" s="176"/>
      <c r="R849" s="176"/>
      <c r="S849" s="176"/>
      <c r="T849" s="176"/>
      <c r="U849" s="176"/>
      <c r="V849" s="176"/>
      <c r="W849" s="176"/>
      <c r="X849" s="176"/>
      <c r="Y849" s="176"/>
      <c r="Z849" s="176"/>
      <c r="AA849" s="176"/>
      <c r="AB849" s="176"/>
      <c r="AC849" s="176"/>
      <c r="AD849" s="176"/>
      <c r="AE849" s="176"/>
      <c r="AF849" s="176"/>
      <c r="AG849" s="176"/>
      <c r="AH849" s="176"/>
      <c r="AI849" s="176"/>
      <c r="AJ849" s="176"/>
      <c r="AK849" s="176"/>
      <c r="AL849" s="176"/>
      <c r="AM849" s="176"/>
      <c r="AN849" s="176"/>
      <c r="AO849" s="176"/>
      <c r="AP849" s="176"/>
      <c r="AQ849" s="176"/>
      <c r="AR849" s="176"/>
      <c r="AS849" s="176"/>
      <c r="AT849" s="176"/>
      <c r="AU849" s="176"/>
      <c r="AV849" s="176"/>
      <c r="AW849" s="176"/>
      <c r="AX849" s="176"/>
      <c r="AY849" s="176"/>
      <c r="AZ849" s="176"/>
      <c r="BA849" s="176"/>
      <c r="BB849" s="176"/>
      <c r="BC849" s="176"/>
      <c r="BD849" s="176"/>
    </row>
    <row r="850" ht="15.75" customHeight="1">
      <c r="A850" s="176"/>
      <c r="B850" s="176"/>
      <c r="C850" s="176"/>
      <c r="D850" s="176"/>
      <c r="E850" s="176"/>
      <c r="F850" s="176"/>
      <c r="G850" s="178"/>
      <c r="H850" s="176"/>
      <c r="I850" s="176"/>
      <c r="J850" s="176"/>
      <c r="K850" s="176"/>
      <c r="L850" s="176"/>
      <c r="M850" s="176"/>
      <c r="N850" s="176"/>
      <c r="O850" s="176"/>
      <c r="P850" s="176"/>
      <c r="Q850" s="176"/>
      <c r="R850" s="176"/>
      <c r="S850" s="176"/>
      <c r="T850" s="176"/>
      <c r="U850" s="176"/>
      <c r="V850" s="176"/>
      <c r="W850" s="176"/>
      <c r="X850" s="176"/>
      <c r="Y850" s="176"/>
      <c r="Z850" s="176"/>
      <c r="AA850" s="176"/>
      <c r="AB850" s="176"/>
      <c r="AC850" s="176"/>
      <c r="AD850" s="176"/>
      <c r="AE850" s="176"/>
      <c r="AF850" s="176"/>
      <c r="AG850" s="176"/>
      <c r="AH850" s="176"/>
      <c r="AI850" s="176"/>
      <c r="AJ850" s="176"/>
      <c r="AK850" s="176"/>
      <c r="AL850" s="176"/>
      <c r="AM850" s="176"/>
      <c r="AN850" s="176"/>
      <c r="AO850" s="176"/>
      <c r="AP850" s="176"/>
      <c r="AQ850" s="176"/>
      <c r="AR850" s="176"/>
      <c r="AS850" s="176"/>
      <c r="AT850" s="176"/>
      <c r="AU850" s="176"/>
      <c r="AV850" s="176"/>
      <c r="AW850" s="176"/>
      <c r="AX850" s="176"/>
      <c r="AY850" s="176"/>
      <c r="AZ850" s="176"/>
      <c r="BA850" s="176"/>
      <c r="BB850" s="176"/>
      <c r="BC850" s="176"/>
      <c r="BD850" s="176"/>
    </row>
    <row r="851" ht="15.75" customHeight="1">
      <c r="A851" s="176"/>
      <c r="B851" s="176"/>
      <c r="C851" s="176"/>
      <c r="D851" s="176"/>
      <c r="E851" s="176"/>
      <c r="F851" s="176"/>
      <c r="G851" s="178"/>
      <c r="H851" s="176"/>
      <c r="I851" s="176"/>
      <c r="J851" s="176"/>
      <c r="K851" s="176"/>
      <c r="L851" s="176"/>
      <c r="M851" s="176"/>
      <c r="N851" s="176"/>
      <c r="O851" s="176"/>
      <c r="P851" s="176"/>
      <c r="Q851" s="176"/>
      <c r="R851" s="176"/>
      <c r="S851" s="176"/>
      <c r="T851" s="176"/>
      <c r="U851" s="176"/>
      <c r="V851" s="176"/>
      <c r="W851" s="176"/>
      <c r="X851" s="176"/>
      <c r="Y851" s="176"/>
      <c r="Z851" s="176"/>
      <c r="AA851" s="176"/>
      <c r="AB851" s="176"/>
      <c r="AC851" s="176"/>
      <c r="AD851" s="176"/>
      <c r="AE851" s="176"/>
      <c r="AF851" s="176"/>
      <c r="AG851" s="176"/>
      <c r="AH851" s="176"/>
      <c r="AI851" s="176"/>
      <c r="AJ851" s="176"/>
      <c r="AK851" s="176"/>
      <c r="AL851" s="176"/>
      <c r="AM851" s="176"/>
      <c r="AN851" s="176"/>
      <c r="AO851" s="176"/>
      <c r="AP851" s="176"/>
      <c r="AQ851" s="176"/>
      <c r="AR851" s="176"/>
      <c r="AS851" s="176"/>
      <c r="AT851" s="176"/>
      <c r="AU851" s="176"/>
      <c r="AV851" s="176"/>
      <c r="AW851" s="176"/>
      <c r="AX851" s="176"/>
      <c r="AY851" s="176"/>
      <c r="AZ851" s="176"/>
      <c r="BA851" s="176"/>
      <c r="BB851" s="176"/>
      <c r="BC851" s="176"/>
      <c r="BD851" s="176"/>
    </row>
    <row r="852" ht="15.75" customHeight="1">
      <c r="A852" s="176"/>
      <c r="B852" s="176"/>
      <c r="C852" s="176"/>
      <c r="D852" s="176"/>
      <c r="E852" s="176"/>
      <c r="F852" s="176"/>
      <c r="G852" s="178"/>
      <c r="H852" s="176"/>
      <c r="I852" s="176"/>
      <c r="J852" s="176"/>
      <c r="K852" s="176"/>
      <c r="L852" s="176"/>
      <c r="M852" s="176"/>
      <c r="N852" s="176"/>
      <c r="O852" s="176"/>
      <c r="P852" s="176"/>
      <c r="Q852" s="176"/>
      <c r="R852" s="176"/>
      <c r="S852" s="176"/>
      <c r="T852" s="176"/>
      <c r="U852" s="176"/>
      <c r="V852" s="176"/>
      <c r="W852" s="176"/>
      <c r="X852" s="176"/>
      <c r="Y852" s="176"/>
      <c r="Z852" s="176"/>
      <c r="AA852" s="176"/>
      <c r="AB852" s="176"/>
      <c r="AC852" s="176"/>
      <c r="AD852" s="176"/>
      <c r="AE852" s="176"/>
      <c r="AF852" s="176"/>
      <c r="AG852" s="176"/>
      <c r="AH852" s="176"/>
      <c r="AI852" s="176"/>
      <c r="AJ852" s="176"/>
      <c r="AK852" s="176"/>
      <c r="AL852" s="176"/>
      <c r="AM852" s="176"/>
      <c r="AN852" s="176"/>
      <c r="AO852" s="176"/>
      <c r="AP852" s="176"/>
      <c r="AQ852" s="176"/>
      <c r="AR852" s="176"/>
      <c r="AS852" s="176"/>
      <c r="AT852" s="176"/>
      <c r="AU852" s="176"/>
      <c r="AV852" s="176"/>
      <c r="AW852" s="176"/>
      <c r="AX852" s="176"/>
      <c r="AY852" s="176"/>
      <c r="AZ852" s="176"/>
      <c r="BA852" s="176"/>
      <c r="BB852" s="176"/>
      <c r="BC852" s="176"/>
      <c r="BD852" s="176"/>
    </row>
    <row r="853" ht="15.75" customHeight="1">
      <c r="A853" s="176"/>
      <c r="B853" s="176"/>
      <c r="C853" s="176"/>
      <c r="D853" s="176"/>
      <c r="E853" s="176"/>
      <c r="F853" s="176"/>
      <c r="G853" s="178"/>
      <c r="H853" s="176"/>
      <c r="I853" s="176"/>
      <c r="J853" s="176"/>
      <c r="K853" s="176"/>
      <c r="L853" s="176"/>
      <c r="M853" s="176"/>
      <c r="N853" s="176"/>
      <c r="O853" s="176"/>
      <c r="P853" s="176"/>
      <c r="Q853" s="176"/>
      <c r="R853" s="176"/>
      <c r="S853" s="176"/>
      <c r="T853" s="176"/>
      <c r="U853" s="176"/>
      <c r="V853" s="176"/>
      <c r="W853" s="176"/>
      <c r="X853" s="176"/>
      <c r="Y853" s="176"/>
      <c r="Z853" s="176"/>
      <c r="AA853" s="176"/>
      <c r="AB853" s="176"/>
      <c r="AC853" s="176"/>
      <c r="AD853" s="176"/>
      <c r="AE853" s="176"/>
      <c r="AF853" s="176"/>
      <c r="AG853" s="176"/>
      <c r="AH853" s="176"/>
      <c r="AI853" s="176"/>
      <c r="AJ853" s="176"/>
      <c r="AK853" s="176"/>
      <c r="AL853" s="176"/>
      <c r="AM853" s="176"/>
      <c r="AN853" s="176"/>
      <c r="AO853" s="176"/>
      <c r="AP853" s="176"/>
      <c r="AQ853" s="176"/>
      <c r="AR853" s="176"/>
      <c r="AS853" s="176"/>
      <c r="AT853" s="176"/>
      <c r="AU853" s="176"/>
      <c r="AV853" s="176"/>
      <c r="AW853" s="176"/>
      <c r="AX853" s="176"/>
      <c r="AY853" s="176"/>
      <c r="AZ853" s="176"/>
      <c r="BA853" s="176"/>
      <c r="BB853" s="176"/>
      <c r="BC853" s="176"/>
      <c r="BD853" s="176"/>
    </row>
    <row r="854" ht="15.75" customHeight="1">
      <c r="A854" s="176"/>
      <c r="B854" s="176"/>
      <c r="C854" s="176"/>
      <c r="D854" s="176"/>
      <c r="E854" s="176"/>
      <c r="F854" s="176"/>
      <c r="G854" s="178"/>
      <c r="H854" s="176"/>
      <c r="I854" s="176"/>
      <c r="J854" s="176"/>
      <c r="K854" s="176"/>
      <c r="L854" s="176"/>
      <c r="M854" s="176"/>
      <c r="N854" s="176"/>
      <c r="O854" s="176"/>
      <c r="P854" s="176"/>
      <c r="Q854" s="176"/>
      <c r="R854" s="176"/>
      <c r="S854" s="176"/>
      <c r="T854" s="176"/>
      <c r="U854" s="176"/>
      <c r="V854" s="176"/>
      <c r="W854" s="176"/>
      <c r="X854" s="176"/>
      <c r="Y854" s="176"/>
      <c r="Z854" s="176"/>
      <c r="AA854" s="176"/>
      <c r="AB854" s="176"/>
      <c r="AC854" s="176"/>
      <c r="AD854" s="176"/>
      <c r="AE854" s="176"/>
      <c r="AF854" s="176"/>
      <c r="AG854" s="176"/>
      <c r="AH854" s="176"/>
      <c r="AI854" s="176"/>
      <c r="AJ854" s="176"/>
      <c r="AK854" s="176"/>
      <c r="AL854" s="176"/>
      <c r="AM854" s="176"/>
      <c r="AN854" s="176"/>
      <c r="AO854" s="176"/>
      <c r="AP854" s="176"/>
      <c r="AQ854" s="176"/>
      <c r="AR854" s="176"/>
      <c r="AS854" s="176"/>
      <c r="AT854" s="176"/>
      <c r="AU854" s="176"/>
      <c r="AV854" s="176"/>
      <c r="AW854" s="176"/>
      <c r="AX854" s="176"/>
      <c r="AY854" s="176"/>
      <c r="AZ854" s="176"/>
      <c r="BA854" s="176"/>
      <c r="BB854" s="176"/>
      <c r="BC854" s="176"/>
      <c r="BD854" s="176"/>
    </row>
    <row r="855" ht="15.75" customHeight="1">
      <c r="A855" s="176"/>
      <c r="B855" s="176"/>
      <c r="C855" s="176"/>
      <c r="D855" s="176"/>
      <c r="E855" s="176"/>
      <c r="F855" s="176"/>
      <c r="G855" s="178"/>
      <c r="H855" s="176"/>
      <c r="I855" s="176"/>
      <c r="J855" s="176"/>
      <c r="K855" s="176"/>
      <c r="L855" s="176"/>
      <c r="M855" s="176"/>
      <c r="N855" s="176"/>
      <c r="O855" s="176"/>
      <c r="P855" s="176"/>
      <c r="Q855" s="176"/>
      <c r="R855" s="176"/>
      <c r="S855" s="176"/>
      <c r="T855" s="176"/>
      <c r="U855" s="176"/>
      <c r="V855" s="176"/>
      <c r="W855" s="176"/>
      <c r="X855" s="176"/>
      <c r="Y855" s="176"/>
      <c r="Z855" s="176"/>
      <c r="AA855" s="176"/>
      <c r="AB855" s="176"/>
      <c r="AC855" s="176"/>
      <c r="AD855" s="176"/>
      <c r="AE855" s="176"/>
      <c r="AF855" s="176"/>
      <c r="AG855" s="176"/>
      <c r="AH855" s="176"/>
      <c r="AI855" s="176"/>
      <c r="AJ855" s="176"/>
      <c r="AK855" s="176"/>
      <c r="AL855" s="176"/>
      <c r="AM855" s="176"/>
      <c r="AN855" s="176"/>
      <c r="AO855" s="176"/>
      <c r="AP855" s="176"/>
      <c r="AQ855" s="176"/>
      <c r="AR855" s="176"/>
      <c r="AS855" s="176"/>
      <c r="AT855" s="176"/>
      <c r="AU855" s="176"/>
      <c r="AV855" s="176"/>
      <c r="AW855" s="176"/>
      <c r="AX855" s="176"/>
      <c r="AY855" s="176"/>
      <c r="AZ855" s="176"/>
      <c r="BA855" s="176"/>
      <c r="BB855" s="176"/>
      <c r="BC855" s="176"/>
      <c r="BD855" s="176"/>
    </row>
    <row r="856" ht="15.75" customHeight="1">
      <c r="A856" s="176"/>
      <c r="B856" s="176"/>
      <c r="C856" s="176"/>
      <c r="D856" s="176"/>
      <c r="E856" s="176"/>
      <c r="F856" s="176"/>
      <c r="G856" s="178"/>
      <c r="H856" s="176"/>
      <c r="I856" s="176"/>
      <c r="J856" s="176"/>
      <c r="K856" s="176"/>
      <c r="L856" s="176"/>
      <c r="M856" s="176"/>
      <c r="N856" s="176"/>
      <c r="O856" s="176"/>
      <c r="P856" s="176"/>
      <c r="Q856" s="176"/>
      <c r="R856" s="176"/>
      <c r="S856" s="176"/>
      <c r="T856" s="176"/>
      <c r="U856" s="176"/>
      <c r="V856" s="176"/>
      <c r="W856" s="176"/>
      <c r="X856" s="176"/>
      <c r="Y856" s="176"/>
      <c r="Z856" s="176"/>
      <c r="AA856" s="176"/>
      <c r="AB856" s="176"/>
      <c r="AC856" s="176"/>
      <c r="AD856" s="176"/>
      <c r="AE856" s="176"/>
      <c r="AF856" s="176"/>
      <c r="AG856" s="176"/>
      <c r="AH856" s="176"/>
      <c r="AI856" s="176"/>
      <c r="AJ856" s="176"/>
      <c r="AK856" s="176"/>
      <c r="AL856" s="176"/>
      <c r="AM856" s="176"/>
      <c r="AN856" s="176"/>
      <c r="AO856" s="176"/>
      <c r="AP856" s="176"/>
      <c r="AQ856" s="176"/>
      <c r="AR856" s="176"/>
      <c r="AS856" s="176"/>
      <c r="AT856" s="176"/>
      <c r="AU856" s="176"/>
      <c r="AV856" s="176"/>
      <c r="AW856" s="176"/>
      <c r="AX856" s="176"/>
      <c r="AY856" s="176"/>
      <c r="AZ856" s="176"/>
      <c r="BA856" s="176"/>
      <c r="BB856" s="176"/>
      <c r="BC856" s="176"/>
      <c r="BD856" s="176"/>
    </row>
    <row r="857" ht="15.75" customHeight="1">
      <c r="A857" s="176"/>
      <c r="B857" s="176"/>
      <c r="C857" s="176"/>
      <c r="D857" s="176"/>
      <c r="E857" s="176"/>
      <c r="F857" s="176"/>
      <c r="G857" s="178"/>
      <c r="H857" s="176"/>
      <c r="I857" s="176"/>
      <c r="J857" s="176"/>
      <c r="K857" s="176"/>
      <c r="L857" s="176"/>
      <c r="M857" s="176"/>
      <c r="N857" s="176"/>
      <c r="O857" s="176"/>
      <c r="P857" s="176"/>
      <c r="Q857" s="176"/>
      <c r="R857" s="176"/>
      <c r="S857" s="176"/>
      <c r="T857" s="176"/>
      <c r="U857" s="176"/>
      <c r="V857" s="176"/>
      <c r="W857" s="176"/>
      <c r="X857" s="176"/>
      <c r="Y857" s="176"/>
      <c r="Z857" s="176"/>
      <c r="AA857" s="176"/>
      <c r="AB857" s="176"/>
      <c r="AC857" s="176"/>
      <c r="AD857" s="176"/>
      <c r="AE857" s="176"/>
      <c r="AF857" s="176"/>
      <c r="AG857" s="176"/>
      <c r="AH857" s="176"/>
      <c r="AI857" s="176"/>
      <c r="AJ857" s="176"/>
      <c r="AK857" s="176"/>
      <c r="AL857" s="176"/>
      <c r="AM857" s="176"/>
      <c r="AN857" s="176"/>
      <c r="AO857" s="176"/>
      <c r="AP857" s="176"/>
      <c r="AQ857" s="176"/>
      <c r="AR857" s="176"/>
      <c r="AS857" s="176"/>
      <c r="AT857" s="176"/>
      <c r="AU857" s="176"/>
      <c r="AV857" s="176"/>
      <c r="AW857" s="176"/>
      <c r="AX857" s="176"/>
      <c r="AY857" s="176"/>
      <c r="AZ857" s="176"/>
      <c r="BA857" s="176"/>
      <c r="BB857" s="176"/>
      <c r="BC857" s="176"/>
      <c r="BD857" s="176"/>
    </row>
    <row r="858" ht="15.75" customHeight="1">
      <c r="A858" s="176"/>
      <c r="B858" s="176"/>
      <c r="C858" s="176"/>
      <c r="D858" s="176"/>
      <c r="E858" s="176"/>
      <c r="F858" s="176"/>
      <c r="G858" s="178"/>
      <c r="H858" s="176"/>
      <c r="I858" s="176"/>
      <c r="J858" s="176"/>
      <c r="K858" s="176"/>
      <c r="L858" s="176"/>
      <c r="M858" s="176"/>
      <c r="N858" s="176"/>
      <c r="O858" s="176"/>
      <c r="P858" s="176"/>
      <c r="Q858" s="176"/>
      <c r="R858" s="176"/>
      <c r="S858" s="176"/>
      <c r="T858" s="176"/>
      <c r="U858" s="176"/>
      <c r="V858" s="176"/>
      <c r="W858" s="176"/>
      <c r="X858" s="176"/>
      <c r="Y858" s="176"/>
      <c r="Z858" s="176"/>
      <c r="AA858" s="176"/>
      <c r="AB858" s="176"/>
      <c r="AC858" s="176"/>
      <c r="AD858" s="176"/>
      <c r="AE858" s="176"/>
      <c r="AF858" s="176"/>
      <c r="AG858" s="176"/>
      <c r="AH858" s="176"/>
      <c r="AI858" s="176"/>
      <c r="AJ858" s="176"/>
      <c r="AK858" s="176"/>
      <c r="AL858" s="176"/>
      <c r="AM858" s="176"/>
      <c r="AN858" s="176"/>
      <c r="AO858" s="176"/>
      <c r="AP858" s="176"/>
      <c r="AQ858" s="176"/>
      <c r="AR858" s="176"/>
      <c r="AS858" s="176"/>
      <c r="AT858" s="176"/>
      <c r="AU858" s="176"/>
      <c r="AV858" s="176"/>
      <c r="AW858" s="176"/>
      <c r="AX858" s="176"/>
      <c r="AY858" s="176"/>
      <c r="AZ858" s="176"/>
      <c r="BA858" s="176"/>
      <c r="BB858" s="176"/>
      <c r="BC858" s="176"/>
      <c r="BD858" s="176"/>
    </row>
    <row r="859" ht="15.75" customHeight="1">
      <c r="A859" s="176"/>
      <c r="B859" s="176"/>
      <c r="C859" s="176"/>
      <c r="D859" s="176"/>
      <c r="E859" s="176"/>
      <c r="F859" s="176"/>
      <c r="G859" s="178"/>
      <c r="H859" s="176"/>
      <c r="I859" s="176"/>
      <c r="J859" s="176"/>
      <c r="K859" s="176"/>
      <c r="L859" s="176"/>
      <c r="M859" s="176"/>
      <c r="N859" s="176"/>
      <c r="O859" s="176"/>
      <c r="P859" s="176"/>
      <c r="Q859" s="176"/>
      <c r="R859" s="176"/>
      <c r="S859" s="176"/>
      <c r="T859" s="176"/>
      <c r="U859" s="176"/>
      <c r="V859" s="176"/>
      <c r="W859" s="176"/>
      <c r="X859" s="176"/>
      <c r="Y859" s="176"/>
      <c r="Z859" s="176"/>
      <c r="AA859" s="176"/>
      <c r="AB859" s="176"/>
      <c r="AC859" s="176"/>
      <c r="AD859" s="176"/>
      <c r="AE859" s="176"/>
      <c r="AF859" s="176"/>
      <c r="AG859" s="176"/>
      <c r="AH859" s="176"/>
      <c r="AI859" s="176"/>
      <c r="AJ859" s="176"/>
      <c r="AK859" s="176"/>
      <c r="AL859" s="176"/>
      <c r="AM859" s="176"/>
      <c r="AN859" s="176"/>
      <c r="AO859" s="176"/>
      <c r="AP859" s="176"/>
      <c r="AQ859" s="176"/>
      <c r="AR859" s="176"/>
      <c r="AS859" s="176"/>
      <c r="AT859" s="176"/>
      <c r="AU859" s="176"/>
      <c r="AV859" s="176"/>
      <c r="AW859" s="176"/>
      <c r="AX859" s="176"/>
      <c r="AY859" s="176"/>
      <c r="AZ859" s="176"/>
      <c r="BA859" s="176"/>
      <c r="BB859" s="176"/>
      <c r="BC859" s="176"/>
      <c r="BD859" s="176"/>
    </row>
    <row r="860" ht="15.75" customHeight="1">
      <c r="A860" s="176"/>
      <c r="B860" s="176"/>
      <c r="C860" s="176"/>
      <c r="D860" s="176"/>
      <c r="E860" s="176"/>
      <c r="F860" s="176"/>
      <c r="G860" s="178"/>
      <c r="H860" s="176"/>
      <c r="I860" s="176"/>
      <c r="J860" s="176"/>
      <c r="K860" s="176"/>
      <c r="L860" s="176"/>
      <c r="M860" s="176"/>
      <c r="N860" s="176"/>
      <c r="O860" s="176"/>
      <c r="P860" s="176"/>
      <c r="Q860" s="176"/>
      <c r="R860" s="176"/>
      <c r="S860" s="176"/>
      <c r="T860" s="176"/>
      <c r="U860" s="176"/>
      <c r="V860" s="176"/>
      <c r="W860" s="176"/>
      <c r="X860" s="176"/>
      <c r="Y860" s="176"/>
      <c r="Z860" s="176"/>
      <c r="AA860" s="176"/>
      <c r="AB860" s="176"/>
      <c r="AC860" s="176"/>
      <c r="AD860" s="176"/>
      <c r="AE860" s="176"/>
      <c r="AF860" s="176"/>
      <c r="AG860" s="176"/>
      <c r="AH860" s="176"/>
      <c r="AI860" s="176"/>
      <c r="AJ860" s="176"/>
      <c r="AK860" s="176"/>
      <c r="AL860" s="176"/>
      <c r="AM860" s="176"/>
      <c r="AN860" s="176"/>
      <c r="AO860" s="176"/>
      <c r="AP860" s="176"/>
      <c r="AQ860" s="176"/>
      <c r="AR860" s="176"/>
      <c r="AS860" s="176"/>
      <c r="AT860" s="176"/>
      <c r="AU860" s="176"/>
      <c r="AV860" s="176"/>
      <c r="AW860" s="176"/>
      <c r="AX860" s="176"/>
      <c r="AY860" s="176"/>
      <c r="AZ860" s="176"/>
      <c r="BA860" s="176"/>
      <c r="BB860" s="176"/>
      <c r="BC860" s="176"/>
      <c r="BD860" s="176"/>
    </row>
    <row r="861" ht="15.75" customHeight="1">
      <c r="A861" s="176"/>
      <c r="B861" s="176"/>
      <c r="C861" s="176"/>
      <c r="D861" s="176"/>
      <c r="E861" s="176"/>
      <c r="F861" s="176"/>
      <c r="G861" s="178"/>
      <c r="H861" s="176"/>
      <c r="I861" s="176"/>
      <c r="J861" s="176"/>
      <c r="K861" s="176"/>
      <c r="L861" s="176"/>
      <c r="M861" s="176"/>
      <c r="N861" s="176"/>
      <c r="O861" s="176"/>
      <c r="P861" s="176"/>
      <c r="Q861" s="176"/>
      <c r="R861" s="176"/>
      <c r="S861" s="176"/>
      <c r="T861" s="176"/>
      <c r="U861" s="176"/>
      <c r="V861" s="176"/>
      <c r="W861" s="176"/>
      <c r="X861" s="176"/>
      <c r="Y861" s="176"/>
      <c r="Z861" s="176"/>
      <c r="AA861" s="176"/>
      <c r="AB861" s="176"/>
      <c r="AC861" s="176"/>
      <c r="AD861" s="176"/>
      <c r="AE861" s="176"/>
      <c r="AF861" s="176"/>
      <c r="AG861" s="176"/>
      <c r="AH861" s="176"/>
      <c r="AI861" s="176"/>
      <c r="AJ861" s="176"/>
      <c r="AK861" s="176"/>
      <c r="AL861" s="176"/>
      <c r="AM861" s="176"/>
      <c r="AN861" s="176"/>
      <c r="AO861" s="176"/>
      <c r="AP861" s="176"/>
      <c r="AQ861" s="176"/>
      <c r="AR861" s="176"/>
      <c r="AS861" s="176"/>
      <c r="AT861" s="176"/>
      <c r="AU861" s="176"/>
      <c r="AV861" s="176"/>
      <c r="AW861" s="176"/>
      <c r="AX861" s="176"/>
      <c r="AY861" s="176"/>
      <c r="AZ861" s="176"/>
      <c r="BA861" s="176"/>
      <c r="BB861" s="176"/>
      <c r="BC861" s="176"/>
      <c r="BD861" s="176"/>
    </row>
    <row r="862" ht="15.75" customHeight="1">
      <c r="A862" s="176"/>
      <c r="B862" s="176"/>
      <c r="C862" s="176"/>
      <c r="D862" s="176"/>
      <c r="E862" s="176"/>
      <c r="F862" s="176"/>
      <c r="G862" s="178"/>
      <c r="H862" s="176"/>
      <c r="I862" s="176"/>
      <c r="J862" s="176"/>
      <c r="K862" s="176"/>
      <c r="L862" s="176"/>
      <c r="M862" s="176"/>
      <c r="N862" s="176"/>
      <c r="O862" s="176"/>
      <c r="P862" s="176"/>
      <c r="Q862" s="176"/>
      <c r="R862" s="176"/>
      <c r="S862" s="176"/>
      <c r="T862" s="176"/>
      <c r="U862" s="176"/>
      <c r="V862" s="176"/>
      <c r="W862" s="176"/>
      <c r="X862" s="176"/>
      <c r="Y862" s="176"/>
      <c r="Z862" s="176"/>
      <c r="AA862" s="176"/>
      <c r="AB862" s="176"/>
      <c r="AC862" s="176"/>
      <c r="AD862" s="176"/>
      <c r="AE862" s="176"/>
      <c r="AF862" s="176"/>
      <c r="AG862" s="176"/>
      <c r="AH862" s="176"/>
      <c r="AI862" s="176"/>
      <c r="AJ862" s="176"/>
      <c r="AK862" s="176"/>
      <c r="AL862" s="176"/>
      <c r="AM862" s="176"/>
      <c r="AN862" s="176"/>
      <c r="AO862" s="176"/>
      <c r="AP862" s="176"/>
      <c r="AQ862" s="176"/>
      <c r="AR862" s="176"/>
      <c r="AS862" s="176"/>
      <c r="AT862" s="176"/>
      <c r="AU862" s="176"/>
      <c r="AV862" s="176"/>
      <c r="AW862" s="176"/>
      <c r="AX862" s="176"/>
      <c r="AY862" s="176"/>
      <c r="AZ862" s="176"/>
      <c r="BA862" s="176"/>
      <c r="BB862" s="176"/>
      <c r="BC862" s="176"/>
      <c r="BD862" s="176"/>
    </row>
    <row r="863" ht="15.75" customHeight="1">
      <c r="A863" s="176"/>
      <c r="B863" s="176"/>
      <c r="C863" s="176"/>
      <c r="D863" s="176"/>
      <c r="E863" s="176"/>
      <c r="F863" s="176"/>
      <c r="G863" s="178"/>
      <c r="H863" s="176"/>
      <c r="I863" s="176"/>
      <c r="J863" s="176"/>
      <c r="K863" s="176"/>
      <c r="L863" s="176"/>
      <c r="M863" s="176"/>
      <c r="N863" s="176"/>
      <c r="O863" s="176"/>
      <c r="P863" s="176"/>
      <c r="Q863" s="176"/>
      <c r="R863" s="176"/>
      <c r="S863" s="176"/>
      <c r="T863" s="176"/>
      <c r="U863" s="176"/>
      <c r="V863" s="176"/>
      <c r="W863" s="176"/>
      <c r="X863" s="176"/>
      <c r="Y863" s="176"/>
      <c r="Z863" s="176"/>
      <c r="AA863" s="176"/>
      <c r="AB863" s="176"/>
      <c r="AC863" s="176"/>
      <c r="AD863" s="176"/>
      <c r="AE863" s="176"/>
      <c r="AF863" s="176"/>
      <c r="AG863" s="176"/>
      <c r="AH863" s="176"/>
      <c r="AI863" s="176"/>
      <c r="AJ863" s="176"/>
      <c r="AK863" s="176"/>
      <c r="AL863" s="176"/>
      <c r="AM863" s="176"/>
      <c r="AN863" s="176"/>
      <c r="AO863" s="176"/>
      <c r="AP863" s="176"/>
      <c r="AQ863" s="176"/>
      <c r="AR863" s="176"/>
      <c r="AS863" s="176"/>
      <c r="AT863" s="176"/>
      <c r="AU863" s="176"/>
      <c r="AV863" s="176"/>
      <c r="AW863" s="176"/>
      <c r="AX863" s="176"/>
      <c r="AY863" s="176"/>
      <c r="AZ863" s="176"/>
      <c r="BA863" s="176"/>
      <c r="BB863" s="176"/>
      <c r="BC863" s="176"/>
      <c r="BD863" s="176"/>
    </row>
    <row r="864" ht="15.75" customHeight="1">
      <c r="A864" s="176"/>
      <c r="B864" s="176"/>
      <c r="C864" s="176"/>
      <c r="D864" s="176"/>
      <c r="E864" s="176"/>
      <c r="F864" s="176"/>
      <c r="G864" s="178"/>
      <c r="H864" s="176"/>
      <c r="I864" s="176"/>
      <c r="J864" s="176"/>
      <c r="K864" s="176"/>
      <c r="L864" s="176"/>
      <c r="M864" s="176"/>
      <c r="N864" s="176"/>
      <c r="O864" s="176"/>
      <c r="P864" s="176"/>
      <c r="Q864" s="176"/>
      <c r="R864" s="176"/>
      <c r="S864" s="176"/>
      <c r="T864" s="176"/>
      <c r="U864" s="176"/>
      <c r="V864" s="176"/>
      <c r="W864" s="176"/>
      <c r="X864" s="176"/>
      <c r="Y864" s="176"/>
      <c r="Z864" s="176"/>
      <c r="AA864" s="176"/>
      <c r="AB864" s="176"/>
      <c r="AC864" s="176"/>
      <c r="AD864" s="176"/>
      <c r="AE864" s="176"/>
      <c r="AF864" s="176"/>
      <c r="AG864" s="176"/>
      <c r="AH864" s="176"/>
      <c r="AI864" s="176"/>
      <c r="AJ864" s="176"/>
      <c r="AK864" s="176"/>
      <c r="AL864" s="176"/>
      <c r="AM864" s="176"/>
      <c r="AN864" s="176"/>
      <c r="AO864" s="176"/>
      <c r="AP864" s="176"/>
      <c r="AQ864" s="176"/>
      <c r="AR864" s="176"/>
      <c r="AS864" s="176"/>
      <c r="AT864" s="176"/>
      <c r="AU864" s="176"/>
      <c r="AV864" s="176"/>
      <c r="AW864" s="176"/>
      <c r="AX864" s="176"/>
      <c r="AY864" s="176"/>
      <c r="AZ864" s="176"/>
      <c r="BA864" s="176"/>
      <c r="BB864" s="176"/>
      <c r="BC864" s="176"/>
      <c r="BD864" s="176"/>
    </row>
    <row r="865" ht="15.75" customHeight="1">
      <c r="A865" s="176"/>
      <c r="B865" s="176"/>
      <c r="C865" s="176"/>
      <c r="D865" s="176"/>
      <c r="E865" s="176"/>
      <c r="F865" s="176"/>
      <c r="G865" s="178"/>
      <c r="H865" s="176"/>
      <c r="I865" s="176"/>
      <c r="J865" s="176"/>
      <c r="K865" s="176"/>
      <c r="L865" s="176"/>
      <c r="M865" s="176"/>
      <c r="N865" s="176"/>
      <c r="O865" s="176"/>
      <c r="P865" s="176"/>
      <c r="Q865" s="176"/>
      <c r="R865" s="176"/>
      <c r="S865" s="176"/>
      <c r="T865" s="176"/>
      <c r="U865" s="176"/>
      <c r="V865" s="176"/>
      <c r="W865" s="176"/>
      <c r="X865" s="176"/>
      <c r="Y865" s="176"/>
      <c r="Z865" s="176"/>
      <c r="AA865" s="176"/>
      <c r="AB865" s="176"/>
      <c r="AC865" s="176"/>
      <c r="AD865" s="176"/>
      <c r="AE865" s="176"/>
      <c r="AF865" s="176"/>
      <c r="AG865" s="176"/>
      <c r="AH865" s="176"/>
      <c r="AI865" s="176"/>
      <c r="AJ865" s="176"/>
      <c r="AK865" s="176"/>
      <c r="AL865" s="176"/>
      <c r="AM865" s="176"/>
      <c r="AN865" s="176"/>
      <c r="AO865" s="176"/>
      <c r="AP865" s="176"/>
      <c r="AQ865" s="176"/>
      <c r="AR865" s="176"/>
      <c r="AS865" s="176"/>
      <c r="AT865" s="176"/>
      <c r="AU865" s="176"/>
      <c r="AV865" s="176"/>
      <c r="AW865" s="176"/>
      <c r="AX865" s="176"/>
      <c r="AY865" s="176"/>
      <c r="AZ865" s="176"/>
      <c r="BA865" s="176"/>
      <c r="BB865" s="176"/>
      <c r="BC865" s="176"/>
      <c r="BD865" s="176"/>
    </row>
    <row r="866" ht="15.75" customHeight="1">
      <c r="A866" s="176"/>
      <c r="B866" s="176"/>
      <c r="C866" s="176"/>
      <c r="D866" s="176"/>
      <c r="E866" s="176"/>
      <c r="F866" s="176"/>
      <c r="G866" s="178"/>
      <c r="H866" s="176"/>
      <c r="I866" s="176"/>
      <c r="J866" s="176"/>
      <c r="K866" s="176"/>
      <c r="L866" s="176"/>
      <c r="M866" s="176"/>
      <c r="N866" s="176"/>
      <c r="O866" s="176"/>
      <c r="P866" s="176"/>
      <c r="Q866" s="176"/>
      <c r="R866" s="176"/>
      <c r="S866" s="176"/>
      <c r="T866" s="176"/>
      <c r="U866" s="176"/>
      <c r="V866" s="176"/>
      <c r="W866" s="176"/>
      <c r="X866" s="176"/>
      <c r="Y866" s="176"/>
      <c r="Z866" s="176"/>
      <c r="AA866" s="176"/>
      <c r="AB866" s="176"/>
      <c r="AC866" s="176"/>
      <c r="AD866" s="176"/>
      <c r="AE866" s="176"/>
      <c r="AF866" s="176"/>
      <c r="AG866" s="176"/>
      <c r="AH866" s="176"/>
      <c r="AI866" s="176"/>
      <c r="AJ866" s="176"/>
      <c r="AK866" s="176"/>
      <c r="AL866" s="176"/>
      <c r="AM866" s="176"/>
      <c r="AN866" s="176"/>
      <c r="AO866" s="176"/>
      <c r="AP866" s="176"/>
      <c r="AQ866" s="176"/>
      <c r="AR866" s="176"/>
      <c r="AS866" s="176"/>
      <c r="AT866" s="176"/>
      <c r="AU866" s="176"/>
      <c r="AV866" s="176"/>
      <c r="AW866" s="176"/>
      <c r="AX866" s="176"/>
      <c r="AY866" s="176"/>
      <c r="AZ866" s="176"/>
      <c r="BA866" s="176"/>
      <c r="BB866" s="176"/>
      <c r="BC866" s="176"/>
      <c r="BD866" s="176"/>
    </row>
    <row r="867" ht="15.75" customHeight="1">
      <c r="A867" s="176"/>
      <c r="B867" s="176"/>
      <c r="C867" s="176"/>
      <c r="D867" s="176"/>
      <c r="E867" s="176"/>
      <c r="F867" s="176"/>
      <c r="G867" s="178"/>
      <c r="H867" s="176"/>
      <c r="I867" s="176"/>
      <c r="J867" s="176"/>
      <c r="K867" s="176"/>
      <c r="L867" s="176"/>
      <c r="M867" s="176"/>
      <c r="N867" s="176"/>
      <c r="O867" s="176"/>
      <c r="P867" s="176"/>
      <c r="Q867" s="176"/>
      <c r="R867" s="176"/>
      <c r="S867" s="176"/>
      <c r="T867" s="176"/>
      <c r="U867" s="176"/>
      <c r="V867" s="176"/>
      <c r="W867" s="176"/>
      <c r="X867" s="176"/>
      <c r="Y867" s="176"/>
      <c r="Z867" s="176"/>
      <c r="AA867" s="176"/>
      <c r="AB867" s="176"/>
      <c r="AC867" s="176"/>
      <c r="AD867" s="176"/>
      <c r="AE867" s="176"/>
      <c r="AF867" s="176"/>
      <c r="AG867" s="176"/>
      <c r="AH867" s="176"/>
      <c r="AI867" s="176"/>
      <c r="AJ867" s="176"/>
      <c r="AK867" s="176"/>
      <c r="AL867" s="176"/>
      <c r="AM867" s="176"/>
      <c r="AN867" s="176"/>
      <c r="AO867" s="176"/>
      <c r="AP867" s="176"/>
      <c r="AQ867" s="176"/>
      <c r="AR867" s="176"/>
      <c r="AS867" s="176"/>
      <c r="AT867" s="176"/>
      <c r="AU867" s="176"/>
      <c r="AV867" s="176"/>
      <c r="AW867" s="176"/>
      <c r="AX867" s="176"/>
      <c r="AY867" s="176"/>
      <c r="AZ867" s="176"/>
      <c r="BA867" s="176"/>
      <c r="BB867" s="176"/>
      <c r="BC867" s="176"/>
      <c r="BD867" s="176"/>
    </row>
    <row r="868" ht="15.75" customHeight="1">
      <c r="A868" s="176"/>
      <c r="B868" s="176"/>
      <c r="C868" s="176"/>
      <c r="D868" s="176"/>
      <c r="E868" s="176"/>
      <c r="F868" s="176"/>
      <c r="G868" s="178"/>
      <c r="H868" s="176"/>
      <c r="I868" s="176"/>
      <c r="J868" s="176"/>
      <c r="K868" s="176"/>
      <c r="L868" s="176"/>
      <c r="M868" s="176"/>
      <c r="N868" s="176"/>
      <c r="O868" s="176"/>
      <c r="P868" s="176"/>
      <c r="Q868" s="176"/>
      <c r="R868" s="176"/>
      <c r="S868" s="176"/>
      <c r="T868" s="176"/>
      <c r="U868" s="176"/>
      <c r="V868" s="176"/>
      <c r="W868" s="176"/>
      <c r="X868" s="176"/>
      <c r="Y868" s="176"/>
      <c r="Z868" s="176"/>
      <c r="AA868" s="176"/>
      <c r="AB868" s="176"/>
      <c r="AC868" s="176"/>
      <c r="AD868" s="176"/>
      <c r="AE868" s="176"/>
      <c r="AF868" s="176"/>
      <c r="AG868" s="176"/>
      <c r="AH868" s="176"/>
      <c r="AI868" s="176"/>
      <c r="AJ868" s="176"/>
      <c r="AK868" s="176"/>
      <c r="AL868" s="176"/>
      <c r="AM868" s="176"/>
      <c r="AN868" s="176"/>
      <c r="AO868" s="176"/>
      <c r="AP868" s="176"/>
      <c r="AQ868" s="176"/>
      <c r="AR868" s="176"/>
      <c r="AS868" s="176"/>
      <c r="AT868" s="176"/>
      <c r="AU868" s="176"/>
      <c r="AV868" s="176"/>
      <c r="AW868" s="176"/>
      <c r="AX868" s="176"/>
      <c r="AY868" s="176"/>
      <c r="AZ868" s="176"/>
      <c r="BA868" s="176"/>
      <c r="BB868" s="176"/>
      <c r="BC868" s="176"/>
      <c r="BD868" s="176"/>
    </row>
    <row r="869" ht="15.75" customHeight="1">
      <c r="A869" s="176"/>
      <c r="B869" s="176"/>
      <c r="C869" s="176"/>
      <c r="D869" s="176"/>
      <c r="E869" s="176"/>
      <c r="F869" s="176"/>
      <c r="G869" s="178"/>
      <c r="H869" s="176"/>
      <c r="I869" s="176"/>
      <c r="J869" s="176"/>
      <c r="K869" s="176"/>
      <c r="L869" s="176"/>
      <c r="M869" s="176"/>
      <c r="N869" s="176"/>
      <c r="O869" s="176"/>
      <c r="P869" s="176"/>
      <c r="Q869" s="176"/>
      <c r="R869" s="176"/>
      <c r="S869" s="176"/>
      <c r="T869" s="176"/>
      <c r="U869" s="176"/>
      <c r="V869" s="176"/>
      <c r="W869" s="176"/>
      <c r="X869" s="176"/>
      <c r="Y869" s="176"/>
      <c r="Z869" s="176"/>
      <c r="AA869" s="176"/>
      <c r="AB869" s="176"/>
      <c r="AC869" s="176"/>
      <c r="AD869" s="176"/>
      <c r="AE869" s="176"/>
      <c r="AF869" s="176"/>
      <c r="AG869" s="176"/>
      <c r="AH869" s="176"/>
      <c r="AI869" s="176"/>
      <c r="AJ869" s="176"/>
      <c r="AK869" s="176"/>
      <c r="AL869" s="176"/>
      <c r="AM869" s="176"/>
      <c r="AN869" s="176"/>
      <c r="AO869" s="176"/>
      <c r="AP869" s="176"/>
      <c r="AQ869" s="176"/>
      <c r="AR869" s="176"/>
      <c r="AS869" s="176"/>
      <c r="AT869" s="176"/>
      <c r="AU869" s="176"/>
      <c r="AV869" s="176"/>
      <c r="AW869" s="176"/>
      <c r="AX869" s="176"/>
      <c r="AY869" s="176"/>
      <c r="AZ869" s="176"/>
      <c r="BA869" s="176"/>
      <c r="BB869" s="176"/>
      <c r="BC869" s="176"/>
      <c r="BD869" s="176"/>
    </row>
    <row r="870" ht="15.75" customHeight="1">
      <c r="A870" s="176"/>
      <c r="B870" s="176"/>
      <c r="C870" s="176"/>
      <c r="D870" s="176"/>
      <c r="E870" s="176"/>
      <c r="F870" s="176"/>
      <c r="G870" s="178"/>
      <c r="H870" s="176"/>
      <c r="I870" s="176"/>
      <c r="J870" s="176"/>
      <c r="K870" s="176"/>
      <c r="L870" s="176"/>
      <c r="M870" s="176"/>
      <c r="N870" s="176"/>
      <c r="O870" s="176"/>
      <c r="P870" s="176"/>
      <c r="Q870" s="176"/>
      <c r="R870" s="176"/>
      <c r="S870" s="176"/>
      <c r="T870" s="176"/>
      <c r="U870" s="176"/>
      <c r="V870" s="176"/>
      <c r="W870" s="176"/>
      <c r="X870" s="176"/>
      <c r="Y870" s="176"/>
      <c r="Z870" s="176"/>
      <c r="AA870" s="176"/>
      <c r="AB870" s="176"/>
      <c r="AC870" s="176"/>
      <c r="AD870" s="176"/>
      <c r="AE870" s="176"/>
      <c r="AF870" s="176"/>
      <c r="AG870" s="176"/>
      <c r="AH870" s="176"/>
      <c r="AI870" s="176"/>
      <c r="AJ870" s="176"/>
      <c r="AK870" s="176"/>
      <c r="AL870" s="176"/>
      <c r="AM870" s="176"/>
      <c r="AN870" s="176"/>
      <c r="AO870" s="176"/>
      <c r="AP870" s="176"/>
      <c r="AQ870" s="176"/>
      <c r="AR870" s="176"/>
      <c r="AS870" s="176"/>
      <c r="AT870" s="176"/>
      <c r="AU870" s="176"/>
      <c r="AV870" s="176"/>
      <c r="AW870" s="176"/>
      <c r="AX870" s="176"/>
      <c r="AY870" s="176"/>
      <c r="AZ870" s="176"/>
      <c r="BA870" s="176"/>
      <c r="BB870" s="176"/>
      <c r="BC870" s="176"/>
      <c r="BD870" s="176"/>
    </row>
    <row r="871" ht="15.75" customHeight="1">
      <c r="A871" s="176"/>
      <c r="B871" s="176"/>
      <c r="C871" s="176"/>
      <c r="D871" s="176"/>
      <c r="E871" s="176"/>
      <c r="F871" s="176"/>
      <c r="G871" s="178"/>
      <c r="H871" s="176"/>
      <c r="I871" s="176"/>
      <c r="J871" s="176"/>
      <c r="K871" s="176"/>
      <c r="L871" s="176"/>
      <c r="M871" s="176"/>
      <c r="N871" s="176"/>
      <c r="O871" s="176"/>
      <c r="P871" s="176"/>
      <c r="Q871" s="176"/>
      <c r="R871" s="176"/>
      <c r="S871" s="176"/>
      <c r="T871" s="176"/>
      <c r="U871" s="176"/>
      <c r="V871" s="176"/>
      <c r="W871" s="176"/>
      <c r="X871" s="176"/>
      <c r="Y871" s="176"/>
      <c r="Z871" s="176"/>
      <c r="AA871" s="176"/>
      <c r="AB871" s="176"/>
      <c r="AC871" s="176"/>
      <c r="AD871" s="176"/>
      <c r="AE871" s="176"/>
      <c r="AF871" s="176"/>
      <c r="AG871" s="176"/>
      <c r="AH871" s="176"/>
      <c r="AI871" s="176"/>
      <c r="AJ871" s="176"/>
      <c r="AK871" s="176"/>
      <c r="AL871" s="176"/>
      <c r="AM871" s="176"/>
      <c r="AN871" s="176"/>
      <c r="AO871" s="176"/>
      <c r="AP871" s="176"/>
      <c r="AQ871" s="176"/>
      <c r="AR871" s="176"/>
      <c r="AS871" s="176"/>
      <c r="AT871" s="176"/>
      <c r="AU871" s="176"/>
      <c r="AV871" s="176"/>
      <c r="AW871" s="176"/>
      <c r="AX871" s="176"/>
      <c r="AY871" s="176"/>
      <c r="AZ871" s="176"/>
      <c r="BA871" s="176"/>
      <c r="BB871" s="176"/>
      <c r="BC871" s="176"/>
      <c r="BD871" s="176"/>
    </row>
    <row r="872" ht="15.75" customHeight="1">
      <c r="A872" s="176"/>
      <c r="B872" s="176"/>
      <c r="C872" s="176"/>
      <c r="D872" s="176"/>
      <c r="E872" s="176"/>
      <c r="F872" s="176"/>
      <c r="G872" s="178"/>
      <c r="H872" s="176"/>
      <c r="I872" s="176"/>
      <c r="J872" s="176"/>
      <c r="K872" s="176"/>
      <c r="L872" s="176"/>
      <c r="M872" s="176"/>
      <c r="N872" s="176"/>
      <c r="O872" s="176"/>
      <c r="P872" s="176"/>
      <c r="Q872" s="176"/>
      <c r="R872" s="176"/>
      <c r="S872" s="176"/>
      <c r="T872" s="176"/>
      <c r="U872" s="176"/>
      <c r="V872" s="176"/>
      <c r="W872" s="176"/>
      <c r="X872" s="176"/>
      <c r="Y872" s="176"/>
      <c r="Z872" s="176"/>
      <c r="AA872" s="176"/>
      <c r="AB872" s="176"/>
      <c r="AC872" s="176"/>
      <c r="AD872" s="176"/>
      <c r="AE872" s="176"/>
      <c r="AF872" s="176"/>
      <c r="AG872" s="176"/>
      <c r="AH872" s="176"/>
      <c r="AI872" s="176"/>
      <c r="AJ872" s="176"/>
      <c r="AK872" s="176"/>
      <c r="AL872" s="176"/>
      <c r="AM872" s="176"/>
      <c r="AN872" s="176"/>
      <c r="AO872" s="176"/>
      <c r="AP872" s="176"/>
      <c r="AQ872" s="176"/>
      <c r="AR872" s="176"/>
      <c r="AS872" s="176"/>
      <c r="AT872" s="176"/>
      <c r="AU872" s="176"/>
      <c r="AV872" s="176"/>
      <c r="AW872" s="176"/>
      <c r="AX872" s="176"/>
      <c r="AY872" s="176"/>
      <c r="AZ872" s="176"/>
      <c r="BA872" s="176"/>
      <c r="BB872" s="176"/>
      <c r="BC872" s="176"/>
      <c r="BD872" s="176"/>
    </row>
    <row r="873" ht="15.75" customHeight="1">
      <c r="A873" s="176"/>
      <c r="B873" s="176"/>
      <c r="C873" s="176"/>
      <c r="D873" s="176"/>
      <c r="E873" s="176"/>
      <c r="F873" s="176"/>
      <c r="G873" s="178"/>
      <c r="H873" s="176"/>
      <c r="I873" s="176"/>
      <c r="J873" s="176"/>
      <c r="K873" s="176"/>
      <c r="L873" s="176"/>
      <c r="M873" s="176"/>
      <c r="N873" s="176"/>
      <c r="O873" s="176"/>
      <c r="P873" s="176"/>
      <c r="Q873" s="176"/>
      <c r="R873" s="176"/>
      <c r="S873" s="176"/>
      <c r="T873" s="176"/>
      <c r="U873" s="176"/>
      <c r="V873" s="176"/>
      <c r="W873" s="176"/>
      <c r="X873" s="176"/>
      <c r="Y873" s="176"/>
      <c r="Z873" s="176"/>
      <c r="AA873" s="176"/>
      <c r="AB873" s="176"/>
      <c r="AC873" s="176"/>
      <c r="AD873" s="176"/>
      <c r="AE873" s="176"/>
      <c r="AF873" s="176"/>
      <c r="AG873" s="176"/>
      <c r="AH873" s="176"/>
      <c r="AI873" s="176"/>
      <c r="AJ873" s="176"/>
      <c r="AK873" s="176"/>
      <c r="AL873" s="176"/>
      <c r="AM873" s="176"/>
      <c r="AN873" s="176"/>
      <c r="AO873" s="176"/>
      <c r="AP873" s="176"/>
      <c r="AQ873" s="176"/>
      <c r="AR873" s="176"/>
      <c r="AS873" s="176"/>
      <c r="AT873" s="176"/>
      <c r="AU873" s="176"/>
      <c r="AV873" s="176"/>
      <c r="AW873" s="176"/>
      <c r="AX873" s="176"/>
      <c r="AY873" s="176"/>
      <c r="AZ873" s="176"/>
      <c r="BA873" s="176"/>
      <c r="BB873" s="176"/>
      <c r="BC873" s="176"/>
      <c r="BD873" s="176"/>
    </row>
    <row r="874" ht="15.75" customHeight="1">
      <c r="A874" s="176"/>
      <c r="B874" s="176"/>
      <c r="C874" s="176"/>
      <c r="D874" s="176"/>
      <c r="E874" s="176"/>
      <c r="F874" s="176"/>
      <c r="G874" s="178"/>
      <c r="H874" s="176"/>
      <c r="I874" s="176"/>
      <c r="J874" s="176"/>
      <c r="K874" s="176"/>
      <c r="L874" s="176"/>
      <c r="M874" s="176"/>
      <c r="N874" s="176"/>
      <c r="O874" s="176"/>
      <c r="P874" s="176"/>
      <c r="Q874" s="176"/>
      <c r="R874" s="176"/>
      <c r="S874" s="176"/>
      <c r="T874" s="176"/>
      <c r="U874" s="176"/>
      <c r="V874" s="176"/>
      <c r="W874" s="176"/>
      <c r="X874" s="176"/>
      <c r="Y874" s="176"/>
      <c r="Z874" s="176"/>
      <c r="AA874" s="176"/>
      <c r="AB874" s="176"/>
      <c r="AC874" s="176"/>
      <c r="AD874" s="176"/>
      <c r="AE874" s="176"/>
      <c r="AF874" s="176"/>
      <c r="AG874" s="176"/>
      <c r="AH874" s="176"/>
      <c r="AI874" s="176"/>
      <c r="AJ874" s="176"/>
      <c r="AK874" s="176"/>
      <c r="AL874" s="176"/>
      <c r="AM874" s="176"/>
      <c r="AN874" s="176"/>
      <c r="AO874" s="176"/>
      <c r="AP874" s="176"/>
      <c r="AQ874" s="176"/>
      <c r="AR874" s="176"/>
      <c r="AS874" s="176"/>
      <c r="AT874" s="176"/>
      <c r="AU874" s="176"/>
      <c r="AV874" s="176"/>
      <c r="AW874" s="176"/>
      <c r="AX874" s="176"/>
      <c r="AY874" s="176"/>
      <c r="AZ874" s="176"/>
      <c r="BA874" s="176"/>
      <c r="BB874" s="176"/>
      <c r="BC874" s="176"/>
      <c r="BD874" s="176"/>
    </row>
    <row r="875" ht="15.75" customHeight="1">
      <c r="A875" s="176"/>
      <c r="B875" s="176"/>
      <c r="C875" s="176"/>
      <c r="D875" s="176"/>
      <c r="E875" s="176"/>
      <c r="F875" s="176"/>
      <c r="G875" s="178"/>
      <c r="H875" s="176"/>
      <c r="I875" s="176"/>
      <c r="J875" s="176"/>
      <c r="K875" s="176"/>
      <c r="L875" s="176"/>
      <c r="M875" s="176"/>
      <c r="N875" s="176"/>
      <c r="O875" s="176"/>
      <c r="P875" s="176"/>
      <c r="Q875" s="176"/>
      <c r="R875" s="176"/>
      <c r="S875" s="176"/>
      <c r="T875" s="176"/>
      <c r="U875" s="176"/>
      <c r="V875" s="176"/>
      <c r="W875" s="176"/>
      <c r="X875" s="176"/>
      <c r="Y875" s="176"/>
      <c r="Z875" s="176"/>
      <c r="AA875" s="176"/>
      <c r="AB875" s="176"/>
      <c r="AC875" s="176"/>
      <c r="AD875" s="176"/>
      <c r="AE875" s="176"/>
      <c r="AF875" s="176"/>
      <c r="AG875" s="176"/>
      <c r="AH875" s="176"/>
      <c r="AI875" s="176"/>
      <c r="AJ875" s="176"/>
      <c r="AK875" s="176"/>
      <c r="AL875" s="176"/>
      <c r="AM875" s="176"/>
      <c r="AN875" s="176"/>
      <c r="AO875" s="176"/>
      <c r="AP875" s="176"/>
      <c r="AQ875" s="176"/>
      <c r="AR875" s="176"/>
      <c r="AS875" s="176"/>
      <c r="AT875" s="176"/>
      <c r="AU875" s="176"/>
      <c r="AV875" s="176"/>
      <c r="AW875" s="176"/>
      <c r="AX875" s="176"/>
      <c r="AY875" s="176"/>
      <c r="AZ875" s="176"/>
      <c r="BA875" s="176"/>
      <c r="BB875" s="176"/>
      <c r="BC875" s="176"/>
      <c r="BD875" s="176"/>
    </row>
    <row r="876" ht="15.75" customHeight="1">
      <c r="A876" s="176"/>
      <c r="B876" s="176"/>
      <c r="C876" s="176"/>
      <c r="D876" s="176"/>
      <c r="E876" s="176"/>
      <c r="F876" s="176"/>
      <c r="G876" s="178"/>
      <c r="H876" s="176"/>
      <c r="I876" s="176"/>
      <c r="J876" s="176"/>
      <c r="K876" s="176"/>
      <c r="L876" s="176"/>
      <c r="M876" s="176"/>
      <c r="N876" s="176"/>
      <c r="O876" s="176"/>
      <c r="P876" s="176"/>
      <c r="Q876" s="176"/>
      <c r="R876" s="176"/>
      <c r="S876" s="176"/>
      <c r="T876" s="176"/>
      <c r="U876" s="176"/>
      <c r="V876" s="176"/>
      <c r="W876" s="176"/>
      <c r="X876" s="176"/>
      <c r="Y876" s="176"/>
      <c r="Z876" s="176"/>
      <c r="AA876" s="176"/>
      <c r="AB876" s="176"/>
      <c r="AC876" s="176"/>
      <c r="AD876" s="176"/>
      <c r="AE876" s="176"/>
      <c r="AF876" s="176"/>
      <c r="AG876" s="176"/>
      <c r="AH876" s="176"/>
      <c r="AI876" s="176"/>
      <c r="AJ876" s="176"/>
      <c r="AK876" s="176"/>
      <c r="AL876" s="176"/>
      <c r="AM876" s="176"/>
      <c r="AN876" s="176"/>
      <c r="AO876" s="176"/>
      <c r="AP876" s="176"/>
      <c r="AQ876" s="176"/>
      <c r="AR876" s="176"/>
      <c r="AS876" s="176"/>
      <c r="AT876" s="176"/>
      <c r="AU876" s="176"/>
      <c r="AV876" s="176"/>
      <c r="AW876" s="176"/>
      <c r="AX876" s="176"/>
      <c r="AY876" s="176"/>
      <c r="AZ876" s="176"/>
      <c r="BA876" s="176"/>
      <c r="BB876" s="176"/>
      <c r="BC876" s="176"/>
      <c r="BD876" s="176"/>
    </row>
    <row r="877" ht="15.75" customHeight="1">
      <c r="A877" s="176"/>
      <c r="B877" s="176"/>
      <c r="C877" s="176"/>
      <c r="D877" s="176"/>
      <c r="E877" s="176"/>
      <c r="F877" s="176"/>
      <c r="G877" s="178"/>
      <c r="H877" s="176"/>
      <c r="I877" s="176"/>
      <c r="J877" s="176"/>
      <c r="K877" s="176"/>
      <c r="L877" s="176"/>
      <c r="M877" s="176"/>
      <c r="N877" s="176"/>
      <c r="O877" s="176"/>
      <c r="P877" s="176"/>
      <c r="Q877" s="176"/>
      <c r="R877" s="176"/>
      <c r="S877" s="176"/>
      <c r="T877" s="176"/>
      <c r="U877" s="176"/>
      <c r="V877" s="176"/>
      <c r="W877" s="176"/>
      <c r="X877" s="176"/>
      <c r="Y877" s="176"/>
      <c r="Z877" s="176"/>
      <c r="AA877" s="176"/>
      <c r="AB877" s="176"/>
      <c r="AC877" s="176"/>
      <c r="AD877" s="176"/>
      <c r="AE877" s="176"/>
      <c r="AF877" s="176"/>
      <c r="AG877" s="176"/>
      <c r="AH877" s="176"/>
      <c r="AI877" s="176"/>
      <c r="AJ877" s="176"/>
      <c r="AK877" s="176"/>
      <c r="AL877" s="176"/>
      <c r="AM877" s="176"/>
      <c r="AN877" s="176"/>
      <c r="AO877" s="176"/>
      <c r="AP877" s="176"/>
      <c r="AQ877" s="176"/>
      <c r="AR877" s="176"/>
      <c r="AS877" s="176"/>
      <c r="AT877" s="176"/>
      <c r="AU877" s="176"/>
      <c r="AV877" s="176"/>
      <c r="AW877" s="176"/>
      <c r="AX877" s="176"/>
      <c r="AY877" s="176"/>
      <c r="AZ877" s="176"/>
      <c r="BA877" s="176"/>
      <c r="BB877" s="176"/>
      <c r="BC877" s="176"/>
      <c r="BD877" s="176"/>
    </row>
    <row r="878" ht="15.75" customHeight="1">
      <c r="A878" s="176"/>
      <c r="B878" s="176"/>
      <c r="C878" s="176"/>
      <c r="D878" s="176"/>
      <c r="E878" s="176"/>
      <c r="F878" s="176"/>
      <c r="G878" s="178"/>
      <c r="H878" s="176"/>
      <c r="I878" s="176"/>
      <c r="J878" s="176"/>
      <c r="K878" s="176"/>
      <c r="L878" s="176"/>
      <c r="M878" s="176"/>
      <c r="N878" s="176"/>
      <c r="O878" s="176"/>
      <c r="P878" s="176"/>
      <c r="Q878" s="176"/>
      <c r="R878" s="176"/>
      <c r="S878" s="176"/>
      <c r="T878" s="176"/>
      <c r="U878" s="176"/>
      <c r="V878" s="176"/>
      <c r="W878" s="176"/>
      <c r="X878" s="176"/>
      <c r="Y878" s="176"/>
      <c r="Z878" s="176"/>
      <c r="AA878" s="176"/>
      <c r="AB878" s="176"/>
      <c r="AC878" s="176"/>
      <c r="AD878" s="176"/>
      <c r="AE878" s="176"/>
      <c r="AF878" s="176"/>
      <c r="AG878" s="176"/>
      <c r="AH878" s="176"/>
      <c r="AI878" s="176"/>
      <c r="AJ878" s="176"/>
      <c r="AK878" s="176"/>
      <c r="AL878" s="176"/>
      <c r="AM878" s="176"/>
      <c r="AN878" s="176"/>
      <c r="AO878" s="176"/>
      <c r="AP878" s="176"/>
      <c r="AQ878" s="176"/>
      <c r="AR878" s="176"/>
      <c r="AS878" s="176"/>
      <c r="AT878" s="176"/>
      <c r="AU878" s="176"/>
      <c r="AV878" s="176"/>
      <c r="AW878" s="176"/>
      <c r="AX878" s="176"/>
      <c r="AY878" s="176"/>
      <c r="AZ878" s="176"/>
      <c r="BA878" s="176"/>
      <c r="BB878" s="176"/>
      <c r="BC878" s="176"/>
      <c r="BD878" s="176"/>
    </row>
    <row r="879" ht="15.75" customHeight="1">
      <c r="A879" s="176"/>
      <c r="B879" s="176"/>
      <c r="C879" s="176"/>
      <c r="D879" s="176"/>
      <c r="E879" s="176"/>
      <c r="F879" s="176"/>
      <c r="G879" s="178"/>
      <c r="H879" s="176"/>
      <c r="I879" s="176"/>
      <c r="J879" s="176"/>
      <c r="K879" s="176"/>
      <c r="L879" s="176"/>
      <c r="M879" s="176"/>
      <c r="N879" s="176"/>
      <c r="O879" s="176"/>
      <c r="P879" s="176"/>
      <c r="Q879" s="176"/>
      <c r="R879" s="176"/>
      <c r="S879" s="176"/>
      <c r="T879" s="176"/>
      <c r="U879" s="176"/>
      <c r="V879" s="176"/>
      <c r="W879" s="176"/>
      <c r="X879" s="176"/>
      <c r="Y879" s="176"/>
      <c r="Z879" s="176"/>
      <c r="AA879" s="176"/>
      <c r="AB879" s="176"/>
      <c r="AC879" s="176"/>
      <c r="AD879" s="176"/>
      <c r="AE879" s="176"/>
      <c r="AF879" s="176"/>
      <c r="AG879" s="176"/>
      <c r="AH879" s="176"/>
      <c r="AI879" s="176"/>
      <c r="AJ879" s="176"/>
      <c r="AK879" s="176"/>
      <c r="AL879" s="176"/>
      <c r="AM879" s="176"/>
      <c r="AN879" s="176"/>
      <c r="AO879" s="176"/>
      <c r="AP879" s="176"/>
      <c r="AQ879" s="176"/>
      <c r="AR879" s="176"/>
      <c r="AS879" s="176"/>
      <c r="AT879" s="176"/>
      <c r="AU879" s="176"/>
      <c r="AV879" s="176"/>
      <c r="AW879" s="176"/>
      <c r="AX879" s="176"/>
      <c r="AY879" s="176"/>
      <c r="AZ879" s="176"/>
      <c r="BA879" s="176"/>
      <c r="BB879" s="176"/>
      <c r="BC879" s="176"/>
      <c r="BD879" s="176"/>
    </row>
    <row r="880" ht="15.75" customHeight="1">
      <c r="A880" s="176"/>
      <c r="B880" s="176"/>
      <c r="C880" s="176"/>
      <c r="D880" s="176"/>
      <c r="E880" s="176"/>
      <c r="F880" s="176"/>
      <c r="G880" s="178"/>
      <c r="H880" s="176"/>
      <c r="I880" s="176"/>
      <c r="J880" s="176"/>
      <c r="K880" s="176"/>
      <c r="L880" s="176"/>
      <c r="M880" s="176"/>
      <c r="N880" s="176"/>
      <c r="O880" s="176"/>
      <c r="P880" s="176"/>
      <c r="Q880" s="176"/>
      <c r="R880" s="176"/>
      <c r="S880" s="176"/>
      <c r="T880" s="176"/>
      <c r="U880" s="176"/>
      <c r="V880" s="176"/>
      <c r="W880" s="176"/>
      <c r="X880" s="176"/>
      <c r="Y880" s="176"/>
      <c r="Z880" s="176"/>
      <c r="AA880" s="176"/>
      <c r="AB880" s="176"/>
      <c r="AC880" s="176"/>
      <c r="AD880" s="176"/>
      <c r="AE880" s="176"/>
      <c r="AF880" s="176"/>
      <c r="AG880" s="176"/>
      <c r="AH880" s="176"/>
      <c r="AI880" s="176"/>
      <c r="AJ880" s="176"/>
      <c r="AK880" s="176"/>
      <c r="AL880" s="176"/>
      <c r="AM880" s="176"/>
      <c r="AN880" s="176"/>
      <c r="AO880" s="176"/>
      <c r="AP880" s="176"/>
      <c r="AQ880" s="176"/>
      <c r="AR880" s="176"/>
      <c r="AS880" s="176"/>
      <c r="AT880" s="176"/>
      <c r="AU880" s="176"/>
      <c r="AV880" s="176"/>
      <c r="AW880" s="176"/>
      <c r="AX880" s="176"/>
      <c r="AY880" s="176"/>
      <c r="AZ880" s="176"/>
      <c r="BA880" s="176"/>
      <c r="BB880" s="176"/>
      <c r="BC880" s="176"/>
      <c r="BD880" s="176"/>
    </row>
    <row r="881" ht="15.75" customHeight="1">
      <c r="A881" s="176"/>
      <c r="B881" s="176"/>
      <c r="C881" s="176"/>
      <c r="D881" s="176"/>
      <c r="E881" s="176"/>
      <c r="F881" s="176"/>
      <c r="G881" s="178"/>
      <c r="H881" s="176"/>
      <c r="I881" s="176"/>
      <c r="J881" s="176"/>
      <c r="K881" s="176"/>
      <c r="L881" s="176"/>
      <c r="M881" s="176"/>
      <c r="N881" s="176"/>
      <c r="O881" s="176"/>
      <c r="P881" s="176"/>
      <c r="Q881" s="176"/>
      <c r="R881" s="176"/>
      <c r="S881" s="176"/>
      <c r="T881" s="176"/>
      <c r="U881" s="176"/>
      <c r="V881" s="176"/>
      <c r="W881" s="176"/>
      <c r="X881" s="176"/>
      <c r="Y881" s="176"/>
      <c r="Z881" s="176"/>
      <c r="AA881" s="176"/>
      <c r="AB881" s="176"/>
      <c r="AC881" s="176"/>
      <c r="AD881" s="176"/>
      <c r="AE881" s="176"/>
      <c r="AF881" s="176"/>
      <c r="AG881" s="176"/>
      <c r="AH881" s="176"/>
      <c r="AI881" s="176"/>
      <c r="AJ881" s="176"/>
      <c r="AK881" s="176"/>
      <c r="AL881" s="176"/>
      <c r="AM881" s="176"/>
      <c r="AN881" s="176"/>
      <c r="AO881" s="176"/>
      <c r="AP881" s="176"/>
      <c r="AQ881" s="176"/>
      <c r="AR881" s="176"/>
      <c r="AS881" s="176"/>
      <c r="AT881" s="176"/>
      <c r="AU881" s="176"/>
      <c r="AV881" s="176"/>
      <c r="AW881" s="176"/>
      <c r="AX881" s="176"/>
      <c r="AY881" s="176"/>
      <c r="AZ881" s="176"/>
      <c r="BA881" s="176"/>
      <c r="BB881" s="176"/>
      <c r="BC881" s="176"/>
      <c r="BD881" s="176"/>
    </row>
    <row r="882" ht="15.75" customHeight="1">
      <c r="A882" s="176"/>
      <c r="B882" s="176"/>
      <c r="C882" s="176"/>
      <c r="D882" s="176"/>
      <c r="E882" s="176"/>
      <c r="F882" s="176"/>
      <c r="G882" s="178"/>
      <c r="H882" s="176"/>
      <c r="I882" s="176"/>
      <c r="J882" s="176"/>
      <c r="K882" s="176"/>
      <c r="L882" s="176"/>
      <c r="M882" s="176"/>
      <c r="N882" s="176"/>
      <c r="O882" s="176"/>
      <c r="P882" s="176"/>
      <c r="Q882" s="176"/>
      <c r="R882" s="176"/>
      <c r="S882" s="176"/>
      <c r="T882" s="176"/>
      <c r="U882" s="176"/>
      <c r="V882" s="176"/>
      <c r="W882" s="176"/>
      <c r="X882" s="176"/>
      <c r="Y882" s="176"/>
      <c r="Z882" s="176"/>
      <c r="AA882" s="176"/>
      <c r="AB882" s="176"/>
      <c r="AC882" s="176"/>
      <c r="AD882" s="176"/>
      <c r="AE882" s="176"/>
      <c r="AF882" s="176"/>
      <c r="AG882" s="176"/>
      <c r="AH882" s="176"/>
      <c r="AI882" s="176"/>
      <c r="AJ882" s="176"/>
      <c r="AK882" s="176"/>
      <c r="AL882" s="176"/>
      <c r="AM882" s="176"/>
      <c r="AN882" s="176"/>
      <c r="AO882" s="176"/>
      <c r="AP882" s="176"/>
      <c r="AQ882" s="176"/>
      <c r="AR882" s="176"/>
      <c r="AS882" s="176"/>
      <c r="AT882" s="176"/>
      <c r="AU882" s="176"/>
      <c r="AV882" s="176"/>
      <c r="AW882" s="176"/>
      <c r="AX882" s="176"/>
      <c r="AY882" s="176"/>
      <c r="AZ882" s="176"/>
      <c r="BA882" s="176"/>
      <c r="BB882" s="176"/>
      <c r="BC882" s="176"/>
      <c r="BD882" s="176"/>
    </row>
    <row r="883" ht="15.75" customHeight="1">
      <c r="A883" s="176"/>
      <c r="B883" s="176"/>
      <c r="C883" s="176"/>
      <c r="D883" s="176"/>
      <c r="E883" s="176"/>
      <c r="F883" s="176"/>
      <c r="G883" s="178"/>
      <c r="H883" s="176"/>
      <c r="I883" s="176"/>
      <c r="J883" s="176"/>
      <c r="K883" s="176"/>
      <c r="L883" s="176"/>
      <c r="M883" s="176"/>
      <c r="N883" s="176"/>
      <c r="O883" s="176"/>
      <c r="P883" s="176"/>
      <c r="Q883" s="176"/>
      <c r="R883" s="176"/>
      <c r="S883" s="176"/>
      <c r="T883" s="176"/>
      <c r="U883" s="176"/>
      <c r="V883" s="176"/>
      <c r="W883" s="176"/>
      <c r="X883" s="176"/>
      <c r="Y883" s="176"/>
      <c r="Z883" s="176"/>
      <c r="AA883" s="176"/>
      <c r="AB883" s="176"/>
      <c r="AC883" s="176"/>
      <c r="AD883" s="176"/>
      <c r="AE883" s="176"/>
      <c r="AF883" s="176"/>
      <c r="AG883" s="176"/>
      <c r="AH883" s="176"/>
      <c r="AI883" s="176"/>
      <c r="AJ883" s="176"/>
      <c r="AK883" s="176"/>
      <c r="AL883" s="176"/>
      <c r="AM883" s="176"/>
      <c r="AN883" s="176"/>
      <c r="AO883" s="176"/>
      <c r="AP883" s="176"/>
      <c r="AQ883" s="176"/>
      <c r="AR883" s="176"/>
      <c r="AS883" s="176"/>
      <c r="AT883" s="176"/>
      <c r="AU883" s="176"/>
      <c r="AV883" s="176"/>
      <c r="AW883" s="176"/>
      <c r="AX883" s="176"/>
      <c r="AY883" s="176"/>
      <c r="AZ883" s="176"/>
      <c r="BA883" s="176"/>
      <c r="BB883" s="176"/>
      <c r="BC883" s="176"/>
      <c r="BD883" s="176"/>
    </row>
    <row r="884" ht="15.75" customHeight="1">
      <c r="A884" s="176"/>
      <c r="B884" s="176"/>
      <c r="C884" s="176"/>
      <c r="D884" s="176"/>
      <c r="E884" s="176"/>
      <c r="F884" s="176"/>
      <c r="G884" s="178"/>
      <c r="H884" s="176"/>
      <c r="I884" s="176"/>
      <c r="J884" s="176"/>
      <c r="K884" s="176"/>
      <c r="L884" s="176"/>
      <c r="M884" s="176"/>
      <c r="N884" s="176"/>
      <c r="O884" s="176"/>
      <c r="P884" s="176"/>
      <c r="Q884" s="176"/>
      <c r="R884" s="176"/>
      <c r="S884" s="176"/>
      <c r="T884" s="176"/>
      <c r="U884" s="176"/>
      <c r="V884" s="176"/>
      <c r="W884" s="176"/>
      <c r="X884" s="176"/>
      <c r="Y884" s="176"/>
      <c r="Z884" s="176"/>
      <c r="AA884" s="176"/>
      <c r="AB884" s="176"/>
      <c r="AC884" s="176"/>
      <c r="AD884" s="176"/>
      <c r="AE884" s="176"/>
      <c r="AF884" s="176"/>
      <c r="AG884" s="176"/>
      <c r="AH884" s="176"/>
      <c r="AI884" s="176"/>
      <c r="AJ884" s="176"/>
      <c r="AK884" s="176"/>
      <c r="AL884" s="176"/>
      <c r="AM884" s="176"/>
      <c r="AN884" s="176"/>
      <c r="AO884" s="176"/>
      <c r="AP884" s="176"/>
      <c r="AQ884" s="176"/>
      <c r="AR884" s="176"/>
      <c r="AS884" s="176"/>
      <c r="AT884" s="176"/>
      <c r="AU884" s="176"/>
      <c r="AV884" s="176"/>
      <c r="AW884" s="176"/>
      <c r="AX884" s="176"/>
      <c r="AY884" s="176"/>
      <c r="AZ884" s="176"/>
      <c r="BA884" s="176"/>
      <c r="BB884" s="176"/>
      <c r="BC884" s="176"/>
      <c r="BD884" s="176"/>
    </row>
    <row r="885" ht="15.75" customHeight="1">
      <c r="A885" s="176"/>
      <c r="B885" s="176"/>
      <c r="C885" s="176"/>
      <c r="D885" s="176"/>
      <c r="E885" s="176"/>
      <c r="F885" s="176"/>
      <c r="G885" s="178"/>
      <c r="H885" s="176"/>
      <c r="I885" s="176"/>
      <c r="J885" s="176"/>
      <c r="K885" s="176"/>
      <c r="L885" s="176"/>
      <c r="M885" s="176"/>
      <c r="N885" s="176"/>
      <c r="O885" s="176"/>
      <c r="P885" s="176"/>
      <c r="Q885" s="176"/>
      <c r="R885" s="176"/>
      <c r="S885" s="176"/>
      <c r="T885" s="176"/>
      <c r="U885" s="176"/>
      <c r="V885" s="176"/>
      <c r="W885" s="176"/>
      <c r="X885" s="176"/>
      <c r="Y885" s="176"/>
      <c r="Z885" s="176"/>
      <c r="AA885" s="176"/>
      <c r="AB885" s="176"/>
      <c r="AC885" s="176"/>
      <c r="AD885" s="176"/>
      <c r="AE885" s="176"/>
      <c r="AF885" s="176"/>
      <c r="AG885" s="176"/>
      <c r="AH885" s="176"/>
      <c r="AI885" s="176"/>
      <c r="AJ885" s="176"/>
      <c r="AK885" s="176"/>
      <c r="AL885" s="176"/>
      <c r="AM885" s="176"/>
      <c r="AN885" s="176"/>
      <c r="AO885" s="176"/>
      <c r="AP885" s="176"/>
      <c r="AQ885" s="176"/>
      <c r="AR885" s="176"/>
      <c r="AS885" s="176"/>
      <c r="AT885" s="176"/>
      <c r="AU885" s="176"/>
      <c r="AV885" s="176"/>
      <c r="AW885" s="176"/>
      <c r="AX885" s="176"/>
      <c r="AY885" s="176"/>
      <c r="AZ885" s="176"/>
      <c r="BA885" s="176"/>
      <c r="BB885" s="176"/>
      <c r="BC885" s="176"/>
      <c r="BD885" s="176"/>
    </row>
    <row r="886" ht="15.75" customHeight="1">
      <c r="A886" s="176"/>
      <c r="B886" s="176"/>
      <c r="C886" s="176"/>
      <c r="D886" s="176"/>
      <c r="E886" s="176"/>
      <c r="F886" s="176"/>
      <c r="G886" s="178"/>
      <c r="H886" s="176"/>
      <c r="I886" s="176"/>
      <c r="J886" s="176"/>
      <c r="K886" s="176"/>
      <c r="L886" s="176"/>
      <c r="M886" s="176"/>
      <c r="N886" s="176"/>
      <c r="O886" s="176"/>
      <c r="P886" s="176"/>
      <c r="Q886" s="176"/>
      <c r="R886" s="176"/>
      <c r="S886" s="176"/>
      <c r="T886" s="176"/>
      <c r="U886" s="176"/>
      <c r="V886" s="176"/>
      <c r="W886" s="176"/>
      <c r="X886" s="176"/>
      <c r="Y886" s="176"/>
      <c r="Z886" s="176"/>
      <c r="AA886" s="176"/>
      <c r="AB886" s="176"/>
      <c r="AC886" s="176"/>
      <c r="AD886" s="176"/>
      <c r="AE886" s="176"/>
      <c r="AF886" s="176"/>
      <c r="AG886" s="176"/>
      <c r="AH886" s="176"/>
      <c r="AI886" s="176"/>
      <c r="AJ886" s="176"/>
      <c r="AK886" s="176"/>
      <c r="AL886" s="176"/>
      <c r="AM886" s="176"/>
      <c r="AN886" s="176"/>
      <c r="AO886" s="176"/>
      <c r="AP886" s="176"/>
      <c r="AQ886" s="176"/>
      <c r="AR886" s="176"/>
      <c r="AS886" s="176"/>
      <c r="AT886" s="176"/>
      <c r="AU886" s="176"/>
      <c r="AV886" s="176"/>
      <c r="AW886" s="176"/>
      <c r="AX886" s="176"/>
      <c r="AY886" s="176"/>
      <c r="AZ886" s="176"/>
      <c r="BA886" s="176"/>
      <c r="BB886" s="176"/>
      <c r="BC886" s="176"/>
      <c r="BD886" s="176"/>
    </row>
    <row r="887" ht="15.75" customHeight="1">
      <c r="A887" s="176"/>
      <c r="B887" s="176"/>
      <c r="C887" s="176"/>
      <c r="D887" s="176"/>
      <c r="E887" s="176"/>
      <c r="F887" s="176"/>
      <c r="G887" s="178"/>
      <c r="H887" s="176"/>
      <c r="I887" s="176"/>
      <c r="J887" s="176"/>
      <c r="K887" s="176"/>
      <c r="L887" s="176"/>
      <c r="M887" s="176"/>
      <c r="N887" s="176"/>
      <c r="O887" s="176"/>
      <c r="P887" s="176"/>
      <c r="Q887" s="176"/>
      <c r="R887" s="176"/>
      <c r="S887" s="176"/>
      <c r="T887" s="176"/>
      <c r="U887" s="176"/>
      <c r="V887" s="176"/>
      <c r="W887" s="176"/>
      <c r="X887" s="176"/>
      <c r="Y887" s="176"/>
      <c r="Z887" s="176"/>
      <c r="AA887" s="176"/>
      <c r="AB887" s="176"/>
      <c r="AC887" s="176"/>
      <c r="AD887" s="176"/>
      <c r="AE887" s="176"/>
      <c r="AF887" s="176"/>
      <c r="AG887" s="176"/>
      <c r="AH887" s="176"/>
      <c r="AI887" s="176"/>
      <c r="AJ887" s="176"/>
      <c r="AK887" s="176"/>
      <c r="AL887" s="176"/>
      <c r="AM887" s="176"/>
      <c r="AN887" s="176"/>
      <c r="AO887" s="176"/>
      <c r="AP887" s="176"/>
      <c r="AQ887" s="176"/>
      <c r="AR887" s="176"/>
      <c r="AS887" s="176"/>
      <c r="AT887" s="176"/>
      <c r="AU887" s="176"/>
      <c r="AV887" s="176"/>
      <c r="AW887" s="176"/>
      <c r="AX887" s="176"/>
      <c r="AY887" s="176"/>
      <c r="AZ887" s="176"/>
      <c r="BA887" s="176"/>
      <c r="BB887" s="176"/>
      <c r="BC887" s="176"/>
      <c r="BD887" s="176"/>
    </row>
    <row r="888" ht="15.75" customHeight="1">
      <c r="A888" s="176"/>
      <c r="B888" s="176"/>
      <c r="C888" s="176"/>
      <c r="D888" s="176"/>
      <c r="E888" s="176"/>
      <c r="F888" s="176"/>
      <c r="G888" s="178"/>
      <c r="H888" s="176"/>
      <c r="I888" s="176"/>
      <c r="J888" s="176"/>
      <c r="K888" s="176"/>
      <c r="L888" s="176"/>
      <c r="M888" s="176"/>
      <c r="N888" s="176"/>
      <c r="O888" s="176"/>
      <c r="P888" s="176"/>
      <c r="Q888" s="176"/>
      <c r="R888" s="176"/>
      <c r="S888" s="176"/>
      <c r="T888" s="176"/>
      <c r="U888" s="176"/>
      <c r="V888" s="176"/>
      <c r="W888" s="176"/>
      <c r="X888" s="176"/>
      <c r="Y888" s="176"/>
      <c r="Z888" s="176"/>
      <c r="AA888" s="176"/>
      <c r="AB888" s="176"/>
      <c r="AC888" s="176"/>
      <c r="AD888" s="176"/>
      <c r="AE888" s="176"/>
      <c r="AF888" s="176"/>
      <c r="AG888" s="176"/>
      <c r="AH888" s="176"/>
      <c r="AI888" s="176"/>
      <c r="AJ888" s="176"/>
      <c r="AK888" s="176"/>
      <c r="AL888" s="176"/>
      <c r="AM888" s="176"/>
      <c r="AN888" s="176"/>
      <c r="AO888" s="176"/>
      <c r="AP888" s="176"/>
      <c r="AQ888" s="176"/>
      <c r="AR888" s="176"/>
      <c r="AS888" s="176"/>
      <c r="AT888" s="176"/>
      <c r="AU888" s="176"/>
      <c r="AV888" s="176"/>
      <c r="AW888" s="176"/>
      <c r="AX888" s="176"/>
      <c r="AY888" s="176"/>
      <c r="AZ888" s="176"/>
      <c r="BA888" s="176"/>
      <c r="BB888" s="176"/>
      <c r="BC888" s="176"/>
      <c r="BD888" s="176"/>
    </row>
    <row r="889" ht="15.75" customHeight="1">
      <c r="A889" s="176"/>
      <c r="B889" s="176"/>
      <c r="C889" s="176"/>
      <c r="D889" s="176"/>
      <c r="E889" s="176"/>
      <c r="F889" s="176"/>
      <c r="G889" s="178"/>
      <c r="H889" s="176"/>
      <c r="I889" s="176"/>
      <c r="J889" s="176"/>
      <c r="K889" s="176"/>
      <c r="L889" s="176"/>
      <c r="M889" s="176"/>
      <c r="N889" s="176"/>
      <c r="O889" s="176"/>
      <c r="P889" s="176"/>
      <c r="Q889" s="176"/>
      <c r="R889" s="176"/>
      <c r="S889" s="176"/>
      <c r="T889" s="176"/>
      <c r="U889" s="176"/>
      <c r="V889" s="176"/>
      <c r="W889" s="176"/>
      <c r="X889" s="176"/>
      <c r="Y889" s="176"/>
      <c r="Z889" s="176"/>
      <c r="AA889" s="176"/>
      <c r="AB889" s="176"/>
      <c r="AC889" s="176"/>
      <c r="AD889" s="176"/>
      <c r="AE889" s="176"/>
      <c r="AF889" s="176"/>
      <c r="AG889" s="176"/>
      <c r="AH889" s="176"/>
      <c r="AI889" s="176"/>
      <c r="AJ889" s="176"/>
      <c r="AK889" s="176"/>
      <c r="AL889" s="176"/>
      <c r="AM889" s="176"/>
      <c r="AN889" s="176"/>
      <c r="AO889" s="176"/>
      <c r="AP889" s="176"/>
      <c r="AQ889" s="176"/>
      <c r="AR889" s="176"/>
      <c r="AS889" s="176"/>
      <c r="AT889" s="176"/>
      <c r="AU889" s="176"/>
      <c r="AV889" s="176"/>
      <c r="AW889" s="176"/>
      <c r="AX889" s="176"/>
      <c r="AY889" s="176"/>
      <c r="AZ889" s="176"/>
      <c r="BA889" s="176"/>
      <c r="BB889" s="176"/>
      <c r="BC889" s="176"/>
      <c r="BD889" s="176"/>
    </row>
    <row r="890" ht="15.75" customHeight="1">
      <c r="A890" s="176"/>
      <c r="B890" s="176"/>
      <c r="C890" s="176"/>
      <c r="D890" s="176"/>
      <c r="E890" s="176"/>
      <c r="F890" s="176"/>
      <c r="G890" s="178"/>
      <c r="H890" s="176"/>
      <c r="I890" s="176"/>
      <c r="J890" s="176"/>
      <c r="K890" s="176"/>
      <c r="L890" s="176"/>
      <c r="M890" s="176"/>
      <c r="N890" s="176"/>
      <c r="O890" s="176"/>
      <c r="P890" s="176"/>
      <c r="Q890" s="176"/>
      <c r="R890" s="176"/>
      <c r="S890" s="176"/>
      <c r="T890" s="176"/>
      <c r="U890" s="176"/>
      <c r="V890" s="176"/>
      <c r="W890" s="176"/>
      <c r="X890" s="176"/>
      <c r="Y890" s="176"/>
      <c r="Z890" s="176"/>
      <c r="AA890" s="176"/>
      <c r="AB890" s="176"/>
      <c r="AC890" s="176"/>
      <c r="AD890" s="176"/>
      <c r="AE890" s="176"/>
      <c r="AF890" s="176"/>
      <c r="AG890" s="176"/>
      <c r="AH890" s="176"/>
      <c r="AI890" s="176"/>
      <c r="AJ890" s="176"/>
      <c r="AK890" s="176"/>
      <c r="AL890" s="176"/>
      <c r="AM890" s="176"/>
      <c r="AN890" s="176"/>
      <c r="AO890" s="176"/>
      <c r="AP890" s="176"/>
      <c r="AQ890" s="176"/>
      <c r="AR890" s="176"/>
      <c r="AS890" s="176"/>
      <c r="AT890" s="176"/>
      <c r="AU890" s="176"/>
      <c r="AV890" s="176"/>
      <c r="AW890" s="176"/>
      <c r="AX890" s="176"/>
      <c r="AY890" s="176"/>
      <c r="AZ890" s="176"/>
      <c r="BA890" s="176"/>
      <c r="BB890" s="176"/>
      <c r="BC890" s="176"/>
      <c r="BD890" s="176"/>
    </row>
    <row r="891" ht="15.75" customHeight="1">
      <c r="A891" s="176"/>
      <c r="B891" s="176"/>
      <c r="C891" s="176"/>
      <c r="D891" s="176"/>
      <c r="E891" s="176"/>
      <c r="F891" s="176"/>
      <c r="G891" s="178"/>
      <c r="H891" s="176"/>
      <c r="I891" s="176"/>
      <c r="J891" s="176"/>
      <c r="K891" s="176"/>
      <c r="L891" s="176"/>
      <c r="M891" s="176"/>
      <c r="N891" s="176"/>
      <c r="O891" s="176"/>
      <c r="P891" s="176"/>
      <c r="Q891" s="176"/>
      <c r="R891" s="176"/>
      <c r="S891" s="176"/>
      <c r="T891" s="176"/>
      <c r="U891" s="176"/>
      <c r="V891" s="176"/>
      <c r="W891" s="176"/>
      <c r="X891" s="176"/>
      <c r="Y891" s="176"/>
      <c r="Z891" s="176"/>
      <c r="AA891" s="176"/>
      <c r="AB891" s="176"/>
      <c r="AC891" s="176"/>
      <c r="AD891" s="176"/>
      <c r="AE891" s="176"/>
      <c r="AF891" s="176"/>
      <c r="AG891" s="176"/>
      <c r="AH891" s="176"/>
      <c r="AI891" s="176"/>
      <c r="AJ891" s="176"/>
      <c r="AK891" s="176"/>
      <c r="AL891" s="176"/>
      <c r="AM891" s="176"/>
      <c r="AN891" s="176"/>
      <c r="AO891" s="176"/>
      <c r="AP891" s="176"/>
      <c r="AQ891" s="176"/>
      <c r="AR891" s="176"/>
      <c r="AS891" s="176"/>
      <c r="AT891" s="176"/>
      <c r="AU891" s="176"/>
      <c r="AV891" s="176"/>
      <c r="AW891" s="176"/>
      <c r="AX891" s="176"/>
      <c r="AY891" s="176"/>
      <c r="AZ891" s="176"/>
      <c r="BA891" s="176"/>
      <c r="BB891" s="176"/>
      <c r="BC891" s="176"/>
      <c r="BD891" s="176"/>
    </row>
    <row r="892" ht="15.75" customHeight="1">
      <c r="A892" s="176"/>
      <c r="B892" s="176"/>
      <c r="C892" s="176"/>
      <c r="D892" s="176"/>
      <c r="E892" s="176"/>
      <c r="F892" s="176"/>
      <c r="G892" s="178"/>
      <c r="H892" s="176"/>
      <c r="I892" s="176"/>
      <c r="J892" s="176"/>
      <c r="K892" s="176"/>
      <c r="L892" s="176"/>
      <c r="M892" s="176"/>
      <c r="N892" s="176"/>
      <c r="O892" s="176"/>
      <c r="P892" s="176"/>
      <c r="Q892" s="176"/>
      <c r="R892" s="176"/>
      <c r="S892" s="176"/>
      <c r="T892" s="176"/>
      <c r="U892" s="176"/>
      <c r="V892" s="176"/>
      <c r="W892" s="176"/>
      <c r="X892" s="176"/>
      <c r="Y892" s="176"/>
      <c r="Z892" s="176"/>
      <c r="AA892" s="176"/>
      <c r="AB892" s="176"/>
      <c r="AC892" s="176"/>
      <c r="AD892" s="176"/>
      <c r="AE892" s="176"/>
      <c r="AF892" s="176"/>
      <c r="AG892" s="176"/>
      <c r="AH892" s="176"/>
      <c r="AI892" s="176"/>
      <c r="AJ892" s="176"/>
      <c r="AK892" s="176"/>
      <c r="AL892" s="176"/>
      <c r="AM892" s="176"/>
      <c r="AN892" s="176"/>
      <c r="AO892" s="176"/>
      <c r="AP892" s="176"/>
      <c r="AQ892" s="176"/>
      <c r="AR892" s="176"/>
      <c r="AS892" s="176"/>
      <c r="AT892" s="176"/>
      <c r="AU892" s="176"/>
      <c r="AV892" s="176"/>
      <c r="AW892" s="176"/>
      <c r="AX892" s="176"/>
      <c r="AY892" s="176"/>
      <c r="AZ892" s="176"/>
      <c r="BA892" s="176"/>
      <c r="BB892" s="176"/>
      <c r="BC892" s="176"/>
      <c r="BD892" s="176"/>
    </row>
    <row r="893" ht="15.75" customHeight="1">
      <c r="A893" s="176"/>
      <c r="B893" s="176"/>
      <c r="C893" s="176"/>
      <c r="D893" s="176"/>
      <c r="E893" s="176"/>
      <c r="F893" s="176"/>
      <c r="G893" s="178"/>
      <c r="H893" s="176"/>
      <c r="I893" s="176"/>
      <c r="J893" s="176"/>
      <c r="K893" s="176"/>
      <c r="L893" s="176"/>
      <c r="M893" s="176"/>
      <c r="N893" s="176"/>
      <c r="O893" s="176"/>
      <c r="P893" s="176"/>
      <c r="Q893" s="176"/>
      <c r="R893" s="176"/>
      <c r="S893" s="176"/>
      <c r="T893" s="176"/>
      <c r="U893" s="176"/>
      <c r="V893" s="176"/>
      <c r="W893" s="176"/>
      <c r="X893" s="176"/>
      <c r="Y893" s="176"/>
      <c r="Z893" s="176"/>
      <c r="AA893" s="176"/>
      <c r="AB893" s="176"/>
      <c r="AC893" s="176"/>
      <c r="AD893" s="176"/>
      <c r="AE893" s="176"/>
      <c r="AF893" s="176"/>
      <c r="AG893" s="176"/>
      <c r="AH893" s="176"/>
      <c r="AI893" s="176"/>
      <c r="AJ893" s="176"/>
      <c r="AK893" s="176"/>
      <c r="AL893" s="176"/>
      <c r="AM893" s="176"/>
      <c r="AN893" s="176"/>
      <c r="AO893" s="176"/>
      <c r="AP893" s="176"/>
      <c r="AQ893" s="176"/>
      <c r="AR893" s="176"/>
      <c r="AS893" s="176"/>
      <c r="AT893" s="176"/>
      <c r="AU893" s="176"/>
      <c r="AV893" s="176"/>
      <c r="AW893" s="176"/>
      <c r="AX893" s="176"/>
      <c r="AY893" s="176"/>
      <c r="AZ893" s="176"/>
      <c r="BA893" s="176"/>
      <c r="BB893" s="176"/>
      <c r="BC893" s="176"/>
      <c r="BD893" s="176"/>
    </row>
    <row r="894" ht="15.75" customHeight="1">
      <c r="A894" s="176"/>
      <c r="B894" s="176"/>
      <c r="C894" s="176"/>
      <c r="D894" s="176"/>
      <c r="E894" s="176"/>
      <c r="F894" s="176"/>
      <c r="G894" s="178"/>
      <c r="H894" s="176"/>
      <c r="I894" s="176"/>
      <c r="J894" s="176"/>
      <c r="K894" s="176"/>
      <c r="L894" s="176"/>
      <c r="M894" s="176"/>
      <c r="N894" s="176"/>
      <c r="O894" s="176"/>
      <c r="P894" s="176"/>
      <c r="Q894" s="176"/>
      <c r="R894" s="176"/>
      <c r="S894" s="176"/>
      <c r="T894" s="176"/>
      <c r="U894" s="176"/>
      <c r="V894" s="176"/>
      <c r="W894" s="176"/>
      <c r="X894" s="176"/>
      <c r="Y894" s="176"/>
      <c r="Z894" s="176"/>
      <c r="AA894" s="176"/>
      <c r="AB894" s="176"/>
      <c r="AC894" s="176"/>
      <c r="AD894" s="176"/>
      <c r="AE894" s="176"/>
      <c r="AF894" s="176"/>
      <c r="AG894" s="176"/>
      <c r="AH894" s="176"/>
      <c r="AI894" s="176"/>
      <c r="AJ894" s="176"/>
      <c r="AK894" s="176"/>
      <c r="AL894" s="176"/>
      <c r="AM894" s="176"/>
      <c r="AN894" s="176"/>
      <c r="AO894" s="176"/>
      <c r="AP894" s="176"/>
      <c r="AQ894" s="176"/>
      <c r="AR894" s="176"/>
      <c r="AS894" s="176"/>
      <c r="AT894" s="176"/>
      <c r="AU894" s="176"/>
      <c r="AV894" s="176"/>
      <c r="AW894" s="176"/>
      <c r="AX894" s="176"/>
      <c r="AY894" s="176"/>
      <c r="AZ894" s="176"/>
      <c r="BA894" s="176"/>
      <c r="BB894" s="176"/>
      <c r="BC894" s="176"/>
      <c r="BD894" s="176"/>
    </row>
    <row r="895" ht="15.75" customHeight="1">
      <c r="A895" s="176"/>
      <c r="B895" s="176"/>
      <c r="C895" s="176"/>
      <c r="D895" s="176"/>
      <c r="E895" s="176"/>
      <c r="F895" s="176"/>
      <c r="G895" s="178"/>
      <c r="H895" s="176"/>
      <c r="I895" s="176"/>
      <c r="J895" s="176"/>
      <c r="K895" s="176"/>
      <c r="L895" s="176"/>
      <c r="M895" s="176"/>
      <c r="N895" s="176"/>
      <c r="O895" s="176"/>
      <c r="P895" s="176"/>
      <c r="Q895" s="176"/>
      <c r="R895" s="176"/>
      <c r="S895" s="176"/>
      <c r="T895" s="176"/>
      <c r="U895" s="176"/>
      <c r="V895" s="176"/>
      <c r="W895" s="176"/>
      <c r="X895" s="176"/>
      <c r="Y895" s="176"/>
      <c r="Z895" s="176"/>
      <c r="AA895" s="176"/>
      <c r="AB895" s="176"/>
      <c r="AC895" s="176"/>
      <c r="AD895" s="176"/>
      <c r="AE895" s="176"/>
      <c r="AF895" s="176"/>
      <c r="AG895" s="176"/>
      <c r="AH895" s="176"/>
      <c r="AI895" s="176"/>
      <c r="AJ895" s="176"/>
      <c r="AK895" s="176"/>
      <c r="AL895" s="176"/>
      <c r="AM895" s="176"/>
      <c r="AN895" s="176"/>
      <c r="AO895" s="176"/>
      <c r="AP895" s="176"/>
      <c r="AQ895" s="176"/>
      <c r="AR895" s="176"/>
      <c r="AS895" s="176"/>
      <c r="AT895" s="176"/>
      <c r="AU895" s="176"/>
      <c r="AV895" s="176"/>
      <c r="AW895" s="176"/>
      <c r="AX895" s="176"/>
      <c r="AY895" s="176"/>
      <c r="AZ895" s="176"/>
      <c r="BA895" s="176"/>
      <c r="BB895" s="176"/>
      <c r="BC895" s="176"/>
      <c r="BD895" s="176"/>
    </row>
    <row r="896" ht="15.75" customHeight="1">
      <c r="A896" s="176"/>
      <c r="B896" s="176"/>
      <c r="C896" s="176"/>
      <c r="D896" s="176"/>
      <c r="E896" s="176"/>
      <c r="F896" s="176"/>
      <c r="G896" s="178"/>
      <c r="H896" s="176"/>
      <c r="I896" s="176"/>
      <c r="J896" s="176"/>
      <c r="K896" s="176"/>
      <c r="L896" s="176"/>
      <c r="M896" s="176"/>
      <c r="N896" s="176"/>
      <c r="O896" s="176"/>
      <c r="P896" s="176"/>
      <c r="Q896" s="176"/>
      <c r="R896" s="176"/>
      <c r="S896" s="176"/>
      <c r="T896" s="176"/>
      <c r="U896" s="176"/>
      <c r="V896" s="176"/>
      <c r="W896" s="176"/>
      <c r="X896" s="176"/>
      <c r="Y896" s="176"/>
      <c r="Z896" s="176"/>
      <c r="AA896" s="176"/>
      <c r="AB896" s="176"/>
      <c r="AC896" s="176"/>
      <c r="AD896" s="176"/>
      <c r="AE896" s="176"/>
      <c r="AF896" s="176"/>
      <c r="AG896" s="176"/>
      <c r="AH896" s="176"/>
      <c r="AI896" s="176"/>
      <c r="AJ896" s="176"/>
      <c r="AK896" s="176"/>
      <c r="AL896" s="176"/>
      <c r="AM896" s="176"/>
      <c r="AN896" s="176"/>
      <c r="AO896" s="176"/>
      <c r="AP896" s="176"/>
      <c r="AQ896" s="176"/>
      <c r="AR896" s="176"/>
      <c r="AS896" s="176"/>
      <c r="AT896" s="176"/>
      <c r="AU896" s="176"/>
      <c r="AV896" s="176"/>
      <c r="AW896" s="176"/>
      <c r="AX896" s="176"/>
      <c r="AY896" s="176"/>
      <c r="AZ896" s="176"/>
      <c r="BA896" s="176"/>
      <c r="BB896" s="176"/>
      <c r="BC896" s="176"/>
      <c r="BD896" s="176"/>
    </row>
    <row r="897" ht="15.75" customHeight="1">
      <c r="A897" s="176"/>
      <c r="B897" s="176"/>
      <c r="C897" s="176"/>
      <c r="D897" s="176"/>
      <c r="E897" s="176"/>
      <c r="F897" s="176"/>
      <c r="G897" s="178"/>
      <c r="H897" s="176"/>
      <c r="I897" s="176"/>
      <c r="J897" s="176"/>
      <c r="K897" s="176"/>
      <c r="L897" s="176"/>
      <c r="M897" s="176"/>
      <c r="N897" s="176"/>
      <c r="O897" s="176"/>
      <c r="P897" s="176"/>
      <c r="Q897" s="176"/>
      <c r="R897" s="176"/>
      <c r="S897" s="176"/>
      <c r="T897" s="176"/>
      <c r="U897" s="176"/>
      <c r="V897" s="176"/>
      <c r="W897" s="176"/>
      <c r="X897" s="176"/>
      <c r="Y897" s="176"/>
      <c r="Z897" s="176"/>
      <c r="AA897" s="176"/>
      <c r="AB897" s="176"/>
      <c r="AC897" s="176"/>
      <c r="AD897" s="176"/>
      <c r="AE897" s="176"/>
      <c r="AF897" s="176"/>
      <c r="AG897" s="176"/>
      <c r="AH897" s="176"/>
      <c r="AI897" s="176"/>
      <c r="AJ897" s="176"/>
      <c r="AK897" s="176"/>
      <c r="AL897" s="176"/>
      <c r="AM897" s="176"/>
      <c r="AN897" s="176"/>
      <c r="AO897" s="176"/>
      <c r="AP897" s="176"/>
      <c r="AQ897" s="176"/>
      <c r="AR897" s="176"/>
      <c r="AS897" s="176"/>
      <c r="AT897" s="176"/>
      <c r="AU897" s="176"/>
      <c r="AV897" s="176"/>
      <c r="AW897" s="176"/>
      <c r="AX897" s="176"/>
      <c r="AY897" s="176"/>
      <c r="AZ897" s="176"/>
      <c r="BA897" s="176"/>
      <c r="BB897" s="176"/>
      <c r="BC897" s="176"/>
      <c r="BD897" s="176"/>
    </row>
    <row r="898" ht="15.75" customHeight="1">
      <c r="A898" s="176"/>
      <c r="B898" s="176"/>
      <c r="C898" s="176"/>
      <c r="D898" s="176"/>
      <c r="E898" s="176"/>
      <c r="F898" s="176"/>
      <c r="G898" s="178"/>
      <c r="H898" s="176"/>
      <c r="I898" s="176"/>
      <c r="J898" s="176"/>
      <c r="K898" s="176"/>
      <c r="L898" s="176"/>
      <c r="M898" s="176"/>
      <c r="N898" s="176"/>
      <c r="O898" s="176"/>
      <c r="P898" s="176"/>
      <c r="Q898" s="176"/>
      <c r="R898" s="176"/>
      <c r="S898" s="176"/>
      <c r="T898" s="176"/>
      <c r="U898" s="176"/>
      <c r="V898" s="176"/>
      <c r="W898" s="176"/>
      <c r="X898" s="176"/>
      <c r="Y898" s="176"/>
      <c r="Z898" s="176"/>
      <c r="AA898" s="176"/>
      <c r="AB898" s="176"/>
      <c r="AC898" s="176"/>
      <c r="AD898" s="176"/>
      <c r="AE898" s="176"/>
      <c r="AF898" s="176"/>
      <c r="AG898" s="176"/>
      <c r="AH898" s="176"/>
      <c r="AI898" s="176"/>
      <c r="AJ898" s="176"/>
      <c r="AK898" s="176"/>
      <c r="AL898" s="176"/>
      <c r="AM898" s="176"/>
      <c r="AN898" s="176"/>
      <c r="AO898" s="176"/>
      <c r="AP898" s="176"/>
      <c r="AQ898" s="176"/>
      <c r="AR898" s="176"/>
      <c r="AS898" s="176"/>
      <c r="AT898" s="176"/>
      <c r="AU898" s="176"/>
      <c r="AV898" s="176"/>
      <c r="AW898" s="176"/>
      <c r="AX898" s="176"/>
      <c r="AY898" s="176"/>
      <c r="AZ898" s="176"/>
      <c r="BA898" s="176"/>
      <c r="BB898" s="176"/>
      <c r="BC898" s="176"/>
      <c r="BD898" s="176"/>
    </row>
    <row r="899" ht="15.75" customHeight="1">
      <c r="A899" s="176"/>
      <c r="B899" s="176"/>
      <c r="C899" s="176"/>
      <c r="D899" s="176"/>
      <c r="E899" s="176"/>
      <c r="F899" s="176"/>
      <c r="G899" s="178"/>
      <c r="H899" s="176"/>
      <c r="I899" s="176"/>
      <c r="J899" s="176"/>
      <c r="K899" s="176"/>
      <c r="L899" s="176"/>
      <c r="M899" s="176"/>
      <c r="N899" s="176"/>
      <c r="O899" s="176"/>
      <c r="P899" s="176"/>
      <c r="Q899" s="176"/>
      <c r="R899" s="176"/>
      <c r="S899" s="176"/>
      <c r="T899" s="176"/>
      <c r="U899" s="176"/>
      <c r="V899" s="176"/>
      <c r="W899" s="176"/>
      <c r="X899" s="176"/>
      <c r="Y899" s="176"/>
      <c r="Z899" s="176"/>
      <c r="AA899" s="176"/>
      <c r="AB899" s="176"/>
      <c r="AC899" s="176"/>
      <c r="AD899" s="176"/>
      <c r="AE899" s="176"/>
      <c r="AF899" s="176"/>
      <c r="AG899" s="176"/>
      <c r="AH899" s="176"/>
      <c r="AI899" s="176"/>
      <c r="AJ899" s="176"/>
      <c r="AK899" s="176"/>
      <c r="AL899" s="176"/>
      <c r="AM899" s="176"/>
      <c r="AN899" s="176"/>
      <c r="AO899" s="176"/>
      <c r="AP899" s="176"/>
      <c r="AQ899" s="176"/>
      <c r="AR899" s="176"/>
      <c r="AS899" s="176"/>
      <c r="AT899" s="176"/>
      <c r="AU899" s="176"/>
      <c r="AV899" s="176"/>
      <c r="AW899" s="176"/>
      <c r="AX899" s="176"/>
      <c r="AY899" s="176"/>
      <c r="AZ899" s="176"/>
      <c r="BA899" s="176"/>
      <c r="BB899" s="176"/>
      <c r="BC899" s="176"/>
      <c r="BD899" s="176"/>
    </row>
    <row r="900" ht="15.75" customHeight="1">
      <c r="A900" s="176"/>
      <c r="B900" s="176"/>
      <c r="C900" s="176"/>
      <c r="D900" s="176"/>
      <c r="E900" s="176"/>
      <c r="F900" s="176"/>
      <c r="G900" s="178"/>
      <c r="H900" s="176"/>
      <c r="I900" s="176"/>
      <c r="J900" s="176"/>
      <c r="K900" s="176"/>
      <c r="L900" s="176"/>
      <c r="M900" s="176"/>
      <c r="N900" s="176"/>
      <c r="O900" s="176"/>
      <c r="P900" s="176"/>
      <c r="Q900" s="176"/>
      <c r="R900" s="176"/>
      <c r="S900" s="176"/>
      <c r="T900" s="176"/>
      <c r="U900" s="176"/>
      <c r="V900" s="176"/>
      <c r="W900" s="176"/>
      <c r="X900" s="176"/>
      <c r="Y900" s="176"/>
      <c r="Z900" s="176"/>
      <c r="AA900" s="176"/>
      <c r="AB900" s="176"/>
      <c r="AC900" s="176"/>
      <c r="AD900" s="176"/>
      <c r="AE900" s="176"/>
      <c r="AF900" s="176"/>
      <c r="AG900" s="176"/>
      <c r="AH900" s="176"/>
      <c r="AI900" s="176"/>
      <c r="AJ900" s="176"/>
      <c r="AK900" s="176"/>
      <c r="AL900" s="176"/>
      <c r="AM900" s="176"/>
      <c r="AN900" s="176"/>
      <c r="AO900" s="176"/>
      <c r="AP900" s="176"/>
      <c r="AQ900" s="176"/>
      <c r="AR900" s="176"/>
      <c r="AS900" s="176"/>
      <c r="AT900" s="176"/>
      <c r="AU900" s="176"/>
      <c r="AV900" s="176"/>
      <c r="AW900" s="176"/>
      <c r="AX900" s="176"/>
      <c r="AY900" s="176"/>
      <c r="AZ900" s="176"/>
      <c r="BA900" s="176"/>
      <c r="BB900" s="176"/>
      <c r="BC900" s="176"/>
      <c r="BD900" s="176"/>
    </row>
    <row r="901" ht="15.75" customHeight="1">
      <c r="A901" s="176"/>
      <c r="B901" s="176"/>
      <c r="C901" s="176"/>
      <c r="D901" s="176"/>
      <c r="E901" s="176"/>
      <c r="F901" s="176"/>
      <c r="G901" s="178"/>
      <c r="H901" s="176"/>
      <c r="I901" s="176"/>
      <c r="J901" s="176"/>
      <c r="K901" s="176"/>
      <c r="L901" s="176"/>
      <c r="M901" s="176"/>
      <c r="N901" s="176"/>
      <c r="O901" s="176"/>
      <c r="P901" s="176"/>
      <c r="Q901" s="176"/>
      <c r="R901" s="176"/>
      <c r="S901" s="176"/>
      <c r="T901" s="176"/>
      <c r="U901" s="176"/>
      <c r="V901" s="176"/>
      <c r="W901" s="176"/>
      <c r="X901" s="176"/>
      <c r="Y901" s="176"/>
      <c r="Z901" s="176"/>
      <c r="AA901" s="176"/>
      <c r="AB901" s="176"/>
      <c r="AC901" s="176"/>
      <c r="AD901" s="176"/>
      <c r="AE901" s="176"/>
      <c r="AF901" s="176"/>
      <c r="AG901" s="176"/>
      <c r="AH901" s="176"/>
      <c r="AI901" s="176"/>
      <c r="AJ901" s="176"/>
      <c r="AK901" s="176"/>
      <c r="AL901" s="176"/>
      <c r="AM901" s="176"/>
      <c r="AN901" s="176"/>
      <c r="AO901" s="176"/>
      <c r="AP901" s="176"/>
      <c r="AQ901" s="176"/>
      <c r="AR901" s="176"/>
      <c r="AS901" s="176"/>
      <c r="AT901" s="176"/>
      <c r="AU901" s="176"/>
      <c r="AV901" s="176"/>
      <c r="AW901" s="176"/>
      <c r="AX901" s="176"/>
      <c r="AY901" s="176"/>
      <c r="AZ901" s="176"/>
      <c r="BA901" s="176"/>
      <c r="BB901" s="176"/>
      <c r="BC901" s="176"/>
      <c r="BD901" s="176"/>
    </row>
    <row r="902" ht="15.75" customHeight="1">
      <c r="A902" s="176"/>
      <c r="B902" s="176"/>
      <c r="C902" s="176"/>
      <c r="D902" s="176"/>
      <c r="E902" s="176"/>
      <c r="F902" s="176"/>
      <c r="G902" s="178"/>
      <c r="H902" s="176"/>
      <c r="I902" s="176"/>
      <c r="J902" s="176"/>
      <c r="K902" s="176"/>
      <c r="L902" s="176"/>
      <c r="M902" s="176"/>
      <c r="N902" s="176"/>
      <c r="O902" s="176"/>
      <c r="P902" s="176"/>
      <c r="Q902" s="176"/>
      <c r="R902" s="176"/>
      <c r="S902" s="176"/>
      <c r="T902" s="176"/>
      <c r="U902" s="176"/>
      <c r="V902" s="176"/>
      <c r="W902" s="176"/>
      <c r="X902" s="176"/>
      <c r="Y902" s="176"/>
      <c r="Z902" s="176"/>
      <c r="AA902" s="176"/>
      <c r="AB902" s="176"/>
      <c r="AC902" s="176"/>
      <c r="AD902" s="176"/>
      <c r="AE902" s="176"/>
      <c r="AF902" s="176"/>
      <c r="AG902" s="176"/>
      <c r="AH902" s="176"/>
      <c r="AI902" s="176"/>
      <c r="AJ902" s="176"/>
      <c r="AK902" s="176"/>
      <c r="AL902" s="176"/>
      <c r="AM902" s="176"/>
      <c r="AN902" s="176"/>
      <c r="AO902" s="176"/>
      <c r="AP902" s="176"/>
      <c r="AQ902" s="176"/>
      <c r="AR902" s="176"/>
      <c r="AS902" s="176"/>
      <c r="AT902" s="176"/>
      <c r="AU902" s="176"/>
      <c r="AV902" s="176"/>
      <c r="AW902" s="176"/>
      <c r="AX902" s="176"/>
      <c r="AY902" s="176"/>
      <c r="AZ902" s="176"/>
      <c r="BA902" s="176"/>
      <c r="BB902" s="176"/>
      <c r="BC902" s="176"/>
      <c r="BD902" s="176"/>
    </row>
    <row r="903" ht="15.75" customHeight="1">
      <c r="A903" s="176"/>
      <c r="B903" s="176"/>
      <c r="C903" s="176"/>
      <c r="D903" s="176"/>
      <c r="E903" s="176"/>
      <c r="F903" s="176"/>
      <c r="G903" s="178"/>
      <c r="H903" s="176"/>
      <c r="I903" s="176"/>
      <c r="J903" s="176"/>
      <c r="K903" s="176"/>
      <c r="L903" s="176"/>
      <c r="M903" s="176"/>
      <c r="N903" s="176"/>
      <c r="O903" s="176"/>
      <c r="P903" s="176"/>
      <c r="Q903" s="176"/>
      <c r="R903" s="176"/>
      <c r="S903" s="176"/>
      <c r="T903" s="176"/>
      <c r="U903" s="176"/>
      <c r="V903" s="176"/>
      <c r="W903" s="176"/>
      <c r="X903" s="176"/>
      <c r="Y903" s="176"/>
      <c r="Z903" s="176"/>
      <c r="AA903" s="176"/>
      <c r="AB903" s="176"/>
      <c r="AC903" s="176"/>
      <c r="AD903" s="176"/>
      <c r="AE903" s="176"/>
      <c r="AF903" s="176"/>
      <c r="AG903" s="176"/>
      <c r="AH903" s="176"/>
      <c r="AI903" s="176"/>
      <c r="AJ903" s="176"/>
      <c r="AK903" s="176"/>
      <c r="AL903" s="176"/>
      <c r="AM903" s="176"/>
      <c r="AN903" s="176"/>
      <c r="AO903" s="176"/>
      <c r="AP903" s="176"/>
      <c r="AQ903" s="176"/>
      <c r="AR903" s="176"/>
      <c r="AS903" s="176"/>
      <c r="AT903" s="176"/>
      <c r="AU903" s="176"/>
      <c r="AV903" s="176"/>
      <c r="AW903" s="176"/>
      <c r="AX903" s="176"/>
      <c r="AY903" s="176"/>
      <c r="AZ903" s="176"/>
      <c r="BA903" s="176"/>
      <c r="BB903" s="176"/>
      <c r="BC903" s="176"/>
      <c r="BD903" s="176"/>
    </row>
    <row r="904" ht="15.75" customHeight="1">
      <c r="A904" s="176"/>
      <c r="B904" s="176"/>
      <c r="C904" s="176"/>
      <c r="D904" s="176"/>
      <c r="E904" s="176"/>
      <c r="F904" s="176"/>
      <c r="G904" s="178"/>
      <c r="H904" s="176"/>
      <c r="I904" s="176"/>
      <c r="J904" s="176"/>
      <c r="K904" s="176"/>
      <c r="L904" s="176"/>
      <c r="M904" s="176"/>
      <c r="N904" s="176"/>
      <c r="O904" s="176"/>
      <c r="P904" s="176"/>
      <c r="Q904" s="176"/>
      <c r="R904" s="176"/>
      <c r="S904" s="176"/>
      <c r="T904" s="176"/>
      <c r="U904" s="176"/>
      <c r="V904" s="176"/>
      <c r="W904" s="176"/>
      <c r="X904" s="176"/>
      <c r="Y904" s="176"/>
      <c r="Z904" s="176"/>
      <c r="AA904" s="176"/>
      <c r="AB904" s="176"/>
      <c r="AC904" s="176"/>
      <c r="AD904" s="176"/>
      <c r="AE904" s="176"/>
      <c r="AF904" s="176"/>
      <c r="AG904" s="176"/>
      <c r="AH904" s="176"/>
      <c r="AI904" s="176"/>
      <c r="AJ904" s="176"/>
      <c r="AK904" s="176"/>
      <c r="AL904" s="176"/>
      <c r="AM904" s="176"/>
      <c r="AN904" s="176"/>
      <c r="AO904" s="176"/>
      <c r="AP904" s="176"/>
      <c r="AQ904" s="176"/>
      <c r="AR904" s="176"/>
      <c r="AS904" s="176"/>
      <c r="AT904" s="176"/>
      <c r="AU904" s="176"/>
      <c r="AV904" s="176"/>
      <c r="AW904" s="176"/>
      <c r="AX904" s="176"/>
      <c r="AY904" s="176"/>
      <c r="AZ904" s="176"/>
      <c r="BA904" s="176"/>
      <c r="BB904" s="176"/>
      <c r="BC904" s="176"/>
      <c r="BD904" s="176"/>
    </row>
    <row r="905" ht="15.75" customHeight="1">
      <c r="A905" s="176"/>
      <c r="B905" s="176"/>
      <c r="C905" s="176"/>
      <c r="D905" s="176"/>
      <c r="E905" s="176"/>
      <c r="F905" s="176"/>
      <c r="G905" s="178"/>
      <c r="H905" s="176"/>
      <c r="I905" s="176"/>
      <c r="J905" s="176"/>
      <c r="K905" s="176"/>
      <c r="L905" s="176"/>
      <c r="M905" s="176"/>
      <c r="N905" s="176"/>
      <c r="O905" s="176"/>
      <c r="P905" s="176"/>
      <c r="Q905" s="176"/>
      <c r="R905" s="176"/>
      <c r="S905" s="176"/>
      <c r="T905" s="176"/>
      <c r="U905" s="176"/>
      <c r="V905" s="176"/>
      <c r="W905" s="176"/>
      <c r="X905" s="176"/>
      <c r="Y905" s="176"/>
      <c r="Z905" s="176"/>
      <c r="AA905" s="176"/>
      <c r="AB905" s="176"/>
      <c r="AC905" s="176"/>
      <c r="AD905" s="176"/>
      <c r="AE905" s="176"/>
      <c r="AF905" s="176"/>
      <c r="AG905" s="176"/>
      <c r="AH905" s="176"/>
      <c r="AI905" s="176"/>
      <c r="AJ905" s="176"/>
      <c r="AK905" s="176"/>
      <c r="AL905" s="176"/>
      <c r="AM905" s="176"/>
      <c r="AN905" s="176"/>
      <c r="AO905" s="176"/>
      <c r="AP905" s="176"/>
      <c r="AQ905" s="176"/>
      <c r="AR905" s="176"/>
      <c r="AS905" s="176"/>
      <c r="AT905" s="176"/>
      <c r="AU905" s="176"/>
      <c r="AV905" s="176"/>
      <c r="AW905" s="176"/>
      <c r="AX905" s="176"/>
      <c r="AY905" s="176"/>
      <c r="AZ905" s="176"/>
      <c r="BA905" s="176"/>
      <c r="BB905" s="176"/>
      <c r="BC905" s="176"/>
      <c r="BD905" s="176"/>
    </row>
    <row r="906" ht="15.75" customHeight="1">
      <c r="A906" s="176"/>
      <c r="B906" s="176"/>
      <c r="C906" s="176"/>
      <c r="D906" s="176"/>
      <c r="E906" s="176"/>
      <c r="F906" s="176"/>
      <c r="G906" s="178"/>
      <c r="H906" s="176"/>
      <c r="I906" s="176"/>
      <c r="J906" s="176"/>
      <c r="K906" s="176"/>
      <c r="L906" s="176"/>
      <c r="M906" s="176"/>
      <c r="N906" s="176"/>
      <c r="O906" s="176"/>
      <c r="P906" s="176"/>
      <c r="Q906" s="176"/>
      <c r="R906" s="176"/>
      <c r="S906" s="176"/>
      <c r="T906" s="176"/>
      <c r="U906" s="176"/>
      <c r="V906" s="176"/>
      <c r="W906" s="176"/>
      <c r="X906" s="176"/>
      <c r="Y906" s="176"/>
      <c r="Z906" s="176"/>
      <c r="AA906" s="176"/>
      <c r="AB906" s="176"/>
      <c r="AC906" s="176"/>
      <c r="AD906" s="176"/>
      <c r="AE906" s="176"/>
      <c r="AF906" s="176"/>
      <c r="AG906" s="176"/>
      <c r="AH906" s="176"/>
      <c r="AI906" s="176"/>
      <c r="AJ906" s="176"/>
      <c r="AK906" s="176"/>
      <c r="AL906" s="176"/>
      <c r="AM906" s="176"/>
      <c r="AN906" s="176"/>
      <c r="AO906" s="176"/>
      <c r="AP906" s="176"/>
      <c r="AQ906" s="176"/>
      <c r="AR906" s="176"/>
      <c r="AS906" s="176"/>
      <c r="AT906" s="176"/>
      <c r="AU906" s="176"/>
      <c r="AV906" s="176"/>
      <c r="AW906" s="176"/>
      <c r="AX906" s="176"/>
      <c r="AY906" s="176"/>
      <c r="AZ906" s="176"/>
      <c r="BA906" s="176"/>
      <c r="BB906" s="176"/>
      <c r="BC906" s="176"/>
      <c r="BD906" s="176"/>
    </row>
    <row r="907" ht="15.75" customHeight="1">
      <c r="A907" s="176"/>
      <c r="B907" s="176"/>
      <c r="C907" s="176"/>
      <c r="D907" s="176"/>
      <c r="E907" s="176"/>
      <c r="F907" s="176"/>
      <c r="G907" s="178"/>
      <c r="H907" s="176"/>
      <c r="I907" s="176"/>
      <c r="J907" s="176"/>
      <c r="K907" s="176"/>
      <c r="L907" s="176"/>
      <c r="M907" s="176"/>
      <c r="N907" s="176"/>
      <c r="O907" s="176"/>
      <c r="P907" s="176"/>
      <c r="Q907" s="176"/>
      <c r="R907" s="176"/>
      <c r="S907" s="176"/>
      <c r="T907" s="176"/>
      <c r="U907" s="176"/>
      <c r="V907" s="176"/>
      <c r="W907" s="176"/>
      <c r="X907" s="176"/>
      <c r="Y907" s="176"/>
      <c r="Z907" s="176"/>
      <c r="AA907" s="176"/>
      <c r="AB907" s="176"/>
      <c r="AC907" s="176"/>
      <c r="AD907" s="176"/>
      <c r="AE907" s="176"/>
      <c r="AF907" s="176"/>
      <c r="AG907" s="176"/>
      <c r="AH907" s="176"/>
      <c r="AI907" s="176"/>
      <c r="AJ907" s="176"/>
      <c r="AK907" s="176"/>
      <c r="AL907" s="176"/>
      <c r="AM907" s="176"/>
      <c r="AN907" s="176"/>
      <c r="AO907" s="176"/>
      <c r="AP907" s="176"/>
      <c r="AQ907" s="176"/>
      <c r="AR907" s="176"/>
      <c r="AS907" s="176"/>
      <c r="AT907" s="176"/>
      <c r="AU907" s="176"/>
      <c r="AV907" s="176"/>
      <c r="AW907" s="176"/>
      <c r="AX907" s="176"/>
      <c r="AY907" s="176"/>
      <c r="AZ907" s="176"/>
      <c r="BA907" s="176"/>
      <c r="BB907" s="176"/>
      <c r="BC907" s="176"/>
      <c r="BD907" s="176"/>
    </row>
    <row r="908" ht="15.75" customHeight="1">
      <c r="A908" s="176"/>
      <c r="B908" s="176"/>
      <c r="C908" s="176"/>
      <c r="D908" s="176"/>
      <c r="E908" s="176"/>
      <c r="F908" s="176"/>
      <c r="G908" s="178"/>
      <c r="H908" s="176"/>
      <c r="I908" s="176"/>
      <c r="J908" s="176"/>
      <c r="K908" s="176"/>
      <c r="L908" s="176"/>
      <c r="M908" s="176"/>
      <c r="N908" s="176"/>
      <c r="O908" s="176"/>
      <c r="P908" s="176"/>
      <c r="Q908" s="176"/>
      <c r="R908" s="176"/>
      <c r="S908" s="176"/>
      <c r="T908" s="176"/>
      <c r="U908" s="176"/>
      <c r="V908" s="176"/>
      <c r="W908" s="176"/>
      <c r="X908" s="176"/>
      <c r="Y908" s="176"/>
      <c r="Z908" s="176"/>
      <c r="AA908" s="176"/>
      <c r="AB908" s="176"/>
      <c r="AC908" s="176"/>
      <c r="AD908" s="176"/>
      <c r="AE908" s="176"/>
      <c r="AF908" s="176"/>
      <c r="AG908" s="176"/>
      <c r="AH908" s="176"/>
      <c r="AI908" s="176"/>
      <c r="AJ908" s="176"/>
      <c r="AK908" s="176"/>
      <c r="AL908" s="176"/>
      <c r="AM908" s="176"/>
      <c r="AN908" s="176"/>
      <c r="AO908" s="176"/>
      <c r="AP908" s="176"/>
      <c r="AQ908" s="176"/>
      <c r="AR908" s="176"/>
      <c r="AS908" s="176"/>
      <c r="AT908" s="176"/>
      <c r="AU908" s="176"/>
      <c r="AV908" s="176"/>
      <c r="AW908" s="176"/>
      <c r="AX908" s="176"/>
      <c r="AY908" s="176"/>
      <c r="AZ908" s="176"/>
      <c r="BA908" s="176"/>
      <c r="BB908" s="176"/>
      <c r="BC908" s="176"/>
      <c r="BD908" s="176"/>
    </row>
    <row r="909" ht="15.75" customHeight="1">
      <c r="A909" s="176"/>
      <c r="B909" s="176"/>
      <c r="C909" s="176"/>
      <c r="D909" s="176"/>
      <c r="E909" s="176"/>
      <c r="F909" s="176"/>
      <c r="G909" s="178"/>
      <c r="H909" s="176"/>
      <c r="I909" s="176"/>
      <c r="J909" s="176"/>
      <c r="K909" s="176"/>
      <c r="L909" s="176"/>
      <c r="M909" s="176"/>
      <c r="N909" s="176"/>
      <c r="O909" s="176"/>
      <c r="P909" s="176"/>
      <c r="Q909" s="176"/>
      <c r="R909" s="176"/>
      <c r="S909" s="176"/>
      <c r="T909" s="176"/>
      <c r="U909" s="176"/>
      <c r="V909" s="176"/>
      <c r="W909" s="176"/>
      <c r="X909" s="176"/>
      <c r="Y909" s="176"/>
      <c r="Z909" s="176"/>
      <c r="AA909" s="176"/>
      <c r="AB909" s="176"/>
      <c r="AC909" s="176"/>
      <c r="AD909" s="176"/>
      <c r="AE909" s="176"/>
      <c r="AF909" s="176"/>
      <c r="AG909" s="176"/>
      <c r="AH909" s="176"/>
      <c r="AI909" s="176"/>
      <c r="AJ909" s="176"/>
      <c r="AK909" s="176"/>
      <c r="AL909" s="176"/>
      <c r="AM909" s="176"/>
      <c r="AN909" s="176"/>
      <c r="AO909" s="176"/>
      <c r="AP909" s="176"/>
      <c r="AQ909" s="176"/>
      <c r="AR909" s="176"/>
      <c r="AS909" s="176"/>
      <c r="AT909" s="176"/>
      <c r="AU909" s="176"/>
      <c r="AV909" s="176"/>
      <c r="AW909" s="176"/>
      <c r="AX909" s="176"/>
      <c r="AY909" s="176"/>
      <c r="AZ909" s="176"/>
      <c r="BA909" s="176"/>
      <c r="BB909" s="176"/>
      <c r="BC909" s="176"/>
      <c r="BD909" s="176"/>
    </row>
    <row r="910" ht="15.75" customHeight="1">
      <c r="A910" s="176"/>
      <c r="B910" s="176"/>
      <c r="C910" s="176"/>
      <c r="D910" s="176"/>
      <c r="E910" s="176"/>
      <c r="F910" s="176"/>
      <c r="G910" s="178"/>
      <c r="H910" s="176"/>
      <c r="I910" s="176"/>
      <c r="J910" s="176"/>
      <c r="K910" s="176"/>
      <c r="L910" s="176"/>
      <c r="M910" s="176"/>
      <c r="N910" s="176"/>
      <c r="O910" s="176"/>
      <c r="P910" s="176"/>
      <c r="Q910" s="176"/>
      <c r="R910" s="176"/>
      <c r="S910" s="176"/>
      <c r="T910" s="176"/>
      <c r="U910" s="176"/>
      <c r="V910" s="176"/>
      <c r="W910" s="176"/>
      <c r="X910" s="176"/>
      <c r="Y910" s="176"/>
      <c r="Z910" s="176"/>
      <c r="AA910" s="176"/>
      <c r="AB910" s="176"/>
      <c r="AC910" s="176"/>
      <c r="AD910" s="176"/>
      <c r="AE910" s="176"/>
      <c r="AF910" s="176"/>
      <c r="AG910" s="176"/>
      <c r="AH910" s="176"/>
      <c r="AI910" s="176"/>
      <c r="AJ910" s="176"/>
      <c r="AK910" s="176"/>
      <c r="AL910" s="176"/>
      <c r="AM910" s="176"/>
      <c r="AN910" s="176"/>
      <c r="AO910" s="176"/>
      <c r="AP910" s="176"/>
      <c r="AQ910" s="176"/>
      <c r="AR910" s="176"/>
      <c r="AS910" s="176"/>
      <c r="AT910" s="176"/>
      <c r="AU910" s="176"/>
      <c r="AV910" s="176"/>
      <c r="AW910" s="176"/>
      <c r="AX910" s="176"/>
      <c r="AY910" s="176"/>
      <c r="AZ910" s="176"/>
      <c r="BA910" s="176"/>
      <c r="BB910" s="176"/>
      <c r="BC910" s="176"/>
      <c r="BD910" s="176"/>
    </row>
    <row r="911" ht="15.75" customHeight="1">
      <c r="A911" s="176"/>
      <c r="B911" s="176"/>
      <c r="C911" s="176"/>
      <c r="D911" s="176"/>
      <c r="E911" s="176"/>
      <c r="F911" s="176"/>
      <c r="G911" s="178"/>
      <c r="H911" s="176"/>
      <c r="I911" s="176"/>
      <c r="J911" s="176"/>
      <c r="K911" s="176"/>
      <c r="L911" s="176"/>
      <c r="M911" s="176"/>
      <c r="N911" s="176"/>
      <c r="O911" s="176"/>
      <c r="P911" s="176"/>
      <c r="Q911" s="176"/>
      <c r="R911" s="176"/>
      <c r="S911" s="176"/>
      <c r="T911" s="176"/>
      <c r="U911" s="176"/>
      <c r="V911" s="176"/>
      <c r="W911" s="176"/>
      <c r="X911" s="176"/>
      <c r="Y911" s="176"/>
      <c r="Z911" s="176"/>
      <c r="AA911" s="176"/>
      <c r="AB911" s="176"/>
      <c r="AC911" s="176"/>
      <c r="AD911" s="176"/>
      <c r="AE911" s="176"/>
      <c r="AF911" s="176"/>
      <c r="AG911" s="176"/>
      <c r="AH911" s="176"/>
      <c r="AI911" s="176"/>
      <c r="AJ911" s="176"/>
      <c r="AK911" s="176"/>
      <c r="AL911" s="176"/>
      <c r="AM911" s="176"/>
      <c r="AN911" s="176"/>
      <c r="AO911" s="176"/>
      <c r="AP911" s="176"/>
      <c r="AQ911" s="176"/>
      <c r="AR911" s="176"/>
      <c r="AS911" s="176"/>
      <c r="AT911" s="176"/>
      <c r="AU911" s="176"/>
      <c r="AV911" s="176"/>
      <c r="AW911" s="176"/>
      <c r="AX911" s="176"/>
      <c r="AY911" s="176"/>
      <c r="AZ911" s="176"/>
      <c r="BA911" s="176"/>
      <c r="BB911" s="176"/>
      <c r="BC911" s="176"/>
      <c r="BD911" s="176"/>
    </row>
    <row r="912" ht="15.75" customHeight="1">
      <c r="A912" s="176"/>
      <c r="B912" s="176"/>
      <c r="C912" s="176"/>
      <c r="D912" s="176"/>
      <c r="E912" s="176"/>
      <c r="F912" s="176"/>
      <c r="G912" s="178"/>
      <c r="H912" s="176"/>
      <c r="I912" s="176"/>
      <c r="J912" s="176"/>
      <c r="K912" s="176"/>
      <c r="L912" s="176"/>
      <c r="M912" s="176"/>
      <c r="N912" s="176"/>
      <c r="O912" s="176"/>
      <c r="P912" s="176"/>
      <c r="Q912" s="176"/>
      <c r="R912" s="176"/>
      <c r="S912" s="176"/>
      <c r="T912" s="176"/>
      <c r="U912" s="176"/>
      <c r="V912" s="176"/>
      <c r="W912" s="176"/>
      <c r="X912" s="176"/>
      <c r="Y912" s="176"/>
      <c r="Z912" s="176"/>
      <c r="AA912" s="176"/>
      <c r="AB912" s="176"/>
      <c r="AC912" s="176"/>
      <c r="AD912" s="176"/>
      <c r="AE912" s="176"/>
      <c r="AF912" s="176"/>
      <c r="AG912" s="176"/>
      <c r="AH912" s="176"/>
      <c r="AI912" s="176"/>
      <c r="AJ912" s="176"/>
      <c r="AK912" s="176"/>
      <c r="AL912" s="176"/>
      <c r="AM912" s="176"/>
      <c r="AN912" s="176"/>
      <c r="AO912" s="176"/>
      <c r="AP912" s="176"/>
      <c r="AQ912" s="176"/>
      <c r="AR912" s="176"/>
      <c r="AS912" s="176"/>
      <c r="AT912" s="176"/>
      <c r="AU912" s="176"/>
      <c r="AV912" s="176"/>
      <c r="AW912" s="176"/>
      <c r="AX912" s="176"/>
      <c r="AY912" s="176"/>
      <c r="AZ912" s="176"/>
      <c r="BA912" s="176"/>
      <c r="BB912" s="176"/>
      <c r="BC912" s="176"/>
      <c r="BD912" s="176"/>
    </row>
    <row r="913" ht="15.75" customHeight="1">
      <c r="A913" s="176"/>
      <c r="B913" s="176"/>
      <c r="C913" s="176"/>
      <c r="D913" s="176"/>
      <c r="E913" s="176"/>
      <c r="F913" s="176"/>
      <c r="G913" s="178"/>
      <c r="H913" s="176"/>
      <c r="I913" s="176"/>
      <c r="J913" s="176"/>
      <c r="K913" s="176"/>
      <c r="L913" s="176"/>
      <c r="M913" s="176"/>
      <c r="N913" s="176"/>
      <c r="O913" s="176"/>
      <c r="P913" s="176"/>
      <c r="Q913" s="176"/>
      <c r="R913" s="176"/>
      <c r="S913" s="176"/>
      <c r="T913" s="176"/>
      <c r="U913" s="176"/>
      <c r="V913" s="176"/>
      <c r="W913" s="176"/>
      <c r="X913" s="176"/>
      <c r="Y913" s="176"/>
      <c r="Z913" s="176"/>
      <c r="AA913" s="176"/>
      <c r="AB913" s="176"/>
      <c r="AC913" s="176"/>
      <c r="AD913" s="176"/>
      <c r="AE913" s="176"/>
      <c r="AF913" s="176"/>
      <c r="AG913" s="176"/>
      <c r="AH913" s="176"/>
      <c r="AI913" s="176"/>
      <c r="AJ913" s="176"/>
      <c r="AK913" s="176"/>
      <c r="AL913" s="176"/>
      <c r="AM913" s="176"/>
      <c r="AN913" s="176"/>
      <c r="AO913" s="176"/>
      <c r="AP913" s="176"/>
      <c r="AQ913" s="176"/>
      <c r="AR913" s="176"/>
      <c r="AS913" s="176"/>
      <c r="AT913" s="176"/>
      <c r="AU913" s="176"/>
      <c r="AV913" s="176"/>
      <c r="AW913" s="176"/>
      <c r="AX913" s="176"/>
      <c r="AY913" s="176"/>
      <c r="AZ913" s="176"/>
      <c r="BA913" s="176"/>
      <c r="BB913" s="176"/>
      <c r="BC913" s="176"/>
      <c r="BD913" s="176"/>
    </row>
    <row r="914" ht="15.75" customHeight="1">
      <c r="A914" s="176"/>
      <c r="B914" s="176"/>
      <c r="C914" s="176"/>
      <c r="D914" s="176"/>
      <c r="E914" s="176"/>
      <c r="F914" s="176"/>
      <c r="G914" s="178"/>
      <c r="H914" s="176"/>
      <c r="I914" s="176"/>
      <c r="J914" s="176"/>
      <c r="K914" s="176"/>
      <c r="L914" s="176"/>
      <c r="M914" s="176"/>
      <c r="N914" s="176"/>
      <c r="O914" s="176"/>
      <c r="P914" s="176"/>
      <c r="Q914" s="176"/>
      <c r="R914" s="176"/>
      <c r="S914" s="176"/>
      <c r="T914" s="176"/>
      <c r="U914" s="176"/>
      <c r="V914" s="176"/>
      <c r="W914" s="176"/>
      <c r="X914" s="176"/>
      <c r="Y914" s="176"/>
      <c r="Z914" s="176"/>
      <c r="AA914" s="176"/>
      <c r="AB914" s="176"/>
      <c r="AC914" s="176"/>
      <c r="AD914" s="176"/>
      <c r="AE914" s="176"/>
      <c r="AF914" s="176"/>
      <c r="AG914" s="176"/>
      <c r="AH914" s="176"/>
      <c r="AI914" s="176"/>
      <c r="AJ914" s="176"/>
      <c r="AK914" s="176"/>
      <c r="AL914" s="176"/>
      <c r="AM914" s="176"/>
      <c r="AN914" s="176"/>
      <c r="AO914" s="176"/>
      <c r="AP914" s="176"/>
      <c r="AQ914" s="176"/>
      <c r="AR914" s="176"/>
      <c r="AS914" s="176"/>
      <c r="AT914" s="176"/>
      <c r="AU914" s="176"/>
      <c r="AV914" s="176"/>
      <c r="AW914" s="176"/>
      <c r="AX914" s="176"/>
      <c r="AY914" s="176"/>
      <c r="AZ914" s="176"/>
      <c r="BA914" s="176"/>
      <c r="BB914" s="176"/>
      <c r="BC914" s="176"/>
      <c r="BD914" s="176"/>
    </row>
    <row r="915" ht="15.75" customHeight="1">
      <c r="A915" s="176"/>
      <c r="B915" s="176"/>
      <c r="C915" s="176"/>
      <c r="D915" s="176"/>
      <c r="E915" s="176"/>
      <c r="F915" s="176"/>
      <c r="G915" s="178"/>
      <c r="H915" s="176"/>
      <c r="I915" s="176"/>
      <c r="J915" s="176"/>
      <c r="K915" s="176"/>
      <c r="L915" s="176"/>
      <c r="M915" s="176"/>
      <c r="N915" s="176"/>
      <c r="O915" s="176"/>
      <c r="P915" s="176"/>
      <c r="Q915" s="176"/>
      <c r="R915" s="176"/>
      <c r="S915" s="176"/>
      <c r="T915" s="176"/>
      <c r="U915" s="176"/>
      <c r="V915" s="176"/>
      <c r="W915" s="176"/>
      <c r="X915" s="176"/>
      <c r="Y915" s="176"/>
      <c r="Z915" s="176"/>
      <c r="AA915" s="176"/>
      <c r="AB915" s="176"/>
      <c r="AC915" s="176"/>
      <c r="AD915" s="176"/>
      <c r="AE915" s="176"/>
      <c r="AF915" s="176"/>
      <c r="AG915" s="176"/>
      <c r="AH915" s="176"/>
      <c r="AI915" s="176"/>
      <c r="AJ915" s="176"/>
      <c r="AK915" s="176"/>
      <c r="AL915" s="176"/>
      <c r="AM915" s="176"/>
      <c r="AN915" s="176"/>
      <c r="AO915" s="176"/>
      <c r="AP915" s="176"/>
      <c r="AQ915" s="176"/>
      <c r="AR915" s="176"/>
      <c r="AS915" s="176"/>
      <c r="AT915" s="176"/>
      <c r="AU915" s="176"/>
      <c r="AV915" s="176"/>
      <c r="AW915" s="176"/>
      <c r="AX915" s="176"/>
      <c r="AY915" s="176"/>
      <c r="AZ915" s="176"/>
      <c r="BA915" s="176"/>
      <c r="BB915" s="176"/>
      <c r="BC915" s="176"/>
      <c r="BD915" s="176"/>
    </row>
    <row r="916" ht="15.75" customHeight="1">
      <c r="A916" s="176"/>
      <c r="B916" s="176"/>
      <c r="C916" s="176"/>
      <c r="D916" s="176"/>
      <c r="E916" s="176"/>
      <c r="F916" s="176"/>
      <c r="G916" s="178"/>
      <c r="H916" s="176"/>
      <c r="I916" s="176"/>
      <c r="J916" s="176"/>
      <c r="K916" s="176"/>
      <c r="L916" s="176"/>
      <c r="M916" s="176"/>
      <c r="N916" s="176"/>
      <c r="O916" s="176"/>
      <c r="P916" s="176"/>
      <c r="Q916" s="176"/>
      <c r="R916" s="176"/>
      <c r="S916" s="176"/>
      <c r="T916" s="176"/>
      <c r="U916" s="176"/>
      <c r="V916" s="176"/>
      <c r="W916" s="176"/>
      <c r="X916" s="176"/>
      <c r="Y916" s="176"/>
      <c r="Z916" s="176"/>
      <c r="AA916" s="176"/>
      <c r="AB916" s="176"/>
      <c r="AC916" s="176"/>
      <c r="AD916" s="176"/>
      <c r="AE916" s="176"/>
      <c r="AF916" s="176"/>
      <c r="AG916" s="176"/>
      <c r="AH916" s="176"/>
      <c r="AI916" s="176"/>
      <c r="AJ916" s="176"/>
      <c r="AK916" s="176"/>
      <c r="AL916" s="176"/>
      <c r="AM916" s="176"/>
      <c r="AN916" s="176"/>
      <c r="AO916" s="176"/>
      <c r="AP916" s="176"/>
      <c r="AQ916" s="176"/>
      <c r="AR916" s="176"/>
      <c r="AS916" s="176"/>
      <c r="AT916" s="176"/>
      <c r="AU916" s="176"/>
      <c r="AV916" s="176"/>
      <c r="AW916" s="176"/>
      <c r="AX916" s="176"/>
      <c r="AY916" s="176"/>
      <c r="AZ916" s="176"/>
      <c r="BA916" s="176"/>
      <c r="BB916" s="176"/>
      <c r="BC916" s="176"/>
      <c r="BD916" s="176"/>
    </row>
    <row r="917" ht="15.75" customHeight="1">
      <c r="A917" s="176"/>
      <c r="B917" s="176"/>
      <c r="C917" s="176"/>
      <c r="D917" s="176"/>
      <c r="E917" s="176"/>
      <c r="F917" s="176"/>
      <c r="G917" s="178"/>
      <c r="H917" s="176"/>
      <c r="I917" s="176"/>
      <c r="J917" s="176"/>
      <c r="K917" s="176"/>
      <c r="L917" s="176"/>
      <c r="M917" s="176"/>
      <c r="N917" s="176"/>
      <c r="O917" s="176"/>
      <c r="P917" s="176"/>
      <c r="Q917" s="176"/>
      <c r="R917" s="176"/>
      <c r="S917" s="176"/>
      <c r="T917" s="176"/>
      <c r="U917" s="176"/>
      <c r="V917" s="176"/>
      <c r="W917" s="176"/>
      <c r="X917" s="176"/>
      <c r="Y917" s="176"/>
      <c r="Z917" s="176"/>
      <c r="AA917" s="176"/>
      <c r="AB917" s="176"/>
      <c r="AC917" s="176"/>
      <c r="AD917" s="176"/>
      <c r="AE917" s="176"/>
      <c r="AF917" s="176"/>
      <c r="AG917" s="176"/>
      <c r="AH917" s="176"/>
      <c r="AI917" s="176"/>
      <c r="AJ917" s="176"/>
      <c r="AK917" s="176"/>
      <c r="AL917" s="176"/>
      <c r="AM917" s="176"/>
      <c r="AN917" s="176"/>
      <c r="AO917" s="176"/>
      <c r="AP917" s="176"/>
      <c r="AQ917" s="176"/>
      <c r="AR917" s="176"/>
      <c r="AS917" s="176"/>
      <c r="AT917" s="176"/>
      <c r="AU917" s="176"/>
      <c r="AV917" s="176"/>
      <c r="AW917" s="176"/>
      <c r="AX917" s="176"/>
      <c r="AY917" s="176"/>
      <c r="AZ917" s="176"/>
      <c r="BA917" s="176"/>
      <c r="BB917" s="176"/>
      <c r="BC917" s="176"/>
      <c r="BD917" s="176"/>
    </row>
    <row r="918" ht="15.75" customHeight="1">
      <c r="A918" s="176"/>
      <c r="B918" s="176"/>
      <c r="C918" s="176"/>
      <c r="D918" s="176"/>
      <c r="E918" s="176"/>
      <c r="F918" s="176"/>
      <c r="G918" s="178"/>
      <c r="H918" s="176"/>
      <c r="I918" s="176"/>
      <c r="J918" s="176"/>
      <c r="K918" s="176"/>
      <c r="L918" s="176"/>
      <c r="M918" s="176"/>
      <c r="N918" s="176"/>
      <c r="O918" s="176"/>
      <c r="P918" s="176"/>
      <c r="Q918" s="176"/>
      <c r="R918" s="176"/>
      <c r="S918" s="176"/>
      <c r="T918" s="176"/>
      <c r="U918" s="176"/>
      <c r="V918" s="176"/>
      <c r="W918" s="176"/>
      <c r="X918" s="176"/>
      <c r="Y918" s="176"/>
      <c r="Z918" s="176"/>
      <c r="AA918" s="176"/>
      <c r="AB918" s="176"/>
      <c r="AC918" s="176"/>
      <c r="AD918" s="176"/>
      <c r="AE918" s="176"/>
      <c r="AF918" s="176"/>
      <c r="AG918" s="176"/>
      <c r="AH918" s="176"/>
      <c r="AI918" s="176"/>
      <c r="AJ918" s="176"/>
      <c r="AK918" s="176"/>
      <c r="AL918" s="176"/>
      <c r="AM918" s="176"/>
      <c r="AN918" s="176"/>
      <c r="AO918" s="176"/>
      <c r="AP918" s="176"/>
      <c r="AQ918" s="176"/>
      <c r="AR918" s="176"/>
      <c r="AS918" s="176"/>
      <c r="AT918" s="176"/>
      <c r="AU918" s="176"/>
      <c r="AV918" s="176"/>
      <c r="AW918" s="176"/>
      <c r="AX918" s="176"/>
      <c r="AY918" s="176"/>
      <c r="AZ918" s="176"/>
      <c r="BA918" s="176"/>
      <c r="BB918" s="176"/>
      <c r="BC918" s="176"/>
      <c r="BD918" s="176"/>
    </row>
    <row r="919" ht="15.75" customHeight="1">
      <c r="A919" s="176"/>
      <c r="B919" s="176"/>
      <c r="C919" s="176"/>
      <c r="D919" s="176"/>
      <c r="E919" s="176"/>
      <c r="F919" s="176"/>
      <c r="G919" s="178"/>
      <c r="H919" s="176"/>
      <c r="I919" s="176"/>
      <c r="J919" s="176"/>
      <c r="K919" s="176"/>
      <c r="L919" s="176"/>
      <c r="M919" s="176"/>
      <c r="N919" s="176"/>
      <c r="O919" s="176"/>
      <c r="P919" s="176"/>
      <c r="Q919" s="176"/>
      <c r="R919" s="176"/>
      <c r="S919" s="176"/>
      <c r="T919" s="176"/>
      <c r="U919" s="176"/>
      <c r="V919" s="176"/>
      <c r="W919" s="176"/>
      <c r="X919" s="176"/>
      <c r="Y919" s="176"/>
      <c r="Z919" s="176"/>
      <c r="AA919" s="176"/>
      <c r="AB919" s="176"/>
      <c r="AC919" s="176"/>
      <c r="AD919" s="176"/>
      <c r="AE919" s="176"/>
      <c r="AF919" s="176"/>
      <c r="AG919" s="176"/>
      <c r="AH919" s="176"/>
      <c r="AI919" s="176"/>
      <c r="AJ919" s="176"/>
      <c r="AK919" s="176"/>
      <c r="AL919" s="176"/>
      <c r="AM919" s="176"/>
      <c r="AN919" s="176"/>
      <c r="AO919" s="176"/>
      <c r="AP919" s="176"/>
      <c r="AQ919" s="176"/>
      <c r="AR919" s="176"/>
      <c r="AS919" s="176"/>
      <c r="AT919" s="176"/>
      <c r="AU919" s="176"/>
      <c r="AV919" s="176"/>
      <c r="AW919" s="176"/>
      <c r="AX919" s="176"/>
      <c r="AY919" s="176"/>
      <c r="AZ919" s="176"/>
      <c r="BA919" s="176"/>
      <c r="BB919" s="176"/>
      <c r="BC919" s="176"/>
      <c r="BD919" s="176"/>
    </row>
    <row r="920" ht="15.75" customHeight="1">
      <c r="A920" s="176"/>
      <c r="B920" s="176"/>
      <c r="C920" s="176"/>
      <c r="D920" s="176"/>
      <c r="E920" s="176"/>
      <c r="F920" s="176"/>
      <c r="G920" s="178"/>
      <c r="H920" s="176"/>
      <c r="I920" s="176"/>
      <c r="J920" s="176"/>
      <c r="K920" s="176"/>
      <c r="L920" s="176"/>
      <c r="M920" s="176"/>
      <c r="N920" s="176"/>
      <c r="O920" s="176"/>
      <c r="P920" s="176"/>
      <c r="Q920" s="176"/>
      <c r="R920" s="176"/>
      <c r="S920" s="176"/>
      <c r="T920" s="176"/>
      <c r="U920" s="176"/>
      <c r="V920" s="176"/>
      <c r="W920" s="176"/>
      <c r="X920" s="176"/>
      <c r="Y920" s="176"/>
      <c r="Z920" s="176"/>
      <c r="AA920" s="176"/>
      <c r="AB920" s="176"/>
      <c r="AC920" s="176"/>
      <c r="AD920" s="176"/>
      <c r="AE920" s="176"/>
      <c r="AF920" s="176"/>
      <c r="AG920" s="176"/>
      <c r="AH920" s="176"/>
      <c r="AI920" s="176"/>
      <c r="AJ920" s="176"/>
      <c r="AK920" s="176"/>
      <c r="AL920" s="176"/>
      <c r="AM920" s="176"/>
      <c r="AN920" s="176"/>
      <c r="AO920" s="176"/>
      <c r="AP920" s="176"/>
      <c r="AQ920" s="176"/>
      <c r="AR920" s="176"/>
      <c r="AS920" s="176"/>
      <c r="AT920" s="176"/>
      <c r="AU920" s="176"/>
      <c r="AV920" s="176"/>
      <c r="AW920" s="176"/>
      <c r="AX920" s="176"/>
      <c r="AY920" s="176"/>
      <c r="AZ920" s="176"/>
      <c r="BA920" s="176"/>
      <c r="BB920" s="176"/>
      <c r="BC920" s="176"/>
      <c r="BD920" s="176"/>
    </row>
    <row r="921" ht="15.75" customHeight="1">
      <c r="A921" s="176"/>
      <c r="B921" s="176"/>
      <c r="C921" s="176"/>
      <c r="D921" s="176"/>
      <c r="E921" s="176"/>
      <c r="F921" s="176"/>
      <c r="G921" s="178"/>
      <c r="H921" s="176"/>
      <c r="I921" s="176"/>
      <c r="J921" s="176"/>
      <c r="K921" s="176"/>
      <c r="L921" s="176"/>
      <c r="M921" s="176"/>
      <c r="N921" s="176"/>
      <c r="O921" s="176"/>
      <c r="P921" s="176"/>
      <c r="Q921" s="176"/>
      <c r="R921" s="176"/>
      <c r="S921" s="176"/>
      <c r="T921" s="176"/>
      <c r="U921" s="176"/>
      <c r="V921" s="176"/>
      <c r="W921" s="176"/>
      <c r="X921" s="176"/>
      <c r="Y921" s="176"/>
      <c r="Z921" s="176"/>
      <c r="AA921" s="176"/>
      <c r="AB921" s="176"/>
      <c r="AC921" s="176"/>
      <c r="AD921" s="176"/>
      <c r="AE921" s="176"/>
      <c r="AF921" s="176"/>
      <c r="AG921" s="176"/>
      <c r="AH921" s="176"/>
      <c r="AI921" s="176"/>
      <c r="AJ921" s="176"/>
      <c r="AK921" s="176"/>
      <c r="AL921" s="176"/>
      <c r="AM921" s="176"/>
      <c r="AN921" s="176"/>
      <c r="AO921" s="176"/>
      <c r="AP921" s="176"/>
      <c r="AQ921" s="176"/>
      <c r="AR921" s="176"/>
      <c r="AS921" s="176"/>
      <c r="AT921" s="176"/>
      <c r="AU921" s="176"/>
      <c r="AV921" s="176"/>
      <c r="AW921" s="176"/>
      <c r="AX921" s="176"/>
      <c r="AY921" s="176"/>
      <c r="AZ921" s="176"/>
      <c r="BA921" s="176"/>
      <c r="BB921" s="176"/>
      <c r="BC921" s="176"/>
      <c r="BD921" s="176"/>
    </row>
    <row r="922" ht="15.75" customHeight="1">
      <c r="A922" s="176"/>
      <c r="B922" s="176"/>
      <c r="C922" s="176"/>
      <c r="D922" s="176"/>
      <c r="E922" s="176"/>
      <c r="F922" s="176"/>
      <c r="G922" s="178"/>
      <c r="H922" s="176"/>
      <c r="I922" s="176"/>
      <c r="J922" s="176"/>
      <c r="K922" s="176"/>
      <c r="L922" s="176"/>
      <c r="M922" s="176"/>
      <c r="N922" s="176"/>
      <c r="O922" s="176"/>
      <c r="P922" s="176"/>
      <c r="Q922" s="176"/>
      <c r="R922" s="176"/>
      <c r="S922" s="176"/>
      <c r="T922" s="176"/>
      <c r="U922" s="176"/>
      <c r="V922" s="176"/>
      <c r="W922" s="176"/>
      <c r="X922" s="176"/>
      <c r="Y922" s="176"/>
      <c r="Z922" s="176"/>
      <c r="AA922" s="176"/>
      <c r="AB922" s="176"/>
      <c r="AC922" s="176"/>
      <c r="AD922" s="176"/>
      <c r="AE922" s="176"/>
      <c r="AF922" s="176"/>
      <c r="AG922" s="176"/>
      <c r="AH922" s="176"/>
      <c r="AI922" s="176"/>
      <c r="AJ922" s="176"/>
      <c r="AK922" s="176"/>
      <c r="AL922" s="176"/>
      <c r="AM922" s="176"/>
      <c r="AN922" s="176"/>
      <c r="AO922" s="176"/>
      <c r="AP922" s="176"/>
      <c r="AQ922" s="176"/>
      <c r="AR922" s="176"/>
      <c r="AS922" s="176"/>
      <c r="AT922" s="176"/>
      <c r="AU922" s="176"/>
      <c r="AV922" s="176"/>
      <c r="AW922" s="176"/>
      <c r="AX922" s="176"/>
      <c r="AY922" s="176"/>
      <c r="AZ922" s="176"/>
      <c r="BA922" s="176"/>
      <c r="BB922" s="176"/>
      <c r="BC922" s="176"/>
      <c r="BD922" s="176"/>
    </row>
    <row r="923" ht="15.75" customHeight="1">
      <c r="A923" s="176"/>
      <c r="B923" s="176"/>
      <c r="C923" s="176"/>
      <c r="D923" s="176"/>
      <c r="E923" s="176"/>
      <c r="F923" s="176"/>
      <c r="G923" s="178"/>
      <c r="H923" s="176"/>
      <c r="I923" s="176"/>
      <c r="J923" s="176"/>
      <c r="K923" s="176"/>
      <c r="L923" s="176"/>
      <c r="M923" s="176"/>
      <c r="N923" s="176"/>
      <c r="O923" s="176"/>
      <c r="P923" s="176"/>
      <c r="Q923" s="176"/>
      <c r="R923" s="176"/>
      <c r="S923" s="176"/>
      <c r="T923" s="176"/>
      <c r="U923" s="176"/>
      <c r="V923" s="176"/>
      <c r="W923" s="176"/>
      <c r="X923" s="176"/>
      <c r="Y923" s="176"/>
      <c r="Z923" s="176"/>
      <c r="AA923" s="176"/>
      <c r="AB923" s="176"/>
      <c r="AC923" s="176"/>
      <c r="AD923" s="176"/>
      <c r="AE923" s="176"/>
      <c r="AF923" s="176"/>
      <c r="AG923" s="176"/>
      <c r="AH923" s="176"/>
      <c r="AI923" s="176"/>
      <c r="AJ923" s="176"/>
      <c r="AK923" s="176"/>
      <c r="AL923" s="176"/>
      <c r="AM923" s="176"/>
      <c r="AN923" s="176"/>
      <c r="AO923" s="176"/>
      <c r="AP923" s="176"/>
      <c r="AQ923" s="176"/>
      <c r="AR923" s="176"/>
      <c r="AS923" s="176"/>
      <c r="AT923" s="176"/>
      <c r="AU923" s="176"/>
      <c r="AV923" s="176"/>
      <c r="AW923" s="176"/>
      <c r="AX923" s="176"/>
      <c r="AY923" s="176"/>
      <c r="AZ923" s="176"/>
      <c r="BA923" s="176"/>
      <c r="BB923" s="176"/>
      <c r="BC923" s="176"/>
      <c r="BD923" s="176"/>
    </row>
    <row r="924" ht="15.75" customHeight="1">
      <c r="A924" s="176"/>
      <c r="B924" s="176"/>
      <c r="C924" s="176"/>
      <c r="D924" s="176"/>
      <c r="E924" s="176"/>
      <c r="F924" s="176"/>
      <c r="G924" s="178"/>
      <c r="H924" s="176"/>
      <c r="I924" s="176"/>
      <c r="J924" s="176"/>
      <c r="K924" s="176"/>
      <c r="L924" s="176"/>
      <c r="M924" s="176"/>
      <c r="N924" s="176"/>
      <c r="O924" s="176"/>
      <c r="P924" s="176"/>
      <c r="Q924" s="176"/>
      <c r="R924" s="176"/>
      <c r="S924" s="176"/>
      <c r="T924" s="176"/>
      <c r="U924" s="176"/>
      <c r="V924" s="176"/>
      <c r="W924" s="176"/>
      <c r="X924" s="176"/>
      <c r="Y924" s="176"/>
      <c r="Z924" s="176"/>
      <c r="AA924" s="176"/>
      <c r="AB924" s="176"/>
      <c r="AC924" s="176"/>
      <c r="AD924" s="176"/>
      <c r="AE924" s="176"/>
      <c r="AF924" s="176"/>
      <c r="AG924" s="176"/>
      <c r="AH924" s="176"/>
      <c r="AI924" s="176"/>
      <c r="AJ924" s="176"/>
      <c r="AK924" s="176"/>
      <c r="AL924" s="176"/>
      <c r="AM924" s="176"/>
      <c r="AN924" s="176"/>
      <c r="AO924" s="176"/>
      <c r="AP924" s="176"/>
      <c r="AQ924" s="176"/>
      <c r="AR924" s="176"/>
      <c r="AS924" s="176"/>
      <c r="AT924" s="176"/>
      <c r="AU924" s="176"/>
      <c r="AV924" s="176"/>
      <c r="AW924" s="176"/>
      <c r="AX924" s="176"/>
      <c r="AY924" s="176"/>
      <c r="AZ924" s="176"/>
      <c r="BA924" s="176"/>
      <c r="BB924" s="176"/>
      <c r="BC924" s="176"/>
      <c r="BD924" s="176"/>
    </row>
    <row r="925" ht="15.75" customHeight="1">
      <c r="A925" s="176"/>
      <c r="B925" s="176"/>
      <c r="C925" s="176"/>
      <c r="D925" s="176"/>
      <c r="E925" s="176"/>
      <c r="F925" s="176"/>
      <c r="G925" s="178"/>
      <c r="H925" s="176"/>
      <c r="I925" s="176"/>
      <c r="J925" s="176"/>
      <c r="K925" s="176"/>
      <c r="L925" s="176"/>
      <c r="M925" s="176"/>
      <c r="N925" s="176"/>
      <c r="O925" s="176"/>
      <c r="P925" s="176"/>
      <c r="Q925" s="176"/>
      <c r="R925" s="176"/>
      <c r="S925" s="176"/>
      <c r="T925" s="176"/>
      <c r="U925" s="176"/>
      <c r="V925" s="176"/>
      <c r="W925" s="176"/>
      <c r="X925" s="176"/>
      <c r="Y925" s="176"/>
      <c r="Z925" s="176"/>
      <c r="AA925" s="176"/>
      <c r="AB925" s="176"/>
      <c r="AC925" s="176"/>
      <c r="AD925" s="176"/>
      <c r="AE925" s="176"/>
      <c r="AF925" s="176"/>
      <c r="AG925" s="176"/>
      <c r="AH925" s="176"/>
      <c r="AI925" s="176"/>
      <c r="AJ925" s="176"/>
      <c r="AK925" s="176"/>
      <c r="AL925" s="176"/>
      <c r="AM925" s="176"/>
      <c r="AN925" s="176"/>
      <c r="AO925" s="176"/>
      <c r="AP925" s="176"/>
      <c r="AQ925" s="176"/>
      <c r="AR925" s="176"/>
      <c r="AS925" s="176"/>
      <c r="AT925" s="176"/>
      <c r="AU925" s="176"/>
      <c r="AV925" s="176"/>
      <c r="AW925" s="176"/>
      <c r="AX925" s="176"/>
      <c r="AY925" s="176"/>
      <c r="AZ925" s="176"/>
      <c r="BA925" s="176"/>
      <c r="BB925" s="176"/>
      <c r="BC925" s="176"/>
      <c r="BD925" s="176"/>
    </row>
    <row r="926" ht="15.75" customHeight="1">
      <c r="A926" s="176"/>
      <c r="B926" s="176"/>
      <c r="C926" s="176"/>
      <c r="D926" s="176"/>
      <c r="E926" s="176"/>
      <c r="F926" s="176"/>
      <c r="G926" s="178"/>
      <c r="H926" s="176"/>
      <c r="I926" s="176"/>
      <c r="J926" s="176"/>
      <c r="K926" s="176"/>
      <c r="L926" s="176"/>
      <c r="M926" s="176"/>
      <c r="N926" s="176"/>
      <c r="O926" s="176"/>
      <c r="P926" s="176"/>
      <c r="Q926" s="176"/>
      <c r="R926" s="176"/>
      <c r="S926" s="176"/>
      <c r="T926" s="176"/>
      <c r="U926" s="176"/>
      <c r="V926" s="176"/>
      <c r="W926" s="176"/>
      <c r="X926" s="176"/>
      <c r="Y926" s="176"/>
      <c r="Z926" s="176"/>
      <c r="AA926" s="176"/>
      <c r="AB926" s="176"/>
      <c r="AC926" s="176"/>
      <c r="AD926" s="176"/>
      <c r="AE926" s="176"/>
      <c r="AF926" s="176"/>
      <c r="AG926" s="176"/>
      <c r="AH926" s="176"/>
      <c r="AI926" s="176"/>
      <c r="AJ926" s="176"/>
      <c r="AK926" s="176"/>
      <c r="AL926" s="176"/>
      <c r="AM926" s="176"/>
      <c r="AN926" s="176"/>
      <c r="AO926" s="176"/>
      <c r="AP926" s="176"/>
      <c r="AQ926" s="176"/>
      <c r="AR926" s="176"/>
      <c r="AS926" s="176"/>
      <c r="AT926" s="176"/>
      <c r="AU926" s="176"/>
      <c r="AV926" s="176"/>
      <c r="AW926" s="176"/>
      <c r="AX926" s="176"/>
      <c r="AY926" s="176"/>
      <c r="AZ926" s="176"/>
      <c r="BA926" s="176"/>
      <c r="BB926" s="176"/>
      <c r="BC926" s="176"/>
      <c r="BD926" s="176"/>
    </row>
    <row r="927" ht="15.75" customHeight="1">
      <c r="A927" s="176"/>
      <c r="B927" s="176"/>
      <c r="C927" s="176"/>
      <c r="D927" s="176"/>
      <c r="E927" s="176"/>
      <c r="F927" s="176"/>
      <c r="G927" s="178"/>
      <c r="H927" s="176"/>
      <c r="I927" s="176"/>
      <c r="J927" s="176"/>
      <c r="K927" s="176"/>
      <c r="L927" s="176"/>
      <c r="M927" s="176"/>
      <c r="N927" s="176"/>
      <c r="O927" s="176"/>
      <c r="P927" s="176"/>
      <c r="Q927" s="176"/>
      <c r="R927" s="176"/>
      <c r="S927" s="176"/>
      <c r="T927" s="176"/>
      <c r="U927" s="176"/>
      <c r="V927" s="176"/>
      <c r="W927" s="176"/>
      <c r="X927" s="176"/>
      <c r="Y927" s="176"/>
      <c r="Z927" s="176"/>
      <c r="AA927" s="176"/>
      <c r="AB927" s="176"/>
      <c r="AC927" s="176"/>
      <c r="AD927" s="176"/>
      <c r="AE927" s="176"/>
      <c r="AF927" s="176"/>
      <c r="AG927" s="176"/>
      <c r="AH927" s="176"/>
      <c r="AI927" s="176"/>
      <c r="AJ927" s="176"/>
      <c r="AK927" s="176"/>
      <c r="AL927" s="176"/>
      <c r="AM927" s="176"/>
      <c r="AN927" s="176"/>
      <c r="AO927" s="176"/>
      <c r="AP927" s="176"/>
      <c r="AQ927" s="176"/>
      <c r="AR927" s="176"/>
      <c r="AS927" s="176"/>
      <c r="AT927" s="176"/>
      <c r="AU927" s="176"/>
      <c r="AV927" s="176"/>
      <c r="AW927" s="176"/>
      <c r="AX927" s="176"/>
      <c r="AY927" s="176"/>
      <c r="AZ927" s="176"/>
      <c r="BA927" s="176"/>
      <c r="BB927" s="176"/>
      <c r="BC927" s="176"/>
      <c r="BD927" s="176"/>
    </row>
    <row r="928" ht="15.75" customHeight="1">
      <c r="A928" s="176"/>
      <c r="B928" s="176"/>
      <c r="C928" s="176"/>
      <c r="D928" s="176"/>
      <c r="E928" s="176"/>
      <c r="F928" s="176"/>
      <c r="G928" s="178"/>
      <c r="H928" s="176"/>
      <c r="I928" s="176"/>
      <c r="J928" s="176"/>
      <c r="K928" s="176"/>
      <c r="L928" s="176"/>
      <c r="M928" s="176"/>
      <c r="N928" s="176"/>
      <c r="O928" s="176"/>
      <c r="P928" s="176"/>
      <c r="Q928" s="176"/>
      <c r="R928" s="176"/>
      <c r="S928" s="176"/>
      <c r="T928" s="176"/>
      <c r="U928" s="176"/>
      <c r="V928" s="176"/>
      <c r="W928" s="176"/>
      <c r="X928" s="176"/>
      <c r="Y928" s="176"/>
      <c r="Z928" s="176"/>
      <c r="AA928" s="176"/>
      <c r="AB928" s="176"/>
      <c r="AC928" s="176"/>
      <c r="AD928" s="176"/>
      <c r="AE928" s="176"/>
      <c r="AF928" s="176"/>
      <c r="AG928" s="176"/>
      <c r="AH928" s="176"/>
      <c r="AI928" s="176"/>
      <c r="AJ928" s="176"/>
      <c r="AK928" s="176"/>
      <c r="AL928" s="176"/>
      <c r="AM928" s="176"/>
      <c r="AN928" s="176"/>
      <c r="AO928" s="176"/>
      <c r="AP928" s="176"/>
      <c r="AQ928" s="176"/>
      <c r="AR928" s="176"/>
      <c r="AS928" s="176"/>
      <c r="AT928" s="176"/>
      <c r="AU928" s="176"/>
      <c r="AV928" s="176"/>
      <c r="AW928" s="176"/>
      <c r="AX928" s="176"/>
      <c r="AY928" s="176"/>
      <c r="AZ928" s="176"/>
      <c r="BA928" s="176"/>
      <c r="BB928" s="176"/>
      <c r="BC928" s="176"/>
      <c r="BD928" s="176"/>
    </row>
    <row r="929" ht="15.75" customHeight="1">
      <c r="A929" s="176"/>
      <c r="B929" s="176"/>
      <c r="C929" s="176"/>
      <c r="D929" s="176"/>
      <c r="E929" s="176"/>
      <c r="F929" s="176"/>
      <c r="G929" s="178"/>
      <c r="H929" s="176"/>
      <c r="I929" s="176"/>
      <c r="J929" s="176"/>
      <c r="K929" s="176"/>
      <c r="L929" s="176"/>
      <c r="M929" s="176"/>
      <c r="N929" s="176"/>
      <c r="O929" s="176"/>
      <c r="P929" s="176"/>
      <c r="Q929" s="176"/>
      <c r="R929" s="176"/>
      <c r="S929" s="176"/>
      <c r="T929" s="176"/>
      <c r="U929" s="176"/>
      <c r="V929" s="176"/>
      <c r="W929" s="176"/>
      <c r="X929" s="176"/>
      <c r="Y929" s="176"/>
      <c r="Z929" s="176"/>
      <c r="AA929" s="176"/>
      <c r="AB929" s="176"/>
      <c r="AC929" s="176"/>
      <c r="AD929" s="176"/>
      <c r="AE929" s="176"/>
      <c r="AF929" s="176"/>
      <c r="AG929" s="176"/>
      <c r="AH929" s="176"/>
      <c r="AI929" s="176"/>
      <c r="AJ929" s="176"/>
      <c r="AK929" s="176"/>
      <c r="AL929" s="176"/>
      <c r="AM929" s="176"/>
      <c r="AN929" s="176"/>
      <c r="AO929" s="176"/>
      <c r="AP929" s="176"/>
      <c r="AQ929" s="176"/>
      <c r="AR929" s="176"/>
      <c r="AS929" s="176"/>
      <c r="AT929" s="176"/>
      <c r="AU929" s="176"/>
      <c r="AV929" s="176"/>
      <c r="AW929" s="176"/>
      <c r="AX929" s="176"/>
      <c r="AY929" s="176"/>
      <c r="AZ929" s="176"/>
      <c r="BA929" s="176"/>
      <c r="BB929" s="176"/>
      <c r="BC929" s="176"/>
      <c r="BD929" s="176"/>
    </row>
    <row r="930" ht="15.75" customHeight="1">
      <c r="A930" s="176"/>
      <c r="B930" s="176"/>
      <c r="C930" s="176"/>
      <c r="D930" s="176"/>
      <c r="E930" s="176"/>
      <c r="F930" s="176"/>
      <c r="G930" s="178"/>
      <c r="H930" s="176"/>
      <c r="I930" s="176"/>
      <c r="J930" s="176"/>
      <c r="K930" s="176"/>
      <c r="L930" s="176"/>
      <c r="M930" s="176"/>
      <c r="N930" s="176"/>
      <c r="O930" s="176"/>
      <c r="P930" s="176"/>
      <c r="Q930" s="176"/>
      <c r="R930" s="176"/>
      <c r="S930" s="176"/>
      <c r="T930" s="176"/>
      <c r="U930" s="176"/>
      <c r="V930" s="176"/>
      <c r="W930" s="176"/>
      <c r="X930" s="176"/>
      <c r="Y930" s="176"/>
      <c r="Z930" s="176"/>
      <c r="AA930" s="176"/>
      <c r="AB930" s="176"/>
      <c r="AC930" s="176"/>
      <c r="AD930" s="176"/>
      <c r="AE930" s="176"/>
      <c r="AF930" s="176"/>
      <c r="AG930" s="176"/>
      <c r="AH930" s="176"/>
      <c r="AI930" s="176"/>
      <c r="AJ930" s="176"/>
      <c r="AK930" s="176"/>
      <c r="AL930" s="176"/>
      <c r="AM930" s="176"/>
      <c r="AN930" s="176"/>
      <c r="AO930" s="176"/>
      <c r="AP930" s="176"/>
      <c r="AQ930" s="176"/>
      <c r="AR930" s="176"/>
      <c r="AS930" s="176"/>
      <c r="AT930" s="176"/>
      <c r="AU930" s="176"/>
      <c r="AV930" s="176"/>
      <c r="AW930" s="176"/>
      <c r="AX930" s="176"/>
      <c r="AY930" s="176"/>
      <c r="AZ930" s="176"/>
      <c r="BA930" s="176"/>
      <c r="BB930" s="176"/>
      <c r="BC930" s="176"/>
      <c r="BD930" s="176"/>
    </row>
    <row r="931" ht="15.75" customHeight="1">
      <c r="A931" s="176"/>
      <c r="B931" s="176"/>
      <c r="C931" s="176"/>
      <c r="D931" s="176"/>
      <c r="E931" s="176"/>
      <c r="F931" s="176"/>
      <c r="G931" s="178"/>
      <c r="H931" s="176"/>
      <c r="I931" s="176"/>
      <c r="J931" s="176"/>
      <c r="K931" s="176"/>
      <c r="L931" s="176"/>
      <c r="M931" s="176"/>
      <c r="N931" s="176"/>
      <c r="O931" s="176"/>
      <c r="P931" s="176"/>
      <c r="Q931" s="176"/>
      <c r="R931" s="176"/>
      <c r="S931" s="176"/>
      <c r="T931" s="176"/>
      <c r="U931" s="176"/>
      <c r="V931" s="176"/>
      <c r="W931" s="176"/>
      <c r="X931" s="176"/>
      <c r="Y931" s="176"/>
      <c r="Z931" s="176"/>
      <c r="AA931" s="176"/>
      <c r="AB931" s="176"/>
      <c r="AC931" s="176"/>
      <c r="AD931" s="176"/>
      <c r="AE931" s="176"/>
      <c r="AF931" s="176"/>
      <c r="AG931" s="176"/>
      <c r="AH931" s="176"/>
      <c r="AI931" s="176"/>
      <c r="AJ931" s="176"/>
      <c r="AK931" s="176"/>
      <c r="AL931" s="176"/>
      <c r="AM931" s="176"/>
      <c r="AN931" s="176"/>
      <c r="AO931" s="176"/>
      <c r="AP931" s="176"/>
      <c r="AQ931" s="176"/>
      <c r="AR931" s="176"/>
      <c r="AS931" s="176"/>
      <c r="AT931" s="176"/>
      <c r="AU931" s="176"/>
      <c r="AV931" s="176"/>
      <c r="AW931" s="176"/>
      <c r="AX931" s="176"/>
      <c r="AY931" s="176"/>
      <c r="AZ931" s="176"/>
      <c r="BA931" s="176"/>
      <c r="BB931" s="176"/>
      <c r="BC931" s="176"/>
      <c r="BD931" s="176"/>
    </row>
    <row r="932" ht="15.75" customHeight="1">
      <c r="A932" s="176"/>
      <c r="B932" s="176"/>
      <c r="C932" s="176"/>
      <c r="D932" s="176"/>
      <c r="E932" s="176"/>
      <c r="F932" s="176"/>
      <c r="G932" s="178"/>
      <c r="H932" s="176"/>
      <c r="I932" s="176"/>
      <c r="J932" s="176"/>
      <c r="K932" s="176"/>
      <c r="L932" s="176"/>
      <c r="M932" s="176"/>
      <c r="N932" s="176"/>
      <c r="O932" s="176"/>
      <c r="P932" s="176"/>
      <c r="Q932" s="176"/>
      <c r="R932" s="176"/>
      <c r="S932" s="176"/>
      <c r="T932" s="176"/>
      <c r="U932" s="176"/>
      <c r="V932" s="176"/>
      <c r="W932" s="176"/>
      <c r="X932" s="176"/>
      <c r="Y932" s="176"/>
      <c r="Z932" s="176"/>
      <c r="AA932" s="176"/>
      <c r="AB932" s="176"/>
      <c r="AC932" s="176"/>
      <c r="AD932" s="176"/>
      <c r="AE932" s="176"/>
      <c r="AF932" s="176"/>
      <c r="AG932" s="176"/>
      <c r="AH932" s="176"/>
      <c r="AI932" s="176"/>
      <c r="AJ932" s="176"/>
      <c r="AK932" s="176"/>
      <c r="AL932" s="176"/>
      <c r="AM932" s="176"/>
      <c r="AN932" s="176"/>
      <c r="AO932" s="176"/>
      <c r="AP932" s="176"/>
      <c r="AQ932" s="176"/>
      <c r="AR932" s="176"/>
      <c r="AS932" s="176"/>
      <c r="AT932" s="176"/>
      <c r="AU932" s="176"/>
      <c r="AV932" s="176"/>
      <c r="AW932" s="176"/>
      <c r="AX932" s="176"/>
      <c r="AY932" s="176"/>
      <c r="AZ932" s="176"/>
      <c r="BA932" s="176"/>
      <c r="BB932" s="176"/>
      <c r="BC932" s="176"/>
      <c r="BD932" s="176"/>
    </row>
    <row r="933" ht="15.75" customHeight="1">
      <c r="A933" s="176"/>
      <c r="B933" s="176"/>
      <c r="C933" s="176"/>
      <c r="D933" s="176"/>
      <c r="E933" s="176"/>
      <c r="F933" s="176"/>
      <c r="G933" s="178"/>
      <c r="H933" s="176"/>
      <c r="I933" s="176"/>
      <c r="J933" s="176"/>
      <c r="K933" s="176"/>
      <c r="L933" s="176"/>
      <c r="M933" s="176"/>
      <c r="N933" s="176"/>
      <c r="O933" s="176"/>
      <c r="P933" s="176"/>
      <c r="Q933" s="176"/>
      <c r="R933" s="176"/>
      <c r="S933" s="176"/>
      <c r="T933" s="176"/>
      <c r="U933" s="176"/>
      <c r="V933" s="176"/>
      <c r="W933" s="176"/>
      <c r="X933" s="176"/>
      <c r="Y933" s="176"/>
      <c r="Z933" s="176"/>
      <c r="AA933" s="176"/>
      <c r="AB933" s="176"/>
      <c r="AC933" s="176"/>
      <c r="AD933" s="176"/>
      <c r="AE933" s="176"/>
      <c r="AF933" s="176"/>
      <c r="AG933" s="176"/>
      <c r="AH933" s="176"/>
      <c r="AI933" s="176"/>
      <c r="AJ933" s="176"/>
      <c r="AK933" s="176"/>
      <c r="AL933" s="176"/>
      <c r="AM933" s="176"/>
      <c r="AN933" s="176"/>
      <c r="AO933" s="176"/>
      <c r="AP933" s="176"/>
      <c r="AQ933" s="176"/>
      <c r="AR933" s="176"/>
      <c r="AS933" s="176"/>
      <c r="AT933" s="176"/>
      <c r="AU933" s="176"/>
      <c r="AV933" s="176"/>
      <c r="AW933" s="176"/>
      <c r="AX933" s="176"/>
      <c r="AY933" s="176"/>
      <c r="AZ933" s="176"/>
      <c r="BA933" s="176"/>
      <c r="BB933" s="176"/>
      <c r="BC933" s="176"/>
      <c r="BD933" s="176"/>
    </row>
    <row r="934" ht="15.75" customHeight="1">
      <c r="A934" s="176"/>
      <c r="B934" s="176"/>
      <c r="C934" s="176"/>
      <c r="D934" s="176"/>
      <c r="E934" s="176"/>
      <c r="F934" s="176"/>
      <c r="G934" s="178"/>
      <c r="H934" s="176"/>
      <c r="I934" s="176"/>
      <c r="J934" s="176"/>
      <c r="K934" s="176"/>
      <c r="L934" s="176"/>
      <c r="M934" s="176"/>
      <c r="N934" s="176"/>
      <c r="O934" s="176"/>
      <c r="P934" s="176"/>
      <c r="Q934" s="176"/>
      <c r="R934" s="176"/>
      <c r="S934" s="176"/>
      <c r="T934" s="176"/>
      <c r="U934" s="176"/>
      <c r="V934" s="176"/>
      <c r="W934" s="176"/>
      <c r="X934" s="176"/>
      <c r="Y934" s="176"/>
      <c r="Z934" s="176"/>
      <c r="AA934" s="176"/>
      <c r="AB934" s="176"/>
      <c r="AC934" s="176"/>
      <c r="AD934" s="176"/>
      <c r="AE934" s="176"/>
      <c r="AF934" s="176"/>
      <c r="AG934" s="176"/>
      <c r="AH934" s="176"/>
      <c r="AI934" s="176"/>
      <c r="AJ934" s="176"/>
      <c r="AK934" s="176"/>
      <c r="AL934" s="176"/>
      <c r="AM934" s="176"/>
      <c r="AN934" s="176"/>
      <c r="AO934" s="176"/>
      <c r="AP934" s="176"/>
      <c r="AQ934" s="176"/>
      <c r="AR934" s="176"/>
      <c r="AS934" s="176"/>
      <c r="AT934" s="176"/>
      <c r="AU934" s="176"/>
      <c r="AV934" s="176"/>
      <c r="AW934" s="176"/>
      <c r="AX934" s="176"/>
      <c r="AY934" s="176"/>
      <c r="AZ934" s="176"/>
      <c r="BA934" s="176"/>
      <c r="BB934" s="176"/>
      <c r="BC934" s="176"/>
      <c r="BD934" s="176"/>
    </row>
    <row r="935" ht="15.75" customHeight="1">
      <c r="A935" s="176"/>
      <c r="B935" s="176"/>
      <c r="C935" s="176"/>
      <c r="D935" s="176"/>
      <c r="E935" s="176"/>
      <c r="F935" s="176"/>
      <c r="G935" s="178"/>
      <c r="H935" s="176"/>
      <c r="I935" s="176"/>
      <c r="J935" s="176"/>
      <c r="K935" s="176"/>
      <c r="L935" s="176"/>
      <c r="M935" s="176"/>
      <c r="N935" s="176"/>
      <c r="O935" s="176"/>
      <c r="P935" s="176"/>
      <c r="Q935" s="176"/>
      <c r="R935" s="176"/>
      <c r="S935" s="176"/>
      <c r="T935" s="176"/>
      <c r="U935" s="176"/>
      <c r="V935" s="176"/>
      <c r="W935" s="176"/>
      <c r="X935" s="176"/>
      <c r="Y935" s="176"/>
      <c r="Z935" s="176"/>
      <c r="AA935" s="176"/>
      <c r="AB935" s="176"/>
      <c r="AC935" s="176"/>
      <c r="AD935" s="176"/>
      <c r="AE935" s="176"/>
      <c r="AF935" s="176"/>
      <c r="AG935" s="176"/>
      <c r="AH935" s="176"/>
      <c r="AI935" s="176"/>
      <c r="AJ935" s="176"/>
      <c r="AK935" s="176"/>
      <c r="AL935" s="176"/>
      <c r="AM935" s="176"/>
      <c r="AN935" s="176"/>
      <c r="AO935" s="176"/>
      <c r="AP935" s="176"/>
      <c r="AQ935" s="176"/>
      <c r="AR935" s="176"/>
      <c r="AS935" s="176"/>
      <c r="AT935" s="176"/>
      <c r="AU935" s="176"/>
      <c r="AV935" s="176"/>
      <c r="AW935" s="176"/>
      <c r="AX935" s="176"/>
      <c r="AY935" s="176"/>
      <c r="AZ935" s="176"/>
      <c r="BA935" s="176"/>
      <c r="BB935" s="176"/>
      <c r="BC935" s="176"/>
      <c r="BD935" s="176"/>
    </row>
    <row r="936" ht="15.75" customHeight="1">
      <c r="A936" s="176"/>
      <c r="B936" s="176"/>
      <c r="C936" s="176"/>
      <c r="D936" s="176"/>
      <c r="E936" s="176"/>
      <c r="F936" s="176"/>
      <c r="G936" s="178"/>
      <c r="H936" s="176"/>
      <c r="I936" s="176"/>
      <c r="J936" s="176"/>
      <c r="K936" s="176"/>
      <c r="L936" s="176"/>
      <c r="M936" s="176"/>
      <c r="N936" s="176"/>
      <c r="O936" s="176"/>
      <c r="P936" s="176"/>
      <c r="Q936" s="176"/>
      <c r="R936" s="176"/>
      <c r="S936" s="176"/>
      <c r="T936" s="176"/>
      <c r="U936" s="176"/>
      <c r="V936" s="176"/>
      <c r="W936" s="176"/>
      <c r="X936" s="176"/>
      <c r="Y936" s="176"/>
      <c r="Z936" s="176"/>
      <c r="AA936" s="176"/>
      <c r="AB936" s="176"/>
      <c r="AC936" s="176"/>
      <c r="AD936" s="176"/>
      <c r="AE936" s="176"/>
      <c r="AF936" s="176"/>
      <c r="AG936" s="176"/>
      <c r="AH936" s="176"/>
      <c r="AI936" s="176"/>
      <c r="AJ936" s="176"/>
      <c r="AK936" s="176"/>
      <c r="AL936" s="176"/>
      <c r="AM936" s="176"/>
      <c r="AN936" s="176"/>
      <c r="AO936" s="176"/>
      <c r="AP936" s="176"/>
      <c r="AQ936" s="176"/>
      <c r="AR936" s="176"/>
      <c r="AS936" s="176"/>
      <c r="AT936" s="176"/>
      <c r="AU936" s="176"/>
      <c r="AV936" s="176"/>
      <c r="AW936" s="176"/>
      <c r="AX936" s="176"/>
      <c r="AY936" s="176"/>
      <c r="AZ936" s="176"/>
      <c r="BA936" s="176"/>
      <c r="BB936" s="176"/>
      <c r="BC936" s="176"/>
      <c r="BD936" s="176"/>
    </row>
    <row r="937" ht="15.75" customHeight="1">
      <c r="A937" s="176"/>
      <c r="B937" s="176"/>
      <c r="C937" s="176"/>
      <c r="D937" s="176"/>
      <c r="E937" s="176"/>
      <c r="F937" s="176"/>
      <c r="G937" s="178"/>
      <c r="H937" s="176"/>
      <c r="I937" s="176"/>
      <c r="J937" s="176"/>
      <c r="K937" s="176"/>
      <c r="L937" s="176"/>
      <c r="M937" s="176"/>
      <c r="N937" s="176"/>
      <c r="O937" s="176"/>
      <c r="P937" s="176"/>
      <c r="Q937" s="176"/>
      <c r="R937" s="176"/>
      <c r="S937" s="176"/>
      <c r="T937" s="176"/>
      <c r="U937" s="176"/>
      <c r="V937" s="176"/>
      <c r="W937" s="176"/>
      <c r="X937" s="176"/>
      <c r="Y937" s="176"/>
      <c r="Z937" s="176"/>
      <c r="AA937" s="176"/>
      <c r="AB937" s="176"/>
      <c r="AC937" s="176"/>
      <c r="AD937" s="176"/>
      <c r="AE937" s="176"/>
      <c r="AF937" s="176"/>
      <c r="AG937" s="176"/>
      <c r="AH937" s="176"/>
      <c r="AI937" s="176"/>
      <c r="AJ937" s="176"/>
      <c r="AK937" s="176"/>
      <c r="AL937" s="176"/>
      <c r="AM937" s="176"/>
      <c r="AN937" s="176"/>
      <c r="AO937" s="176"/>
      <c r="AP937" s="176"/>
      <c r="AQ937" s="176"/>
      <c r="AR937" s="176"/>
      <c r="AS937" s="176"/>
      <c r="AT937" s="176"/>
      <c r="AU937" s="176"/>
      <c r="AV937" s="176"/>
      <c r="AW937" s="176"/>
      <c r="AX937" s="176"/>
      <c r="AY937" s="176"/>
      <c r="AZ937" s="176"/>
      <c r="BA937" s="176"/>
      <c r="BB937" s="176"/>
      <c r="BC937" s="176"/>
      <c r="BD937" s="176"/>
    </row>
    <row r="938" ht="15.75" customHeight="1">
      <c r="A938" s="176"/>
      <c r="B938" s="176"/>
      <c r="C938" s="176"/>
      <c r="D938" s="176"/>
      <c r="E938" s="176"/>
      <c r="F938" s="176"/>
      <c r="G938" s="178"/>
      <c r="H938" s="176"/>
      <c r="I938" s="176"/>
      <c r="J938" s="176"/>
      <c r="K938" s="176"/>
      <c r="L938" s="176"/>
      <c r="M938" s="176"/>
      <c r="N938" s="176"/>
      <c r="O938" s="176"/>
      <c r="P938" s="176"/>
      <c r="Q938" s="176"/>
      <c r="R938" s="176"/>
      <c r="S938" s="176"/>
      <c r="T938" s="176"/>
      <c r="U938" s="176"/>
      <c r="V938" s="176"/>
      <c r="W938" s="176"/>
      <c r="X938" s="176"/>
      <c r="Y938" s="176"/>
      <c r="Z938" s="176"/>
      <c r="AA938" s="176"/>
      <c r="AB938" s="176"/>
      <c r="AC938" s="176"/>
      <c r="AD938" s="176"/>
      <c r="AE938" s="176"/>
      <c r="AF938" s="176"/>
      <c r="AG938" s="176"/>
      <c r="AH938" s="176"/>
      <c r="AI938" s="176"/>
      <c r="AJ938" s="176"/>
      <c r="AK938" s="176"/>
      <c r="AL938" s="176"/>
      <c r="AM938" s="176"/>
      <c r="AN938" s="176"/>
      <c r="AO938" s="176"/>
      <c r="AP938" s="176"/>
      <c r="AQ938" s="176"/>
      <c r="AR938" s="176"/>
      <c r="AS938" s="176"/>
      <c r="AT938" s="176"/>
      <c r="AU938" s="176"/>
      <c r="AV938" s="176"/>
      <c r="AW938" s="176"/>
      <c r="AX938" s="176"/>
      <c r="AY938" s="176"/>
      <c r="AZ938" s="176"/>
      <c r="BA938" s="176"/>
      <c r="BB938" s="176"/>
      <c r="BC938" s="176"/>
      <c r="BD938" s="176"/>
    </row>
    <row r="939" ht="15.75" customHeight="1">
      <c r="A939" s="176"/>
      <c r="B939" s="176"/>
      <c r="C939" s="176"/>
      <c r="D939" s="176"/>
      <c r="E939" s="176"/>
      <c r="F939" s="176"/>
      <c r="G939" s="178"/>
      <c r="H939" s="176"/>
      <c r="I939" s="176"/>
      <c r="J939" s="176"/>
      <c r="K939" s="176"/>
      <c r="L939" s="176"/>
      <c r="M939" s="176"/>
      <c r="N939" s="176"/>
      <c r="O939" s="176"/>
      <c r="P939" s="176"/>
      <c r="Q939" s="176"/>
      <c r="R939" s="176"/>
      <c r="S939" s="176"/>
      <c r="T939" s="176"/>
      <c r="U939" s="176"/>
      <c r="V939" s="176"/>
      <c r="W939" s="176"/>
      <c r="X939" s="176"/>
      <c r="Y939" s="176"/>
      <c r="Z939" s="176"/>
      <c r="AA939" s="176"/>
      <c r="AB939" s="176"/>
      <c r="AC939" s="176"/>
      <c r="AD939" s="176"/>
      <c r="AE939" s="176"/>
      <c r="AF939" s="176"/>
      <c r="AG939" s="176"/>
      <c r="AH939" s="176"/>
      <c r="AI939" s="176"/>
      <c r="AJ939" s="176"/>
      <c r="AK939" s="176"/>
      <c r="AL939" s="176"/>
      <c r="AM939" s="176"/>
      <c r="AN939" s="176"/>
      <c r="AO939" s="176"/>
      <c r="AP939" s="176"/>
      <c r="AQ939" s="176"/>
      <c r="AR939" s="176"/>
      <c r="AS939" s="176"/>
      <c r="AT939" s="176"/>
      <c r="AU939" s="176"/>
      <c r="AV939" s="176"/>
      <c r="AW939" s="176"/>
      <c r="AX939" s="176"/>
      <c r="AY939" s="176"/>
      <c r="AZ939" s="176"/>
      <c r="BA939" s="176"/>
      <c r="BB939" s="176"/>
      <c r="BC939" s="176"/>
      <c r="BD939" s="176"/>
    </row>
    <row r="940" ht="15.75" customHeight="1">
      <c r="A940" s="176"/>
      <c r="B940" s="176"/>
      <c r="C940" s="176"/>
      <c r="D940" s="176"/>
      <c r="E940" s="176"/>
      <c r="F940" s="176"/>
      <c r="G940" s="178"/>
      <c r="H940" s="176"/>
      <c r="I940" s="176"/>
      <c r="J940" s="176"/>
      <c r="K940" s="176"/>
      <c r="L940" s="176"/>
      <c r="M940" s="176"/>
      <c r="N940" s="176"/>
      <c r="O940" s="176"/>
      <c r="P940" s="176"/>
      <c r="Q940" s="176"/>
      <c r="R940" s="176"/>
      <c r="S940" s="176"/>
      <c r="T940" s="176"/>
      <c r="U940" s="176"/>
      <c r="V940" s="176"/>
      <c r="W940" s="176"/>
      <c r="X940" s="176"/>
      <c r="Y940" s="176"/>
      <c r="Z940" s="176"/>
      <c r="AA940" s="176"/>
      <c r="AB940" s="176"/>
      <c r="AC940" s="176"/>
      <c r="AD940" s="176"/>
      <c r="AE940" s="176"/>
      <c r="AF940" s="176"/>
      <c r="AG940" s="176"/>
      <c r="AH940" s="176"/>
      <c r="AI940" s="176"/>
      <c r="AJ940" s="176"/>
      <c r="AK940" s="176"/>
      <c r="AL940" s="176"/>
      <c r="AM940" s="176"/>
      <c r="AN940" s="176"/>
      <c r="AO940" s="176"/>
      <c r="AP940" s="176"/>
      <c r="AQ940" s="176"/>
      <c r="AR940" s="176"/>
      <c r="AS940" s="176"/>
      <c r="AT940" s="176"/>
      <c r="AU940" s="176"/>
      <c r="AV940" s="176"/>
      <c r="AW940" s="176"/>
      <c r="AX940" s="176"/>
      <c r="AY940" s="176"/>
      <c r="AZ940" s="176"/>
      <c r="BA940" s="176"/>
      <c r="BB940" s="176"/>
      <c r="BC940" s="176"/>
      <c r="BD940" s="176"/>
    </row>
    <row r="941" ht="15.75" customHeight="1">
      <c r="A941" s="176"/>
      <c r="B941" s="176"/>
      <c r="C941" s="176"/>
      <c r="D941" s="176"/>
      <c r="E941" s="176"/>
      <c r="F941" s="176"/>
      <c r="G941" s="178"/>
      <c r="H941" s="176"/>
      <c r="I941" s="176"/>
      <c r="J941" s="176"/>
      <c r="K941" s="176"/>
      <c r="L941" s="176"/>
      <c r="M941" s="176"/>
      <c r="N941" s="176"/>
      <c r="O941" s="176"/>
      <c r="P941" s="176"/>
      <c r="Q941" s="176"/>
      <c r="R941" s="176"/>
      <c r="S941" s="176"/>
      <c r="T941" s="176"/>
      <c r="U941" s="176"/>
      <c r="V941" s="176"/>
      <c r="W941" s="176"/>
      <c r="X941" s="176"/>
      <c r="Y941" s="176"/>
      <c r="Z941" s="176"/>
      <c r="AA941" s="176"/>
      <c r="AB941" s="176"/>
      <c r="AC941" s="176"/>
      <c r="AD941" s="176"/>
      <c r="AE941" s="176"/>
      <c r="AF941" s="176"/>
      <c r="AG941" s="176"/>
      <c r="AH941" s="176"/>
      <c r="AI941" s="176"/>
      <c r="AJ941" s="176"/>
      <c r="AK941" s="176"/>
      <c r="AL941" s="176"/>
      <c r="AM941" s="176"/>
      <c r="AN941" s="176"/>
      <c r="AO941" s="176"/>
      <c r="AP941" s="176"/>
      <c r="AQ941" s="176"/>
      <c r="AR941" s="176"/>
      <c r="AS941" s="176"/>
      <c r="AT941" s="176"/>
      <c r="AU941" s="176"/>
      <c r="AV941" s="176"/>
      <c r="AW941" s="176"/>
      <c r="AX941" s="176"/>
      <c r="AY941" s="176"/>
      <c r="AZ941" s="176"/>
      <c r="BA941" s="176"/>
      <c r="BB941" s="176"/>
      <c r="BC941" s="176"/>
      <c r="BD941" s="176"/>
    </row>
    <row r="942" ht="15.75" customHeight="1">
      <c r="A942" s="176"/>
      <c r="B942" s="176"/>
      <c r="C942" s="176"/>
      <c r="D942" s="176"/>
      <c r="E942" s="176"/>
      <c r="F942" s="176"/>
      <c r="G942" s="178"/>
      <c r="H942" s="176"/>
      <c r="I942" s="176"/>
      <c r="J942" s="176"/>
      <c r="K942" s="176"/>
      <c r="L942" s="176"/>
      <c r="M942" s="176"/>
      <c r="N942" s="176"/>
      <c r="O942" s="176"/>
      <c r="P942" s="176"/>
      <c r="Q942" s="176"/>
      <c r="R942" s="176"/>
      <c r="S942" s="176"/>
      <c r="T942" s="176"/>
      <c r="U942" s="176"/>
      <c r="V942" s="176"/>
      <c r="W942" s="176"/>
      <c r="X942" s="176"/>
      <c r="Y942" s="176"/>
      <c r="Z942" s="176"/>
      <c r="AA942" s="176"/>
      <c r="AB942" s="176"/>
      <c r="AC942" s="176"/>
      <c r="AD942" s="176"/>
      <c r="AE942" s="176"/>
      <c r="AF942" s="176"/>
      <c r="AG942" s="176"/>
      <c r="AH942" s="176"/>
      <c r="AI942" s="176"/>
      <c r="AJ942" s="176"/>
      <c r="AK942" s="176"/>
      <c r="AL942" s="176"/>
      <c r="AM942" s="176"/>
      <c r="AN942" s="176"/>
      <c r="AO942" s="176"/>
      <c r="AP942" s="176"/>
      <c r="AQ942" s="176"/>
      <c r="AR942" s="176"/>
      <c r="AS942" s="176"/>
      <c r="AT942" s="176"/>
      <c r="AU942" s="176"/>
      <c r="AV942" s="176"/>
      <c r="AW942" s="176"/>
      <c r="AX942" s="176"/>
      <c r="AY942" s="176"/>
      <c r="AZ942" s="176"/>
      <c r="BA942" s="176"/>
      <c r="BB942" s="176"/>
      <c r="BC942" s="176"/>
      <c r="BD942" s="176"/>
    </row>
    <row r="943" ht="15.75" customHeight="1">
      <c r="A943" s="176"/>
      <c r="B943" s="176"/>
      <c r="C943" s="176"/>
      <c r="D943" s="176"/>
      <c r="E943" s="176"/>
      <c r="F943" s="176"/>
      <c r="G943" s="178"/>
      <c r="H943" s="176"/>
      <c r="I943" s="176"/>
      <c r="J943" s="176"/>
      <c r="K943" s="176"/>
      <c r="L943" s="176"/>
      <c r="M943" s="176"/>
      <c r="N943" s="176"/>
      <c r="O943" s="176"/>
      <c r="P943" s="176"/>
      <c r="Q943" s="176"/>
      <c r="R943" s="176"/>
      <c r="S943" s="176"/>
      <c r="T943" s="176"/>
      <c r="U943" s="176"/>
      <c r="V943" s="176"/>
      <c r="W943" s="176"/>
      <c r="X943" s="176"/>
      <c r="Y943" s="176"/>
      <c r="Z943" s="176"/>
      <c r="AA943" s="176"/>
      <c r="AB943" s="176"/>
      <c r="AC943" s="176"/>
      <c r="AD943" s="176"/>
      <c r="AE943" s="176"/>
      <c r="AF943" s="176"/>
      <c r="AG943" s="176"/>
      <c r="AH943" s="176"/>
      <c r="AI943" s="176"/>
      <c r="AJ943" s="176"/>
      <c r="AK943" s="176"/>
      <c r="AL943" s="176"/>
      <c r="AM943" s="176"/>
      <c r="AN943" s="176"/>
      <c r="AO943" s="176"/>
      <c r="AP943" s="176"/>
      <c r="AQ943" s="176"/>
      <c r="AR943" s="176"/>
      <c r="AS943" s="176"/>
      <c r="AT943" s="176"/>
      <c r="AU943" s="176"/>
      <c r="AV943" s="176"/>
      <c r="AW943" s="176"/>
      <c r="AX943" s="176"/>
      <c r="AY943" s="176"/>
      <c r="AZ943" s="176"/>
      <c r="BA943" s="176"/>
      <c r="BB943" s="176"/>
      <c r="BC943" s="176"/>
      <c r="BD943" s="176"/>
    </row>
    <row r="944" ht="15.75" customHeight="1">
      <c r="A944" s="176"/>
      <c r="B944" s="176"/>
      <c r="C944" s="176"/>
      <c r="D944" s="176"/>
      <c r="E944" s="176"/>
      <c r="F944" s="176"/>
      <c r="G944" s="178"/>
      <c r="H944" s="176"/>
      <c r="I944" s="176"/>
      <c r="J944" s="176"/>
      <c r="K944" s="176"/>
      <c r="L944" s="176"/>
      <c r="M944" s="176"/>
      <c r="N944" s="176"/>
      <c r="O944" s="176"/>
      <c r="P944" s="176"/>
      <c r="Q944" s="176"/>
      <c r="R944" s="176"/>
      <c r="S944" s="176"/>
      <c r="T944" s="176"/>
      <c r="U944" s="176"/>
      <c r="V944" s="176"/>
      <c r="W944" s="176"/>
      <c r="X944" s="176"/>
      <c r="Y944" s="176"/>
      <c r="Z944" s="176"/>
      <c r="AA944" s="176"/>
      <c r="AB944" s="176"/>
      <c r="AC944" s="176"/>
      <c r="AD944" s="176"/>
      <c r="AE944" s="176"/>
      <c r="AF944" s="176"/>
      <c r="AG944" s="176"/>
      <c r="AH944" s="176"/>
      <c r="AI944" s="176"/>
      <c r="AJ944" s="176"/>
      <c r="AK944" s="176"/>
      <c r="AL944" s="176"/>
      <c r="AM944" s="176"/>
      <c r="AN944" s="176"/>
      <c r="AO944" s="176"/>
      <c r="AP944" s="176"/>
      <c r="AQ944" s="176"/>
      <c r="AR944" s="176"/>
      <c r="AS944" s="176"/>
      <c r="AT944" s="176"/>
      <c r="AU944" s="176"/>
      <c r="AV944" s="176"/>
      <c r="AW944" s="176"/>
      <c r="AX944" s="176"/>
      <c r="AY944" s="176"/>
      <c r="AZ944" s="176"/>
      <c r="BA944" s="176"/>
      <c r="BB944" s="176"/>
      <c r="BC944" s="176"/>
      <c r="BD944" s="176"/>
    </row>
    <row r="945" ht="15.75" customHeight="1">
      <c r="A945" s="176"/>
      <c r="B945" s="176"/>
      <c r="C945" s="176"/>
      <c r="D945" s="176"/>
      <c r="E945" s="176"/>
      <c r="F945" s="176"/>
      <c r="G945" s="178"/>
      <c r="H945" s="176"/>
      <c r="I945" s="176"/>
      <c r="J945" s="176"/>
      <c r="K945" s="176"/>
      <c r="L945" s="176"/>
      <c r="M945" s="176"/>
      <c r="N945" s="176"/>
      <c r="O945" s="176"/>
      <c r="P945" s="176"/>
      <c r="Q945" s="176"/>
      <c r="R945" s="176"/>
      <c r="S945" s="176"/>
      <c r="T945" s="176"/>
      <c r="U945" s="176"/>
      <c r="V945" s="176"/>
      <c r="W945" s="176"/>
      <c r="X945" s="176"/>
      <c r="Y945" s="176"/>
      <c r="Z945" s="176"/>
      <c r="AA945" s="176"/>
      <c r="AB945" s="176"/>
      <c r="AC945" s="176"/>
      <c r="AD945" s="176"/>
      <c r="AE945" s="176"/>
      <c r="AF945" s="176"/>
      <c r="AG945" s="176"/>
      <c r="AH945" s="176"/>
      <c r="AI945" s="176"/>
      <c r="AJ945" s="176"/>
      <c r="AK945" s="176"/>
      <c r="AL945" s="176"/>
      <c r="AM945" s="176"/>
      <c r="AN945" s="176"/>
      <c r="AO945" s="176"/>
      <c r="AP945" s="176"/>
      <c r="AQ945" s="176"/>
      <c r="AR945" s="176"/>
      <c r="AS945" s="176"/>
      <c r="AT945" s="176"/>
      <c r="AU945" s="176"/>
      <c r="AV945" s="176"/>
      <c r="AW945" s="176"/>
      <c r="AX945" s="176"/>
      <c r="AY945" s="176"/>
      <c r="AZ945" s="176"/>
      <c r="BA945" s="176"/>
      <c r="BB945" s="176"/>
      <c r="BC945" s="176"/>
      <c r="BD945" s="176"/>
    </row>
    <row r="946" ht="15.75" customHeight="1">
      <c r="A946" s="176"/>
      <c r="B946" s="176"/>
      <c r="C946" s="176"/>
      <c r="D946" s="176"/>
      <c r="E946" s="176"/>
      <c r="F946" s="176"/>
      <c r="G946" s="178"/>
      <c r="H946" s="176"/>
      <c r="I946" s="176"/>
      <c r="J946" s="176"/>
      <c r="K946" s="176"/>
      <c r="L946" s="176"/>
      <c r="M946" s="176"/>
      <c r="N946" s="176"/>
      <c r="O946" s="176"/>
      <c r="P946" s="176"/>
      <c r="Q946" s="176"/>
      <c r="R946" s="176"/>
      <c r="S946" s="176"/>
      <c r="T946" s="176"/>
      <c r="U946" s="176"/>
      <c r="V946" s="176"/>
      <c r="W946" s="176"/>
      <c r="X946" s="176"/>
      <c r="Y946" s="176"/>
      <c r="Z946" s="176"/>
      <c r="AA946" s="176"/>
      <c r="AB946" s="176"/>
      <c r="AC946" s="176"/>
      <c r="AD946" s="176"/>
      <c r="AE946" s="176"/>
      <c r="AF946" s="176"/>
      <c r="AG946" s="176"/>
      <c r="AH946" s="176"/>
      <c r="AI946" s="176"/>
      <c r="AJ946" s="176"/>
      <c r="AK946" s="176"/>
      <c r="AL946" s="176"/>
      <c r="AM946" s="176"/>
      <c r="AN946" s="176"/>
      <c r="AO946" s="176"/>
      <c r="AP946" s="176"/>
      <c r="AQ946" s="176"/>
      <c r="AR946" s="176"/>
      <c r="AS946" s="176"/>
      <c r="AT946" s="176"/>
      <c r="AU946" s="176"/>
      <c r="AV946" s="176"/>
      <c r="AW946" s="176"/>
      <c r="AX946" s="176"/>
      <c r="AY946" s="176"/>
      <c r="AZ946" s="176"/>
      <c r="BA946" s="176"/>
      <c r="BB946" s="176"/>
      <c r="BC946" s="176"/>
      <c r="BD946" s="176"/>
    </row>
    <row r="947" ht="15.75" customHeight="1">
      <c r="A947" s="176"/>
      <c r="B947" s="176"/>
      <c r="C947" s="176"/>
      <c r="D947" s="176"/>
      <c r="E947" s="176"/>
      <c r="F947" s="176"/>
      <c r="G947" s="178"/>
      <c r="H947" s="176"/>
      <c r="I947" s="176"/>
      <c r="J947" s="176"/>
      <c r="K947" s="176"/>
      <c r="L947" s="176"/>
      <c r="M947" s="176"/>
      <c r="N947" s="176"/>
      <c r="O947" s="176"/>
      <c r="P947" s="176"/>
      <c r="Q947" s="176"/>
      <c r="R947" s="176"/>
      <c r="S947" s="176"/>
      <c r="T947" s="176"/>
      <c r="U947" s="176"/>
      <c r="V947" s="176"/>
      <c r="W947" s="176"/>
      <c r="X947" s="176"/>
      <c r="Y947" s="176"/>
      <c r="Z947" s="176"/>
      <c r="AA947" s="176"/>
      <c r="AB947" s="176"/>
      <c r="AC947" s="176"/>
      <c r="AD947" s="176"/>
      <c r="AE947" s="176"/>
      <c r="AF947" s="176"/>
      <c r="AG947" s="176"/>
      <c r="AH947" s="176"/>
      <c r="AI947" s="176"/>
      <c r="AJ947" s="176"/>
      <c r="AK947" s="176"/>
      <c r="AL947" s="176"/>
      <c r="AM947" s="176"/>
      <c r="AN947" s="176"/>
      <c r="AO947" s="176"/>
      <c r="AP947" s="176"/>
      <c r="AQ947" s="176"/>
      <c r="AR947" s="176"/>
      <c r="AS947" s="176"/>
      <c r="AT947" s="176"/>
      <c r="AU947" s="176"/>
      <c r="AV947" s="176"/>
      <c r="AW947" s="176"/>
      <c r="AX947" s="176"/>
      <c r="AY947" s="176"/>
      <c r="AZ947" s="176"/>
      <c r="BA947" s="176"/>
      <c r="BB947" s="176"/>
      <c r="BC947" s="176"/>
      <c r="BD947" s="176"/>
    </row>
    <row r="948" ht="15.75" customHeight="1">
      <c r="A948" s="176"/>
      <c r="B948" s="176"/>
      <c r="C948" s="176"/>
      <c r="D948" s="176"/>
      <c r="E948" s="176"/>
      <c r="F948" s="176"/>
      <c r="G948" s="178"/>
      <c r="H948" s="176"/>
      <c r="I948" s="176"/>
      <c r="J948" s="176"/>
      <c r="K948" s="176"/>
      <c r="L948" s="176"/>
      <c r="M948" s="176"/>
      <c r="N948" s="176"/>
      <c r="O948" s="176"/>
      <c r="P948" s="176"/>
      <c r="Q948" s="176"/>
      <c r="R948" s="176"/>
      <c r="S948" s="176"/>
      <c r="T948" s="176"/>
      <c r="U948" s="176"/>
      <c r="V948" s="176"/>
      <c r="W948" s="176"/>
      <c r="X948" s="176"/>
      <c r="Y948" s="176"/>
      <c r="Z948" s="176"/>
      <c r="AA948" s="176"/>
      <c r="AB948" s="176"/>
      <c r="AC948" s="176"/>
      <c r="AD948" s="176"/>
      <c r="AE948" s="176"/>
      <c r="AF948" s="176"/>
      <c r="AG948" s="176"/>
      <c r="AH948" s="176"/>
      <c r="AI948" s="176"/>
      <c r="AJ948" s="176"/>
      <c r="AK948" s="176"/>
      <c r="AL948" s="176"/>
      <c r="AM948" s="176"/>
      <c r="AN948" s="176"/>
      <c r="AO948" s="176"/>
      <c r="AP948" s="176"/>
      <c r="AQ948" s="176"/>
      <c r="AR948" s="176"/>
      <c r="AS948" s="176"/>
      <c r="AT948" s="176"/>
      <c r="AU948" s="176"/>
      <c r="AV948" s="176"/>
      <c r="AW948" s="176"/>
      <c r="AX948" s="176"/>
      <c r="AY948" s="176"/>
      <c r="AZ948" s="176"/>
      <c r="BA948" s="176"/>
      <c r="BB948" s="176"/>
      <c r="BC948" s="176"/>
      <c r="BD948" s="176"/>
    </row>
    <row r="949" ht="15.75" customHeight="1">
      <c r="A949" s="176"/>
      <c r="B949" s="176"/>
      <c r="C949" s="176"/>
      <c r="D949" s="176"/>
      <c r="E949" s="176"/>
      <c r="F949" s="176"/>
      <c r="G949" s="178"/>
      <c r="H949" s="176"/>
      <c r="I949" s="176"/>
      <c r="J949" s="176"/>
      <c r="K949" s="176"/>
      <c r="L949" s="176"/>
      <c r="M949" s="176"/>
      <c r="N949" s="176"/>
      <c r="O949" s="176"/>
      <c r="P949" s="176"/>
      <c r="Q949" s="176"/>
      <c r="R949" s="176"/>
      <c r="S949" s="176"/>
      <c r="T949" s="176"/>
      <c r="U949" s="176"/>
      <c r="V949" s="176"/>
      <c r="W949" s="176"/>
      <c r="X949" s="176"/>
      <c r="Y949" s="176"/>
      <c r="Z949" s="176"/>
      <c r="AA949" s="176"/>
      <c r="AB949" s="176"/>
      <c r="AC949" s="176"/>
      <c r="AD949" s="176"/>
      <c r="AE949" s="176"/>
      <c r="AF949" s="176"/>
      <c r="AG949" s="176"/>
      <c r="AH949" s="176"/>
      <c r="AI949" s="176"/>
      <c r="AJ949" s="176"/>
      <c r="AK949" s="176"/>
      <c r="AL949" s="176"/>
      <c r="AM949" s="176"/>
      <c r="AN949" s="176"/>
      <c r="AO949" s="176"/>
      <c r="AP949" s="176"/>
      <c r="AQ949" s="176"/>
      <c r="AR949" s="176"/>
      <c r="AS949" s="176"/>
      <c r="AT949" s="176"/>
      <c r="AU949" s="176"/>
      <c r="AV949" s="176"/>
      <c r="AW949" s="176"/>
      <c r="AX949" s="176"/>
      <c r="AY949" s="176"/>
      <c r="AZ949" s="176"/>
      <c r="BA949" s="176"/>
      <c r="BB949" s="176"/>
      <c r="BC949" s="176"/>
      <c r="BD949" s="176"/>
    </row>
    <row r="950" ht="15.75" customHeight="1">
      <c r="A950" s="176"/>
      <c r="B950" s="176"/>
      <c r="C950" s="176"/>
      <c r="D950" s="176"/>
      <c r="E950" s="176"/>
      <c r="F950" s="176"/>
      <c r="G950" s="178"/>
      <c r="H950" s="176"/>
      <c r="I950" s="176"/>
      <c r="J950" s="176"/>
      <c r="K950" s="176"/>
      <c r="L950" s="176"/>
      <c r="M950" s="176"/>
      <c r="N950" s="176"/>
      <c r="O950" s="176"/>
      <c r="P950" s="176"/>
      <c r="Q950" s="176"/>
      <c r="R950" s="176"/>
      <c r="S950" s="176"/>
      <c r="T950" s="176"/>
      <c r="U950" s="176"/>
      <c r="V950" s="176"/>
      <c r="W950" s="176"/>
      <c r="X950" s="176"/>
      <c r="Y950" s="176"/>
      <c r="Z950" s="176"/>
      <c r="AA950" s="176"/>
      <c r="AB950" s="176"/>
      <c r="AC950" s="176"/>
      <c r="AD950" s="176"/>
      <c r="AE950" s="176"/>
      <c r="AF950" s="176"/>
      <c r="AG950" s="176"/>
      <c r="AH950" s="176"/>
      <c r="AI950" s="176"/>
      <c r="AJ950" s="176"/>
      <c r="AK950" s="176"/>
      <c r="AL950" s="176"/>
      <c r="AM950" s="176"/>
      <c r="AN950" s="176"/>
      <c r="AO950" s="176"/>
      <c r="AP950" s="176"/>
      <c r="AQ950" s="176"/>
      <c r="AR950" s="176"/>
      <c r="AS950" s="176"/>
      <c r="AT950" s="176"/>
      <c r="AU950" s="176"/>
      <c r="AV950" s="176"/>
      <c r="AW950" s="176"/>
      <c r="AX950" s="176"/>
      <c r="AY950" s="176"/>
      <c r="AZ950" s="176"/>
      <c r="BA950" s="176"/>
      <c r="BB950" s="176"/>
      <c r="BC950" s="176"/>
      <c r="BD950" s="176"/>
    </row>
    <row r="951" ht="15.75" customHeight="1">
      <c r="A951" s="176"/>
      <c r="B951" s="176"/>
      <c r="C951" s="176"/>
      <c r="D951" s="176"/>
      <c r="E951" s="176"/>
      <c r="F951" s="176"/>
      <c r="G951" s="178"/>
      <c r="H951" s="176"/>
      <c r="I951" s="176"/>
      <c r="J951" s="176"/>
      <c r="K951" s="176"/>
      <c r="L951" s="176"/>
      <c r="M951" s="176"/>
      <c r="N951" s="176"/>
      <c r="O951" s="176"/>
      <c r="P951" s="176"/>
      <c r="Q951" s="176"/>
      <c r="R951" s="176"/>
      <c r="S951" s="176"/>
      <c r="T951" s="176"/>
      <c r="U951" s="176"/>
      <c r="V951" s="176"/>
      <c r="W951" s="176"/>
      <c r="X951" s="176"/>
      <c r="Y951" s="176"/>
      <c r="Z951" s="176"/>
      <c r="AA951" s="176"/>
      <c r="AB951" s="176"/>
      <c r="AC951" s="176"/>
      <c r="AD951" s="176"/>
      <c r="AE951" s="176"/>
      <c r="AF951" s="176"/>
      <c r="AG951" s="176"/>
      <c r="AH951" s="176"/>
      <c r="AI951" s="176"/>
      <c r="AJ951" s="176"/>
      <c r="AK951" s="176"/>
      <c r="AL951" s="176"/>
      <c r="AM951" s="176"/>
      <c r="AN951" s="176"/>
      <c r="AO951" s="176"/>
      <c r="AP951" s="176"/>
      <c r="AQ951" s="176"/>
      <c r="AR951" s="176"/>
      <c r="AS951" s="176"/>
      <c r="AT951" s="176"/>
      <c r="AU951" s="176"/>
      <c r="AV951" s="176"/>
      <c r="AW951" s="176"/>
      <c r="AX951" s="176"/>
      <c r="AY951" s="176"/>
      <c r="AZ951" s="176"/>
      <c r="BA951" s="176"/>
      <c r="BB951" s="176"/>
      <c r="BC951" s="176"/>
      <c r="BD951" s="176"/>
    </row>
    <row r="952" ht="15.75" customHeight="1">
      <c r="A952" s="176"/>
      <c r="B952" s="176"/>
      <c r="C952" s="176"/>
      <c r="D952" s="176"/>
      <c r="E952" s="176"/>
      <c r="F952" s="176"/>
      <c r="G952" s="178"/>
      <c r="H952" s="176"/>
      <c r="I952" s="176"/>
      <c r="J952" s="176"/>
      <c r="K952" s="176"/>
      <c r="L952" s="176"/>
      <c r="M952" s="176"/>
      <c r="N952" s="176"/>
      <c r="O952" s="176"/>
      <c r="P952" s="176"/>
      <c r="Q952" s="176"/>
      <c r="R952" s="176"/>
      <c r="S952" s="176"/>
      <c r="T952" s="176"/>
      <c r="U952" s="176"/>
      <c r="V952" s="176"/>
      <c r="W952" s="176"/>
      <c r="X952" s="176"/>
      <c r="Y952" s="176"/>
      <c r="Z952" s="176"/>
      <c r="AA952" s="176"/>
      <c r="AB952" s="176"/>
      <c r="AC952" s="176"/>
      <c r="AD952" s="176"/>
      <c r="AE952" s="176"/>
      <c r="AF952" s="176"/>
      <c r="AG952" s="176"/>
      <c r="AH952" s="176"/>
      <c r="AI952" s="176"/>
      <c r="AJ952" s="176"/>
      <c r="AK952" s="176"/>
      <c r="AL952" s="176"/>
      <c r="AM952" s="176"/>
      <c r="AN952" s="176"/>
      <c r="AO952" s="176"/>
      <c r="AP952" s="176"/>
      <c r="AQ952" s="176"/>
      <c r="AR952" s="176"/>
      <c r="AS952" s="176"/>
      <c r="AT952" s="176"/>
      <c r="AU952" s="176"/>
      <c r="AV952" s="176"/>
      <c r="AW952" s="176"/>
      <c r="AX952" s="176"/>
      <c r="AY952" s="176"/>
      <c r="AZ952" s="176"/>
      <c r="BA952" s="176"/>
      <c r="BB952" s="176"/>
      <c r="BC952" s="176"/>
      <c r="BD952" s="176"/>
    </row>
    <row r="953" ht="15.75" customHeight="1">
      <c r="A953" s="176"/>
      <c r="B953" s="176"/>
      <c r="C953" s="176"/>
      <c r="D953" s="176"/>
      <c r="E953" s="176"/>
      <c r="F953" s="176"/>
      <c r="G953" s="178"/>
      <c r="H953" s="176"/>
      <c r="I953" s="176"/>
      <c r="J953" s="176"/>
      <c r="K953" s="176"/>
      <c r="L953" s="176"/>
      <c r="M953" s="176"/>
      <c r="N953" s="176"/>
      <c r="O953" s="176"/>
      <c r="P953" s="176"/>
      <c r="Q953" s="176"/>
      <c r="R953" s="176"/>
      <c r="S953" s="176"/>
      <c r="T953" s="176"/>
      <c r="U953" s="176"/>
      <c r="V953" s="176"/>
      <c r="W953" s="176"/>
      <c r="X953" s="176"/>
      <c r="Y953" s="176"/>
      <c r="Z953" s="176"/>
      <c r="AA953" s="176"/>
      <c r="AB953" s="176"/>
      <c r="AC953" s="176"/>
      <c r="AD953" s="176"/>
      <c r="AE953" s="176"/>
      <c r="AF953" s="176"/>
      <c r="AG953" s="176"/>
      <c r="AH953" s="176"/>
      <c r="AI953" s="176"/>
      <c r="AJ953" s="176"/>
      <c r="AK953" s="176"/>
      <c r="AL953" s="176"/>
      <c r="AM953" s="176"/>
      <c r="AN953" s="176"/>
      <c r="AO953" s="176"/>
      <c r="AP953" s="176"/>
      <c r="AQ953" s="176"/>
      <c r="AR953" s="176"/>
      <c r="AS953" s="176"/>
      <c r="AT953" s="176"/>
      <c r="AU953" s="176"/>
      <c r="AV953" s="176"/>
      <c r="AW953" s="176"/>
      <c r="AX953" s="176"/>
      <c r="AY953" s="176"/>
      <c r="AZ953" s="176"/>
      <c r="BA953" s="176"/>
      <c r="BB953" s="176"/>
      <c r="BC953" s="176"/>
      <c r="BD953" s="176"/>
    </row>
    <row r="954" ht="15.75" customHeight="1">
      <c r="A954" s="176"/>
      <c r="B954" s="176"/>
      <c r="C954" s="176"/>
      <c r="D954" s="176"/>
      <c r="E954" s="176"/>
      <c r="F954" s="176"/>
      <c r="G954" s="178"/>
      <c r="H954" s="176"/>
      <c r="I954" s="176"/>
      <c r="J954" s="176"/>
      <c r="K954" s="176"/>
      <c r="L954" s="176"/>
      <c r="M954" s="176"/>
      <c r="N954" s="176"/>
      <c r="O954" s="176"/>
      <c r="P954" s="176"/>
      <c r="Q954" s="176"/>
      <c r="R954" s="176"/>
      <c r="S954" s="176"/>
      <c r="T954" s="176"/>
      <c r="U954" s="176"/>
      <c r="V954" s="176"/>
      <c r="W954" s="176"/>
      <c r="X954" s="176"/>
      <c r="Y954" s="176"/>
      <c r="Z954" s="176"/>
      <c r="AA954" s="176"/>
      <c r="AB954" s="176"/>
      <c r="AC954" s="176"/>
      <c r="AD954" s="176"/>
      <c r="AE954" s="176"/>
      <c r="AF954" s="176"/>
      <c r="AG954" s="176"/>
      <c r="AH954" s="176"/>
      <c r="AI954" s="176"/>
      <c r="AJ954" s="176"/>
      <c r="AK954" s="176"/>
      <c r="AL954" s="176"/>
      <c r="AM954" s="176"/>
      <c r="AN954" s="176"/>
      <c r="AO954" s="176"/>
      <c r="AP954" s="176"/>
      <c r="AQ954" s="176"/>
      <c r="AR954" s="176"/>
      <c r="AS954" s="176"/>
      <c r="AT954" s="176"/>
      <c r="AU954" s="176"/>
      <c r="AV954" s="176"/>
      <c r="AW954" s="176"/>
      <c r="AX954" s="176"/>
      <c r="AY954" s="176"/>
      <c r="AZ954" s="176"/>
      <c r="BA954" s="176"/>
      <c r="BB954" s="176"/>
      <c r="BC954" s="176"/>
      <c r="BD954" s="176"/>
    </row>
    <row r="955" ht="15.75" customHeight="1">
      <c r="A955" s="176"/>
      <c r="B955" s="176"/>
      <c r="C955" s="176"/>
      <c r="D955" s="176"/>
      <c r="E955" s="176"/>
      <c r="F955" s="176"/>
      <c r="G955" s="178"/>
      <c r="H955" s="176"/>
      <c r="I955" s="176"/>
      <c r="J955" s="176"/>
      <c r="K955" s="176"/>
      <c r="L955" s="176"/>
      <c r="M955" s="176"/>
      <c r="N955" s="176"/>
      <c r="O955" s="176"/>
      <c r="P955" s="176"/>
      <c r="Q955" s="176"/>
      <c r="R955" s="176"/>
      <c r="S955" s="176"/>
      <c r="T955" s="176"/>
      <c r="U955" s="176"/>
      <c r="V955" s="176"/>
      <c r="W955" s="176"/>
      <c r="X955" s="176"/>
      <c r="Y955" s="176"/>
      <c r="Z955" s="176"/>
      <c r="AA955" s="176"/>
      <c r="AB955" s="176"/>
      <c r="AC955" s="176"/>
      <c r="AD955" s="176"/>
      <c r="AE955" s="176"/>
      <c r="AF955" s="176"/>
      <c r="AG955" s="176"/>
      <c r="AH955" s="176"/>
      <c r="AI955" s="176"/>
      <c r="AJ955" s="176"/>
      <c r="AK955" s="176"/>
      <c r="AL955" s="176"/>
      <c r="AM955" s="176"/>
      <c r="AN955" s="176"/>
      <c r="AO955" s="176"/>
      <c r="AP955" s="176"/>
      <c r="AQ955" s="176"/>
      <c r="AR955" s="176"/>
      <c r="AS955" s="176"/>
      <c r="AT955" s="176"/>
      <c r="AU955" s="176"/>
      <c r="AV955" s="176"/>
      <c r="AW955" s="176"/>
      <c r="AX955" s="176"/>
      <c r="AY955" s="176"/>
      <c r="AZ955" s="176"/>
      <c r="BA955" s="176"/>
      <c r="BB955" s="176"/>
      <c r="BC955" s="176"/>
      <c r="BD955" s="176"/>
    </row>
    <row r="956" ht="15.75" customHeight="1">
      <c r="A956" s="176"/>
      <c r="B956" s="176"/>
      <c r="C956" s="176"/>
      <c r="D956" s="176"/>
      <c r="E956" s="176"/>
      <c r="F956" s="176"/>
      <c r="G956" s="178"/>
      <c r="H956" s="176"/>
      <c r="I956" s="176"/>
      <c r="J956" s="176"/>
      <c r="K956" s="176"/>
      <c r="L956" s="176"/>
      <c r="M956" s="176"/>
      <c r="N956" s="176"/>
      <c r="O956" s="176"/>
      <c r="P956" s="176"/>
      <c r="Q956" s="176"/>
      <c r="R956" s="176"/>
      <c r="S956" s="176"/>
      <c r="T956" s="176"/>
      <c r="U956" s="176"/>
      <c r="V956" s="176"/>
      <c r="W956" s="176"/>
      <c r="X956" s="176"/>
      <c r="Y956" s="176"/>
      <c r="Z956" s="176"/>
      <c r="AA956" s="176"/>
      <c r="AB956" s="176"/>
      <c r="AC956" s="176"/>
      <c r="AD956" s="176"/>
      <c r="AE956" s="176"/>
      <c r="AF956" s="176"/>
      <c r="AG956" s="176"/>
      <c r="AH956" s="176"/>
      <c r="AI956" s="176"/>
      <c r="AJ956" s="176"/>
      <c r="AK956" s="176"/>
      <c r="AL956" s="176"/>
      <c r="AM956" s="176"/>
      <c r="AN956" s="176"/>
      <c r="AO956" s="176"/>
      <c r="AP956" s="176"/>
      <c r="AQ956" s="176"/>
      <c r="AR956" s="176"/>
      <c r="AS956" s="176"/>
      <c r="AT956" s="176"/>
      <c r="AU956" s="176"/>
      <c r="AV956" s="176"/>
      <c r="AW956" s="176"/>
      <c r="AX956" s="176"/>
      <c r="AY956" s="176"/>
      <c r="AZ956" s="176"/>
      <c r="BA956" s="176"/>
      <c r="BB956" s="176"/>
      <c r="BC956" s="176"/>
      <c r="BD956" s="176"/>
    </row>
    <row r="957" ht="15.75" customHeight="1">
      <c r="A957" s="176"/>
      <c r="B957" s="176"/>
      <c r="C957" s="176"/>
      <c r="D957" s="176"/>
      <c r="E957" s="176"/>
      <c r="F957" s="176"/>
      <c r="G957" s="178"/>
      <c r="H957" s="176"/>
      <c r="I957" s="176"/>
      <c r="J957" s="176"/>
      <c r="K957" s="176"/>
      <c r="L957" s="176"/>
      <c r="M957" s="176"/>
      <c r="N957" s="176"/>
      <c r="O957" s="176"/>
      <c r="P957" s="176"/>
      <c r="Q957" s="176"/>
      <c r="R957" s="176"/>
      <c r="S957" s="176"/>
      <c r="T957" s="176"/>
      <c r="U957" s="176"/>
      <c r="V957" s="176"/>
      <c r="W957" s="176"/>
      <c r="X957" s="176"/>
      <c r="Y957" s="176"/>
      <c r="Z957" s="176"/>
      <c r="AA957" s="176"/>
      <c r="AB957" s="176"/>
      <c r="AC957" s="176"/>
      <c r="AD957" s="176"/>
      <c r="AE957" s="176"/>
      <c r="AF957" s="176"/>
      <c r="AG957" s="176"/>
      <c r="AH957" s="176"/>
      <c r="AI957" s="176"/>
      <c r="AJ957" s="176"/>
      <c r="AK957" s="176"/>
      <c r="AL957" s="176"/>
      <c r="AM957" s="176"/>
      <c r="AN957" s="176"/>
      <c r="AO957" s="176"/>
      <c r="AP957" s="176"/>
      <c r="AQ957" s="176"/>
      <c r="AR957" s="176"/>
      <c r="AS957" s="176"/>
      <c r="AT957" s="176"/>
      <c r="AU957" s="176"/>
      <c r="AV957" s="176"/>
      <c r="AW957" s="176"/>
      <c r="AX957" s="176"/>
      <c r="AY957" s="176"/>
      <c r="AZ957" s="176"/>
      <c r="BA957" s="176"/>
      <c r="BB957" s="176"/>
      <c r="BC957" s="176"/>
      <c r="BD957" s="176"/>
    </row>
    <row r="958" ht="15.75" customHeight="1">
      <c r="A958" s="176"/>
      <c r="B958" s="176"/>
      <c r="C958" s="176"/>
      <c r="D958" s="176"/>
      <c r="E958" s="176"/>
      <c r="F958" s="176"/>
      <c r="G958" s="178"/>
      <c r="H958" s="176"/>
      <c r="I958" s="176"/>
      <c r="J958" s="176"/>
      <c r="K958" s="176"/>
      <c r="L958" s="176"/>
      <c r="M958" s="176"/>
      <c r="N958" s="176"/>
      <c r="O958" s="176"/>
      <c r="P958" s="176"/>
      <c r="Q958" s="176"/>
      <c r="R958" s="176"/>
      <c r="S958" s="176"/>
      <c r="T958" s="176"/>
      <c r="U958" s="176"/>
      <c r="V958" s="176"/>
      <c r="W958" s="176"/>
      <c r="X958" s="176"/>
      <c r="Y958" s="176"/>
      <c r="Z958" s="176"/>
      <c r="AA958" s="176"/>
      <c r="AB958" s="176"/>
      <c r="AC958" s="176"/>
      <c r="AD958" s="176"/>
      <c r="AE958" s="176"/>
      <c r="AF958" s="176"/>
      <c r="AG958" s="176"/>
      <c r="AH958" s="176"/>
      <c r="AI958" s="176"/>
      <c r="AJ958" s="176"/>
      <c r="AK958" s="176"/>
      <c r="AL958" s="176"/>
      <c r="AM958" s="176"/>
      <c r="AN958" s="176"/>
      <c r="AO958" s="176"/>
      <c r="AP958" s="176"/>
      <c r="AQ958" s="176"/>
      <c r="AR958" s="176"/>
      <c r="AS958" s="176"/>
      <c r="AT958" s="176"/>
      <c r="AU958" s="176"/>
      <c r="AV958" s="176"/>
      <c r="AW958" s="176"/>
      <c r="AX958" s="176"/>
      <c r="AY958" s="176"/>
      <c r="AZ958" s="176"/>
      <c r="BA958" s="176"/>
      <c r="BB958" s="176"/>
      <c r="BC958" s="176"/>
      <c r="BD958" s="176"/>
    </row>
    <row r="959" ht="15.75" customHeight="1">
      <c r="A959" s="176"/>
      <c r="B959" s="176"/>
      <c r="C959" s="176"/>
      <c r="D959" s="176"/>
      <c r="E959" s="176"/>
      <c r="F959" s="176"/>
      <c r="G959" s="178"/>
      <c r="H959" s="176"/>
      <c r="I959" s="176"/>
      <c r="J959" s="176"/>
      <c r="K959" s="176"/>
      <c r="L959" s="176"/>
      <c r="M959" s="176"/>
      <c r="N959" s="176"/>
      <c r="O959" s="176"/>
      <c r="P959" s="176"/>
      <c r="Q959" s="176"/>
      <c r="R959" s="176"/>
      <c r="S959" s="176"/>
      <c r="T959" s="176"/>
      <c r="U959" s="176"/>
      <c r="V959" s="176"/>
      <c r="W959" s="176"/>
      <c r="X959" s="176"/>
      <c r="Y959" s="176"/>
      <c r="Z959" s="176"/>
      <c r="AA959" s="176"/>
      <c r="AB959" s="176"/>
      <c r="AC959" s="176"/>
      <c r="AD959" s="176"/>
      <c r="AE959" s="176"/>
      <c r="AF959" s="176"/>
      <c r="AG959" s="176"/>
      <c r="AH959" s="176"/>
      <c r="AI959" s="176"/>
      <c r="AJ959" s="176"/>
      <c r="AK959" s="176"/>
      <c r="AL959" s="176"/>
      <c r="AM959" s="176"/>
      <c r="AN959" s="176"/>
      <c r="AO959" s="176"/>
      <c r="AP959" s="176"/>
      <c r="AQ959" s="176"/>
      <c r="AR959" s="176"/>
      <c r="AS959" s="176"/>
      <c r="AT959" s="176"/>
      <c r="AU959" s="176"/>
      <c r="AV959" s="176"/>
      <c r="AW959" s="176"/>
      <c r="AX959" s="176"/>
      <c r="AY959" s="176"/>
      <c r="AZ959" s="176"/>
      <c r="BA959" s="176"/>
      <c r="BB959" s="176"/>
      <c r="BC959" s="176"/>
      <c r="BD959" s="176"/>
    </row>
    <row r="960" ht="15.75" customHeight="1">
      <c r="A960" s="176"/>
      <c r="B960" s="176"/>
      <c r="C960" s="176"/>
      <c r="D960" s="176"/>
      <c r="E960" s="176"/>
      <c r="F960" s="176"/>
      <c r="G960" s="178"/>
      <c r="H960" s="176"/>
      <c r="I960" s="176"/>
      <c r="J960" s="176"/>
      <c r="K960" s="176"/>
      <c r="L960" s="176"/>
      <c r="M960" s="176"/>
      <c r="N960" s="176"/>
      <c r="O960" s="176"/>
      <c r="P960" s="176"/>
      <c r="Q960" s="176"/>
      <c r="R960" s="176"/>
      <c r="S960" s="176"/>
      <c r="T960" s="176"/>
      <c r="U960" s="176"/>
      <c r="V960" s="176"/>
      <c r="W960" s="176"/>
      <c r="X960" s="176"/>
      <c r="Y960" s="176"/>
      <c r="Z960" s="176"/>
      <c r="AA960" s="176"/>
      <c r="AB960" s="176"/>
      <c r="AC960" s="176"/>
      <c r="AD960" s="176"/>
      <c r="AE960" s="176"/>
      <c r="AF960" s="176"/>
      <c r="AG960" s="176"/>
      <c r="AH960" s="176"/>
      <c r="AI960" s="176"/>
      <c r="AJ960" s="176"/>
      <c r="AK960" s="176"/>
      <c r="AL960" s="176"/>
      <c r="AM960" s="176"/>
      <c r="AN960" s="176"/>
      <c r="AO960" s="176"/>
      <c r="AP960" s="176"/>
      <c r="AQ960" s="176"/>
      <c r="AR960" s="176"/>
      <c r="AS960" s="176"/>
      <c r="AT960" s="176"/>
      <c r="AU960" s="176"/>
      <c r="AV960" s="176"/>
      <c r="AW960" s="176"/>
      <c r="AX960" s="176"/>
      <c r="AY960" s="176"/>
      <c r="AZ960" s="176"/>
      <c r="BA960" s="176"/>
      <c r="BB960" s="176"/>
      <c r="BC960" s="176"/>
      <c r="BD960" s="176"/>
    </row>
    <row r="961" ht="15.75" customHeight="1">
      <c r="A961" s="176"/>
      <c r="B961" s="176"/>
      <c r="C961" s="176"/>
      <c r="D961" s="176"/>
      <c r="E961" s="176"/>
      <c r="F961" s="176"/>
      <c r="G961" s="178"/>
      <c r="H961" s="176"/>
      <c r="I961" s="176"/>
      <c r="J961" s="176"/>
      <c r="K961" s="176"/>
      <c r="L961" s="176"/>
      <c r="M961" s="176"/>
      <c r="N961" s="176"/>
      <c r="O961" s="176"/>
      <c r="P961" s="176"/>
      <c r="Q961" s="176"/>
      <c r="R961" s="176"/>
      <c r="S961" s="176"/>
      <c r="T961" s="176"/>
      <c r="U961" s="176"/>
      <c r="V961" s="176"/>
      <c r="W961" s="176"/>
      <c r="X961" s="176"/>
      <c r="Y961" s="176"/>
      <c r="Z961" s="176"/>
      <c r="AA961" s="176"/>
      <c r="AB961" s="176"/>
      <c r="AC961" s="176"/>
      <c r="AD961" s="176"/>
      <c r="AE961" s="176"/>
      <c r="AF961" s="176"/>
      <c r="AG961" s="176"/>
      <c r="AH961" s="176"/>
      <c r="AI961" s="176"/>
      <c r="AJ961" s="176"/>
      <c r="AK961" s="176"/>
      <c r="AL961" s="176"/>
      <c r="AM961" s="176"/>
      <c r="AN961" s="176"/>
      <c r="AO961" s="176"/>
      <c r="AP961" s="176"/>
      <c r="AQ961" s="176"/>
      <c r="AR961" s="176"/>
      <c r="AS961" s="176"/>
      <c r="AT961" s="176"/>
      <c r="AU961" s="176"/>
      <c r="AV961" s="176"/>
      <c r="AW961" s="176"/>
      <c r="AX961" s="176"/>
      <c r="AY961" s="176"/>
      <c r="AZ961" s="176"/>
      <c r="BA961" s="176"/>
      <c r="BB961" s="176"/>
      <c r="BC961" s="176"/>
      <c r="BD961" s="176"/>
    </row>
    <row r="962" ht="15.75" customHeight="1">
      <c r="A962" s="176"/>
      <c r="B962" s="176"/>
      <c r="C962" s="176"/>
      <c r="D962" s="176"/>
      <c r="E962" s="176"/>
      <c r="F962" s="176"/>
      <c r="G962" s="178"/>
      <c r="H962" s="176"/>
      <c r="I962" s="176"/>
      <c r="J962" s="176"/>
      <c r="K962" s="176"/>
      <c r="L962" s="176"/>
      <c r="M962" s="176"/>
      <c r="N962" s="176"/>
      <c r="O962" s="176"/>
      <c r="P962" s="176"/>
      <c r="Q962" s="176"/>
      <c r="R962" s="176"/>
      <c r="S962" s="176"/>
      <c r="T962" s="176"/>
      <c r="U962" s="176"/>
      <c r="V962" s="176"/>
      <c r="W962" s="176"/>
      <c r="X962" s="176"/>
      <c r="Y962" s="176"/>
      <c r="Z962" s="176"/>
      <c r="AA962" s="176"/>
      <c r="AB962" s="176"/>
      <c r="AC962" s="176"/>
      <c r="AD962" s="176"/>
      <c r="AE962" s="176"/>
      <c r="AF962" s="176"/>
      <c r="AG962" s="176"/>
      <c r="AH962" s="176"/>
      <c r="AI962" s="176"/>
      <c r="AJ962" s="176"/>
      <c r="AK962" s="176"/>
      <c r="AL962" s="176"/>
      <c r="AM962" s="176"/>
      <c r="AN962" s="176"/>
      <c r="AO962" s="176"/>
      <c r="AP962" s="176"/>
      <c r="AQ962" s="176"/>
      <c r="AR962" s="176"/>
      <c r="AS962" s="176"/>
      <c r="AT962" s="176"/>
      <c r="AU962" s="176"/>
      <c r="AV962" s="176"/>
      <c r="AW962" s="176"/>
      <c r="AX962" s="176"/>
      <c r="AY962" s="176"/>
      <c r="AZ962" s="176"/>
      <c r="BA962" s="176"/>
      <c r="BB962" s="176"/>
      <c r="BC962" s="176"/>
      <c r="BD962" s="176"/>
    </row>
    <row r="963" ht="15.75" customHeight="1">
      <c r="A963" s="176"/>
      <c r="B963" s="176"/>
      <c r="C963" s="176"/>
      <c r="D963" s="176"/>
      <c r="E963" s="176"/>
      <c r="F963" s="176"/>
      <c r="G963" s="178"/>
      <c r="H963" s="176"/>
      <c r="I963" s="176"/>
      <c r="J963" s="176"/>
      <c r="K963" s="176"/>
      <c r="L963" s="176"/>
      <c r="M963" s="176"/>
      <c r="N963" s="176"/>
      <c r="O963" s="176"/>
      <c r="P963" s="176"/>
      <c r="Q963" s="176"/>
      <c r="R963" s="176"/>
      <c r="S963" s="176"/>
      <c r="T963" s="176"/>
      <c r="U963" s="176"/>
      <c r="V963" s="176"/>
      <c r="W963" s="176"/>
      <c r="X963" s="176"/>
      <c r="Y963" s="176"/>
      <c r="Z963" s="176"/>
      <c r="AA963" s="176"/>
      <c r="AB963" s="176"/>
      <c r="AC963" s="176"/>
      <c r="AD963" s="176"/>
      <c r="AE963" s="176"/>
      <c r="AF963" s="176"/>
      <c r="AG963" s="176"/>
      <c r="AH963" s="176"/>
      <c r="AI963" s="176"/>
      <c r="AJ963" s="176"/>
      <c r="AK963" s="176"/>
      <c r="AL963" s="176"/>
      <c r="AM963" s="176"/>
      <c r="AN963" s="176"/>
      <c r="AO963" s="176"/>
      <c r="AP963" s="176"/>
      <c r="AQ963" s="176"/>
      <c r="AR963" s="176"/>
      <c r="AS963" s="176"/>
      <c r="AT963" s="176"/>
      <c r="AU963" s="176"/>
      <c r="AV963" s="176"/>
      <c r="AW963" s="176"/>
      <c r="AX963" s="176"/>
      <c r="AY963" s="176"/>
      <c r="AZ963" s="176"/>
      <c r="BA963" s="176"/>
      <c r="BB963" s="176"/>
      <c r="BC963" s="176"/>
      <c r="BD963" s="176"/>
    </row>
    <row r="964" ht="15.75" customHeight="1">
      <c r="A964" s="176"/>
      <c r="B964" s="176"/>
      <c r="C964" s="176"/>
      <c r="D964" s="176"/>
      <c r="E964" s="176"/>
      <c r="F964" s="176"/>
      <c r="G964" s="178"/>
      <c r="H964" s="176"/>
      <c r="I964" s="176"/>
      <c r="J964" s="176"/>
      <c r="K964" s="176"/>
      <c r="L964" s="176"/>
      <c r="M964" s="176"/>
      <c r="N964" s="176"/>
      <c r="O964" s="176"/>
      <c r="P964" s="176"/>
      <c r="Q964" s="176"/>
      <c r="R964" s="176"/>
      <c r="S964" s="176"/>
      <c r="T964" s="176"/>
      <c r="U964" s="176"/>
      <c r="V964" s="176"/>
      <c r="W964" s="176"/>
      <c r="X964" s="176"/>
      <c r="Y964" s="176"/>
      <c r="Z964" s="176"/>
      <c r="AA964" s="176"/>
      <c r="AB964" s="176"/>
      <c r="AC964" s="176"/>
      <c r="AD964" s="176"/>
      <c r="AE964" s="176"/>
      <c r="AF964" s="176"/>
      <c r="AG964" s="176"/>
      <c r="AH964" s="176"/>
      <c r="AI964" s="176"/>
      <c r="AJ964" s="176"/>
      <c r="AK964" s="176"/>
      <c r="AL964" s="176"/>
      <c r="AM964" s="176"/>
      <c r="AN964" s="176"/>
      <c r="AO964" s="176"/>
      <c r="AP964" s="176"/>
      <c r="AQ964" s="176"/>
      <c r="AR964" s="176"/>
      <c r="AS964" s="176"/>
      <c r="AT964" s="176"/>
      <c r="AU964" s="176"/>
      <c r="AV964" s="176"/>
      <c r="AW964" s="176"/>
      <c r="AX964" s="176"/>
      <c r="AY964" s="176"/>
      <c r="AZ964" s="176"/>
      <c r="BA964" s="176"/>
      <c r="BB964" s="176"/>
      <c r="BC964" s="176"/>
      <c r="BD964" s="176"/>
    </row>
    <row r="965" ht="15.75" customHeight="1">
      <c r="A965" s="176"/>
      <c r="B965" s="176"/>
      <c r="C965" s="176"/>
      <c r="D965" s="176"/>
      <c r="E965" s="176"/>
      <c r="F965" s="176"/>
      <c r="G965" s="178"/>
      <c r="H965" s="176"/>
      <c r="I965" s="176"/>
      <c r="J965" s="176"/>
      <c r="K965" s="176"/>
      <c r="L965" s="176"/>
      <c r="M965" s="176"/>
      <c r="N965" s="176"/>
      <c r="O965" s="176"/>
      <c r="P965" s="176"/>
      <c r="Q965" s="176"/>
      <c r="R965" s="176"/>
      <c r="S965" s="176"/>
      <c r="T965" s="176"/>
      <c r="U965" s="176"/>
      <c r="V965" s="176"/>
      <c r="W965" s="176"/>
      <c r="X965" s="176"/>
      <c r="Y965" s="176"/>
      <c r="Z965" s="176"/>
      <c r="AA965" s="176"/>
      <c r="AB965" s="176"/>
      <c r="AC965" s="176"/>
      <c r="AD965" s="176"/>
      <c r="AE965" s="176"/>
      <c r="AF965" s="176"/>
      <c r="AG965" s="176"/>
      <c r="AH965" s="176"/>
      <c r="AI965" s="176"/>
      <c r="AJ965" s="176"/>
      <c r="AK965" s="176"/>
      <c r="AL965" s="176"/>
      <c r="AM965" s="176"/>
      <c r="AN965" s="176"/>
      <c r="AO965" s="176"/>
      <c r="AP965" s="176"/>
      <c r="AQ965" s="176"/>
      <c r="AR965" s="176"/>
      <c r="AS965" s="176"/>
      <c r="AT965" s="176"/>
      <c r="AU965" s="176"/>
      <c r="AV965" s="176"/>
      <c r="AW965" s="176"/>
      <c r="AX965" s="176"/>
      <c r="AY965" s="176"/>
      <c r="AZ965" s="176"/>
      <c r="BA965" s="176"/>
      <c r="BB965" s="176"/>
      <c r="BC965" s="176"/>
      <c r="BD965" s="176"/>
    </row>
    <row r="966" ht="15.75" customHeight="1">
      <c r="A966" s="176"/>
      <c r="B966" s="176"/>
      <c r="C966" s="176"/>
      <c r="D966" s="176"/>
      <c r="E966" s="176"/>
      <c r="F966" s="176"/>
      <c r="G966" s="178"/>
      <c r="H966" s="176"/>
      <c r="I966" s="176"/>
      <c r="J966" s="176"/>
      <c r="K966" s="176"/>
      <c r="L966" s="176"/>
      <c r="M966" s="176"/>
      <c r="N966" s="176"/>
      <c r="O966" s="176"/>
      <c r="P966" s="176"/>
      <c r="Q966" s="176"/>
      <c r="R966" s="176"/>
      <c r="S966" s="176"/>
      <c r="T966" s="176"/>
      <c r="U966" s="176"/>
      <c r="V966" s="176"/>
      <c r="W966" s="176"/>
      <c r="X966" s="176"/>
      <c r="Y966" s="176"/>
      <c r="Z966" s="176"/>
      <c r="AA966" s="176"/>
      <c r="AB966" s="176"/>
      <c r="AC966" s="176"/>
      <c r="AD966" s="176"/>
      <c r="AE966" s="176"/>
      <c r="AF966" s="176"/>
      <c r="AG966" s="176"/>
      <c r="AH966" s="176"/>
      <c r="AI966" s="176"/>
      <c r="AJ966" s="176"/>
      <c r="AK966" s="176"/>
      <c r="AL966" s="176"/>
      <c r="AM966" s="176"/>
      <c r="AN966" s="176"/>
      <c r="AO966" s="176"/>
      <c r="AP966" s="176"/>
      <c r="AQ966" s="176"/>
      <c r="AR966" s="176"/>
      <c r="AS966" s="176"/>
      <c r="AT966" s="176"/>
      <c r="AU966" s="176"/>
      <c r="AV966" s="176"/>
      <c r="AW966" s="176"/>
      <c r="AX966" s="176"/>
      <c r="AY966" s="176"/>
      <c r="AZ966" s="176"/>
      <c r="BA966" s="176"/>
      <c r="BB966" s="176"/>
      <c r="BC966" s="176"/>
      <c r="BD966" s="176"/>
    </row>
    <row r="967" ht="15.75" customHeight="1">
      <c r="A967" s="176"/>
      <c r="B967" s="176"/>
      <c r="C967" s="176"/>
      <c r="D967" s="176"/>
      <c r="E967" s="176"/>
      <c r="F967" s="176"/>
      <c r="G967" s="178"/>
      <c r="H967" s="176"/>
      <c r="I967" s="176"/>
      <c r="J967" s="176"/>
      <c r="K967" s="176"/>
      <c r="L967" s="176"/>
      <c r="M967" s="176"/>
      <c r="N967" s="176"/>
      <c r="O967" s="176"/>
      <c r="P967" s="176"/>
      <c r="Q967" s="176"/>
      <c r="R967" s="176"/>
      <c r="S967" s="176"/>
      <c r="T967" s="176"/>
      <c r="U967" s="176"/>
      <c r="V967" s="176"/>
      <c r="W967" s="176"/>
      <c r="X967" s="176"/>
      <c r="Y967" s="176"/>
      <c r="Z967" s="176"/>
      <c r="AA967" s="176"/>
      <c r="AB967" s="176"/>
      <c r="AC967" s="176"/>
      <c r="AD967" s="176"/>
      <c r="AE967" s="176"/>
      <c r="AF967" s="176"/>
      <c r="AG967" s="176"/>
      <c r="AH967" s="176"/>
      <c r="AI967" s="176"/>
      <c r="AJ967" s="176"/>
      <c r="AK967" s="176"/>
      <c r="AL967" s="176"/>
      <c r="AM967" s="176"/>
      <c r="AN967" s="176"/>
      <c r="AO967" s="176"/>
      <c r="AP967" s="176"/>
      <c r="AQ967" s="176"/>
      <c r="AR967" s="176"/>
      <c r="AS967" s="176"/>
      <c r="AT967" s="176"/>
      <c r="AU967" s="176"/>
      <c r="AV967" s="176"/>
      <c r="AW967" s="176"/>
      <c r="AX967" s="176"/>
      <c r="AY967" s="176"/>
      <c r="AZ967" s="176"/>
      <c r="BA967" s="176"/>
      <c r="BB967" s="176"/>
      <c r="BC967" s="176"/>
      <c r="BD967" s="176"/>
    </row>
    <row r="968" ht="15.75" customHeight="1">
      <c r="A968" s="176"/>
      <c r="B968" s="176"/>
      <c r="C968" s="176"/>
      <c r="D968" s="176"/>
      <c r="E968" s="176"/>
      <c r="F968" s="176"/>
      <c r="G968" s="178"/>
      <c r="H968" s="176"/>
      <c r="I968" s="176"/>
      <c r="J968" s="176"/>
      <c r="K968" s="176"/>
      <c r="L968" s="176"/>
      <c r="M968" s="176"/>
      <c r="N968" s="176"/>
      <c r="O968" s="176"/>
      <c r="P968" s="176"/>
      <c r="Q968" s="176"/>
      <c r="R968" s="176"/>
      <c r="S968" s="176"/>
      <c r="T968" s="176"/>
      <c r="U968" s="176"/>
      <c r="V968" s="176"/>
      <c r="W968" s="176"/>
      <c r="X968" s="176"/>
      <c r="Y968" s="176"/>
      <c r="Z968" s="176"/>
      <c r="AA968" s="176"/>
      <c r="AB968" s="176"/>
      <c r="AC968" s="176"/>
      <c r="AD968" s="176"/>
      <c r="AE968" s="176"/>
      <c r="AF968" s="176"/>
      <c r="AG968" s="176"/>
      <c r="AH968" s="176"/>
      <c r="AI968" s="176"/>
      <c r="AJ968" s="176"/>
      <c r="AK968" s="176"/>
      <c r="AL968" s="176"/>
      <c r="AM968" s="176"/>
      <c r="AN968" s="176"/>
      <c r="AO968" s="176"/>
      <c r="AP968" s="176"/>
      <c r="AQ968" s="176"/>
      <c r="AR968" s="176"/>
      <c r="AS968" s="176"/>
      <c r="AT968" s="176"/>
      <c r="AU968" s="176"/>
      <c r="AV968" s="176"/>
      <c r="AW968" s="176"/>
      <c r="AX968" s="176"/>
      <c r="AY968" s="176"/>
      <c r="AZ968" s="176"/>
      <c r="BA968" s="176"/>
      <c r="BB968" s="176"/>
      <c r="BC968" s="176"/>
      <c r="BD968" s="176"/>
    </row>
    <row r="969" ht="15.75" customHeight="1">
      <c r="A969" s="176"/>
      <c r="B969" s="176"/>
      <c r="C969" s="176"/>
      <c r="D969" s="176"/>
      <c r="E969" s="176"/>
      <c r="F969" s="176"/>
      <c r="G969" s="178"/>
      <c r="H969" s="176"/>
      <c r="I969" s="176"/>
      <c r="J969" s="176"/>
      <c r="K969" s="176"/>
      <c r="L969" s="176"/>
      <c r="M969" s="176"/>
      <c r="N969" s="176"/>
      <c r="O969" s="176"/>
      <c r="P969" s="176"/>
      <c r="Q969" s="176"/>
      <c r="R969" s="176"/>
      <c r="S969" s="176"/>
      <c r="T969" s="176"/>
      <c r="U969" s="176"/>
      <c r="V969" s="176"/>
      <c r="W969" s="176"/>
      <c r="X969" s="176"/>
      <c r="Y969" s="176"/>
      <c r="Z969" s="176"/>
      <c r="AA969" s="176"/>
      <c r="AB969" s="176"/>
      <c r="AC969" s="176"/>
      <c r="AD969" s="176"/>
      <c r="AE969" s="176"/>
      <c r="AF969" s="176"/>
      <c r="AG969" s="176"/>
      <c r="AH969" s="176"/>
      <c r="AI969" s="176"/>
      <c r="AJ969" s="176"/>
      <c r="AK969" s="176"/>
      <c r="AL969" s="176"/>
      <c r="AM969" s="176"/>
      <c r="AN969" s="176"/>
      <c r="AO969" s="176"/>
      <c r="AP969" s="176"/>
      <c r="AQ969" s="176"/>
      <c r="AR969" s="176"/>
      <c r="AS969" s="176"/>
      <c r="AT969" s="176"/>
      <c r="AU969" s="176"/>
      <c r="AV969" s="176"/>
      <c r="AW969" s="176"/>
      <c r="AX969" s="176"/>
      <c r="AY969" s="176"/>
      <c r="AZ969" s="176"/>
      <c r="BA969" s="176"/>
      <c r="BB969" s="176"/>
      <c r="BC969" s="176"/>
      <c r="BD969" s="176"/>
    </row>
    <row r="970" ht="15.75" customHeight="1">
      <c r="A970" s="176"/>
      <c r="B970" s="176"/>
      <c r="C970" s="176"/>
      <c r="D970" s="176"/>
      <c r="E970" s="176"/>
      <c r="F970" s="176"/>
      <c r="G970" s="178"/>
      <c r="H970" s="176"/>
      <c r="I970" s="176"/>
      <c r="J970" s="176"/>
      <c r="K970" s="176"/>
      <c r="L970" s="176"/>
      <c r="M970" s="176"/>
      <c r="N970" s="176"/>
      <c r="O970" s="176"/>
      <c r="P970" s="176"/>
      <c r="Q970" s="176"/>
      <c r="R970" s="176"/>
      <c r="S970" s="176"/>
      <c r="T970" s="176"/>
      <c r="U970" s="176"/>
      <c r="V970" s="176"/>
      <c r="W970" s="176"/>
      <c r="X970" s="176"/>
      <c r="Y970" s="176"/>
      <c r="Z970" s="176"/>
      <c r="AA970" s="176"/>
      <c r="AB970" s="176"/>
      <c r="AC970" s="176"/>
      <c r="AD970" s="176"/>
      <c r="AE970" s="176"/>
      <c r="AF970" s="176"/>
      <c r="AG970" s="176"/>
      <c r="AH970" s="176"/>
      <c r="AI970" s="176"/>
      <c r="AJ970" s="176"/>
      <c r="AK970" s="176"/>
      <c r="AL970" s="176"/>
      <c r="AM970" s="176"/>
      <c r="AN970" s="176"/>
      <c r="AO970" s="176"/>
      <c r="AP970" s="176"/>
      <c r="AQ970" s="176"/>
      <c r="AR970" s="176"/>
      <c r="AS970" s="176"/>
      <c r="AT970" s="176"/>
      <c r="AU970" s="176"/>
      <c r="AV970" s="176"/>
      <c r="AW970" s="176"/>
      <c r="AX970" s="176"/>
      <c r="AY970" s="176"/>
      <c r="AZ970" s="176"/>
      <c r="BA970" s="176"/>
      <c r="BB970" s="176"/>
      <c r="BC970" s="176"/>
      <c r="BD970" s="176"/>
    </row>
    <row r="971" ht="15.75" customHeight="1">
      <c r="A971" s="176"/>
      <c r="B971" s="176"/>
      <c r="C971" s="176"/>
      <c r="D971" s="176"/>
      <c r="E971" s="176"/>
      <c r="F971" s="176"/>
      <c r="G971" s="178"/>
      <c r="H971" s="176"/>
      <c r="I971" s="176"/>
      <c r="J971" s="176"/>
      <c r="K971" s="176"/>
      <c r="L971" s="176"/>
      <c r="M971" s="176"/>
      <c r="N971" s="176"/>
      <c r="O971" s="176"/>
      <c r="P971" s="176"/>
      <c r="Q971" s="176"/>
      <c r="R971" s="176"/>
      <c r="S971" s="176"/>
      <c r="T971" s="176"/>
      <c r="U971" s="176"/>
      <c r="V971" s="176"/>
      <c r="W971" s="176"/>
      <c r="X971" s="176"/>
      <c r="Y971" s="176"/>
      <c r="Z971" s="176"/>
      <c r="AA971" s="176"/>
      <c r="AB971" s="176"/>
      <c r="AC971" s="176"/>
      <c r="AD971" s="176"/>
      <c r="AE971" s="176"/>
      <c r="AF971" s="176"/>
      <c r="AG971" s="176"/>
      <c r="AH971" s="176"/>
      <c r="AI971" s="176"/>
      <c r="AJ971" s="176"/>
      <c r="AK971" s="176"/>
      <c r="AL971" s="176"/>
      <c r="AM971" s="176"/>
      <c r="AN971" s="176"/>
      <c r="AO971" s="176"/>
      <c r="AP971" s="176"/>
      <c r="AQ971" s="176"/>
      <c r="AR971" s="176"/>
      <c r="AS971" s="176"/>
      <c r="AT971" s="176"/>
      <c r="AU971" s="176"/>
      <c r="AV971" s="176"/>
      <c r="AW971" s="176"/>
      <c r="AX971" s="176"/>
      <c r="AY971" s="176"/>
      <c r="AZ971" s="176"/>
      <c r="BA971" s="176"/>
      <c r="BB971" s="176"/>
      <c r="BC971" s="176"/>
      <c r="BD971" s="176"/>
    </row>
    <row r="972" ht="15.75" customHeight="1">
      <c r="A972" s="176"/>
      <c r="B972" s="176"/>
      <c r="C972" s="176"/>
      <c r="D972" s="176"/>
      <c r="E972" s="176"/>
      <c r="F972" s="176"/>
      <c r="G972" s="178"/>
      <c r="H972" s="176"/>
      <c r="I972" s="176"/>
      <c r="J972" s="176"/>
      <c r="K972" s="176"/>
      <c r="L972" s="176"/>
      <c r="M972" s="176"/>
      <c r="N972" s="176"/>
      <c r="O972" s="176"/>
      <c r="P972" s="176"/>
      <c r="Q972" s="176"/>
      <c r="R972" s="176"/>
      <c r="S972" s="176"/>
      <c r="T972" s="176"/>
      <c r="U972" s="176"/>
      <c r="V972" s="176"/>
      <c r="W972" s="176"/>
      <c r="X972" s="176"/>
      <c r="Y972" s="176"/>
      <c r="Z972" s="176"/>
      <c r="AA972" s="176"/>
      <c r="AB972" s="176"/>
      <c r="AC972" s="176"/>
      <c r="AD972" s="176"/>
      <c r="AE972" s="176"/>
      <c r="AF972" s="176"/>
      <c r="AG972" s="176"/>
      <c r="AH972" s="176"/>
      <c r="AI972" s="176"/>
      <c r="AJ972" s="176"/>
      <c r="AK972" s="176"/>
      <c r="AL972" s="176"/>
      <c r="AM972" s="176"/>
      <c r="AN972" s="176"/>
      <c r="AO972" s="176"/>
      <c r="AP972" s="176"/>
      <c r="AQ972" s="176"/>
      <c r="AR972" s="176"/>
      <c r="AS972" s="176"/>
      <c r="AT972" s="176"/>
      <c r="AU972" s="176"/>
      <c r="AV972" s="176"/>
      <c r="AW972" s="176"/>
      <c r="AX972" s="176"/>
      <c r="AY972" s="176"/>
      <c r="AZ972" s="176"/>
      <c r="BA972" s="176"/>
      <c r="BB972" s="176"/>
      <c r="BC972" s="176"/>
      <c r="BD972" s="176"/>
    </row>
    <row r="973" ht="15.75" customHeight="1">
      <c r="A973" s="176"/>
      <c r="B973" s="176"/>
      <c r="C973" s="176"/>
      <c r="D973" s="176"/>
      <c r="E973" s="176"/>
      <c r="F973" s="176"/>
      <c r="G973" s="178"/>
      <c r="H973" s="176"/>
      <c r="I973" s="176"/>
      <c r="J973" s="176"/>
      <c r="K973" s="176"/>
      <c r="L973" s="176"/>
      <c r="M973" s="176"/>
      <c r="N973" s="176"/>
      <c r="O973" s="176"/>
      <c r="P973" s="176"/>
      <c r="Q973" s="176"/>
      <c r="R973" s="176"/>
      <c r="S973" s="176"/>
      <c r="T973" s="176"/>
      <c r="U973" s="176"/>
      <c r="V973" s="176"/>
      <c r="W973" s="176"/>
      <c r="X973" s="176"/>
      <c r="Y973" s="176"/>
      <c r="Z973" s="176"/>
      <c r="AA973" s="176"/>
      <c r="AB973" s="176"/>
      <c r="AC973" s="176"/>
      <c r="AD973" s="176"/>
      <c r="AE973" s="176"/>
      <c r="AF973" s="176"/>
      <c r="AG973" s="176"/>
      <c r="AH973" s="176"/>
      <c r="AI973" s="176"/>
      <c r="AJ973" s="176"/>
      <c r="AK973" s="176"/>
      <c r="AL973" s="176"/>
      <c r="AM973" s="176"/>
      <c r="AN973" s="176"/>
      <c r="AO973" s="176"/>
      <c r="AP973" s="176"/>
      <c r="AQ973" s="176"/>
      <c r="AR973" s="176"/>
      <c r="AS973" s="176"/>
      <c r="AT973" s="176"/>
      <c r="AU973" s="176"/>
      <c r="AV973" s="176"/>
      <c r="AW973" s="176"/>
      <c r="AX973" s="176"/>
      <c r="AY973" s="176"/>
      <c r="AZ973" s="176"/>
      <c r="BA973" s="176"/>
      <c r="BB973" s="176"/>
      <c r="BC973" s="176"/>
      <c r="BD973" s="176"/>
    </row>
    <row r="974" ht="15.75" customHeight="1">
      <c r="A974" s="176"/>
      <c r="B974" s="176"/>
      <c r="C974" s="176"/>
      <c r="D974" s="176"/>
      <c r="E974" s="176"/>
      <c r="F974" s="176"/>
      <c r="G974" s="178"/>
      <c r="H974" s="176"/>
      <c r="I974" s="176"/>
      <c r="J974" s="176"/>
      <c r="K974" s="176"/>
      <c r="L974" s="176"/>
      <c r="M974" s="176"/>
      <c r="N974" s="176"/>
      <c r="O974" s="176"/>
      <c r="P974" s="176"/>
      <c r="Q974" s="176"/>
      <c r="R974" s="176"/>
      <c r="S974" s="176"/>
      <c r="T974" s="176"/>
      <c r="U974" s="176"/>
      <c r="V974" s="176"/>
      <c r="W974" s="176"/>
      <c r="X974" s="176"/>
      <c r="Y974" s="176"/>
      <c r="Z974" s="176"/>
      <c r="AA974" s="176"/>
      <c r="AB974" s="176"/>
      <c r="AC974" s="176"/>
      <c r="AD974" s="176"/>
      <c r="AE974" s="176"/>
      <c r="AF974" s="176"/>
      <c r="AG974" s="176"/>
      <c r="AH974" s="176"/>
      <c r="AI974" s="176"/>
      <c r="AJ974" s="176"/>
      <c r="AK974" s="176"/>
      <c r="AL974" s="176"/>
      <c r="AM974" s="176"/>
      <c r="AN974" s="176"/>
      <c r="AO974" s="176"/>
      <c r="AP974" s="176"/>
      <c r="AQ974" s="176"/>
      <c r="AR974" s="176"/>
      <c r="AS974" s="176"/>
      <c r="AT974" s="176"/>
      <c r="AU974" s="176"/>
      <c r="AV974" s="176"/>
      <c r="AW974" s="176"/>
      <c r="AX974" s="176"/>
      <c r="AY974" s="176"/>
      <c r="AZ974" s="176"/>
      <c r="BA974" s="176"/>
      <c r="BB974" s="176"/>
      <c r="BC974" s="176"/>
      <c r="BD974" s="176"/>
    </row>
    <row r="975" ht="15.75" customHeight="1">
      <c r="A975" s="176"/>
      <c r="B975" s="176"/>
      <c r="C975" s="176"/>
      <c r="D975" s="176"/>
      <c r="E975" s="176"/>
      <c r="F975" s="176"/>
      <c r="G975" s="178"/>
      <c r="H975" s="176"/>
      <c r="I975" s="176"/>
      <c r="J975" s="176"/>
      <c r="K975" s="176"/>
      <c r="L975" s="176"/>
      <c r="M975" s="176"/>
      <c r="N975" s="176"/>
      <c r="O975" s="176"/>
      <c r="P975" s="176"/>
      <c r="Q975" s="176"/>
      <c r="R975" s="176"/>
      <c r="S975" s="176"/>
      <c r="T975" s="176"/>
      <c r="U975" s="176"/>
      <c r="V975" s="176"/>
      <c r="W975" s="176"/>
      <c r="X975" s="176"/>
      <c r="Y975" s="176"/>
      <c r="Z975" s="176"/>
      <c r="AA975" s="176"/>
      <c r="AB975" s="176"/>
      <c r="AC975" s="176"/>
      <c r="AD975" s="176"/>
      <c r="AE975" s="176"/>
      <c r="AF975" s="176"/>
      <c r="AG975" s="176"/>
      <c r="AH975" s="176"/>
      <c r="AI975" s="176"/>
      <c r="AJ975" s="176"/>
      <c r="AK975" s="176"/>
      <c r="AL975" s="176"/>
      <c r="AM975" s="176"/>
      <c r="AN975" s="176"/>
      <c r="AO975" s="176"/>
      <c r="AP975" s="176"/>
      <c r="AQ975" s="176"/>
      <c r="AR975" s="176"/>
      <c r="AS975" s="176"/>
      <c r="AT975" s="176"/>
      <c r="AU975" s="176"/>
      <c r="AV975" s="176"/>
      <c r="AW975" s="176"/>
      <c r="AX975" s="176"/>
      <c r="AY975" s="176"/>
      <c r="AZ975" s="176"/>
      <c r="BA975" s="176"/>
      <c r="BB975" s="176"/>
      <c r="BC975" s="176"/>
      <c r="BD975" s="176"/>
    </row>
    <row r="976" ht="15.75" customHeight="1">
      <c r="A976" s="176"/>
      <c r="B976" s="176"/>
      <c r="C976" s="176"/>
      <c r="D976" s="176"/>
      <c r="E976" s="176"/>
      <c r="F976" s="176"/>
      <c r="G976" s="178"/>
      <c r="H976" s="176"/>
      <c r="I976" s="176"/>
      <c r="J976" s="176"/>
      <c r="K976" s="176"/>
      <c r="L976" s="176"/>
      <c r="M976" s="176"/>
      <c r="N976" s="176"/>
      <c r="O976" s="176"/>
      <c r="P976" s="176"/>
      <c r="Q976" s="176"/>
      <c r="R976" s="176"/>
      <c r="S976" s="176"/>
      <c r="T976" s="176"/>
      <c r="U976" s="176"/>
      <c r="V976" s="176"/>
      <c r="W976" s="176"/>
      <c r="X976" s="176"/>
      <c r="Y976" s="176"/>
      <c r="Z976" s="176"/>
      <c r="AA976" s="176"/>
      <c r="AB976" s="176"/>
      <c r="AC976" s="176"/>
      <c r="AD976" s="176"/>
      <c r="AE976" s="176"/>
      <c r="AF976" s="176"/>
      <c r="AG976" s="176"/>
      <c r="AH976" s="176"/>
      <c r="AI976" s="176"/>
      <c r="AJ976" s="176"/>
      <c r="AK976" s="176"/>
      <c r="AL976" s="176"/>
      <c r="AM976" s="176"/>
      <c r="AN976" s="176"/>
      <c r="AO976" s="176"/>
      <c r="AP976" s="176"/>
      <c r="AQ976" s="176"/>
      <c r="AR976" s="176"/>
      <c r="AS976" s="176"/>
      <c r="AT976" s="176"/>
      <c r="AU976" s="176"/>
      <c r="AV976" s="176"/>
      <c r="AW976" s="176"/>
      <c r="AX976" s="176"/>
      <c r="AY976" s="176"/>
      <c r="AZ976" s="176"/>
      <c r="BA976" s="176"/>
      <c r="BB976" s="176"/>
      <c r="BC976" s="176"/>
      <c r="BD976" s="176"/>
    </row>
    <row r="977" ht="15.75" customHeight="1">
      <c r="A977" s="176"/>
      <c r="B977" s="176"/>
      <c r="C977" s="176"/>
      <c r="D977" s="176"/>
      <c r="E977" s="176"/>
      <c r="F977" s="176"/>
      <c r="G977" s="178"/>
      <c r="H977" s="176"/>
      <c r="I977" s="176"/>
      <c r="J977" s="176"/>
      <c r="K977" s="176"/>
      <c r="L977" s="176"/>
      <c r="M977" s="176"/>
      <c r="N977" s="176"/>
      <c r="O977" s="176"/>
      <c r="P977" s="176"/>
      <c r="Q977" s="176"/>
      <c r="R977" s="176"/>
      <c r="S977" s="176"/>
      <c r="T977" s="176"/>
      <c r="U977" s="176"/>
      <c r="V977" s="176"/>
      <c r="W977" s="176"/>
      <c r="X977" s="176"/>
      <c r="Y977" s="176"/>
      <c r="Z977" s="176"/>
      <c r="AA977" s="176"/>
      <c r="AB977" s="176"/>
      <c r="AC977" s="176"/>
      <c r="AD977" s="176"/>
      <c r="AE977" s="176"/>
      <c r="AF977" s="176"/>
      <c r="AG977" s="176"/>
      <c r="AH977" s="176"/>
      <c r="AI977" s="176"/>
      <c r="AJ977" s="176"/>
      <c r="AK977" s="176"/>
      <c r="AL977" s="176"/>
      <c r="AM977" s="176"/>
      <c r="AN977" s="176"/>
      <c r="AO977" s="176"/>
      <c r="AP977" s="176"/>
      <c r="AQ977" s="176"/>
      <c r="AR977" s="176"/>
      <c r="AS977" s="176"/>
      <c r="AT977" s="176"/>
      <c r="AU977" s="176"/>
      <c r="AV977" s="176"/>
      <c r="AW977" s="176"/>
      <c r="AX977" s="176"/>
      <c r="AY977" s="176"/>
      <c r="AZ977" s="176"/>
      <c r="BA977" s="176"/>
      <c r="BB977" s="176"/>
      <c r="BC977" s="176"/>
      <c r="BD977" s="176"/>
    </row>
    <row r="978" ht="15.75" customHeight="1">
      <c r="A978" s="176"/>
      <c r="B978" s="176"/>
      <c r="C978" s="176"/>
      <c r="D978" s="176"/>
      <c r="E978" s="176"/>
      <c r="F978" s="176"/>
      <c r="G978" s="178"/>
      <c r="H978" s="176"/>
      <c r="I978" s="176"/>
      <c r="J978" s="176"/>
      <c r="K978" s="176"/>
      <c r="L978" s="176"/>
      <c r="M978" s="176"/>
      <c r="N978" s="176"/>
      <c r="O978" s="176"/>
      <c r="P978" s="176"/>
      <c r="Q978" s="176"/>
      <c r="R978" s="176"/>
      <c r="S978" s="176"/>
      <c r="T978" s="176"/>
      <c r="U978" s="176"/>
      <c r="V978" s="176"/>
      <c r="W978" s="176"/>
      <c r="X978" s="176"/>
      <c r="Y978" s="176"/>
      <c r="Z978" s="176"/>
      <c r="AA978" s="176"/>
      <c r="AB978" s="176"/>
      <c r="AC978" s="176"/>
      <c r="AD978" s="176"/>
      <c r="AE978" s="176"/>
      <c r="AF978" s="176"/>
      <c r="AG978" s="176"/>
      <c r="AH978" s="176"/>
      <c r="AI978" s="176"/>
      <c r="AJ978" s="176"/>
      <c r="AK978" s="176"/>
      <c r="AL978" s="176"/>
      <c r="AM978" s="176"/>
      <c r="AN978" s="176"/>
      <c r="AO978" s="176"/>
      <c r="AP978" s="176"/>
      <c r="AQ978" s="176"/>
      <c r="AR978" s="176"/>
      <c r="AS978" s="176"/>
      <c r="AT978" s="176"/>
      <c r="AU978" s="176"/>
      <c r="AV978" s="176"/>
      <c r="AW978" s="176"/>
      <c r="AX978" s="176"/>
      <c r="AY978" s="176"/>
      <c r="AZ978" s="176"/>
      <c r="BA978" s="176"/>
      <c r="BB978" s="176"/>
      <c r="BC978" s="176"/>
      <c r="BD978" s="176"/>
    </row>
    <row r="979" ht="15.75" customHeight="1">
      <c r="A979" s="176"/>
      <c r="B979" s="176"/>
      <c r="C979" s="176"/>
      <c r="D979" s="176"/>
      <c r="E979" s="176"/>
      <c r="F979" s="176"/>
      <c r="G979" s="178"/>
      <c r="H979" s="176"/>
      <c r="I979" s="176"/>
      <c r="J979" s="176"/>
      <c r="K979" s="176"/>
      <c r="L979" s="176"/>
      <c r="M979" s="176"/>
      <c r="N979" s="176"/>
      <c r="O979" s="176"/>
      <c r="P979" s="176"/>
      <c r="Q979" s="176"/>
      <c r="R979" s="176"/>
      <c r="S979" s="176"/>
      <c r="T979" s="176"/>
      <c r="U979" s="176"/>
      <c r="V979" s="176"/>
      <c r="W979" s="176"/>
      <c r="X979" s="176"/>
      <c r="Y979" s="176"/>
      <c r="Z979" s="176"/>
      <c r="AA979" s="176"/>
      <c r="AB979" s="176"/>
      <c r="AC979" s="176"/>
      <c r="AD979" s="176"/>
      <c r="AE979" s="176"/>
      <c r="AF979" s="176"/>
      <c r="AG979" s="176"/>
      <c r="AH979" s="176"/>
      <c r="AI979" s="176"/>
      <c r="AJ979" s="176"/>
      <c r="AK979" s="176"/>
      <c r="AL979" s="176"/>
      <c r="AM979" s="176"/>
      <c r="AN979" s="176"/>
      <c r="AO979" s="176"/>
      <c r="AP979" s="176"/>
      <c r="AQ979" s="176"/>
      <c r="AR979" s="176"/>
      <c r="AS979" s="176"/>
      <c r="AT979" s="176"/>
      <c r="AU979" s="176"/>
      <c r="AV979" s="176"/>
      <c r="AW979" s="176"/>
      <c r="AX979" s="176"/>
      <c r="AY979" s="176"/>
      <c r="AZ979" s="176"/>
      <c r="BA979" s="176"/>
      <c r="BB979" s="176"/>
      <c r="BC979" s="176"/>
      <c r="BD979" s="176"/>
    </row>
    <row r="980" ht="15.75" customHeight="1">
      <c r="A980" s="176"/>
      <c r="B980" s="176"/>
      <c r="C980" s="176"/>
      <c r="D980" s="176"/>
      <c r="E980" s="176"/>
      <c r="F980" s="176"/>
      <c r="G980" s="178"/>
      <c r="H980" s="176"/>
      <c r="I980" s="176"/>
      <c r="J980" s="176"/>
      <c r="K980" s="176"/>
      <c r="L980" s="176"/>
      <c r="M980" s="176"/>
      <c r="N980" s="176"/>
      <c r="O980" s="176"/>
      <c r="P980" s="176"/>
      <c r="Q980" s="176"/>
      <c r="R980" s="176"/>
      <c r="S980" s="176"/>
      <c r="T980" s="176"/>
      <c r="U980" s="176"/>
      <c r="V980" s="176"/>
      <c r="W980" s="176"/>
      <c r="X980" s="176"/>
      <c r="Y980" s="176"/>
      <c r="Z980" s="176"/>
      <c r="AA980" s="176"/>
      <c r="AB980" s="176"/>
      <c r="AC980" s="176"/>
      <c r="AD980" s="176"/>
      <c r="AE980" s="176"/>
      <c r="AF980" s="176"/>
      <c r="AG980" s="176"/>
      <c r="AH980" s="176"/>
      <c r="AI980" s="176"/>
      <c r="AJ980" s="176"/>
      <c r="AK980" s="176"/>
      <c r="AL980" s="176"/>
      <c r="AM980" s="176"/>
      <c r="AN980" s="176"/>
      <c r="AO980" s="176"/>
      <c r="AP980" s="176"/>
      <c r="AQ980" s="176"/>
      <c r="AR980" s="176"/>
      <c r="AS980" s="176"/>
      <c r="AT980" s="176"/>
      <c r="AU980" s="176"/>
      <c r="AV980" s="176"/>
      <c r="AW980" s="176"/>
      <c r="AX980" s="176"/>
      <c r="AY980" s="176"/>
      <c r="AZ980" s="176"/>
      <c r="BA980" s="176"/>
      <c r="BB980" s="176"/>
      <c r="BC980" s="176"/>
      <c r="BD980" s="176"/>
    </row>
    <row r="981" ht="15.75" customHeight="1">
      <c r="A981" s="176"/>
      <c r="B981" s="176"/>
      <c r="C981" s="176"/>
      <c r="D981" s="176"/>
      <c r="E981" s="176"/>
      <c r="F981" s="176"/>
      <c r="G981" s="178"/>
      <c r="H981" s="176"/>
      <c r="I981" s="176"/>
      <c r="J981" s="176"/>
      <c r="K981" s="176"/>
      <c r="L981" s="176"/>
      <c r="M981" s="176"/>
      <c r="N981" s="176"/>
      <c r="O981" s="176"/>
      <c r="P981" s="176"/>
      <c r="Q981" s="176"/>
      <c r="R981" s="176"/>
      <c r="S981" s="176"/>
      <c r="T981" s="176"/>
      <c r="U981" s="176"/>
      <c r="V981" s="176"/>
      <c r="W981" s="176"/>
      <c r="X981" s="176"/>
      <c r="Y981" s="176"/>
      <c r="Z981" s="176"/>
      <c r="AA981" s="176"/>
      <c r="AB981" s="176"/>
      <c r="AC981" s="176"/>
      <c r="AD981" s="176"/>
      <c r="AE981" s="176"/>
      <c r="AF981" s="176"/>
      <c r="AG981" s="176"/>
      <c r="AH981" s="176"/>
      <c r="AI981" s="176"/>
      <c r="AJ981" s="176"/>
      <c r="AK981" s="176"/>
      <c r="AL981" s="176"/>
      <c r="AM981" s="176"/>
      <c r="AN981" s="176"/>
      <c r="AO981" s="176"/>
      <c r="AP981" s="176"/>
      <c r="AQ981" s="176"/>
      <c r="AR981" s="176"/>
      <c r="AS981" s="176"/>
      <c r="AT981" s="176"/>
      <c r="AU981" s="176"/>
      <c r="AV981" s="176"/>
      <c r="AW981" s="176"/>
      <c r="AX981" s="176"/>
      <c r="AY981" s="176"/>
      <c r="AZ981" s="176"/>
      <c r="BA981" s="176"/>
      <c r="BB981" s="176"/>
      <c r="BC981" s="176"/>
      <c r="BD981" s="176"/>
    </row>
    <row r="982" ht="15.75" customHeight="1">
      <c r="A982" s="176"/>
      <c r="B982" s="176"/>
      <c r="C982" s="176"/>
      <c r="D982" s="176"/>
      <c r="E982" s="176"/>
      <c r="F982" s="176"/>
      <c r="G982" s="178"/>
      <c r="H982" s="176"/>
      <c r="I982" s="176"/>
      <c r="J982" s="176"/>
      <c r="K982" s="176"/>
      <c r="L982" s="176"/>
      <c r="M982" s="176"/>
      <c r="N982" s="176"/>
      <c r="O982" s="176"/>
      <c r="P982" s="176"/>
      <c r="Q982" s="176"/>
      <c r="R982" s="176"/>
      <c r="S982" s="176"/>
      <c r="T982" s="176"/>
      <c r="U982" s="176"/>
      <c r="V982" s="176"/>
      <c r="W982" s="176"/>
      <c r="X982" s="176"/>
      <c r="Y982" s="176"/>
      <c r="Z982" s="176"/>
      <c r="AA982" s="176"/>
      <c r="AB982" s="176"/>
      <c r="AC982" s="176"/>
      <c r="AD982" s="176"/>
      <c r="AE982" s="176"/>
      <c r="AF982" s="176"/>
      <c r="AG982" s="176"/>
      <c r="AH982" s="176"/>
      <c r="AI982" s="176"/>
      <c r="AJ982" s="176"/>
      <c r="AK982" s="176"/>
      <c r="AL982" s="176"/>
      <c r="AM982" s="176"/>
      <c r="AN982" s="176"/>
      <c r="AO982" s="176"/>
      <c r="AP982" s="176"/>
      <c r="AQ982" s="176"/>
      <c r="AR982" s="176"/>
      <c r="AS982" s="176"/>
      <c r="AT982" s="176"/>
      <c r="AU982" s="176"/>
      <c r="AV982" s="176"/>
      <c r="AW982" s="176"/>
      <c r="AX982" s="176"/>
      <c r="AY982" s="176"/>
      <c r="AZ982" s="176"/>
      <c r="BA982" s="176"/>
      <c r="BB982" s="176"/>
      <c r="BC982" s="176"/>
      <c r="BD982" s="176"/>
    </row>
    <row r="983" ht="15.75" customHeight="1">
      <c r="A983" s="176"/>
      <c r="B983" s="176"/>
      <c r="C983" s="176"/>
      <c r="D983" s="176"/>
      <c r="E983" s="176"/>
      <c r="F983" s="176"/>
      <c r="G983" s="178"/>
      <c r="H983" s="176"/>
      <c r="I983" s="176"/>
      <c r="J983" s="176"/>
      <c r="K983" s="176"/>
      <c r="L983" s="176"/>
      <c r="M983" s="176"/>
      <c r="N983" s="176"/>
      <c r="O983" s="176"/>
      <c r="P983" s="176"/>
      <c r="Q983" s="176"/>
      <c r="R983" s="176"/>
      <c r="S983" s="176"/>
      <c r="T983" s="176"/>
      <c r="U983" s="176"/>
      <c r="V983" s="176"/>
      <c r="W983" s="176"/>
      <c r="X983" s="176"/>
      <c r="Y983" s="176"/>
      <c r="Z983" s="176"/>
      <c r="AA983" s="176"/>
      <c r="AB983" s="176"/>
      <c r="AC983" s="176"/>
      <c r="AD983" s="176"/>
      <c r="AE983" s="176"/>
      <c r="AF983" s="176"/>
      <c r="AG983" s="176"/>
      <c r="AH983" s="176"/>
      <c r="AI983" s="176"/>
      <c r="AJ983" s="176"/>
      <c r="AK983" s="176"/>
      <c r="AL983" s="176"/>
      <c r="AM983" s="176"/>
      <c r="AN983" s="176"/>
      <c r="AO983" s="176"/>
      <c r="AP983" s="176"/>
      <c r="AQ983" s="176"/>
      <c r="AR983" s="176"/>
      <c r="AS983" s="176"/>
      <c r="AT983" s="176"/>
      <c r="AU983" s="176"/>
      <c r="AV983" s="176"/>
      <c r="AW983" s="176"/>
      <c r="AX983" s="176"/>
      <c r="AY983" s="176"/>
      <c r="AZ983" s="176"/>
      <c r="BA983" s="176"/>
      <c r="BB983" s="176"/>
      <c r="BC983" s="176"/>
      <c r="BD983" s="176"/>
    </row>
    <row r="984" ht="15.75" customHeight="1">
      <c r="A984" s="176"/>
      <c r="B984" s="176"/>
      <c r="C984" s="176"/>
      <c r="D984" s="176"/>
      <c r="E984" s="176"/>
      <c r="F984" s="176"/>
      <c r="G984" s="178"/>
      <c r="H984" s="176"/>
      <c r="I984" s="176"/>
      <c r="J984" s="176"/>
      <c r="K984" s="176"/>
      <c r="L984" s="176"/>
      <c r="M984" s="176"/>
      <c r="N984" s="176"/>
      <c r="O984" s="176"/>
      <c r="P984" s="176"/>
      <c r="Q984" s="176"/>
      <c r="R984" s="176"/>
      <c r="S984" s="176"/>
      <c r="T984" s="176"/>
      <c r="U984" s="176"/>
      <c r="V984" s="176"/>
      <c r="W984" s="176"/>
      <c r="X984" s="176"/>
      <c r="Y984" s="176"/>
      <c r="Z984" s="176"/>
      <c r="AA984" s="176"/>
      <c r="AB984" s="176"/>
      <c r="AC984" s="176"/>
      <c r="AD984" s="176"/>
      <c r="AE984" s="176"/>
      <c r="AF984" s="176"/>
      <c r="AG984" s="176"/>
      <c r="AH984" s="176"/>
      <c r="AI984" s="176"/>
      <c r="AJ984" s="176"/>
      <c r="AK984" s="176"/>
      <c r="AL984" s="176"/>
      <c r="AM984" s="176"/>
      <c r="AN984" s="176"/>
      <c r="AO984" s="176"/>
      <c r="AP984" s="176"/>
      <c r="AQ984" s="176"/>
      <c r="AR984" s="176"/>
      <c r="AS984" s="176"/>
      <c r="AT984" s="176"/>
      <c r="AU984" s="176"/>
      <c r="AV984" s="176"/>
      <c r="AW984" s="176"/>
      <c r="AX984" s="176"/>
      <c r="AY984" s="176"/>
      <c r="AZ984" s="176"/>
      <c r="BA984" s="176"/>
      <c r="BB984" s="176"/>
      <c r="BC984" s="176"/>
      <c r="BD984" s="176"/>
    </row>
    <row r="985" ht="15.75" customHeight="1">
      <c r="A985" s="176"/>
      <c r="B985" s="176"/>
      <c r="C985" s="176"/>
      <c r="D985" s="176"/>
      <c r="E985" s="176"/>
      <c r="F985" s="176"/>
      <c r="G985" s="178"/>
      <c r="H985" s="176"/>
      <c r="I985" s="176"/>
      <c r="J985" s="176"/>
      <c r="K985" s="176"/>
      <c r="L985" s="176"/>
      <c r="M985" s="176"/>
      <c r="N985" s="176"/>
      <c r="O985" s="176"/>
      <c r="P985" s="176"/>
      <c r="Q985" s="176"/>
      <c r="R985" s="176"/>
      <c r="S985" s="176"/>
      <c r="T985" s="176"/>
      <c r="U985" s="176"/>
      <c r="V985" s="176"/>
      <c r="W985" s="176"/>
      <c r="X985" s="176"/>
      <c r="Y985" s="176"/>
      <c r="Z985" s="176"/>
      <c r="AA985" s="176"/>
      <c r="AB985" s="176"/>
      <c r="AC985" s="176"/>
      <c r="AD985" s="176"/>
      <c r="AE985" s="176"/>
      <c r="AF985" s="176"/>
      <c r="AG985" s="176"/>
      <c r="AH985" s="176"/>
      <c r="AI985" s="176"/>
      <c r="AJ985" s="176"/>
      <c r="AK985" s="176"/>
      <c r="AL985" s="176"/>
      <c r="AM985" s="176"/>
      <c r="AN985" s="176"/>
      <c r="AO985" s="176"/>
      <c r="AP985" s="176"/>
      <c r="AQ985" s="176"/>
      <c r="AR985" s="176"/>
      <c r="AS985" s="176"/>
      <c r="AT985" s="176"/>
      <c r="AU985" s="176"/>
      <c r="AV985" s="176"/>
      <c r="AW985" s="176"/>
      <c r="AX985" s="176"/>
      <c r="AY985" s="176"/>
      <c r="AZ985" s="176"/>
      <c r="BA985" s="176"/>
      <c r="BB985" s="176"/>
      <c r="BC985" s="176"/>
      <c r="BD985" s="176"/>
    </row>
    <row r="986" ht="15.75" customHeight="1">
      <c r="A986" s="176"/>
      <c r="B986" s="176"/>
      <c r="C986" s="176"/>
      <c r="D986" s="176"/>
      <c r="E986" s="176"/>
      <c r="F986" s="176"/>
      <c r="G986" s="178"/>
      <c r="H986" s="176"/>
      <c r="I986" s="176"/>
      <c r="J986" s="176"/>
      <c r="K986" s="176"/>
      <c r="L986" s="176"/>
      <c r="M986" s="176"/>
      <c r="N986" s="176"/>
      <c r="O986" s="176"/>
      <c r="P986" s="176"/>
      <c r="Q986" s="176"/>
      <c r="R986" s="176"/>
      <c r="S986" s="176"/>
      <c r="T986" s="176"/>
      <c r="U986" s="176"/>
      <c r="V986" s="176"/>
      <c r="W986" s="176"/>
      <c r="X986" s="176"/>
      <c r="Y986" s="176"/>
      <c r="Z986" s="176"/>
      <c r="AA986" s="176"/>
      <c r="AB986" s="176"/>
      <c r="AC986" s="176"/>
      <c r="AD986" s="176"/>
      <c r="AE986" s="176"/>
      <c r="AF986" s="176"/>
      <c r="AG986" s="176"/>
      <c r="AH986" s="176"/>
      <c r="AI986" s="176"/>
      <c r="AJ986" s="176"/>
      <c r="AK986" s="176"/>
      <c r="AL986" s="176"/>
      <c r="AM986" s="176"/>
      <c r="AN986" s="176"/>
      <c r="AO986" s="176"/>
      <c r="AP986" s="176"/>
      <c r="AQ986" s="176"/>
      <c r="AR986" s="176"/>
      <c r="AS986" s="176"/>
      <c r="AT986" s="176"/>
      <c r="AU986" s="176"/>
      <c r="AV986" s="176"/>
      <c r="AW986" s="176"/>
      <c r="AX986" s="176"/>
      <c r="AY986" s="176"/>
      <c r="AZ986" s="176"/>
      <c r="BA986" s="176"/>
      <c r="BB986" s="176"/>
      <c r="BC986" s="176"/>
      <c r="BD986" s="176"/>
    </row>
    <row r="987" ht="15.75" customHeight="1">
      <c r="A987" s="176"/>
      <c r="B987" s="176"/>
      <c r="C987" s="176"/>
      <c r="D987" s="176"/>
      <c r="E987" s="176"/>
      <c r="F987" s="176"/>
      <c r="G987" s="178"/>
      <c r="H987" s="176"/>
      <c r="I987" s="176"/>
      <c r="J987" s="176"/>
      <c r="K987" s="176"/>
      <c r="L987" s="176"/>
      <c r="M987" s="176"/>
      <c r="N987" s="176"/>
      <c r="O987" s="176"/>
      <c r="P987" s="176"/>
      <c r="Q987" s="176"/>
      <c r="R987" s="176"/>
      <c r="S987" s="176"/>
      <c r="T987" s="176"/>
      <c r="U987" s="176"/>
      <c r="V987" s="176"/>
      <c r="W987" s="176"/>
      <c r="X987" s="176"/>
      <c r="Y987" s="176"/>
      <c r="Z987" s="176"/>
      <c r="AA987" s="176"/>
      <c r="AB987" s="176"/>
      <c r="AC987" s="176"/>
      <c r="AD987" s="176"/>
      <c r="AE987" s="176"/>
      <c r="AF987" s="176"/>
      <c r="AG987" s="176"/>
      <c r="AH987" s="176"/>
      <c r="AI987" s="176"/>
      <c r="AJ987" s="176"/>
      <c r="AK987" s="176"/>
      <c r="AL987" s="176"/>
      <c r="AM987" s="176"/>
      <c r="AN987" s="176"/>
      <c r="AO987" s="176"/>
      <c r="AP987" s="176"/>
      <c r="AQ987" s="176"/>
      <c r="AR987" s="176"/>
      <c r="AS987" s="176"/>
      <c r="AT987" s="176"/>
      <c r="AU987" s="176"/>
      <c r="AV987" s="176"/>
      <c r="AW987" s="176"/>
      <c r="AX987" s="176"/>
      <c r="AY987" s="176"/>
      <c r="AZ987" s="176"/>
      <c r="BA987" s="176"/>
      <c r="BB987" s="176"/>
      <c r="BC987" s="176"/>
      <c r="BD987" s="176"/>
    </row>
    <row r="988" ht="15.75" customHeight="1">
      <c r="A988" s="176"/>
      <c r="B988" s="176"/>
      <c r="C988" s="176"/>
      <c r="D988" s="176"/>
      <c r="E988" s="176"/>
      <c r="F988" s="176"/>
      <c r="G988" s="178"/>
      <c r="H988" s="176"/>
      <c r="I988" s="176"/>
      <c r="J988" s="176"/>
      <c r="K988" s="176"/>
      <c r="L988" s="176"/>
      <c r="M988" s="176"/>
      <c r="N988" s="176"/>
      <c r="O988" s="176"/>
      <c r="P988" s="176"/>
      <c r="Q988" s="176"/>
      <c r="R988" s="176"/>
      <c r="S988" s="176"/>
      <c r="T988" s="176"/>
      <c r="U988" s="176"/>
      <c r="V988" s="176"/>
      <c r="W988" s="176"/>
      <c r="X988" s="176"/>
      <c r="Y988" s="176"/>
      <c r="Z988" s="176"/>
      <c r="AA988" s="176"/>
      <c r="AB988" s="176"/>
      <c r="AC988" s="176"/>
      <c r="AD988" s="176"/>
      <c r="AE988" s="176"/>
      <c r="AF988" s="176"/>
      <c r="AG988" s="176"/>
      <c r="AH988" s="176"/>
      <c r="AI988" s="176"/>
      <c r="AJ988" s="176"/>
      <c r="AK988" s="176"/>
      <c r="AL988" s="176"/>
      <c r="AM988" s="176"/>
      <c r="AN988" s="176"/>
      <c r="AO988" s="176"/>
      <c r="AP988" s="176"/>
      <c r="AQ988" s="176"/>
      <c r="AR988" s="176"/>
      <c r="AS988" s="176"/>
      <c r="AT988" s="176"/>
      <c r="AU988" s="176"/>
      <c r="AV988" s="176"/>
      <c r="AW988" s="176"/>
      <c r="AX988" s="176"/>
      <c r="AY988" s="176"/>
      <c r="AZ988" s="176"/>
      <c r="BA988" s="176"/>
      <c r="BB988" s="176"/>
      <c r="BC988" s="176"/>
      <c r="BD988" s="176"/>
    </row>
    <row r="989" ht="15.75" customHeight="1">
      <c r="A989" s="176"/>
      <c r="B989" s="176"/>
      <c r="C989" s="176"/>
      <c r="D989" s="176"/>
      <c r="E989" s="176"/>
      <c r="F989" s="176"/>
      <c r="G989" s="178"/>
      <c r="H989" s="176"/>
      <c r="I989" s="176"/>
      <c r="J989" s="176"/>
      <c r="K989" s="176"/>
      <c r="L989" s="176"/>
      <c r="M989" s="176"/>
      <c r="N989" s="176"/>
      <c r="O989" s="176"/>
      <c r="P989" s="176"/>
      <c r="Q989" s="176"/>
      <c r="R989" s="176"/>
      <c r="S989" s="176"/>
      <c r="T989" s="176"/>
      <c r="U989" s="176"/>
      <c r="V989" s="176"/>
      <c r="W989" s="176"/>
      <c r="X989" s="176"/>
      <c r="Y989" s="176"/>
      <c r="Z989" s="176"/>
      <c r="AA989" s="176"/>
      <c r="AB989" s="176"/>
      <c r="AC989" s="176"/>
      <c r="AD989" s="176"/>
      <c r="AE989" s="176"/>
      <c r="AF989" s="176"/>
      <c r="AG989" s="176"/>
      <c r="AH989" s="176"/>
      <c r="AI989" s="176"/>
      <c r="AJ989" s="176"/>
      <c r="AK989" s="176"/>
      <c r="AL989" s="176"/>
      <c r="AM989" s="176"/>
      <c r="AN989" s="176"/>
      <c r="AO989" s="176"/>
      <c r="AP989" s="176"/>
      <c r="AQ989" s="176"/>
      <c r="AR989" s="176"/>
      <c r="AS989" s="176"/>
      <c r="AT989" s="176"/>
      <c r="AU989" s="176"/>
      <c r="AV989" s="176"/>
      <c r="AW989" s="176"/>
      <c r="AX989" s="176"/>
      <c r="AY989" s="176"/>
      <c r="AZ989" s="176"/>
      <c r="BA989" s="176"/>
      <c r="BB989" s="176"/>
      <c r="BC989" s="176"/>
      <c r="BD989" s="176"/>
    </row>
    <row r="990" ht="15.75" customHeight="1">
      <c r="A990" s="176"/>
      <c r="B990" s="176"/>
      <c r="C990" s="176"/>
      <c r="D990" s="176"/>
      <c r="E990" s="176"/>
      <c r="F990" s="176"/>
      <c r="G990" s="178"/>
      <c r="H990" s="176"/>
      <c r="I990" s="176"/>
      <c r="J990" s="176"/>
      <c r="K990" s="176"/>
      <c r="L990" s="176"/>
      <c r="M990" s="176"/>
      <c r="N990" s="176"/>
      <c r="O990" s="176"/>
      <c r="P990" s="176"/>
      <c r="Q990" s="176"/>
      <c r="R990" s="176"/>
      <c r="S990" s="176"/>
      <c r="T990" s="176"/>
      <c r="U990" s="176"/>
      <c r="V990" s="176"/>
      <c r="W990" s="176"/>
      <c r="X990" s="176"/>
      <c r="Y990" s="176"/>
      <c r="Z990" s="176"/>
      <c r="AA990" s="176"/>
      <c r="AB990" s="176"/>
      <c r="AC990" s="176"/>
      <c r="AD990" s="176"/>
      <c r="AE990" s="176"/>
      <c r="AF990" s="176"/>
      <c r="AG990" s="176"/>
      <c r="AH990" s="176"/>
      <c r="AI990" s="176"/>
      <c r="AJ990" s="176"/>
      <c r="AK990" s="176"/>
      <c r="AL990" s="176"/>
      <c r="AM990" s="176"/>
      <c r="AN990" s="176"/>
      <c r="AO990" s="176"/>
      <c r="AP990" s="176"/>
      <c r="AQ990" s="176"/>
      <c r="AR990" s="176"/>
      <c r="AS990" s="176"/>
      <c r="AT990" s="176"/>
      <c r="AU990" s="176"/>
      <c r="AV990" s="176"/>
      <c r="AW990" s="176"/>
      <c r="AX990" s="176"/>
      <c r="AY990" s="176"/>
      <c r="AZ990" s="176"/>
      <c r="BA990" s="176"/>
      <c r="BB990" s="176"/>
      <c r="BC990" s="176"/>
      <c r="BD990" s="176"/>
    </row>
    <row r="991" ht="15.75" customHeight="1">
      <c r="A991" s="176"/>
      <c r="B991" s="176"/>
      <c r="C991" s="176"/>
      <c r="D991" s="176"/>
      <c r="E991" s="176"/>
      <c r="F991" s="176"/>
      <c r="G991" s="178"/>
      <c r="H991" s="176"/>
      <c r="I991" s="176"/>
      <c r="J991" s="176"/>
      <c r="K991" s="176"/>
      <c r="L991" s="176"/>
      <c r="M991" s="176"/>
      <c r="N991" s="176"/>
      <c r="O991" s="176"/>
      <c r="P991" s="176"/>
      <c r="Q991" s="176"/>
      <c r="R991" s="176"/>
      <c r="S991" s="176"/>
      <c r="T991" s="176"/>
      <c r="U991" s="176"/>
      <c r="V991" s="176"/>
      <c r="W991" s="176"/>
      <c r="X991" s="176"/>
      <c r="Y991" s="176"/>
      <c r="Z991" s="176"/>
      <c r="AA991" s="176"/>
      <c r="AB991" s="176"/>
      <c r="AC991" s="176"/>
      <c r="AD991" s="176"/>
      <c r="AE991" s="176"/>
      <c r="AF991" s="176"/>
      <c r="AG991" s="176"/>
      <c r="AH991" s="176"/>
      <c r="AI991" s="176"/>
      <c r="AJ991" s="176"/>
      <c r="AK991" s="176"/>
      <c r="AL991" s="176"/>
      <c r="AM991" s="176"/>
      <c r="AN991" s="176"/>
      <c r="AO991" s="176"/>
      <c r="AP991" s="176"/>
      <c r="AQ991" s="176"/>
      <c r="AR991" s="176"/>
      <c r="AS991" s="176"/>
      <c r="AT991" s="176"/>
      <c r="AU991" s="176"/>
      <c r="AV991" s="176"/>
      <c r="AW991" s="176"/>
      <c r="AX991" s="176"/>
      <c r="AY991" s="176"/>
      <c r="AZ991" s="176"/>
      <c r="BA991" s="176"/>
      <c r="BB991" s="176"/>
      <c r="BC991" s="176"/>
      <c r="BD991" s="176"/>
    </row>
    <row r="992" ht="15.75" customHeight="1">
      <c r="A992" s="176"/>
      <c r="B992" s="176"/>
      <c r="C992" s="176"/>
      <c r="D992" s="176"/>
      <c r="E992" s="176"/>
      <c r="F992" s="176"/>
      <c r="G992" s="178"/>
      <c r="H992" s="176"/>
      <c r="I992" s="176"/>
      <c r="J992" s="176"/>
      <c r="K992" s="176"/>
      <c r="L992" s="176"/>
      <c r="M992" s="176"/>
      <c r="N992" s="176"/>
      <c r="O992" s="176"/>
      <c r="P992" s="176"/>
      <c r="Q992" s="176"/>
      <c r="R992" s="176"/>
      <c r="S992" s="176"/>
      <c r="T992" s="176"/>
      <c r="U992" s="176"/>
      <c r="V992" s="176"/>
      <c r="W992" s="176"/>
      <c r="X992" s="176"/>
      <c r="Y992" s="176"/>
      <c r="Z992" s="176"/>
      <c r="AA992" s="176"/>
      <c r="AB992" s="176"/>
      <c r="AC992" s="176"/>
      <c r="AD992" s="176"/>
      <c r="AE992" s="176"/>
      <c r="AF992" s="176"/>
      <c r="AG992" s="176"/>
      <c r="AH992" s="176"/>
      <c r="AI992" s="176"/>
      <c r="AJ992" s="176"/>
      <c r="AK992" s="176"/>
      <c r="AL992" s="176"/>
      <c r="AM992" s="176"/>
      <c r="AN992" s="176"/>
      <c r="AO992" s="176"/>
      <c r="AP992" s="176"/>
      <c r="AQ992" s="176"/>
      <c r="AR992" s="176"/>
      <c r="AS992" s="176"/>
      <c r="AT992" s="176"/>
      <c r="AU992" s="176"/>
      <c r="AV992" s="176"/>
      <c r="AW992" s="176"/>
      <c r="AX992" s="176"/>
      <c r="AY992" s="176"/>
      <c r="AZ992" s="176"/>
      <c r="BA992" s="176"/>
      <c r="BB992" s="176"/>
      <c r="BC992" s="176"/>
      <c r="BD992" s="176"/>
    </row>
    <row r="993" ht="15.75" customHeight="1">
      <c r="A993" s="176"/>
      <c r="B993" s="176"/>
      <c r="C993" s="176"/>
      <c r="D993" s="176"/>
      <c r="E993" s="176"/>
      <c r="F993" s="176"/>
      <c r="G993" s="178"/>
      <c r="H993" s="176"/>
      <c r="I993" s="176"/>
      <c r="J993" s="176"/>
      <c r="K993" s="176"/>
      <c r="L993" s="176"/>
      <c r="M993" s="176"/>
      <c r="N993" s="176"/>
      <c r="O993" s="176"/>
      <c r="P993" s="176"/>
      <c r="Q993" s="176"/>
      <c r="R993" s="176"/>
      <c r="S993" s="176"/>
      <c r="T993" s="176"/>
      <c r="U993" s="176"/>
      <c r="V993" s="176"/>
      <c r="W993" s="176"/>
      <c r="X993" s="176"/>
      <c r="Y993" s="176"/>
      <c r="Z993" s="176"/>
      <c r="AA993" s="176"/>
      <c r="AB993" s="176"/>
      <c r="AC993" s="176"/>
      <c r="AD993" s="176"/>
      <c r="AE993" s="176"/>
      <c r="AF993" s="176"/>
      <c r="AG993" s="176"/>
      <c r="AH993" s="176"/>
      <c r="AI993" s="176"/>
      <c r="AJ993" s="176"/>
      <c r="AK993" s="176"/>
      <c r="AL993" s="176"/>
      <c r="AM993" s="176"/>
      <c r="AN993" s="176"/>
      <c r="AO993" s="176"/>
      <c r="AP993" s="176"/>
      <c r="AQ993" s="176"/>
      <c r="AR993" s="176"/>
      <c r="AS993" s="176"/>
      <c r="AT993" s="176"/>
      <c r="AU993" s="176"/>
      <c r="AV993" s="176"/>
      <c r="AW993" s="176"/>
      <c r="AX993" s="176"/>
      <c r="AY993" s="176"/>
      <c r="AZ993" s="176"/>
      <c r="BA993" s="176"/>
      <c r="BB993" s="176"/>
      <c r="BC993" s="176"/>
      <c r="BD993" s="176"/>
    </row>
    <row r="994" ht="15.75" customHeight="1">
      <c r="A994" s="176"/>
      <c r="B994" s="176"/>
      <c r="C994" s="176"/>
      <c r="D994" s="176"/>
      <c r="E994" s="176"/>
      <c r="F994" s="176"/>
      <c r="G994" s="178"/>
      <c r="H994" s="176"/>
      <c r="I994" s="176"/>
      <c r="J994" s="176"/>
      <c r="K994" s="176"/>
      <c r="L994" s="176"/>
      <c r="M994" s="176"/>
      <c r="N994" s="176"/>
      <c r="O994" s="176"/>
      <c r="P994" s="176"/>
      <c r="Q994" s="176"/>
      <c r="R994" s="176"/>
      <c r="S994" s="176"/>
      <c r="T994" s="176"/>
      <c r="U994" s="176"/>
      <c r="V994" s="176"/>
      <c r="W994" s="176"/>
      <c r="X994" s="176"/>
      <c r="Y994" s="176"/>
      <c r="Z994" s="176"/>
      <c r="AA994" s="176"/>
      <c r="AB994" s="176"/>
      <c r="AC994" s="176"/>
      <c r="AD994" s="176"/>
      <c r="AE994" s="176"/>
      <c r="AF994" s="176"/>
      <c r="AG994" s="176"/>
      <c r="AH994" s="176"/>
      <c r="AI994" s="176"/>
      <c r="AJ994" s="176"/>
      <c r="AK994" s="176"/>
      <c r="AL994" s="176"/>
      <c r="AM994" s="176"/>
      <c r="AN994" s="176"/>
      <c r="AO994" s="176"/>
      <c r="AP994" s="176"/>
      <c r="AQ994" s="176"/>
      <c r="AR994" s="176"/>
      <c r="AS994" s="176"/>
      <c r="AT994" s="176"/>
      <c r="AU994" s="176"/>
      <c r="AV994" s="176"/>
      <c r="AW994" s="176"/>
      <c r="AX994" s="176"/>
      <c r="AY994" s="176"/>
      <c r="AZ994" s="176"/>
      <c r="BA994" s="176"/>
      <c r="BB994" s="176"/>
      <c r="BC994" s="176"/>
      <c r="BD994" s="176"/>
    </row>
    <row r="995" ht="15.75" customHeight="1">
      <c r="A995" s="176"/>
      <c r="B995" s="176"/>
      <c r="C995" s="176"/>
      <c r="D995" s="176"/>
      <c r="E995" s="176"/>
      <c r="F995" s="176"/>
      <c r="G995" s="178"/>
      <c r="H995" s="176"/>
      <c r="I995" s="176"/>
      <c r="J995" s="176"/>
      <c r="K995" s="176"/>
      <c r="L995" s="176"/>
      <c r="M995" s="176"/>
      <c r="N995" s="176"/>
      <c r="O995" s="176"/>
      <c r="P995" s="176"/>
      <c r="Q995" s="176"/>
      <c r="R995" s="176"/>
      <c r="S995" s="176"/>
      <c r="T995" s="176"/>
      <c r="U995" s="176"/>
      <c r="V995" s="176"/>
      <c r="W995" s="176"/>
      <c r="X995" s="176"/>
      <c r="Y995" s="176"/>
      <c r="Z995" s="176"/>
      <c r="AA995" s="176"/>
      <c r="AB995" s="176"/>
      <c r="AC995" s="176"/>
      <c r="AD995" s="176"/>
      <c r="AE995" s="176"/>
      <c r="AF995" s="176"/>
      <c r="AG995" s="176"/>
      <c r="AH995" s="176"/>
      <c r="AI995" s="176"/>
      <c r="AJ995" s="176"/>
      <c r="AK995" s="176"/>
      <c r="AL995" s="176"/>
      <c r="AM995" s="176"/>
      <c r="AN995" s="176"/>
      <c r="AO995" s="176"/>
      <c r="AP995" s="176"/>
      <c r="AQ995" s="176"/>
      <c r="AR995" s="176"/>
      <c r="AS995" s="176"/>
      <c r="AT995" s="176"/>
      <c r="AU995" s="176"/>
      <c r="AV995" s="176"/>
      <c r="AW995" s="176"/>
      <c r="AX995" s="176"/>
      <c r="AY995" s="176"/>
      <c r="AZ995" s="176"/>
      <c r="BA995" s="176"/>
      <c r="BB995" s="176"/>
      <c r="BC995" s="176"/>
      <c r="BD995" s="176"/>
    </row>
    <row r="996" ht="15.75" customHeight="1">
      <c r="A996" s="176"/>
      <c r="B996" s="176"/>
      <c r="C996" s="176"/>
      <c r="D996" s="176"/>
      <c r="E996" s="176"/>
      <c r="F996" s="176"/>
      <c r="G996" s="178"/>
      <c r="H996" s="176"/>
      <c r="I996" s="176"/>
      <c r="J996" s="176"/>
      <c r="K996" s="176"/>
      <c r="L996" s="176"/>
      <c r="M996" s="176"/>
      <c r="N996" s="176"/>
      <c r="O996" s="176"/>
      <c r="P996" s="176"/>
      <c r="Q996" s="176"/>
      <c r="R996" s="176"/>
      <c r="S996" s="176"/>
      <c r="T996" s="176"/>
      <c r="U996" s="176"/>
      <c r="V996" s="176"/>
      <c r="W996" s="176"/>
      <c r="X996" s="176"/>
      <c r="Y996" s="176"/>
      <c r="Z996" s="176"/>
      <c r="AA996" s="176"/>
      <c r="AB996" s="176"/>
      <c r="AC996" s="176"/>
      <c r="AD996" s="176"/>
      <c r="AE996" s="176"/>
      <c r="AF996" s="176"/>
      <c r="AG996" s="176"/>
      <c r="AH996" s="176"/>
      <c r="AI996" s="176"/>
      <c r="AJ996" s="176"/>
      <c r="AK996" s="176"/>
      <c r="AL996" s="176"/>
      <c r="AM996" s="176"/>
      <c r="AN996" s="176"/>
      <c r="AO996" s="176"/>
      <c r="AP996" s="176"/>
      <c r="AQ996" s="176"/>
      <c r="AR996" s="176"/>
      <c r="AS996" s="176"/>
      <c r="AT996" s="176"/>
      <c r="AU996" s="176"/>
      <c r="AV996" s="176"/>
      <c r="AW996" s="176"/>
      <c r="AX996" s="176"/>
      <c r="AY996" s="176"/>
      <c r="AZ996" s="176"/>
      <c r="BA996" s="176"/>
      <c r="BB996" s="176"/>
      <c r="BC996" s="176"/>
      <c r="BD996" s="176"/>
    </row>
    <row r="997" ht="15.75" customHeight="1">
      <c r="A997" s="176"/>
      <c r="B997" s="176"/>
      <c r="C997" s="176"/>
      <c r="D997" s="176"/>
      <c r="E997" s="176"/>
      <c r="F997" s="176"/>
      <c r="G997" s="178"/>
      <c r="H997" s="176"/>
      <c r="I997" s="176"/>
      <c r="J997" s="176"/>
      <c r="K997" s="176"/>
      <c r="L997" s="176"/>
      <c r="M997" s="176"/>
      <c r="N997" s="176"/>
      <c r="O997" s="176"/>
      <c r="P997" s="176"/>
      <c r="Q997" s="176"/>
      <c r="R997" s="176"/>
      <c r="S997" s="176"/>
      <c r="T997" s="176"/>
      <c r="U997" s="176"/>
      <c r="V997" s="176"/>
      <c r="W997" s="176"/>
      <c r="X997" s="176"/>
      <c r="Y997" s="176"/>
      <c r="Z997" s="176"/>
      <c r="AA997" s="176"/>
      <c r="AB997" s="176"/>
      <c r="AC997" s="176"/>
      <c r="AD997" s="176"/>
      <c r="AE997" s="176"/>
      <c r="AF997" s="176"/>
      <c r="AG997" s="176"/>
      <c r="AH997" s="176"/>
      <c r="AI997" s="176"/>
      <c r="AJ997" s="176"/>
      <c r="AK997" s="176"/>
      <c r="AL997" s="176"/>
      <c r="AM997" s="176"/>
      <c r="AN997" s="176"/>
      <c r="AO997" s="176"/>
      <c r="AP997" s="176"/>
      <c r="AQ997" s="176"/>
      <c r="AR997" s="176"/>
      <c r="AS997" s="176"/>
      <c r="AT997" s="176"/>
      <c r="AU997" s="176"/>
      <c r="AV997" s="176"/>
      <c r="AW997" s="176"/>
      <c r="AX997" s="176"/>
      <c r="AY997" s="176"/>
      <c r="AZ997" s="176"/>
      <c r="BA997" s="176"/>
      <c r="BB997" s="176"/>
      <c r="BC997" s="176"/>
      <c r="BD997" s="176"/>
    </row>
    <row r="998" ht="15.75" customHeight="1">
      <c r="A998" s="176"/>
      <c r="B998" s="176"/>
      <c r="C998" s="176"/>
      <c r="D998" s="176"/>
      <c r="E998" s="176"/>
      <c r="F998" s="176"/>
      <c r="G998" s="178"/>
      <c r="H998" s="176"/>
      <c r="I998" s="176"/>
      <c r="J998" s="176"/>
      <c r="K998" s="176"/>
      <c r="L998" s="176"/>
      <c r="M998" s="176"/>
      <c r="N998" s="176"/>
      <c r="O998" s="176"/>
      <c r="P998" s="176"/>
      <c r="Q998" s="176"/>
      <c r="R998" s="176"/>
      <c r="S998" s="176"/>
      <c r="T998" s="176"/>
      <c r="U998" s="176"/>
      <c r="V998" s="176"/>
      <c r="W998" s="176"/>
      <c r="X998" s="176"/>
      <c r="Y998" s="176"/>
      <c r="Z998" s="176"/>
      <c r="AA998" s="176"/>
      <c r="AB998" s="176"/>
      <c r="AC998" s="176"/>
      <c r="AD998" s="176"/>
      <c r="AE998" s="176"/>
      <c r="AF998" s="176"/>
      <c r="AG998" s="176"/>
      <c r="AH998" s="176"/>
      <c r="AI998" s="176"/>
      <c r="AJ998" s="176"/>
      <c r="AK998" s="176"/>
      <c r="AL998" s="176"/>
      <c r="AM998" s="176"/>
      <c r="AN998" s="176"/>
      <c r="AO998" s="176"/>
      <c r="AP998" s="176"/>
      <c r="AQ998" s="176"/>
      <c r="AR998" s="176"/>
      <c r="AS998" s="176"/>
      <c r="AT998" s="176"/>
      <c r="AU998" s="176"/>
      <c r="AV998" s="176"/>
      <c r="AW998" s="176"/>
      <c r="AX998" s="176"/>
      <c r="AY998" s="176"/>
      <c r="AZ998" s="176"/>
      <c r="BA998" s="176"/>
      <c r="BB998" s="176"/>
      <c r="BC998" s="176"/>
      <c r="BD998" s="176"/>
    </row>
    <row r="999" ht="15.75" customHeight="1">
      <c r="A999" s="176"/>
      <c r="B999" s="176"/>
      <c r="C999" s="176"/>
      <c r="D999" s="176"/>
      <c r="E999" s="176"/>
      <c r="F999" s="176"/>
      <c r="G999" s="178"/>
      <c r="H999" s="176"/>
      <c r="I999" s="176"/>
      <c r="J999" s="176"/>
      <c r="K999" s="176"/>
      <c r="L999" s="176"/>
      <c r="M999" s="176"/>
      <c r="N999" s="176"/>
      <c r="O999" s="176"/>
      <c r="P999" s="176"/>
      <c r="Q999" s="176"/>
      <c r="R999" s="176"/>
      <c r="S999" s="176"/>
      <c r="T999" s="176"/>
      <c r="U999" s="176"/>
      <c r="V999" s="176"/>
      <c r="W999" s="176"/>
      <c r="X999" s="176"/>
      <c r="Y999" s="176"/>
      <c r="Z999" s="176"/>
      <c r="AA999" s="176"/>
      <c r="AB999" s="176"/>
      <c r="AC999" s="176"/>
      <c r="AD999" s="176"/>
      <c r="AE999" s="176"/>
      <c r="AF999" s="176"/>
      <c r="AG999" s="176"/>
      <c r="AH999" s="176"/>
      <c r="AI999" s="176"/>
      <c r="AJ999" s="176"/>
      <c r="AK999" s="176"/>
      <c r="AL999" s="176"/>
      <c r="AM999" s="176"/>
      <c r="AN999" s="176"/>
      <c r="AO999" s="176"/>
      <c r="AP999" s="176"/>
      <c r="AQ999" s="176"/>
      <c r="AR999" s="176"/>
      <c r="AS999" s="176"/>
      <c r="AT999" s="176"/>
      <c r="AU999" s="176"/>
      <c r="AV999" s="176"/>
      <c r="AW999" s="176"/>
      <c r="AX999" s="176"/>
      <c r="AY999" s="176"/>
      <c r="AZ999" s="176"/>
      <c r="BA999" s="176"/>
      <c r="BB999" s="176"/>
      <c r="BC999" s="176"/>
      <c r="BD999" s="176"/>
    </row>
    <row r="1000" ht="15.75" customHeight="1">
      <c r="A1000" s="176"/>
      <c r="B1000" s="176"/>
      <c r="C1000" s="176"/>
      <c r="D1000" s="176"/>
      <c r="E1000" s="176"/>
      <c r="F1000" s="176"/>
      <c r="G1000" s="178"/>
      <c r="H1000" s="176"/>
      <c r="I1000" s="176"/>
      <c r="J1000" s="176"/>
      <c r="K1000" s="176"/>
      <c r="L1000" s="176"/>
      <c r="M1000" s="176"/>
      <c r="N1000" s="176"/>
      <c r="O1000" s="176"/>
      <c r="P1000" s="176"/>
      <c r="Q1000" s="176"/>
      <c r="R1000" s="176"/>
      <c r="S1000" s="176"/>
      <c r="T1000" s="176"/>
      <c r="U1000" s="176"/>
      <c r="V1000" s="176"/>
      <c r="W1000" s="176"/>
      <c r="X1000" s="176"/>
      <c r="Y1000" s="176"/>
      <c r="Z1000" s="176"/>
      <c r="AA1000" s="176"/>
      <c r="AB1000" s="176"/>
      <c r="AC1000" s="176"/>
      <c r="AD1000" s="176"/>
      <c r="AE1000" s="176"/>
      <c r="AF1000" s="176"/>
      <c r="AG1000" s="176"/>
      <c r="AH1000" s="176"/>
      <c r="AI1000" s="176"/>
      <c r="AJ1000" s="176"/>
      <c r="AK1000" s="176"/>
      <c r="AL1000" s="176"/>
      <c r="AM1000" s="176"/>
      <c r="AN1000" s="176"/>
      <c r="AO1000" s="176"/>
      <c r="AP1000" s="176"/>
      <c r="AQ1000" s="176"/>
      <c r="AR1000" s="176"/>
      <c r="AS1000" s="176"/>
      <c r="AT1000" s="176"/>
      <c r="AU1000" s="176"/>
      <c r="AV1000" s="176"/>
      <c r="AW1000" s="176"/>
      <c r="AX1000" s="176"/>
      <c r="AY1000" s="176"/>
      <c r="AZ1000" s="176"/>
      <c r="BA1000" s="176"/>
      <c r="BB1000" s="176"/>
      <c r="BC1000" s="176"/>
      <c r="BD1000" s="176"/>
    </row>
    <row r="1001" ht="15.75" customHeight="1">
      <c r="A1001" s="176"/>
      <c r="B1001" s="176"/>
      <c r="C1001" s="176"/>
      <c r="D1001" s="176"/>
      <c r="E1001" s="176"/>
      <c r="F1001" s="176"/>
      <c r="G1001" s="178"/>
      <c r="H1001" s="176"/>
      <c r="I1001" s="176"/>
      <c r="J1001" s="176"/>
      <c r="K1001" s="176"/>
      <c r="L1001" s="176"/>
      <c r="M1001" s="176"/>
      <c r="N1001" s="176"/>
      <c r="O1001" s="176"/>
      <c r="P1001" s="176"/>
      <c r="Q1001" s="176"/>
      <c r="R1001" s="176"/>
      <c r="S1001" s="176"/>
      <c r="T1001" s="176"/>
      <c r="U1001" s="176"/>
      <c r="V1001" s="176"/>
      <c r="W1001" s="176"/>
      <c r="X1001" s="176"/>
      <c r="Y1001" s="176"/>
      <c r="Z1001" s="176"/>
      <c r="AA1001" s="176"/>
      <c r="AB1001" s="176"/>
      <c r="AC1001" s="176"/>
      <c r="AD1001" s="176"/>
      <c r="AE1001" s="176"/>
      <c r="AF1001" s="176"/>
      <c r="AG1001" s="176"/>
      <c r="AH1001" s="176"/>
      <c r="AI1001" s="176"/>
      <c r="AJ1001" s="176"/>
      <c r="AK1001" s="176"/>
      <c r="AL1001" s="176"/>
      <c r="AM1001" s="176"/>
      <c r="AN1001" s="176"/>
      <c r="AO1001" s="176"/>
      <c r="AP1001" s="176"/>
      <c r="AQ1001" s="176"/>
      <c r="AR1001" s="176"/>
      <c r="AS1001" s="176"/>
      <c r="AT1001" s="176"/>
      <c r="AU1001" s="176"/>
      <c r="AV1001" s="176"/>
      <c r="AW1001" s="176"/>
      <c r="AX1001" s="176"/>
      <c r="AY1001" s="176"/>
      <c r="AZ1001" s="176"/>
      <c r="BA1001" s="176"/>
      <c r="BB1001" s="176"/>
      <c r="BC1001" s="176"/>
      <c r="BD1001" s="176"/>
    </row>
  </sheetData>
  <mergeCells count="16">
    <mergeCell ref="B3:B4"/>
    <mergeCell ref="C3:F3"/>
    <mergeCell ref="G3:J3"/>
    <mergeCell ref="K3:N3"/>
    <mergeCell ref="O3:R3"/>
    <mergeCell ref="S3:V3"/>
    <mergeCell ref="W3:Z3"/>
    <mergeCell ref="AY3:AZ3"/>
    <mergeCell ref="BA3:BD3"/>
    <mergeCell ref="AA3:AD3"/>
    <mergeCell ref="AE3:AH3"/>
    <mergeCell ref="AI3:AL3"/>
    <mergeCell ref="AM3:AP3"/>
    <mergeCell ref="AQ3:AT3"/>
    <mergeCell ref="AU3:AV3"/>
    <mergeCell ref="AW3:AX3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2.38"/>
    <col customWidth="1" min="3" max="6" width="12.63"/>
    <col customWidth="1" min="8" max="8" width="13.75"/>
  </cols>
  <sheetData>
    <row r="1" ht="15.75" customHeight="1">
      <c r="A1" s="184" t="s">
        <v>53</v>
      </c>
    </row>
    <row r="2" ht="15.75" customHeight="1">
      <c r="C2" s="185"/>
      <c r="D2" s="185"/>
      <c r="E2" s="185"/>
      <c r="F2" s="185"/>
    </row>
    <row r="3" ht="15.75" customHeight="1">
      <c r="B3" s="186"/>
      <c r="C3" s="187">
        <v>45748.0</v>
      </c>
      <c r="D3" s="187">
        <v>45778.0</v>
      </c>
      <c r="E3" s="187">
        <v>45809.0</v>
      </c>
      <c r="F3" s="187">
        <v>45839.0</v>
      </c>
      <c r="G3" s="187">
        <v>45870.0</v>
      </c>
      <c r="H3" s="187">
        <v>45901.0</v>
      </c>
    </row>
    <row r="4" ht="15.75" customHeight="1">
      <c r="B4" s="188" t="s">
        <v>22</v>
      </c>
      <c r="C4" s="189">
        <f>'Summary Sheet - April 2025'!W5</f>
        <v>1415529</v>
      </c>
      <c r="D4" s="189">
        <f>'Summary Sheet - May 2025'!W5</f>
        <v>1423175</v>
      </c>
      <c r="E4" s="189">
        <f>'Summary Sheet - June 2025'!W5</f>
        <v>1316398</v>
      </c>
      <c r="F4" s="189">
        <f>'Summary Sheet - July 2025'!W5</f>
        <v>1574002</v>
      </c>
      <c r="G4" s="189">
        <f>'Summary Sheet - Aug 2025'!W5</f>
        <v>1655560</v>
      </c>
      <c r="H4" s="189">
        <f>'Mg St Colaba'!AH28</f>
        <v>1234191</v>
      </c>
    </row>
    <row r="5" ht="15.75" customHeight="1">
      <c r="B5" s="188" t="s">
        <v>23</v>
      </c>
      <c r="C5" s="189">
        <f>'Summary Sheet - April 2025'!W6</f>
        <v>877230</v>
      </c>
      <c r="D5" s="189">
        <f>'Summary Sheet - May 2025'!W6</f>
        <v>785012</v>
      </c>
      <c r="E5" s="189">
        <f>'Summary Sheet - June 2025'!W6</f>
        <v>700355</v>
      </c>
      <c r="F5" s="189">
        <f>'Summary Sheet - July 2025'!W6</f>
        <v>711833</v>
      </c>
      <c r="G5" s="189">
        <f>'Summary Sheet - Aug 2025'!W6</f>
        <v>658509</v>
      </c>
      <c r="H5" s="189">
        <f>'Mg St Colaba'!AH29</f>
        <v>570166</v>
      </c>
    </row>
    <row r="6" ht="15.75" customHeight="1">
      <c r="B6" s="188" t="s">
        <v>24</v>
      </c>
      <c r="C6" s="189">
        <f>'Summary Sheet - April 2025'!W7</f>
        <v>9290133.04</v>
      </c>
      <c r="D6" s="189">
        <f>'Summary Sheet - May 2025'!W7</f>
        <v>9668438.65</v>
      </c>
      <c r="E6" s="189">
        <f>'Summary Sheet - June 2025'!W7</f>
        <v>8468655</v>
      </c>
      <c r="F6" s="189">
        <f>'Summary Sheet - July 2025'!W7</f>
        <v>10794421</v>
      </c>
      <c r="G6" s="189">
        <f>'Summary Sheet - Aug 2025'!W7</f>
        <v>10895557</v>
      </c>
      <c r="H6" s="189">
        <f>'Mg St Colaba'!AH30</f>
        <v>9376534.82</v>
      </c>
    </row>
    <row r="7" ht="15.75" customHeight="1">
      <c r="B7" s="188" t="s">
        <v>25</v>
      </c>
      <c r="C7" s="189">
        <f>'Summary Sheet - April 2025'!W8</f>
        <v>825468.46</v>
      </c>
      <c r="D7" s="189">
        <f>'Summary Sheet - May 2025'!W8</f>
        <v>855956</v>
      </c>
      <c r="E7" s="189">
        <f>'Summary Sheet - June 2025'!W8</f>
        <v>797116</v>
      </c>
      <c r="F7" s="189">
        <f>'Summary Sheet - July 2025'!W8</f>
        <v>925075</v>
      </c>
      <c r="G7" s="189">
        <f>'Summary Sheet - Aug 2025'!W8</f>
        <v>931222</v>
      </c>
      <c r="H7" s="189">
        <f>'Mg St Colaba'!AH32</f>
        <v>731800</v>
      </c>
    </row>
    <row r="8" ht="15.75" customHeight="1">
      <c r="B8" s="188" t="s">
        <v>27</v>
      </c>
      <c r="C8" s="190">
        <f t="shared" ref="C8:H8" si="1">SUM(C4:C7)</f>
        <v>12408360.5</v>
      </c>
      <c r="D8" s="190">
        <f t="shared" si="1"/>
        <v>12732581.65</v>
      </c>
      <c r="E8" s="190">
        <f t="shared" si="1"/>
        <v>11282524</v>
      </c>
      <c r="F8" s="190">
        <f t="shared" si="1"/>
        <v>14005331</v>
      </c>
      <c r="G8" s="190">
        <f t="shared" si="1"/>
        <v>14140848</v>
      </c>
      <c r="H8" s="190">
        <f t="shared" si="1"/>
        <v>11912691.82</v>
      </c>
    </row>
    <row r="9" ht="15.75" customHeight="1">
      <c r="B9" s="188"/>
      <c r="C9" s="186" t="str">
        <f>'Summary Sheet - April 2025'!O11</f>
        <v/>
      </c>
      <c r="D9" s="186" t="str">
        <f>'Summary Sheet - May 2025'!O11</f>
        <v/>
      </c>
      <c r="E9" s="186" t="str">
        <f>'Summary Sheet - June 2025'!O11</f>
        <v/>
      </c>
      <c r="F9" s="186" t="str">
        <f>'Summary Sheet - July 2025'!O11</f>
        <v/>
      </c>
      <c r="G9" s="186"/>
      <c r="H9" s="186"/>
    </row>
    <row r="10" ht="15.75" customHeight="1">
      <c r="B10" s="188" t="s">
        <v>29</v>
      </c>
      <c r="C10" s="189">
        <f>'Summary Sheet - April 2025'!W12</f>
        <v>3959858.621</v>
      </c>
      <c r="D10" s="189">
        <f>'Summary Sheet - May 2025'!W12</f>
        <v>4115657.573</v>
      </c>
      <c r="E10" s="189">
        <f>'Summary Sheet - June 2025'!W12</f>
        <v>3674397.123</v>
      </c>
      <c r="F10" s="189">
        <f>'Summary Sheet - July 2025'!W12</f>
        <v>3782587.155</v>
      </c>
      <c r="G10" s="189">
        <f>'Summary Sheet - Aug 2025'!W12</f>
        <v>4024646.837</v>
      </c>
      <c r="H10" s="189">
        <f>'Mg St Colaba'!AH51</f>
        <v>3810337.532</v>
      </c>
    </row>
    <row r="11" ht="15.75" customHeight="1">
      <c r="B11" s="188" t="s">
        <v>30</v>
      </c>
      <c r="C11" s="189">
        <f>'Summary Sheet - April 2025'!W13</f>
        <v>143836.61</v>
      </c>
      <c r="D11" s="189">
        <f>'Summary Sheet - May 2025'!W13</f>
        <v>156381</v>
      </c>
      <c r="E11" s="189">
        <f>'Summary Sheet - June 2025'!W13</f>
        <v>105247</v>
      </c>
      <c r="F11" s="189">
        <f>'Summary Sheet - July 2025'!W13</f>
        <v>197219</v>
      </c>
      <c r="G11" s="189">
        <f>'Summary Sheet - Aug 2025'!W13</f>
        <v>158935</v>
      </c>
      <c r="H11" s="189">
        <f>'Mg St Colaba'!AH52</f>
        <v>152113.1</v>
      </c>
    </row>
    <row r="12" ht="15.75" customHeight="1">
      <c r="B12" s="188" t="s">
        <v>31</v>
      </c>
      <c r="C12" s="190">
        <f t="shared" ref="C12:H12" si="2">C10+C11</f>
        <v>4103695.231</v>
      </c>
      <c r="D12" s="190">
        <f t="shared" si="2"/>
        <v>4272038.573</v>
      </c>
      <c r="E12" s="190">
        <f t="shared" si="2"/>
        <v>3779644.123</v>
      </c>
      <c r="F12" s="190">
        <f t="shared" si="2"/>
        <v>3979806.155</v>
      </c>
      <c r="G12" s="190">
        <f t="shared" si="2"/>
        <v>4183581.837</v>
      </c>
      <c r="H12" s="190">
        <f t="shared" si="2"/>
        <v>3962450.632</v>
      </c>
    </row>
    <row r="13" ht="15.75" customHeight="1">
      <c r="B13" s="188" t="s">
        <v>32</v>
      </c>
      <c r="C13" s="189" t="str">
        <f>'Mg St Colaba'!D62</f>
        <v/>
      </c>
      <c r="D13" s="189" t="str">
        <f>'Mg St Colaba'!J62</f>
        <v/>
      </c>
      <c r="E13" s="189" t="str">
        <f>'Mg St Colaba'!P62</f>
        <v/>
      </c>
      <c r="F13" s="189" t="str">
        <f>'Mg St Colaba'!V62</f>
        <v/>
      </c>
      <c r="G13" s="189" t="str">
        <f>'Mg St Colaba'!AB62</f>
        <v/>
      </c>
      <c r="H13" s="189" t="str">
        <f>'Mg St Colaba'!AH62</f>
        <v/>
      </c>
    </row>
    <row r="14" ht="15.75" customHeight="1">
      <c r="B14" s="188"/>
      <c r="C14" s="186"/>
      <c r="D14" s="186"/>
      <c r="E14" s="186" t="str">
        <f>'Summary Sheet - June 2025'!O15</f>
        <v/>
      </c>
      <c r="F14" s="186" t="str">
        <f>'Summary Sheet - July 2025'!O15</f>
        <v/>
      </c>
      <c r="G14" s="186"/>
      <c r="H14" s="186"/>
    </row>
    <row r="15" ht="15.75" customHeight="1">
      <c r="B15" s="188" t="s">
        <v>33</v>
      </c>
      <c r="C15" s="190">
        <f t="shared" ref="C15:H15" si="3">C8-C12-C13</f>
        <v>8304665.269</v>
      </c>
      <c r="D15" s="190">
        <f t="shared" si="3"/>
        <v>8460543.077</v>
      </c>
      <c r="E15" s="190">
        <f t="shared" si="3"/>
        <v>7502879.877</v>
      </c>
      <c r="F15" s="190">
        <f t="shared" si="3"/>
        <v>10025524.85</v>
      </c>
      <c r="G15" s="190">
        <f t="shared" si="3"/>
        <v>9957266.163</v>
      </c>
      <c r="H15" s="190">
        <f t="shared" si="3"/>
        <v>7950241.188</v>
      </c>
    </row>
    <row r="16" ht="15.75" customHeight="1">
      <c r="B16" s="188" t="s">
        <v>54</v>
      </c>
      <c r="C16" s="191">
        <f t="shared" ref="C16:H16" si="4">C15/C8</f>
        <v>0.669279819</v>
      </c>
      <c r="D16" s="191">
        <f t="shared" si="4"/>
        <v>0.6644797818</v>
      </c>
      <c r="E16" s="191">
        <f t="shared" si="4"/>
        <v>0.6650001256</v>
      </c>
      <c r="F16" s="191">
        <f t="shared" si="4"/>
        <v>0.7158363373</v>
      </c>
      <c r="G16" s="191">
        <f t="shared" si="4"/>
        <v>0.7041491545</v>
      </c>
      <c r="H16" s="191">
        <f t="shared" si="4"/>
        <v>0.6673757122</v>
      </c>
    </row>
    <row r="17" ht="15.75" customHeight="1">
      <c r="B17" s="188"/>
      <c r="C17" s="186" t="str">
        <f>#REF!</f>
        <v>#REF!</v>
      </c>
      <c r="D17" s="186" t="str">
        <f>#REF!</f>
        <v>#REF!</v>
      </c>
      <c r="E17" s="186" t="str">
        <f>'Summary Sheet - June 2025'!O17</f>
        <v/>
      </c>
      <c r="F17" s="186" t="str">
        <f>'Summary Sheet - July 2025'!O17</f>
        <v/>
      </c>
      <c r="G17" s="186"/>
      <c r="H17" s="186"/>
    </row>
    <row r="18" ht="15.75" customHeight="1">
      <c r="B18" s="188" t="s">
        <v>34</v>
      </c>
      <c r="C18" s="189">
        <f>'Summary Sheet - April 2025'!W18</f>
        <v>407874.78</v>
      </c>
      <c r="D18" s="189">
        <f>'Summary Sheet - May 2025'!W18</f>
        <v>400848</v>
      </c>
      <c r="E18" s="189">
        <f>'Summary Sheet - June 2025'!W18</f>
        <v>283068</v>
      </c>
      <c r="F18" s="189">
        <f>'Summary Sheet - July 2025'!W18</f>
        <v>342569</v>
      </c>
      <c r="G18" s="189">
        <f>'Summary Sheet - Aug 2025'!W18</f>
        <v>223244</v>
      </c>
      <c r="H18" s="189">
        <f>'Mg St Colaba'!AH77</f>
        <v>257979.46</v>
      </c>
    </row>
    <row r="19" ht="15.75" customHeight="1">
      <c r="B19" s="188" t="s">
        <v>35</v>
      </c>
      <c r="C19" s="189">
        <f>'Summary Sheet - April 2025'!W19</f>
        <v>90913.06667</v>
      </c>
      <c r="D19" s="189">
        <f>'Summary Sheet - May 2025'!W19</f>
        <v>102938.2667</v>
      </c>
      <c r="E19" s="189">
        <f>'Summary Sheet - June 2025'!W19</f>
        <v>100112.4667</v>
      </c>
      <c r="F19" s="189">
        <f>'Summary Sheet - July 2025'!W19</f>
        <v>113134.6667</v>
      </c>
      <c r="G19" s="189">
        <f>'Summary Sheet - Aug 2025'!W19</f>
        <v>122697.5238</v>
      </c>
      <c r="H19" s="189">
        <f>'Mg St Colaba'!AH89</f>
        <v>231711.9524</v>
      </c>
    </row>
    <row r="20" ht="15.75" customHeight="1">
      <c r="B20" s="188" t="s">
        <v>36</v>
      </c>
      <c r="C20" s="189">
        <f>'Summary Sheet - April 2025'!W20</f>
        <v>427455.4444</v>
      </c>
      <c r="D20" s="189">
        <f>'Summary Sheet - May 2025'!W20</f>
        <v>492870.4994</v>
      </c>
      <c r="E20" s="189">
        <f>'Summary Sheet - June 2025'!W20</f>
        <v>250918.8106</v>
      </c>
      <c r="F20" s="189">
        <f>'Summary Sheet - July 2025'!W20</f>
        <v>440158.64</v>
      </c>
      <c r="G20" s="189">
        <f>'Summary Sheet - Aug 2025'!W20</f>
        <v>485444.61</v>
      </c>
      <c r="H20" s="189">
        <f>'Mg St Colaba'!AH100</f>
        <v>464690.76</v>
      </c>
    </row>
    <row r="21" ht="15.75" customHeight="1">
      <c r="B21" s="188" t="s">
        <v>37</v>
      </c>
      <c r="C21" s="189">
        <f>'Summary Sheet - April 2025'!W21</f>
        <v>1485950.333</v>
      </c>
      <c r="D21" s="189">
        <f>'Summary Sheet - May 2025'!W21</f>
        <v>1489972.333</v>
      </c>
      <c r="E21" s="189">
        <f>'Summary Sheet - June 2025'!W21</f>
        <v>1508842.333</v>
      </c>
      <c r="F21" s="189">
        <f>'Summary Sheet - July 2025'!W21</f>
        <v>1460849</v>
      </c>
      <c r="G21" s="189">
        <f>'Summary Sheet - Aug 2025'!W21</f>
        <v>1494511</v>
      </c>
      <c r="H21" s="189">
        <f>'Mg St Colaba'!AH107</f>
        <v>1511616</v>
      </c>
    </row>
    <row r="22" ht="15.75" customHeight="1">
      <c r="B22" s="188" t="s">
        <v>38</v>
      </c>
      <c r="C22" s="189">
        <f>'Summary Sheet - April 2025'!W22</f>
        <v>3211057.707</v>
      </c>
      <c r="D22" s="189">
        <f>'Summary Sheet - May 2025'!W22</f>
        <v>3191797.347</v>
      </c>
      <c r="E22" s="189">
        <f>'Summary Sheet - June 2025'!W22</f>
        <v>3178772.027</v>
      </c>
      <c r="F22" s="189">
        <f>'Summary Sheet - July 2025'!W22</f>
        <v>3138083.897</v>
      </c>
      <c r="G22" s="189">
        <f>'Summary Sheet - Aug 2025'!W22</f>
        <v>3284714.657</v>
      </c>
      <c r="H22" s="189">
        <f>'Mg St Colaba'!AH113</f>
        <v>3144920.946</v>
      </c>
    </row>
    <row r="23" ht="15.75" customHeight="1">
      <c r="B23" s="188" t="s">
        <v>39</v>
      </c>
      <c r="C23" s="189">
        <f>'Summary Sheet - April 2025'!W23</f>
        <v>101675.6</v>
      </c>
      <c r="D23" s="189">
        <f>'Summary Sheet - May 2025'!W23</f>
        <v>102730.27</v>
      </c>
      <c r="E23" s="189">
        <f>'Summary Sheet - June 2025'!W23</f>
        <v>91016.3</v>
      </c>
      <c r="F23" s="189">
        <f>'Summary Sheet - July 2025'!W23</f>
        <v>103606.09</v>
      </c>
      <c r="G23" s="189">
        <f>'Mg St Colaba'!AB124</f>
        <v>112317.25</v>
      </c>
      <c r="H23" s="189">
        <f>'Mg St Colaba'!AH124</f>
        <v>89671.22</v>
      </c>
    </row>
    <row r="24" ht="15.75" customHeight="1">
      <c r="B24" s="188" t="s">
        <v>40</v>
      </c>
      <c r="C24" s="189">
        <f>'Summary Sheet - April 2025'!W24</f>
        <v>31958.33333</v>
      </c>
      <c r="D24" s="189">
        <f>'Summary Sheet - May 2025'!W24</f>
        <v>30188.33333</v>
      </c>
      <c r="E24" s="189">
        <f>'Summary Sheet - June 2025'!W24</f>
        <v>30188.33333</v>
      </c>
      <c r="F24" s="189">
        <f>'Summary Sheet - July 2025'!W24</f>
        <v>30188.33333</v>
      </c>
      <c r="G24" s="189">
        <f>'Mg St Colaba'!AB127</f>
        <v>30188.33333</v>
      </c>
      <c r="H24" s="189">
        <f>'Mg St Colaba'!AH127</f>
        <v>30188.33333</v>
      </c>
    </row>
    <row r="25" ht="15.75" customHeight="1">
      <c r="B25" s="188" t="s">
        <v>41</v>
      </c>
      <c r="C25" s="189">
        <f>'Summary Sheet - April 2025'!W25</f>
        <v>331379</v>
      </c>
      <c r="D25" s="189">
        <f>'Summary Sheet - May 2025'!W25</f>
        <v>289173</v>
      </c>
      <c r="E25" s="189">
        <f>'Summary Sheet - June 2025'!W25</f>
        <v>365658</v>
      </c>
      <c r="F25" s="189">
        <f>'Summary Sheet - July 2025'!W25</f>
        <v>338825.6667</v>
      </c>
      <c r="G25" s="189">
        <f>'Mg St Colaba'!AB132</f>
        <v>272200.3333</v>
      </c>
      <c r="H25" s="189">
        <f>'Mg St Colaba'!AH132</f>
        <v>305441.3333</v>
      </c>
    </row>
    <row r="26" ht="15.75" customHeight="1">
      <c r="B26" s="188" t="s">
        <v>42</v>
      </c>
      <c r="C26" s="189">
        <f>'Summary Sheet - April 2025'!W26</f>
        <v>0</v>
      </c>
      <c r="D26" s="189">
        <f>'Summary Sheet - May 2025'!W26</f>
        <v>0</v>
      </c>
      <c r="E26" s="189">
        <f>'Summary Sheet - June 2025'!W26</f>
        <v>0</v>
      </c>
      <c r="F26" s="189">
        <f>'Summary Sheet - July 2025'!W26</f>
        <v>0</v>
      </c>
      <c r="G26" s="189"/>
      <c r="H26" s="189"/>
    </row>
    <row r="27" ht="15.75" customHeight="1">
      <c r="B27" s="188" t="s">
        <v>43</v>
      </c>
      <c r="C27" s="189">
        <f>'Summary Sheet - April 2025'!W27</f>
        <v>0</v>
      </c>
      <c r="D27" s="189">
        <f>'Summary Sheet - May 2025'!W27</f>
        <v>0</v>
      </c>
      <c r="E27" s="189">
        <f>'Summary Sheet - June 2025'!W27</f>
        <v>0</v>
      </c>
      <c r="F27" s="189">
        <f>'Summary Sheet - July 2025'!W27</f>
        <v>0</v>
      </c>
      <c r="G27" s="189"/>
      <c r="H27" s="189"/>
    </row>
    <row r="28" ht="15.75" customHeight="1">
      <c r="B28" s="188" t="s">
        <v>44</v>
      </c>
      <c r="C28" s="190">
        <f t="shared" ref="C28:H28" si="5">SUM(C18:C27)</f>
        <v>6088264.264</v>
      </c>
      <c r="D28" s="190">
        <f t="shared" si="5"/>
        <v>6100518.049</v>
      </c>
      <c r="E28" s="190">
        <f t="shared" si="5"/>
        <v>5808576.271</v>
      </c>
      <c r="F28" s="190">
        <f t="shared" si="5"/>
        <v>5967415.293</v>
      </c>
      <c r="G28" s="190">
        <f t="shared" si="5"/>
        <v>6025317.707</v>
      </c>
      <c r="H28" s="190">
        <f t="shared" si="5"/>
        <v>6036220.005</v>
      </c>
    </row>
    <row r="29" ht="15.75" customHeight="1">
      <c r="B29" s="188"/>
      <c r="C29" s="186"/>
      <c r="D29" s="186"/>
      <c r="E29" s="186" t="str">
        <f>'Summary Sheet - June 2025'!O29</f>
        <v/>
      </c>
      <c r="F29" s="186" t="str">
        <f>'Summary Sheet - July 2025'!O29</f>
        <v/>
      </c>
      <c r="G29" s="186"/>
      <c r="H29" s="186"/>
    </row>
    <row r="30" ht="15.75" customHeight="1">
      <c r="B30" s="188" t="s">
        <v>45</v>
      </c>
      <c r="C30" s="190">
        <f t="shared" ref="C30:H30" si="6">C15-C28</f>
        <v>2216401.005</v>
      </c>
      <c r="D30" s="190">
        <f t="shared" si="6"/>
        <v>2360025.028</v>
      </c>
      <c r="E30" s="190">
        <f t="shared" si="6"/>
        <v>1694303.606</v>
      </c>
      <c r="F30" s="190">
        <f t="shared" si="6"/>
        <v>4058109.552</v>
      </c>
      <c r="G30" s="190">
        <f t="shared" si="6"/>
        <v>3931948.456</v>
      </c>
      <c r="H30" s="190">
        <f t="shared" si="6"/>
        <v>1914021.183</v>
      </c>
    </row>
    <row r="31" ht="15.75" customHeight="1">
      <c r="B31" s="188" t="s">
        <v>55</v>
      </c>
      <c r="C31" s="191">
        <f t="shared" ref="C31:H31" si="7">C30/C8</f>
        <v>0.1786215838</v>
      </c>
      <c r="D31" s="191">
        <f t="shared" si="7"/>
        <v>0.1853532216</v>
      </c>
      <c r="E31" s="191">
        <f t="shared" si="7"/>
        <v>0.1501706184</v>
      </c>
      <c r="F31" s="191">
        <f t="shared" si="7"/>
        <v>0.2897546336</v>
      </c>
      <c r="G31" s="191">
        <f t="shared" si="7"/>
        <v>0.2780560583</v>
      </c>
      <c r="H31" s="191">
        <f t="shared" si="7"/>
        <v>0.1606707545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3" width="11.25"/>
    <col customWidth="1" min="4" max="4" width="5.88"/>
    <col customWidth="1" min="5" max="5" width="11.75"/>
    <col customWidth="1" min="6" max="6" width="8.25"/>
    <col customWidth="1" min="7" max="7" width="11.25"/>
    <col customWidth="1" min="8" max="8" width="5.88"/>
    <col customWidth="1" min="9" max="9" width="11.25"/>
    <col customWidth="1" min="10" max="10" width="5.88"/>
    <col customWidth="1" min="11" max="11" width="14.0"/>
    <col customWidth="1" min="12" max="12" width="5.88"/>
    <col customWidth="1" min="13" max="13" width="11.75"/>
    <col customWidth="1" min="14" max="14" width="7.5"/>
    <col customWidth="1" min="15" max="15" width="9.13"/>
    <col customWidth="1" min="16" max="16" width="5.88"/>
    <col customWidth="1" min="17" max="17" width="10.75"/>
    <col customWidth="1" min="18" max="18" width="7.5"/>
    <col customWidth="1" min="19" max="19" width="8.5"/>
    <col customWidth="1" min="20" max="20" width="7.25"/>
    <col customWidth="1" min="21" max="21" width="9.75"/>
    <col customWidth="1" min="22" max="22" width="8.25"/>
    <col customWidth="1" min="23" max="23" width="11.0"/>
    <col customWidth="1" min="24" max="24" width="5.88"/>
    <col customWidth="1" min="25" max="25" width="10.75"/>
    <col customWidth="1" min="26" max="26" width="8.25"/>
    <col customWidth="1" min="27" max="27" width="9.13"/>
    <col customWidth="1" min="28" max="28" width="7.38"/>
    <col customWidth="1" min="29" max="29" width="10.75"/>
    <col customWidth="1" min="30" max="30" width="8.25"/>
    <col customWidth="1" min="31" max="31" width="13.88"/>
    <col customWidth="1" min="32" max="32" width="7.13"/>
    <col customWidth="1" min="33" max="33" width="10.75"/>
    <col customWidth="1" min="34" max="34" width="8.25"/>
    <col customWidth="1" min="35" max="35" width="9.88"/>
    <col customWidth="1" min="36" max="36" width="6.63"/>
    <col customWidth="1" min="37" max="37" width="9.75"/>
    <col customWidth="1" min="38" max="38" width="5.88"/>
    <col customWidth="1" min="39" max="39" width="9.0"/>
    <col customWidth="1" min="40" max="40" width="8.63"/>
    <col customWidth="1" min="41" max="41" width="9.75"/>
    <col customWidth="1" min="42" max="42" width="5.88"/>
    <col customWidth="1" min="43" max="43" width="13.0"/>
    <col customWidth="1" min="44" max="44" width="5.88"/>
    <col customWidth="1" min="45" max="45" width="9.75"/>
    <col customWidth="1" min="46" max="46" width="5.88"/>
    <col customWidth="1" min="47" max="54" width="12.63"/>
  </cols>
  <sheetData>
    <row r="1" ht="15.75" customHeight="1">
      <c r="A1" s="176"/>
      <c r="B1" s="177" t="s">
        <v>1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</row>
    <row r="2" ht="15.75" customHeight="1">
      <c r="A2" s="176"/>
      <c r="B2" s="192" t="s">
        <v>56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6"/>
      <c r="AP2" s="176"/>
      <c r="AQ2" s="176"/>
      <c r="AR2" s="176"/>
      <c r="AS2" s="176"/>
      <c r="AT2" s="176"/>
      <c r="AU2" s="176"/>
      <c r="AV2" s="176"/>
      <c r="AW2" s="176"/>
      <c r="AX2" s="176"/>
      <c r="AY2" s="176"/>
      <c r="AZ2" s="176"/>
      <c r="BA2" s="176"/>
      <c r="BB2" s="176"/>
    </row>
    <row r="3" ht="15.75" customHeight="1">
      <c r="A3" s="176"/>
      <c r="B3" s="130"/>
      <c r="C3" s="6" t="s">
        <v>48</v>
      </c>
      <c r="D3" s="7"/>
      <c r="E3" s="7"/>
      <c r="F3" s="8"/>
      <c r="G3" s="131" t="s">
        <v>49</v>
      </c>
      <c r="H3" s="7"/>
      <c r="I3" s="7"/>
      <c r="J3" s="132"/>
      <c r="K3" s="133" t="s">
        <v>5</v>
      </c>
      <c r="L3" s="7"/>
      <c r="M3" s="7"/>
      <c r="N3" s="132"/>
      <c r="O3" s="133" t="s">
        <v>6</v>
      </c>
      <c r="P3" s="7"/>
      <c r="Q3" s="7"/>
      <c r="R3" s="132"/>
      <c r="S3" s="133" t="s">
        <v>7</v>
      </c>
      <c r="T3" s="7"/>
      <c r="U3" s="7"/>
      <c r="V3" s="132"/>
      <c r="W3" s="133" t="s">
        <v>8</v>
      </c>
      <c r="X3" s="7"/>
      <c r="Y3" s="7"/>
      <c r="Z3" s="132"/>
      <c r="AA3" s="133" t="s">
        <v>9</v>
      </c>
      <c r="AB3" s="7"/>
      <c r="AC3" s="7"/>
      <c r="AD3" s="132"/>
      <c r="AE3" s="133" t="s">
        <v>10</v>
      </c>
      <c r="AF3" s="7"/>
      <c r="AG3" s="7"/>
      <c r="AH3" s="132"/>
      <c r="AI3" s="133" t="s">
        <v>11</v>
      </c>
      <c r="AJ3" s="7"/>
      <c r="AK3" s="7"/>
      <c r="AL3" s="132"/>
      <c r="AM3" s="133" t="s">
        <v>12</v>
      </c>
      <c r="AN3" s="7"/>
      <c r="AO3" s="7"/>
      <c r="AP3" s="132"/>
      <c r="AQ3" s="133" t="s">
        <v>13</v>
      </c>
      <c r="AR3" s="7"/>
      <c r="AS3" s="7"/>
      <c r="AT3" s="132"/>
      <c r="AU3" s="133" t="s">
        <v>14</v>
      </c>
      <c r="AV3" s="132"/>
      <c r="AW3" s="133" t="s">
        <v>15</v>
      </c>
      <c r="AX3" s="8"/>
      <c r="AY3" s="10" t="s">
        <v>16</v>
      </c>
      <c r="AZ3" s="14"/>
      <c r="BA3" s="10" t="s">
        <v>52</v>
      </c>
      <c r="BB3" s="14"/>
    </row>
    <row r="4" ht="15.75" customHeight="1">
      <c r="A4" s="176"/>
      <c r="B4" s="134"/>
      <c r="C4" s="17" t="s">
        <v>21</v>
      </c>
      <c r="D4" s="18" t="s">
        <v>19</v>
      </c>
      <c r="E4" s="18" t="s">
        <v>20</v>
      </c>
      <c r="F4" s="19" t="s">
        <v>19</v>
      </c>
      <c r="G4" s="20" t="s">
        <v>21</v>
      </c>
      <c r="H4" s="18" t="s">
        <v>19</v>
      </c>
      <c r="I4" s="18" t="s">
        <v>20</v>
      </c>
      <c r="J4" s="18" t="s">
        <v>19</v>
      </c>
      <c r="K4" s="18" t="s">
        <v>21</v>
      </c>
      <c r="L4" s="18" t="s">
        <v>19</v>
      </c>
      <c r="M4" s="18" t="s">
        <v>20</v>
      </c>
      <c r="N4" s="18" t="s">
        <v>19</v>
      </c>
      <c r="O4" s="18" t="s">
        <v>21</v>
      </c>
      <c r="P4" s="18" t="s">
        <v>19</v>
      </c>
      <c r="Q4" s="18" t="s">
        <v>20</v>
      </c>
      <c r="R4" s="18" t="s">
        <v>19</v>
      </c>
      <c r="S4" s="18" t="s">
        <v>21</v>
      </c>
      <c r="T4" s="18" t="s">
        <v>19</v>
      </c>
      <c r="U4" s="18" t="s">
        <v>20</v>
      </c>
      <c r="V4" s="18" t="s">
        <v>19</v>
      </c>
      <c r="W4" s="18" t="s">
        <v>21</v>
      </c>
      <c r="X4" s="18" t="s">
        <v>19</v>
      </c>
      <c r="Y4" s="18" t="s">
        <v>20</v>
      </c>
      <c r="Z4" s="18" t="s">
        <v>19</v>
      </c>
      <c r="AA4" s="18" t="s">
        <v>21</v>
      </c>
      <c r="AB4" s="18" t="s">
        <v>19</v>
      </c>
      <c r="AC4" s="18" t="s">
        <v>20</v>
      </c>
      <c r="AD4" s="18" t="s">
        <v>19</v>
      </c>
      <c r="AE4" s="18" t="s">
        <v>21</v>
      </c>
      <c r="AF4" s="18" t="s">
        <v>19</v>
      </c>
      <c r="AG4" s="18" t="s">
        <v>20</v>
      </c>
      <c r="AH4" s="18" t="s">
        <v>19</v>
      </c>
      <c r="AI4" s="18" t="s">
        <v>21</v>
      </c>
      <c r="AJ4" s="18" t="s">
        <v>19</v>
      </c>
      <c r="AK4" s="18" t="s">
        <v>20</v>
      </c>
      <c r="AL4" s="18" t="s">
        <v>19</v>
      </c>
      <c r="AM4" s="18" t="s">
        <v>21</v>
      </c>
      <c r="AN4" s="18" t="s">
        <v>19</v>
      </c>
      <c r="AO4" s="18" t="s">
        <v>20</v>
      </c>
      <c r="AP4" s="18" t="s">
        <v>19</v>
      </c>
      <c r="AQ4" s="18" t="s">
        <v>21</v>
      </c>
      <c r="AR4" s="18" t="s">
        <v>19</v>
      </c>
      <c r="AS4" s="18" t="s">
        <v>20</v>
      </c>
      <c r="AT4" s="18" t="s">
        <v>19</v>
      </c>
      <c r="AU4" s="18" t="s">
        <v>21</v>
      </c>
      <c r="AV4" s="18" t="s">
        <v>19</v>
      </c>
      <c r="AW4" s="18" t="s">
        <v>21</v>
      </c>
      <c r="AX4" s="18" t="s">
        <v>19</v>
      </c>
      <c r="AY4" s="18" t="s">
        <v>21</v>
      </c>
      <c r="AZ4" s="18" t="s">
        <v>19</v>
      </c>
      <c r="BA4" s="18" t="s">
        <v>21</v>
      </c>
      <c r="BB4" s="18" t="s">
        <v>19</v>
      </c>
    </row>
    <row r="5" ht="15.75" customHeight="1">
      <c r="A5" s="176"/>
      <c r="B5" s="22" t="s">
        <v>22</v>
      </c>
      <c r="C5" s="23">
        <f t="shared" ref="C5:C9" si="1">G5+K5</f>
        <v>18230788</v>
      </c>
      <c r="D5" s="25"/>
      <c r="E5" s="25" t="str">
        <f t="shared" ref="E5:E9" si="2">I5+M5</f>
        <v>#REF!</v>
      </c>
      <c r="F5" s="193" t="str">
        <f t="shared" ref="F5:F10" si="3">E5/E$10</f>
        <v>#REF!</v>
      </c>
      <c r="G5" s="194">
        <f>'Summary Sheet - Oct 2025'!G5+'Summary Sheet - Nov 2025'!G5+'Summary Sheet - Dec 2025'!G5</f>
        <v>0</v>
      </c>
      <c r="H5" s="28"/>
      <c r="I5" s="34">
        <f>'Summary Sheet - Oct 2025'!I5+'Summary Sheet - Nov 2025'!I5+'Summary Sheet - Dec 2025'!I5</f>
        <v>0</v>
      </c>
      <c r="J5" s="28"/>
      <c r="K5" s="40">
        <f t="shared" ref="K5:K9" si="4">O5+S5+W5+AA5+AE5+AI5+AM5+AQ5+AU5+AW5+AY5+BA5</f>
        <v>18230788</v>
      </c>
      <c r="L5" s="137"/>
      <c r="M5" s="25" t="str">
        <f>Q5+U7+Y5+AC5+AG5+AK5+AO5</f>
        <v>#REF!</v>
      </c>
      <c r="N5" s="24" t="str">
        <f t="shared" ref="N5:N10" si="5">M5/M$10</f>
        <v>#REF!</v>
      </c>
      <c r="O5" s="34">
        <f>'Summary Sheet - Oct 2025'!O5+'Summary Sheet - Nov 2025'!O5+'Summary Sheet - Dec 2025'!O5</f>
        <v>3908593</v>
      </c>
      <c r="P5" s="81">
        <f t="shared" ref="P5:P10" si="6">O5/$O$10</f>
        <v>0.05568915979</v>
      </c>
      <c r="Q5" s="34">
        <f>'The Table'!AP26+'The Table'!AV26+'The Table'!BB26</f>
        <v>7082879</v>
      </c>
      <c r="R5" s="81">
        <f t="shared" ref="R5:R8" si="7">Q5/Q$10</f>
        <v>0.1233700136</v>
      </c>
      <c r="S5" s="34">
        <f>'Summary Sheet - Oct 2025'!S5+'Summary Sheet - Nov 2025'!S5+'Summary Sheet - Dec 2025'!S5</f>
        <v>0</v>
      </c>
      <c r="T5" s="28"/>
      <c r="U5" s="34">
        <v>0.0</v>
      </c>
      <c r="V5" s="81" t="str">
        <f t="shared" ref="V5:V8" si="8">U5/U$10</f>
        <v>#REF!</v>
      </c>
      <c r="W5" s="34">
        <f>'Summary Sheet - Oct 2025'!W5+'Summary Sheet - Nov 2025'!W5+'Summary Sheet - Dec 2025'!W5</f>
        <v>4504781.25</v>
      </c>
      <c r="X5" s="81">
        <f t="shared" ref="X5:X8" si="9">W5/$W$10</f>
        <v>0.1039799578</v>
      </c>
      <c r="Y5" s="34">
        <f>'Mg St Colaba'!AP28+'Mg St Colaba'!AV28+'Mg St Colaba'!BB28</f>
        <v>5011600</v>
      </c>
      <c r="Z5" s="28">
        <f t="shared" ref="Z5:Z8" si="10">Y5/Y$10</f>
        <v>0.1058803305</v>
      </c>
      <c r="AA5" s="34">
        <f>'Summary Sheet - Oct 2025'!AA5+'Summary Sheet - Nov 2025'!AA5+'Summary Sheet - Dec 2025'!AA5</f>
        <v>4064996.25</v>
      </c>
      <c r="AB5" s="81">
        <f t="shared" ref="AB5:AB8" si="11">AA5/$AA$10</f>
        <v>0.1458805064</v>
      </c>
      <c r="AC5" s="34">
        <f>'Summary Sheet - Oct 2025'!AC5+'Summary Sheet - Nov 2025'!AC5+'Summary Sheet - Dec 2025'!AC5</f>
        <v>3727692</v>
      </c>
      <c r="AD5" s="81">
        <f t="shared" ref="AD5:AD8" si="12">AC5/AC$10</f>
        <v>0.1242928164</v>
      </c>
      <c r="AE5" s="34">
        <f>'Summary Sheet - Oct 2025'!AE5+'Summary Sheet - Nov 2025'!AE5+'Summary Sheet - Dec 2025'!AE5</f>
        <v>5389617.5</v>
      </c>
      <c r="AF5" s="81">
        <f t="shared" ref="AF5:AF8" si="13">AE5/$AE$10</f>
        <v>0.09959251054</v>
      </c>
      <c r="AG5" s="34">
        <f>'Summary Sheet - Oct 2025'!AG5+'Summary Sheet - Nov 2025'!AG5+'Summary Sheet - Dec 2025'!AG5</f>
        <v>5338377</v>
      </c>
      <c r="AH5" s="81">
        <f t="shared" ref="AH5:AH8" si="14">AG5/AG$10</f>
        <v>0.09864908979</v>
      </c>
      <c r="AI5" s="34">
        <f>'Summary Sheet - Oct 2025'!AI5+'Summary Sheet - Nov 2025'!AI5+'Summary Sheet - Dec 2025'!AI5</f>
        <v>0</v>
      </c>
      <c r="AJ5" s="81">
        <f t="shared" ref="AJ5:AJ8" si="15">AI5/$AI$10</f>
        <v>0</v>
      </c>
      <c r="AK5" s="195" t="str">
        <f>'Summary Sheet - Oct 2025'!AK5+'Summary Sheet - Nov 2025'!AK5+'Summary Sheet - Dec 2025'!AK5</f>
        <v>#REF!</v>
      </c>
      <c r="AL5" s="81" t="str">
        <f t="shared" ref="AL5:AL8" si="16">AK5/$AK$10</f>
        <v>#REF!</v>
      </c>
      <c r="AM5" s="34">
        <f>'Summary Sheet - Oct 2025'!AM5+'Summary Sheet - Nov 2025'!AM5+'Summary Sheet - Dec 2025'!AM5</f>
        <v>0</v>
      </c>
      <c r="AN5" s="81">
        <f t="shared" ref="AN5:AN8" si="17">AM5/$AM$10</f>
        <v>0</v>
      </c>
      <c r="AO5" s="34">
        <f>'Summary Sheet - Oct 2025'!AO5+'Summary Sheet - Nov 2025'!AO5+'Summary Sheet - Dec 2025'!AO5</f>
        <v>0</v>
      </c>
      <c r="AP5" s="81">
        <f t="shared" ref="AP5:AP8" si="18">AO5/$AO$10</f>
        <v>0</v>
      </c>
      <c r="AQ5" s="34">
        <f>'Summary Sheet - Oct 2025'!AQ5+'Summary Sheet - Nov 2025'!AQ5+'Summary Sheet - Dec 2025'!AQ5</f>
        <v>362800</v>
      </c>
      <c r="AR5" s="81">
        <f t="shared" ref="AR5:AR8" si="19">AQ5/$AQ$10</f>
        <v>0.0258000156</v>
      </c>
      <c r="AS5" s="34">
        <f>'Summary Sheet - Oct 2025'!AS5+'Summary Sheet - Nov 2025'!AS5+'Summary Sheet - Dec 2025'!AS5</f>
        <v>3000000</v>
      </c>
      <c r="AT5" s="81">
        <f t="shared" ref="AT5:AT8" si="20">AS5/$AS$10</f>
        <v>0.2</v>
      </c>
      <c r="AU5" s="34"/>
      <c r="AV5" s="34"/>
      <c r="AW5" s="34">
        <f>'Summary Sheet - June 2025'!AY5</f>
        <v>0</v>
      </c>
      <c r="AX5" s="28"/>
      <c r="AY5" s="34" t="str">
        <f>'Summary Sheet - June 2025'!BG5</f>
        <v/>
      </c>
      <c r="AZ5" s="28"/>
      <c r="BA5" s="34" t="str">
        <f>'Summary Sheet - June 2025'!BK5</f>
        <v/>
      </c>
      <c r="BB5" s="28"/>
    </row>
    <row r="6" ht="15.75" customHeight="1">
      <c r="A6" s="176"/>
      <c r="B6" s="38" t="s">
        <v>23</v>
      </c>
      <c r="C6" s="39">
        <f t="shared" si="1"/>
        <v>30641958</v>
      </c>
      <c r="D6" s="40"/>
      <c r="E6" s="40" t="str">
        <f t="shared" si="2"/>
        <v>#REF!</v>
      </c>
      <c r="F6" s="24" t="str">
        <f t="shared" si="3"/>
        <v>#REF!</v>
      </c>
      <c r="G6" s="196">
        <f>'Summary Sheet - July 2025'!G6+'Summary Sheet - Aug 2025'!G6+'Summary Sheet - Sep 2025'!G6</f>
        <v>0</v>
      </c>
      <c r="H6" s="43"/>
      <c r="I6" s="48">
        <f>'Summary Sheet - Oct 2025'!I6+'Summary Sheet - Nov 2025'!I6+'Summary Sheet - Dec 2025'!I6</f>
        <v>0</v>
      </c>
      <c r="J6" s="43"/>
      <c r="K6" s="40">
        <f t="shared" si="4"/>
        <v>30641958</v>
      </c>
      <c r="L6" s="139"/>
      <c r="M6" s="40" t="str">
        <f t="shared" ref="M6:M9" si="21">Q6+U6+Y6+AC6+AG6+AK6+AO6</f>
        <v>#REF!</v>
      </c>
      <c r="N6" s="84" t="str">
        <f t="shared" si="5"/>
        <v>#REF!</v>
      </c>
      <c r="O6" s="34">
        <f>'Summary Sheet - Oct 2025'!O6+'Summary Sheet - Nov 2025'!O6+'Summary Sheet - Dec 2025'!O6</f>
        <v>15844113</v>
      </c>
      <c r="P6" s="81">
        <f t="shared" si="6"/>
        <v>0.2257450035</v>
      </c>
      <c r="Q6" s="48">
        <f>'The Table'!AP27+'The Table'!AV27+'The Table'!BB27</f>
        <v>12418931</v>
      </c>
      <c r="R6" s="140">
        <f t="shared" si="7"/>
        <v>0.2163136891</v>
      </c>
      <c r="S6" s="34">
        <f>'Summary Sheet - Oct 2025'!S6+'Summary Sheet - Nov 2025'!S6+'Summary Sheet - Dec 2025'!S6</f>
        <v>0</v>
      </c>
      <c r="T6" s="43"/>
      <c r="U6" s="48">
        <v>0.0</v>
      </c>
      <c r="V6" s="140" t="str">
        <f t="shared" si="8"/>
        <v>#REF!</v>
      </c>
      <c r="W6" s="34">
        <f>'Summary Sheet - Oct 2025'!W6+'Summary Sheet - Nov 2025'!W6+'Summary Sheet - Dec 2025'!W6</f>
        <v>3052503</v>
      </c>
      <c r="X6" s="81">
        <f t="shared" si="9"/>
        <v>0.07045827877</v>
      </c>
      <c r="Y6" s="48">
        <f>'Mg St Colaba'!AP29+'Mg St Colaba'!AV29+'Mg St Colaba'!BB29</f>
        <v>3313200</v>
      </c>
      <c r="Z6" s="43">
        <f t="shared" si="10"/>
        <v>0.06999814652</v>
      </c>
      <c r="AA6" s="34">
        <f>'Summary Sheet - Oct 2025'!AA6+'Summary Sheet - Nov 2025'!AA6+'Summary Sheet - Dec 2025'!AA6</f>
        <v>0</v>
      </c>
      <c r="AB6" s="81">
        <f t="shared" si="11"/>
        <v>0</v>
      </c>
      <c r="AC6" s="34">
        <f>'Summary Sheet - Oct 2025'!AC6+'Summary Sheet - Nov 2025'!AC6+'Summary Sheet - Dec 2025'!AC6</f>
        <v>0</v>
      </c>
      <c r="AD6" s="140">
        <f t="shared" si="12"/>
        <v>0</v>
      </c>
      <c r="AE6" s="34">
        <f>'Summary Sheet - Oct 2025'!AE6+'Summary Sheet - Nov 2025'!AE6+'Summary Sheet - Dec 2025'!AE6</f>
        <v>6293251</v>
      </c>
      <c r="AF6" s="81">
        <f t="shared" si="13"/>
        <v>0.1162903799</v>
      </c>
      <c r="AG6" s="34">
        <f>'Summary Sheet - Oct 2025'!AG6+'Summary Sheet - Nov 2025'!AG6+'Summary Sheet - Dec 2025'!AG6</f>
        <v>6690454</v>
      </c>
      <c r="AH6" s="140">
        <f t="shared" si="14"/>
        <v>0.12363443</v>
      </c>
      <c r="AI6" s="34">
        <f>'Summary Sheet - Oct 2025'!AI6+'Summary Sheet - Nov 2025'!AI6+'Summary Sheet - Dec 2025'!AI6</f>
        <v>0</v>
      </c>
      <c r="AJ6" s="81">
        <f t="shared" si="15"/>
        <v>0</v>
      </c>
      <c r="AK6" s="195" t="str">
        <f>'Summary Sheet - Oct 2025'!AK6+'Summary Sheet - Nov 2025'!AK6+'Summary Sheet - Dec 2025'!AK6</f>
        <v>#REF!</v>
      </c>
      <c r="AL6" s="81" t="str">
        <f t="shared" si="16"/>
        <v>#REF!</v>
      </c>
      <c r="AM6" s="34">
        <f>'Summary Sheet - Oct 2025'!AM6+'Summary Sheet - Nov 2025'!AM6+'Summary Sheet - Dec 2025'!AM6</f>
        <v>0</v>
      </c>
      <c r="AN6" s="81">
        <f t="shared" si="17"/>
        <v>0</v>
      </c>
      <c r="AO6" s="34">
        <f>'Summary Sheet - Oct 2025'!AO6+'Summary Sheet - Nov 2025'!AO6+'Summary Sheet - Dec 2025'!AO6</f>
        <v>0</v>
      </c>
      <c r="AP6" s="81">
        <f t="shared" si="18"/>
        <v>0</v>
      </c>
      <c r="AQ6" s="34">
        <f>'Summary Sheet - Oct 2025'!AQ6+'Summary Sheet - Nov 2025'!AQ6+'Summary Sheet - Dec 2025'!AQ6</f>
        <v>5452091</v>
      </c>
      <c r="AR6" s="81">
        <f t="shared" si="19"/>
        <v>0.3877178414</v>
      </c>
      <c r="AS6" s="34">
        <f>'Summary Sheet - Oct 2025'!AS6+'Summary Sheet - Nov 2025'!AS6+'Summary Sheet - Dec 2025'!AS6</f>
        <v>0</v>
      </c>
      <c r="AT6" s="81">
        <f t="shared" si="20"/>
        <v>0</v>
      </c>
      <c r="AU6" s="48"/>
      <c r="AV6" s="43"/>
      <c r="AW6" s="48">
        <f>'Summary Sheet - June 2025'!AY6</f>
        <v>0</v>
      </c>
      <c r="AX6" s="43"/>
      <c r="AY6" s="48" t="str">
        <f>'Summary Sheet - June 2025'!BG6</f>
        <v/>
      </c>
      <c r="AZ6" s="43"/>
      <c r="BA6" s="48" t="str">
        <f>'Summary Sheet - June 2025'!BK6</f>
        <v/>
      </c>
      <c r="BB6" s="43"/>
    </row>
    <row r="7" ht="15.75" customHeight="1">
      <c r="A7" s="176"/>
      <c r="B7" s="38" t="s">
        <v>24</v>
      </c>
      <c r="C7" s="39">
        <f t="shared" si="1"/>
        <v>153048484.7</v>
      </c>
      <c r="D7" s="40"/>
      <c r="E7" s="40" t="str">
        <f t="shared" si="2"/>
        <v>#REF!</v>
      </c>
      <c r="F7" s="84" t="str">
        <f t="shared" si="3"/>
        <v>#REF!</v>
      </c>
      <c r="G7" s="196">
        <f>'Summary Sheet - July 2025'!G7+'Summary Sheet - Aug 2025'!G7+'Summary Sheet - Sep 2025'!G7</f>
        <v>0</v>
      </c>
      <c r="H7" s="43"/>
      <c r="I7" s="48">
        <f>'Summary Sheet - Oct 2025'!I7+'Summary Sheet - Nov 2025'!I7+'Summary Sheet - Dec 2025'!I7</f>
        <v>0</v>
      </c>
      <c r="J7" s="43"/>
      <c r="K7" s="40">
        <f t="shared" si="4"/>
        <v>153048484.7</v>
      </c>
      <c r="L7" s="139"/>
      <c r="M7" s="40" t="str">
        <f t="shared" si="21"/>
        <v>#REF!</v>
      </c>
      <c r="N7" s="84" t="str">
        <f t="shared" si="5"/>
        <v>#REF!</v>
      </c>
      <c r="O7" s="34">
        <f>'Summary Sheet - Oct 2025'!O7+'Summary Sheet - Nov 2025'!O7+'Summary Sheet - Dec 2025'!O7</f>
        <v>44465668.63</v>
      </c>
      <c r="P7" s="81">
        <f t="shared" si="6"/>
        <v>0.6335414625</v>
      </c>
      <c r="Q7" s="48">
        <f>'The Table'!AP28+'The Table'!AV28+'The Table'!BB28</f>
        <v>33593236</v>
      </c>
      <c r="R7" s="140">
        <f t="shared" si="7"/>
        <v>0.5851290105</v>
      </c>
      <c r="S7" s="34">
        <f>'Summary Sheet - Oct 2025'!S7+'Summary Sheet - Nov 2025'!S7+'Summary Sheet - Dec 2025'!S7</f>
        <v>2916384.96</v>
      </c>
      <c r="T7" s="140">
        <f>S7/$S$10</f>
        <v>1</v>
      </c>
      <c r="U7" s="48" t="str">
        <f>'Summary Sheet - Oct 2025'!U7+'Summary Sheet - Nov 2025'!U7+'Summary Sheet - Dec 2025'!U7</f>
        <v>#REF!</v>
      </c>
      <c r="V7" s="140" t="str">
        <f t="shared" si="8"/>
        <v>#REF!</v>
      </c>
      <c r="W7" s="34">
        <f>'Summary Sheet - Oct 2025'!W7+'Summary Sheet - Nov 2025'!W7+'Summary Sheet - Dec 2025'!W7</f>
        <v>32950502.11</v>
      </c>
      <c r="X7" s="81">
        <f t="shared" si="9"/>
        <v>0.7605678564</v>
      </c>
      <c r="Y7" s="48">
        <f>'Mg St Colaba'!AP30+'Mg St Colaba'!AV30+'Mg St Colaba'!BB30</f>
        <v>35845302.52</v>
      </c>
      <c r="Z7" s="43">
        <f t="shared" si="10"/>
        <v>0.7573055468</v>
      </c>
      <c r="AA7" s="34">
        <f>'Summary Sheet - Oct 2025'!AA7+'Summary Sheet - Nov 2025'!AA7+'Summary Sheet - Dec 2025'!AA7</f>
        <v>22614128.11</v>
      </c>
      <c r="AB7" s="81">
        <f t="shared" si="11"/>
        <v>0.8115531375</v>
      </c>
      <c r="AC7" s="34">
        <f>'Summary Sheet - Oct 2025'!AC7+'Summary Sheet - Nov 2025'!AC7+'Summary Sheet - Dec 2025'!AC7</f>
        <v>24579255</v>
      </c>
      <c r="AD7" s="140">
        <f t="shared" si="12"/>
        <v>0.8195486183</v>
      </c>
      <c r="AE7" s="34">
        <f>'Summary Sheet - Oct 2025'!AE7+'Summary Sheet - Nov 2025'!AE7+'Summary Sheet - Dec 2025'!AE7</f>
        <v>38871851.33</v>
      </c>
      <c r="AF7" s="81">
        <f t="shared" si="13"/>
        <v>0.7182968482</v>
      </c>
      <c r="AG7" s="34">
        <f>'Summary Sheet - Oct 2025'!AG7+'Summary Sheet - Nov 2025'!AG7+'Summary Sheet - Dec 2025'!AG7</f>
        <v>37617786</v>
      </c>
      <c r="AH7" s="140">
        <f t="shared" si="14"/>
        <v>0.6951476729</v>
      </c>
      <c r="AI7" s="34">
        <f>'Summary Sheet - Oct 2025'!AI7+'Summary Sheet - Nov 2025'!AI7+'Summary Sheet - Dec 2025'!AI7</f>
        <v>42624</v>
      </c>
      <c r="AJ7" s="81">
        <f t="shared" si="15"/>
        <v>1</v>
      </c>
      <c r="AK7" s="195" t="str">
        <f>'Summary Sheet - Oct 2025'!AK7+'Summary Sheet - Nov 2025'!AK7+'Summary Sheet - Dec 2025'!AK7</f>
        <v>#REF!</v>
      </c>
      <c r="AL7" s="81" t="str">
        <f t="shared" si="16"/>
        <v>#REF!</v>
      </c>
      <c r="AM7" s="34">
        <f>'Summary Sheet - Oct 2025'!AM7+'Summary Sheet - Nov 2025'!AM7+'Summary Sheet - Dec 2025'!AM7</f>
        <v>2034634.78</v>
      </c>
      <c r="AN7" s="81">
        <f t="shared" si="17"/>
        <v>1</v>
      </c>
      <c r="AO7" s="34">
        <f>'Summary Sheet - Oct 2025'!AO7+'Summary Sheet - Nov 2025'!AO7+'Summary Sheet - Dec 2025'!AO7</f>
        <v>268349</v>
      </c>
      <c r="AP7" s="81">
        <f t="shared" si="18"/>
        <v>1</v>
      </c>
      <c r="AQ7" s="34">
        <f>'Summary Sheet - Oct 2025'!AQ7+'Summary Sheet - Nov 2025'!AQ7+'Summary Sheet - Dec 2025'!AQ7</f>
        <v>7079191</v>
      </c>
      <c r="AR7" s="81">
        <f t="shared" si="19"/>
        <v>0.5034267868</v>
      </c>
      <c r="AS7" s="34">
        <f>'Summary Sheet - Oct 2025'!AS7+'Summary Sheet - Nov 2025'!AS7+'Summary Sheet - Dec 2025'!AS7</f>
        <v>12000000</v>
      </c>
      <c r="AT7" s="81">
        <f t="shared" si="20"/>
        <v>0.8</v>
      </c>
      <c r="AU7" s="197">
        <f>'MSBC Andheri'!J29+'MSBC Andheri'!K29+'MSBC Andheri'!L29</f>
        <v>1047835.33</v>
      </c>
      <c r="AV7" s="43"/>
      <c r="AW7" s="48">
        <f>'MSBC Dahisar'!J27+'MSBC Dahisar'!K27+'MSBC Dahisar'!L27</f>
        <v>566520.04</v>
      </c>
      <c r="AX7" s="43"/>
      <c r="AY7" s="48">
        <f>'MSBC Juhu  Goregoan'!J26+'MSBC Juhu  Goregoan'!K26+'MSBC Juhu  Goregoan'!L26</f>
        <v>459144.4</v>
      </c>
      <c r="AZ7" s="43"/>
      <c r="BA7" s="48" t="str">
        <f>'Summary Sheet - June 2025'!BK7</f>
        <v/>
      </c>
      <c r="BB7" s="43"/>
    </row>
    <row r="8" ht="15.75" customHeight="1">
      <c r="A8" s="176"/>
      <c r="B8" s="50" t="s">
        <v>25</v>
      </c>
      <c r="C8" s="51">
        <f t="shared" si="1"/>
        <v>14500400</v>
      </c>
      <c r="D8" s="52"/>
      <c r="E8" s="52" t="str">
        <f t="shared" si="2"/>
        <v>#REF!</v>
      </c>
      <c r="F8" s="84" t="str">
        <f t="shared" si="3"/>
        <v>#REF!</v>
      </c>
      <c r="G8" s="141">
        <f>'Summary Sheet - July 2025'!G8+'Summary Sheet - Aug 2025'!G8+'Summary Sheet - Sep 2025'!G8</f>
        <v>0</v>
      </c>
      <c r="H8" s="55"/>
      <c r="I8" s="60">
        <f>'Summary Sheet - Oct 2025'!I8+'Summary Sheet - Nov 2025'!I8+'Summary Sheet - Dec 2025'!I8</f>
        <v>0</v>
      </c>
      <c r="J8" s="55"/>
      <c r="K8" s="40">
        <f t="shared" si="4"/>
        <v>14500400</v>
      </c>
      <c r="L8" s="142"/>
      <c r="M8" s="52" t="str">
        <f t="shared" si="21"/>
        <v>#REF!</v>
      </c>
      <c r="N8" s="198" t="str">
        <f t="shared" si="5"/>
        <v>#REF!</v>
      </c>
      <c r="O8" s="34">
        <f>'Summary Sheet - Oct 2025'!O8+'Summary Sheet - Nov 2025'!O8+'Summary Sheet - Dec 2025'!O8</f>
        <v>5912311</v>
      </c>
      <c r="P8" s="81">
        <f t="shared" si="6"/>
        <v>0.08423789124</v>
      </c>
      <c r="Q8" s="60">
        <f>'The Table'!AP30+'The Table'!AV30+'The Table'!BB30</f>
        <v>4316628</v>
      </c>
      <c r="R8" s="143">
        <f t="shared" si="7"/>
        <v>0.07518728682</v>
      </c>
      <c r="S8" s="34">
        <f>'Summary Sheet - Oct 2025'!S8+'Summary Sheet - Nov 2025'!S8+'Summary Sheet - Dec 2025'!S8</f>
        <v>0</v>
      </c>
      <c r="T8" s="55"/>
      <c r="U8" s="55">
        <v>0.0</v>
      </c>
      <c r="V8" s="143" t="str">
        <f t="shared" si="8"/>
        <v>#REF!</v>
      </c>
      <c r="W8" s="34">
        <f>'Summary Sheet - Oct 2025'!W8+'Summary Sheet - Nov 2025'!W8+'Summary Sheet - Dec 2025'!W8</f>
        <v>2761767</v>
      </c>
      <c r="X8" s="81">
        <f t="shared" si="9"/>
        <v>0.06374747189</v>
      </c>
      <c r="Y8" s="60">
        <f>'Mg St Colaba'!AP32+'Mg St Colaba'!AV32+'Mg St Colaba'!BB32</f>
        <v>3162579.34</v>
      </c>
      <c r="Z8" s="55">
        <f t="shared" si="10"/>
        <v>0.06681597611</v>
      </c>
      <c r="AA8" s="34">
        <f>'Summary Sheet - Oct 2025'!AA8+'Summary Sheet - Nov 2025'!AA8+'Summary Sheet - Dec 2025'!AA8</f>
        <v>1162722</v>
      </c>
      <c r="AB8" s="81">
        <f t="shared" si="11"/>
        <v>0.0417266004</v>
      </c>
      <c r="AC8" s="34">
        <f>'Summary Sheet - Oct 2025'!AC8+'Summary Sheet - Nov 2025'!AC8+'Summary Sheet - Dec 2025'!AC8</f>
        <v>1684263.347</v>
      </c>
      <c r="AD8" s="143">
        <f t="shared" si="12"/>
        <v>0.05615856536</v>
      </c>
      <c r="AE8" s="34">
        <f>'Summary Sheet - Oct 2025'!AE8+'Summary Sheet - Nov 2025'!AE8+'Summary Sheet - Dec 2025'!AE8</f>
        <v>3513975</v>
      </c>
      <c r="AF8" s="81">
        <f t="shared" si="13"/>
        <v>0.06493328927</v>
      </c>
      <c r="AG8" s="34">
        <f>'Summary Sheet - Oct 2025'!AG8+'Summary Sheet - Nov 2025'!AG8+'Summary Sheet - Dec 2025'!AG8</f>
        <v>4468195.53</v>
      </c>
      <c r="AH8" s="143">
        <f t="shared" si="14"/>
        <v>0.08256880734</v>
      </c>
      <c r="AI8" s="34">
        <f>'Summary Sheet - Oct 2025'!AI8+'Summary Sheet - Nov 2025'!AI8+'Summary Sheet - Dec 2025'!AI8</f>
        <v>0</v>
      </c>
      <c r="AJ8" s="81">
        <f t="shared" si="15"/>
        <v>0</v>
      </c>
      <c r="AK8" s="195" t="str">
        <f>'Summary Sheet - Oct 2025'!AK8+'Summary Sheet - Nov 2025'!AK8+'Summary Sheet - Dec 2025'!AK8</f>
        <v>#REF!</v>
      </c>
      <c r="AL8" s="81" t="str">
        <f t="shared" si="16"/>
        <v>#REF!</v>
      </c>
      <c r="AM8" s="34">
        <f>'Summary Sheet - Oct 2025'!AM8+'Summary Sheet - Nov 2025'!AM8+'Summary Sheet - Dec 2025'!AM8</f>
        <v>0</v>
      </c>
      <c r="AN8" s="81">
        <f t="shared" si="17"/>
        <v>0</v>
      </c>
      <c r="AO8" s="34">
        <f>'Summary Sheet - Oct 2025'!AO8+'Summary Sheet - Nov 2025'!AO8+'Summary Sheet - Dec 2025'!AO8</f>
        <v>0</v>
      </c>
      <c r="AP8" s="81">
        <f t="shared" si="18"/>
        <v>0</v>
      </c>
      <c r="AQ8" s="34">
        <f>'Summary Sheet - Oct 2025'!AQ8+'Summary Sheet - Nov 2025'!AQ8+'Summary Sheet - Dec 2025'!AQ8</f>
        <v>1149625</v>
      </c>
      <c r="AR8" s="81">
        <f t="shared" si="19"/>
        <v>0.08175397722</v>
      </c>
      <c r="AS8" s="34">
        <f>'Summary Sheet - Oct 2025'!AS8+'Summary Sheet - Nov 2025'!AS8+'Summary Sheet - Dec 2025'!AS8</f>
        <v>0</v>
      </c>
      <c r="AT8" s="81">
        <f t="shared" si="20"/>
        <v>0</v>
      </c>
      <c r="AU8" s="60"/>
      <c r="AV8" s="55"/>
      <c r="AW8" s="60"/>
      <c r="AX8" s="55"/>
      <c r="AY8" s="60" t="str">
        <f>'Summary Sheet - June 2025'!BG8</f>
        <v/>
      </c>
      <c r="AZ8" s="55"/>
      <c r="BA8" s="60" t="str">
        <f>'Summary Sheet - June 2025'!BK8</f>
        <v/>
      </c>
      <c r="BB8" s="55"/>
    </row>
    <row r="9" ht="15.75" customHeight="1">
      <c r="A9" s="176"/>
      <c r="B9" s="64" t="s">
        <v>26</v>
      </c>
      <c r="C9" s="51">
        <f t="shared" si="1"/>
        <v>198900</v>
      </c>
      <c r="D9" s="52"/>
      <c r="E9" s="52">
        <f t="shared" si="2"/>
        <v>0</v>
      </c>
      <c r="F9" s="84" t="str">
        <f t="shared" si="3"/>
        <v>#REF!</v>
      </c>
      <c r="G9" s="141">
        <f>'Summary Sheet - July 2025'!G9+'Summary Sheet - Aug 2025'!G9+'Summary Sheet - Sep 2025'!G9</f>
        <v>0</v>
      </c>
      <c r="H9" s="55"/>
      <c r="I9" s="60">
        <f>'Summary Sheet - Oct 2025'!I10+'Summary Sheet - Nov 2025'!I10+'Summary Sheet - Dec 2025'!I10</f>
        <v>0</v>
      </c>
      <c r="J9" s="55"/>
      <c r="K9" s="40">
        <f t="shared" si="4"/>
        <v>198900</v>
      </c>
      <c r="L9" s="142"/>
      <c r="M9" s="52">
        <f t="shared" si="21"/>
        <v>0</v>
      </c>
      <c r="N9" s="198" t="str">
        <f t="shared" si="5"/>
        <v>#REF!</v>
      </c>
      <c r="O9" s="34">
        <f>'Summary Sheet - Oct 2025'!O9+'Summary Sheet - Nov 2025'!O9+'Summary Sheet - Dec 2025'!O9</f>
        <v>55200</v>
      </c>
      <c r="P9" s="81">
        <f t="shared" si="6"/>
        <v>0.0007864829161</v>
      </c>
      <c r="Q9" s="60"/>
      <c r="R9" s="143"/>
      <c r="S9" s="34"/>
      <c r="T9" s="55"/>
      <c r="U9" s="55"/>
      <c r="V9" s="143"/>
      <c r="W9" s="34">
        <f>'Summary Sheet - Oct 2025'!W9+'Summary Sheet - Nov 2025'!W9+'Summary Sheet - Dec 2025'!W9</f>
        <v>54000</v>
      </c>
      <c r="X9" s="81"/>
      <c r="Y9" s="60"/>
      <c r="Z9" s="55"/>
      <c r="AA9" s="34">
        <f>'Summary Sheet - Oct 2025'!AA9+'Summary Sheet - Nov 2025'!AA9+'Summary Sheet - Dec 2025'!AA9</f>
        <v>23400</v>
      </c>
      <c r="AB9" s="81"/>
      <c r="AC9" s="34"/>
      <c r="AD9" s="143"/>
      <c r="AE9" s="34">
        <f>'Summary Sheet - Oct 2025'!AE9+'Summary Sheet - Nov 2025'!AE9+'Summary Sheet - Dec 2025'!AE9</f>
        <v>48000</v>
      </c>
      <c r="AF9" s="81"/>
      <c r="AG9" s="34"/>
      <c r="AH9" s="143"/>
      <c r="AI9" s="34"/>
      <c r="AJ9" s="81"/>
      <c r="AK9" s="195"/>
      <c r="AL9" s="81"/>
      <c r="AM9" s="34"/>
      <c r="AN9" s="81"/>
      <c r="AO9" s="34"/>
      <c r="AP9" s="81"/>
      <c r="AQ9" s="34">
        <f>'Summary Sheet - Oct 2025'!AQ9+'Summary Sheet - Nov 2025'!AQ9+'Summary Sheet - Dec 2025'!AQ9</f>
        <v>18300</v>
      </c>
      <c r="AR9" s="81"/>
      <c r="AS9" s="34"/>
      <c r="AT9" s="81"/>
      <c r="AU9" s="199">
        <v>0.0</v>
      </c>
      <c r="AV9" s="55"/>
      <c r="AW9" s="199">
        <v>0.0</v>
      </c>
      <c r="AX9" s="55"/>
      <c r="AY9" s="199">
        <v>0.0</v>
      </c>
      <c r="AZ9" s="55"/>
      <c r="BA9" s="60"/>
      <c r="BB9" s="55"/>
    </row>
    <row r="10" ht="15.75" customHeight="1">
      <c r="A10" s="176"/>
      <c r="B10" s="16" t="s">
        <v>27</v>
      </c>
      <c r="C10" s="66">
        <f>SUM(C5:C9)</f>
        <v>216620530.7</v>
      </c>
      <c r="D10" s="68"/>
      <c r="E10" s="66" t="str">
        <f>SUM(E5:E9)</f>
        <v>#REF!</v>
      </c>
      <c r="F10" s="198" t="str">
        <f t="shared" si="3"/>
        <v>#REF!</v>
      </c>
      <c r="G10" s="200">
        <f>'Summary Sheet - July 2025'!G10+'Summary Sheet - Aug 2025'!G10+'Summary Sheet - Sep 2025'!G10</f>
        <v>0</v>
      </c>
      <c r="H10" s="147"/>
      <c r="I10" s="118">
        <f>'Summary Sheet - Oct 2025'!I10+'Summary Sheet - Nov 2025'!I10+'Summary Sheet - Dec 2025'!I10</f>
        <v>0</v>
      </c>
      <c r="J10" s="147"/>
      <c r="K10" s="66">
        <f>SUM(K5:K9)</f>
        <v>216620530.7</v>
      </c>
      <c r="L10" s="70"/>
      <c r="M10" s="66" t="str">
        <f>SUM(M5:M9)</f>
        <v>#REF!</v>
      </c>
      <c r="N10" s="67" t="str">
        <f t="shared" si="5"/>
        <v>#REF!</v>
      </c>
      <c r="O10" s="118">
        <f>SUM(O5:O9)</f>
        <v>70185885.63</v>
      </c>
      <c r="P10" s="117">
        <f t="shared" si="6"/>
        <v>1</v>
      </c>
      <c r="Q10" s="118">
        <f>SUM(Q5:Q8)</f>
        <v>57411674</v>
      </c>
      <c r="R10" s="117">
        <f>Q10/Q$10</f>
        <v>1</v>
      </c>
      <c r="S10" s="118">
        <f>SUM(S5:S8)</f>
        <v>2916384.96</v>
      </c>
      <c r="T10" s="117">
        <f>S10/S10</f>
        <v>1</v>
      </c>
      <c r="U10" s="118" t="str">
        <f>SUM(U5:U8)</f>
        <v>#REF!</v>
      </c>
      <c r="V10" s="117" t="str">
        <f>U10/U$10</f>
        <v>#REF!</v>
      </c>
      <c r="W10" s="118">
        <f>SUM(W5:W9)</f>
        <v>43323553.36</v>
      </c>
      <c r="X10" s="117">
        <f>W10/W10</f>
        <v>1</v>
      </c>
      <c r="Y10" s="118">
        <f>SUM(Y5:Y8)</f>
        <v>47332681.86</v>
      </c>
      <c r="Z10" s="147">
        <f>Y10/Y$10</f>
        <v>1</v>
      </c>
      <c r="AA10" s="118">
        <f>sum(AA5:AA9)</f>
        <v>27865246.36</v>
      </c>
      <c r="AB10" s="117">
        <f>AA10/AA10</f>
        <v>1</v>
      </c>
      <c r="AC10" s="118">
        <f>SUM(AC5:AC8)</f>
        <v>29991210.35</v>
      </c>
      <c r="AD10" s="117">
        <f>AC10/AC$10</f>
        <v>1</v>
      </c>
      <c r="AE10" s="118">
        <f>SUM(AE5:AE9)</f>
        <v>54116694.83</v>
      </c>
      <c r="AF10" s="117">
        <f>AE10/AE10</f>
        <v>1</v>
      </c>
      <c r="AG10" s="118">
        <f>SUM(AG5:AG8)</f>
        <v>54114812.53</v>
      </c>
      <c r="AH10" s="117">
        <f>AG10/AG$10</f>
        <v>1</v>
      </c>
      <c r="AI10" s="118">
        <f>sum(AI5:AI8)</f>
        <v>42624</v>
      </c>
      <c r="AJ10" s="117">
        <f>AI10/AI10</f>
        <v>1</v>
      </c>
      <c r="AK10" s="118" t="str">
        <f>sum(AK5:AK8)</f>
        <v>#REF!</v>
      </c>
      <c r="AL10" s="117" t="str">
        <f>AK10/AK10</f>
        <v>#REF!</v>
      </c>
      <c r="AM10" s="118">
        <f>sum(AM5:AM8)</f>
        <v>2034634.78</v>
      </c>
      <c r="AN10" s="117">
        <f>AM10/AM10</f>
        <v>1</v>
      </c>
      <c r="AO10" s="118">
        <f>sum(AO5:AO8)</f>
        <v>268349</v>
      </c>
      <c r="AP10" s="117">
        <f>AO10/AO10</f>
        <v>1</v>
      </c>
      <c r="AQ10" s="118">
        <f>SUM(AQ5:AQ9)</f>
        <v>14062007</v>
      </c>
      <c r="AR10" s="117">
        <f>AQ10/AQ10</f>
        <v>1</v>
      </c>
      <c r="AS10" s="118">
        <f>SUM(AS5:AS8)</f>
        <v>15000000</v>
      </c>
      <c r="AT10" s="117">
        <f>AS10/AS10</f>
        <v>1</v>
      </c>
      <c r="AU10" s="66">
        <f>SUM(AU5:AU9)</f>
        <v>1047835.33</v>
      </c>
      <c r="AV10" s="70"/>
      <c r="AW10" s="66">
        <f>SUM(AW5:AW9)</f>
        <v>566520.04</v>
      </c>
      <c r="AX10" s="70"/>
      <c r="AY10" s="66">
        <f>SUM(AY5:AY9)</f>
        <v>459144.4</v>
      </c>
      <c r="AZ10" s="70"/>
      <c r="BA10" s="66">
        <f>SUM(BA5:BA9)</f>
        <v>0</v>
      </c>
      <c r="BB10" s="70"/>
    </row>
    <row r="11" ht="15.75" customHeight="1">
      <c r="A11" s="176"/>
      <c r="B11" s="22"/>
      <c r="C11" s="23"/>
      <c r="D11" s="25"/>
      <c r="E11" s="25"/>
      <c r="F11" s="67"/>
      <c r="G11" s="201"/>
      <c r="H11" s="28"/>
      <c r="I11" s="28"/>
      <c r="J11" s="28"/>
      <c r="K11" s="137"/>
      <c r="L11" s="137"/>
      <c r="M11" s="137"/>
      <c r="N11" s="24"/>
      <c r="O11" s="28"/>
      <c r="P11" s="28"/>
      <c r="Q11" s="28"/>
      <c r="R11" s="81"/>
      <c r="S11" s="34"/>
      <c r="T11" s="28"/>
      <c r="U11" s="28"/>
      <c r="V11" s="81"/>
      <c r="W11" s="28"/>
      <c r="X11" s="81"/>
      <c r="Y11" s="28"/>
      <c r="Z11" s="28"/>
      <c r="AA11" s="28"/>
      <c r="AB11" s="81"/>
      <c r="AC11" s="28"/>
      <c r="AD11" s="81"/>
      <c r="AE11" s="28"/>
      <c r="AF11" s="81"/>
      <c r="AG11" s="28"/>
      <c r="AH11" s="81"/>
      <c r="AI11" s="28"/>
      <c r="AJ11" s="81"/>
      <c r="AK11" s="28"/>
      <c r="AL11" s="81"/>
      <c r="AM11" s="28"/>
      <c r="AN11" s="81"/>
      <c r="AO11" s="28"/>
      <c r="AP11" s="81"/>
      <c r="AQ11" s="28"/>
      <c r="AR11" s="81"/>
      <c r="AS11" s="28"/>
      <c r="AT11" s="81"/>
      <c r="AU11" s="28"/>
      <c r="AV11" s="28"/>
      <c r="AW11" s="28"/>
      <c r="AX11" s="28"/>
      <c r="AY11" s="28"/>
      <c r="AZ11" s="28"/>
      <c r="BA11" s="28"/>
      <c r="BB11" s="28"/>
    </row>
    <row r="12" ht="15.75" customHeight="1">
      <c r="A12" s="176"/>
      <c r="B12" s="38" t="s">
        <v>29</v>
      </c>
      <c r="C12" s="39">
        <f t="shared" ref="C12:C13" si="22">G12+K12</f>
        <v>70525610.62</v>
      </c>
      <c r="D12" s="40"/>
      <c r="E12" s="40" t="str">
        <f t="shared" ref="E12:E13" si="23">I12+M12</f>
        <v>#REF!</v>
      </c>
      <c r="F12" s="24" t="str">
        <f t="shared" ref="F12:F16" si="24">E12/E$10</f>
        <v>#REF!</v>
      </c>
      <c r="G12" s="138">
        <f>'Summary Sheet - July 2025'!G12+'Summary Sheet - Aug 2025'!G12+'Summary Sheet - Sep 2025'!G12</f>
        <v>1468610</v>
      </c>
      <c r="H12" s="43"/>
      <c r="I12" s="48">
        <f>'Summary Sheet - Oct 2025'!I12+'Summary Sheet - Nov 2025'!I12+'Summary Sheet - Dec 2025'!I12</f>
        <v>0</v>
      </c>
      <c r="J12" s="43"/>
      <c r="K12" s="40">
        <f t="shared" ref="K12:K13" si="25">O12+S12+W12+AA12+AE12+AI12+AM12+AQ12+AU12+AW12+AY12+BA12</f>
        <v>69057000.62</v>
      </c>
      <c r="L12" s="139"/>
      <c r="M12" s="40" t="str">
        <f t="shared" ref="M12:M13" si="26">Q12+U12+Y12+AC12+AG12+AK12+AO12</f>
        <v>#REF!</v>
      </c>
      <c r="N12" s="84" t="str">
        <f t="shared" ref="N12:N16" si="27">M12/M$10</f>
        <v>#REF!</v>
      </c>
      <c r="O12" s="34">
        <f>'Summary Sheet - Oct 2025'!O12+'Summary Sheet - Nov 2025'!O12+'Summary Sheet - Dec 2025'!O12</f>
        <v>21545033.62</v>
      </c>
      <c r="P12" s="81">
        <f t="shared" ref="P12:P14" si="28">O12/$O$10</f>
        <v>0.3069710303</v>
      </c>
      <c r="Q12" s="48">
        <f>'The Table'!AP41+'The Table'!AV41+'The Table'!BB41</f>
        <v>19156547.41</v>
      </c>
      <c r="R12" s="140">
        <f t="shared" ref="R12:R14" si="29">Q12/Q$10</f>
        <v>0.333669898</v>
      </c>
      <c r="S12" s="34">
        <f>'Summary Sheet - Oct 2025'!S12+'Summary Sheet - Nov 2025'!S12+'Summary Sheet - Dec 2025'!S12</f>
        <v>1112375.842</v>
      </c>
      <c r="T12" s="140">
        <f t="shared" ref="T12:T13" si="30">S12/$S$10</f>
        <v>0.3814228426</v>
      </c>
      <c r="U12" s="48" t="str">
        <f>'Summary Sheet - Oct 2025'!U12+'Summary Sheet - Nov 2025'!U12+'Summary Sheet - Dec 2025'!U12</f>
        <v>#REF!</v>
      </c>
      <c r="V12" s="140" t="str">
        <f t="shared" ref="V12:V14" si="31">U12/U$10</f>
        <v>#REF!</v>
      </c>
      <c r="W12" s="34">
        <f>'Summary Sheet - Oct 2025'!W12+'Summary Sheet - Nov 2025'!W12+'Summary Sheet - Dec 2025'!W12</f>
        <v>13605786.29</v>
      </c>
      <c r="X12" s="81">
        <f t="shared" ref="X12:X13" si="32">W12/$W$10</f>
        <v>0.3140505623</v>
      </c>
      <c r="Y12" s="48">
        <f>'Mg St Colaba'!AP51+'Mg St Colaba'!AV51+'Mg St Colaba'!BB51</f>
        <v>13035923.28</v>
      </c>
      <c r="Z12" s="43">
        <f t="shared" ref="Z12:Z14" si="33">Y12/Y$10</f>
        <v>0.2754106206</v>
      </c>
      <c r="AA12" s="34">
        <f>'Summary Sheet - Oct 2025'!AA12+'Summary Sheet - Nov 2025'!AA12+'Summary Sheet - Dec 2025'!AA12</f>
        <v>8236494.112</v>
      </c>
      <c r="AB12" s="81">
        <f t="shared" ref="AB12:AB13" si="34">AA12/$AA$10</f>
        <v>0.2955830358</v>
      </c>
      <c r="AC12" s="34">
        <f>'Summary Sheet - Oct 2025'!AC12+'Summary Sheet - Nov 2025'!AC12+'Summary Sheet - Dec 2025'!AC12</f>
        <v>7222834.653</v>
      </c>
      <c r="AD12" s="140">
        <f t="shared" ref="AD12:AD14" si="35">AC12/AC$10</f>
        <v>0.240831716</v>
      </c>
      <c r="AE12" s="34">
        <f>'Summary Sheet - Oct 2025'!AE12+'Summary Sheet - Nov 2025'!AE12+'Summary Sheet - Dec 2025'!AE12</f>
        <v>15271485.87</v>
      </c>
      <c r="AF12" s="81">
        <f t="shared" ref="AF12:AF14" si="36">AE12/$AE$10</f>
        <v>0.2821954652</v>
      </c>
      <c r="AG12" s="34">
        <f>'Summary Sheet - Oct 2025'!AG12+'Summary Sheet - Nov 2025'!AG12+'Summary Sheet - Dec 2025'!AG12</f>
        <v>15812284.11</v>
      </c>
      <c r="AH12" s="140">
        <f t="shared" ref="AH12:AH14" si="37">AG12/AG$10</f>
        <v>0.2921988153</v>
      </c>
      <c r="AI12" s="34">
        <f>'Summary Sheet - Oct 2025'!AI12+'Summary Sheet - Nov 2025'!AI12+'Summary Sheet - Dec 2025'!AI12</f>
        <v>0</v>
      </c>
      <c r="AJ12" s="81">
        <f t="shared" ref="AJ12:AJ13" si="38">AI12/$AI$10</f>
        <v>0</v>
      </c>
      <c r="AK12" s="195" t="str">
        <f>'Summary Sheet - Oct 2025'!AK12+'Summary Sheet - Nov 2025'!AK12+'Summary Sheet - Dec 2025'!AK12</f>
        <v>#REF!</v>
      </c>
      <c r="AL12" s="140" t="str">
        <f t="shared" ref="AL12:AL13" si="39">AK12/$AK$10</f>
        <v>#REF!</v>
      </c>
      <c r="AM12" s="34">
        <f>'Summary Sheet - Oct 2025'!AM12+'Summary Sheet - Nov 2025'!AM12+'Summary Sheet - Dec 2025'!AM12</f>
        <v>732061.3347</v>
      </c>
      <c r="AN12" s="81">
        <f t="shared" ref="AN12:AN14" si="40">AM12/$AM$10</f>
        <v>0.3597998726</v>
      </c>
      <c r="AO12" s="34">
        <f>'Summary Sheet - Oct 2025'!AO12+'Summary Sheet - Nov 2025'!AO12+'Summary Sheet - Dec 2025'!AO12</f>
        <v>0</v>
      </c>
      <c r="AP12" s="81">
        <f t="shared" ref="AP12:AP14" si="41">AO12/$AO$10</f>
        <v>0</v>
      </c>
      <c r="AQ12" s="34">
        <f>'Summary Sheet - Oct 2025'!AQ12+'Summary Sheet - Nov 2025'!AQ12+'Summary Sheet - Dec 2025'!AQ12</f>
        <v>6496745.36</v>
      </c>
      <c r="AR12" s="81">
        <f t="shared" ref="AR12:AR13" si="42">AQ12/$AQ$10</f>
        <v>0.4620069781</v>
      </c>
      <c r="AS12" s="34">
        <f>'Summary Sheet - Oct 2025'!AS12+'Summary Sheet - Nov 2025'!AS12+'Summary Sheet - Dec 2025'!AS12</f>
        <v>6430500</v>
      </c>
      <c r="AT12" s="81">
        <f t="shared" ref="AT12:AT13" si="43">AS12/$AS$10</f>
        <v>0.4287</v>
      </c>
      <c r="AU12" s="197">
        <f>'MSBC Andheri'!J47+'MSBC Andheri'!K47+'MSBC Andheri'!L47</f>
        <v>804797.1465</v>
      </c>
      <c r="AV12" s="48"/>
      <c r="AW12" s="48">
        <f>'MSBC Dahisar'!J45+'MSBC Dahisar'!K45+'MSBC Dahisar'!L45</f>
        <v>639211.4767</v>
      </c>
      <c r="AX12" s="43"/>
      <c r="AY12" s="48">
        <f>'MSBC Juhu  Goregoan'!J36+'MSBC Juhu  Goregoan'!K36+'MSBC Juhu  Goregoan'!L36</f>
        <v>613009.5628</v>
      </c>
      <c r="AZ12" s="43"/>
      <c r="BA12" s="48" t="str">
        <f>'Summary Sheet - June 2025'!BK12</f>
        <v/>
      </c>
      <c r="BB12" s="43"/>
    </row>
    <row r="13" ht="15.75" customHeight="1">
      <c r="A13" s="176"/>
      <c r="B13" s="50" t="s">
        <v>30</v>
      </c>
      <c r="C13" s="51">
        <f t="shared" si="22"/>
        <v>2450693.04</v>
      </c>
      <c r="D13" s="52"/>
      <c r="E13" s="52" t="str">
        <f t="shared" si="23"/>
        <v>#REF!</v>
      </c>
      <c r="F13" s="84" t="str">
        <f t="shared" si="24"/>
        <v>#REF!</v>
      </c>
      <c r="G13" s="141">
        <f>'Summary Sheet - July 2025'!G13+'Summary Sheet - Aug 2025'!G13+'Summary Sheet - Sep 2025'!G13</f>
        <v>0</v>
      </c>
      <c r="H13" s="55"/>
      <c r="I13" s="60">
        <f>'Summary Sheet - Oct 2025'!I13+'Summary Sheet - Nov 2025'!I13+'Summary Sheet - Dec 2025'!I13</f>
        <v>0</v>
      </c>
      <c r="J13" s="55"/>
      <c r="K13" s="40">
        <f t="shared" si="25"/>
        <v>2450693.04</v>
      </c>
      <c r="L13" s="142"/>
      <c r="M13" s="52" t="str">
        <f t="shared" si="26"/>
        <v>#REF!</v>
      </c>
      <c r="N13" s="198" t="str">
        <f t="shared" si="27"/>
        <v>#REF!</v>
      </c>
      <c r="O13" s="34">
        <f>'Summary Sheet - Oct 2025'!O13+'Summary Sheet - Nov 2025'!O13+'Summary Sheet - Dec 2025'!O13</f>
        <v>133136</v>
      </c>
      <c r="P13" s="81">
        <f t="shared" si="28"/>
        <v>0.001896905607</v>
      </c>
      <c r="Q13" s="60">
        <f>'The Table'!AP42+'The Table'!AV42+'The Table'!BB42</f>
        <v>164594.6426</v>
      </c>
      <c r="R13" s="143">
        <f t="shared" si="29"/>
        <v>0.002866919411</v>
      </c>
      <c r="S13" s="34">
        <f>'Summary Sheet - Oct 2025'!S13+'Summary Sheet - Nov 2025'!S13+'Summary Sheet - Dec 2025'!S13</f>
        <v>48515</v>
      </c>
      <c r="T13" s="140">
        <f t="shared" si="30"/>
        <v>0.01663532101</v>
      </c>
      <c r="U13" s="48" t="str">
        <f>'Summary Sheet - Oct 2025'!U13+'Summary Sheet - Nov 2025'!U13+'Summary Sheet - Dec 2025'!U13</f>
        <v>#REF!</v>
      </c>
      <c r="V13" s="143" t="str">
        <f t="shared" si="31"/>
        <v>#REF!</v>
      </c>
      <c r="W13" s="34">
        <f>'Summary Sheet - Oct 2025'!W13+'Summary Sheet - Nov 2025'!W13+'Summary Sheet - Dec 2025'!W13</f>
        <v>526174</v>
      </c>
      <c r="X13" s="81">
        <f t="shared" si="32"/>
        <v>0.012145218</v>
      </c>
      <c r="Y13" s="60">
        <f>'Mg St Colaba'!AP52+'Mg St Colaba'!AV52+'Mg St Colaba'!BB52</f>
        <v>416527.6004</v>
      </c>
      <c r="Z13" s="55">
        <f t="shared" si="33"/>
        <v>0.0088</v>
      </c>
      <c r="AA13" s="34">
        <f>'Summary Sheet - Oct 2025'!AA13+'Summary Sheet - Nov 2025'!AA13+'Summary Sheet - Dec 2025'!AA13</f>
        <v>616126</v>
      </c>
      <c r="AB13" s="81">
        <f t="shared" si="34"/>
        <v>0.02211091164</v>
      </c>
      <c r="AC13" s="34">
        <f>'Summary Sheet - Oct 2025'!AC13+'Summary Sheet - Nov 2025'!AC13+'Summary Sheet - Dec 2025'!AC13</f>
        <v>288730.8594</v>
      </c>
      <c r="AD13" s="143">
        <f t="shared" si="35"/>
        <v>0.009627182633</v>
      </c>
      <c r="AE13" s="34">
        <f>'Summary Sheet - Oct 2025'!AE13+'Summary Sheet - Nov 2025'!AE13+'Summary Sheet - Dec 2025'!AE13</f>
        <v>544145</v>
      </c>
      <c r="AF13" s="81">
        <f t="shared" si="36"/>
        <v>0.01005503018</v>
      </c>
      <c r="AG13" s="34">
        <f>'Summary Sheet - Oct 2025'!AG13+'Summary Sheet - Nov 2025'!AG13+'Summary Sheet - Dec 2025'!AG13</f>
        <v>297631.4689</v>
      </c>
      <c r="AH13" s="143">
        <f t="shared" si="37"/>
        <v>0.0055</v>
      </c>
      <c r="AI13" s="34">
        <f>'Summary Sheet - Oct 2025'!AI13+'Summary Sheet - Nov 2025'!AI13+'Summary Sheet - Dec 2025'!AI13</f>
        <v>0</v>
      </c>
      <c r="AJ13" s="81">
        <f t="shared" si="38"/>
        <v>0</v>
      </c>
      <c r="AK13" s="195" t="str">
        <f>'Summary Sheet - Oct 2025'!AK13+'Summary Sheet - Nov 2025'!AK13+'Summary Sheet - Dec 2025'!AK13</f>
        <v>#REF!</v>
      </c>
      <c r="AL13" s="140" t="str">
        <f t="shared" si="39"/>
        <v>#REF!</v>
      </c>
      <c r="AM13" s="34">
        <f>'Summary Sheet - Oct 2025'!AM13+'Summary Sheet - Nov 2025'!AM13+'Summary Sheet - Dec 2025'!AM13</f>
        <v>346569.76</v>
      </c>
      <c r="AN13" s="81">
        <f t="shared" si="40"/>
        <v>0.1703351203</v>
      </c>
      <c r="AO13" s="34">
        <f>'Summary Sheet - Oct 2025'!AO13+'Summary Sheet - Nov 2025'!AO13+'Summary Sheet - Dec 2025'!AO13</f>
        <v>0</v>
      </c>
      <c r="AP13" s="81">
        <f t="shared" si="41"/>
        <v>0</v>
      </c>
      <c r="AQ13" s="34">
        <f>'Summary Sheet - Oct 2025'!AQ13+'Summary Sheet - Nov 2025'!AQ13+'Summary Sheet - Dec 2025'!AQ13</f>
        <v>162266.28</v>
      </c>
      <c r="AR13" s="81">
        <f t="shared" si="42"/>
        <v>0.01153934001</v>
      </c>
      <c r="AS13" s="34">
        <f>'Summary Sheet - Oct 2025'!AS13+'Summary Sheet - Nov 2025'!AS13+'Summary Sheet - Dec 2025'!AS13</f>
        <v>46500</v>
      </c>
      <c r="AT13" s="81">
        <f t="shared" si="43"/>
        <v>0.0031</v>
      </c>
      <c r="AU13" s="197">
        <f>'MSBC Andheri'!J48+'MSBC Andheri'!K48+'MSBC Andheri'!L48</f>
        <v>35391</v>
      </c>
      <c r="AV13" s="55"/>
      <c r="AW13" s="48">
        <f>'MSBC Dahisar'!J46+'MSBC Dahisar'!K46+'MSBC Dahisar'!L46</f>
        <v>24537</v>
      </c>
      <c r="AX13" s="55"/>
      <c r="AY13" s="48">
        <f>'MSBC Juhu  Goregoan'!J37+'MSBC Juhu  Goregoan'!K37+'MSBC Juhu  Goregoan'!L37</f>
        <v>13833</v>
      </c>
      <c r="AZ13" s="55"/>
      <c r="BA13" s="60" t="str">
        <f>'Summary Sheet - June 2025'!BK13</f>
        <v/>
      </c>
      <c r="BB13" s="55"/>
    </row>
    <row r="14" ht="15.75" customHeight="1">
      <c r="A14" s="176"/>
      <c r="B14" s="16" t="s">
        <v>31</v>
      </c>
      <c r="C14" s="66">
        <f>C12+C13</f>
        <v>72976303.66</v>
      </c>
      <c r="D14" s="68"/>
      <c r="E14" s="68" t="str">
        <f>E12+E13</f>
        <v>#REF!</v>
      </c>
      <c r="F14" s="198" t="str">
        <f t="shared" si="24"/>
        <v>#REF!</v>
      </c>
      <c r="G14" s="145">
        <f>'Summary Sheet - July 2025'!G14+'Summary Sheet - Aug 2025'!G14+'Summary Sheet - Sep 2025'!G14</f>
        <v>1468610</v>
      </c>
      <c r="H14" s="147"/>
      <c r="I14" s="118">
        <f>'Summary Sheet - July 2025'!I14+'Summary Sheet - Aug 2025'!I14+'Summary Sheet - Sep 2025'!I14</f>
        <v>0</v>
      </c>
      <c r="J14" s="147"/>
      <c r="K14" s="68">
        <f>O14+S14+W14+AA14+AE14+AI14+AM14</f>
        <v>62717902.84</v>
      </c>
      <c r="L14" s="70"/>
      <c r="M14" s="68" t="str">
        <f>M12+M13</f>
        <v>#REF!</v>
      </c>
      <c r="N14" s="67" t="str">
        <f t="shared" si="27"/>
        <v>#REF!</v>
      </c>
      <c r="O14" s="118">
        <f>sum(O12:O13)</f>
        <v>21678169.62</v>
      </c>
      <c r="P14" s="117">
        <f t="shared" si="28"/>
        <v>0.3088679359</v>
      </c>
      <c r="Q14" s="118">
        <f>SUM(Q12:Q13)</f>
        <v>19321142.05</v>
      </c>
      <c r="R14" s="117">
        <f t="shared" si="29"/>
        <v>0.3365368175</v>
      </c>
      <c r="S14" s="118">
        <f>sum(S12:S13)</f>
        <v>1160890.842</v>
      </c>
      <c r="T14" s="117">
        <f>S14/S10</f>
        <v>0.3980581636</v>
      </c>
      <c r="U14" s="118" t="str">
        <f>SUM(U12:U13)</f>
        <v>#REF!</v>
      </c>
      <c r="V14" s="117" t="str">
        <f t="shared" si="31"/>
        <v>#REF!</v>
      </c>
      <c r="W14" s="118">
        <f>sum(W12:W13)</f>
        <v>14131960.29</v>
      </c>
      <c r="X14" s="117">
        <f>W14/W10</f>
        <v>0.3261957803</v>
      </c>
      <c r="Y14" s="118">
        <f>SUM(Y12:Y13)</f>
        <v>13452450.88</v>
      </c>
      <c r="Z14" s="147">
        <f t="shared" si="33"/>
        <v>0.2842106206</v>
      </c>
      <c r="AA14" s="118">
        <f>sum(AA12:AA13)</f>
        <v>8852620.112</v>
      </c>
      <c r="AB14" s="117">
        <f>AA14/AA10</f>
        <v>0.3176939474</v>
      </c>
      <c r="AC14" s="118">
        <f>SUM(AC12:AC13)</f>
        <v>7511565.512</v>
      </c>
      <c r="AD14" s="117">
        <f t="shared" si="35"/>
        <v>0.2504588986</v>
      </c>
      <c r="AE14" s="118">
        <f>sum(AE12:AE13)</f>
        <v>15815630.87</v>
      </c>
      <c r="AF14" s="117">
        <f t="shared" si="36"/>
        <v>0.2922504954</v>
      </c>
      <c r="AG14" s="118">
        <f>SUM(AG12:AG13)</f>
        <v>16109915.58</v>
      </c>
      <c r="AH14" s="117">
        <f t="shared" si="37"/>
        <v>0.2976988153</v>
      </c>
      <c r="AI14" s="118">
        <f>sum(AI12:AI13)</f>
        <v>0</v>
      </c>
      <c r="AJ14" s="117">
        <f>AI14/AI10</f>
        <v>0</v>
      </c>
      <c r="AK14" s="147" t="str">
        <f>sum(AK12:AK13)</f>
        <v>#REF!</v>
      </c>
      <c r="AL14" s="117" t="str">
        <f>AK14/AK10</f>
        <v>#REF!</v>
      </c>
      <c r="AM14" s="118">
        <f>sum(AM12:AM13)</f>
        <v>1078631.095</v>
      </c>
      <c r="AN14" s="117">
        <f t="shared" si="40"/>
        <v>0.5301349929</v>
      </c>
      <c r="AO14" s="118">
        <f>sum(AO12:AO13)</f>
        <v>0</v>
      </c>
      <c r="AP14" s="117">
        <f t="shared" si="41"/>
        <v>0</v>
      </c>
      <c r="AQ14" s="118">
        <f>sum(AQ12:AQ13)</f>
        <v>6659011.64</v>
      </c>
      <c r="AR14" s="117">
        <f>AQ14/AQ10</f>
        <v>0.4735463181</v>
      </c>
      <c r="AS14" s="118">
        <f>sum(AS12:AS13)</f>
        <v>6477000</v>
      </c>
      <c r="AT14" s="117">
        <f>AS14/AS10</f>
        <v>0.4318</v>
      </c>
      <c r="AU14" s="68">
        <f>AU12+AU13</f>
        <v>840188.1465</v>
      </c>
      <c r="AV14" s="70"/>
      <c r="AW14" s="68">
        <f>AW12+AW13</f>
        <v>663748.4767</v>
      </c>
      <c r="AX14" s="70"/>
      <c r="AY14" s="68">
        <f>AY12+AY13</f>
        <v>626842.5628</v>
      </c>
      <c r="AZ14" s="70"/>
      <c r="BA14" s="68">
        <f>BA12+BA13</f>
        <v>0</v>
      </c>
      <c r="BB14" s="70"/>
    </row>
    <row r="15" ht="15.75" customHeight="1">
      <c r="A15" s="176"/>
      <c r="B15" s="90" t="s">
        <v>32</v>
      </c>
      <c r="C15" s="202"/>
      <c r="D15" s="93"/>
      <c r="E15" s="93"/>
      <c r="F15" s="67" t="str">
        <f t="shared" si="24"/>
        <v>#REF!</v>
      </c>
      <c r="G15" s="203"/>
      <c r="H15" s="100"/>
      <c r="I15" s="100"/>
      <c r="J15" s="100"/>
      <c r="K15" s="93"/>
      <c r="L15" s="92"/>
      <c r="M15" s="92"/>
      <c r="N15" s="204" t="str">
        <f t="shared" si="27"/>
        <v>#REF!</v>
      </c>
      <c r="O15" s="101"/>
      <c r="P15" s="100"/>
      <c r="Q15" s="100"/>
      <c r="R15" s="205"/>
      <c r="S15" s="101"/>
      <c r="T15" s="100"/>
      <c r="U15" s="100"/>
      <c r="V15" s="205"/>
      <c r="W15" s="101"/>
      <c r="X15" s="205"/>
      <c r="Y15" s="100"/>
      <c r="Z15" s="100"/>
      <c r="AA15" s="100"/>
      <c r="AB15" s="205"/>
      <c r="AC15" s="100"/>
      <c r="AD15" s="205"/>
      <c r="AE15" s="100"/>
      <c r="AF15" s="205"/>
      <c r="AG15" s="100"/>
      <c r="AH15" s="205"/>
      <c r="AI15" s="100"/>
      <c r="AJ15" s="205"/>
      <c r="AK15" s="100"/>
      <c r="AL15" s="205"/>
      <c r="AM15" s="100"/>
      <c r="AN15" s="205"/>
      <c r="AO15" s="100"/>
      <c r="AP15" s="205"/>
      <c r="AQ15" s="100"/>
      <c r="AR15" s="205"/>
      <c r="AS15" s="100"/>
      <c r="AT15" s="205"/>
      <c r="AU15" s="101"/>
      <c r="AV15" s="101"/>
      <c r="AW15" s="101"/>
      <c r="AX15" s="101" t="str">
        <f>'Summary Sheet - June 2025'!AZ15</f>
        <v/>
      </c>
      <c r="AY15" s="101" t="str">
        <f>'Summary Sheet - June 2025'!BG15</f>
        <v/>
      </c>
      <c r="AZ15" s="101" t="str">
        <f>'Summary Sheet - June 2025'!BH15</f>
        <v/>
      </c>
      <c r="BA15" s="101" t="str">
        <f>'Summary Sheet - June 2025'!BK15</f>
        <v/>
      </c>
      <c r="BB15" s="101" t="str">
        <f>'Summary Sheet - June 2025'!BL15</f>
        <v/>
      </c>
    </row>
    <row r="16" ht="15.75" customHeight="1">
      <c r="A16" s="176"/>
      <c r="B16" s="153" t="s">
        <v>33</v>
      </c>
      <c r="C16" s="154">
        <f>C10-C14</f>
        <v>143644227</v>
      </c>
      <c r="D16" s="156"/>
      <c r="E16" s="156" t="str">
        <f>E10-E14</f>
        <v>#REF!</v>
      </c>
      <c r="F16" s="204" t="str">
        <f t="shared" si="24"/>
        <v>#REF!</v>
      </c>
      <c r="G16" s="206">
        <f>'Summary Sheet - July 2025'!G16+'Summary Sheet - Aug 2025'!G16+'Summary Sheet - Sep 2025'!G16</f>
        <v>-1468610</v>
      </c>
      <c r="H16" s="160"/>
      <c r="I16" s="156">
        <f>'Summary Sheet - Oct 2025'!I16+'Summary Sheet - Nov 2025'!I16+'Summary Sheet - Dec 2025'!I16</f>
        <v>0</v>
      </c>
      <c r="J16" s="160"/>
      <c r="K16" s="156">
        <f>K10-K14</f>
        <v>153902627.9</v>
      </c>
      <c r="L16" s="160"/>
      <c r="M16" s="156" t="str">
        <f>Q16+U16+Y16+AC16+AG16+AK16+AO16</f>
        <v>#REF!</v>
      </c>
      <c r="N16" s="155" t="str">
        <f t="shared" si="27"/>
        <v>#REF!</v>
      </c>
      <c r="O16" s="156">
        <f>O10-O14</f>
        <v>48507716.01</v>
      </c>
      <c r="P16" s="155">
        <f>O16/O10</f>
        <v>0.6911320641</v>
      </c>
      <c r="Q16" s="156">
        <f>Q10-Q14-Q15</f>
        <v>38090531.95</v>
      </c>
      <c r="R16" s="155">
        <f>Q16/Q$10</f>
        <v>0.6634631825</v>
      </c>
      <c r="S16" s="156">
        <f>S10-S14</f>
        <v>1755494.118</v>
      </c>
      <c r="T16" s="155">
        <f>S16/S10</f>
        <v>0.6019418364</v>
      </c>
      <c r="U16" s="156" t="str">
        <f>U10-U14-U15</f>
        <v>#REF!</v>
      </c>
      <c r="V16" s="155" t="str">
        <f>U16/U$10</f>
        <v>#REF!</v>
      </c>
      <c r="W16" s="156">
        <f>W10-W14</f>
        <v>29191593.07</v>
      </c>
      <c r="X16" s="155">
        <f>W16/$W$10</f>
        <v>0.6738042197</v>
      </c>
      <c r="Y16" s="156">
        <f>Y10-Y14-Y15</f>
        <v>33880230.98</v>
      </c>
      <c r="Z16" s="160">
        <f>Y16/Y$10</f>
        <v>0.7157893794</v>
      </c>
      <c r="AA16" s="156">
        <f>AA10-AA14</f>
        <v>19012626.25</v>
      </c>
      <c r="AB16" s="155">
        <f>AA16/AA10</f>
        <v>0.6823060526</v>
      </c>
      <c r="AC16" s="156">
        <f>AC10-AC14</f>
        <v>22479644.83</v>
      </c>
      <c r="AD16" s="155">
        <f>AC16/AC$10</f>
        <v>0.7495411014</v>
      </c>
      <c r="AE16" s="156">
        <f>AE10-AE14</f>
        <v>38301063.96</v>
      </c>
      <c r="AF16" s="155">
        <f>AE16/AE10</f>
        <v>0.7077495046</v>
      </c>
      <c r="AG16" s="156">
        <f>AG10-AG14-AG15</f>
        <v>38004896.95</v>
      </c>
      <c r="AH16" s="155">
        <f>AG16/AG$10</f>
        <v>0.7023011847</v>
      </c>
      <c r="AI16" s="156">
        <f>AI10-AI14</f>
        <v>42624</v>
      </c>
      <c r="AJ16" s="155">
        <f>AI16/AI10</f>
        <v>1</v>
      </c>
      <c r="AK16" s="156" t="str">
        <f>AK10-AK14</f>
        <v>#REF!</v>
      </c>
      <c r="AL16" s="155" t="str">
        <f>AK16/AK10</f>
        <v>#REF!</v>
      </c>
      <c r="AM16" s="156">
        <f>AM10-AM14</f>
        <v>956003.6853</v>
      </c>
      <c r="AN16" s="155">
        <f>AM16/$AM$10</f>
        <v>0.4698650071</v>
      </c>
      <c r="AO16" s="156">
        <f>AO10-AO14</f>
        <v>268349</v>
      </c>
      <c r="AP16" s="155">
        <f>AO16/$AM$10</f>
        <v>0.1318905008</v>
      </c>
      <c r="AQ16" s="156">
        <f>AQ10-AQ14</f>
        <v>7402995.36</v>
      </c>
      <c r="AR16" s="155">
        <f>AQ16/AQ10</f>
        <v>0.5264536819</v>
      </c>
      <c r="AS16" s="156">
        <f>AS10-AS14</f>
        <v>8523000</v>
      </c>
      <c r="AT16" s="155">
        <f>AS16/AS10</f>
        <v>0.5682</v>
      </c>
      <c r="AU16" s="156">
        <f>AU10-AU14-AU15</f>
        <v>207647.1835</v>
      </c>
      <c r="AV16" s="160"/>
      <c r="AW16" s="156">
        <f>AW10-AW14-AW15</f>
        <v>-97228.43666</v>
      </c>
      <c r="AX16" s="160"/>
      <c r="AY16" s="156">
        <f>AY10-AY14-AY15</f>
        <v>-167698.1628</v>
      </c>
      <c r="AZ16" s="160"/>
      <c r="BA16" s="156">
        <f>BA10-BA14-BA15</f>
        <v>0</v>
      </c>
      <c r="BB16" s="160"/>
    </row>
    <row r="17" ht="15.75" customHeight="1">
      <c r="A17" s="176"/>
      <c r="B17" s="22"/>
      <c r="C17" s="23"/>
      <c r="D17" s="25"/>
      <c r="E17" s="25"/>
      <c r="F17" s="155"/>
      <c r="G17" s="201"/>
      <c r="H17" s="28"/>
      <c r="I17" s="28"/>
      <c r="J17" s="28"/>
      <c r="K17" s="137"/>
      <c r="L17" s="137"/>
      <c r="M17" s="137"/>
      <c r="N17" s="24"/>
      <c r="O17" s="28"/>
      <c r="P17" s="28"/>
      <c r="Q17" s="28"/>
      <c r="R17" s="81"/>
      <c r="S17" s="34"/>
      <c r="T17" s="28"/>
      <c r="U17" s="28"/>
      <c r="V17" s="81"/>
      <c r="W17" s="28"/>
      <c r="X17" s="81"/>
      <c r="Y17" s="28"/>
      <c r="Z17" s="28"/>
      <c r="AA17" s="28"/>
      <c r="AB17" s="81"/>
      <c r="AC17" s="28"/>
      <c r="AD17" s="81"/>
      <c r="AE17" s="28"/>
      <c r="AF17" s="81"/>
      <c r="AG17" s="28"/>
      <c r="AH17" s="81"/>
      <c r="AI17" s="28"/>
      <c r="AJ17" s="81"/>
      <c r="AK17" s="28"/>
      <c r="AL17" s="81"/>
      <c r="AM17" s="28"/>
      <c r="AN17" s="81"/>
      <c r="AO17" s="28"/>
      <c r="AP17" s="81"/>
      <c r="AQ17" s="28"/>
      <c r="AR17" s="81"/>
      <c r="AS17" s="28"/>
      <c r="AT17" s="81"/>
      <c r="AU17" s="28"/>
      <c r="AV17" s="28"/>
      <c r="AW17" s="28"/>
      <c r="AX17" s="28"/>
      <c r="AY17" s="28"/>
      <c r="AZ17" s="28"/>
      <c r="BA17" s="28"/>
      <c r="BB17" s="28"/>
    </row>
    <row r="18" ht="15.75" customHeight="1">
      <c r="A18" s="176"/>
      <c r="B18" s="38" t="s">
        <v>34</v>
      </c>
      <c r="C18" s="39">
        <f t="shared" ref="C18:C27" si="44">G18+K18</f>
        <v>4656057.03</v>
      </c>
      <c r="D18" s="40"/>
      <c r="E18" s="40" t="str">
        <f t="shared" ref="E18:E28" si="45">I18+M18</f>
        <v>#REF!</v>
      </c>
      <c r="F18" s="24" t="str">
        <f t="shared" ref="F18:F28" si="46">E18/E$10</f>
        <v>#REF!</v>
      </c>
      <c r="G18" s="196">
        <f>'Summary Sheet - July 2025'!G18+'Summary Sheet - Aug 2025'!G18+'Summary Sheet - Sep 2025'!G18</f>
        <v>0</v>
      </c>
      <c r="H18" s="43"/>
      <c r="I18" s="48">
        <f>'Summary Sheet - Oct 2025'!I18+'Summary Sheet - Nov 2025'!I18+'Summary Sheet - Dec 2025'!I18</f>
        <v>0</v>
      </c>
      <c r="J18" s="43"/>
      <c r="K18" s="40">
        <f t="shared" ref="K18:K27" si="47">O18+S18+W18+AA18+AE18+AI18+AM18+AQ18+AU18+AW18+AY18+BA18</f>
        <v>4656057.03</v>
      </c>
      <c r="L18" s="139"/>
      <c r="M18" s="40" t="str">
        <f t="shared" ref="M18:M27" si="48">Q18+U18+Y18+AC18+AG18+AK18+AO18</f>
        <v>#REF!</v>
      </c>
      <c r="N18" s="84" t="str">
        <f t="shared" ref="N18:N28" si="49">M18/M$10</f>
        <v>#REF!</v>
      </c>
      <c r="O18" s="34">
        <f>'Summary Sheet - Oct 2025'!O18+'Summary Sheet - Nov 2025'!O18+'Summary Sheet - Dec 2025'!O18</f>
        <v>1351176.32</v>
      </c>
      <c r="P18" s="81">
        <f t="shared" ref="P18:P27" si="50">O18/$O$10</f>
        <v>0.0192513966</v>
      </c>
      <c r="Q18" s="48">
        <f>'The Table'!AP53+'The Table'!AV53+'The Table'!BB53</f>
        <v>1218586.784</v>
      </c>
      <c r="R18" s="140">
        <f t="shared" ref="R18:R28" si="51">Q18/Q$10</f>
        <v>0.02122541809</v>
      </c>
      <c r="S18" s="34">
        <f>'Summary Sheet - Oct 2025'!S18+'Summary Sheet - Nov 2025'!S18+'Summary Sheet - Dec 2025'!S18</f>
        <v>63931.44</v>
      </c>
      <c r="T18" s="140">
        <f t="shared" ref="T18:T27" si="52">S18/$S$10</f>
        <v>0.02192146815</v>
      </c>
      <c r="U18" s="48" t="str">
        <f>'Summary Sheet - Oct 2025'!U18+'Summary Sheet - Nov 2025'!U18+'Summary Sheet - Dec 2025'!U18</f>
        <v>#REF!</v>
      </c>
      <c r="V18" s="140" t="str">
        <f t="shared" ref="V18:V28" si="53">U18/U$10</f>
        <v>#REF!</v>
      </c>
      <c r="W18" s="34">
        <f>'Summary Sheet - Oct 2025'!W18+'Summary Sheet - Nov 2025'!W18+'Summary Sheet - Dec 2025'!W18</f>
        <v>1241037</v>
      </c>
      <c r="X18" s="81">
        <f t="shared" ref="X18:X28" si="54">W18/$W$10</f>
        <v>0.0286457805</v>
      </c>
      <c r="Y18" s="48">
        <f>'Mg St Colaba'!AP77+'Mg St Colaba'!AV77+'Mg St Colaba'!BB77</f>
        <v>1093384.951</v>
      </c>
      <c r="Z18" s="43">
        <f t="shared" ref="Z18:Z28" si="55">Y18/Y$10</f>
        <v>0.0231</v>
      </c>
      <c r="AA18" s="34">
        <f>'Summary Sheet - Oct 2025'!AA18+'Summary Sheet - Nov 2025'!AA18+'Summary Sheet - Dec 2025'!AA18</f>
        <v>488003.76</v>
      </c>
      <c r="AB18" s="81">
        <f t="shared" ref="AB18:AB28" si="56">AA18/$AA$10</f>
        <v>0.01751298925</v>
      </c>
      <c r="AC18" s="34">
        <f>'Summary Sheet - Oct 2025'!AC18+'Summary Sheet - Nov 2025'!AC18+'Summary Sheet - Dec 2025'!AC18</f>
        <v>704793.4431</v>
      </c>
      <c r="AD18" s="140">
        <f t="shared" ref="AD18:AD28" si="57">AC18/AC$10</f>
        <v>0.0235</v>
      </c>
      <c r="AE18" s="34">
        <f>'Summary Sheet - Oct 2025'!AE18+'Summary Sheet - Nov 2025'!AE18+'Summary Sheet - Dec 2025'!AE18</f>
        <v>1006154</v>
      </c>
      <c r="AF18" s="81">
        <f t="shared" ref="AF18:AF27" si="58">AE18/$AE$10</f>
        <v>0.01859230323</v>
      </c>
      <c r="AG18" s="34">
        <f>'Summary Sheet - Oct 2025'!AG18+'Summary Sheet - Nov 2025'!AG18+'Summary Sheet - Dec 2025'!AG18</f>
        <v>1141822.544</v>
      </c>
      <c r="AH18" s="140">
        <f t="shared" ref="AH18:AH28" si="59">AG18/AG$10</f>
        <v>0.0211</v>
      </c>
      <c r="AI18" s="34">
        <f>'Summary Sheet - Oct 2025'!AI18+'Summary Sheet - Nov 2025'!AI18+'Summary Sheet - Dec 2025'!AI18</f>
        <v>0</v>
      </c>
      <c r="AJ18" s="81">
        <f t="shared" ref="AJ18:AJ27" si="60">AI18/$AI$10</f>
        <v>0</v>
      </c>
      <c r="AK18" s="195" t="str">
        <f>'Summary Sheet - Oct 2025'!AK18+'Summary Sheet - Nov 2025'!AK18+'Summary Sheet - Dec 2025'!AK18</f>
        <v>#REF!</v>
      </c>
      <c r="AL18" s="140" t="str">
        <f t="shared" ref="AL18:AL27" si="61">AK18/$AK$10</f>
        <v>#REF!</v>
      </c>
      <c r="AM18" s="34">
        <f>'Summary Sheet - Oct 2025'!AM18+'Summary Sheet - Nov 2025'!AM18+'Summary Sheet - Dec 2025'!AM18</f>
        <v>132027.35</v>
      </c>
      <c r="AN18" s="81">
        <f t="shared" ref="AN18:AN27" si="62">AM18/$AM$10</f>
        <v>0.06488995042</v>
      </c>
      <c r="AO18" s="34">
        <f>'Summary Sheet - Oct 2025'!AO18+'Summary Sheet - Nov 2025'!AO18+'Summary Sheet - Dec 2025'!AO18</f>
        <v>0</v>
      </c>
      <c r="AP18" s="81">
        <f t="shared" ref="AP18:AP27" si="63">AO18/$AO$10</f>
        <v>0</v>
      </c>
      <c r="AQ18" s="34">
        <f>'Summary Sheet - Oct 2025'!AQ18+'Summary Sheet - Nov 2025'!AQ18+'Summary Sheet - Dec 2025'!AQ18</f>
        <v>373727.16</v>
      </c>
      <c r="AR18" s="140">
        <f t="shared" ref="AR18:AR27" si="64">AQ18/$AQ$10</f>
        <v>0.02657708533</v>
      </c>
      <c r="AS18" s="34">
        <f>'Summary Sheet - Oct 2025'!AS18+'Summary Sheet - Nov 2025'!AS18+'Summary Sheet - Dec 2025'!AS18</f>
        <v>240000</v>
      </c>
      <c r="AT18" s="81">
        <f t="shared" ref="AT18:AT27" si="65">AS18/$AS$10</f>
        <v>0.016</v>
      </c>
      <c r="AU18" s="197">
        <f>'MSBC Andheri'!J73+'MSBC Andheri'!K73+'MSBC Andheri'!L73</f>
        <v>0</v>
      </c>
      <c r="AV18" s="43"/>
      <c r="AW18" s="48">
        <f>'MSBC Dahisar'!J71+'MSBC Dahisar'!K71+'MSBC Dahisar'!L71</f>
        <v>0</v>
      </c>
      <c r="AX18" s="43"/>
      <c r="AY18" s="48">
        <f>'MSBC Juhu  Goregoan'!J62+'MSBC Juhu  Goregoan'!K62+'MSBC Juhu  Goregoan'!L62</f>
        <v>0</v>
      </c>
      <c r="AZ18" s="43"/>
      <c r="BA18" s="48">
        <f>'Summary Sheet - Oct 2025'!BG18+'Summary Sheet - Nov 2025'!BG18+'Summary Sheet - Dec 2025'!BG18</f>
        <v>0</v>
      </c>
      <c r="BB18" s="43"/>
    </row>
    <row r="19" ht="15.75" customHeight="1">
      <c r="A19" s="176"/>
      <c r="B19" s="38" t="s">
        <v>35</v>
      </c>
      <c r="C19" s="39">
        <f t="shared" si="44"/>
        <v>4603788.667</v>
      </c>
      <c r="D19" s="40"/>
      <c r="E19" s="40" t="str">
        <f t="shared" si="45"/>
        <v>#REF!</v>
      </c>
      <c r="F19" s="84" t="str">
        <f t="shared" si="46"/>
        <v>#REF!</v>
      </c>
      <c r="G19" s="196">
        <f>'Summary Sheet - July 2025'!G19+'Summary Sheet - Aug 2025'!G19+'Summary Sheet - Sep 2025'!G19</f>
        <v>132278</v>
      </c>
      <c r="H19" s="43"/>
      <c r="I19" s="48">
        <f>'Summary Sheet - Oct 2025'!I19+'Summary Sheet - Nov 2025'!I19+'Summary Sheet - Dec 2025'!I19</f>
        <v>38622</v>
      </c>
      <c r="J19" s="43"/>
      <c r="K19" s="40">
        <f t="shared" si="47"/>
        <v>4471510.667</v>
      </c>
      <c r="L19" s="139"/>
      <c r="M19" s="40" t="str">
        <f t="shared" si="48"/>
        <v>#REF!</v>
      </c>
      <c r="N19" s="84" t="str">
        <f t="shared" si="49"/>
        <v>#REF!</v>
      </c>
      <c r="O19" s="34">
        <f>'Summary Sheet - Oct 2025'!O19+'Summary Sheet - Nov 2025'!O19+'Summary Sheet - Dec 2025'!O19</f>
        <v>420065</v>
      </c>
      <c r="P19" s="81">
        <f t="shared" si="50"/>
        <v>0.005985035256</v>
      </c>
      <c r="Q19" s="48">
        <f>'The Table'!AP62+'The Table'!AV62+'The Table'!BB62</f>
        <v>663849.3333</v>
      </c>
      <c r="R19" s="140">
        <f t="shared" si="51"/>
        <v>0.01156296772</v>
      </c>
      <c r="S19" s="34">
        <f>'Summary Sheet - Oct 2025'!S19+'Summary Sheet - Nov 2025'!S19+'Summary Sheet - Dec 2025'!S19</f>
        <v>304666</v>
      </c>
      <c r="T19" s="140">
        <f t="shared" si="52"/>
        <v>0.1044670042</v>
      </c>
      <c r="U19" s="48" t="str">
        <f>'Summary Sheet - Oct 2025'!U19+'Summary Sheet - Nov 2025'!U19+'Summary Sheet - Dec 2025'!U19</f>
        <v>#REF!</v>
      </c>
      <c r="V19" s="140" t="str">
        <f t="shared" si="53"/>
        <v>#REF!</v>
      </c>
      <c r="W19" s="34">
        <f>'Summary Sheet - Oct 2025'!W19+'Summary Sheet - Nov 2025'!W19+'Summary Sheet - Dec 2025'!W19</f>
        <v>616670.4762</v>
      </c>
      <c r="X19" s="81">
        <f t="shared" si="54"/>
        <v>0.01423406965</v>
      </c>
      <c r="Y19" s="48">
        <f>'Mg St Colaba'!AP89+'Mg St Colaba'!AV89+'Mg St Colaba'!BB89</f>
        <v>707343</v>
      </c>
      <c r="Z19" s="43">
        <f t="shared" si="55"/>
        <v>0.01494407188</v>
      </c>
      <c r="AA19" s="34">
        <f>'Summary Sheet - Oct 2025'!AA19+'Summary Sheet - Nov 2025'!AA19+'Summary Sheet - Dec 2025'!AA19</f>
        <v>713297.4762</v>
      </c>
      <c r="AB19" s="81">
        <f t="shared" si="56"/>
        <v>0.02559810407</v>
      </c>
      <c r="AC19" s="34">
        <f>'Summary Sheet - Oct 2025'!AC19+'Summary Sheet - Nov 2025'!AC19+'Summary Sheet - Dec 2025'!AC19</f>
        <v>716074</v>
      </c>
      <c r="AD19" s="140">
        <f t="shared" si="57"/>
        <v>0.02387612876</v>
      </c>
      <c r="AE19" s="34">
        <f>'Summary Sheet - Oct 2025'!AE19+'Summary Sheet - Nov 2025'!AE19+'Summary Sheet - Dec 2025'!AE19</f>
        <v>624708.4762</v>
      </c>
      <c r="AF19" s="81">
        <f t="shared" si="58"/>
        <v>0.01154372931</v>
      </c>
      <c r="AG19" s="34">
        <f>'Summary Sheet - Oct 2025'!AG19+'Summary Sheet - Nov 2025'!AG19+'Summary Sheet - Dec 2025'!AG19</f>
        <v>839999.6667</v>
      </c>
      <c r="AH19" s="140">
        <f t="shared" si="59"/>
        <v>0.015522546</v>
      </c>
      <c r="AI19" s="34">
        <f>'Summary Sheet - Oct 2025'!AI19+'Summary Sheet - Nov 2025'!AI19+'Summary Sheet - Dec 2025'!AI19</f>
        <v>0</v>
      </c>
      <c r="AJ19" s="81">
        <f t="shared" si="60"/>
        <v>0</v>
      </c>
      <c r="AK19" s="195" t="str">
        <f>'Summary Sheet - Oct 2025'!AK19+'Summary Sheet - Nov 2025'!AK19+'Summary Sheet - Dec 2025'!AK19</f>
        <v>#REF!</v>
      </c>
      <c r="AL19" s="140" t="str">
        <f t="shared" si="61"/>
        <v>#REF!</v>
      </c>
      <c r="AM19" s="34">
        <f>'Summary Sheet - Oct 2025'!AM19+'Summary Sheet - Nov 2025'!AM19+'Summary Sheet - Dec 2025'!AM19</f>
        <v>192918.1429</v>
      </c>
      <c r="AN19" s="81">
        <f t="shared" si="62"/>
        <v>0.09481708696</v>
      </c>
      <c r="AO19" s="34">
        <f>'Summary Sheet - Oct 2025'!AO19+'Summary Sheet - Nov 2025'!AO19+'Summary Sheet - Dec 2025'!AO19</f>
        <v>237687</v>
      </c>
      <c r="AP19" s="81">
        <f t="shared" si="63"/>
        <v>0.8857383482</v>
      </c>
      <c r="AQ19" s="34">
        <f>'Summary Sheet - Oct 2025'!AQ19+'Summary Sheet - Nov 2025'!AQ19+'Summary Sheet - Dec 2025'!AQ19</f>
        <v>300811.6667</v>
      </c>
      <c r="AR19" s="140">
        <f t="shared" si="64"/>
        <v>0.0213918018</v>
      </c>
      <c r="AS19" s="34">
        <f>'Summary Sheet - Oct 2025'!AS19+'Summary Sheet - Nov 2025'!AS19+'Summary Sheet - Dec 2025'!AS19</f>
        <v>182663.3333</v>
      </c>
      <c r="AT19" s="81">
        <f t="shared" si="65"/>
        <v>0.01217755556</v>
      </c>
      <c r="AU19" s="197">
        <f>'MSBC Andheri'!J85+'MSBC Andheri'!K85+'MSBC Andheri'!L85</f>
        <v>229741.1429</v>
      </c>
      <c r="AV19" s="43"/>
      <c r="AW19" s="48">
        <f>'MSBC Dahisar'!J73+'MSBC Dahisar'!K73+'MSBC Dahisar'!L73</f>
        <v>219924.1429</v>
      </c>
      <c r="AX19" s="43"/>
      <c r="AY19" s="48">
        <f>'MSBC Juhu  Goregoan'!J74+'MSBC Juhu  Goregoan'!K74+'MSBC Juhu  Goregoan'!L74</f>
        <v>208401.1429</v>
      </c>
      <c r="AZ19" s="43"/>
      <c r="BA19" s="48">
        <f>'Summary Sheet - Oct 2025'!BG19+'Summary Sheet - Nov 2025'!BG19+'Summary Sheet - Dec 2025'!BG19</f>
        <v>640307</v>
      </c>
      <c r="BB19" s="43"/>
    </row>
    <row r="20" ht="15.75" customHeight="1">
      <c r="A20" s="176"/>
      <c r="B20" s="38" t="s">
        <v>36</v>
      </c>
      <c r="C20" s="39">
        <f t="shared" si="44"/>
        <v>6456328.12</v>
      </c>
      <c r="D20" s="40"/>
      <c r="E20" s="40" t="str">
        <f t="shared" si="45"/>
        <v>#REF!</v>
      </c>
      <c r="F20" s="84" t="str">
        <f t="shared" si="46"/>
        <v>#REF!</v>
      </c>
      <c r="G20" s="196">
        <f>'Summary Sheet - July 2025'!G20+'Summary Sheet - Aug 2025'!G20+'Summary Sheet - Sep 2025'!G20</f>
        <v>0</v>
      </c>
      <c r="H20" s="43"/>
      <c r="I20" s="48">
        <f>'Summary Sheet - Oct 2025'!I20+'Summary Sheet - Nov 2025'!I20+'Summary Sheet - Dec 2025'!I20</f>
        <v>0</v>
      </c>
      <c r="J20" s="43"/>
      <c r="K20" s="40">
        <f t="shared" si="47"/>
        <v>6456328.12</v>
      </c>
      <c r="L20" s="139"/>
      <c r="M20" s="40" t="str">
        <f t="shared" si="48"/>
        <v>#REF!</v>
      </c>
      <c r="N20" s="84" t="str">
        <f t="shared" si="49"/>
        <v>#REF!</v>
      </c>
      <c r="O20" s="34">
        <f>'Summary Sheet - Oct 2025'!O20+'Summary Sheet - Nov 2025'!O20+'Summary Sheet - Dec 2025'!O20</f>
        <v>319615.8671</v>
      </c>
      <c r="P20" s="81">
        <f t="shared" si="50"/>
        <v>0.004553848174</v>
      </c>
      <c r="Q20" s="48">
        <f>'The Table'!AP70+'The Table'!AV70+'The Table'!BB70</f>
        <v>645351.458</v>
      </c>
      <c r="R20" s="140">
        <f t="shared" si="51"/>
        <v>0.01124077061</v>
      </c>
      <c r="S20" s="34">
        <f>'Summary Sheet - Oct 2025'!S20+'Summary Sheet - Nov 2025'!S20+'Summary Sheet - Dec 2025'!S20</f>
        <v>287035.89</v>
      </c>
      <c r="T20" s="140">
        <f t="shared" si="52"/>
        <v>0.09842181123</v>
      </c>
      <c r="U20" s="48" t="str">
        <f>'Summary Sheet - Oct 2025'!U20+'Summary Sheet - Nov 2025'!U20+'Summary Sheet - Dec 2025'!U20</f>
        <v>#REF!</v>
      </c>
      <c r="V20" s="140" t="str">
        <f t="shared" si="53"/>
        <v>#REF!</v>
      </c>
      <c r="W20" s="34">
        <f>'Summary Sheet - Oct 2025'!W20+'Summary Sheet - Nov 2025'!W20+'Summary Sheet - Dec 2025'!W20</f>
        <v>1381362.013</v>
      </c>
      <c r="X20" s="81">
        <f t="shared" si="54"/>
        <v>0.03188478105</v>
      </c>
      <c r="Y20" s="48">
        <f>'Mg St Colaba'!AP100+'Mg St Colaba'!AV100+'Mg St Colaba'!BB100</f>
        <v>1566770.122</v>
      </c>
      <c r="Z20" s="43">
        <f t="shared" si="55"/>
        <v>0.0331012328</v>
      </c>
      <c r="AA20" s="34">
        <f>'Summary Sheet - Oct 2025'!AA20+'Summary Sheet - Nov 2025'!AA20+'Summary Sheet - Dec 2025'!AA20</f>
        <v>1894041.39</v>
      </c>
      <c r="AB20" s="81">
        <f t="shared" si="56"/>
        <v>0.06797145683</v>
      </c>
      <c r="AC20" s="34">
        <f>'Summary Sheet - Oct 2025'!AC20+'Summary Sheet - Nov 2025'!AC20+'Summary Sheet - Dec 2025'!AC20</f>
        <v>2342861.07</v>
      </c>
      <c r="AD20" s="140">
        <f t="shared" si="57"/>
        <v>0.07811825675</v>
      </c>
      <c r="AE20" s="34">
        <f>'Summary Sheet - Oct 2025'!AE20+'Summary Sheet - Nov 2025'!AE20+'Summary Sheet - Dec 2025'!AE20</f>
        <v>1866721.2</v>
      </c>
      <c r="AF20" s="81">
        <f t="shared" si="58"/>
        <v>0.03449436825</v>
      </c>
      <c r="AG20" s="34">
        <f>'Summary Sheet - Oct 2025'!AG20+'Summary Sheet - Nov 2025'!AG20+'Summary Sheet - Dec 2025'!AG20</f>
        <v>1583624.84</v>
      </c>
      <c r="AH20" s="140">
        <f t="shared" si="59"/>
        <v>0.02926416568</v>
      </c>
      <c r="AI20" s="34">
        <f>'Summary Sheet - Oct 2025'!AI20+'Summary Sheet - Nov 2025'!AI20+'Summary Sheet - Dec 2025'!AI20</f>
        <v>0</v>
      </c>
      <c r="AJ20" s="81">
        <f t="shared" si="60"/>
        <v>0</v>
      </c>
      <c r="AK20" s="195" t="str">
        <f>'Summary Sheet - Oct 2025'!AK20+'Summary Sheet - Nov 2025'!AK20+'Summary Sheet - Dec 2025'!AK20</f>
        <v>#REF!</v>
      </c>
      <c r="AL20" s="140" t="str">
        <f t="shared" si="61"/>
        <v>#REF!</v>
      </c>
      <c r="AM20" s="34">
        <f>'Summary Sheet - Oct 2025'!AM20+'Summary Sheet - Nov 2025'!AM20+'Summary Sheet - Dec 2025'!AM20</f>
        <v>107187.23</v>
      </c>
      <c r="AN20" s="81">
        <f t="shared" si="62"/>
        <v>0.05268131217</v>
      </c>
      <c r="AO20" s="34">
        <f>'Summary Sheet - Oct 2025'!AO20+'Summary Sheet - Nov 2025'!AO20+'Summary Sheet - Dec 2025'!AO20</f>
        <v>0</v>
      </c>
      <c r="AP20" s="81">
        <f t="shared" si="63"/>
        <v>0</v>
      </c>
      <c r="AQ20" s="34">
        <f>'Summary Sheet - Oct 2025'!AQ20+'Summary Sheet - Nov 2025'!AQ20+'Summary Sheet - Dec 2025'!AQ20</f>
        <v>0</v>
      </c>
      <c r="AR20" s="140">
        <f t="shared" si="64"/>
        <v>0</v>
      </c>
      <c r="AS20" s="34">
        <f>'Summary Sheet - Oct 2025'!AS20+'Summary Sheet - Nov 2025'!AS20+'Summary Sheet - Dec 2025'!AS20</f>
        <v>0</v>
      </c>
      <c r="AT20" s="81">
        <f t="shared" si="65"/>
        <v>0</v>
      </c>
      <c r="AU20" s="197">
        <f>'MSBC Andheri'!J93+'MSBC Andheri'!K93+'MSBC Andheri'!L93</f>
        <v>297131.16</v>
      </c>
      <c r="AV20" s="43"/>
      <c r="AW20" s="48">
        <f>'MSBC Dahisar'!J80+'MSBC Dahisar'!K80+'MSBC Dahisar'!L80</f>
        <v>116406.57</v>
      </c>
      <c r="AX20" s="43"/>
      <c r="AY20" s="48">
        <f>'MSBC Juhu  Goregoan'!J81+'MSBC Juhu  Goregoan'!K81+'MSBC Juhu  Goregoan'!L81</f>
        <v>186826.8</v>
      </c>
      <c r="AZ20" s="43"/>
      <c r="BA20" s="48">
        <f>'Summary Sheet - Oct 2025'!BG20+'Summary Sheet - Nov 2025'!BG20+'Summary Sheet - Dec 2025'!BG20</f>
        <v>0</v>
      </c>
      <c r="BB20" s="43"/>
    </row>
    <row r="21" ht="15.75" customHeight="1">
      <c r="A21" s="176"/>
      <c r="B21" s="38" t="s">
        <v>37</v>
      </c>
      <c r="C21" s="39">
        <f t="shared" si="44"/>
        <v>21142016.25</v>
      </c>
      <c r="D21" s="40"/>
      <c r="E21" s="40" t="str">
        <f t="shared" si="45"/>
        <v>#REF!</v>
      </c>
      <c r="F21" s="84" t="str">
        <f t="shared" si="46"/>
        <v>#REF!</v>
      </c>
      <c r="G21" s="196">
        <f>'Summary Sheet - July 2025'!G21+'Summary Sheet - Aug 2025'!G21+'Summary Sheet - Sep 2025'!G21</f>
        <v>1085727</v>
      </c>
      <c r="H21" s="43"/>
      <c r="I21" s="48">
        <f>'Summary Sheet - Oct 2025'!I21+'Summary Sheet - Nov 2025'!I21+'Summary Sheet - Dec 2025'!I21</f>
        <v>1142640</v>
      </c>
      <c r="J21" s="43"/>
      <c r="K21" s="40">
        <f t="shared" si="47"/>
        <v>20056289.25</v>
      </c>
      <c r="L21" s="139"/>
      <c r="M21" s="40" t="str">
        <f t="shared" si="48"/>
        <v>#REF!</v>
      </c>
      <c r="N21" s="84" t="str">
        <f t="shared" si="49"/>
        <v>#REF!</v>
      </c>
      <c r="O21" s="34">
        <f>'Summary Sheet - Oct 2025'!O21+'Summary Sheet - Nov 2025'!O21+'Summary Sheet - Dec 2025'!O21</f>
        <v>5339964</v>
      </c>
      <c r="P21" s="81">
        <f t="shared" si="50"/>
        <v>0.07608316048</v>
      </c>
      <c r="Q21" s="48">
        <f>'The Table'!AP76+'The Table'!AV76+'The Table'!BB76</f>
        <v>5394517.02</v>
      </c>
      <c r="R21" s="140">
        <f t="shared" si="51"/>
        <v>0.09396202278</v>
      </c>
      <c r="S21" s="34">
        <f>'Summary Sheet - Oct 2025'!S21+'Summary Sheet - Nov 2025'!S21+'Summary Sheet - Dec 2025'!S21</f>
        <v>266120</v>
      </c>
      <c r="T21" s="140">
        <f t="shared" si="52"/>
        <v>0.09124995625</v>
      </c>
      <c r="U21" s="48" t="str">
        <f>'Summary Sheet - Oct 2025'!U21+'Summary Sheet - Nov 2025'!U21+'Summary Sheet - Dec 2025'!U21</f>
        <v>#REF!</v>
      </c>
      <c r="V21" s="140" t="str">
        <f t="shared" si="53"/>
        <v>#REF!</v>
      </c>
      <c r="W21" s="34">
        <f>'Summary Sheet - Oct 2025'!W21+'Summary Sheet - Nov 2025'!W21+'Summary Sheet - Dec 2025'!W21</f>
        <v>4426207</v>
      </c>
      <c r="X21" s="81">
        <f t="shared" si="54"/>
        <v>0.1021662965</v>
      </c>
      <c r="Y21" s="48">
        <f>'Mg St Colaba'!AP107+'Mg St Colaba'!AV107+'Mg St Colaba'!BB107</f>
        <v>4365665</v>
      </c>
      <c r="Z21" s="43">
        <f t="shared" si="55"/>
        <v>0.09223362861</v>
      </c>
      <c r="AA21" s="34">
        <f>'Summary Sheet - Oct 2025'!AA21+'Summary Sheet - Nov 2025'!AA21+'Summary Sheet - Dec 2025'!AA21</f>
        <v>3198741</v>
      </c>
      <c r="AB21" s="81">
        <f t="shared" si="56"/>
        <v>0.1147932072</v>
      </c>
      <c r="AC21" s="34">
        <f>'Summary Sheet - Oct 2025'!AC21+'Summary Sheet - Nov 2025'!AC21+'Summary Sheet - Dec 2025'!AC21</f>
        <v>3094967.8</v>
      </c>
      <c r="AD21" s="140">
        <f t="shared" si="57"/>
        <v>0.1031958285</v>
      </c>
      <c r="AE21" s="34">
        <f>'Summary Sheet - Oct 2025'!AE21+'Summary Sheet - Nov 2025'!AE21+'Summary Sheet - Dec 2025'!AE21</f>
        <v>4670580</v>
      </c>
      <c r="AF21" s="81">
        <f t="shared" si="58"/>
        <v>0.08630571425</v>
      </c>
      <c r="AG21" s="34">
        <f>'Summary Sheet - Oct 2025'!AG21+'Summary Sheet - Nov 2025'!AG21+'Summary Sheet - Dec 2025'!AG21</f>
        <v>4508710</v>
      </c>
      <c r="AH21" s="140">
        <f t="shared" si="59"/>
        <v>0.0833174835</v>
      </c>
      <c r="AI21" s="34">
        <f>'Summary Sheet - Oct 2025'!AI21+'Summary Sheet - Nov 2025'!AI21+'Summary Sheet - Dec 2025'!AI21</f>
        <v>378099</v>
      </c>
      <c r="AJ21" s="81">
        <f t="shared" si="60"/>
        <v>8.870565878</v>
      </c>
      <c r="AK21" s="195" t="str">
        <f>'Summary Sheet - Oct 2025'!AK21+'Summary Sheet - Nov 2025'!AK21+'Summary Sheet - Dec 2025'!AK21</f>
        <v>#REF!</v>
      </c>
      <c r="AL21" s="140" t="str">
        <f t="shared" si="61"/>
        <v>#REF!</v>
      </c>
      <c r="AM21" s="34">
        <f>'Summary Sheet - Oct 2025'!AM21+'Summary Sheet - Nov 2025'!AM21+'Summary Sheet - Dec 2025'!AM21</f>
        <v>745135</v>
      </c>
      <c r="AN21" s="81">
        <f t="shared" si="62"/>
        <v>0.3662254314</v>
      </c>
      <c r="AO21" s="34">
        <f>'Summary Sheet - Oct 2025'!AO21+'Summary Sheet - Nov 2025'!AO21+'Summary Sheet - Dec 2025'!AO21</f>
        <v>0</v>
      </c>
      <c r="AP21" s="81">
        <f t="shared" si="63"/>
        <v>0</v>
      </c>
      <c r="AQ21" s="34">
        <f>'Summary Sheet - Oct 2025'!AQ21+'Summary Sheet - Nov 2025'!AQ21+'Summary Sheet - Dec 2025'!AQ21</f>
        <v>1031443.25</v>
      </c>
      <c r="AR21" s="140">
        <f t="shared" si="64"/>
        <v>0.07334964703</v>
      </c>
      <c r="AS21" s="34">
        <f>'Summary Sheet - Oct 2025'!AS21+'Summary Sheet - Nov 2025'!AS21+'Summary Sheet - Dec 2025'!AS21</f>
        <v>0</v>
      </c>
      <c r="AT21" s="81">
        <f t="shared" si="65"/>
        <v>0</v>
      </c>
      <c r="AU21" s="197">
        <f>'MSBC Andheri'!J100+'MSBC Andheri'!K100+'MSBC Andheri'!L100</f>
        <v>0</v>
      </c>
      <c r="AV21" s="43"/>
      <c r="AW21" s="48">
        <f>'MSBC Dahisar'!J89+'MSBC Dahisar'!K89+'MSBC Dahisar'!L89</f>
        <v>0</v>
      </c>
      <c r="AX21" s="43"/>
      <c r="AY21" s="197">
        <v>0.0</v>
      </c>
      <c r="AZ21" s="43"/>
      <c r="BA21" s="48">
        <f>'Summary Sheet - Oct 2025'!BG21+'Summary Sheet - Nov 2025'!BG21+'Summary Sheet - Dec 2025'!BG21</f>
        <v>0</v>
      </c>
      <c r="BB21" s="43"/>
    </row>
    <row r="22" ht="15.75" customHeight="1">
      <c r="A22" s="176"/>
      <c r="B22" s="38" t="s">
        <v>38</v>
      </c>
      <c r="C22" s="39">
        <f t="shared" si="44"/>
        <v>66560028.66</v>
      </c>
      <c r="D22" s="40"/>
      <c r="E22" s="40" t="str">
        <f t="shared" si="45"/>
        <v>#REF!</v>
      </c>
      <c r="F22" s="84" t="str">
        <f t="shared" si="46"/>
        <v>#REF!</v>
      </c>
      <c r="G22" s="196">
        <f>'Summary Sheet - July 2025'!G22+'Summary Sheet - Aug 2025'!G22+'Summary Sheet - Sep 2025'!G22</f>
        <v>12010012.42</v>
      </c>
      <c r="H22" s="43"/>
      <c r="I22" s="48">
        <f>'Summary Sheet - Oct 2025'!I22+'Summary Sheet - Nov 2025'!I22+'Summary Sheet - Dec 2025'!I22</f>
        <v>14894396.99</v>
      </c>
      <c r="J22" s="43"/>
      <c r="K22" s="40">
        <f t="shared" si="47"/>
        <v>54550016.24</v>
      </c>
      <c r="L22" s="139"/>
      <c r="M22" s="40" t="str">
        <f t="shared" si="48"/>
        <v>#REF!</v>
      </c>
      <c r="N22" s="84" t="str">
        <f t="shared" si="49"/>
        <v>#REF!</v>
      </c>
      <c r="O22" s="34">
        <f>'Summary Sheet - Oct 2025'!O22+'Summary Sheet - Nov 2025'!O22+'Summary Sheet - Dec 2025'!O22</f>
        <v>16369742.11</v>
      </c>
      <c r="P22" s="81">
        <f t="shared" si="50"/>
        <v>0.2332341035</v>
      </c>
      <c r="Q22" s="48">
        <f>'The Table'!AP82+'The Table'!AV82+'The Table'!BB82</f>
        <v>13166051.33</v>
      </c>
      <c r="R22" s="140">
        <f t="shared" si="51"/>
        <v>0.2293270761</v>
      </c>
      <c r="S22" s="34">
        <f>'Summary Sheet - Oct 2025'!S22+'Summary Sheet - Nov 2025'!S22+'Summary Sheet - Dec 2025'!S22</f>
        <v>1136951.25</v>
      </c>
      <c r="T22" s="140">
        <f t="shared" si="52"/>
        <v>0.3898495108</v>
      </c>
      <c r="U22" s="48" t="str">
        <f>'Summary Sheet - Oct 2025'!U22+'Summary Sheet - Nov 2025'!U22+'Summary Sheet - Dec 2025'!U22</f>
        <v>#REF!</v>
      </c>
      <c r="V22" s="140" t="str">
        <f t="shared" si="53"/>
        <v>#REF!</v>
      </c>
      <c r="W22" s="34">
        <f>'Summary Sheet - Oct 2025'!W22+'Summary Sheet - Nov 2025'!W22+'Summary Sheet - Dec 2025'!W22</f>
        <v>9850921.68</v>
      </c>
      <c r="X22" s="81">
        <f t="shared" si="54"/>
        <v>0.2273802797</v>
      </c>
      <c r="Y22" s="48">
        <f>'Mg St Colaba'!AP113+'Mg St Colaba'!AV113+'Mg St Colaba'!BB113</f>
        <v>10110899.97</v>
      </c>
      <c r="Z22" s="43">
        <f t="shared" si="55"/>
        <v>0.2136135029</v>
      </c>
      <c r="AA22" s="34">
        <f>'Summary Sheet - Oct 2025'!AA22+'Summary Sheet - Nov 2025'!AA22+'Summary Sheet - Dec 2025'!AA22</f>
        <v>5101470.87</v>
      </c>
      <c r="AB22" s="81">
        <f t="shared" si="56"/>
        <v>0.1830764675</v>
      </c>
      <c r="AC22" s="34">
        <f>'Summary Sheet - Oct 2025'!AC22+'Summary Sheet - Nov 2025'!AC22+'Summary Sheet - Dec 2025'!AC22</f>
        <v>4160212.375</v>
      </c>
      <c r="AD22" s="140">
        <f t="shared" si="57"/>
        <v>0.1387143875</v>
      </c>
      <c r="AE22" s="34">
        <f>'Summary Sheet - Oct 2025'!AE22+'Summary Sheet - Nov 2025'!AE22+'Summary Sheet - Dec 2025'!AE22</f>
        <v>11222434.52</v>
      </c>
      <c r="AF22" s="81">
        <f t="shared" si="58"/>
        <v>0.2073747215</v>
      </c>
      <c r="AG22" s="34">
        <f>'Summary Sheet - Oct 2025'!AG22+'Summary Sheet - Nov 2025'!AG22+'Summary Sheet - Dec 2025'!AG22</f>
        <v>11241814.5</v>
      </c>
      <c r="AH22" s="140">
        <f t="shared" si="59"/>
        <v>0.2077400618</v>
      </c>
      <c r="AI22" s="34">
        <f>'Summary Sheet - Oct 2025'!AI22+'Summary Sheet - Nov 2025'!AI22+'Summary Sheet - Dec 2025'!AI22</f>
        <v>142107</v>
      </c>
      <c r="AJ22" s="81">
        <f t="shared" si="60"/>
        <v>3.333966779</v>
      </c>
      <c r="AK22" s="195" t="str">
        <f>'Summary Sheet - Oct 2025'!AK22+'Summary Sheet - Nov 2025'!AK22+'Summary Sheet - Dec 2025'!AK22</f>
        <v>#REF!</v>
      </c>
      <c r="AL22" s="140" t="str">
        <f t="shared" si="61"/>
        <v>#REF!</v>
      </c>
      <c r="AM22" s="34">
        <f>'Summary Sheet - Oct 2025'!AM22+'Summary Sheet - Nov 2025'!AM22+'Summary Sheet - Dec 2025'!AM22</f>
        <v>4260425.807</v>
      </c>
      <c r="AN22" s="81">
        <f t="shared" si="62"/>
        <v>2.093951135</v>
      </c>
      <c r="AO22" s="34">
        <f>'Summary Sheet - Oct 2025'!AO22+'Summary Sheet - Nov 2025'!AO22+'Summary Sheet - Dec 2025'!AO22</f>
        <v>0</v>
      </c>
      <c r="AP22" s="81">
        <f t="shared" si="63"/>
        <v>0</v>
      </c>
      <c r="AQ22" s="34">
        <f>'Summary Sheet - Oct 2025'!AQ22+'Summary Sheet - Nov 2025'!AQ22+'Summary Sheet - Dec 2025'!AQ22</f>
        <v>6465963</v>
      </c>
      <c r="AR22" s="140">
        <f t="shared" si="64"/>
        <v>0.4598179335</v>
      </c>
      <c r="AS22" s="34">
        <f>'Summary Sheet - Oct 2025'!AS22+'Summary Sheet - Nov 2025'!AS22+'Summary Sheet - Dec 2025'!AS22</f>
        <v>0</v>
      </c>
      <c r="AT22" s="81">
        <f t="shared" si="65"/>
        <v>0</v>
      </c>
      <c r="AU22" s="197">
        <f>'MSBC Andheri'!J106+'MSBC Andheri'!K106+'MSBC Andheri'!L106</f>
        <v>0</v>
      </c>
      <c r="AV22" s="43"/>
      <c r="AW22" s="48">
        <f>'MSBC Dahisar'!J95+'MSBC Dahisar'!K95+'MSBC Dahisar'!L95</f>
        <v>0</v>
      </c>
      <c r="AX22" s="43"/>
      <c r="AY22" s="197">
        <v>0.0</v>
      </c>
      <c r="AZ22" s="43"/>
      <c r="BA22" s="48">
        <f>'Summary Sheet - Oct 2025'!BG22+'Summary Sheet - Nov 2025'!BG22+'Summary Sheet - Dec 2025'!BG22</f>
        <v>0</v>
      </c>
      <c r="BB22" s="43"/>
    </row>
    <row r="23" ht="15.75" customHeight="1">
      <c r="A23" s="176"/>
      <c r="B23" s="38" t="s">
        <v>39</v>
      </c>
      <c r="C23" s="39">
        <f t="shared" si="44"/>
        <v>3726377.49</v>
      </c>
      <c r="D23" s="40"/>
      <c r="E23" s="40" t="str">
        <f t="shared" si="45"/>
        <v>#REF!</v>
      </c>
      <c r="F23" s="84" t="str">
        <f t="shared" si="46"/>
        <v>#REF!</v>
      </c>
      <c r="G23" s="196">
        <f>'Summary Sheet - July 2025'!G23+'Summary Sheet - Aug 2025'!G23+'Summary Sheet - Sep 2025'!G23</f>
        <v>1590651.85</v>
      </c>
      <c r="H23" s="43"/>
      <c r="I23" s="48">
        <f>'Summary Sheet - Oct 2025'!I23+'Summary Sheet - Nov 2025'!I23+'Summary Sheet - Dec 2025'!I23</f>
        <v>37500</v>
      </c>
      <c r="J23" s="43"/>
      <c r="K23" s="40">
        <f t="shared" si="47"/>
        <v>2135725.64</v>
      </c>
      <c r="L23" s="139"/>
      <c r="M23" s="40" t="str">
        <f t="shared" si="48"/>
        <v>#REF!</v>
      </c>
      <c r="N23" s="84" t="str">
        <f t="shared" si="49"/>
        <v>#REF!</v>
      </c>
      <c r="O23" s="34">
        <f>'Summary Sheet - Oct 2025'!O23+'Summary Sheet - Nov 2025'!O23+'Summary Sheet - Dec 2025'!O23</f>
        <v>1018694.57</v>
      </c>
      <c r="P23" s="81">
        <f t="shared" si="50"/>
        <v>0.01451423688</v>
      </c>
      <c r="Q23" s="48">
        <f>'The Table'!AP91+'The Table'!AV91+'The Table'!BB91</f>
        <v>790987.872</v>
      </c>
      <c r="R23" s="140">
        <f t="shared" si="51"/>
        <v>0.01377747446</v>
      </c>
      <c r="S23" s="34">
        <f>'Summary Sheet - Oct 2025'!S23+'Summary Sheet - Nov 2025'!S23+'Summary Sheet - Dec 2025'!S23</f>
        <v>0</v>
      </c>
      <c r="T23" s="140">
        <f t="shared" si="52"/>
        <v>0</v>
      </c>
      <c r="U23" s="48" t="str">
        <f>'Summary Sheet - Oct 2025'!U23+'Summary Sheet - Nov 2025'!U23+'Summary Sheet - Dec 2025'!U23</f>
        <v>#REF!</v>
      </c>
      <c r="V23" s="140" t="str">
        <f t="shared" si="53"/>
        <v>#REF!</v>
      </c>
      <c r="W23" s="34">
        <f>'Summary Sheet - Oct 2025'!W23+'Summary Sheet - Nov 2025'!W23+'Summary Sheet - Dec 2025'!W23</f>
        <v>342122.5</v>
      </c>
      <c r="X23" s="81">
        <f t="shared" si="54"/>
        <v>0.007896916884</v>
      </c>
      <c r="Y23" s="48">
        <f>'Mg St Colaba'!AP124+'Mg St Colaba'!AV124+'Mg St Colaba'!BB124</f>
        <v>422697.9891</v>
      </c>
      <c r="Z23" s="43">
        <f t="shared" si="55"/>
        <v>0.00893036212</v>
      </c>
      <c r="AA23" s="34">
        <f>'Summary Sheet - Oct 2025'!AA23+'Summary Sheet - Nov 2025'!AA23+'Summary Sheet - Dec 2025'!AA23</f>
        <v>116978.33</v>
      </c>
      <c r="AB23" s="81">
        <f t="shared" si="56"/>
        <v>0.004198000925</v>
      </c>
      <c r="AC23" s="34">
        <f>'Summary Sheet - Oct 2025'!AC23+'Summary Sheet - Nov 2025'!AC23+'Summary Sheet - Dec 2025'!AC23</f>
        <v>122318.016</v>
      </c>
      <c r="AD23" s="140">
        <f t="shared" si="57"/>
        <v>0.004078462142</v>
      </c>
      <c r="AE23" s="34">
        <f>'Summary Sheet - Oct 2025'!AE23+'Summary Sheet - Nov 2025'!AE23+'Summary Sheet - Dec 2025'!AE23</f>
        <v>449154.51</v>
      </c>
      <c r="AF23" s="81">
        <f t="shared" si="58"/>
        <v>0.008299740245</v>
      </c>
      <c r="AG23" s="34">
        <f>'Summary Sheet - Oct 2025'!AG23+'Summary Sheet - Nov 2025'!AG23+'Summary Sheet - Dec 2025'!AG23</f>
        <v>413889.135</v>
      </c>
      <c r="AH23" s="140">
        <f t="shared" si="59"/>
        <v>0.007648352007</v>
      </c>
      <c r="AI23" s="34">
        <f>'Summary Sheet - Oct 2025'!AI23+'Summary Sheet - Nov 2025'!AI23+'Summary Sheet - Dec 2025'!AI23</f>
        <v>0</v>
      </c>
      <c r="AJ23" s="81">
        <f t="shared" si="60"/>
        <v>0</v>
      </c>
      <c r="AK23" s="195" t="str">
        <f>'Summary Sheet - Oct 2025'!AK23+'Summary Sheet - Nov 2025'!AK23+'Summary Sheet - Dec 2025'!AK23</f>
        <v>#REF!</v>
      </c>
      <c r="AL23" s="140" t="str">
        <f t="shared" si="61"/>
        <v>#REF!</v>
      </c>
      <c r="AM23" s="34">
        <f>'Summary Sheet - Oct 2025'!AM23+'Summary Sheet - Nov 2025'!AM23+'Summary Sheet - Dec 2025'!AM23</f>
        <v>1681.8</v>
      </c>
      <c r="AN23" s="81">
        <f t="shared" si="62"/>
        <v>0.0008265856932</v>
      </c>
      <c r="AO23" s="34">
        <f>'Summary Sheet - Oct 2025'!AO23+'Summary Sheet - Nov 2025'!AO23+'Summary Sheet - Dec 2025'!AO23</f>
        <v>0</v>
      </c>
      <c r="AP23" s="81">
        <f t="shared" si="63"/>
        <v>0</v>
      </c>
      <c r="AQ23" s="34">
        <f>'Summary Sheet - Oct 2025'!AQ23+'Summary Sheet - Nov 2025'!AQ23+'Summary Sheet - Dec 2025'!AQ23</f>
        <v>207093.93</v>
      </c>
      <c r="AR23" s="140">
        <f t="shared" si="64"/>
        <v>0.01472719577</v>
      </c>
      <c r="AS23" s="34">
        <f>'Summary Sheet - Oct 2025'!AS23+'Summary Sheet - Nov 2025'!AS23+'Summary Sheet - Dec 2025'!AS23</f>
        <v>0</v>
      </c>
      <c r="AT23" s="81">
        <f t="shared" si="65"/>
        <v>0</v>
      </c>
      <c r="AU23" s="197">
        <f>'MSBC Andheri'!J116+'MSBC Andheri'!K116+'MSBC Andheri'!L116</f>
        <v>0</v>
      </c>
      <c r="AV23" s="43"/>
      <c r="AW23" s="48">
        <f>'MSBC Dahisar'!J105+'MSBC Dahisar'!K105+'MSBC Dahisar'!L105</f>
        <v>0</v>
      </c>
      <c r="AX23" s="43"/>
      <c r="AY23" s="197">
        <v>0.0</v>
      </c>
      <c r="AZ23" s="43"/>
      <c r="BA23" s="48">
        <f>'Summary Sheet - Oct 2025'!BG23+'Summary Sheet - Nov 2025'!BG23+'Summary Sheet - Dec 2025'!BG23</f>
        <v>0</v>
      </c>
      <c r="BB23" s="43"/>
    </row>
    <row r="24" ht="15.75" customHeight="1">
      <c r="A24" s="176"/>
      <c r="B24" s="38" t="s">
        <v>40</v>
      </c>
      <c r="C24" s="39">
        <f t="shared" si="44"/>
        <v>791859.75</v>
      </c>
      <c r="D24" s="40"/>
      <c r="E24" s="40" t="str">
        <f t="shared" si="45"/>
        <v>#REF!</v>
      </c>
      <c r="F24" s="84" t="str">
        <f t="shared" si="46"/>
        <v>#REF!</v>
      </c>
      <c r="G24" s="196">
        <f>'Summary Sheet - July 2025'!G24+'Summary Sheet - Aug 2025'!G24+'Summary Sheet - Sep 2025'!G24</f>
        <v>352331.5</v>
      </c>
      <c r="H24" s="43"/>
      <c r="I24" s="48">
        <f>'Summary Sheet - Oct 2025'!I24+'Summary Sheet - Nov 2025'!I24+'Summary Sheet - Dec 2025'!I24</f>
        <v>343790.5</v>
      </c>
      <c r="J24" s="43"/>
      <c r="K24" s="40">
        <f t="shared" si="47"/>
        <v>439528.25</v>
      </c>
      <c r="L24" s="139"/>
      <c r="M24" s="40" t="str">
        <f t="shared" si="48"/>
        <v>#REF!</v>
      </c>
      <c r="N24" s="84" t="str">
        <f t="shared" si="49"/>
        <v>#REF!</v>
      </c>
      <c r="O24" s="34">
        <f>'Summary Sheet - Oct 2025'!O24+'Summary Sheet - Nov 2025'!O24+'Summary Sheet - Dec 2025'!O24</f>
        <v>114133</v>
      </c>
      <c r="P24" s="81">
        <f t="shared" si="50"/>
        <v>0.001626153164</v>
      </c>
      <c r="Q24" s="48">
        <f>'The Table'!AP94+'The Table'!AV94+'The Table'!BB94</f>
        <v>88500</v>
      </c>
      <c r="R24" s="140">
        <f t="shared" si="51"/>
        <v>0.001541498337</v>
      </c>
      <c r="S24" s="34">
        <f>'Summary Sheet - Oct 2025'!S24+'Summary Sheet - Nov 2025'!S24+'Summary Sheet - Dec 2025'!S24</f>
        <v>6784</v>
      </c>
      <c r="T24" s="140">
        <f t="shared" si="52"/>
        <v>0.00232616753</v>
      </c>
      <c r="U24" s="48" t="str">
        <f>'Summary Sheet - Oct 2025'!U24+'Summary Sheet - Nov 2025'!U24+'Summary Sheet - Dec 2025'!U24</f>
        <v>#REF!</v>
      </c>
      <c r="V24" s="140" t="str">
        <f t="shared" si="53"/>
        <v>#REF!</v>
      </c>
      <c r="W24" s="34">
        <f>'Summary Sheet - Oct 2025'!W24+'Summary Sheet - Nov 2025'!W24+'Summary Sheet - Dec 2025'!W24</f>
        <v>95145</v>
      </c>
      <c r="X24" s="81">
        <f t="shared" si="54"/>
        <v>0.002196149499</v>
      </c>
      <c r="Y24" s="48">
        <f>'Mg St Colaba'!AP127+'Mg St Colaba'!AV127+'Mg St Colaba'!BB127</f>
        <v>90564</v>
      </c>
      <c r="Z24" s="43">
        <f t="shared" si="55"/>
        <v>0.001913350278</v>
      </c>
      <c r="AA24" s="34">
        <f>'Summary Sheet - Oct 2025'!AA24+'Summary Sheet - Nov 2025'!AA24+'Summary Sheet - Dec 2025'!AA24</f>
        <v>10915</v>
      </c>
      <c r="AB24" s="81">
        <f t="shared" si="56"/>
        <v>0.0003917065673</v>
      </c>
      <c r="AC24" s="34">
        <f>'Summary Sheet - Oct 2025'!AC24+'Summary Sheet - Nov 2025'!AC24+'Summary Sheet - Dec 2025'!AC24</f>
        <v>4500</v>
      </c>
      <c r="AD24" s="140">
        <f t="shared" si="57"/>
        <v>0.0001500439611</v>
      </c>
      <c r="AE24" s="34">
        <f>'Summary Sheet - Oct 2025'!AE24+'Summary Sheet - Nov 2025'!AE24+'Summary Sheet - Dec 2025'!AE24</f>
        <v>94990</v>
      </c>
      <c r="AF24" s="81">
        <f t="shared" si="58"/>
        <v>0.001755280885</v>
      </c>
      <c r="AG24" s="34">
        <f>'Summary Sheet - Oct 2025'!AG24+'Summary Sheet - Nov 2025'!AG24+'Summary Sheet - Dec 2025'!AG24</f>
        <v>69000</v>
      </c>
      <c r="AH24" s="140">
        <f t="shared" si="59"/>
        <v>0.001275066784</v>
      </c>
      <c r="AI24" s="34">
        <f>'Summary Sheet - Oct 2025'!AI24+'Summary Sheet - Nov 2025'!AI24+'Summary Sheet - Dec 2025'!AI24</f>
        <v>20418.75</v>
      </c>
      <c r="AJ24" s="81">
        <f t="shared" si="60"/>
        <v>0.4790434966</v>
      </c>
      <c r="AK24" s="195" t="str">
        <f>'Summary Sheet - Oct 2025'!AK24+'Summary Sheet - Nov 2025'!AK24+'Summary Sheet - Dec 2025'!AK24</f>
        <v>#REF!</v>
      </c>
      <c r="AL24" s="140" t="str">
        <f t="shared" si="61"/>
        <v>#REF!</v>
      </c>
      <c r="AM24" s="34">
        <f>'Summary Sheet - Oct 2025'!AM24+'Summary Sheet - Nov 2025'!AM24+'Summary Sheet - Dec 2025'!AM24</f>
        <v>32189</v>
      </c>
      <c r="AN24" s="81">
        <f t="shared" si="62"/>
        <v>0.01582052972</v>
      </c>
      <c r="AO24" s="34">
        <f>'Summary Sheet - Oct 2025'!AO24+'Summary Sheet - Nov 2025'!AO24+'Summary Sheet - Dec 2025'!AO24</f>
        <v>0</v>
      </c>
      <c r="AP24" s="81">
        <f t="shared" si="63"/>
        <v>0</v>
      </c>
      <c r="AQ24" s="34">
        <f>'Summary Sheet - Oct 2025'!AQ24+'Summary Sheet - Nov 2025'!AQ24+'Summary Sheet - Dec 2025'!AQ24</f>
        <v>64953.5</v>
      </c>
      <c r="AR24" s="140">
        <f t="shared" si="64"/>
        <v>0.00461907749</v>
      </c>
      <c r="AS24" s="34">
        <f>'Summary Sheet - Oct 2025'!AS24+'Summary Sheet - Nov 2025'!AS24+'Summary Sheet - Dec 2025'!AS24</f>
        <v>0</v>
      </c>
      <c r="AT24" s="81">
        <f t="shared" si="65"/>
        <v>0</v>
      </c>
      <c r="AU24" s="197">
        <f>'MSBC Andheri'!J119+'MSBC Andheri'!K119+'MSBC Andheri'!L119</f>
        <v>0</v>
      </c>
      <c r="AV24" s="43"/>
      <c r="AW24" s="48">
        <f>'MSBC Dahisar'!J108+'MSBC Dahisar'!K108+'MSBC Dahisar'!L108</f>
        <v>0</v>
      </c>
      <c r="AX24" s="43"/>
      <c r="AY24" s="197">
        <v>0.0</v>
      </c>
      <c r="AZ24" s="43"/>
      <c r="BA24" s="48">
        <f>'Summary Sheet - Oct 2025'!BG24+'Summary Sheet - Nov 2025'!BG24+'Summary Sheet - Dec 2025'!BG24</f>
        <v>0</v>
      </c>
      <c r="BB24" s="43"/>
    </row>
    <row r="25" ht="15.75" customHeight="1">
      <c r="A25" s="176"/>
      <c r="B25" s="38" t="s">
        <v>41</v>
      </c>
      <c r="C25" s="39">
        <f t="shared" si="44"/>
        <v>10883088.5</v>
      </c>
      <c r="D25" s="40"/>
      <c r="E25" s="40" t="str">
        <f t="shared" si="45"/>
        <v>#REF!</v>
      </c>
      <c r="F25" s="84" t="str">
        <f t="shared" si="46"/>
        <v>#REF!</v>
      </c>
      <c r="G25" s="196">
        <f>'Summary Sheet - July 2025'!G25+'Summary Sheet - Aug 2025'!G25+'Summary Sheet - Sep 2025'!G25</f>
        <v>360799</v>
      </c>
      <c r="H25" s="43"/>
      <c r="I25" s="48">
        <f>'Summary Sheet - Oct 2025'!I25+'Summary Sheet - Nov 2025'!I25+'Summary Sheet - Dec 2025'!I25</f>
        <v>229500</v>
      </c>
      <c r="J25" s="43"/>
      <c r="K25" s="40">
        <f t="shared" si="47"/>
        <v>10522289.5</v>
      </c>
      <c r="L25" s="139"/>
      <c r="M25" s="40" t="str">
        <f t="shared" si="48"/>
        <v>#REF!</v>
      </c>
      <c r="N25" s="84" t="str">
        <f t="shared" si="49"/>
        <v>#REF!</v>
      </c>
      <c r="O25" s="34">
        <f>'Summary Sheet - Oct 2025'!O25+'Summary Sheet - Nov 2025'!O25+'Summary Sheet - Dec 2025'!O25</f>
        <v>912820.75</v>
      </c>
      <c r="P25" s="81">
        <f t="shared" si="50"/>
        <v>0.01300575952</v>
      </c>
      <c r="Q25" s="48">
        <f>'The Table'!AP99+'The Table'!AV99+'The Table'!BB99</f>
        <v>854319.1667</v>
      </c>
      <c r="R25" s="140">
        <f t="shared" si="51"/>
        <v>0.01488058277</v>
      </c>
      <c r="S25" s="34">
        <f>'Summary Sheet - Oct 2025'!S25+'Summary Sheet - Nov 2025'!S25+'Summary Sheet - Dec 2025'!S25</f>
        <v>105240.8333</v>
      </c>
      <c r="T25" s="140">
        <f t="shared" si="52"/>
        <v>0.03608605681</v>
      </c>
      <c r="U25" s="48" t="str">
        <f>'Summary Sheet - Oct 2025'!U25+'Summary Sheet - Nov 2025'!U25+'Summary Sheet - Dec 2025'!U25</f>
        <v>#REF!</v>
      </c>
      <c r="V25" s="140" t="str">
        <f t="shared" si="53"/>
        <v>#REF!</v>
      </c>
      <c r="W25" s="34">
        <f>'Summary Sheet - Oct 2025'!W25+'Summary Sheet - Nov 2025'!W25+'Summary Sheet - Dec 2025'!W25</f>
        <v>2569876</v>
      </c>
      <c r="X25" s="81">
        <f t="shared" si="54"/>
        <v>0.0593182184</v>
      </c>
      <c r="Y25" s="48">
        <f>'Mg St Colaba'!AP132+'Mg St Colaba'!AV132+'Mg St Colaba'!BB132</f>
        <v>1269985.917</v>
      </c>
      <c r="Z25" s="43">
        <f t="shared" si="55"/>
        <v>0.02683105767</v>
      </c>
      <c r="AA25" s="34">
        <f>'Summary Sheet - Oct 2025'!AA25+'Summary Sheet - Nov 2025'!AA25+'Summary Sheet - Dec 2025'!AA25</f>
        <v>277348.25</v>
      </c>
      <c r="AB25" s="81">
        <f t="shared" si="56"/>
        <v>0.009953195691</v>
      </c>
      <c r="AC25" s="34">
        <f>'Summary Sheet - Oct 2025'!AC25+'Summary Sheet - Nov 2025'!AC25+'Summary Sheet - Dec 2025'!AC25</f>
        <v>246000</v>
      </c>
      <c r="AD25" s="140">
        <f t="shared" si="57"/>
        <v>0.008202403209</v>
      </c>
      <c r="AE25" s="34">
        <f>'Summary Sheet - Oct 2025'!AE25+'Summary Sheet - Nov 2025'!AE25+'Summary Sheet - Dec 2025'!AE25</f>
        <v>1962662</v>
      </c>
      <c r="AF25" s="81">
        <f t="shared" si="58"/>
        <v>0.03626721858</v>
      </c>
      <c r="AG25" s="34">
        <f>'Summary Sheet - Oct 2025'!AG25+'Summary Sheet - Nov 2025'!AG25+'Summary Sheet - Dec 2025'!AG25</f>
        <v>1311391</v>
      </c>
      <c r="AH25" s="140">
        <f t="shared" si="59"/>
        <v>0.02423349428</v>
      </c>
      <c r="AI25" s="34">
        <f>'Summary Sheet - Oct 2025'!AI25+'Summary Sheet - Nov 2025'!AI25+'Summary Sheet - Dec 2025'!AI25</f>
        <v>2333533.667</v>
      </c>
      <c r="AJ25" s="81">
        <f t="shared" si="60"/>
        <v>54.74694225</v>
      </c>
      <c r="AK25" s="195" t="str">
        <f>'Summary Sheet - Oct 2025'!AK25+'Summary Sheet - Nov 2025'!AK25+'Summary Sheet - Dec 2025'!AK25</f>
        <v>#REF!</v>
      </c>
      <c r="AL25" s="140" t="str">
        <f t="shared" si="61"/>
        <v>#REF!</v>
      </c>
      <c r="AM25" s="34">
        <f>'Summary Sheet - Oct 2025'!AM25+'Summary Sheet - Nov 2025'!AM25+'Summary Sheet - Dec 2025'!AM25</f>
        <v>113428.3333</v>
      </c>
      <c r="AN25" s="81">
        <f t="shared" si="62"/>
        <v>0.05574874393</v>
      </c>
      <c r="AO25" s="34">
        <f>'Summary Sheet - Oct 2025'!AO25+'Summary Sheet - Nov 2025'!AO25+'Summary Sheet - Dec 2025'!AO25</f>
        <v>0</v>
      </c>
      <c r="AP25" s="81">
        <f t="shared" si="63"/>
        <v>0</v>
      </c>
      <c r="AQ25" s="34">
        <f>'Summary Sheet - Oct 2025'!AQ25+'Summary Sheet - Nov 2025'!AQ25+'Summary Sheet - Dec 2025'!AQ25</f>
        <v>2174479.667</v>
      </c>
      <c r="AR25" s="140">
        <f t="shared" si="64"/>
        <v>0.1546350863</v>
      </c>
      <c r="AS25" s="34">
        <f>'Summary Sheet - Oct 2025'!AS25+'Summary Sheet - Nov 2025'!AS25+'Summary Sheet - Dec 2025'!AS25</f>
        <v>0</v>
      </c>
      <c r="AT25" s="81">
        <f t="shared" si="65"/>
        <v>0</v>
      </c>
      <c r="AU25" s="197">
        <f>'MSBC Andheri'!J123+'MSBC Andheri'!K123+'MSBC Andheri'!L123</f>
        <v>24300</v>
      </c>
      <c r="AV25" s="43"/>
      <c r="AW25" s="48">
        <f>'MSBC Dahisar'!J112+'MSBC Dahisar'!K112+'MSBC Dahisar'!L112</f>
        <v>24300</v>
      </c>
      <c r="AX25" s="43"/>
      <c r="AY25" s="48">
        <f>'MSBC Juhu  Goregoan'!J113+'MSBC Juhu  Goregoan'!K113+'MSBC Juhu  Goregoan'!L113</f>
        <v>24300</v>
      </c>
      <c r="AZ25" s="43"/>
      <c r="BA25" s="48">
        <f>'Summary Sheet - Oct 2025'!BG25+'Summary Sheet - Nov 2025'!BG25+'Summary Sheet - Dec 2025'!BG25</f>
        <v>0</v>
      </c>
      <c r="BB25" s="43"/>
    </row>
    <row r="26" ht="15.75" customHeight="1">
      <c r="A26" s="176"/>
      <c r="B26" s="38" t="s">
        <v>42</v>
      </c>
      <c r="C26" s="39">
        <f t="shared" si="44"/>
        <v>284452</v>
      </c>
      <c r="D26" s="40"/>
      <c r="E26" s="40" t="str">
        <f t="shared" si="45"/>
        <v>#REF!</v>
      </c>
      <c r="F26" s="84" t="str">
        <f t="shared" si="46"/>
        <v>#REF!</v>
      </c>
      <c r="G26" s="196">
        <f>'Summary Sheet - July 2025'!G26+'Summary Sheet - Aug 2025'!G26+'Summary Sheet - Sep 2025'!G26</f>
        <v>190500</v>
      </c>
      <c r="H26" s="43"/>
      <c r="I26" s="48">
        <f>'Summary Sheet - Oct 2025'!I26+'Summary Sheet - Nov 2025'!I26+'Summary Sheet - Dec 2025'!I26</f>
        <v>300000</v>
      </c>
      <c r="J26" s="43"/>
      <c r="K26" s="40">
        <f t="shared" si="47"/>
        <v>93952</v>
      </c>
      <c r="L26" s="139"/>
      <c r="M26" s="40" t="str">
        <f t="shared" si="48"/>
        <v>#REF!</v>
      </c>
      <c r="N26" s="84" t="str">
        <f t="shared" si="49"/>
        <v>#REF!</v>
      </c>
      <c r="O26" s="34">
        <f>'Summary Sheet - Oct 2025'!O26+'Summary Sheet - Nov 2025'!O26+'Summary Sheet - Dec 2025'!O26</f>
        <v>0</v>
      </c>
      <c r="P26" s="81">
        <f t="shared" si="50"/>
        <v>0</v>
      </c>
      <c r="Q26" s="48"/>
      <c r="R26" s="140">
        <f t="shared" si="51"/>
        <v>0</v>
      </c>
      <c r="S26" s="34">
        <f>'Summary Sheet - Oct 2025'!S26+'Summary Sheet - Nov 2025'!S26+'Summary Sheet - Dec 2025'!S26</f>
        <v>0</v>
      </c>
      <c r="T26" s="140">
        <f t="shared" si="52"/>
        <v>0</v>
      </c>
      <c r="U26" s="48" t="str">
        <f>'Summary Sheet - Oct 2025'!U26+'Summary Sheet - Nov 2025'!U26+'Summary Sheet - Dec 2025'!U26</f>
        <v>#REF!</v>
      </c>
      <c r="V26" s="140" t="str">
        <f t="shared" si="53"/>
        <v>#REF!</v>
      </c>
      <c r="W26" s="34">
        <f>'Summary Sheet - Oct 2025'!W26+'Summary Sheet - Nov 2025'!W26+'Summary Sheet - Dec 2025'!W26</f>
        <v>0</v>
      </c>
      <c r="X26" s="81">
        <f t="shared" si="54"/>
        <v>0</v>
      </c>
      <c r="Y26" s="48"/>
      <c r="Z26" s="43">
        <f t="shared" si="55"/>
        <v>0</v>
      </c>
      <c r="AA26" s="34">
        <f>'Summary Sheet - Oct 2025'!AA26+'Summary Sheet - Nov 2025'!AA26+'Summary Sheet - Dec 2025'!AA26</f>
        <v>66000</v>
      </c>
      <c r="AB26" s="81">
        <f t="shared" si="56"/>
        <v>0.002368541772</v>
      </c>
      <c r="AC26" s="34">
        <f>'Summary Sheet - Oct 2025'!AC26+'Summary Sheet - Nov 2025'!AC26+'Summary Sheet - Dec 2025'!AC26</f>
        <v>0</v>
      </c>
      <c r="AD26" s="140">
        <f t="shared" si="57"/>
        <v>0</v>
      </c>
      <c r="AE26" s="34">
        <f>'Summary Sheet - Oct 2025'!AE26+'Summary Sheet - Nov 2025'!AE26+'Summary Sheet - Dec 2025'!AE26</f>
        <v>2452</v>
      </c>
      <c r="AF26" s="81">
        <f t="shared" si="58"/>
        <v>0.0000453094929</v>
      </c>
      <c r="AG26" s="34">
        <f>'Summary Sheet - Oct 2025'!AG26+'Summary Sheet - Nov 2025'!AG26+'Summary Sheet - Dec 2025'!AG26</f>
        <v>0</v>
      </c>
      <c r="AH26" s="140">
        <f t="shared" si="59"/>
        <v>0</v>
      </c>
      <c r="AI26" s="34">
        <f>'Summary Sheet - Oct 2025'!AI26+'Summary Sheet - Nov 2025'!AI26+'Summary Sheet - Dec 2025'!AI26</f>
        <v>0</v>
      </c>
      <c r="AJ26" s="81">
        <f t="shared" si="60"/>
        <v>0</v>
      </c>
      <c r="AK26" s="195" t="str">
        <f>'Summary Sheet - Oct 2025'!AK26+'Summary Sheet - Nov 2025'!AK26+'Summary Sheet - Dec 2025'!AK26</f>
        <v>#REF!</v>
      </c>
      <c r="AL26" s="140" t="str">
        <f t="shared" si="61"/>
        <v>#REF!</v>
      </c>
      <c r="AM26" s="34">
        <f>'Summary Sheet - Oct 2025'!AM26+'Summary Sheet - Nov 2025'!AM26+'Summary Sheet - Dec 2025'!AM26</f>
        <v>0</v>
      </c>
      <c r="AN26" s="81">
        <f t="shared" si="62"/>
        <v>0</v>
      </c>
      <c r="AO26" s="34">
        <f>'Summary Sheet - Oct 2025'!AO26+'Summary Sheet - Nov 2025'!AO26+'Summary Sheet - Dec 2025'!AO26</f>
        <v>0</v>
      </c>
      <c r="AP26" s="81">
        <f t="shared" si="63"/>
        <v>0</v>
      </c>
      <c r="AQ26" s="34">
        <f>'Summary Sheet - Oct 2025'!AQ26+'Summary Sheet - Nov 2025'!AQ26+'Summary Sheet - Dec 2025'!AQ26</f>
        <v>25500</v>
      </c>
      <c r="AR26" s="140">
        <f t="shared" si="64"/>
        <v>0.001813396907</v>
      </c>
      <c r="AS26" s="34">
        <f>'Summary Sheet - Oct 2025'!AS26+'Summary Sheet - Nov 2025'!AS26+'Summary Sheet - Dec 2025'!AS26</f>
        <v>0</v>
      </c>
      <c r="AT26" s="81">
        <f t="shared" si="65"/>
        <v>0</v>
      </c>
      <c r="AU26" s="197">
        <f>'MSBC Andheri'!J138+'MSBC Andheri'!K138+'MSBC Andheri'!L138</f>
        <v>0</v>
      </c>
      <c r="AV26" s="43"/>
      <c r="AW26" s="48">
        <f>'MSBC Dahisar'!J127+'MSBC Dahisar'!K127+'MSBC Dahisar'!L127</f>
        <v>0</v>
      </c>
      <c r="AX26" s="43"/>
      <c r="AY26" s="48">
        <f>'MSBC Juhu  Goregoan'!J129+'MSBC Juhu  Goregoan'!K129+'MSBC Juhu  Goregoan'!L129</f>
        <v>0</v>
      </c>
      <c r="AZ26" s="43"/>
      <c r="BA26" s="48">
        <f>'Summary Sheet - Oct 2025'!BG26+'Summary Sheet - Nov 2025'!BG26+'Summary Sheet - Dec 2025'!BG26</f>
        <v>0</v>
      </c>
      <c r="BB26" s="43"/>
    </row>
    <row r="27" ht="15.75" customHeight="1">
      <c r="A27" s="176"/>
      <c r="B27" s="38" t="s">
        <v>43</v>
      </c>
      <c r="C27" s="39">
        <f t="shared" si="44"/>
        <v>-5002114.907</v>
      </c>
      <c r="D27" s="40"/>
      <c r="E27" s="40" t="str">
        <f t="shared" si="45"/>
        <v>#REF!</v>
      </c>
      <c r="F27" s="84" t="str">
        <f t="shared" si="46"/>
        <v>#REF!</v>
      </c>
      <c r="G27" s="196">
        <f>'Summary Sheet - July 2025'!G27+'Summary Sheet - Aug 2025'!G27+'Summary Sheet - Sep 2025'!G27</f>
        <v>98069</v>
      </c>
      <c r="H27" s="43"/>
      <c r="I27" s="48">
        <f>'Summary Sheet - Oct 2025'!I27+'Summary Sheet - Nov 2025'!I27+'Summary Sheet - Dec 2025'!I27</f>
        <v>0</v>
      </c>
      <c r="J27" s="43"/>
      <c r="K27" s="40">
        <f t="shared" si="47"/>
        <v>-5100183.907</v>
      </c>
      <c r="L27" s="139"/>
      <c r="M27" s="40" t="str">
        <f t="shared" si="48"/>
        <v>#REF!</v>
      </c>
      <c r="N27" s="84" t="str">
        <f t="shared" si="49"/>
        <v>#REF!</v>
      </c>
      <c r="O27" s="34">
        <f>'Summary Sheet - Oct 2025'!O27+'Summary Sheet - Nov 2025'!O27+'Summary Sheet - Dec 2025'!O27</f>
        <v>0</v>
      </c>
      <c r="P27" s="81">
        <f t="shared" si="50"/>
        <v>0</v>
      </c>
      <c r="Q27" s="48"/>
      <c r="R27" s="140">
        <f t="shared" si="51"/>
        <v>0</v>
      </c>
      <c r="S27" s="34">
        <f>'Summary Sheet - Oct 2025'!S27+'Summary Sheet - Nov 2025'!S27+'Summary Sheet - Dec 2025'!S27</f>
        <v>0</v>
      </c>
      <c r="T27" s="140">
        <f t="shared" si="52"/>
        <v>0</v>
      </c>
      <c r="U27" s="48" t="str">
        <f>'Summary Sheet - Oct 2025'!U27+'Summary Sheet - Nov 2025'!U27+'Summary Sheet - Dec 2025'!U27</f>
        <v>#REF!</v>
      </c>
      <c r="V27" s="140" t="str">
        <f t="shared" si="53"/>
        <v>#REF!</v>
      </c>
      <c r="W27" s="34">
        <f>'Summary Sheet - Oct 2025'!W27+'Summary Sheet - Nov 2025'!W27+'Summary Sheet - Dec 2025'!W27</f>
        <v>0</v>
      </c>
      <c r="X27" s="81">
        <f t="shared" si="54"/>
        <v>0</v>
      </c>
      <c r="Y27" s="48"/>
      <c r="Z27" s="43">
        <f t="shared" si="55"/>
        <v>0</v>
      </c>
      <c r="AA27" s="34">
        <f>'Summary Sheet - Oct 2025'!AA27+'Summary Sheet - Nov 2025'!AA27+'Summary Sheet - Dec 2025'!AA27</f>
        <v>0</v>
      </c>
      <c r="AB27" s="81">
        <f t="shared" si="56"/>
        <v>0</v>
      </c>
      <c r="AC27" s="34">
        <f>'Summary Sheet - Oct 2025'!AC27+'Summary Sheet - Nov 2025'!AC27+'Summary Sheet - Dec 2025'!AC27</f>
        <v>0</v>
      </c>
      <c r="AD27" s="140">
        <f t="shared" si="57"/>
        <v>0</v>
      </c>
      <c r="AE27" s="34">
        <f>'Summary Sheet - Oct 2025'!AE27+'Summary Sheet - Nov 2025'!AE27+'Summary Sheet - Dec 2025'!AE27</f>
        <v>0</v>
      </c>
      <c r="AF27" s="81">
        <f t="shared" si="58"/>
        <v>0</v>
      </c>
      <c r="AG27" s="34">
        <f>'Summary Sheet - Oct 2025'!AG27+'Summary Sheet - Nov 2025'!AG27+'Summary Sheet - Dec 2025'!AG27</f>
        <v>0</v>
      </c>
      <c r="AH27" s="140">
        <f t="shared" si="59"/>
        <v>0</v>
      </c>
      <c r="AI27" s="34">
        <f>'Summary Sheet - Oct 2025'!AI27+'Summary Sheet - Nov 2025'!AI27+'Summary Sheet - Dec 2025'!AI27</f>
        <v>0</v>
      </c>
      <c r="AJ27" s="81">
        <f t="shared" si="60"/>
        <v>0</v>
      </c>
      <c r="AK27" s="195" t="str">
        <f>'Summary Sheet - Oct 2025'!AK27+'Summary Sheet - Nov 2025'!AK27+'Summary Sheet - Dec 2025'!AK27</f>
        <v>#REF!</v>
      </c>
      <c r="AL27" s="140" t="str">
        <f t="shared" si="61"/>
        <v>#REF!</v>
      </c>
      <c r="AM27" s="34">
        <f>'Summary Sheet - Oct 2025'!AM27+'Summary Sheet - Nov 2025'!AM27+'Summary Sheet - Dec 2025'!AM27</f>
        <v>-5100183.907</v>
      </c>
      <c r="AN27" s="81">
        <f t="shared" si="62"/>
        <v>-2.506682751</v>
      </c>
      <c r="AO27" s="34">
        <f>'Summary Sheet - Oct 2025'!AO27+'Summary Sheet - Nov 2025'!AO27+'Summary Sheet - Dec 2025'!AO27</f>
        <v>0</v>
      </c>
      <c r="AP27" s="81">
        <f t="shared" si="63"/>
        <v>0</v>
      </c>
      <c r="AQ27" s="34">
        <f>'Summary Sheet - Oct 2025'!AQ27+'Summary Sheet - Nov 2025'!AQ27+'Summary Sheet - Dec 2025'!AQ27</f>
        <v>0</v>
      </c>
      <c r="AR27" s="140">
        <f t="shared" si="64"/>
        <v>0</v>
      </c>
      <c r="AS27" s="34">
        <f>'Summary Sheet - Oct 2025'!AS27+'Summary Sheet - Nov 2025'!AS27+'Summary Sheet - Dec 2025'!AS27</f>
        <v>75000</v>
      </c>
      <c r="AT27" s="81">
        <f t="shared" si="65"/>
        <v>0.005</v>
      </c>
      <c r="AU27" s="197">
        <f>'MSBC Andheri'!J142+'MSBC Andheri'!K142+'MSBC Andheri'!L142</f>
        <v>0</v>
      </c>
      <c r="AV27" s="43"/>
      <c r="AW27" s="48">
        <f>'MSBC Dahisar'!J131+'MSBC Dahisar'!K131+'MSBC Dahisar'!L131</f>
        <v>0</v>
      </c>
      <c r="AX27" s="43"/>
      <c r="AY27" s="48">
        <f>'MSBC Juhu  Goregoan'!J133+'MSBC Juhu  Goregoan'!K133+'MSBC Juhu  Goregoan'!L133</f>
        <v>0</v>
      </c>
      <c r="AZ27" s="43"/>
      <c r="BA27" s="48">
        <f>'Summary Sheet - Oct 2025'!BG27+'Summary Sheet - Nov 2025'!BG27+'Summary Sheet - Dec 2025'!BG27</f>
        <v>0</v>
      </c>
      <c r="BB27" s="43"/>
    </row>
    <row r="28" ht="15.75" customHeight="1">
      <c r="A28" s="176"/>
      <c r="B28" s="161" t="s">
        <v>44</v>
      </c>
      <c r="C28" s="207">
        <f>SUM(C18:C27)</f>
        <v>114101881.6</v>
      </c>
      <c r="D28" s="208"/>
      <c r="E28" s="208" t="str">
        <f t="shared" si="45"/>
        <v>#REF!</v>
      </c>
      <c r="F28" s="84" t="str">
        <f t="shared" si="46"/>
        <v>#REF!</v>
      </c>
      <c r="G28" s="166">
        <f>'Summary Sheet - July 2025'!G28+'Summary Sheet - Aug 2025'!G28+'Summary Sheet - Sep 2025'!G28</f>
        <v>15820368.77</v>
      </c>
      <c r="H28" s="164"/>
      <c r="I28" s="164">
        <f>'Summary Sheet - July 2025'!I28+'Summary Sheet - Aug 2025'!I28+'Summary Sheet - Sep 2025'!I28</f>
        <v>14207976.5</v>
      </c>
      <c r="J28" s="164"/>
      <c r="K28" s="164">
        <f>SUM(K18:K27)</f>
        <v>98281512.79</v>
      </c>
      <c r="L28" s="164"/>
      <c r="M28" s="164" t="str">
        <f>SUM(M18:M27)</f>
        <v>#REF!</v>
      </c>
      <c r="N28" s="163" t="str">
        <f t="shared" si="49"/>
        <v>#REF!</v>
      </c>
      <c r="O28" s="164">
        <f>sum(O18:O27)</f>
        <v>25846211.62</v>
      </c>
      <c r="P28" s="163">
        <f>O28/O10</f>
        <v>0.3682536935</v>
      </c>
      <c r="Q28" s="164">
        <f>SUM(Q18:Q27)</f>
        <v>22822162.96</v>
      </c>
      <c r="R28" s="163">
        <f t="shared" si="51"/>
        <v>0.3975178108</v>
      </c>
      <c r="S28" s="208">
        <f>sum(S18:S27)</f>
        <v>2170729.413</v>
      </c>
      <c r="T28" s="163">
        <f>S28/S10</f>
        <v>0.744321975</v>
      </c>
      <c r="U28" s="164" t="str">
        <f>SUM(U18:U27)</f>
        <v>#REF!</v>
      </c>
      <c r="V28" s="163" t="str">
        <f t="shared" si="53"/>
        <v>#REF!</v>
      </c>
      <c r="W28" s="164">
        <f>sum(W18:W27)</f>
        <v>20523341.67</v>
      </c>
      <c r="X28" s="163">
        <f t="shared" si="54"/>
        <v>0.4737224922</v>
      </c>
      <c r="Y28" s="164">
        <f>SUM(Y18:Y27)</f>
        <v>19627310.95</v>
      </c>
      <c r="Z28" s="164">
        <f t="shared" si="55"/>
        <v>0.4146672062</v>
      </c>
      <c r="AA28" s="164">
        <f>sum(AA18:AA27)</f>
        <v>11866796.08</v>
      </c>
      <c r="AB28" s="163">
        <f t="shared" si="56"/>
        <v>0.4258636699</v>
      </c>
      <c r="AC28" s="164">
        <f>SUM(AC18:AC27)</f>
        <v>11391726.7</v>
      </c>
      <c r="AD28" s="163">
        <f t="shared" si="57"/>
        <v>0.3798355109</v>
      </c>
      <c r="AE28" s="164">
        <f>sum(AE18:AE27)</f>
        <v>21899856.71</v>
      </c>
      <c r="AF28" s="163">
        <f>AE28/AE10</f>
        <v>0.4046783858</v>
      </c>
      <c r="AG28" s="164">
        <f>SUM(AG18:AG27)</f>
        <v>21110251.69</v>
      </c>
      <c r="AH28" s="163">
        <f t="shared" si="59"/>
        <v>0.3901011701</v>
      </c>
      <c r="AI28" s="164">
        <f>sum(AI18:AI27)</f>
        <v>2874158.417</v>
      </c>
      <c r="AJ28" s="163">
        <f>AI28/AI10</f>
        <v>67.43051841</v>
      </c>
      <c r="AK28" s="164" t="str">
        <f>sum(AK18:AK27)</f>
        <v>#REF!</v>
      </c>
      <c r="AL28" s="163" t="str">
        <f>AK28/AK10</f>
        <v>#REF!</v>
      </c>
      <c r="AM28" s="164">
        <f>sum(AM18:AM27)</f>
        <v>484808.7561</v>
      </c>
      <c r="AN28" s="163">
        <f>AM28/AM10</f>
        <v>0.2382780246</v>
      </c>
      <c r="AO28" s="164">
        <f>sum(AO18:AO27)</f>
        <v>237687</v>
      </c>
      <c r="AP28" s="163">
        <f>AO28/AO10</f>
        <v>0.8857383482</v>
      </c>
      <c r="AQ28" s="164">
        <f>sum(AQ18:AQ27)</f>
        <v>10643972.17</v>
      </c>
      <c r="AR28" s="163">
        <f>AQ28/AQ10</f>
        <v>0.7569312242</v>
      </c>
      <c r="AS28" s="164">
        <f>sum(AS18:AS27)</f>
        <v>497663.3333</v>
      </c>
      <c r="AT28" s="163">
        <f>AS28/AS10</f>
        <v>0.03317755556</v>
      </c>
      <c r="AU28" s="164">
        <f>SUM(AU18:AU27)</f>
        <v>551172.3029</v>
      </c>
      <c r="AV28" s="164"/>
      <c r="AW28" s="164">
        <f>SUM(AW18:AW27)</f>
        <v>360630.7129</v>
      </c>
      <c r="AX28" s="164"/>
      <c r="AY28" s="164">
        <f>SUM(AY18:AY27)</f>
        <v>419527.9429</v>
      </c>
      <c r="AZ28" s="164"/>
      <c r="BA28" s="164">
        <f>SUM(BA18:BA27)</f>
        <v>640307</v>
      </c>
      <c r="BB28" s="164"/>
    </row>
    <row r="29" ht="15.75" customHeight="1">
      <c r="A29" s="176"/>
      <c r="B29" s="50"/>
      <c r="C29" s="51"/>
      <c r="D29" s="52"/>
      <c r="E29" s="52"/>
      <c r="F29" s="163"/>
      <c r="G29" s="209"/>
      <c r="H29" s="55"/>
      <c r="I29" s="55"/>
      <c r="J29" s="55"/>
      <c r="K29" s="142"/>
      <c r="L29" s="142"/>
      <c r="M29" s="142"/>
      <c r="N29" s="198"/>
      <c r="O29" s="55"/>
      <c r="P29" s="55"/>
      <c r="Q29" s="55"/>
      <c r="R29" s="143"/>
      <c r="S29" s="60"/>
      <c r="T29" s="55"/>
      <c r="U29" s="55"/>
      <c r="V29" s="143"/>
      <c r="W29" s="55"/>
      <c r="X29" s="143"/>
      <c r="Y29" s="55"/>
      <c r="Z29" s="55"/>
      <c r="AA29" s="55"/>
      <c r="AB29" s="143"/>
      <c r="AC29" s="55"/>
      <c r="AD29" s="143"/>
      <c r="AE29" s="55"/>
      <c r="AF29" s="143"/>
      <c r="AG29" s="55"/>
      <c r="AH29" s="143"/>
      <c r="AI29" s="55"/>
      <c r="AJ29" s="143"/>
      <c r="AK29" s="55"/>
      <c r="AL29" s="143"/>
      <c r="AM29" s="55"/>
      <c r="AN29" s="143"/>
      <c r="AO29" s="55"/>
      <c r="AP29" s="143"/>
      <c r="AQ29" s="55"/>
      <c r="AR29" s="143"/>
      <c r="AS29" s="55"/>
      <c r="AT29" s="143"/>
      <c r="AU29" s="55"/>
      <c r="AV29" s="55"/>
      <c r="AW29" s="55"/>
      <c r="AX29" s="55"/>
      <c r="AY29" s="55"/>
      <c r="AZ29" s="55"/>
      <c r="BA29" s="55"/>
      <c r="BB29" s="55"/>
    </row>
    <row r="30" ht="15.75" customHeight="1">
      <c r="A30" s="176"/>
      <c r="B30" s="16" t="s">
        <v>45</v>
      </c>
      <c r="C30" s="66">
        <f>C16-C28</f>
        <v>29542345.47</v>
      </c>
      <c r="D30" s="68"/>
      <c r="E30" s="68" t="str">
        <f>E16-E28</f>
        <v>#REF!</v>
      </c>
      <c r="F30" s="198" t="str">
        <f>E30/E$10</f>
        <v>#REF!</v>
      </c>
      <c r="G30" s="200">
        <f>'Summary Sheet - July 2025'!G30+'Summary Sheet - Aug 2025'!G30+'Summary Sheet - Sep 2025'!G30</f>
        <v>-17288978.77</v>
      </c>
      <c r="H30" s="147"/>
      <c r="I30" s="118">
        <f>'Summary Sheet - July 2025'!I30+'Summary Sheet - Aug 2025'!I30+'Summary Sheet - Sep 2025'!I30</f>
        <v>-14207976.5</v>
      </c>
      <c r="J30" s="147"/>
      <c r="K30" s="68">
        <f>K16-K28</f>
        <v>55621115.07</v>
      </c>
      <c r="L30" s="70"/>
      <c r="M30" s="68" t="str">
        <f>M16-M28</f>
        <v>#REF!</v>
      </c>
      <c r="N30" s="67" t="str">
        <f>M30/M$10</f>
        <v>#REF!</v>
      </c>
      <c r="O30" s="118">
        <f>O16-O28</f>
        <v>22661504.39</v>
      </c>
      <c r="P30" s="117">
        <f>O30/O10</f>
        <v>0.3228783706</v>
      </c>
      <c r="Q30" s="118">
        <f>Q16-Q28</f>
        <v>15268368.98</v>
      </c>
      <c r="R30" s="117">
        <f>Q30/Q$10</f>
        <v>0.2659453717</v>
      </c>
      <c r="S30" s="118">
        <f>S16-S28</f>
        <v>-415235.295</v>
      </c>
      <c r="T30" s="117">
        <f>S30/S10</f>
        <v>-0.1423801386</v>
      </c>
      <c r="U30" s="118" t="str">
        <f>U16-U28</f>
        <v>#REF!</v>
      </c>
      <c r="V30" s="117" t="str">
        <f>U30/U$10</f>
        <v>#REF!</v>
      </c>
      <c r="W30" s="118">
        <f>W16-W28</f>
        <v>8668251.399</v>
      </c>
      <c r="X30" s="117">
        <f>W30/W10</f>
        <v>0.2000817275</v>
      </c>
      <c r="Y30" s="118">
        <f>Y16-Y28</f>
        <v>14252920.03</v>
      </c>
      <c r="Z30" s="147">
        <f>Y30/Y$10</f>
        <v>0.3011221732</v>
      </c>
      <c r="AA30" s="118">
        <f>AA16-AA28</f>
        <v>7145830.172</v>
      </c>
      <c r="AB30" s="117">
        <f>AA30/AA10</f>
        <v>0.2564423827</v>
      </c>
      <c r="AC30" s="118">
        <f>AC16-AC28</f>
        <v>11087918.13</v>
      </c>
      <c r="AD30" s="117">
        <f>AC30/AC$10</f>
        <v>0.3697055905</v>
      </c>
      <c r="AE30" s="118">
        <f>AE16-AE28</f>
        <v>16401207.25</v>
      </c>
      <c r="AF30" s="117">
        <f>AE30/AE16</f>
        <v>0.4282180586</v>
      </c>
      <c r="AG30" s="118">
        <f>AG16-AG28</f>
        <v>16894645.27</v>
      </c>
      <c r="AH30" s="117">
        <f>AG30/AG$10</f>
        <v>0.3122000147</v>
      </c>
      <c r="AI30" s="118">
        <f>AI16-AI28</f>
        <v>-2831534.417</v>
      </c>
      <c r="AJ30" s="117">
        <f>AI30/AI10</f>
        <v>-66.43051841</v>
      </c>
      <c r="AK30" s="118" t="str">
        <f>AK16-AK28</f>
        <v>#REF!</v>
      </c>
      <c r="AL30" s="117" t="str">
        <f>AK30/AK10</f>
        <v>#REF!</v>
      </c>
      <c r="AM30" s="118">
        <f>AM16-AM28</f>
        <v>471194.9292</v>
      </c>
      <c r="AN30" s="117">
        <f>AM30/AM10</f>
        <v>0.2315869825</v>
      </c>
      <c r="AO30" s="118">
        <f>AO16-AO28</f>
        <v>30662</v>
      </c>
      <c r="AP30" s="117">
        <f>AO30/AO10</f>
        <v>0.1142616518</v>
      </c>
      <c r="AQ30" s="118">
        <f>AQ16-AQ28</f>
        <v>-3240976.813</v>
      </c>
      <c r="AR30" s="117">
        <f>AQ30/AQ10</f>
        <v>-0.2304775423</v>
      </c>
      <c r="AS30" s="118">
        <f>AS16-AS28</f>
        <v>8025336.667</v>
      </c>
      <c r="AT30" s="117">
        <f>AS30/AS10</f>
        <v>0.5350224444</v>
      </c>
      <c r="AU30" s="118">
        <f>AU16-AU28</f>
        <v>-343525.1193</v>
      </c>
      <c r="AV30" s="147"/>
      <c r="AW30" s="118">
        <f>AW16-AW28</f>
        <v>-457859.1495</v>
      </c>
      <c r="AX30" s="147"/>
      <c r="AY30" s="118">
        <f>AY16-AY28</f>
        <v>-587226.1057</v>
      </c>
      <c r="AZ30" s="147"/>
      <c r="BA30" s="118">
        <f>BA16-BA28</f>
        <v>-640307</v>
      </c>
      <c r="BB30" s="147"/>
    </row>
    <row r="31" ht="15.75" customHeight="1">
      <c r="A31" s="176"/>
      <c r="B31" s="168" t="s">
        <v>50</v>
      </c>
      <c r="C31" s="169"/>
      <c r="D31" s="170"/>
      <c r="E31" s="155"/>
      <c r="F31" s="67"/>
      <c r="G31" s="210"/>
      <c r="H31" s="170"/>
      <c r="I31" s="170"/>
      <c r="J31" s="170"/>
      <c r="K31" s="155"/>
      <c r="L31" s="170"/>
      <c r="M31" s="155"/>
      <c r="N31" s="170"/>
      <c r="O31" s="155">
        <f>O30/O10</f>
        <v>0.3228783706</v>
      </c>
      <c r="P31" s="170"/>
      <c r="Q31" s="155">
        <f>Q30/Q10</f>
        <v>0.2659453717</v>
      </c>
      <c r="R31" s="170"/>
      <c r="S31" s="155">
        <f>S30/S10</f>
        <v>-0.1423801386</v>
      </c>
      <c r="T31" s="170"/>
      <c r="U31" s="155" t="str">
        <f>U30/U10</f>
        <v>#REF!</v>
      </c>
      <c r="V31" s="170"/>
      <c r="W31" s="155">
        <f>W30/W10</f>
        <v>0.2000817275</v>
      </c>
      <c r="X31" s="170"/>
      <c r="Y31" s="155"/>
      <c r="Z31" s="170"/>
      <c r="AA31" s="155">
        <f>AA30/AA10</f>
        <v>0.2564423827</v>
      </c>
      <c r="AB31" s="170"/>
      <c r="AC31" s="155">
        <f>AC30/AC10</f>
        <v>0.3697055905</v>
      </c>
      <c r="AD31" s="170"/>
      <c r="AE31" s="155">
        <f>AE30/AE16</f>
        <v>0.4282180586</v>
      </c>
      <c r="AF31" s="170"/>
      <c r="AG31" s="155">
        <f>AG30/AG10</f>
        <v>0.3122000147</v>
      </c>
      <c r="AH31" s="170"/>
      <c r="AI31" s="155">
        <f>AI30/AI10</f>
        <v>-66.43051841</v>
      </c>
      <c r="AJ31" s="170"/>
      <c r="AK31" s="155"/>
      <c r="AL31" s="170"/>
      <c r="AM31" s="155">
        <f>AM30/AM16</f>
        <v>0.4928798251</v>
      </c>
      <c r="AN31" s="170"/>
      <c r="AO31" s="155">
        <f>AO30/AO16</f>
        <v>0.1142616518</v>
      </c>
      <c r="AP31" s="170"/>
      <c r="AQ31" s="170">
        <f>AQ30/AQ10</f>
        <v>-0.2304775423</v>
      </c>
      <c r="AR31" s="170"/>
      <c r="AS31" s="170">
        <f>AS30/AS10</f>
        <v>0.5350224444</v>
      </c>
      <c r="AT31" s="170"/>
      <c r="AU31" s="170"/>
      <c r="AV31" s="170"/>
      <c r="AW31" s="170"/>
      <c r="AX31" s="170"/>
      <c r="AY31" s="170"/>
      <c r="AZ31" s="170"/>
      <c r="BA31" s="170"/>
      <c r="BB31" s="170"/>
    </row>
    <row r="32" ht="15.75" customHeight="1">
      <c r="A32" s="176"/>
      <c r="B32" s="176"/>
      <c r="C32" s="176"/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211"/>
      <c r="O32" s="176"/>
      <c r="P32" s="176"/>
      <c r="Q32" s="176"/>
      <c r="R32" s="176"/>
      <c r="S32" s="176"/>
      <c r="T32" s="176"/>
      <c r="U32" s="176"/>
      <c r="V32" s="176"/>
      <c r="W32" s="176"/>
      <c r="X32" s="176"/>
      <c r="Y32" s="176"/>
      <c r="Z32" s="176"/>
      <c r="AA32" s="176"/>
      <c r="AB32" s="176"/>
      <c r="AC32" s="176"/>
      <c r="AD32" s="176"/>
      <c r="AE32" s="176"/>
      <c r="AF32" s="176"/>
      <c r="AG32" s="176"/>
      <c r="AH32" s="176"/>
      <c r="AI32" s="176"/>
      <c r="AJ32" s="176"/>
      <c r="AK32" s="176"/>
      <c r="AL32" s="176"/>
      <c r="AM32" s="176"/>
      <c r="AN32" s="176"/>
      <c r="AO32" s="176"/>
      <c r="AP32" s="176"/>
      <c r="AQ32" s="176"/>
      <c r="AR32" s="176"/>
      <c r="AS32" s="176"/>
      <c r="AT32" s="176"/>
      <c r="AU32" s="176"/>
      <c r="AV32" s="176"/>
      <c r="AW32" s="176"/>
      <c r="AX32" s="176"/>
      <c r="AY32" s="176"/>
      <c r="AZ32" s="176"/>
      <c r="BA32" s="176"/>
      <c r="BB32" s="176"/>
    </row>
    <row r="33" ht="15.75" customHeight="1">
      <c r="A33" s="176"/>
      <c r="B33" s="176"/>
      <c r="C33" s="176"/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211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6"/>
      <c r="AQ33" s="176"/>
      <c r="AR33" s="176"/>
      <c r="AS33" s="176"/>
      <c r="AT33" s="176"/>
      <c r="AU33" s="176"/>
      <c r="AV33" s="176"/>
      <c r="AW33" s="212"/>
      <c r="AX33" s="212"/>
      <c r="AY33" s="212"/>
      <c r="AZ33" s="176"/>
      <c r="BA33" s="176"/>
      <c r="BB33" s="176"/>
    </row>
    <row r="34" ht="15.75" customHeight="1">
      <c r="A34" s="176"/>
      <c r="B34" s="176"/>
      <c r="C34" s="176"/>
      <c r="D34" s="176"/>
      <c r="E34" s="176"/>
      <c r="F34" s="176"/>
      <c r="G34" s="176"/>
      <c r="H34" s="176"/>
      <c r="I34" s="176"/>
      <c r="J34" s="176"/>
      <c r="K34" s="176"/>
      <c r="L34" s="176"/>
      <c r="M34" s="176"/>
      <c r="N34" s="211"/>
      <c r="O34" s="176"/>
      <c r="P34" s="176"/>
      <c r="Q34" s="176"/>
      <c r="R34" s="176"/>
      <c r="S34" s="176"/>
      <c r="T34" s="176"/>
      <c r="U34" s="176"/>
      <c r="V34" s="176"/>
      <c r="W34" s="176"/>
      <c r="X34" s="176"/>
      <c r="Y34" s="176"/>
      <c r="Z34" s="176"/>
      <c r="AA34" s="176"/>
      <c r="AB34" s="176"/>
      <c r="AC34" s="176"/>
      <c r="AD34" s="176"/>
      <c r="AE34" s="176"/>
      <c r="AF34" s="176"/>
      <c r="AG34" s="176"/>
      <c r="AH34" s="176"/>
      <c r="AI34" s="176"/>
      <c r="AJ34" s="176"/>
      <c r="AK34" s="176"/>
      <c r="AL34" s="176"/>
      <c r="AM34" s="176"/>
      <c r="AN34" s="176"/>
      <c r="AO34" s="176"/>
      <c r="AP34" s="176"/>
      <c r="AQ34" s="176"/>
      <c r="AR34" s="176"/>
      <c r="AS34" s="176"/>
      <c r="AT34" s="176"/>
      <c r="AU34" s="176"/>
      <c r="AV34" s="176"/>
      <c r="AW34" s="212"/>
      <c r="AX34" s="212"/>
      <c r="AY34" s="212"/>
      <c r="AZ34" s="176"/>
      <c r="BA34" s="176"/>
      <c r="BB34" s="176"/>
    </row>
    <row r="35" ht="15.75" customHeight="1">
      <c r="A35" s="176"/>
      <c r="B35" s="176"/>
      <c r="C35" s="176"/>
      <c r="D35" s="176"/>
      <c r="E35" s="176"/>
      <c r="F35" s="176"/>
      <c r="G35" s="176"/>
      <c r="H35" s="176"/>
      <c r="I35" s="176"/>
      <c r="J35" s="176"/>
      <c r="K35" s="176"/>
      <c r="L35" s="176"/>
      <c r="M35" s="176"/>
      <c r="N35" s="211"/>
      <c r="O35" s="176"/>
      <c r="P35" s="176"/>
      <c r="Q35" s="176"/>
      <c r="R35" s="176"/>
      <c r="S35" s="176"/>
      <c r="T35" s="176"/>
      <c r="U35" s="176"/>
      <c r="V35" s="176"/>
      <c r="W35" s="176"/>
      <c r="X35" s="176"/>
      <c r="Y35" s="176"/>
      <c r="Z35" s="176"/>
      <c r="AA35" s="176"/>
      <c r="AB35" s="176"/>
      <c r="AC35" s="176"/>
      <c r="AD35" s="176"/>
      <c r="AE35" s="176"/>
      <c r="AF35" s="176"/>
      <c r="AG35" s="176"/>
      <c r="AH35" s="176"/>
      <c r="AI35" s="176"/>
      <c r="AJ35" s="176"/>
      <c r="AK35" s="176"/>
      <c r="AL35" s="176"/>
      <c r="AM35" s="176"/>
      <c r="AN35" s="176"/>
      <c r="AO35" s="176"/>
      <c r="AP35" s="176"/>
      <c r="AQ35" s="176"/>
      <c r="AR35" s="176"/>
      <c r="AS35" s="176"/>
      <c r="AT35" s="176"/>
      <c r="AU35" s="176"/>
      <c r="AV35" s="176"/>
      <c r="AW35" s="212"/>
      <c r="AX35" s="212"/>
      <c r="AY35" s="176"/>
      <c r="AZ35" s="176"/>
      <c r="BA35" s="176"/>
      <c r="BB35" s="176"/>
    </row>
    <row r="36" ht="15.75" customHeight="1">
      <c r="A36" s="176"/>
      <c r="B36" s="176"/>
      <c r="C36" s="176"/>
      <c r="D36" s="176"/>
      <c r="E36" s="176"/>
      <c r="F36" s="176"/>
      <c r="G36" s="176"/>
      <c r="H36" s="176"/>
      <c r="I36" s="176"/>
      <c r="J36" s="176"/>
      <c r="K36" s="176"/>
      <c r="L36" s="176"/>
      <c r="M36" s="176"/>
      <c r="N36" s="211"/>
      <c r="O36" s="176"/>
      <c r="P36" s="176"/>
      <c r="Q36" s="176"/>
      <c r="R36" s="176"/>
      <c r="S36" s="176"/>
      <c r="T36" s="176"/>
      <c r="U36" s="176"/>
      <c r="V36" s="176"/>
      <c r="W36" s="176"/>
      <c r="X36" s="176"/>
      <c r="Y36" s="176"/>
      <c r="Z36" s="176"/>
      <c r="AA36" s="176"/>
      <c r="AB36" s="176"/>
      <c r="AC36" s="176"/>
      <c r="AD36" s="176"/>
      <c r="AE36" s="176"/>
      <c r="AF36" s="176"/>
      <c r="AG36" s="176"/>
      <c r="AH36" s="176"/>
      <c r="AI36" s="176"/>
      <c r="AJ36" s="176"/>
      <c r="AK36" s="176"/>
      <c r="AL36" s="176"/>
      <c r="AM36" s="176"/>
      <c r="AN36" s="176"/>
      <c r="AO36" s="176"/>
      <c r="AP36" s="176"/>
      <c r="AQ36" s="176"/>
      <c r="AR36" s="176"/>
      <c r="AS36" s="176"/>
      <c r="AT36" s="176"/>
      <c r="AU36" s="176"/>
      <c r="AV36" s="176"/>
      <c r="AW36" s="176"/>
      <c r="AX36" s="176"/>
      <c r="AY36" s="176"/>
      <c r="AZ36" s="176"/>
      <c r="BA36" s="176"/>
      <c r="BB36" s="176"/>
    </row>
    <row r="37" ht="15.75" customHeight="1">
      <c r="A37" s="176"/>
      <c r="B37" s="176"/>
      <c r="C37" s="176"/>
      <c r="D37" s="176"/>
      <c r="E37" s="176"/>
      <c r="F37" s="176"/>
      <c r="G37" s="176"/>
      <c r="H37" s="176"/>
      <c r="I37" s="176"/>
      <c r="J37" s="176"/>
      <c r="K37" s="176"/>
      <c r="L37" s="176"/>
      <c r="M37" s="176"/>
      <c r="N37" s="211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76"/>
      <c r="BB37" s="176"/>
    </row>
    <row r="38" ht="15.75" customHeight="1">
      <c r="A38" s="176"/>
      <c r="B38" s="176"/>
      <c r="C38" s="176"/>
      <c r="D38" s="176"/>
      <c r="E38" s="176"/>
      <c r="F38" s="176"/>
      <c r="G38" s="176"/>
      <c r="H38" s="176"/>
      <c r="I38" s="176"/>
      <c r="J38" s="176"/>
      <c r="K38" s="176"/>
      <c r="L38" s="176"/>
      <c r="M38" s="176"/>
      <c r="N38" s="211"/>
      <c r="O38" s="176"/>
      <c r="P38" s="176"/>
      <c r="Q38" s="176"/>
      <c r="R38" s="176"/>
      <c r="S38" s="176"/>
      <c r="T38" s="176"/>
      <c r="U38" s="176"/>
      <c r="V38" s="176"/>
      <c r="W38" s="176"/>
      <c r="X38" s="176"/>
      <c r="Y38" s="176"/>
      <c r="Z38" s="176"/>
      <c r="AA38" s="176"/>
      <c r="AB38" s="176"/>
      <c r="AC38" s="176"/>
      <c r="AD38" s="176"/>
      <c r="AE38" s="176"/>
      <c r="AF38" s="176"/>
      <c r="AG38" s="176"/>
      <c r="AH38" s="176"/>
      <c r="AI38" s="176"/>
      <c r="AJ38" s="176"/>
      <c r="AK38" s="176"/>
      <c r="AL38" s="176"/>
      <c r="AM38" s="176"/>
      <c r="AN38" s="176"/>
      <c r="AO38" s="176"/>
      <c r="AP38" s="176"/>
      <c r="AQ38" s="176"/>
      <c r="AR38" s="176"/>
      <c r="AS38" s="176"/>
      <c r="AT38" s="176"/>
      <c r="AU38" s="176"/>
      <c r="AV38" s="176"/>
      <c r="AW38" s="176"/>
      <c r="AX38" s="176"/>
      <c r="AY38" s="176"/>
      <c r="AZ38" s="176"/>
      <c r="BA38" s="176"/>
      <c r="BB38" s="176"/>
    </row>
    <row r="39" ht="15.75" customHeight="1">
      <c r="A39" s="176"/>
      <c r="B39" s="176"/>
      <c r="C39" s="176"/>
      <c r="D39" s="176"/>
      <c r="E39" s="176"/>
      <c r="F39" s="176"/>
      <c r="G39" s="176"/>
      <c r="H39" s="176"/>
      <c r="I39" s="176"/>
      <c r="J39" s="176"/>
      <c r="K39" s="176"/>
      <c r="L39" s="176"/>
      <c r="M39" s="176"/>
      <c r="N39" s="211"/>
      <c r="O39" s="176"/>
      <c r="P39" s="176"/>
      <c r="Q39" s="176"/>
      <c r="R39" s="176"/>
      <c r="S39" s="176"/>
      <c r="T39" s="176"/>
      <c r="U39" s="176"/>
      <c r="V39" s="176"/>
      <c r="W39" s="176"/>
      <c r="X39" s="176"/>
      <c r="Y39" s="176"/>
      <c r="Z39" s="176"/>
      <c r="AA39" s="176"/>
      <c r="AB39" s="176"/>
      <c r="AC39" s="176"/>
      <c r="AD39" s="176"/>
      <c r="AE39" s="176"/>
      <c r="AF39" s="176"/>
      <c r="AG39" s="176"/>
      <c r="AH39" s="176"/>
      <c r="AI39" s="176"/>
      <c r="AJ39" s="176"/>
      <c r="AK39" s="176"/>
      <c r="AL39" s="176"/>
      <c r="AM39" s="176"/>
      <c r="AN39" s="176"/>
      <c r="AO39" s="176"/>
      <c r="AP39" s="176"/>
      <c r="AQ39" s="176"/>
      <c r="AR39" s="176"/>
      <c r="AS39" s="176"/>
      <c r="AT39" s="176"/>
      <c r="AU39" s="176"/>
      <c r="AV39" s="176"/>
      <c r="AW39" s="176"/>
      <c r="AX39" s="176"/>
      <c r="AY39" s="176"/>
      <c r="AZ39" s="176"/>
      <c r="BA39" s="176"/>
      <c r="BB39" s="176"/>
    </row>
    <row r="40" ht="15.75" customHeight="1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211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  <c r="AC40" s="176"/>
      <c r="AD40" s="176"/>
      <c r="AE40" s="176"/>
      <c r="AF40" s="176"/>
      <c r="AG40" s="176"/>
      <c r="AH40" s="176"/>
      <c r="AI40" s="176"/>
      <c r="AJ40" s="176"/>
      <c r="AK40" s="176"/>
      <c r="AL40" s="176"/>
      <c r="AM40" s="176"/>
      <c r="AN40" s="176"/>
      <c r="AO40" s="176"/>
      <c r="AP40" s="176"/>
      <c r="AQ40" s="176"/>
      <c r="AR40" s="176"/>
      <c r="AS40" s="176"/>
      <c r="AT40" s="176"/>
      <c r="AU40" s="176"/>
      <c r="AV40" s="176"/>
      <c r="AW40" s="176"/>
      <c r="AX40" s="176"/>
      <c r="AY40" s="176"/>
      <c r="AZ40" s="176"/>
      <c r="BA40" s="176"/>
      <c r="BB40" s="176"/>
    </row>
    <row r="41" ht="15.75" customHeight="1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211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76"/>
      <c r="AD41" s="176"/>
      <c r="AE41" s="176"/>
      <c r="AF41" s="176"/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</row>
    <row r="42" ht="15.75" customHeight="1">
      <c r="A42" s="176"/>
      <c r="B42" s="176"/>
      <c r="C42" s="176"/>
      <c r="D42" s="176"/>
      <c r="E42" s="176"/>
      <c r="F42" s="176"/>
      <c r="G42" s="176"/>
      <c r="H42" s="176"/>
      <c r="I42" s="176"/>
      <c r="J42" s="176"/>
      <c r="K42" s="176"/>
      <c r="L42" s="176"/>
      <c r="M42" s="176"/>
      <c r="N42" s="211"/>
      <c r="O42" s="176"/>
      <c r="P42" s="176"/>
      <c r="Q42" s="176"/>
      <c r="R42" s="176"/>
      <c r="S42" s="176"/>
      <c r="T42" s="176"/>
      <c r="U42" s="176"/>
      <c r="V42" s="176"/>
      <c r="W42" s="176"/>
      <c r="X42" s="176"/>
      <c r="Y42" s="176"/>
      <c r="Z42" s="176"/>
      <c r="AA42" s="176"/>
      <c r="AB42" s="176"/>
      <c r="AC42" s="176"/>
      <c r="AD42" s="176"/>
      <c r="AE42" s="176"/>
      <c r="AF42" s="176"/>
      <c r="AG42" s="176"/>
      <c r="AH42" s="176"/>
      <c r="AI42" s="176"/>
      <c r="AJ42" s="176"/>
      <c r="AK42" s="176"/>
      <c r="AL42" s="176"/>
      <c r="AM42" s="176"/>
      <c r="AN42" s="176"/>
      <c r="AO42" s="176"/>
      <c r="AP42" s="176"/>
      <c r="AQ42" s="176"/>
      <c r="AR42" s="176"/>
      <c r="AS42" s="176"/>
      <c r="AT42" s="176"/>
      <c r="AU42" s="176"/>
      <c r="AV42" s="176"/>
      <c r="AW42" s="176"/>
      <c r="AX42" s="176"/>
      <c r="AY42" s="176"/>
      <c r="AZ42" s="176"/>
      <c r="BA42" s="176"/>
      <c r="BB42" s="176"/>
    </row>
    <row r="43" ht="15.75" customHeight="1">
      <c r="A43" s="176"/>
      <c r="B43" s="176"/>
      <c r="C43" s="176"/>
      <c r="D43" s="176"/>
      <c r="E43" s="176"/>
      <c r="F43" s="176"/>
      <c r="G43" s="176"/>
      <c r="H43" s="176"/>
      <c r="I43" s="176"/>
      <c r="J43" s="176"/>
      <c r="K43" s="176"/>
      <c r="L43" s="176"/>
      <c r="M43" s="176"/>
      <c r="N43" s="211"/>
      <c r="O43" s="176"/>
      <c r="P43" s="176"/>
      <c r="Q43" s="176"/>
      <c r="R43" s="176"/>
      <c r="S43" s="176"/>
      <c r="T43" s="176"/>
      <c r="U43" s="176"/>
      <c r="V43" s="176"/>
      <c r="W43" s="176"/>
      <c r="X43" s="176"/>
      <c r="Y43" s="176"/>
      <c r="Z43" s="176"/>
      <c r="AA43" s="176"/>
      <c r="AB43" s="176"/>
      <c r="AC43" s="176"/>
      <c r="AD43" s="176"/>
      <c r="AE43" s="176"/>
      <c r="AF43" s="176"/>
      <c r="AG43" s="176"/>
      <c r="AH43" s="176"/>
      <c r="AI43" s="176"/>
      <c r="AJ43" s="176"/>
      <c r="AK43" s="176"/>
      <c r="AL43" s="176"/>
      <c r="AM43" s="176"/>
      <c r="AN43" s="176"/>
      <c r="AO43" s="176"/>
      <c r="AP43" s="176"/>
      <c r="AQ43" s="176"/>
      <c r="AR43" s="176"/>
      <c r="AS43" s="176"/>
      <c r="AT43" s="176"/>
      <c r="AU43" s="176"/>
      <c r="AV43" s="176"/>
      <c r="AW43" s="176"/>
      <c r="AX43" s="176"/>
      <c r="AY43" s="176"/>
      <c r="AZ43" s="176"/>
      <c r="BA43" s="176"/>
      <c r="BB43" s="176"/>
    </row>
    <row r="44" ht="15.75" customHeight="1">
      <c r="A44" s="176"/>
      <c r="B44" s="176"/>
      <c r="C44" s="176"/>
      <c r="D44" s="176"/>
      <c r="E44" s="176"/>
      <c r="F44" s="176"/>
      <c r="G44" s="176"/>
      <c r="H44" s="176"/>
      <c r="I44" s="176"/>
      <c r="J44" s="176"/>
      <c r="K44" s="176"/>
      <c r="L44" s="176"/>
      <c r="M44" s="176"/>
      <c r="N44" s="211"/>
      <c r="O44" s="176"/>
      <c r="P44" s="176"/>
      <c r="Q44" s="176"/>
      <c r="R44" s="176"/>
      <c r="S44" s="176"/>
      <c r="T44" s="176"/>
      <c r="U44" s="176"/>
      <c r="V44" s="176"/>
      <c r="W44" s="176"/>
      <c r="X44" s="176"/>
      <c r="Y44" s="176"/>
      <c r="Z44" s="176"/>
      <c r="AA44" s="176"/>
      <c r="AB44" s="176"/>
      <c r="AC44" s="176"/>
      <c r="AD44" s="176"/>
      <c r="AE44" s="176"/>
      <c r="AF44" s="176"/>
      <c r="AG44" s="176"/>
      <c r="AH44" s="176"/>
      <c r="AI44" s="176"/>
      <c r="AJ44" s="176"/>
      <c r="AK44" s="176"/>
      <c r="AL44" s="176"/>
      <c r="AM44" s="176"/>
      <c r="AN44" s="176"/>
      <c r="AO44" s="176"/>
      <c r="AP44" s="176"/>
      <c r="AQ44" s="176"/>
      <c r="AR44" s="176"/>
      <c r="AS44" s="176"/>
      <c r="AT44" s="176"/>
      <c r="AU44" s="176"/>
      <c r="AV44" s="176"/>
      <c r="AW44" s="176"/>
      <c r="AX44" s="176"/>
      <c r="AY44" s="176"/>
      <c r="AZ44" s="176"/>
      <c r="BA44" s="176"/>
      <c r="BB44" s="176"/>
    </row>
    <row r="45" ht="15.75" customHeight="1">
      <c r="A45" s="176"/>
      <c r="B45" s="176"/>
      <c r="C45" s="176"/>
      <c r="D45" s="176"/>
      <c r="E45" s="176"/>
      <c r="F45" s="176"/>
      <c r="G45" s="176"/>
      <c r="H45" s="176"/>
      <c r="I45" s="176"/>
      <c r="J45" s="176"/>
      <c r="K45" s="176"/>
      <c r="L45" s="176"/>
      <c r="M45" s="176"/>
      <c r="N45" s="211"/>
      <c r="O45" s="176"/>
      <c r="P45" s="176"/>
      <c r="Q45" s="176"/>
      <c r="R45" s="176"/>
      <c r="S45" s="176"/>
      <c r="T45" s="176"/>
      <c r="U45" s="176"/>
      <c r="V45" s="176"/>
      <c r="W45" s="176"/>
      <c r="X45" s="176"/>
      <c r="Y45" s="176"/>
      <c r="Z45" s="176"/>
      <c r="AA45" s="176"/>
      <c r="AB45" s="176"/>
      <c r="AC45" s="176"/>
      <c r="AD45" s="176"/>
      <c r="AE45" s="176"/>
      <c r="AF45" s="176"/>
      <c r="AG45" s="176"/>
      <c r="AH45" s="176"/>
      <c r="AI45" s="176"/>
      <c r="AJ45" s="176"/>
      <c r="AK45" s="176"/>
      <c r="AL45" s="176"/>
      <c r="AM45" s="176"/>
      <c r="AN45" s="176"/>
      <c r="AO45" s="176"/>
      <c r="AP45" s="176"/>
      <c r="AQ45" s="176"/>
      <c r="AR45" s="176"/>
      <c r="AS45" s="176"/>
      <c r="AT45" s="176"/>
      <c r="AU45" s="176"/>
      <c r="AV45" s="176"/>
      <c r="AW45" s="176"/>
      <c r="AX45" s="176"/>
      <c r="AY45" s="176"/>
      <c r="AZ45" s="176"/>
      <c r="BA45" s="176"/>
      <c r="BB45" s="176"/>
    </row>
    <row r="46" ht="15.75" customHeight="1">
      <c r="A46" s="176"/>
      <c r="B46" s="176"/>
      <c r="C46" s="176"/>
      <c r="D46" s="176"/>
      <c r="E46" s="176"/>
      <c r="F46" s="176"/>
      <c r="G46" s="176"/>
      <c r="H46" s="176"/>
      <c r="I46" s="176"/>
      <c r="J46" s="176"/>
      <c r="K46" s="176"/>
      <c r="L46" s="176"/>
      <c r="M46" s="176"/>
      <c r="N46" s="211"/>
      <c r="O46" s="176"/>
      <c r="P46" s="176"/>
      <c r="Q46" s="176"/>
      <c r="R46" s="176"/>
      <c r="S46" s="176"/>
      <c r="T46" s="176"/>
      <c r="U46" s="176"/>
      <c r="V46" s="176"/>
      <c r="W46" s="176"/>
      <c r="X46" s="176"/>
      <c r="Y46" s="176"/>
      <c r="Z46" s="176"/>
      <c r="AA46" s="176"/>
      <c r="AB46" s="176"/>
      <c r="AC46" s="176"/>
      <c r="AD46" s="176"/>
      <c r="AE46" s="176"/>
      <c r="AF46" s="176"/>
      <c r="AG46" s="176"/>
      <c r="AH46" s="176"/>
      <c r="AI46" s="176"/>
      <c r="AJ46" s="176"/>
      <c r="AK46" s="176"/>
      <c r="AL46" s="176"/>
      <c r="AM46" s="176"/>
      <c r="AN46" s="176"/>
      <c r="AO46" s="176"/>
      <c r="AP46" s="176"/>
      <c r="AQ46" s="176"/>
      <c r="AR46" s="176"/>
      <c r="AS46" s="176"/>
      <c r="AT46" s="176"/>
      <c r="AU46" s="176"/>
      <c r="AV46" s="176"/>
      <c r="AW46" s="176"/>
      <c r="AX46" s="176"/>
      <c r="AY46" s="176"/>
      <c r="AZ46" s="176"/>
      <c r="BA46" s="176"/>
      <c r="BB46" s="176"/>
    </row>
    <row r="47" ht="15.75" customHeight="1">
      <c r="A47" s="176"/>
      <c r="B47" s="176"/>
      <c r="C47" s="176"/>
      <c r="D47" s="176"/>
      <c r="E47" s="176"/>
      <c r="F47" s="176"/>
      <c r="G47" s="176"/>
      <c r="H47" s="176"/>
      <c r="I47" s="176"/>
      <c r="J47" s="176"/>
      <c r="K47" s="176"/>
      <c r="L47" s="176"/>
      <c r="M47" s="176"/>
      <c r="N47" s="211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  <c r="AA47" s="176"/>
      <c r="AB47" s="176"/>
      <c r="AC47" s="176"/>
      <c r="AD47" s="176"/>
      <c r="AE47" s="176"/>
      <c r="AF47" s="176"/>
      <c r="AG47" s="176"/>
      <c r="AH47" s="176"/>
      <c r="AI47" s="176"/>
      <c r="AJ47" s="176"/>
      <c r="AK47" s="176"/>
      <c r="AL47" s="176"/>
      <c r="AM47" s="176"/>
      <c r="AN47" s="176"/>
      <c r="AO47" s="176"/>
      <c r="AP47" s="176"/>
      <c r="AQ47" s="176"/>
      <c r="AR47" s="176"/>
      <c r="AS47" s="176"/>
      <c r="AT47" s="176"/>
      <c r="AU47" s="176"/>
      <c r="AV47" s="176"/>
      <c r="AW47" s="176"/>
      <c r="AX47" s="176"/>
      <c r="AY47" s="176"/>
      <c r="AZ47" s="176"/>
      <c r="BA47" s="176"/>
      <c r="BB47" s="176"/>
    </row>
    <row r="48" ht="15.75" customHeight="1">
      <c r="A48" s="176"/>
      <c r="B48" s="176"/>
      <c r="C48" s="176"/>
      <c r="D48" s="176"/>
      <c r="E48" s="176"/>
      <c r="F48" s="176"/>
      <c r="G48" s="176"/>
      <c r="H48" s="176"/>
      <c r="I48" s="176"/>
      <c r="J48" s="176"/>
      <c r="K48" s="176"/>
      <c r="L48" s="176"/>
      <c r="M48" s="176"/>
      <c r="N48" s="211"/>
      <c r="O48" s="176"/>
      <c r="P48" s="176"/>
      <c r="Q48" s="176"/>
      <c r="R48" s="176"/>
      <c r="S48" s="176"/>
      <c r="T48" s="176"/>
      <c r="U48" s="176"/>
      <c r="V48" s="176"/>
      <c r="W48" s="176"/>
      <c r="X48" s="176"/>
      <c r="Y48" s="176"/>
      <c r="Z48" s="176"/>
      <c r="AA48" s="176"/>
      <c r="AB48" s="176"/>
      <c r="AC48" s="176"/>
      <c r="AD48" s="176"/>
      <c r="AE48" s="176"/>
      <c r="AF48" s="176"/>
      <c r="AG48" s="176"/>
      <c r="AH48" s="176"/>
      <c r="AI48" s="176"/>
      <c r="AJ48" s="176"/>
      <c r="AK48" s="176"/>
      <c r="AL48" s="176"/>
      <c r="AM48" s="176"/>
      <c r="AN48" s="176"/>
      <c r="AO48" s="176"/>
      <c r="AP48" s="176"/>
      <c r="AQ48" s="176"/>
      <c r="AR48" s="176"/>
      <c r="AS48" s="176"/>
      <c r="AT48" s="176"/>
      <c r="AU48" s="176"/>
      <c r="AV48" s="176"/>
      <c r="AW48" s="176"/>
      <c r="AX48" s="176"/>
      <c r="AY48" s="176"/>
      <c r="AZ48" s="176"/>
      <c r="BA48" s="176"/>
      <c r="BB48" s="176"/>
    </row>
    <row r="49" ht="15.75" customHeight="1">
      <c r="A49" s="176"/>
      <c r="B49" s="176"/>
      <c r="C49" s="176"/>
      <c r="D49" s="176"/>
      <c r="E49" s="176"/>
      <c r="F49" s="176"/>
      <c r="G49" s="176"/>
      <c r="H49" s="176"/>
      <c r="I49" s="176"/>
      <c r="J49" s="176"/>
      <c r="K49" s="176"/>
      <c r="L49" s="176"/>
      <c r="M49" s="176"/>
      <c r="N49" s="211"/>
      <c r="O49" s="176"/>
      <c r="P49" s="176"/>
      <c r="Q49" s="176"/>
      <c r="R49" s="176"/>
      <c r="S49" s="176"/>
      <c r="T49" s="176"/>
      <c r="U49" s="176"/>
      <c r="V49" s="176"/>
      <c r="W49" s="176"/>
      <c r="X49" s="176"/>
      <c r="Y49" s="176"/>
      <c r="Z49" s="176"/>
      <c r="AA49" s="176"/>
      <c r="AB49" s="176"/>
      <c r="AC49" s="176"/>
      <c r="AD49" s="176"/>
      <c r="AE49" s="176"/>
      <c r="AF49" s="176"/>
      <c r="AG49" s="176"/>
      <c r="AH49" s="176"/>
      <c r="AI49" s="176"/>
      <c r="AJ49" s="176"/>
      <c r="AK49" s="176"/>
      <c r="AL49" s="176"/>
      <c r="AM49" s="176"/>
      <c r="AN49" s="176"/>
      <c r="AO49" s="176"/>
      <c r="AP49" s="176"/>
      <c r="AQ49" s="176"/>
      <c r="AR49" s="176"/>
      <c r="AS49" s="176"/>
      <c r="AT49" s="176"/>
      <c r="AU49" s="176"/>
      <c r="AV49" s="176"/>
      <c r="AW49" s="176"/>
      <c r="AX49" s="176"/>
      <c r="AY49" s="176"/>
      <c r="AZ49" s="176"/>
      <c r="BA49" s="176"/>
      <c r="BB49" s="176"/>
    </row>
    <row r="50" ht="15.75" customHeight="1">
      <c r="A50" s="176"/>
      <c r="B50" s="176"/>
      <c r="C50" s="176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211"/>
      <c r="O50" s="176"/>
      <c r="P50" s="176"/>
      <c r="Q50" s="176"/>
      <c r="R50" s="176"/>
      <c r="S50" s="176"/>
      <c r="T50" s="176"/>
      <c r="U50" s="176"/>
      <c r="V50" s="176"/>
      <c r="W50" s="176"/>
      <c r="X50" s="176"/>
      <c r="Y50" s="176"/>
      <c r="Z50" s="176"/>
      <c r="AA50" s="176"/>
      <c r="AB50" s="176"/>
      <c r="AC50" s="176"/>
      <c r="AD50" s="176"/>
      <c r="AE50" s="176"/>
      <c r="AF50" s="176"/>
      <c r="AG50" s="176"/>
      <c r="AH50" s="176"/>
      <c r="AI50" s="176"/>
      <c r="AJ50" s="176"/>
      <c r="AK50" s="176"/>
      <c r="AL50" s="176"/>
      <c r="AM50" s="176"/>
      <c r="AN50" s="176"/>
      <c r="AO50" s="176"/>
      <c r="AP50" s="176"/>
      <c r="AQ50" s="176"/>
      <c r="AR50" s="176"/>
      <c r="AS50" s="176"/>
      <c r="AT50" s="176"/>
      <c r="AU50" s="176"/>
      <c r="AV50" s="176"/>
      <c r="AW50" s="176"/>
      <c r="AX50" s="176"/>
      <c r="AY50" s="176"/>
      <c r="AZ50" s="176"/>
      <c r="BA50" s="176"/>
      <c r="BB50" s="176"/>
    </row>
    <row r="51" ht="15.75" customHeight="1">
      <c r="A51" s="176"/>
      <c r="B51" s="176"/>
      <c r="C51" s="176"/>
      <c r="D51" s="176"/>
      <c r="E51" s="176"/>
      <c r="F51" s="176"/>
      <c r="G51" s="176"/>
      <c r="H51" s="176"/>
      <c r="I51" s="176"/>
      <c r="J51" s="176"/>
      <c r="K51" s="176"/>
      <c r="L51" s="176"/>
      <c r="M51" s="176"/>
      <c r="N51" s="211"/>
      <c r="O51" s="176"/>
      <c r="P51" s="176"/>
      <c r="Q51" s="176"/>
      <c r="R51" s="176"/>
      <c r="S51" s="176"/>
      <c r="T51" s="176"/>
      <c r="U51" s="176"/>
      <c r="V51" s="176"/>
      <c r="W51" s="176"/>
      <c r="X51" s="176"/>
      <c r="Y51" s="176"/>
      <c r="Z51" s="176"/>
      <c r="AA51" s="176"/>
      <c r="AB51" s="176"/>
      <c r="AC51" s="176"/>
      <c r="AD51" s="176"/>
      <c r="AE51" s="176"/>
      <c r="AF51" s="176"/>
      <c r="AG51" s="176"/>
      <c r="AH51" s="176"/>
      <c r="AI51" s="176"/>
      <c r="AJ51" s="176"/>
      <c r="AK51" s="176"/>
      <c r="AL51" s="176"/>
      <c r="AM51" s="176"/>
      <c r="AN51" s="176"/>
      <c r="AO51" s="176"/>
      <c r="AP51" s="176"/>
      <c r="AQ51" s="176"/>
      <c r="AR51" s="176"/>
      <c r="AS51" s="176"/>
      <c r="AT51" s="176"/>
      <c r="AU51" s="176"/>
      <c r="AV51" s="176"/>
      <c r="AW51" s="176"/>
      <c r="AX51" s="176"/>
      <c r="AY51" s="176"/>
      <c r="AZ51" s="176"/>
      <c r="BA51" s="176"/>
      <c r="BB51" s="176"/>
    </row>
    <row r="52" ht="15.75" customHeight="1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211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  <c r="AC52" s="176"/>
      <c r="AD52" s="176"/>
      <c r="AE52" s="176"/>
      <c r="AF52" s="176"/>
      <c r="AG52" s="176"/>
      <c r="AH52" s="176"/>
      <c r="AI52" s="176"/>
      <c r="AJ52" s="176"/>
      <c r="AK52" s="176"/>
      <c r="AL52" s="176"/>
      <c r="AM52" s="176"/>
      <c r="AN52" s="176"/>
      <c r="AO52" s="176"/>
      <c r="AP52" s="176"/>
      <c r="AQ52" s="176"/>
      <c r="AR52" s="176"/>
      <c r="AS52" s="176"/>
      <c r="AT52" s="176"/>
      <c r="AU52" s="176"/>
      <c r="AV52" s="176"/>
      <c r="AW52" s="176"/>
      <c r="AX52" s="176"/>
      <c r="AY52" s="176"/>
      <c r="AZ52" s="176"/>
      <c r="BA52" s="176"/>
      <c r="BB52" s="176"/>
    </row>
    <row r="53" ht="15.75" customHeight="1">
      <c r="A53" s="176"/>
      <c r="B53" s="176"/>
      <c r="C53" s="176"/>
      <c r="D53" s="176"/>
      <c r="E53" s="176"/>
      <c r="F53" s="176"/>
      <c r="G53" s="176"/>
      <c r="H53" s="176"/>
      <c r="I53" s="176"/>
      <c r="J53" s="176"/>
      <c r="K53" s="176"/>
      <c r="L53" s="176"/>
      <c r="M53" s="176"/>
      <c r="N53" s="211"/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  <c r="AA53" s="176"/>
      <c r="AB53" s="176"/>
      <c r="AC53" s="176"/>
      <c r="AD53" s="176"/>
      <c r="AE53" s="176"/>
      <c r="AF53" s="176"/>
      <c r="AG53" s="176"/>
      <c r="AH53" s="176"/>
      <c r="AI53" s="176"/>
      <c r="AJ53" s="176"/>
      <c r="AK53" s="176"/>
      <c r="AL53" s="176"/>
      <c r="AM53" s="176"/>
      <c r="AN53" s="176"/>
      <c r="AO53" s="176"/>
      <c r="AP53" s="176"/>
      <c r="AQ53" s="176"/>
      <c r="AR53" s="176"/>
      <c r="AS53" s="176"/>
      <c r="AT53" s="176"/>
      <c r="AU53" s="176"/>
      <c r="AV53" s="176"/>
      <c r="AW53" s="176"/>
      <c r="AX53" s="176"/>
      <c r="AY53" s="176"/>
      <c r="AZ53" s="176"/>
      <c r="BA53" s="176"/>
      <c r="BB53" s="176"/>
    </row>
    <row r="54" ht="15.75" customHeight="1">
      <c r="A54" s="176"/>
      <c r="B54" s="176"/>
      <c r="C54" s="176"/>
      <c r="D54" s="176"/>
      <c r="E54" s="176"/>
      <c r="F54" s="176"/>
      <c r="G54" s="176"/>
      <c r="H54" s="176"/>
      <c r="I54" s="176"/>
      <c r="J54" s="176"/>
      <c r="K54" s="176"/>
      <c r="L54" s="176"/>
      <c r="M54" s="176"/>
      <c r="N54" s="211"/>
      <c r="O54" s="176"/>
      <c r="P54" s="176"/>
      <c r="Q54" s="176"/>
      <c r="R54" s="176"/>
      <c r="S54" s="176"/>
      <c r="T54" s="176"/>
      <c r="U54" s="176"/>
      <c r="V54" s="176"/>
      <c r="W54" s="176"/>
      <c r="X54" s="176"/>
      <c r="Y54" s="176"/>
      <c r="Z54" s="176"/>
      <c r="AA54" s="176"/>
      <c r="AB54" s="176"/>
      <c r="AC54" s="176"/>
      <c r="AD54" s="176"/>
      <c r="AE54" s="176"/>
      <c r="AF54" s="176"/>
      <c r="AG54" s="176"/>
      <c r="AH54" s="176"/>
      <c r="AI54" s="176"/>
      <c r="AJ54" s="176"/>
      <c r="AK54" s="176"/>
      <c r="AL54" s="176"/>
      <c r="AM54" s="176"/>
      <c r="AN54" s="176"/>
      <c r="AO54" s="176"/>
      <c r="AP54" s="176"/>
      <c r="AQ54" s="176"/>
      <c r="AR54" s="176"/>
      <c r="AS54" s="176"/>
      <c r="AT54" s="176"/>
      <c r="AU54" s="176"/>
      <c r="AV54" s="176"/>
      <c r="AW54" s="176"/>
      <c r="AX54" s="176"/>
      <c r="AY54" s="176"/>
      <c r="AZ54" s="176"/>
      <c r="BA54" s="176"/>
      <c r="BB54" s="176"/>
    </row>
    <row r="55" ht="15.75" customHeight="1">
      <c r="A55" s="176"/>
      <c r="B55" s="176"/>
      <c r="C55" s="176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211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  <c r="AA55" s="176"/>
      <c r="AB55" s="176"/>
      <c r="AC55" s="176"/>
      <c r="AD55" s="176"/>
      <c r="AE55" s="176"/>
      <c r="AF55" s="176"/>
      <c r="AG55" s="176"/>
      <c r="AH55" s="176"/>
      <c r="AI55" s="176"/>
      <c r="AJ55" s="176"/>
      <c r="AK55" s="176"/>
      <c r="AL55" s="176"/>
      <c r="AM55" s="176"/>
      <c r="AN55" s="176"/>
      <c r="AO55" s="176"/>
      <c r="AP55" s="176"/>
      <c r="AQ55" s="176"/>
      <c r="AR55" s="176"/>
      <c r="AS55" s="176"/>
      <c r="AT55" s="176"/>
      <c r="AU55" s="176"/>
      <c r="AV55" s="176"/>
      <c r="AW55" s="176"/>
      <c r="AX55" s="176"/>
      <c r="AY55" s="176"/>
      <c r="AZ55" s="176"/>
      <c r="BA55" s="176"/>
      <c r="BB55" s="176"/>
    </row>
    <row r="56" ht="15.75" customHeight="1">
      <c r="A56" s="176"/>
      <c r="B56" s="176"/>
      <c r="C56" s="176"/>
      <c r="D56" s="176"/>
      <c r="E56" s="176"/>
      <c r="F56" s="176"/>
      <c r="G56" s="176"/>
      <c r="H56" s="176"/>
      <c r="I56" s="176"/>
      <c r="J56" s="176"/>
      <c r="K56" s="176"/>
      <c r="L56" s="176"/>
      <c r="M56" s="176"/>
      <c r="N56" s="211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  <c r="AA56" s="176"/>
      <c r="AB56" s="176"/>
      <c r="AC56" s="176"/>
      <c r="AD56" s="176"/>
      <c r="AE56" s="176"/>
      <c r="AF56" s="176"/>
      <c r="AG56" s="176"/>
      <c r="AH56" s="176"/>
      <c r="AI56" s="176"/>
      <c r="AJ56" s="176"/>
      <c r="AK56" s="176"/>
      <c r="AL56" s="176"/>
      <c r="AM56" s="176"/>
      <c r="AN56" s="176"/>
      <c r="AO56" s="176"/>
      <c r="AP56" s="176"/>
      <c r="AQ56" s="176"/>
      <c r="AR56" s="176"/>
      <c r="AS56" s="176"/>
      <c r="AT56" s="176"/>
      <c r="AU56" s="176"/>
      <c r="AV56" s="176"/>
      <c r="AW56" s="176"/>
      <c r="AX56" s="176"/>
      <c r="AY56" s="176"/>
      <c r="AZ56" s="176"/>
      <c r="BA56" s="176"/>
      <c r="BB56" s="176"/>
    </row>
    <row r="57" ht="15.75" customHeight="1">
      <c r="A57" s="176"/>
      <c r="B57" s="176"/>
      <c r="C57" s="176"/>
      <c r="D57" s="176"/>
      <c r="E57" s="176"/>
      <c r="F57" s="176"/>
      <c r="G57" s="176"/>
      <c r="H57" s="176"/>
      <c r="I57" s="176"/>
      <c r="J57" s="176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  <c r="AA57" s="176"/>
      <c r="AB57" s="176"/>
      <c r="AC57" s="176"/>
      <c r="AD57" s="176"/>
      <c r="AE57" s="176"/>
      <c r="AF57" s="176"/>
      <c r="AG57" s="176"/>
      <c r="AH57" s="176"/>
      <c r="AI57" s="176"/>
      <c r="AJ57" s="176"/>
      <c r="AK57" s="176"/>
      <c r="AL57" s="176"/>
      <c r="AM57" s="176"/>
      <c r="AN57" s="176"/>
      <c r="AO57" s="176"/>
      <c r="AP57" s="176"/>
      <c r="AQ57" s="176"/>
      <c r="AR57" s="176"/>
      <c r="AS57" s="176"/>
      <c r="AT57" s="176"/>
      <c r="AU57" s="176"/>
      <c r="AV57" s="176"/>
      <c r="AW57" s="176"/>
      <c r="AX57" s="176"/>
      <c r="AY57" s="176"/>
      <c r="AZ57" s="176"/>
      <c r="BA57" s="176"/>
      <c r="BB57" s="176"/>
    </row>
    <row r="58" ht="15.75" customHeight="1">
      <c r="A58" s="176"/>
      <c r="B58" s="176"/>
      <c r="C58" s="176"/>
      <c r="D58" s="176"/>
      <c r="E58" s="176"/>
      <c r="F58" s="176"/>
      <c r="G58" s="176"/>
      <c r="H58" s="176"/>
      <c r="I58" s="176"/>
      <c r="J58" s="176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  <c r="AA58" s="176"/>
      <c r="AB58" s="176"/>
      <c r="AC58" s="176"/>
      <c r="AD58" s="176"/>
      <c r="AE58" s="176"/>
      <c r="AF58" s="176"/>
      <c r="AG58" s="176"/>
      <c r="AH58" s="176"/>
      <c r="AI58" s="176"/>
      <c r="AJ58" s="176"/>
      <c r="AK58" s="176"/>
      <c r="AL58" s="176"/>
      <c r="AM58" s="176"/>
      <c r="AN58" s="176"/>
      <c r="AO58" s="176"/>
      <c r="AP58" s="176"/>
      <c r="AQ58" s="176"/>
      <c r="AR58" s="176"/>
      <c r="AS58" s="176"/>
      <c r="AT58" s="176"/>
      <c r="AU58" s="176"/>
      <c r="AV58" s="176"/>
      <c r="AW58" s="176"/>
      <c r="AX58" s="176"/>
      <c r="AY58" s="176"/>
      <c r="AZ58" s="176"/>
      <c r="BA58" s="176"/>
      <c r="BB58" s="176"/>
    </row>
    <row r="59" ht="15.75" customHeight="1">
      <c r="A59" s="176"/>
      <c r="B59" s="176"/>
      <c r="C59" s="176"/>
      <c r="D59" s="176"/>
      <c r="E59" s="176"/>
      <c r="F59" s="176"/>
      <c r="G59" s="176"/>
      <c r="H59" s="176"/>
      <c r="I59" s="176"/>
      <c r="J59" s="176"/>
      <c r="K59" s="176"/>
      <c r="L59" s="176"/>
      <c r="M59" s="176"/>
      <c r="N59" s="176"/>
      <c r="O59" s="176"/>
      <c r="P59" s="176"/>
      <c r="Q59" s="176"/>
      <c r="R59" s="176"/>
      <c r="S59" s="176"/>
      <c r="T59" s="176"/>
      <c r="U59" s="176"/>
      <c r="V59" s="176"/>
      <c r="W59" s="176"/>
      <c r="X59" s="176"/>
      <c r="Y59" s="176"/>
      <c r="Z59" s="176"/>
      <c r="AA59" s="176"/>
      <c r="AB59" s="176"/>
      <c r="AC59" s="176"/>
      <c r="AD59" s="176"/>
      <c r="AE59" s="176"/>
      <c r="AF59" s="176"/>
      <c r="AG59" s="176"/>
      <c r="AH59" s="176"/>
      <c r="AI59" s="176"/>
      <c r="AJ59" s="176"/>
      <c r="AK59" s="176"/>
      <c r="AL59" s="176"/>
      <c r="AM59" s="176"/>
      <c r="AN59" s="176"/>
      <c r="AO59" s="176"/>
      <c r="AP59" s="176"/>
      <c r="AQ59" s="176"/>
      <c r="AR59" s="176"/>
      <c r="AS59" s="176"/>
      <c r="AT59" s="176"/>
      <c r="AU59" s="176"/>
      <c r="AV59" s="176"/>
      <c r="AW59" s="176"/>
      <c r="AX59" s="176"/>
      <c r="AY59" s="176"/>
      <c r="AZ59" s="176"/>
      <c r="BA59" s="176"/>
      <c r="BB59" s="176"/>
    </row>
    <row r="60" ht="15.75" customHeight="1">
      <c r="A60" s="176"/>
      <c r="B60" s="176"/>
      <c r="C60" s="176"/>
      <c r="D60" s="176"/>
      <c r="E60" s="176"/>
      <c r="F60" s="176"/>
      <c r="G60" s="176"/>
      <c r="H60" s="176"/>
      <c r="I60" s="176"/>
      <c r="J60" s="176"/>
      <c r="K60" s="176"/>
      <c r="L60" s="176"/>
      <c r="M60" s="176"/>
      <c r="N60" s="176"/>
      <c r="O60" s="176"/>
      <c r="P60" s="176"/>
      <c r="Q60" s="176"/>
      <c r="R60" s="176"/>
      <c r="S60" s="176"/>
      <c r="T60" s="176"/>
      <c r="U60" s="176"/>
      <c r="V60" s="176"/>
      <c r="W60" s="176"/>
      <c r="X60" s="176"/>
      <c r="Y60" s="176"/>
      <c r="Z60" s="176"/>
      <c r="AA60" s="176"/>
      <c r="AB60" s="176"/>
      <c r="AC60" s="176"/>
      <c r="AD60" s="176"/>
      <c r="AE60" s="176"/>
      <c r="AF60" s="176"/>
      <c r="AG60" s="176"/>
      <c r="AH60" s="176"/>
      <c r="AI60" s="176"/>
      <c r="AJ60" s="176"/>
      <c r="AK60" s="176"/>
      <c r="AL60" s="176"/>
      <c r="AM60" s="176"/>
      <c r="AN60" s="176"/>
      <c r="AO60" s="176"/>
      <c r="AP60" s="176"/>
      <c r="AQ60" s="176"/>
      <c r="AR60" s="176"/>
      <c r="AS60" s="176"/>
      <c r="AT60" s="176"/>
      <c r="AU60" s="176"/>
      <c r="AV60" s="176"/>
      <c r="AW60" s="176"/>
      <c r="AX60" s="176"/>
      <c r="AY60" s="176"/>
      <c r="AZ60" s="176"/>
      <c r="BA60" s="176"/>
      <c r="BB60" s="176"/>
    </row>
    <row r="61" ht="15.75" customHeight="1">
      <c r="A61" s="176"/>
      <c r="B61" s="176"/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76"/>
      <c r="AP61" s="176"/>
      <c r="AQ61" s="176"/>
      <c r="AR61" s="176"/>
      <c r="AS61" s="176"/>
      <c r="AT61" s="176"/>
      <c r="AU61" s="176"/>
      <c r="AV61" s="176"/>
      <c r="AW61" s="176"/>
      <c r="AX61" s="176"/>
      <c r="AY61" s="176"/>
      <c r="AZ61" s="176"/>
      <c r="BA61" s="176"/>
      <c r="BB61" s="176"/>
    </row>
    <row r="62" ht="15.75" customHeight="1">
      <c r="A62" s="176"/>
      <c r="B62" s="176"/>
      <c r="C62" s="176"/>
      <c r="D62" s="176"/>
      <c r="E62" s="176"/>
      <c r="F62" s="176"/>
      <c r="G62" s="176"/>
      <c r="H62" s="176"/>
      <c r="I62" s="176"/>
      <c r="J62" s="176"/>
      <c r="K62" s="176"/>
      <c r="L62" s="176"/>
      <c r="M62" s="176"/>
      <c r="N62" s="176"/>
      <c r="O62" s="176"/>
      <c r="P62" s="176"/>
      <c r="Q62" s="176"/>
      <c r="R62" s="176"/>
      <c r="S62" s="176"/>
      <c r="T62" s="176"/>
      <c r="U62" s="176"/>
      <c r="V62" s="176"/>
      <c r="W62" s="176"/>
      <c r="X62" s="176"/>
      <c r="Y62" s="176"/>
      <c r="Z62" s="176"/>
      <c r="AA62" s="176"/>
      <c r="AB62" s="176"/>
      <c r="AC62" s="176"/>
      <c r="AD62" s="176"/>
      <c r="AE62" s="176"/>
      <c r="AF62" s="176"/>
      <c r="AG62" s="176"/>
      <c r="AH62" s="176"/>
      <c r="AI62" s="176"/>
      <c r="AJ62" s="176"/>
      <c r="AK62" s="176"/>
      <c r="AL62" s="176"/>
      <c r="AM62" s="176"/>
      <c r="AN62" s="176"/>
      <c r="AO62" s="176"/>
      <c r="AP62" s="176"/>
      <c r="AQ62" s="176"/>
      <c r="AR62" s="176"/>
      <c r="AS62" s="176"/>
      <c r="AT62" s="176"/>
      <c r="AU62" s="176"/>
      <c r="AV62" s="176"/>
      <c r="AW62" s="176"/>
      <c r="AX62" s="176"/>
      <c r="AY62" s="176"/>
      <c r="AZ62" s="176"/>
      <c r="BA62" s="176"/>
      <c r="BB62" s="176"/>
    </row>
    <row r="63" ht="15.75" customHeight="1">
      <c r="A63" s="176"/>
      <c r="B63" s="176"/>
      <c r="C63" s="176"/>
      <c r="D63" s="176"/>
      <c r="E63" s="176"/>
      <c r="F63" s="176"/>
      <c r="G63" s="176"/>
      <c r="H63" s="176"/>
      <c r="I63" s="176"/>
      <c r="J63" s="176"/>
      <c r="K63" s="176"/>
      <c r="L63" s="176"/>
      <c r="M63" s="176"/>
      <c r="N63" s="176"/>
      <c r="O63" s="176"/>
      <c r="P63" s="176"/>
      <c r="Q63" s="176"/>
      <c r="R63" s="176"/>
      <c r="S63" s="176"/>
      <c r="T63" s="176"/>
      <c r="U63" s="176"/>
      <c r="V63" s="176"/>
      <c r="W63" s="176"/>
      <c r="X63" s="176"/>
      <c r="Y63" s="176"/>
      <c r="Z63" s="176"/>
      <c r="AA63" s="176"/>
      <c r="AB63" s="176"/>
      <c r="AC63" s="176"/>
      <c r="AD63" s="176"/>
      <c r="AE63" s="176"/>
      <c r="AF63" s="176"/>
      <c r="AG63" s="176"/>
      <c r="AH63" s="176"/>
      <c r="AI63" s="176"/>
      <c r="AJ63" s="176"/>
      <c r="AK63" s="176"/>
      <c r="AL63" s="176"/>
      <c r="AM63" s="176"/>
      <c r="AN63" s="176"/>
      <c r="AO63" s="176"/>
      <c r="AP63" s="176"/>
      <c r="AQ63" s="176"/>
      <c r="AR63" s="176"/>
      <c r="AS63" s="176"/>
      <c r="AT63" s="176"/>
      <c r="AU63" s="176"/>
      <c r="AV63" s="176"/>
      <c r="AW63" s="176"/>
      <c r="AX63" s="176"/>
      <c r="AY63" s="176"/>
      <c r="AZ63" s="176"/>
      <c r="BA63" s="176"/>
      <c r="BB63" s="176"/>
    </row>
    <row r="64" ht="15.75" customHeight="1">
      <c r="A64" s="176"/>
      <c r="B64" s="176"/>
      <c r="C64" s="176"/>
      <c r="D64" s="176"/>
      <c r="E64" s="176"/>
      <c r="F64" s="176"/>
      <c r="G64" s="176"/>
      <c r="H64" s="176"/>
      <c r="I64" s="176"/>
      <c r="J64" s="176"/>
      <c r="K64" s="176"/>
      <c r="L64" s="176"/>
      <c r="M64" s="176"/>
      <c r="N64" s="176"/>
      <c r="O64" s="176"/>
      <c r="P64" s="176"/>
      <c r="Q64" s="176"/>
      <c r="R64" s="176"/>
      <c r="S64" s="176"/>
      <c r="T64" s="176"/>
      <c r="U64" s="176"/>
      <c r="V64" s="176"/>
      <c r="W64" s="176"/>
      <c r="X64" s="176"/>
      <c r="Y64" s="176"/>
      <c r="Z64" s="176"/>
      <c r="AA64" s="176"/>
      <c r="AB64" s="176"/>
      <c r="AC64" s="176"/>
      <c r="AD64" s="176"/>
      <c r="AE64" s="176"/>
      <c r="AF64" s="176"/>
      <c r="AG64" s="176"/>
      <c r="AH64" s="176"/>
      <c r="AI64" s="176"/>
      <c r="AJ64" s="176"/>
      <c r="AK64" s="176"/>
      <c r="AL64" s="176"/>
      <c r="AM64" s="176"/>
      <c r="AN64" s="176"/>
      <c r="AO64" s="176"/>
      <c r="AP64" s="176"/>
      <c r="AQ64" s="176"/>
      <c r="AR64" s="176"/>
      <c r="AS64" s="176"/>
      <c r="AT64" s="176"/>
      <c r="AU64" s="176"/>
      <c r="AV64" s="176"/>
      <c r="AW64" s="176"/>
      <c r="AX64" s="176"/>
      <c r="AY64" s="176"/>
      <c r="AZ64" s="176"/>
      <c r="BA64" s="176"/>
      <c r="BB64" s="176"/>
    </row>
    <row r="65" ht="15.75" customHeight="1">
      <c r="A65" s="176"/>
      <c r="B65" s="176"/>
      <c r="C65" s="176"/>
      <c r="D65" s="176"/>
      <c r="E65" s="176"/>
      <c r="F65" s="176"/>
      <c r="G65" s="176"/>
      <c r="H65" s="176"/>
      <c r="I65" s="176"/>
      <c r="J65" s="176"/>
      <c r="K65" s="176"/>
      <c r="L65" s="176"/>
      <c r="M65" s="176"/>
      <c r="N65" s="176"/>
      <c r="O65" s="176"/>
      <c r="P65" s="176"/>
      <c r="Q65" s="176"/>
      <c r="R65" s="176"/>
      <c r="S65" s="176"/>
      <c r="T65" s="176"/>
      <c r="U65" s="176"/>
      <c r="V65" s="176"/>
      <c r="W65" s="176"/>
      <c r="X65" s="176"/>
      <c r="Y65" s="176"/>
      <c r="Z65" s="176"/>
      <c r="AA65" s="176"/>
      <c r="AB65" s="176"/>
      <c r="AC65" s="176"/>
      <c r="AD65" s="176"/>
      <c r="AE65" s="176"/>
      <c r="AF65" s="176"/>
      <c r="AG65" s="176"/>
      <c r="AH65" s="176"/>
      <c r="AI65" s="176"/>
      <c r="AJ65" s="176"/>
      <c r="AK65" s="176"/>
      <c r="AL65" s="176"/>
      <c r="AM65" s="176"/>
      <c r="AN65" s="176"/>
      <c r="AO65" s="176"/>
      <c r="AP65" s="176"/>
      <c r="AQ65" s="176"/>
      <c r="AR65" s="176"/>
      <c r="AS65" s="176"/>
      <c r="AT65" s="176"/>
      <c r="AU65" s="176"/>
      <c r="AV65" s="176"/>
      <c r="AW65" s="176"/>
      <c r="AX65" s="176"/>
      <c r="AY65" s="176"/>
      <c r="AZ65" s="176"/>
      <c r="BA65" s="176"/>
      <c r="BB65" s="176"/>
    </row>
    <row r="66" ht="15.75" customHeight="1">
      <c r="A66" s="176"/>
      <c r="B66" s="176"/>
      <c r="C66" s="176"/>
      <c r="D66" s="176"/>
      <c r="E66" s="176"/>
      <c r="F66" s="176"/>
      <c r="G66" s="176"/>
      <c r="H66" s="176"/>
      <c r="I66" s="176"/>
      <c r="J66" s="176"/>
      <c r="K66" s="176"/>
      <c r="L66" s="176"/>
      <c r="M66" s="176"/>
      <c r="N66" s="176"/>
      <c r="O66" s="176"/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  <c r="AA66" s="176"/>
      <c r="AB66" s="176"/>
      <c r="AC66" s="176"/>
      <c r="AD66" s="176"/>
      <c r="AE66" s="176"/>
      <c r="AF66" s="176"/>
      <c r="AG66" s="176"/>
      <c r="AH66" s="176"/>
      <c r="AI66" s="176"/>
      <c r="AJ66" s="176"/>
      <c r="AK66" s="176"/>
      <c r="AL66" s="176"/>
      <c r="AM66" s="176"/>
      <c r="AN66" s="176"/>
      <c r="AO66" s="176"/>
      <c r="AP66" s="176"/>
      <c r="AQ66" s="176"/>
      <c r="AR66" s="176"/>
      <c r="AS66" s="176"/>
      <c r="AT66" s="176"/>
      <c r="AU66" s="176"/>
      <c r="AV66" s="176"/>
      <c r="AW66" s="176"/>
      <c r="AX66" s="176"/>
      <c r="AY66" s="176"/>
      <c r="AZ66" s="176"/>
      <c r="BA66" s="176"/>
      <c r="BB66" s="176"/>
    </row>
    <row r="67" ht="15.75" customHeight="1">
      <c r="A67" s="176"/>
      <c r="B67" s="176"/>
      <c r="C67" s="176"/>
      <c r="D67" s="176"/>
      <c r="E67" s="176"/>
      <c r="F67" s="176"/>
      <c r="G67" s="176"/>
      <c r="H67" s="176"/>
      <c r="I67" s="176"/>
      <c r="J67" s="176"/>
      <c r="K67" s="176"/>
      <c r="L67" s="176"/>
      <c r="M67" s="176"/>
      <c r="N67" s="176"/>
      <c r="O67" s="176"/>
      <c r="P67" s="176"/>
      <c r="Q67" s="176"/>
      <c r="R67" s="176"/>
      <c r="S67" s="176"/>
      <c r="T67" s="176"/>
      <c r="U67" s="176"/>
      <c r="V67" s="176"/>
      <c r="W67" s="176"/>
      <c r="X67" s="176"/>
      <c r="Y67" s="176"/>
      <c r="Z67" s="176"/>
      <c r="AA67" s="176"/>
      <c r="AB67" s="176"/>
      <c r="AC67" s="176"/>
      <c r="AD67" s="176"/>
      <c r="AE67" s="176"/>
      <c r="AF67" s="176"/>
      <c r="AG67" s="176"/>
      <c r="AH67" s="176"/>
      <c r="AI67" s="176"/>
      <c r="AJ67" s="176"/>
      <c r="AK67" s="176"/>
      <c r="AL67" s="176"/>
      <c r="AM67" s="176"/>
      <c r="AN67" s="176"/>
      <c r="AO67" s="176"/>
      <c r="AP67" s="176"/>
      <c r="AQ67" s="176"/>
      <c r="AR67" s="176"/>
      <c r="AS67" s="176"/>
      <c r="AT67" s="176"/>
      <c r="AU67" s="176"/>
      <c r="AV67" s="176"/>
      <c r="AW67" s="176"/>
      <c r="AX67" s="176"/>
      <c r="AY67" s="176"/>
      <c r="AZ67" s="176"/>
      <c r="BA67" s="176"/>
      <c r="BB67" s="176"/>
    </row>
    <row r="68" ht="15.75" customHeight="1">
      <c r="A68" s="176"/>
      <c r="B68" s="176"/>
      <c r="C68" s="176"/>
      <c r="D68" s="176"/>
      <c r="E68" s="176"/>
      <c r="F68" s="176"/>
      <c r="G68" s="176"/>
      <c r="H68" s="176"/>
      <c r="I68" s="176"/>
      <c r="J68" s="176"/>
      <c r="K68" s="176"/>
      <c r="L68" s="176"/>
      <c r="M68" s="176"/>
      <c r="N68" s="176"/>
      <c r="O68" s="176"/>
      <c r="P68" s="176"/>
      <c r="Q68" s="176"/>
      <c r="R68" s="176"/>
      <c r="S68" s="176"/>
      <c r="T68" s="176"/>
      <c r="U68" s="176"/>
      <c r="V68" s="176"/>
      <c r="W68" s="176"/>
      <c r="X68" s="176"/>
      <c r="Y68" s="176"/>
      <c r="Z68" s="176"/>
      <c r="AA68" s="176"/>
      <c r="AB68" s="176"/>
      <c r="AC68" s="176"/>
      <c r="AD68" s="176"/>
      <c r="AE68" s="176"/>
      <c r="AF68" s="176"/>
      <c r="AG68" s="176"/>
      <c r="AH68" s="176"/>
      <c r="AI68" s="176"/>
      <c r="AJ68" s="176"/>
      <c r="AK68" s="176"/>
      <c r="AL68" s="176"/>
      <c r="AM68" s="176"/>
      <c r="AN68" s="176"/>
      <c r="AO68" s="176"/>
      <c r="AP68" s="176"/>
      <c r="AQ68" s="176"/>
      <c r="AR68" s="176"/>
      <c r="AS68" s="176"/>
      <c r="AT68" s="176"/>
      <c r="AU68" s="176"/>
      <c r="AV68" s="176"/>
      <c r="AW68" s="176"/>
      <c r="AX68" s="176"/>
      <c r="AY68" s="176"/>
      <c r="AZ68" s="176"/>
      <c r="BA68" s="176"/>
      <c r="BB68" s="176"/>
    </row>
    <row r="69" ht="15.75" customHeight="1">
      <c r="A69" s="176"/>
      <c r="B69" s="176"/>
      <c r="C69" s="176"/>
      <c r="D69" s="176"/>
      <c r="E69" s="176"/>
      <c r="F69" s="176"/>
      <c r="G69" s="176"/>
      <c r="H69" s="176"/>
      <c r="I69" s="176"/>
      <c r="J69" s="176"/>
      <c r="K69" s="176"/>
      <c r="L69" s="176"/>
      <c r="M69" s="176"/>
      <c r="N69" s="176"/>
      <c r="O69" s="176"/>
      <c r="P69" s="176"/>
      <c r="Q69" s="176"/>
      <c r="R69" s="176"/>
      <c r="S69" s="176"/>
      <c r="T69" s="176"/>
      <c r="U69" s="176"/>
      <c r="V69" s="176"/>
      <c r="W69" s="176"/>
      <c r="X69" s="176"/>
      <c r="Y69" s="176"/>
      <c r="Z69" s="176"/>
      <c r="AA69" s="176"/>
      <c r="AB69" s="176"/>
      <c r="AC69" s="176"/>
      <c r="AD69" s="176"/>
      <c r="AE69" s="176"/>
      <c r="AF69" s="176"/>
      <c r="AG69" s="176"/>
      <c r="AH69" s="176"/>
      <c r="AI69" s="176"/>
      <c r="AJ69" s="176"/>
      <c r="AK69" s="176"/>
      <c r="AL69" s="176"/>
      <c r="AM69" s="176"/>
      <c r="AN69" s="176"/>
      <c r="AO69" s="176"/>
      <c r="AP69" s="176"/>
      <c r="AQ69" s="176"/>
      <c r="AR69" s="176"/>
      <c r="AS69" s="176"/>
      <c r="AT69" s="176"/>
      <c r="AU69" s="176"/>
      <c r="AV69" s="176"/>
      <c r="AW69" s="176"/>
      <c r="AX69" s="176"/>
      <c r="AY69" s="176"/>
      <c r="AZ69" s="176"/>
      <c r="BA69" s="176"/>
      <c r="BB69" s="176"/>
    </row>
    <row r="70" ht="15.75" customHeight="1">
      <c r="A70" s="176"/>
      <c r="B70" s="176"/>
      <c r="C70" s="176"/>
      <c r="D70" s="176"/>
      <c r="E70" s="176"/>
      <c r="F70" s="176"/>
      <c r="G70" s="176"/>
      <c r="H70" s="176"/>
      <c r="I70" s="176"/>
      <c r="J70" s="176"/>
      <c r="K70" s="176"/>
      <c r="L70" s="176"/>
      <c r="M70" s="176"/>
      <c r="N70" s="176"/>
      <c r="O70" s="176"/>
      <c r="P70" s="176"/>
      <c r="Q70" s="176"/>
      <c r="R70" s="176"/>
      <c r="S70" s="176"/>
      <c r="T70" s="176"/>
      <c r="U70" s="176"/>
      <c r="V70" s="176"/>
      <c r="W70" s="176"/>
      <c r="X70" s="176"/>
      <c r="Y70" s="176"/>
      <c r="Z70" s="176"/>
      <c r="AA70" s="176"/>
      <c r="AB70" s="176"/>
      <c r="AC70" s="176"/>
      <c r="AD70" s="176"/>
      <c r="AE70" s="176"/>
      <c r="AF70" s="176"/>
      <c r="AG70" s="176"/>
      <c r="AH70" s="176"/>
      <c r="AI70" s="176"/>
      <c r="AJ70" s="176"/>
      <c r="AK70" s="176"/>
      <c r="AL70" s="176"/>
      <c r="AM70" s="176"/>
      <c r="AN70" s="176"/>
      <c r="AO70" s="176"/>
      <c r="AP70" s="176"/>
      <c r="AQ70" s="176"/>
      <c r="AR70" s="176"/>
      <c r="AS70" s="176"/>
      <c r="AT70" s="176"/>
      <c r="AU70" s="176"/>
      <c r="AV70" s="176"/>
      <c r="AW70" s="176"/>
      <c r="AX70" s="176"/>
      <c r="AY70" s="176"/>
      <c r="AZ70" s="176"/>
      <c r="BA70" s="176"/>
      <c r="BB70" s="176"/>
    </row>
    <row r="71" ht="15.75" customHeight="1">
      <c r="A71" s="176"/>
      <c r="B71" s="176"/>
      <c r="C71" s="176"/>
      <c r="D71" s="176"/>
      <c r="E71" s="176"/>
      <c r="F71" s="176"/>
      <c r="G71" s="176"/>
      <c r="H71" s="176"/>
      <c r="I71" s="176"/>
      <c r="J71" s="176"/>
      <c r="K71" s="176"/>
      <c r="L71" s="176"/>
      <c r="M71" s="176"/>
      <c r="N71" s="176"/>
      <c r="O71" s="176"/>
      <c r="P71" s="176"/>
      <c r="Q71" s="176"/>
      <c r="R71" s="176"/>
      <c r="S71" s="176"/>
      <c r="T71" s="176"/>
      <c r="U71" s="176"/>
      <c r="V71" s="176"/>
      <c r="W71" s="176"/>
      <c r="X71" s="176"/>
      <c r="Y71" s="176"/>
      <c r="Z71" s="176"/>
      <c r="AA71" s="176"/>
      <c r="AB71" s="176"/>
      <c r="AC71" s="176"/>
      <c r="AD71" s="176"/>
      <c r="AE71" s="176"/>
      <c r="AF71" s="176"/>
      <c r="AG71" s="176"/>
      <c r="AH71" s="176"/>
      <c r="AI71" s="176"/>
      <c r="AJ71" s="176"/>
      <c r="AK71" s="176"/>
      <c r="AL71" s="176"/>
      <c r="AM71" s="176"/>
      <c r="AN71" s="176"/>
      <c r="AO71" s="176"/>
      <c r="AP71" s="176"/>
      <c r="AQ71" s="176"/>
      <c r="AR71" s="176"/>
      <c r="AS71" s="176"/>
      <c r="AT71" s="176"/>
      <c r="AU71" s="176"/>
      <c r="AV71" s="176"/>
      <c r="AW71" s="176"/>
      <c r="AX71" s="176"/>
      <c r="AY71" s="176"/>
      <c r="AZ71" s="176"/>
      <c r="BA71" s="176"/>
      <c r="BB71" s="176"/>
    </row>
    <row r="72" ht="15.75" customHeight="1">
      <c r="A72" s="176"/>
      <c r="B72" s="176"/>
      <c r="C72" s="176"/>
      <c r="D72" s="176"/>
      <c r="E72" s="176"/>
      <c r="F72" s="176"/>
      <c r="G72" s="176"/>
      <c r="H72" s="176"/>
      <c r="I72" s="176"/>
      <c r="J72" s="176"/>
      <c r="K72" s="176"/>
      <c r="L72" s="176"/>
      <c r="M72" s="176"/>
      <c r="N72" s="176"/>
      <c r="O72" s="176"/>
      <c r="P72" s="176"/>
      <c r="Q72" s="176"/>
      <c r="R72" s="176"/>
      <c r="S72" s="176"/>
      <c r="T72" s="176"/>
      <c r="U72" s="176"/>
      <c r="V72" s="176"/>
      <c r="W72" s="176"/>
      <c r="X72" s="176"/>
      <c r="Y72" s="176"/>
      <c r="Z72" s="176"/>
      <c r="AA72" s="176"/>
      <c r="AB72" s="176"/>
      <c r="AC72" s="176"/>
      <c r="AD72" s="176"/>
      <c r="AE72" s="176"/>
      <c r="AF72" s="176"/>
      <c r="AG72" s="176"/>
      <c r="AH72" s="176"/>
      <c r="AI72" s="176"/>
      <c r="AJ72" s="176"/>
      <c r="AK72" s="176"/>
      <c r="AL72" s="176"/>
      <c r="AM72" s="176"/>
      <c r="AN72" s="176"/>
      <c r="AO72" s="176"/>
      <c r="AP72" s="176"/>
      <c r="AQ72" s="176"/>
      <c r="AR72" s="176"/>
      <c r="AS72" s="176"/>
      <c r="AT72" s="176"/>
      <c r="AU72" s="176"/>
      <c r="AV72" s="176"/>
      <c r="AW72" s="176"/>
      <c r="AX72" s="176"/>
      <c r="AY72" s="176"/>
      <c r="AZ72" s="176"/>
      <c r="BA72" s="176"/>
      <c r="BB72" s="176"/>
    </row>
    <row r="73" ht="15.75" customHeight="1">
      <c r="A73" s="176"/>
      <c r="B73" s="176"/>
      <c r="C73" s="176"/>
      <c r="D73" s="176"/>
      <c r="E73" s="176"/>
      <c r="F73" s="176"/>
      <c r="G73" s="176"/>
      <c r="H73" s="176"/>
      <c r="I73" s="176"/>
      <c r="J73" s="176"/>
      <c r="K73" s="176"/>
      <c r="L73" s="176"/>
      <c r="M73" s="176"/>
      <c r="N73" s="176"/>
      <c r="O73" s="176"/>
      <c r="P73" s="176"/>
      <c r="Q73" s="176"/>
      <c r="R73" s="176"/>
      <c r="S73" s="176"/>
      <c r="T73" s="176"/>
      <c r="U73" s="176"/>
      <c r="V73" s="176"/>
      <c r="W73" s="176"/>
      <c r="X73" s="176"/>
      <c r="Y73" s="176"/>
      <c r="Z73" s="176"/>
      <c r="AA73" s="176"/>
      <c r="AB73" s="176"/>
      <c r="AC73" s="176"/>
      <c r="AD73" s="176"/>
      <c r="AE73" s="176"/>
      <c r="AF73" s="176"/>
      <c r="AG73" s="176"/>
      <c r="AH73" s="176"/>
      <c r="AI73" s="176"/>
      <c r="AJ73" s="176"/>
      <c r="AK73" s="176"/>
      <c r="AL73" s="176"/>
      <c r="AM73" s="176"/>
      <c r="AN73" s="176"/>
      <c r="AO73" s="176"/>
      <c r="AP73" s="176"/>
      <c r="AQ73" s="176"/>
      <c r="AR73" s="176"/>
      <c r="AS73" s="176"/>
      <c r="AT73" s="176"/>
      <c r="AU73" s="176"/>
      <c r="AV73" s="176"/>
      <c r="AW73" s="176"/>
      <c r="AX73" s="176"/>
      <c r="AY73" s="176"/>
      <c r="AZ73" s="176"/>
      <c r="BA73" s="176"/>
      <c r="BB73" s="176"/>
    </row>
    <row r="74" ht="15.75" customHeight="1">
      <c r="A74" s="176"/>
      <c r="B74" s="176"/>
      <c r="C74" s="176"/>
      <c r="D74" s="176"/>
      <c r="E74" s="176"/>
      <c r="F74" s="176"/>
      <c r="G74" s="176"/>
      <c r="H74" s="176"/>
      <c r="I74" s="176"/>
      <c r="J74" s="176"/>
      <c r="K74" s="176"/>
      <c r="L74" s="176"/>
      <c r="M74" s="176"/>
      <c r="N74" s="176"/>
      <c r="O74" s="176"/>
      <c r="P74" s="176"/>
      <c r="Q74" s="176"/>
      <c r="R74" s="176"/>
      <c r="S74" s="176"/>
      <c r="T74" s="176"/>
      <c r="U74" s="176"/>
      <c r="V74" s="176"/>
      <c r="W74" s="176"/>
      <c r="X74" s="176"/>
      <c r="Y74" s="176"/>
      <c r="Z74" s="176"/>
      <c r="AA74" s="176"/>
      <c r="AB74" s="176"/>
      <c r="AC74" s="176"/>
      <c r="AD74" s="176"/>
      <c r="AE74" s="176"/>
      <c r="AF74" s="176"/>
      <c r="AG74" s="176"/>
      <c r="AH74" s="176"/>
      <c r="AI74" s="176"/>
      <c r="AJ74" s="176"/>
      <c r="AK74" s="176"/>
      <c r="AL74" s="176"/>
      <c r="AM74" s="176"/>
      <c r="AN74" s="176"/>
      <c r="AO74" s="176"/>
      <c r="AP74" s="176"/>
      <c r="AQ74" s="176"/>
      <c r="AR74" s="176"/>
      <c r="AS74" s="176"/>
      <c r="AT74" s="176"/>
      <c r="AU74" s="176"/>
      <c r="AV74" s="176"/>
      <c r="AW74" s="176"/>
      <c r="AX74" s="176"/>
      <c r="AY74" s="176"/>
      <c r="AZ74" s="176"/>
      <c r="BA74" s="176"/>
      <c r="BB74" s="176"/>
    </row>
    <row r="75" ht="15.75" customHeight="1">
      <c r="A75" s="176"/>
      <c r="B75" s="176"/>
      <c r="C75" s="176"/>
      <c r="D75" s="176"/>
      <c r="E75" s="176"/>
      <c r="F75" s="176"/>
      <c r="G75" s="176"/>
      <c r="H75" s="176"/>
      <c r="I75" s="176"/>
      <c r="J75" s="176"/>
      <c r="K75" s="176"/>
      <c r="L75" s="176"/>
      <c r="M75" s="176"/>
      <c r="N75" s="176"/>
      <c r="O75" s="176"/>
      <c r="P75" s="176"/>
      <c r="Q75" s="176"/>
      <c r="R75" s="176"/>
      <c r="S75" s="176"/>
      <c r="T75" s="176"/>
      <c r="U75" s="176"/>
      <c r="V75" s="176"/>
      <c r="W75" s="176"/>
      <c r="X75" s="176"/>
      <c r="Y75" s="176"/>
      <c r="Z75" s="176"/>
      <c r="AA75" s="176"/>
      <c r="AB75" s="176"/>
      <c r="AC75" s="176"/>
      <c r="AD75" s="176"/>
      <c r="AE75" s="176"/>
      <c r="AF75" s="176"/>
      <c r="AG75" s="176"/>
      <c r="AH75" s="176"/>
      <c r="AI75" s="176"/>
      <c r="AJ75" s="176"/>
      <c r="AK75" s="176"/>
      <c r="AL75" s="176"/>
      <c r="AM75" s="176"/>
      <c r="AN75" s="176"/>
      <c r="AO75" s="176"/>
      <c r="AP75" s="176"/>
      <c r="AQ75" s="176"/>
      <c r="AR75" s="176"/>
      <c r="AS75" s="176"/>
      <c r="AT75" s="176"/>
      <c r="AU75" s="176"/>
      <c r="AV75" s="176"/>
      <c r="AW75" s="176"/>
      <c r="AX75" s="176"/>
      <c r="AY75" s="176"/>
      <c r="AZ75" s="176"/>
      <c r="BA75" s="176"/>
      <c r="BB75" s="176"/>
    </row>
    <row r="76" ht="15.75" customHeight="1">
      <c r="A76" s="176"/>
      <c r="B76" s="176"/>
      <c r="C76" s="176"/>
      <c r="D76" s="176"/>
      <c r="E76" s="176"/>
      <c r="F76" s="176"/>
      <c r="G76" s="176"/>
      <c r="H76" s="176"/>
      <c r="I76" s="176"/>
      <c r="J76" s="176"/>
      <c r="K76" s="176"/>
      <c r="L76" s="176"/>
      <c r="M76" s="176"/>
      <c r="N76" s="176"/>
      <c r="O76" s="176"/>
      <c r="P76" s="176"/>
      <c r="Q76" s="176"/>
      <c r="R76" s="176"/>
      <c r="S76" s="176"/>
      <c r="T76" s="176"/>
      <c r="U76" s="176"/>
      <c r="V76" s="176"/>
      <c r="W76" s="176"/>
      <c r="X76" s="176"/>
      <c r="Y76" s="176"/>
      <c r="Z76" s="176"/>
      <c r="AA76" s="176"/>
      <c r="AB76" s="176"/>
      <c r="AC76" s="176"/>
      <c r="AD76" s="176"/>
      <c r="AE76" s="176"/>
      <c r="AF76" s="176"/>
      <c r="AG76" s="176"/>
      <c r="AH76" s="176"/>
      <c r="AI76" s="176"/>
      <c r="AJ76" s="176"/>
      <c r="AK76" s="176"/>
      <c r="AL76" s="176"/>
      <c r="AM76" s="176"/>
      <c r="AN76" s="176"/>
      <c r="AO76" s="176"/>
      <c r="AP76" s="176"/>
      <c r="AQ76" s="176"/>
      <c r="AR76" s="176"/>
      <c r="AS76" s="176"/>
      <c r="AT76" s="176"/>
      <c r="AU76" s="176"/>
      <c r="AV76" s="176"/>
      <c r="AW76" s="176"/>
      <c r="AX76" s="176"/>
      <c r="AY76" s="176"/>
      <c r="AZ76" s="176"/>
      <c r="BA76" s="176"/>
      <c r="BB76" s="176"/>
    </row>
    <row r="77" ht="15.75" customHeight="1">
      <c r="A77" s="176"/>
      <c r="B77" s="176"/>
      <c r="C77" s="176"/>
      <c r="D77" s="176"/>
      <c r="E77" s="176"/>
      <c r="F77" s="176"/>
      <c r="G77" s="176"/>
      <c r="H77" s="176"/>
      <c r="I77" s="176"/>
      <c r="J77" s="176"/>
      <c r="K77" s="176"/>
      <c r="L77" s="176"/>
      <c r="M77" s="176"/>
      <c r="N77" s="176"/>
      <c r="O77" s="176"/>
      <c r="P77" s="176"/>
      <c r="Q77" s="176"/>
      <c r="R77" s="176"/>
      <c r="S77" s="176"/>
      <c r="T77" s="176"/>
      <c r="U77" s="176"/>
      <c r="V77" s="176"/>
      <c r="W77" s="176"/>
      <c r="X77" s="176"/>
      <c r="Y77" s="176"/>
      <c r="Z77" s="176"/>
      <c r="AA77" s="176"/>
      <c r="AB77" s="176"/>
      <c r="AC77" s="176"/>
      <c r="AD77" s="176"/>
      <c r="AE77" s="176"/>
      <c r="AF77" s="176"/>
      <c r="AG77" s="176"/>
      <c r="AH77" s="176"/>
      <c r="AI77" s="176"/>
      <c r="AJ77" s="176"/>
      <c r="AK77" s="176"/>
      <c r="AL77" s="176"/>
      <c r="AM77" s="176"/>
      <c r="AN77" s="176"/>
      <c r="AO77" s="176"/>
      <c r="AP77" s="176"/>
      <c r="AQ77" s="176"/>
      <c r="AR77" s="176"/>
      <c r="AS77" s="176"/>
      <c r="AT77" s="176"/>
      <c r="AU77" s="176"/>
      <c r="AV77" s="176"/>
      <c r="AW77" s="176"/>
      <c r="AX77" s="176"/>
      <c r="AY77" s="176"/>
      <c r="AZ77" s="176"/>
      <c r="BA77" s="176"/>
      <c r="BB77" s="176"/>
    </row>
    <row r="78" ht="15.75" customHeight="1">
      <c r="A78" s="176"/>
      <c r="B78" s="176"/>
      <c r="C78" s="176"/>
      <c r="D78" s="176"/>
      <c r="E78" s="176"/>
      <c r="F78" s="176"/>
      <c r="G78" s="176"/>
      <c r="H78" s="176"/>
      <c r="I78" s="176"/>
      <c r="J78" s="176"/>
      <c r="K78" s="176"/>
      <c r="L78" s="176"/>
      <c r="M78" s="176"/>
      <c r="N78" s="176"/>
      <c r="O78" s="176"/>
      <c r="P78" s="176"/>
      <c r="Q78" s="176"/>
      <c r="R78" s="176"/>
      <c r="S78" s="176"/>
      <c r="T78" s="176"/>
      <c r="U78" s="176"/>
      <c r="V78" s="176"/>
      <c r="W78" s="176"/>
      <c r="X78" s="176"/>
      <c r="Y78" s="176"/>
      <c r="Z78" s="176"/>
      <c r="AA78" s="176"/>
      <c r="AB78" s="176"/>
      <c r="AC78" s="176"/>
      <c r="AD78" s="176"/>
      <c r="AE78" s="176"/>
      <c r="AF78" s="176"/>
      <c r="AG78" s="176"/>
      <c r="AH78" s="176"/>
      <c r="AI78" s="176"/>
      <c r="AJ78" s="176"/>
      <c r="AK78" s="176"/>
      <c r="AL78" s="176"/>
      <c r="AM78" s="176"/>
      <c r="AN78" s="176"/>
      <c r="AO78" s="176"/>
      <c r="AP78" s="176"/>
      <c r="AQ78" s="176"/>
      <c r="AR78" s="176"/>
      <c r="AS78" s="176"/>
      <c r="AT78" s="176"/>
      <c r="AU78" s="176"/>
      <c r="AV78" s="176"/>
      <c r="AW78" s="176"/>
      <c r="AX78" s="176"/>
      <c r="AY78" s="176"/>
      <c r="AZ78" s="176"/>
      <c r="BA78" s="176"/>
      <c r="BB78" s="176"/>
    </row>
    <row r="79" ht="15.75" customHeight="1">
      <c r="A79" s="176"/>
      <c r="B79" s="176"/>
      <c r="C79" s="176"/>
      <c r="D79" s="176"/>
      <c r="E79" s="176"/>
      <c r="F79" s="176"/>
      <c r="G79" s="176"/>
      <c r="H79" s="176"/>
      <c r="I79" s="176"/>
      <c r="J79" s="176"/>
      <c r="K79" s="176"/>
      <c r="L79" s="176"/>
      <c r="M79" s="176"/>
      <c r="N79" s="176"/>
      <c r="O79" s="176"/>
      <c r="P79" s="176"/>
      <c r="Q79" s="176"/>
      <c r="R79" s="176"/>
      <c r="S79" s="176"/>
      <c r="T79" s="176"/>
      <c r="U79" s="176"/>
      <c r="V79" s="176"/>
      <c r="W79" s="176"/>
      <c r="X79" s="176"/>
      <c r="Y79" s="176"/>
      <c r="Z79" s="176"/>
      <c r="AA79" s="176"/>
      <c r="AB79" s="176"/>
      <c r="AC79" s="176"/>
      <c r="AD79" s="176"/>
      <c r="AE79" s="176"/>
      <c r="AF79" s="176"/>
      <c r="AG79" s="176"/>
      <c r="AH79" s="176"/>
      <c r="AI79" s="176"/>
      <c r="AJ79" s="176"/>
      <c r="AK79" s="176"/>
      <c r="AL79" s="176"/>
      <c r="AM79" s="176"/>
      <c r="AN79" s="176"/>
      <c r="AO79" s="176"/>
      <c r="AP79" s="176"/>
      <c r="AQ79" s="176"/>
      <c r="AR79" s="176"/>
      <c r="AS79" s="176"/>
      <c r="AT79" s="176"/>
      <c r="AU79" s="176"/>
      <c r="AV79" s="176"/>
      <c r="AW79" s="176"/>
      <c r="AX79" s="176"/>
      <c r="AY79" s="176"/>
      <c r="AZ79" s="176"/>
      <c r="BA79" s="176"/>
      <c r="BB79" s="176"/>
    </row>
    <row r="80" ht="15.75" customHeight="1">
      <c r="A80" s="176"/>
      <c r="B80" s="176"/>
      <c r="C80" s="176"/>
      <c r="D80" s="176"/>
      <c r="E80" s="176"/>
      <c r="F80" s="176"/>
      <c r="G80" s="176"/>
      <c r="H80" s="176"/>
      <c r="I80" s="176"/>
      <c r="J80" s="176"/>
      <c r="K80" s="176"/>
      <c r="L80" s="176"/>
      <c r="M80" s="176"/>
      <c r="N80" s="176"/>
      <c r="O80" s="176"/>
      <c r="P80" s="176"/>
      <c r="Q80" s="176"/>
      <c r="R80" s="176"/>
      <c r="S80" s="176"/>
      <c r="T80" s="176"/>
      <c r="U80" s="176"/>
      <c r="V80" s="176"/>
      <c r="W80" s="176"/>
      <c r="X80" s="176"/>
      <c r="Y80" s="176"/>
      <c r="Z80" s="176"/>
      <c r="AA80" s="176"/>
      <c r="AB80" s="176"/>
      <c r="AC80" s="176"/>
      <c r="AD80" s="176"/>
      <c r="AE80" s="176"/>
      <c r="AF80" s="176"/>
      <c r="AG80" s="176"/>
      <c r="AH80" s="176"/>
      <c r="AI80" s="176"/>
      <c r="AJ80" s="176"/>
      <c r="AK80" s="176"/>
      <c r="AL80" s="176"/>
      <c r="AM80" s="176"/>
      <c r="AN80" s="176"/>
      <c r="AO80" s="176"/>
      <c r="AP80" s="176"/>
      <c r="AQ80" s="176"/>
      <c r="AR80" s="176"/>
      <c r="AS80" s="176"/>
      <c r="AT80" s="176"/>
      <c r="AU80" s="176"/>
      <c r="AV80" s="176"/>
      <c r="AW80" s="176"/>
      <c r="AX80" s="176"/>
      <c r="AY80" s="176"/>
      <c r="AZ80" s="176"/>
      <c r="BA80" s="176"/>
      <c r="BB80" s="176"/>
    </row>
    <row r="81" ht="15.75" customHeight="1">
      <c r="A81" s="176"/>
      <c r="B81" s="176"/>
      <c r="C81" s="176"/>
      <c r="D81" s="176"/>
      <c r="E81" s="176"/>
      <c r="F81" s="176"/>
      <c r="G81" s="176"/>
      <c r="H81" s="176"/>
      <c r="I81" s="176"/>
      <c r="J81" s="176"/>
      <c r="K81" s="176"/>
      <c r="L81" s="176"/>
      <c r="M81" s="176"/>
      <c r="N81" s="176"/>
      <c r="O81" s="176"/>
      <c r="P81" s="176"/>
      <c r="Q81" s="176"/>
      <c r="R81" s="176"/>
      <c r="S81" s="176"/>
      <c r="T81" s="176"/>
      <c r="U81" s="176"/>
      <c r="V81" s="176"/>
      <c r="W81" s="176"/>
      <c r="X81" s="176"/>
      <c r="Y81" s="176"/>
      <c r="Z81" s="176"/>
      <c r="AA81" s="176"/>
      <c r="AB81" s="176"/>
      <c r="AC81" s="176"/>
      <c r="AD81" s="176"/>
      <c r="AE81" s="176"/>
      <c r="AF81" s="176"/>
      <c r="AG81" s="176"/>
      <c r="AH81" s="176"/>
      <c r="AI81" s="176"/>
      <c r="AJ81" s="176"/>
      <c r="AK81" s="176"/>
      <c r="AL81" s="176"/>
      <c r="AM81" s="176"/>
      <c r="AN81" s="176"/>
      <c r="AO81" s="176"/>
      <c r="AP81" s="176"/>
      <c r="AQ81" s="176"/>
      <c r="AR81" s="176"/>
      <c r="AS81" s="176"/>
      <c r="AT81" s="176"/>
      <c r="AU81" s="176"/>
      <c r="AV81" s="176"/>
      <c r="AW81" s="176"/>
      <c r="AX81" s="176"/>
      <c r="AY81" s="176"/>
      <c r="AZ81" s="176"/>
      <c r="BA81" s="176"/>
      <c r="BB81" s="176"/>
    </row>
    <row r="82" ht="15.75" customHeight="1">
      <c r="A82" s="176"/>
      <c r="B82" s="176"/>
      <c r="C82" s="176"/>
      <c r="D82" s="176"/>
      <c r="E82" s="176"/>
      <c r="F82" s="176"/>
      <c r="G82" s="176"/>
      <c r="H82" s="176"/>
      <c r="I82" s="176"/>
      <c r="J82" s="176"/>
      <c r="K82" s="176"/>
      <c r="L82" s="176"/>
      <c r="M82" s="176"/>
      <c r="N82" s="176"/>
      <c r="O82" s="176"/>
      <c r="P82" s="176"/>
      <c r="Q82" s="176"/>
      <c r="R82" s="176"/>
      <c r="S82" s="176"/>
      <c r="T82" s="176"/>
      <c r="U82" s="176"/>
      <c r="V82" s="176"/>
      <c r="W82" s="176"/>
      <c r="X82" s="176"/>
      <c r="Y82" s="176"/>
      <c r="Z82" s="176"/>
      <c r="AA82" s="176"/>
      <c r="AB82" s="176"/>
      <c r="AC82" s="176"/>
      <c r="AD82" s="176"/>
      <c r="AE82" s="176"/>
      <c r="AF82" s="176"/>
      <c r="AG82" s="176"/>
      <c r="AH82" s="176"/>
      <c r="AI82" s="176"/>
      <c r="AJ82" s="176"/>
      <c r="AK82" s="176"/>
      <c r="AL82" s="176"/>
      <c r="AM82" s="176"/>
      <c r="AN82" s="176"/>
      <c r="AO82" s="176"/>
      <c r="AP82" s="176"/>
      <c r="AQ82" s="176"/>
      <c r="AR82" s="176"/>
      <c r="AS82" s="176"/>
      <c r="AT82" s="176"/>
      <c r="AU82" s="176"/>
      <c r="AV82" s="176"/>
      <c r="AW82" s="176"/>
      <c r="AX82" s="176"/>
      <c r="AY82" s="176"/>
      <c r="AZ82" s="176"/>
      <c r="BA82" s="176"/>
      <c r="BB82" s="176"/>
    </row>
    <row r="83" ht="15.75" customHeight="1">
      <c r="A83" s="176"/>
      <c r="B83" s="176"/>
      <c r="C83" s="176"/>
      <c r="D83" s="176"/>
      <c r="E83" s="176"/>
      <c r="F83" s="176"/>
      <c r="G83" s="176"/>
      <c r="H83" s="176"/>
      <c r="I83" s="176"/>
      <c r="J83" s="176"/>
      <c r="K83" s="176"/>
      <c r="L83" s="176"/>
      <c r="M83" s="176"/>
      <c r="N83" s="176"/>
      <c r="O83" s="176"/>
      <c r="P83" s="176"/>
      <c r="Q83" s="176"/>
      <c r="R83" s="176"/>
      <c r="S83" s="176"/>
      <c r="T83" s="176"/>
      <c r="U83" s="176"/>
      <c r="V83" s="176"/>
      <c r="W83" s="176"/>
      <c r="X83" s="176"/>
      <c r="Y83" s="176"/>
      <c r="Z83" s="176"/>
      <c r="AA83" s="176"/>
      <c r="AB83" s="176"/>
      <c r="AC83" s="176"/>
      <c r="AD83" s="176"/>
      <c r="AE83" s="176"/>
      <c r="AF83" s="176"/>
      <c r="AG83" s="176"/>
      <c r="AH83" s="176"/>
      <c r="AI83" s="176"/>
      <c r="AJ83" s="176"/>
      <c r="AK83" s="176"/>
      <c r="AL83" s="176"/>
      <c r="AM83" s="176"/>
      <c r="AN83" s="176"/>
      <c r="AO83" s="176"/>
      <c r="AP83" s="176"/>
      <c r="AQ83" s="176"/>
      <c r="AR83" s="176"/>
      <c r="AS83" s="176"/>
      <c r="AT83" s="176"/>
      <c r="AU83" s="176"/>
      <c r="AV83" s="176"/>
      <c r="AW83" s="176"/>
      <c r="AX83" s="176"/>
      <c r="AY83" s="176"/>
      <c r="AZ83" s="176"/>
      <c r="BA83" s="176"/>
      <c r="BB83" s="176"/>
    </row>
    <row r="84" ht="15.75" customHeight="1">
      <c r="A84" s="176"/>
      <c r="B84" s="176"/>
      <c r="C84" s="176"/>
      <c r="D84" s="176"/>
      <c r="E84" s="176"/>
      <c r="F84" s="176"/>
      <c r="G84" s="176"/>
      <c r="H84" s="176"/>
      <c r="I84" s="176"/>
      <c r="J84" s="176"/>
      <c r="K84" s="176"/>
      <c r="L84" s="176"/>
      <c r="M84" s="176"/>
      <c r="N84" s="176"/>
      <c r="O84" s="176"/>
      <c r="P84" s="176"/>
      <c r="Q84" s="176"/>
      <c r="R84" s="176"/>
      <c r="S84" s="176"/>
      <c r="T84" s="176"/>
      <c r="U84" s="176"/>
      <c r="V84" s="176"/>
      <c r="W84" s="176"/>
      <c r="X84" s="176"/>
      <c r="Y84" s="176"/>
      <c r="Z84" s="176"/>
      <c r="AA84" s="176"/>
      <c r="AB84" s="176"/>
      <c r="AC84" s="176"/>
      <c r="AD84" s="176"/>
      <c r="AE84" s="176"/>
      <c r="AF84" s="176"/>
      <c r="AG84" s="176"/>
      <c r="AH84" s="176"/>
      <c r="AI84" s="176"/>
      <c r="AJ84" s="176"/>
      <c r="AK84" s="176"/>
      <c r="AL84" s="176"/>
      <c r="AM84" s="176"/>
      <c r="AN84" s="176"/>
      <c r="AO84" s="176"/>
      <c r="AP84" s="176"/>
      <c r="AQ84" s="176"/>
      <c r="AR84" s="176"/>
      <c r="AS84" s="176"/>
      <c r="AT84" s="176"/>
      <c r="AU84" s="176"/>
      <c r="AV84" s="176"/>
      <c r="AW84" s="176"/>
      <c r="AX84" s="176"/>
      <c r="AY84" s="176"/>
      <c r="AZ84" s="176"/>
      <c r="BA84" s="176"/>
      <c r="BB84" s="176"/>
    </row>
    <row r="85" ht="15.75" customHeight="1">
      <c r="A85" s="176"/>
      <c r="B85" s="176"/>
      <c r="C85" s="176"/>
      <c r="D85" s="176"/>
      <c r="E85" s="176"/>
      <c r="F85" s="176"/>
      <c r="G85" s="176"/>
      <c r="H85" s="176"/>
      <c r="I85" s="176"/>
      <c r="J85" s="176"/>
      <c r="K85" s="176"/>
      <c r="L85" s="176"/>
      <c r="M85" s="176"/>
      <c r="N85" s="176"/>
      <c r="O85" s="176"/>
      <c r="P85" s="176"/>
      <c r="Q85" s="176"/>
      <c r="R85" s="176"/>
      <c r="S85" s="176"/>
      <c r="T85" s="176"/>
      <c r="U85" s="176"/>
      <c r="V85" s="176"/>
      <c r="W85" s="176"/>
      <c r="X85" s="176"/>
      <c r="Y85" s="176"/>
      <c r="Z85" s="176"/>
      <c r="AA85" s="176"/>
      <c r="AB85" s="176"/>
      <c r="AC85" s="176"/>
      <c r="AD85" s="176"/>
      <c r="AE85" s="176"/>
      <c r="AF85" s="176"/>
      <c r="AG85" s="176"/>
      <c r="AH85" s="176"/>
      <c r="AI85" s="176"/>
      <c r="AJ85" s="176"/>
      <c r="AK85" s="176"/>
      <c r="AL85" s="176"/>
      <c r="AM85" s="176"/>
      <c r="AN85" s="176"/>
      <c r="AO85" s="176"/>
      <c r="AP85" s="176"/>
      <c r="AQ85" s="176"/>
      <c r="AR85" s="176"/>
      <c r="AS85" s="176"/>
      <c r="AT85" s="176"/>
      <c r="AU85" s="176"/>
      <c r="AV85" s="176"/>
      <c r="AW85" s="176"/>
      <c r="AX85" s="176"/>
      <c r="AY85" s="176"/>
      <c r="AZ85" s="176"/>
      <c r="BA85" s="176"/>
      <c r="BB85" s="176"/>
    </row>
    <row r="86" ht="15.75" customHeight="1">
      <c r="A86" s="176"/>
      <c r="B86" s="176"/>
      <c r="C86" s="176"/>
      <c r="D86" s="176"/>
      <c r="E86" s="176"/>
      <c r="F86" s="176"/>
      <c r="G86" s="176"/>
      <c r="H86" s="176"/>
      <c r="I86" s="176"/>
      <c r="J86" s="176"/>
      <c r="K86" s="176"/>
      <c r="L86" s="176"/>
      <c r="M86" s="176"/>
      <c r="N86" s="176"/>
      <c r="O86" s="176"/>
      <c r="P86" s="176"/>
      <c r="Q86" s="176"/>
      <c r="R86" s="176"/>
      <c r="S86" s="176"/>
      <c r="T86" s="176"/>
      <c r="U86" s="176"/>
      <c r="V86" s="176"/>
      <c r="W86" s="176"/>
      <c r="X86" s="176"/>
      <c r="Y86" s="176"/>
      <c r="Z86" s="176"/>
      <c r="AA86" s="176"/>
      <c r="AB86" s="176"/>
      <c r="AC86" s="176"/>
      <c r="AD86" s="176"/>
      <c r="AE86" s="176"/>
      <c r="AF86" s="176"/>
      <c r="AG86" s="176"/>
      <c r="AH86" s="176"/>
      <c r="AI86" s="176"/>
      <c r="AJ86" s="176"/>
      <c r="AK86" s="176"/>
      <c r="AL86" s="176"/>
      <c r="AM86" s="176"/>
      <c r="AN86" s="176"/>
      <c r="AO86" s="176"/>
      <c r="AP86" s="176"/>
      <c r="AQ86" s="176"/>
      <c r="AR86" s="176"/>
      <c r="AS86" s="176"/>
      <c r="AT86" s="176"/>
      <c r="AU86" s="176"/>
      <c r="AV86" s="176"/>
      <c r="AW86" s="176"/>
      <c r="AX86" s="176"/>
      <c r="AY86" s="176"/>
      <c r="AZ86" s="176"/>
      <c r="BA86" s="176"/>
      <c r="BB86" s="176"/>
    </row>
    <row r="87" ht="15.75" customHeight="1">
      <c r="A87" s="176"/>
      <c r="B87" s="176"/>
      <c r="C87" s="176"/>
      <c r="D87" s="176"/>
      <c r="E87" s="176"/>
      <c r="F87" s="176"/>
      <c r="G87" s="176"/>
      <c r="H87" s="176"/>
      <c r="I87" s="176"/>
      <c r="J87" s="176"/>
      <c r="K87" s="176"/>
      <c r="L87" s="176"/>
      <c r="M87" s="176"/>
      <c r="N87" s="176"/>
      <c r="O87" s="176"/>
      <c r="P87" s="176"/>
      <c r="Q87" s="176"/>
      <c r="R87" s="176"/>
      <c r="S87" s="176"/>
      <c r="T87" s="176"/>
      <c r="U87" s="176"/>
      <c r="V87" s="176"/>
      <c r="W87" s="176"/>
      <c r="X87" s="176"/>
      <c r="Y87" s="176"/>
      <c r="Z87" s="176"/>
      <c r="AA87" s="176"/>
      <c r="AB87" s="176"/>
      <c r="AC87" s="176"/>
      <c r="AD87" s="176"/>
      <c r="AE87" s="176"/>
      <c r="AF87" s="176"/>
      <c r="AG87" s="176"/>
      <c r="AH87" s="176"/>
      <c r="AI87" s="176"/>
      <c r="AJ87" s="176"/>
      <c r="AK87" s="176"/>
      <c r="AL87" s="176"/>
      <c r="AM87" s="176"/>
      <c r="AN87" s="176"/>
      <c r="AO87" s="176"/>
      <c r="AP87" s="176"/>
      <c r="AQ87" s="176"/>
      <c r="AR87" s="176"/>
      <c r="AS87" s="176"/>
      <c r="AT87" s="176"/>
      <c r="AU87" s="176"/>
      <c r="AV87" s="176"/>
      <c r="AW87" s="176"/>
      <c r="AX87" s="176"/>
      <c r="AY87" s="176"/>
      <c r="AZ87" s="176"/>
      <c r="BA87" s="176"/>
      <c r="BB87" s="176"/>
    </row>
    <row r="88" ht="15.75" customHeight="1">
      <c r="A88" s="176"/>
      <c r="B88" s="176"/>
      <c r="C88" s="176"/>
      <c r="D88" s="176"/>
      <c r="E88" s="176"/>
      <c r="F88" s="176"/>
      <c r="G88" s="176"/>
      <c r="H88" s="176"/>
      <c r="I88" s="176"/>
      <c r="J88" s="176"/>
      <c r="K88" s="176"/>
      <c r="L88" s="176"/>
      <c r="M88" s="176"/>
      <c r="N88" s="176"/>
      <c r="O88" s="176"/>
      <c r="P88" s="176"/>
      <c r="Q88" s="176"/>
      <c r="R88" s="176"/>
      <c r="S88" s="176"/>
      <c r="T88" s="176"/>
      <c r="U88" s="176"/>
      <c r="V88" s="176"/>
      <c r="W88" s="176"/>
      <c r="X88" s="176"/>
      <c r="Y88" s="176"/>
      <c r="Z88" s="176"/>
      <c r="AA88" s="176"/>
      <c r="AB88" s="176"/>
      <c r="AC88" s="176"/>
      <c r="AD88" s="176"/>
      <c r="AE88" s="176"/>
      <c r="AF88" s="176"/>
      <c r="AG88" s="176"/>
      <c r="AH88" s="176"/>
      <c r="AI88" s="176"/>
      <c r="AJ88" s="176"/>
      <c r="AK88" s="176"/>
      <c r="AL88" s="176"/>
      <c r="AM88" s="176"/>
      <c r="AN88" s="176"/>
      <c r="AO88" s="176"/>
      <c r="AP88" s="176"/>
      <c r="AQ88" s="176"/>
      <c r="AR88" s="176"/>
      <c r="AS88" s="176"/>
      <c r="AT88" s="176"/>
      <c r="AU88" s="176"/>
      <c r="AV88" s="176"/>
      <c r="AW88" s="176"/>
      <c r="AX88" s="176"/>
      <c r="AY88" s="176"/>
      <c r="AZ88" s="176"/>
      <c r="BA88" s="176"/>
      <c r="BB88" s="176"/>
    </row>
    <row r="89" ht="15.75" customHeight="1">
      <c r="A89" s="176"/>
      <c r="B89" s="176"/>
      <c r="C89" s="176"/>
      <c r="D89" s="176"/>
      <c r="E89" s="176"/>
      <c r="F89" s="176"/>
      <c r="G89" s="176"/>
      <c r="H89" s="176"/>
      <c r="I89" s="176"/>
      <c r="J89" s="176"/>
      <c r="K89" s="176"/>
      <c r="L89" s="176"/>
      <c r="M89" s="176"/>
      <c r="N89" s="176"/>
      <c r="O89" s="176"/>
      <c r="P89" s="176"/>
      <c r="Q89" s="176"/>
      <c r="R89" s="176"/>
      <c r="S89" s="176"/>
      <c r="T89" s="176"/>
      <c r="U89" s="176"/>
      <c r="V89" s="176"/>
      <c r="W89" s="176"/>
      <c r="X89" s="176"/>
      <c r="Y89" s="176"/>
      <c r="Z89" s="176"/>
      <c r="AA89" s="176"/>
      <c r="AB89" s="176"/>
      <c r="AC89" s="176"/>
      <c r="AD89" s="176"/>
      <c r="AE89" s="176"/>
      <c r="AF89" s="176"/>
      <c r="AG89" s="176"/>
      <c r="AH89" s="176"/>
      <c r="AI89" s="176"/>
      <c r="AJ89" s="176"/>
      <c r="AK89" s="176"/>
      <c r="AL89" s="176"/>
      <c r="AM89" s="176"/>
      <c r="AN89" s="176"/>
      <c r="AO89" s="176"/>
      <c r="AP89" s="176"/>
      <c r="AQ89" s="176"/>
      <c r="AR89" s="176"/>
      <c r="AS89" s="176"/>
      <c r="AT89" s="176"/>
      <c r="AU89" s="176"/>
      <c r="AV89" s="176"/>
      <c r="AW89" s="176"/>
      <c r="AX89" s="176"/>
      <c r="AY89" s="176"/>
      <c r="AZ89" s="176"/>
      <c r="BA89" s="176"/>
      <c r="BB89" s="176"/>
    </row>
    <row r="90" ht="15.75" customHeight="1">
      <c r="A90" s="176"/>
      <c r="B90" s="176"/>
      <c r="C90" s="176"/>
      <c r="D90" s="176"/>
      <c r="E90" s="176"/>
      <c r="F90" s="176"/>
      <c r="G90" s="176"/>
      <c r="H90" s="176"/>
      <c r="I90" s="176"/>
      <c r="J90" s="176"/>
      <c r="K90" s="176"/>
      <c r="L90" s="176"/>
      <c r="M90" s="176"/>
      <c r="N90" s="176"/>
      <c r="O90" s="176"/>
      <c r="P90" s="176"/>
      <c r="Q90" s="176"/>
      <c r="R90" s="176"/>
      <c r="S90" s="176"/>
      <c r="T90" s="176"/>
      <c r="U90" s="176"/>
      <c r="V90" s="176"/>
      <c r="W90" s="176"/>
      <c r="X90" s="176"/>
      <c r="Y90" s="176"/>
      <c r="Z90" s="176"/>
      <c r="AA90" s="176"/>
      <c r="AB90" s="176"/>
      <c r="AC90" s="176"/>
      <c r="AD90" s="176"/>
      <c r="AE90" s="176"/>
      <c r="AF90" s="176"/>
      <c r="AG90" s="176"/>
      <c r="AH90" s="176"/>
      <c r="AI90" s="176"/>
      <c r="AJ90" s="176"/>
      <c r="AK90" s="176"/>
      <c r="AL90" s="176"/>
      <c r="AM90" s="176"/>
      <c r="AN90" s="176"/>
      <c r="AO90" s="176"/>
      <c r="AP90" s="176"/>
      <c r="AQ90" s="176"/>
      <c r="AR90" s="176"/>
      <c r="AS90" s="176"/>
      <c r="AT90" s="176"/>
      <c r="AU90" s="176"/>
      <c r="AV90" s="176"/>
      <c r="AW90" s="176"/>
      <c r="AX90" s="176"/>
      <c r="AY90" s="176"/>
      <c r="AZ90" s="176"/>
      <c r="BA90" s="176"/>
      <c r="BB90" s="176"/>
    </row>
    <row r="91" ht="15.75" customHeight="1">
      <c r="A91" s="176"/>
      <c r="B91" s="176"/>
      <c r="C91" s="176"/>
      <c r="D91" s="176"/>
      <c r="E91" s="176"/>
      <c r="F91" s="176"/>
      <c r="G91" s="176"/>
      <c r="H91" s="176"/>
      <c r="I91" s="176"/>
      <c r="J91" s="176"/>
      <c r="K91" s="176"/>
      <c r="L91" s="176"/>
      <c r="M91" s="176"/>
      <c r="N91" s="176"/>
      <c r="O91" s="176"/>
      <c r="P91" s="176"/>
      <c r="Q91" s="176"/>
      <c r="R91" s="176"/>
      <c r="S91" s="176"/>
      <c r="T91" s="176"/>
      <c r="U91" s="176"/>
      <c r="V91" s="176"/>
      <c r="W91" s="176"/>
      <c r="X91" s="176"/>
      <c r="Y91" s="176"/>
      <c r="Z91" s="176"/>
      <c r="AA91" s="176"/>
      <c r="AB91" s="176"/>
      <c r="AC91" s="176"/>
      <c r="AD91" s="176"/>
      <c r="AE91" s="176"/>
      <c r="AF91" s="176"/>
      <c r="AG91" s="176"/>
      <c r="AH91" s="176"/>
      <c r="AI91" s="176"/>
      <c r="AJ91" s="176"/>
      <c r="AK91" s="176"/>
      <c r="AL91" s="176"/>
      <c r="AM91" s="176"/>
      <c r="AN91" s="176"/>
      <c r="AO91" s="176"/>
      <c r="AP91" s="176"/>
      <c r="AQ91" s="176"/>
      <c r="AR91" s="176"/>
      <c r="AS91" s="176"/>
      <c r="AT91" s="176"/>
      <c r="AU91" s="176"/>
      <c r="AV91" s="176"/>
      <c r="AW91" s="176"/>
      <c r="AX91" s="176"/>
      <c r="AY91" s="176"/>
      <c r="AZ91" s="176"/>
      <c r="BA91" s="176"/>
      <c r="BB91" s="176"/>
    </row>
    <row r="92" ht="15.75" customHeight="1">
      <c r="A92" s="176"/>
      <c r="B92" s="176"/>
      <c r="C92" s="176"/>
      <c r="D92" s="176"/>
      <c r="E92" s="176"/>
      <c r="F92" s="176"/>
      <c r="G92" s="176"/>
      <c r="H92" s="176"/>
      <c r="I92" s="176"/>
      <c r="J92" s="176"/>
      <c r="K92" s="176"/>
      <c r="L92" s="176"/>
      <c r="M92" s="176"/>
      <c r="N92" s="176"/>
      <c r="O92" s="176"/>
      <c r="P92" s="176"/>
      <c r="Q92" s="176"/>
      <c r="R92" s="176"/>
      <c r="S92" s="176"/>
      <c r="T92" s="176"/>
      <c r="U92" s="176"/>
      <c r="V92" s="176"/>
      <c r="W92" s="176"/>
      <c r="X92" s="176"/>
      <c r="Y92" s="176"/>
      <c r="Z92" s="176"/>
      <c r="AA92" s="176"/>
      <c r="AB92" s="176"/>
      <c r="AC92" s="176"/>
      <c r="AD92" s="176"/>
      <c r="AE92" s="176"/>
      <c r="AF92" s="176"/>
      <c r="AG92" s="176"/>
      <c r="AH92" s="176"/>
      <c r="AI92" s="176"/>
      <c r="AJ92" s="176"/>
      <c r="AK92" s="176"/>
      <c r="AL92" s="176"/>
      <c r="AM92" s="176"/>
      <c r="AN92" s="176"/>
      <c r="AO92" s="176"/>
      <c r="AP92" s="176"/>
      <c r="AQ92" s="176"/>
      <c r="AR92" s="176"/>
      <c r="AS92" s="176"/>
      <c r="AT92" s="176"/>
      <c r="AU92" s="176"/>
      <c r="AV92" s="176"/>
      <c r="AW92" s="176"/>
      <c r="AX92" s="176"/>
      <c r="AY92" s="176"/>
      <c r="AZ92" s="176"/>
      <c r="BA92" s="176"/>
      <c r="BB92" s="176"/>
    </row>
    <row r="93" ht="15.75" customHeight="1">
      <c r="A93" s="176"/>
      <c r="B93" s="176"/>
      <c r="C93" s="176"/>
      <c r="D93" s="176"/>
      <c r="E93" s="176"/>
      <c r="F93" s="176"/>
      <c r="G93" s="176"/>
      <c r="H93" s="176"/>
      <c r="I93" s="176"/>
      <c r="J93" s="176"/>
      <c r="K93" s="176"/>
      <c r="L93" s="176"/>
      <c r="M93" s="176"/>
      <c r="N93" s="176"/>
      <c r="O93" s="176"/>
      <c r="P93" s="176"/>
      <c r="Q93" s="176"/>
      <c r="R93" s="176"/>
      <c r="S93" s="176"/>
      <c r="T93" s="176"/>
      <c r="U93" s="176"/>
      <c r="V93" s="176"/>
      <c r="W93" s="176"/>
      <c r="X93" s="176"/>
      <c r="Y93" s="176"/>
      <c r="Z93" s="176"/>
      <c r="AA93" s="176"/>
      <c r="AB93" s="176"/>
      <c r="AC93" s="176"/>
      <c r="AD93" s="176"/>
      <c r="AE93" s="176"/>
      <c r="AF93" s="176"/>
      <c r="AG93" s="176"/>
      <c r="AH93" s="176"/>
      <c r="AI93" s="176"/>
      <c r="AJ93" s="176"/>
      <c r="AK93" s="176"/>
      <c r="AL93" s="176"/>
      <c r="AM93" s="176"/>
      <c r="AN93" s="176"/>
      <c r="AO93" s="176"/>
      <c r="AP93" s="176"/>
      <c r="AQ93" s="176"/>
      <c r="AR93" s="176"/>
      <c r="AS93" s="176"/>
      <c r="AT93" s="176"/>
      <c r="AU93" s="176"/>
      <c r="AV93" s="176"/>
      <c r="AW93" s="176"/>
      <c r="AX93" s="176"/>
      <c r="AY93" s="176"/>
      <c r="AZ93" s="176"/>
      <c r="BA93" s="176"/>
      <c r="BB93" s="176"/>
    </row>
    <row r="94" ht="15.75" customHeight="1">
      <c r="A94" s="176"/>
      <c r="B94" s="176"/>
      <c r="C94" s="176"/>
      <c r="D94" s="176"/>
      <c r="E94" s="176"/>
      <c r="F94" s="176"/>
      <c r="G94" s="176"/>
      <c r="H94" s="176"/>
      <c r="I94" s="176"/>
      <c r="J94" s="176"/>
      <c r="K94" s="176"/>
      <c r="L94" s="176"/>
      <c r="M94" s="176"/>
      <c r="N94" s="176"/>
      <c r="O94" s="176"/>
      <c r="P94" s="176"/>
      <c r="Q94" s="176"/>
      <c r="R94" s="176"/>
      <c r="S94" s="176"/>
      <c r="T94" s="176"/>
      <c r="U94" s="176"/>
      <c r="V94" s="176"/>
      <c r="W94" s="176"/>
      <c r="X94" s="176"/>
      <c r="Y94" s="176"/>
      <c r="Z94" s="176"/>
      <c r="AA94" s="176"/>
      <c r="AB94" s="176"/>
      <c r="AC94" s="176"/>
      <c r="AD94" s="176"/>
      <c r="AE94" s="176"/>
      <c r="AF94" s="176"/>
      <c r="AG94" s="176"/>
      <c r="AH94" s="176"/>
      <c r="AI94" s="176"/>
      <c r="AJ94" s="176"/>
      <c r="AK94" s="176"/>
      <c r="AL94" s="176"/>
      <c r="AM94" s="176"/>
      <c r="AN94" s="176"/>
      <c r="AO94" s="176"/>
      <c r="AP94" s="176"/>
      <c r="AQ94" s="176"/>
      <c r="AR94" s="176"/>
      <c r="AS94" s="176"/>
      <c r="AT94" s="176"/>
      <c r="AU94" s="176"/>
      <c r="AV94" s="176"/>
      <c r="AW94" s="176"/>
      <c r="AX94" s="176"/>
      <c r="AY94" s="176"/>
      <c r="AZ94" s="176"/>
      <c r="BA94" s="176"/>
      <c r="BB94" s="176"/>
    </row>
    <row r="95" ht="15.75" customHeight="1">
      <c r="A95" s="176"/>
      <c r="B95" s="176"/>
      <c r="C95" s="176"/>
      <c r="D95" s="176"/>
      <c r="E95" s="176"/>
      <c r="F95" s="176"/>
      <c r="G95" s="176"/>
      <c r="H95" s="176"/>
      <c r="I95" s="176"/>
      <c r="J95" s="176"/>
      <c r="K95" s="176"/>
      <c r="L95" s="176"/>
      <c r="M95" s="176"/>
      <c r="N95" s="176"/>
      <c r="O95" s="176"/>
      <c r="P95" s="176"/>
      <c r="Q95" s="176"/>
      <c r="R95" s="176"/>
      <c r="S95" s="176"/>
      <c r="T95" s="176"/>
      <c r="U95" s="176"/>
      <c r="V95" s="176"/>
      <c r="W95" s="176"/>
      <c r="X95" s="176"/>
      <c r="Y95" s="176"/>
      <c r="Z95" s="176"/>
      <c r="AA95" s="176"/>
      <c r="AB95" s="176"/>
      <c r="AC95" s="176"/>
      <c r="AD95" s="176"/>
      <c r="AE95" s="176"/>
      <c r="AF95" s="176"/>
      <c r="AG95" s="176"/>
      <c r="AH95" s="176"/>
      <c r="AI95" s="176"/>
      <c r="AJ95" s="176"/>
      <c r="AK95" s="176"/>
      <c r="AL95" s="176"/>
      <c r="AM95" s="176"/>
      <c r="AN95" s="176"/>
      <c r="AO95" s="176"/>
      <c r="AP95" s="176"/>
      <c r="AQ95" s="176"/>
      <c r="AR95" s="176"/>
      <c r="AS95" s="176"/>
      <c r="AT95" s="176"/>
      <c r="AU95" s="176"/>
      <c r="AV95" s="176"/>
      <c r="AW95" s="176"/>
      <c r="AX95" s="176"/>
      <c r="AY95" s="176"/>
      <c r="AZ95" s="176"/>
      <c r="BA95" s="176"/>
      <c r="BB95" s="176"/>
    </row>
    <row r="96" ht="15.75" customHeight="1">
      <c r="A96" s="176"/>
      <c r="B96" s="176"/>
      <c r="C96" s="176"/>
      <c r="D96" s="176"/>
      <c r="E96" s="176"/>
      <c r="F96" s="176"/>
      <c r="G96" s="176"/>
      <c r="H96" s="176"/>
      <c r="I96" s="176"/>
      <c r="J96" s="176"/>
      <c r="K96" s="176"/>
      <c r="L96" s="176"/>
      <c r="M96" s="176"/>
      <c r="N96" s="176"/>
      <c r="O96" s="176"/>
      <c r="P96" s="176"/>
      <c r="Q96" s="176"/>
      <c r="R96" s="176"/>
      <c r="S96" s="176"/>
      <c r="T96" s="176"/>
      <c r="U96" s="176"/>
      <c r="V96" s="176"/>
      <c r="W96" s="176"/>
      <c r="X96" s="176"/>
      <c r="Y96" s="176"/>
      <c r="Z96" s="176"/>
      <c r="AA96" s="176"/>
      <c r="AB96" s="176"/>
      <c r="AC96" s="176"/>
      <c r="AD96" s="176"/>
      <c r="AE96" s="176"/>
      <c r="AF96" s="176"/>
      <c r="AG96" s="176"/>
      <c r="AH96" s="176"/>
      <c r="AI96" s="176"/>
      <c r="AJ96" s="176"/>
      <c r="AK96" s="176"/>
      <c r="AL96" s="176"/>
      <c r="AM96" s="176"/>
      <c r="AN96" s="176"/>
      <c r="AO96" s="176"/>
      <c r="AP96" s="176"/>
      <c r="AQ96" s="176"/>
      <c r="AR96" s="176"/>
      <c r="AS96" s="176"/>
      <c r="AT96" s="176"/>
      <c r="AU96" s="176"/>
      <c r="AV96" s="176"/>
      <c r="AW96" s="176"/>
      <c r="AX96" s="176"/>
      <c r="AY96" s="176"/>
      <c r="AZ96" s="176"/>
      <c r="BA96" s="176"/>
      <c r="BB96" s="176"/>
    </row>
    <row r="97" ht="15.75" customHeight="1">
      <c r="A97" s="176"/>
      <c r="B97" s="176"/>
      <c r="C97" s="176"/>
      <c r="D97" s="176"/>
      <c r="E97" s="176"/>
      <c r="F97" s="176"/>
      <c r="G97" s="176"/>
      <c r="H97" s="176"/>
      <c r="I97" s="176"/>
      <c r="J97" s="176"/>
      <c r="K97" s="176"/>
      <c r="L97" s="176"/>
      <c r="M97" s="176"/>
      <c r="N97" s="176"/>
      <c r="O97" s="176"/>
      <c r="P97" s="176"/>
      <c r="Q97" s="176"/>
      <c r="R97" s="176"/>
      <c r="S97" s="176"/>
      <c r="T97" s="176"/>
      <c r="U97" s="176"/>
      <c r="V97" s="176"/>
      <c r="W97" s="176"/>
      <c r="X97" s="176"/>
      <c r="Y97" s="176"/>
      <c r="Z97" s="176"/>
      <c r="AA97" s="176"/>
      <c r="AB97" s="176"/>
      <c r="AC97" s="176"/>
      <c r="AD97" s="176"/>
      <c r="AE97" s="176"/>
      <c r="AF97" s="176"/>
      <c r="AG97" s="176"/>
      <c r="AH97" s="176"/>
      <c r="AI97" s="176"/>
      <c r="AJ97" s="176"/>
      <c r="AK97" s="176"/>
      <c r="AL97" s="176"/>
      <c r="AM97" s="176"/>
      <c r="AN97" s="176"/>
      <c r="AO97" s="176"/>
      <c r="AP97" s="176"/>
      <c r="AQ97" s="176"/>
      <c r="AR97" s="176"/>
      <c r="AS97" s="176"/>
      <c r="AT97" s="176"/>
      <c r="AU97" s="176"/>
      <c r="AV97" s="176"/>
      <c r="AW97" s="176"/>
      <c r="AX97" s="176"/>
      <c r="AY97" s="176"/>
      <c r="AZ97" s="176"/>
      <c r="BA97" s="176"/>
      <c r="BB97" s="176"/>
    </row>
    <row r="98" ht="15.75" customHeight="1">
      <c r="A98" s="176"/>
      <c r="B98" s="176"/>
      <c r="C98" s="176"/>
      <c r="D98" s="176"/>
      <c r="E98" s="176"/>
      <c r="F98" s="176"/>
      <c r="G98" s="176"/>
      <c r="H98" s="176"/>
      <c r="I98" s="176"/>
      <c r="J98" s="176"/>
      <c r="K98" s="176"/>
      <c r="L98" s="176"/>
      <c r="M98" s="176"/>
      <c r="N98" s="176"/>
      <c r="O98" s="176"/>
      <c r="P98" s="176"/>
      <c r="Q98" s="176"/>
      <c r="R98" s="176"/>
      <c r="S98" s="176"/>
      <c r="T98" s="176"/>
      <c r="U98" s="176"/>
      <c r="V98" s="176"/>
      <c r="W98" s="176"/>
      <c r="X98" s="176"/>
      <c r="Y98" s="176"/>
      <c r="Z98" s="176"/>
      <c r="AA98" s="176"/>
      <c r="AB98" s="176"/>
      <c r="AC98" s="176"/>
      <c r="AD98" s="176"/>
      <c r="AE98" s="176"/>
      <c r="AF98" s="176"/>
      <c r="AG98" s="176"/>
      <c r="AH98" s="176"/>
      <c r="AI98" s="176"/>
      <c r="AJ98" s="176"/>
      <c r="AK98" s="176"/>
      <c r="AL98" s="176"/>
      <c r="AM98" s="176"/>
      <c r="AN98" s="176"/>
      <c r="AO98" s="176"/>
      <c r="AP98" s="176"/>
      <c r="AQ98" s="176"/>
      <c r="AR98" s="176"/>
      <c r="AS98" s="176"/>
      <c r="AT98" s="176"/>
      <c r="AU98" s="176"/>
      <c r="AV98" s="176"/>
      <c r="AW98" s="176"/>
      <c r="AX98" s="176"/>
      <c r="AY98" s="176"/>
      <c r="AZ98" s="176"/>
      <c r="BA98" s="176"/>
      <c r="BB98" s="176"/>
    </row>
    <row r="99" ht="15.75" customHeight="1">
      <c r="A99" s="176"/>
      <c r="B99" s="176"/>
      <c r="C99" s="176"/>
      <c r="D99" s="176"/>
      <c r="E99" s="176"/>
      <c r="F99" s="176"/>
      <c r="G99" s="176"/>
      <c r="H99" s="176"/>
      <c r="I99" s="176"/>
      <c r="J99" s="176"/>
      <c r="K99" s="176"/>
      <c r="L99" s="176"/>
      <c r="M99" s="176"/>
      <c r="N99" s="176"/>
      <c r="O99" s="176"/>
      <c r="P99" s="176"/>
      <c r="Q99" s="176"/>
      <c r="R99" s="176"/>
      <c r="S99" s="176"/>
      <c r="T99" s="176"/>
      <c r="U99" s="176"/>
      <c r="V99" s="176"/>
      <c r="W99" s="176"/>
      <c r="X99" s="176"/>
      <c r="Y99" s="176"/>
      <c r="Z99" s="176"/>
      <c r="AA99" s="176"/>
      <c r="AB99" s="176"/>
      <c r="AC99" s="176"/>
      <c r="AD99" s="176"/>
      <c r="AE99" s="176"/>
      <c r="AF99" s="176"/>
      <c r="AG99" s="176"/>
      <c r="AH99" s="176"/>
      <c r="AI99" s="176"/>
      <c r="AJ99" s="176"/>
      <c r="AK99" s="176"/>
      <c r="AL99" s="176"/>
      <c r="AM99" s="176"/>
      <c r="AN99" s="176"/>
      <c r="AO99" s="176"/>
      <c r="AP99" s="176"/>
      <c r="AQ99" s="176"/>
      <c r="AR99" s="176"/>
      <c r="AS99" s="176"/>
      <c r="AT99" s="176"/>
      <c r="AU99" s="176"/>
      <c r="AV99" s="176"/>
      <c r="AW99" s="176"/>
      <c r="AX99" s="176"/>
      <c r="AY99" s="176"/>
      <c r="AZ99" s="176"/>
      <c r="BA99" s="176"/>
      <c r="BB99" s="176"/>
    </row>
    <row r="100" ht="15.75" customHeight="1">
      <c r="A100" s="176"/>
      <c r="B100" s="176"/>
      <c r="C100" s="176"/>
      <c r="D100" s="176"/>
      <c r="E100" s="176"/>
      <c r="F100" s="176"/>
      <c r="G100" s="176"/>
      <c r="H100" s="176"/>
      <c r="I100" s="176"/>
      <c r="J100" s="176"/>
      <c r="K100" s="176"/>
      <c r="L100" s="176"/>
      <c r="M100" s="176"/>
      <c r="N100" s="176"/>
      <c r="O100" s="176"/>
      <c r="P100" s="176"/>
      <c r="Q100" s="176"/>
      <c r="R100" s="176"/>
      <c r="S100" s="176"/>
      <c r="T100" s="176"/>
      <c r="U100" s="176"/>
      <c r="V100" s="176"/>
      <c r="W100" s="176"/>
      <c r="X100" s="176"/>
      <c r="Y100" s="176"/>
      <c r="Z100" s="176"/>
      <c r="AA100" s="176"/>
      <c r="AB100" s="176"/>
      <c r="AC100" s="176"/>
      <c r="AD100" s="176"/>
      <c r="AE100" s="176"/>
      <c r="AF100" s="176"/>
      <c r="AG100" s="176"/>
      <c r="AH100" s="176"/>
      <c r="AI100" s="176"/>
      <c r="AJ100" s="176"/>
      <c r="AK100" s="176"/>
      <c r="AL100" s="176"/>
      <c r="AM100" s="176"/>
      <c r="AN100" s="176"/>
      <c r="AO100" s="176"/>
      <c r="AP100" s="176"/>
      <c r="AQ100" s="176"/>
      <c r="AR100" s="176"/>
      <c r="AS100" s="176"/>
      <c r="AT100" s="176"/>
      <c r="AU100" s="176"/>
      <c r="AV100" s="176"/>
      <c r="AW100" s="176"/>
      <c r="AX100" s="176"/>
      <c r="AY100" s="176"/>
      <c r="AZ100" s="176"/>
      <c r="BA100" s="176"/>
      <c r="BB100" s="176"/>
    </row>
    <row r="101" ht="15.75" customHeight="1">
      <c r="A101" s="176"/>
      <c r="B101" s="176"/>
      <c r="C101" s="176"/>
      <c r="D101" s="176"/>
      <c r="E101" s="176"/>
      <c r="F101" s="176"/>
      <c r="G101" s="176"/>
      <c r="H101" s="176"/>
      <c r="I101" s="176"/>
      <c r="J101" s="176"/>
      <c r="K101" s="176"/>
      <c r="L101" s="176"/>
      <c r="M101" s="176"/>
      <c r="N101" s="176"/>
      <c r="O101" s="176"/>
      <c r="P101" s="176"/>
      <c r="Q101" s="176"/>
      <c r="R101" s="176"/>
      <c r="S101" s="176"/>
      <c r="T101" s="176"/>
      <c r="U101" s="176"/>
      <c r="V101" s="176"/>
      <c r="W101" s="176"/>
      <c r="X101" s="176"/>
      <c r="Y101" s="176"/>
      <c r="Z101" s="176"/>
      <c r="AA101" s="176"/>
      <c r="AB101" s="176"/>
      <c r="AC101" s="176"/>
      <c r="AD101" s="176"/>
      <c r="AE101" s="176"/>
      <c r="AF101" s="176"/>
      <c r="AG101" s="176"/>
      <c r="AH101" s="176"/>
      <c r="AI101" s="176"/>
      <c r="AJ101" s="176"/>
      <c r="AK101" s="176"/>
      <c r="AL101" s="176"/>
      <c r="AM101" s="176"/>
      <c r="AN101" s="176"/>
      <c r="AO101" s="176"/>
      <c r="AP101" s="176"/>
      <c r="AQ101" s="176"/>
      <c r="AR101" s="176"/>
      <c r="AS101" s="176"/>
      <c r="AT101" s="176"/>
      <c r="AU101" s="176"/>
      <c r="AV101" s="176"/>
      <c r="AW101" s="176"/>
      <c r="AX101" s="176"/>
      <c r="AY101" s="176"/>
      <c r="AZ101" s="176"/>
      <c r="BA101" s="176"/>
      <c r="BB101" s="176"/>
    </row>
    <row r="102" ht="15.75" customHeight="1">
      <c r="A102" s="176"/>
      <c r="B102" s="176"/>
      <c r="C102" s="176"/>
      <c r="D102" s="176"/>
      <c r="E102" s="176"/>
      <c r="F102" s="176"/>
      <c r="G102" s="176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6"/>
      <c r="W102" s="176"/>
      <c r="X102" s="176"/>
      <c r="Y102" s="176"/>
      <c r="Z102" s="176"/>
      <c r="AA102" s="176"/>
      <c r="AB102" s="176"/>
      <c r="AC102" s="176"/>
      <c r="AD102" s="176"/>
      <c r="AE102" s="176"/>
      <c r="AF102" s="176"/>
      <c r="AG102" s="176"/>
      <c r="AH102" s="176"/>
      <c r="AI102" s="176"/>
      <c r="AJ102" s="176"/>
      <c r="AK102" s="176"/>
      <c r="AL102" s="176"/>
      <c r="AM102" s="176"/>
      <c r="AN102" s="176"/>
      <c r="AO102" s="176"/>
      <c r="AP102" s="176"/>
      <c r="AQ102" s="176"/>
      <c r="AR102" s="176"/>
      <c r="AS102" s="176"/>
      <c r="AT102" s="176"/>
      <c r="AU102" s="176"/>
      <c r="AV102" s="176"/>
      <c r="AW102" s="176"/>
      <c r="AX102" s="176"/>
      <c r="AY102" s="176"/>
      <c r="AZ102" s="176"/>
      <c r="BA102" s="176"/>
      <c r="BB102" s="176"/>
    </row>
    <row r="103" ht="15.75" customHeight="1">
      <c r="A103" s="176"/>
      <c r="B103" s="176"/>
      <c r="C103" s="176"/>
      <c r="D103" s="176"/>
      <c r="E103" s="176"/>
      <c r="F103" s="176"/>
      <c r="G103" s="176"/>
      <c r="H103" s="176"/>
      <c r="I103" s="176"/>
      <c r="J103" s="176"/>
      <c r="K103" s="176"/>
      <c r="L103" s="176"/>
      <c r="M103" s="176"/>
      <c r="N103" s="176"/>
      <c r="O103" s="176"/>
      <c r="P103" s="176"/>
      <c r="Q103" s="176"/>
      <c r="R103" s="176"/>
      <c r="S103" s="176"/>
      <c r="T103" s="176"/>
      <c r="U103" s="176"/>
      <c r="V103" s="176"/>
      <c r="W103" s="176"/>
      <c r="X103" s="176"/>
      <c r="Y103" s="176"/>
      <c r="Z103" s="176"/>
      <c r="AA103" s="176"/>
      <c r="AB103" s="176"/>
      <c r="AC103" s="176"/>
      <c r="AD103" s="176"/>
      <c r="AE103" s="176"/>
      <c r="AF103" s="176"/>
      <c r="AG103" s="176"/>
      <c r="AH103" s="176"/>
      <c r="AI103" s="176"/>
      <c r="AJ103" s="176"/>
      <c r="AK103" s="176"/>
      <c r="AL103" s="176"/>
      <c r="AM103" s="176"/>
      <c r="AN103" s="176"/>
      <c r="AO103" s="176"/>
      <c r="AP103" s="176"/>
      <c r="AQ103" s="176"/>
      <c r="AR103" s="176"/>
      <c r="AS103" s="176"/>
      <c r="AT103" s="176"/>
      <c r="AU103" s="176"/>
      <c r="AV103" s="176"/>
      <c r="AW103" s="176"/>
      <c r="AX103" s="176"/>
      <c r="AY103" s="176"/>
      <c r="AZ103" s="176"/>
      <c r="BA103" s="176"/>
      <c r="BB103" s="176"/>
    </row>
    <row r="104" ht="15.75" customHeight="1">
      <c r="A104" s="176"/>
      <c r="B104" s="176"/>
      <c r="C104" s="176"/>
      <c r="D104" s="176"/>
      <c r="E104" s="176"/>
      <c r="F104" s="176"/>
      <c r="G104" s="176"/>
      <c r="H104" s="176"/>
      <c r="I104" s="176"/>
      <c r="J104" s="176"/>
      <c r="K104" s="176"/>
      <c r="L104" s="176"/>
      <c r="M104" s="176"/>
      <c r="N104" s="176"/>
      <c r="O104" s="176"/>
      <c r="P104" s="176"/>
      <c r="Q104" s="176"/>
      <c r="R104" s="176"/>
      <c r="S104" s="176"/>
      <c r="T104" s="176"/>
      <c r="U104" s="176"/>
      <c r="V104" s="176"/>
      <c r="W104" s="176"/>
      <c r="X104" s="176"/>
      <c r="Y104" s="176"/>
      <c r="Z104" s="176"/>
      <c r="AA104" s="176"/>
      <c r="AB104" s="176"/>
      <c r="AC104" s="176"/>
      <c r="AD104" s="176"/>
      <c r="AE104" s="176"/>
      <c r="AF104" s="176"/>
      <c r="AG104" s="176"/>
      <c r="AH104" s="176"/>
      <c r="AI104" s="176"/>
      <c r="AJ104" s="176"/>
      <c r="AK104" s="176"/>
      <c r="AL104" s="176"/>
      <c r="AM104" s="176"/>
      <c r="AN104" s="176"/>
      <c r="AO104" s="176"/>
      <c r="AP104" s="176"/>
      <c r="AQ104" s="176"/>
      <c r="AR104" s="176"/>
      <c r="AS104" s="176"/>
      <c r="AT104" s="176"/>
      <c r="AU104" s="176"/>
      <c r="AV104" s="176"/>
      <c r="AW104" s="176"/>
      <c r="AX104" s="176"/>
      <c r="AY104" s="176"/>
      <c r="AZ104" s="176"/>
      <c r="BA104" s="176"/>
      <c r="BB104" s="176"/>
    </row>
    <row r="105" ht="15.75" customHeight="1">
      <c r="A105" s="176"/>
      <c r="B105" s="176"/>
      <c r="C105" s="176"/>
      <c r="D105" s="176"/>
      <c r="E105" s="176"/>
      <c r="F105" s="176"/>
      <c r="G105" s="176"/>
      <c r="H105" s="176"/>
      <c r="I105" s="176"/>
      <c r="J105" s="176"/>
      <c r="K105" s="176"/>
      <c r="L105" s="176"/>
      <c r="M105" s="176"/>
      <c r="N105" s="176"/>
      <c r="O105" s="176"/>
      <c r="P105" s="176"/>
      <c r="Q105" s="176"/>
      <c r="R105" s="176"/>
      <c r="S105" s="176"/>
      <c r="T105" s="176"/>
      <c r="U105" s="176"/>
      <c r="V105" s="176"/>
      <c r="W105" s="176"/>
      <c r="X105" s="176"/>
      <c r="Y105" s="176"/>
      <c r="Z105" s="176"/>
      <c r="AA105" s="176"/>
      <c r="AB105" s="176"/>
      <c r="AC105" s="176"/>
      <c r="AD105" s="176"/>
      <c r="AE105" s="176"/>
      <c r="AF105" s="176"/>
      <c r="AG105" s="176"/>
      <c r="AH105" s="176"/>
      <c r="AI105" s="176"/>
      <c r="AJ105" s="176"/>
      <c r="AK105" s="176"/>
      <c r="AL105" s="176"/>
      <c r="AM105" s="176"/>
      <c r="AN105" s="176"/>
      <c r="AO105" s="176"/>
      <c r="AP105" s="176"/>
      <c r="AQ105" s="176"/>
      <c r="AR105" s="176"/>
      <c r="AS105" s="176"/>
      <c r="AT105" s="176"/>
      <c r="AU105" s="176"/>
      <c r="AV105" s="176"/>
      <c r="AW105" s="176"/>
      <c r="AX105" s="176"/>
      <c r="AY105" s="176"/>
      <c r="AZ105" s="176"/>
      <c r="BA105" s="176"/>
      <c r="BB105" s="176"/>
    </row>
    <row r="106" ht="15.75" customHeight="1">
      <c r="A106" s="176"/>
      <c r="B106" s="176"/>
      <c r="C106" s="176"/>
      <c r="D106" s="176"/>
      <c r="E106" s="176"/>
      <c r="F106" s="176"/>
      <c r="G106" s="176"/>
      <c r="H106" s="176"/>
      <c r="I106" s="176"/>
      <c r="J106" s="176"/>
      <c r="K106" s="176"/>
      <c r="L106" s="176"/>
      <c r="M106" s="176"/>
      <c r="N106" s="176"/>
      <c r="O106" s="176"/>
      <c r="P106" s="176"/>
      <c r="Q106" s="176"/>
      <c r="R106" s="176"/>
      <c r="S106" s="176"/>
      <c r="T106" s="176"/>
      <c r="U106" s="176"/>
      <c r="V106" s="176"/>
      <c r="W106" s="176"/>
      <c r="X106" s="176"/>
      <c r="Y106" s="176"/>
      <c r="Z106" s="176"/>
      <c r="AA106" s="176"/>
      <c r="AB106" s="176"/>
      <c r="AC106" s="176"/>
      <c r="AD106" s="176"/>
      <c r="AE106" s="176"/>
      <c r="AF106" s="176"/>
      <c r="AG106" s="176"/>
      <c r="AH106" s="176"/>
      <c r="AI106" s="176"/>
      <c r="AJ106" s="176"/>
      <c r="AK106" s="176"/>
      <c r="AL106" s="176"/>
      <c r="AM106" s="176"/>
      <c r="AN106" s="176"/>
      <c r="AO106" s="176"/>
      <c r="AP106" s="176"/>
      <c r="AQ106" s="176"/>
      <c r="AR106" s="176"/>
      <c r="AS106" s="176"/>
      <c r="AT106" s="176"/>
      <c r="AU106" s="176"/>
      <c r="AV106" s="176"/>
      <c r="AW106" s="176"/>
      <c r="AX106" s="176"/>
      <c r="AY106" s="176"/>
      <c r="AZ106" s="176"/>
      <c r="BA106" s="176"/>
      <c r="BB106" s="176"/>
    </row>
    <row r="107" ht="15.75" customHeight="1">
      <c r="A107" s="176"/>
      <c r="B107" s="176"/>
      <c r="C107" s="176"/>
      <c r="D107" s="176"/>
      <c r="E107" s="176"/>
      <c r="F107" s="176"/>
      <c r="G107" s="176"/>
      <c r="H107" s="176"/>
      <c r="I107" s="176"/>
      <c r="J107" s="176"/>
      <c r="K107" s="176"/>
      <c r="L107" s="176"/>
      <c r="M107" s="176"/>
      <c r="N107" s="176"/>
      <c r="O107" s="176"/>
      <c r="P107" s="176"/>
      <c r="Q107" s="176"/>
      <c r="R107" s="176"/>
      <c r="S107" s="176"/>
      <c r="T107" s="176"/>
      <c r="U107" s="176"/>
      <c r="V107" s="176"/>
      <c r="W107" s="176"/>
      <c r="X107" s="176"/>
      <c r="Y107" s="176"/>
      <c r="Z107" s="176"/>
      <c r="AA107" s="176"/>
      <c r="AB107" s="176"/>
      <c r="AC107" s="176"/>
      <c r="AD107" s="176"/>
      <c r="AE107" s="176"/>
      <c r="AF107" s="176"/>
      <c r="AG107" s="176"/>
      <c r="AH107" s="176"/>
      <c r="AI107" s="176"/>
      <c r="AJ107" s="176"/>
      <c r="AK107" s="176"/>
      <c r="AL107" s="176"/>
      <c r="AM107" s="176"/>
      <c r="AN107" s="176"/>
      <c r="AO107" s="176"/>
      <c r="AP107" s="176"/>
      <c r="AQ107" s="176"/>
      <c r="AR107" s="176"/>
      <c r="AS107" s="176"/>
      <c r="AT107" s="176"/>
      <c r="AU107" s="176"/>
      <c r="AV107" s="176"/>
      <c r="AW107" s="176"/>
      <c r="AX107" s="176"/>
      <c r="AY107" s="176"/>
      <c r="AZ107" s="176"/>
      <c r="BA107" s="176"/>
      <c r="BB107" s="176"/>
    </row>
    <row r="108" ht="15.75" customHeight="1">
      <c r="A108" s="176"/>
      <c r="B108" s="176"/>
      <c r="C108" s="176"/>
      <c r="D108" s="176"/>
      <c r="E108" s="176"/>
      <c r="F108" s="176"/>
      <c r="G108" s="176"/>
      <c r="H108" s="176"/>
      <c r="I108" s="176"/>
      <c r="J108" s="176"/>
      <c r="K108" s="176"/>
      <c r="L108" s="176"/>
      <c r="M108" s="176"/>
      <c r="N108" s="176"/>
      <c r="O108" s="176"/>
      <c r="P108" s="176"/>
      <c r="Q108" s="176"/>
      <c r="R108" s="176"/>
      <c r="S108" s="176"/>
      <c r="T108" s="176"/>
      <c r="U108" s="176"/>
      <c r="V108" s="176"/>
      <c r="W108" s="176"/>
      <c r="X108" s="176"/>
      <c r="Y108" s="176"/>
      <c r="Z108" s="176"/>
      <c r="AA108" s="176"/>
      <c r="AB108" s="176"/>
      <c r="AC108" s="176"/>
      <c r="AD108" s="176"/>
      <c r="AE108" s="176"/>
      <c r="AF108" s="176"/>
      <c r="AG108" s="176"/>
      <c r="AH108" s="176"/>
      <c r="AI108" s="176"/>
      <c r="AJ108" s="176"/>
      <c r="AK108" s="176"/>
      <c r="AL108" s="176"/>
      <c r="AM108" s="176"/>
      <c r="AN108" s="176"/>
      <c r="AO108" s="176"/>
      <c r="AP108" s="176"/>
      <c r="AQ108" s="176"/>
      <c r="AR108" s="176"/>
      <c r="AS108" s="176"/>
      <c r="AT108" s="176"/>
      <c r="AU108" s="176"/>
      <c r="AV108" s="176"/>
      <c r="AW108" s="176"/>
      <c r="AX108" s="176"/>
      <c r="AY108" s="176"/>
      <c r="AZ108" s="176"/>
      <c r="BA108" s="176"/>
      <c r="BB108" s="176"/>
    </row>
    <row r="109" ht="15.75" customHeight="1">
      <c r="A109" s="176"/>
      <c r="B109" s="176"/>
      <c r="C109" s="176"/>
      <c r="D109" s="176"/>
      <c r="E109" s="176"/>
      <c r="F109" s="176"/>
      <c r="G109" s="176"/>
      <c r="H109" s="176"/>
      <c r="I109" s="176"/>
      <c r="J109" s="176"/>
      <c r="K109" s="176"/>
      <c r="L109" s="176"/>
      <c r="M109" s="176"/>
      <c r="N109" s="176"/>
      <c r="O109" s="176"/>
      <c r="P109" s="176"/>
      <c r="Q109" s="176"/>
      <c r="R109" s="176"/>
      <c r="S109" s="176"/>
      <c r="T109" s="176"/>
      <c r="U109" s="176"/>
      <c r="V109" s="176"/>
      <c r="W109" s="176"/>
      <c r="X109" s="176"/>
      <c r="Y109" s="176"/>
      <c r="Z109" s="176"/>
      <c r="AA109" s="176"/>
      <c r="AB109" s="176"/>
      <c r="AC109" s="176"/>
      <c r="AD109" s="176"/>
      <c r="AE109" s="176"/>
      <c r="AF109" s="176"/>
      <c r="AG109" s="176"/>
      <c r="AH109" s="176"/>
      <c r="AI109" s="176"/>
      <c r="AJ109" s="176"/>
      <c r="AK109" s="176"/>
      <c r="AL109" s="176"/>
      <c r="AM109" s="176"/>
      <c r="AN109" s="176"/>
      <c r="AO109" s="176"/>
      <c r="AP109" s="176"/>
      <c r="AQ109" s="176"/>
      <c r="AR109" s="176"/>
      <c r="AS109" s="176"/>
      <c r="AT109" s="176"/>
      <c r="AU109" s="176"/>
      <c r="AV109" s="176"/>
      <c r="AW109" s="176"/>
      <c r="AX109" s="176"/>
      <c r="AY109" s="176"/>
      <c r="AZ109" s="176"/>
      <c r="BA109" s="176"/>
      <c r="BB109" s="176"/>
    </row>
    <row r="110" ht="15.75" customHeight="1">
      <c r="A110" s="176"/>
      <c r="B110" s="176"/>
      <c r="C110" s="176"/>
      <c r="D110" s="176"/>
      <c r="E110" s="176"/>
      <c r="F110" s="176"/>
      <c r="G110" s="176"/>
      <c r="H110" s="176"/>
      <c r="I110" s="176"/>
      <c r="J110" s="176"/>
      <c r="K110" s="176"/>
      <c r="L110" s="176"/>
      <c r="M110" s="176"/>
      <c r="N110" s="176"/>
      <c r="O110" s="176"/>
      <c r="P110" s="176"/>
      <c r="Q110" s="176"/>
      <c r="R110" s="176"/>
      <c r="S110" s="176"/>
      <c r="T110" s="176"/>
      <c r="U110" s="176"/>
      <c r="V110" s="176"/>
      <c r="W110" s="176"/>
      <c r="X110" s="176"/>
      <c r="Y110" s="176"/>
      <c r="Z110" s="176"/>
      <c r="AA110" s="176"/>
      <c r="AB110" s="176"/>
      <c r="AC110" s="176"/>
      <c r="AD110" s="176"/>
      <c r="AE110" s="176"/>
      <c r="AF110" s="176"/>
      <c r="AG110" s="176"/>
      <c r="AH110" s="176"/>
      <c r="AI110" s="176"/>
      <c r="AJ110" s="176"/>
      <c r="AK110" s="176"/>
      <c r="AL110" s="176"/>
      <c r="AM110" s="176"/>
      <c r="AN110" s="176"/>
      <c r="AO110" s="176"/>
      <c r="AP110" s="176"/>
      <c r="AQ110" s="176"/>
      <c r="AR110" s="176"/>
      <c r="AS110" s="176"/>
      <c r="AT110" s="176"/>
      <c r="AU110" s="176"/>
      <c r="AV110" s="176"/>
      <c r="AW110" s="176"/>
      <c r="AX110" s="176"/>
      <c r="AY110" s="176"/>
      <c r="AZ110" s="176"/>
      <c r="BA110" s="176"/>
      <c r="BB110" s="176"/>
    </row>
    <row r="111" ht="15.75" customHeight="1">
      <c r="A111" s="176"/>
      <c r="B111" s="176"/>
      <c r="C111" s="176"/>
      <c r="D111" s="176"/>
      <c r="E111" s="176"/>
      <c r="F111" s="176"/>
      <c r="G111" s="176"/>
      <c r="H111" s="176"/>
      <c r="I111" s="176"/>
      <c r="J111" s="176"/>
      <c r="K111" s="176"/>
      <c r="L111" s="176"/>
      <c r="M111" s="176"/>
      <c r="N111" s="176"/>
      <c r="O111" s="176"/>
      <c r="P111" s="176"/>
      <c r="Q111" s="176"/>
      <c r="R111" s="176"/>
      <c r="S111" s="176"/>
      <c r="T111" s="176"/>
      <c r="U111" s="176"/>
      <c r="V111" s="176"/>
      <c r="W111" s="176"/>
      <c r="X111" s="176"/>
      <c r="Y111" s="176"/>
      <c r="Z111" s="176"/>
      <c r="AA111" s="176"/>
      <c r="AB111" s="176"/>
      <c r="AC111" s="176"/>
      <c r="AD111" s="176"/>
      <c r="AE111" s="176"/>
      <c r="AF111" s="176"/>
      <c r="AG111" s="176"/>
      <c r="AH111" s="176"/>
      <c r="AI111" s="176"/>
      <c r="AJ111" s="176"/>
      <c r="AK111" s="176"/>
      <c r="AL111" s="176"/>
      <c r="AM111" s="176"/>
      <c r="AN111" s="176"/>
      <c r="AO111" s="176"/>
      <c r="AP111" s="176"/>
      <c r="AQ111" s="176"/>
      <c r="AR111" s="176"/>
      <c r="AS111" s="176"/>
      <c r="AT111" s="176"/>
      <c r="AU111" s="176"/>
      <c r="AV111" s="176"/>
      <c r="AW111" s="176"/>
      <c r="AX111" s="176"/>
      <c r="AY111" s="176"/>
      <c r="AZ111" s="176"/>
      <c r="BA111" s="176"/>
      <c r="BB111" s="176"/>
    </row>
    <row r="112" ht="15.75" customHeight="1">
      <c r="A112" s="176"/>
      <c r="B112" s="176"/>
      <c r="C112" s="176"/>
      <c r="D112" s="176"/>
      <c r="E112" s="176"/>
      <c r="F112" s="176"/>
      <c r="G112" s="176"/>
      <c r="H112" s="176"/>
      <c r="I112" s="176"/>
      <c r="J112" s="176"/>
      <c r="K112" s="176"/>
      <c r="L112" s="176"/>
      <c r="M112" s="176"/>
      <c r="N112" s="176"/>
      <c r="O112" s="176"/>
      <c r="P112" s="176"/>
      <c r="Q112" s="176"/>
      <c r="R112" s="176"/>
      <c r="S112" s="176"/>
      <c r="T112" s="176"/>
      <c r="U112" s="176"/>
      <c r="V112" s="176"/>
      <c r="W112" s="176"/>
      <c r="X112" s="176"/>
      <c r="Y112" s="176"/>
      <c r="Z112" s="176"/>
      <c r="AA112" s="176"/>
      <c r="AB112" s="176"/>
      <c r="AC112" s="176"/>
      <c r="AD112" s="176"/>
      <c r="AE112" s="176"/>
      <c r="AF112" s="176"/>
      <c r="AG112" s="176"/>
      <c r="AH112" s="176"/>
      <c r="AI112" s="176"/>
      <c r="AJ112" s="176"/>
      <c r="AK112" s="176"/>
      <c r="AL112" s="176"/>
      <c r="AM112" s="176"/>
      <c r="AN112" s="176"/>
      <c r="AO112" s="176"/>
      <c r="AP112" s="176"/>
      <c r="AQ112" s="176"/>
      <c r="AR112" s="176"/>
      <c r="AS112" s="176"/>
      <c r="AT112" s="176"/>
      <c r="AU112" s="176"/>
      <c r="AV112" s="176"/>
      <c r="AW112" s="176"/>
      <c r="AX112" s="176"/>
      <c r="AY112" s="176"/>
      <c r="AZ112" s="176"/>
      <c r="BA112" s="176"/>
      <c r="BB112" s="176"/>
    </row>
    <row r="113" ht="15.75" customHeight="1">
      <c r="A113" s="176"/>
      <c r="B113" s="176"/>
      <c r="C113" s="176"/>
      <c r="D113" s="176"/>
      <c r="E113" s="176"/>
      <c r="F113" s="176"/>
      <c r="G113" s="176"/>
      <c r="H113" s="176"/>
      <c r="I113" s="176"/>
      <c r="J113" s="176"/>
      <c r="K113" s="176"/>
      <c r="L113" s="176"/>
      <c r="M113" s="176"/>
      <c r="N113" s="176"/>
      <c r="O113" s="176"/>
      <c r="P113" s="176"/>
      <c r="Q113" s="176"/>
      <c r="R113" s="176"/>
      <c r="S113" s="176"/>
      <c r="T113" s="176"/>
      <c r="U113" s="176"/>
      <c r="V113" s="176"/>
      <c r="W113" s="176"/>
      <c r="X113" s="176"/>
      <c r="Y113" s="176"/>
      <c r="Z113" s="176"/>
      <c r="AA113" s="176"/>
      <c r="AB113" s="176"/>
      <c r="AC113" s="176"/>
      <c r="AD113" s="176"/>
      <c r="AE113" s="176"/>
      <c r="AF113" s="176"/>
      <c r="AG113" s="176"/>
      <c r="AH113" s="176"/>
      <c r="AI113" s="176"/>
      <c r="AJ113" s="176"/>
      <c r="AK113" s="176"/>
      <c r="AL113" s="176"/>
      <c r="AM113" s="176"/>
      <c r="AN113" s="176"/>
      <c r="AO113" s="176"/>
      <c r="AP113" s="176"/>
      <c r="AQ113" s="176"/>
      <c r="AR113" s="176"/>
      <c r="AS113" s="176"/>
      <c r="AT113" s="176"/>
      <c r="AU113" s="176"/>
      <c r="AV113" s="176"/>
      <c r="AW113" s="176"/>
      <c r="AX113" s="176"/>
      <c r="AY113" s="176"/>
      <c r="AZ113" s="176"/>
      <c r="BA113" s="176"/>
      <c r="BB113" s="176"/>
    </row>
    <row r="114" ht="15.75" customHeight="1">
      <c r="A114" s="176"/>
      <c r="B114" s="176"/>
      <c r="C114" s="176"/>
      <c r="D114" s="176"/>
      <c r="E114" s="176"/>
      <c r="F114" s="176"/>
      <c r="G114" s="176"/>
      <c r="H114" s="176"/>
      <c r="I114" s="176"/>
      <c r="J114" s="176"/>
      <c r="K114" s="176"/>
      <c r="L114" s="176"/>
      <c r="M114" s="176"/>
      <c r="N114" s="176"/>
      <c r="O114" s="176"/>
      <c r="P114" s="176"/>
      <c r="Q114" s="176"/>
      <c r="R114" s="176"/>
      <c r="S114" s="176"/>
      <c r="T114" s="176"/>
      <c r="U114" s="176"/>
      <c r="V114" s="176"/>
      <c r="W114" s="176"/>
      <c r="X114" s="176"/>
      <c r="Y114" s="176"/>
      <c r="Z114" s="176"/>
      <c r="AA114" s="176"/>
      <c r="AB114" s="176"/>
      <c r="AC114" s="176"/>
      <c r="AD114" s="176"/>
      <c r="AE114" s="176"/>
      <c r="AF114" s="176"/>
      <c r="AG114" s="176"/>
      <c r="AH114" s="176"/>
      <c r="AI114" s="176"/>
      <c r="AJ114" s="176"/>
      <c r="AK114" s="176"/>
      <c r="AL114" s="176"/>
      <c r="AM114" s="176"/>
      <c r="AN114" s="176"/>
      <c r="AO114" s="176"/>
      <c r="AP114" s="176"/>
      <c r="AQ114" s="176"/>
      <c r="AR114" s="176"/>
      <c r="AS114" s="176"/>
      <c r="AT114" s="176"/>
      <c r="AU114" s="176"/>
      <c r="AV114" s="176"/>
      <c r="AW114" s="176"/>
      <c r="AX114" s="176"/>
      <c r="AY114" s="176"/>
      <c r="AZ114" s="176"/>
      <c r="BA114" s="176"/>
      <c r="BB114" s="176"/>
    </row>
    <row r="115" ht="15.75" customHeight="1">
      <c r="A115" s="176"/>
      <c r="B115" s="176"/>
      <c r="C115" s="176"/>
      <c r="D115" s="176"/>
      <c r="E115" s="176"/>
      <c r="F115" s="176"/>
      <c r="G115" s="176"/>
      <c r="H115" s="176"/>
      <c r="I115" s="176"/>
      <c r="J115" s="176"/>
      <c r="K115" s="176"/>
      <c r="L115" s="176"/>
      <c r="M115" s="176"/>
      <c r="N115" s="176"/>
      <c r="O115" s="176"/>
      <c r="P115" s="176"/>
      <c r="Q115" s="176"/>
      <c r="R115" s="176"/>
      <c r="S115" s="176"/>
      <c r="T115" s="176"/>
      <c r="U115" s="176"/>
      <c r="V115" s="176"/>
      <c r="W115" s="176"/>
      <c r="X115" s="176"/>
      <c r="Y115" s="176"/>
      <c r="Z115" s="176"/>
      <c r="AA115" s="176"/>
      <c r="AB115" s="176"/>
      <c r="AC115" s="176"/>
      <c r="AD115" s="176"/>
      <c r="AE115" s="176"/>
      <c r="AF115" s="176"/>
      <c r="AG115" s="176"/>
      <c r="AH115" s="176"/>
      <c r="AI115" s="176"/>
      <c r="AJ115" s="176"/>
      <c r="AK115" s="176"/>
      <c r="AL115" s="176"/>
      <c r="AM115" s="176"/>
      <c r="AN115" s="176"/>
      <c r="AO115" s="176"/>
      <c r="AP115" s="176"/>
      <c r="AQ115" s="176"/>
      <c r="AR115" s="176"/>
      <c r="AS115" s="176"/>
      <c r="AT115" s="176"/>
      <c r="AU115" s="176"/>
      <c r="AV115" s="176"/>
      <c r="AW115" s="176"/>
      <c r="AX115" s="176"/>
      <c r="AY115" s="176"/>
      <c r="AZ115" s="176"/>
      <c r="BA115" s="176"/>
      <c r="BB115" s="176"/>
    </row>
    <row r="116" ht="15.75" customHeight="1">
      <c r="A116" s="176"/>
      <c r="B116" s="176"/>
      <c r="C116" s="176"/>
      <c r="D116" s="176"/>
      <c r="E116" s="176"/>
      <c r="F116" s="176"/>
      <c r="G116" s="176"/>
      <c r="H116" s="176"/>
      <c r="I116" s="176"/>
      <c r="J116" s="176"/>
      <c r="K116" s="176"/>
      <c r="L116" s="176"/>
      <c r="M116" s="176"/>
      <c r="N116" s="176"/>
      <c r="O116" s="176"/>
      <c r="P116" s="176"/>
      <c r="Q116" s="176"/>
      <c r="R116" s="176"/>
      <c r="S116" s="176"/>
      <c r="T116" s="176"/>
      <c r="U116" s="176"/>
      <c r="V116" s="176"/>
      <c r="W116" s="176"/>
      <c r="X116" s="176"/>
      <c r="Y116" s="176"/>
      <c r="Z116" s="176"/>
      <c r="AA116" s="176"/>
      <c r="AB116" s="176"/>
      <c r="AC116" s="176"/>
      <c r="AD116" s="176"/>
      <c r="AE116" s="176"/>
      <c r="AF116" s="176"/>
      <c r="AG116" s="176"/>
      <c r="AH116" s="176"/>
      <c r="AI116" s="176"/>
      <c r="AJ116" s="176"/>
      <c r="AK116" s="176"/>
      <c r="AL116" s="176"/>
      <c r="AM116" s="176"/>
      <c r="AN116" s="176"/>
      <c r="AO116" s="176"/>
      <c r="AP116" s="176"/>
      <c r="AQ116" s="176"/>
      <c r="AR116" s="176"/>
      <c r="AS116" s="176"/>
      <c r="AT116" s="176"/>
      <c r="AU116" s="176"/>
      <c r="AV116" s="176"/>
      <c r="AW116" s="176"/>
      <c r="AX116" s="176"/>
      <c r="AY116" s="176"/>
      <c r="AZ116" s="176"/>
      <c r="BA116" s="176"/>
      <c r="BB116" s="176"/>
    </row>
    <row r="117" ht="15.75" customHeight="1">
      <c r="A117" s="176"/>
      <c r="B117" s="176"/>
      <c r="C117" s="176"/>
      <c r="D117" s="176"/>
      <c r="E117" s="176"/>
      <c r="F117" s="176"/>
      <c r="G117" s="176"/>
      <c r="H117" s="176"/>
      <c r="I117" s="176"/>
      <c r="J117" s="176"/>
      <c r="K117" s="176"/>
      <c r="L117" s="176"/>
      <c r="M117" s="176"/>
      <c r="N117" s="176"/>
      <c r="O117" s="176"/>
      <c r="P117" s="176"/>
      <c r="Q117" s="176"/>
      <c r="R117" s="176"/>
      <c r="S117" s="176"/>
      <c r="T117" s="176"/>
      <c r="U117" s="176"/>
      <c r="V117" s="176"/>
      <c r="W117" s="176"/>
      <c r="X117" s="176"/>
      <c r="Y117" s="176"/>
      <c r="Z117" s="176"/>
      <c r="AA117" s="176"/>
      <c r="AB117" s="176"/>
      <c r="AC117" s="176"/>
      <c r="AD117" s="176"/>
      <c r="AE117" s="176"/>
      <c r="AF117" s="176"/>
      <c r="AG117" s="176"/>
      <c r="AH117" s="176"/>
      <c r="AI117" s="176"/>
      <c r="AJ117" s="176"/>
      <c r="AK117" s="176"/>
      <c r="AL117" s="176"/>
      <c r="AM117" s="176"/>
      <c r="AN117" s="176"/>
      <c r="AO117" s="176"/>
      <c r="AP117" s="176"/>
      <c r="AQ117" s="176"/>
      <c r="AR117" s="176"/>
      <c r="AS117" s="176"/>
      <c r="AT117" s="176"/>
      <c r="AU117" s="176"/>
      <c r="AV117" s="176"/>
      <c r="AW117" s="176"/>
      <c r="AX117" s="176"/>
      <c r="AY117" s="176"/>
      <c r="AZ117" s="176"/>
      <c r="BA117" s="176"/>
      <c r="BB117" s="176"/>
    </row>
    <row r="118" ht="15.75" customHeight="1">
      <c r="A118" s="176"/>
      <c r="B118" s="176"/>
      <c r="C118" s="176"/>
      <c r="D118" s="176"/>
      <c r="E118" s="176"/>
      <c r="F118" s="176"/>
      <c r="G118" s="176"/>
      <c r="H118" s="176"/>
      <c r="I118" s="176"/>
      <c r="J118" s="176"/>
      <c r="K118" s="176"/>
      <c r="L118" s="176"/>
      <c r="M118" s="176"/>
      <c r="N118" s="176"/>
      <c r="O118" s="176"/>
      <c r="P118" s="176"/>
      <c r="Q118" s="176"/>
      <c r="R118" s="176"/>
      <c r="S118" s="176"/>
      <c r="T118" s="176"/>
      <c r="U118" s="176"/>
      <c r="V118" s="176"/>
      <c r="W118" s="176"/>
      <c r="X118" s="176"/>
      <c r="Y118" s="176"/>
      <c r="Z118" s="176"/>
      <c r="AA118" s="176"/>
      <c r="AB118" s="176"/>
      <c r="AC118" s="176"/>
      <c r="AD118" s="176"/>
      <c r="AE118" s="176"/>
      <c r="AF118" s="176"/>
      <c r="AG118" s="176"/>
      <c r="AH118" s="176"/>
      <c r="AI118" s="176"/>
      <c r="AJ118" s="176"/>
      <c r="AK118" s="176"/>
      <c r="AL118" s="176"/>
      <c r="AM118" s="176"/>
      <c r="AN118" s="176"/>
      <c r="AO118" s="176"/>
      <c r="AP118" s="176"/>
      <c r="AQ118" s="176"/>
      <c r="AR118" s="176"/>
      <c r="AS118" s="176"/>
      <c r="AT118" s="176"/>
      <c r="AU118" s="176"/>
      <c r="AV118" s="176"/>
      <c r="AW118" s="176"/>
      <c r="AX118" s="176"/>
      <c r="AY118" s="176"/>
      <c r="AZ118" s="176"/>
      <c r="BA118" s="176"/>
      <c r="BB118" s="176"/>
    </row>
    <row r="119" ht="15.75" customHeight="1">
      <c r="A119" s="176"/>
      <c r="B119" s="176"/>
      <c r="C119" s="176"/>
      <c r="D119" s="176"/>
      <c r="E119" s="176"/>
      <c r="F119" s="176"/>
      <c r="G119" s="176"/>
      <c r="H119" s="176"/>
      <c r="I119" s="176"/>
      <c r="J119" s="176"/>
      <c r="K119" s="176"/>
      <c r="L119" s="176"/>
      <c r="M119" s="176"/>
      <c r="N119" s="176"/>
      <c r="O119" s="176"/>
      <c r="P119" s="176"/>
      <c r="Q119" s="176"/>
      <c r="R119" s="176"/>
      <c r="S119" s="176"/>
      <c r="T119" s="176"/>
      <c r="U119" s="176"/>
      <c r="V119" s="176"/>
      <c r="W119" s="176"/>
      <c r="X119" s="176"/>
      <c r="Y119" s="176"/>
      <c r="Z119" s="176"/>
      <c r="AA119" s="176"/>
      <c r="AB119" s="176"/>
      <c r="AC119" s="176"/>
      <c r="AD119" s="176"/>
      <c r="AE119" s="176"/>
      <c r="AF119" s="176"/>
      <c r="AG119" s="176"/>
      <c r="AH119" s="176"/>
      <c r="AI119" s="176"/>
      <c r="AJ119" s="176"/>
      <c r="AK119" s="176"/>
      <c r="AL119" s="176"/>
      <c r="AM119" s="176"/>
      <c r="AN119" s="176"/>
      <c r="AO119" s="176"/>
      <c r="AP119" s="176"/>
      <c r="AQ119" s="176"/>
      <c r="AR119" s="176"/>
      <c r="AS119" s="176"/>
      <c r="AT119" s="176"/>
      <c r="AU119" s="176"/>
      <c r="AV119" s="176"/>
      <c r="AW119" s="176"/>
      <c r="AX119" s="176"/>
      <c r="AY119" s="176"/>
      <c r="AZ119" s="176"/>
      <c r="BA119" s="176"/>
      <c r="BB119" s="176"/>
    </row>
    <row r="120" ht="15.75" customHeight="1">
      <c r="A120" s="176"/>
      <c r="B120" s="176"/>
      <c r="C120" s="176"/>
      <c r="D120" s="176"/>
      <c r="E120" s="176"/>
      <c r="F120" s="176"/>
      <c r="G120" s="176"/>
      <c r="H120" s="176"/>
      <c r="I120" s="176"/>
      <c r="J120" s="176"/>
      <c r="K120" s="176"/>
      <c r="L120" s="176"/>
      <c r="M120" s="176"/>
      <c r="N120" s="176"/>
      <c r="O120" s="176"/>
      <c r="P120" s="176"/>
      <c r="Q120" s="176"/>
      <c r="R120" s="176"/>
      <c r="S120" s="176"/>
      <c r="T120" s="176"/>
      <c r="U120" s="176"/>
      <c r="V120" s="176"/>
      <c r="W120" s="176"/>
      <c r="X120" s="176"/>
      <c r="Y120" s="176"/>
      <c r="Z120" s="176"/>
      <c r="AA120" s="176"/>
      <c r="AB120" s="176"/>
      <c r="AC120" s="176"/>
      <c r="AD120" s="176"/>
      <c r="AE120" s="176"/>
      <c r="AF120" s="176"/>
      <c r="AG120" s="176"/>
      <c r="AH120" s="176"/>
      <c r="AI120" s="176"/>
      <c r="AJ120" s="176"/>
      <c r="AK120" s="176"/>
      <c r="AL120" s="176"/>
      <c r="AM120" s="176"/>
      <c r="AN120" s="176"/>
      <c r="AO120" s="176"/>
      <c r="AP120" s="176"/>
      <c r="AQ120" s="176"/>
      <c r="AR120" s="176"/>
      <c r="AS120" s="176"/>
      <c r="AT120" s="176"/>
      <c r="AU120" s="176"/>
      <c r="AV120" s="176"/>
      <c r="AW120" s="176"/>
      <c r="AX120" s="176"/>
      <c r="AY120" s="176"/>
      <c r="AZ120" s="176"/>
      <c r="BA120" s="176"/>
      <c r="BB120" s="176"/>
    </row>
    <row r="121" ht="15.75" customHeight="1">
      <c r="A121" s="176"/>
      <c r="B121" s="176"/>
      <c r="C121" s="176"/>
      <c r="D121" s="176"/>
      <c r="E121" s="176"/>
      <c r="F121" s="176"/>
      <c r="G121" s="176"/>
      <c r="H121" s="176"/>
      <c r="I121" s="176"/>
      <c r="J121" s="176"/>
      <c r="K121" s="176"/>
      <c r="L121" s="176"/>
      <c r="M121" s="176"/>
      <c r="N121" s="176"/>
      <c r="O121" s="176"/>
      <c r="P121" s="176"/>
      <c r="Q121" s="176"/>
      <c r="R121" s="176"/>
      <c r="S121" s="176"/>
      <c r="T121" s="176"/>
      <c r="U121" s="176"/>
      <c r="V121" s="176"/>
      <c r="W121" s="176"/>
      <c r="X121" s="176"/>
      <c r="Y121" s="176"/>
      <c r="Z121" s="176"/>
      <c r="AA121" s="176"/>
      <c r="AB121" s="176"/>
      <c r="AC121" s="176"/>
      <c r="AD121" s="176"/>
      <c r="AE121" s="176"/>
      <c r="AF121" s="176"/>
      <c r="AG121" s="176"/>
      <c r="AH121" s="176"/>
      <c r="AI121" s="176"/>
      <c r="AJ121" s="176"/>
      <c r="AK121" s="176"/>
      <c r="AL121" s="176"/>
      <c r="AM121" s="176"/>
      <c r="AN121" s="176"/>
      <c r="AO121" s="176"/>
      <c r="AP121" s="176"/>
      <c r="AQ121" s="176"/>
      <c r="AR121" s="176"/>
      <c r="AS121" s="176"/>
      <c r="AT121" s="176"/>
      <c r="AU121" s="176"/>
      <c r="AV121" s="176"/>
      <c r="AW121" s="176"/>
      <c r="AX121" s="176"/>
      <c r="AY121" s="176"/>
      <c r="AZ121" s="176"/>
      <c r="BA121" s="176"/>
      <c r="BB121" s="176"/>
    </row>
    <row r="122" ht="15.75" customHeight="1">
      <c r="A122" s="176"/>
      <c r="B122" s="176"/>
      <c r="C122" s="176"/>
      <c r="D122" s="176"/>
      <c r="E122" s="176"/>
      <c r="F122" s="176"/>
      <c r="G122" s="176"/>
      <c r="H122" s="176"/>
      <c r="I122" s="176"/>
      <c r="J122" s="176"/>
      <c r="K122" s="176"/>
      <c r="L122" s="176"/>
      <c r="M122" s="176"/>
      <c r="N122" s="176"/>
      <c r="O122" s="176"/>
      <c r="P122" s="176"/>
      <c r="Q122" s="176"/>
      <c r="R122" s="176"/>
      <c r="S122" s="176"/>
      <c r="T122" s="176"/>
      <c r="U122" s="176"/>
      <c r="V122" s="176"/>
      <c r="W122" s="176"/>
      <c r="X122" s="176"/>
      <c r="Y122" s="176"/>
      <c r="Z122" s="176"/>
      <c r="AA122" s="176"/>
      <c r="AB122" s="176"/>
      <c r="AC122" s="176"/>
      <c r="AD122" s="176"/>
      <c r="AE122" s="176"/>
      <c r="AF122" s="176"/>
      <c r="AG122" s="176"/>
      <c r="AH122" s="176"/>
      <c r="AI122" s="176"/>
      <c r="AJ122" s="176"/>
      <c r="AK122" s="176"/>
      <c r="AL122" s="176"/>
      <c r="AM122" s="176"/>
      <c r="AN122" s="176"/>
      <c r="AO122" s="176"/>
      <c r="AP122" s="176"/>
      <c r="AQ122" s="176"/>
      <c r="AR122" s="176"/>
      <c r="AS122" s="176"/>
      <c r="AT122" s="176"/>
      <c r="AU122" s="176"/>
      <c r="AV122" s="176"/>
      <c r="AW122" s="176"/>
      <c r="AX122" s="176"/>
      <c r="AY122" s="176"/>
      <c r="AZ122" s="176"/>
      <c r="BA122" s="176"/>
      <c r="BB122" s="176"/>
    </row>
    <row r="123" ht="15.75" customHeight="1">
      <c r="A123" s="176"/>
      <c r="B123" s="176"/>
      <c r="C123" s="176"/>
      <c r="D123" s="176"/>
      <c r="E123" s="176"/>
      <c r="F123" s="176"/>
      <c r="G123" s="176"/>
      <c r="H123" s="176"/>
      <c r="I123" s="176"/>
      <c r="J123" s="176"/>
      <c r="K123" s="176"/>
      <c r="L123" s="176"/>
      <c r="M123" s="176"/>
      <c r="N123" s="176"/>
      <c r="O123" s="176"/>
      <c r="P123" s="176"/>
      <c r="Q123" s="176"/>
      <c r="R123" s="176"/>
      <c r="S123" s="176"/>
      <c r="T123" s="176"/>
      <c r="U123" s="176"/>
      <c r="V123" s="176"/>
      <c r="W123" s="176"/>
      <c r="X123" s="176"/>
      <c r="Y123" s="176"/>
      <c r="Z123" s="176"/>
      <c r="AA123" s="176"/>
      <c r="AB123" s="176"/>
      <c r="AC123" s="176"/>
      <c r="AD123" s="176"/>
      <c r="AE123" s="176"/>
      <c r="AF123" s="176"/>
      <c r="AG123" s="176"/>
      <c r="AH123" s="176"/>
      <c r="AI123" s="176"/>
      <c r="AJ123" s="176"/>
      <c r="AK123" s="176"/>
      <c r="AL123" s="176"/>
      <c r="AM123" s="176"/>
      <c r="AN123" s="176"/>
      <c r="AO123" s="176"/>
      <c r="AP123" s="176"/>
      <c r="AQ123" s="176"/>
      <c r="AR123" s="176"/>
      <c r="AS123" s="176"/>
      <c r="AT123" s="176"/>
      <c r="AU123" s="176"/>
      <c r="AV123" s="176"/>
      <c r="AW123" s="176"/>
      <c r="AX123" s="176"/>
      <c r="AY123" s="176"/>
      <c r="AZ123" s="176"/>
      <c r="BA123" s="176"/>
      <c r="BB123" s="176"/>
    </row>
    <row r="124" ht="15.75" customHeight="1">
      <c r="A124" s="176"/>
      <c r="B124" s="176"/>
      <c r="C124" s="176"/>
      <c r="D124" s="176"/>
      <c r="E124" s="176"/>
      <c r="F124" s="176"/>
      <c r="G124" s="176"/>
      <c r="H124" s="176"/>
      <c r="I124" s="176"/>
      <c r="J124" s="176"/>
      <c r="K124" s="176"/>
      <c r="L124" s="176"/>
      <c r="M124" s="176"/>
      <c r="N124" s="176"/>
      <c r="O124" s="176"/>
      <c r="P124" s="176"/>
      <c r="Q124" s="176"/>
      <c r="R124" s="176"/>
      <c r="S124" s="176"/>
      <c r="T124" s="176"/>
      <c r="U124" s="176"/>
      <c r="V124" s="176"/>
      <c r="W124" s="176"/>
      <c r="X124" s="176"/>
      <c r="Y124" s="176"/>
      <c r="Z124" s="176"/>
      <c r="AA124" s="176"/>
      <c r="AB124" s="176"/>
      <c r="AC124" s="176"/>
      <c r="AD124" s="176"/>
      <c r="AE124" s="176"/>
      <c r="AF124" s="176"/>
      <c r="AG124" s="176"/>
      <c r="AH124" s="176"/>
      <c r="AI124" s="176"/>
      <c r="AJ124" s="176"/>
      <c r="AK124" s="176"/>
      <c r="AL124" s="176"/>
      <c r="AM124" s="176"/>
      <c r="AN124" s="176"/>
      <c r="AO124" s="176"/>
      <c r="AP124" s="176"/>
      <c r="AQ124" s="176"/>
      <c r="AR124" s="176"/>
      <c r="AS124" s="176"/>
      <c r="AT124" s="176"/>
      <c r="AU124" s="176"/>
      <c r="AV124" s="176"/>
      <c r="AW124" s="176"/>
      <c r="AX124" s="176"/>
      <c r="AY124" s="176"/>
      <c r="AZ124" s="176"/>
      <c r="BA124" s="176"/>
      <c r="BB124" s="176"/>
    </row>
    <row r="125" ht="15.75" customHeight="1">
      <c r="A125" s="176"/>
      <c r="B125" s="176"/>
      <c r="C125" s="176"/>
      <c r="D125" s="176"/>
      <c r="E125" s="176"/>
      <c r="F125" s="176"/>
      <c r="G125" s="176"/>
      <c r="H125" s="176"/>
      <c r="I125" s="176"/>
      <c r="J125" s="176"/>
      <c r="K125" s="176"/>
      <c r="L125" s="176"/>
      <c r="M125" s="176"/>
      <c r="N125" s="176"/>
      <c r="O125" s="176"/>
      <c r="P125" s="176"/>
      <c r="Q125" s="176"/>
      <c r="R125" s="176"/>
      <c r="S125" s="176"/>
      <c r="T125" s="176"/>
      <c r="U125" s="176"/>
      <c r="V125" s="176"/>
      <c r="W125" s="176"/>
      <c r="X125" s="176"/>
      <c r="Y125" s="176"/>
      <c r="Z125" s="176"/>
      <c r="AA125" s="176"/>
      <c r="AB125" s="176"/>
      <c r="AC125" s="176"/>
      <c r="AD125" s="176"/>
      <c r="AE125" s="176"/>
      <c r="AF125" s="176"/>
      <c r="AG125" s="176"/>
      <c r="AH125" s="176"/>
      <c r="AI125" s="176"/>
      <c r="AJ125" s="176"/>
      <c r="AK125" s="176"/>
      <c r="AL125" s="176"/>
      <c r="AM125" s="176"/>
      <c r="AN125" s="176"/>
      <c r="AO125" s="176"/>
      <c r="AP125" s="176"/>
      <c r="AQ125" s="176"/>
      <c r="AR125" s="176"/>
      <c r="AS125" s="176"/>
      <c r="AT125" s="176"/>
      <c r="AU125" s="176"/>
      <c r="AV125" s="176"/>
      <c r="AW125" s="176"/>
      <c r="AX125" s="176"/>
      <c r="AY125" s="176"/>
      <c r="AZ125" s="176"/>
      <c r="BA125" s="176"/>
      <c r="BB125" s="176"/>
    </row>
    <row r="126" ht="15.75" customHeight="1">
      <c r="A126" s="176"/>
      <c r="B126" s="176"/>
      <c r="C126" s="176"/>
      <c r="D126" s="176"/>
      <c r="E126" s="176"/>
      <c r="F126" s="176"/>
      <c r="G126" s="176"/>
      <c r="H126" s="176"/>
      <c r="I126" s="176"/>
      <c r="J126" s="176"/>
      <c r="K126" s="176"/>
      <c r="L126" s="176"/>
      <c r="M126" s="176"/>
      <c r="N126" s="176"/>
      <c r="O126" s="176"/>
      <c r="P126" s="176"/>
      <c r="Q126" s="176"/>
      <c r="R126" s="176"/>
      <c r="S126" s="176"/>
      <c r="T126" s="176"/>
      <c r="U126" s="176"/>
      <c r="V126" s="176"/>
      <c r="W126" s="176"/>
      <c r="X126" s="176"/>
      <c r="Y126" s="176"/>
      <c r="Z126" s="176"/>
      <c r="AA126" s="176"/>
      <c r="AB126" s="176"/>
      <c r="AC126" s="176"/>
      <c r="AD126" s="176"/>
      <c r="AE126" s="176"/>
      <c r="AF126" s="176"/>
      <c r="AG126" s="176"/>
      <c r="AH126" s="176"/>
      <c r="AI126" s="176"/>
      <c r="AJ126" s="176"/>
      <c r="AK126" s="176"/>
      <c r="AL126" s="176"/>
      <c r="AM126" s="176"/>
      <c r="AN126" s="176"/>
      <c r="AO126" s="176"/>
      <c r="AP126" s="176"/>
      <c r="AQ126" s="176"/>
      <c r="AR126" s="176"/>
      <c r="AS126" s="176"/>
      <c r="AT126" s="176"/>
      <c r="AU126" s="176"/>
      <c r="AV126" s="176"/>
      <c r="AW126" s="176"/>
      <c r="AX126" s="176"/>
      <c r="AY126" s="176"/>
      <c r="AZ126" s="176"/>
      <c r="BA126" s="176"/>
      <c r="BB126" s="176"/>
    </row>
    <row r="127" ht="15.75" customHeight="1">
      <c r="A127" s="176"/>
      <c r="B127" s="176"/>
      <c r="C127" s="176"/>
      <c r="D127" s="176"/>
      <c r="E127" s="176"/>
      <c r="F127" s="176"/>
      <c r="G127" s="176"/>
      <c r="H127" s="176"/>
      <c r="I127" s="176"/>
      <c r="J127" s="176"/>
      <c r="K127" s="176"/>
      <c r="L127" s="176"/>
      <c r="M127" s="176"/>
      <c r="N127" s="176"/>
      <c r="O127" s="176"/>
      <c r="P127" s="176"/>
      <c r="Q127" s="176"/>
      <c r="R127" s="176"/>
      <c r="S127" s="176"/>
      <c r="T127" s="176"/>
      <c r="U127" s="176"/>
      <c r="V127" s="176"/>
      <c r="W127" s="176"/>
      <c r="X127" s="176"/>
      <c r="Y127" s="176"/>
      <c r="Z127" s="176"/>
      <c r="AA127" s="176"/>
      <c r="AB127" s="176"/>
      <c r="AC127" s="176"/>
      <c r="AD127" s="176"/>
      <c r="AE127" s="176"/>
      <c r="AF127" s="176"/>
      <c r="AG127" s="176"/>
      <c r="AH127" s="176"/>
      <c r="AI127" s="176"/>
      <c r="AJ127" s="176"/>
      <c r="AK127" s="176"/>
      <c r="AL127" s="176"/>
      <c r="AM127" s="176"/>
      <c r="AN127" s="176"/>
      <c r="AO127" s="176"/>
      <c r="AP127" s="176"/>
      <c r="AQ127" s="176"/>
      <c r="AR127" s="176"/>
      <c r="AS127" s="176"/>
      <c r="AT127" s="176"/>
      <c r="AU127" s="176"/>
      <c r="AV127" s="176"/>
      <c r="AW127" s="176"/>
      <c r="AX127" s="176"/>
      <c r="AY127" s="176"/>
      <c r="AZ127" s="176"/>
      <c r="BA127" s="176"/>
      <c r="BB127" s="176"/>
    </row>
    <row r="128" ht="15.75" customHeight="1">
      <c r="A128" s="176"/>
      <c r="B128" s="176"/>
      <c r="C128" s="176"/>
      <c r="D128" s="176"/>
      <c r="E128" s="176"/>
      <c r="F128" s="176"/>
      <c r="G128" s="176"/>
      <c r="H128" s="176"/>
      <c r="I128" s="176"/>
      <c r="J128" s="176"/>
      <c r="K128" s="176"/>
      <c r="L128" s="176"/>
      <c r="M128" s="176"/>
      <c r="N128" s="176"/>
      <c r="O128" s="176"/>
      <c r="P128" s="176"/>
      <c r="Q128" s="176"/>
      <c r="R128" s="176"/>
      <c r="S128" s="176"/>
      <c r="T128" s="176"/>
      <c r="U128" s="176"/>
      <c r="V128" s="176"/>
      <c r="W128" s="176"/>
      <c r="X128" s="176"/>
      <c r="Y128" s="176"/>
      <c r="Z128" s="176"/>
      <c r="AA128" s="176"/>
      <c r="AB128" s="176"/>
      <c r="AC128" s="176"/>
      <c r="AD128" s="176"/>
      <c r="AE128" s="176"/>
      <c r="AF128" s="176"/>
      <c r="AG128" s="176"/>
      <c r="AH128" s="176"/>
      <c r="AI128" s="176"/>
      <c r="AJ128" s="176"/>
      <c r="AK128" s="176"/>
      <c r="AL128" s="176"/>
      <c r="AM128" s="176"/>
      <c r="AN128" s="176"/>
      <c r="AO128" s="176"/>
      <c r="AP128" s="176"/>
      <c r="AQ128" s="176"/>
      <c r="AR128" s="176"/>
      <c r="AS128" s="176"/>
      <c r="AT128" s="176"/>
      <c r="AU128" s="176"/>
      <c r="AV128" s="176"/>
      <c r="AW128" s="176"/>
      <c r="AX128" s="176"/>
      <c r="AY128" s="176"/>
      <c r="AZ128" s="176"/>
      <c r="BA128" s="176"/>
      <c r="BB128" s="176"/>
    </row>
    <row r="129" ht="15.75" customHeight="1">
      <c r="A129" s="176"/>
      <c r="B129" s="176"/>
      <c r="C129" s="176"/>
      <c r="D129" s="176"/>
      <c r="E129" s="176"/>
      <c r="F129" s="176"/>
      <c r="G129" s="176"/>
      <c r="H129" s="176"/>
      <c r="I129" s="176"/>
      <c r="J129" s="176"/>
      <c r="K129" s="176"/>
      <c r="L129" s="176"/>
      <c r="M129" s="176"/>
      <c r="N129" s="176"/>
      <c r="O129" s="176"/>
      <c r="P129" s="176"/>
      <c r="Q129" s="176"/>
      <c r="R129" s="176"/>
      <c r="S129" s="176"/>
      <c r="T129" s="176"/>
      <c r="U129" s="176"/>
      <c r="V129" s="176"/>
      <c r="W129" s="176"/>
      <c r="X129" s="176"/>
      <c r="Y129" s="176"/>
      <c r="Z129" s="176"/>
      <c r="AA129" s="176"/>
      <c r="AB129" s="176"/>
      <c r="AC129" s="176"/>
      <c r="AD129" s="176"/>
      <c r="AE129" s="176"/>
      <c r="AF129" s="176"/>
      <c r="AG129" s="176"/>
      <c r="AH129" s="176"/>
      <c r="AI129" s="176"/>
      <c r="AJ129" s="176"/>
      <c r="AK129" s="176"/>
      <c r="AL129" s="176"/>
      <c r="AM129" s="176"/>
      <c r="AN129" s="176"/>
      <c r="AO129" s="176"/>
      <c r="AP129" s="176"/>
      <c r="AQ129" s="176"/>
      <c r="AR129" s="176"/>
      <c r="AS129" s="176"/>
      <c r="AT129" s="176"/>
      <c r="AU129" s="176"/>
      <c r="AV129" s="176"/>
      <c r="AW129" s="176"/>
      <c r="AX129" s="176"/>
      <c r="AY129" s="176"/>
      <c r="AZ129" s="176"/>
      <c r="BA129" s="176"/>
      <c r="BB129" s="176"/>
    </row>
    <row r="130" ht="15.75" customHeight="1">
      <c r="A130" s="176"/>
      <c r="B130" s="176"/>
      <c r="C130" s="176"/>
      <c r="D130" s="176"/>
      <c r="E130" s="176"/>
      <c r="F130" s="176"/>
      <c r="G130" s="176"/>
      <c r="H130" s="176"/>
      <c r="I130" s="176"/>
      <c r="J130" s="176"/>
      <c r="K130" s="176"/>
      <c r="L130" s="176"/>
      <c r="M130" s="176"/>
      <c r="N130" s="176"/>
      <c r="O130" s="176"/>
      <c r="P130" s="176"/>
      <c r="Q130" s="176"/>
      <c r="R130" s="176"/>
      <c r="S130" s="176"/>
      <c r="T130" s="176"/>
      <c r="U130" s="176"/>
      <c r="V130" s="176"/>
      <c r="W130" s="176"/>
      <c r="X130" s="176"/>
      <c r="Y130" s="176"/>
      <c r="Z130" s="176"/>
      <c r="AA130" s="176"/>
      <c r="AB130" s="176"/>
      <c r="AC130" s="176"/>
      <c r="AD130" s="176"/>
      <c r="AE130" s="176"/>
      <c r="AF130" s="176"/>
      <c r="AG130" s="176"/>
      <c r="AH130" s="176"/>
      <c r="AI130" s="176"/>
      <c r="AJ130" s="176"/>
      <c r="AK130" s="176"/>
      <c r="AL130" s="176"/>
      <c r="AM130" s="176"/>
      <c r="AN130" s="176"/>
      <c r="AO130" s="176"/>
      <c r="AP130" s="176"/>
      <c r="AQ130" s="176"/>
      <c r="AR130" s="176"/>
      <c r="AS130" s="176"/>
      <c r="AT130" s="176"/>
      <c r="AU130" s="176"/>
      <c r="AV130" s="176"/>
      <c r="AW130" s="176"/>
      <c r="AX130" s="176"/>
      <c r="AY130" s="176"/>
      <c r="AZ130" s="176"/>
      <c r="BA130" s="176"/>
      <c r="BB130" s="176"/>
    </row>
    <row r="131" ht="15.75" customHeight="1">
      <c r="A131" s="176"/>
      <c r="B131" s="176"/>
      <c r="C131" s="176"/>
      <c r="D131" s="176"/>
      <c r="E131" s="176"/>
      <c r="F131" s="176"/>
      <c r="G131" s="176"/>
      <c r="H131" s="176"/>
      <c r="I131" s="176"/>
      <c r="J131" s="176"/>
      <c r="K131" s="176"/>
      <c r="L131" s="176"/>
      <c r="M131" s="176"/>
      <c r="N131" s="176"/>
      <c r="O131" s="176"/>
      <c r="P131" s="176"/>
      <c r="Q131" s="176"/>
      <c r="R131" s="176"/>
      <c r="S131" s="176"/>
      <c r="T131" s="176"/>
      <c r="U131" s="176"/>
      <c r="V131" s="176"/>
      <c r="W131" s="176"/>
      <c r="X131" s="176"/>
      <c r="Y131" s="176"/>
      <c r="Z131" s="176"/>
      <c r="AA131" s="176"/>
      <c r="AB131" s="176"/>
      <c r="AC131" s="176"/>
      <c r="AD131" s="176"/>
      <c r="AE131" s="176"/>
      <c r="AF131" s="176"/>
      <c r="AG131" s="176"/>
      <c r="AH131" s="176"/>
      <c r="AI131" s="176"/>
      <c r="AJ131" s="176"/>
      <c r="AK131" s="176"/>
      <c r="AL131" s="176"/>
      <c r="AM131" s="176"/>
      <c r="AN131" s="176"/>
      <c r="AO131" s="176"/>
      <c r="AP131" s="176"/>
      <c r="AQ131" s="176"/>
      <c r="AR131" s="176"/>
      <c r="AS131" s="176"/>
      <c r="AT131" s="176"/>
      <c r="AU131" s="176"/>
      <c r="AV131" s="176"/>
      <c r="AW131" s="176"/>
      <c r="AX131" s="176"/>
      <c r="AY131" s="176"/>
      <c r="AZ131" s="176"/>
      <c r="BA131" s="176"/>
      <c r="BB131" s="176"/>
    </row>
    <row r="132" ht="15.75" customHeight="1">
      <c r="A132" s="176"/>
      <c r="B132" s="176"/>
      <c r="C132" s="176"/>
      <c r="D132" s="176"/>
      <c r="E132" s="176"/>
      <c r="F132" s="176"/>
      <c r="G132" s="176"/>
      <c r="H132" s="176"/>
      <c r="I132" s="176"/>
      <c r="J132" s="176"/>
      <c r="K132" s="176"/>
      <c r="L132" s="176"/>
      <c r="M132" s="176"/>
      <c r="N132" s="176"/>
      <c r="O132" s="176"/>
      <c r="P132" s="176"/>
      <c r="Q132" s="176"/>
      <c r="R132" s="176"/>
      <c r="S132" s="176"/>
      <c r="T132" s="176"/>
      <c r="U132" s="176"/>
      <c r="V132" s="176"/>
      <c r="W132" s="176"/>
      <c r="X132" s="176"/>
      <c r="Y132" s="176"/>
      <c r="Z132" s="176"/>
      <c r="AA132" s="176"/>
      <c r="AB132" s="176"/>
      <c r="AC132" s="176"/>
      <c r="AD132" s="176"/>
      <c r="AE132" s="176"/>
      <c r="AF132" s="176"/>
      <c r="AG132" s="176"/>
      <c r="AH132" s="176"/>
      <c r="AI132" s="176"/>
      <c r="AJ132" s="176"/>
      <c r="AK132" s="176"/>
      <c r="AL132" s="176"/>
      <c r="AM132" s="176"/>
      <c r="AN132" s="176"/>
      <c r="AO132" s="176"/>
      <c r="AP132" s="176"/>
      <c r="AQ132" s="176"/>
      <c r="AR132" s="176"/>
      <c r="AS132" s="176"/>
      <c r="AT132" s="176"/>
      <c r="AU132" s="176"/>
      <c r="AV132" s="176"/>
      <c r="AW132" s="176"/>
      <c r="AX132" s="176"/>
      <c r="AY132" s="176"/>
      <c r="AZ132" s="176"/>
      <c r="BA132" s="176"/>
      <c r="BB132" s="176"/>
    </row>
    <row r="133" ht="15.75" customHeight="1">
      <c r="A133" s="176"/>
      <c r="B133" s="176"/>
      <c r="C133" s="176"/>
      <c r="D133" s="176"/>
      <c r="E133" s="176"/>
      <c r="F133" s="176"/>
      <c r="G133" s="176"/>
      <c r="H133" s="176"/>
      <c r="I133" s="176"/>
      <c r="J133" s="176"/>
      <c r="K133" s="176"/>
      <c r="L133" s="176"/>
      <c r="M133" s="176"/>
      <c r="N133" s="176"/>
      <c r="O133" s="176"/>
      <c r="P133" s="176"/>
      <c r="Q133" s="176"/>
      <c r="R133" s="176"/>
      <c r="S133" s="176"/>
      <c r="T133" s="176"/>
      <c r="U133" s="176"/>
      <c r="V133" s="176"/>
      <c r="W133" s="176"/>
      <c r="X133" s="176"/>
      <c r="Y133" s="176"/>
      <c r="Z133" s="176"/>
      <c r="AA133" s="176"/>
      <c r="AB133" s="176"/>
      <c r="AC133" s="176"/>
      <c r="AD133" s="176"/>
      <c r="AE133" s="176"/>
      <c r="AF133" s="176"/>
      <c r="AG133" s="176"/>
      <c r="AH133" s="176"/>
      <c r="AI133" s="176"/>
      <c r="AJ133" s="176"/>
      <c r="AK133" s="176"/>
      <c r="AL133" s="176"/>
      <c r="AM133" s="176"/>
      <c r="AN133" s="176"/>
      <c r="AO133" s="176"/>
      <c r="AP133" s="176"/>
      <c r="AQ133" s="176"/>
      <c r="AR133" s="176"/>
      <c r="AS133" s="176"/>
      <c r="AT133" s="176"/>
      <c r="AU133" s="176"/>
      <c r="AV133" s="176"/>
      <c r="AW133" s="176"/>
      <c r="AX133" s="176"/>
      <c r="AY133" s="176"/>
      <c r="AZ133" s="176"/>
      <c r="BA133" s="176"/>
      <c r="BB133" s="176"/>
    </row>
    <row r="134" ht="15.75" customHeight="1">
      <c r="A134" s="176"/>
      <c r="B134" s="176"/>
      <c r="C134" s="176"/>
      <c r="D134" s="176"/>
      <c r="E134" s="176"/>
      <c r="F134" s="176"/>
      <c r="G134" s="176"/>
      <c r="H134" s="176"/>
      <c r="I134" s="176"/>
      <c r="J134" s="176"/>
      <c r="K134" s="176"/>
      <c r="L134" s="176"/>
      <c r="M134" s="176"/>
      <c r="N134" s="176"/>
      <c r="O134" s="176"/>
      <c r="P134" s="176"/>
      <c r="Q134" s="176"/>
      <c r="R134" s="176"/>
      <c r="S134" s="176"/>
      <c r="T134" s="176"/>
      <c r="U134" s="176"/>
      <c r="V134" s="176"/>
      <c r="W134" s="176"/>
      <c r="X134" s="176"/>
      <c r="Y134" s="176"/>
      <c r="Z134" s="176"/>
      <c r="AA134" s="176"/>
      <c r="AB134" s="176"/>
      <c r="AC134" s="176"/>
      <c r="AD134" s="176"/>
      <c r="AE134" s="176"/>
      <c r="AF134" s="176"/>
      <c r="AG134" s="176"/>
      <c r="AH134" s="176"/>
      <c r="AI134" s="176"/>
      <c r="AJ134" s="176"/>
      <c r="AK134" s="176"/>
      <c r="AL134" s="176"/>
      <c r="AM134" s="176"/>
      <c r="AN134" s="176"/>
      <c r="AO134" s="176"/>
      <c r="AP134" s="176"/>
      <c r="AQ134" s="176"/>
      <c r="AR134" s="176"/>
      <c r="AS134" s="176"/>
      <c r="AT134" s="176"/>
      <c r="AU134" s="176"/>
      <c r="AV134" s="176"/>
      <c r="AW134" s="176"/>
      <c r="AX134" s="176"/>
      <c r="AY134" s="176"/>
      <c r="AZ134" s="176"/>
      <c r="BA134" s="176"/>
      <c r="BB134" s="176"/>
    </row>
    <row r="135" ht="15.75" customHeight="1">
      <c r="A135" s="176"/>
      <c r="B135" s="176"/>
      <c r="C135" s="176"/>
      <c r="D135" s="176"/>
      <c r="E135" s="176"/>
      <c r="F135" s="176"/>
      <c r="G135" s="176"/>
      <c r="H135" s="176"/>
      <c r="I135" s="176"/>
      <c r="J135" s="176"/>
      <c r="K135" s="176"/>
      <c r="L135" s="176"/>
      <c r="M135" s="176"/>
      <c r="N135" s="176"/>
      <c r="O135" s="176"/>
      <c r="P135" s="176"/>
      <c r="Q135" s="176"/>
      <c r="R135" s="176"/>
      <c r="S135" s="176"/>
      <c r="T135" s="176"/>
      <c r="U135" s="176"/>
      <c r="V135" s="176"/>
      <c r="W135" s="176"/>
      <c r="X135" s="176"/>
      <c r="Y135" s="176"/>
      <c r="Z135" s="176"/>
      <c r="AA135" s="176"/>
      <c r="AB135" s="176"/>
      <c r="AC135" s="176"/>
      <c r="AD135" s="176"/>
      <c r="AE135" s="176"/>
      <c r="AF135" s="176"/>
      <c r="AG135" s="176"/>
      <c r="AH135" s="176"/>
      <c r="AI135" s="176"/>
      <c r="AJ135" s="176"/>
      <c r="AK135" s="176"/>
      <c r="AL135" s="176"/>
      <c r="AM135" s="176"/>
      <c r="AN135" s="176"/>
      <c r="AO135" s="176"/>
      <c r="AP135" s="176"/>
      <c r="AQ135" s="176"/>
      <c r="AR135" s="176"/>
      <c r="AS135" s="176"/>
      <c r="AT135" s="176"/>
      <c r="AU135" s="176"/>
      <c r="AV135" s="176"/>
      <c r="AW135" s="176"/>
      <c r="AX135" s="176"/>
      <c r="AY135" s="176"/>
      <c r="AZ135" s="176"/>
      <c r="BA135" s="176"/>
      <c r="BB135" s="176"/>
    </row>
    <row r="136" ht="15.75" customHeight="1">
      <c r="A136" s="176"/>
      <c r="B136" s="176"/>
      <c r="C136" s="176"/>
      <c r="D136" s="176"/>
      <c r="E136" s="176"/>
      <c r="F136" s="176"/>
      <c r="G136" s="176"/>
      <c r="H136" s="176"/>
      <c r="I136" s="176"/>
      <c r="J136" s="176"/>
      <c r="K136" s="176"/>
      <c r="L136" s="176"/>
      <c r="M136" s="176"/>
      <c r="N136" s="176"/>
      <c r="O136" s="176"/>
      <c r="P136" s="176"/>
      <c r="Q136" s="176"/>
      <c r="R136" s="176"/>
      <c r="S136" s="176"/>
      <c r="T136" s="176"/>
      <c r="U136" s="176"/>
      <c r="V136" s="176"/>
      <c r="W136" s="176"/>
      <c r="X136" s="176"/>
      <c r="Y136" s="176"/>
      <c r="Z136" s="176"/>
      <c r="AA136" s="176"/>
      <c r="AB136" s="176"/>
      <c r="AC136" s="176"/>
      <c r="AD136" s="176"/>
      <c r="AE136" s="176"/>
      <c r="AF136" s="176"/>
      <c r="AG136" s="176"/>
      <c r="AH136" s="176"/>
      <c r="AI136" s="176"/>
      <c r="AJ136" s="176"/>
      <c r="AK136" s="176"/>
      <c r="AL136" s="176"/>
      <c r="AM136" s="176"/>
      <c r="AN136" s="176"/>
      <c r="AO136" s="176"/>
      <c r="AP136" s="176"/>
      <c r="AQ136" s="176"/>
      <c r="AR136" s="176"/>
      <c r="AS136" s="176"/>
      <c r="AT136" s="176"/>
      <c r="AU136" s="176"/>
      <c r="AV136" s="176"/>
      <c r="AW136" s="176"/>
      <c r="AX136" s="176"/>
      <c r="AY136" s="176"/>
      <c r="AZ136" s="176"/>
      <c r="BA136" s="176"/>
      <c r="BB136" s="176"/>
    </row>
    <row r="137" ht="15.75" customHeight="1">
      <c r="A137" s="176"/>
      <c r="B137" s="176"/>
      <c r="C137" s="176"/>
      <c r="D137" s="176"/>
      <c r="E137" s="176"/>
      <c r="F137" s="176"/>
      <c r="G137" s="176"/>
      <c r="H137" s="176"/>
      <c r="I137" s="176"/>
      <c r="J137" s="176"/>
      <c r="K137" s="176"/>
      <c r="L137" s="176"/>
      <c r="M137" s="176"/>
      <c r="N137" s="176"/>
      <c r="O137" s="176"/>
      <c r="P137" s="176"/>
      <c r="Q137" s="176"/>
      <c r="R137" s="176"/>
      <c r="S137" s="176"/>
      <c r="T137" s="176"/>
      <c r="U137" s="176"/>
      <c r="V137" s="176"/>
      <c r="W137" s="176"/>
      <c r="X137" s="176"/>
      <c r="Y137" s="176"/>
      <c r="Z137" s="176"/>
      <c r="AA137" s="176"/>
      <c r="AB137" s="176"/>
      <c r="AC137" s="176"/>
      <c r="AD137" s="176"/>
      <c r="AE137" s="176"/>
      <c r="AF137" s="176"/>
      <c r="AG137" s="176"/>
      <c r="AH137" s="176"/>
      <c r="AI137" s="176"/>
      <c r="AJ137" s="176"/>
      <c r="AK137" s="176"/>
      <c r="AL137" s="176"/>
      <c r="AM137" s="176"/>
      <c r="AN137" s="176"/>
      <c r="AO137" s="176"/>
      <c r="AP137" s="176"/>
      <c r="AQ137" s="176"/>
      <c r="AR137" s="176"/>
      <c r="AS137" s="176"/>
      <c r="AT137" s="176"/>
      <c r="AU137" s="176"/>
      <c r="AV137" s="176"/>
      <c r="AW137" s="176"/>
      <c r="AX137" s="176"/>
      <c r="AY137" s="176"/>
      <c r="AZ137" s="176"/>
      <c r="BA137" s="176"/>
      <c r="BB137" s="176"/>
    </row>
    <row r="138" ht="15.75" customHeight="1">
      <c r="A138" s="176"/>
      <c r="B138" s="176"/>
      <c r="C138" s="176"/>
      <c r="D138" s="176"/>
      <c r="E138" s="176"/>
      <c r="F138" s="176"/>
      <c r="G138" s="176"/>
      <c r="H138" s="176"/>
      <c r="I138" s="176"/>
      <c r="J138" s="176"/>
      <c r="K138" s="176"/>
      <c r="L138" s="176"/>
      <c r="M138" s="176"/>
      <c r="N138" s="176"/>
      <c r="O138" s="176"/>
      <c r="P138" s="176"/>
      <c r="Q138" s="176"/>
      <c r="R138" s="176"/>
      <c r="S138" s="176"/>
      <c r="T138" s="176"/>
      <c r="U138" s="176"/>
      <c r="V138" s="176"/>
      <c r="W138" s="176"/>
      <c r="X138" s="176"/>
      <c r="Y138" s="176"/>
      <c r="Z138" s="176"/>
      <c r="AA138" s="176"/>
      <c r="AB138" s="176"/>
      <c r="AC138" s="176"/>
      <c r="AD138" s="176"/>
      <c r="AE138" s="176"/>
      <c r="AF138" s="176"/>
      <c r="AG138" s="176"/>
      <c r="AH138" s="176"/>
      <c r="AI138" s="176"/>
      <c r="AJ138" s="176"/>
      <c r="AK138" s="176"/>
      <c r="AL138" s="176"/>
      <c r="AM138" s="176"/>
      <c r="AN138" s="176"/>
      <c r="AO138" s="176"/>
      <c r="AP138" s="176"/>
      <c r="AQ138" s="176"/>
      <c r="AR138" s="176"/>
      <c r="AS138" s="176"/>
      <c r="AT138" s="176"/>
      <c r="AU138" s="176"/>
      <c r="AV138" s="176"/>
      <c r="AW138" s="176"/>
      <c r="AX138" s="176"/>
      <c r="AY138" s="176"/>
      <c r="AZ138" s="176"/>
      <c r="BA138" s="176"/>
      <c r="BB138" s="176"/>
    </row>
    <row r="139" ht="15.75" customHeight="1">
      <c r="A139" s="176"/>
      <c r="B139" s="176"/>
      <c r="C139" s="176"/>
      <c r="D139" s="176"/>
      <c r="E139" s="176"/>
      <c r="F139" s="176"/>
      <c r="G139" s="176"/>
      <c r="H139" s="176"/>
      <c r="I139" s="176"/>
      <c r="J139" s="176"/>
      <c r="K139" s="176"/>
      <c r="L139" s="176"/>
      <c r="M139" s="176"/>
      <c r="N139" s="176"/>
      <c r="O139" s="176"/>
      <c r="P139" s="176"/>
      <c r="Q139" s="176"/>
      <c r="R139" s="176"/>
      <c r="S139" s="176"/>
      <c r="T139" s="176"/>
      <c r="U139" s="176"/>
      <c r="V139" s="176"/>
      <c r="W139" s="176"/>
      <c r="X139" s="176"/>
      <c r="Y139" s="176"/>
      <c r="Z139" s="176"/>
      <c r="AA139" s="176"/>
      <c r="AB139" s="176"/>
      <c r="AC139" s="176"/>
      <c r="AD139" s="176"/>
      <c r="AE139" s="176"/>
      <c r="AF139" s="176"/>
      <c r="AG139" s="176"/>
      <c r="AH139" s="176"/>
      <c r="AI139" s="176"/>
      <c r="AJ139" s="176"/>
      <c r="AK139" s="176"/>
      <c r="AL139" s="176"/>
      <c r="AM139" s="176"/>
      <c r="AN139" s="176"/>
      <c r="AO139" s="176"/>
      <c r="AP139" s="176"/>
      <c r="AQ139" s="176"/>
      <c r="AR139" s="176"/>
      <c r="AS139" s="176"/>
      <c r="AT139" s="176"/>
      <c r="AU139" s="176"/>
      <c r="AV139" s="176"/>
      <c r="AW139" s="176"/>
      <c r="AX139" s="176"/>
      <c r="AY139" s="176"/>
      <c r="AZ139" s="176"/>
      <c r="BA139" s="176"/>
      <c r="BB139" s="176"/>
    </row>
    <row r="140" ht="15.75" customHeight="1">
      <c r="A140" s="176"/>
      <c r="B140" s="176"/>
      <c r="C140" s="176"/>
      <c r="D140" s="176"/>
      <c r="E140" s="176"/>
      <c r="F140" s="176"/>
      <c r="G140" s="176"/>
      <c r="H140" s="176"/>
      <c r="I140" s="176"/>
      <c r="J140" s="176"/>
      <c r="K140" s="176"/>
      <c r="L140" s="176"/>
      <c r="M140" s="176"/>
      <c r="N140" s="176"/>
      <c r="O140" s="176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  <c r="AA140" s="176"/>
      <c r="AB140" s="176"/>
      <c r="AC140" s="176"/>
      <c r="AD140" s="176"/>
      <c r="AE140" s="176"/>
      <c r="AF140" s="176"/>
      <c r="AG140" s="176"/>
      <c r="AH140" s="176"/>
      <c r="AI140" s="176"/>
      <c r="AJ140" s="176"/>
      <c r="AK140" s="176"/>
      <c r="AL140" s="176"/>
      <c r="AM140" s="176"/>
      <c r="AN140" s="176"/>
      <c r="AO140" s="176"/>
      <c r="AP140" s="176"/>
      <c r="AQ140" s="176"/>
      <c r="AR140" s="176"/>
      <c r="AS140" s="176"/>
      <c r="AT140" s="176"/>
      <c r="AU140" s="176"/>
      <c r="AV140" s="176"/>
      <c r="AW140" s="176"/>
      <c r="AX140" s="176"/>
      <c r="AY140" s="176"/>
      <c r="AZ140" s="176"/>
      <c r="BA140" s="176"/>
      <c r="BB140" s="176"/>
    </row>
    <row r="141" ht="15.75" customHeight="1">
      <c r="A141" s="176"/>
      <c r="B141" s="176"/>
      <c r="C141" s="176"/>
      <c r="D141" s="176"/>
      <c r="E141" s="176"/>
      <c r="F141" s="176"/>
      <c r="G141" s="176"/>
      <c r="H141" s="176"/>
      <c r="I141" s="176"/>
      <c r="J141" s="176"/>
      <c r="K141" s="176"/>
      <c r="L141" s="176"/>
      <c r="M141" s="176"/>
      <c r="N141" s="176"/>
      <c r="O141" s="176"/>
      <c r="P141" s="176"/>
      <c r="Q141" s="176"/>
      <c r="R141" s="176"/>
      <c r="S141" s="176"/>
      <c r="T141" s="176"/>
      <c r="U141" s="176"/>
      <c r="V141" s="176"/>
      <c r="W141" s="176"/>
      <c r="X141" s="176"/>
      <c r="Y141" s="176"/>
      <c r="Z141" s="176"/>
      <c r="AA141" s="176"/>
      <c r="AB141" s="176"/>
      <c r="AC141" s="176"/>
      <c r="AD141" s="176"/>
      <c r="AE141" s="176"/>
      <c r="AF141" s="176"/>
      <c r="AG141" s="176"/>
      <c r="AH141" s="176"/>
      <c r="AI141" s="176"/>
      <c r="AJ141" s="176"/>
      <c r="AK141" s="176"/>
      <c r="AL141" s="176"/>
      <c r="AM141" s="176"/>
      <c r="AN141" s="176"/>
      <c r="AO141" s="176"/>
      <c r="AP141" s="176"/>
      <c r="AQ141" s="176"/>
      <c r="AR141" s="176"/>
      <c r="AS141" s="176"/>
      <c r="AT141" s="176"/>
      <c r="AU141" s="176"/>
      <c r="AV141" s="176"/>
      <c r="AW141" s="176"/>
      <c r="AX141" s="176"/>
      <c r="AY141" s="176"/>
      <c r="AZ141" s="176"/>
      <c r="BA141" s="176"/>
      <c r="BB141" s="176"/>
    </row>
    <row r="142" ht="15.75" customHeight="1">
      <c r="A142" s="176"/>
      <c r="B142" s="176"/>
      <c r="C142" s="176"/>
      <c r="D142" s="176"/>
      <c r="E142" s="176"/>
      <c r="F142" s="176"/>
      <c r="G142" s="176"/>
      <c r="H142" s="176"/>
      <c r="I142" s="176"/>
      <c r="J142" s="176"/>
      <c r="K142" s="176"/>
      <c r="L142" s="176"/>
      <c r="M142" s="176"/>
      <c r="N142" s="176"/>
      <c r="O142" s="176"/>
      <c r="P142" s="176"/>
      <c r="Q142" s="176"/>
      <c r="R142" s="176"/>
      <c r="S142" s="176"/>
      <c r="T142" s="176"/>
      <c r="U142" s="176"/>
      <c r="V142" s="176"/>
      <c r="W142" s="176"/>
      <c r="X142" s="176"/>
      <c r="Y142" s="176"/>
      <c r="Z142" s="176"/>
      <c r="AA142" s="176"/>
      <c r="AB142" s="176"/>
      <c r="AC142" s="176"/>
      <c r="AD142" s="176"/>
      <c r="AE142" s="176"/>
      <c r="AF142" s="176"/>
      <c r="AG142" s="176"/>
      <c r="AH142" s="176"/>
      <c r="AI142" s="176"/>
      <c r="AJ142" s="176"/>
      <c r="AK142" s="176"/>
      <c r="AL142" s="176"/>
      <c r="AM142" s="176"/>
      <c r="AN142" s="176"/>
      <c r="AO142" s="176"/>
      <c r="AP142" s="176"/>
      <c r="AQ142" s="176"/>
      <c r="AR142" s="176"/>
      <c r="AS142" s="176"/>
      <c r="AT142" s="176"/>
      <c r="AU142" s="176"/>
      <c r="AV142" s="176"/>
      <c r="AW142" s="176"/>
      <c r="AX142" s="176"/>
      <c r="AY142" s="176"/>
      <c r="AZ142" s="176"/>
      <c r="BA142" s="176"/>
      <c r="BB142" s="176"/>
    </row>
    <row r="143" ht="15.75" customHeight="1">
      <c r="A143" s="176"/>
      <c r="B143" s="176"/>
      <c r="C143" s="176"/>
      <c r="D143" s="176"/>
      <c r="E143" s="176"/>
      <c r="F143" s="176"/>
      <c r="G143" s="176"/>
      <c r="H143" s="176"/>
      <c r="I143" s="176"/>
      <c r="J143" s="176"/>
      <c r="K143" s="176"/>
      <c r="L143" s="176"/>
      <c r="M143" s="176"/>
      <c r="N143" s="176"/>
      <c r="O143" s="176"/>
      <c r="P143" s="176"/>
      <c r="Q143" s="176"/>
      <c r="R143" s="176"/>
      <c r="S143" s="176"/>
      <c r="T143" s="176"/>
      <c r="U143" s="176"/>
      <c r="V143" s="176"/>
      <c r="W143" s="176"/>
      <c r="X143" s="176"/>
      <c r="Y143" s="176"/>
      <c r="Z143" s="176"/>
      <c r="AA143" s="176"/>
      <c r="AB143" s="176"/>
      <c r="AC143" s="176"/>
      <c r="AD143" s="176"/>
      <c r="AE143" s="176"/>
      <c r="AF143" s="176"/>
      <c r="AG143" s="176"/>
      <c r="AH143" s="176"/>
      <c r="AI143" s="176"/>
      <c r="AJ143" s="176"/>
      <c r="AK143" s="176"/>
      <c r="AL143" s="176"/>
      <c r="AM143" s="176"/>
      <c r="AN143" s="176"/>
      <c r="AO143" s="176"/>
      <c r="AP143" s="176"/>
      <c r="AQ143" s="176"/>
      <c r="AR143" s="176"/>
      <c r="AS143" s="176"/>
      <c r="AT143" s="176"/>
      <c r="AU143" s="176"/>
      <c r="AV143" s="176"/>
      <c r="AW143" s="176"/>
      <c r="AX143" s="176"/>
      <c r="AY143" s="176"/>
      <c r="AZ143" s="176"/>
      <c r="BA143" s="176"/>
      <c r="BB143" s="176"/>
    </row>
    <row r="144" ht="15.75" customHeight="1">
      <c r="A144" s="176"/>
      <c r="B144" s="176"/>
      <c r="C144" s="176"/>
      <c r="D144" s="176"/>
      <c r="E144" s="176"/>
      <c r="F144" s="176"/>
      <c r="G144" s="176"/>
      <c r="H144" s="176"/>
      <c r="I144" s="176"/>
      <c r="J144" s="176"/>
      <c r="K144" s="176"/>
      <c r="L144" s="176"/>
      <c r="M144" s="176"/>
      <c r="N144" s="176"/>
      <c r="O144" s="176"/>
      <c r="P144" s="176"/>
      <c r="Q144" s="176"/>
      <c r="R144" s="176"/>
      <c r="S144" s="176"/>
      <c r="T144" s="176"/>
      <c r="U144" s="176"/>
      <c r="V144" s="176"/>
      <c r="W144" s="176"/>
      <c r="X144" s="176"/>
      <c r="Y144" s="176"/>
      <c r="Z144" s="176"/>
      <c r="AA144" s="176"/>
      <c r="AB144" s="176"/>
      <c r="AC144" s="176"/>
      <c r="AD144" s="176"/>
      <c r="AE144" s="176"/>
      <c r="AF144" s="176"/>
      <c r="AG144" s="176"/>
      <c r="AH144" s="176"/>
      <c r="AI144" s="176"/>
      <c r="AJ144" s="176"/>
      <c r="AK144" s="176"/>
      <c r="AL144" s="176"/>
      <c r="AM144" s="176"/>
      <c r="AN144" s="176"/>
      <c r="AO144" s="176"/>
      <c r="AP144" s="176"/>
      <c r="AQ144" s="176"/>
      <c r="AR144" s="176"/>
      <c r="AS144" s="176"/>
      <c r="AT144" s="176"/>
      <c r="AU144" s="176"/>
      <c r="AV144" s="176"/>
      <c r="AW144" s="176"/>
      <c r="AX144" s="176"/>
      <c r="AY144" s="176"/>
      <c r="AZ144" s="176"/>
      <c r="BA144" s="176"/>
      <c r="BB144" s="176"/>
    </row>
    <row r="145" ht="15.75" customHeight="1">
      <c r="A145" s="176"/>
      <c r="B145" s="176"/>
      <c r="C145" s="176"/>
      <c r="D145" s="176"/>
      <c r="E145" s="176"/>
      <c r="F145" s="176"/>
      <c r="G145" s="176"/>
      <c r="H145" s="176"/>
      <c r="I145" s="176"/>
      <c r="J145" s="176"/>
      <c r="K145" s="176"/>
      <c r="L145" s="176"/>
      <c r="M145" s="176"/>
      <c r="N145" s="176"/>
      <c r="O145" s="176"/>
      <c r="P145" s="176"/>
      <c r="Q145" s="176"/>
      <c r="R145" s="176"/>
      <c r="S145" s="176"/>
      <c r="T145" s="176"/>
      <c r="U145" s="176"/>
      <c r="V145" s="176"/>
      <c r="W145" s="176"/>
      <c r="X145" s="176"/>
      <c r="Y145" s="176"/>
      <c r="Z145" s="176"/>
      <c r="AA145" s="176"/>
      <c r="AB145" s="176"/>
      <c r="AC145" s="176"/>
      <c r="AD145" s="176"/>
      <c r="AE145" s="176"/>
      <c r="AF145" s="176"/>
      <c r="AG145" s="176"/>
      <c r="AH145" s="176"/>
      <c r="AI145" s="176"/>
      <c r="AJ145" s="176"/>
      <c r="AK145" s="176"/>
      <c r="AL145" s="176"/>
      <c r="AM145" s="176"/>
      <c r="AN145" s="176"/>
      <c r="AO145" s="176"/>
      <c r="AP145" s="176"/>
      <c r="AQ145" s="176"/>
      <c r="AR145" s="176"/>
      <c r="AS145" s="176"/>
      <c r="AT145" s="176"/>
      <c r="AU145" s="176"/>
      <c r="AV145" s="176"/>
      <c r="AW145" s="176"/>
      <c r="AX145" s="176"/>
      <c r="AY145" s="176"/>
      <c r="AZ145" s="176"/>
      <c r="BA145" s="176"/>
      <c r="BB145" s="176"/>
    </row>
    <row r="146" ht="15.75" customHeight="1">
      <c r="A146" s="176"/>
      <c r="B146" s="176"/>
      <c r="C146" s="176"/>
      <c r="D146" s="176"/>
      <c r="E146" s="176"/>
      <c r="F146" s="176"/>
      <c r="G146" s="176"/>
      <c r="H146" s="176"/>
      <c r="I146" s="176"/>
      <c r="J146" s="176"/>
      <c r="K146" s="176"/>
      <c r="L146" s="176"/>
      <c r="M146" s="176"/>
      <c r="N146" s="176"/>
      <c r="O146" s="176"/>
      <c r="P146" s="176"/>
      <c r="Q146" s="176"/>
      <c r="R146" s="176"/>
      <c r="S146" s="176"/>
      <c r="T146" s="176"/>
      <c r="U146" s="176"/>
      <c r="V146" s="176"/>
      <c r="W146" s="176"/>
      <c r="X146" s="176"/>
      <c r="Y146" s="176"/>
      <c r="Z146" s="176"/>
      <c r="AA146" s="176"/>
      <c r="AB146" s="176"/>
      <c r="AC146" s="176"/>
      <c r="AD146" s="176"/>
      <c r="AE146" s="176"/>
      <c r="AF146" s="176"/>
      <c r="AG146" s="176"/>
      <c r="AH146" s="176"/>
      <c r="AI146" s="176"/>
      <c r="AJ146" s="176"/>
      <c r="AK146" s="176"/>
      <c r="AL146" s="176"/>
      <c r="AM146" s="176"/>
      <c r="AN146" s="176"/>
      <c r="AO146" s="176"/>
      <c r="AP146" s="176"/>
      <c r="AQ146" s="176"/>
      <c r="AR146" s="176"/>
      <c r="AS146" s="176"/>
      <c r="AT146" s="176"/>
      <c r="AU146" s="176"/>
      <c r="AV146" s="176"/>
      <c r="AW146" s="176"/>
      <c r="AX146" s="176"/>
      <c r="AY146" s="176"/>
      <c r="AZ146" s="176"/>
      <c r="BA146" s="176"/>
      <c r="BB146" s="176"/>
    </row>
    <row r="147" ht="15.75" customHeight="1">
      <c r="A147" s="176"/>
      <c r="B147" s="176"/>
      <c r="C147" s="176"/>
      <c r="D147" s="176"/>
      <c r="E147" s="176"/>
      <c r="F147" s="176"/>
      <c r="G147" s="176"/>
      <c r="H147" s="176"/>
      <c r="I147" s="176"/>
      <c r="J147" s="176"/>
      <c r="K147" s="176"/>
      <c r="L147" s="176"/>
      <c r="M147" s="176"/>
      <c r="N147" s="176"/>
      <c r="O147" s="176"/>
      <c r="P147" s="176"/>
      <c r="Q147" s="176"/>
      <c r="R147" s="176"/>
      <c r="S147" s="176"/>
      <c r="T147" s="176"/>
      <c r="U147" s="176"/>
      <c r="V147" s="176"/>
      <c r="W147" s="176"/>
      <c r="X147" s="176"/>
      <c r="Y147" s="176"/>
      <c r="Z147" s="176"/>
      <c r="AA147" s="176"/>
      <c r="AB147" s="176"/>
      <c r="AC147" s="176"/>
      <c r="AD147" s="176"/>
      <c r="AE147" s="176"/>
      <c r="AF147" s="176"/>
      <c r="AG147" s="176"/>
      <c r="AH147" s="176"/>
      <c r="AI147" s="176"/>
      <c r="AJ147" s="176"/>
      <c r="AK147" s="176"/>
      <c r="AL147" s="176"/>
      <c r="AM147" s="176"/>
      <c r="AN147" s="176"/>
      <c r="AO147" s="176"/>
      <c r="AP147" s="176"/>
      <c r="AQ147" s="176"/>
      <c r="AR147" s="176"/>
      <c r="AS147" s="176"/>
      <c r="AT147" s="176"/>
      <c r="AU147" s="176"/>
      <c r="AV147" s="176"/>
      <c r="AW147" s="176"/>
      <c r="AX147" s="176"/>
      <c r="AY147" s="176"/>
      <c r="AZ147" s="176"/>
      <c r="BA147" s="176"/>
      <c r="BB147" s="176"/>
    </row>
    <row r="148" ht="15.75" customHeight="1">
      <c r="A148" s="176"/>
      <c r="B148" s="176"/>
      <c r="C148" s="176"/>
      <c r="D148" s="176"/>
      <c r="E148" s="176"/>
      <c r="F148" s="176"/>
      <c r="G148" s="176"/>
      <c r="H148" s="176"/>
      <c r="I148" s="176"/>
      <c r="J148" s="176"/>
      <c r="K148" s="176"/>
      <c r="L148" s="176"/>
      <c r="M148" s="176"/>
      <c r="N148" s="176"/>
      <c r="O148" s="176"/>
      <c r="P148" s="176"/>
      <c r="Q148" s="176"/>
      <c r="R148" s="176"/>
      <c r="S148" s="176"/>
      <c r="T148" s="176"/>
      <c r="U148" s="176"/>
      <c r="V148" s="176"/>
      <c r="W148" s="176"/>
      <c r="X148" s="176"/>
      <c r="Y148" s="176"/>
      <c r="Z148" s="176"/>
      <c r="AA148" s="176"/>
      <c r="AB148" s="176"/>
      <c r="AC148" s="176"/>
      <c r="AD148" s="176"/>
      <c r="AE148" s="176"/>
      <c r="AF148" s="176"/>
      <c r="AG148" s="176"/>
      <c r="AH148" s="176"/>
      <c r="AI148" s="176"/>
      <c r="AJ148" s="176"/>
      <c r="AK148" s="176"/>
      <c r="AL148" s="176"/>
      <c r="AM148" s="176"/>
      <c r="AN148" s="176"/>
      <c r="AO148" s="176"/>
      <c r="AP148" s="176"/>
      <c r="AQ148" s="176"/>
      <c r="AR148" s="176"/>
      <c r="AS148" s="176"/>
      <c r="AT148" s="176"/>
      <c r="AU148" s="176"/>
      <c r="AV148" s="176"/>
      <c r="AW148" s="176"/>
      <c r="AX148" s="176"/>
      <c r="AY148" s="176"/>
      <c r="AZ148" s="176"/>
      <c r="BA148" s="176"/>
      <c r="BB148" s="176"/>
    </row>
    <row r="149" ht="15.75" customHeight="1">
      <c r="A149" s="176"/>
      <c r="B149" s="176"/>
      <c r="C149" s="176"/>
      <c r="D149" s="176"/>
      <c r="E149" s="176"/>
      <c r="F149" s="176"/>
      <c r="G149" s="176"/>
      <c r="H149" s="176"/>
      <c r="I149" s="176"/>
      <c r="J149" s="176"/>
      <c r="K149" s="176"/>
      <c r="L149" s="176"/>
      <c r="M149" s="176"/>
      <c r="N149" s="176"/>
      <c r="O149" s="176"/>
      <c r="P149" s="176"/>
      <c r="Q149" s="176"/>
      <c r="R149" s="176"/>
      <c r="S149" s="176"/>
      <c r="T149" s="176"/>
      <c r="U149" s="176"/>
      <c r="V149" s="176"/>
      <c r="W149" s="176"/>
      <c r="X149" s="176"/>
      <c r="Y149" s="176"/>
      <c r="Z149" s="176"/>
      <c r="AA149" s="176"/>
      <c r="AB149" s="176"/>
      <c r="AC149" s="176"/>
      <c r="AD149" s="176"/>
      <c r="AE149" s="176"/>
      <c r="AF149" s="176"/>
      <c r="AG149" s="176"/>
      <c r="AH149" s="176"/>
      <c r="AI149" s="176"/>
      <c r="AJ149" s="176"/>
      <c r="AK149" s="176"/>
      <c r="AL149" s="176"/>
      <c r="AM149" s="176"/>
      <c r="AN149" s="176"/>
      <c r="AO149" s="176"/>
      <c r="AP149" s="176"/>
      <c r="AQ149" s="176"/>
      <c r="AR149" s="176"/>
      <c r="AS149" s="176"/>
      <c r="AT149" s="176"/>
      <c r="AU149" s="176"/>
      <c r="AV149" s="176"/>
      <c r="AW149" s="176"/>
      <c r="AX149" s="176"/>
      <c r="AY149" s="176"/>
      <c r="AZ149" s="176"/>
      <c r="BA149" s="176"/>
      <c r="BB149" s="176"/>
    </row>
    <row r="150" ht="15.75" customHeight="1">
      <c r="A150" s="176"/>
      <c r="B150" s="176"/>
      <c r="C150" s="176"/>
      <c r="D150" s="176"/>
      <c r="E150" s="176"/>
      <c r="F150" s="176"/>
      <c r="G150" s="176"/>
      <c r="H150" s="176"/>
      <c r="I150" s="176"/>
      <c r="J150" s="176"/>
      <c r="K150" s="176"/>
      <c r="L150" s="176"/>
      <c r="M150" s="176"/>
      <c r="N150" s="176"/>
      <c r="O150" s="176"/>
      <c r="P150" s="176"/>
      <c r="Q150" s="176"/>
      <c r="R150" s="176"/>
      <c r="S150" s="176"/>
      <c r="T150" s="176"/>
      <c r="U150" s="176"/>
      <c r="V150" s="176"/>
      <c r="W150" s="176"/>
      <c r="X150" s="176"/>
      <c r="Y150" s="176"/>
      <c r="Z150" s="176"/>
      <c r="AA150" s="176"/>
      <c r="AB150" s="176"/>
      <c r="AC150" s="176"/>
      <c r="AD150" s="176"/>
      <c r="AE150" s="176"/>
      <c r="AF150" s="176"/>
      <c r="AG150" s="176"/>
      <c r="AH150" s="176"/>
      <c r="AI150" s="176"/>
      <c r="AJ150" s="176"/>
      <c r="AK150" s="176"/>
      <c r="AL150" s="176"/>
      <c r="AM150" s="176"/>
      <c r="AN150" s="176"/>
      <c r="AO150" s="176"/>
      <c r="AP150" s="176"/>
      <c r="AQ150" s="176"/>
      <c r="AR150" s="176"/>
      <c r="AS150" s="176"/>
      <c r="AT150" s="176"/>
      <c r="AU150" s="176"/>
      <c r="AV150" s="176"/>
      <c r="AW150" s="176"/>
      <c r="AX150" s="176"/>
      <c r="AY150" s="176"/>
      <c r="AZ150" s="176"/>
      <c r="BA150" s="176"/>
      <c r="BB150" s="176"/>
    </row>
    <row r="151" ht="15.75" customHeight="1">
      <c r="A151" s="176"/>
      <c r="B151" s="176"/>
      <c r="C151" s="176"/>
      <c r="D151" s="176"/>
      <c r="E151" s="176"/>
      <c r="F151" s="176"/>
      <c r="G151" s="176"/>
      <c r="H151" s="176"/>
      <c r="I151" s="176"/>
      <c r="J151" s="176"/>
      <c r="K151" s="176"/>
      <c r="L151" s="176"/>
      <c r="M151" s="176"/>
      <c r="N151" s="176"/>
      <c r="O151" s="176"/>
      <c r="P151" s="176"/>
      <c r="Q151" s="176"/>
      <c r="R151" s="176"/>
      <c r="S151" s="176"/>
      <c r="T151" s="176"/>
      <c r="U151" s="176"/>
      <c r="V151" s="176"/>
      <c r="W151" s="176"/>
      <c r="X151" s="176"/>
      <c r="Y151" s="176"/>
      <c r="Z151" s="176"/>
      <c r="AA151" s="176"/>
      <c r="AB151" s="176"/>
      <c r="AC151" s="176"/>
      <c r="AD151" s="176"/>
      <c r="AE151" s="176"/>
      <c r="AF151" s="176"/>
      <c r="AG151" s="176"/>
      <c r="AH151" s="176"/>
      <c r="AI151" s="176"/>
      <c r="AJ151" s="176"/>
      <c r="AK151" s="176"/>
      <c r="AL151" s="176"/>
      <c r="AM151" s="176"/>
      <c r="AN151" s="176"/>
      <c r="AO151" s="176"/>
      <c r="AP151" s="176"/>
      <c r="AQ151" s="176"/>
      <c r="AR151" s="176"/>
      <c r="AS151" s="176"/>
      <c r="AT151" s="176"/>
      <c r="AU151" s="176"/>
      <c r="AV151" s="176"/>
      <c r="AW151" s="176"/>
      <c r="AX151" s="176"/>
      <c r="AY151" s="176"/>
      <c r="AZ151" s="176"/>
      <c r="BA151" s="176"/>
      <c r="BB151" s="176"/>
    </row>
    <row r="152" ht="15.75" customHeight="1">
      <c r="A152" s="176"/>
      <c r="B152" s="176"/>
      <c r="C152" s="176"/>
      <c r="D152" s="176"/>
      <c r="E152" s="176"/>
      <c r="F152" s="176"/>
      <c r="G152" s="176"/>
      <c r="H152" s="176"/>
      <c r="I152" s="176"/>
      <c r="J152" s="176"/>
      <c r="K152" s="176"/>
      <c r="L152" s="176"/>
      <c r="M152" s="176"/>
      <c r="N152" s="176"/>
      <c r="O152" s="176"/>
      <c r="P152" s="176"/>
      <c r="Q152" s="176"/>
      <c r="R152" s="176"/>
      <c r="S152" s="176"/>
      <c r="T152" s="176"/>
      <c r="U152" s="176"/>
      <c r="V152" s="176"/>
      <c r="W152" s="176"/>
      <c r="X152" s="176"/>
      <c r="Y152" s="176"/>
      <c r="Z152" s="176"/>
      <c r="AA152" s="176"/>
      <c r="AB152" s="176"/>
      <c r="AC152" s="176"/>
      <c r="AD152" s="176"/>
      <c r="AE152" s="176"/>
      <c r="AF152" s="176"/>
      <c r="AG152" s="176"/>
      <c r="AH152" s="176"/>
      <c r="AI152" s="176"/>
      <c r="AJ152" s="176"/>
      <c r="AK152" s="176"/>
      <c r="AL152" s="176"/>
      <c r="AM152" s="176"/>
      <c r="AN152" s="176"/>
      <c r="AO152" s="176"/>
      <c r="AP152" s="176"/>
      <c r="AQ152" s="176"/>
      <c r="AR152" s="176"/>
      <c r="AS152" s="176"/>
      <c r="AT152" s="176"/>
      <c r="AU152" s="176"/>
      <c r="AV152" s="176"/>
      <c r="AW152" s="176"/>
      <c r="AX152" s="176"/>
      <c r="AY152" s="176"/>
      <c r="AZ152" s="176"/>
      <c r="BA152" s="176"/>
      <c r="BB152" s="176"/>
    </row>
    <row r="153" ht="15.75" customHeight="1">
      <c r="A153" s="176"/>
      <c r="B153" s="176"/>
      <c r="C153" s="176"/>
      <c r="D153" s="176"/>
      <c r="E153" s="176"/>
      <c r="F153" s="176"/>
      <c r="G153" s="176"/>
      <c r="H153" s="176"/>
      <c r="I153" s="176"/>
      <c r="J153" s="176"/>
      <c r="K153" s="176"/>
      <c r="L153" s="176"/>
      <c r="M153" s="176"/>
      <c r="N153" s="176"/>
      <c r="O153" s="176"/>
      <c r="P153" s="176"/>
      <c r="Q153" s="176"/>
      <c r="R153" s="176"/>
      <c r="S153" s="176"/>
      <c r="T153" s="176"/>
      <c r="U153" s="176"/>
      <c r="V153" s="176"/>
      <c r="W153" s="176"/>
      <c r="X153" s="176"/>
      <c r="Y153" s="176"/>
      <c r="Z153" s="176"/>
      <c r="AA153" s="176"/>
      <c r="AB153" s="176"/>
      <c r="AC153" s="176"/>
      <c r="AD153" s="176"/>
      <c r="AE153" s="176"/>
      <c r="AF153" s="176"/>
      <c r="AG153" s="176"/>
      <c r="AH153" s="176"/>
      <c r="AI153" s="176"/>
      <c r="AJ153" s="176"/>
      <c r="AK153" s="176"/>
      <c r="AL153" s="176"/>
      <c r="AM153" s="176"/>
      <c r="AN153" s="176"/>
      <c r="AO153" s="176"/>
      <c r="AP153" s="176"/>
      <c r="AQ153" s="176"/>
      <c r="AR153" s="176"/>
      <c r="AS153" s="176"/>
      <c r="AT153" s="176"/>
      <c r="AU153" s="176"/>
      <c r="AV153" s="176"/>
      <c r="AW153" s="176"/>
      <c r="AX153" s="176"/>
      <c r="AY153" s="176"/>
      <c r="AZ153" s="176"/>
      <c r="BA153" s="176"/>
      <c r="BB153" s="176"/>
    </row>
    <row r="154" ht="15.75" customHeight="1">
      <c r="A154" s="176"/>
      <c r="B154" s="176"/>
      <c r="C154" s="176"/>
      <c r="D154" s="176"/>
      <c r="E154" s="176"/>
      <c r="F154" s="176"/>
      <c r="G154" s="176"/>
      <c r="H154" s="176"/>
      <c r="I154" s="176"/>
      <c r="J154" s="176"/>
      <c r="K154" s="176"/>
      <c r="L154" s="176"/>
      <c r="M154" s="176"/>
      <c r="N154" s="176"/>
      <c r="O154" s="176"/>
      <c r="P154" s="176"/>
      <c r="Q154" s="176"/>
      <c r="R154" s="176"/>
      <c r="S154" s="176"/>
      <c r="T154" s="176"/>
      <c r="U154" s="176"/>
      <c r="V154" s="176"/>
      <c r="W154" s="176"/>
      <c r="X154" s="176"/>
      <c r="Y154" s="176"/>
      <c r="Z154" s="176"/>
      <c r="AA154" s="176"/>
      <c r="AB154" s="176"/>
      <c r="AC154" s="176"/>
      <c r="AD154" s="176"/>
      <c r="AE154" s="176"/>
      <c r="AF154" s="176"/>
      <c r="AG154" s="176"/>
      <c r="AH154" s="176"/>
      <c r="AI154" s="176"/>
      <c r="AJ154" s="176"/>
      <c r="AK154" s="176"/>
      <c r="AL154" s="176"/>
      <c r="AM154" s="176"/>
      <c r="AN154" s="176"/>
      <c r="AO154" s="176"/>
      <c r="AP154" s="176"/>
      <c r="AQ154" s="176"/>
      <c r="AR154" s="176"/>
      <c r="AS154" s="176"/>
      <c r="AT154" s="176"/>
      <c r="AU154" s="176"/>
      <c r="AV154" s="176"/>
      <c r="AW154" s="176"/>
      <c r="AX154" s="176"/>
      <c r="AY154" s="176"/>
      <c r="AZ154" s="176"/>
      <c r="BA154" s="176"/>
      <c r="BB154" s="176"/>
    </row>
    <row r="155" ht="15.75" customHeight="1">
      <c r="A155" s="176"/>
      <c r="B155" s="176"/>
      <c r="C155" s="176"/>
      <c r="D155" s="176"/>
      <c r="E155" s="176"/>
      <c r="F155" s="176"/>
      <c r="G155" s="176"/>
      <c r="H155" s="176"/>
      <c r="I155" s="176"/>
      <c r="J155" s="176"/>
      <c r="K155" s="176"/>
      <c r="L155" s="176"/>
      <c r="M155" s="176"/>
      <c r="N155" s="176"/>
      <c r="O155" s="176"/>
      <c r="P155" s="176"/>
      <c r="Q155" s="176"/>
      <c r="R155" s="176"/>
      <c r="S155" s="176"/>
      <c r="T155" s="176"/>
      <c r="U155" s="176"/>
      <c r="V155" s="176"/>
      <c r="W155" s="176"/>
      <c r="X155" s="176"/>
      <c r="Y155" s="176"/>
      <c r="Z155" s="176"/>
      <c r="AA155" s="176"/>
      <c r="AB155" s="176"/>
      <c r="AC155" s="176"/>
      <c r="AD155" s="176"/>
      <c r="AE155" s="176"/>
      <c r="AF155" s="176"/>
      <c r="AG155" s="176"/>
      <c r="AH155" s="176"/>
      <c r="AI155" s="176"/>
      <c r="AJ155" s="176"/>
      <c r="AK155" s="176"/>
      <c r="AL155" s="176"/>
      <c r="AM155" s="176"/>
      <c r="AN155" s="176"/>
      <c r="AO155" s="176"/>
      <c r="AP155" s="176"/>
      <c r="AQ155" s="176"/>
      <c r="AR155" s="176"/>
      <c r="AS155" s="176"/>
      <c r="AT155" s="176"/>
      <c r="AU155" s="176"/>
      <c r="AV155" s="176"/>
      <c r="AW155" s="176"/>
      <c r="AX155" s="176"/>
      <c r="AY155" s="176"/>
      <c r="AZ155" s="176"/>
      <c r="BA155" s="176"/>
      <c r="BB155" s="176"/>
    </row>
    <row r="156" ht="15.75" customHeight="1">
      <c r="A156" s="176"/>
      <c r="B156" s="176"/>
      <c r="C156" s="176"/>
      <c r="D156" s="176"/>
      <c r="E156" s="176"/>
      <c r="F156" s="176"/>
      <c r="G156" s="176"/>
      <c r="H156" s="176"/>
      <c r="I156" s="176"/>
      <c r="J156" s="176"/>
      <c r="K156" s="176"/>
      <c r="L156" s="176"/>
      <c r="M156" s="176"/>
      <c r="N156" s="176"/>
      <c r="O156" s="176"/>
      <c r="P156" s="176"/>
      <c r="Q156" s="176"/>
      <c r="R156" s="176"/>
      <c r="S156" s="176"/>
      <c r="T156" s="176"/>
      <c r="U156" s="176"/>
      <c r="V156" s="176"/>
      <c r="W156" s="176"/>
      <c r="X156" s="176"/>
      <c r="Y156" s="176"/>
      <c r="Z156" s="176"/>
      <c r="AA156" s="176"/>
      <c r="AB156" s="176"/>
      <c r="AC156" s="176"/>
      <c r="AD156" s="176"/>
      <c r="AE156" s="176"/>
      <c r="AF156" s="176"/>
      <c r="AG156" s="176"/>
      <c r="AH156" s="176"/>
      <c r="AI156" s="176"/>
      <c r="AJ156" s="176"/>
      <c r="AK156" s="176"/>
      <c r="AL156" s="176"/>
      <c r="AM156" s="176"/>
      <c r="AN156" s="176"/>
      <c r="AO156" s="176"/>
      <c r="AP156" s="176"/>
      <c r="AQ156" s="176"/>
      <c r="AR156" s="176"/>
      <c r="AS156" s="176"/>
      <c r="AT156" s="176"/>
      <c r="AU156" s="176"/>
      <c r="AV156" s="176"/>
      <c r="AW156" s="176"/>
      <c r="AX156" s="176"/>
      <c r="AY156" s="176"/>
      <c r="AZ156" s="176"/>
      <c r="BA156" s="176"/>
      <c r="BB156" s="176"/>
    </row>
    <row r="157" ht="15.75" customHeight="1">
      <c r="A157" s="176"/>
      <c r="B157" s="176"/>
      <c r="C157" s="176"/>
      <c r="D157" s="176"/>
      <c r="E157" s="176"/>
      <c r="F157" s="176"/>
      <c r="G157" s="176"/>
      <c r="H157" s="176"/>
      <c r="I157" s="176"/>
      <c r="J157" s="176"/>
      <c r="K157" s="176"/>
      <c r="L157" s="176"/>
      <c r="M157" s="176"/>
      <c r="N157" s="176"/>
      <c r="O157" s="176"/>
      <c r="P157" s="176"/>
      <c r="Q157" s="176"/>
      <c r="R157" s="176"/>
      <c r="S157" s="176"/>
      <c r="T157" s="176"/>
      <c r="U157" s="176"/>
      <c r="V157" s="176"/>
      <c r="W157" s="176"/>
      <c r="X157" s="176"/>
      <c r="Y157" s="176"/>
      <c r="Z157" s="176"/>
      <c r="AA157" s="176"/>
      <c r="AB157" s="176"/>
      <c r="AC157" s="176"/>
      <c r="AD157" s="176"/>
      <c r="AE157" s="176"/>
      <c r="AF157" s="176"/>
      <c r="AG157" s="176"/>
      <c r="AH157" s="176"/>
      <c r="AI157" s="176"/>
      <c r="AJ157" s="176"/>
      <c r="AK157" s="176"/>
      <c r="AL157" s="176"/>
      <c r="AM157" s="176"/>
      <c r="AN157" s="176"/>
      <c r="AO157" s="176"/>
      <c r="AP157" s="176"/>
      <c r="AQ157" s="176"/>
      <c r="AR157" s="176"/>
      <c r="AS157" s="176"/>
      <c r="AT157" s="176"/>
      <c r="AU157" s="176"/>
      <c r="AV157" s="176"/>
      <c r="AW157" s="176"/>
      <c r="AX157" s="176"/>
      <c r="AY157" s="176"/>
      <c r="AZ157" s="176"/>
      <c r="BA157" s="176"/>
      <c r="BB157" s="176"/>
    </row>
    <row r="158" ht="15.75" customHeight="1">
      <c r="A158" s="176"/>
      <c r="B158" s="176"/>
      <c r="C158" s="176"/>
      <c r="D158" s="176"/>
      <c r="E158" s="176"/>
      <c r="F158" s="176"/>
      <c r="G158" s="176"/>
      <c r="H158" s="176"/>
      <c r="I158" s="176"/>
      <c r="J158" s="176"/>
      <c r="K158" s="176"/>
      <c r="L158" s="176"/>
      <c r="M158" s="176"/>
      <c r="N158" s="176"/>
      <c r="O158" s="176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  <c r="AA158" s="176"/>
      <c r="AB158" s="176"/>
      <c r="AC158" s="176"/>
      <c r="AD158" s="176"/>
      <c r="AE158" s="176"/>
      <c r="AF158" s="176"/>
      <c r="AG158" s="176"/>
      <c r="AH158" s="176"/>
      <c r="AI158" s="176"/>
      <c r="AJ158" s="176"/>
      <c r="AK158" s="176"/>
      <c r="AL158" s="176"/>
      <c r="AM158" s="176"/>
      <c r="AN158" s="176"/>
      <c r="AO158" s="176"/>
      <c r="AP158" s="176"/>
      <c r="AQ158" s="176"/>
      <c r="AR158" s="176"/>
      <c r="AS158" s="176"/>
      <c r="AT158" s="176"/>
      <c r="AU158" s="176"/>
      <c r="AV158" s="176"/>
      <c r="AW158" s="176"/>
      <c r="AX158" s="176"/>
      <c r="AY158" s="176"/>
      <c r="AZ158" s="176"/>
      <c r="BA158" s="176"/>
      <c r="BB158" s="176"/>
    </row>
    <row r="159" ht="15.75" customHeight="1">
      <c r="A159" s="176"/>
      <c r="B159" s="176"/>
      <c r="C159" s="176"/>
      <c r="D159" s="176"/>
      <c r="E159" s="176"/>
      <c r="F159" s="176"/>
      <c r="G159" s="176"/>
      <c r="H159" s="176"/>
      <c r="I159" s="176"/>
      <c r="J159" s="176"/>
      <c r="K159" s="176"/>
      <c r="L159" s="176"/>
      <c r="M159" s="176"/>
      <c r="N159" s="176"/>
      <c r="O159" s="176"/>
      <c r="P159" s="176"/>
      <c r="Q159" s="176"/>
      <c r="R159" s="176"/>
      <c r="S159" s="176"/>
      <c r="T159" s="176"/>
      <c r="U159" s="176"/>
      <c r="V159" s="176"/>
      <c r="W159" s="176"/>
      <c r="X159" s="176"/>
      <c r="Y159" s="176"/>
      <c r="Z159" s="176"/>
      <c r="AA159" s="176"/>
      <c r="AB159" s="176"/>
      <c r="AC159" s="176"/>
      <c r="AD159" s="176"/>
      <c r="AE159" s="176"/>
      <c r="AF159" s="176"/>
      <c r="AG159" s="176"/>
      <c r="AH159" s="176"/>
      <c r="AI159" s="176"/>
      <c r="AJ159" s="176"/>
      <c r="AK159" s="176"/>
      <c r="AL159" s="176"/>
      <c r="AM159" s="176"/>
      <c r="AN159" s="176"/>
      <c r="AO159" s="176"/>
      <c r="AP159" s="176"/>
      <c r="AQ159" s="176"/>
      <c r="AR159" s="176"/>
      <c r="AS159" s="176"/>
      <c r="AT159" s="176"/>
      <c r="AU159" s="176"/>
      <c r="AV159" s="176"/>
      <c r="AW159" s="176"/>
      <c r="AX159" s="176"/>
      <c r="AY159" s="176"/>
      <c r="AZ159" s="176"/>
      <c r="BA159" s="176"/>
      <c r="BB159" s="176"/>
    </row>
    <row r="160" ht="15.75" customHeight="1">
      <c r="A160" s="176"/>
      <c r="B160" s="176"/>
      <c r="C160" s="176"/>
      <c r="D160" s="176"/>
      <c r="E160" s="176"/>
      <c r="F160" s="176"/>
      <c r="G160" s="176"/>
      <c r="H160" s="176"/>
      <c r="I160" s="176"/>
      <c r="J160" s="176"/>
      <c r="K160" s="176"/>
      <c r="L160" s="176"/>
      <c r="M160" s="176"/>
      <c r="N160" s="176"/>
      <c r="O160" s="176"/>
      <c r="P160" s="176"/>
      <c r="Q160" s="176"/>
      <c r="R160" s="176"/>
      <c r="S160" s="176"/>
      <c r="T160" s="176"/>
      <c r="U160" s="176"/>
      <c r="V160" s="176"/>
      <c r="W160" s="176"/>
      <c r="X160" s="176"/>
      <c r="Y160" s="176"/>
      <c r="Z160" s="176"/>
      <c r="AA160" s="176"/>
      <c r="AB160" s="176"/>
      <c r="AC160" s="176"/>
      <c r="AD160" s="176"/>
      <c r="AE160" s="176"/>
      <c r="AF160" s="176"/>
      <c r="AG160" s="176"/>
      <c r="AH160" s="176"/>
      <c r="AI160" s="176"/>
      <c r="AJ160" s="176"/>
      <c r="AK160" s="176"/>
      <c r="AL160" s="176"/>
      <c r="AM160" s="176"/>
      <c r="AN160" s="176"/>
      <c r="AO160" s="176"/>
      <c r="AP160" s="176"/>
      <c r="AQ160" s="176"/>
      <c r="AR160" s="176"/>
      <c r="AS160" s="176"/>
      <c r="AT160" s="176"/>
      <c r="AU160" s="176"/>
      <c r="AV160" s="176"/>
      <c r="AW160" s="176"/>
      <c r="AX160" s="176"/>
      <c r="AY160" s="176"/>
      <c r="AZ160" s="176"/>
      <c r="BA160" s="176"/>
      <c r="BB160" s="176"/>
    </row>
    <row r="161" ht="15.75" customHeight="1">
      <c r="A161" s="176"/>
      <c r="B161" s="176"/>
      <c r="C161" s="176"/>
      <c r="D161" s="176"/>
      <c r="E161" s="176"/>
      <c r="F161" s="176"/>
      <c r="G161" s="176"/>
      <c r="H161" s="176"/>
      <c r="I161" s="176"/>
      <c r="J161" s="176"/>
      <c r="K161" s="176"/>
      <c r="L161" s="176"/>
      <c r="M161" s="176"/>
      <c r="N161" s="176"/>
      <c r="O161" s="176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  <c r="AA161" s="176"/>
      <c r="AB161" s="176"/>
      <c r="AC161" s="176"/>
      <c r="AD161" s="176"/>
      <c r="AE161" s="176"/>
      <c r="AF161" s="176"/>
      <c r="AG161" s="176"/>
      <c r="AH161" s="176"/>
      <c r="AI161" s="176"/>
      <c r="AJ161" s="176"/>
      <c r="AK161" s="176"/>
      <c r="AL161" s="176"/>
      <c r="AM161" s="176"/>
      <c r="AN161" s="176"/>
      <c r="AO161" s="176"/>
      <c r="AP161" s="176"/>
      <c r="AQ161" s="176"/>
      <c r="AR161" s="176"/>
      <c r="AS161" s="176"/>
      <c r="AT161" s="176"/>
      <c r="AU161" s="176"/>
      <c r="AV161" s="176"/>
      <c r="AW161" s="176"/>
      <c r="AX161" s="176"/>
      <c r="AY161" s="176"/>
      <c r="AZ161" s="176"/>
      <c r="BA161" s="176"/>
      <c r="BB161" s="176"/>
    </row>
    <row r="162" ht="15.75" customHeight="1">
      <c r="A162" s="176"/>
      <c r="B162" s="176"/>
      <c r="C162" s="176"/>
      <c r="D162" s="176"/>
      <c r="E162" s="176"/>
      <c r="F162" s="176"/>
      <c r="G162" s="176"/>
      <c r="H162" s="176"/>
      <c r="I162" s="176"/>
      <c r="J162" s="176"/>
      <c r="K162" s="176"/>
      <c r="L162" s="176"/>
      <c r="M162" s="176"/>
      <c r="N162" s="176"/>
      <c r="O162" s="176"/>
      <c r="P162" s="176"/>
      <c r="Q162" s="176"/>
      <c r="R162" s="176"/>
      <c r="S162" s="176"/>
      <c r="T162" s="176"/>
      <c r="U162" s="176"/>
      <c r="V162" s="176"/>
      <c r="W162" s="176"/>
      <c r="X162" s="176"/>
      <c r="Y162" s="176"/>
      <c r="Z162" s="176"/>
      <c r="AA162" s="176"/>
      <c r="AB162" s="176"/>
      <c r="AC162" s="176"/>
      <c r="AD162" s="176"/>
      <c r="AE162" s="176"/>
      <c r="AF162" s="176"/>
      <c r="AG162" s="176"/>
      <c r="AH162" s="176"/>
      <c r="AI162" s="176"/>
      <c r="AJ162" s="176"/>
      <c r="AK162" s="176"/>
      <c r="AL162" s="176"/>
      <c r="AM162" s="176"/>
      <c r="AN162" s="176"/>
      <c r="AO162" s="176"/>
      <c r="AP162" s="176"/>
      <c r="AQ162" s="176"/>
      <c r="AR162" s="176"/>
      <c r="AS162" s="176"/>
      <c r="AT162" s="176"/>
      <c r="AU162" s="176"/>
      <c r="AV162" s="176"/>
      <c r="AW162" s="176"/>
      <c r="AX162" s="176"/>
      <c r="AY162" s="176"/>
      <c r="AZ162" s="176"/>
      <c r="BA162" s="176"/>
      <c r="BB162" s="176"/>
    </row>
    <row r="163" ht="15.75" customHeight="1">
      <c r="A163" s="176"/>
      <c r="B163" s="176"/>
      <c r="C163" s="176"/>
      <c r="D163" s="176"/>
      <c r="E163" s="176"/>
      <c r="F163" s="176"/>
      <c r="G163" s="176"/>
      <c r="H163" s="176"/>
      <c r="I163" s="176"/>
      <c r="J163" s="176"/>
      <c r="K163" s="176"/>
      <c r="L163" s="176"/>
      <c r="M163" s="176"/>
      <c r="N163" s="176"/>
      <c r="O163" s="176"/>
      <c r="P163" s="176"/>
      <c r="Q163" s="176"/>
      <c r="R163" s="176"/>
      <c r="S163" s="176"/>
      <c r="T163" s="176"/>
      <c r="U163" s="176"/>
      <c r="V163" s="176"/>
      <c r="W163" s="176"/>
      <c r="X163" s="176"/>
      <c r="Y163" s="176"/>
      <c r="Z163" s="176"/>
      <c r="AA163" s="176"/>
      <c r="AB163" s="176"/>
      <c r="AC163" s="176"/>
      <c r="AD163" s="176"/>
      <c r="AE163" s="176"/>
      <c r="AF163" s="176"/>
      <c r="AG163" s="176"/>
      <c r="AH163" s="176"/>
      <c r="AI163" s="176"/>
      <c r="AJ163" s="176"/>
      <c r="AK163" s="176"/>
      <c r="AL163" s="176"/>
      <c r="AM163" s="176"/>
      <c r="AN163" s="176"/>
      <c r="AO163" s="176"/>
      <c r="AP163" s="176"/>
      <c r="AQ163" s="176"/>
      <c r="AR163" s="176"/>
      <c r="AS163" s="176"/>
      <c r="AT163" s="176"/>
      <c r="AU163" s="176"/>
      <c r="AV163" s="176"/>
      <c r="AW163" s="176"/>
      <c r="AX163" s="176"/>
      <c r="AY163" s="176"/>
      <c r="AZ163" s="176"/>
      <c r="BA163" s="176"/>
      <c r="BB163" s="176"/>
    </row>
    <row r="164" ht="15.75" customHeight="1">
      <c r="A164" s="176"/>
      <c r="B164" s="176"/>
      <c r="C164" s="176"/>
      <c r="D164" s="176"/>
      <c r="E164" s="176"/>
      <c r="F164" s="176"/>
      <c r="G164" s="176"/>
      <c r="H164" s="176"/>
      <c r="I164" s="176"/>
      <c r="J164" s="176"/>
      <c r="K164" s="176"/>
      <c r="L164" s="176"/>
      <c r="M164" s="176"/>
      <c r="N164" s="176"/>
      <c r="O164" s="176"/>
      <c r="P164" s="176"/>
      <c r="Q164" s="176"/>
      <c r="R164" s="176"/>
      <c r="S164" s="176"/>
      <c r="T164" s="176"/>
      <c r="U164" s="176"/>
      <c r="V164" s="176"/>
      <c r="W164" s="176"/>
      <c r="X164" s="176"/>
      <c r="Y164" s="176"/>
      <c r="Z164" s="176"/>
      <c r="AA164" s="176"/>
      <c r="AB164" s="176"/>
      <c r="AC164" s="176"/>
      <c r="AD164" s="176"/>
      <c r="AE164" s="176"/>
      <c r="AF164" s="176"/>
      <c r="AG164" s="176"/>
      <c r="AH164" s="176"/>
      <c r="AI164" s="176"/>
      <c r="AJ164" s="176"/>
      <c r="AK164" s="176"/>
      <c r="AL164" s="176"/>
      <c r="AM164" s="176"/>
      <c r="AN164" s="176"/>
      <c r="AO164" s="176"/>
      <c r="AP164" s="176"/>
      <c r="AQ164" s="176"/>
      <c r="AR164" s="176"/>
      <c r="AS164" s="176"/>
      <c r="AT164" s="176"/>
      <c r="AU164" s="176"/>
      <c r="AV164" s="176"/>
      <c r="AW164" s="176"/>
      <c r="AX164" s="176"/>
      <c r="AY164" s="176"/>
      <c r="AZ164" s="176"/>
      <c r="BA164" s="176"/>
      <c r="BB164" s="176"/>
    </row>
    <row r="165" ht="15.75" customHeight="1">
      <c r="A165" s="176"/>
      <c r="B165" s="176"/>
      <c r="C165" s="176"/>
      <c r="D165" s="176"/>
      <c r="E165" s="176"/>
      <c r="F165" s="176"/>
      <c r="G165" s="176"/>
      <c r="H165" s="176"/>
      <c r="I165" s="176"/>
      <c r="J165" s="176"/>
      <c r="K165" s="176"/>
      <c r="L165" s="176"/>
      <c r="M165" s="176"/>
      <c r="N165" s="176"/>
      <c r="O165" s="176"/>
      <c r="P165" s="176"/>
      <c r="Q165" s="176"/>
      <c r="R165" s="176"/>
      <c r="S165" s="176"/>
      <c r="T165" s="176"/>
      <c r="U165" s="176"/>
      <c r="V165" s="176"/>
      <c r="W165" s="176"/>
      <c r="X165" s="176"/>
      <c r="Y165" s="176"/>
      <c r="Z165" s="176"/>
      <c r="AA165" s="176"/>
      <c r="AB165" s="176"/>
      <c r="AC165" s="176"/>
      <c r="AD165" s="176"/>
      <c r="AE165" s="176"/>
      <c r="AF165" s="176"/>
      <c r="AG165" s="176"/>
      <c r="AH165" s="176"/>
      <c r="AI165" s="176"/>
      <c r="AJ165" s="176"/>
      <c r="AK165" s="176"/>
      <c r="AL165" s="176"/>
      <c r="AM165" s="176"/>
      <c r="AN165" s="176"/>
      <c r="AO165" s="176"/>
      <c r="AP165" s="176"/>
      <c r="AQ165" s="176"/>
      <c r="AR165" s="176"/>
      <c r="AS165" s="176"/>
      <c r="AT165" s="176"/>
      <c r="AU165" s="176"/>
      <c r="AV165" s="176"/>
      <c r="AW165" s="176"/>
      <c r="AX165" s="176"/>
      <c r="AY165" s="176"/>
      <c r="AZ165" s="176"/>
      <c r="BA165" s="176"/>
      <c r="BB165" s="176"/>
    </row>
    <row r="166" ht="15.75" customHeight="1">
      <c r="A166" s="176"/>
      <c r="B166" s="176"/>
      <c r="C166" s="176"/>
      <c r="D166" s="176"/>
      <c r="E166" s="176"/>
      <c r="F166" s="176"/>
      <c r="G166" s="176"/>
      <c r="H166" s="176"/>
      <c r="I166" s="176"/>
      <c r="J166" s="176"/>
      <c r="K166" s="176"/>
      <c r="L166" s="176"/>
      <c r="M166" s="176"/>
      <c r="N166" s="176"/>
      <c r="O166" s="176"/>
      <c r="P166" s="176"/>
      <c r="Q166" s="176"/>
      <c r="R166" s="176"/>
      <c r="S166" s="176"/>
      <c r="T166" s="176"/>
      <c r="U166" s="176"/>
      <c r="V166" s="176"/>
      <c r="W166" s="176"/>
      <c r="X166" s="176"/>
      <c r="Y166" s="176"/>
      <c r="Z166" s="176"/>
      <c r="AA166" s="176"/>
      <c r="AB166" s="176"/>
      <c r="AC166" s="176"/>
      <c r="AD166" s="176"/>
      <c r="AE166" s="176"/>
      <c r="AF166" s="176"/>
      <c r="AG166" s="176"/>
      <c r="AH166" s="176"/>
      <c r="AI166" s="176"/>
      <c r="AJ166" s="176"/>
      <c r="AK166" s="176"/>
      <c r="AL166" s="176"/>
      <c r="AM166" s="176"/>
      <c r="AN166" s="176"/>
      <c r="AO166" s="176"/>
      <c r="AP166" s="176"/>
      <c r="AQ166" s="176"/>
      <c r="AR166" s="176"/>
      <c r="AS166" s="176"/>
      <c r="AT166" s="176"/>
      <c r="AU166" s="176"/>
      <c r="AV166" s="176"/>
      <c r="AW166" s="176"/>
      <c r="AX166" s="176"/>
      <c r="AY166" s="176"/>
      <c r="AZ166" s="176"/>
      <c r="BA166" s="176"/>
      <c r="BB166" s="176"/>
    </row>
    <row r="167" ht="15.75" customHeight="1">
      <c r="A167" s="176"/>
      <c r="B167" s="176"/>
      <c r="C167" s="176"/>
      <c r="D167" s="176"/>
      <c r="E167" s="176"/>
      <c r="F167" s="176"/>
      <c r="G167" s="176"/>
      <c r="H167" s="176"/>
      <c r="I167" s="176"/>
      <c r="J167" s="176"/>
      <c r="K167" s="176"/>
      <c r="L167" s="176"/>
      <c r="M167" s="176"/>
      <c r="N167" s="176"/>
      <c r="O167" s="176"/>
      <c r="P167" s="176"/>
      <c r="Q167" s="176"/>
      <c r="R167" s="176"/>
      <c r="S167" s="176"/>
      <c r="T167" s="176"/>
      <c r="U167" s="176"/>
      <c r="V167" s="176"/>
      <c r="W167" s="176"/>
      <c r="X167" s="176"/>
      <c r="Y167" s="176"/>
      <c r="Z167" s="176"/>
      <c r="AA167" s="176"/>
      <c r="AB167" s="176"/>
      <c r="AC167" s="176"/>
      <c r="AD167" s="176"/>
      <c r="AE167" s="176"/>
      <c r="AF167" s="176"/>
      <c r="AG167" s="176"/>
      <c r="AH167" s="176"/>
      <c r="AI167" s="176"/>
      <c r="AJ167" s="176"/>
      <c r="AK167" s="176"/>
      <c r="AL167" s="176"/>
      <c r="AM167" s="176"/>
      <c r="AN167" s="176"/>
      <c r="AO167" s="176"/>
      <c r="AP167" s="176"/>
      <c r="AQ167" s="176"/>
      <c r="AR167" s="176"/>
      <c r="AS167" s="176"/>
      <c r="AT167" s="176"/>
      <c r="AU167" s="176"/>
      <c r="AV167" s="176"/>
      <c r="AW167" s="176"/>
      <c r="AX167" s="176"/>
      <c r="AY167" s="176"/>
      <c r="AZ167" s="176"/>
      <c r="BA167" s="176"/>
      <c r="BB167" s="176"/>
    </row>
    <row r="168" ht="15.75" customHeight="1">
      <c r="A168" s="176"/>
      <c r="B168" s="176"/>
      <c r="C168" s="176"/>
      <c r="D168" s="176"/>
      <c r="E168" s="176"/>
      <c r="F168" s="176"/>
      <c r="G168" s="176"/>
      <c r="H168" s="176"/>
      <c r="I168" s="176"/>
      <c r="J168" s="176"/>
      <c r="K168" s="176"/>
      <c r="L168" s="176"/>
      <c r="M168" s="176"/>
      <c r="N168" s="176"/>
      <c r="O168" s="176"/>
      <c r="P168" s="176"/>
      <c r="Q168" s="176"/>
      <c r="R168" s="176"/>
      <c r="S168" s="176"/>
      <c r="T168" s="176"/>
      <c r="U168" s="176"/>
      <c r="V168" s="176"/>
      <c r="W168" s="176"/>
      <c r="X168" s="176"/>
      <c r="Y168" s="176"/>
      <c r="Z168" s="176"/>
      <c r="AA168" s="176"/>
      <c r="AB168" s="176"/>
      <c r="AC168" s="176"/>
      <c r="AD168" s="176"/>
      <c r="AE168" s="176"/>
      <c r="AF168" s="176"/>
      <c r="AG168" s="176"/>
      <c r="AH168" s="176"/>
      <c r="AI168" s="176"/>
      <c r="AJ168" s="176"/>
      <c r="AK168" s="176"/>
      <c r="AL168" s="176"/>
      <c r="AM168" s="176"/>
      <c r="AN168" s="176"/>
      <c r="AO168" s="176"/>
      <c r="AP168" s="176"/>
      <c r="AQ168" s="176"/>
      <c r="AR168" s="176"/>
      <c r="AS168" s="176"/>
      <c r="AT168" s="176"/>
      <c r="AU168" s="176"/>
      <c r="AV168" s="176"/>
      <c r="AW168" s="176"/>
      <c r="AX168" s="176"/>
      <c r="AY168" s="176"/>
      <c r="AZ168" s="176"/>
      <c r="BA168" s="176"/>
      <c r="BB168" s="176"/>
    </row>
    <row r="169" ht="15.75" customHeight="1">
      <c r="A169" s="176"/>
      <c r="B169" s="176"/>
      <c r="C169" s="176"/>
      <c r="D169" s="176"/>
      <c r="E169" s="176"/>
      <c r="F169" s="176"/>
      <c r="G169" s="176"/>
      <c r="H169" s="176"/>
      <c r="I169" s="176"/>
      <c r="J169" s="176"/>
      <c r="K169" s="176"/>
      <c r="L169" s="176"/>
      <c r="M169" s="176"/>
      <c r="N169" s="176"/>
      <c r="O169" s="176"/>
      <c r="P169" s="176"/>
      <c r="Q169" s="176"/>
      <c r="R169" s="176"/>
      <c r="S169" s="176"/>
      <c r="T169" s="176"/>
      <c r="U169" s="176"/>
      <c r="V169" s="176"/>
      <c r="W169" s="176"/>
      <c r="X169" s="176"/>
      <c r="Y169" s="176"/>
      <c r="Z169" s="176"/>
      <c r="AA169" s="176"/>
      <c r="AB169" s="176"/>
      <c r="AC169" s="176"/>
      <c r="AD169" s="176"/>
      <c r="AE169" s="176"/>
      <c r="AF169" s="176"/>
      <c r="AG169" s="176"/>
      <c r="AH169" s="176"/>
      <c r="AI169" s="176"/>
      <c r="AJ169" s="176"/>
      <c r="AK169" s="176"/>
      <c r="AL169" s="176"/>
      <c r="AM169" s="176"/>
      <c r="AN169" s="176"/>
      <c r="AO169" s="176"/>
      <c r="AP169" s="176"/>
      <c r="AQ169" s="176"/>
      <c r="AR169" s="176"/>
      <c r="AS169" s="176"/>
      <c r="AT169" s="176"/>
      <c r="AU169" s="176"/>
      <c r="AV169" s="176"/>
      <c r="AW169" s="176"/>
      <c r="AX169" s="176"/>
      <c r="AY169" s="176"/>
      <c r="AZ169" s="176"/>
      <c r="BA169" s="176"/>
      <c r="BB169" s="176"/>
    </row>
    <row r="170" ht="15.75" customHeight="1">
      <c r="A170" s="176"/>
      <c r="B170" s="176"/>
      <c r="C170" s="176"/>
      <c r="D170" s="176"/>
      <c r="E170" s="176"/>
      <c r="F170" s="176"/>
      <c r="G170" s="176"/>
      <c r="H170" s="176"/>
      <c r="I170" s="176"/>
      <c r="J170" s="176"/>
      <c r="K170" s="176"/>
      <c r="L170" s="176"/>
      <c r="M170" s="176"/>
      <c r="N170" s="176"/>
      <c r="O170" s="176"/>
      <c r="P170" s="176"/>
      <c r="Q170" s="176"/>
      <c r="R170" s="176"/>
      <c r="S170" s="176"/>
      <c r="T170" s="176"/>
      <c r="U170" s="176"/>
      <c r="V170" s="176"/>
      <c r="W170" s="176"/>
      <c r="X170" s="176"/>
      <c r="Y170" s="176"/>
      <c r="Z170" s="176"/>
      <c r="AA170" s="176"/>
      <c r="AB170" s="176"/>
      <c r="AC170" s="176"/>
      <c r="AD170" s="176"/>
      <c r="AE170" s="176"/>
      <c r="AF170" s="176"/>
      <c r="AG170" s="176"/>
      <c r="AH170" s="176"/>
      <c r="AI170" s="176"/>
      <c r="AJ170" s="176"/>
      <c r="AK170" s="176"/>
      <c r="AL170" s="176"/>
      <c r="AM170" s="176"/>
      <c r="AN170" s="176"/>
      <c r="AO170" s="176"/>
      <c r="AP170" s="176"/>
      <c r="AQ170" s="176"/>
      <c r="AR170" s="176"/>
      <c r="AS170" s="176"/>
      <c r="AT170" s="176"/>
      <c r="AU170" s="176"/>
      <c r="AV170" s="176"/>
      <c r="AW170" s="176"/>
      <c r="AX170" s="176"/>
      <c r="AY170" s="176"/>
      <c r="AZ170" s="176"/>
      <c r="BA170" s="176"/>
      <c r="BB170" s="176"/>
    </row>
    <row r="171" ht="15.75" customHeight="1">
      <c r="A171" s="176"/>
      <c r="B171" s="176"/>
      <c r="C171" s="176"/>
      <c r="D171" s="176"/>
      <c r="E171" s="176"/>
      <c r="F171" s="176"/>
      <c r="G171" s="176"/>
      <c r="H171" s="176"/>
      <c r="I171" s="176"/>
      <c r="J171" s="176"/>
      <c r="K171" s="176"/>
      <c r="L171" s="176"/>
      <c r="M171" s="176"/>
      <c r="N171" s="176"/>
      <c r="O171" s="176"/>
      <c r="P171" s="176"/>
      <c r="Q171" s="176"/>
      <c r="R171" s="176"/>
      <c r="S171" s="176"/>
      <c r="T171" s="176"/>
      <c r="U171" s="176"/>
      <c r="V171" s="176"/>
      <c r="W171" s="176"/>
      <c r="X171" s="176"/>
      <c r="Y171" s="176"/>
      <c r="Z171" s="176"/>
      <c r="AA171" s="176"/>
      <c r="AB171" s="176"/>
      <c r="AC171" s="176"/>
      <c r="AD171" s="176"/>
      <c r="AE171" s="176"/>
      <c r="AF171" s="176"/>
      <c r="AG171" s="176"/>
      <c r="AH171" s="176"/>
      <c r="AI171" s="176"/>
      <c r="AJ171" s="176"/>
      <c r="AK171" s="176"/>
      <c r="AL171" s="176"/>
      <c r="AM171" s="176"/>
      <c r="AN171" s="176"/>
      <c r="AO171" s="176"/>
      <c r="AP171" s="176"/>
      <c r="AQ171" s="176"/>
      <c r="AR171" s="176"/>
      <c r="AS171" s="176"/>
      <c r="AT171" s="176"/>
      <c r="AU171" s="176"/>
      <c r="AV171" s="176"/>
      <c r="AW171" s="176"/>
      <c r="AX171" s="176"/>
      <c r="AY171" s="176"/>
      <c r="AZ171" s="176"/>
      <c r="BA171" s="176"/>
      <c r="BB171" s="176"/>
    </row>
    <row r="172" ht="15.75" customHeight="1">
      <c r="A172" s="176"/>
      <c r="B172" s="176"/>
      <c r="C172" s="176"/>
      <c r="D172" s="176"/>
      <c r="E172" s="176"/>
      <c r="F172" s="176"/>
      <c r="G172" s="176"/>
      <c r="H172" s="176"/>
      <c r="I172" s="176"/>
      <c r="J172" s="176"/>
      <c r="K172" s="176"/>
      <c r="L172" s="176"/>
      <c r="M172" s="176"/>
      <c r="N172" s="176"/>
      <c r="O172" s="176"/>
      <c r="P172" s="176"/>
      <c r="Q172" s="176"/>
      <c r="R172" s="176"/>
      <c r="S172" s="176"/>
      <c r="T172" s="176"/>
      <c r="U172" s="176"/>
      <c r="V172" s="176"/>
      <c r="W172" s="176"/>
      <c r="X172" s="176"/>
      <c r="Y172" s="176"/>
      <c r="Z172" s="176"/>
      <c r="AA172" s="176"/>
      <c r="AB172" s="176"/>
      <c r="AC172" s="176"/>
      <c r="AD172" s="176"/>
      <c r="AE172" s="176"/>
      <c r="AF172" s="176"/>
      <c r="AG172" s="176"/>
      <c r="AH172" s="176"/>
      <c r="AI172" s="176"/>
      <c r="AJ172" s="176"/>
      <c r="AK172" s="176"/>
      <c r="AL172" s="176"/>
      <c r="AM172" s="176"/>
      <c r="AN172" s="176"/>
      <c r="AO172" s="176"/>
      <c r="AP172" s="176"/>
      <c r="AQ172" s="176"/>
      <c r="AR172" s="176"/>
      <c r="AS172" s="176"/>
      <c r="AT172" s="176"/>
      <c r="AU172" s="176"/>
      <c r="AV172" s="176"/>
      <c r="AW172" s="176"/>
      <c r="AX172" s="176"/>
      <c r="AY172" s="176"/>
      <c r="AZ172" s="176"/>
      <c r="BA172" s="176"/>
      <c r="BB172" s="176"/>
    </row>
    <row r="173" ht="15.75" customHeight="1">
      <c r="A173" s="176"/>
      <c r="B173" s="176"/>
      <c r="C173" s="176"/>
      <c r="D173" s="176"/>
      <c r="E173" s="176"/>
      <c r="F173" s="176"/>
      <c r="G173" s="176"/>
      <c r="H173" s="176"/>
      <c r="I173" s="176"/>
      <c r="J173" s="176"/>
      <c r="K173" s="176"/>
      <c r="L173" s="176"/>
      <c r="M173" s="176"/>
      <c r="N173" s="176"/>
      <c r="O173" s="176"/>
      <c r="P173" s="176"/>
      <c r="Q173" s="176"/>
      <c r="R173" s="176"/>
      <c r="S173" s="176"/>
      <c r="T173" s="176"/>
      <c r="U173" s="176"/>
      <c r="V173" s="176"/>
      <c r="W173" s="176"/>
      <c r="X173" s="176"/>
      <c r="Y173" s="176"/>
      <c r="Z173" s="176"/>
      <c r="AA173" s="176"/>
      <c r="AB173" s="176"/>
      <c r="AC173" s="176"/>
      <c r="AD173" s="176"/>
      <c r="AE173" s="176"/>
      <c r="AF173" s="176"/>
      <c r="AG173" s="176"/>
      <c r="AH173" s="176"/>
      <c r="AI173" s="176"/>
      <c r="AJ173" s="176"/>
      <c r="AK173" s="176"/>
      <c r="AL173" s="176"/>
      <c r="AM173" s="176"/>
      <c r="AN173" s="176"/>
      <c r="AO173" s="176"/>
      <c r="AP173" s="176"/>
      <c r="AQ173" s="176"/>
      <c r="AR173" s="176"/>
      <c r="AS173" s="176"/>
      <c r="AT173" s="176"/>
      <c r="AU173" s="176"/>
      <c r="AV173" s="176"/>
      <c r="AW173" s="176"/>
      <c r="AX173" s="176"/>
      <c r="AY173" s="176"/>
      <c r="AZ173" s="176"/>
      <c r="BA173" s="176"/>
      <c r="BB173" s="176"/>
    </row>
    <row r="174" ht="15.75" customHeight="1">
      <c r="A174" s="176"/>
      <c r="B174" s="176"/>
      <c r="C174" s="176"/>
      <c r="D174" s="176"/>
      <c r="E174" s="176"/>
      <c r="F174" s="176"/>
      <c r="G174" s="176"/>
      <c r="H174" s="176"/>
      <c r="I174" s="176"/>
      <c r="J174" s="176"/>
      <c r="K174" s="176"/>
      <c r="L174" s="176"/>
      <c r="M174" s="176"/>
      <c r="N174" s="176"/>
      <c r="O174" s="176"/>
      <c r="P174" s="176"/>
      <c r="Q174" s="176"/>
      <c r="R174" s="176"/>
      <c r="S174" s="176"/>
      <c r="T174" s="176"/>
      <c r="U174" s="176"/>
      <c r="V174" s="176"/>
      <c r="W174" s="176"/>
      <c r="X174" s="176"/>
      <c r="Y174" s="176"/>
      <c r="Z174" s="176"/>
      <c r="AA174" s="176"/>
      <c r="AB174" s="176"/>
      <c r="AC174" s="176"/>
      <c r="AD174" s="176"/>
      <c r="AE174" s="176"/>
      <c r="AF174" s="176"/>
      <c r="AG174" s="176"/>
      <c r="AH174" s="176"/>
      <c r="AI174" s="176"/>
      <c r="AJ174" s="176"/>
      <c r="AK174" s="176"/>
      <c r="AL174" s="176"/>
      <c r="AM174" s="176"/>
      <c r="AN174" s="176"/>
      <c r="AO174" s="176"/>
      <c r="AP174" s="176"/>
      <c r="AQ174" s="176"/>
      <c r="AR174" s="176"/>
      <c r="AS174" s="176"/>
      <c r="AT174" s="176"/>
      <c r="AU174" s="176"/>
      <c r="AV174" s="176"/>
      <c r="AW174" s="176"/>
      <c r="AX174" s="176"/>
      <c r="AY174" s="176"/>
      <c r="AZ174" s="176"/>
      <c r="BA174" s="176"/>
      <c r="BB174" s="176"/>
    </row>
    <row r="175" ht="15.75" customHeight="1">
      <c r="A175" s="176"/>
      <c r="B175" s="176"/>
      <c r="C175" s="176"/>
      <c r="D175" s="176"/>
      <c r="E175" s="176"/>
      <c r="F175" s="176"/>
      <c r="G175" s="176"/>
      <c r="H175" s="176"/>
      <c r="I175" s="176"/>
      <c r="J175" s="176"/>
      <c r="K175" s="176"/>
      <c r="L175" s="176"/>
      <c r="M175" s="176"/>
      <c r="N175" s="176"/>
      <c r="O175" s="176"/>
      <c r="P175" s="176"/>
      <c r="Q175" s="176"/>
      <c r="R175" s="176"/>
      <c r="S175" s="176"/>
      <c r="T175" s="176"/>
      <c r="U175" s="176"/>
      <c r="V175" s="176"/>
      <c r="W175" s="176"/>
      <c r="X175" s="176"/>
      <c r="Y175" s="176"/>
      <c r="Z175" s="176"/>
      <c r="AA175" s="176"/>
      <c r="AB175" s="176"/>
      <c r="AC175" s="176"/>
      <c r="AD175" s="176"/>
      <c r="AE175" s="176"/>
      <c r="AF175" s="176"/>
      <c r="AG175" s="176"/>
      <c r="AH175" s="176"/>
      <c r="AI175" s="176"/>
      <c r="AJ175" s="176"/>
      <c r="AK175" s="176"/>
      <c r="AL175" s="176"/>
      <c r="AM175" s="176"/>
      <c r="AN175" s="176"/>
      <c r="AO175" s="176"/>
      <c r="AP175" s="176"/>
      <c r="AQ175" s="176"/>
      <c r="AR175" s="176"/>
      <c r="AS175" s="176"/>
      <c r="AT175" s="176"/>
      <c r="AU175" s="176"/>
      <c r="AV175" s="176"/>
      <c r="AW175" s="176"/>
      <c r="AX175" s="176"/>
      <c r="AY175" s="176"/>
      <c r="AZ175" s="176"/>
      <c r="BA175" s="176"/>
      <c r="BB175" s="176"/>
    </row>
    <row r="176" ht="15.75" customHeight="1">
      <c r="A176" s="176"/>
      <c r="B176" s="176"/>
      <c r="C176" s="176"/>
      <c r="D176" s="176"/>
      <c r="E176" s="176"/>
      <c r="F176" s="176"/>
      <c r="G176" s="176"/>
      <c r="H176" s="176"/>
      <c r="I176" s="176"/>
      <c r="J176" s="176"/>
      <c r="K176" s="176"/>
      <c r="L176" s="176"/>
      <c r="M176" s="176"/>
      <c r="N176" s="176"/>
      <c r="O176" s="176"/>
      <c r="P176" s="176"/>
      <c r="Q176" s="176"/>
      <c r="R176" s="176"/>
      <c r="S176" s="176"/>
      <c r="T176" s="176"/>
      <c r="U176" s="176"/>
      <c r="V176" s="176"/>
      <c r="W176" s="176"/>
      <c r="X176" s="176"/>
      <c r="Y176" s="176"/>
      <c r="Z176" s="176"/>
      <c r="AA176" s="176"/>
      <c r="AB176" s="176"/>
      <c r="AC176" s="176"/>
      <c r="AD176" s="176"/>
      <c r="AE176" s="176"/>
      <c r="AF176" s="176"/>
      <c r="AG176" s="176"/>
      <c r="AH176" s="176"/>
      <c r="AI176" s="176"/>
      <c r="AJ176" s="176"/>
      <c r="AK176" s="176"/>
      <c r="AL176" s="176"/>
      <c r="AM176" s="176"/>
      <c r="AN176" s="176"/>
      <c r="AO176" s="176"/>
      <c r="AP176" s="176"/>
      <c r="AQ176" s="176"/>
      <c r="AR176" s="176"/>
      <c r="AS176" s="176"/>
      <c r="AT176" s="176"/>
      <c r="AU176" s="176"/>
      <c r="AV176" s="176"/>
      <c r="AW176" s="176"/>
      <c r="AX176" s="176"/>
      <c r="AY176" s="176"/>
      <c r="AZ176" s="176"/>
      <c r="BA176" s="176"/>
      <c r="BB176" s="176"/>
    </row>
    <row r="177" ht="15.75" customHeight="1">
      <c r="A177" s="176"/>
      <c r="B177" s="176"/>
      <c r="C177" s="176"/>
      <c r="D177" s="176"/>
      <c r="E177" s="176"/>
      <c r="F177" s="176"/>
      <c r="G177" s="176"/>
      <c r="H177" s="176"/>
      <c r="I177" s="176"/>
      <c r="J177" s="176"/>
      <c r="K177" s="176"/>
      <c r="L177" s="176"/>
      <c r="M177" s="176"/>
      <c r="N177" s="176"/>
      <c r="O177" s="176"/>
      <c r="P177" s="176"/>
      <c r="Q177" s="176"/>
      <c r="R177" s="176"/>
      <c r="S177" s="176"/>
      <c r="T177" s="176"/>
      <c r="U177" s="176"/>
      <c r="V177" s="176"/>
      <c r="W177" s="176"/>
      <c r="X177" s="176"/>
      <c r="Y177" s="176"/>
      <c r="Z177" s="176"/>
      <c r="AA177" s="176"/>
      <c r="AB177" s="176"/>
      <c r="AC177" s="176"/>
      <c r="AD177" s="176"/>
      <c r="AE177" s="176"/>
      <c r="AF177" s="176"/>
      <c r="AG177" s="176"/>
      <c r="AH177" s="176"/>
      <c r="AI177" s="176"/>
      <c r="AJ177" s="176"/>
      <c r="AK177" s="176"/>
      <c r="AL177" s="176"/>
      <c r="AM177" s="176"/>
      <c r="AN177" s="176"/>
      <c r="AO177" s="176"/>
      <c r="AP177" s="176"/>
      <c r="AQ177" s="176"/>
      <c r="AR177" s="176"/>
      <c r="AS177" s="176"/>
      <c r="AT177" s="176"/>
      <c r="AU177" s="176"/>
      <c r="AV177" s="176"/>
      <c r="AW177" s="176"/>
      <c r="AX177" s="176"/>
      <c r="AY177" s="176"/>
      <c r="AZ177" s="176"/>
      <c r="BA177" s="176"/>
      <c r="BB177" s="176"/>
    </row>
    <row r="178" ht="15.75" customHeight="1">
      <c r="A178" s="176"/>
      <c r="B178" s="176"/>
      <c r="C178" s="176"/>
      <c r="D178" s="176"/>
      <c r="E178" s="176"/>
      <c r="F178" s="176"/>
      <c r="G178" s="176"/>
      <c r="H178" s="176"/>
      <c r="I178" s="176"/>
      <c r="J178" s="176"/>
      <c r="K178" s="176"/>
      <c r="L178" s="176"/>
      <c r="M178" s="176"/>
      <c r="N178" s="176"/>
      <c r="O178" s="176"/>
      <c r="P178" s="176"/>
      <c r="Q178" s="176"/>
      <c r="R178" s="176"/>
      <c r="S178" s="176"/>
      <c r="T178" s="176"/>
      <c r="U178" s="176"/>
      <c r="V178" s="176"/>
      <c r="W178" s="176"/>
      <c r="X178" s="176"/>
      <c r="Y178" s="176"/>
      <c r="Z178" s="176"/>
      <c r="AA178" s="176"/>
      <c r="AB178" s="176"/>
      <c r="AC178" s="176"/>
      <c r="AD178" s="176"/>
      <c r="AE178" s="176"/>
      <c r="AF178" s="176"/>
      <c r="AG178" s="176"/>
      <c r="AH178" s="176"/>
      <c r="AI178" s="176"/>
      <c r="AJ178" s="176"/>
      <c r="AK178" s="176"/>
      <c r="AL178" s="176"/>
      <c r="AM178" s="176"/>
      <c r="AN178" s="176"/>
      <c r="AO178" s="176"/>
      <c r="AP178" s="176"/>
      <c r="AQ178" s="176"/>
      <c r="AR178" s="176"/>
      <c r="AS178" s="176"/>
      <c r="AT178" s="176"/>
      <c r="AU178" s="176"/>
      <c r="AV178" s="176"/>
      <c r="AW178" s="176"/>
      <c r="AX178" s="176"/>
      <c r="AY178" s="176"/>
      <c r="AZ178" s="176"/>
      <c r="BA178" s="176"/>
      <c r="BB178" s="176"/>
    </row>
    <row r="179" ht="15.75" customHeight="1">
      <c r="A179" s="176"/>
      <c r="B179" s="176"/>
      <c r="C179" s="176"/>
      <c r="D179" s="176"/>
      <c r="E179" s="176"/>
      <c r="F179" s="176"/>
      <c r="G179" s="176"/>
      <c r="H179" s="176"/>
      <c r="I179" s="176"/>
      <c r="J179" s="176"/>
      <c r="K179" s="176"/>
      <c r="L179" s="176"/>
      <c r="M179" s="176"/>
      <c r="N179" s="176"/>
      <c r="O179" s="176"/>
      <c r="P179" s="176"/>
      <c r="Q179" s="176"/>
      <c r="R179" s="176"/>
      <c r="S179" s="176"/>
      <c r="T179" s="176"/>
      <c r="U179" s="176"/>
      <c r="V179" s="176"/>
      <c r="W179" s="176"/>
      <c r="X179" s="176"/>
      <c r="Y179" s="176"/>
      <c r="Z179" s="176"/>
      <c r="AA179" s="176"/>
      <c r="AB179" s="176"/>
      <c r="AC179" s="176"/>
      <c r="AD179" s="176"/>
      <c r="AE179" s="176"/>
      <c r="AF179" s="176"/>
      <c r="AG179" s="176"/>
      <c r="AH179" s="176"/>
      <c r="AI179" s="176"/>
      <c r="AJ179" s="176"/>
      <c r="AK179" s="176"/>
      <c r="AL179" s="176"/>
      <c r="AM179" s="176"/>
      <c r="AN179" s="176"/>
      <c r="AO179" s="176"/>
      <c r="AP179" s="176"/>
      <c r="AQ179" s="176"/>
      <c r="AR179" s="176"/>
      <c r="AS179" s="176"/>
      <c r="AT179" s="176"/>
      <c r="AU179" s="176"/>
      <c r="AV179" s="176"/>
      <c r="AW179" s="176"/>
      <c r="AX179" s="176"/>
      <c r="AY179" s="176"/>
      <c r="AZ179" s="176"/>
      <c r="BA179" s="176"/>
      <c r="BB179" s="176"/>
    </row>
    <row r="180" ht="15.75" customHeight="1">
      <c r="A180" s="176"/>
      <c r="B180" s="176"/>
      <c r="C180" s="176"/>
      <c r="D180" s="176"/>
      <c r="E180" s="176"/>
      <c r="F180" s="176"/>
      <c r="G180" s="176"/>
      <c r="H180" s="176"/>
      <c r="I180" s="176"/>
      <c r="J180" s="176"/>
      <c r="K180" s="176"/>
      <c r="L180" s="176"/>
      <c r="M180" s="176"/>
      <c r="N180" s="176"/>
      <c r="O180" s="176"/>
      <c r="P180" s="176"/>
      <c r="Q180" s="176"/>
      <c r="R180" s="176"/>
      <c r="S180" s="176"/>
      <c r="T180" s="176"/>
      <c r="U180" s="176"/>
      <c r="V180" s="176"/>
      <c r="W180" s="176"/>
      <c r="X180" s="176"/>
      <c r="Y180" s="176"/>
      <c r="Z180" s="176"/>
      <c r="AA180" s="176"/>
      <c r="AB180" s="176"/>
      <c r="AC180" s="176"/>
      <c r="AD180" s="176"/>
      <c r="AE180" s="176"/>
      <c r="AF180" s="176"/>
      <c r="AG180" s="176"/>
      <c r="AH180" s="176"/>
      <c r="AI180" s="176"/>
      <c r="AJ180" s="176"/>
      <c r="AK180" s="176"/>
      <c r="AL180" s="176"/>
      <c r="AM180" s="176"/>
      <c r="AN180" s="176"/>
      <c r="AO180" s="176"/>
      <c r="AP180" s="176"/>
      <c r="AQ180" s="176"/>
      <c r="AR180" s="176"/>
      <c r="AS180" s="176"/>
      <c r="AT180" s="176"/>
      <c r="AU180" s="176"/>
      <c r="AV180" s="176"/>
      <c r="AW180" s="176"/>
      <c r="AX180" s="176"/>
      <c r="AY180" s="176"/>
      <c r="AZ180" s="176"/>
      <c r="BA180" s="176"/>
      <c r="BB180" s="176"/>
    </row>
    <row r="181" ht="15.75" customHeight="1">
      <c r="A181" s="176"/>
      <c r="B181" s="176"/>
      <c r="C181" s="176"/>
      <c r="D181" s="176"/>
      <c r="E181" s="176"/>
      <c r="F181" s="176"/>
      <c r="G181" s="176"/>
      <c r="H181" s="176"/>
      <c r="I181" s="176"/>
      <c r="J181" s="176"/>
      <c r="K181" s="176"/>
      <c r="L181" s="176"/>
      <c r="M181" s="176"/>
      <c r="N181" s="176"/>
      <c r="O181" s="176"/>
      <c r="P181" s="176"/>
      <c r="Q181" s="176"/>
      <c r="R181" s="176"/>
      <c r="S181" s="176"/>
      <c r="T181" s="176"/>
      <c r="U181" s="176"/>
      <c r="V181" s="176"/>
      <c r="W181" s="176"/>
      <c r="X181" s="176"/>
      <c r="Y181" s="176"/>
      <c r="Z181" s="176"/>
      <c r="AA181" s="176"/>
      <c r="AB181" s="176"/>
      <c r="AC181" s="176"/>
      <c r="AD181" s="176"/>
      <c r="AE181" s="176"/>
      <c r="AF181" s="176"/>
      <c r="AG181" s="176"/>
      <c r="AH181" s="176"/>
      <c r="AI181" s="176"/>
      <c r="AJ181" s="176"/>
      <c r="AK181" s="176"/>
      <c r="AL181" s="176"/>
      <c r="AM181" s="176"/>
      <c r="AN181" s="176"/>
      <c r="AO181" s="176"/>
      <c r="AP181" s="176"/>
      <c r="AQ181" s="176"/>
      <c r="AR181" s="176"/>
      <c r="AS181" s="176"/>
      <c r="AT181" s="176"/>
      <c r="AU181" s="176"/>
      <c r="AV181" s="176"/>
      <c r="AW181" s="176"/>
      <c r="AX181" s="176"/>
      <c r="AY181" s="176"/>
      <c r="AZ181" s="176"/>
      <c r="BA181" s="176"/>
      <c r="BB181" s="176"/>
    </row>
    <row r="182" ht="15.75" customHeight="1">
      <c r="A182" s="176"/>
      <c r="B182" s="176"/>
      <c r="C182" s="176"/>
      <c r="D182" s="176"/>
      <c r="E182" s="176"/>
      <c r="F182" s="176"/>
      <c r="G182" s="176"/>
      <c r="H182" s="176"/>
      <c r="I182" s="176"/>
      <c r="J182" s="176"/>
      <c r="K182" s="176"/>
      <c r="L182" s="176"/>
      <c r="M182" s="176"/>
      <c r="N182" s="176"/>
      <c r="O182" s="176"/>
      <c r="P182" s="176"/>
      <c r="Q182" s="176"/>
      <c r="R182" s="176"/>
      <c r="S182" s="176"/>
      <c r="T182" s="176"/>
      <c r="U182" s="176"/>
      <c r="V182" s="176"/>
      <c r="W182" s="176"/>
      <c r="X182" s="176"/>
      <c r="Y182" s="176"/>
      <c r="Z182" s="176"/>
      <c r="AA182" s="176"/>
      <c r="AB182" s="176"/>
      <c r="AC182" s="176"/>
      <c r="AD182" s="176"/>
      <c r="AE182" s="176"/>
      <c r="AF182" s="176"/>
      <c r="AG182" s="176"/>
      <c r="AH182" s="176"/>
      <c r="AI182" s="176"/>
      <c r="AJ182" s="176"/>
      <c r="AK182" s="176"/>
      <c r="AL182" s="176"/>
      <c r="AM182" s="176"/>
      <c r="AN182" s="176"/>
      <c r="AO182" s="176"/>
      <c r="AP182" s="176"/>
      <c r="AQ182" s="176"/>
      <c r="AR182" s="176"/>
      <c r="AS182" s="176"/>
      <c r="AT182" s="176"/>
      <c r="AU182" s="176"/>
      <c r="AV182" s="176"/>
      <c r="AW182" s="176"/>
      <c r="AX182" s="176"/>
      <c r="AY182" s="176"/>
      <c r="AZ182" s="176"/>
      <c r="BA182" s="176"/>
      <c r="BB182" s="176"/>
    </row>
    <row r="183" ht="15.75" customHeight="1">
      <c r="A183" s="176"/>
      <c r="B183" s="176"/>
      <c r="C183" s="176"/>
      <c r="D183" s="176"/>
      <c r="E183" s="176"/>
      <c r="F183" s="176"/>
      <c r="G183" s="176"/>
      <c r="H183" s="176"/>
      <c r="I183" s="176"/>
      <c r="J183" s="176"/>
      <c r="K183" s="176"/>
      <c r="L183" s="176"/>
      <c r="M183" s="176"/>
      <c r="N183" s="176"/>
      <c r="O183" s="176"/>
      <c r="P183" s="176"/>
      <c r="Q183" s="176"/>
      <c r="R183" s="176"/>
      <c r="S183" s="176"/>
      <c r="T183" s="176"/>
      <c r="U183" s="176"/>
      <c r="V183" s="176"/>
      <c r="W183" s="176"/>
      <c r="X183" s="176"/>
      <c r="Y183" s="176"/>
      <c r="Z183" s="176"/>
      <c r="AA183" s="176"/>
      <c r="AB183" s="176"/>
      <c r="AC183" s="176"/>
      <c r="AD183" s="176"/>
      <c r="AE183" s="176"/>
      <c r="AF183" s="176"/>
      <c r="AG183" s="176"/>
      <c r="AH183" s="176"/>
      <c r="AI183" s="176"/>
      <c r="AJ183" s="176"/>
      <c r="AK183" s="176"/>
      <c r="AL183" s="176"/>
      <c r="AM183" s="176"/>
      <c r="AN183" s="176"/>
      <c r="AO183" s="176"/>
      <c r="AP183" s="176"/>
      <c r="AQ183" s="176"/>
      <c r="AR183" s="176"/>
      <c r="AS183" s="176"/>
      <c r="AT183" s="176"/>
      <c r="AU183" s="176"/>
      <c r="AV183" s="176"/>
      <c r="AW183" s="176"/>
      <c r="AX183" s="176"/>
      <c r="AY183" s="176"/>
      <c r="AZ183" s="176"/>
      <c r="BA183" s="176"/>
      <c r="BB183" s="176"/>
    </row>
    <row r="184" ht="15.75" customHeight="1">
      <c r="A184" s="176"/>
      <c r="B184" s="176"/>
      <c r="C184" s="176"/>
      <c r="D184" s="176"/>
      <c r="E184" s="176"/>
      <c r="F184" s="176"/>
      <c r="G184" s="176"/>
      <c r="H184" s="176"/>
      <c r="I184" s="176"/>
      <c r="J184" s="176"/>
      <c r="K184" s="176"/>
      <c r="L184" s="176"/>
      <c r="M184" s="176"/>
      <c r="N184" s="176"/>
      <c r="O184" s="176"/>
      <c r="P184" s="176"/>
      <c r="Q184" s="176"/>
      <c r="R184" s="176"/>
      <c r="S184" s="176"/>
      <c r="T184" s="176"/>
      <c r="U184" s="176"/>
      <c r="V184" s="176"/>
      <c r="W184" s="176"/>
      <c r="X184" s="176"/>
      <c r="Y184" s="176"/>
      <c r="Z184" s="176"/>
      <c r="AA184" s="176"/>
      <c r="AB184" s="176"/>
      <c r="AC184" s="176"/>
      <c r="AD184" s="176"/>
      <c r="AE184" s="176"/>
      <c r="AF184" s="176"/>
      <c r="AG184" s="176"/>
      <c r="AH184" s="176"/>
      <c r="AI184" s="176"/>
      <c r="AJ184" s="176"/>
      <c r="AK184" s="176"/>
      <c r="AL184" s="176"/>
      <c r="AM184" s="176"/>
      <c r="AN184" s="176"/>
      <c r="AO184" s="176"/>
      <c r="AP184" s="176"/>
      <c r="AQ184" s="176"/>
      <c r="AR184" s="176"/>
      <c r="AS184" s="176"/>
      <c r="AT184" s="176"/>
      <c r="AU184" s="176"/>
      <c r="AV184" s="176"/>
      <c r="AW184" s="176"/>
      <c r="AX184" s="176"/>
      <c r="AY184" s="176"/>
      <c r="AZ184" s="176"/>
      <c r="BA184" s="176"/>
      <c r="BB184" s="176"/>
    </row>
    <row r="185" ht="15.75" customHeight="1">
      <c r="A185" s="176"/>
      <c r="B185" s="176"/>
      <c r="C185" s="176"/>
      <c r="D185" s="176"/>
      <c r="E185" s="176"/>
      <c r="F185" s="176"/>
      <c r="G185" s="176"/>
      <c r="H185" s="176"/>
      <c r="I185" s="176"/>
      <c r="J185" s="176"/>
      <c r="K185" s="176"/>
      <c r="L185" s="176"/>
      <c r="M185" s="176"/>
      <c r="N185" s="176"/>
      <c r="O185" s="176"/>
      <c r="P185" s="176"/>
      <c r="Q185" s="176"/>
      <c r="R185" s="176"/>
      <c r="S185" s="176"/>
      <c r="T185" s="176"/>
      <c r="U185" s="176"/>
      <c r="V185" s="176"/>
      <c r="W185" s="176"/>
      <c r="X185" s="176"/>
      <c r="Y185" s="176"/>
      <c r="Z185" s="176"/>
      <c r="AA185" s="176"/>
      <c r="AB185" s="176"/>
      <c r="AC185" s="176"/>
      <c r="AD185" s="176"/>
      <c r="AE185" s="176"/>
      <c r="AF185" s="176"/>
      <c r="AG185" s="176"/>
      <c r="AH185" s="176"/>
      <c r="AI185" s="176"/>
      <c r="AJ185" s="176"/>
      <c r="AK185" s="176"/>
      <c r="AL185" s="176"/>
      <c r="AM185" s="176"/>
      <c r="AN185" s="176"/>
      <c r="AO185" s="176"/>
      <c r="AP185" s="176"/>
      <c r="AQ185" s="176"/>
      <c r="AR185" s="176"/>
      <c r="AS185" s="176"/>
      <c r="AT185" s="176"/>
      <c r="AU185" s="176"/>
      <c r="AV185" s="176"/>
      <c r="AW185" s="176"/>
      <c r="AX185" s="176"/>
      <c r="AY185" s="176"/>
      <c r="AZ185" s="176"/>
      <c r="BA185" s="176"/>
      <c r="BB185" s="176"/>
    </row>
    <row r="186" ht="15.75" customHeight="1">
      <c r="A186" s="176"/>
      <c r="B186" s="176"/>
      <c r="C186" s="176"/>
      <c r="D186" s="176"/>
      <c r="E186" s="176"/>
      <c r="F186" s="176"/>
      <c r="G186" s="176"/>
      <c r="H186" s="176"/>
      <c r="I186" s="176"/>
      <c r="J186" s="176"/>
      <c r="K186" s="176"/>
      <c r="L186" s="176"/>
      <c r="M186" s="176"/>
      <c r="N186" s="176"/>
      <c r="O186" s="176"/>
      <c r="P186" s="176"/>
      <c r="Q186" s="176"/>
      <c r="R186" s="176"/>
      <c r="S186" s="176"/>
      <c r="T186" s="176"/>
      <c r="U186" s="176"/>
      <c r="V186" s="176"/>
      <c r="W186" s="176"/>
      <c r="X186" s="176"/>
      <c r="Y186" s="176"/>
      <c r="Z186" s="176"/>
      <c r="AA186" s="176"/>
      <c r="AB186" s="176"/>
      <c r="AC186" s="176"/>
      <c r="AD186" s="176"/>
      <c r="AE186" s="176"/>
      <c r="AF186" s="176"/>
      <c r="AG186" s="176"/>
      <c r="AH186" s="176"/>
      <c r="AI186" s="176"/>
      <c r="AJ186" s="176"/>
      <c r="AK186" s="176"/>
      <c r="AL186" s="176"/>
      <c r="AM186" s="176"/>
      <c r="AN186" s="176"/>
      <c r="AO186" s="176"/>
      <c r="AP186" s="176"/>
      <c r="AQ186" s="176"/>
      <c r="AR186" s="176"/>
      <c r="AS186" s="176"/>
      <c r="AT186" s="176"/>
      <c r="AU186" s="176"/>
      <c r="AV186" s="176"/>
      <c r="AW186" s="176"/>
      <c r="AX186" s="176"/>
      <c r="AY186" s="176"/>
      <c r="AZ186" s="176"/>
      <c r="BA186" s="176"/>
      <c r="BB186" s="176"/>
    </row>
    <row r="187" ht="15.75" customHeight="1">
      <c r="A187" s="176"/>
      <c r="B187" s="176"/>
      <c r="C187" s="176"/>
      <c r="D187" s="176"/>
      <c r="E187" s="176"/>
      <c r="F187" s="176"/>
      <c r="G187" s="176"/>
      <c r="H187" s="176"/>
      <c r="I187" s="176"/>
      <c r="J187" s="176"/>
      <c r="K187" s="176"/>
      <c r="L187" s="176"/>
      <c r="M187" s="176"/>
      <c r="N187" s="176"/>
      <c r="O187" s="176"/>
      <c r="P187" s="176"/>
      <c r="Q187" s="176"/>
      <c r="R187" s="176"/>
      <c r="S187" s="176"/>
      <c r="T187" s="176"/>
      <c r="U187" s="176"/>
      <c r="V187" s="176"/>
      <c r="W187" s="176"/>
      <c r="X187" s="176"/>
      <c r="Y187" s="176"/>
      <c r="Z187" s="176"/>
      <c r="AA187" s="176"/>
      <c r="AB187" s="176"/>
      <c r="AC187" s="176"/>
      <c r="AD187" s="176"/>
      <c r="AE187" s="176"/>
      <c r="AF187" s="176"/>
      <c r="AG187" s="176"/>
      <c r="AH187" s="176"/>
      <c r="AI187" s="176"/>
      <c r="AJ187" s="176"/>
      <c r="AK187" s="176"/>
      <c r="AL187" s="176"/>
      <c r="AM187" s="176"/>
      <c r="AN187" s="176"/>
      <c r="AO187" s="176"/>
      <c r="AP187" s="176"/>
      <c r="AQ187" s="176"/>
      <c r="AR187" s="176"/>
      <c r="AS187" s="176"/>
      <c r="AT187" s="176"/>
      <c r="AU187" s="176"/>
      <c r="AV187" s="176"/>
      <c r="AW187" s="176"/>
      <c r="AX187" s="176"/>
      <c r="AY187" s="176"/>
      <c r="AZ187" s="176"/>
      <c r="BA187" s="176"/>
      <c r="BB187" s="176"/>
    </row>
    <row r="188" ht="15.75" customHeight="1">
      <c r="A188" s="176"/>
      <c r="B188" s="176"/>
      <c r="C188" s="176"/>
      <c r="D188" s="176"/>
      <c r="E188" s="176"/>
      <c r="F188" s="176"/>
      <c r="G188" s="176"/>
      <c r="H188" s="176"/>
      <c r="I188" s="176"/>
      <c r="J188" s="176"/>
      <c r="K188" s="176"/>
      <c r="L188" s="176"/>
      <c r="M188" s="176"/>
      <c r="N188" s="176"/>
      <c r="O188" s="176"/>
      <c r="P188" s="176"/>
      <c r="Q188" s="176"/>
      <c r="R188" s="176"/>
      <c r="S188" s="176"/>
      <c r="T188" s="176"/>
      <c r="U188" s="176"/>
      <c r="V188" s="176"/>
      <c r="W188" s="176"/>
      <c r="X188" s="176"/>
      <c r="Y188" s="176"/>
      <c r="Z188" s="176"/>
      <c r="AA188" s="176"/>
      <c r="AB188" s="176"/>
      <c r="AC188" s="176"/>
      <c r="AD188" s="176"/>
      <c r="AE188" s="176"/>
      <c r="AF188" s="176"/>
      <c r="AG188" s="176"/>
      <c r="AH188" s="176"/>
      <c r="AI188" s="176"/>
      <c r="AJ188" s="176"/>
      <c r="AK188" s="176"/>
      <c r="AL188" s="176"/>
      <c r="AM188" s="176"/>
      <c r="AN188" s="176"/>
      <c r="AO188" s="176"/>
      <c r="AP188" s="176"/>
      <c r="AQ188" s="176"/>
      <c r="AR188" s="176"/>
      <c r="AS188" s="176"/>
      <c r="AT188" s="176"/>
      <c r="AU188" s="176"/>
      <c r="AV188" s="176"/>
      <c r="AW188" s="176"/>
      <c r="AX188" s="176"/>
      <c r="AY188" s="176"/>
      <c r="AZ188" s="176"/>
      <c r="BA188" s="176"/>
      <c r="BB188" s="176"/>
    </row>
    <row r="189" ht="15.75" customHeight="1">
      <c r="A189" s="176"/>
      <c r="B189" s="176"/>
      <c r="C189" s="176"/>
      <c r="D189" s="176"/>
      <c r="E189" s="176"/>
      <c r="F189" s="176"/>
      <c r="G189" s="176"/>
      <c r="H189" s="176"/>
      <c r="I189" s="176"/>
      <c r="J189" s="176"/>
      <c r="K189" s="176"/>
      <c r="L189" s="176"/>
      <c r="M189" s="176"/>
      <c r="N189" s="176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  <c r="AA189" s="176"/>
      <c r="AB189" s="176"/>
      <c r="AC189" s="176"/>
      <c r="AD189" s="176"/>
      <c r="AE189" s="176"/>
      <c r="AF189" s="176"/>
      <c r="AG189" s="176"/>
      <c r="AH189" s="176"/>
      <c r="AI189" s="176"/>
      <c r="AJ189" s="176"/>
      <c r="AK189" s="176"/>
      <c r="AL189" s="176"/>
      <c r="AM189" s="176"/>
      <c r="AN189" s="176"/>
      <c r="AO189" s="176"/>
      <c r="AP189" s="176"/>
      <c r="AQ189" s="176"/>
      <c r="AR189" s="176"/>
      <c r="AS189" s="176"/>
      <c r="AT189" s="176"/>
      <c r="AU189" s="176"/>
      <c r="AV189" s="176"/>
      <c r="AW189" s="176"/>
      <c r="AX189" s="176"/>
      <c r="AY189" s="176"/>
      <c r="AZ189" s="176"/>
      <c r="BA189" s="176"/>
      <c r="BB189" s="176"/>
    </row>
    <row r="190" ht="15.75" customHeight="1">
      <c r="A190" s="176"/>
      <c r="B190" s="176"/>
      <c r="C190" s="176"/>
      <c r="D190" s="176"/>
      <c r="E190" s="176"/>
      <c r="F190" s="176"/>
      <c r="G190" s="176"/>
      <c r="H190" s="176"/>
      <c r="I190" s="176"/>
      <c r="J190" s="176"/>
      <c r="K190" s="176"/>
      <c r="L190" s="176"/>
      <c r="M190" s="176"/>
      <c r="N190" s="176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  <c r="AA190" s="176"/>
      <c r="AB190" s="176"/>
      <c r="AC190" s="176"/>
      <c r="AD190" s="176"/>
      <c r="AE190" s="176"/>
      <c r="AF190" s="176"/>
      <c r="AG190" s="176"/>
      <c r="AH190" s="176"/>
      <c r="AI190" s="176"/>
      <c r="AJ190" s="176"/>
      <c r="AK190" s="176"/>
      <c r="AL190" s="176"/>
      <c r="AM190" s="176"/>
      <c r="AN190" s="176"/>
      <c r="AO190" s="176"/>
      <c r="AP190" s="176"/>
      <c r="AQ190" s="176"/>
      <c r="AR190" s="176"/>
      <c r="AS190" s="176"/>
      <c r="AT190" s="176"/>
      <c r="AU190" s="176"/>
      <c r="AV190" s="176"/>
      <c r="AW190" s="176"/>
      <c r="AX190" s="176"/>
      <c r="AY190" s="176"/>
      <c r="AZ190" s="176"/>
      <c r="BA190" s="176"/>
      <c r="BB190" s="176"/>
    </row>
    <row r="191" ht="15.75" customHeight="1">
      <c r="A191" s="176"/>
      <c r="B191" s="176"/>
      <c r="C191" s="176"/>
      <c r="D191" s="176"/>
      <c r="E191" s="176"/>
      <c r="F191" s="176"/>
      <c r="G191" s="176"/>
      <c r="H191" s="176"/>
      <c r="I191" s="176"/>
      <c r="J191" s="176"/>
      <c r="K191" s="176"/>
      <c r="L191" s="176"/>
      <c r="M191" s="176"/>
      <c r="N191" s="176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  <c r="AA191" s="176"/>
      <c r="AB191" s="176"/>
      <c r="AC191" s="176"/>
      <c r="AD191" s="176"/>
      <c r="AE191" s="176"/>
      <c r="AF191" s="176"/>
      <c r="AG191" s="176"/>
      <c r="AH191" s="176"/>
      <c r="AI191" s="176"/>
      <c r="AJ191" s="176"/>
      <c r="AK191" s="176"/>
      <c r="AL191" s="176"/>
      <c r="AM191" s="176"/>
      <c r="AN191" s="176"/>
      <c r="AO191" s="176"/>
      <c r="AP191" s="176"/>
      <c r="AQ191" s="176"/>
      <c r="AR191" s="176"/>
      <c r="AS191" s="176"/>
      <c r="AT191" s="176"/>
      <c r="AU191" s="176"/>
      <c r="AV191" s="176"/>
      <c r="AW191" s="176"/>
      <c r="AX191" s="176"/>
      <c r="AY191" s="176"/>
      <c r="AZ191" s="176"/>
      <c r="BA191" s="176"/>
      <c r="BB191" s="176"/>
    </row>
    <row r="192" ht="15.75" customHeight="1">
      <c r="A192" s="176"/>
      <c r="B192" s="176"/>
      <c r="C192" s="176"/>
      <c r="D192" s="176"/>
      <c r="E192" s="176"/>
      <c r="F192" s="176"/>
      <c r="G192" s="176"/>
      <c r="H192" s="176"/>
      <c r="I192" s="176"/>
      <c r="J192" s="176"/>
      <c r="K192" s="176"/>
      <c r="L192" s="176"/>
      <c r="M192" s="176"/>
      <c r="N192" s="176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  <c r="AA192" s="176"/>
      <c r="AB192" s="176"/>
      <c r="AC192" s="176"/>
      <c r="AD192" s="176"/>
      <c r="AE192" s="176"/>
      <c r="AF192" s="176"/>
      <c r="AG192" s="176"/>
      <c r="AH192" s="176"/>
      <c r="AI192" s="176"/>
      <c r="AJ192" s="176"/>
      <c r="AK192" s="176"/>
      <c r="AL192" s="176"/>
      <c r="AM192" s="176"/>
      <c r="AN192" s="176"/>
      <c r="AO192" s="176"/>
      <c r="AP192" s="176"/>
      <c r="AQ192" s="176"/>
      <c r="AR192" s="176"/>
      <c r="AS192" s="176"/>
      <c r="AT192" s="176"/>
      <c r="AU192" s="176"/>
      <c r="AV192" s="176"/>
      <c r="AW192" s="176"/>
      <c r="AX192" s="176"/>
      <c r="AY192" s="176"/>
      <c r="AZ192" s="176"/>
      <c r="BA192" s="176"/>
      <c r="BB192" s="176"/>
    </row>
    <row r="193" ht="15.75" customHeight="1">
      <c r="A193" s="176"/>
      <c r="B193" s="176"/>
      <c r="C193" s="176"/>
      <c r="D193" s="176"/>
      <c r="E193" s="176"/>
      <c r="F193" s="176"/>
      <c r="G193" s="176"/>
      <c r="H193" s="176"/>
      <c r="I193" s="176"/>
      <c r="J193" s="176"/>
      <c r="K193" s="176"/>
      <c r="L193" s="176"/>
      <c r="M193" s="176"/>
      <c r="N193" s="176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  <c r="AA193" s="176"/>
      <c r="AB193" s="176"/>
      <c r="AC193" s="176"/>
      <c r="AD193" s="176"/>
      <c r="AE193" s="176"/>
      <c r="AF193" s="176"/>
      <c r="AG193" s="176"/>
      <c r="AH193" s="176"/>
      <c r="AI193" s="176"/>
      <c r="AJ193" s="176"/>
      <c r="AK193" s="176"/>
      <c r="AL193" s="176"/>
      <c r="AM193" s="176"/>
      <c r="AN193" s="176"/>
      <c r="AO193" s="176"/>
      <c r="AP193" s="176"/>
      <c r="AQ193" s="176"/>
      <c r="AR193" s="176"/>
      <c r="AS193" s="176"/>
      <c r="AT193" s="176"/>
      <c r="AU193" s="176"/>
      <c r="AV193" s="176"/>
      <c r="AW193" s="176"/>
      <c r="AX193" s="176"/>
      <c r="AY193" s="176"/>
      <c r="AZ193" s="176"/>
      <c r="BA193" s="176"/>
      <c r="BB193" s="176"/>
    </row>
    <row r="194" ht="15.75" customHeight="1">
      <c r="A194" s="176"/>
      <c r="B194" s="176"/>
      <c r="C194" s="176"/>
      <c r="D194" s="176"/>
      <c r="E194" s="176"/>
      <c r="F194" s="176"/>
      <c r="G194" s="176"/>
      <c r="H194" s="176"/>
      <c r="I194" s="176"/>
      <c r="J194" s="176"/>
      <c r="K194" s="176"/>
      <c r="L194" s="176"/>
      <c r="M194" s="176"/>
      <c r="N194" s="176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  <c r="AA194" s="176"/>
      <c r="AB194" s="176"/>
      <c r="AC194" s="176"/>
      <c r="AD194" s="176"/>
      <c r="AE194" s="176"/>
      <c r="AF194" s="176"/>
      <c r="AG194" s="176"/>
      <c r="AH194" s="176"/>
      <c r="AI194" s="176"/>
      <c r="AJ194" s="176"/>
      <c r="AK194" s="176"/>
      <c r="AL194" s="176"/>
      <c r="AM194" s="176"/>
      <c r="AN194" s="176"/>
      <c r="AO194" s="176"/>
      <c r="AP194" s="176"/>
      <c r="AQ194" s="176"/>
      <c r="AR194" s="176"/>
      <c r="AS194" s="176"/>
      <c r="AT194" s="176"/>
      <c r="AU194" s="176"/>
      <c r="AV194" s="176"/>
      <c r="AW194" s="176"/>
      <c r="AX194" s="176"/>
      <c r="AY194" s="176"/>
      <c r="AZ194" s="176"/>
      <c r="BA194" s="176"/>
      <c r="BB194" s="176"/>
    </row>
    <row r="195" ht="15.75" customHeight="1">
      <c r="A195" s="176"/>
      <c r="B195" s="176"/>
      <c r="C195" s="176"/>
      <c r="D195" s="176"/>
      <c r="E195" s="176"/>
      <c r="F195" s="176"/>
      <c r="G195" s="176"/>
      <c r="H195" s="176"/>
      <c r="I195" s="176"/>
      <c r="J195" s="176"/>
      <c r="K195" s="176"/>
      <c r="L195" s="176"/>
      <c r="M195" s="176"/>
      <c r="N195" s="176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  <c r="AA195" s="176"/>
      <c r="AB195" s="176"/>
      <c r="AC195" s="176"/>
      <c r="AD195" s="176"/>
      <c r="AE195" s="176"/>
      <c r="AF195" s="176"/>
      <c r="AG195" s="176"/>
      <c r="AH195" s="176"/>
      <c r="AI195" s="176"/>
      <c r="AJ195" s="176"/>
      <c r="AK195" s="176"/>
      <c r="AL195" s="176"/>
      <c r="AM195" s="176"/>
      <c r="AN195" s="176"/>
      <c r="AO195" s="176"/>
      <c r="AP195" s="176"/>
      <c r="AQ195" s="176"/>
      <c r="AR195" s="176"/>
      <c r="AS195" s="176"/>
      <c r="AT195" s="176"/>
      <c r="AU195" s="176"/>
      <c r="AV195" s="176"/>
      <c r="AW195" s="176"/>
      <c r="AX195" s="176"/>
      <c r="AY195" s="176"/>
      <c r="AZ195" s="176"/>
      <c r="BA195" s="176"/>
      <c r="BB195" s="176"/>
    </row>
    <row r="196" ht="15.75" customHeight="1">
      <c r="A196" s="176"/>
      <c r="B196" s="176"/>
      <c r="C196" s="176"/>
      <c r="D196" s="176"/>
      <c r="E196" s="176"/>
      <c r="F196" s="176"/>
      <c r="G196" s="176"/>
      <c r="H196" s="176"/>
      <c r="I196" s="176"/>
      <c r="J196" s="176"/>
      <c r="K196" s="176"/>
      <c r="L196" s="176"/>
      <c r="M196" s="176"/>
      <c r="N196" s="176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  <c r="AA196" s="176"/>
      <c r="AB196" s="176"/>
      <c r="AC196" s="176"/>
      <c r="AD196" s="176"/>
      <c r="AE196" s="176"/>
      <c r="AF196" s="176"/>
      <c r="AG196" s="176"/>
      <c r="AH196" s="176"/>
      <c r="AI196" s="176"/>
      <c r="AJ196" s="176"/>
      <c r="AK196" s="176"/>
      <c r="AL196" s="176"/>
      <c r="AM196" s="176"/>
      <c r="AN196" s="176"/>
      <c r="AO196" s="176"/>
      <c r="AP196" s="176"/>
      <c r="AQ196" s="176"/>
      <c r="AR196" s="176"/>
      <c r="AS196" s="176"/>
      <c r="AT196" s="176"/>
      <c r="AU196" s="176"/>
      <c r="AV196" s="176"/>
      <c r="AW196" s="176"/>
      <c r="AX196" s="176"/>
      <c r="AY196" s="176"/>
      <c r="AZ196" s="176"/>
      <c r="BA196" s="176"/>
      <c r="BB196" s="176"/>
    </row>
    <row r="197" ht="15.75" customHeight="1">
      <c r="A197" s="176"/>
      <c r="B197" s="176"/>
      <c r="C197" s="176"/>
      <c r="D197" s="176"/>
      <c r="E197" s="176"/>
      <c r="F197" s="176"/>
      <c r="G197" s="176"/>
      <c r="H197" s="176"/>
      <c r="I197" s="176"/>
      <c r="J197" s="176"/>
      <c r="K197" s="176"/>
      <c r="L197" s="176"/>
      <c r="M197" s="176"/>
      <c r="N197" s="176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  <c r="AA197" s="176"/>
      <c r="AB197" s="176"/>
      <c r="AC197" s="176"/>
      <c r="AD197" s="176"/>
      <c r="AE197" s="176"/>
      <c r="AF197" s="176"/>
      <c r="AG197" s="176"/>
      <c r="AH197" s="176"/>
      <c r="AI197" s="176"/>
      <c r="AJ197" s="176"/>
      <c r="AK197" s="176"/>
      <c r="AL197" s="176"/>
      <c r="AM197" s="176"/>
      <c r="AN197" s="176"/>
      <c r="AO197" s="176"/>
      <c r="AP197" s="176"/>
      <c r="AQ197" s="176"/>
      <c r="AR197" s="176"/>
      <c r="AS197" s="176"/>
      <c r="AT197" s="176"/>
      <c r="AU197" s="176"/>
      <c r="AV197" s="176"/>
      <c r="AW197" s="176"/>
      <c r="AX197" s="176"/>
      <c r="AY197" s="176"/>
      <c r="AZ197" s="176"/>
      <c r="BA197" s="176"/>
      <c r="BB197" s="176"/>
    </row>
    <row r="198" ht="15.75" customHeight="1">
      <c r="A198" s="176"/>
      <c r="B198" s="176"/>
      <c r="C198" s="176"/>
      <c r="D198" s="176"/>
      <c r="E198" s="176"/>
      <c r="F198" s="176"/>
      <c r="G198" s="176"/>
      <c r="H198" s="176"/>
      <c r="I198" s="176"/>
      <c r="J198" s="176"/>
      <c r="K198" s="176"/>
      <c r="L198" s="176"/>
      <c r="M198" s="176"/>
      <c r="N198" s="176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  <c r="AA198" s="176"/>
      <c r="AB198" s="176"/>
      <c r="AC198" s="176"/>
      <c r="AD198" s="176"/>
      <c r="AE198" s="176"/>
      <c r="AF198" s="176"/>
      <c r="AG198" s="176"/>
      <c r="AH198" s="176"/>
      <c r="AI198" s="176"/>
      <c r="AJ198" s="176"/>
      <c r="AK198" s="176"/>
      <c r="AL198" s="176"/>
      <c r="AM198" s="176"/>
      <c r="AN198" s="176"/>
      <c r="AO198" s="176"/>
      <c r="AP198" s="176"/>
      <c r="AQ198" s="176"/>
      <c r="AR198" s="176"/>
      <c r="AS198" s="176"/>
      <c r="AT198" s="176"/>
      <c r="AU198" s="176"/>
      <c r="AV198" s="176"/>
      <c r="AW198" s="176"/>
      <c r="AX198" s="176"/>
      <c r="AY198" s="176"/>
      <c r="AZ198" s="176"/>
      <c r="BA198" s="176"/>
      <c r="BB198" s="176"/>
    </row>
    <row r="199" ht="15.75" customHeight="1">
      <c r="A199" s="176"/>
      <c r="B199" s="176"/>
      <c r="C199" s="176"/>
      <c r="D199" s="176"/>
      <c r="E199" s="176"/>
      <c r="F199" s="176"/>
      <c r="G199" s="176"/>
      <c r="H199" s="176"/>
      <c r="I199" s="176"/>
      <c r="J199" s="176"/>
      <c r="K199" s="176"/>
      <c r="L199" s="176"/>
      <c r="M199" s="176"/>
      <c r="N199" s="176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  <c r="AA199" s="176"/>
      <c r="AB199" s="176"/>
      <c r="AC199" s="176"/>
      <c r="AD199" s="176"/>
      <c r="AE199" s="176"/>
      <c r="AF199" s="176"/>
      <c r="AG199" s="176"/>
      <c r="AH199" s="176"/>
      <c r="AI199" s="176"/>
      <c r="AJ199" s="176"/>
      <c r="AK199" s="176"/>
      <c r="AL199" s="176"/>
      <c r="AM199" s="176"/>
      <c r="AN199" s="176"/>
      <c r="AO199" s="176"/>
      <c r="AP199" s="176"/>
      <c r="AQ199" s="176"/>
      <c r="AR199" s="176"/>
      <c r="AS199" s="176"/>
      <c r="AT199" s="176"/>
      <c r="AU199" s="176"/>
      <c r="AV199" s="176"/>
      <c r="AW199" s="176"/>
      <c r="AX199" s="176"/>
      <c r="AY199" s="176"/>
      <c r="AZ199" s="176"/>
      <c r="BA199" s="176"/>
      <c r="BB199" s="176"/>
    </row>
    <row r="200" ht="15.75" customHeight="1">
      <c r="A200" s="176"/>
      <c r="B200" s="176"/>
      <c r="C200" s="176"/>
      <c r="D200" s="176"/>
      <c r="E200" s="176"/>
      <c r="F200" s="176"/>
      <c r="G200" s="176"/>
      <c r="H200" s="176"/>
      <c r="I200" s="176"/>
      <c r="J200" s="176"/>
      <c r="K200" s="176"/>
      <c r="L200" s="176"/>
      <c r="M200" s="176"/>
      <c r="N200" s="176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  <c r="AA200" s="176"/>
      <c r="AB200" s="176"/>
      <c r="AC200" s="176"/>
      <c r="AD200" s="176"/>
      <c r="AE200" s="176"/>
      <c r="AF200" s="176"/>
      <c r="AG200" s="176"/>
      <c r="AH200" s="176"/>
      <c r="AI200" s="176"/>
      <c r="AJ200" s="176"/>
      <c r="AK200" s="176"/>
      <c r="AL200" s="176"/>
      <c r="AM200" s="176"/>
      <c r="AN200" s="176"/>
      <c r="AO200" s="176"/>
      <c r="AP200" s="176"/>
      <c r="AQ200" s="176"/>
      <c r="AR200" s="176"/>
      <c r="AS200" s="176"/>
      <c r="AT200" s="176"/>
      <c r="AU200" s="176"/>
      <c r="AV200" s="176"/>
      <c r="AW200" s="176"/>
      <c r="AX200" s="176"/>
      <c r="AY200" s="176"/>
      <c r="AZ200" s="176"/>
      <c r="BA200" s="176"/>
      <c r="BB200" s="176"/>
    </row>
    <row r="201" ht="15.75" customHeight="1">
      <c r="A201" s="176"/>
      <c r="B201" s="176"/>
      <c r="C201" s="176"/>
      <c r="D201" s="176"/>
      <c r="E201" s="176"/>
      <c r="F201" s="176"/>
      <c r="G201" s="176"/>
      <c r="H201" s="176"/>
      <c r="I201" s="176"/>
      <c r="J201" s="176"/>
      <c r="K201" s="176"/>
      <c r="L201" s="176"/>
      <c r="M201" s="176"/>
      <c r="N201" s="176"/>
      <c r="O201" s="176"/>
      <c r="P201" s="176"/>
      <c r="Q201" s="176"/>
      <c r="R201" s="176"/>
      <c r="S201" s="176"/>
      <c r="T201" s="176"/>
      <c r="U201" s="176"/>
      <c r="V201" s="176"/>
      <c r="W201" s="176"/>
      <c r="X201" s="176"/>
      <c r="Y201" s="176"/>
      <c r="Z201" s="176"/>
      <c r="AA201" s="176"/>
      <c r="AB201" s="176"/>
      <c r="AC201" s="176"/>
      <c r="AD201" s="176"/>
      <c r="AE201" s="176"/>
      <c r="AF201" s="176"/>
      <c r="AG201" s="176"/>
      <c r="AH201" s="176"/>
      <c r="AI201" s="176"/>
      <c r="AJ201" s="176"/>
      <c r="AK201" s="176"/>
      <c r="AL201" s="176"/>
      <c r="AM201" s="176"/>
      <c r="AN201" s="176"/>
      <c r="AO201" s="176"/>
      <c r="AP201" s="176"/>
      <c r="AQ201" s="176"/>
      <c r="AR201" s="176"/>
      <c r="AS201" s="176"/>
      <c r="AT201" s="176"/>
      <c r="AU201" s="176"/>
      <c r="AV201" s="176"/>
      <c r="AW201" s="176"/>
      <c r="AX201" s="176"/>
      <c r="AY201" s="176"/>
      <c r="AZ201" s="176"/>
      <c r="BA201" s="176"/>
      <c r="BB201" s="176"/>
    </row>
    <row r="202" ht="15.75" customHeight="1">
      <c r="A202" s="176"/>
      <c r="B202" s="176"/>
      <c r="C202" s="176"/>
      <c r="D202" s="176"/>
      <c r="E202" s="176"/>
      <c r="F202" s="176"/>
      <c r="G202" s="176"/>
      <c r="H202" s="176"/>
      <c r="I202" s="176"/>
      <c r="J202" s="176"/>
      <c r="K202" s="176"/>
      <c r="L202" s="176"/>
      <c r="M202" s="176"/>
      <c r="N202" s="176"/>
      <c r="O202" s="176"/>
      <c r="P202" s="176"/>
      <c r="Q202" s="176"/>
      <c r="R202" s="176"/>
      <c r="S202" s="176"/>
      <c r="T202" s="176"/>
      <c r="U202" s="176"/>
      <c r="V202" s="176"/>
      <c r="W202" s="176"/>
      <c r="X202" s="176"/>
      <c r="Y202" s="176"/>
      <c r="Z202" s="176"/>
      <c r="AA202" s="176"/>
      <c r="AB202" s="176"/>
      <c r="AC202" s="176"/>
      <c r="AD202" s="176"/>
      <c r="AE202" s="176"/>
      <c r="AF202" s="176"/>
      <c r="AG202" s="176"/>
      <c r="AH202" s="176"/>
      <c r="AI202" s="176"/>
      <c r="AJ202" s="176"/>
      <c r="AK202" s="176"/>
      <c r="AL202" s="176"/>
      <c r="AM202" s="176"/>
      <c r="AN202" s="176"/>
      <c r="AO202" s="176"/>
      <c r="AP202" s="176"/>
      <c r="AQ202" s="176"/>
      <c r="AR202" s="176"/>
      <c r="AS202" s="176"/>
      <c r="AT202" s="176"/>
      <c r="AU202" s="176"/>
      <c r="AV202" s="176"/>
      <c r="AW202" s="176"/>
      <c r="AX202" s="176"/>
      <c r="AY202" s="176"/>
      <c r="AZ202" s="176"/>
      <c r="BA202" s="176"/>
      <c r="BB202" s="176"/>
    </row>
    <row r="203" ht="15.75" customHeight="1">
      <c r="A203" s="176"/>
      <c r="B203" s="176"/>
      <c r="C203" s="176"/>
      <c r="D203" s="176"/>
      <c r="E203" s="176"/>
      <c r="F203" s="176"/>
      <c r="G203" s="176"/>
      <c r="H203" s="176"/>
      <c r="I203" s="176"/>
      <c r="J203" s="176"/>
      <c r="K203" s="176"/>
      <c r="L203" s="176"/>
      <c r="M203" s="176"/>
      <c r="N203" s="176"/>
      <c r="O203" s="176"/>
      <c r="P203" s="176"/>
      <c r="Q203" s="176"/>
      <c r="R203" s="176"/>
      <c r="S203" s="176"/>
      <c r="T203" s="176"/>
      <c r="U203" s="176"/>
      <c r="V203" s="176"/>
      <c r="W203" s="176"/>
      <c r="X203" s="176"/>
      <c r="Y203" s="176"/>
      <c r="Z203" s="176"/>
      <c r="AA203" s="176"/>
      <c r="AB203" s="176"/>
      <c r="AC203" s="176"/>
      <c r="AD203" s="176"/>
      <c r="AE203" s="176"/>
      <c r="AF203" s="176"/>
      <c r="AG203" s="176"/>
      <c r="AH203" s="176"/>
      <c r="AI203" s="176"/>
      <c r="AJ203" s="176"/>
      <c r="AK203" s="176"/>
      <c r="AL203" s="176"/>
      <c r="AM203" s="176"/>
      <c r="AN203" s="176"/>
      <c r="AO203" s="176"/>
      <c r="AP203" s="176"/>
      <c r="AQ203" s="176"/>
      <c r="AR203" s="176"/>
      <c r="AS203" s="176"/>
      <c r="AT203" s="176"/>
      <c r="AU203" s="176"/>
      <c r="AV203" s="176"/>
      <c r="AW203" s="176"/>
      <c r="AX203" s="176"/>
      <c r="AY203" s="176"/>
      <c r="AZ203" s="176"/>
      <c r="BA203" s="176"/>
      <c r="BB203" s="176"/>
    </row>
    <row r="204" ht="15.75" customHeight="1">
      <c r="A204" s="176"/>
      <c r="B204" s="176"/>
      <c r="C204" s="176"/>
      <c r="D204" s="176"/>
      <c r="E204" s="176"/>
      <c r="F204" s="176"/>
      <c r="G204" s="176"/>
      <c r="H204" s="176"/>
      <c r="I204" s="176"/>
      <c r="J204" s="176"/>
      <c r="K204" s="176"/>
      <c r="L204" s="176"/>
      <c r="M204" s="176"/>
      <c r="N204" s="176"/>
      <c r="O204" s="176"/>
      <c r="P204" s="176"/>
      <c r="Q204" s="176"/>
      <c r="R204" s="176"/>
      <c r="S204" s="176"/>
      <c r="T204" s="176"/>
      <c r="U204" s="176"/>
      <c r="V204" s="176"/>
      <c r="W204" s="176"/>
      <c r="X204" s="176"/>
      <c r="Y204" s="176"/>
      <c r="Z204" s="176"/>
      <c r="AA204" s="176"/>
      <c r="AB204" s="176"/>
      <c r="AC204" s="176"/>
      <c r="AD204" s="176"/>
      <c r="AE204" s="176"/>
      <c r="AF204" s="176"/>
      <c r="AG204" s="176"/>
      <c r="AH204" s="176"/>
      <c r="AI204" s="176"/>
      <c r="AJ204" s="176"/>
      <c r="AK204" s="176"/>
      <c r="AL204" s="176"/>
      <c r="AM204" s="176"/>
      <c r="AN204" s="176"/>
      <c r="AO204" s="176"/>
      <c r="AP204" s="176"/>
      <c r="AQ204" s="176"/>
      <c r="AR204" s="176"/>
      <c r="AS204" s="176"/>
      <c r="AT204" s="176"/>
      <c r="AU204" s="176"/>
      <c r="AV204" s="176"/>
      <c r="AW204" s="176"/>
      <c r="AX204" s="176"/>
      <c r="AY204" s="176"/>
      <c r="AZ204" s="176"/>
      <c r="BA204" s="176"/>
      <c r="BB204" s="176"/>
    </row>
    <row r="205" ht="15.75" customHeight="1">
      <c r="A205" s="176"/>
      <c r="B205" s="176"/>
      <c r="C205" s="176"/>
      <c r="D205" s="176"/>
      <c r="E205" s="176"/>
      <c r="F205" s="176"/>
      <c r="G205" s="176"/>
      <c r="H205" s="176"/>
      <c r="I205" s="176"/>
      <c r="J205" s="176"/>
      <c r="K205" s="176"/>
      <c r="L205" s="176"/>
      <c r="M205" s="176"/>
      <c r="N205" s="176"/>
      <c r="O205" s="176"/>
      <c r="P205" s="176"/>
      <c r="Q205" s="176"/>
      <c r="R205" s="176"/>
      <c r="S205" s="176"/>
      <c r="T205" s="176"/>
      <c r="U205" s="176"/>
      <c r="V205" s="176"/>
      <c r="W205" s="176"/>
      <c r="X205" s="176"/>
      <c r="Y205" s="176"/>
      <c r="Z205" s="176"/>
      <c r="AA205" s="176"/>
      <c r="AB205" s="176"/>
      <c r="AC205" s="176"/>
      <c r="AD205" s="176"/>
      <c r="AE205" s="176"/>
      <c r="AF205" s="176"/>
      <c r="AG205" s="176"/>
      <c r="AH205" s="176"/>
      <c r="AI205" s="176"/>
      <c r="AJ205" s="176"/>
      <c r="AK205" s="176"/>
      <c r="AL205" s="176"/>
      <c r="AM205" s="176"/>
      <c r="AN205" s="176"/>
      <c r="AO205" s="176"/>
      <c r="AP205" s="176"/>
      <c r="AQ205" s="176"/>
      <c r="AR205" s="176"/>
      <c r="AS205" s="176"/>
      <c r="AT205" s="176"/>
      <c r="AU205" s="176"/>
      <c r="AV205" s="176"/>
      <c r="AW205" s="176"/>
      <c r="AX205" s="176"/>
      <c r="AY205" s="176"/>
      <c r="AZ205" s="176"/>
      <c r="BA205" s="176"/>
      <c r="BB205" s="176"/>
    </row>
    <row r="206" ht="15.75" customHeight="1">
      <c r="A206" s="176"/>
      <c r="B206" s="176"/>
      <c r="C206" s="176"/>
      <c r="D206" s="176"/>
      <c r="E206" s="176"/>
      <c r="F206" s="176"/>
      <c r="G206" s="176"/>
      <c r="H206" s="176"/>
      <c r="I206" s="176"/>
      <c r="J206" s="176"/>
      <c r="K206" s="176"/>
      <c r="L206" s="176"/>
      <c r="M206" s="176"/>
      <c r="N206" s="176"/>
      <c r="O206" s="176"/>
      <c r="P206" s="176"/>
      <c r="Q206" s="176"/>
      <c r="R206" s="176"/>
      <c r="S206" s="176"/>
      <c r="T206" s="176"/>
      <c r="U206" s="176"/>
      <c r="V206" s="176"/>
      <c r="W206" s="176"/>
      <c r="X206" s="176"/>
      <c r="Y206" s="176"/>
      <c r="Z206" s="176"/>
      <c r="AA206" s="176"/>
      <c r="AB206" s="176"/>
      <c r="AC206" s="176"/>
      <c r="AD206" s="176"/>
      <c r="AE206" s="176"/>
      <c r="AF206" s="176"/>
      <c r="AG206" s="176"/>
      <c r="AH206" s="176"/>
      <c r="AI206" s="176"/>
      <c r="AJ206" s="176"/>
      <c r="AK206" s="176"/>
      <c r="AL206" s="176"/>
      <c r="AM206" s="176"/>
      <c r="AN206" s="176"/>
      <c r="AO206" s="176"/>
      <c r="AP206" s="176"/>
      <c r="AQ206" s="176"/>
      <c r="AR206" s="176"/>
      <c r="AS206" s="176"/>
      <c r="AT206" s="176"/>
      <c r="AU206" s="176"/>
      <c r="AV206" s="176"/>
      <c r="AW206" s="176"/>
      <c r="AX206" s="176"/>
      <c r="AY206" s="176"/>
      <c r="AZ206" s="176"/>
      <c r="BA206" s="176"/>
      <c r="BB206" s="176"/>
    </row>
    <row r="207" ht="15.75" customHeight="1">
      <c r="A207" s="176"/>
      <c r="B207" s="176"/>
      <c r="C207" s="176"/>
      <c r="D207" s="176"/>
      <c r="E207" s="176"/>
      <c r="F207" s="176"/>
      <c r="G207" s="176"/>
      <c r="H207" s="176"/>
      <c r="I207" s="176"/>
      <c r="J207" s="176"/>
      <c r="K207" s="176"/>
      <c r="L207" s="176"/>
      <c r="M207" s="176"/>
      <c r="N207" s="176"/>
      <c r="O207" s="176"/>
      <c r="P207" s="176"/>
      <c r="Q207" s="176"/>
      <c r="R207" s="176"/>
      <c r="S207" s="176"/>
      <c r="T207" s="176"/>
      <c r="U207" s="176"/>
      <c r="V207" s="176"/>
      <c r="W207" s="176"/>
      <c r="X207" s="176"/>
      <c r="Y207" s="176"/>
      <c r="Z207" s="176"/>
      <c r="AA207" s="176"/>
      <c r="AB207" s="176"/>
      <c r="AC207" s="176"/>
      <c r="AD207" s="176"/>
      <c r="AE207" s="176"/>
      <c r="AF207" s="176"/>
      <c r="AG207" s="176"/>
      <c r="AH207" s="176"/>
      <c r="AI207" s="176"/>
      <c r="AJ207" s="176"/>
      <c r="AK207" s="176"/>
      <c r="AL207" s="176"/>
      <c r="AM207" s="176"/>
      <c r="AN207" s="176"/>
      <c r="AO207" s="176"/>
      <c r="AP207" s="176"/>
      <c r="AQ207" s="176"/>
      <c r="AR207" s="176"/>
      <c r="AS207" s="176"/>
      <c r="AT207" s="176"/>
      <c r="AU207" s="176"/>
      <c r="AV207" s="176"/>
      <c r="AW207" s="176"/>
      <c r="AX207" s="176"/>
      <c r="AY207" s="176"/>
      <c r="AZ207" s="176"/>
      <c r="BA207" s="176"/>
      <c r="BB207" s="176"/>
    </row>
    <row r="208" ht="15.75" customHeight="1">
      <c r="A208" s="176"/>
      <c r="B208" s="176"/>
      <c r="C208" s="176"/>
      <c r="D208" s="176"/>
      <c r="E208" s="176"/>
      <c r="F208" s="176"/>
      <c r="G208" s="176"/>
      <c r="H208" s="176"/>
      <c r="I208" s="176"/>
      <c r="J208" s="176"/>
      <c r="K208" s="176"/>
      <c r="L208" s="176"/>
      <c r="M208" s="176"/>
      <c r="N208" s="176"/>
      <c r="O208" s="176"/>
      <c r="P208" s="176"/>
      <c r="Q208" s="176"/>
      <c r="R208" s="176"/>
      <c r="S208" s="176"/>
      <c r="T208" s="176"/>
      <c r="U208" s="176"/>
      <c r="V208" s="176"/>
      <c r="W208" s="176"/>
      <c r="X208" s="176"/>
      <c r="Y208" s="176"/>
      <c r="Z208" s="176"/>
      <c r="AA208" s="176"/>
      <c r="AB208" s="176"/>
      <c r="AC208" s="176"/>
      <c r="AD208" s="176"/>
      <c r="AE208" s="176"/>
      <c r="AF208" s="176"/>
      <c r="AG208" s="176"/>
      <c r="AH208" s="176"/>
      <c r="AI208" s="176"/>
      <c r="AJ208" s="176"/>
      <c r="AK208" s="176"/>
      <c r="AL208" s="176"/>
      <c r="AM208" s="176"/>
      <c r="AN208" s="176"/>
      <c r="AO208" s="176"/>
      <c r="AP208" s="176"/>
      <c r="AQ208" s="176"/>
      <c r="AR208" s="176"/>
      <c r="AS208" s="176"/>
      <c r="AT208" s="176"/>
      <c r="AU208" s="176"/>
      <c r="AV208" s="176"/>
      <c r="AW208" s="176"/>
      <c r="AX208" s="176"/>
      <c r="AY208" s="176"/>
      <c r="AZ208" s="176"/>
      <c r="BA208" s="176"/>
      <c r="BB208" s="176"/>
    </row>
    <row r="209" ht="15.75" customHeight="1">
      <c r="A209" s="176"/>
      <c r="B209" s="176"/>
      <c r="C209" s="176"/>
      <c r="D209" s="176"/>
      <c r="E209" s="176"/>
      <c r="F209" s="176"/>
      <c r="G209" s="176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6"/>
      <c r="S209" s="176"/>
      <c r="T209" s="176"/>
      <c r="U209" s="176"/>
      <c r="V209" s="176"/>
      <c r="W209" s="176"/>
      <c r="X209" s="176"/>
      <c r="Y209" s="176"/>
      <c r="Z209" s="176"/>
      <c r="AA209" s="176"/>
      <c r="AB209" s="176"/>
      <c r="AC209" s="176"/>
      <c r="AD209" s="176"/>
      <c r="AE209" s="176"/>
      <c r="AF209" s="176"/>
      <c r="AG209" s="176"/>
      <c r="AH209" s="176"/>
      <c r="AI209" s="176"/>
      <c r="AJ209" s="176"/>
      <c r="AK209" s="176"/>
      <c r="AL209" s="176"/>
      <c r="AM209" s="176"/>
      <c r="AN209" s="176"/>
      <c r="AO209" s="176"/>
      <c r="AP209" s="176"/>
      <c r="AQ209" s="176"/>
      <c r="AR209" s="176"/>
      <c r="AS209" s="176"/>
      <c r="AT209" s="176"/>
      <c r="AU209" s="176"/>
      <c r="AV209" s="176"/>
      <c r="AW209" s="176"/>
      <c r="AX209" s="176"/>
      <c r="AY209" s="176"/>
      <c r="AZ209" s="176"/>
      <c r="BA209" s="176"/>
      <c r="BB209" s="176"/>
    </row>
    <row r="210" ht="15.75" customHeight="1">
      <c r="A210" s="176"/>
      <c r="B210" s="176"/>
      <c r="C210" s="176"/>
      <c r="D210" s="176"/>
      <c r="E210" s="176"/>
      <c r="F210" s="176"/>
      <c r="G210" s="176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6"/>
      <c r="S210" s="176"/>
      <c r="T210" s="176"/>
      <c r="U210" s="176"/>
      <c r="V210" s="176"/>
      <c r="W210" s="176"/>
      <c r="X210" s="176"/>
      <c r="Y210" s="176"/>
      <c r="Z210" s="176"/>
      <c r="AA210" s="176"/>
      <c r="AB210" s="176"/>
      <c r="AC210" s="176"/>
      <c r="AD210" s="176"/>
      <c r="AE210" s="176"/>
      <c r="AF210" s="176"/>
      <c r="AG210" s="176"/>
      <c r="AH210" s="176"/>
      <c r="AI210" s="176"/>
      <c r="AJ210" s="176"/>
      <c r="AK210" s="176"/>
      <c r="AL210" s="176"/>
      <c r="AM210" s="176"/>
      <c r="AN210" s="176"/>
      <c r="AO210" s="176"/>
      <c r="AP210" s="176"/>
      <c r="AQ210" s="176"/>
      <c r="AR210" s="176"/>
      <c r="AS210" s="176"/>
      <c r="AT210" s="176"/>
      <c r="AU210" s="176"/>
      <c r="AV210" s="176"/>
      <c r="AW210" s="176"/>
      <c r="AX210" s="176"/>
      <c r="AY210" s="176"/>
      <c r="AZ210" s="176"/>
      <c r="BA210" s="176"/>
      <c r="BB210" s="176"/>
    </row>
    <row r="211" ht="15.75" customHeight="1">
      <c r="A211" s="176"/>
      <c r="B211" s="176"/>
      <c r="C211" s="176"/>
      <c r="D211" s="176"/>
      <c r="E211" s="176"/>
      <c r="F211" s="176"/>
      <c r="G211" s="176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6"/>
      <c r="S211" s="176"/>
      <c r="T211" s="176"/>
      <c r="U211" s="176"/>
      <c r="V211" s="176"/>
      <c r="W211" s="176"/>
      <c r="X211" s="176"/>
      <c r="Y211" s="176"/>
      <c r="Z211" s="176"/>
      <c r="AA211" s="176"/>
      <c r="AB211" s="176"/>
      <c r="AC211" s="176"/>
      <c r="AD211" s="176"/>
      <c r="AE211" s="176"/>
      <c r="AF211" s="176"/>
      <c r="AG211" s="176"/>
      <c r="AH211" s="176"/>
      <c r="AI211" s="176"/>
      <c r="AJ211" s="176"/>
      <c r="AK211" s="176"/>
      <c r="AL211" s="176"/>
      <c r="AM211" s="176"/>
      <c r="AN211" s="176"/>
      <c r="AO211" s="176"/>
      <c r="AP211" s="176"/>
      <c r="AQ211" s="176"/>
      <c r="AR211" s="176"/>
      <c r="AS211" s="176"/>
      <c r="AT211" s="176"/>
      <c r="AU211" s="176"/>
      <c r="AV211" s="176"/>
      <c r="AW211" s="176"/>
      <c r="AX211" s="176"/>
      <c r="AY211" s="176"/>
      <c r="AZ211" s="176"/>
      <c r="BA211" s="176"/>
      <c r="BB211" s="176"/>
    </row>
    <row r="212" ht="15.75" customHeight="1">
      <c r="A212" s="176"/>
      <c r="B212" s="176"/>
      <c r="C212" s="176"/>
      <c r="D212" s="176"/>
      <c r="E212" s="176"/>
      <c r="F212" s="176"/>
      <c r="G212" s="176"/>
      <c r="H212" s="176"/>
      <c r="I212" s="176"/>
      <c r="J212" s="176"/>
      <c r="K212" s="176"/>
      <c r="L212" s="176"/>
      <c r="M212" s="176"/>
      <c r="N212" s="176"/>
      <c r="O212" s="176"/>
      <c r="P212" s="176"/>
      <c r="Q212" s="176"/>
      <c r="R212" s="176"/>
      <c r="S212" s="176"/>
      <c r="T212" s="176"/>
      <c r="U212" s="176"/>
      <c r="V212" s="176"/>
      <c r="W212" s="176"/>
      <c r="X212" s="176"/>
      <c r="Y212" s="176"/>
      <c r="Z212" s="176"/>
      <c r="AA212" s="176"/>
      <c r="AB212" s="176"/>
      <c r="AC212" s="176"/>
      <c r="AD212" s="176"/>
      <c r="AE212" s="176"/>
      <c r="AF212" s="176"/>
      <c r="AG212" s="176"/>
      <c r="AH212" s="176"/>
      <c r="AI212" s="176"/>
      <c r="AJ212" s="176"/>
      <c r="AK212" s="176"/>
      <c r="AL212" s="176"/>
      <c r="AM212" s="176"/>
      <c r="AN212" s="176"/>
      <c r="AO212" s="176"/>
      <c r="AP212" s="176"/>
      <c r="AQ212" s="176"/>
      <c r="AR212" s="176"/>
      <c r="AS212" s="176"/>
      <c r="AT212" s="176"/>
      <c r="AU212" s="176"/>
      <c r="AV212" s="176"/>
      <c r="AW212" s="176"/>
      <c r="AX212" s="176"/>
      <c r="AY212" s="176"/>
      <c r="AZ212" s="176"/>
      <c r="BA212" s="176"/>
      <c r="BB212" s="176"/>
    </row>
    <row r="213" ht="15.75" customHeight="1">
      <c r="A213" s="176"/>
      <c r="B213" s="176"/>
      <c r="C213" s="176"/>
      <c r="D213" s="176"/>
      <c r="E213" s="176"/>
      <c r="F213" s="176"/>
      <c r="G213" s="176"/>
      <c r="H213" s="176"/>
      <c r="I213" s="176"/>
      <c r="J213" s="176"/>
      <c r="K213" s="176"/>
      <c r="L213" s="176"/>
      <c r="M213" s="176"/>
      <c r="N213" s="176"/>
      <c r="O213" s="176"/>
      <c r="P213" s="176"/>
      <c r="Q213" s="176"/>
      <c r="R213" s="176"/>
      <c r="S213" s="176"/>
      <c r="T213" s="176"/>
      <c r="U213" s="176"/>
      <c r="V213" s="176"/>
      <c r="W213" s="176"/>
      <c r="X213" s="176"/>
      <c r="Y213" s="176"/>
      <c r="Z213" s="176"/>
      <c r="AA213" s="176"/>
      <c r="AB213" s="176"/>
      <c r="AC213" s="176"/>
      <c r="AD213" s="176"/>
      <c r="AE213" s="176"/>
      <c r="AF213" s="176"/>
      <c r="AG213" s="176"/>
      <c r="AH213" s="176"/>
      <c r="AI213" s="176"/>
      <c r="AJ213" s="176"/>
      <c r="AK213" s="176"/>
      <c r="AL213" s="176"/>
      <c r="AM213" s="176"/>
      <c r="AN213" s="176"/>
      <c r="AO213" s="176"/>
      <c r="AP213" s="176"/>
      <c r="AQ213" s="176"/>
      <c r="AR213" s="176"/>
      <c r="AS213" s="176"/>
      <c r="AT213" s="176"/>
      <c r="AU213" s="176"/>
      <c r="AV213" s="176"/>
      <c r="AW213" s="176"/>
      <c r="AX213" s="176"/>
      <c r="AY213" s="176"/>
      <c r="AZ213" s="176"/>
      <c r="BA213" s="176"/>
      <c r="BB213" s="176"/>
    </row>
    <row r="214" ht="15.75" customHeight="1">
      <c r="A214" s="176"/>
      <c r="B214" s="176"/>
      <c r="C214" s="176"/>
      <c r="D214" s="176"/>
      <c r="E214" s="176"/>
      <c r="F214" s="176"/>
      <c r="G214" s="176"/>
      <c r="H214" s="176"/>
      <c r="I214" s="176"/>
      <c r="J214" s="176"/>
      <c r="K214" s="176"/>
      <c r="L214" s="176"/>
      <c r="M214" s="176"/>
      <c r="N214" s="176"/>
      <c r="O214" s="176"/>
      <c r="P214" s="176"/>
      <c r="Q214" s="176"/>
      <c r="R214" s="176"/>
      <c r="S214" s="176"/>
      <c r="T214" s="176"/>
      <c r="U214" s="176"/>
      <c r="V214" s="176"/>
      <c r="W214" s="176"/>
      <c r="X214" s="176"/>
      <c r="Y214" s="176"/>
      <c r="Z214" s="176"/>
      <c r="AA214" s="176"/>
      <c r="AB214" s="176"/>
      <c r="AC214" s="176"/>
      <c r="AD214" s="176"/>
      <c r="AE214" s="176"/>
      <c r="AF214" s="176"/>
      <c r="AG214" s="176"/>
      <c r="AH214" s="176"/>
      <c r="AI214" s="176"/>
      <c r="AJ214" s="176"/>
      <c r="AK214" s="176"/>
      <c r="AL214" s="176"/>
      <c r="AM214" s="176"/>
      <c r="AN214" s="176"/>
      <c r="AO214" s="176"/>
      <c r="AP214" s="176"/>
      <c r="AQ214" s="176"/>
      <c r="AR214" s="176"/>
      <c r="AS214" s="176"/>
      <c r="AT214" s="176"/>
      <c r="AU214" s="176"/>
      <c r="AV214" s="176"/>
      <c r="AW214" s="176"/>
      <c r="AX214" s="176"/>
      <c r="AY214" s="176"/>
      <c r="AZ214" s="176"/>
      <c r="BA214" s="176"/>
      <c r="BB214" s="176"/>
    </row>
    <row r="215" ht="15.75" customHeight="1">
      <c r="A215" s="176"/>
      <c r="B215" s="176"/>
      <c r="C215" s="176"/>
      <c r="D215" s="176"/>
      <c r="E215" s="176"/>
      <c r="F215" s="176"/>
      <c r="G215" s="176"/>
      <c r="H215" s="176"/>
      <c r="I215" s="176"/>
      <c r="J215" s="176"/>
      <c r="K215" s="176"/>
      <c r="L215" s="176"/>
      <c r="M215" s="176"/>
      <c r="N215" s="176"/>
      <c r="O215" s="176"/>
      <c r="P215" s="176"/>
      <c r="Q215" s="176"/>
      <c r="R215" s="176"/>
      <c r="S215" s="176"/>
      <c r="T215" s="176"/>
      <c r="U215" s="176"/>
      <c r="V215" s="176"/>
      <c r="W215" s="176"/>
      <c r="X215" s="176"/>
      <c r="Y215" s="176"/>
      <c r="Z215" s="176"/>
      <c r="AA215" s="176"/>
      <c r="AB215" s="176"/>
      <c r="AC215" s="176"/>
      <c r="AD215" s="176"/>
      <c r="AE215" s="176"/>
      <c r="AF215" s="176"/>
      <c r="AG215" s="176"/>
      <c r="AH215" s="176"/>
      <c r="AI215" s="176"/>
      <c r="AJ215" s="176"/>
      <c r="AK215" s="176"/>
      <c r="AL215" s="176"/>
      <c r="AM215" s="176"/>
      <c r="AN215" s="176"/>
      <c r="AO215" s="176"/>
      <c r="AP215" s="176"/>
      <c r="AQ215" s="176"/>
      <c r="AR215" s="176"/>
      <c r="AS215" s="176"/>
      <c r="AT215" s="176"/>
      <c r="AU215" s="176"/>
      <c r="AV215" s="176"/>
      <c r="AW215" s="176"/>
      <c r="AX215" s="176"/>
      <c r="AY215" s="176"/>
      <c r="AZ215" s="176"/>
      <c r="BA215" s="176"/>
      <c r="BB215" s="176"/>
    </row>
    <row r="216" ht="15.75" customHeight="1">
      <c r="A216" s="176"/>
      <c r="B216" s="176"/>
      <c r="C216" s="176"/>
      <c r="D216" s="176"/>
      <c r="E216" s="176"/>
      <c r="F216" s="176"/>
      <c r="G216" s="176"/>
      <c r="H216" s="176"/>
      <c r="I216" s="176"/>
      <c r="J216" s="176"/>
      <c r="K216" s="176"/>
      <c r="L216" s="176"/>
      <c r="M216" s="176"/>
      <c r="N216" s="176"/>
      <c r="O216" s="176"/>
      <c r="P216" s="176"/>
      <c r="Q216" s="176"/>
      <c r="R216" s="176"/>
      <c r="S216" s="176"/>
      <c r="T216" s="176"/>
      <c r="U216" s="176"/>
      <c r="V216" s="176"/>
      <c r="W216" s="176"/>
      <c r="X216" s="176"/>
      <c r="Y216" s="176"/>
      <c r="Z216" s="176"/>
      <c r="AA216" s="176"/>
      <c r="AB216" s="176"/>
      <c r="AC216" s="176"/>
      <c r="AD216" s="176"/>
      <c r="AE216" s="176"/>
      <c r="AF216" s="176"/>
      <c r="AG216" s="176"/>
      <c r="AH216" s="176"/>
      <c r="AI216" s="176"/>
      <c r="AJ216" s="176"/>
      <c r="AK216" s="176"/>
      <c r="AL216" s="176"/>
      <c r="AM216" s="176"/>
      <c r="AN216" s="176"/>
      <c r="AO216" s="176"/>
      <c r="AP216" s="176"/>
      <c r="AQ216" s="176"/>
      <c r="AR216" s="176"/>
      <c r="AS216" s="176"/>
      <c r="AT216" s="176"/>
      <c r="AU216" s="176"/>
      <c r="AV216" s="176"/>
      <c r="AW216" s="176"/>
      <c r="AX216" s="176"/>
      <c r="AY216" s="176"/>
      <c r="AZ216" s="176"/>
      <c r="BA216" s="176"/>
      <c r="BB216" s="176"/>
    </row>
    <row r="217" ht="15.75" customHeight="1">
      <c r="A217" s="176"/>
      <c r="B217" s="176"/>
      <c r="C217" s="176"/>
      <c r="D217" s="176"/>
      <c r="E217" s="176"/>
      <c r="F217" s="176"/>
      <c r="G217" s="176"/>
      <c r="H217" s="176"/>
      <c r="I217" s="176"/>
      <c r="J217" s="176"/>
      <c r="K217" s="176"/>
      <c r="L217" s="176"/>
      <c r="M217" s="176"/>
      <c r="N217" s="176"/>
      <c r="O217" s="176"/>
      <c r="P217" s="176"/>
      <c r="Q217" s="176"/>
      <c r="R217" s="176"/>
      <c r="S217" s="176"/>
      <c r="T217" s="176"/>
      <c r="U217" s="176"/>
      <c r="V217" s="176"/>
      <c r="W217" s="176"/>
      <c r="X217" s="176"/>
      <c r="Y217" s="176"/>
      <c r="Z217" s="176"/>
      <c r="AA217" s="176"/>
      <c r="AB217" s="176"/>
      <c r="AC217" s="176"/>
      <c r="AD217" s="176"/>
      <c r="AE217" s="176"/>
      <c r="AF217" s="176"/>
      <c r="AG217" s="176"/>
      <c r="AH217" s="176"/>
      <c r="AI217" s="176"/>
      <c r="AJ217" s="176"/>
      <c r="AK217" s="176"/>
      <c r="AL217" s="176"/>
      <c r="AM217" s="176"/>
      <c r="AN217" s="176"/>
      <c r="AO217" s="176"/>
      <c r="AP217" s="176"/>
      <c r="AQ217" s="176"/>
      <c r="AR217" s="176"/>
      <c r="AS217" s="176"/>
      <c r="AT217" s="176"/>
      <c r="AU217" s="176"/>
      <c r="AV217" s="176"/>
      <c r="AW217" s="176"/>
      <c r="AX217" s="176"/>
      <c r="AY217" s="176"/>
      <c r="AZ217" s="176"/>
      <c r="BA217" s="176"/>
      <c r="BB217" s="176"/>
    </row>
    <row r="218" ht="15.75" customHeight="1">
      <c r="A218" s="176"/>
      <c r="B218" s="176"/>
      <c r="C218" s="176"/>
      <c r="D218" s="176"/>
      <c r="E218" s="176"/>
      <c r="F218" s="176"/>
      <c r="G218" s="176"/>
      <c r="H218" s="176"/>
      <c r="I218" s="176"/>
      <c r="J218" s="176"/>
      <c r="K218" s="176"/>
      <c r="L218" s="176"/>
      <c r="M218" s="176"/>
      <c r="N218" s="176"/>
      <c r="O218" s="176"/>
      <c r="P218" s="176"/>
      <c r="Q218" s="176"/>
      <c r="R218" s="176"/>
      <c r="S218" s="176"/>
      <c r="T218" s="176"/>
      <c r="U218" s="176"/>
      <c r="V218" s="176"/>
      <c r="W218" s="176"/>
      <c r="X218" s="176"/>
      <c r="Y218" s="176"/>
      <c r="Z218" s="176"/>
      <c r="AA218" s="176"/>
      <c r="AB218" s="176"/>
      <c r="AC218" s="176"/>
      <c r="AD218" s="176"/>
      <c r="AE218" s="176"/>
      <c r="AF218" s="176"/>
      <c r="AG218" s="176"/>
      <c r="AH218" s="176"/>
      <c r="AI218" s="176"/>
      <c r="AJ218" s="176"/>
      <c r="AK218" s="176"/>
      <c r="AL218" s="176"/>
      <c r="AM218" s="176"/>
      <c r="AN218" s="176"/>
      <c r="AO218" s="176"/>
      <c r="AP218" s="176"/>
      <c r="AQ218" s="176"/>
      <c r="AR218" s="176"/>
      <c r="AS218" s="176"/>
      <c r="AT218" s="176"/>
      <c r="AU218" s="176"/>
      <c r="AV218" s="176"/>
      <c r="AW218" s="176"/>
      <c r="AX218" s="176"/>
      <c r="AY218" s="176"/>
      <c r="AZ218" s="176"/>
      <c r="BA218" s="176"/>
      <c r="BB218" s="176"/>
    </row>
    <row r="219" ht="15.75" customHeight="1">
      <c r="A219" s="176"/>
      <c r="B219" s="176"/>
      <c r="C219" s="176"/>
      <c r="D219" s="176"/>
      <c r="E219" s="176"/>
      <c r="F219" s="176"/>
      <c r="G219" s="176"/>
      <c r="H219" s="176"/>
      <c r="I219" s="176"/>
      <c r="J219" s="176"/>
      <c r="K219" s="176"/>
      <c r="L219" s="176"/>
      <c r="M219" s="176"/>
      <c r="N219" s="176"/>
      <c r="O219" s="176"/>
      <c r="P219" s="176"/>
      <c r="Q219" s="176"/>
      <c r="R219" s="176"/>
      <c r="S219" s="176"/>
      <c r="T219" s="176"/>
      <c r="U219" s="176"/>
      <c r="V219" s="176"/>
      <c r="W219" s="176"/>
      <c r="X219" s="176"/>
      <c r="Y219" s="176"/>
      <c r="Z219" s="176"/>
      <c r="AA219" s="176"/>
      <c r="AB219" s="176"/>
      <c r="AC219" s="176"/>
      <c r="AD219" s="176"/>
      <c r="AE219" s="176"/>
      <c r="AF219" s="176"/>
      <c r="AG219" s="176"/>
      <c r="AH219" s="176"/>
      <c r="AI219" s="176"/>
      <c r="AJ219" s="176"/>
      <c r="AK219" s="176"/>
      <c r="AL219" s="176"/>
      <c r="AM219" s="176"/>
      <c r="AN219" s="176"/>
      <c r="AO219" s="176"/>
      <c r="AP219" s="176"/>
      <c r="AQ219" s="176"/>
      <c r="AR219" s="176"/>
      <c r="AS219" s="176"/>
      <c r="AT219" s="176"/>
      <c r="AU219" s="176"/>
      <c r="AV219" s="176"/>
      <c r="AW219" s="176"/>
      <c r="AX219" s="176"/>
      <c r="AY219" s="176"/>
      <c r="AZ219" s="176"/>
      <c r="BA219" s="176"/>
      <c r="BB219" s="176"/>
    </row>
    <row r="220" ht="15.75" customHeight="1">
      <c r="A220" s="176"/>
      <c r="B220" s="176"/>
      <c r="C220" s="176"/>
      <c r="D220" s="176"/>
      <c r="E220" s="176"/>
      <c r="F220" s="176"/>
      <c r="G220" s="176"/>
      <c r="H220" s="176"/>
      <c r="I220" s="176"/>
      <c r="J220" s="176"/>
      <c r="K220" s="176"/>
      <c r="L220" s="176"/>
      <c r="M220" s="176"/>
      <c r="N220" s="176"/>
      <c r="O220" s="176"/>
      <c r="P220" s="176"/>
      <c r="Q220" s="176"/>
      <c r="R220" s="176"/>
      <c r="S220" s="176"/>
      <c r="T220" s="176"/>
      <c r="U220" s="176"/>
      <c r="V220" s="176"/>
      <c r="W220" s="176"/>
      <c r="X220" s="176"/>
      <c r="Y220" s="176"/>
      <c r="Z220" s="176"/>
      <c r="AA220" s="176"/>
      <c r="AB220" s="176"/>
      <c r="AC220" s="176"/>
      <c r="AD220" s="176"/>
      <c r="AE220" s="176"/>
      <c r="AF220" s="176"/>
      <c r="AG220" s="176"/>
      <c r="AH220" s="176"/>
      <c r="AI220" s="176"/>
      <c r="AJ220" s="176"/>
      <c r="AK220" s="176"/>
      <c r="AL220" s="176"/>
      <c r="AM220" s="176"/>
      <c r="AN220" s="176"/>
      <c r="AO220" s="176"/>
      <c r="AP220" s="176"/>
      <c r="AQ220" s="176"/>
      <c r="AR220" s="176"/>
      <c r="AS220" s="176"/>
      <c r="AT220" s="176"/>
      <c r="AU220" s="176"/>
      <c r="AV220" s="176"/>
      <c r="AW220" s="176"/>
      <c r="AX220" s="176"/>
      <c r="AY220" s="176"/>
      <c r="AZ220" s="176"/>
      <c r="BA220" s="176"/>
      <c r="BB220" s="176"/>
    </row>
    <row r="221" ht="15.75" customHeight="1">
      <c r="A221" s="176"/>
      <c r="B221" s="176"/>
      <c r="C221" s="176"/>
      <c r="D221" s="176"/>
      <c r="E221" s="176"/>
      <c r="F221" s="176"/>
      <c r="G221" s="176"/>
      <c r="H221" s="176"/>
      <c r="I221" s="176"/>
      <c r="J221" s="176"/>
      <c r="K221" s="176"/>
      <c r="L221" s="176"/>
      <c r="M221" s="176"/>
      <c r="N221" s="176"/>
      <c r="O221" s="176"/>
      <c r="P221" s="176"/>
      <c r="Q221" s="176"/>
      <c r="R221" s="176"/>
      <c r="S221" s="176"/>
      <c r="T221" s="176"/>
      <c r="U221" s="176"/>
      <c r="V221" s="176"/>
      <c r="W221" s="176"/>
      <c r="X221" s="176"/>
      <c r="Y221" s="176"/>
      <c r="Z221" s="176"/>
      <c r="AA221" s="176"/>
      <c r="AB221" s="176"/>
      <c r="AC221" s="176"/>
      <c r="AD221" s="176"/>
      <c r="AE221" s="176"/>
      <c r="AF221" s="176"/>
      <c r="AG221" s="176"/>
      <c r="AH221" s="176"/>
      <c r="AI221" s="176"/>
      <c r="AJ221" s="176"/>
      <c r="AK221" s="176"/>
      <c r="AL221" s="176"/>
      <c r="AM221" s="176"/>
      <c r="AN221" s="176"/>
      <c r="AO221" s="176"/>
      <c r="AP221" s="176"/>
      <c r="AQ221" s="176"/>
      <c r="AR221" s="176"/>
      <c r="AS221" s="176"/>
      <c r="AT221" s="176"/>
      <c r="AU221" s="176"/>
      <c r="AV221" s="176"/>
      <c r="AW221" s="176"/>
      <c r="AX221" s="176"/>
      <c r="AY221" s="176"/>
      <c r="AZ221" s="176"/>
      <c r="BA221" s="176"/>
      <c r="BB221" s="176"/>
    </row>
    <row r="222" ht="15.75" customHeight="1">
      <c r="A222" s="176"/>
      <c r="B222" s="176"/>
      <c r="C222" s="176"/>
      <c r="D222" s="176"/>
      <c r="E222" s="176"/>
      <c r="F222" s="176"/>
      <c r="G222" s="176"/>
      <c r="H222" s="176"/>
      <c r="I222" s="176"/>
      <c r="J222" s="176"/>
      <c r="K222" s="176"/>
      <c r="L222" s="176"/>
      <c r="M222" s="176"/>
      <c r="N222" s="176"/>
      <c r="O222" s="176"/>
      <c r="P222" s="176"/>
      <c r="Q222" s="176"/>
      <c r="R222" s="176"/>
      <c r="S222" s="176"/>
      <c r="T222" s="176"/>
      <c r="U222" s="176"/>
      <c r="V222" s="176"/>
      <c r="W222" s="176"/>
      <c r="X222" s="176"/>
      <c r="Y222" s="176"/>
      <c r="Z222" s="176"/>
      <c r="AA222" s="176"/>
      <c r="AB222" s="176"/>
      <c r="AC222" s="176"/>
      <c r="AD222" s="176"/>
      <c r="AE222" s="176"/>
      <c r="AF222" s="176"/>
      <c r="AG222" s="176"/>
      <c r="AH222" s="176"/>
      <c r="AI222" s="176"/>
      <c r="AJ222" s="176"/>
      <c r="AK222" s="176"/>
      <c r="AL222" s="176"/>
      <c r="AM222" s="176"/>
      <c r="AN222" s="176"/>
      <c r="AO222" s="176"/>
      <c r="AP222" s="176"/>
      <c r="AQ222" s="176"/>
      <c r="AR222" s="176"/>
      <c r="AS222" s="176"/>
      <c r="AT222" s="176"/>
      <c r="AU222" s="176"/>
      <c r="AV222" s="176"/>
      <c r="AW222" s="176"/>
      <c r="AX222" s="176"/>
      <c r="AY222" s="176"/>
      <c r="AZ222" s="176"/>
      <c r="BA222" s="176"/>
      <c r="BB222" s="176"/>
    </row>
    <row r="223" ht="15.75" customHeight="1">
      <c r="A223" s="176"/>
      <c r="B223" s="176"/>
      <c r="C223" s="176"/>
      <c r="D223" s="176"/>
      <c r="E223" s="176"/>
      <c r="F223" s="176"/>
      <c r="G223" s="176"/>
      <c r="H223" s="176"/>
      <c r="I223" s="176"/>
      <c r="J223" s="176"/>
      <c r="K223" s="176"/>
      <c r="L223" s="176"/>
      <c r="M223" s="176"/>
      <c r="N223" s="176"/>
      <c r="O223" s="176"/>
      <c r="P223" s="176"/>
      <c r="Q223" s="176"/>
      <c r="R223" s="176"/>
      <c r="S223" s="176"/>
      <c r="T223" s="176"/>
      <c r="U223" s="176"/>
      <c r="V223" s="176"/>
      <c r="W223" s="176"/>
      <c r="X223" s="176"/>
      <c r="Y223" s="176"/>
      <c r="Z223" s="176"/>
      <c r="AA223" s="176"/>
      <c r="AB223" s="176"/>
      <c r="AC223" s="176"/>
      <c r="AD223" s="176"/>
      <c r="AE223" s="176"/>
      <c r="AF223" s="176"/>
      <c r="AG223" s="176"/>
      <c r="AH223" s="176"/>
      <c r="AI223" s="176"/>
      <c r="AJ223" s="176"/>
      <c r="AK223" s="176"/>
      <c r="AL223" s="176"/>
      <c r="AM223" s="176"/>
      <c r="AN223" s="176"/>
      <c r="AO223" s="176"/>
      <c r="AP223" s="176"/>
      <c r="AQ223" s="176"/>
      <c r="AR223" s="176"/>
      <c r="AS223" s="176"/>
      <c r="AT223" s="176"/>
      <c r="AU223" s="176"/>
      <c r="AV223" s="176"/>
      <c r="AW223" s="176"/>
      <c r="AX223" s="176"/>
      <c r="AY223" s="176"/>
      <c r="AZ223" s="176"/>
      <c r="BA223" s="176"/>
      <c r="BB223" s="176"/>
    </row>
    <row r="224" ht="15.75" customHeight="1">
      <c r="A224" s="176"/>
      <c r="B224" s="176"/>
      <c r="C224" s="176"/>
      <c r="D224" s="176"/>
      <c r="E224" s="176"/>
      <c r="F224" s="176"/>
      <c r="G224" s="176"/>
      <c r="H224" s="176"/>
      <c r="I224" s="176"/>
      <c r="J224" s="176"/>
      <c r="K224" s="176"/>
      <c r="L224" s="176"/>
      <c r="M224" s="176"/>
      <c r="N224" s="176"/>
      <c r="O224" s="176"/>
      <c r="P224" s="176"/>
      <c r="Q224" s="176"/>
      <c r="R224" s="176"/>
      <c r="S224" s="176"/>
      <c r="T224" s="176"/>
      <c r="U224" s="176"/>
      <c r="V224" s="176"/>
      <c r="W224" s="176"/>
      <c r="X224" s="176"/>
      <c r="Y224" s="176"/>
      <c r="Z224" s="176"/>
      <c r="AA224" s="176"/>
      <c r="AB224" s="176"/>
      <c r="AC224" s="176"/>
      <c r="AD224" s="176"/>
      <c r="AE224" s="176"/>
      <c r="AF224" s="176"/>
      <c r="AG224" s="176"/>
      <c r="AH224" s="176"/>
      <c r="AI224" s="176"/>
      <c r="AJ224" s="176"/>
      <c r="AK224" s="176"/>
      <c r="AL224" s="176"/>
      <c r="AM224" s="176"/>
      <c r="AN224" s="176"/>
      <c r="AO224" s="176"/>
      <c r="AP224" s="176"/>
      <c r="AQ224" s="176"/>
      <c r="AR224" s="176"/>
      <c r="AS224" s="176"/>
      <c r="AT224" s="176"/>
      <c r="AU224" s="176"/>
      <c r="AV224" s="176"/>
      <c r="AW224" s="176"/>
      <c r="AX224" s="176"/>
      <c r="AY224" s="176"/>
      <c r="AZ224" s="176"/>
      <c r="BA224" s="176"/>
      <c r="BB224" s="176"/>
    </row>
    <row r="225" ht="15.75" customHeight="1">
      <c r="A225" s="176"/>
      <c r="B225" s="176"/>
      <c r="C225" s="176"/>
      <c r="D225" s="176"/>
      <c r="E225" s="176"/>
      <c r="F225" s="176"/>
      <c r="G225" s="176"/>
      <c r="H225" s="176"/>
      <c r="I225" s="176"/>
      <c r="J225" s="176"/>
      <c r="K225" s="176"/>
      <c r="L225" s="176"/>
      <c r="M225" s="176"/>
      <c r="N225" s="176"/>
      <c r="O225" s="176"/>
      <c r="P225" s="176"/>
      <c r="Q225" s="176"/>
      <c r="R225" s="176"/>
      <c r="S225" s="176"/>
      <c r="T225" s="176"/>
      <c r="U225" s="176"/>
      <c r="V225" s="176"/>
      <c r="W225" s="176"/>
      <c r="X225" s="176"/>
      <c r="Y225" s="176"/>
      <c r="Z225" s="176"/>
      <c r="AA225" s="176"/>
      <c r="AB225" s="176"/>
      <c r="AC225" s="176"/>
      <c r="AD225" s="176"/>
      <c r="AE225" s="176"/>
      <c r="AF225" s="176"/>
      <c r="AG225" s="176"/>
      <c r="AH225" s="176"/>
      <c r="AI225" s="176"/>
      <c r="AJ225" s="176"/>
      <c r="AK225" s="176"/>
      <c r="AL225" s="176"/>
      <c r="AM225" s="176"/>
      <c r="AN225" s="176"/>
      <c r="AO225" s="176"/>
      <c r="AP225" s="176"/>
      <c r="AQ225" s="176"/>
      <c r="AR225" s="176"/>
      <c r="AS225" s="176"/>
      <c r="AT225" s="176"/>
      <c r="AU225" s="176"/>
      <c r="AV225" s="176"/>
      <c r="AW225" s="176"/>
      <c r="AX225" s="176"/>
      <c r="AY225" s="176"/>
      <c r="AZ225" s="176"/>
      <c r="BA225" s="176"/>
      <c r="BB225" s="176"/>
    </row>
    <row r="226" ht="15.75" customHeight="1">
      <c r="A226" s="176"/>
      <c r="B226" s="176"/>
      <c r="C226" s="176"/>
      <c r="D226" s="176"/>
      <c r="E226" s="176"/>
      <c r="F226" s="176"/>
      <c r="G226" s="176"/>
      <c r="H226" s="176"/>
      <c r="I226" s="176"/>
      <c r="J226" s="176"/>
      <c r="K226" s="176"/>
      <c r="L226" s="176"/>
      <c r="M226" s="176"/>
      <c r="N226" s="176"/>
      <c r="O226" s="176"/>
      <c r="P226" s="176"/>
      <c r="Q226" s="176"/>
      <c r="R226" s="176"/>
      <c r="S226" s="176"/>
      <c r="T226" s="176"/>
      <c r="U226" s="176"/>
      <c r="V226" s="176"/>
      <c r="W226" s="176"/>
      <c r="X226" s="176"/>
      <c r="Y226" s="176"/>
      <c r="Z226" s="176"/>
      <c r="AA226" s="176"/>
      <c r="AB226" s="176"/>
      <c r="AC226" s="176"/>
      <c r="AD226" s="176"/>
      <c r="AE226" s="176"/>
      <c r="AF226" s="176"/>
      <c r="AG226" s="176"/>
      <c r="AH226" s="176"/>
      <c r="AI226" s="176"/>
      <c r="AJ226" s="176"/>
      <c r="AK226" s="176"/>
      <c r="AL226" s="176"/>
      <c r="AM226" s="176"/>
      <c r="AN226" s="176"/>
      <c r="AO226" s="176"/>
      <c r="AP226" s="176"/>
      <c r="AQ226" s="176"/>
      <c r="AR226" s="176"/>
      <c r="AS226" s="176"/>
      <c r="AT226" s="176"/>
      <c r="AU226" s="176"/>
      <c r="AV226" s="176"/>
      <c r="AW226" s="176"/>
      <c r="AX226" s="176"/>
      <c r="AY226" s="176"/>
      <c r="AZ226" s="176"/>
      <c r="BA226" s="176"/>
      <c r="BB226" s="176"/>
    </row>
    <row r="227" ht="15.75" customHeight="1">
      <c r="A227" s="176"/>
      <c r="B227" s="176"/>
      <c r="C227" s="176"/>
      <c r="D227" s="176"/>
      <c r="E227" s="176"/>
      <c r="F227" s="176"/>
      <c r="G227" s="176"/>
      <c r="H227" s="176"/>
      <c r="I227" s="176"/>
      <c r="J227" s="176"/>
      <c r="K227" s="176"/>
      <c r="L227" s="176"/>
      <c r="M227" s="176"/>
      <c r="N227" s="176"/>
      <c r="O227" s="176"/>
      <c r="P227" s="176"/>
      <c r="Q227" s="176"/>
      <c r="R227" s="176"/>
      <c r="S227" s="176"/>
      <c r="T227" s="176"/>
      <c r="U227" s="176"/>
      <c r="V227" s="176"/>
      <c r="W227" s="176"/>
      <c r="X227" s="176"/>
      <c r="Y227" s="176"/>
      <c r="Z227" s="176"/>
      <c r="AA227" s="176"/>
      <c r="AB227" s="176"/>
      <c r="AC227" s="176"/>
      <c r="AD227" s="176"/>
      <c r="AE227" s="176"/>
      <c r="AF227" s="176"/>
      <c r="AG227" s="176"/>
      <c r="AH227" s="176"/>
      <c r="AI227" s="176"/>
      <c r="AJ227" s="176"/>
      <c r="AK227" s="176"/>
      <c r="AL227" s="176"/>
      <c r="AM227" s="176"/>
      <c r="AN227" s="176"/>
      <c r="AO227" s="176"/>
      <c r="AP227" s="176"/>
      <c r="AQ227" s="176"/>
      <c r="AR227" s="176"/>
      <c r="AS227" s="176"/>
      <c r="AT227" s="176"/>
      <c r="AU227" s="176"/>
      <c r="AV227" s="176"/>
      <c r="AW227" s="176"/>
      <c r="AX227" s="176"/>
      <c r="AY227" s="176"/>
      <c r="AZ227" s="176"/>
      <c r="BA227" s="176"/>
      <c r="BB227" s="176"/>
    </row>
    <row r="228" ht="15.75" customHeight="1">
      <c r="A228" s="176"/>
      <c r="B228" s="176"/>
      <c r="C228" s="176"/>
      <c r="D228" s="176"/>
      <c r="E228" s="176"/>
      <c r="F228" s="176"/>
      <c r="G228" s="176"/>
      <c r="H228" s="176"/>
      <c r="I228" s="176"/>
      <c r="J228" s="176"/>
      <c r="K228" s="176"/>
      <c r="L228" s="176"/>
      <c r="M228" s="176"/>
      <c r="N228" s="176"/>
      <c r="O228" s="176"/>
      <c r="P228" s="176"/>
      <c r="Q228" s="176"/>
      <c r="R228" s="176"/>
      <c r="S228" s="176"/>
      <c r="T228" s="176"/>
      <c r="U228" s="176"/>
      <c r="V228" s="176"/>
      <c r="W228" s="176"/>
      <c r="X228" s="176"/>
      <c r="Y228" s="176"/>
      <c r="Z228" s="176"/>
      <c r="AA228" s="176"/>
      <c r="AB228" s="176"/>
      <c r="AC228" s="176"/>
      <c r="AD228" s="176"/>
      <c r="AE228" s="176"/>
      <c r="AF228" s="176"/>
      <c r="AG228" s="176"/>
      <c r="AH228" s="176"/>
      <c r="AI228" s="176"/>
      <c r="AJ228" s="176"/>
      <c r="AK228" s="176"/>
      <c r="AL228" s="176"/>
      <c r="AM228" s="176"/>
      <c r="AN228" s="176"/>
      <c r="AO228" s="176"/>
      <c r="AP228" s="176"/>
      <c r="AQ228" s="176"/>
      <c r="AR228" s="176"/>
      <c r="AS228" s="176"/>
      <c r="AT228" s="176"/>
      <c r="AU228" s="176"/>
      <c r="AV228" s="176"/>
      <c r="AW228" s="176"/>
      <c r="AX228" s="176"/>
      <c r="AY228" s="176"/>
      <c r="AZ228" s="176"/>
      <c r="BA228" s="176"/>
      <c r="BB228" s="176"/>
    </row>
    <row r="229" ht="15.75" customHeight="1">
      <c r="A229" s="176"/>
      <c r="B229" s="176"/>
      <c r="C229" s="176"/>
      <c r="D229" s="176"/>
      <c r="E229" s="176"/>
      <c r="F229" s="176"/>
      <c r="G229" s="176"/>
      <c r="H229" s="176"/>
      <c r="I229" s="176"/>
      <c r="J229" s="176"/>
      <c r="K229" s="176"/>
      <c r="L229" s="176"/>
      <c r="M229" s="176"/>
      <c r="N229" s="176"/>
      <c r="O229" s="176"/>
      <c r="P229" s="176"/>
      <c r="Q229" s="176"/>
      <c r="R229" s="176"/>
      <c r="S229" s="176"/>
      <c r="T229" s="176"/>
      <c r="U229" s="176"/>
      <c r="V229" s="176"/>
      <c r="W229" s="176"/>
      <c r="X229" s="176"/>
      <c r="Y229" s="176"/>
      <c r="Z229" s="176"/>
      <c r="AA229" s="176"/>
      <c r="AB229" s="176"/>
      <c r="AC229" s="176"/>
      <c r="AD229" s="176"/>
      <c r="AE229" s="176"/>
      <c r="AF229" s="176"/>
      <c r="AG229" s="176"/>
      <c r="AH229" s="176"/>
      <c r="AI229" s="176"/>
      <c r="AJ229" s="176"/>
      <c r="AK229" s="176"/>
      <c r="AL229" s="176"/>
      <c r="AM229" s="176"/>
      <c r="AN229" s="176"/>
      <c r="AO229" s="176"/>
      <c r="AP229" s="176"/>
      <c r="AQ229" s="176"/>
      <c r="AR229" s="176"/>
      <c r="AS229" s="176"/>
      <c r="AT229" s="176"/>
      <c r="AU229" s="176"/>
      <c r="AV229" s="176"/>
      <c r="AW229" s="176"/>
      <c r="AX229" s="176"/>
      <c r="AY229" s="176"/>
      <c r="AZ229" s="176"/>
      <c r="BA229" s="176"/>
      <c r="BB229" s="176"/>
    </row>
    <row r="230" ht="15.75" customHeight="1">
      <c r="A230" s="176"/>
      <c r="B230" s="176"/>
      <c r="C230" s="176"/>
      <c r="D230" s="176"/>
      <c r="E230" s="176"/>
      <c r="F230" s="176"/>
      <c r="G230" s="176"/>
      <c r="H230" s="176"/>
      <c r="I230" s="176"/>
      <c r="J230" s="176"/>
      <c r="K230" s="176"/>
      <c r="L230" s="176"/>
      <c r="M230" s="176"/>
      <c r="N230" s="176"/>
      <c r="O230" s="176"/>
      <c r="P230" s="176"/>
      <c r="Q230" s="176"/>
      <c r="R230" s="176"/>
      <c r="S230" s="176"/>
      <c r="T230" s="176"/>
      <c r="U230" s="176"/>
      <c r="V230" s="176"/>
      <c r="W230" s="176"/>
      <c r="X230" s="176"/>
      <c r="Y230" s="176"/>
      <c r="Z230" s="176"/>
      <c r="AA230" s="176"/>
      <c r="AB230" s="176"/>
      <c r="AC230" s="176"/>
      <c r="AD230" s="176"/>
      <c r="AE230" s="176"/>
      <c r="AF230" s="176"/>
      <c r="AG230" s="176"/>
      <c r="AH230" s="176"/>
      <c r="AI230" s="176"/>
      <c r="AJ230" s="176"/>
      <c r="AK230" s="176"/>
      <c r="AL230" s="176"/>
      <c r="AM230" s="176"/>
      <c r="AN230" s="176"/>
      <c r="AO230" s="176"/>
      <c r="AP230" s="176"/>
      <c r="AQ230" s="176"/>
      <c r="AR230" s="176"/>
      <c r="AS230" s="176"/>
      <c r="AT230" s="176"/>
      <c r="AU230" s="176"/>
      <c r="AV230" s="176"/>
      <c r="AW230" s="176"/>
      <c r="AX230" s="176"/>
      <c r="AY230" s="176"/>
      <c r="AZ230" s="176"/>
      <c r="BA230" s="176"/>
      <c r="BB230" s="176"/>
    </row>
    <row r="231" ht="15.75" customHeight="1">
      <c r="A231" s="176"/>
      <c r="B231" s="176"/>
      <c r="C231" s="176"/>
      <c r="D231" s="176"/>
      <c r="E231" s="176"/>
      <c r="F231" s="176"/>
      <c r="G231" s="176"/>
      <c r="H231" s="176"/>
      <c r="I231" s="176"/>
      <c r="J231" s="176"/>
      <c r="K231" s="176"/>
      <c r="L231" s="176"/>
      <c r="M231" s="176"/>
      <c r="N231" s="176"/>
      <c r="O231" s="176"/>
      <c r="P231" s="176"/>
      <c r="Q231" s="176"/>
      <c r="R231" s="176"/>
      <c r="S231" s="176"/>
      <c r="T231" s="176"/>
      <c r="U231" s="176"/>
      <c r="V231" s="176"/>
      <c r="W231" s="176"/>
      <c r="X231" s="176"/>
      <c r="Y231" s="176"/>
      <c r="Z231" s="176"/>
      <c r="AA231" s="176"/>
      <c r="AB231" s="176"/>
      <c r="AC231" s="176"/>
      <c r="AD231" s="176"/>
      <c r="AE231" s="176"/>
      <c r="AF231" s="176"/>
      <c r="AG231" s="176"/>
      <c r="AH231" s="176"/>
      <c r="AI231" s="176"/>
      <c r="AJ231" s="176"/>
      <c r="AK231" s="176"/>
      <c r="AL231" s="176"/>
      <c r="AM231" s="176"/>
      <c r="AN231" s="176"/>
      <c r="AO231" s="176"/>
      <c r="AP231" s="176"/>
      <c r="AQ231" s="176"/>
      <c r="AR231" s="176"/>
      <c r="AS231" s="176"/>
      <c r="AT231" s="176"/>
      <c r="AU231" s="176"/>
      <c r="AV231" s="176"/>
      <c r="AW231" s="176"/>
      <c r="AX231" s="176"/>
      <c r="AY231" s="176"/>
      <c r="AZ231" s="176"/>
      <c r="BA231" s="176"/>
      <c r="BB231" s="176"/>
    </row>
    <row r="232" ht="15.75" customHeight="1">
      <c r="A232" s="176"/>
      <c r="B232" s="176"/>
      <c r="C232" s="176"/>
      <c r="D232" s="176"/>
      <c r="E232" s="176"/>
      <c r="F232" s="176"/>
      <c r="G232" s="176"/>
      <c r="H232" s="176"/>
      <c r="I232" s="176"/>
      <c r="J232" s="176"/>
      <c r="K232" s="176"/>
      <c r="L232" s="176"/>
      <c r="M232" s="176"/>
      <c r="N232" s="176"/>
      <c r="O232" s="176"/>
      <c r="P232" s="176"/>
      <c r="Q232" s="176"/>
      <c r="R232" s="176"/>
      <c r="S232" s="176"/>
      <c r="T232" s="176"/>
      <c r="U232" s="176"/>
      <c r="V232" s="176"/>
      <c r="W232" s="176"/>
      <c r="X232" s="176"/>
      <c r="Y232" s="176"/>
      <c r="Z232" s="176"/>
      <c r="AA232" s="176"/>
      <c r="AB232" s="176"/>
      <c r="AC232" s="176"/>
      <c r="AD232" s="176"/>
      <c r="AE232" s="176"/>
      <c r="AF232" s="176"/>
      <c r="AG232" s="176"/>
      <c r="AH232" s="176"/>
      <c r="AI232" s="176"/>
      <c r="AJ232" s="176"/>
      <c r="AK232" s="176"/>
      <c r="AL232" s="176"/>
      <c r="AM232" s="176"/>
      <c r="AN232" s="176"/>
      <c r="AO232" s="176"/>
      <c r="AP232" s="176"/>
      <c r="AQ232" s="176"/>
      <c r="AR232" s="176"/>
      <c r="AS232" s="176"/>
      <c r="AT232" s="176"/>
      <c r="AU232" s="176"/>
      <c r="AV232" s="176"/>
      <c r="AW232" s="176"/>
      <c r="AX232" s="176"/>
      <c r="AY232" s="176"/>
      <c r="AZ232" s="176"/>
      <c r="BA232" s="176"/>
      <c r="BB232" s="176"/>
    </row>
    <row r="233" ht="15.75" customHeight="1">
      <c r="A233" s="176"/>
      <c r="B233" s="176"/>
      <c r="C233" s="176"/>
      <c r="D233" s="176"/>
      <c r="E233" s="176"/>
      <c r="F233" s="176"/>
      <c r="G233" s="176"/>
      <c r="H233" s="176"/>
      <c r="I233" s="176"/>
      <c r="J233" s="176"/>
      <c r="K233" s="176"/>
      <c r="L233" s="176"/>
      <c r="M233" s="176"/>
      <c r="N233" s="176"/>
      <c r="O233" s="176"/>
      <c r="P233" s="176"/>
      <c r="Q233" s="176"/>
      <c r="R233" s="176"/>
      <c r="S233" s="176"/>
      <c r="T233" s="176"/>
      <c r="U233" s="176"/>
      <c r="V233" s="176"/>
      <c r="W233" s="176"/>
      <c r="X233" s="176"/>
      <c r="Y233" s="176"/>
      <c r="Z233" s="176"/>
      <c r="AA233" s="176"/>
      <c r="AB233" s="176"/>
      <c r="AC233" s="176"/>
      <c r="AD233" s="176"/>
      <c r="AE233" s="176"/>
      <c r="AF233" s="176"/>
      <c r="AG233" s="176"/>
      <c r="AH233" s="176"/>
      <c r="AI233" s="176"/>
      <c r="AJ233" s="176"/>
      <c r="AK233" s="176"/>
      <c r="AL233" s="176"/>
      <c r="AM233" s="176"/>
      <c r="AN233" s="176"/>
      <c r="AO233" s="176"/>
      <c r="AP233" s="176"/>
      <c r="AQ233" s="176"/>
      <c r="AR233" s="176"/>
      <c r="AS233" s="176"/>
      <c r="AT233" s="176"/>
      <c r="AU233" s="176"/>
      <c r="AV233" s="176"/>
      <c r="AW233" s="176"/>
      <c r="AX233" s="176"/>
      <c r="AY233" s="176"/>
      <c r="AZ233" s="176"/>
      <c r="BA233" s="176"/>
      <c r="BB233" s="176"/>
    </row>
    <row r="234" ht="15.75" customHeight="1">
      <c r="A234" s="176"/>
      <c r="B234" s="176"/>
      <c r="C234" s="176"/>
      <c r="D234" s="176"/>
      <c r="E234" s="176"/>
      <c r="F234" s="176"/>
      <c r="G234" s="176"/>
      <c r="H234" s="176"/>
      <c r="I234" s="176"/>
      <c r="J234" s="176"/>
      <c r="K234" s="176"/>
      <c r="L234" s="176"/>
      <c r="M234" s="176"/>
      <c r="N234" s="176"/>
      <c r="O234" s="176"/>
      <c r="P234" s="176"/>
      <c r="Q234" s="176"/>
      <c r="R234" s="176"/>
      <c r="S234" s="176"/>
      <c r="T234" s="176"/>
      <c r="U234" s="176"/>
      <c r="V234" s="176"/>
      <c r="W234" s="176"/>
      <c r="X234" s="176"/>
      <c r="Y234" s="176"/>
      <c r="Z234" s="176"/>
      <c r="AA234" s="176"/>
      <c r="AB234" s="176"/>
      <c r="AC234" s="176"/>
      <c r="AD234" s="176"/>
      <c r="AE234" s="176"/>
      <c r="AF234" s="176"/>
      <c r="AG234" s="176"/>
      <c r="AH234" s="176"/>
      <c r="AI234" s="176"/>
      <c r="AJ234" s="176"/>
      <c r="AK234" s="176"/>
      <c r="AL234" s="176"/>
      <c r="AM234" s="176"/>
      <c r="AN234" s="176"/>
      <c r="AO234" s="176"/>
      <c r="AP234" s="176"/>
      <c r="AQ234" s="176"/>
      <c r="AR234" s="176"/>
      <c r="AS234" s="176"/>
      <c r="AT234" s="176"/>
      <c r="AU234" s="176"/>
      <c r="AV234" s="176"/>
      <c r="AW234" s="176"/>
      <c r="AX234" s="176"/>
      <c r="AY234" s="176"/>
      <c r="AZ234" s="176"/>
      <c r="BA234" s="176"/>
      <c r="BB234" s="176"/>
    </row>
    <row r="235" ht="15.75" customHeight="1">
      <c r="A235" s="176"/>
      <c r="B235" s="176"/>
      <c r="C235" s="176"/>
      <c r="D235" s="176"/>
      <c r="E235" s="176"/>
      <c r="F235" s="176"/>
      <c r="G235" s="176"/>
      <c r="H235" s="176"/>
      <c r="I235" s="176"/>
      <c r="J235" s="176"/>
      <c r="K235" s="176"/>
      <c r="L235" s="176"/>
      <c r="M235" s="176"/>
      <c r="N235" s="176"/>
      <c r="O235" s="176"/>
      <c r="P235" s="176"/>
      <c r="Q235" s="176"/>
      <c r="R235" s="176"/>
      <c r="S235" s="176"/>
      <c r="T235" s="176"/>
      <c r="U235" s="176"/>
      <c r="V235" s="176"/>
      <c r="W235" s="176"/>
      <c r="X235" s="176"/>
      <c r="Y235" s="176"/>
      <c r="Z235" s="176"/>
      <c r="AA235" s="176"/>
      <c r="AB235" s="176"/>
      <c r="AC235" s="176"/>
      <c r="AD235" s="176"/>
      <c r="AE235" s="176"/>
      <c r="AF235" s="176"/>
      <c r="AG235" s="176"/>
      <c r="AH235" s="176"/>
      <c r="AI235" s="176"/>
      <c r="AJ235" s="176"/>
      <c r="AK235" s="176"/>
      <c r="AL235" s="176"/>
      <c r="AM235" s="176"/>
      <c r="AN235" s="176"/>
      <c r="AO235" s="176"/>
      <c r="AP235" s="176"/>
      <c r="AQ235" s="176"/>
      <c r="AR235" s="176"/>
      <c r="AS235" s="176"/>
      <c r="AT235" s="176"/>
      <c r="AU235" s="176"/>
      <c r="AV235" s="176"/>
      <c r="AW235" s="176"/>
      <c r="AX235" s="176"/>
      <c r="AY235" s="176"/>
      <c r="AZ235" s="176"/>
      <c r="BA235" s="176"/>
      <c r="BB235" s="176"/>
    </row>
    <row r="236" ht="15.75" customHeight="1">
      <c r="A236" s="176"/>
      <c r="B236" s="176"/>
      <c r="C236" s="176"/>
      <c r="D236" s="176"/>
      <c r="E236" s="176"/>
      <c r="F236" s="176"/>
      <c r="G236" s="176"/>
      <c r="H236" s="176"/>
      <c r="I236" s="176"/>
      <c r="J236" s="176"/>
      <c r="K236" s="176"/>
      <c r="L236" s="176"/>
      <c r="M236" s="176"/>
      <c r="N236" s="176"/>
      <c r="O236" s="176"/>
      <c r="P236" s="176"/>
      <c r="Q236" s="176"/>
      <c r="R236" s="176"/>
      <c r="S236" s="176"/>
      <c r="T236" s="176"/>
      <c r="U236" s="176"/>
      <c r="V236" s="176"/>
      <c r="W236" s="176"/>
      <c r="X236" s="176"/>
      <c r="Y236" s="176"/>
      <c r="Z236" s="176"/>
      <c r="AA236" s="176"/>
      <c r="AB236" s="176"/>
      <c r="AC236" s="176"/>
      <c r="AD236" s="176"/>
      <c r="AE236" s="176"/>
      <c r="AF236" s="176"/>
      <c r="AG236" s="176"/>
      <c r="AH236" s="176"/>
      <c r="AI236" s="176"/>
      <c r="AJ236" s="176"/>
      <c r="AK236" s="176"/>
      <c r="AL236" s="176"/>
      <c r="AM236" s="176"/>
      <c r="AN236" s="176"/>
      <c r="AO236" s="176"/>
      <c r="AP236" s="176"/>
      <c r="AQ236" s="176"/>
      <c r="AR236" s="176"/>
      <c r="AS236" s="176"/>
      <c r="AT236" s="176"/>
      <c r="AU236" s="176"/>
      <c r="AV236" s="176"/>
      <c r="AW236" s="176"/>
      <c r="AX236" s="176"/>
      <c r="AY236" s="176"/>
      <c r="AZ236" s="176"/>
      <c r="BA236" s="176"/>
      <c r="BB236" s="176"/>
    </row>
    <row r="237" ht="15.75" customHeight="1">
      <c r="A237" s="176"/>
      <c r="B237" s="176"/>
      <c r="C237" s="176"/>
      <c r="D237" s="176"/>
      <c r="E237" s="176"/>
      <c r="F237" s="176"/>
      <c r="G237" s="176"/>
      <c r="H237" s="176"/>
      <c r="I237" s="176"/>
      <c r="J237" s="176"/>
      <c r="K237" s="176"/>
      <c r="L237" s="176"/>
      <c r="M237" s="176"/>
      <c r="N237" s="176"/>
      <c r="O237" s="176"/>
      <c r="P237" s="176"/>
      <c r="Q237" s="176"/>
      <c r="R237" s="176"/>
      <c r="S237" s="176"/>
      <c r="T237" s="176"/>
      <c r="U237" s="176"/>
      <c r="V237" s="176"/>
      <c r="W237" s="176"/>
      <c r="X237" s="176"/>
      <c r="Y237" s="176"/>
      <c r="Z237" s="176"/>
      <c r="AA237" s="176"/>
      <c r="AB237" s="176"/>
      <c r="AC237" s="176"/>
      <c r="AD237" s="176"/>
      <c r="AE237" s="176"/>
      <c r="AF237" s="176"/>
      <c r="AG237" s="176"/>
      <c r="AH237" s="176"/>
      <c r="AI237" s="176"/>
      <c r="AJ237" s="176"/>
      <c r="AK237" s="176"/>
      <c r="AL237" s="176"/>
      <c r="AM237" s="176"/>
      <c r="AN237" s="176"/>
      <c r="AO237" s="176"/>
      <c r="AP237" s="176"/>
      <c r="AQ237" s="176"/>
      <c r="AR237" s="176"/>
      <c r="AS237" s="176"/>
      <c r="AT237" s="176"/>
      <c r="AU237" s="176"/>
      <c r="AV237" s="176"/>
      <c r="AW237" s="176"/>
      <c r="AX237" s="176"/>
      <c r="AY237" s="176"/>
      <c r="AZ237" s="176"/>
      <c r="BA237" s="176"/>
      <c r="BB237" s="176"/>
    </row>
    <row r="238" ht="15.75" customHeight="1">
      <c r="A238" s="176"/>
      <c r="B238" s="176"/>
      <c r="C238" s="176"/>
      <c r="D238" s="176"/>
      <c r="E238" s="176"/>
      <c r="F238" s="176"/>
      <c r="G238" s="176"/>
      <c r="H238" s="176"/>
      <c r="I238" s="176"/>
      <c r="J238" s="176"/>
      <c r="K238" s="176"/>
      <c r="L238" s="176"/>
      <c r="M238" s="176"/>
      <c r="N238" s="176"/>
      <c r="O238" s="176"/>
      <c r="P238" s="176"/>
      <c r="Q238" s="176"/>
      <c r="R238" s="176"/>
      <c r="S238" s="176"/>
      <c r="T238" s="176"/>
      <c r="U238" s="176"/>
      <c r="V238" s="176"/>
      <c r="W238" s="176"/>
      <c r="X238" s="176"/>
      <c r="Y238" s="176"/>
      <c r="Z238" s="176"/>
      <c r="AA238" s="176"/>
      <c r="AB238" s="176"/>
      <c r="AC238" s="176"/>
      <c r="AD238" s="176"/>
      <c r="AE238" s="176"/>
      <c r="AF238" s="176"/>
      <c r="AG238" s="176"/>
      <c r="AH238" s="176"/>
      <c r="AI238" s="176"/>
      <c r="AJ238" s="176"/>
      <c r="AK238" s="176"/>
      <c r="AL238" s="176"/>
      <c r="AM238" s="176"/>
      <c r="AN238" s="176"/>
      <c r="AO238" s="176"/>
      <c r="AP238" s="176"/>
      <c r="AQ238" s="176"/>
      <c r="AR238" s="176"/>
      <c r="AS238" s="176"/>
      <c r="AT238" s="176"/>
      <c r="AU238" s="176"/>
      <c r="AV238" s="176"/>
      <c r="AW238" s="176"/>
      <c r="AX238" s="176"/>
      <c r="AY238" s="176"/>
      <c r="AZ238" s="176"/>
      <c r="BA238" s="176"/>
      <c r="BB238" s="176"/>
    </row>
    <row r="239" ht="15.75" customHeight="1">
      <c r="A239" s="176"/>
      <c r="B239" s="176"/>
      <c r="C239" s="176"/>
      <c r="D239" s="176"/>
      <c r="E239" s="176"/>
      <c r="F239" s="176"/>
      <c r="G239" s="176"/>
      <c r="H239" s="176"/>
      <c r="I239" s="176"/>
      <c r="J239" s="176"/>
      <c r="K239" s="176"/>
      <c r="L239" s="176"/>
      <c r="M239" s="176"/>
      <c r="N239" s="176"/>
      <c r="O239" s="176"/>
      <c r="P239" s="176"/>
      <c r="Q239" s="176"/>
      <c r="R239" s="176"/>
      <c r="S239" s="176"/>
      <c r="T239" s="176"/>
      <c r="U239" s="176"/>
      <c r="V239" s="176"/>
      <c r="W239" s="176"/>
      <c r="X239" s="176"/>
      <c r="Y239" s="176"/>
      <c r="Z239" s="176"/>
      <c r="AA239" s="176"/>
      <c r="AB239" s="176"/>
      <c r="AC239" s="176"/>
      <c r="AD239" s="176"/>
      <c r="AE239" s="176"/>
      <c r="AF239" s="176"/>
      <c r="AG239" s="176"/>
      <c r="AH239" s="176"/>
      <c r="AI239" s="176"/>
      <c r="AJ239" s="176"/>
      <c r="AK239" s="176"/>
      <c r="AL239" s="176"/>
      <c r="AM239" s="176"/>
      <c r="AN239" s="176"/>
      <c r="AO239" s="176"/>
      <c r="AP239" s="176"/>
      <c r="AQ239" s="176"/>
      <c r="AR239" s="176"/>
      <c r="AS239" s="176"/>
      <c r="AT239" s="176"/>
      <c r="AU239" s="176"/>
      <c r="AV239" s="176"/>
      <c r="AW239" s="176"/>
      <c r="AX239" s="176"/>
      <c r="AY239" s="176"/>
      <c r="AZ239" s="176"/>
      <c r="BA239" s="176"/>
      <c r="BB239" s="176"/>
    </row>
    <row r="240" ht="15.75" customHeight="1">
      <c r="A240" s="176"/>
      <c r="B240" s="176"/>
      <c r="C240" s="176"/>
      <c r="D240" s="176"/>
      <c r="E240" s="176"/>
      <c r="F240" s="176"/>
      <c r="G240" s="176"/>
      <c r="H240" s="176"/>
      <c r="I240" s="176"/>
      <c r="J240" s="176"/>
      <c r="K240" s="176"/>
      <c r="L240" s="176"/>
      <c r="M240" s="176"/>
      <c r="N240" s="176"/>
      <c r="O240" s="176"/>
      <c r="P240" s="176"/>
      <c r="Q240" s="176"/>
      <c r="R240" s="176"/>
      <c r="S240" s="176"/>
      <c r="T240" s="176"/>
      <c r="U240" s="176"/>
      <c r="V240" s="176"/>
      <c r="W240" s="176"/>
      <c r="X240" s="176"/>
      <c r="Y240" s="176"/>
      <c r="Z240" s="176"/>
      <c r="AA240" s="176"/>
      <c r="AB240" s="176"/>
      <c r="AC240" s="176"/>
      <c r="AD240" s="176"/>
      <c r="AE240" s="176"/>
      <c r="AF240" s="176"/>
      <c r="AG240" s="176"/>
      <c r="AH240" s="176"/>
      <c r="AI240" s="176"/>
      <c r="AJ240" s="176"/>
      <c r="AK240" s="176"/>
      <c r="AL240" s="176"/>
      <c r="AM240" s="176"/>
      <c r="AN240" s="176"/>
      <c r="AO240" s="176"/>
      <c r="AP240" s="176"/>
      <c r="AQ240" s="176"/>
      <c r="AR240" s="176"/>
      <c r="AS240" s="176"/>
      <c r="AT240" s="176"/>
      <c r="AU240" s="176"/>
      <c r="AV240" s="176"/>
      <c r="AW240" s="176"/>
      <c r="AX240" s="176"/>
      <c r="AY240" s="176"/>
      <c r="AZ240" s="176"/>
      <c r="BA240" s="176"/>
      <c r="BB240" s="176"/>
    </row>
    <row r="241" ht="15.75" customHeight="1">
      <c r="A241" s="176"/>
      <c r="B241" s="176"/>
      <c r="C241" s="176"/>
      <c r="D241" s="176"/>
      <c r="E241" s="176"/>
      <c r="F241" s="176"/>
      <c r="G241" s="176"/>
      <c r="H241" s="176"/>
      <c r="I241" s="176"/>
      <c r="J241" s="176"/>
      <c r="K241" s="176"/>
      <c r="L241" s="176"/>
      <c r="M241" s="176"/>
      <c r="N241" s="176"/>
      <c r="O241" s="176"/>
      <c r="P241" s="176"/>
      <c r="Q241" s="176"/>
      <c r="R241" s="176"/>
      <c r="S241" s="176"/>
      <c r="T241" s="176"/>
      <c r="U241" s="176"/>
      <c r="V241" s="176"/>
      <c r="W241" s="176"/>
      <c r="X241" s="176"/>
      <c r="Y241" s="176"/>
      <c r="Z241" s="176"/>
      <c r="AA241" s="176"/>
      <c r="AB241" s="176"/>
      <c r="AC241" s="176"/>
      <c r="AD241" s="176"/>
      <c r="AE241" s="176"/>
      <c r="AF241" s="176"/>
      <c r="AG241" s="176"/>
      <c r="AH241" s="176"/>
      <c r="AI241" s="176"/>
      <c r="AJ241" s="176"/>
      <c r="AK241" s="176"/>
      <c r="AL241" s="176"/>
      <c r="AM241" s="176"/>
      <c r="AN241" s="176"/>
      <c r="AO241" s="176"/>
      <c r="AP241" s="176"/>
      <c r="AQ241" s="176"/>
      <c r="AR241" s="176"/>
      <c r="AS241" s="176"/>
      <c r="AT241" s="176"/>
      <c r="AU241" s="176"/>
      <c r="AV241" s="176"/>
      <c r="AW241" s="176"/>
      <c r="AX241" s="176"/>
      <c r="AY241" s="176"/>
      <c r="AZ241" s="176"/>
      <c r="BA241" s="176"/>
      <c r="BB241" s="176"/>
    </row>
    <row r="242" ht="15.75" customHeight="1">
      <c r="A242" s="176"/>
      <c r="B242" s="176"/>
      <c r="C242" s="176"/>
      <c r="D242" s="176"/>
      <c r="E242" s="176"/>
      <c r="F242" s="176"/>
      <c r="G242" s="176"/>
      <c r="H242" s="176"/>
      <c r="I242" s="176"/>
      <c r="J242" s="176"/>
      <c r="K242" s="176"/>
      <c r="L242" s="176"/>
      <c r="M242" s="176"/>
      <c r="N242" s="176"/>
      <c r="O242" s="176"/>
      <c r="P242" s="176"/>
      <c r="Q242" s="176"/>
      <c r="R242" s="176"/>
      <c r="S242" s="176"/>
      <c r="T242" s="176"/>
      <c r="U242" s="176"/>
      <c r="V242" s="176"/>
      <c r="W242" s="176"/>
      <c r="X242" s="176"/>
      <c r="Y242" s="176"/>
      <c r="Z242" s="176"/>
      <c r="AA242" s="176"/>
      <c r="AB242" s="176"/>
      <c r="AC242" s="176"/>
      <c r="AD242" s="176"/>
      <c r="AE242" s="176"/>
      <c r="AF242" s="176"/>
      <c r="AG242" s="176"/>
      <c r="AH242" s="176"/>
      <c r="AI242" s="176"/>
      <c r="AJ242" s="176"/>
      <c r="AK242" s="176"/>
      <c r="AL242" s="176"/>
      <c r="AM242" s="176"/>
      <c r="AN242" s="176"/>
      <c r="AO242" s="176"/>
      <c r="AP242" s="176"/>
      <c r="AQ242" s="176"/>
      <c r="AR242" s="176"/>
      <c r="AS242" s="176"/>
      <c r="AT242" s="176"/>
      <c r="AU242" s="176"/>
      <c r="AV242" s="176"/>
      <c r="AW242" s="176"/>
      <c r="AX242" s="176"/>
      <c r="AY242" s="176"/>
      <c r="AZ242" s="176"/>
      <c r="BA242" s="176"/>
      <c r="BB242" s="176"/>
    </row>
    <row r="243" ht="15.75" customHeight="1">
      <c r="A243" s="176"/>
      <c r="B243" s="176"/>
      <c r="C243" s="176"/>
      <c r="D243" s="176"/>
      <c r="E243" s="176"/>
      <c r="F243" s="176"/>
      <c r="G243" s="176"/>
      <c r="H243" s="176"/>
      <c r="I243" s="176"/>
      <c r="J243" s="176"/>
      <c r="K243" s="176"/>
      <c r="L243" s="176"/>
      <c r="M243" s="176"/>
      <c r="N243" s="176"/>
      <c r="O243" s="176"/>
      <c r="P243" s="176"/>
      <c r="Q243" s="176"/>
      <c r="R243" s="176"/>
      <c r="S243" s="176"/>
      <c r="T243" s="176"/>
      <c r="U243" s="176"/>
      <c r="V243" s="176"/>
      <c r="W243" s="176"/>
      <c r="X243" s="176"/>
      <c r="Y243" s="176"/>
      <c r="Z243" s="176"/>
      <c r="AA243" s="176"/>
      <c r="AB243" s="176"/>
      <c r="AC243" s="176"/>
      <c r="AD243" s="176"/>
      <c r="AE243" s="176"/>
      <c r="AF243" s="176"/>
      <c r="AG243" s="176"/>
      <c r="AH243" s="176"/>
      <c r="AI243" s="176"/>
      <c r="AJ243" s="176"/>
      <c r="AK243" s="176"/>
      <c r="AL243" s="176"/>
      <c r="AM243" s="176"/>
      <c r="AN243" s="176"/>
      <c r="AO243" s="176"/>
      <c r="AP243" s="176"/>
      <c r="AQ243" s="176"/>
      <c r="AR243" s="176"/>
      <c r="AS243" s="176"/>
      <c r="AT243" s="176"/>
      <c r="AU243" s="176"/>
      <c r="AV243" s="176"/>
      <c r="AW243" s="176"/>
      <c r="AX243" s="176"/>
      <c r="AY243" s="176"/>
      <c r="AZ243" s="176"/>
      <c r="BA243" s="176"/>
      <c r="BB243" s="176"/>
    </row>
    <row r="244" ht="15.75" customHeight="1">
      <c r="A244" s="176"/>
      <c r="B244" s="176"/>
      <c r="C244" s="176"/>
      <c r="D244" s="176"/>
      <c r="E244" s="176"/>
      <c r="F244" s="176"/>
      <c r="G244" s="176"/>
      <c r="H244" s="176"/>
      <c r="I244" s="176"/>
      <c r="J244" s="176"/>
      <c r="K244" s="176"/>
      <c r="L244" s="176"/>
      <c r="M244" s="176"/>
      <c r="N244" s="176"/>
      <c r="O244" s="176"/>
      <c r="P244" s="176"/>
      <c r="Q244" s="176"/>
      <c r="R244" s="176"/>
      <c r="S244" s="176"/>
      <c r="T244" s="176"/>
      <c r="U244" s="176"/>
      <c r="V244" s="176"/>
      <c r="W244" s="176"/>
      <c r="X244" s="176"/>
      <c r="Y244" s="176"/>
      <c r="Z244" s="176"/>
      <c r="AA244" s="176"/>
      <c r="AB244" s="176"/>
      <c r="AC244" s="176"/>
      <c r="AD244" s="176"/>
      <c r="AE244" s="176"/>
      <c r="AF244" s="176"/>
      <c r="AG244" s="176"/>
      <c r="AH244" s="176"/>
      <c r="AI244" s="176"/>
      <c r="AJ244" s="176"/>
      <c r="AK244" s="176"/>
      <c r="AL244" s="176"/>
      <c r="AM244" s="176"/>
      <c r="AN244" s="176"/>
      <c r="AO244" s="176"/>
      <c r="AP244" s="176"/>
      <c r="AQ244" s="176"/>
      <c r="AR244" s="176"/>
      <c r="AS244" s="176"/>
      <c r="AT244" s="176"/>
      <c r="AU244" s="176"/>
      <c r="AV244" s="176"/>
      <c r="AW244" s="176"/>
      <c r="AX244" s="176"/>
      <c r="AY244" s="176"/>
      <c r="AZ244" s="176"/>
      <c r="BA244" s="176"/>
      <c r="BB244" s="176"/>
    </row>
    <row r="245" ht="15.75" customHeight="1">
      <c r="A245" s="176"/>
      <c r="B245" s="176"/>
      <c r="C245" s="176"/>
      <c r="D245" s="176"/>
      <c r="E245" s="176"/>
      <c r="F245" s="176"/>
      <c r="G245" s="176"/>
      <c r="H245" s="176"/>
      <c r="I245" s="176"/>
      <c r="J245" s="176"/>
      <c r="K245" s="176"/>
      <c r="L245" s="176"/>
      <c r="M245" s="176"/>
      <c r="N245" s="176"/>
      <c r="O245" s="176"/>
      <c r="P245" s="176"/>
      <c r="Q245" s="176"/>
      <c r="R245" s="176"/>
      <c r="S245" s="176"/>
      <c r="T245" s="176"/>
      <c r="U245" s="176"/>
      <c r="V245" s="176"/>
      <c r="W245" s="176"/>
      <c r="X245" s="176"/>
      <c r="Y245" s="176"/>
      <c r="Z245" s="176"/>
      <c r="AA245" s="176"/>
      <c r="AB245" s="176"/>
      <c r="AC245" s="176"/>
      <c r="AD245" s="176"/>
      <c r="AE245" s="176"/>
      <c r="AF245" s="176"/>
      <c r="AG245" s="176"/>
      <c r="AH245" s="176"/>
      <c r="AI245" s="176"/>
      <c r="AJ245" s="176"/>
      <c r="AK245" s="176"/>
      <c r="AL245" s="176"/>
      <c r="AM245" s="176"/>
      <c r="AN245" s="176"/>
      <c r="AO245" s="176"/>
      <c r="AP245" s="176"/>
      <c r="AQ245" s="176"/>
      <c r="AR245" s="176"/>
      <c r="AS245" s="176"/>
      <c r="AT245" s="176"/>
      <c r="AU245" s="176"/>
      <c r="AV245" s="176"/>
      <c r="AW245" s="176"/>
      <c r="AX245" s="176"/>
      <c r="AY245" s="176"/>
      <c r="AZ245" s="176"/>
      <c r="BA245" s="176"/>
      <c r="BB245" s="176"/>
    </row>
    <row r="246" ht="15.75" customHeight="1">
      <c r="A246" s="176"/>
      <c r="B246" s="176"/>
      <c r="C246" s="176"/>
      <c r="D246" s="176"/>
      <c r="E246" s="176"/>
      <c r="F246" s="176"/>
      <c r="G246" s="176"/>
      <c r="H246" s="176"/>
      <c r="I246" s="176"/>
      <c r="J246" s="176"/>
      <c r="K246" s="176"/>
      <c r="L246" s="176"/>
      <c r="M246" s="176"/>
      <c r="N246" s="176"/>
      <c r="O246" s="176"/>
      <c r="P246" s="176"/>
      <c r="Q246" s="176"/>
      <c r="R246" s="176"/>
      <c r="S246" s="176"/>
      <c r="T246" s="176"/>
      <c r="U246" s="176"/>
      <c r="V246" s="176"/>
      <c r="W246" s="176"/>
      <c r="X246" s="176"/>
      <c r="Y246" s="176"/>
      <c r="Z246" s="176"/>
      <c r="AA246" s="176"/>
      <c r="AB246" s="176"/>
      <c r="AC246" s="176"/>
      <c r="AD246" s="176"/>
      <c r="AE246" s="176"/>
      <c r="AF246" s="176"/>
      <c r="AG246" s="176"/>
      <c r="AH246" s="176"/>
      <c r="AI246" s="176"/>
      <c r="AJ246" s="176"/>
      <c r="AK246" s="176"/>
      <c r="AL246" s="176"/>
      <c r="AM246" s="176"/>
      <c r="AN246" s="176"/>
      <c r="AO246" s="176"/>
      <c r="AP246" s="176"/>
      <c r="AQ246" s="176"/>
      <c r="AR246" s="176"/>
      <c r="AS246" s="176"/>
      <c r="AT246" s="176"/>
      <c r="AU246" s="176"/>
      <c r="AV246" s="176"/>
      <c r="AW246" s="176"/>
      <c r="AX246" s="176"/>
      <c r="AY246" s="176"/>
      <c r="AZ246" s="176"/>
      <c r="BA246" s="176"/>
      <c r="BB246" s="176"/>
    </row>
    <row r="247" ht="15.75" customHeight="1">
      <c r="A247" s="176"/>
      <c r="B247" s="176"/>
      <c r="C247" s="176"/>
      <c r="D247" s="176"/>
      <c r="E247" s="176"/>
      <c r="F247" s="176"/>
      <c r="G247" s="176"/>
      <c r="H247" s="176"/>
      <c r="I247" s="176"/>
      <c r="J247" s="176"/>
      <c r="K247" s="176"/>
      <c r="L247" s="176"/>
      <c r="M247" s="176"/>
      <c r="N247" s="176"/>
      <c r="O247" s="176"/>
      <c r="P247" s="176"/>
      <c r="Q247" s="176"/>
      <c r="R247" s="176"/>
      <c r="S247" s="176"/>
      <c r="T247" s="176"/>
      <c r="U247" s="176"/>
      <c r="V247" s="176"/>
      <c r="W247" s="176"/>
      <c r="X247" s="176"/>
      <c r="Y247" s="176"/>
      <c r="Z247" s="176"/>
      <c r="AA247" s="176"/>
      <c r="AB247" s="176"/>
      <c r="AC247" s="176"/>
      <c r="AD247" s="176"/>
      <c r="AE247" s="176"/>
      <c r="AF247" s="176"/>
      <c r="AG247" s="176"/>
      <c r="AH247" s="176"/>
      <c r="AI247" s="176"/>
      <c r="AJ247" s="176"/>
      <c r="AK247" s="176"/>
      <c r="AL247" s="176"/>
      <c r="AM247" s="176"/>
      <c r="AN247" s="176"/>
      <c r="AO247" s="176"/>
      <c r="AP247" s="176"/>
      <c r="AQ247" s="176"/>
      <c r="AR247" s="176"/>
      <c r="AS247" s="176"/>
      <c r="AT247" s="176"/>
      <c r="AU247" s="176"/>
      <c r="AV247" s="176"/>
      <c r="AW247" s="176"/>
      <c r="AX247" s="176"/>
      <c r="AY247" s="176"/>
      <c r="AZ247" s="176"/>
      <c r="BA247" s="176"/>
      <c r="BB247" s="176"/>
    </row>
    <row r="248" ht="15.75" customHeight="1">
      <c r="A248" s="176"/>
      <c r="B248" s="176"/>
      <c r="C248" s="176"/>
      <c r="D248" s="176"/>
      <c r="E248" s="176"/>
      <c r="F248" s="176"/>
      <c r="G248" s="176"/>
      <c r="H248" s="176"/>
      <c r="I248" s="176"/>
      <c r="J248" s="176"/>
      <c r="K248" s="176"/>
      <c r="L248" s="176"/>
      <c r="M248" s="176"/>
      <c r="N248" s="176"/>
      <c r="O248" s="176"/>
      <c r="P248" s="176"/>
      <c r="Q248" s="176"/>
      <c r="R248" s="176"/>
      <c r="S248" s="176"/>
      <c r="T248" s="176"/>
      <c r="U248" s="176"/>
      <c r="V248" s="176"/>
      <c r="W248" s="176"/>
      <c r="X248" s="176"/>
      <c r="Y248" s="176"/>
      <c r="Z248" s="176"/>
      <c r="AA248" s="176"/>
      <c r="AB248" s="176"/>
      <c r="AC248" s="176"/>
      <c r="AD248" s="176"/>
      <c r="AE248" s="176"/>
      <c r="AF248" s="176"/>
      <c r="AG248" s="176"/>
      <c r="AH248" s="176"/>
      <c r="AI248" s="176"/>
      <c r="AJ248" s="176"/>
      <c r="AK248" s="176"/>
      <c r="AL248" s="176"/>
      <c r="AM248" s="176"/>
      <c r="AN248" s="176"/>
      <c r="AO248" s="176"/>
      <c r="AP248" s="176"/>
      <c r="AQ248" s="176"/>
      <c r="AR248" s="176"/>
      <c r="AS248" s="176"/>
      <c r="AT248" s="176"/>
      <c r="AU248" s="176"/>
      <c r="AV248" s="176"/>
      <c r="AW248" s="176"/>
      <c r="AX248" s="176"/>
      <c r="AY248" s="176"/>
      <c r="AZ248" s="176"/>
      <c r="BA248" s="176"/>
      <c r="BB248" s="176"/>
    </row>
    <row r="249" ht="15.75" customHeight="1">
      <c r="A249" s="176"/>
      <c r="B249" s="176"/>
      <c r="C249" s="176"/>
      <c r="D249" s="176"/>
      <c r="E249" s="176"/>
      <c r="F249" s="176"/>
      <c r="G249" s="176"/>
      <c r="H249" s="176"/>
      <c r="I249" s="176"/>
      <c r="J249" s="176"/>
      <c r="K249" s="176"/>
      <c r="L249" s="176"/>
      <c r="M249" s="176"/>
      <c r="N249" s="176"/>
      <c r="O249" s="176"/>
      <c r="P249" s="176"/>
      <c r="Q249" s="176"/>
      <c r="R249" s="176"/>
      <c r="S249" s="176"/>
      <c r="T249" s="176"/>
      <c r="U249" s="176"/>
      <c r="V249" s="176"/>
      <c r="W249" s="176"/>
      <c r="X249" s="176"/>
      <c r="Y249" s="176"/>
      <c r="Z249" s="176"/>
      <c r="AA249" s="176"/>
      <c r="AB249" s="176"/>
      <c r="AC249" s="176"/>
      <c r="AD249" s="176"/>
      <c r="AE249" s="176"/>
      <c r="AF249" s="176"/>
      <c r="AG249" s="176"/>
      <c r="AH249" s="176"/>
      <c r="AI249" s="176"/>
      <c r="AJ249" s="176"/>
      <c r="AK249" s="176"/>
      <c r="AL249" s="176"/>
      <c r="AM249" s="176"/>
      <c r="AN249" s="176"/>
      <c r="AO249" s="176"/>
      <c r="AP249" s="176"/>
      <c r="AQ249" s="176"/>
      <c r="AR249" s="176"/>
      <c r="AS249" s="176"/>
      <c r="AT249" s="176"/>
      <c r="AU249" s="176"/>
      <c r="AV249" s="176"/>
      <c r="AW249" s="176"/>
      <c r="AX249" s="176"/>
      <c r="AY249" s="176"/>
      <c r="AZ249" s="176"/>
      <c r="BA249" s="176"/>
      <c r="BB249" s="176"/>
    </row>
    <row r="250" ht="15.75" customHeight="1">
      <c r="A250" s="176"/>
      <c r="B250" s="176"/>
      <c r="C250" s="176"/>
      <c r="D250" s="176"/>
      <c r="E250" s="176"/>
      <c r="F250" s="176"/>
      <c r="G250" s="176"/>
      <c r="H250" s="176"/>
      <c r="I250" s="176"/>
      <c r="J250" s="176"/>
      <c r="K250" s="176"/>
      <c r="L250" s="176"/>
      <c r="M250" s="176"/>
      <c r="N250" s="176"/>
      <c r="O250" s="176"/>
      <c r="P250" s="176"/>
      <c r="Q250" s="176"/>
      <c r="R250" s="176"/>
      <c r="S250" s="176"/>
      <c r="T250" s="176"/>
      <c r="U250" s="176"/>
      <c r="V250" s="176"/>
      <c r="W250" s="176"/>
      <c r="X250" s="176"/>
      <c r="Y250" s="176"/>
      <c r="Z250" s="176"/>
      <c r="AA250" s="176"/>
      <c r="AB250" s="176"/>
      <c r="AC250" s="176"/>
      <c r="AD250" s="176"/>
      <c r="AE250" s="176"/>
      <c r="AF250" s="176"/>
      <c r="AG250" s="176"/>
      <c r="AH250" s="176"/>
      <c r="AI250" s="176"/>
      <c r="AJ250" s="176"/>
      <c r="AK250" s="176"/>
      <c r="AL250" s="176"/>
      <c r="AM250" s="176"/>
      <c r="AN250" s="176"/>
      <c r="AO250" s="176"/>
      <c r="AP250" s="176"/>
      <c r="AQ250" s="176"/>
      <c r="AR250" s="176"/>
      <c r="AS250" s="176"/>
      <c r="AT250" s="176"/>
      <c r="AU250" s="176"/>
      <c r="AV250" s="176"/>
      <c r="AW250" s="176"/>
      <c r="AX250" s="176"/>
      <c r="AY250" s="176"/>
      <c r="AZ250" s="176"/>
      <c r="BA250" s="176"/>
      <c r="BB250" s="176"/>
    </row>
    <row r="251" ht="15.75" customHeight="1">
      <c r="A251" s="176"/>
      <c r="B251" s="176"/>
      <c r="C251" s="176"/>
      <c r="D251" s="176"/>
      <c r="E251" s="176"/>
      <c r="F251" s="176"/>
      <c r="G251" s="176"/>
      <c r="H251" s="176"/>
      <c r="I251" s="176"/>
      <c r="J251" s="176"/>
      <c r="K251" s="176"/>
      <c r="L251" s="176"/>
      <c r="M251" s="176"/>
      <c r="N251" s="176"/>
      <c r="O251" s="176"/>
      <c r="P251" s="176"/>
      <c r="Q251" s="176"/>
      <c r="R251" s="176"/>
      <c r="S251" s="176"/>
      <c r="T251" s="176"/>
      <c r="U251" s="176"/>
      <c r="V251" s="176"/>
      <c r="W251" s="176"/>
      <c r="X251" s="176"/>
      <c r="Y251" s="176"/>
      <c r="Z251" s="176"/>
      <c r="AA251" s="176"/>
      <c r="AB251" s="176"/>
      <c r="AC251" s="176"/>
      <c r="AD251" s="176"/>
      <c r="AE251" s="176"/>
      <c r="AF251" s="176"/>
      <c r="AG251" s="176"/>
      <c r="AH251" s="176"/>
      <c r="AI251" s="176"/>
      <c r="AJ251" s="176"/>
      <c r="AK251" s="176"/>
      <c r="AL251" s="176"/>
      <c r="AM251" s="176"/>
      <c r="AN251" s="176"/>
      <c r="AO251" s="176"/>
      <c r="AP251" s="176"/>
      <c r="AQ251" s="176"/>
      <c r="AR251" s="176"/>
      <c r="AS251" s="176"/>
      <c r="AT251" s="176"/>
      <c r="AU251" s="176"/>
      <c r="AV251" s="176"/>
      <c r="AW251" s="176"/>
      <c r="AX251" s="176"/>
      <c r="AY251" s="176"/>
      <c r="AZ251" s="176"/>
      <c r="BA251" s="176"/>
      <c r="BB251" s="176"/>
    </row>
    <row r="252" ht="15.75" customHeight="1">
      <c r="A252" s="176"/>
      <c r="B252" s="176"/>
      <c r="C252" s="176"/>
      <c r="D252" s="176"/>
      <c r="E252" s="176"/>
      <c r="F252" s="176"/>
      <c r="G252" s="176"/>
      <c r="H252" s="176"/>
      <c r="I252" s="176"/>
      <c r="J252" s="176"/>
      <c r="K252" s="176"/>
      <c r="L252" s="176"/>
      <c r="M252" s="176"/>
      <c r="N252" s="176"/>
      <c r="O252" s="176"/>
      <c r="P252" s="176"/>
      <c r="Q252" s="176"/>
      <c r="R252" s="176"/>
      <c r="S252" s="176"/>
      <c r="T252" s="176"/>
      <c r="U252" s="176"/>
      <c r="V252" s="176"/>
      <c r="W252" s="176"/>
      <c r="X252" s="176"/>
      <c r="Y252" s="176"/>
      <c r="Z252" s="176"/>
      <c r="AA252" s="176"/>
      <c r="AB252" s="176"/>
      <c r="AC252" s="176"/>
      <c r="AD252" s="176"/>
      <c r="AE252" s="176"/>
      <c r="AF252" s="176"/>
      <c r="AG252" s="176"/>
      <c r="AH252" s="176"/>
      <c r="AI252" s="176"/>
      <c r="AJ252" s="176"/>
      <c r="AK252" s="176"/>
      <c r="AL252" s="176"/>
      <c r="AM252" s="176"/>
      <c r="AN252" s="176"/>
      <c r="AO252" s="176"/>
      <c r="AP252" s="176"/>
      <c r="AQ252" s="176"/>
      <c r="AR252" s="176"/>
      <c r="AS252" s="176"/>
      <c r="AT252" s="176"/>
      <c r="AU252" s="176"/>
      <c r="AV252" s="176"/>
      <c r="AW252" s="176"/>
      <c r="AX252" s="176"/>
      <c r="AY252" s="176"/>
      <c r="AZ252" s="176"/>
      <c r="BA252" s="176"/>
      <c r="BB252" s="176"/>
    </row>
    <row r="253" ht="15.75" customHeight="1">
      <c r="A253" s="176"/>
      <c r="B253" s="176"/>
      <c r="C253" s="176"/>
      <c r="D253" s="176"/>
      <c r="E253" s="176"/>
      <c r="F253" s="176"/>
      <c r="G253" s="176"/>
      <c r="H253" s="176"/>
      <c r="I253" s="176"/>
      <c r="J253" s="176"/>
      <c r="K253" s="176"/>
      <c r="L253" s="176"/>
      <c r="M253" s="176"/>
      <c r="N253" s="176"/>
      <c r="O253" s="176"/>
      <c r="P253" s="176"/>
      <c r="Q253" s="176"/>
      <c r="R253" s="176"/>
      <c r="S253" s="176"/>
      <c r="T253" s="176"/>
      <c r="U253" s="176"/>
      <c r="V253" s="176"/>
      <c r="W253" s="176"/>
      <c r="X253" s="176"/>
      <c r="Y253" s="176"/>
      <c r="Z253" s="176"/>
      <c r="AA253" s="176"/>
      <c r="AB253" s="176"/>
      <c r="AC253" s="176"/>
      <c r="AD253" s="176"/>
      <c r="AE253" s="176"/>
      <c r="AF253" s="176"/>
      <c r="AG253" s="176"/>
      <c r="AH253" s="176"/>
      <c r="AI253" s="176"/>
      <c r="AJ253" s="176"/>
      <c r="AK253" s="176"/>
      <c r="AL253" s="176"/>
      <c r="AM253" s="176"/>
      <c r="AN253" s="176"/>
      <c r="AO253" s="176"/>
      <c r="AP253" s="176"/>
      <c r="AQ253" s="176"/>
      <c r="AR253" s="176"/>
      <c r="AS253" s="176"/>
      <c r="AT253" s="176"/>
      <c r="AU253" s="176"/>
      <c r="AV253" s="176"/>
      <c r="AW253" s="176"/>
      <c r="AX253" s="176"/>
      <c r="AY253" s="176"/>
      <c r="AZ253" s="176"/>
      <c r="BA253" s="176"/>
      <c r="BB253" s="176"/>
    </row>
    <row r="254" ht="15.75" customHeight="1">
      <c r="A254" s="176"/>
      <c r="B254" s="176"/>
      <c r="C254" s="176"/>
      <c r="D254" s="176"/>
      <c r="E254" s="176"/>
      <c r="F254" s="176"/>
      <c r="G254" s="176"/>
      <c r="H254" s="176"/>
      <c r="I254" s="176"/>
      <c r="J254" s="176"/>
      <c r="K254" s="176"/>
      <c r="L254" s="176"/>
      <c r="M254" s="176"/>
      <c r="N254" s="176"/>
      <c r="O254" s="176"/>
      <c r="P254" s="176"/>
      <c r="Q254" s="176"/>
      <c r="R254" s="176"/>
      <c r="S254" s="176"/>
      <c r="T254" s="176"/>
      <c r="U254" s="176"/>
      <c r="V254" s="176"/>
      <c r="W254" s="176"/>
      <c r="X254" s="176"/>
      <c r="Y254" s="176"/>
      <c r="Z254" s="176"/>
      <c r="AA254" s="176"/>
      <c r="AB254" s="176"/>
      <c r="AC254" s="176"/>
      <c r="AD254" s="176"/>
      <c r="AE254" s="176"/>
      <c r="AF254" s="176"/>
      <c r="AG254" s="176"/>
      <c r="AH254" s="176"/>
      <c r="AI254" s="176"/>
      <c r="AJ254" s="176"/>
      <c r="AK254" s="176"/>
      <c r="AL254" s="176"/>
      <c r="AM254" s="176"/>
      <c r="AN254" s="176"/>
      <c r="AO254" s="176"/>
      <c r="AP254" s="176"/>
      <c r="AQ254" s="176"/>
      <c r="AR254" s="176"/>
      <c r="AS254" s="176"/>
      <c r="AT254" s="176"/>
      <c r="AU254" s="176"/>
      <c r="AV254" s="176"/>
      <c r="AW254" s="176"/>
      <c r="AX254" s="176"/>
      <c r="AY254" s="176"/>
      <c r="AZ254" s="176"/>
      <c r="BA254" s="176"/>
      <c r="BB254" s="176"/>
    </row>
    <row r="255" ht="15.75" customHeight="1">
      <c r="A255" s="176"/>
      <c r="B255" s="176"/>
      <c r="C255" s="176"/>
      <c r="D255" s="176"/>
      <c r="E255" s="176"/>
      <c r="F255" s="176"/>
      <c r="G255" s="176"/>
      <c r="H255" s="176"/>
      <c r="I255" s="176"/>
      <c r="J255" s="176"/>
      <c r="K255" s="176"/>
      <c r="L255" s="176"/>
      <c r="M255" s="176"/>
      <c r="N255" s="176"/>
      <c r="O255" s="176"/>
      <c r="P255" s="176"/>
      <c r="Q255" s="176"/>
      <c r="R255" s="176"/>
      <c r="S255" s="176"/>
      <c r="T255" s="176"/>
      <c r="U255" s="176"/>
      <c r="V255" s="176"/>
      <c r="W255" s="176"/>
      <c r="X255" s="176"/>
      <c r="Y255" s="176"/>
      <c r="Z255" s="176"/>
      <c r="AA255" s="176"/>
      <c r="AB255" s="176"/>
      <c r="AC255" s="176"/>
      <c r="AD255" s="176"/>
      <c r="AE255" s="176"/>
      <c r="AF255" s="176"/>
      <c r="AG255" s="176"/>
      <c r="AH255" s="176"/>
      <c r="AI255" s="176"/>
      <c r="AJ255" s="176"/>
      <c r="AK255" s="176"/>
      <c r="AL255" s="176"/>
      <c r="AM255" s="176"/>
      <c r="AN255" s="176"/>
      <c r="AO255" s="176"/>
      <c r="AP255" s="176"/>
      <c r="AQ255" s="176"/>
      <c r="AR255" s="176"/>
      <c r="AS255" s="176"/>
      <c r="AT255" s="176"/>
      <c r="AU255" s="176"/>
      <c r="AV255" s="176"/>
      <c r="AW255" s="176"/>
      <c r="AX255" s="176"/>
      <c r="AY255" s="176"/>
      <c r="AZ255" s="176"/>
      <c r="BA255" s="176"/>
      <c r="BB255" s="176"/>
    </row>
    <row r="256" ht="15.75" customHeight="1">
      <c r="A256" s="176"/>
      <c r="B256" s="176"/>
      <c r="C256" s="176"/>
      <c r="D256" s="176"/>
      <c r="E256" s="176"/>
      <c r="F256" s="176"/>
      <c r="G256" s="176"/>
      <c r="H256" s="176"/>
      <c r="I256" s="176"/>
      <c r="J256" s="176"/>
      <c r="K256" s="176"/>
      <c r="L256" s="176"/>
      <c r="M256" s="176"/>
      <c r="N256" s="176"/>
      <c r="O256" s="176"/>
      <c r="P256" s="176"/>
      <c r="Q256" s="176"/>
      <c r="R256" s="176"/>
      <c r="S256" s="176"/>
      <c r="T256" s="176"/>
      <c r="U256" s="176"/>
      <c r="V256" s="176"/>
      <c r="W256" s="176"/>
      <c r="X256" s="176"/>
      <c r="Y256" s="176"/>
      <c r="Z256" s="176"/>
      <c r="AA256" s="176"/>
      <c r="AB256" s="176"/>
      <c r="AC256" s="176"/>
      <c r="AD256" s="176"/>
      <c r="AE256" s="176"/>
      <c r="AF256" s="176"/>
      <c r="AG256" s="176"/>
      <c r="AH256" s="176"/>
      <c r="AI256" s="176"/>
      <c r="AJ256" s="176"/>
      <c r="AK256" s="176"/>
      <c r="AL256" s="176"/>
      <c r="AM256" s="176"/>
      <c r="AN256" s="176"/>
      <c r="AO256" s="176"/>
      <c r="AP256" s="176"/>
      <c r="AQ256" s="176"/>
      <c r="AR256" s="176"/>
      <c r="AS256" s="176"/>
      <c r="AT256" s="176"/>
      <c r="AU256" s="176"/>
      <c r="AV256" s="176"/>
      <c r="AW256" s="176"/>
      <c r="AX256" s="176"/>
      <c r="AY256" s="176"/>
      <c r="AZ256" s="176"/>
      <c r="BA256" s="176"/>
      <c r="BB256" s="176"/>
    </row>
    <row r="257" ht="15.75" customHeight="1">
      <c r="A257" s="176"/>
      <c r="B257" s="176"/>
      <c r="C257" s="176"/>
      <c r="D257" s="176"/>
      <c r="E257" s="176"/>
      <c r="F257" s="176"/>
      <c r="G257" s="176"/>
      <c r="H257" s="176"/>
      <c r="I257" s="176"/>
      <c r="J257" s="176"/>
      <c r="K257" s="176"/>
      <c r="L257" s="176"/>
      <c r="M257" s="176"/>
      <c r="N257" s="176"/>
      <c r="O257" s="176"/>
      <c r="P257" s="176"/>
      <c r="Q257" s="176"/>
      <c r="R257" s="176"/>
      <c r="S257" s="176"/>
      <c r="T257" s="176"/>
      <c r="U257" s="176"/>
      <c r="V257" s="176"/>
      <c r="W257" s="176"/>
      <c r="X257" s="176"/>
      <c r="Y257" s="176"/>
      <c r="Z257" s="176"/>
      <c r="AA257" s="176"/>
      <c r="AB257" s="176"/>
      <c r="AC257" s="176"/>
      <c r="AD257" s="176"/>
      <c r="AE257" s="176"/>
      <c r="AF257" s="176"/>
      <c r="AG257" s="176"/>
      <c r="AH257" s="176"/>
      <c r="AI257" s="176"/>
      <c r="AJ257" s="176"/>
      <c r="AK257" s="176"/>
      <c r="AL257" s="176"/>
      <c r="AM257" s="176"/>
      <c r="AN257" s="176"/>
      <c r="AO257" s="176"/>
      <c r="AP257" s="176"/>
      <c r="AQ257" s="176"/>
      <c r="AR257" s="176"/>
      <c r="AS257" s="176"/>
      <c r="AT257" s="176"/>
      <c r="AU257" s="176"/>
      <c r="AV257" s="176"/>
      <c r="AW257" s="176"/>
      <c r="AX257" s="176"/>
      <c r="AY257" s="176"/>
      <c r="AZ257" s="176"/>
      <c r="BA257" s="176"/>
      <c r="BB257" s="176"/>
    </row>
    <row r="258" ht="15.75" customHeight="1">
      <c r="A258" s="176"/>
      <c r="B258" s="176"/>
      <c r="C258" s="176"/>
      <c r="D258" s="176"/>
      <c r="E258" s="176"/>
      <c r="F258" s="176"/>
      <c r="G258" s="176"/>
      <c r="H258" s="176"/>
      <c r="I258" s="176"/>
      <c r="J258" s="176"/>
      <c r="K258" s="176"/>
      <c r="L258" s="176"/>
      <c r="M258" s="176"/>
      <c r="N258" s="176"/>
      <c r="O258" s="176"/>
      <c r="P258" s="176"/>
      <c r="Q258" s="176"/>
      <c r="R258" s="176"/>
      <c r="S258" s="176"/>
      <c r="T258" s="176"/>
      <c r="U258" s="176"/>
      <c r="V258" s="176"/>
      <c r="W258" s="176"/>
      <c r="X258" s="176"/>
      <c r="Y258" s="176"/>
      <c r="Z258" s="176"/>
      <c r="AA258" s="176"/>
      <c r="AB258" s="176"/>
      <c r="AC258" s="176"/>
      <c r="AD258" s="176"/>
      <c r="AE258" s="176"/>
      <c r="AF258" s="176"/>
      <c r="AG258" s="176"/>
      <c r="AH258" s="176"/>
      <c r="AI258" s="176"/>
      <c r="AJ258" s="176"/>
      <c r="AK258" s="176"/>
      <c r="AL258" s="176"/>
      <c r="AM258" s="176"/>
      <c r="AN258" s="176"/>
      <c r="AO258" s="176"/>
      <c r="AP258" s="176"/>
      <c r="AQ258" s="176"/>
      <c r="AR258" s="176"/>
      <c r="AS258" s="176"/>
      <c r="AT258" s="176"/>
      <c r="AU258" s="176"/>
      <c r="AV258" s="176"/>
      <c r="AW258" s="176"/>
      <c r="AX258" s="176"/>
      <c r="AY258" s="176"/>
      <c r="AZ258" s="176"/>
      <c r="BA258" s="176"/>
      <c r="BB258" s="176"/>
    </row>
    <row r="259" ht="15.75" customHeight="1">
      <c r="A259" s="176"/>
      <c r="B259" s="176"/>
      <c r="C259" s="176"/>
      <c r="D259" s="176"/>
      <c r="E259" s="176"/>
      <c r="F259" s="176"/>
      <c r="G259" s="176"/>
      <c r="H259" s="176"/>
      <c r="I259" s="176"/>
      <c r="J259" s="176"/>
      <c r="K259" s="176"/>
      <c r="L259" s="176"/>
      <c r="M259" s="176"/>
      <c r="N259" s="176"/>
      <c r="O259" s="176"/>
      <c r="P259" s="176"/>
      <c r="Q259" s="176"/>
      <c r="R259" s="176"/>
      <c r="S259" s="176"/>
      <c r="T259" s="176"/>
      <c r="U259" s="176"/>
      <c r="V259" s="176"/>
      <c r="W259" s="176"/>
      <c r="X259" s="176"/>
      <c r="Y259" s="176"/>
      <c r="Z259" s="176"/>
      <c r="AA259" s="176"/>
      <c r="AB259" s="176"/>
      <c r="AC259" s="176"/>
      <c r="AD259" s="176"/>
      <c r="AE259" s="176"/>
      <c r="AF259" s="176"/>
      <c r="AG259" s="176"/>
      <c r="AH259" s="176"/>
      <c r="AI259" s="176"/>
      <c r="AJ259" s="176"/>
      <c r="AK259" s="176"/>
      <c r="AL259" s="176"/>
      <c r="AM259" s="176"/>
      <c r="AN259" s="176"/>
      <c r="AO259" s="176"/>
      <c r="AP259" s="176"/>
      <c r="AQ259" s="176"/>
      <c r="AR259" s="176"/>
      <c r="AS259" s="176"/>
      <c r="AT259" s="176"/>
      <c r="AU259" s="176"/>
      <c r="AV259" s="176"/>
      <c r="AW259" s="176"/>
      <c r="AX259" s="176"/>
      <c r="AY259" s="176"/>
      <c r="AZ259" s="176"/>
      <c r="BA259" s="176"/>
      <c r="BB259" s="176"/>
    </row>
    <row r="260" ht="15.75" customHeight="1">
      <c r="A260" s="176"/>
      <c r="B260" s="176"/>
      <c r="C260" s="176"/>
      <c r="D260" s="176"/>
      <c r="E260" s="176"/>
      <c r="F260" s="176"/>
      <c r="G260" s="176"/>
      <c r="H260" s="176"/>
      <c r="I260" s="176"/>
      <c r="J260" s="176"/>
      <c r="K260" s="176"/>
      <c r="L260" s="176"/>
      <c r="M260" s="176"/>
      <c r="N260" s="176"/>
      <c r="O260" s="176"/>
      <c r="P260" s="176"/>
      <c r="Q260" s="176"/>
      <c r="R260" s="176"/>
      <c r="S260" s="176"/>
      <c r="T260" s="176"/>
      <c r="U260" s="176"/>
      <c r="V260" s="176"/>
      <c r="W260" s="176"/>
      <c r="X260" s="176"/>
      <c r="Y260" s="176"/>
      <c r="Z260" s="176"/>
      <c r="AA260" s="176"/>
      <c r="AB260" s="176"/>
      <c r="AC260" s="176"/>
      <c r="AD260" s="176"/>
      <c r="AE260" s="176"/>
      <c r="AF260" s="176"/>
      <c r="AG260" s="176"/>
      <c r="AH260" s="176"/>
      <c r="AI260" s="176"/>
      <c r="AJ260" s="176"/>
      <c r="AK260" s="176"/>
      <c r="AL260" s="176"/>
      <c r="AM260" s="176"/>
      <c r="AN260" s="176"/>
      <c r="AO260" s="176"/>
      <c r="AP260" s="176"/>
      <c r="AQ260" s="176"/>
      <c r="AR260" s="176"/>
      <c r="AS260" s="176"/>
      <c r="AT260" s="176"/>
      <c r="AU260" s="176"/>
      <c r="AV260" s="176"/>
      <c r="AW260" s="176"/>
      <c r="AX260" s="176"/>
      <c r="AY260" s="176"/>
      <c r="AZ260" s="176"/>
      <c r="BA260" s="176"/>
      <c r="BB260" s="176"/>
    </row>
    <row r="261" ht="15.75" customHeight="1">
      <c r="A261" s="176"/>
      <c r="B261" s="176"/>
      <c r="C261" s="176"/>
      <c r="D261" s="176"/>
      <c r="E261" s="176"/>
      <c r="F261" s="176"/>
      <c r="G261" s="176"/>
      <c r="H261" s="176"/>
      <c r="I261" s="176"/>
      <c r="J261" s="176"/>
      <c r="K261" s="176"/>
      <c r="L261" s="176"/>
      <c r="M261" s="176"/>
      <c r="N261" s="176"/>
      <c r="O261" s="176"/>
      <c r="P261" s="176"/>
      <c r="Q261" s="176"/>
      <c r="R261" s="176"/>
      <c r="S261" s="176"/>
      <c r="T261" s="176"/>
      <c r="U261" s="176"/>
      <c r="V261" s="176"/>
      <c r="W261" s="176"/>
      <c r="X261" s="176"/>
      <c r="Y261" s="176"/>
      <c r="Z261" s="176"/>
      <c r="AA261" s="176"/>
      <c r="AB261" s="176"/>
      <c r="AC261" s="176"/>
      <c r="AD261" s="176"/>
      <c r="AE261" s="176"/>
      <c r="AF261" s="176"/>
      <c r="AG261" s="176"/>
      <c r="AH261" s="176"/>
      <c r="AI261" s="176"/>
      <c r="AJ261" s="176"/>
      <c r="AK261" s="176"/>
      <c r="AL261" s="176"/>
      <c r="AM261" s="176"/>
      <c r="AN261" s="176"/>
      <c r="AO261" s="176"/>
      <c r="AP261" s="176"/>
      <c r="AQ261" s="176"/>
      <c r="AR261" s="176"/>
      <c r="AS261" s="176"/>
      <c r="AT261" s="176"/>
      <c r="AU261" s="176"/>
      <c r="AV261" s="176"/>
      <c r="AW261" s="176"/>
      <c r="AX261" s="176"/>
      <c r="AY261" s="176"/>
      <c r="AZ261" s="176"/>
      <c r="BA261" s="176"/>
      <c r="BB261" s="176"/>
    </row>
    <row r="262" ht="15.75" customHeight="1">
      <c r="A262" s="176"/>
      <c r="B262" s="176"/>
      <c r="C262" s="176"/>
      <c r="D262" s="176"/>
      <c r="E262" s="176"/>
      <c r="F262" s="176"/>
      <c r="G262" s="176"/>
      <c r="H262" s="176"/>
      <c r="I262" s="176"/>
      <c r="J262" s="176"/>
      <c r="K262" s="176"/>
      <c r="L262" s="176"/>
      <c r="M262" s="176"/>
      <c r="N262" s="176"/>
      <c r="O262" s="176"/>
      <c r="P262" s="176"/>
      <c r="Q262" s="176"/>
      <c r="R262" s="176"/>
      <c r="S262" s="176"/>
      <c r="T262" s="176"/>
      <c r="U262" s="176"/>
      <c r="V262" s="176"/>
      <c r="W262" s="176"/>
      <c r="X262" s="176"/>
      <c r="Y262" s="176"/>
      <c r="Z262" s="176"/>
      <c r="AA262" s="176"/>
      <c r="AB262" s="176"/>
      <c r="AC262" s="176"/>
      <c r="AD262" s="176"/>
      <c r="AE262" s="176"/>
      <c r="AF262" s="176"/>
      <c r="AG262" s="176"/>
      <c r="AH262" s="176"/>
      <c r="AI262" s="176"/>
      <c r="AJ262" s="176"/>
      <c r="AK262" s="176"/>
      <c r="AL262" s="176"/>
      <c r="AM262" s="176"/>
      <c r="AN262" s="176"/>
      <c r="AO262" s="176"/>
      <c r="AP262" s="176"/>
      <c r="AQ262" s="176"/>
      <c r="AR262" s="176"/>
      <c r="AS262" s="176"/>
      <c r="AT262" s="176"/>
      <c r="AU262" s="176"/>
      <c r="AV262" s="176"/>
      <c r="AW262" s="176"/>
      <c r="AX262" s="176"/>
      <c r="AY262" s="176"/>
      <c r="AZ262" s="176"/>
      <c r="BA262" s="176"/>
      <c r="BB262" s="176"/>
    </row>
    <row r="263" ht="15.75" customHeight="1">
      <c r="A263" s="176"/>
      <c r="B263" s="176"/>
      <c r="C263" s="176"/>
      <c r="D263" s="176"/>
      <c r="E263" s="176"/>
      <c r="F263" s="176"/>
      <c r="G263" s="176"/>
      <c r="H263" s="176"/>
      <c r="I263" s="176"/>
      <c r="J263" s="176"/>
      <c r="K263" s="176"/>
      <c r="L263" s="176"/>
      <c r="M263" s="176"/>
      <c r="N263" s="176"/>
      <c r="O263" s="176"/>
      <c r="P263" s="176"/>
      <c r="Q263" s="176"/>
      <c r="R263" s="176"/>
      <c r="S263" s="176"/>
      <c r="T263" s="176"/>
      <c r="U263" s="176"/>
      <c r="V263" s="176"/>
      <c r="W263" s="176"/>
      <c r="X263" s="176"/>
      <c r="Y263" s="176"/>
      <c r="Z263" s="176"/>
      <c r="AA263" s="176"/>
      <c r="AB263" s="176"/>
      <c r="AC263" s="176"/>
      <c r="AD263" s="176"/>
      <c r="AE263" s="176"/>
      <c r="AF263" s="176"/>
      <c r="AG263" s="176"/>
      <c r="AH263" s="176"/>
      <c r="AI263" s="176"/>
      <c r="AJ263" s="176"/>
      <c r="AK263" s="176"/>
      <c r="AL263" s="176"/>
      <c r="AM263" s="176"/>
      <c r="AN263" s="176"/>
      <c r="AO263" s="176"/>
      <c r="AP263" s="176"/>
      <c r="AQ263" s="176"/>
      <c r="AR263" s="176"/>
      <c r="AS263" s="176"/>
      <c r="AT263" s="176"/>
      <c r="AU263" s="176"/>
      <c r="AV263" s="176"/>
      <c r="AW263" s="176"/>
      <c r="AX263" s="176"/>
      <c r="AY263" s="176"/>
      <c r="AZ263" s="176"/>
      <c r="BA263" s="176"/>
      <c r="BB263" s="176"/>
    </row>
    <row r="264" ht="15.75" customHeight="1">
      <c r="A264" s="176"/>
      <c r="B264" s="176"/>
      <c r="C264" s="176"/>
      <c r="D264" s="176"/>
      <c r="E264" s="176"/>
      <c r="F264" s="176"/>
      <c r="G264" s="176"/>
      <c r="H264" s="176"/>
      <c r="I264" s="176"/>
      <c r="J264" s="176"/>
      <c r="K264" s="176"/>
      <c r="L264" s="176"/>
      <c r="M264" s="176"/>
      <c r="N264" s="176"/>
      <c r="O264" s="176"/>
      <c r="P264" s="176"/>
      <c r="Q264" s="176"/>
      <c r="R264" s="176"/>
      <c r="S264" s="176"/>
      <c r="T264" s="176"/>
      <c r="U264" s="176"/>
      <c r="V264" s="176"/>
      <c r="W264" s="176"/>
      <c r="X264" s="176"/>
      <c r="Y264" s="176"/>
      <c r="Z264" s="176"/>
      <c r="AA264" s="176"/>
      <c r="AB264" s="176"/>
      <c r="AC264" s="176"/>
      <c r="AD264" s="176"/>
      <c r="AE264" s="176"/>
      <c r="AF264" s="176"/>
      <c r="AG264" s="176"/>
      <c r="AH264" s="176"/>
      <c r="AI264" s="176"/>
      <c r="AJ264" s="176"/>
      <c r="AK264" s="176"/>
      <c r="AL264" s="176"/>
      <c r="AM264" s="176"/>
      <c r="AN264" s="176"/>
      <c r="AO264" s="176"/>
      <c r="AP264" s="176"/>
      <c r="AQ264" s="176"/>
      <c r="AR264" s="176"/>
      <c r="AS264" s="176"/>
      <c r="AT264" s="176"/>
      <c r="AU264" s="176"/>
      <c r="AV264" s="176"/>
      <c r="AW264" s="176"/>
      <c r="AX264" s="176"/>
      <c r="AY264" s="176"/>
      <c r="AZ264" s="176"/>
      <c r="BA264" s="176"/>
      <c r="BB264" s="176"/>
    </row>
    <row r="265" ht="15.75" customHeight="1">
      <c r="A265" s="176"/>
      <c r="B265" s="176"/>
      <c r="C265" s="176"/>
      <c r="D265" s="176"/>
      <c r="E265" s="176"/>
      <c r="F265" s="176"/>
      <c r="G265" s="176"/>
      <c r="H265" s="176"/>
      <c r="I265" s="176"/>
      <c r="J265" s="176"/>
      <c r="K265" s="176"/>
      <c r="L265" s="176"/>
      <c r="M265" s="176"/>
      <c r="N265" s="176"/>
      <c r="O265" s="176"/>
      <c r="P265" s="176"/>
      <c r="Q265" s="176"/>
      <c r="R265" s="176"/>
      <c r="S265" s="176"/>
      <c r="T265" s="176"/>
      <c r="U265" s="176"/>
      <c r="V265" s="176"/>
      <c r="W265" s="176"/>
      <c r="X265" s="176"/>
      <c r="Y265" s="176"/>
      <c r="Z265" s="176"/>
      <c r="AA265" s="176"/>
      <c r="AB265" s="176"/>
      <c r="AC265" s="176"/>
      <c r="AD265" s="176"/>
      <c r="AE265" s="176"/>
      <c r="AF265" s="176"/>
      <c r="AG265" s="176"/>
      <c r="AH265" s="176"/>
      <c r="AI265" s="176"/>
      <c r="AJ265" s="176"/>
      <c r="AK265" s="176"/>
      <c r="AL265" s="176"/>
      <c r="AM265" s="176"/>
      <c r="AN265" s="176"/>
      <c r="AO265" s="176"/>
      <c r="AP265" s="176"/>
      <c r="AQ265" s="176"/>
      <c r="AR265" s="176"/>
      <c r="AS265" s="176"/>
      <c r="AT265" s="176"/>
      <c r="AU265" s="176"/>
      <c r="AV265" s="176"/>
      <c r="AW265" s="176"/>
      <c r="AX265" s="176"/>
      <c r="AY265" s="176"/>
      <c r="AZ265" s="176"/>
      <c r="BA265" s="176"/>
      <c r="BB265" s="176"/>
    </row>
    <row r="266" ht="15.75" customHeight="1">
      <c r="A266" s="176"/>
      <c r="B266" s="176"/>
      <c r="C266" s="176"/>
      <c r="D266" s="176"/>
      <c r="E266" s="176"/>
      <c r="F266" s="176"/>
      <c r="G266" s="176"/>
      <c r="H266" s="176"/>
      <c r="I266" s="176"/>
      <c r="J266" s="176"/>
      <c r="K266" s="176"/>
      <c r="L266" s="176"/>
      <c r="M266" s="176"/>
      <c r="N266" s="176"/>
      <c r="O266" s="176"/>
      <c r="P266" s="176"/>
      <c r="Q266" s="176"/>
      <c r="R266" s="176"/>
      <c r="S266" s="176"/>
      <c r="T266" s="176"/>
      <c r="U266" s="176"/>
      <c r="V266" s="176"/>
      <c r="W266" s="176"/>
      <c r="X266" s="176"/>
      <c r="Y266" s="176"/>
      <c r="Z266" s="176"/>
      <c r="AA266" s="176"/>
      <c r="AB266" s="176"/>
      <c r="AC266" s="176"/>
      <c r="AD266" s="176"/>
      <c r="AE266" s="176"/>
      <c r="AF266" s="176"/>
      <c r="AG266" s="176"/>
      <c r="AH266" s="176"/>
      <c r="AI266" s="176"/>
      <c r="AJ266" s="176"/>
      <c r="AK266" s="176"/>
      <c r="AL266" s="176"/>
      <c r="AM266" s="176"/>
      <c r="AN266" s="176"/>
      <c r="AO266" s="176"/>
      <c r="AP266" s="176"/>
      <c r="AQ266" s="176"/>
      <c r="AR266" s="176"/>
      <c r="AS266" s="176"/>
      <c r="AT266" s="176"/>
      <c r="AU266" s="176"/>
      <c r="AV266" s="176"/>
      <c r="AW266" s="176"/>
      <c r="AX266" s="176"/>
      <c r="AY266" s="176"/>
      <c r="AZ266" s="176"/>
      <c r="BA266" s="176"/>
      <c r="BB266" s="176"/>
    </row>
    <row r="267" ht="15.75" customHeight="1">
      <c r="A267" s="176"/>
      <c r="B267" s="176"/>
      <c r="C267" s="176"/>
      <c r="D267" s="176"/>
      <c r="E267" s="176"/>
      <c r="F267" s="176"/>
      <c r="G267" s="176"/>
      <c r="H267" s="176"/>
      <c r="I267" s="176"/>
      <c r="J267" s="176"/>
      <c r="K267" s="176"/>
      <c r="L267" s="176"/>
      <c r="M267" s="176"/>
      <c r="N267" s="176"/>
      <c r="O267" s="176"/>
      <c r="P267" s="176"/>
      <c r="Q267" s="176"/>
      <c r="R267" s="176"/>
      <c r="S267" s="176"/>
      <c r="T267" s="176"/>
      <c r="U267" s="176"/>
      <c r="V267" s="176"/>
      <c r="W267" s="176"/>
      <c r="X267" s="176"/>
      <c r="Y267" s="176"/>
      <c r="Z267" s="176"/>
      <c r="AA267" s="176"/>
      <c r="AB267" s="176"/>
      <c r="AC267" s="176"/>
      <c r="AD267" s="176"/>
      <c r="AE267" s="176"/>
      <c r="AF267" s="176"/>
      <c r="AG267" s="176"/>
      <c r="AH267" s="176"/>
      <c r="AI267" s="176"/>
      <c r="AJ267" s="176"/>
      <c r="AK267" s="176"/>
      <c r="AL267" s="176"/>
      <c r="AM267" s="176"/>
      <c r="AN267" s="176"/>
      <c r="AO267" s="176"/>
      <c r="AP267" s="176"/>
      <c r="AQ267" s="176"/>
      <c r="AR267" s="176"/>
      <c r="AS267" s="176"/>
      <c r="AT267" s="176"/>
      <c r="AU267" s="176"/>
      <c r="AV267" s="176"/>
      <c r="AW267" s="176"/>
      <c r="AX267" s="176"/>
      <c r="AY267" s="176"/>
      <c r="AZ267" s="176"/>
      <c r="BA267" s="176"/>
      <c r="BB267" s="176"/>
    </row>
    <row r="268" ht="15.75" customHeight="1">
      <c r="A268" s="176"/>
      <c r="B268" s="176"/>
      <c r="C268" s="176"/>
      <c r="D268" s="176"/>
      <c r="E268" s="176"/>
      <c r="F268" s="176"/>
      <c r="G268" s="176"/>
      <c r="H268" s="176"/>
      <c r="I268" s="176"/>
      <c r="J268" s="176"/>
      <c r="K268" s="176"/>
      <c r="L268" s="176"/>
      <c r="M268" s="176"/>
      <c r="N268" s="176"/>
      <c r="O268" s="176"/>
      <c r="P268" s="176"/>
      <c r="Q268" s="176"/>
      <c r="R268" s="176"/>
      <c r="S268" s="176"/>
      <c r="T268" s="176"/>
      <c r="U268" s="176"/>
      <c r="V268" s="176"/>
      <c r="W268" s="176"/>
      <c r="X268" s="176"/>
      <c r="Y268" s="176"/>
      <c r="Z268" s="176"/>
      <c r="AA268" s="176"/>
      <c r="AB268" s="176"/>
      <c r="AC268" s="176"/>
      <c r="AD268" s="176"/>
      <c r="AE268" s="176"/>
      <c r="AF268" s="176"/>
      <c r="AG268" s="176"/>
      <c r="AH268" s="176"/>
      <c r="AI268" s="176"/>
      <c r="AJ268" s="176"/>
      <c r="AK268" s="176"/>
      <c r="AL268" s="176"/>
      <c r="AM268" s="176"/>
      <c r="AN268" s="176"/>
      <c r="AO268" s="176"/>
      <c r="AP268" s="176"/>
      <c r="AQ268" s="176"/>
      <c r="AR268" s="176"/>
      <c r="AS268" s="176"/>
      <c r="AT268" s="176"/>
      <c r="AU268" s="176"/>
      <c r="AV268" s="176"/>
      <c r="AW268" s="176"/>
      <c r="AX268" s="176"/>
      <c r="AY268" s="176"/>
      <c r="AZ268" s="176"/>
      <c r="BA268" s="176"/>
      <c r="BB268" s="176"/>
    </row>
    <row r="269" ht="15.75" customHeight="1">
      <c r="A269" s="176"/>
      <c r="B269" s="176"/>
      <c r="C269" s="176"/>
      <c r="D269" s="176"/>
      <c r="E269" s="176"/>
      <c r="F269" s="176"/>
      <c r="G269" s="176"/>
      <c r="H269" s="176"/>
      <c r="I269" s="176"/>
      <c r="J269" s="176"/>
      <c r="K269" s="176"/>
      <c r="L269" s="176"/>
      <c r="M269" s="176"/>
      <c r="N269" s="176"/>
      <c r="O269" s="176"/>
      <c r="P269" s="176"/>
      <c r="Q269" s="176"/>
      <c r="R269" s="176"/>
      <c r="S269" s="176"/>
      <c r="T269" s="176"/>
      <c r="U269" s="176"/>
      <c r="V269" s="176"/>
      <c r="W269" s="176"/>
      <c r="X269" s="176"/>
      <c r="Y269" s="176"/>
      <c r="Z269" s="176"/>
      <c r="AA269" s="176"/>
      <c r="AB269" s="176"/>
      <c r="AC269" s="176"/>
      <c r="AD269" s="176"/>
      <c r="AE269" s="176"/>
      <c r="AF269" s="176"/>
      <c r="AG269" s="176"/>
      <c r="AH269" s="176"/>
      <c r="AI269" s="176"/>
      <c r="AJ269" s="176"/>
      <c r="AK269" s="176"/>
      <c r="AL269" s="176"/>
      <c r="AM269" s="176"/>
      <c r="AN269" s="176"/>
      <c r="AO269" s="176"/>
      <c r="AP269" s="176"/>
      <c r="AQ269" s="176"/>
      <c r="AR269" s="176"/>
      <c r="AS269" s="176"/>
      <c r="AT269" s="176"/>
      <c r="AU269" s="176"/>
      <c r="AV269" s="176"/>
      <c r="AW269" s="176"/>
      <c r="AX269" s="176"/>
      <c r="AY269" s="176"/>
      <c r="AZ269" s="176"/>
      <c r="BA269" s="176"/>
      <c r="BB269" s="176"/>
    </row>
    <row r="270" ht="15.75" customHeight="1">
      <c r="A270" s="176"/>
      <c r="B270" s="176"/>
      <c r="C270" s="176"/>
      <c r="D270" s="176"/>
      <c r="E270" s="176"/>
      <c r="F270" s="176"/>
      <c r="G270" s="176"/>
      <c r="H270" s="176"/>
      <c r="I270" s="176"/>
      <c r="J270" s="176"/>
      <c r="K270" s="176"/>
      <c r="L270" s="176"/>
      <c r="M270" s="176"/>
      <c r="N270" s="176"/>
      <c r="O270" s="176"/>
      <c r="P270" s="176"/>
      <c r="Q270" s="176"/>
      <c r="R270" s="176"/>
      <c r="S270" s="176"/>
      <c r="T270" s="176"/>
      <c r="U270" s="176"/>
      <c r="V270" s="176"/>
      <c r="W270" s="176"/>
      <c r="X270" s="176"/>
      <c r="Y270" s="176"/>
      <c r="Z270" s="176"/>
      <c r="AA270" s="176"/>
      <c r="AB270" s="176"/>
      <c r="AC270" s="176"/>
      <c r="AD270" s="176"/>
      <c r="AE270" s="176"/>
      <c r="AF270" s="176"/>
      <c r="AG270" s="176"/>
      <c r="AH270" s="176"/>
      <c r="AI270" s="176"/>
      <c r="AJ270" s="176"/>
      <c r="AK270" s="176"/>
      <c r="AL270" s="176"/>
      <c r="AM270" s="176"/>
      <c r="AN270" s="176"/>
      <c r="AO270" s="176"/>
      <c r="AP270" s="176"/>
      <c r="AQ270" s="176"/>
      <c r="AR270" s="176"/>
      <c r="AS270" s="176"/>
      <c r="AT270" s="176"/>
      <c r="AU270" s="176"/>
      <c r="AV270" s="176"/>
      <c r="AW270" s="176"/>
      <c r="AX270" s="176"/>
      <c r="AY270" s="176"/>
      <c r="AZ270" s="176"/>
      <c r="BA270" s="176"/>
      <c r="BB270" s="176"/>
    </row>
    <row r="271" ht="15.75" customHeight="1">
      <c r="A271" s="176"/>
      <c r="B271" s="176"/>
      <c r="C271" s="176"/>
      <c r="D271" s="176"/>
      <c r="E271" s="176"/>
      <c r="F271" s="176"/>
      <c r="G271" s="176"/>
      <c r="H271" s="176"/>
      <c r="I271" s="176"/>
      <c r="J271" s="176"/>
      <c r="K271" s="176"/>
      <c r="L271" s="176"/>
      <c r="M271" s="176"/>
      <c r="N271" s="176"/>
      <c r="O271" s="176"/>
      <c r="P271" s="176"/>
      <c r="Q271" s="176"/>
      <c r="R271" s="176"/>
      <c r="S271" s="176"/>
      <c r="T271" s="176"/>
      <c r="U271" s="176"/>
      <c r="V271" s="176"/>
      <c r="W271" s="176"/>
      <c r="X271" s="176"/>
      <c r="Y271" s="176"/>
      <c r="Z271" s="176"/>
      <c r="AA271" s="176"/>
      <c r="AB271" s="176"/>
      <c r="AC271" s="176"/>
      <c r="AD271" s="176"/>
      <c r="AE271" s="176"/>
      <c r="AF271" s="176"/>
      <c r="AG271" s="176"/>
      <c r="AH271" s="176"/>
      <c r="AI271" s="176"/>
      <c r="AJ271" s="176"/>
      <c r="AK271" s="176"/>
      <c r="AL271" s="176"/>
      <c r="AM271" s="176"/>
      <c r="AN271" s="176"/>
      <c r="AO271" s="176"/>
      <c r="AP271" s="176"/>
      <c r="AQ271" s="176"/>
      <c r="AR271" s="176"/>
      <c r="AS271" s="176"/>
      <c r="AT271" s="176"/>
      <c r="AU271" s="176"/>
      <c r="AV271" s="176"/>
      <c r="AW271" s="176"/>
      <c r="AX271" s="176"/>
      <c r="AY271" s="176"/>
      <c r="AZ271" s="176"/>
      <c r="BA271" s="176"/>
      <c r="BB271" s="176"/>
    </row>
    <row r="272" ht="15.75" customHeight="1">
      <c r="A272" s="176"/>
      <c r="B272" s="176"/>
      <c r="C272" s="176"/>
      <c r="D272" s="176"/>
      <c r="E272" s="176"/>
      <c r="F272" s="176"/>
      <c r="G272" s="176"/>
      <c r="H272" s="176"/>
      <c r="I272" s="176"/>
      <c r="J272" s="176"/>
      <c r="K272" s="176"/>
      <c r="L272" s="176"/>
      <c r="M272" s="176"/>
      <c r="N272" s="176"/>
      <c r="O272" s="176"/>
      <c r="P272" s="176"/>
      <c r="Q272" s="176"/>
      <c r="R272" s="176"/>
      <c r="S272" s="176"/>
      <c r="T272" s="176"/>
      <c r="U272" s="176"/>
      <c r="V272" s="176"/>
      <c r="W272" s="176"/>
      <c r="X272" s="176"/>
      <c r="Y272" s="176"/>
      <c r="Z272" s="176"/>
      <c r="AA272" s="176"/>
      <c r="AB272" s="176"/>
      <c r="AC272" s="176"/>
      <c r="AD272" s="176"/>
      <c r="AE272" s="176"/>
      <c r="AF272" s="176"/>
      <c r="AG272" s="176"/>
      <c r="AH272" s="176"/>
      <c r="AI272" s="176"/>
      <c r="AJ272" s="176"/>
      <c r="AK272" s="176"/>
      <c r="AL272" s="176"/>
      <c r="AM272" s="176"/>
      <c r="AN272" s="176"/>
      <c r="AO272" s="176"/>
      <c r="AP272" s="176"/>
      <c r="AQ272" s="176"/>
      <c r="AR272" s="176"/>
      <c r="AS272" s="176"/>
      <c r="AT272" s="176"/>
      <c r="AU272" s="176"/>
      <c r="AV272" s="176"/>
      <c r="AW272" s="176"/>
      <c r="AX272" s="176"/>
      <c r="AY272" s="176"/>
      <c r="AZ272" s="176"/>
      <c r="BA272" s="176"/>
      <c r="BB272" s="176"/>
    </row>
    <row r="273" ht="15.75" customHeight="1">
      <c r="A273" s="176"/>
      <c r="B273" s="176"/>
      <c r="C273" s="176"/>
      <c r="D273" s="176"/>
      <c r="E273" s="176"/>
      <c r="F273" s="176"/>
      <c r="G273" s="176"/>
      <c r="H273" s="176"/>
      <c r="I273" s="176"/>
      <c r="J273" s="176"/>
      <c r="K273" s="176"/>
      <c r="L273" s="176"/>
      <c r="M273" s="176"/>
      <c r="N273" s="176"/>
      <c r="O273" s="176"/>
      <c r="P273" s="176"/>
      <c r="Q273" s="176"/>
      <c r="R273" s="176"/>
      <c r="S273" s="176"/>
      <c r="T273" s="176"/>
      <c r="U273" s="176"/>
      <c r="V273" s="176"/>
      <c r="W273" s="176"/>
      <c r="X273" s="176"/>
      <c r="Y273" s="176"/>
      <c r="Z273" s="176"/>
      <c r="AA273" s="176"/>
      <c r="AB273" s="176"/>
      <c r="AC273" s="176"/>
      <c r="AD273" s="176"/>
      <c r="AE273" s="176"/>
      <c r="AF273" s="176"/>
      <c r="AG273" s="176"/>
      <c r="AH273" s="176"/>
      <c r="AI273" s="176"/>
      <c r="AJ273" s="176"/>
      <c r="AK273" s="176"/>
      <c r="AL273" s="176"/>
      <c r="AM273" s="176"/>
      <c r="AN273" s="176"/>
      <c r="AO273" s="176"/>
      <c r="AP273" s="176"/>
      <c r="AQ273" s="176"/>
      <c r="AR273" s="176"/>
      <c r="AS273" s="176"/>
      <c r="AT273" s="176"/>
      <c r="AU273" s="176"/>
      <c r="AV273" s="176"/>
      <c r="AW273" s="176"/>
      <c r="AX273" s="176"/>
      <c r="AY273" s="176"/>
      <c r="AZ273" s="176"/>
      <c r="BA273" s="176"/>
      <c r="BB273" s="176"/>
    </row>
    <row r="274" ht="15.75" customHeight="1">
      <c r="A274" s="176"/>
      <c r="B274" s="176"/>
      <c r="C274" s="176"/>
      <c r="D274" s="176"/>
      <c r="E274" s="176"/>
      <c r="F274" s="176"/>
      <c r="G274" s="176"/>
      <c r="H274" s="176"/>
      <c r="I274" s="176"/>
      <c r="J274" s="176"/>
      <c r="K274" s="176"/>
      <c r="L274" s="176"/>
      <c r="M274" s="176"/>
      <c r="N274" s="176"/>
      <c r="O274" s="176"/>
      <c r="P274" s="176"/>
      <c r="Q274" s="176"/>
      <c r="R274" s="176"/>
      <c r="S274" s="176"/>
      <c r="T274" s="176"/>
      <c r="U274" s="176"/>
      <c r="V274" s="176"/>
      <c r="W274" s="176"/>
      <c r="X274" s="176"/>
      <c r="Y274" s="176"/>
      <c r="Z274" s="176"/>
      <c r="AA274" s="176"/>
      <c r="AB274" s="176"/>
      <c r="AC274" s="176"/>
      <c r="AD274" s="176"/>
      <c r="AE274" s="176"/>
      <c r="AF274" s="176"/>
      <c r="AG274" s="176"/>
      <c r="AH274" s="176"/>
      <c r="AI274" s="176"/>
      <c r="AJ274" s="176"/>
      <c r="AK274" s="176"/>
      <c r="AL274" s="176"/>
      <c r="AM274" s="176"/>
      <c r="AN274" s="176"/>
      <c r="AO274" s="176"/>
      <c r="AP274" s="176"/>
      <c r="AQ274" s="176"/>
      <c r="AR274" s="176"/>
      <c r="AS274" s="176"/>
      <c r="AT274" s="176"/>
      <c r="AU274" s="176"/>
      <c r="AV274" s="176"/>
      <c r="AW274" s="176"/>
      <c r="AX274" s="176"/>
      <c r="AY274" s="176"/>
      <c r="AZ274" s="176"/>
      <c r="BA274" s="176"/>
      <c r="BB274" s="176"/>
    </row>
    <row r="275" ht="15.75" customHeight="1">
      <c r="A275" s="176"/>
      <c r="B275" s="176"/>
      <c r="C275" s="176"/>
      <c r="D275" s="176"/>
      <c r="E275" s="176"/>
      <c r="F275" s="176"/>
      <c r="G275" s="176"/>
      <c r="H275" s="176"/>
      <c r="I275" s="176"/>
      <c r="J275" s="176"/>
      <c r="K275" s="176"/>
      <c r="L275" s="176"/>
      <c r="M275" s="176"/>
      <c r="N275" s="176"/>
      <c r="O275" s="176"/>
      <c r="P275" s="176"/>
      <c r="Q275" s="176"/>
      <c r="R275" s="176"/>
      <c r="S275" s="176"/>
      <c r="T275" s="176"/>
      <c r="U275" s="176"/>
      <c r="V275" s="176"/>
      <c r="W275" s="176"/>
      <c r="X275" s="176"/>
      <c r="Y275" s="176"/>
      <c r="Z275" s="176"/>
      <c r="AA275" s="176"/>
      <c r="AB275" s="176"/>
      <c r="AC275" s="176"/>
      <c r="AD275" s="176"/>
      <c r="AE275" s="176"/>
      <c r="AF275" s="176"/>
      <c r="AG275" s="176"/>
      <c r="AH275" s="176"/>
      <c r="AI275" s="176"/>
      <c r="AJ275" s="176"/>
      <c r="AK275" s="176"/>
      <c r="AL275" s="176"/>
      <c r="AM275" s="176"/>
      <c r="AN275" s="176"/>
      <c r="AO275" s="176"/>
      <c r="AP275" s="176"/>
      <c r="AQ275" s="176"/>
      <c r="AR275" s="176"/>
      <c r="AS275" s="176"/>
      <c r="AT275" s="176"/>
      <c r="AU275" s="176"/>
      <c r="AV275" s="176"/>
      <c r="AW275" s="176"/>
      <c r="AX275" s="176"/>
      <c r="AY275" s="176"/>
      <c r="AZ275" s="176"/>
      <c r="BA275" s="176"/>
      <c r="BB275" s="176"/>
    </row>
    <row r="276" ht="15.75" customHeight="1">
      <c r="A276" s="176"/>
      <c r="B276" s="176"/>
      <c r="C276" s="176"/>
      <c r="D276" s="176"/>
      <c r="E276" s="176"/>
      <c r="F276" s="176"/>
      <c r="G276" s="176"/>
      <c r="H276" s="176"/>
      <c r="I276" s="176"/>
      <c r="J276" s="176"/>
      <c r="K276" s="176"/>
      <c r="L276" s="176"/>
      <c r="M276" s="176"/>
      <c r="N276" s="176"/>
      <c r="O276" s="176"/>
      <c r="P276" s="176"/>
      <c r="Q276" s="176"/>
      <c r="R276" s="176"/>
      <c r="S276" s="176"/>
      <c r="T276" s="176"/>
      <c r="U276" s="176"/>
      <c r="V276" s="176"/>
      <c r="W276" s="176"/>
      <c r="X276" s="176"/>
      <c r="Y276" s="176"/>
      <c r="Z276" s="176"/>
      <c r="AA276" s="176"/>
      <c r="AB276" s="176"/>
      <c r="AC276" s="176"/>
      <c r="AD276" s="176"/>
      <c r="AE276" s="176"/>
      <c r="AF276" s="176"/>
      <c r="AG276" s="176"/>
      <c r="AH276" s="176"/>
      <c r="AI276" s="176"/>
      <c r="AJ276" s="176"/>
      <c r="AK276" s="176"/>
      <c r="AL276" s="176"/>
      <c r="AM276" s="176"/>
      <c r="AN276" s="176"/>
      <c r="AO276" s="176"/>
      <c r="AP276" s="176"/>
      <c r="AQ276" s="176"/>
      <c r="AR276" s="176"/>
      <c r="AS276" s="176"/>
      <c r="AT276" s="176"/>
      <c r="AU276" s="176"/>
      <c r="AV276" s="176"/>
      <c r="AW276" s="176"/>
      <c r="AX276" s="176"/>
      <c r="AY276" s="176"/>
      <c r="AZ276" s="176"/>
      <c r="BA276" s="176"/>
      <c r="BB276" s="176"/>
    </row>
    <row r="277" ht="15.75" customHeight="1">
      <c r="A277" s="176"/>
      <c r="B277" s="176"/>
      <c r="C277" s="176"/>
      <c r="D277" s="176"/>
      <c r="E277" s="176"/>
      <c r="F277" s="176"/>
      <c r="G277" s="176"/>
      <c r="H277" s="176"/>
      <c r="I277" s="176"/>
      <c r="J277" s="176"/>
      <c r="K277" s="176"/>
      <c r="L277" s="176"/>
      <c r="M277" s="176"/>
      <c r="N277" s="176"/>
      <c r="O277" s="176"/>
      <c r="P277" s="176"/>
      <c r="Q277" s="176"/>
      <c r="R277" s="176"/>
      <c r="S277" s="176"/>
      <c r="T277" s="176"/>
      <c r="U277" s="176"/>
      <c r="V277" s="176"/>
      <c r="W277" s="176"/>
      <c r="X277" s="176"/>
      <c r="Y277" s="176"/>
      <c r="Z277" s="176"/>
      <c r="AA277" s="176"/>
      <c r="AB277" s="176"/>
      <c r="AC277" s="176"/>
      <c r="AD277" s="176"/>
      <c r="AE277" s="176"/>
      <c r="AF277" s="176"/>
      <c r="AG277" s="176"/>
      <c r="AH277" s="176"/>
      <c r="AI277" s="176"/>
      <c r="AJ277" s="176"/>
      <c r="AK277" s="176"/>
      <c r="AL277" s="176"/>
      <c r="AM277" s="176"/>
      <c r="AN277" s="176"/>
      <c r="AO277" s="176"/>
      <c r="AP277" s="176"/>
      <c r="AQ277" s="176"/>
      <c r="AR277" s="176"/>
      <c r="AS277" s="176"/>
      <c r="AT277" s="176"/>
      <c r="AU277" s="176"/>
      <c r="AV277" s="176"/>
      <c r="AW277" s="176"/>
      <c r="AX277" s="176"/>
      <c r="AY277" s="176"/>
      <c r="AZ277" s="176"/>
      <c r="BA277" s="176"/>
      <c r="BB277" s="176"/>
    </row>
    <row r="278" ht="15.75" customHeight="1">
      <c r="A278" s="176"/>
      <c r="B278" s="176"/>
      <c r="C278" s="176"/>
      <c r="D278" s="176"/>
      <c r="E278" s="176"/>
      <c r="F278" s="176"/>
      <c r="G278" s="176"/>
      <c r="H278" s="176"/>
      <c r="I278" s="176"/>
      <c r="J278" s="176"/>
      <c r="K278" s="176"/>
      <c r="L278" s="176"/>
      <c r="M278" s="176"/>
      <c r="N278" s="176"/>
      <c r="O278" s="176"/>
      <c r="P278" s="176"/>
      <c r="Q278" s="176"/>
      <c r="R278" s="176"/>
      <c r="S278" s="176"/>
      <c r="T278" s="176"/>
      <c r="U278" s="176"/>
      <c r="V278" s="176"/>
      <c r="W278" s="176"/>
      <c r="X278" s="176"/>
      <c r="Y278" s="176"/>
      <c r="Z278" s="176"/>
      <c r="AA278" s="176"/>
      <c r="AB278" s="176"/>
      <c r="AC278" s="176"/>
      <c r="AD278" s="176"/>
      <c r="AE278" s="176"/>
      <c r="AF278" s="176"/>
      <c r="AG278" s="176"/>
      <c r="AH278" s="176"/>
      <c r="AI278" s="176"/>
      <c r="AJ278" s="176"/>
      <c r="AK278" s="176"/>
      <c r="AL278" s="176"/>
      <c r="AM278" s="176"/>
      <c r="AN278" s="176"/>
      <c r="AO278" s="176"/>
      <c r="AP278" s="176"/>
      <c r="AQ278" s="176"/>
      <c r="AR278" s="176"/>
      <c r="AS278" s="176"/>
      <c r="AT278" s="176"/>
      <c r="AU278" s="176"/>
      <c r="AV278" s="176"/>
      <c r="AW278" s="176"/>
      <c r="AX278" s="176"/>
      <c r="AY278" s="176"/>
      <c r="AZ278" s="176"/>
      <c r="BA278" s="176"/>
      <c r="BB278" s="176"/>
    </row>
    <row r="279" ht="15.75" customHeight="1">
      <c r="A279" s="176"/>
      <c r="B279" s="176"/>
      <c r="C279" s="176"/>
      <c r="D279" s="176"/>
      <c r="E279" s="176"/>
      <c r="F279" s="176"/>
      <c r="G279" s="176"/>
      <c r="H279" s="176"/>
      <c r="I279" s="176"/>
      <c r="J279" s="176"/>
      <c r="K279" s="176"/>
      <c r="L279" s="176"/>
      <c r="M279" s="176"/>
      <c r="N279" s="176"/>
      <c r="O279" s="176"/>
      <c r="P279" s="176"/>
      <c r="Q279" s="176"/>
      <c r="R279" s="176"/>
      <c r="S279" s="176"/>
      <c r="T279" s="176"/>
      <c r="U279" s="176"/>
      <c r="V279" s="176"/>
      <c r="W279" s="176"/>
      <c r="X279" s="176"/>
      <c r="Y279" s="176"/>
      <c r="Z279" s="176"/>
      <c r="AA279" s="176"/>
      <c r="AB279" s="176"/>
      <c r="AC279" s="176"/>
      <c r="AD279" s="176"/>
      <c r="AE279" s="176"/>
      <c r="AF279" s="176"/>
      <c r="AG279" s="176"/>
      <c r="AH279" s="176"/>
      <c r="AI279" s="176"/>
      <c r="AJ279" s="176"/>
      <c r="AK279" s="176"/>
      <c r="AL279" s="176"/>
      <c r="AM279" s="176"/>
      <c r="AN279" s="176"/>
      <c r="AO279" s="176"/>
      <c r="AP279" s="176"/>
      <c r="AQ279" s="176"/>
      <c r="AR279" s="176"/>
      <c r="AS279" s="176"/>
      <c r="AT279" s="176"/>
      <c r="AU279" s="176"/>
      <c r="AV279" s="176"/>
      <c r="AW279" s="176"/>
      <c r="AX279" s="176"/>
      <c r="AY279" s="176"/>
      <c r="AZ279" s="176"/>
      <c r="BA279" s="176"/>
      <c r="BB279" s="176"/>
    </row>
    <row r="280" ht="15.75" customHeight="1">
      <c r="A280" s="176"/>
      <c r="B280" s="176"/>
      <c r="C280" s="176"/>
      <c r="D280" s="176"/>
      <c r="E280" s="176"/>
      <c r="F280" s="176"/>
      <c r="G280" s="176"/>
      <c r="H280" s="176"/>
      <c r="I280" s="176"/>
      <c r="J280" s="176"/>
      <c r="K280" s="176"/>
      <c r="L280" s="176"/>
      <c r="M280" s="176"/>
      <c r="N280" s="176"/>
      <c r="O280" s="176"/>
      <c r="P280" s="176"/>
      <c r="Q280" s="176"/>
      <c r="R280" s="176"/>
      <c r="S280" s="176"/>
      <c r="T280" s="176"/>
      <c r="U280" s="176"/>
      <c r="V280" s="176"/>
      <c r="W280" s="176"/>
      <c r="X280" s="176"/>
      <c r="Y280" s="176"/>
      <c r="Z280" s="176"/>
      <c r="AA280" s="176"/>
      <c r="AB280" s="176"/>
      <c r="AC280" s="176"/>
      <c r="AD280" s="176"/>
      <c r="AE280" s="176"/>
      <c r="AF280" s="176"/>
      <c r="AG280" s="176"/>
      <c r="AH280" s="176"/>
      <c r="AI280" s="176"/>
      <c r="AJ280" s="176"/>
      <c r="AK280" s="176"/>
      <c r="AL280" s="176"/>
      <c r="AM280" s="176"/>
      <c r="AN280" s="176"/>
      <c r="AO280" s="176"/>
      <c r="AP280" s="176"/>
      <c r="AQ280" s="176"/>
      <c r="AR280" s="176"/>
      <c r="AS280" s="176"/>
      <c r="AT280" s="176"/>
      <c r="AU280" s="176"/>
      <c r="AV280" s="176"/>
      <c r="AW280" s="176"/>
      <c r="AX280" s="176"/>
      <c r="AY280" s="176"/>
      <c r="AZ280" s="176"/>
      <c r="BA280" s="176"/>
      <c r="BB280" s="176"/>
    </row>
    <row r="281" ht="15.75" customHeight="1">
      <c r="A281" s="176"/>
      <c r="B281" s="176"/>
      <c r="C281" s="176"/>
      <c r="D281" s="176"/>
      <c r="E281" s="176"/>
      <c r="F281" s="176"/>
      <c r="G281" s="176"/>
      <c r="H281" s="176"/>
      <c r="I281" s="176"/>
      <c r="J281" s="176"/>
      <c r="K281" s="176"/>
      <c r="L281" s="176"/>
      <c r="M281" s="176"/>
      <c r="N281" s="176"/>
      <c r="O281" s="176"/>
      <c r="P281" s="176"/>
      <c r="Q281" s="176"/>
      <c r="R281" s="176"/>
      <c r="S281" s="176"/>
      <c r="T281" s="176"/>
      <c r="U281" s="176"/>
      <c r="V281" s="176"/>
      <c r="W281" s="176"/>
      <c r="X281" s="176"/>
      <c r="Y281" s="176"/>
      <c r="Z281" s="176"/>
      <c r="AA281" s="176"/>
      <c r="AB281" s="176"/>
      <c r="AC281" s="176"/>
      <c r="AD281" s="176"/>
      <c r="AE281" s="176"/>
      <c r="AF281" s="176"/>
      <c r="AG281" s="176"/>
      <c r="AH281" s="176"/>
      <c r="AI281" s="176"/>
      <c r="AJ281" s="176"/>
      <c r="AK281" s="176"/>
      <c r="AL281" s="176"/>
      <c r="AM281" s="176"/>
      <c r="AN281" s="176"/>
      <c r="AO281" s="176"/>
      <c r="AP281" s="176"/>
      <c r="AQ281" s="176"/>
      <c r="AR281" s="176"/>
      <c r="AS281" s="176"/>
      <c r="AT281" s="176"/>
      <c r="AU281" s="176"/>
      <c r="AV281" s="176"/>
      <c r="AW281" s="176"/>
      <c r="AX281" s="176"/>
      <c r="AY281" s="176"/>
      <c r="AZ281" s="176"/>
      <c r="BA281" s="176"/>
      <c r="BB281" s="176"/>
    </row>
    <row r="282" ht="15.75" customHeight="1">
      <c r="A282" s="176"/>
      <c r="B282" s="176"/>
      <c r="C282" s="176"/>
      <c r="D282" s="176"/>
      <c r="E282" s="176"/>
      <c r="F282" s="176"/>
      <c r="G282" s="176"/>
      <c r="H282" s="176"/>
      <c r="I282" s="176"/>
      <c r="J282" s="176"/>
      <c r="K282" s="176"/>
      <c r="L282" s="176"/>
      <c r="M282" s="176"/>
      <c r="N282" s="176"/>
      <c r="O282" s="176"/>
      <c r="P282" s="176"/>
      <c r="Q282" s="176"/>
      <c r="R282" s="176"/>
      <c r="S282" s="176"/>
      <c r="T282" s="176"/>
      <c r="U282" s="176"/>
      <c r="V282" s="176"/>
      <c r="W282" s="176"/>
      <c r="X282" s="176"/>
      <c r="Y282" s="176"/>
      <c r="Z282" s="176"/>
      <c r="AA282" s="176"/>
      <c r="AB282" s="176"/>
      <c r="AC282" s="176"/>
      <c r="AD282" s="176"/>
      <c r="AE282" s="176"/>
      <c r="AF282" s="176"/>
      <c r="AG282" s="176"/>
      <c r="AH282" s="176"/>
      <c r="AI282" s="176"/>
      <c r="AJ282" s="176"/>
      <c r="AK282" s="176"/>
      <c r="AL282" s="176"/>
      <c r="AM282" s="176"/>
      <c r="AN282" s="176"/>
      <c r="AO282" s="176"/>
      <c r="AP282" s="176"/>
      <c r="AQ282" s="176"/>
      <c r="AR282" s="176"/>
      <c r="AS282" s="176"/>
      <c r="AT282" s="176"/>
      <c r="AU282" s="176"/>
      <c r="AV282" s="176"/>
      <c r="AW282" s="176"/>
      <c r="AX282" s="176"/>
      <c r="AY282" s="176"/>
      <c r="AZ282" s="176"/>
      <c r="BA282" s="176"/>
      <c r="BB282" s="176"/>
    </row>
    <row r="283" ht="15.75" customHeight="1">
      <c r="A283" s="176"/>
      <c r="B283" s="176"/>
      <c r="C283" s="176"/>
      <c r="D283" s="176"/>
      <c r="E283" s="176"/>
      <c r="F283" s="176"/>
      <c r="G283" s="176"/>
      <c r="H283" s="176"/>
      <c r="I283" s="176"/>
      <c r="J283" s="176"/>
      <c r="K283" s="176"/>
      <c r="L283" s="176"/>
      <c r="M283" s="176"/>
      <c r="N283" s="176"/>
      <c r="O283" s="176"/>
      <c r="P283" s="176"/>
      <c r="Q283" s="176"/>
      <c r="R283" s="176"/>
      <c r="S283" s="176"/>
      <c r="T283" s="176"/>
      <c r="U283" s="176"/>
      <c r="V283" s="176"/>
      <c r="W283" s="176"/>
      <c r="X283" s="176"/>
      <c r="Y283" s="176"/>
      <c r="Z283" s="176"/>
      <c r="AA283" s="176"/>
      <c r="AB283" s="176"/>
      <c r="AC283" s="176"/>
      <c r="AD283" s="176"/>
      <c r="AE283" s="176"/>
      <c r="AF283" s="176"/>
      <c r="AG283" s="176"/>
      <c r="AH283" s="176"/>
      <c r="AI283" s="176"/>
      <c r="AJ283" s="176"/>
      <c r="AK283" s="176"/>
      <c r="AL283" s="176"/>
      <c r="AM283" s="176"/>
      <c r="AN283" s="176"/>
      <c r="AO283" s="176"/>
      <c r="AP283" s="176"/>
      <c r="AQ283" s="176"/>
      <c r="AR283" s="176"/>
      <c r="AS283" s="176"/>
      <c r="AT283" s="176"/>
      <c r="AU283" s="176"/>
      <c r="AV283" s="176"/>
      <c r="AW283" s="176"/>
      <c r="AX283" s="176"/>
      <c r="AY283" s="176"/>
      <c r="AZ283" s="176"/>
      <c r="BA283" s="176"/>
      <c r="BB283" s="176"/>
    </row>
    <row r="284" ht="15.75" customHeight="1">
      <c r="A284" s="176"/>
      <c r="B284" s="176"/>
      <c r="C284" s="176"/>
      <c r="D284" s="176"/>
      <c r="E284" s="176"/>
      <c r="F284" s="176"/>
      <c r="G284" s="176"/>
      <c r="H284" s="176"/>
      <c r="I284" s="176"/>
      <c r="J284" s="176"/>
      <c r="K284" s="176"/>
      <c r="L284" s="176"/>
      <c r="M284" s="176"/>
      <c r="N284" s="176"/>
      <c r="O284" s="176"/>
      <c r="P284" s="176"/>
      <c r="Q284" s="176"/>
      <c r="R284" s="176"/>
      <c r="S284" s="176"/>
      <c r="T284" s="176"/>
      <c r="U284" s="176"/>
      <c r="V284" s="176"/>
      <c r="W284" s="176"/>
      <c r="X284" s="176"/>
      <c r="Y284" s="176"/>
      <c r="Z284" s="176"/>
      <c r="AA284" s="176"/>
      <c r="AB284" s="176"/>
      <c r="AC284" s="176"/>
      <c r="AD284" s="176"/>
      <c r="AE284" s="176"/>
      <c r="AF284" s="176"/>
      <c r="AG284" s="176"/>
      <c r="AH284" s="176"/>
      <c r="AI284" s="176"/>
      <c r="AJ284" s="176"/>
      <c r="AK284" s="176"/>
      <c r="AL284" s="176"/>
      <c r="AM284" s="176"/>
      <c r="AN284" s="176"/>
      <c r="AO284" s="176"/>
      <c r="AP284" s="176"/>
      <c r="AQ284" s="176"/>
      <c r="AR284" s="176"/>
      <c r="AS284" s="176"/>
      <c r="AT284" s="176"/>
      <c r="AU284" s="176"/>
      <c r="AV284" s="176"/>
      <c r="AW284" s="176"/>
      <c r="AX284" s="176"/>
      <c r="AY284" s="176"/>
      <c r="AZ284" s="176"/>
      <c r="BA284" s="176"/>
      <c r="BB284" s="176"/>
    </row>
    <row r="285" ht="15.75" customHeight="1">
      <c r="A285" s="176"/>
      <c r="B285" s="176"/>
      <c r="C285" s="176"/>
      <c r="D285" s="176"/>
      <c r="E285" s="176"/>
      <c r="F285" s="176"/>
      <c r="G285" s="176"/>
      <c r="H285" s="176"/>
      <c r="I285" s="176"/>
      <c r="J285" s="176"/>
      <c r="K285" s="176"/>
      <c r="L285" s="176"/>
      <c r="M285" s="176"/>
      <c r="N285" s="176"/>
      <c r="O285" s="176"/>
      <c r="P285" s="176"/>
      <c r="Q285" s="176"/>
      <c r="R285" s="176"/>
      <c r="S285" s="176"/>
      <c r="T285" s="176"/>
      <c r="U285" s="176"/>
      <c r="V285" s="176"/>
      <c r="W285" s="176"/>
      <c r="X285" s="176"/>
      <c r="Y285" s="176"/>
      <c r="Z285" s="176"/>
      <c r="AA285" s="176"/>
      <c r="AB285" s="176"/>
      <c r="AC285" s="176"/>
      <c r="AD285" s="176"/>
      <c r="AE285" s="176"/>
      <c r="AF285" s="176"/>
      <c r="AG285" s="176"/>
      <c r="AH285" s="176"/>
      <c r="AI285" s="176"/>
      <c r="AJ285" s="176"/>
      <c r="AK285" s="176"/>
      <c r="AL285" s="176"/>
      <c r="AM285" s="176"/>
      <c r="AN285" s="176"/>
      <c r="AO285" s="176"/>
      <c r="AP285" s="176"/>
      <c r="AQ285" s="176"/>
      <c r="AR285" s="176"/>
      <c r="AS285" s="176"/>
      <c r="AT285" s="176"/>
      <c r="AU285" s="176"/>
      <c r="AV285" s="176"/>
      <c r="AW285" s="176"/>
      <c r="AX285" s="176"/>
      <c r="AY285" s="176"/>
      <c r="AZ285" s="176"/>
      <c r="BA285" s="176"/>
      <c r="BB285" s="176"/>
    </row>
    <row r="286" ht="15.75" customHeight="1">
      <c r="A286" s="176"/>
      <c r="B286" s="176"/>
      <c r="C286" s="176"/>
      <c r="D286" s="176"/>
      <c r="E286" s="176"/>
      <c r="F286" s="176"/>
      <c r="G286" s="176"/>
      <c r="H286" s="176"/>
      <c r="I286" s="176"/>
      <c r="J286" s="176"/>
      <c r="K286" s="176"/>
      <c r="L286" s="176"/>
      <c r="M286" s="176"/>
      <c r="N286" s="176"/>
      <c r="O286" s="176"/>
      <c r="P286" s="176"/>
      <c r="Q286" s="176"/>
      <c r="R286" s="176"/>
      <c r="S286" s="176"/>
      <c r="T286" s="176"/>
      <c r="U286" s="176"/>
      <c r="V286" s="176"/>
      <c r="W286" s="176"/>
      <c r="X286" s="176"/>
      <c r="Y286" s="176"/>
      <c r="Z286" s="176"/>
      <c r="AA286" s="176"/>
      <c r="AB286" s="176"/>
      <c r="AC286" s="176"/>
      <c r="AD286" s="176"/>
      <c r="AE286" s="176"/>
      <c r="AF286" s="176"/>
      <c r="AG286" s="176"/>
      <c r="AH286" s="176"/>
      <c r="AI286" s="176"/>
      <c r="AJ286" s="176"/>
      <c r="AK286" s="176"/>
      <c r="AL286" s="176"/>
      <c r="AM286" s="176"/>
      <c r="AN286" s="176"/>
      <c r="AO286" s="176"/>
      <c r="AP286" s="176"/>
      <c r="AQ286" s="176"/>
      <c r="AR286" s="176"/>
      <c r="AS286" s="176"/>
      <c r="AT286" s="176"/>
      <c r="AU286" s="176"/>
      <c r="AV286" s="176"/>
      <c r="AW286" s="176"/>
      <c r="AX286" s="176"/>
      <c r="AY286" s="176"/>
      <c r="AZ286" s="176"/>
      <c r="BA286" s="176"/>
      <c r="BB286" s="176"/>
    </row>
    <row r="287" ht="15.75" customHeight="1">
      <c r="A287" s="176"/>
      <c r="B287" s="176"/>
      <c r="C287" s="176"/>
      <c r="D287" s="176"/>
      <c r="E287" s="176"/>
      <c r="F287" s="176"/>
      <c r="G287" s="176"/>
      <c r="H287" s="176"/>
      <c r="I287" s="176"/>
      <c r="J287" s="176"/>
      <c r="K287" s="176"/>
      <c r="L287" s="176"/>
      <c r="M287" s="176"/>
      <c r="N287" s="176"/>
      <c r="O287" s="176"/>
      <c r="P287" s="176"/>
      <c r="Q287" s="176"/>
      <c r="R287" s="176"/>
      <c r="S287" s="176"/>
      <c r="T287" s="176"/>
      <c r="U287" s="176"/>
      <c r="V287" s="176"/>
      <c r="W287" s="176"/>
      <c r="X287" s="176"/>
      <c r="Y287" s="176"/>
      <c r="Z287" s="176"/>
      <c r="AA287" s="176"/>
      <c r="AB287" s="176"/>
      <c r="AC287" s="176"/>
      <c r="AD287" s="176"/>
      <c r="AE287" s="176"/>
      <c r="AF287" s="176"/>
      <c r="AG287" s="176"/>
      <c r="AH287" s="176"/>
      <c r="AI287" s="176"/>
      <c r="AJ287" s="176"/>
      <c r="AK287" s="176"/>
      <c r="AL287" s="176"/>
      <c r="AM287" s="176"/>
      <c r="AN287" s="176"/>
      <c r="AO287" s="176"/>
      <c r="AP287" s="176"/>
      <c r="AQ287" s="176"/>
      <c r="AR287" s="176"/>
      <c r="AS287" s="176"/>
      <c r="AT287" s="176"/>
      <c r="AU287" s="176"/>
      <c r="AV287" s="176"/>
      <c r="AW287" s="176"/>
      <c r="AX287" s="176"/>
      <c r="AY287" s="176"/>
      <c r="AZ287" s="176"/>
      <c r="BA287" s="176"/>
      <c r="BB287" s="176"/>
    </row>
    <row r="288" ht="15.75" customHeight="1">
      <c r="A288" s="176"/>
      <c r="B288" s="176"/>
      <c r="C288" s="176"/>
      <c r="D288" s="176"/>
      <c r="E288" s="176"/>
      <c r="F288" s="176"/>
      <c r="G288" s="176"/>
      <c r="H288" s="176"/>
      <c r="I288" s="176"/>
      <c r="J288" s="176"/>
      <c r="K288" s="176"/>
      <c r="L288" s="176"/>
      <c r="M288" s="176"/>
      <c r="N288" s="176"/>
      <c r="O288" s="176"/>
      <c r="P288" s="176"/>
      <c r="Q288" s="176"/>
      <c r="R288" s="176"/>
      <c r="S288" s="176"/>
      <c r="T288" s="176"/>
      <c r="U288" s="176"/>
      <c r="V288" s="176"/>
      <c r="W288" s="176"/>
      <c r="X288" s="176"/>
      <c r="Y288" s="176"/>
      <c r="Z288" s="176"/>
      <c r="AA288" s="176"/>
      <c r="AB288" s="176"/>
      <c r="AC288" s="176"/>
      <c r="AD288" s="176"/>
      <c r="AE288" s="176"/>
      <c r="AF288" s="176"/>
      <c r="AG288" s="176"/>
      <c r="AH288" s="176"/>
      <c r="AI288" s="176"/>
      <c r="AJ288" s="176"/>
      <c r="AK288" s="176"/>
      <c r="AL288" s="176"/>
      <c r="AM288" s="176"/>
      <c r="AN288" s="176"/>
      <c r="AO288" s="176"/>
      <c r="AP288" s="176"/>
      <c r="AQ288" s="176"/>
      <c r="AR288" s="176"/>
      <c r="AS288" s="176"/>
      <c r="AT288" s="176"/>
      <c r="AU288" s="176"/>
      <c r="AV288" s="176"/>
      <c r="AW288" s="176"/>
      <c r="AX288" s="176"/>
      <c r="AY288" s="176"/>
      <c r="AZ288" s="176"/>
      <c r="BA288" s="176"/>
      <c r="BB288" s="176"/>
    </row>
    <row r="289" ht="15.75" customHeight="1">
      <c r="A289" s="176"/>
      <c r="B289" s="176"/>
      <c r="C289" s="176"/>
      <c r="D289" s="176"/>
      <c r="E289" s="176"/>
      <c r="F289" s="176"/>
      <c r="G289" s="176"/>
      <c r="H289" s="176"/>
      <c r="I289" s="176"/>
      <c r="J289" s="176"/>
      <c r="K289" s="176"/>
      <c r="L289" s="176"/>
      <c r="M289" s="176"/>
      <c r="N289" s="176"/>
      <c r="O289" s="176"/>
      <c r="P289" s="176"/>
      <c r="Q289" s="176"/>
      <c r="R289" s="176"/>
      <c r="S289" s="176"/>
      <c r="T289" s="176"/>
      <c r="U289" s="176"/>
      <c r="V289" s="176"/>
      <c r="W289" s="176"/>
      <c r="X289" s="176"/>
      <c r="Y289" s="176"/>
      <c r="Z289" s="176"/>
      <c r="AA289" s="176"/>
      <c r="AB289" s="176"/>
      <c r="AC289" s="176"/>
      <c r="AD289" s="176"/>
      <c r="AE289" s="176"/>
      <c r="AF289" s="176"/>
      <c r="AG289" s="176"/>
      <c r="AH289" s="176"/>
      <c r="AI289" s="176"/>
      <c r="AJ289" s="176"/>
      <c r="AK289" s="176"/>
      <c r="AL289" s="176"/>
      <c r="AM289" s="176"/>
      <c r="AN289" s="176"/>
      <c r="AO289" s="176"/>
      <c r="AP289" s="176"/>
      <c r="AQ289" s="176"/>
      <c r="AR289" s="176"/>
      <c r="AS289" s="176"/>
      <c r="AT289" s="176"/>
      <c r="AU289" s="176"/>
      <c r="AV289" s="176"/>
      <c r="AW289" s="176"/>
      <c r="AX289" s="176"/>
      <c r="AY289" s="176"/>
      <c r="AZ289" s="176"/>
      <c r="BA289" s="176"/>
      <c r="BB289" s="176"/>
    </row>
    <row r="290" ht="15.75" customHeight="1">
      <c r="A290" s="176"/>
      <c r="B290" s="176"/>
      <c r="C290" s="176"/>
      <c r="D290" s="176"/>
      <c r="E290" s="176"/>
      <c r="F290" s="176"/>
      <c r="G290" s="176"/>
      <c r="H290" s="176"/>
      <c r="I290" s="176"/>
      <c r="J290" s="176"/>
      <c r="K290" s="176"/>
      <c r="L290" s="176"/>
      <c r="M290" s="176"/>
      <c r="N290" s="176"/>
      <c r="O290" s="176"/>
      <c r="P290" s="176"/>
      <c r="Q290" s="176"/>
      <c r="R290" s="176"/>
      <c r="S290" s="176"/>
      <c r="T290" s="176"/>
      <c r="U290" s="176"/>
      <c r="V290" s="176"/>
      <c r="W290" s="176"/>
      <c r="X290" s="176"/>
      <c r="Y290" s="176"/>
      <c r="Z290" s="176"/>
      <c r="AA290" s="176"/>
      <c r="AB290" s="176"/>
      <c r="AC290" s="176"/>
      <c r="AD290" s="176"/>
      <c r="AE290" s="176"/>
      <c r="AF290" s="176"/>
      <c r="AG290" s="176"/>
      <c r="AH290" s="176"/>
      <c r="AI290" s="176"/>
      <c r="AJ290" s="176"/>
      <c r="AK290" s="176"/>
      <c r="AL290" s="176"/>
      <c r="AM290" s="176"/>
      <c r="AN290" s="176"/>
      <c r="AO290" s="176"/>
      <c r="AP290" s="176"/>
      <c r="AQ290" s="176"/>
      <c r="AR290" s="176"/>
      <c r="AS290" s="176"/>
      <c r="AT290" s="176"/>
      <c r="AU290" s="176"/>
      <c r="AV290" s="176"/>
      <c r="AW290" s="176"/>
      <c r="AX290" s="176"/>
      <c r="AY290" s="176"/>
      <c r="AZ290" s="176"/>
      <c r="BA290" s="176"/>
      <c r="BB290" s="176"/>
    </row>
    <row r="291" ht="15.75" customHeight="1">
      <c r="A291" s="176"/>
      <c r="B291" s="176"/>
      <c r="C291" s="176"/>
      <c r="D291" s="176"/>
      <c r="E291" s="176"/>
      <c r="F291" s="176"/>
      <c r="G291" s="176"/>
      <c r="H291" s="176"/>
      <c r="I291" s="176"/>
      <c r="J291" s="176"/>
      <c r="K291" s="176"/>
      <c r="L291" s="176"/>
      <c r="M291" s="176"/>
      <c r="N291" s="176"/>
      <c r="O291" s="176"/>
      <c r="P291" s="176"/>
      <c r="Q291" s="176"/>
      <c r="R291" s="176"/>
      <c r="S291" s="176"/>
      <c r="T291" s="176"/>
      <c r="U291" s="176"/>
      <c r="V291" s="176"/>
      <c r="W291" s="176"/>
      <c r="X291" s="176"/>
      <c r="Y291" s="176"/>
      <c r="Z291" s="176"/>
      <c r="AA291" s="176"/>
      <c r="AB291" s="176"/>
      <c r="AC291" s="176"/>
      <c r="AD291" s="176"/>
      <c r="AE291" s="176"/>
      <c r="AF291" s="176"/>
      <c r="AG291" s="176"/>
      <c r="AH291" s="176"/>
      <c r="AI291" s="176"/>
      <c r="AJ291" s="176"/>
      <c r="AK291" s="176"/>
      <c r="AL291" s="176"/>
      <c r="AM291" s="176"/>
      <c r="AN291" s="176"/>
      <c r="AO291" s="176"/>
      <c r="AP291" s="176"/>
      <c r="AQ291" s="176"/>
      <c r="AR291" s="176"/>
      <c r="AS291" s="176"/>
      <c r="AT291" s="176"/>
      <c r="AU291" s="176"/>
      <c r="AV291" s="176"/>
      <c r="AW291" s="176"/>
      <c r="AX291" s="176"/>
      <c r="AY291" s="176"/>
      <c r="AZ291" s="176"/>
      <c r="BA291" s="176"/>
      <c r="BB291" s="176"/>
    </row>
    <row r="292" ht="15.75" customHeight="1">
      <c r="A292" s="176"/>
      <c r="B292" s="176"/>
      <c r="C292" s="176"/>
      <c r="D292" s="176"/>
      <c r="E292" s="176"/>
      <c r="F292" s="176"/>
      <c r="G292" s="176"/>
      <c r="H292" s="176"/>
      <c r="I292" s="176"/>
      <c r="J292" s="176"/>
      <c r="K292" s="176"/>
      <c r="L292" s="176"/>
      <c r="M292" s="176"/>
      <c r="N292" s="176"/>
      <c r="O292" s="176"/>
      <c r="P292" s="176"/>
      <c r="Q292" s="176"/>
      <c r="R292" s="176"/>
      <c r="S292" s="176"/>
      <c r="T292" s="176"/>
      <c r="U292" s="176"/>
      <c r="V292" s="176"/>
      <c r="W292" s="176"/>
      <c r="X292" s="176"/>
      <c r="Y292" s="176"/>
      <c r="Z292" s="176"/>
      <c r="AA292" s="176"/>
      <c r="AB292" s="176"/>
      <c r="AC292" s="176"/>
      <c r="AD292" s="176"/>
      <c r="AE292" s="176"/>
      <c r="AF292" s="176"/>
      <c r="AG292" s="176"/>
      <c r="AH292" s="176"/>
      <c r="AI292" s="176"/>
      <c r="AJ292" s="176"/>
      <c r="AK292" s="176"/>
      <c r="AL292" s="176"/>
      <c r="AM292" s="176"/>
      <c r="AN292" s="176"/>
      <c r="AO292" s="176"/>
      <c r="AP292" s="176"/>
      <c r="AQ292" s="176"/>
      <c r="AR292" s="176"/>
      <c r="AS292" s="176"/>
      <c r="AT292" s="176"/>
      <c r="AU292" s="176"/>
      <c r="AV292" s="176"/>
      <c r="AW292" s="176"/>
      <c r="AX292" s="176"/>
      <c r="AY292" s="176"/>
      <c r="AZ292" s="176"/>
      <c r="BA292" s="176"/>
      <c r="BB292" s="176"/>
    </row>
    <row r="293" ht="15.75" customHeight="1">
      <c r="A293" s="176"/>
      <c r="B293" s="176"/>
      <c r="C293" s="176"/>
      <c r="D293" s="176"/>
      <c r="E293" s="176"/>
      <c r="F293" s="176"/>
      <c r="G293" s="176"/>
      <c r="H293" s="176"/>
      <c r="I293" s="176"/>
      <c r="J293" s="176"/>
      <c r="K293" s="176"/>
      <c r="L293" s="176"/>
      <c r="M293" s="176"/>
      <c r="N293" s="176"/>
      <c r="O293" s="176"/>
      <c r="P293" s="176"/>
      <c r="Q293" s="176"/>
      <c r="R293" s="176"/>
      <c r="S293" s="176"/>
      <c r="T293" s="176"/>
      <c r="U293" s="176"/>
      <c r="V293" s="176"/>
      <c r="W293" s="176"/>
      <c r="X293" s="176"/>
      <c r="Y293" s="176"/>
      <c r="Z293" s="176"/>
      <c r="AA293" s="176"/>
      <c r="AB293" s="176"/>
      <c r="AC293" s="176"/>
      <c r="AD293" s="176"/>
      <c r="AE293" s="176"/>
      <c r="AF293" s="176"/>
      <c r="AG293" s="176"/>
      <c r="AH293" s="176"/>
      <c r="AI293" s="176"/>
      <c r="AJ293" s="176"/>
      <c r="AK293" s="176"/>
      <c r="AL293" s="176"/>
      <c r="AM293" s="176"/>
      <c r="AN293" s="176"/>
      <c r="AO293" s="176"/>
      <c r="AP293" s="176"/>
      <c r="AQ293" s="176"/>
      <c r="AR293" s="176"/>
      <c r="AS293" s="176"/>
      <c r="AT293" s="176"/>
      <c r="AU293" s="176"/>
      <c r="AV293" s="176"/>
      <c r="AW293" s="176"/>
      <c r="AX293" s="176"/>
      <c r="AY293" s="176"/>
      <c r="AZ293" s="176"/>
      <c r="BA293" s="176"/>
      <c r="BB293" s="176"/>
    </row>
    <row r="294" ht="15.75" customHeight="1">
      <c r="A294" s="176"/>
      <c r="B294" s="176"/>
      <c r="C294" s="176"/>
      <c r="D294" s="176"/>
      <c r="E294" s="176"/>
      <c r="F294" s="176"/>
      <c r="G294" s="176"/>
      <c r="H294" s="176"/>
      <c r="I294" s="176"/>
      <c r="J294" s="176"/>
      <c r="K294" s="176"/>
      <c r="L294" s="176"/>
      <c r="M294" s="176"/>
      <c r="N294" s="176"/>
      <c r="O294" s="176"/>
      <c r="P294" s="176"/>
      <c r="Q294" s="176"/>
      <c r="R294" s="176"/>
      <c r="S294" s="176"/>
      <c r="T294" s="176"/>
      <c r="U294" s="176"/>
      <c r="V294" s="176"/>
      <c r="W294" s="176"/>
      <c r="X294" s="176"/>
      <c r="Y294" s="176"/>
      <c r="Z294" s="176"/>
      <c r="AA294" s="176"/>
      <c r="AB294" s="176"/>
      <c r="AC294" s="176"/>
      <c r="AD294" s="176"/>
      <c r="AE294" s="176"/>
      <c r="AF294" s="176"/>
      <c r="AG294" s="176"/>
      <c r="AH294" s="176"/>
      <c r="AI294" s="176"/>
      <c r="AJ294" s="176"/>
      <c r="AK294" s="176"/>
      <c r="AL294" s="176"/>
      <c r="AM294" s="176"/>
      <c r="AN294" s="176"/>
      <c r="AO294" s="176"/>
      <c r="AP294" s="176"/>
      <c r="AQ294" s="176"/>
      <c r="AR294" s="176"/>
      <c r="AS294" s="176"/>
      <c r="AT294" s="176"/>
      <c r="AU294" s="176"/>
      <c r="AV294" s="176"/>
      <c r="AW294" s="176"/>
      <c r="AX294" s="176"/>
      <c r="AY294" s="176"/>
      <c r="AZ294" s="176"/>
      <c r="BA294" s="176"/>
      <c r="BB294" s="176"/>
    </row>
    <row r="295" ht="15.75" customHeight="1">
      <c r="A295" s="176"/>
      <c r="B295" s="176"/>
      <c r="C295" s="176"/>
      <c r="D295" s="176"/>
      <c r="E295" s="176"/>
      <c r="F295" s="176"/>
      <c r="G295" s="176"/>
      <c r="H295" s="176"/>
      <c r="I295" s="176"/>
      <c r="J295" s="176"/>
      <c r="K295" s="176"/>
      <c r="L295" s="176"/>
      <c r="M295" s="176"/>
      <c r="N295" s="176"/>
      <c r="O295" s="176"/>
      <c r="P295" s="176"/>
      <c r="Q295" s="176"/>
      <c r="R295" s="176"/>
      <c r="S295" s="176"/>
      <c r="T295" s="176"/>
      <c r="U295" s="176"/>
      <c r="V295" s="176"/>
      <c r="W295" s="176"/>
      <c r="X295" s="176"/>
      <c r="Y295" s="176"/>
      <c r="Z295" s="176"/>
      <c r="AA295" s="176"/>
      <c r="AB295" s="176"/>
      <c r="AC295" s="176"/>
      <c r="AD295" s="176"/>
      <c r="AE295" s="176"/>
      <c r="AF295" s="176"/>
      <c r="AG295" s="176"/>
      <c r="AH295" s="176"/>
      <c r="AI295" s="176"/>
      <c r="AJ295" s="176"/>
      <c r="AK295" s="176"/>
      <c r="AL295" s="176"/>
      <c r="AM295" s="176"/>
      <c r="AN295" s="176"/>
      <c r="AO295" s="176"/>
      <c r="AP295" s="176"/>
      <c r="AQ295" s="176"/>
      <c r="AR295" s="176"/>
      <c r="AS295" s="176"/>
      <c r="AT295" s="176"/>
      <c r="AU295" s="176"/>
      <c r="AV295" s="176"/>
      <c r="AW295" s="176"/>
      <c r="AX295" s="176"/>
      <c r="AY295" s="176"/>
      <c r="AZ295" s="176"/>
      <c r="BA295" s="176"/>
      <c r="BB295" s="176"/>
    </row>
    <row r="296" ht="15.75" customHeight="1">
      <c r="A296" s="176"/>
      <c r="B296" s="176"/>
      <c r="C296" s="176"/>
      <c r="D296" s="176"/>
      <c r="E296" s="176"/>
      <c r="F296" s="176"/>
      <c r="G296" s="176"/>
      <c r="H296" s="176"/>
      <c r="I296" s="176"/>
      <c r="J296" s="176"/>
      <c r="K296" s="176"/>
      <c r="L296" s="176"/>
      <c r="M296" s="176"/>
      <c r="N296" s="176"/>
      <c r="O296" s="176"/>
      <c r="P296" s="176"/>
      <c r="Q296" s="176"/>
      <c r="R296" s="176"/>
      <c r="S296" s="176"/>
      <c r="T296" s="176"/>
      <c r="U296" s="176"/>
      <c r="V296" s="176"/>
      <c r="W296" s="176"/>
      <c r="X296" s="176"/>
      <c r="Y296" s="176"/>
      <c r="Z296" s="176"/>
      <c r="AA296" s="176"/>
      <c r="AB296" s="176"/>
      <c r="AC296" s="176"/>
      <c r="AD296" s="176"/>
      <c r="AE296" s="176"/>
      <c r="AF296" s="176"/>
      <c r="AG296" s="176"/>
      <c r="AH296" s="176"/>
      <c r="AI296" s="176"/>
      <c r="AJ296" s="176"/>
      <c r="AK296" s="176"/>
      <c r="AL296" s="176"/>
      <c r="AM296" s="176"/>
      <c r="AN296" s="176"/>
      <c r="AO296" s="176"/>
      <c r="AP296" s="176"/>
      <c r="AQ296" s="176"/>
      <c r="AR296" s="176"/>
      <c r="AS296" s="176"/>
      <c r="AT296" s="176"/>
      <c r="AU296" s="176"/>
      <c r="AV296" s="176"/>
      <c r="AW296" s="176"/>
      <c r="AX296" s="176"/>
      <c r="AY296" s="176"/>
      <c r="AZ296" s="176"/>
      <c r="BA296" s="176"/>
      <c r="BB296" s="176"/>
    </row>
    <row r="297" ht="15.75" customHeight="1">
      <c r="A297" s="176"/>
      <c r="B297" s="176"/>
      <c r="C297" s="176"/>
      <c r="D297" s="176"/>
      <c r="E297" s="176"/>
      <c r="F297" s="176"/>
      <c r="G297" s="176"/>
      <c r="H297" s="176"/>
      <c r="I297" s="176"/>
      <c r="J297" s="176"/>
      <c r="K297" s="176"/>
      <c r="L297" s="176"/>
      <c r="M297" s="176"/>
      <c r="N297" s="176"/>
      <c r="O297" s="176"/>
      <c r="P297" s="176"/>
      <c r="Q297" s="176"/>
      <c r="R297" s="176"/>
      <c r="S297" s="176"/>
      <c r="T297" s="176"/>
      <c r="U297" s="176"/>
      <c r="V297" s="176"/>
      <c r="W297" s="176"/>
      <c r="X297" s="176"/>
      <c r="Y297" s="176"/>
      <c r="Z297" s="176"/>
      <c r="AA297" s="176"/>
      <c r="AB297" s="176"/>
      <c r="AC297" s="176"/>
      <c r="AD297" s="176"/>
      <c r="AE297" s="176"/>
      <c r="AF297" s="176"/>
      <c r="AG297" s="176"/>
      <c r="AH297" s="176"/>
      <c r="AI297" s="176"/>
      <c r="AJ297" s="176"/>
      <c r="AK297" s="176"/>
      <c r="AL297" s="176"/>
      <c r="AM297" s="176"/>
      <c r="AN297" s="176"/>
      <c r="AO297" s="176"/>
      <c r="AP297" s="176"/>
      <c r="AQ297" s="176"/>
      <c r="AR297" s="176"/>
      <c r="AS297" s="176"/>
      <c r="AT297" s="176"/>
      <c r="AU297" s="176"/>
      <c r="AV297" s="176"/>
      <c r="AW297" s="176"/>
      <c r="AX297" s="176"/>
      <c r="AY297" s="176"/>
      <c r="AZ297" s="176"/>
      <c r="BA297" s="176"/>
      <c r="BB297" s="176"/>
    </row>
    <row r="298" ht="15.75" customHeight="1">
      <c r="A298" s="176"/>
      <c r="B298" s="176"/>
      <c r="C298" s="176"/>
      <c r="D298" s="176"/>
      <c r="E298" s="176"/>
      <c r="F298" s="176"/>
      <c r="G298" s="176"/>
      <c r="H298" s="176"/>
      <c r="I298" s="176"/>
      <c r="J298" s="176"/>
      <c r="K298" s="176"/>
      <c r="L298" s="176"/>
      <c r="M298" s="176"/>
      <c r="N298" s="176"/>
      <c r="O298" s="176"/>
      <c r="P298" s="176"/>
      <c r="Q298" s="176"/>
      <c r="R298" s="176"/>
      <c r="S298" s="176"/>
      <c r="T298" s="176"/>
      <c r="U298" s="176"/>
      <c r="V298" s="176"/>
      <c r="W298" s="176"/>
      <c r="X298" s="176"/>
      <c r="Y298" s="176"/>
      <c r="Z298" s="176"/>
      <c r="AA298" s="176"/>
      <c r="AB298" s="176"/>
      <c r="AC298" s="176"/>
      <c r="AD298" s="176"/>
      <c r="AE298" s="176"/>
      <c r="AF298" s="176"/>
      <c r="AG298" s="176"/>
      <c r="AH298" s="176"/>
      <c r="AI298" s="176"/>
      <c r="AJ298" s="176"/>
      <c r="AK298" s="176"/>
      <c r="AL298" s="176"/>
      <c r="AM298" s="176"/>
      <c r="AN298" s="176"/>
      <c r="AO298" s="176"/>
      <c r="AP298" s="176"/>
      <c r="AQ298" s="176"/>
      <c r="AR298" s="176"/>
      <c r="AS298" s="176"/>
      <c r="AT298" s="176"/>
      <c r="AU298" s="176"/>
      <c r="AV298" s="176"/>
      <c r="AW298" s="176"/>
      <c r="AX298" s="176"/>
      <c r="AY298" s="176"/>
      <c r="AZ298" s="176"/>
      <c r="BA298" s="176"/>
      <c r="BB298" s="176"/>
    </row>
    <row r="299" ht="15.75" customHeight="1">
      <c r="A299" s="176"/>
      <c r="B299" s="176"/>
      <c r="C299" s="176"/>
      <c r="D299" s="176"/>
      <c r="E299" s="176"/>
      <c r="F299" s="176"/>
      <c r="G299" s="176"/>
      <c r="H299" s="176"/>
      <c r="I299" s="176"/>
      <c r="J299" s="176"/>
      <c r="K299" s="176"/>
      <c r="L299" s="176"/>
      <c r="M299" s="176"/>
      <c r="N299" s="176"/>
      <c r="O299" s="176"/>
      <c r="P299" s="176"/>
      <c r="Q299" s="176"/>
      <c r="R299" s="176"/>
      <c r="S299" s="176"/>
      <c r="T299" s="176"/>
      <c r="U299" s="176"/>
      <c r="V299" s="176"/>
      <c r="W299" s="176"/>
      <c r="X299" s="176"/>
      <c r="Y299" s="176"/>
      <c r="Z299" s="176"/>
      <c r="AA299" s="176"/>
      <c r="AB299" s="176"/>
      <c r="AC299" s="176"/>
      <c r="AD299" s="176"/>
      <c r="AE299" s="176"/>
      <c r="AF299" s="176"/>
      <c r="AG299" s="176"/>
      <c r="AH299" s="176"/>
      <c r="AI299" s="176"/>
      <c r="AJ299" s="176"/>
      <c r="AK299" s="176"/>
      <c r="AL299" s="176"/>
      <c r="AM299" s="176"/>
      <c r="AN299" s="176"/>
      <c r="AO299" s="176"/>
      <c r="AP299" s="176"/>
      <c r="AQ299" s="176"/>
      <c r="AR299" s="176"/>
      <c r="AS299" s="176"/>
      <c r="AT299" s="176"/>
      <c r="AU299" s="176"/>
      <c r="AV299" s="176"/>
      <c r="AW299" s="176"/>
      <c r="AX299" s="176"/>
      <c r="AY299" s="176"/>
      <c r="AZ299" s="176"/>
      <c r="BA299" s="176"/>
      <c r="BB299" s="176"/>
    </row>
    <row r="300" ht="15.75" customHeight="1">
      <c r="A300" s="176"/>
      <c r="B300" s="176"/>
      <c r="C300" s="176"/>
      <c r="D300" s="176"/>
      <c r="E300" s="176"/>
      <c r="F300" s="176"/>
      <c r="G300" s="176"/>
      <c r="H300" s="176"/>
      <c r="I300" s="176"/>
      <c r="J300" s="176"/>
      <c r="K300" s="176"/>
      <c r="L300" s="176"/>
      <c r="M300" s="176"/>
      <c r="N300" s="176"/>
      <c r="O300" s="176"/>
      <c r="P300" s="176"/>
      <c r="Q300" s="176"/>
      <c r="R300" s="176"/>
      <c r="S300" s="176"/>
      <c r="T300" s="176"/>
      <c r="U300" s="176"/>
      <c r="V300" s="176"/>
      <c r="W300" s="176"/>
      <c r="X300" s="176"/>
      <c r="Y300" s="176"/>
      <c r="Z300" s="176"/>
      <c r="AA300" s="176"/>
      <c r="AB300" s="176"/>
      <c r="AC300" s="176"/>
      <c r="AD300" s="176"/>
      <c r="AE300" s="176"/>
      <c r="AF300" s="176"/>
      <c r="AG300" s="176"/>
      <c r="AH300" s="176"/>
      <c r="AI300" s="176"/>
      <c r="AJ300" s="176"/>
      <c r="AK300" s="176"/>
      <c r="AL300" s="176"/>
      <c r="AM300" s="176"/>
      <c r="AN300" s="176"/>
      <c r="AO300" s="176"/>
      <c r="AP300" s="176"/>
      <c r="AQ300" s="176"/>
      <c r="AR300" s="176"/>
      <c r="AS300" s="176"/>
      <c r="AT300" s="176"/>
      <c r="AU300" s="176"/>
      <c r="AV300" s="176"/>
      <c r="AW300" s="176"/>
      <c r="AX300" s="176"/>
      <c r="AY300" s="176"/>
      <c r="AZ300" s="176"/>
      <c r="BA300" s="176"/>
      <c r="BB300" s="176"/>
    </row>
    <row r="301" ht="15.75" customHeight="1">
      <c r="A301" s="176"/>
      <c r="B301" s="176"/>
      <c r="C301" s="176"/>
      <c r="D301" s="176"/>
      <c r="E301" s="176"/>
      <c r="F301" s="176"/>
      <c r="G301" s="176"/>
      <c r="H301" s="176"/>
      <c r="I301" s="176"/>
      <c r="J301" s="176"/>
      <c r="K301" s="176"/>
      <c r="L301" s="176"/>
      <c r="M301" s="176"/>
      <c r="N301" s="176"/>
      <c r="O301" s="176"/>
      <c r="P301" s="176"/>
      <c r="Q301" s="176"/>
      <c r="R301" s="176"/>
      <c r="S301" s="176"/>
      <c r="T301" s="176"/>
      <c r="U301" s="176"/>
      <c r="V301" s="176"/>
      <c r="W301" s="176"/>
      <c r="X301" s="176"/>
      <c r="Y301" s="176"/>
      <c r="Z301" s="176"/>
      <c r="AA301" s="176"/>
      <c r="AB301" s="176"/>
      <c r="AC301" s="176"/>
      <c r="AD301" s="176"/>
      <c r="AE301" s="176"/>
      <c r="AF301" s="176"/>
      <c r="AG301" s="176"/>
      <c r="AH301" s="176"/>
      <c r="AI301" s="176"/>
      <c r="AJ301" s="176"/>
      <c r="AK301" s="176"/>
      <c r="AL301" s="176"/>
      <c r="AM301" s="176"/>
      <c r="AN301" s="176"/>
      <c r="AO301" s="176"/>
      <c r="AP301" s="176"/>
      <c r="AQ301" s="176"/>
      <c r="AR301" s="176"/>
      <c r="AS301" s="176"/>
      <c r="AT301" s="176"/>
      <c r="AU301" s="176"/>
      <c r="AV301" s="176"/>
      <c r="AW301" s="176"/>
      <c r="AX301" s="176"/>
      <c r="AY301" s="176"/>
      <c r="AZ301" s="176"/>
      <c r="BA301" s="176"/>
      <c r="BB301" s="176"/>
    </row>
    <row r="302" ht="15.75" customHeight="1">
      <c r="A302" s="176"/>
      <c r="B302" s="176"/>
      <c r="C302" s="176"/>
      <c r="D302" s="176"/>
      <c r="E302" s="176"/>
      <c r="F302" s="176"/>
      <c r="G302" s="176"/>
      <c r="H302" s="176"/>
      <c r="I302" s="176"/>
      <c r="J302" s="176"/>
      <c r="K302" s="176"/>
      <c r="L302" s="176"/>
      <c r="M302" s="176"/>
      <c r="N302" s="176"/>
      <c r="O302" s="176"/>
      <c r="P302" s="176"/>
      <c r="Q302" s="176"/>
      <c r="R302" s="176"/>
      <c r="S302" s="176"/>
      <c r="T302" s="176"/>
      <c r="U302" s="176"/>
      <c r="V302" s="176"/>
      <c r="W302" s="176"/>
      <c r="X302" s="176"/>
      <c r="Y302" s="176"/>
      <c r="Z302" s="176"/>
      <c r="AA302" s="176"/>
      <c r="AB302" s="176"/>
      <c r="AC302" s="176"/>
      <c r="AD302" s="176"/>
      <c r="AE302" s="176"/>
      <c r="AF302" s="176"/>
      <c r="AG302" s="176"/>
      <c r="AH302" s="176"/>
      <c r="AI302" s="176"/>
      <c r="AJ302" s="176"/>
      <c r="AK302" s="176"/>
      <c r="AL302" s="176"/>
      <c r="AM302" s="176"/>
      <c r="AN302" s="176"/>
      <c r="AO302" s="176"/>
      <c r="AP302" s="176"/>
      <c r="AQ302" s="176"/>
      <c r="AR302" s="176"/>
      <c r="AS302" s="176"/>
      <c r="AT302" s="176"/>
      <c r="AU302" s="176"/>
      <c r="AV302" s="176"/>
      <c r="AW302" s="176"/>
      <c r="AX302" s="176"/>
      <c r="AY302" s="176"/>
      <c r="AZ302" s="176"/>
      <c r="BA302" s="176"/>
      <c r="BB302" s="176"/>
    </row>
    <row r="303" ht="15.75" customHeight="1">
      <c r="A303" s="176"/>
      <c r="B303" s="176"/>
      <c r="C303" s="176"/>
      <c r="D303" s="176"/>
      <c r="E303" s="176"/>
      <c r="F303" s="176"/>
      <c r="G303" s="176"/>
      <c r="H303" s="176"/>
      <c r="I303" s="176"/>
      <c r="J303" s="176"/>
      <c r="K303" s="176"/>
      <c r="L303" s="176"/>
      <c r="M303" s="176"/>
      <c r="N303" s="176"/>
      <c r="O303" s="176"/>
      <c r="P303" s="176"/>
      <c r="Q303" s="176"/>
      <c r="R303" s="176"/>
      <c r="S303" s="176"/>
      <c r="T303" s="176"/>
      <c r="U303" s="176"/>
      <c r="V303" s="176"/>
      <c r="W303" s="176"/>
      <c r="X303" s="176"/>
      <c r="Y303" s="176"/>
      <c r="Z303" s="176"/>
      <c r="AA303" s="176"/>
      <c r="AB303" s="176"/>
      <c r="AC303" s="176"/>
      <c r="AD303" s="176"/>
      <c r="AE303" s="176"/>
      <c r="AF303" s="176"/>
      <c r="AG303" s="176"/>
      <c r="AH303" s="176"/>
      <c r="AI303" s="176"/>
      <c r="AJ303" s="176"/>
      <c r="AK303" s="176"/>
      <c r="AL303" s="176"/>
      <c r="AM303" s="176"/>
      <c r="AN303" s="176"/>
      <c r="AO303" s="176"/>
      <c r="AP303" s="176"/>
      <c r="AQ303" s="176"/>
      <c r="AR303" s="176"/>
      <c r="AS303" s="176"/>
      <c r="AT303" s="176"/>
      <c r="AU303" s="176"/>
      <c r="AV303" s="176"/>
      <c r="AW303" s="176"/>
      <c r="AX303" s="176"/>
      <c r="AY303" s="176"/>
      <c r="AZ303" s="176"/>
      <c r="BA303" s="176"/>
      <c r="BB303" s="176"/>
    </row>
    <row r="304" ht="15.75" customHeight="1">
      <c r="A304" s="176"/>
      <c r="B304" s="176"/>
      <c r="C304" s="176"/>
      <c r="D304" s="176"/>
      <c r="E304" s="176"/>
      <c r="F304" s="176"/>
      <c r="G304" s="176"/>
      <c r="H304" s="176"/>
      <c r="I304" s="176"/>
      <c r="J304" s="176"/>
      <c r="K304" s="176"/>
      <c r="L304" s="176"/>
      <c r="M304" s="176"/>
      <c r="N304" s="176"/>
      <c r="O304" s="176"/>
      <c r="P304" s="176"/>
      <c r="Q304" s="176"/>
      <c r="R304" s="176"/>
      <c r="S304" s="176"/>
      <c r="T304" s="176"/>
      <c r="U304" s="176"/>
      <c r="V304" s="176"/>
      <c r="W304" s="176"/>
      <c r="X304" s="176"/>
      <c r="Y304" s="176"/>
      <c r="Z304" s="176"/>
      <c r="AA304" s="176"/>
      <c r="AB304" s="176"/>
      <c r="AC304" s="176"/>
      <c r="AD304" s="176"/>
      <c r="AE304" s="176"/>
      <c r="AF304" s="176"/>
      <c r="AG304" s="176"/>
      <c r="AH304" s="176"/>
      <c r="AI304" s="176"/>
      <c r="AJ304" s="176"/>
      <c r="AK304" s="176"/>
      <c r="AL304" s="176"/>
      <c r="AM304" s="176"/>
      <c r="AN304" s="176"/>
      <c r="AO304" s="176"/>
      <c r="AP304" s="176"/>
      <c r="AQ304" s="176"/>
      <c r="AR304" s="176"/>
      <c r="AS304" s="176"/>
      <c r="AT304" s="176"/>
      <c r="AU304" s="176"/>
      <c r="AV304" s="176"/>
      <c r="AW304" s="176"/>
      <c r="AX304" s="176"/>
      <c r="AY304" s="176"/>
      <c r="AZ304" s="176"/>
      <c r="BA304" s="176"/>
      <c r="BB304" s="176"/>
    </row>
    <row r="305" ht="15.75" customHeight="1">
      <c r="A305" s="176"/>
      <c r="B305" s="176"/>
      <c r="C305" s="176"/>
      <c r="D305" s="176"/>
      <c r="E305" s="176"/>
      <c r="F305" s="176"/>
      <c r="G305" s="176"/>
      <c r="H305" s="176"/>
      <c r="I305" s="176"/>
      <c r="J305" s="176"/>
      <c r="K305" s="176"/>
      <c r="L305" s="176"/>
      <c r="M305" s="176"/>
      <c r="N305" s="176"/>
      <c r="O305" s="176"/>
      <c r="P305" s="176"/>
      <c r="Q305" s="176"/>
      <c r="R305" s="176"/>
      <c r="S305" s="176"/>
      <c r="T305" s="176"/>
      <c r="U305" s="176"/>
      <c r="V305" s="176"/>
      <c r="W305" s="176"/>
      <c r="X305" s="176"/>
      <c r="Y305" s="176"/>
      <c r="Z305" s="176"/>
      <c r="AA305" s="176"/>
      <c r="AB305" s="176"/>
      <c r="AC305" s="176"/>
      <c r="AD305" s="176"/>
      <c r="AE305" s="176"/>
      <c r="AF305" s="176"/>
      <c r="AG305" s="176"/>
      <c r="AH305" s="176"/>
      <c r="AI305" s="176"/>
      <c r="AJ305" s="176"/>
      <c r="AK305" s="176"/>
      <c r="AL305" s="176"/>
      <c r="AM305" s="176"/>
      <c r="AN305" s="176"/>
      <c r="AO305" s="176"/>
      <c r="AP305" s="176"/>
      <c r="AQ305" s="176"/>
      <c r="AR305" s="176"/>
      <c r="AS305" s="176"/>
      <c r="AT305" s="176"/>
      <c r="AU305" s="176"/>
      <c r="AV305" s="176"/>
      <c r="AW305" s="176"/>
      <c r="AX305" s="176"/>
      <c r="AY305" s="176"/>
      <c r="AZ305" s="176"/>
      <c r="BA305" s="176"/>
      <c r="BB305" s="176"/>
    </row>
    <row r="306" ht="15.75" customHeight="1">
      <c r="A306" s="176"/>
      <c r="B306" s="176"/>
      <c r="C306" s="176"/>
      <c r="D306" s="176"/>
      <c r="E306" s="176"/>
      <c r="F306" s="176"/>
      <c r="G306" s="176"/>
      <c r="H306" s="176"/>
      <c r="I306" s="176"/>
      <c r="J306" s="176"/>
      <c r="K306" s="176"/>
      <c r="L306" s="176"/>
      <c r="M306" s="176"/>
      <c r="N306" s="176"/>
      <c r="O306" s="176"/>
      <c r="P306" s="176"/>
      <c r="Q306" s="176"/>
      <c r="R306" s="176"/>
      <c r="S306" s="176"/>
      <c r="T306" s="176"/>
      <c r="U306" s="176"/>
      <c r="V306" s="176"/>
      <c r="W306" s="176"/>
      <c r="X306" s="176"/>
      <c r="Y306" s="176"/>
      <c r="Z306" s="176"/>
      <c r="AA306" s="176"/>
      <c r="AB306" s="176"/>
      <c r="AC306" s="176"/>
      <c r="AD306" s="176"/>
      <c r="AE306" s="176"/>
      <c r="AF306" s="176"/>
      <c r="AG306" s="176"/>
      <c r="AH306" s="176"/>
      <c r="AI306" s="176"/>
      <c r="AJ306" s="176"/>
      <c r="AK306" s="176"/>
      <c r="AL306" s="176"/>
      <c r="AM306" s="176"/>
      <c r="AN306" s="176"/>
      <c r="AO306" s="176"/>
      <c r="AP306" s="176"/>
      <c r="AQ306" s="176"/>
      <c r="AR306" s="176"/>
      <c r="AS306" s="176"/>
      <c r="AT306" s="176"/>
      <c r="AU306" s="176"/>
      <c r="AV306" s="176"/>
      <c r="AW306" s="176"/>
      <c r="AX306" s="176"/>
      <c r="AY306" s="176"/>
      <c r="AZ306" s="176"/>
      <c r="BA306" s="176"/>
      <c r="BB306" s="176"/>
    </row>
    <row r="307" ht="15.75" customHeight="1">
      <c r="A307" s="176"/>
      <c r="B307" s="176"/>
      <c r="C307" s="176"/>
      <c r="D307" s="176"/>
      <c r="E307" s="176"/>
      <c r="F307" s="176"/>
      <c r="G307" s="176"/>
      <c r="H307" s="176"/>
      <c r="I307" s="176"/>
      <c r="J307" s="176"/>
      <c r="K307" s="176"/>
      <c r="L307" s="176"/>
      <c r="M307" s="176"/>
      <c r="N307" s="176"/>
      <c r="O307" s="176"/>
      <c r="P307" s="176"/>
      <c r="Q307" s="176"/>
      <c r="R307" s="176"/>
      <c r="S307" s="176"/>
      <c r="T307" s="176"/>
      <c r="U307" s="176"/>
      <c r="V307" s="176"/>
      <c r="W307" s="176"/>
      <c r="X307" s="176"/>
      <c r="Y307" s="176"/>
      <c r="Z307" s="176"/>
      <c r="AA307" s="176"/>
      <c r="AB307" s="176"/>
      <c r="AC307" s="176"/>
      <c r="AD307" s="176"/>
      <c r="AE307" s="176"/>
      <c r="AF307" s="176"/>
      <c r="AG307" s="176"/>
      <c r="AH307" s="176"/>
      <c r="AI307" s="176"/>
      <c r="AJ307" s="176"/>
      <c r="AK307" s="176"/>
      <c r="AL307" s="176"/>
      <c r="AM307" s="176"/>
      <c r="AN307" s="176"/>
      <c r="AO307" s="176"/>
      <c r="AP307" s="176"/>
      <c r="AQ307" s="176"/>
      <c r="AR307" s="176"/>
      <c r="AS307" s="176"/>
      <c r="AT307" s="176"/>
      <c r="AU307" s="176"/>
      <c r="AV307" s="176"/>
      <c r="AW307" s="176"/>
      <c r="AX307" s="176"/>
      <c r="AY307" s="176"/>
      <c r="AZ307" s="176"/>
      <c r="BA307" s="176"/>
      <c r="BB307" s="176"/>
    </row>
    <row r="308" ht="15.75" customHeight="1">
      <c r="A308" s="176"/>
      <c r="B308" s="176"/>
      <c r="C308" s="176"/>
      <c r="D308" s="176"/>
      <c r="E308" s="176"/>
      <c r="F308" s="176"/>
      <c r="G308" s="176"/>
      <c r="H308" s="176"/>
      <c r="I308" s="176"/>
      <c r="J308" s="176"/>
      <c r="K308" s="176"/>
      <c r="L308" s="176"/>
      <c r="M308" s="176"/>
      <c r="N308" s="176"/>
      <c r="O308" s="176"/>
      <c r="P308" s="176"/>
      <c r="Q308" s="176"/>
      <c r="R308" s="176"/>
      <c r="S308" s="176"/>
      <c r="T308" s="176"/>
      <c r="U308" s="176"/>
      <c r="V308" s="176"/>
      <c r="W308" s="176"/>
      <c r="X308" s="176"/>
      <c r="Y308" s="176"/>
      <c r="Z308" s="176"/>
      <c r="AA308" s="176"/>
      <c r="AB308" s="176"/>
      <c r="AC308" s="176"/>
      <c r="AD308" s="176"/>
      <c r="AE308" s="176"/>
      <c r="AF308" s="176"/>
      <c r="AG308" s="176"/>
      <c r="AH308" s="176"/>
      <c r="AI308" s="176"/>
      <c r="AJ308" s="176"/>
      <c r="AK308" s="176"/>
      <c r="AL308" s="176"/>
      <c r="AM308" s="176"/>
      <c r="AN308" s="176"/>
      <c r="AO308" s="176"/>
      <c r="AP308" s="176"/>
      <c r="AQ308" s="176"/>
      <c r="AR308" s="176"/>
      <c r="AS308" s="176"/>
      <c r="AT308" s="176"/>
      <c r="AU308" s="176"/>
      <c r="AV308" s="176"/>
      <c r="AW308" s="176"/>
      <c r="AX308" s="176"/>
      <c r="AY308" s="176"/>
      <c r="AZ308" s="176"/>
      <c r="BA308" s="176"/>
      <c r="BB308" s="176"/>
    </row>
    <row r="309" ht="15.75" customHeight="1">
      <c r="A309" s="176"/>
      <c r="B309" s="176"/>
      <c r="C309" s="176"/>
      <c r="D309" s="176"/>
      <c r="E309" s="176"/>
      <c r="F309" s="176"/>
      <c r="G309" s="176"/>
      <c r="H309" s="176"/>
      <c r="I309" s="176"/>
      <c r="J309" s="176"/>
      <c r="K309" s="176"/>
      <c r="L309" s="176"/>
      <c r="M309" s="176"/>
      <c r="N309" s="176"/>
      <c r="O309" s="176"/>
      <c r="P309" s="176"/>
      <c r="Q309" s="176"/>
      <c r="R309" s="176"/>
      <c r="S309" s="176"/>
      <c r="T309" s="176"/>
      <c r="U309" s="176"/>
      <c r="V309" s="176"/>
      <c r="W309" s="176"/>
      <c r="X309" s="176"/>
      <c r="Y309" s="176"/>
      <c r="Z309" s="176"/>
      <c r="AA309" s="176"/>
      <c r="AB309" s="176"/>
      <c r="AC309" s="176"/>
      <c r="AD309" s="176"/>
      <c r="AE309" s="176"/>
      <c r="AF309" s="176"/>
      <c r="AG309" s="176"/>
      <c r="AH309" s="176"/>
      <c r="AI309" s="176"/>
      <c r="AJ309" s="176"/>
      <c r="AK309" s="176"/>
      <c r="AL309" s="176"/>
      <c r="AM309" s="176"/>
      <c r="AN309" s="176"/>
      <c r="AO309" s="176"/>
      <c r="AP309" s="176"/>
      <c r="AQ309" s="176"/>
      <c r="AR309" s="176"/>
      <c r="AS309" s="176"/>
      <c r="AT309" s="176"/>
      <c r="AU309" s="176"/>
      <c r="AV309" s="176"/>
      <c r="AW309" s="176"/>
      <c r="AX309" s="176"/>
      <c r="AY309" s="176"/>
      <c r="AZ309" s="176"/>
      <c r="BA309" s="176"/>
      <c r="BB309" s="176"/>
    </row>
    <row r="310" ht="15.75" customHeight="1">
      <c r="A310" s="176"/>
      <c r="B310" s="176"/>
      <c r="C310" s="176"/>
      <c r="D310" s="176"/>
      <c r="E310" s="176"/>
      <c r="F310" s="176"/>
      <c r="G310" s="176"/>
      <c r="H310" s="176"/>
      <c r="I310" s="176"/>
      <c r="J310" s="176"/>
      <c r="K310" s="176"/>
      <c r="L310" s="176"/>
      <c r="M310" s="176"/>
      <c r="N310" s="176"/>
      <c r="O310" s="176"/>
      <c r="P310" s="176"/>
      <c r="Q310" s="176"/>
      <c r="R310" s="176"/>
      <c r="S310" s="176"/>
      <c r="T310" s="176"/>
      <c r="U310" s="176"/>
      <c r="V310" s="176"/>
      <c r="W310" s="176"/>
      <c r="X310" s="176"/>
      <c r="Y310" s="176"/>
      <c r="Z310" s="176"/>
      <c r="AA310" s="176"/>
      <c r="AB310" s="176"/>
      <c r="AC310" s="176"/>
      <c r="AD310" s="176"/>
      <c r="AE310" s="176"/>
      <c r="AF310" s="176"/>
      <c r="AG310" s="176"/>
      <c r="AH310" s="176"/>
      <c r="AI310" s="176"/>
      <c r="AJ310" s="176"/>
      <c r="AK310" s="176"/>
      <c r="AL310" s="176"/>
      <c r="AM310" s="176"/>
      <c r="AN310" s="176"/>
      <c r="AO310" s="176"/>
      <c r="AP310" s="176"/>
      <c r="AQ310" s="176"/>
      <c r="AR310" s="176"/>
      <c r="AS310" s="176"/>
      <c r="AT310" s="176"/>
      <c r="AU310" s="176"/>
      <c r="AV310" s="176"/>
      <c r="AW310" s="176"/>
      <c r="AX310" s="176"/>
      <c r="AY310" s="176"/>
      <c r="AZ310" s="176"/>
      <c r="BA310" s="176"/>
      <c r="BB310" s="176"/>
    </row>
    <row r="311" ht="15.75" customHeight="1">
      <c r="A311" s="176"/>
      <c r="B311" s="176"/>
      <c r="C311" s="176"/>
      <c r="D311" s="176"/>
      <c r="E311" s="176"/>
      <c r="F311" s="176"/>
      <c r="G311" s="176"/>
      <c r="H311" s="176"/>
      <c r="I311" s="176"/>
      <c r="J311" s="176"/>
      <c r="K311" s="176"/>
      <c r="L311" s="176"/>
      <c r="M311" s="176"/>
      <c r="N311" s="176"/>
      <c r="O311" s="176"/>
      <c r="P311" s="176"/>
      <c r="Q311" s="176"/>
      <c r="R311" s="176"/>
      <c r="S311" s="176"/>
      <c r="T311" s="176"/>
      <c r="U311" s="176"/>
      <c r="V311" s="176"/>
      <c r="W311" s="176"/>
      <c r="X311" s="176"/>
      <c r="Y311" s="176"/>
      <c r="Z311" s="176"/>
      <c r="AA311" s="176"/>
      <c r="AB311" s="176"/>
      <c r="AC311" s="176"/>
      <c r="AD311" s="176"/>
      <c r="AE311" s="176"/>
      <c r="AF311" s="176"/>
      <c r="AG311" s="176"/>
      <c r="AH311" s="176"/>
      <c r="AI311" s="176"/>
      <c r="AJ311" s="176"/>
      <c r="AK311" s="176"/>
      <c r="AL311" s="176"/>
      <c r="AM311" s="176"/>
      <c r="AN311" s="176"/>
      <c r="AO311" s="176"/>
      <c r="AP311" s="176"/>
      <c r="AQ311" s="176"/>
      <c r="AR311" s="176"/>
      <c r="AS311" s="176"/>
      <c r="AT311" s="176"/>
      <c r="AU311" s="176"/>
      <c r="AV311" s="176"/>
      <c r="AW311" s="176"/>
      <c r="AX311" s="176"/>
      <c r="AY311" s="176"/>
      <c r="AZ311" s="176"/>
      <c r="BA311" s="176"/>
      <c r="BB311" s="176"/>
    </row>
    <row r="312" ht="15.75" customHeight="1">
      <c r="A312" s="176"/>
      <c r="B312" s="176"/>
      <c r="C312" s="176"/>
      <c r="D312" s="176"/>
      <c r="E312" s="176"/>
      <c r="F312" s="176"/>
      <c r="G312" s="176"/>
      <c r="H312" s="176"/>
      <c r="I312" s="176"/>
      <c r="J312" s="176"/>
      <c r="K312" s="176"/>
      <c r="L312" s="176"/>
      <c r="M312" s="176"/>
      <c r="N312" s="176"/>
      <c r="O312" s="176"/>
      <c r="P312" s="176"/>
      <c r="Q312" s="176"/>
      <c r="R312" s="176"/>
      <c r="S312" s="176"/>
      <c r="T312" s="176"/>
      <c r="U312" s="176"/>
      <c r="V312" s="176"/>
      <c r="W312" s="176"/>
      <c r="X312" s="176"/>
      <c r="Y312" s="176"/>
      <c r="Z312" s="176"/>
      <c r="AA312" s="176"/>
      <c r="AB312" s="176"/>
      <c r="AC312" s="176"/>
      <c r="AD312" s="176"/>
      <c r="AE312" s="176"/>
      <c r="AF312" s="176"/>
      <c r="AG312" s="176"/>
      <c r="AH312" s="176"/>
      <c r="AI312" s="176"/>
      <c r="AJ312" s="176"/>
      <c r="AK312" s="176"/>
      <c r="AL312" s="176"/>
      <c r="AM312" s="176"/>
      <c r="AN312" s="176"/>
      <c r="AO312" s="176"/>
      <c r="AP312" s="176"/>
      <c r="AQ312" s="176"/>
      <c r="AR312" s="176"/>
      <c r="AS312" s="176"/>
      <c r="AT312" s="176"/>
      <c r="AU312" s="176"/>
      <c r="AV312" s="176"/>
      <c r="AW312" s="176"/>
      <c r="AX312" s="176"/>
      <c r="AY312" s="176"/>
      <c r="AZ312" s="176"/>
      <c r="BA312" s="176"/>
      <c r="BB312" s="176"/>
    </row>
    <row r="313" ht="15.75" customHeight="1">
      <c r="A313" s="176"/>
      <c r="B313" s="176"/>
      <c r="C313" s="176"/>
      <c r="D313" s="176"/>
      <c r="E313" s="176"/>
      <c r="F313" s="176"/>
      <c r="G313" s="176"/>
      <c r="H313" s="176"/>
      <c r="I313" s="176"/>
      <c r="J313" s="176"/>
      <c r="K313" s="176"/>
      <c r="L313" s="176"/>
      <c r="M313" s="176"/>
      <c r="N313" s="176"/>
      <c r="O313" s="176"/>
      <c r="P313" s="176"/>
      <c r="Q313" s="176"/>
      <c r="R313" s="176"/>
      <c r="S313" s="176"/>
      <c r="T313" s="176"/>
      <c r="U313" s="176"/>
      <c r="V313" s="176"/>
      <c r="W313" s="176"/>
      <c r="X313" s="176"/>
      <c r="Y313" s="176"/>
      <c r="Z313" s="176"/>
      <c r="AA313" s="176"/>
      <c r="AB313" s="176"/>
      <c r="AC313" s="176"/>
      <c r="AD313" s="176"/>
      <c r="AE313" s="176"/>
      <c r="AF313" s="176"/>
      <c r="AG313" s="176"/>
      <c r="AH313" s="176"/>
      <c r="AI313" s="176"/>
      <c r="AJ313" s="176"/>
      <c r="AK313" s="176"/>
      <c r="AL313" s="176"/>
      <c r="AM313" s="176"/>
      <c r="AN313" s="176"/>
      <c r="AO313" s="176"/>
      <c r="AP313" s="176"/>
      <c r="AQ313" s="176"/>
      <c r="AR313" s="176"/>
      <c r="AS313" s="176"/>
      <c r="AT313" s="176"/>
      <c r="AU313" s="176"/>
      <c r="AV313" s="176"/>
      <c r="AW313" s="176"/>
      <c r="AX313" s="176"/>
      <c r="AY313" s="176"/>
      <c r="AZ313" s="176"/>
      <c r="BA313" s="176"/>
      <c r="BB313" s="176"/>
    </row>
    <row r="314" ht="15.75" customHeight="1">
      <c r="A314" s="176"/>
      <c r="B314" s="176"/>
      <c r="C314" s="176"/>
      <c r="D314" s="176"/>
      <c r="E314" s="176"/>
      <c r="F314" s="176"/>
      <c r="G314" s="176"/>
      <c r="H314" s="176"/>
      <c r="I314" s="176"/>
      <c r="J314" s="176"/>
      <c r="K314" s="176"/>
      <c r="L314" s="176"/>
      <c r="M314" s="176"/>
      <c r="N314" s="176"/>
      <c r="O314" s="176"/>
      <c r="P314" s="176"/>
      <c r="Q314" s="176"/>
      <c r="R314" s="176"/>
      <c r="S314" s="176"/>
      <c r="T314" s="176"/>
      <c r="U314" s="176"/>
      <c r="V314" s="176"/>
      <c r="W314" s="176"/>
      <c r="X314" s="176"/>
      <c r="Y314" s="176"/>
      <c r="Z314" s="176"/>
      <c r="AA314" s="176"/>
      <c r="AB314" s="176"/>
      <c r="AC314" s="176"/>
      <c r="AD314" s="176"/>
      <c r="AE314" s="176"/>
      <c r="AF314" s="176"/>
      <c r="AG314" s="176"/>
      <c r="AH314" s="176"/>
      <c r="AI314" s="176"/>
      <c r="AJ314" s="176"/>
      <c r="AK314" s="176"/>
      <c r="AL314" s="176"/>
      <c r="AM314" s="176"/>
      <c r="AN314" s="176"/>
      <c r="AO314" s="176"/>
      <c r="AP314" s="176"/>
      <c r="AQ314" s="176"/>
      <c r="AR314" s="176"/>
      <c r="AS314" s="176"/>
      <c r="AT314" s="176"/>
      <c r="AU314" s="176"/>
      <c r="AV314" s="176"/>
      <c r="AW314" s="176"/>
      <c r="AX314" s="176"/>
      <c r="AY314" s="176"/>
      <c r="AZ314" s="176"/>
      <c r="BA314" s="176"/>
      <c r="BB314" s="176"/>
    </row>
    <row r="315" ht="15.75" customHeight="1">
      <c r="A315" s="176"/>
      <c r="B315" s="176"/>
      <c r="C315" s="176"/>
      <c r="D315" s="176"/>
      <c r="E315" s="176"/>
      <c r="F315" s="176"/>
      <c r="G315" s="176"/>
      <c r="H315" s="176"/>
      <c r="I315" s="176"/>
      <c r="J315" s="176"/>
      <c r="K315" s="176"/>
      <c r="L315" s="176"/>
      <c r="M315" s="176"/>
      <c r="N315" s="176"/>
      <c r="O315" s="176"/>
      <c r="P315" s="176"/>
      <c r="Q315" s="176"/>
      <c r="R315" s="176"/>
      <c r="S315" s="176"/>
      <c r="T315" s="176"/>
      <c r="U315" s="176"/>
      <c r="V315" s="176"/>
      <c r="W315" s="176"/>
      <c r="X315" s="176"/>
      <c r="Y315" s="176"/>
      <c r="Z315" s="176"/>
      <c r="AA315" s="176"/>
      <c r="AB315" s="176"/>
      <c r="AC315" s="176"/>
      <c r="AD315" s="176"/>
      <c r="AE315" s="176"/>
      <c r="AF315" s="176"/>
      <c r="AG315" s="176"/>
      <c r="AH315" s="176"/>
      <c r="AI315" s="176"/>
      <c r="AJ315" s="176"/>
      <c r="AK315" s="176"/>
      <c r="AL315" s="176"/>
      <c r="AM315" s="176"/>
      <c r="AN315" s="176"/>
      <c r="AO315" s="176"/>
      <c r="AP315" s="176"/>
      <c r="AQ315" s="176"/>
      <c r="AR315" s="176"/>
      <c r="AS315" s="176"/>
      <c r="AT315" s="176"/>
      <c r="AU315" s="176"/>
      <c r="AV315" s="176"/>
      <c r="AW315" s="176"/>
      <c r="AX315" s="176"/>
      <c r="AY315" s="176"/>
      <c r="AZ315" s="176"/>
      <c r="BA315" s="176"/>
      <c r="BB315" s="176"/>
    </row>
    <row r="316" ht="15.75" customHeight="1">
      <c r="A316" s="176"/>
      <c r="B316" s="176"/>
      <c r="C316" s="176"/>
      <c r="D316" s="176"/>
      <c r="E316" s="176"/>
      <c r="F316" s="176"/>
      <c r="G316" s="176"/>
      <c r="H316" s="176"/>
      <c r="I316" s="176"/>
      <c r="J316" s="176"/>
      <c r="K316" s="176"/>
      <c r="L316" s="176"/>
      <c r="M316" s="176"/>
      <c r="N316" s="176"/>
      <c r="O316" s="176"/>
      <c r="P316" s="176"/>
      <c r="Q316" s="176"/>
      <c r="R316" s="176"/>
      <c r="S316" s="176"/>
      <c r="T316" s="176"/>
      <c r="U316" s="176"/>
      <c r="V316" s="176"/>
      <c r="W316" s="176"/>
      <c r="X316" s="176"/>
      <c r="Y316" s="176"/>
      <c r="Z316" s="176"/>
      <c r="AA316" s="176"/>
      <c r="AB316" s="176"/>
      <c r="AC316" s="176"/>
      <c r="AD316" s="176"/>
      <c r="AE316" s="176"/>
      <c r="AF316" s="176"/>
      <c r="AG316" s="176"/>
      <c r="AH316" s="176"/>
      <c r="AI316" s="176"/>
      <c r="AJ316" s="176"/>
      <c r="AK316" s="176"/>
      <c r="AL316" s="176"/>
      <c r="AM316" s="176"/>
      <c r="AN316" s="176"/>
      <c r="AO316" s="176"/>
      <c r="AP316" s="176"/>
      <c r="AQ316" s="176"/>
      <c r="AR316" s="176"/>
      <c r="AS316" s="176"/>
      <c r="AT316" s="176"/>
      <c r="AU316" s="176"/>
      <c r="AV316" s="176"/>
      <c r="AW316" s="176"/>
      <c r="AX316" s="176"/>
      <c r="AY316" s="176"/>
      <c r="AZ316" s="176"/>
      <c r="BA316" s="176"/>
      <c r="BB316" s="176"/>
    </row>
    <row r="317" ht="15.75" customHeight="1">
      <c r="A317" s="176"/>
      <c r="B317" s="176"/>
      <c r="C317" s="176"/>
      <c r="D317" s="176"/>
      <c r="E317" s="176"/>
      <c r="F317" s="176"/>
      <c r="G317" s="176"/>
      <c r="H317" s="176"/>
      <c r="I317" s="176"/>
      <c r="J317" s="176"/>
      <c r="K317" s="176"/>
      <c r="L317" s="176"/>
      <c r="M317" s="176"/>
      <c r="N317" s="176"/>
      <c r="O317" s="176"/>
      <c r="P317" s="176"/>
      <c r="Q317" s="176"/>
      <c r="R317" s="176"/>
      <c r="S317" s="176"/>
      <c r="T317" s="176"/>
      <c r="U317" s="176"/>
      <c r="V317" s="176"/>
      <c r="W317" s="176"/>
      <c r="X317" s="176"/>
      <c r="Y317" s="176"/>
      <c r="Z317" s="176"/>
      <c r="AA317" s="176"/>
      <c r="AB317" s="176"/>
      <c r="AC317" s="176"/>
      <c r="AD317" s="176"/>
      <c r="AE317" s="176"/>
      <c r="AF317" s="176"/>
      <c r="AG317" s="176"/>
      <c r="AH317" s="176"/>
      <c r="AI317" s="176"/>
      <c r="AJ317" s="176"/>
      <c r="AK317" s="176"/>
      <c r="AL317" s="176"/>
      <c r="AM317" s="176"/>
      <c r="AN317" s="176"/>
      <c r="AO317" s="176"/>
      <c r="AP317" s="176"/>
      <c r="AQ317" s="176"/>
      <c r="AR317" s="176"/>
      <c r="AS317" s="176"/>
      <c r="AT317" s="176"/>
      <c r="AU317" s="176"/>
      <c r="AV317" s="176"/>
      <c r="AW317" s="176"/>
      <c r="AX317" s="176"/>
      <c r="AY317" s="176"/>
      <c r="AZ317" s="176"/>
      <c r="BA317" s="176"/>
      <c r="BB317" s="176"/>
    </row>
    <row r="318" ht="15.75" customHeight="1">
      <c r="A318" s="176"/>
      <c r="B318" s="176"/>
      <c r="C318" s="176"/>
      <c r="D318" s="176"/>
      <c r="E318" s="176"/>
      <c r="F318" s="176"/>
      <c r="G318" s="176"/>
      <c r="H318" s="176"/>
      <c r="I318" s="176"/>
      <c r="J318" s="176"/>
      <c r="K318" s="176"/>
      <c r="L318" s="176"/>
      <c r="M318" s="176"/>
      <c r="N318" s="176"/>
      <c r="O318" s="176"/>
      <c r="P318" s="176"/>
      <c r="Q318" s="176"/>
      <c r="R318" s="176"/>
      <c r="S318" s="176"/>
      <c r="T318" s="176"/>
      <c r="U318" s="176"/>
      <c r="V318" s="176"/>
      <c r="W318" s="176"/>
      <c r="X318" s="176"/>
      <c r="Y318" s="176"/>
      <c r="Z318" s="176"/>
      <c r="AA318" s="176"/>
      <c r="AB318" s="176"/>
      <c r="AC318" s="176"/>
      <c r="AD318" s="176"/>
      <c r="AE318" s="176"/>
      <c r="AF318" s="176"/>
      <c r="AG318" s="176"/>
      <c r="AH318" s="176"/>
      <c r="AI318" s="176"/>
      <c r="AJ318" s="176"/>
      <c r="AK318" s="176"/>
      <c r="AL318" s="176"/>
      <c r="AM318" s="176"/>
      <c r="AN318" s="176"/>
      <c r="AO318" s="176"/>
      <c r="AP318" s="176"/>
      <c r="AQ318" s="176"/>
      <c r="AR318" s="176"/>
      <c r="AS318" s="176"/>
      <c r="AT318" s="176"/>
      <c r="AU318" s="176"/>
      <c r="AV318" s="176"/>
      <c r="AW318" s="176"/>
      <c r="AX318" s="176"/>
      <c r="AY318" s="176"/>
      <c r="AZ318" s="176"/>
      <c r="BA318" s="176"/>
      <c r="BB318" s="176"/>
    </row>
    <row r="319" ht="15.75" customHeight="1">
      <c r="A319" s="176"/>
      <c r="B319" s="176"/>
      <c r="C319" s="176"/>
      <c r="D319" s="176"/>
      <c r="E319" s="176"/>
      <c r="F319" s="176"/>
      <c r="G319" s="176"/>
      <c r="H319" s="176"/>
      <c r="I319" s="176"/>
      <c r="J319" s="176"/>
      <c r="K319" s="176"/>
      <c r="L319" s="176"/>
      <c r="M319" s="176"/>
      <c r="N319" s="176"/>
      <c r="O319" s="176"/>
      <c r="P319" s="176"/>
      <c r="Q319" s="176"/>
      <c r="R319" s="176"/>
      <c r="S319" s="176"/>
      <c r="T319" s="176"/>
      <c r="U319" s="176"/>
      <c r="V319" s="176"/>
      <c r="W319" s="176"/>
      <c r="X319" s="176"/>
      <c r="Y319" s="176"/>
      <c r="Z319" s="176"/>
      <c r="AA319" s="176"/>
      <c r="AB319" s="176"/>
      <c r="AC319" s="176"/>
      <c r="AD319" s="176"/>
      <c r="AE319" s="176"/>
      <c r="AF319" s="176"/>
      <c r="AG319" s="176"/>
      <c r="AH319" s="176"/>
      <c r="AI319" s="176"/>
      <c r="AJ319" s="176"/>
      <c r="AK319" s="176"/>
      <c r="AL319" s="176"/>
      <c r="AM319" s="176"/>
      <c r="AN319" s="176"/>
      <c r="AO319" s="176"/>
      <c r="AP319" s="176"/>
      <c r="AQ319" s="176"/>
      <c r="AR319" s="176"/>
      <c r="AS319" s="176"/>
      <c r="AT319" s="176"/>
      <c r="AU319" s="176"/>
      <c r="AV319" s="176"/>
      <c r="AW319" s="176"/>
      <c r="AX319" s="176"/>
      <c r="AY319" s="176"/>
      <c r="AZ319" s="176"/>
      <c r="BA319" s="176"/>
      <c r="BB319" s="176"/>
    </row>
    <row r="320" ht="15.75" customHeight="1">
      <c r="A320" s="176"/>
      <c r="B320" s="176"/>
      <c r="C320" s="176"/>
      <c r="D320" s="176"/>
      <c r="E320" s="176"/>
      <c r="F320" s="176"/>
      <c r="G320" s="176"/>
      <c r="H320" s="176"/>
      <c r="I320" s="176"/>
      <c r="J320" s="176"/>
      <c r="K320" s="176"/>
      <c r="L320" s="176"/>
      <c r="M320" s="176"/>
      <c r="N320" s="176"/>
      <c r="O320" s="176"/>
      <c r="P320" s="176"/>
      <c r="Q320" s="176"/>
      <c r="R320" s="176"/>
      <c r="S320" s="176"/>
      <c r="T320" s="176"/>
      <c r="U320" s="176"/>
      <c r="V320" s="176"/>
      <c r="W320" s="176"/>
      <c r="X320" s="176"/>
      <c r="Y320" s="176"/>
      <c r="Z320" s="176"/>
      <c r="AA320" s="176"/>
      <c r="AB320" s="176"/>
      <c r="AC320" s="176"/>
      <c r="AD320" s="176"/>
      <c r="AE320" s="176"/>
      <c r="AF320" s="176"/>
      <c r="AG320" s="176"/>
      <c r="AH320" s="176"/>
      <c r="AI320" s="176"/>
      <c r="AJ320" s="176"/>
      <c r="AK320" s="176"/>
      <c r="AL320" s="176"/>
      <c r="AM320" s="176"/>
      <c r="AN320" s="176"/>
      <c r="AO320" s="176"/>
      <c r="AP320" s="176"/>
      <c r="AQ320" s="176"/>
      <c r="AR320" s="176"/>
      <c r="AS320" s="176"/>
      <c r="AT320" s="176"/>
      <c r="AU320" s="176"/>
      <c r="AV320" s="176"/>
      <c r="AW320" s="176"/>
      <c r="AX320" s="176"/>
      <c r="AY320" s="176"/>
      <c r="AZ320" s="176"/>
      <c r="BA320" s="176"/>
      <c r="BB320" s="176"/>
    </row>
    <row r="321" ht="15.75" customHeight="1">
      <c r="A321" s="176"/>
      <c r="B321" s="176"/>
      <c r="C321" s="176"/>
      <c r="D321" s="176"/>
      <c r="E321" s="176"/>
      <c r="F321" s="176"/>
      <c r="G321" s="176"/>
      <c r="H321" s="176"/>
      <c r="I321" s="176"/>
      <c r="J321" s="176"/>
      <c r="K321" s="176"/>
      <c r="L321" s="176"/>
      <c r="M321" s="176"/>
      <c r="N321" s="176"/>
      <c r="O321" s="176"/>
      <c r="P321" s="176"/>
      <c r="Q321" s="176"/>
      <c r="R321" s="176"/>
      <c r="S321" s="176"/>
      <c r="T321" s="176"/>
      <c r="U321" s="176"/>
      <c r="V321" s="176"/>
      <c r="W321" s="176"/>
      <c r="X321" s="176"/>
      <c r="Y321" s="176"/>
      <c r="Z321" s="176"/>
      <c r="AA321" s="176"/>
      <c r="AB321" s="176"/>
      <c r="AC321" s="176"/>
      <c r="AD321" s="176"/>
      <c r="AE321" s="176"/>
      <c r="AF321" s="176"/>
      <c r="AG321" s="176"/>
      <c r="AH321" s="176"/>
      <c r="AI321" s="176"/>
      <c r="AJ321" s="176"/>
      <c r="AK321" s="176"/>
      <c r="AL321" s="176"/>
      <c r="AM321" s="176"/>
      <c r="AN321" s="176"/>
      <c r="AO321" s="176"/>
      <c r="AP321" s="176"/>
      <c r="AQ321" s="176"/>
      <c r="AR321" s="176"/>
      <c r="AS321" s="176"/>
      <c r="AT321" s="176"/>
      <c r="AU321" s="176"/>
      <c r="AV321" s="176"/>
      <c r="AW321" s="176"/>
      <c r="AX321" s="176"/>
      <c r="AY321" s="176"/>
      <c r="AZ321" s="176"/>
      <c r="BA321" s="176"/>
      <c r="BB321" s="176"/>
    </row>
    <row r="322" ht="15.75" customHeight="1">
      <c r="A322" s="176"/>
      <c r="B322" s="176"/>
      <c r="C322" s="176"/>
      <c r="D322" s="176"/>
      <c r="E322" s="176"/>
      <c r="F322" s="176"/>
      <c r="G322" s="176"/>
      <c r="H322" s="176"/>
      <c r="I322" s="176"/>
      <c r="J322" s="176"/>
      <c r="K322" s="176"/>
      <c r="L322" s="176"/>
      <c r="M322" s="176"/>
      <c r="N322" s="176"/>
      <c r="O322" s="176"/>
      <c r="P322" s="176"/>
      <c r="Q322" s="176"/>
      <c r="R322" s="176"/>
      <c r="S322" s="176"/>
      <c r="T322" s="176"/>
      <c r="U322" s="176"/>
      <c r="V322" s="176"/>
      <c r="W322" s="176"/>
      <c r="X322" s="176"/>
      <c r="Y322" s="176"/>
      <c r="Z322" s="176"/>
      <c r="AA322" s="176"/>
      <c r="AB322" s="176"/>
      <c r="AC322" s="176"/>
      <c r="AD322" s="176"/>
      <c r="AE322" s="176"/>
      <c r="AF322" s="176"/>
      <c r="AG322" s="176"/>
      <c r="AH322" s="176"/>
      <c r="AI322" s="176"/>
      <c r="AJ322" s="176"/>
      <c r="AK322" s="176"/>
      <c r="AL322" s="176"/>
      <c r="AM322" s="176"/>
      <c r="AN322" s="176"/>
      <c r="AO322" s="176"/>
      <c r="AP322" s="176"/>
      <c r="AQ322" s="176"/>
      <c r="AR322" s="176"/>
      <c r="AS322" s="176"/>
      <c r="AT322" s="176"/>
      <c r="AU322" s="176"/>
      <c r="AV322" s="176"/>
      <c r="AW322" s="176"/>
      <c r="AX322" s="176"/>
      <c r="AY322" s="176"/>
      <c r="AZ322" s="176"/>
      <c r="BA322" s="176"/>
      <c r="BB322" s="176"/>
    </row>
    <row r="323" ht="15.75" customHeight="1">
      <c r="A323" s="176"/>
      <c r="B323" s="176"/>
      <c r="C323" s="176"/>
      <c r="D323" s="176"/>
      <c r="E323" s="176"/>
      <c r="F323" s="176"/>
      <c r="G323" s="176"/>
      <c r="H323" s="176"/>
      <c r="I323" s="176"/>
      <c r="J323" s="176"/>
      <c r="K323" s="176"/>
      <c r="L323" s="176"/>
      <c r="M323" s="176"/>
      <c r="N323" s="176"/>
      <c r="O323" s="176"/>
      <c r="P323" s="176"/>
      <c r="Q323" s="176"/>
      <c r="R323" s="176"/>
      <c r="S323" s="176"/>
      <c r="T323" s="176"/>
      <c r="U323" s="176"/>
      <c r="V323" s="176"/>
      <c r="W323" s="176"/>
      <c r="X323" s="176"/>
      <c r="Y323" s="176"/>
      <c r="Z323" s="176"/>
      <c r="AA323" s="176"/>
      <c r="AB323" s="176"/>
      <c r="AC323" s="176"/>
      <c r="AD323" s="176"/>
      <c r="AE323" s="176"/>
      <c r="AF323" s="176"/>
      <c r="AG323" s="176"/>
      <c r="AH323" s="176"/>
      <c r="AI323" s="176"/>
      <c r="AJ323" s="176"/>
      <c r="AK323" s="176"/>
      <c r="AL323" s="176"/>
      <c r="AM323" s="176"/>
      <c r="AN323" s="176"/>
      <c r="AO323" s="176"/>
      <c r="AP323" s="176"/>
      <c r="AQ323" s="176"/>
      <c r="AR323" s="176"/>
      <c r="AS323" s="176"/>
      <c r="AT323" s="176"/>
      <c r="AU323" s="176"/>
      <c r="AV323" s="176"/>
      <c r="AW323" s="176"/>
      <c r="AX323" s="176"/>
      <c r="AY323" s="176"/>
      <c r="AZ323" s="176"/>
      <c r="BA323" s="176"/>
      <c r="BB323" s="176"/>
    </row>
    <row r="324" ht="15.75" customHeight="1">
      <c r="A324" s="176"/>
      <c r="B324" s="176"/>
      <c r="C324" s="176"/>
      <c r="D324" s="176"/>
      <c r="E324" s="176"/>
      <c r="F324" s="176"/>
      <c r="G324" s="176"/>
      <c r="H324" s="176"/>
      <c r="I324" s="176"/>
      <c r="J324" s="176"/>
      <c r="K324" s="176"/>
      <c r="L324" s="176"/>
      <c r="M324" s="176"/>
      <c r="N324" s="176"/>
      <c r="O324" s="176"/>
      <c r="P324" s="176"/>
      <c r="Q324" s="176"/>
      <c r="R324" s="176"/>
      <c r="S324" s="176"/>
      <c r="T324" s="176"/>
      <c r="U324" s="176"/>
      <c r="V324" s="176"/>
      <c r="W324" s="176"/>
      <c r="X324" s="176"/>
      <c r="Y324" s="176"/>
      <c r="Z324" s="176"/>
      <c r="AA324" s="176"/>
      <c r="AB324" s="176"/>
      <c r="AC324" s="176"/>
      <c r="AD324" s="176"/>
      <c r="AE324" s="176"/>
      <c r="AF324" s="176"/>
      <c r="AG324" s="176"/>
      <c r="AH324" s="176"/>
      <c r="AI324" s="176"/>
      <c r="AJ324" s="176"/>
      <c r="AK324" s="176"/>
      <c r="AL324" s="176"/>
      <c r="AM324" s="176"/>
      <c r="AN324" s="176"/>
      <c r="AO324" s="176"/>
      <c r="AP324" s="176"/>
      <c r="AQ324" s="176"/>
      <c r="AR324" s="176"/>
      <c r="AS324" s="176"/>
      <c r="AT324" s="176"/>
      <c r="AU324" s="176"/>
      <c r="AV324" s="176"/>
      <c r="AW324" s="176"/>
      <c r="AX324" s="176"/>
      <c r="AY324" s="176"/>
      <c r="AZ324" s="176"/>
      <c r="BA324" s="176"/>
      <c r="BB324" s="176"/>
    </row>
    <row r="325" ht="15.75" customHeight="1">
      <c r="A325" s="176"/>
      <c r="B325" s="176"/>
      <c r="C325" s="176"/>
      <c r="D325" s="176"/>
      <c r="E325" s="176"/>
      <c r="F325" s="176"/>
      <c r="G325" s="176"/>
      <c r="H325" s="176"/>
      <c r="I325" s="176"/>
      <c r="J325" s="176"/>
      <c r="K325" s="176"/>
      <c r="L325" s="176"/>
      <c r="M325" s="176"/>
      <c r="N325" s="176"/>
      <c r="O325" s="176"/>
      <c r="P325" s="176"/>
      <c r="Q325" s="176"/>
      <c r="R325" s="176"/>
      <c r="S325" s="176"/>
      <c r="T325" s="176"/>
      <c r="U325" s="176"/>
      <c r="V325" s="176"/>
      <c r="W325" s="176"/>
      <c r="X325" s="176"/>
      <c r="Y325" s="176"/>
      <c r="Z325" s="176"/>
      <c r="AA325" s="176"/>
      <c r="AB325" s="176"/>
      <c r="AC325" s="176"/>
      <c r="AD325" s="176"/>
      <c r="AE325" s="176"/>
      <c r="AF325" s="176"/>
      <c r="AG325" s="176"/>
      <c r="AH325" s="176"/>
      <c r="AI325" s="176"/>
      <c r="AJ325" s="176"/>
      <c r="AK325" s="176"/>
      <c r="AL325" s="176"/>
      <c r="AM325" s="176"/>
      <c r="AN325" s="176"/>
      <c r="AO325" s="176"/>
      <c r="AP325" s="176"/>
      <c r="AQ325" s="176"/>
      <c r="AR325" s="176"/>
      <c r="AS325" s="176"/>
      <c r="AT325" s="176"/>
      <c r="AU325" s="176"/>
      <c r="AV325" s="176"/>
      <c r="AW325" s="176"/>
      <c r="AX325" s="176"/>
      <c r="AY325" s="176"/>
      <c r="AZ325" s="176"/>
      <c r="BA325" s="176"/>
      <c r="BB325" s="176"/>
    </row>
    <row r="326" ht="15.75" customHeight="1">
      <c r="A326" s="176"/>
      <c r="B326" s="176"/>
      <c r="C326" s="176"/>
      <c r="D326" s="176"/>
      <c r="E326" s="176"/>
      <c r="F326" s="176"/>
      <c r="G326" s="176"/>
      <c r="H326" s="176"/>
      <c r="I326" s="176"/>
      <c r="J326" s="176"/>
      <c r="K326" s="176"/>
      <c r="L326" s="176"/>
      <c r="M326" s="176"/>
      <c r="N326" s="176"/>
      <c r="O326" s="176"/>
      <c r="P326" s="176"/>
      <c r="Q326" s="176"/>
      <c r="R326" s="176"/>
      <c r="S326" s="176"/>
      <c r="T326" s="176"/>
      <c r="U326" s="176"/>
      <c r="V326" s="176"/>
      <c r="W326" s="176"/>
      <c r="X326" s="176"/>
      <c r="Y326" s="176"/>
      <c r="Z326" s="176"/>
      <c r="AA326" s="176"/>
      <c r="AB326" s="176"/>
      <c r="AC326" s="176"/>
      <c r="AD326" s="176"/>
      <c r="AE326" s="176"/>
      <c r="AF326" s="176"/>
      <c r="AG326" s="176"/>
      <c r="AH326" s="176"/>
      <c r="AI326" s="176"/>
      <c r="AJ326" s="176"/>
      <c r="AK326" s="176"/>
      <c r="AL326" s="176"/>
      <c r="AM326" s="176"/>
      <c r="AN326" s="176"/>
      <c r="AO326" s="176"/>
      <c r="AP326" s="176"/>
      <c r="AQ326" s="176"/>
      <c r="AR326" s="176"/>
      <c r="AS326" s="176"/>
      <c r="AT326" s="176"/>
      <c r="AU326" s="176"/>
      <c r="AV326" s="176"/>
      <c r="AW326" s="176"/>
      <c r="AX326" s="176"/>
      <c r="AY326" s="176"/>
      <c r="AZ326" s="176"/>
      <c r="BA326" s="176"/>
      <c r="BB326" s="176"/>
    </row>
    <row r="327" ht="15.75" customHeight="1">
      <c r="A327" s="176"/>
      <c r="B327" s="176"/>
      <c r="C327" s="176"/>
      <c r="D327" s="176"/>
      <c r="E327" s="176"/>
      <c r="F327" s="176"/>
      <c r="G327" s="176"/>
      <c r="H327" s="176"/>
      <c r="I327" s="176"/>
      <c r="J327" s="176"/>
      <c r="K327" s="176"/>
      <c r="L327" s="176"/>
      <c r="M327" s="176"/>
      <c r="N327" s="176"/>
      <c r="O327" s="176"/>
      <c r="P327" s="176"/>
      <c r="Q327" s="176"/>
      <c r="R327" s="176"/>
      <c r="S327" s="176"/>
      <c r="T327" s="176"/>
      <c r="U327" s="176"/>
      <c r="V327" s="176"/>
      <c r="W327" s="176"/>
      <c r="X327" s="176"/>
      <c r="Y327" s="176"/>
      <c r="Z327" s="176"/>
      <c r="AA327" s="176"/>
      <c r="AB327" s="176"/>
      <c r="AC327" s="176"/>
      <c r="AD327" s="176"/>
      <c r="AE327" s="176"/>
      <c r="AF327" s="176"/>
      <c r="AG327" s="176"/>
      <c r="AH327" s="176"/>
      <c r="AI327" s="176"/>
      <c r="AJ327" s="176"/>
      <c r="AK327" s="176"/>
      <c r="AL327" s="176"/>
      <c r="AM327" s="176"/>
      <c r="AN327" s="176"/>
      <c r="AO327" s="176"/>
      <c r="AP327" s="176"/>
      <c r="AQ327" s="176"/>
      <c r="AR327" s="176"/>
      <c r="AS327" s="176"/>
      <c r="AT327" s="176"/>
      <c r="AU327" s="176"/>
      <c r="AV327" s="176"/>
      <c r="AW327" s="176"/>
      <c r="AX327" s="176"/>
      <c r="AY327" s="176"/>
      <c r="AZ327" s="176"/>
      <c r="BA327" s="176"/>
      <c r="BB327" s="176"/>
    </row>
    <row r="328" ht="15.75" customHeight="1">
      <c r="A328" s="176"/>
      <c r="B328" s="176"/>
      <c r="C328" s="176"/>
      <c r="D328" s="176"/>
      <c r="E328" s="176"/>
      <c r="F328" s="176"/>
      <c r="G328" s="176"/>
      <c r="H328" s="176"/>
      <c r="I328" s="176"/>
      <c r="J328" s="176"/>
      <c r="K328" s="176"/>
      <c r="L328" s="176"/>
      <c r="M328" s="176"/>
      <c r="N328" s="176"/>
      <c r="O328" s="176"/>
      <c r="P328" s="176"/>
      <c r="Q328" s="176"/>
      <c r="R328" s="176"/>
      <c r="S328" s="176"/>
      <c r="T328" s="176"/>
      <c r="U328" s="176"/>
      <c r="V328" s="176"/>
      <c r="W328" s="176"/>
      <c r="X328" s="176"/>
      <c r="Y328" s="176"/>
      <c r="Z328" s="176"/>
      <c r="AA328" s="176"/>
      <c r="AB328" s="176"/>
      <c r="AC328" s="176"/>
      <c r="AD328" s="176"/>
      <c r="AE328" s="176"/>
      <c r="AF328" s="176"/>
      <c r="AG328" s="176"/>
      <c r="AH328" s="176"/>
      <c r="AI328" s="176"/>
      <c r="AJ328" s="176"/>
      <c r="AK328" s="176"/>
      <c r="AL328" s="176"/>
      <c r="AM328" s="176"/>
      <c r="AN328" s="176"/>
      <c r="AO328" s="176"/>
      <c r="AP328" s="176"/>
      <c r="AQ328" s="176"/>
      <c r="AR328" s="176"/>
      <c r="AS328" s="176"/>
      <c r="AT328" s="176"/>
      <c r="AU328" s="176"/>
      <c r="AV328" s="176"/>
      <c r="AW328" s="176"/>
      <c r="AX328" s="176"/>
      <c r="AY328" s="176"/>
      <c r="AZ328" s="176"/>
      <c r="BA328" s="176"/>
      <c r="BB328" s="176"/>
    </row>
    <row r="329" ht="15.75" customHeight="1">
      <c r="A329" s="176"/>
      <c r="B329" s="176"/>
      <c r="C329" s="176"/>
      <c r="D329" s="176"/>
      <c r="E329" s="176"/>
      <c r="F329" s="176"/>
      <c r="G329" s="176"/>
      <c r="H329" s="176"/>
      <c r="I329" s="176"/>
      <c r="J329" s="176"/>
      <c r="K329" s="176"/>
      <c r="L329" s="176"/>
      <c r="M329" s="176"/>
      <c r="N329" s="176"/>
      <c r="O329" s="176"/>
      <c r="P329" s="176"/>
      <c r="Q329" s="176"/>
      <c r="R329" s="176"/>
      <c r="S329" s="176"/>
      <c r="T329" s="176"/>
      <c r="U329" s="176"/>
      <c r="V329" s="176"/>
      <c r="W329" s="176"/>
      <c r="X329" s="176"/>
      <c r="Y329" s="176"/>
      <c r="Z329" s="176"/>
      <c r="AA329" s="176"/>
      <c r="AB329" s="176"/>
      <c r="AC329" s="176"/>
      <c r="AD329" s="176"/>
      <c r="AE329" s="176"/>
      <c r="AF329" s="176"/>
      <c r="AG329" s="176"/>
      <c r="AH329" s="176"/>
      <c r="AI329" s="176"/>
      <c r="AJ329" s="176"/>
      <c r="AK329" s="176"/>
      <c r="AL329" s="176"/>
      <c r="AM329" s="176"/>
      <c r="AN329" s="176"/>
      <c r="AO329" s="176"/>
      <c r="AP329" s="176"/>
      <c r="AQ329" s="176"/>
      <c r="AR329" s="176"/>
      <c r="AS329" s="176"/>
      <c r="AT329" s="176"/>
      <c r="AU329" s="176"/>
      <c r="AV329" s="176"/>
      <c r="AW329" s="176"/>
      <c r="AX329" s="176"/>
      <c r="AY329" s="176"/>
      <c r="AZ329" s="176"/>
      <c r="BA329" s="176"/>
      <c r="BB329" s="176"/>
    </row>
    <row r="330" ht="15.75" customHeight="1">
      <c r="A330" s="176"/>
      <c r="B330" s="176"/>
      <c r="C330" s="176"/>
      <c r="D330" s="176"/>
      <c r="E330" s="176"/>
      <c r="F330" s="176"/>
      <c r="G330" s="176"/>
      <c r="H330" s="176"/>
      <c r="I330" s="176"/>
      <c r="J330" s="176"/>
      <c r="K330" s="176"/>
      <c r="L330" s="176"/>
      <c r="M330" s="176"/>
      <c r="N330" s="176"/>
      <c r="O330" s="176"/>
      <c r="P330" s="176"/>
      <c r="Q330" s="176"/>
      <c r="R330" s="176"/>
      <c r="S330" s="176"/>
      <c r="T330" s="176"/>
      <c r="U330" s="176"/>
      <c r="V330" s="176"/>
      <c r="W330" s="176"/>
      <c r="X330" s="176"/>
      <c r="Y330" s="176"/>
      <c r="Z330" s="176"/>
      <c r="AA330" s="176"/>
      <c r="AB330" s="176"/>
      <c r="AC330" s="176"/>
      <c r="AD330" s="176"/>
      <c r="AE330" s="176"/>
      <c r="AF330" s="176"/>
      <c r="AG330" s="176"/>
      <c r="AH330" s="176"/>
      <c r="AI330" s="176"/>
      <c r="AJ330" s="176"/>
      <c r="AK330" s="176"/>
      <c r="AL330" s="176"/>
      <c r="AM330" s="176"/>
      <c r="AN330" s="176"/>
      <c r="AO330" s="176"/>
      <c r="AP330" s="176"/>
      <c r="AQ330" s="176"/>
      <c r="AR330" s="176"/>
      <c r="AS330" s="176"/>
      <c r="AT330" s="176"/>
      <c r="AU330" s="176"/>
      <c r="AV330" s="176"/>
      <c r="AW330" s="176"/>
      <c r="AX330" s="176"/>
      <c r="AY330" s="176"/>
      <c r="AZ330" s="176"/>
      <c r="BA330" s="176"/>
      <c r="BB330" s="176"/>
    </row>
    <row r="331" ht="15.75" customHeight="1">
      <c r="A331" s="176"/>
      <c r="B331" s="176"/>
      <c r="C331" s="176"/>
      <c r="D331" s="176"/>
      <c r="E331" s="176"/>
      <c r="F331" s="176"/>
      <c r="G331" s="176"/>
      <c r="H331" s="176"/>
      <c r="I331" s="176"/>
      <c r="J331" s="176"/>
      <c r="K331" s="176"/>
      <c r="L331" s="176"/>
      <c r="M331" s="176"/>
      <c r="N331" s="176"/>
      <c r="O331" s="176"/>
      <c r="P331" s="176"/>
      <c r="Q331" s="176"/>
      <c r="R331" s="176"/>
      <c r="S331" s="176"/>
      <c r="T331" s="176"/>
      <c r="U331" s="176"/>
      <c r="V331" s="176"/>
      <c r="W331" s="176"/>
      <c r="X331" s="176"/>
      <c r="Y331" s="176"/>
      <c r="Z331" s="176"/>
      <c r="AA331" s="176"/>
      <c r="AB331" s="176"/>
      <c r="AC331" s="176"/>
      <c r="AD331" s="176"/>
      <c r="AE331" s="176"/>
      <c r="AF331" s="176"/>
      <c r="AG331" s="176"/>
      <c r="AH331" s="176"/>
      <c r="AI331" s="176"/>
      <c r="AJ331" s="176"/>
      <c r="AK331" s="176"/>
      <c r="AL331" s="176"/>
      <c r="AM331" s="176"/>
      <c r="AN331" s="176"/>
      <c r="AO331" s="176"/>
      <c r="AP331" s="176"/>
      <c r="AQ331" s="176"/>
      <c r="AR331" s="176"/>
      <c r="AS331" s="176"/>
      <c r="AT331" s="176"/>
      <c r="AU331" s="176"/>
      <c r="AV331" s="176"/>
      <c r="AW331" s="176"/>
      <c r="AX331" s="176"/>
      <c r="AY331" s="176"/>
      <c r="AZ331" s="176"/>
      <c r="BA331" s="176"/>
      <c r="BB331" s="176"/>
    </row>
    <row r="332" ht="15.75" customHeight="1">
      <c r="A332" s="176"/>
      <c r="B332" s="176"/>
      <c r="C332" s="176"/>
      <c r="D332" s="176"/>
      <c r="E332" s="176"/>
      <c r="F332" s="176"/>
      <c r="G332" s="176"/>
      <c r="H332" s="176"/>
      <c r="I332" s="176"/>
      <c r="J332" s="176"/>
      <c r="K332" s="176"/>
      <c r="L332" s="176"/>
      <c r="M332" s="176"/>
      <c r="N332" s="176"/>
      <c r="O332" s="176"/>
      <c r="P332" s="176"/>
      <c r="Q332" s="176"/>
      <c r="R332" s="176"/>
      <c r="S332" s="176"/>
      <c r="T332" s="176"/>
      <c r="U332" s="176"/>
      <c r="V332" s="176"/>
      <c r="W332" s="176"/>
      <c r="X332" s="176"/>
      <c r="Y332" s="176"/>
      <c r="Z332" s="176"/>
      <c r="AA332" s="176"/>
      <c r="AB332" s="176"/>
      <c r="AC332" s="176"/>
      <c r="AD332" s="176"/>
      <c r="AE332" s="176"/>
      <c r="AF332" s="176"/>
      <c r="AG332" s="176"/>
      <c r="AH332" s="176"/>
      <c r="AI332" s="176"/>
      <c r="AJ332" s="176"/>
      <c r="AK332" s="176"/>
      <c r="AL332" s="176"/>
      <c r="AM332" s="176"/>
      <c r="AN332" s="176"/>
      <c r="AO332" s="176"/>
      <c r="AP332" s="176"/>
      <c r="AQ332" s="176"/>
      <c r="AR332" s="176"/>
      <c r="AS332" s="176"/>
      <c r="AT332" s="176"/>
      <c r="AU332" s="176"/>
      <c r="AV332" s="176"/>
      <c r="AW332" s="176"/>
      <c r="AX332" s="176"/>
      <c r="AY332" s="176"/>
      <c r="AZ332" s="176"/>
      <c r="BA332" s="176"/>
      <c r="BB332" s="176"/>
    </row>
    <row r="333" ht="15.75" customHeight="1">
      <c r="A333" s="176"/>
      <c r="B333" s="176"/>
      <c r="C333" s="176"/>
      <c r="D333" s="176"/>
      <c r="E333" s="176"/>
      <c r="F333" s="176"/>
      <c r="G333" s="176"/>
      <c r="H333" s="176"/>
      <c r="I333" s="176"/>
      <c r="J333" s="176"/>
      <c r="K333" s="176"/>
      <c r="L333" s="176"/>
      <c r="M333" s="176"/>
      <c r="N333" s="176"/>
      <c r="O333" s="176"/>
      <c r="P333" s="176"/>
      <c r="Q333" s="176"/>
      <c r="R333" s="176"/>
      <c r="S333" s="176"/>
      <c r="T333" s="176"/>
      <c r="U333" s="176"/>
      <c r="V333" s="176"/>
      <c r="W333" s="176"/>
      <c r="X333" s="176"/>
      <c r="Y333" s="176"/>
      <c r="Z333" s="176"/>
      <c r="AA333" s="176"/>
      <c r="AB333" s="176"/>
      <c r="AC333" s="176"/>
      <c r="AD333" s="176"/>
      <c r="AE333" s="176"/>
      <c r="AF333" s="176"/>
      <c r="AG333" s="176"/>
      <c r="AH333" s="176"/>
      <c r="AI333" s="176"/>
      <c r="AJ333" s="176"/>
      <c r="AK333" s="176"/>
      <c r="AL333" s="176"/>
      <c r="AM333" s="176"/>
      <c r="AN333" s="176"/>
      <c r="AO333" s="176"/>
      <c r="AP333" s="176"/>
      <c r="AQ333" s="176"/>
      <c r="AR333" s="176"/>
      <c r="AS333" s="176"/>
      <c r="AT333" s="176"/>
      <c r="AU333" s="176"/>
      <c r="AV333" s="176"/>
      <c r="AW333" s="176"/>
      <c r="AX333" s="176"/>
      <c r="AY333" s="176"/>
      <c r="AZ333" s="176"/>
      <c r="BA333" s="176"/>
      <c r="BB333" s="176"/>
    </row>
    <row r="334" ht="15.75" customHeight="1">
      <c r="A334" s="176"/>
      <c r="B334" s="176"/>
      <c r="C334" s="176"/>
      <c r="D334" s="176"/>
      <c r="E334" s="176"/>
      <c r="F334" s="176"/>
      <c r="G334" s="176"/>
      <c r="H334" s="176"/>
      <c r="I334" s="176"/>
      <c r="J334" s="176"/>
      <c r="K334" s="176"/>
      <c r="L334" s="176"/>
      <c r="M334" s="176"/>
      <c r="N334" s="176"/>
      <c r="O334" s="176"/>
      <c r="P334" s="176"/>
      <c r="Q334" s="176"/>
      <c r="R334" s="176"/>
      <c r="S334" s="176"/>
      <c r="T334" s="176"/>
      <c r="U334" s="176"/>
      <c r="V334" s="176"/>
      <c r="W334" s="176"/>
      <c r="X334" s="176"/>
      <c r="Y334" s="176"/>
      <c r="Z334" s="176"/>
      <c r="AA334" s="176"/>
      <c r="AB334" s="176"/>
      <c r="AC334" s="176"/>
      <c r="AD334" s="176"/>
      <c r="AE334" s="176"/>
      <c r="AF334" s="176"/>
      <c r="AG334" s="176"/>
      <c r="AH334" s="176"/>
      <c r="AI334" s="176"/>
      <c r="AJ334" s="176"/>
      <c r="AK334" s="176"/>
      <c r="AL334" s="176"/>
      <c r="AM334" s="176"/>
      <c r="AN334" s="176"/>
      <c r="AO334" s="176"/>
      <c r="AP334" s="176"/>
      <c r="AQ334" s="176"/>
      <c r="AR334" s="176"/>
      <c r="AS334" s="176"/>
      <c r="AT334" s="176"/>
      <c r="AU334" s="176"/>
      <c r="AV334" s="176"/>
      <c r="AW334" s="176"/>
      <c r="AX334" s="176"/>
      <c r="AY334" s="176"/>
      <c r="AZ334" s="176"/>
      <c r="BA334" s="176"/>
      <c r="BB334" s="176"/>
    </row>
    <row r="335" ht="15.75" customHeight="1">
      <c r="A335" s="176"/>
      <c r="B335" s="176"/>
      <c r="C335" s="176"/>
      <c r="D335" s="176"/>
      <c r="E335" s="176"/>
      <c r="F335" s="176"/>
      <c r="G335" s="176"/>
      <c r="H335" s="176"/>
      <c r="I335" s="176"/>
      <c r="J335" s="176"/>
      <c r="K335" s="176"/>
      <c r="L335" s="176"/>
      <c r="M335" s="176"/>
      <c r="N335" s="176"/>
      <c r="O335" s="176"/>
      <c r="P335" s="176"/>
      <c r="Q335" s="176"/>
      <c r="R335" s="176"/>
      <c r="S335" s="176"/>
      <c r="T335" s="176"/>
      <c r="U335" s="176"/>
      <c r="V335" s="176"/>
      <c r="W335" s="176"/>
      <c r="X335" s="176"/>
      <c r="Y335" s="176"/>
      <c r="Z335" s="176"/>
      <c r="AA335" s="176"/>
      <c r="AB335" s="176"/>
      <c r="AC335" s="176"/>
      <c r="AD335" s="176"/>
      <c r="AE335" s="176"/>
      <c r="AF335" s="176"/>
      <c r="AG335" s="176"/>
      <c r="AH335" s="176"/>
      <c r="AI335" s="176"/>
      <c r="AJ335" s="176"/>
      <c r="AK335" s="176"/>
      <c r="AL335" s="176"/>
      <c r="AM335" s="176"/>
      <c r="AN335" s="176"/>
      <c r="AO335" s="176"/>
      <c r="AP335" s="176"/>
      <c r="AQ335" s="176"/>
      <c r="AR335" s="176"/>
      <c r="AS335" s="176"/>
      <c r="AT335" s="176"/>
      <c r="AU335" s="176"/>
      <c r="AV335" s="176"/>
      <c r="AW335" s="176"/>
      <c r="AX335" s="176"/>
      <c r="AY335" s="176"/>
      <c r="AZ335" s="176"/>
      <c r="BA335" s="176"/>
      <c r="BB335" s="176"/>
    </row>
    <row r="336" ht="15.75" customHeight="1">
      <c r="A336" s="176"/>
      <c r="B336" s="176"/>
      <c r="C336" s="176"/>
      <c r="D336" s="176"/>
      <c r="E336" s="176"/>
      <c r="F336" s="176"/>
      <c r="G336" s="176"/>
      <c r="H336" s="176"/>
      <c r="I336" s="176"/>
      <c r="J336" s="176"/>
      <c r="K336" s="176"/>
      <c r="L336" s="176"/>
      <c r="M336" s="176"/>
      <c r="N336" s="176"/>
      <c r="O336" s="176"/>
      <c r="P336" s="176"/>
      <c r="Q336" s="176"/>
      <c r="R336" s="176"/>
      <c r="S336" s="176"/>
      <c r="T336" s="176"/>
      <c r="U336" s="176"/>
      <c r="V336" s="176"/>
      <c r="W336" s="176"/>
      <c r="X336" s="176"/>
      <c r="Y336" s="176"/>
      <c r="Z336" s="176"/>
      <c r="AA336" s="176"/>
      <c r="AB336" s="176"/>
      <c r="AC336" s="176"/>
      <c r="AD336" s="176"/>
      <c r="AE336" s="176"/>
      <c r="AF336" s="176"/>
      <c r="AG336" s="176"/>
      <c r="AH336" s="176"/>
      <c r="AI336" s="176"/>
      <c r="AJ336" s="176"/>
      <c r="AK336" s="176"/>
      <c r="AL336" s="176"/>
      <c r="AM336" s="176"/>
      <c r="AN336" s="176"/>
      <c r="AO336" s="176"/>
      <c r="AP336" s="176"/>
      <c r="AQ336" s="176"/>
      <c r="AR336" s="176"/>
      <c r="AS336" s="176"/>
      <c r="AT336" s="176"/>
      <c r="AU336" s="176"/>
      <c r="AV336" s="176"/>
      <c r="AW336" s="176"/>
      <c r="AX336" s="176"/>
      <c r="AY336" s="176"/>
      <c r="AZ336" s="176"/>
      <c r="BA336" s="176"/>
      <c r="BB336" s="176"/>
    </row>
    <row r="337" ht="15.75" customHeight="1">
      <c r="A337" s="176"/>
      <c r="B337" s="176"/>
      <c r="C337" s="176"/>
      <c r="D337" s="176"/>
      <c r="E337" s="176"/>
      <c r="F337" s="176"/>
      <c r="G337" s="176"/>
      <c r="H337" s="176"/>
      <c r="I337" s="176"/>
      <c r="J337" s="176"/>
      <c r="K337" s="176"/>
      <c r="L337" s="176"/>
      <c r="M337" s="176"/>
      <c r="N337" s="176"/>
      <c r="O337" s="176"/>
      <c r="P337" s="176"/>
      <c r="Q337" s="176"/>
      <c r="R337" s="176"/>
      <c r="S337" s="176"/>
      <c r="T337" s="176"/>
      <c r="U337" s="176"/>
      <c r="V337" s="176"/>
      <c r="W337" s="176"/>
      <c r="X337" s="176"/>
      <c r="Y337" s="176"/>
      <c r="Z337" s="176"/>
      <c r="AA337" s="176"/>
      <c r="AB337" s="176"/>
      <c r="AC337" s="176"/>
      <c r="AD337" s="176"/>
      <c r="AE337" s="176"/>
      <c r="AF337" s="176"/>
      <c r="AG337" s="176"/>
      <c r="AH337" s="176"/>
      <c r="AI337" s="176"/>
      <c r="AJ337" s="176"/>
      <c r="AK337" s="176"/>
      <c r="AL337" s="176"/>
      <c r="AM337" s="176"/>
      <c r="AN337" s="176"/>
      <c r="AO337" s="176"/>
      <c r="AP337" s="176"/>
      <c r="AQ337" s="176"/>
      <c r="AR337" s="176"/>
      <c r="AS337" s="176"/>
      <c r="AT337" s="176"/>
      <c r="AU337" s="176"/>
      <c r="AV337" s="176"/>
      <c r="AW337" s="176"/>
      <c r="AX337" s="176"/>
      <c r="AY337" s="176"/>
      <c r="AZ337" s="176"/>
      <c r="BA337" s="176"/>
      <c r="BB337" s="176"/>
    </row>
    <row r="338" ht="15.75" customHeight="1">
      <c r="A338" s="176"/>
      <c r="B338" s="176"/>
      <c r="C338" s="176"/>
      <c r="D338" s="176"/>
      <c r="E338" s="176"/>
      <c r="F338" s="176"/>
      <c r="G338" s="176"/>
      <c r="H338" s="176"/>
      <c r="I338" s="176"/>
      <c r="J338" s="176"/>
      <c r="K338" s="176"/>
      <c r="L338" s="176"/>
      <c r="M338" s="176"/>
      <c r="N338" s="176"/>
      <c r="O338" s="176"/>
      <c r="P338" s="176"/>
      <c r="Q338" s="176"/>
      <c r="R338" s="176"/>
      <c r="S338" s="176"/>
      <c r="T338" s="176"/>
      <c r="U338" s="176"/>
      <c r="V338" s="176"/>
      <c r="W338" s="176"/>
      <c r="X338" s="176"/>
      <c r="Y338" s="176"/>
      <c r="Z338" s="176"/>
      <c r="AA338" s="176"/>
      <c r="AB338" s="176"/>
      <c r="AC338" s="176"/>
      <c r="AD338" s="176"/>
      <c r="AE338" s="176"/>
      <c r="AF338" s="176"/>
      <c r="AG338" s="176"/>
      <c r="AH338" s="176"/>
      <c r="AI338" s="176"/>
      <c r="AJ338" s="176"/>
      <c r="AK338" s="176"/>
      <c r="AL338" s="176"/>
      <c r="AM338" s="176"/>
      <c r="AN338" s="176"/>
      <c r="AO338" s="176"/>
      <c r="AP338" s="176"/>
      <c r="AQ338" s="176"/>
      <c r="AR338" s="176"/>
      <c r="AS338" s="176"/>
      <c r="AT338" s="176"/>
      <c r="AU338" s="176"/>
      <c r="AV338" s="176"/>
      <c r="AW338" s="176"/>
      <c r="AX338" s="176"/>
      <c r="AY338" s="176"/>
      <c r="AZ338" s="176"/>
      <c r="BA338" s="176"/>
      <c r="BB338" s="176"/>
    </row>
    <row r="339" ht="15.75" customHeight="1">
      <c r="A339" s="176"/>
      <c r="B339" s="176"/>
      <c r="C339" s="176"/>
      <c r="D339" s="176"/>
      <c r="E339" s="176"/>
      <c r="F339" s="176"/>
      <c r="G339" s="176"/>
      <c r="H339" s="176"/>
      <c r="I339" s="176"/>
      <c r="J339" s="176"/>
      <c r="K339" s="176"/>
      <c r="L339" s="176"/>
      <c r="M339" s="176"/>
      <c r="N339" s="176"/>
      <c r="O339" s="176"/>
      <c r="P339" s="176"/>
      <c r="Q339" s="176"/>
      <c r="R339" s="176"/>
      <c r="S339" s="176"/>
      <c r="T339" s="176"/>
      <c r="U339" s="176"/>
      <c r="V339" s="176"/>
      <c r="W339" s="176"/>
      <c r="X339" s="176"/>
      <c r="Y339" s="176"/>
      <c r="Z339" s="176"/>
      <c r="AA339" s="176"/>
      <c r="AB339" s="176"/>
      <c r="AC339" s="176"/>
      <c r="AD339" s="176"/>
      <c r="AE339" s="176"/>
      <c r="AF339" s="176"/>
      <c r="AG339" s="176"/>
      <c r="AH339" s="176"/>
      <c r="AI339" s="176"/>
      <c r="AJ339" s="176"/>
      <c r="AK339" s="176"/>
      <c r="AL339" s="176"/>
      <c r="AM339" s="176"/>
      <c r="AN339" s="176"/>
      <c r="AO339" s="176"/>
      <c r="AP339" s="176"/>
      <c r="AQ339" s="176"/>
      <c r="AR339" s="176"/>
      <c r="AS339" s="176"/>
      <c r="AT339" s="176"/>
      <c r="AU339" s="176"/>
      <c r="AV339" s="176"/>
      <c r="AW339" s="176"/>
      <c r="AX339" s="176"/>
      <c r="AY339" s="176"/>
      <c r="AZ339" s="176"/>
      <c r="BA339" s="176"/>
      <c r="BB339" s="176"/>
    </row>
    <row r="340" ht="15.75" customHeight="1">
      <c r="A340" s="176"/>
      <c r="B340" s="176"/>
      <c r="C340" s="176"/>
      <c r="D340" s="176"/>
      <c r="E340" s="176"/>
      <c r="F340" s="176"/>
      <c r="G340" s="176"/>
      <c r="H340" s="176"/>
      <c r="I340" s="176"/>
      <c r="J340" s="176"/>
      <c r="K340" s="176"/>
      <c r="L340" s="176"/>
      <c r="M340" s="176"/>
      <c r="N340" s="176"/>
      <c r="O340" s="176"/>
      <c r="P340" s="176"/>
      <c r="Q340" s="176"/>
      <c r="R340" s="176"/>
      <c r="S340" s="176"/>
      <c r="T340" s="176"/>
      <c r="U340" s="176"/>
      <c r="V340" s="176"/>
      <c r="W340" s="176"/>
      <c r="X340" s="176"/>
      <c r="Y340" s="176"/>
      <c r="Z340" s="176"/>
      <c r="AA340" s="176"/>
      <c r="AB340" s="176"/>
      <c r="AC340" s="176"/>
      <c r="AD340" s="176"/>
      <c r="AE340" s="176"/>
      <c r="AF340" s="176"/>
      <c r="AG340" s="176"/>
      <c r="AH340" s="176"/>
      <c r="AI340" s="176"/>
      <c r="AJ340" s="176"/>
      <c r="AK340" s="176"/>
      <c r="AL340" s="176"/>
      <c r="AM340" s="176"/>
      <c r="AN340" s="176"/>
      <c r="AO340" s="176"/>
      <c r="AP340" s="176"/>
      <c r="AQ340" s="176"/>
      <c r="AR340" s="176"/>
      <c r="AS340" s="176"/>
      <c r="AT340" s="176"/>
      <c r="AU340" s="176"/>
      <c r="AV340" s="176"/>
      <c r="AW340" s="176"/>
      <c r="AX340" s="176"/>
      <c r="AY340" s="176"/>
      <c r="AZ340" s="176"/>
      <c r="BA340" s="176"/>
      <c r="BB340" s="176"/>
    </row>
    <row r="341" ht="15.75" customHeight="1">
      <c r="A341" s="176"/>
      <c r="B341" s="176"/>
      <c r="C341" s="176"/>
      <c r="D341" s="176"/>
      <c r="E341" s="176"/>
      <c r="F341" s="176"/>
      <c r="G341" s="176"/>
      <c r="H341" s="176"/>
      <c r="I341" s="176"/>
      <c r="J341" s="176"/>
      <c r="K341" s="176"/>
      <c r="L341" s="176"/>
      <c r="M341" s="176"/>
      <c r="N341" s="176"/>
      <c r="O341" s="176"/>
      <c r="P341" s="176"/>
      <c r="Q341" s="176"/>
      <c r="R341" s="176"/>
      <c r="S341" s="176"/>
      <c r="T341" s="176"/>
      <c r="U341" s="176"/>
      <c r="V341" s="176"/>
      <c r="W341" s="176"/>
      <c r="X341" s="176"/>
      <c r="Y341" s="176"/>
      <c r="Z341" s="176"/>
      <c r="AA341" s="176"/>
      <c r="AB341" s="176"/>
      <c r="AC341" s="176"/>
      <c r="AD341" s="176"/>
      <c r="AE341" s="176"/>
      <c r="AF341" s="176"/>
      <c r="AG341" s="176"/>
      <c r="AH341" s="176"/>
      <c r="AI341" s="176"/>
      <c r="AJ341" s="176"/>
      <c r="AK341" s="176"/>
      <c r="AL341" s="176"/>
      <c r="AM341" s="176"/>
      <c r="AN341" s="176"/>
      <c r="AO341" s="176"/>
      <c r="AP341" s="176"/>
      <c r="AQ341" s="176"/>
      <c r="AR341" s="176"/>
      <c r="AS341" s="176"/>
      <c r="AT341" s="176"/>
      <c r="AU341" s="176"/>
      <c r="AV341" s="176"/>
      <c r="AW341" s="176"/>
      <c r="AX341" s="176"/>
      <c r="AY341" s="176"/>
      <c r="AZ341" s="176"/>
      <c r="BA341" s="176"/>
      <c r="BB341" s="176"/>
    </row>
    <row r="342" ht="15.75" customHeight="1">
      <c r="A342" s="176"/>
      <c r="B342" s="176"/>
      <c r="C342" s="176"/>
      <c r="D342" s="176"/>
      <c r="E342" s="176"/>
      <c r="F342" s="176"/>
      <c r="G342" s="176"/>
      <c r="H342" s="176"/>
      <c r="I342" s="176"/>
      <c r="J342" s="176"/>
      <c r="K342" s="176"/>
      <c r="L342" s="176"/>
      <c r="M342" s="176"/>
      <c r="N342" s="176"/>
      <c r="O342" s="176"/>
      <c r="P342" s="176"/>
      <c r="Q342" s="176"/>
      <c r="R342" s="176"/>
      <c r="S342" s="176"/>
      <c r="T342" s="176"/>
      <c r="U342" s="176"/>
      <c r="V342" s="176"/>
      <c r="W342" s="176"/>
      <c r="X342" s="176"/>
      <c r="Y342" s="176"/>
      <c r="Z342" s="176"/>
      <c r="AA342" s="176"/>
      <c r="AB342" s="176"/>
      <c r="AC342" s="176"/>
      <c r="AD342" s="176"/>
      <c r="AE342" s="176"/>
      <c r="AF342" s="176"/>
      <c r="AG342" s="176"/>
      <c r="AH342" s="176"/>
      <c r="AI342" s="176"/>
      <c r="AJ342" s="176"/>
      <c r="AK342" s="176"/>
      <c r="AL342" s="176"/>
      <c r="AM342" s="176"/>
      <c r="AN342" s="176"/>
      <c r="AO342" s="176"/>
      <c r="AP342" s="176"/>
      <c r="AQ342" s="176"/>
      <c r="AR342" s="176"/>
      <c r="AS342" s="176"/>
      <c r="AT342" s="176"/>
      <c r="AU342" s="176"/>
      <c r="AV342" s="176"/>
      <c r="AW342" s="176"/>
      <c r="AX342" s="176"/>
      <c r="AY342" s="176"/>
      <c r="AZ342" s="176"/>
      <c r="BA342" s="176"/>
      <c r="BB342" s="176"/>
    </row>
    <row r="343" ht="15.75" customHeight="1">
      <c r="A343" s="176"/>
      <c r="B343" s="176"/>
      <c r="C343" s="176"/>
      <c r="D343" s="176"/>
      <c r="E343" s="176"/>
      <c r="F343" s="176"/>
      <c r="G343" s="176"/>
      <c r="H343" s="176"/>
      <c r="I343" s="176"/>
      <c r="J343" s="176"/>
      <c r="K343" s="176"/>
      <c r="L343" s="176"/>
      <c r="M343" s="176"/>
      <c r="N343" s="176"/>
      <c r="O343" s="176"/>
      <c r="P343" s="176"/>
      <c r="Q343" s="176"/>
      <c r="R343" s="176"/>
      <c r="S343" s="176"/>
      <c r="T343" s="176"/>
      <c r="U343" s="176"/>
      <c r="V343" s="176"/>
      <c r="W343" s="176"/>
      <c r="X343" s="176"/>
      <c r="Y343" s="176"/>
      <c r="Z343" s="176"/>
      <c r="AA343" s="176"/>
      <c r="AB343" s="176"/>
      <c r="AC343" s="176"/>
      <c r="AD343" s="176"/>
      <c r="AE343" s="176"/>
      <c r="AF343" s="176"/>
      <c r="AG343" s="176"/>
      <c r="AH343" s="176"/>
      <c r="AI343" s="176"/>
      <c r="AJ343" s="176"/>
      <c r="AK343" s="176"/>
      <c r="AL343" s="176"/>
      <c r="AM343" s="176"/>
      <c r="AN343" s="176"/>
      <c r="AO343" s="176"/>
      <c r="AP343" s="176"/>
      <c r="AQ343" s="176"/>
      <c r="AR343" s="176"/>
      <c r="AS343" s="176"/>
      <c r="AT343" s="176"/>
      <c r="AU343" s="176"/>
      <c r="AV343" s="176"/>
      <c r="AW343" s="176"/>
      <c r="AX343" s="176"/>
      <c r="AY343" s="176"/>
      <c r="AZ343" s="176"/>
      <c r="BA343" s="176"/>
      <c r="BB343" s="176"/>
    </row>
    <row r="344" ht="15.75" customHeight="1">
      <c r="A344" s="176"/>
      <c r="B344" s="176"/>
      <c r="C344" s="176"/>
      <c r="D344" s="176"/>
      <c r="E344" s="176"/>
      <c r="F344" s="176"/>
      <c r="G344" s="176"/>
      <c r="H344" s="176"/>
      <c r="I344" s="176"/>
      <c r="J344" s="176"/>
      <c r="K344" s="176"/>
      <c r="L344" s="176"/>
      <c r="M344" s="176"/>
      <c r="N344" s="176"/>
      <c r="O344" s="176"/>
      <c r="P344" s="176"/>
      <c r="Q344" s="176"/>
      <c r="R344" s="176"/>
      <c r="S344" s="176"/>
      <c r="T344" s="176"/>
      <c r="U344" s="176"/>
      <c r="V344" s="176"/>
      <c r="W344" s="176"/>
      <c r="X344" s="176"/>
      <c r="Y344" s="176"/>
      <c r="Z344" s="176"/>
      <c r="AA344" s="176"/>
      <c r="AB344" s="176"/>
      <c r="AC344" s="176"/>
      <c r="AD344" s="176"/>
      <c r="AE344" s="176"/>
      <c r="AF344" s="176"/>
      <c r="AG344" s="176"/>
      <c r="AH344" s="176"/>
      <c r="AI344" s="176"/>
      <c r="AJ344" s="176"/>
      <c r="AK344" s="176"/>
      <c r="AL344" s="176"/>
      <c r="AM344" s="176"/>
      <c r="AN344" s="176"/>
      <c r="AO344" s="176"/>
      <c r="AP344" s="176"/>
      <c r="AQ344" s="176"/>
      <c r="AR344" s="176"/>
      <c r="AS344" s="176"/>
      <c r="AT344" s="176"/>
      <c r="AU344" s="176"/>
      <c r="AV344" s="176"/>
      <c r="AW344" s="176"/>
      <c r="AX344" s="176"/>
      <c r="AY344" s="176"/>
      <c r="AZ344" s="176"/>
      <c r="BA344" s="176"/>
      <c r="BB344" s="176"/>
    </row>
    <row r="345" ht="15.75" customHeight="1">
      <c r="A345" s="176"/>
      <c r="B345" s="176"/>
      <c r="C345" s="176"/>
      <c r="D345" s="176"/>
      <c r="E345" s="176"/>
      <c r="F345" s="176"/>
      <c r="G345" s="176"/>
      <c r="H345" s="176"/>
      <c r="I345" s="176"/>
      <c r="J345" s="176"/>
      <c r="K345" s="176"/>
      <c r="L345" s="176"/>
      <c r="M345" s="176"/>
      <c r="N345" s="176"/>
      <c r="O345" s="176"/>
      <c r="P345" s="176"/>
      <c r="Q345" s="176"/>
      <c r="R345" s="176"/>
      <c r="S345" s="176"/>
      <c r="T345" s="176"/>
      <c r="U345" s="176"/>
      <c r="V345" s="176"/>
      <c r="W345" s="176"/>
      <c r="X345" s="176"/>
      <c r="Y345" s="176"/>
      <c r="Z345" s="176"/>
      <c r="AA345" s="176"/>
      <c r="AB345" s="176"/>
      <c r="AC345" s="176"/>
      <c r="AD345" s="176"/>
      <c r="AE345" s="176"/>
      <c r="AF345" s="176"/>
      <c r="AG345" s="176"/>
      <c r="AH345" s="176"/>
      <c r="AI345" s="176"/>
      <c r="AJ345" s="176"/>
      <c r="AK345" s="176"/>
      <c r="AL345" s="176"/>
      <c r="AM345" s="176"/>
      <c r="AN345" s="176"/>
      <c r="AO345" s="176"/>
      <c r="AP345" s="176"/>
      <c r="AQ345" s="176"/>
      <c r="AR345" s="176"/>
      <c r="AS345" s="176"/>
      <c r="AT345" s="176"/>
      <c r="AU345" s="176"/>
      <c r="AV345" s="176"/>
      <c r="AW345" s="176"/>
      <c r="AX345" s="176"/>
      <c r="AY345" s="176"/>
      <c r="AZ345" s="176"/>
      <c r="BA345" s="176"/>
      <c r="BB345" s="176"/>
    </row>
    <row r="346" ht="15.75" customHeight="1">
      <c r="A346" s="176"/>
      <c r="B346" s="176"/>
      <c r="C346" s="176"/>
      <c r="D346" s="176"/>
      <c r="E346" s="176"/>
      <c r="F346" s="176"/>
      <c r="G346" s="176"/>
      <c r="H346" s="176"/>
      <c r="I346" s="176"/>
      <c r="J346" s="176"/>
      <c r="K346" s="176"/>
      <c r="L346" s="176"/>
      <c r="M346" s="176"/>
      <c r="N346" s="176"/>
      <c r="O346" s="176"/>
      <c r="P346" s="176"/>
      <c r="Q346" s="176"/>
      <c r="R346" s="176"/>
      <c r="S346" s="176"/>
      <c r="T346" s="176"/>
      <c r="U346" s="176"/>
      <c r="V346" s="176"/>
      <c r="W346" s="176"/>
      <c r="X346" s="176"/>
      <c r="Y346" s="176"/>
      <c r="Z346" s="176"/>
      <c r="AA346" s="176"/>
      <c r="AB346" s="176"/>
      <c r="AC346" s="176"/>
      <c r="AD346" s="176"/>
      <c r="AE346" s="176"/>
      <c r="AF346" s="176"/>
      <c r="AG346" s="176"/>
      <c r="AH346" s="176"/>
      <c r="AI346" s="176"/>
      <c r="AJ346" s="176"/>
      <c r="AK346" s="176"/>
      <c r="AL346" s="176"/>
      <c r="AM346" s="176"/>
      <c r="AN346" s="176"/>
      <c r="AO346" s="176"/>
      <c r="AP346" s="176"/>
      <c r="AQ346" s="176"/>
      <c r="AR346" s="176"/>
      <c r="AS346" s="176"/>
      <c r="AT346" s="176"/>
      <c r="AU346" s="176"/>
      <c r="AV346" s="176"/>
      <c r="AW346" s="176"/>
      <c r="AX346" s="176"/>
      <c r="AY346" s="176"/>
      <c r="AZ346" s="176"/>
      <c r="BA346" s="176"/>
      <c r="BB346" s="176"/>
    </row>
    <row r="347" ht="15.75" customHeight="1">
      <c r="A347" s="176"/>
      <c r="B347" s="176"/>
      <c r="C347" s="176"/>
      <c r="D347" s="176"/>
      <c r="E347" s="176"/>
      <c r="F347" s="176"/>
      <c r="G347" s="176"/>
      <c r="H347" s="176"/>
      <c r="I347" s="176"/>
      <c r="J347" s="176"/>
      <c r="K347" s="176"/>
      <c r="L347" s="176"/>
      <c r="M347" s="176"/>
      <c r="N347" s="176"/>
      <c r="O347" s="176"/>
      <c r="P347" s="176"/>
      <c r="Q347" s="176"/>
      <c r="R347" s="176"/>
      <c r="S347" s="176"/>
      <c r="T347" s="176"/>
      <c r="U347" s="176"/>
      <c r="V347" s="176"/>
      <c r="W347" s="176"/>
      <c r="X347" s="176"/>
      <c r="Y347" s="176"/>
      <c r="Z347" s="176"/>
      <c r="AA347" s="176"/>
      <c r="AB347" s="176"/>
      <c r="AC347" s="176"/>
      <c r="AD347" s="176"/>
      <c r="AE347" s="176"/>
      <c r="AF347" s="176"/>
      <c r="AG347" s="176"/>
      <c r="AH347" s="176"/>
      <c r="AI347" s="176"/>
      <c r="AJ347" s="176"/>
      <c r="AK347" s="176"/>
      <c r="AL347" s="176"/>
      <c r="AM347" s="176"/>
      <c r="AN347" s="176"/>
      <c r="AO347" s="176"/>
      <c r="AP347" s="176"/>
      <c r="AQ347" s="176"/>
      <c r="AR347" s="176"/>
      <c r="AS347" s="176"/>
      <c r="AT347" s="176"/>
      <c r="AU347" s="176"/>
      <c r="AV347" s="176"/>
      <c r="AW347" s="176"/>
      <c r="AX347" s="176"/>
      <c r="AY347" s="176"/>
      <c r="AZ347" s="176"/>
      <c r="BA347" s="176"/>
      <c r="BB347" s="176"/>
    </row>
    <row r="348" ht="15.75" customHeight="1">
      <c r="A348" s="176"/>
      <c r="B348" s="176"/>
      <c r="C348" s="176"/>
      <c r="D348" s="176"/>
      <c r="E348" s="176"/>
      <c r="F348" s="176"/>
      <c r="G348" s="176"/>
      <c r="H348" s="176"/>
      <c r="I348" s="176"/>
      <c r="J348" s="176"/>
      <c r="K348" s="176"/>
      <c r="L348" s="176"/>
      <c r="M348" s="176"/>
      <c r="N348" s="176"/>
      <c r="O348" s="176"/>
      <c r="P348" s="176"/>
      <c r="Q348" s="176"/>
      <c r="R348" s="176"/>
      <c r="S348" s="176"/>
      <c r="T348" s="176"/>
      <c r="U348" s="176"/>
      <c r="V348" s="176"/>
      <c r="W348" s="176"/>
      <c r="X348" s="176"/>
      <c r="Y348" s="176"/>
      <c r="Z348" s="176"/>
      <c r="AA348" s="176"/>
      <c r="AB348" s="176"/>
      <c r="AC348" s="176"/>
      <c r="AD348" s="176"/>
      <c r="AE348" s="176"/>
      <c r="AF348" s="176"/>
      <c r="AG348" s="176"/>
      <c r="AH348" s="176"/>
      <c r="AI348" s="176"/>
      <c r="AJ348" s="176"/>
      <c r="AK348" s="176"/>
      <c r="AL348" s="176"/>
      <c r="AM348" s="176"/>
      <c r="AN348" s="176"/>
      <c r="AO348" s="176"/>
      <c r="AP348" s="176"/>
      <c r="AQ348" s="176"/>
      <c r="AR348" s="176"/>
      <c r="AS348" s="176"/>
      <c r="AT348" s="176"/>
      <c r="AU348" s="176"/>
      <c r="AV348" s="176"/>
      <c r="AW348" s="176"/>
      <c r="AX348" s="176"/>
      <c r="AY348" s="176"/>
      <c r="AZ348" s="176"/>
      <c r="BA348" s="176"/>
      <c r="BB348" s="176"/>
    </row>
    <row r="349" ht="15.75" customHeight="1">
      <c r="A349" s="176"/>
      <c r="B349" s="176"/>
      <c r="C349" s="176"/>
      <c r="D349" s="176"/>
      <c r="E349" s="176"/>
      <c r="F349" s="176"/>
      <c r="G349" s="176"/>
      <c r="H349" s="176"/>
      <c r="I349" s="176"/>
      <c r="J349" s="176"/>
      <c r="K349" s="176"/>
      <c r="L349" s="176"/>
      <c r="M349" s="176"/>
      <c r="N349" s="176"/>
      <c r="O349" s="176"/>
      <c r="P349" s="176"/>
      <c r="Q349" s="176"/>
      <c r="R349" s="176"/>
      <c r="S349" s="176"/>
      <c r="T349" s="176"/>
      <c r="U349" s="176"/>
      <c r="V349" s="176"/>
      <c r="W349" s="176"/>
      <c r="X349" s="176"/>
      <c r="Y349" s="176"/>
      <c r="Z349" s="176"/>
      <c r="AA349" s="176"/>
      <c r="AB349" s="176"/>
      <c r="AC349" s="176"/>
      <c r="AD349" s="176"/>
      <c r="AE349" s="176"/>
      <c r="AF349" s="176"/>
      <c r="AG349" s="176"/>
      <c r="AH349" s="176"/>
      <c r="AI349" s="176"/>
      <c r="AJ349" s="176"/>
      <c r="AK349" s="176"/>
      <c r="AL349" s="176"/>
      <c r="AM349" s="176"/>
      <c r="AN349" s="176"/>
      <c r="AO349" s="176"/>
      <c r="AP349" s="176"/>
      <c r="AQ349" s="176"/>
      <c r="AR349" s="176"/>
      <c r="AS349" s="176"/>
      <c r="AT349" s="176"/>
      <c r="AU349" s="176"/>
      <c r="AV349" s="176"/>
      <c r="AW349" s="176"/>
      <c r="AX349" s="176"/>
      <c r="AY349" s="176"/>
      <c r="AZ349" s="176"/>
      <c r="BA349" s="176"/>
      <c r="BB349" s="176"/>
    </row>
    <row r="350" ht="15.75" customHeight="1">
      <c r="A350" s="176"/>
      <c r="B350" s="176"/>
      <c r="C350" s="176"/>
      <c r="D350" s="176"/>
      <c r="E350" s="176"/>
      <c r="F350" s="176"/>
      <c r="G350" s="176"/>
      <c r="H350" s="176"/>
      <c r="I350" s="176"/>
      <c r="J350" s="176"/>
      <c r="K350" s="176"/>
      <c r="L350" s="176"/>
      <c r="M350" s="176"/>
      <c r="N350" s="176"/>
      <c r="O350" s="176"/>
      <c r="P350" s="176"/>
      <c r="Q350" s="176"/>
      <c r="R350" s="176"/>
      <c r="S350" s="176"/>
      <c r="T350" s="176"/>
      <c r="U350" s="176"/>
      <c r="V350" s="176"/>
      <c r="W350" s="176"/>
      <c r="X350" s="176"/>
      <c r="Y350" s="176"/>
      <c r="Z350" s="176"/>
      <c r="AA350" s="176"/>
      <c r="AB350" s="176"/>
      <c r="AC350" s="176"/>
      <c r="AD350" s="176"/>
      <c r="AE350" s="176"/>
      <c r="AF350" s="176"/>
      <c r="AG350" s="176"/>
      <c r="AH350" s="176"/>
      <c r="AI350" s="176"/>
      <c r="AJ350" s="176"/>
      <c r="AK350" s="176"/>
      <c r="AL350" s="176"/>
      <c r="AM350" s="176"/>
      <c r="AN350" s="176"/>
      <c r="AO350" s="176"/>
      <c r="AP350" s="176"/>
      <c r="AQ350" s="176"/>
      <c r="AR350" s="176"/>
      <c r="AS350" s="176"/>
      <c r="AT350" s="176"/>
      <c r="AU350" s="176"/>
      <c r="AV350" s="176"/>
      <c r="AW350" s="176"/>
      <c r="AX350" s="176"/>
      <c r="AY350" s="176"/>
      <c r="AZ350" s="176"/>
      <c r="BA350" s="176"/>
      <c r="BB350" s="176"/>
    </row>
    <row r="351" ht="15.75" customHeight="1">
      <c r="A351" s="176"/>
      <c r="B351" s="176"/>
      <c r="C351" s="176"/>
      <c r="D351" s="176"/>
      <c r="E351" s="176"/>
      <c r="F351" s="176"/>
      <c r="G351" s="176"/>
      <c r="H351" s="176"/>
      <c r="I351" s="176"/>
      <c r="J351" s="176"/>
      <c r="K351" s="176"/>
      <c r="L351" s="176"/>
      <c r="M351" s="176"/>
      <c r="N351" s="176"/>
      <c r="O351" s="176"/>
      <c r="P351" s="176"/>
      <c r="Q351" s="176"/>
      <c r="R351" s="176"/>
      <c r="S351" s="176"/>
      <c r="T351" s="176"/>
      <c r="U351" s="176"/>
      <c r="V351" s="176"/>
      <c r="W351" s="176"/>
      <c r="X351" s="176"/>
      <c r="Y351" s="176"/>
      <c r="Z351" s="176"/>
      <c r="AA351" s="176"/>
      <c r="AB351" s="176"/>
      <c r="AC351" s="176"/>
      <c r="AD351" s="176"/>
      <c r="AE351" s="176"/>
      <c r="AF351" s="176"/>
      <c r="AG351" s="176"/>
      <c r="AH351" s="176"/>
      <c r="AI351" s="176"/>
      <c r="AJ351" s="176"/>
      <c r="AK351" s="176"/>
      <c r="AL351" s="176"/>
      <c r="AM351" s="176"/>
      <c r="AN351" s="176"/>
      <c r="AO351" s="176"/>
      <c r="AP351" s="176"/>
      <c r="AQ351" s="176"/>
      <c r="AR351" s="176"/>
      <c r="AS351" s="176"/>
      <c r="AT351" s="176"/>
      <c r="AU351" s="176"/>
      <c r="AV351" s="176"/>
      <c r="AW351" s="176"/>
      <c r="AX351" s="176"/>
      <c r="AY351" s="176"/>
      <c r="AZ351" s="176"/>
      <c r="BA351" s="176"/>
      <c r="BB351" s="176"/>
    </row>
    <row r="352" ht="15.75" customHeight="1">
      <c r="A352" s="176"/>
      <c r="B352" s="176"/>
      <c r="C352" s="176"/>
      <c r="D352" s="176"/>
      <c r="E352" s="176"/>
      <c r="F352" s="176"/>
      <c r="G352" s="176"/>
      <c r="H352" s="176"/>
      <c r="I352" s="176"/>
      <c r="J352" s="176"/>
      <c r="K352" s="176"/>
      <c r="L352" s="176"/>
      <c r="M352" s="176"/>
      <c r="N352" s="176"/>
      <c r="O352" s="176"/>
      <c r="P352" s="176"/>
      <c r="Q352" s="176"/>
      <c r="R352" s="176"/>
      <c r="S352" s="176"/>
      <c r="T352" s="176"/>
      <c r="U352" s="176"/>
      <c r="V352" s="176"/>
      <c r="W352" s="176"/>
      <c r="X352" s="176"/>
      <c r="Y352" s="176"/>
      <c r="Z352" s="176"/>
      <c r="AA352" s="176"/>
      <c r="AB352" s="176"/>
      <c r="AC352" s="176"/>
      <c r="AD352" s="176"/>
      <c r="AE352" s="176"/>
      <c r="AF352" s="176"/>
      <c r="AG352" s="176"/>
      <c r="AH352" s="176"/>
      <c r="AI352" s="176"/>
      <c r="AJ352" s="176"/>
      <c r="AK352" s="176"/>
      <c r="AL352" s="176"/>
      <c r="AM352" s="176"/>
      <c r="AN352" s="176"/>
      <c r="AO352" s="176"/>
      <c r="AP352" s="176"/>
      <c r="AQ352" s="176"/>
      <c r="AR352" s="176"/>
      <c r="AS352" s="176"/>
      <c r="AT352" s="176"/>
      <c r="AU352" s="176"/>
      <c r="AV352" s="176"/>
      <c r="AW352" s="176"/>
      <c r="AX352" s="176"/>
      <c r="AY352" s="176"/>
      <c r="AZ352" s="176"/>
      <c r="BA352" s="176"/>
      <c r="BB352" s="176"/>
    </row>
    <row r="353" ht="15.75" customHeight="1">
      <c r="A353" s="176"/>
      <c r="B353" s="176"/>
      <c r="C353" s="176"/>
      <c r="D353" s="176"/>
      <c r="E353" s="176"/>
      <c r="F353" s="176"/>
      <c r="G353" s="176"/>
      <c r="H353" s="176"/>
      <c r="I353" s="176"/>
      <c r="J353" s="176"/>
      <c r="K353" s="176"/>
      <c r="L353" s="176"/>
      <c r="M353" s="176"/>
      <c r="N353" s="176"/>
      <c r="O353" s="176"/>
      <c r="P353" s="176"/>
      <c r="Q353" s="176"/>
      <c r="R353" s="176"/>
      <c r="S353" s="176"/>
      <c r="T353" s="176"/>
      <c r="U353" s="176"/>
      <c r="V353" s="176"/>
      <c r="W353" s="176"/>
      <c r="X353" s="176"/>
      <c r="Y353" s="176"/>
      <c r="Z353" s="176"/>
      <c r="AA353" s="176"/>
      <c r="AB353" s="176"/>
      <c r="AC353" s="176"/>
      <c r="AD353" s="176"/>
      <c r="AE353" s="176"/>
      <c r="AF353" s="176"/>
      <c r="AG353" s="176"/>
      <c r="AH353" s="176"/>
      <c r="AI353" s="176"/>
      <c r="AJ353" s="176"/>
      <c r="AK353" s="176"/>
      <c r="AL353" s="176"/>
      <c r="AM353" s="176"/>
      <c r="AN353" s="176"/>
      <c r="AO353" s="176"/>
      <c r="AP353" s="176"/>
      <c r="AQ353" s="176"/>
      <c r="AR353" s="176"/>
      <c r="AS353" s="176"/>
      <c r="AT353" s="176"/>
      <c r="AU353" s="176"/>
      <c r="AV353" s="176"/>
      <c r="AW353" s="176"/>
      <c r="AX353" s="176"/>
      <c r="AY353" s="176"/>
      <c r="AZ353" s="176"/>
      <c r="BA353" s="176"/>
      <c r="BB353" s="176"/>
    </row>
    <row r="354" ht="15.75" customHeight="1">
      <c r="A354" s="176"/>
      <c r="B354" s="176"/>
      <c r="C354" s="176"/>
      <c r="D354" s="176"/>
      <c r="E354" s="176"/>
      <c r="F354" s="176"/>
      <c r="G354" s="176"/>
      <c r="H354" s="176"/>
      <c r="I354" s="176"/>
      <c r="J354" s="176"/>
      <c r="K354" s="176"/>
      <c r="L354" s="176"/>
      <c r="M354" s="176"/>
      <c r="N354" s="176"/>
      <c r="O354" s="176"/>
      <c r="P354" s="176"/>
      <c r="Q354" s="176"/>
      <c r="R354" s="176"/>
      <c r="S354" s="176"/>
      <c r="T354" s="176"/>
      <c r="U354" s="176"/>
      <c r="V354" s="176"/>
      <c r="W354" s="176"/>
      <c r="X354" s="176"/>
      <c r="Y354" s="176"/>
      <c r="Z354" s="176"/>
      <c r="AA354" s="176"/>
      <c r="AB354" s="176"/>
      <c r="AC354" s="176"/>
      <c r="AD354" s="176"/>
      <c r="AE354" s="176"/>
      <c r="AF354" s="176"/>
      <c r="AG354" s="176"/>
      <c r="AH354" s="176"/>
      <c r="AI354" s="176"/>
      <c r="AJ354" s="176"/>
      <c r="AK354" s="176"/>
      <c r="AL354" s="176"/>
      <c r="AM354" s="176"/>
      <c r="AN354" s="176"/>
      <c r="AO354" s="176"/>
      <c r="AP354" s="176"/>
      <c r="AQ354" s="176"/>
      <c r="AR354" s="176"/>
      <c r="AS354" s="176"/>
      <c r="AT354" s="176"/>
      <c r="AU354" s="176"/>
      <c r="AV354" s="176"/>
      <c r="AW354" s="176"/>
      <c r="AX354" s="176"/>
      <c r="AY354" s="176"/>
      <c r="AZ354" s="176"/>
      <c r="BA354" s="176"/>
      <c r="BB354" s="176"/>
    </row>
    <row r="355" ht="15.75" customHeight="1">
      <c r="A355" s="176"/>
      <c r="B355" s="176"/>
      <c r="C355" s="176"/>
      <c r="D355" s="176"/>
      <c r="E355" s="176"/>
      <c r="F355" s="176"/>
      <c r="G355" s="176"/>
      <c r="H355" s="176"/>
      <c r="I355" s="176"/>
      <c r="J355" s="176"/>
      <c r="K355" s="176"/>
      <c r="L355" s="176"/>
      <c r="M355" s="176"/>
      <c r="N355" s="176"/>
      <c r="O355" s="176"/>
      <c r="P355" s="176"/>
      <c r="Q355" s="176"/>
      <c r="R355" s="176"/>
      <c r="S355" s="176"/>
      <c r="T355" s="176"/>
      <c r="U355" s="176"/>
      <c r="V355" s="176"/>
      <c r="W355" s="176"/>
      <c r="X355" s="176"/>
      <c r="Y355" s="176"/>
      <c r="Z355" s="176"/>
      <c r="AA355" s="176"/>
      <c r="AB355" s="176"/>
      <c r="AC355" s="176"/>
      <c r="AD355" s="176"/>
      <c r="AE355" s="176"/>
      <c r="AF355" s="176"/>
      <c r="AG355" s="176"/>
      <c r="AH355" s="176"/>
      <c r="AI355" s="176"/>
      <c r="AJ355" s="176"/>
      <c r="AK355" s="176"/>
      <c r="AL355" s="176"/>
      <c r="AM355" s="176"/>
      <c r="AN355" s="176"/>
      <c r="AO355" s="176"/>
      <c r="AP355" s="176"/>
      <c r="AQ355" s="176"/>
      <c r="AR355" s="176"/>
      <c r="AS355" s="176"/>
      <c r="AT355" s="176"/>
      <c r="AU355" s="176"/>
      <c r="AV355" s="176"/>
      <c r="AW355" s="176"/>
      <c r="AX355" s="176"/>
      <c r="AY355" s="176"/>
      <c r="AZ355" s="176"/>
      <c r="BA355" s="176"/>
      <c r="BB355" s="176"/>
    </row>
    <row r="356" ht="15.75" customHeight="1">
      <c r="A356" s="176"/>
      <c r="B356" s="176"/>
      <c r="C356" s="176"/>
      <c r="D356" s="176"/>
      <c r="E356" s="176"/>
      <c r="F356" s="176"/>
      <c r="G356" s="176"/>
      <c r="H356" s="176"/>
      <c r="I356" s="176"/>
      <c r="J356" s="176"/>
      <c r="K356" s="176"/>
      <c r="L356" s="176"/>
      <c r="M356" s="176"/>
      <c r="N356" s="176"/>
      <c r="O356" s="176"/>
      <c r="P356" s="176"/>
      <c r="Q356" s="176"/>
      <c r="R356" s="176"/>
      <c r="S356" s="176"/>
      <c r="T356" s="176"/>
      <c r="U356" s="176"/>
      <c r="V356" s="176"/>
      <c r="W356" s="176"/>
      <c r="X356" s="176"/>
      <c r="Y356" s="176"/>
      <c r="Z356" s="176"/>
      <c r="AA356" s="176"/>
      <c r="AB356" s="176"/>
      <c r="AC356" s="176"/>
      <c r="AD356" s="176"/>
      <c r="AE356" s="176"/>
      <c r="AF356" s="176"/>
      <c r="AG356" s="176"/>
      <c r="AH356" s="176"/>
      <c r="AI356" s="176"/>
      <c r="AJ356" s="176"/>
      <c r="AK356" s="176"/>
      <c r="AL356" s="176"/>
      <c r="AM356" s="176"/>
      <c r="AN356" s="176"/>
      <c r="AO356" s="176"/>
      <c r="AP356" s="176"/>
      <c r="AQ356" s="176"/>
      <c r="AR356" s="176"/>
      <c r="AS356" s="176"/>
      <c r="AT356" s="176"/>
      <c r="AU356" s="176"/>
      <c r="AV356" s="176"/>
      <c r="AW356" s="176"/>
      <c r="AX356" s="176"/>
      <c r="AY356" s="176"/>
      <c r="AZ356" s="176"/>
      <c r="BA356" s="176"/>
      <c r="BB356" s="176"/>
    </row>
    <row r="357" ht="15.75" customHeight="1">
      <c r="A357" s="176"/>
      <c r="B357" s="176"/>
      <c r="C357" s="176"/>
      <c r="D357" s="176"/>
      <c r="E357" s="176"/>
      <c r="F357" s="176"/>
      <c r="G357" s="176"/>
      <c r="H357" s="176"/>
      <c r="I357" s="176"/>
      <c r="J357" s="176"/>
      <c r="K357" s="176"/>
      <c r="L357" s="176"/>
      <c r="M357" s="176"/>
      <c r="N357" s="176"/>
      <c r="O357" s="176"/>
      <c r="P357" s="176"/>
      <c r="Q357" s="176"/>
      <c r="R357" s="176"/>
      <c r="S357" s="176"/>
      <c r="T357" s="176"/>
      <c r="U357" s="176"/>
      <c r="V357" s="176"/>
      <c r="W357" s="176"/>
      <c r="X357" s="176"/>
      <c r="Y357" s="176"/>
      <c r="Z357" s="176"/>
      <c r="AA357" s="176"/>
      <c r="AB357" s="176"/>
      <c r="AC357" s="176"/>
      <c r="AD357" s="176"/>
      <c r="AE357" s="176"/>
      <c r="AF357" s="176"/>
      <c r="AG357" s="176"/>
      <c r="AH357" s="176"/>
      <c r="AI357" s="176"/>
      <c r="AJ357" s="176"/>
      <c r="AK357" s="176"/>
      <c r="AL357" s="176"/>
      <c r="AM357" s="176"/>
      <c r="AN357" s="176"/>
      <c r="AO357" s="176"/>
      <c r="AP357" s="176"/>
      <c r="AQ357" s="176"/>
      <c r="AR357" s="176"/>
      <c r="AS357" s="176"/>
      <c r="AT357" s="176"/>
      <c r="AU357" s="176"/>
      <c r="AV357" s="176"/>
      <c r="AW357" s="176"/>
      <c r="AX357" s="176"/>
      <c r="AY357" s="176"/>
      <c r="AZ357" s="176"/>
      <c r="BA357" s="176"/>
      <c r="BB357" s="176"/>
    </row>
    <row r="358" ht="15.75" customHeight="1">
      <c r="A358" s="176"/>
      <c r="B358" s="176"/>
      <c r="C358" s="176"/>
      <c r="D358" s="176"/>
      <c r="E358" s="176"/>
      <c r="F358" s="176"/>
      <c r="G358" s="176"/>
      <c r="H358" s="176"/>
      <c r="I358" s="176"/>
      <c r="J358" s="176"/>
      <c r="K358" s="176"/>
      <c r="L358" s="176"/>
      <c r="M358" s="176"/>
      <c r="N358" s="176"/>
      <c r="O358" s="176"/>
      <c r="P358" s="176"/>
      <c r="Q358" s="176"/>
      <c r="R358" s="176"/>
      <c r="S358" s="176"/>
      <c r="T358" s="176"/>
      <c r="U358" s="176"/>
      <c r="V358" s="176"/>
      <c r="W358" s="176"/>
      <c r="X358" s="176"/>
      <c r="Y358" s="176"/>
      <c r="Z358" s="176"/>
      <c r="AA358" s="176"/>
      <c r="AB358" s="176"/>
      <c r="AC358" s="176"/>
      <c r="AD358" s="176"/>
      <c r="AE358" s="176"/>
      <c r="AF358" s="176"/>
      <c r="AG358" s="176"/>
      <c r="AH358" s="176"/>
      <c r="AI358" s="176"/>
      <c r="AJ358" s="176"/>
      <c r="AK358" s="176"/>
      <c r="AL358" s="176"/>
      <c r="AM358" s="176"/>
      <c r="AN358" s="176"/>
      <c r="AO358" s="176"/>
      <c r="AP358" s="176"/>
      <c r="AQ358" s="176"/>
      <c r="AR358" s="176"/>
      <c r="AS358" s="176"/>
      <c r="AT358" s="176"/>
      <c r="AU358" s="176"/>
      <c r="AV358" s="176"/>
      <c r="AW358" s="176"/>
      <c r="AX358" s="176"/>
      <c r="AY358" s="176"/>
      <c r="AZ358" s="176"/>
      <c r="BA358" s="176"/>
      <c r="BB358" s="176"/>
    </row>
    <row r="359" ht="15.75" customHeight="1">
      <c r="A359" s="176"/>
      <c r="B359" s="176"/>
      <c r="C359" s="176"/>
      <c r="D359" s="176"/>
      <c r="E359" s="176"/>
      <c r="F359" s="176"/>
      <c r="G359" s="176"/>
      <c r="H359" s="176"/>
      <c r="I359" s="176"/>
      <c r="J359" s="176"/>
      <c r="K359" s="176"/>
      <c r="L359" s="176"/>
      <c r="M359" s="176"/>
      <c r="N359" s="176"/>
      <c r="O359" s="176"/>
      <c r="P359" s="176"/>
      <c r="Q359" s="176"/>
      <c r="R359" s="176"/>
      <c r="S359" s="176"/>
      <c r="T359" s="176"/>
      <c r="U359" s="176"/>
      <c r="V359" s="176"/>
      <c r="W359" s="176"/>
      <c r="X359" s="176"/>
      <c r="Y359" s="176"/>
      <c r="Z359" s="176"/>
      <c r="AA359" s="176"/>
      <c r="AB359" s="176"/>
      <c r="AC359" s="176"/>
      <c r="AD359" s="176"/>
      <c r="AE359" s="176"/>
      <c r="AF359" s="176"/>
      <c r="AG359" s="176"/>
      <c r="AH359" s="176"/>
      <c r="AI359" s="176"/>
      <c r="AJ359" s="176"/>
      <c r="AK359" s="176"/>
      <c r="AL359" s="176"/>
      <c r="AM359" s="176"/>
      <c r="AN359" s="176"/>
      <c r="AO359" s="176"/>
      <c r="AP359" s="176"/>
      <c r="AQ359" s="176"/>
      <c r="AR359" s="176"/>
      <c r="AS359" s="176"/>
      <c r="AT359" s="176"/>
      <c r="AU359" s="176"/>
      <c r="AV359" s="176"/>
      <c r="AW359" s="176"/>
      <c r="AX359" s="176"/>
      <c r="AY359" s="176"/>
      <c r="AZ359" s="176"/>
      <c r="BA359" s="176"/>
      <c r="BB359" s="176"/>
    </row>
    <row r="360" ht="15.75" customHeight="1">
      <c r="A360" s="176"/>
      <c r="B360" s="176"/>
      <c r="C360" s="176"/>
      <c r="D360" s="176"/>
      <c r="E360" s="176"/>
      <c r="F360" s="176"/>
      <c r="G360" s="176"/>
      <c r="H360" s="176"/>
      <c r="I360" s="176"/>
      <c r="J360" s="176"/>
      <c r="K360" s="176"/>
      <c r="L360" s="176"/>
      <c r="M360" s="176"/>
      <c r="N360" s="176"/>
      <c r="O360" s="176"/>
      <c r="P360" s="176"/>
      <c r="Q360" s="176"/>
      <c r="R360" s="176"/>
      <c r="S360" s="176"/>
      <c r="T360" s="176"/>
      <c r="U360" s="176"/>
      <c r="V360" s="176"/>
      <c r="W360" s="176"/>
      <c r="X360" s="176"/>
      <c r="Y360" s="176"/>
      <c r="Z360" s="176"/>
      <c r="AA360" s="176"/>
      <c r="AB360" s="176"/>
      <c r="AC360" s="176"/>
      <c r="AD360" s="176"/>
      <c r="AE360" s="176"/>
      <c r="AF360" s="176"/>
      <c r="AG360" s="176"/>
      <c r="AH360" s="176"/>
      <c r="AI360" s="176"/>
      <c r="AJ360" s="176"/>
      <c r="AK360" s="176"/>
      <c r="AL360" s="176"/>
      <c r="AM360" s="176"/>
      <c r="AN360" s="176"/>
      <c r="AO360" s="176"/>
      <c r="AP360" s="176"/>
      <c r="AQ360" s="176"/>
      <c r="AR360" s="176"/>
      <c r="AS360" s="176"/>
      <c r="AT360" s="176"/>
      <c r="AU360" s="176"/>
      <c r="AV360" s="176"/>
      <c r="AW360" s="176"/>
      <c r="AX360" s="176"/>
      <c r="AY360" s="176"/>
      <c r="AZ360" s="176"/>
      <c r="BA360" s="176"/>
      <c r="BB360" s="176"/>
    </row>
    <row r="361" ht="15.75" customHeight="1">
      <c r="A361" s="176"/>
      <c r="B361" s="176"/>
      <c r="C361" s="176"/>
      <c r="D361" s="176"/>
      <c r="E361" s="176"/>
      <c r="F361" s="176"/>
      <c r="G361" s="176"/>
      <c r="H361" s="176"/>
      <c r="I361" s="176"/>
      <c r="J361" s="176"/>
      <c r="K361" s="176"/>
      <c r="L361" s="176"/>
      <c r="M361" s="176"/>
      <c r="N361" s="176"/>
      <c r="O361" s="176"/>
      <c r="P361" s="176"/>
      <c r="Q361" s="176"/>
      <c r="R361" s="176"/>
      <c r="S361" s="176"/>
      <c r="T361" s="176"/>
      <c r="U361" s="176"/>
      <c r="V361" s="176"/>
      <c r="W361" s="176"/>
      <c r="X361" s="176"/>
      <c r="Y361" s="176"/>
      <c r="Z361" s="176"/>
      <c r="AA361" s="176"/>
      <c r="AB361" s="176"/>
      <c r="AC361" s="176"/>
      <c r="AD361" s="176"/>
      <c r="AE361" s="176"/>
      <c r="AF361" s="176"/>
      <c r="AG361" s="176"/>
      <c r="AH361" s="176"/>
      <c r="AI361" s="176"/>
      <c r="AJ361" s="176"/>
      <c r="AK361" s="176"/>
      <c r="AL361" s="176"/>
      <c r="AM361" s="176"/>
      <c r="AN361" s="176"/>
      <c r="AO361" s="176"/>
      <c r="AP361" s="176"/>
      <c r="AQ361" s="176"/>
      <c r="AR361" s="176"/>
      <c r="AS361" s="176"/>
      <c r="AT361" s="176"/>
      <c r="AU361" s="176"/>
      <c r="AV361" s="176"/>
      <c r="AW361" s="176"/>
      <c r="AX361" s="176"/>
      <c r="AY361" s="176"/>
      <c r="AZ361" s="176"/>
      <c r="BA361" s="176"/>
      <c r="BB361" s="176"/>
    </row>
    <row r="362" ht="15.75" customHeight="1">
      <c r="A362" s="176"/>
      <c r="B362" s="176"/>
      <c r="C362" s="176"/>
      <c r="D362" s="176"/>
      <c r="E362" s="176"/>
      <c r="F362" s="176"/>
      <c r="G362" s="176"/>
      <c r="H362" s="176"/>
      <c r="I362" s="176"/>
      <c r="J362" s="176"/>
      <c r="K362" s="176"/>
      <c r="L362" s="176"/>
      <c r="M362" s="176"/>
      <c r="N362" s="176"/>
      <c r="O362" s="176"/>
      <c r="P362" s="176"/>
      <c r="Q362" s="176"/>
      <c r="R362" s="176"/>
      <c r="S362" s="176"/>
      <c r="T362" s="176"/>
      <c r="U362" s="176"/>
      <c r="V362" s="176"/>
      <c r="W362" s="176"/>
      <c r="X362" s="176"/>
      <c r="Y362" s="176"/>
      <c r="Z362" s="176"/>
      <c r="AA362" s="176"/>
      <c r="AB362" s="176"/>
      <c r="AC362" s="176"/>
      <c r="AD362" s="176"/>
      <c r="AE362" s="176"/>
      <c r="AF362" s="176"/>
      <c r="AG362" s="176"/>
      <c r="AH362" s="176"/>
      <c r="AI362" s="176"/>
      <c r="AJ362" s="176"/>
      <c r="AK362" s="176"/>
      <c r="AL362" s="176"/>
      <c r="AM362" s="176"/>
      <c r="AN362" s="176"/>
      <c r="AO362" s="176"/>
      <c r="AP362" s="176"/>
      <c r="AQ362" s="176"/>
      <c r="AR362" s="176"/>
      <c r="AS362" s="176"/>
      <c r="AT362" s="176"/>
      <c r="AU362" s="176"/>
      <c r="AV362" s="176"/>
      <c r="AW362" s="176"/>
      <c r="AX362" s="176"/>
      <c r="AY362" s="176"/>
      <c r="AZ362" s="176"/>
      <c r="BA362" s="176"/>
      <c r="BB362" s="176"/>
    </row>
    <row r="363" ht="15.75" customHeight="1">
      <c r="A363" s="176"/>
      <c r="B363" s="176"/>
      <c r="C363" s="176"/>
      <c r="D363" s="176"/>
      <c r="E363" s="176"/>
      <c r="F363" s="176"/>
      <c r="G363" s="176"/>
      <c r="H363" s="176"/>
      <c r="I363" s="176"/>
      <c r="J363" s="176"/>
      <c r="K363" s="176"/>
      <c r="L363" s="176"/>
      <c r="M363" s="176"/>
      <c r="N363" s="176"/>
      <c r="O363" s="176"/>
      <c r="P363" s="176"/>
      <c r="Q363" s="176"/>
      <c r="R363" s="176"/>
      <c r="S363" s="176"/>
      <c r="T363" s="176"/>
      <c r="U363" s="176"/>
      <c r="V363" s="176"/>
      <c r="W363" s="176"/>
      <c r="X363" s="176"/>
      <c r="Y363" s="176"/>
      <c r="Z363" s="176"/>
      <c r="AA363" s="176"/>
      <c r="AB363" s="176"/>
      <c r="AC363" s="176"/>
      <c r="AD363" s="176"/>
      <c r="AE363" s="176"/>
      <c r="AF363" s="176"/>
      <c r="AG363" s="176"/>
      <c r="AH363" s="176"/>
      <c r="AI363" s="176"/>
      <c r="AJ363" s="176"/>
      <c r="AK363" s="176"/>
      <c r="AL363" s="176"/>
      <c r="AM363" s="176"/>
      <c r="AN363" s="176"/>
      <c r="AO363" s="176"/>
      <c r="AP363" s="176"/>
      <c r="AQ363" s="176"/>
      <c r="AR363" s="176"/>
      <c r="AS363" s="176"/>
      <c r="AT363" s="176"/>
      <c r="AU363" s="176"/>
      <c r="AV363" s="176"/>
      <c r="AW363" s="176"/>
      <c r="AX363" s="176"/>
      <c r="AY363" s="176"/>
      <c r="AZ363" s="176"/>
      <c r="BA363" s="176"/>
      <c r="BB363" s="176"/>
    </row>
    <row r="364" ht="15.75" customHeight="1">
      <c r="A364" s="176"/>
      <c r="B364" s="176"/>
      <c r="C364" s="176"/>
      <c r="D364" s="176"/>
      <c r="E364" s="176"/>
      <c r="F364" s="176"/>
      <c r="G364" s="176"/>
      <c r="H364" s="176"/>
      <c r="I364" s="176"/>
      <c r="J364" s="176"/>
      <c r="K364" s="176"/>
      <c r="L364" s="176"/>
      <c r="M364" s="176"/>
      <c r="N364" s="176"/>
      <c r="O364" s="176"/>
      <c r="P364" s="176"/>
      <c r="Q364" s="176"/>
      <c r="R364" s="176"/>
      <c r="S364" s="176"/>
      <c r="T364" s="176"/>
      <c r="U364" s="176"/>
      <c r="V364" s="176"/>
      <c r="W364" s="176"/>
      <c r="X364" s="176"/>
      <c r="Y364" s="176"/>
      <c r="Z364" s="176"/>
      <c r="AA364" s="176"/>
      <c r="AB364" s="176"/>
      <c r="AC364" s="176"/>
      <c r="AD364" s="176"/>
      <c r="AE364" s="176"/>
      <c r="AF364" s="176"/>
      <c r="AG364" s="176"/>
      <c r="AH364" s="176"/>
      <c r="AI364" s="176"/>
      <c r="AJ364" s="176"/>
      <c r="AK364" s="176"/>
      <c r="AL364" s="176"/>
      <c r="AM364" s="176"/>
      <c r="AN364" s="176"/>
      <c r="AO364" s="176"/>
      <c r="AP364" s="176"/>
      <c r="AQ364" s="176"/>
      <c r="AR364" s="176"/>
      <c r="AS364" s="176"/>
      <c r="AT364" s="176"/>
      <c r="AU364" s="176"/>
      <c r="AV364" s="176"/>
      <c r="AW364" s="176"/>
      <c r="AX364" s="176"/>
      <c r="AY364" s="176"/>
      <c r="AZ364" s="176"/>
      <c r="BA364" s="176"/>
      <c r="BB364" s="176"/>
    </row>
    <row r="365" ht="15.75" customHeight="1">
      <c r="A365" s="176"/>
      <c r="B365" s="176"/>
      <c r="C365" s="176"/>
      <c r="D365" s="176"/>
      <c r="E365" s="176"/>
      <c r="F365" s="176"/>
      <c r="G365" s="176"/>
      <c r="H365" s="176"/>
      <c r="I365" s="176"/>
      <c r="J365" s="176"/>
      <c r="K365" s="176"/>
      <c r="L365" s="176"/>
      <c r="M365" s="176"/>
      <c r="N365" s="176"/>
      <c r="O365" s="176"/>
      <c r="P365" s="176"/>
      <c r="Q365" s="176"/>
      <c r="R365" s="176"/>
      <c r="S365" s="176"/>
      <c r="T365" s="176"/>
      <c r="U365" s="176"/>
      <c r="V365" s="176"/>
      <c r="W365" s="176"/>
      <c r="X365" s="176"/>
      <c r="Y365" s="176"/>
      <c r="Z365" s="176"/>
      <c r="AA365" s="176"/>
      <c r="AB365" s="176"/>
      <c r="AC365" s="176"/>
      <c r="AD365" s="176"/>
      <c r="AE365" s="176"/>
      <c r="AF365" s="176"/>
      <c r="AG365" s="176"/>
      <c r="AH365" s="176"/>
      <c r="AI365" s="176"/>
      <c r="AJ365" s="176"/>
      <c r="AK365" s="176"/>
      <c r="AL365" s="176"/>
      <c r="AM365" s="176"/>
      <c r="AN365" s="176"/>
      <c r="AO365" s="176"/>
      <c r="AP365" s="176"/>
      <c r="AQ365" s="176"/>
      <c r="AR365" s="176"/>
      <c r="AS365" s="176"/>
      <c r="AT365" s="176"/>
      <c r="AU365" s="176"/>
      <c r="AV365" s="176"/>
      <c r="AW365" s="176"/>
      <c r="AX365" s="176"/>
      <c r="AY365" s="176"/>
      <c r="AZ365" s="176"/>
      <c r="BA365" s="176"/>
      <c r="BB365" s="176"/>
    </row>
    <row r="366" ht="15.75" customHeight="1">
      <c r="A366" s="176"/>
      <c r="B366" s="176"/>
      <c r="C366" s="176"/>
      <c r="D366" s="176"/>
      <c r="E366" s="176"/>
      <c r="F366" s="176"/>
      <c r="G366" s="176"/>
      <c r="H366" s="176"/>
      <c r="I366" s="176"/>
      <c r="J366" s="176"/>
      <c r="K366" s="176"/>
      <c r="L366" s="176"/>
      <c r="M366" s="176"/>
      <c r="N366" s="176"/>
      <c r="O366" s="176"/>
      <c r="P366" s="176"/>
      <c r="Q366" s="176"/>
      <c r="R366" s="176"/>
      <c r="S366" s="176"/>
      <c r="T366" s="176"/>
      <c r="U366" s="176"/>
      <c r="V366" s="176"/>
      <c r="W366" s="176"/>
      <c r="X366" s="176"/>
      <c r="Y366" s="176"/>
      <c r="Z366" s="176"/>
      <c r="AA366" s="176"/>
      <c r="AB366" s="176"/>
      <c r="AC366" s="176"/>
      <c r="AD366" s="176"/>
      <c r="AE366" s="176"/>
      <c r="AF366" s="176"/>
      <c r="AG366" s="176"/>
      <c r="AH366" s="176"/>
      <c r="AI366" s="176"/>
      <c r="AJ366" s="176"/>
      <c r="AK366" s="176"/>
      <c r="AL366" s="176"/>
      <c r="AM366" s="176"/>
      <c r="AN366" s="176"/>
      <c r="AO366" s="176"/>
      <c r="AP366" s="176"/>
      <c r="AQ366" s="176"/>
      <c r="AR366" s="176"/>
      <c r="AS366" s="176"/>
      <c r="AT366" s="176"/>
      <c r="AU366" s="176"/>
      <c r="AV366" s="176"/>
      <c r="AW366" s="176"/>
      <c r="AX366" s="176"/>
      <c r="AY366" s="176"/>
      <c r="AZ366" s="176"/>
      <c r="BA366" s="176"/>
      <c r="BB366" s="176"/>
    </row>
    <row r="367" ht="15.75" customHeight="1">
      <c r="A367" s="176"/>
      <c r="B367" s="176"/>
      <c r="C367" s="176"/>
      <c r="D367" s="176"/>
      <c r="E367" s="176"/>
      <c r="F367" s="176"/>
      <c r="G367" s="176"/>
      <c r="H367" s="176"/>
      <c r="I367" s="176"/>
      <c r="J367" s="176"/>
      <c r="K367" s="176"/>
      <c r="L367" s="176"/>
      <c r="M367" s="176"/>
      <c r="N367" s="176"/>
      <c r="O367" s="176"/>
      <c r="P367" s="176"/>
      <c r="Q367" s="176"/>
      <c r="R367" s="176"/>
      <c r="S367" s="176"/>
      <c r="T367" s="176"/>
      <c r="U367" s="176"/>
      <c r="V367" s="176"/>
      <c r="W367" s="176"/>
      <c r="X367" s="176"/>
      <c r="Y367" s="176"/>
      <c r="Z367" s="176"/>
      <c r="AA367" s="176"/>
      <c r="AB367" s="176"/>
      <c r="AC367" s="176"/>
      <c r="AD367" s="176"/>
      <c r="AE367" s="176"/>
      <c r="AF367" s="176"/>
      <c r="AG367" s="176"/>
      <c r="AH367" s="176"/>
      <c r="AI367" s="176"/>
      <c r="AJ367" s="176"/>
      <c r="AK367" s="176"/>
      <c r="AL367" s="176"/>
      <c r="AM367" s="176"/>
      <c r="AN367" s="176"/>
      <c r="AO367" s="176"/>
      <c r="AP367" s="176"/>
      <c r="AQ367" s="176"/>
      <c r="AR367" s="176"/>
      <c r="AS367" s="176"/>
      <c r="AT367" s="176"/>
      <c r="AU367" s="176"/>
      <c r="AV367" s="176"/>
      <c r="AW367" s="176"/>
      <c r="AX367" s="176"/>
      <c r="AY367" s="176"/>
      <c r="AZ367" s="176"/>
      <c r="BA367" s="176"/>
      <c r="BB367" s="176"/>
    </row>
    <row r="368" ht="15.75" customHeight="1">
      <c r="A368" s="176"/>
      <c r="B368" s="176"/>
      <c r="C368" s="176"/>
      <c r="D368" s="176"/>
      <c r="E368" s="176"/>
      <c r="F368" s="176"/>
      <c r="G368" s="176"/>
      <c r="H368" s="176"/>
      <c r="I368" s="176"/>
      <c r="J368" s="176"/>
      <c r="K368" s="176"/>
      <c r="L368" s="176"/>
      <c r="M368" s="176"/>
      <c r="N368" s="176"/>
      <c r="O368" s="176"/>
      <c r="P368" s="176"/>
      <c r="Q368" s="176"/>
      <c r="R368" s="176"/>
      <c r="S368" s="176"/>
      <c r="T368" s="176"/>
      <c r="U368" s="176"/>
      <c r="V368" s="176"/>
      <c r="W368" s="176"/>
      <c r="X368" s="176"/>
      <c r="Y368" s="176"/>
      <c r="Z368" s="176"/>
      <c r="AA368" s="176"/>
      <c r="AB368" s="176"/>
      <c r="AC368" s="176"/>
      <c r="AD368" s="176"/>
      <c r="AE368" s="176"/>
      <c r="AF368" s="176"/>
      <c r="AG368" s="176"/>
      <c r="AH368" s="176"/>
      <c r="AI368" s="176"/>
      <c r="AJ368" s="176"/>
      <c r="AK368" s="176"/>
      <c r="AL368" s="176"/>
      <c r="AM368" s="176"/>
      <c r="AN368" s="176"/>
      <c r="AO368" s="176"/>
      <c r="AP368" s="176"/>
      <c r="AQ368" s="176"/>
      <c r="AR368" s="176"/>
      <c r="AS368" s="176"/>
      <c r="AT368" s="176"/>
      <c r="AU368" s="176"/>
      <c r="AV368" s="176"/>
      <c r="AW368" s="176"/>
      <c r="AX368" s="176"/>
      <c r="AY368" s="176"/>
      <c r="AZ368" s="176"/>
      <c r="BA368" s="176"/>
      <c r="BB368" s="176"/>
    </row>
    <row r="369" ht="15.75" customHeight="1">
      <c r="A369" s="176"/>
      <c r="B369" s="176"/>
      <c r="C369" s="176"/>
      <c r="D369" s="176"/>
      <c r="E369" s="176"/>
      <c r="F369" s="176"/>
      <c r="G369" s="176"/>
      <c r="H369" s="176"/>
      <c r="I369" s="176"/>
      <c r="J369" s="176"/>
      <c r="K369" s="176"/>
      <c r="L369" s="176"/>
      <c r="M369" s="176"/>
      <c r="N369" s="176"/>
      <c r="O369" s="176"/>
      <c r="P369" s="176"/>
      <c r="Q369" s="176"/>
      <c r="R369" s="176"/>
      <c r="S369" s="176"/>
      <c r="T369" s="176"/>
      <c r="U369" s="176"/>
      <c r="V369" s="176"/>
      <c r="W369" s="176"/>
      <c r="X369" s="176"/>
      <c r="Y369" s="176"/>
      <c r="Z369" s="176"/>
      <c r="AA369" s="176"/>
      <c r="AB369" s="176"/>
      <c r="AC369" s="176"/>
      <c r="AD369" s="176"/>
      <c r="AE369" s="176"/>
      <c r="AF369" s="176"/>
      <c r="AG369" s="176"/>
      <c r="AH369" s="176"/>
      <c r="AI369" s="176"/>
      <c r="AJ369" s="176"/>
      <c r="AK369" s="176"/>
      <c r="AL369" s="176"/>
      <c r="AM369" s="176"/>
      <c r="AN369" s="176"/>
      <c r="AO369" s="176"/>
      <c r="AP369" s="176"/>
      <c r="AQ369" s="176"/>
      <c r="AR369" s="176"/>
      <c r="AS369" s="176"/>
      <c r="AT369" s="176"/>
      <c r="AU369" s="176"/>
      <c r="AV369" s="176"/>
      <c r="AW369" s="176"/>
      <c r="AX369" s="176"/>
      <c r="AY369" s="176"/>
      <c r="AZ369" s="176"/>
      <c r="BA369" s="176"/>
      <c r="BB369" s="176"/>
    </row>
    <row r="370" ht="15.75" customHeight="1">
      <c r="A370" s="176"/>
      <c r="B370" s="176"/>
      <c r="C370" s="176"/>
      <c r="D370" s="176"/>
      <c r="E370" s="176"/>
      <c r="F370" s="176"/>
      <c r="G370" s="176"/>
      <c r="H370" s="176"/>
      <c r="I370" s="176"/>
      <c r="J370" s="176"/>
      <c r="K370" s="176"/>
      <c r="L370" s="176"/>
      <c r="M370" s="176"/>
      <c r="N370" s="176"/>
      <c r="O370" s="176"/>
      <c r="P370" s="176"/>
      <c r="Q370" s="176"/>
      <c r="R370" s="176"/>
      <c r="S370" s="176"/>
      <c r="T370" s="176"/>
      <c r="U370" s="176"/>
      <c r="V370" s="176"/>
      <c r="W370" s="176"/>
      <c r="X370" s="176"/>
      <c r="Y370" s="176"/>
      <c r="Z370" s="176"/>
      <c r="AA370" s="176"/>
      <c r="AB370" s="176"/>
      <c r="AC370" s="176"/>
      <c r="AD370" s="176"/>
      <c r="AE370" s="176"/>
      <c r="AF370" s="176"/>
      <c r="AG370" s="176"/>
      <c r="AH370" s="176"/>
      <c r="AI370" s="176"/>
      <c r="AJ370" s="176"/>
      <c r="AK370" s="176"/>
      <c r="AL370" s="176"/>
      <c r="AM370" s="176"/>
      <c r="AN370" s="176"/>
      <c r="AO370" s="176"/>
      <c r="AP370" s="176"/>
      <c r="AQ370" s="176"/>
      <c r="AR370" s="176"/>
      <c r="AS370" s="176"/>
      <c r="AT370" s="176"/>
      <c r="AU370" s="176"/>
      <c r="AV370" s="176"/>
      <c r="AW370" s="176"/>
      <c r="AX370" s="176"/>
      <c r="AY370" s="176"/>
      <c r="AZ370" s="176"/>
      <c r="BA370" s="176"/>
      <c r="BB370" s="176"/>
    </row>
    <row r="371" ht="15.75" customHeight="1">
      <c r="A371" s="176"/>
      <c r="B371" s="176"/>
      <c r="C371" s="176"/>
      <c r="D371" s="176"/>
      <c r="E371" s="176"/>
      <c r="F371" s="176"/>
      <c r="G371" s="176"/>
      <c r="H371" s="176"/>
      <c r="I371" s="176"/>
      <c r="J371" s="176"/>
      <c r="K371" s="176"/>
      <c r="L371" s="176"/>
      <c r="M371" s="176"/>
      <c r="N371" s="176"/>
      <c r="O371" s="176"/>
      <c r="P371" s="176"/>
      <c r="Q371" s="176"/>
      <c r="R371" s="176"/>
      <c r="S371" s="176"/>
      <c r="T371" s="176"/>
      <c r="U371" s="176"/>
      <c r="V371" s="176"/>
      <c r="W371" s="176"/>
      <c r="X371" s="176"/>
      <c r="Y371" s="176"/>
      <c r="Z371" s="176"/>
      <c r="AA371" s="176"/>
      <c r="AB371" s="176"/>
      <c r="AC371" s="176"/>
      <c r="AD371" s="176"/>
      <c r="AE371" s="176"/>
      <c r="AF371" s="176"/>
      <c r="AG371" s="176"/>
      <c r="AH371" s="176"/>
      <c r="AI371" s="176"/>
      <c r="AJ371" s="176"/>
      <c r="AK371" s="176"/>
      <c r="AL371" s="176"/>
      <c r="AM371" s="176"/>
      <c r="AN371" s="176"/>
      <c r="AO371" s="176"/>
      <c r="AP371" s="176"/>
      <c r="AQ371" s="176"/>
      <c r="AR371" s="176"/>
      <c r="AS371" s="176"/>
      <c r="AT371" s="176"/>
      <c r="AU371" s="176"/>
      <c r="AV371" s="176"/>
      <c r="AW371" s="176"/>
      <c r="AX371" s="176"/>
      <c r="AY371" s="176"/>
      <c r="AZ371" s="176"/>
      <c r="BA371" s="176"/>
      <c r="BB371" s="176"/>
    </row>
    <row r="372" ht="15.75" customHeight="1">
      <c r="A372" s="176"/>
      <c r="B372" s="176"/>
      <c r="C372" s="176"/>
      <c r="D372" s="176"/>
      <c r="E372" s="176"/>
      <c r="F372" s="176"/>
      <c r="G372" s="176"/>
      <c r="H372" s="176"/>
      <c r="I372" s="176"/>
      <c r="J372" s="176"/>
      <c r="K372" s="176"/>
      <c r="L372" s="176"/>
      <c r="M372" s="176"/>
      <c r="N372" s="176"/>
      <c r="O372" s="176"/>
      <c r="P372" s="176"/>
      <c r="Q372" s="176"/>
      <c r="R372" s="176"/>
      <c r="S372" s="176"/>
      <c r="T372" s="176"/>
      <c r="U372" s="176"/>
      <c r="V372" s="176"/>
      <c r="W372" s="176"/>
      <c r="X372" s="176"/>
      <c r="Y372" s="176"/>
      <c r="Z372" s="176"/>
      <c r="AA372" s="176"/>
      <c r="AB372" s="176"/>
      <c r="AC372" s="176"/>
      <c r="AD372" s="176"/>
      <c r="AE372" s="176"/>
      <c r="AF372" s="176"/>
      <c r="AG372" s="176"/>
      <c r="AH372" s="176"/>
      <c r="AI372" s="176"/>
      <c r="AJ372" s="176"/>
      <c r="AK372" s="176"/>
      <c r="AL372" s="176"/>
      <c r="AM372" s="176"/>
      <c r="AN372" s="176"/>
      <c r="AO372" s="176"/>
      <c r="AP372" s="176"/>
      <c r="AQ372" s="176"/>
      <c r="AR372" s="176"/>
      <c r="AS372" s="176"/>
      <c r="AT372" s="176"/>
      <c r="AU372" s="176"/>
      <c r="AV372" s="176"/>
      <c r="AW372" s="176"/>
      <c r="AX372" s="176"/>
      <c r="AY372" s="176"/>
      <c r="AZ372" s="176"/>
      <c r="BA372" s="176"/>
      <c r="BB372" s="176"/>
    </row>
    <row r="373" ht="15.75" customHeight="1">
      <c r="A373" s="176"/>
      <c r="B373" s="176"/>
      <c r="C373" s="176"/>
      <c r="D373" s="176"/>
      <c r="E373" s="176"/>
      <c r="F373" s="176"/>
      <c r="G373" s="176"/>
      <c r="H373" s="176"/>
      <c r="I373" s="176"/>
      <c r="J373" s="176"/>
      <c r="K373" s="176"/>
      <c r="L373" s="176"/>
      <c r="M373" s="176"/>
      <c r="N373" s="176"/>
      <c r="O373" s="176"/>
      <c r="P373" s="176"/>
      <c r="Q373" s="176"/>
      <c r="R373" s="176"/>
      <c r="S373" s="176"/>
      <c r="T373" s="176"/>
      <c r="U373" s="176"/>
      <c r="V373" s="176"/>
      <c r="W373" s="176"/>
      <c r="X373" s="176"/>
      <c r="Y373" s="176"/>
      <c r="Z373" s="176"/>
      <c r="AA373" s="176"/>
      <c r="AB373" s="176"/>
      <c r="AC373" s="176"/>
      <c r="AD373" s="176"/>
      <c r="AE373" s="176"/>
      <c r="AF373" s="176"/>
      <c r="AG373" s="176"/>
      <c r="AH373" s="176"/>
      <c r="AI373" s="176"/>
      <c r="AJ373" s="176"/>
      <c r="AK373" s="176"/>
      <c r="AL373" s="176"/>
      <c r="AM373" s="176"/>
      <c r="AN373" s="176"/>
      <c r="AO373" s="176"/>
      <c r="AP373" s="176"/>
      <c r="AQ373" s="176"/>
      <c r="AR373" s="176"/>
      <c r="AS373" s="176"/>
      <c r="AT373" s="176"/>
      <c r="AU373" s="176"/>
      <c r="AV373" s="176"/>
      <c r="AW373" s="176"/>
      <c r="AX373" s="176"/>
      <c r="AY373" s="176"/>
      <c r="AZ373" s="176"/>
      <c r="BA373" s="176"/>
      <c r="BB373" s="176"/>
    </row>
    <row r="374" ht="15.75" customHeight="1">
      <c r="A374" s="176"/>
      <c r="B374" s="176"/>
      <c r="C374" s="176"/>
      <c r="D374" s="176"/>
      <c r="E374" s="176"/>
      <c r="F374" s="176"/>
      <c r="G374" s="176"/>
      <c r="H374" s="176"/>
      <c r="I374" s="176"/>
      <c r="J374" s="176"/>
      <c r="K374" s="176"/>
      <c r="L374" s="176"/>
      <c r="M374" s="176"/>
      <c r="N374" s="176"/>
      <c r="O374" s="176"/>
      <c r="P374" s="176"/>
      <c r="Q374" s="176"/>
      <c r="R374" s="176"/>
      <c r="S374" s="176"/>
      <c r="T374" s="176"/>
      <c r="U374" s="176"/>
      <c r="V374" s="176"/>
      <c r="W374" s="176"/>
      <c r="X374" s="176"/>
      <c r="Y374" s="176"/>
      <c r="Z374" s="176"/>
      <c r="AA374" s="176"/>
      <c r="AB374" s="176"/>
      <c r="AC374" s="176"/>
      <c r="AD374" s="176"/>
      <c r="AE374" s="176"/>
      <c r="AF374" s="176"/>
      <c r="AG374" s="176"/>
      <c r="AH374" s="176"/>
      <c r="AI374" s="176"/>
      <c r="AJ374" s="176"/>
      <c r="AK374" s="176"/>
      <c r="AL374" s="176"/>
      <c r="AM374" s="176"/>
      <c r="AN374" s="176"/>
      <c r="AO374" s="176"/>
      <c r="AP374" s="176"/>
      <c r="AQ374" s="176"/>
      <c r="AR374" s="176"/>
      <c r="AS374" s="176"/>
      <c r="AT374" s="176"/>
      <c r="AU374" s="176"/>
      <c r="AV374" s="176"/>
      <c r="AW374" s="176"/>
      <c r="AX374" s="176"/>
      <c r="AY374" s="176"/>
      <c r="AZ374" s="176"/>
      <c r="BA374" s="176"/>
      <c r="BB374" s="176"/>
    </row>
    <row r="375" ht="15.75" customHeight="1">
      <c r="A375" s="176"/>
      <c r="B375" s="176"/>
      <c r="C375" s="176"/>
      <c r="D375" s="176"/>
      <c r="E375" s="176"/>
      <c r="F375" s="176"/>
      <c r="G375" s="176"/>
      <c r="H375" s="176"/>
      <c r="I375" s="176"/>
      <c r="J375" s="176"/>
      <c r="K375" s="176"/>
      <c r="L375" s="176"/>
      <c r="M375" s="176"/>
      <c r="N375" s="176"/>
      <c r="O375" s="176"/>
      <c r="P375" s="176"/>
      <c r="Q375" s="176"/>
      <c r="R375" s="176"/>
      <c r="S375" s="176"/>
      <c r="T375" s="176"/>
      <c r="U375" s="176"/>
      <c r="V375" s="176"/>
      <c r="W375" s="176"/>
      <c r="X375" s="176"/>
      <c r="Y375" s="176"/>
      <c r="Z375" s="176"/>
      <c r="AA375" s="176"/>
      <c r="AB375" s="176"/>
      <c r="AC375" s="176"/>
      <c r="AD375" s="176"/>
      <c r="AE375" s="176"/>
      <c r="AF375" s="176"/>
      <c r="AG375" s="176"/>
      <c r="AH375" s="176"/>
      <c r="AI375" s="176"/>
      <c r="AJ375" s="176"/>
      <c r="AK375" s="176"/>
      <c r="AL375" s="176"/>
      <c r="AM375" s="176"/>
      <c r="AN375" s="176"/>
      <c r="AO375" s="176"/>
      <c r="AP375" s="176"/>
      <c r="AQ375" s="176"/>
      <c r="AR375" s="176"/>
      <c r="AS375" s="176"/>
      <c r="AT375" s="176"/>
      <c r="AU375" s="176"/>
      <c r="AV375" s="176"/>
      <c r="AW375" s="176"/>
      <c r="AX375" s="176"/>
      <c r="AY375" s="176"/>
      <c r="AZ375" s="176"/>
      <c r="BA375" s="176"/>
      <c r="BB375" s="176"/>
    </row>
    <row r="376" ht="15.75" customHeight="1">
      <c r="A376" s="176"/>
      <c r="B376" s="176"/>
      <c r="C376" s="176"/>
      <c r="D376" s="176"/>
      <c r="E376" s="176"/>
      <c r="F376" s="176"/>
      <c r="G376" s="176"/>
      <c r="H376" s="176"/>
      <c r="I376" s="176"/>
      <c r="J376" s="176"/>
      <c r="K376" s="176"/>
      <c r="L376" s="176"/>
      <c r="M376" s="176"/>
      <c r="N376" s="176"/>
      <c r="O376" s="176"/>
      <c r="P376" s="176"/>
      <c r="Q376" s="176"/>
      <c r="R376" s="176"/>
      <c r="S376" s="176"/>
      <c r="T376" s="176"/>
      <c r="U376" s="176"/>
      <c r="V376" s="176"/>
      <c r="W376" s="176"/>
      <c r="X376" s="176"/>
      <c r="Y376" s="176"/>
      <c r="Z376" s="176"/>
      <c r="AA376" s="176"/>
      <c r="AB376" s="176"/>
      <c r="AC376" s="176"/>
      <c r="AD376" s="176"/>
      <c r="AE376" s="176"/>
      <c r="AF376" s="176"/>
      <c r="AG376" s="176"/>
      <c r="AH376" s="176"/>
      <c r="AI376" s="176"/>
      <c r="AJ376" s="176"/>
      <c r="AK376" s="176"/>
      <c r="AL376" s="176"/>
      <c r="AM376" s="176"/>
      <c r="AN376" s="176"/>
      <c r="AO376" s="176"/>
      <c r="AP376" s="176"/>
      <c r="AQ376" s="176"/>
      <c r="AR376" s="176"/>
      <c r="AS376" s="176"/>
      <c r="AT376" s="176"/>
      <c r="AU376" s="176"/>
      <c r="AV376" s="176"/>
      <c r="AW376" s="176"/>
      <c r="AX376" s="176"/>
      <c r="AY376" s="176"/>
      <c r="AZ376" s="176"/>
      <c r="BA376" s="176"/>
      <c r="BB376" s="176"/>
    </row>
    <row r="377" ht="15.75" customHeight="1">
      <c r="A377" s="176"/>
      <c r="B377" s="176"/>
      <c r="C377" s="176"/>
      <c r="D377" s="176"/>
      <c r="E377" s="176"/>
      <c r="F377" s="176"/>
      <c r="G377" s="176"/>
      <c r="H377" s="176"/>
      <c r="I377" s="176"/>
      <c r="J377" s="176"/>
      <c r="K377" s="176"/>
      <c r="L377" s="176"/>
      <c r="M377" s="176"/>
      <c r="N377" s="176"/>
      <c r="O377" s="176"/>
      <c r="P377" s="176"/>
      <c r="Q377" s="176"/>
      <c r="R377" s="176"/>
      <c r="S377" s="176"/>
      <c r="T377" s="176"/>
      <c r="U377" s="176"/>
      <c r="V377" s="176"/>
      <c r="W377" s="176"/>
      <c r="X377" s="176"/>
      <c r="Y377" s="176"/>
      <c r="Z377" s="176"/>
      <c r="AA377" s="176"/>
      <c r="AB377" s="176"/>
      <c r="AC377" s="176"/>
      <c r="AD377" s="176"/>
      <c r="AE377" s="176"/>
      <c r="AF377" s="176"/>
      <c r="AG377" s="176"/>
      <c r="AH377" s="176"/>
      <c r="AI377" s="176"/>
      <c r="AJ377" s="176"/>
      <c r="AK377" s="176"/>
      <c r="AL377" s="176"/>
      <c r="AM377" s="176"/>
      <c r="AN377" s="176"/>
      <c r="AO377" s="176"/>
      <c r="AP377" s="176"/>
      <c r="AQ377" s="176"/>
      <c r="AR377" s="176"/>
      <c r="AS377" s="176"/>
      <c r="AT377" s="176"/>
      <c r="AU377" s="176"/>
      <c r="AV377" s="176"/>
      <c r="AW377" s="176"/>
      <c r="AX377" s="176"/>
      <c r="AY377" s="176"/>
      <c r="AZ377" s="176"/>
      <c r="BA377" s="176"/>
      <c r="BB377" s="176"/>
    </row>
    <row r="378" ht="15.75" customHeight="1">
      <c r="A378" s="176"/>
      <c r="B378" s="176"/>
      <c r="C378" s="176"/>
      <c r="D378" s="176"/>
      <c r="E378" s="176"/>
      <c r="F378" s="176"/>
      <c r="G378" s="176"/>
      <c r="H378" s="176"/>
      <c r="I378" s="176"/>
      <c r="J378" s="176"/>
      <c r="K378" s="176"/>
      <c r="L378" s="176"/>
      <c r="M378" s="176"/>
      <c r="N378" s="176"/>
      <c r="O378" s="176"/>
      <c r="P378" s="176"/>
      <c r="Q378" s="176"/>
      <c r="R378" s="176"/>
      <c r="S378" s="176"/>
      <c r="T378" s="176"/>
      <c r="U378" s="176"/>
      <c r="V378" s="176"/>
      <c r="W378" s="176"/>
      <c r="X378" s="176"/>
      <c r="Y378" s="176"/>
      <c r="Z378" s="176"/>
      <c r="AA378" s="176"/>
      <c r="AB378" s="176"/>
      <c r="AC378" s="176"/>
      <c r="AD378" s="176"/>
      <c r="AE378" s="176"/>
      <c r="AF378" s="176"/>
      <c r="AG378" s="176"/>
      <c r="AH378" s="176"/>
      <c r="AI378" s="176"/>
      <c r="AJ378" s="176"/>
      <c r="AK378" s="176"/>
      <c r="AL378" s="176"/>
      <c r="AM378" s="176"/>
      <c r="AN378" s="176"/>
      <c r="AO378" s="176"/>
      <c r="AP378" s="176"/>
      <c r="AQ378" s="176"/>
      <c r="AR378" s="176"/>
      <c r="AS378" s="176"/>
      <c r="AT378" s="176"/>
      <c r="AU378" s="176"/>
      <c r="AV378" s="176"/>
      <c r="AW378" s="176"/>
      <c r="AX378" s="176"/>
      <c r="AY378" s="176"/>
      <c r="AZ378" s="176"/>
      <c r="BA378" s="176"/>
      <c r="BB378" s="176"/>
    </row>
    <row r="379" ht="15.75" customHeight="1">
      <c r="A379" s="176"/>
      <c r="B379" s="176"/>
      <c r="C379" s="176"/>
      <c r="D379" s="176"/>
      <c r="E379" s="176"/>
      <c r="F379" s="176"/>
      <c r="G379" s="176"/>
      <c r="H379" s="176"/>
      <c r="I379" s="176"/>
      <c r="J379" s="176"/>
      <c r="K379" s="176"/>
      <c r="L379" s="176"/>
      <c r="M379" s="176"/>
      <c r="N379" s="176"/>
      <c r="O379" s="176"/>
      <c r="P379" s="176"/>
      <c r="Q379" s="176"/>
      <c r="R379" s="176"/>
      <c r="S379" s="176"/>
      <c r="T379" s="176"/>
      <c r="U379" s="176"/>
      <c r="V379" s="176"/>
      <c r="W379" s="176"/>
      <c r="X379" s="176"/>
      <c r="Y379" s="176"/>
      <c r="Z379" s="176"/>
      <c r="AA379" s="176"/>
      <c r="AB379" s="176"/>
      <c r="AC379" s="176"/>
      <c r="AD379" s="176"/>
      <c r="AE379" s="176"/>
      <c r="AF379" s="176"/>
      <c r="AG379" s="176"/>
      <c r="AH379" s="176"/>
      <c r="AI379" s="176"/>
      <c r="AJ379" s="176"/>
      <c r="AK379" s="176"/>
      <c r="AL379" s="176"/>
      <c r="AM379" s="176"/>
      <c r="AN379" s="176"/>
      <c r="AO379" s="176"/>
      <c r="AP379" s="176"/>
      <c r="AQ379" s="176"/>
      <c r="AR379" s="176"/>
      <c r="AS379" s="176"/>
      <c r="AT379" s="176"/>
      <c r="AU379" s="176"/>
      <c r="AV379" s="176"/>
      <c r="AW379" s="176"/>
      <c r="AX379" s="176"/>
      <c r="AY379" s="176"/>
      <c r="AZ379" s="176"/>
      <c r="BA379" s="176"/>
      <c r="BB379" s="176"/>
    </row>
    <row r="380" ht="15.75" customHeight="1">
      <c r="A380" s="176"/>
      <c r="B380" s="176"/>
      <c r="C380" s="176"/>
      <c r="D380" s="176"/>
      <c r="E380" s="176"/>
      <c r="F380" s="176"/>
      <c r="G380" s="176"/>
      <c r="H380" s="176"/>
      <c r="I380" s="176"/>
      <c r="J380" s="176"/>
      <c r="K380" s="176"/>
      <c r="L380" s="176"/>
      <c r="M380" s="176"/>
      <c r="N380" s="176"/>
      <c r="O380" s="176"/>
      <c r="P380" s="176"/>
      <c r="Q380" s="176"/>
      <c r="R380" s="176"/>
      <c r="S380" s="176"/>
      <c r="T380" s="176"/>
      <c r="U380" s="176"/>
      <c r="V380" s="176"/>
      <c r="W380" s="176"/>
      <c r="X380" s="176"/>
      <c r="Y380" s="176"/>
      <c r="Z380" s="176"/>
      <c r="AA380" s="176"/>
      <c r="AB380" s="176"/>
      <c r="AC380" s="176"/>
      <c r="AD380" s="176"/>
      <c r="AE380" s="176"/>
      <c r="AF380" s="176"/>
      <c r="AG380" s="176"/>
      <c r="AH380" s="176"/>
      <c r="AI380" s="176"/>
      <c r="AJ380" s="176"/>
      <c r="AK380" s="176"/>
      <c r="AL380" s="176"/>
      <c r="AM380" s="176"/>
      <c r="AN380" s="176"/>
      <c r="AO380" s="176"/>
      <c r="AP380" s="176"/>
      <c r="AQ380" s="176"/>
      <c r="AR380" s="176"/>
      <c r="AS380" s="176"/>
      <c r="AT380" s="176"/>
      <c r="AU380" s="176"/>
      <c r="AV380" s="176"/>
      <c r="AW380" s="176"/>
      <c r="AX380" s="176"/>
      <c r="AY380" s="176"/>
      <c r="AZ380" s="176"/>
      <c r="BA380" s="176"/>
      <c r="BB380" s="176"/>
    </row>
    <row r="381" ht="15.75" customHeight="1">
      <c r="A381" s="176"/>
      <c r="B381" s="176"/>
      <c r="C381" s="176"/>
      <c r="D381" s="176"/>
      <c r="E381" s="176"/>
      <c r="F381" s="176"/>
      <c r="G381" s="176"/>
      <c r="H381" s="176"/>
      <c r="I381" s="176"/>
      <c r="J381" s="176"/>
      <c r="K381" s="176"/>
      <c r="L381" s="176"/>
      <c r="M381" s="176"/>
      <c r="N381" s="176"/>
      <c r="O381" s="176"/>
      <c r="P381" s="176"/>
      <c r="Q381" s="176"/>
      <c r="R381" s="176"/>
      <c r="S381" s="176"/>
      <c r="T381" s="176"/>
      <c r="U381" s="176"/>
      <c r="V381" s="176"/>
      <c r="W381" s="176"/>
      <c r="X381" s="176"/>
      <c r="Y381" s="176"/>
      <c r="Z381" s="176"/>
      <c r="AA381" s="176"/>
      <c r="AB381" s="176"/>
      <c r="AC381" s="176"/>
      <c r="AD381" s="176"/>
      <c r="AE381" s="176"/>
      <c r="AF381" s="176"/>
      <c r="AG381" s="176"/>
      <c r="AH381" s="176"/>
      <c r="AI381" s="176"/>
      <c r="AJ381" s="176"/>
      <c r="AK381" s="176"/>
      <c r="AL381" s="176"/>
      <c r="AM381" s="176"/>
      <c r="AN381" s="176"/>
      <c r="AO381" s="176"/>
      <c r="AP381" s="176"/>
      <c r="AQ381" s="176"/>
      <c r="AR381" s="176"/>
      <c r="AS381" s="176"/>
      <c r="AT381" s="176"/>
      <c r="AU381" s="176"/>
      <c r="AV381" s="176"/>
      <c r="AW381" s="176"/>
      <c r="AX381" s="176"/>
      <c r="AY381" s="176"/>
      <c r="AZ381" s="176"/>
      <c r="BA381" s="176"/>
      <c r="BB381" s="176"/>
    </row>
    <row r="382" ht="15.75" customHeight="1">
      <c r="A382" s="176"/>
      <c r="B382" s="176"/>
      <c r="C382" s="176"/>
      <c r="D382" s="176"/>
      <c r="E382" s="176"/>
      <c r="F382" s="176"/>
      <c r="G382" s="176"/>
      <c r="H382" s="176"/>
      <c r="I382" s="176"/>
      <c r="J382" s="176"/>
      <c r="K382" s="176"/>
      <c r="L382" s="176"/>
      <c r="M382" s="176"/>
      <c r="N382" s="176"/>
      <c r="O382" s="176"/>
      <c r="P382" s="176"/>
      <c r="Q382" s="176"/>
      <c r="R382" s="176"/>
      <c r="S382" s="176"/>
      <c r="T382" s="176"/>
      <c r="U382" s="176"/>
      <c r="V382" s="176"/>
      <c r="W382" s="176"/>
      <c r="X382" s="176"/>
      <c r="Y382" s="176"/>
      <c r="Z382" s="176"/>
      <c r="AA382" s="176"/>
      <c r="AB382" s="176"/>
      <c r="AC382" s="176"/>
      <c r="AD382" s="176"/>
      <c r="AE382" s="176"/>
      <c r="AF382" s="176"/>
      <c r="AG382" s="176"/>
      <c r="AH382" s="176"/>
      <c r="AI382" s="176"/>
      <c r="AJ382" s="176"/>
      <c r="AK382" s="176"/>
      <c r="AL382" s="176"/>
      <c r="AM382" s="176"/>
      <c r="AN382" s="176"/>
      <c r="AO382" s="176"/>
      <c r="AP382" s="176"/>
      <c r="AQ382" s="176"/>
      <c r="AR382" s="176"/>
      <c r="AS382" s="176"/>
      <c r="AT382" s="176"/>
      <c r="AU382" s="176"/>
      <c r="AV382" s="176"/>
      <c r="AW382" s="176"/>
      <c r="AX382" s="176"/>
      <c r="AY382" s="176"/>
      <c r="AZ382" s="176"/>
      <c r="BA382" s="176"/>
      <c r="BB382" s="176"/>
    </row>
    <row r="383" ht="15.75" customHeight="1">
      <c r="A383" s="176"/>
      <c r="B383" s="176"/>
      <c r="C383" s="176"/>
      <c r="D383" s="176"/>
      <c r="E383" s="176"/>
      <c r="F383" s="176"/>
      <c r="G383" s="176"/>
      <c r="H383" s="176"/>
      <c r="I383" s="176"/>
      <c r="J383" s="176"/>
      <c r="K383" s="176"/>
      <c r="L383" s="176"/>
      <c r="M383" s="176"/>
      <c r="N383" s="176"/>
      <c r="O383" s="176"/>
      <c r="P383" s="176"/>
      <c r="Q383" s="176"/>
      <c r="R383" s="176"/>
      <c r="S383" s="176"/>
      <c r="T383" s="176"/>
      <c r="U383" s="176"/>
      <c r="V383" s="176"/>
      <c r="W383" s="176"/>
      <c r="X383" s="176"/>
      <c r="Y383" s="176"/>
      <c r="Z383" s="176"/>
      <c r="AA383" s="176"/>
      <c r="AB383" s="176"/>
      <c r="AC383" s="176"/>
      <c r="AD383" s="176"/>
      <c r="AE383" s="176"/>
      <c r="AF383" s="176"/>
      <c r="AG383" s="176"/>
      <c r="AH383" s="176"/>
      <c r="AI383" s="176"/>
      <c r="AJ383" s="176"/>
      <c r="AK383" s="176"/>
      <c r="AL383" s="176"/>
      <c r="AM383" s="176"/>
      <c r="AN383" s="176"/>
      <c r="AO383" s="176"/>
      <c r="AP383" s="176"/>
      <c r="AQ383" s="176"/>
      <c r="AR383" s="176"/>
      <c r="AS383" s="176"/>
      <c r="AT383" s="176"/>
      <c r="AU383" s="176"/>
      <c r="AV383" s="176"/>
      <c r="AW383" s="176"/>
      <c r="AX383" s="176"/>
      <c r="AY383" s="176"/>
      <c r="AZ383" s="176"/>
      <c r="BA383" s="176"/>
      <c r="BB383" s="176"/>
    </row>
    <row r="384" ht="15.75" customHeight="1">
      <c r="A384" s="176"/>
      <c r="B384" s="176"/>
      <c r="C384" s="176"/>
      <c r="D384" s="176"/>
      <c r="E384" s="176"/>
      <c r="F384" s="176"/>
      <c r="G384" s="176"/>
      <c r="H384" s="176"/>
      <c r="I384" s="176"/>
      <c r="J384" s="176"/>
      <c r="K384" s="176"/>
      <c r="L384" s="176"/>
      <c r="M384" s="176"/>
      <c r="N384" s="176"/>
      <c r="O384" s="176"/>
      <c r="P384" s="176"/>
      <c r="Q384" s="176"/>
      <c r="R384" s="176"/>
      <c r="S384" s="176"/>
      <c r="T384" s="176"/>
      <c r="U384" s="176"/>
      <c r="V384" s="176"/>
      <c r="W384" s="176"/>
      <c r="X384" s="176"/>
      <c r="Y384" s="176"/>
      <c r="Z384" s="176"/>
      <c r="AA384" s="176"/>
      <c r="AB384" s="176"/>
      <c r="AC384" s="176"/>
      <c r="AD384" s="176"/>
      <c r="AE384" s="176"/>
      <c r="AF384" s="176"/>
      <c r="AG384" s="176"/>
      <c r="AH384" s="176"/>
      <c r="AI384" s="176"/>
      <c r="AJ384" s="176"/>
      <c r="AK384" s="176"/>
      <c r="AL384" s="176"/>
      <c r="AM384" s="176"/>
      <c r="AN384" s="176"/>
      <c r="AO384" s="176"/>
      <c r="AP384" s="176"/>
      <c r="AQ384" s="176"/>
      <c r="AR384" s="176"/>
      <c r="AS384" s="176"/>
      <c r="AT384" s="176"/>
      <c r="AU384" s="176"/>
      <c r="AV384" s="176"/>
      <c r="AW384" s="176"/>
      <c r="AX384" s="176"/>
      <c r="AY384" s="176"/>
      <c r="AZ384" s="176"/>
      <c r="BA384" s="176"/>
      <c r="BB384" s="176"/>
    </row>
    <row r="385" ht="15.75" customHeight="1">
      <c r="A385" s="176"/>
      <c r="B385" s="176"/>
      <c r="C385" s="176"/>
      <c r="D385" s="176"/>
      <c r="E385" s="176"/>
      <c r="F385" s="176"/>
      <c r="G385" s="176"/>
      <c r="H385" s="176"/>
      <c r="I385" s="176"/>
      <c r="J385" s="176"/>
      <c r="K385" s="176"/>
      <c r="L385" s="176"/>
      <c r="M385" s="176"/>
      <c r="N385" s="176"/>
      <c r="O385" s="176"/>
      <c r="P385" s="176"/>
      <c r="Q385" s="176"/>
      <c r="R385" s="176"/>
      <c r="S385" s="176"/>
      <c r="T385" s="176"/>
      <c r="U385" s="176"/>
      <c r="V385" s="176"/>
      <c r="W385" s="176"/>
      <c r="X385" s="176"/>
      <c r="Y385" s="176"/>
      <c r="Z385" s="176"/>
      <c r="AA385" s="176"/>
      <c r="AB385" s="176"/>
      <c r="AC385" s="176"/>
      <c r="AD385" s="176"/>
      <c r="AE385" s="176"/>
      <c r="AF385" s="176"/>
      <c r="AG385" s="176"/>
      <c r="AH385" s="176"/>
      <c r="AI385" s="176"/>
      <c r="AJ385" s="176"/>
      <c r="AK385" s="176"/>
      <c r="AL385" s="176"/>
      <c r="AM385" s="176"/>
      <c r="AN385" s="176"/>
      <c r="AO385" s="176"/>
      <c r="AP385" s="176"/>
      <c r="AQ385" s="176"/>
      <c r="AR385" s="176"/>
      <c r="AS385" s="176"/>
      <c r="AT385" s="176"/>
      <c r="AU385" s="176"/>
      <c r="AV385" s="176"/>
      <c r="AW385" s="176"/>
      <c r="AX385" s="176"/>
      <c r="AY385" s="176"/>
      <c r="AZ385" s="176"/>
      <c r="BA385" s="176"/>
      <c r="BB385" s="176"/>
    </row>
    <row r="386" ht="15.75" customHeight="1">
      <c r="A386" s="176"/>
      <c r="B386" s="176"/>
      <c r="C386" s="176"/>
      <c r="D386" s="176"/>
      <c r="E386" s="176"/>
      <c r="F386" s="176"/>
      <c r="G386" s="176"/>
      <c r="H386" s="176"/>
      <c r="I386" s="176"/>
      <c r="J386" s="176"/>
      <c r="K386" s="176"/>
      <c r="L386" s="176"/>
      <c r="M386" s="176"/>
      <c r="N386" s="176"/>
      <c r="O386" s="176"/>
      <c r="P386" s="176"/>
      <c r="Q386" s="176"/>
      <c r="R386" s="176"/>
      <c r="S386" s="176"/>
      <c r="T386" s="176"/>
      <c r="U386" s="176"/>
      <c r="V386" s="176"/>
      <c r="W386" s="176"/>
      <c r="X386" s="176"/>
      <c r="Y386" s="176"/>
      <c r="Z386" s="176"/>
      <c r="AA386" s="176"/>
      <c r="AB386" s="176"/>
      <c r="AC386" s="176"/>
      <c r="AD386" s="176"/>
      <c r="AE386" s="176"/>
      <c r="AF386" s="176"/>
      <c r="AG386" s="176"/>
      <c r="AH386" s="176"/>
      <c r="AI386" s="176"/>
      <c r="AJ386" s="176"/>
      <c r="AK386" s="176"/>
      <c r="AL386" s="176"/>
      <c r="AM386" s="176"/>
      <c r="AN386" s="176"/>
      <c r="AO386" s="176"/>
      <c r="AP386" s="176"/>
      <c r="AQ386" s="176"/>
      <c r="AR386" s="176"/>
      <c r="AS386" s="176"/>
      <c r="AT386" s="176"/>
      <c r="AU386" s="176"/>
      <c r="AV386" s="176"/>
      <c r="AW386" s="176"/>
      <c r="AX386" s="176"/>
      <c r="AY386" s="176"/>
      <c r="AZ386" s="176"/>
      <c r="BA386" s="176"/>
      <c r="BB386" s="176"/>
    </row>
    <row r="387" ht="15.75" customHeight="1">
      <c r="A387" s="176"/>
      <c r="B387" s="176"/>
      <c r="C387" s="176"/>
      <c r="D387" s="176"/>
      <c r="E387" s="176"/>
      <c r="F387" s="176"/>
      <c r="G387" s="176"/>
      <c r="H387" s="176"/>
      <c r="I387" s="176"/>
      <c r="J387" s="176"/>
      <c r="K387" s="176"/>
      <c r="L387" s="176"/>
      <c r="M387" s="176"/>
      <c r="N387" s="176"/>
      <c r="O387" s="176"/>
      <c r="P387" s="176"/>
      <c r="Q387" s="176"/>
      <c r="R387" s="176"/>
      <c r="S387" s="176"/>
      <c r="T387" s="176"/>
      <c r="U387" s="176"/>
      <c r="V387" s="176"/>
      <c r="W387" s="176"/>
      <c r="X387" s="176"/>
      <c r="Y387" s="176"/>
      <c r="Z387" s="176"/>
      <c r="AA387" s="176"/>
      <c r="AB387" s="176"/>
      <c r="AC387" s="176"/>
      <c r="AD387" s="176"/>
      <c r="AE387" s="176"/>
      <c r="AF387" s="176"/>
      <c r="AG387" s="176"/>
      <c r="AH387" s="176"/>
      <c r="AI387" s="176"/>
      <c r="AJ387" s="176"/>
      <c r="AK387" s="176"/>
      <c r="AL387" s="176"/>
      <c r="AM387" s="176"/>
      <c r="AN387" s="176"/>
      <c r="AO387" s="176"/>
      <c r="AP387" s="176"/>
      <c r="AQ387" s="176"/>
      <c r="AR387" s="176"/>
      <c r="AS387" s="176"/>
      <c r="AT387" s="176"/>
      <c r="AU387" s="176"/>
      <c r="AV387" s="176"/>
      <c r="AW387" s="176"/>
      <c r="AX387" s="176"/>
      <c r="AY387" s="176"/>
      <c r="AZ387" s="176"/>
      <c r="BA387" s="176"/>
      <c r="BB387" s="176"/>
    </row>
    <row r="388" ht="15.75" customHeight="1">
      <c r="A388" s="176"/>
      <c r="B388" s="176"/>
      <c r="C388" s="176"/>
      <c r="D388" s="176"/>
      <c r="E388" s="176"/>
      <c r="F388" s="176"/>
      <c r="G388" s="176"/>
      <c r="H388" s="176"/>
      <c r="I388" s="176"/>
      <c r="J388" s="176"/>
      <c r="K388" s="176"/>
      <c r="L388" s="176"/>
      <c r="M388" s="176"/>
      <c r="N388" s="176"/>
      <c r="O388" s="176"/>
      <c r="P388" s="176"/>
      <c r="Q388" s="176"/>
      <c r="R388" s="176"/>
      <c r="S388" s="176"/>
      <c r="T388" s="176"/>
      <c r="U388" s="176"/>
      <c r="V388" s="176"/>
      <c r="W388" s="176"/>
      <c r="X388" s="176"/>
      <c r="Y388" s="176"/>
      <c r="Z388" s="176"/>
      <c r="AA388" s="176"/>
      <c r="AB388" s="176"/>
      <c r="AC388" s="176"/>
      <c r="AD388" s="176"/>
      <c r="AE388" s="176"/>
      <c r="AF388" s="176"/>
      <c r="AG388" s="176"/>
      <c r="AH388" s="176"/>
      <c r="AI388" s="176"/>
      <c r="AJ388" s="176"/>
      <c r="AK388" s="176"/>
      <c r="AL388" s="176"/>
      <c r="AM388" s="176"/>
      <c r="AN388" s="176"/>
      <c r="AO388" s="176"/>
      <c r="AP388" s="176"/>
      <c r="AQ388" s="176"/>
      <c r="AR388" s="176"/>
      <c r="AS388" s="176"/>
      <c r="AT388" s="176"/>
      <c r="AU388" s="176"/>
      <c r="AV388" s="176"/>
      <c r="AW388" s="176"/>
      <c r="AX388" s="176"/>
      <c r="AY388" s="176"/>
      <c r="AZ388" s="176"/>
      <c r="BA388" s="176"/>
      <c r="BB388" s="176"/>
    </row>
    <row r="389" ht="15.75" customHeight="1">
      <c r="A389" s="176"/>
      <c r="B389" s="176"/>
      <c r="C389" s="176"/>
      <c r="D389" s="176"/>
      <c r="E389" s="176"/>
      <c r="F389" s="176"/>
      <c r="G389" s="176"/>
      <c r="H389" s="176"/>
      <c r="I389" s="176"/>
      <c r="J389" s="176"/>
      <c r="K389" s="176"/>
      <c r="L389" s="176"/>
      <c r="M389" s="176"/>
      <c r="N389" s="176"/>
      <c r="O389" s="176"/>
      <c r="P389" s="176"/>
      <c r="Q389" s="176"/>
      <c r="R389" s="176"/>
      <c r="S389" s="176"/>
      <c r="T389" s="176"/>
      <c r="U389" s="176"/>
      <c r="V389" s="176"/>
      <c r="W389" s="176"/>
      <c r="X389" s="176"/>
      <c r="Y389" s="176"/>
      <c r="Z389" s="176"/>
      <c r="AA389" s="176"/>
      <c r="AB389" s="176"/>
      <c r="AC389" s="176"/>
      <c r="AD389" s="176"/>
      <c r="AE389" s="176"/>
      <c r="AF389" s="176"/>
      <c r="AG389" s="176"/>
      <c r="AH389" s="176"/>
      <c r="AI389" s="176"/>
      <c r="AJ389" s="176"/>
      <c r="AK389" s="176"/>
      <c r="AL389" s="176"/>
      <c r="AM389" s="176"/>
      <c r="AN389" s="176"/>
      <c r="AO389" s="176"/>
      <c r="AP389" s="176"/>
      <c r="AQ389" s="176"/>
      <c r="AR389" s="176"/>
      <c r="AS389" s="176"/>
      <c r="AT389" s="176"/>
      <c r="AU389" s="176"/>
      <c r="AV389" s="176"/>
      <c r="AW389" s="176"/>
      <c r="AX389" s="176"/>
      <c r="AY389" s="176"/>
      <c r="AZ389" s="176"/>
      <c r="BA389" s="176"/>
      <c r="BB389" s="176"/>
    </row>
    <row r="390" ht="15.75" customHeight="1">
      <c r="A390" s="176"/>
      <c r="B390" s="176"/>
      <c r="C390" s="176"/>
      <c r="D390" s="176"/>
      <c r="E390" s="176"/>
      <c r="F390" s="176"/>
      <c r="G390" s="176"/>
      <c r="H390" s="176"/>
      <c r="I390" s="176"/>
      <c r="J390" s="176"/>
      <c r="K390" s="176"/>
      <c r="L390" s="176"/>
      <c r="M390" s="176"/>
      <c r="N390" s="176"/>
      <c r="O390" s="176"/>
      <c r="P390" s="176"/>
      <c r="Q390" s="176"/>
      <c r="R390" s="176"/>
      <c r="S390" s="176"/>
      <c r="T390" s="176"/>
      <c r="U390" s="176"/>
      <c r="V390" s="176"/>
      <c r="W390" s="176"/>
      <c r="X390" s="176"/>
      <c r="Y390" s="176"/>
      <c r="Z390" s="176"/>
      <c r="AA390" s="176"/>
      <c r="AB390" s="176"/>
      <c r="AC390" s="176"/>
      <c r="AD390" s="176"/>
      <c r="AE390" s="176"/>
      <c r="AF390" s="176"/>
      <c r="AG390" s="176"/>
      <c r="AH390" s="176"/>
      <c r="AI390" s="176"/>
      <c r="AJ390" s="176"/>
      <c r="AK390" s="176"/>
      <c r="AL390" s="176"/>
      <c r="AM390" s="176"/>
      <c r="AN390" s="176"/>
      <c r="AO390" s="176"/>
      <c r="AP390" s="176"/>
      <c r="AQ390" s="176"/>
      <c r="AR390" s="176"/>
      <c r="AS390" s="176"/>
      <c r="AT390" s="176"/>
      <c r="AU390" s="176"/>
      <c r="AV390" s="176"/>
      <c r="AW390" s="176"/>
      <c r="AX390" s="176"/>
      <c r="AY390" s="176"/>
      <c r="AZ390" s="176"/>
      <c r="BA390" s="176"/>
      <c r="BB390" s="176"/>
    </row>
    <row r="391" ht="15.75" customHeight="1">
      <c r="A391" s="176"/>
      <c r="B391" s="176"/>
      <c r="C391" s="176"/>
      <c r="D391" s="176"/>
      <c r="E391" s="176"/>
      <c r="F391" s="176"/>
      <c r="G391" s="176"/>
      <c r="H391" s="176"/>
      <c r="I391" s="176"/>
      <c r="J391" s="176"/>
      <c r="K391" s="176"/>
      <c r="L391" s="176"/>
      <c r="M391" s="176"/>
      <c r="N391" s="176"/>
      <c r="O391" s="176"/>
      <c r="P391" s="176"/>
      <c r="Q391" s="176"/>
      <c r="R391" s="176"/>
      <c r="S391" s="176"/>
      <c r="T391" s="176"/>
      <c r="U391" s="176"/>
      <c r="V391" s="176"/>
      <c r="W391" s="176"/>
      <c r="X391" s="176"/>
      <c r="Y391" s="176"/>
      <c r="Z391" s="176"/>
      <c r="AA391" s="176"/>
      <c r="AB391" s="176"/>
      <c r="AC391" s="176"/>
      <c r="AD391" s="176"/>
      <c r="AE391" s="176"/>
      <c r="AF391" s="176"/>
      <c r="AG391" s="176"/>
      <c r="AH391" s="176"/>
      <c r="AI391" s="176"/>
      <c r="AJ391" s="176"/>
      <c r="AK391" s="176"/>
      <c r="AL391" s="176"/>
      <c r="AM391" s="176"/>
      <c r="AN391" s="176"/>
      <c r="AO391" s="176"/>
      <c r="AP391" s="176"/>
      <c r="AQ391" s="176"/>
      <c r="AR391" s="176"/>
      <c r="AS391" s="176"/>
      <c r="AT391" s="176"/>
      <c r="AU391" s="176"/>
      <c r="AV391" s="176"/>
      <c r="AW391" s="176"/>
      <c r="AX391" s="176"/>
      <c r="AY391" s="176"/>
      <c r="AZ391" s="176"/>
      <c r="BA391" s="176"/>
      <c r="BB391" s="176"/>
    </row>
    <row r="392" ht="15.75" customHeight="1">
      <c r="A392" s="176"/>
      <c r="B392" s="176"/>
      <c r="C392" s="176"/>
      <c r="D392" s="176"/>
      <c r="E392" s="176"/>
      <c r="F392" s="176"/>
      <c r="G392" s="176"/>
      <c r="H392" s="176"/>
      <c r="I392" s="176"/>
      <c r="J392" s="176"/>
      <c r="K392" s="176"/>
      <c r="L392" s="176"/>
      <c r="M392" s="176"/>
      <c r="N392" s="176"/>
      <c r="O392" s="176"/>
      <c r="P392" s="176"/>
      <c r="Q392" s="176"/>
      <c r="R392" s="176"/>
      <c r="S392" s="176"/>
      <c r="T392" s="176"/>
      <c r="U392" s="176"/>
      <c r="V392" s="176"/>
      <c r="W392" s="176"/>
      <c r="X392" s="176"/>
      <c r="Y392" s="176"/>
      <c r="Z392" s="176"/>
      <c r="AA392" s="176"/>
      <c r="AB392" s="176"/>
      <c r="AC392" s="176"/>
      <c r="AD392" s="176"/>
      <c r="AE392" s="176"/>
      <c r="AF392" s="176"/>
      <c r="AG392" s="176"/>
      <c r="AH392" s="176"/>
      <c r="AI392" s="176"/>
      <c r="AJ392" s="176"/>
      <c r="AK392" s="176"/>
      <c r="AL392" s="176"/>
      <c r="AM392" s="176"/>
      <c r="AN392" s="176"/>
      <c r="AO392" s="176"/>
      <c r="AP392" s="176"/>
      <c r="AQ392" s="176"/>
      <c r="AR392" s="176"/>
      <c r="AS392" s="176"/>
      <c r="AT392" s="176"/>
      <c r="AU392" s="176"/>
      <c r="AV392" s="176"/>
      <c r="AW392" s="176"/>
      <c r="AX392" s="176"/>
      <c r="AY392" s="176"/>
      <c r="AZ392" s="176"/>
      <c r="BA392" s="176"/>
      <c r="BB392" s="176"/>
    </row>
    <row r="393" ht="15.75" customHeight="1">
      <c r="A393" s="176"/>
      <c r="B393" s="176"/>
      <c r="C393" s="176"/>
      <c r="D393" s="176"/>
      <c r="E393" s="176"/>
      <c r="F393" s="176"/>
      <c r="G393" s="176"/>
      <c r="H393" s="176"/>
      <c r="I393" s="176"/>
      <c r="J393" s="176"/>
      <c r="K393" s="176"/>
      <c r="L393" s="176"/>
      <c r="M393" s="176"/>
      <c r="N393" s="176"/>
      <c r="O393" s="176"/>
      <c r="P393" s="176"/>
      <c r="Q393" s="176"/>
      <c r="R393" s="176"/>
      <c r="S393" s="176"/>
      <c r="T393" s="176"/>
      <c r="U393" s="176"/>
      <c r="V393" s="176"/>
      <c r="W393" s="176"/>
      <c r="X393" s="176"/>
      <c r="Y393" s="176"/>
      <c r="Z393" s="176"/>
      <c r="AA393" s="176"/>
      <c r="AB393" s="176"/>
      <c r="AC393" s="176"/>
      <c r="AD393" s="176"/>
      <c r="AE393" s="176"/>
      <c r="AF393" s="176"/>
      <c r="AG393" s="176"/>
      <c r="AH393" s="176"/>
      <c r="AI393" s="176"/>
      <c r="AJ393" s="176"/>
      <c r="AK393" s="176"/>
      <c r="AL393" s="176"/>
      <c r="AM393" s="176"/>
      <c r="AN393" s="176"/>
      <c r="AO393" s="176"/>
      <c r="AP393" s="176"/>
      <c r="AQ393" s="176"/>
      <c r="AR393" s="176"/>
      <c r="AS393" s="176"/>
      <c r="AT393" s="176"/>
      <c r="AU393" s="176"/>
      <c r="AV393" s="176"/>
      <c r="AW393" s="176"/>
      <c r="AX393" s="176"/>
      <c r="AY393" s="176"/>
      <c r="AZ393" s="176"/>
      <c r="BA393" s="176"/>
      <c r="BB393" s="176"/>
    </row>
    <row r="394" ht="15.75" customHeight="1">
      <c r="A394" s="176"/>
      <c r="B394" s="176"/>
      <c r="C394" s="176"/>
      <c r="D394" s="176"/>
      <c r="E394" s="176"/>
      <c r="F394" s="176"/>
      <c r="G394" s="176"/>
      <c r="H394" s="176"/>
      <c r="I394" s="176"/>
      <c r="J394" s="176"/>
      <c r="K394" s="176"/>
      <c r="L394" s="176"/>
      <c r="M394" s="176"/>
      <c r="N394" s="176"/>
      <c r="O394" s="176"/>
      <c r="P394" s="176"/>
      <c r="Q394" s="176"/>
      <c r="R394" s="176"/>
      <c r="S394" s="176"/>
      <c r="T394" s="176"/>
      <c r="U394" s="176"/>
      <c r="V394" s="176"/>
      <c r="W394" s="176"/>
      <c r="X394" s="176"/>
      <c r="Y394" s="176"/>
      <c r="Z394" s="176"/>
      <c r="AA394" s="176"/>
      <c r="AB394" s="176"/>
      <c r="AC394" s="176"/>
      <c r="AD394" s="176"/>
      <c r="AE394" s="176"/>
      <c r="AF394" s="176"/>
      <c r="AG394" s="176"/>
      <c r="AH394" s="176"/>
      <c r="AI394" s="176"/>
      <c r="AJ394" s="176"/>
      <c r="AK394" s="176"/>
      <c r="AL394" s="176"/>
      <c r="AM394" s="176"/>
      <c r="AN394" s="176"/>
      <c r="AO394" s="176"/>
      <c r="AP394" s="176"/>
      <c r="AQ394" s="176"/>
      <c r="AR394" s="176"/>
      <c r="AS394" s="176"/>
      <c r="AT394" s="176"/>
      <c r="AU394" s="176"/>
      <c r="AV394" s="176"/>
      <c r="AW394" s="176"/>
      <c r="AX394" s="176"/>
      <c r="AY394" s="176"/>
      <c r="AZ394" s="176"/>
      <c r="BA394" s="176"/>
      <c r="BB394" s="176"/>
    </row>
    <row r="395" ht="15.75" customHeight="1">
      <c r="A395" s="176"/>
      <c r="B395" s="176"/>
      <c r="C395" s="176"/>
      <c r="D395" s="176"/>
      <c r="E395" s="176"/>
      <c r="F395" s="176"/>
      <c r="G395" s="176"/>
      <c r="H395" s="176"/>
      <c r="I395" s="176"/>
      <c r="J395" s="176"/>
      <c r="K395" s="176"/>
      <c r="L395" s="176"/>
      <c r="M395" s="176"/>
      <c r="N395" s="176"/>
      <c r="O395" s="176"/>
      <c r="P395" s="176"/>
      <c r="Q395" s="176"/>
      <c r="R395" s="176"/>
      <c r="S395" s="176"/>
      <c r="T395" s="176"/>
      <c r="U395" s="176"/>
      <c r="V395" s="176"/>
      <c r="W395" s="176"/>
      <c r="X395" s="176"/>
      <c r="Y395" s="176"/>
      <c r="Z395" s="176"/>
      <c r="AA395" s="176"/>
      <c r="AB395" s="176"/>
      <c r="AC395" s="176"/>
      <c r="AD395" s="176"/>
      <c r="AE395" s="176"/>
      <c r="AF395" s="176"/>
      <c r="AG395" s="176"/>
      <c r="AH395" s="176"/>
      <c r="AI395" s="176"/>
      <c r="AJ395" s="176"/>
      <c r="AK395" s="176"/>
      <c r="AL395" s="176"/>
      <c r="AM395" s="176"/>
      <c r="AN395" s="176"/>
      <c r="AO395" s="176"/>
      <c r="AP395" s="176"/>
      <c r="AQ395" s="176"/>
      <c r="AR395" s="176"/>
      <c r="AS395" s="176"/>
      <c r="AT395" s="176"/>
      <c r="AU395" s="176"/>
      <c r="AV395" s="176"/>
      <c r="AW395" s="176"/>
      <c r="AX395" s="176"/>
      <c r="AY395" s="176"/>
      <c r="AZ395" s="176"/>
      <c r="BA395" s="176"/>
      <c r="BB395" s="176"/>
    </row>
    <row r="396" ht="15.75" customHeight="1">
      <c r="A396" s="176"/>
      <c r="B396" s="176"/>
      <c r="C396" s="176"/>
      <c r="D396" s="176"/>
      <c r="E396" s="176"/>
      <c r="F396" s="176"/>
      <c r="G396" s="176"/>
      <c r="H396" s="176"/>
      <c r="I396" s="176"/>
      <c r="J396" s="176"/>
      <c r="K396" s="176"/>
      <c r="L396" s="176"/>
      <c r="M396" s="176"/>
      <c r="N396" s="176"/>
      <c r="O396" s="176"/>
      <c r="P396" s="176"/>
      <c r="Q396" s="176"/>
      <c r="R396" s="176"/>
      <c r="S396" s="176"/>
      <c r="T396" s="176"/>
      <c r="U396" s="176"/>
      <c r="V396" s="176"/>
      <c r="W396" s="176"/>
      <c r="X396" s="176"/>
      <c r="Y396" s="176"/>
      <c r="Z396" s="176"/>
      <c r="AA396" s="176"/>
      <c r="AB396" s="176"/>
      <c r="AC396" s="176"/>
      <c r="AD396" s="176"/>
      <c r="AE396" s="176"/>
      <c r="AF396" s="176"/>
      <c r="AG396" s="176"/>
      <c r="AH396" s="176"/>
      <c r="AI396" s="176"/>
      <c r="AJ396" s="176"/>
      <c r="AK396" s="176"/>
      <c r="AL396" s="176"/>
      <c r="AM396" s="176"/>
      <c r="AN396" s="176"/>
      <c r="AO396" s="176"/>
      <c r="AP396" s="176"/>
      <c r="AQ396" s="176"/>
      <c r="AR396" s="176"/>
      <c r="AS396" s="176"/>
      <c r="AT396" s="176"/>
      <c r="AU396" s="176"/>
      <c r="AV396" s="176"/>
      <c r="AW396" s="176"/>
      <c r="AX396" s="176"/>
      <c r="AY396" s="176"/>
      <c r="AZ396" s="176"/>
      <c r="BA396" s="176"/>
      <c r="BB396" s="176"/>
    </row>
    <row r="397" ht="15.75" customHeight="1">
      <c r="A397" s="176"/>
      <c r="B397" s="176"/>
      <c r="C397" s="176"/>
      <c r="D397" s="176"/>
      <c r="E397" s="176"/>
      <c r="F397" s="176"/>
      <c r="G397" s="176"/>
      <c r="H397" s="176"/>
      <c r="I397" s="176"/>
      <c r="J397" s="176"/>
      <c r="K397" s="176"/>
      <c r="L397" s="176"/>
      <c r="M397" s="176"/>
      <c r="N397" s="176"/>
      <c r="O397" s="176"/>
      <c r="P397" s="176"/>
      <c r="Q397" s="176"/>
      <c r="R397" s="176"/>
      <c r="S397" s="176"/>
      <c r="T397" s="176"/>
      <c r="U397" s="176"/>
      <c r="V397" s="176"/>
      <c r="W397" s="176"/>
      <c r="X397" s="176"/>
      <c r="Y397" s="176"/>
      <c r="Z397" s="176"/>
      <c r="AA397" s="176"/>
      <c r="AB397" s="176"/>
      <c r="AC397" s="176"/>
      <c r="AD397" s="176"/>
      <c r="AE397" s="176"/>
      <c r="AF397" s="176"/>
      <c r="AG397" s="176"/>
      <c r="AH397" s="176"/>
      <c r="AI397" s="176"/>
      <c r="AJ397" s="176"/>
      <c r="AK397" s="176"/>
      <c r="AL397" s="176"/>
      <c r="AM397" s="176"/>
      <c r="AN397" s="176"/>
      <c r="AO397" s="176"/>
      <c r="AP397" s="176"/>
      <c r="AQ397" s="176"/>
      <c r="AR397" s="176"/>
      <c r="AS397" s="176"/>
      <c r="AT397" s="176"/>
      <c r="AU397" s="176"/>
      <c r="AV397" s="176"/>
      <c r="AW397" s="176"/>
      <c r="AX397" s="176"/>
      <c r="AY397" s="176"/>
      <c r="AZ397" s="176"/>
      <c r="BA397" s="176"/>
      <c r="BB397" s="176"/>
    </row>
    <row r="398" ht="15.75" customHeight="1">
      <c r="A398" s="176"/>
      <c r="B398" s="176"/>
      <c r="C398" s="176"/>
      <c r="D398" s="176"/>
      <c r="E398" s="176"/>
      <c r="F398" s="176"/>
      <c r="G398" s="176"/>
      <c r="H398" s="176"/>
      <c r="I398" s="176"/>
      <c r="J398" s="176"/>
      <c r="K398" s="176"/>
      <c r="L398" s="176"/>
      <c r="M398" s="176"/>
      <c r="N398" s="176"/>
      <c r="O398" s="176"/>
      <c r="P398" s="176"/>
      <c r="Q398" s="176"/>
      <c r="R398" s="176"/>
      <c r="S398" s="176"/>
      <c r="T398" s="176"/>
      <c r="U398" s="176"/>
      <c r="V398" s="176"/>
      <c r="W398" s="176"/>
      <c r="X398" s="176"/>
      <c r="Y398" s="176"/>
      <c r="Z398" s="176"/>
      <c r="AA398" s="176"/>
      <c r="AB398" s="176"/>
      <c r="AC398" s="176"/>
      <c r="AD398" s="176"/>
      <c r="AE398" s="176"/>
      <c r="AF398" s="176"/>
      <c r="AG398" s="176"/>
      <c r="AH398" s="176"/>
      <c r="AI398" s="176"/>
      <c r="AJ398" s="176"/>
      <c r="AK398" s="176"/>
      <c r="AL398" s="176"/>
      <c r="AM398" s="176"/>
      <c r="AN398" s="176"/>
      <c r="AO398" s="176"/>
      <c r="AP398" s="176"/>
      <c r="AQ398" s="176"/>
      <c r="AR398" s="176"/>
      <c r="AS398" s="176"/>
      <c r="AT398" s="176"/>
      <c r="AU398" s="176"/>
      <c r="AV398" s="176"/>
      <c r="AW398" s="176"/>
      <c r="AX398" s="176"/>
      <c r="AY398" s="176"/>
      <c r="AZ398" s="176"/>
      <c r="BA398" s="176"/>
      <c r="BB398" s="176"/>
    </row>
    <row r="399" ht="15.75" customHeight="1">
      <c r="A399" s="176"/>
      <c r="B399" s="176"/>
      <c r="C399" s="176"/>
      <c r="D399" s="176"/>
      <c r="E399" s="176"/>
      <c r="F399" s="176"/>
      <c r="G399" s="176"/>
      <c r="H399" s="176"/>
      <c r="I399" s="176"/>
      <c r="J399" s="176"/>
      <c r="K399" s="176"/>
      <c r="L399" s="176"/>
      <c r="M399" s="176"/>
      <c r="N399" s="176"/>
      <c r="O399" s="176"/>
      <c r="P399" s="176"/>
      <c r="Q399" s="176"/>
      <c r="R399" s="176"/>
      <c r="S399" s="176"/>
      <c r="T399" s="176"/>
      <c r="U399" s="176"/>
      <c r="V399" s="176"/>
      <c r="W399" s="176"/>
      <c r="X399" s="176"/>
      <c r="Y399" s="176"/>
      <c r="Z399" s="176"/>
      <c r="AA399" s="176"/>
      <c r="AB399" s="176"/>
      <c r="AC399" s="176"/>
      <c r="AD399" s="176"/>
      <c r="AE399" s="176"/>
      <c r="AF399" s="176"/>
      <c r="AG399" s="176"/>
      <c r="AH399" s="176"/>
      <c r="AI399" s="176"/>
      <c r="AJ399" s="176"/>
      <c r="AK399" s="176"/>
      <c r="AL399" s="176"/>
      <c r="AM399" s="176"/>
      <c r="AN399" s="176"/>
      <c r="AO399" s="176"/>
      <c r="AP399" s="176"/>
      <c r="AQ399" s="176"/>
      <c r="AR399" s="176"/>
      <c r="AS399" s="176"/>
      <c r="AT399" s="176"/>
      <c r="AU399" s="176"/>
      <c r="AV399" s="176"/>
      <c r="AW399" s="176"/>
      <c r="AX399" s="176"/>
      <c r="AY399" s="176"/>
      <c r="AZ399" s="176"/>
      <c r="BA399" s="176"/>
      <c r="BB399" s="176"/>
    </row>
    <row r="400" ht="15.75" customHeight="1">
      <c r="A400" s="176"/>
      <c r="B400" s="176"/>
      <c r="C400" s="176"/>
      <c r="D400" s="176"/>
      <c r="E400" s="176"/>
      <c r="F400" s="176"/>
      <c r="G400" s="176"/>
      <c r="H400" s="176"/>
      <c r="I400" s="176"/>
      <c r="J400" s="176"/>
      <c r="K400" s="176"/>
      <c r="L400" s="176"/>
      <c r="M400" s="176"/>
      <c r="N400" s="176"/>
      <c r="O400" s="176"/>
      <c r="P400" s="176"/>
      <c r="Q400" s="176"/>
      <c r="R400" s="176"/>
      <c r="S400" s="176"/>
      <c r="T400" s="176"/>
      <c r="U400" s="176"/>
      <c r="V400" s="176"/>
      <c r="W400" s="176"/>
      <c r="X400" s="176"/>
      <c r="Y400" s="176"/>
      <c r="Z400" s="176"/>
      <c r="AA400" s="176"/>
      <c r="AB400" s="176"/>
      <c r="AC400" s="176"/>
      <c r="AD400" s="176"/>
      <c r="AE400" s="176"/>
      <c r="AF400" s="176"/>
      <c r="AG400" s="176"/>
      <c r="AH400" s="176"/>
      <c r="AI400" s="176"/>
      <c r="AJ400" s="176"/>
      <c r="AK400" s="176"/>
      <c r="AL400" s="176"/>
      <c r="AM400" s="176"/>
      <c r="AN400" s="176"/>
      <c r="AO400" s="176"/>
      <c r="AP400" s="176"/>
      <c r="AQ400" s="176"/>
      <c r="AR400" s="176"/>
      <c r="AS400" s="176"/>
      <c r="AT400" s="176"/>
      <c r="AU400" s="176"/>
      <c r="AV400" s="176"/>
      <c r="AW400" s="176"/>
      <c r="AX400" s="176"/>
      <c r="AY400" s="176"/>
      <c r="AZ400" s="176"/>
      <c r="BA400" s="176"/>
      <c r="BB400" s="176"/>
    </row>
    <row r="401" ht="15.75" customHeight="1">
      <c r="A401" s="176"/>
      <c r="B401" s="176"/>
      <c r="C401" s="176"/>
      <c r="D401" s="176"/>
      <c r="E401" s="176"/>
      <c r="F401" s="176"/>
      <c r="G401" s="176"/>
      <c r="H401" s="176"/>
      <c r="I401" s="176"/>
      <c r="J401" s="176"/>
      <c r="K401" s="176"/>
      <c r="L401" s="176"/>
      <c r="M401" s="176"/>
      <c r="N401" s="176"/>
      <c r="O401" s="176"/>
      <c r="P401" s="176"/>
      <c r="Q401" s="176"/>
      <c r="R401" s="176"/>
      <c r="S401" s="176"/>
      <c r="T401" s="176"/>
      <c r="U401" s="176"/>
      <c r="V401" s="176"/>
      <c r="W401" s="176"/>
      <c r="X401" s="176"/>
      <c r="Y401" s="176"/>
      <c r="Z401" s="176"/>
      <c r="AA401" s="176"/>
      <c r="AB401" s="176"/>
      <c r="AC401" s="176"/>
      <c r="AD401" s="176"/>
      <c r="AE401" s="176"/>
      <c r="AF401" s="176"/>
      <c r="AG401" s="176"/>
      <c r="AH401" s="176"/>
      <c r="AI401" s="176"/>
      <c r="AJ401" s="176"/>
      <c r="AK401" s="176"/>
      <c r="AL401" s="176"/>
      <c r="AM401" s="176"/>
      <c r="AN401" s="176"/>
      <c r="AO401" s="176"/>
      <c r="AP401" s="176"/>
      <c r="AQ401" s="176"/>
      <c r="AR401" s="176"/>
      <c r="AS401" s="176"/>
      <c r="AT401" s="176"/>
      <c r="AU401" s="176"/>
      <c r="AV401" s="176"/>
      <c r="AW401" s="176"/>
      <c r="AX401" s="176"/>
      <c r="AY401" s="176"/>
      <c r="AZ401" s="176"/>
      <c r="BA401" s="176"/>
      <c r="BB401" s="176"/>
    </row>
    <row r="402" ht="15.75" customHeight="1">
      <c r="A402" s="176"/>
      <c r="B402" s="176"/>
      <c r="C402" s="176"/>
      <c r="D402" s="176"/>
      <c r="E402" s="176"/>
      <c r="F402" s="176"/>
      <c r="G402" s="176"/>
      <c r="H402" s="176"/>
      <c r="I402" s="176"/>
      <c r="J402" s="176"/>
      <c r="K402" s="176"/>
      <c r="L402" s="176"/>
      <c r="M402" s="176"/>
      <c r="N402" s="176"/>
      <c r="O402" s="176"/>
      <c r="P402" s="176"/>
      <c r="Q402" s="176"/>
      <c r="R402" s="176"/>
      <c r="S402" s="176"/>
      <c r="T402" s="176"/>
      <c r="U402" s="176"/>
      <c r="V402" s="176"/>
      <c r="W402" s="176"/>
      <c r="X402" s="176"/>
      <c r="Y402" s="176"/>
      <c r="Z402" s="176"/>
      <c r="AA402" s="176"/>
      <c r="AB402" s="176"/>
      <c r="AC402" s="176"/>
      <c r="AD402" s="176"/>
      <c r="AE402" s="176"/>
      <c r="AF402" s="176"/>
      <c r="AG402" s="176"/>
      <c r="AH402" s="176"/>
      <c r="AI402" s="176"/>
      <c r="AJ402" s="176"/>
      <c r="AK402" s="176"/>
      <c r="AL402" s="176"/>
      <c r="AM402" s="176"/>
      <c r="AN402" s="176"/>
      <c r="AO402" s="176"/>
      <c r="AP402" s="176"/>
      <c r="AQ402" s="176"/>
      <c r="AR402" s="176"/>
      <c r="AS402" s="176"/>
      <c r="AT402" s="176"/>
      <c r="AU402" s="176"/>
      <c r="AV402" s="176"/>
      <c r="AW402" s="176"/>
      <c r="AX402" s="176"/>
      <c r="AY402" s="176"/>
      <c r="AZ402" s="176"/>
      <c r="BA402" s="176"/>
      <c r="BB402" s="176"/>
    </row>
    <row r="403" ht="15.75" customHeight="1">
      <c r="A403" s="176"/>
      <c r="B403" s="176"/>
      <c r="C403" s="176"/>
      <c r="D403" s="176"/>
      <c r="E403" s="176"/>
      <c r="F403" s="176"/>
      <c r="G403" s="176"/>
      <c r="H403" s="176"/>
      <c r="I403" s="176"/>
      <c r="J403" s="176"/>
      <c r="K403" s="176"/>
      <c r="L403" s="176"/>
      <c r="M403" s="176"/>
      <c r="N403" s="176"/>
      <c r="O403" s="176"/>
      <c r="P403" s="176"/>
      <c r="Q403" s="176"/>
      <c r="R403" s="176"/>
      <c r="S403" s="176"/>
      <c r="T403" s="176"/>
      <c r="U403" s="176"/>
      <c r="V403" s="176"/>
      <c r="W403" s="176"/>
      <c r="X403" s="176"/>
      <c r="Y403" s="176"/>
      <c r="Z403" s="176"/>
      <c r="AA403" s="176"/>
      <c r="AB403" s="176"/>
      <c r="AC403" s="176"/>
      <c r="AD403" s="176"/>
      <c r="AE403" s="176"/>
      <c r="AF403" s="176"/>
      <c r="AG403" s="176"/>
      <c r="AH403" s="176"/>
      <c r="AI403" s="176"/>
      <c r="AJ403" s="176"/>
      <c r="AK403" s="176"/>
      <c r="AL403" s="176"/>
      <c r="AM403" s="176"/>
      <c r="AN403" s="176"/>
      <c r="AO403" s="176"/>
      <c r="AP403" s="176"/>
      <c r="AQ403" s="176"/>
      <c r="AR403" s="176"/>
      <c r="AS403" s="176"/>
      <c r="AT403" s="176"/>
      <c r="AU403" s="176"/>
      <c r="AV403" s="176"/>
      <c r="AW403" s="176"/>
      <c r="AX403" s="176"/>
      <c r="AY403" s="176"/>
      <c r="AZ403" s="176"/>
      <c r="BA403" s="176"/>
      <c r="BB403" s="176"/>
    </row>
    <row r="404" ht="15.75" customHeight="1">
      <c r="A404" s="176"/>
      <c r="B404" s="176"/>
      <c r="C404" s="176"/>
      <c r="D404" s="176"/>
      <c r="E404" s="176"/>
      <c r="F404" s="176"/>
      <c r="G404" s="176"/>
      <c r="H404" s="176"/>
      <c r="I404" s="176"/>
      <c r="J404" s="176"/>
      <c r="K404" s="176"/>
      <c r="L404" s="176"/>
      <c r="M404" s="176"/>
      <c r="N404" s="176"/>
      <c r="O404" s="176"/>
      <c r="P404" s="176"/>
      <c r="Q404" s="176"/>
      <c r="R404" s="176"/>
      <c r="S404" s="176"/>
      <c r="T404" s="176"/>
      <c r="U404" s="176"/>
      <c r="V404" s="176"/>
      <c r="W404" s="176"/>
      <c r="X404" s="176"/>
      <c r="Y404" s="176"/>
      <c r="Z404" s="176"/>
      <c r="AA404" s="176"/>
      <c r="AB404" s="176"/>
      <c r="AC404" s="176"/>
      <c r="AD404" s="176"/>
      <c r="AE404" s="176"/>
      <c r="AF404" s="176"/>
      <c r="AG404" s="176"/>
      <c r="AH404" s="176"/>
      <c r="AI404" s="176"/>
      <c r="AJ404" s="176"/>
      <c r="AK404" s="176"/>
      <c r="AL404" s="176"/>
      <c r="AM404" s="176"/>
      <c r="AN404" s="176"/>
      <c r="AO404" s="176"/>
      <c r="AP404" s="176"/>
      <c r="AQ404" s="176"/>
      <c r="AR404" s="176"/>
      <c r="AS404" s="176"/>
      <c r="AT404" s="176"/>
      <c r="AU404" s="176"/>
      <c r="AV404" s="176"/>
      <c r="AW404" s="176"/>
      <c r="AX404" s="176"/>
      <c r="AY404" s="176"/>
      <c r="AZ404" s="176"/>
      <c r="BA404" s="176"/>
      <c r="BB404" s="176"/>
    </row>
    <row r="405" ht="15.75" customHeight="1">
      <c r="A405" s="176"/>
      <c r="B405" s="176"/>
      <c r="C405" s="176"/>
      <c r="D405" s="176"/>
      <c r="E405" s="176"/>
      <c r="F405" s="176"/>
      <c r="G405" s="176"/>
      <c r="H405" s="176"/>
      <c r="I405" s="176"/>
      <c r="J405" s="176"/>
      <c r="K405" s="176"/>
      <c r="L405" s="176"/>
      <c r="M405" s="176"/>
      <c r="N405" s="176"/>
      <c r="O405" s="176"/>
      <c r="P405" s="176"/>
      <c r="Q405" s="176"/>
      <c r="R405" s="176"/>
      <c r="S405" s="176"/>
      <c r="T405" s="176"/>
      <c r="U405" s="176"/>
      <c r="V405" s="176"/>
      <c r="W405" s="176"/>
      <c r="X405" s="176"/>
      <c r="Y405" s="176"/>
      <c r="Z405" s="176"/>
      <c r="AA405" s="176"/>
      <c r="AB405" s="176"/>
      <c r="AC405" s="176"/>
      <c r="AD405" s="176"/>
      <c r="AE405" s="176"/>
      <c r="AF405" s="176"/>
      <c r="AG405" s="176"/>
      <c r="AH405" s="176"/>
      <c r="AI405" s="176"/>
      <c r="AJ405" s="176"/>
      <c r="AK405" s="176"/>
      <c r="AL405" s="176"/>
      <c r="AM405" s="176"/>
      <c r="AN405" s="176"/>
      <c r="AO405" s="176"/>
      <c r="AP405" s="176"/>
      <c r="AQ405" s="176"/>
      <c r="AR405" s="176"/>
      <c r="AS405" s="176"/>
      <c r="AT405" s="176"/>
      <c r="AU405" s="176"/>
      <c r="AV405" s="176"/>
      <c r="AW405" s="176"/>
      <c r="AX405" s="176"/>
      <c r="AY405" s="176"/>
      <c r="AZ405" s="176"/>
      <c r="BA405" s="176"/>
      <c r="BB405" s="176"/>
    </row>
    <row r="406" ht="15.75" customHeight="1">
      <c r="A406" s="176"/>
      <c r="B406" s="176"/>
      <c r="C406" s="176"/>
      <c r="D406" s="176"/>
      <c r="E406" s="176"/>
      <c r="F406" s="176"/>
      <c r="G406" s="176"/>
      <c r="H406" s="176"/>
      <c r="I406" s="176"/>
      <c r="J406" s="176"/>
      <c r="K406" s="176"/>
      <c r="L406" s="176"/>
      <c r="M406" s="176"/>
      <c r="N406" s="176"/>
      <c r="O406" s="176"/>
      <c r="P406" s="176"/>
      <c r="Q406" s="176"/>
      <c r="R406" s="176"/>
      <c r="S406" s="176"/>
      <c r="T406" s="176"/>
      <c r="U406" s="176"/>
      <c r="V406" s="176"/>
      <c r="W406" s="176"/>
      <c r="X406" s="176"/>
      <c r="Y406" s="176"/>
      <c r="Z406" s="176"/>
      <c r="AA406" s="176"/>
      <c r="AB406" s="176"/>
      <c r="AC406" s="176"/>
      <c r="AD406" s="176"/>
      <c r="AE406" s="176"/>
      <c r="AF406" s="176"/>
      <c r="AG406" s="176"/>
      <c r="AH406" s="176"/>
      <c r="AI406" s="176"/>
      <c r="AJ406" s="176"/>
      <c r="AK406" s="176"/>
      <c r="AL406" s="176"/>
      <c r="AM406" s="176"/>
      <c r="AN406" s="176"/>
      <c r="AO406" s="176"/>
      <c r="AP406" s="176"/>
      <c r="AQ406" s="176"/>
      <c r="AR406" s="176"/>
      <c r="AS406" s="176"/>
      <c r="AT406" s="176"/>
      <c r="AU406" s="176"/>
      <c r="AV406" s="176"/>
      <c r="AW406" s="176"/>
      <c r="AX406" s="176"/>
      <c r="AY406" s="176"/>
      <c r="AZ406" s="176"/>
      <c r="BA406" s="176"/>
      <c r="BB406" s="176"/>
    </row>
    <row r="407" ht="15.75" customHeight="1">
      <c r="A407" s="176"/>
      <c r="B407" s="176"/>
      <c r="C407" s="176"/>
      <c r="D407" s="176"/>
      <c r="E407" s="176"/>
      <c r="F407" s="176"/>
      <c r="G407" s="176"/>
      <c r="H407" s="176"/>
      <c r="I407" s="176"/>
      <c r="J407" s="176"/>
      <c r="K407" s="176"/>
      <c r="L407" s="176"/>
      <c r="M407" s="176"/>
      <c r="N407" s="176"/>
      <c r="O407" s="176"/>
      <c r="P407" s="176"/>
      <c r="Q407" s="176"/>
      <c r="R407" s="176"/>
      <c r="S407" s="176"/>
      <c r="T407" s="176"/>
      <c r="U407" s="176"/>
      <c r="V407" s="176"/>
      <c r="W407" s="176"/>
      <c r="X407" s="176"/>
      <c r="Y407" s="176"/>
      <c r="Z407" s="176"/>
      <c r="AA407" s="176"/>
      <c r="AB407" s="176"/>
      <c r="AC407" s="176"/>
      <c r="AD407" s="176"/>
      <c r="AE407" s="176"/>
      <c r="AF407" s="176"/>
      <c r="AG407" s="176"/>
      <c r="AH407" s="176"/>
      <c r="AI407" s="176"/>
      <c r="AJ407" s="176"/>
      <c r="AK407" s="176"/>
      <c r="AL407" s="176"/>
      <c r="AM407" s="176"/>
      <c r="AN407" s="176"/>
      <c r="AO407" s="176"/>
      <c r="AP407" s="176"/>
      <c r="AQ407" s="176"/>
      <c r="AR407" s="176"/>
      <c r="AS407" s="176"/>
      <c r="AT407" s="176"/>
      <c r="AU407" s="176"/>
      <c r="AV407" s="176"/>
      <c r="AW407" s="176"/>
      <c r="AX407" s="176"/>
      <c r="AY407" s="176"/>
      <c r="AZ407" s="176"/>
      <c r="BA407" s="176"/>
      <c r="BB407" s="176"/>
    </row>
    <row r="408" ht="15.75" customHeight="1">
      <c r="A408" s="176"/>
      <c r="B408" s="176"/>
      <c r="C408" s="176"/>
      <c r="D408" s="176"/>
      <c r="E408" s="176"/>
      <c r="F408" s="176"/>
      <c r="G408" s="176"/>
      <c r="H408" s="176"/>
      <c r="I408" s="176"/>
      <c r="J408" s="176"/>
      <c r="K408" s="176"/>
      <c r="L408" s="176"/>
      <c r="M408" s="176"/>
      <c r="N408" s="176"/>
      <c r="O408" s="176"/>
      <c r="P408" s="176"/>
      <c r="Q408" s="176"/>
      <c r="R408" s="176"/>
      <c r="S408" s="176"/>
      <c r="T408" s="176"/>
      <c r="U408" s="176"/>
      <c r="V408" s="176"/>
      <c r="W408" s="176"/>
      <c r="X408" s="176"/>
      <c r="Y408" s="176"/>
      <c r="Z408" s="176"/>
      <c r="AA408" s="176"/>
      <c r="AB408" s="176"/>
      <c r="AC408" s="176"/>
      <c r="AD408" s="176"/>
      <c r="AE408" s="176"/>
      <c r="AF408" s="176"/>
      <c r="AG408" s="176"/>
      <c r="AH408" s="176"/>
      <c r="AI408" s="176"/>
      <c r="AJ408" s="176"/>
      <c r="AK408" s="176"/>
      <c r="AL408" s="176"/>
      <c r="AM408" s="176"/>
      <c r="AN408" s="176"/>
      <c r="AO408" s="176"/>
      <c r="AP408" s="176"/>
      <c r="AQ408" s="176"/>
      <c r="AR408" s="176"/>
      <c r="AS408" s="176"/>
      <c r="AT408" s="176"/>
      <c r="AU408" s="176"/>
      <c r="AV408" s="176"/>
      <c r="AW408" s="176"/>
      <c r="AX408" s="176"/>
      <c r="AY408" s="176"/>
      <c r="AZ408" s="176"/>
      <c r="BA408" s="176"/>
      <c r="BB408" s="176"/>
    </row>
    <row r="409" ht="15.75" customHeight="1">
      <c r="A409" s="176"/>
      <c r="B409" s="176"/>
      <c r="C409" s="176"/>
      <c r="D409" s="176"/>
      <c r="E409" s="176"/>
      <c r="F409" s="176"/>
      <c r="G409" s="176"/>
      <c r="H409" s="176"/>
      <c r="I409" s="176"/>
      <c r="J409" s="176"/>
      <c r="K409" s="176"/>
      <c r="L409" s="176"/>
      <c r="M409" s="176"/>
      <c r="N409" s="176"/>
      <c r="O409" s="176"/>
      <c r="P409" s="176"/>
      <c r="Q409" s="176"/>
      <c r="R409" s="176"/>
      <c r="S409" s="176"/>
      <c r="T409" s="176"/>
      <c r="U409" s="176"/>
      <c r="V409" s="176"/>
      <c r="W409" s="176"/>
      <c r="X409" s="176"/>
      <c r="Y409" s="176"/>
      <c r="Z409" s="176"/>
      <c r="AA409" s="176"/>
      <c r="AB409" s="176"/>
      <c r="AC409" s="176"/>
      <c r="AD409" s="176"/>
      <c r="AE409" s="176"/>
      <c r="AF409" s="176"/>
      <c r="AG409" s="176"/>
      <c r="AH409" s="176"/>
      <c r="AI409" s="176"/>
      <c r="AJ409" s="176"/>
      <c r="AK409" s="176"/>
      <c r="AL409" s="176"/>
      <c r="AM409" s="176"/>
      <c r="AN409" s="176"/>
      <c r="AO409" s="176"/>
      <c r="AP409" s="176"/>
      <c r="AQ409" s="176"/>
      <c r="AR409" s="176"/>
      <c r="AS409" s="176"/>
      <c r="AT409" s="176"/>
      <c r="AU409" s="176"/>
      <c r="AV409" s="176"/>
      <c r="AW409" s="176"/>
      <c r="AX409" s="176"/>
      <c r="AY409" s="176"/>
      <c r="AZ409" s="176"/>
      <c r="BA409" s="176"/>
      <c r="BB409" s="176"/>
    </row>
    <row r="410" ht="15.75" customHeight="1">
      <c r="A410" s="176"/>
      <c r="B410" s="176"/>
      <c r="C410" s="176"/>
      <c r="D410" s="176"/>
      <c r="E410" s="176"/>
      <c r="F410" s="176"/>
      <c r="G410" s="176"/>
      <c r="H410" s="176"/>
      <c r="I410" s="176"/>
      <c r="J410" s="176"/>
      <c r="K410" s="176"/>
      <c r="L410" s="176"/>
      <c r="M410" s="176"/>
      <c r="N410" s="176"/>
      <c r="O410" s="176"/>
      <c r="P410" s="176"/>
      <c r="Q410" s="176"/>
      <c r="R410" s="176"/>
      <c r="S410" s="176"/>
      <c r="T410" s="176"/>
      <c r="U410" s="176"/>
      <c r="V410" s="176"/>
      <c r="W410" s="176"/>
      <c r="X410" s="176"/>
      <c r="Y410" s="176"/>
      <c r="Z410" s="176"/>
      <c r="AA410" s="176"/>
      <c r="AB410" s="176"/>
      <c r="AC410" s="176"/>
      <c r="AD410" s="176"/>
      <c r="AE410" s="176"/>
      <c r="AF410" s="176"/>
      <c r="AG410" s="176"/>
      <c r="AH410" s="176"/>
      <c r="AI410" s="176"/>
      <c r="AJ410" s="176"/>
      <c r="AK410" s="176"/>
      <c r="AL410" s="176"/>
      <c r="AM410" s="176"/>
      <c r="AN410" s="176"/>
      <c r="AO410" s="176"/>
      <c r="AP410" s="176"/>
      <c r="AQ410" s="176"/>
      <c r="AR410" s="176"/>
      <c r="AS410" s="176"/>
      <c r="AT410" s="176"/>
      <c r="AU410" s="176"/>
      <c r="AV410" s="176"/>
      <c r="AW410" s="176"/>
      <c r="AX410" s="176"/>
      <c r="AY410" s="176"/>
      <c r="AZ410" s="176"/>
      <c r="BA410" s="176"/>
      <c r="BB410" s="176"/>
    </row>
    <row r="411" ht="15.75" customHeight="1">
      <c r="A411" s="176"/>
      <c r="B411" s="176"/>
      <c r="C411" s="176"/>
      <c r="D411" s="176"/>
      <c r="E411" s="176"/>
      <c r="F411" s="176"/>
      <c r="G411" s="176"/>
      <c r="H411" s="176"/>
      <c r="I411" s="176"/>
      <c r="J411" s="176"/>
      <c r="K411" s="176"/>
      <c r="L411" s="176"/>
      <c r="M411" s="176"/>
      <c r="N411" s="176"/>
      <c r="O411" s="176"/>
      <c r="P411" s="176"/>
      <c r="Q411" s="176"/>
      <c r="R411" s="176"/>
      <c r="S411" s="176"/>
      <c r="T411" s="176"/>
      <c r="U411" s="176"/>
      <c r="V411" s="176"/>
      <c r="W411" s="176"/>
      <c r="X411" s="176"/>
      <c r="Y411" s="176"/>
      <c r="Z411" s="176"/>
      <c r="AA411" s="176"/>
      <c r="AB411" s="176"/>
      <c r="AC411" s="176"/>
      <c r="AD411" s="176"/>
      <c r="AE411" s="176"/>
      <c r="AF411" s="176"/>
      <c r="AG411" s="176"/>
      <c r="AH411" s="176"/>
      <c r="AI411" s="176"/>
      <c r="AJ411" s="176"/>
      <c r="AK411" s="176"/>
      <c r="AL411" s="176"/>
      <c r="AM411" s="176"/>
      <c r="AN411" s="176"/>
      <c r="AO411" s="176"/>
      <c r="AP411" s="176"/>
      <c r="AQ411" s="176"/>
      <c r="AR411" s="176"/>
      <c r="AS411" s="176"/>
      <c r="AT411" s="176"/>
      <c r="AU411" s="176"/>
      <c r="AV411" s="176"/>
      <c r="AW411" s="176"/>
      <c r="AX411" s="176"/>
      <c r="AY411" s="176"/>
      <c r="AZ411" s="176"/>
      <c r="BA411" s="176"/>
      <c r="BB411" s="176"/>
    </row>
    <row r="412" ht="15.75" customHeight="1">
      <c r="A412" s="176"/>
      <c r="B412" s="176"/>
      <c r="C412" s="176"/>
      <c r="D412" s="176"/>
      <c r="E412" s="176"/>
      <c r="F412" s="176"/>
      <c r="G412" s="176"/>
      <c r="H412" s="176"/>
      <c r="I412" s="176"/>
      <c r="J412" s="176"/>
      <c r="K412" s="176"/>
      <c r="L412" s="176"/>
      <c r="M412" s="176"/>
      <c r="N412" s="176"/>
      <c r="O412" s="176"/>
      <c r="P412" s="176"/>
      <c r="Q412" s="176"/>
      <c r="R412" s="176"/>
      <c r="S412" s="176"/>
      <c r="T412" s="176"/>
      <c r="U412" s="176"/>
      <c r="V412" s="176"/>
      <c r="W412" s="176"/>
      <c r="X412" s="176"/>
      <c r="Y412" s="176"/>
      <c r="Z412" s="176"/>
      <c r="AA412" s="176"/>
      <c r="AB412" s="176"/>
      <c r="AC412" s="176"/>
      <c r="AD412" s="176"/>
      <c r="AE412" s="176"/>
      <c r="AF412" s="176"/>
      <c r="AG412" s="176"/>
      <c r="AH412" s="176"/>
      <c r="AI412" s="176"/>
      <c r="AJ412" s="176"/>
      <c r="AK412" s="176"/>
      <c r="AL412" s="176"/>
      <c r="AM412" s="176"/>
      <c r="AN412" s="176"/>
      <c r="AO412" s="176"/>
      <c r="AP412" s="176"/>
      <c r="AQ412" s="176"/>
      <c r="AR412" s="176"/>
      <c r="AS412" s="176"/>
      <c r="AT412" s="176"/>
      <c r="AU412" s="176"/>
      <c r="AV412" s="176"/>
      <c r="AW412" s="176"/>
      <c r="AX412" s="176"/>
      <c r="AY412" s="176"/>
      <c r="AZ412" s="176"/>
      <c r="BA412" s="176"/>
      <c r="BB412" s="176"/>
    </row>
    <row r="413" ht="15.75" customHeight="1">
      <c r="A413" s="176"/>
      <c r="B413" s="176"/>
      <c r="C413" s="176"/>
      <c r="D413" s="176"/>
      <c r="E413" s="176"/>
      <c r="F413" s="176"/>
      <c r="G413" s="176"/>
      <c r="H413" s="176"/>
      <c r="I413" s="176"/>
      <c r="J413" s="176"/>
      <c r="K413" s="176"/>
      <c r="L413" s="176"/>
      <c r="M413" s="176"/>
      <c r="N413" s="176"/>
      <c r="O413" s="176"/>
      <c r="P413" s="176"/>
      <c r="Q413" s="176"/>
      <c r="R413" s="176"/>
      <c r="S413" s="176"/>
      <c r="T413" s="176"/>
      <c r="U413" s="176"/>
      <c r="V413" s="176"/>
      <c r="W413" s="176"/>
      <c r="X413" s="176"/>
      <c r="Y413" s="176"/>
      <c r="Z413" s="176"/>
      <c r="AA413" s="176"/>
      <c r="AB413" s="176"/>
      <c r="AC413" s="176"/>
      <c r="AD413" s="176"/>
      <c r="AE413" s="176"/>
      <c r="AF413" s="176"/>
      <c r="AG413" s="176"/>
      <c r="AH413" s="176"/>
      <c r="AI413" s="176"/>
      <c r="AJ413" s="176"/>
      <c r="AK413" s="176"/>
      <c r="AL413" s="176"/>
      <c r="AM413" s="176"/>
      <c r="AN413" s="176"/>
      <c r="AO413" s="176"/>
      <c r="AP413" s="176"/>
      <c r="AQ413" s="176"/>
      <c r="AR413" s="176"/>
      <c r="AS413" s="176"/>
      <c r="AT413" s="176"/>
      <c r="AU413" s="176"/>
      <c r="AV413" s="176"/>
      <c r="AW413" s="176"/>
      <c r="AX413" s="176"/>
      <c r="AY413" s="176"/>
      <c r="AZ413" s="176"/>
      <c r="BA413" s="176"/>
      <c r="BB413" s="176"/>
    </row>
    <row r="414" ht="15.75" customHeight="1">
      <c r="A414" s="176"/>
      <c r="B414" s="176"/>
      <c r="C414" s="176"/>
      <c r="D414" s="176"/>
      <c r="E414" s="176"/>
      <c r="F414" s="176"/>
      <c r="G414" s="176"/>
      <c r="H414" s="176"/>
      <c r="I414" s="176"/>
      <c r="J414" s="176"/>
      <c r="K414" s="176"/>
      <c r="L414" s="176"/>
      <c r="M414" s="176"/>
      <c r="N414" s="176"/>
      <c r="O414" s="176"/>
      <c r="P414" s="176"/>
      <c r="Q414" s="176"/>
      <c r="R414" s="176"/>
      <c r="S414" s="176"/>
      <c r="T414" s="176"/>
      <c r="U414" s="176"/>
      <c r="V414" s="176"/>
      <c r="W414" s="176"/>
      <c r="X414" s="176"/>
      <c r="Y414" s="176"/>
      <c r="Z414" s="176"/>
      <c r="AA414" s="176"/>
      <c r="AB414" s="176"/>
      <c r="AC414" s="176"/>
      <c r="AD414" s="176"/>
      <c r="AE414" s="176"/>
      <c r="AF414" s="176"/>
      <c r="AG414" s="176"/>
      <c r="AH414" s="176"/>
      <c r="AI414" s="176"/>
      <c r="AJ414" s="176"/>
      <c r="AK414" s="176"/>
      <c r="AL414" s="176"/>
      <c r="AM414" s="176"/>
      <c r="AN414" s="176"/>
      <c r="AO414" s="176"/>
      <c r="AP414" s="176"/>
      <c r="AQ414" s="176"/>
      <c r="AR414" s="176"/>
      <c r="AS414" s="176"/>
      <c r="AT414" s="176"/>
      <c r="AU414" s="176"/>
      <c r="AV414" s="176"/>
      <c r="AW414" s="176"/>
      <c r="AX414" s="176"/>
      <c r="AY414" s="176"/>
      <c r="AZ414" s="176"/>
      <c r="BA414" s="176"/>
      <c r="BB414" s="176"/>
    </row>
    <row r="415" ht="15.75" customHeight="1">
      <c r="A415" s="176"/>
      <c r="B415" s="176"/>
      <c r="C415" s="176"/>
      <c r="D415" s="176"/>
      <c r="E415" s="176"/>
      <c r="F415" s="176"/>
      <c r="G415" s="176"/>
      <c r="H415" s="176"/>
      <c r="I415" s="176"/>
      <c r="J415" s="176"/>
      <c r="K415" s="176"/>
      <c r="L415" s="176"/>
      <c r="M415" s="176"/>
      <c r="N415" s="176"/>
      <c r="O415" s="176"/>
      <c r="P415" s="176"/>
      <c r="Q415" s="176"/>
      <c r="R415" s="176"/>
      <c r="S415" s="176"/>
      <c r="T415" s="176"/>
      <c r="U415" s="176"/>
      <c r="V415" s="176"/>
      <c r="W415" s="176"/>
      <c r="X415" s="176"/>
      <c r="Y415" s="176"/>
      <c r="Z415" s="176"/>
      <c r="AA415" s="176"/>
      <c r="AB415" s="176"/>
      <c r="AC415" s="176"/>
      <c r="AD415" s="176"/>
      <c r="AE415" s="176"/>
      <c r="AF415" s="176"/>
      <c r="AG415" s="176"/>
      <c r="AH415" s="176"/>
      <c r="AI415" s="176"/>
      <c r="AJ415" s="176"/>
      <c r="AK415" s="176"/>
      <c r="AL415" s="176"/>
      <c r="AM415" s="176"/>
      <c r="AN415" s="176"/>
      <c r="AO415" s="176"/>
      <c r="AP415" s="176"/>
      <c r="AQ415" s="176"/>
      <c r="AR415" s="176"/>
      <c r="AS415" s="176"/>
      <c r="AT415" s="176"/>
      <c r="AU415" s="176"/>
      <c r="AV415" s="176"/>
      <c r="AW415" s="176"/>
      <c r="AX415" s="176"/>
      <c r="AY415" s="176"/>
      <c r="AZ415" s="176"/>
      <c r="BA415" s="176"/>
      <c r="BB415" s="176"/>
    </row>
    <row r="416" ht="15.75" customHeight="1">
      <c r="A416" s="176"/>
      <c r="B416" s="176"/>
      <c r="C416" s="176"/>
      <c r="D416" s="176"/>
      <c r="E416" s="176"/>
      <c r="F416" s="176"/>
      <c r="G416" s="176"/>
      <c r="H416" s="176"/>
      <c r="I416" s="176"/>
      <c r="J416" s="176"/>
      <c r="K416" s="176"/>
      <c r="L416" s="176"/>
      <c r="M416" s="176"/>
      <c r="N416" s="176"/>
      <c r="O416" s="176"/>
      <c r="P416" s="176"/>
      <c r="Q416" s="176"/>
      <c r="R416" s="176"/>
      <c r="S416" s="176"/>
      <c r="T416" s="176"/>
      <c r="U416" s="176"/>
      <c r="V416" s="176"/>
      <c r="W416" s="176"/>
      <c r="X416" s="176"/>
      <c r="Y416" s="176"/>
      <c r="Z416" s="176"/>
      <c r="AA416" s="176"/>
      <c r="AB416" s="176"/>
      <c r="AC416" s="176"/>
      <c r="AD416" s="176"/>
      <c r="AE416" s="176"/>
      <c r="AF416" s="176"/>
      <c r="AG416" s="176"/>
      <c r="AH416" s="176"/>
      <c r="AI416" s="176"/>
      <c r="AJ416" s="176"/>
      <c r="AK416" s="176"/>
      <c r="AL416" s="176"/>
      <c r="AM416" s="176"/>
      <c r="AN416" s="176"/>
      <c r="AO416" s="176"/>
      <c r="AP416" s="176"/>
      <c r="AQ416" s="176"/>
      <c r="AR416" s="176"/>
      <c r="AS416" s="176"/>
      <c r="AT416" s="176"/>
      <c r="AU416" s="176"/>
      <c r="AV416" s="176"/>
      <c r="AW416" s="176"/>
      <c r="AX416" s="176"/>
      <c r="AY416" s="176"/>
      <c r="AZ416" s="176"/>
      <c r="BA416" s="176"/>
      <c r="BB416" s="176"/>
    </row>
    <row r="417" ht="15.75" customHeight="1">
      <c r="A417" s="176"/>
      <c r="B417" s="176"/>
      <c r="C417" s="176"/>
      <c r="D417" s="176"/>
      <c r="E417" s="176"/>
      <c r="F417" s="176"/>
      <c r="G417" s="176"/>
      <c r="H417" s="176"/>
      <c r="I417" s="176"/>
      <c r="J417" s="176"/>
      <c r="K417" s="176"/>
      <c r="L417" s="176"/>
      <c r="M417" s="176"/>
      <c r="N417" s="176"/>
      <c r="O417" s="176"/>
      <c r="P417" s="176"/>
      <c r="Q417" s="176"/>
      <c r="R417" s="176"/>
      <c r="S417" s="176"/>
      <c r="T417" s="176"/>
      <c r="U417" s="176"/>
      <c r="V417" s="176"/>
      <c r="W417" s="176"/>
      <c r="X417" s="176"/>
      <c r="Y417" s="176"/>
      <c r="Z417" s="176"/>
      <c r="AA417" s="176"/>
      <c r="AB417" s="176"/>
      <c r="AC417" s="176"/>
      <c r="AD417" s="176"/>
      <c r="AE417" s="176"/>
      <c r="AF417" s="176"/>
      <c r="AG417" s="176"/>
      <c r="AH417" s="176"/>
      <c r="AI417" s="176"/>
      <c r="AJ417" s="176"/>
      <c r="AK417" s="176"/>
      <c r="AL417" s="176"/>
      <c r="AM417" s="176"/>
      <c r="AN417" s="176"/>
      <c r="AO417" s="176"/>
      <c r="AP417" s="176"/>
      <c r="AQ417" s="176"/>
      <c r="AR417" s="176"/>
      <c r="AS417" s="176"/>
      <c r="AT417" s="176"/>
      <c r="AU417" s="176"/>
      <c r="AV417" s="176"/>
      <c r="AW417" s="176"/>
      <c r="AX417" s="176"/>
      <c r="AY417" s="176"/>
      <c r="AZ417" s="176"/>
      <c r="BA417" s="176"/>
      <c r="BB417" s="176"/>
    </row>
    <row r="418" ht="15.75" customHeight="1">
      <c r="A418" s="176"/>
      <c r="B418" s="176"/>
      <c r="C418" s="176"/>
      <c r="D418" s="176"/>
      <c r="E418" s="176"/>
      <c r="F418" s="176"/>
      <c r="G418" s="176"/>
      <c r="H418" s="176"/>
      <c r="I418" s="176"/>
      <c r="J418" s="176"/>
      <c r="K418" s="176"/>
      <c r="L418" s="176"/>
      <c r="M418" s="176"/>
      <c r="N418" s="176"/>
      <c r="O418" s="176"/>
      <c r="P418" s="176"/>
      <c r="Q418" s="176"/>
      <c r="R418" s="176"/>
      <c r="S418" s="176"/>
      <c r="T418" s="176"/>
      <c r="U418" s="176"/>
      <c r="V418" s="176"/>
      <c r="W418" s="176"/>
      <c r="X418" s="176"/>
      <c r="Y418" s="176"/>
      <c r="Z418" s="176"/>
      <c r="AA418" s="176"/>
      <c r="AB418" s="176"/>
      <c r="AC418" s="176"/>
      <c r="AD418" s="176"/>
      <c r="AE418" s="176"/>
      <c r="AF418" s="176"/>
      <c r="AG418" s="176"/>
      <c r="AH418" s="176"/>
      <c r="AI418" s="176"/>
      <c r="AJ418" s="176"/>
      <c r="AK418" s="176"/>
      <c r="AL418" s="176"/>
      <c r="AM418" s="176"/>
      <c r="AN418" s="176"/>
      <c r="AO418" s="176"/>
      <c r="AP418" s="176"/>
      <c r="AQ418" s="176"/>
      <c r="AR418" s="176"/>
      <c r="AS418" s="176"/>
      <c r="AT418" s="176"/>
      <c r="AU418" s="176"/>
      <c r="AV418" s="176"/>
      <c r="AW418" s="176"/>
      <c r="AX418" s="176"/>
      <c r="AY418" s="176"/>
      <c r="AZ418" s="176"/>
      <c r="BA418" s="176"/>
      <c r="BB418" s="176"/>
    </row>
    <row r="419" ht="15.75" customHeight="1">
      <c r="A419" s="176"/>
      <c r="B419" s="176"/>
      <c r="C419" s="176"/>
      <c r="D419" s="176"/>
      <c r="E419" s="176"/>
      <c r="F419" s="176"/>
      <c r="G419" s="176"/>
      <c r="H419" s="176"/>
      <c r="I419" s="176"/>
      <c r="J419" s="176"/>
      <c r="K419" s="176"/>
      <c r="L419" s="176"/>
      <c r="M419" s="176"/>
      <c r="N419" s="176"/>
      <c r="O419" s="176"/>
      <c r="P419" s="176"/>
      <c r="Q419" s="176"/>
      <c r="R419" s="176"/>
      <c r="S419" s="176"/>
      <c r="T419" s="176"/>
      <c r="U419" s="176"/>
      <c r="V419" s="176"/>
      <c r="W419" s="176"/>
      <c r="X419" s="176"/>
      <c r="Y419" s="176"/>
      <c r="Z419" s="176"/>
      <c r="AA419" s="176"/>
      <c r="AB419" s="176"/>
      <c r="AC419" s="176"/>
      <c r="AD419" s="176"/>
      <c r="AE419" s="176"/>
      <c r="AF419" s="176"/>
      <c r="AG419" s="176"/>
      <c r="AH419" s="176"/>
      <c r="AI419" s="176"/>
      <c r="AJ419" s="176"/>
      <c r="AK419" s="176"/>
      <c r="AL419" s="176"/>
      <c r="AM419" s="176"/>
      <c r="AN419" s="176"/>
      <c r="AO419" s="176"/>
      <c r="AP419" s="176"/>
      <c r="AQ419" s="176"/>
      <c r="AR419" s="176"/>
      <c r="AS419" s="176"/>
      <c r="AT419" s="176"/>
      <c r="AU419" s="176"/>
      <c r="AV419" s="176"/>
      <c r="AW419" s="176"/>
      <c r="AX419" s="176"/>
      <c r="AY419" s="176"/>
      <c r="AZ419" s="176"/>
      <c r="BA419" s="176"/>
      <c r="BB419" s="176"/>
    </row>
    <row r="420" ht="15.75" customHeight="1">
      <c r="A420" s="176"/>
      <c r="B420" s="176"/>
      <c r="C420" s="176"/>
      <c r="D420" s="176"/>
      <c r="E420" s="176"/>
      <c r="F420" s="176"/>
      <c r="G420" s="176"/>
      <c r="H420" s="176"/>
      <c r="I420" s="176"/>
      <c r="J420" s="176"/>
      <c r="K420" s="176"/>
      <c r="L420" s="176"/>
      <c r="M420" s="176"/>
      <c r="N420" s="176"/>
      <c r="O420" s="176"/>
      <c r="P420" s="176"/>
      <c r="Q420" s="176"/>
      <c r="R420" s="176"/>
      <c r="S420" s="176"/>
      <c r="T420" s="176"/>
      <c r="U420" s="176"/>
      <c r="V420" s="176"/>
      <c r="W420" s="176"/>
      <c r="X420" s="176"/>
      <c r="Y420" s="176"/>
      <c r="Z420" s="176"/>
      <c r="AA420" s="176"/>
      <c r="AB420" s="176"/>
      <c r="AC420" s="176"/>
      <c r="AD420" s="176"/>
      <c r="AE420" s="176"/>
      <c r="AF420" s="176"/>
      <c r="AG420" s="176"/>
      <c r="AH420" s="176"/>
      <c r="AI420" s="176"/>
      <c r="AJ420" s="176"/>
      <c r="AK420" s="176"/>
      <c r="AL420" s="176"/>
      <c r="AM420" s="176"/>
      <c r="AN420" s="176"/>
      <c r="AO420" s="176"/>
      <c r="AP420" s="176"/>
      <c r="AQ420" s="176"/>
      <c r="AR420" s="176"/>
      <c r="AS420" s="176"/>
      <c r="AT420" s="176"/>
      <c r="AU420" s="176"/>
      <c r="AV420" s="176"/>
      <c r="AW420" s="176"/>
      <c r="AX420" s="176"/>
      <c r="AY420" s="176"/>
      <c r="AZ420" s="176"/>
      <c r="BA420" s="176"/>
      <c r="BB420" s="176"/>
    </row>
    <row r="421" ht="15.75" customHeight="1">
      <c r="A421" s="176"/>
      <c r="B421" s="176"/>
      <c r="C421" s="176"/>
      <c r="D421" s="176"/>
      <c r="E421" s="176"/>
      <c r="F421" s="176"/>
      <c r="G421" s="176"/>
      <c r="H421" s="176"/>
      <c r="I421" s="176"/>
      <c r="J421" s="176"/>
      <c r="K421" s="176"/>
      <c r="L421" s="176"/>
      <c r="M421" s="176"/>
      <c r="N421" s="176"/>
      <c r="O421" s="176"/>
      <c r="P421" s="176"/>
      <c r="Q421" s="176"/>
      <c r="R421" s="176"/>
      <c r="S421" s="176"/>
      <c r="T421" s="176"/>
      <c r="U421" s="176"/>
      <c r="V421" s="176"/>
      <c r="W421" s="176"/>
      <c r="X421" s="176"/>
      <c r="Y421" s="176"/>
      <c r="Z421" s="176"/>
      <c r="AA421" s="176"/>
      <c r="AB421" s="176"/>
      <c r="AC421" s="176"/>
      <c r="AD421" s="176"/>
      <c r="AE421" s="176"/>
      <c r="AF421" s="176"/>
      <c r="AG421" s="176"/>
      <c r="AH421" s="176"/>
      <c r="AI421" s="176"/>
      <c r="AJ421" s="176"/>
      <c r="AK421" s="176"/>
      <c r="AL421" s="176"/>
      <c r="AM421" s="176"/>
      <c r="AN421" s="176"/>
      <c r="AO421" s="176"/>
      <c r="AP421" s="176"/>
      <c r="AQ421" s="176"/>
      <c r="AR421" s="176"/>
      <c r="AS421" s="176"/>
      <c r="AT421" s="176"/>
      <c r="AU421" s="176"/>
      <c r="AV421" s="176"/>
      <c r="AW421" s="176"/>
      <c r="AX421" s="176"/>
      <c r="AY421" s="176"/>
      <c r="AZ421" s="176"/>
      <c r="BA421" s="176"/>
      <c r="BB421" s="176"/>
    </row>
    <row r="422" ht="15.75" customHeight="1">
      <c r="A422" s="176"/>
      <c r="B422" s="176"/>
      <c r="C422" s="176"/>
      <c r="D422" s="176"/>
      <c r="E422" s="176"/>
      <c r="F422" s="176"/>
      <c r="G422" s="176"/>
      <c r="H422" s="176"/>
      <c r="I422" s="176"/>
      <c r="J422" s="176"/>
      <c r="K422" s="176"/>
      <c r="L422" s="176"/>
      <c r="M422" s="176"/>
      <c r="N422" s="176"/>
      <c r="O422" s="176"/>
      <c r="P422" s="176"/>
      <c r="Q422" s="176"/>
      <c r="R422" s="176"/>
      <c r="S422" s="176"/>
      <c r="T422" s="176"/>
      <c r="U422" s="176"/>
      <c r="V422" s="176"/>
      <c r="W422" s="176"/>
      <c r="X422" s="176"/>
      <c r="Y422" s="176"/>
      <c r="Z422" s="176"/>
      <c r="AA422" s="176"/>
      <c r="AB422" s="176"/>
      <c r="AC422" s="176"/>
      <c r="AD422" s="176"/>
      <c r="AE422" s="176"/>
      <c r="AF422" s="176"/>
      <c r="AG422" s="176"/>
      <c r="AH422" s="176"/>
      <c r="AI422" s="176"/>
      <c r="AJ422" s="176"/>
      <c r="AK422" s="176"/>
      <c r="AL422" s="176"/>
      <c r="AM422" s="176"/>
      <c r="AN422" s="176"/>
      <c r="AO422" s="176"/>
      <c r="AP422" s="176"/>
      <c r="AQ422" s="176"/>
      <c r="AR422" s="176"/>
      <c r="AS422" s="176"/>
      <c r="AT422" s="176"/>
      <c r="AU422" s="176"/>
      <c r="AV422" s="176"/>
      <c r="AW422" s="176"/>
      <c r="AX422" s="176"/>
      <c r="AY422" s="176"/>
      <c r="AZ422" s="176"/>
      <c r="BA422" s="176"/>
      <c r="BB422" s="176"/>
    </row>
    <row r="423" ht="15.75" customHeight="1">
      <c r="A423" s="176"/>
      <c r="B423" s="176"/>
      <c r="C423" s="176"/>
      <c r="D423" s="176"/>
      <c r="E423" s="176"/>
      <c r="F423" s="176"/>
      <c r="G423" s="176"/>
      <c r="H423" s="176"/>
      <c r="I423" s="176"/>
      <c r="J423" s="176"/>
      <c r="K423" s="176"/>
      <c r="L423" s="176"/>
      <c r="M423" s="176"/>
      <c r="N423" s="176"/>
      <c r="O423" s="176"/>
      <c r="P423" s="176"/>
      <c r="Q423" s="176"/>
      <c r="R423" s="176"/>
      <c r="S423" s="176"/>
      <c r="T423" s="176"/>
      <c r="U423" s="176"/>
      <c r="V423" s="176"/>
      <c r="W423" s="176"/>
      <c r="X423" s="176"/>
      <c r="Y423" s="176"/>
      <c r="Z423" s="176"/>
      <c r="AA423" s="176"/>
      <c r="AB423" s="176"/>
      <c r="AC423" s="176"/>
      <c r="AD423" s="176"/>
      <c r="AE423" s="176"/>
      <c r="AF423" s="176"/>
      <c r="AG423" s="176"/>
      <c r="AH423" s="176"/>
      <c r="AI423" s="176"/>
      <c r="AJ423" s="176"/>
      <c r="AK423" s="176"/>
      <c r="AL423" s="176"/>
      <c r="AM423" s="176"/>
      <c r="AN423" s="176"/>
      <c r="AO423" s="176"/>
      <c r="AP423" s="176"/>
      <c r="AQ423" s="176"/>
      <c r="AR423" s="176"/>
      <c r="AS423" s="176"/>
      <c r="AT423" s="176"/>
      <c r="AU423" s="176"/>
      <c r="AV423" s="176"/>
      <c r="AW423" s="176"/>
      <c r="AX423" s="176"/>
      <c r="AY423" s="176"/>
      <c r="AZ423" s="176"/>
      <c r="BA423" s="176"/>
      <c r="BB423" s="176"/>
    </row>
    <row r="424" ht="15.75" customHeight="1">
      <c r="A424" s="176"/>
      <c r="B424" s="176"/>
      <c r="C424" s="176"/>
      <c r="D424" s="176"/>
      <c r="E424" s="176"/>
      <c r="F424" s="176"/>
      <c r="G424" s="176"/>
      <c r="H424" s="176"/>
      <c r="I424" s="176"/>
      <c r="J424" s="176"/>
      <c r="K424" s="176"/>
      <c r="L424" s="176"/>
      <c r="M424" s="176"/>
      <c r="N424" s="176"/>
      <c r="O424" s="176"/>
      <c r="P424" s="176"/>
      <c r="Q424" s="176"/>
      <c r="R424" s="176"/>
      <c r="S424" s="176"/>
      <c r="T424" s="176"/>
      <c r="U424" s="176"/>
      <c r="V424" s="176"/>
      <c r="W424" s="176"/>
      <c r="X424" s="176"/>
      <c r="Y424" s="176"/>
      <c r="Z424" s="176"/>
      <c r="AA424" s="176"/>
      <c r="AB424" s="176"/>
      <c r="AC424" s="176"/>
      <c r="AD424" s="176"/>
      <c r="AE424" s="176"/>
      <c r="AF424" s="176"/>
      <c r="AG424" s="176"/>
      <c r="AH424" s="176"/>
      <c r="AI424" s="176"/>
      <c r="AJ424" s="176"/>
      <c r="AK424" s="176"/>
      <c r="AL424" s="176"/>
      <c r="AM424" s="176"/>
      <c r="AN424" s="176"/>
      <c r="AO424" s="176"/>
      <c r="AP424" s="176"/>
      <c r="AQ424" s="176"/>
      <c r="AR424" s="176"/>
      <c r="AS424" s="176"/>
      <c r="AT424" s="176"/>
      <c r="AU424" s="176"/>
      <c r="AV424" s="176"/>
      <c r="AW424" s="176"/>
      <c r="AX424" s="176"/>
      <c r="AY424" s="176"/>
      <c r="AZ424" s="176"/>
      <c r="BA424" s="176"/>
      <c r="BB424" s="176"/>
    </row>
    <row r="425" ht="15.75" customHeight="1">
      <c r="A425" s="176"/>
      <c r="B425" s="176"/>
      <c r="C425" s="176"/>
      <c r="D425" s="176"/>
      <c r="E425" s="176"/>
      <c r="F425" s="176"/>
      <c r="G425" s="176"/>
      <c r="H425" s="176"/>
      <c r="I425" s="176"/>
      <c r="J425" s="176"/>
      <c r="K425" s="176"/>
      <c r="L425" s="176"/>
      <c r="M425" s="176"/>
      <c r="N425" s="176"/>
      <c r="O425" s="176"/>
      <c r="P425" s="176"/>
      <c r="Q425" s="176"/>
      <c r="R425" s="176"/>
      <c r="S425" s="176"/>
      <c r="T425" s="176"/>
      <c r="U425" s="176"/>
      <c r="V425" s="176"/>
      <c r="W425" s="176"/>
      <c r="X425" s="176"/>
      <c r="Y425" s="176"/>
      <c r="Z425" s="176"/>
      <c r="AA425" s="176"/>
      <c r="AB425" s="176"/>
      <c r="AC425" s="176"/>
      <c r="AD425" s="176"/>
      <c r="AE425" s="176"/>
      <c r="AF425" s="176"/>
      <c r="AG425" s="176"/>
      <c r="AH425" s="176"/>
      <c r="AI425" s="176"/>
      <c r="AJ425" s="176"/>
      <c r="AK425" s="176"/>
      <c r="AL425" s="176"/>
      <c r="AM425" s="176"/>
      <c r="AN425" s="176"/>
      <c r="AO425" s="176"/>
      <c r="AP425" s="176"/>
      <c r="AQ425" s="176"/>
      <c r="AR425" s="176"/>
      <c r="AS425" s="176"/>
      <c r="AT425" s="176"/>
      <c r="AU425" s="176"/>
      <c r="AV425" s="176"/>
      <c r="AW425" s="176"/>
      <c r="AX425" s="176"/>
      <c r="AY425" s="176"/>
      <c r="AZ425" s="176"/>
      <c r="BA425" s="176"/>
      <c r="BB425" s="176"/>
    </row>
    <row r="426" ht="15.75" customHeight="1">
      <c r="A426" s="176"/>
      <c r="B426" s="176"/>
      <c r="C426" s="176"/>
      <c r="D426" s="176"/>
      <c r="E426" s="176"/>
      <c r="F426" s="176"/>
      <c r="G426" s="176"/>
      <c r="H426" s="176"/>
      <c r="I426" s="176"/>
      <c r="J426" s="176"/>
      <c r="K426" s="176"/>
      <c r="L426" s="176"/>
      <c r="M426" s="176"/>
      <c r="N426" s="176"/>
      <c r="O426" s="176"/>
      <c r="P426" s="176"/>
      <c r="Q426" s="176"/>
      <c r="R426" s="176"/>
      <c r="S426" s="176"/>
      <c r="T426" s="176"/>
      <c r="U426" s="176"/>
      <c r="V426" s="176"/>
      <c r="W426" s="176"/>
      <c r="X426" s="176"/>
      <c r="Y426" s="176"/>
      <c r="Z426" s="176"/>
      <c r="AA426" s="176"/>
      <c r="AB426" s="176"/>
      <c r="AC426" s="176"/>
      <c r="AD426" s="176"/>
      <c r="AE426" s="176"/>
      <c r="AF426" s="176"/>
      <c r="AG426" s="176"/>
      <c r="AH426" s="176"/>
      <c r="AI426" s="176"/>
      <c r="AJ426" s="176"/>
      <c r="AK426" s="176"/>
      <c r="AL426" s="176"/>
      <c r="AM426" s="176"/>
      <c r="AN426" s="176"/>
      <c r="AO426" s="176"/>
      <c r="AP426" s="176"/>
      <c r="AQ426" s="176"/>
      <c r="AR426" s="176"/>
      <c r="AS426" s="176"/>
      <c r="AT426" s="176"/>
      <c r="AU426" s="176"/>
      <c r="AV426" s="176"/>
      <c r="AW426" s="176"/>
      <c r="AX426" s="176"/>
      <c r="AY426" s="176"/>
      <c r="AZ426" s="176"/>
      <c r="BA426" s="176"/>
      <c r="BB426" s="176"/>
    </row>
    <row r="427" ht="15.75" customHeight="1">
      <c r="A427" s="176"/>
      <c r="B427" s="176"/>
      <c r="C427" s="176"/>
      <c r="D427" s="176"/>
      <c r="E427" s="176"/>
      <c r="F427" s="176"/>
      <c r="G427" s="176"/>
      <c r="H427" s="176"/>
      <c r="I427" s="176"/>
      <c r="J427" s="176"/>
      <c r="K427" s="176"/>
      <c r="L427" s="176"/>
      <c r="M427" s="176"/>
      <c r="N427" s="176"/>
      <c r="O427" s="176"/>
      <c r="P427" s="176"/>
      <c r="Q427" s="176"/>
      <c r="R427" s="176"/>
      <c r="S427" s="176"/>
      <c r="T427" s="176"/>
      <c r="U427" s="176"/>
      <c r="V427" s="176"/>
      <c r="W427" s="176"/>
      <c r="X427" s="176"/>
      <c r="Y427" s="176"/>
      <c r="Z427" s="176"/>
      <c r="AA427" s="176"/>
      <c r="AB427" s="176"/>
      <c r="AC427" s="176"/>
      <c r="AD427" s="176"/>
      <c r="AE427" s="176"/>
      <c r="AF427" s="176"/>
      <c r="AG427" s="176"/>
      <c r="AH427" s="176"/>
      <c r="AI427" s="176"/>
      <c r="AJ427" s="176"/>
      <c r="AK427" s="176"/>
      <c r="AL427" s="176"/>
      <c r="AM427" s="176"/>
      <c r="AN427" s="176"/>
      <c r="AO427" s="176"/>
      <c r="AP427" s="176"/>
      <c r="AQ427" s="176"/>
      <c r="AR427" s="176"/>
      <c r="AS427" s="176"/>
      <c r="AT427" s="176"/>
      <c r="AU427" s="176"/>
      <c r="AV427" s="176"/>
      <c r="AW427" s="176"/>
      <c r="AX427" s="176"/>
      <c r="AY427" s="176"/>
      <c r="AZ427" s="176"/>
      <c r="BA427" s="176"/>
      <c r="BB427" s="176"/>
    </row>
    <row r="428" ht="15.75" customHeight="1">
      <c r="A428" s="176"/>
      <c r="B428" s="176"/>
      <c r="C428" s="176"/>
      <c r="D428" s="176"/>
      <c r="E428" s="176"/>
      <c r="F428" s="176"/>
      <c r="G428" s="176"/>
      <c r="H428" s="176"/>
      <c r="I428" s="176"/>
      <c r="J428" s="176"/>
      <c r="K428" s="176"/>
      <c r="L428" s="176"/>
      <c r="M428" s="176"/>
      <c r="N428" s="176"/>
      <c r="O428" s="176"/>
      <c r="P428" s="176"/>
      <c r="Q428" s="176"/>
      <c r="R428" s="176"/>
      <c r="S428" s="176"/>
      <c r="T428" s="176"/>
      <c r="U428" s="176"/>
      <c r="V428" s="176"/>
      <c r="W428" s="176"/>
      <c r="X428" s="176"/>
      <c r="Y428" s="176"/>
      <c r="Z428" s="176"/>
      <c r="AA428" s="176"/>
      <c r="AB428" s="176"/>
      <c r="AC428" s="176"/>
      <c r="AD428" s="176"/>
      <c r="AE428" s="176"/>
      <c r="AF428" s="176"/>
      <c r="AG428" s="176"/>
      <c r="AH428" s="176"/>
      <c r="AI428" s="176"/>
      <c r="AJ428" s="176"/>
      <c r="AK428" s="176"/>
      <c r="AL428" s="176"/>
      <c r="AM428" s="176"/>
      <c r="AN428" s="176"/>
      <c r="AO428" s="176"/>
      <c r="AP428" s="176"/>
      <c r="AQ428" s="176"/>
      <c r="AR428" s="176"/>
      <c r="AS428" s="176"/>
      <c r="AT428" s="176"/>
      <c r="AU428" s="176"/>
      <c r="AV428" s="176"/>
      <c r="AW428" s="176"/>
      <c r="AX428" s="176"/>
      <c r="AY428" s="176"/>
      <c r="AZ428" s="176"/>
      <c r="BA428" s="176"/>
      <c r="BB428" s="176"/>
    </row>
    <row r="429" ht="15.75" customHeight="1">
      <c r="A429" s="176"/>
      <c r="B429" s="176"/>
      <c r="C429" s="176"/>
      <c r="D429" s="176"/>
      <c r="E429" s="176"/>
      <c r="F429" s="176"/>
      <c r="G429" s="176"/>
      <c r="H429" s="176"/>
      <c r="I429" s="176"/>
      <c r="J429" s="176"/>
      <c r="K429" s="176"/>
      <c r="L429" s="176"/>
      <c r="M429" s="176"/>
      <c r="N429" s="176"/>
      <c r="O429" s="176"/>
      <c r="P429" s="176"/>
      <c r="Q429" s="176"/>
      <c r="R429" s="176"/>
      <c r="S429" s="176"/>
      <c r="T429" s="176"/>
      <c r="U429" s="176"/>
      <c r="V429" s="176"/>
      <c r="W429" s="176"/>
      <c r="X429" s="176"/>
      <c r="Y429" s="176"/>
      <c r="Z429" s="176"/>
      <c r="AA429" s="176"/>
      <c r="AB429" s="176"/>
      <c r="AC429" s="176"/>
      <c r="AD429" s="176"/>
      <c r="AE429" s="176"/>
      <c r="AF429" s="176"/>
      <c r="AG429" s="176"/>
      <c r="AH429" s="176"/>
      <c r="AI429" s="176"/>
      <c r="AJ429" s="176"/>
      <c r="AK429" s="176"/>
      <c r="AL429" s="176"/>
      <c r="AM429" s="176"/>
      <c r="AN429" s="176"/>
      <c r="AO429" s="176"/>
      <c r="AP429" s="176"/>
      <c r="AQ429" s="176"/>
      <c r="AR429" s="176"/>
      <c r="AS429" s="176"/>
      <c r="AT429" s="176"/>
      <c r="AU429" s="176"/>
      <c r="AV429" s="176"/>
      <c r="AW429" s="176"/>
      <c r="AX429" s="176"/>
      <c r="AY429" s="176"/>
      <c r="AZ429" s="176"/>
      <c r="BA429" s="176"/>
      <c r="BB429" s="176"/>
    </row>
    <row r="430" ht="15.75" customHeight="1">
      <c r="A430" s="176"/>
      <c r="B430" s="176"/>
      <c r="C430" s="176"/>
      <c r="D430" s="176"/>
      <c r="E430" s="176"/>
      <c r="F430" s="176"/>
      <c r="G430" s="176"/>
      <c r="H430" s="176"/>
      <c r="I430" s="176"/>
      <c r="J430" s="176"/>
      <c r="K430" s="176"/>
      <c r="L430" s="176"/>
      <c r="M430" s="176"/>
      <c r="N430" s="176"/>
      <c r="O430" s="176"/>
      <c r="P430" s="176"/>
      <c r="Q430" s="176"/>
      <c r="R430" s="176"/>
      <c r="S430" s="176"/>
      <c r="T430" s="176"/>
      <c r="U430" s="176"/>
      <c r="V430" s="176"/>
      <c r="W430" s="176"/>
      <c r="X430" s="176"/>
      <c r="Y430" s="176"/>
      <c r="Z430" s="176"/>
      <c r="AA430" s="176"/>
      <c r="AB430" s="176"/>
      <c r="AC430" s="176"/>
      <c r="AD430" s="176"/>
      <c r="AE430" s="176"/>
      <c r="AF430" s="176"/>
      <c r="AG430" s="176"/>
      <c r="AH430" s="176"/>
      <c r="AI430" s="176"/>
      <c r="AJ430" s="176"/>
      <c r="AK430" s="176"/>
      <c r="AL430" s="176"/>
      <c r="AM430" s="176"/>
      <c r="AN430" s="176"/>
      <c r="AO430" s="176"/>
      <c r="AP430" s="176"/>
      <c r="AQ430" s="176"/>
      <c r="AR430" s="176"/>
      <c r="AS430" s="176"/>
      <c r="AT430" s="176"/>
      <c r="AU430" s="176"/>
      <c r="AV430" s="176"/>
      <c r="AW430" s="176"/>
      <c r="AX430" s="176"/>
      <c r="AY430" s="176"/>
      <c r="AZ430" s="176"/>
      <c r="BA430" s="176"/>
      <c r="BB430" s="176"/>
    </row>
    <row r="431" ht="15.75" customHeight="1">
      <c r="A431" s="176"/>
      <c r="B431" s="176"/>
      <c r="C431" s="176"/>
      <c r="D431" s="176"/>
      <c r="E431" s="176"/>
      <c r="F431" s="176"/>
      <c r="G431" s="176"/>
      <c r="H431" s="176"/>
      <c r="I431" s="176"/>
      <c r="J431" s="176"/>
      <c r="K431" s="176"/>
      <c r="L431" s="176"/>
      <c r="M431" s="176"/>
      <c r="N431" s="176"/>
      <c r="O431" s="176"/>
      <c r="P431" s="176"/>
      <c r="Q431" s="176"/>
      <c r="R431" s="176"/>
      <c r="S431" s="176"/>
      <c r="T431" s="176"/>
      <c r="U431" s="176"/>
      <c r="V431" s="176"/>
      <c r="W431" s="176"/>
      <c r="X431" s="176"/>
      <c r="Y431" s="176"/>
      <c r="Z431" s="176"/>
      <c r="AA431" s="176"/>
      <c r="AB431" s="176"/>
      <c r="AC431" s="176"/>
      <c r="AD431" s="176"/>
      <c r="AE431" s="176"/>
      <c r="AF431" s="176"/>
      <c r="AG431" s="176"/>
      <c r="AH431" s="176"/>
      <c r="AI431" s="176"/>
      <c r="AJ431" s="176"/>
      <c r="AK431" s="176"/>
      <c r="AL431" s="176"/>
      <c r="AM431" s="176"/>
      <c r="AN431" s="176"/>
      <c r="AO431" s="176"/>
      <c r="AP431" s="176"/>
      <c r="AQ431" s="176"/>
      <c r="AR431" s="176"/>
      <c r="AS431" s="176"/>
      <c r="AT431" s="176"/>
      <c r="AU431" s="176"/>
      <c r="AV431" s="176"/>
      <c r="AW431" s="176"/>
      <c r="AX431" s="176"/>
      <c r="AY431" s="176"/>
      <c r="AZ431" s="176"/>
      <c r="BA431" s="176"/>
      <c r="BB431" s="176"/>
    </row>
    <row r="432" ht="15.75" customHeight="1">
      <c r="A432" s="176"/>
      <c r="B432" s="176"/>
      <c r="C432" s="176"/>
      <c r="D432" s="176"/>
      <c r="E432" s="176"/>
      <c r="F432" s="176"/>
      <c r="G432" s="176"/>
      <c r="H432" s="176"/>
      <c r="I432" s="176"/>
      <c r="J432" s="176"/>
      <c r="K432" s="176"/>
      <c r="L432" s="176"/>
      <c r="M432" s="176"/>
      <c r="N432" s="176"/>
      <c r="O432" s="176"/>
      <c r="P432" s="176"/>
      <c r="Q432" s="176"/>
      <c r="R432" s="176"/>
      <c r="S432" s="176"/>
      <c r="T432" s="176"/>
      <c r="U432" s="176"/>
      <c r="V432" s="176"/>
      <c r="W432" s="176"/>
      <c r="X432" s="176"/>
      <c r="Y432" s="176"/>
      <c r="Z432" s="176"/>
      <c r="AA432" s="176"/>
      <c r="AB432" s="176"/>
      <c r="AC432" s="176"/>
      <c r="AD432" s="176"/>
      <c r="AE432" s="176"/>
      <c r="AF432" s="176"/>
      <c r="AG432" s="176"/>
      <c r="AH432" s="176"/>
      <c r="AI432" s="176"/>
      <c r="AJ432" s="176"/>
      <c r="AK432" s="176"/>
      <c r="AL432" s="176"/>
      <c r="AM432" s="176"/>
      <c r="AN432" s="176"/>
      <c r="AO432" s="176"/>
      <c r="AP432" s="176"/>
      <c r="AQ432" s="176"/>
      <c r="AR432" s="176"/>
      <c r="AS432" s="176"/>
      <c r="AT432" s="176"/>
      <c r="AU432" s="176"/>
      <c r="AV432" s="176"/>
      <c r="AW432" s="176"/>
      <c r="AX432" s="176"/>
      <c r="AY432" s="176"/>
      <c r="AZ432" s="176"/>
      <c r="BA432" s="176"/>
      <c r="BB432" s="176"/>
    </row>
    <row r="433" ht="15.75" customHeight="1">
      <c r="A433" s="176"/>
      <c r="B433" s="176"/>
      <c r="C433" s="176"/>
      <c r="D433" s="176"/>
      <c r="E433" s="176"/>
      <c r="F433" s="176"/>
      <c r="G433" s="176"/>
      <c r="H433" s="176"/>
      <c r="I433" s="176"/>
      <c r="J433" s="176"/>
      <c r="K433" s="176"/>
      <c r="L433" s="176"/>
      <c r="M433" s="176"/>
      <c r="N433" s="176"/>
      <c r="O433" s="176"/>
      <c r="P433" s="176"/>
      <c r="Q433" s="176"/>
      <c r="R433" s="176"/>
      <c r="S433" s="176"/>
      <c r="T433" s="176"/>
      <c r="U433" s="176"/>
      <c r="V433" s="176"/>
      <c r="W433" s="176"/>
      <c r="X433" s="176"/>
      <c r="Y433" s="176"/>
      <c r="Z433" s="176"/>
      <c r="AA433" s="176"/>
      <c r="AB433" s="176"/>
      <c r="AC433" s="176"/>
      <c r="AD433" s="176"/>
      <c r="AE433" s="176"/>
      <c r="AF433" s="176"/>
      <c r="AG433" s="176"/>
      <c r="AH433" s="176"/>
      <c r="AI433" s="176"/>
      <c r="AJ433" s="176"/>
      <c r="AK433" s="176"/>
      <c r="AL433" s="176"/>
      <c r="AM433" s="176"/>
      <c r="AN433" s="176"/>
      <c r="AO433" s="176"/>
      <c r="AP433" s="176"/>
      <c r="AQ433" s="176"/>
      <c r="AR433" s="176"/>
      <c r="AS433" s="176"/>
      <c r="AT433" s="176"/>
      <c r="AU433" s="176"/>
      <c r="AV433" s="176"/>
      <c r="AW433" s="176"/>
      <c r="AX433" s="176"/>
      <c r="AY433" s="176"/>
      <c r="AZ433" s="176"/>
      <c r="BA433" s="176"/>
      <c r="BB433" s="176"/>
    </row>
    <row r="434" ht="15.75" customHeight="1">
      <c r="A434" s="176"/>
      <c r="B434" s="176"/>
      <c r="C434" s="176"/>
      <c r="D434" s="176"/>
      <c r="E434" s="176"/>
      <c r="F434" s="176"/>
      <c r="G434" s="176"/>
      <c r="H434" s="176"/>
      <c r="I434" s="176"/>
      <c r="J434" s="176"/>
      <c r="K434" s="176"/>
      <c r="L434" s="176"/>
      <c r="M434" s="176"/>
      <c r="N434" s="176"/>
      <c r="O434" s="176"/>
      <c r="P434" s="176"/>
      <c r="Q434" s="176"/>
      <c r="R434" s="176"/>
      <c r="S434" s="176"/>
      <c r="T434" s="176"/>
      <c r="U434" s="176"/>
      <c r="V434" s="176"/>
      <c r="W434" s="176"/>
      <c r="X434" s="176"/>
      <c r="Y434" s="176"/>
      <c r="Z434" s="176"/>
      <c r="AA434" s="176"/>
      <c r="AB434" s="176"/>
      <c r="AC434" s="176"/>
      <c r="AD434" s="176"/>
      <c r="AE434" s="176"/>
      <c r="AF434" s="176"/>
      <c r="AG434" s="176"/>
      <c r="AH434" s="176"/>
      <c r="AI434" s="176"/>
      <c r="AJ434" s="176"/>
      <c r="AK434" s="176"/>
      <c r="AL434" s="176"/>
      <c r="AM434" s="176"/>
      <c r="AN434" s="176"/>
      <c r="AO434" s="176"/>
      <c r="AP434" s="176"/>
      <c r="AQ434" s="176"/>
      <c r="AR434" s="176"/>
      <c r="AS434" s="176"/>
      <c r="AT434" s="176"/>
      <c r="AU434" s="176"/>
      <c r="AV434" s="176"/>
      <c r="AW434" s="176"/>
      <c r="AX434" s="176"/>
      <c r="AY434" s="176"/>
      <c r="AZ434" s="176"/>
      <c r="BA434" s="176"/>
      <c r="BB434" s="176"/>
    </row>
    <row r="435" ht="15.75" customHeight="1">
      <c r="A435" s="176"/>
      <c r="B435" s="176"/>
      <c r="C435" s="176"/>
      <c r="D435" s="176"/>
      <c r="E435" s="176"/>
      <c r="F435" s="176"/>
      <c r="G435" s="176"/>
      <c r="H435" s="176"/>
      <c r="I435" s="176"/>
      <c r="J435" s="176"/>
      <c r="K435" s="176"/>
      <c r="L435" s="176"/>
      <c r="M435" s="176"/>
      <c r="N435" s="176"/>
      <c r="O435" s="176"/>
      <c r="P435" s="176"/>
      <c r="Q435" s="176"/>
      <c r="R435" s="176"/>
      <c r="S435" s="176"/>
      <c r="T435" s="176"/>
      <c r="U435" s="176"/>
      <c r="V435" s="176"/>
      <c r="W435" s="176"/>
      <c r="X435" s="176"/>
      <c r="Y435" s="176"/>
      <c r="Z435" s="176"/>
      <c r="AA435" s="176"/>
      <c r="AB435" s="176"/>
      <c r="AC435" s="176"/>
      <c r="AD435" s="176"/>
      <c r="AE435" s="176"/>
      <c r="AF435" s="176"/>
      <c r="AG435" s="176"/>
      <c r="AH435" s="176"/>
      <c r="AI435" s="176"/>
      <c r="AJ435" s="176"/>
      <c r="AK435" s="176"/>
      <c r="AL435" s="176"/>
      <c r="AM435" s="176"/>
      <c r="AN435" s="176"/>
      <c r="AO435" s="176"/>
      <c r="AP435" s="176"/>
      <c r="AQ435" s="176"/>
      <c r="AR435" s="176"/>
      <c r="AS435" s="176"/>
      <c r="AT435" s="176"/>
      <c r="AU435" s="176"/>
      <c r="AV435" s="176"/>
      <c r="AW435" s="176"/>
      <c r="AX435" s="176"/>
      <c r="AY435" s="176"/>
      <c r="AZ435" s="176"/>
      <c r="BA435" s="176"/>
      <c r="BB435" s="176"/>
    </row>
    <row r="436" ht="15.75" customHeight="1">
      <c r="A436" s="176"/>
      <c r="B436" s="176"/>
      <c r="C436" s="176"/>
      <c r="D436" s="176"/>
      <c r="E436" s="176"/>
      <c r="F436" s="176"/>
      <c r="G436" s="176"/>
      <c r="H436" s="176"/>
      <c r="I436" s="176"/>
      <c r="J436" s="176"/>
      <c r="K436" s="176"/>
      <c r="L436" s="176"/>
      <c r="M436" s="176"/>
      <c r="N436" s="176"/>
      <c r="O436" s="176"/>
      <c r="P436" s="176"/>
      <c r="Q436" s="176"/>
      <c r="R436" s="176"/>
      <c r="S436" s="176"/>
      <c r="T436" s="176"/>
      <c r="U436" s="176"/>
      <c r="V436" s="176"/>
      <c r="W436" s="176"/>
      <c r="X436" s="176"/>
      <c r="Y436" s="176"/>
      <c r="Z436" s="176"/>
      <c r="AA436" s="176"/>
      <c r="AB436" s="176"/>
      <c r="AC436" s="176"/>
      <c r="AD436" s="176"/>
      <c r="AE436" s="176"/>
      <c r="AF436" s="176"/>
      <c r="AG436" s="176"/>
      <c r="AH436" s="176"/>
      <c r="AI436" s="176"/>
      <c r="AJ436" s="176"/>
      <c r="AK436" s="176"/>
      <c r="AL436" s="176"/>
      <c r="AM436" s="176"/>
      <c r="AN436" s="176"/>
      <c r="AO436" s="176"/>
      <c r="AP436" s="176"/>
      <c r="AQ436" s="176"/>
      <c r="AR436" s="176"/>
      <c r="AS436" s="176"/>
      <c r="AT436" s="176"/>
      <c r="AU436" s="176"/>
      <c r="AV436" s="176"/>
      <c r="AW436" s="176"/>
      <c r="AX436" s="176"/>
      <c r="AY436" s="176"/>
      <c r="AZ436" s="176"/>
      <c r="BA436" s="176"/>
      <c r="BB436" s="176"/>
    </row>
    <row r="437" ht="15.75" customHeight="1">
      <c r="A437" s="176"/>
      <c r="B437" s="176"/>
      <c r="C437" s="176"/>
      <c r="D437" s="176"/>
      <c r="E437" s="176"/>
      <c r="F437" s="176"/>
      <c r="G437" s="176"/>
      <c r="H437" s="176"/>
      <c r="I437" s="176"/>
      <c r="J437" s="176"/>
      <c r="K437" s="176"/>
      <c r="L437" s="176"/>
      <c r="M437" s="176"/>
      <c r="N437" s="176"/>
      <c r="O437" s="176"/>
      <c r="P437" s="176"/>
      <c r="Q437" s="176"/>
      <c r="R437" s="176"/>
      <c r="S437" s="176"/>
      <c r="T437" s="176"/>
      <c r="U437" s="176"/>
      <c r="V437" s="176"/>
      <c r="W437" s="176"/>
      <c r="X437" s="176"/>
      <c r="Y437" s="176"/>
      <c r="Z437" s="176"/>
      <c r="AA437" s="176"/>
      <c r="AB437" s="176"/>
      <c r="AC437" s="176"/>
      <c r="AD437" s="176"/>
      <c r="AE437" s="176"/>
      <c r="AF437" s="176"/>
      <c r="AG437" s="176"/>
      <c r="AH437" s="176"/>
      <c r="AI437" s="176"/>
      <c r="AJ437" s="176"/>
      <c r="AK437" s="176"/>
      <c r="AL437" s="176"/>
      <c r="AM437" s="176"/>
      <c r="AN437" s="176"/>
      <c r="AO437" s="176"/>
      <c r="AP437" s="176"/>
      <c r="AQ437" s="176"/>
      <c r="AR437" s="176"/>
      <c r="AS437" s="176"/>
      <c r="AT437" s="176"/>
      <c r="AU437" s="176"/>
      <c r="AV437" s="176"/>
      <c r="AW437" s="176"/>
      <c r="AX437" s="176"/>
      <c r="AY437" s="176"/>
      <c r="AZ437" s="176"/>
      <c r="BA437" s="176"/>
      <c r="BB437" s="176"/>
    </row>
    <row r="438" ht="15.75" customHeight="1">
      <c r="A438" s="176"/>
      <c r="B438" s="176"/>
      <c r="C438" s="176"/>
      <c r="D438" s="176"/>
      <c r="E438" s="176"/>
      <c r="F438" s="176"/>
      <c r="G438" s="176"/>
      <c r="H438" s="176"/>
      <c r="I438" s="176"/>
      <c r="J438" s="176"/>
      <c r="K438" s="176"/>
      <c r="L438" s="176"/>
      <c r="M438" s="176"/>
      <c r="N438" s="176"/>
      <c r="O438" s="176"/>
      <c r="P438" s="176"/>
      <c r="Q438" s="176"/>
      <c r="R438" s="176"/>
      <c r="S438" s="176"/>
      <c r="T438" s="176"/>
      <c r="U438" s="176"/>
      <c r="V438" s="176"/>
      <c r="W438" s="176"/>
      <c r="X438" s="176"/>
      <c r="Y438" s="176"/>
      <c r="Z438" s="176"/>
      <c r="AA438" s="176"/>
      <c r="AB438" s="176"/>
      <c r="AC438" s="176"/>
      <c r="AD438" s="176"/>
      <c r="AE438" s="176"/>
      <c r="AF438" s="176"/>
      <c r="AG438" s="176"/>
      <c r="AH438" s="176"/>
      <c r="AI438" s="176"/>
      <c r="AJ438" s="176"/>
      <c r="AK438" s="176"/>
      <c r="AL438" s="176"/>
      <c r="AM438" s="176"/>
      <c r="AN438" s="176"/>
      <c r="AO438" s="176"/>
      <c r="AP438" s="176"/>
      <c r="AQ438" s="176"/>
      <c r="AR438" s="176"/>
      <c r="AS438" s="176"/>
      <c r="AT438" s="176"/>
      <c r="AU438" s="176"/>
      <c r="AV438" s="176"/>
      <c r="AW438" s="176"/>
      <c r="AX438" s="176"/>
      <c r="AY438" s="176"/>
      <c r="AZ438" s="176"/>
      <c r="BA438" s="176"/>
      <c r="BB438" s="176"/>
    </row>
    <row r="439" ht="15.75" customHeight="1">
      <c r="A439" s="176"/>
      <c r="B439" s="176"/>
      <c r="C439" s="176"/>
      <c r="D439" s="176"/>
      <c r="E439" s="176"/>
      <c r="F439" s="176"/>
      <c r="G439" s="176"/>
      <c r="H439" s="176"/>
      <c r="I439" s="176"/>
      <c r="J439" s="176"/>
      <c r="K439" s="176"/>
      <c r="L439" s="176"/>
      <c r="M439" s="176"/>
      <c r="N439" s="176"/>
      <c r="O439" s="176"/>
      <c r="P439" s="176"/>
      <c r="Q439" s="176"/>
      <c r="R439" s="176"/>
      <c r="S439" s="176"/>
      <c r="T439" s="176"/>
      <c r="U439" s="176"/>
      <c r="V439" s="176"/>
      <c r="W439" s="176"/>
      <c r="X439" s="176"/>
      <c r="Y439" s="176"/>
      <c r="Z439" s="176"/>
      <c r="AA439" s="176"/>
      <c r="AB439" s="176"/>
      <c r="AC439" s="176"/>
      <c r="AD439" s="176"/>
      <c r="AE439" s="176"/>
      <c r="AF439" s="176"/>
      <c r="AG439" s="176"/>
      <c r="AH439" s="176"/>
      <c r="AI439" s="176"/>
      <c r="AJ439" s="176"/>
      <c r="AK439" s="176"/>
      <c r="AL439" s="176"/>
      <c r="AM439" s="176"/>
      <c r="AN439" s="176"/>
      <c r="AO439" s="176"/>
      <c r="AP439" s="176"/>
      <c r="AQ439" s="176"/>
      <c r="AR439" s="176"/>
      <c r="AS439" s="176"/>
      <c r="AT439" s="176"/>
      <c r="AU439" s="176"/>
      <c r="AV439" s="176"/>
      <c r="AW439" s="176"/>
      <c r="AX439" s="176"/>
      <c r="AY439" s="176"/>
      <c r="AZ439" s="176"/>
      <c r="BA439" s="176"/>
      <c r="BB439" s="176"/>
    </row>
    <row r="440" ht="15.75" customHeight="1">
      <c r="A440" s="176"/>
      <c r="B440" s="176"/>
      <c r="C440" s="176"/>
      <c r="D440" s="176"/>
      <c r="E440" s="176"/>
      <c r="F440" s="176"/>
      <c r="G440" s="176"/>
      <c r="H440" s="176"/>
      <c r="I440" s="176"/>
      <c r="J440" s="176"/>
      <c r="K440" s="176"/>
      <c r="L440" s="176"/>
      <c r="M440" s="176"/>
      <c r="N440" s="176"/>
      <c r="O440" s="176"/>
      <c r="P440" s="176"/>
      <c r="Q440" s="176"/>
      <c r="R440" s="176"/>
      <c r="S440" s="176"/>
      <c r="T440" s="176"/>
      <c r="U440" s="176"/>
      <c r="V440" s="176"/>
      <c r="W440" s="176"/>
      <c r="X440" s="176"/>
      <c r="Y440" s="176"/>
      <c r="Z440" s="176"/>
      <c r="AA440" s="176"/>
      <c r="AB440" s="176"/>
      <c r="AC440" s="176"/>
      <c r="AD440" s="176"/>
      <c r="AE440" s="176"/>
      <c r="AF440" s="176"/>
      <c r="AG440" s="176"/>
      <c r="AH440" s="176"/>
      <c r="AI440" s="176"/>
      <c r="AJ440" s="176"/>
      <c r="AK440" s="176"/>
      <c r="AL440" s="176"/>
      <c r="AM440" s="176"/>
      <c r="AN440" s="176"/>
      <c r="AO440" s="176"/>
      <c r="AP440" s="176"/>
      <c r="AQ440" s="176"/>
      <c r="AR440" s="176"/>
      <c r="AS440" s="176"/>
      <c r="AT440" s="176"/>
      <c r="AU440" s="176"/>
      <c r="AV440" s="176"/>
      <c r="AW440" s="176"/>
      <c r="AX440" s="176"/>
      <c r="AY440" s="176"/>
      <c r="AZ440" s="176"/>
      <c r="BA440" s="176"/>
      <c r="BB440" s="176"/>
    </row>
    <row r="441" ht="15.75" customHeight="1">
      <c r="A441" s="176"/>
      <c r="B441" s="176"/>
      <c r="C441" s="176"/>
      <c r="D441" s="176"/>
      <c r="E441" s="176"/>
      <c r="F441" s="176"/>
      <c r="G441" s="176"/>
      <c r="H441" s="176"/>
      <c r="I441" s="176"/>
      <c r="J441" s="176"/>
      <c r="K441" s="176"/>
      <c r="L441" s="176"/>
      <c r="M441" s="176"/>
      <c r="N441" s="176"/>
      <c r="O441" s="176"/>
      <c r="P441" s="176"/>
      <c r="Q441" s="176"/>
      <c r="R441" s="176"/>
      <c r="S441" s="176"/>
      <c r="T441" s="176"/>
      <c r="U441" s="176"/>
      <c r="V441" s="176"/>
      <c r="W441" s="176"/>
      <c r="X441" s="176"/>
      <c r="Y441" s="176"/>
      <c r="Z441" s="176"/>
      <c r="AA441" s="176"/>
      <c r="AB441" s="176"/>
      <c r="AC441" s="176"/>
      <c r="AD441" s="176"/>
      <c r="AE441" s="176"/>
      <c r="AF441" s="176"/>
      <c r="AG441" s="176"/>
      <c r="AH441" s="176"/>
      <c r="AI441" s="176"/>
      <c r="AJ441" s="176"/>
      <c r="AK441" s="176"/>
      <c r="AL441" s="176"/>
      <c r="AM441" s="176"/>
      <c r="AN441" s="176"/>
      <c r="AO441" s="176"/>
      <c r="AP441" s="176"/>
      <c r="AQ441" s="176"/>
      <c r="AR441" s="176"/>
      <c r="AS441" s="176"/>
      <c r="AT441" s="176"/>
      <c r="AU441" s="176"/>
      <c r="AV441" s="176"/>
      <c r="AW441" s="176"/>
      <c r="AX441" s="176"/>
      <c r="AY441" s="176"/>
      <c r="AZ441" s="176"/>
      <c r="BA441" s="176"/>
      <c r="BB441" s="176"/>
    </row>
    <row r="442" ht="15.75" customHeight="1">
      <c r="A442" s="176"/>
      <c r="B442" s="176"/>
      <c r="C442" s="176"/>
      <c r="D442" s="176"/>
      <c r="E442" s="176"/>
      <c r="F442" s="176"/>
      <c r="G442" s="176"/>
      <c r="H442" s="176"/>
      <c r="I442" s="176"/>
      <c r="J442" s="176"/>
      <c r="K442" s="176"/>
      <c r="L442" s="176"/>
      <c r="M442" s="176"/>
      <c r="N442" s="176"/>
      <c r="O442" s="176"/>
      <c r="P442" s="176"/>
      <c r="Q442" s="176"/>
      <c r="R442" s="176"/>
      <c r="S442" s="176"/>
      <c r="T442" s="176"/>
      <c r="U442" s="176"/>
      <c r="V442" s="176"/>
      <c r="W442" s="176"/>
      <c r="X442" s="176"/>
      <c r="Y442" s="176"/>
      <c r="Z442" s="176"/>
      <c r="AA442" s="176"/>
      <c r="AB442" s="176"/>
      <c r="AC442" s="176"/>
      <c r="AD442" s="176"/>
      <c r="AE442" s="176"/>
      <c r="AF442" s="176"/>
      <c r="AG442" s="176"/>
      <c r="AH442" s="176"/>
      <c r="AI442" s="176"/>
      <c r="AJ442" s="176"/>
      <c r="AK442" s="176"/>
      <c r="AL442" s="176"/>
      <c r="AM442" s="176"/>
      <c r="AN442" s="176"/>
      <c r="AO442" s="176"/>
      <c r="AP442" s="176"/>
      <c r="AQ442" s="176"/>
      <c r="AR442" s="176"/>
      <c r="AS442" s="176"/>
      <c r="AT442" s="176"/>
      <c r="AU442" s="176"/>
      <c r="AV442" s="176"/>
      <c r="AW442" s="176"/>
      <c r="AX442" s="176"/>
      <c r="AY442" s="176"/>
      <c r="AZ442" s="176"/>
      <c r="BA442" s="176"/>
      <c r="BB442" s="176"/>
    </row>
    <row r="443" ht="15.75" customHeight="1">
      <c r="A443" s="176"/>
      <c r="B443" s="176"/>
      <c r="C443" s="176"/>
      <c r="D443" s="176"/>
      <c r="E443" s="176"/>
      <c r="F443" s="176"/>
      <c r="G443" s="176"/>
      <c r="H443" s="176"/>
      <c r="I443" s="176"/>
      <c r="J443" s="176"/>
      <c r="K443" s="176"/>
      <c r="L443" s="176"/>
      <c r="M443" s="176"/>
      <c r="N443" s="176"/>
      <c r="O443" s="176"/>
      <c r="P443" s="176"/>
      <c r="Q443" s="176"/>
      <c r="R443" s="176"/>
      <c r="S443" s="176"/>
      <c r="T443" s="176"/>
      <c r="U443" s="176"/>
      <c r="V443" s="176"/>
      <c r="W443" s="176"/>
      <c r="X443" s="176"/>
      <c r="Y443" s="176"/>
      <c r="Z443" s="176"/>
      <c r="AA443" s="176"/>
      <c r="AB443" s="176"/>
      <c r="AC443" s="176"/>
      <c r="AD443" s="176"/>
      <c r="AE443" s="176"/>
      <c r="AF443" s="176"/>
      <c r="AG443" s="176"/>
      <c r="AH443" s="176"/>
      <c r="AI443" s="176"/>
      <c r="AJ443" s="176"/>
      <c r="AK443" s="176"/>
      <c r="AL443" s="176"/>
      <c r="AM443" s="176"/>
      <c r="AN443" s="176"/>
      <c r="AO443" s="176"/>
      <c r="AP443" s="176"/>
      <c r="AQ443" s="176"/>
      <c r="AR443" s="176"/>
      <c r="AS443" s="176"/>
      <c r="AT443" s="176"/>
      <c r="AU443" s="176"/>
      <c r="AV443" s="176"/>
      <c r="AW443" s="176"/>
      <c r="AX443" s="176"/>
      <c r="AY443" s="176"/>
      <c r="AZ443" s="176"/>
      <c r="BA443" s="176"/>
      <c r="BB443" s="176"/>
    </row>
    <row r="444" ht="15.75" customHeight="1">
      <c r="A444" s="176"/>
      <c r="B444" s="176"/>
      <c r="C444" s="176"/>
      <c r="D444" s="176"/>
      <c r="E444" s="176"/>
      <c r="F444" s="176"/>
      <c r="G444" s="176"/>
      <c r="H444" s="176"/>
      <c r="I444" s="176"/>
      <c r="J444" s="176"/>
      <c r="K444" s="176"/>
      <c r="L444" s="176"/>
      <c r="M444" s="176"/>
      <c r="N444" s="176"/>
      <c r="O444" s="176"/>
      <c r="P444" s="176"/>
      <c r="Q444" s="176"/>
      <c r="R444" s="176"/>
      <c r="S444" s="176"/>
      <c r="T444" s="176"/>
      <c r="U444" s="176"/>
      <c r="V444" s="176"/>
      <c r="W444" s="176"/>
      <c r="X444" s="176"/>
      <c r="Y444" s="176"/>
      <c r="Z444" s="176"/>
      <c r="AA444" s="176"/>
      <c r="AB444" s="176"/>
      <c r="AC444" s="176"/>
      <c r="AD444" s="176"/>
      <c r="AE444" s="176"/>
      <c r="AF444" s="176"/>
      <c r="AG444" s="176"/>
      <c r="AH444" s="176"/>
      <c r="AI444" s="176"/>
      <c r="AJ444" s="176"/>
      <c r="AK444" s="176"/>
      <c r="AL444" s="176"/>
      <c r="AM444" s="176"/>
      <c r="AN444" s="176"/>
      <c r="AO444" s="176"/>
      <c r="AP444" s="176"/>
      <c r="AQ444" s="176"/>
      <c r="AR444" s="176"/>
      <c r="AS444" s="176"/>
      <c r="AT444" s="176"/>
      <c r="AU444" s="176"/>
      <c r="AV444" s="176"/>
      <c r="AW444" s="176"/>
      <c r="AX444" s="176"/>
      <c r="AY444" s="176"/>
      <c r="AZ444" s="176"/>
      <c r="BA444" s="176"/>
      <c r="BB444" s="176"/>
    </row>
    <row r="445" ht="15.75" customHeight="1">
      <c r="A445" s="176"/>
      <c r="B445" s="176"/>
      <c r="C445" s="176"/>
      <c r="D445" s="176"/>
      <c r="E445" s="176"/>
      <c r="F445" s="176"/>
      <c r="G445" s="176"/>
      <c r="H445" s="176"/>
      <c r="I445" s="176"/>
      <c r="J445" s="176"/>
      <c r="K445" s="176"/>
      <c r="L445" s="176"/>
      <c r="M445" s="176"/>
      <c r="N445" s="176"/>
      <c r="O445" s="176"/>
      <c r="P445" s="176"/>
      <c r="Q445" s="176"/>
      <c r="R445" s="176"/>
      <c r="S445" s="176"/>
      <c r="T445" s="176"/>
      <c r="U445" s="176"/>
      <c r="V445" s="176"/>
      <c r="W445" s="176"/>
      <c r="X445" s="176"/>
      <c r="Y445" s="176"/>
      <c r="Z445" s="176"/>
      <c r="AA445" s="176"/>
      <c r="AB445" s="176"/>
      <c r="AC445" s="176"/>
      <c r="AD445" s="176"/>
      <c r="AE445" s="176"/>
      <c r="AF445" s="176"/>
      <c r="AG445" s="176"/>
      <c r="AH445" s="176"/>
      <c r="AI445" s="176"/>
      <c r="AJ445" s="176"/>
      <c r="AK445" s="176"/>
      <c r="AL445" s="176"/>
      <c r="AM445" s="176"/>
      <c r="AN445" s="176"/>
      <c r="AO445" s="176"/>
      <c r="AP445" s="176"/>
      <c r="AQ445" s="176"/>
      <c r="AR445" s="176"/>
      <c r="AS445" s="176"/>
      <c r="AT445" s="176"/>
      <c r="AU445" s="176"/>
      <c r="AV445" s="176"/>
      <c r="AW445" s="176"/>
      <c r="AX445" s="176"/>
      <c r="AY445" s="176"/>
      <c r="AZ445" s="176"/>
      <c r="BA445" s="176"/>
      <c r="BB445" s="176"/>
    </row>
    <row r="446" ht="15.75" customHeight="1">
      <c r="A446" s="176"/>
      <c r="B446" s="176"/>
      <c r="C446" s="176"/>
      <c r="D446" s="176"/>
      <c r="E446" s="176"/>
      <c r="F446" s="176"/>
      <c r="G446" s="176"/>
      <c r="H446" s="176"/>
      <c r="I446" s="176"/>
      <c r="J446" s="176"/>
      <c r="K446" s="176"/>
      <c r="L446" s="176"/>
      <c r="M446" s="176"/>
      <c r="N446" s="176"/>
      <c r="O446" s="176"/>
      <c r="P446" s="176"/>
      <c r="Q446" s="176"/>
      <c r="R446" s="176"/>
      <c r="S446" s="176"/>
      <c r="T446" s="176"/>
      <c r="U446" s="176"/>
      <c r="V446" s="176"/>
      <c r="W446" s="176"/>
      <c r="X446" s="176"/>
      <c r="Y446" s="176"/>
      <c r="Z446" s="176"/>
      <c r="AA446" s="176"/>
      <c r="AB446" s="176"/>
      <c r="AC446" s="176"/>
      <c r="AD446" s="176"/>
      <c r="AE446" s="176"/>
      <c r="AF446" s="176"/>
      <c r="AG446" s="176"/>
      <c r="AH446" s="176"/>
      <c r="AI446" s="176"/>
      <c r="AJ446" s="176"/>
      <c r="AK446" s="176"/>
      <c r="AL446" s="176"/>
      <c r="AM446" s="176"/>
      <c r="AN446" s="176"/>
      <c r="AO446" s="176"/>
      <c r="AP446" s="176"/>
      <c r="AQ446" s="176"/>
      <c r="AR446" s="176"/>
      <c r="AS446" s="176"/>
      <c r="AT446" s="176"/>
      <c r="AU446" s="176"/>
      <c r="AV446" s="176"/>
      <c r="AW446" s="176"/>
      <c r="AX446" s="176"/>
      <c r="AY446" s="176"/>
      <c r="AZ446" s="176"/>
      <c r="BA446" s="176"/>
      <c r="BB446" s="176"/>
    </row>
    <row r="447" ht="15.75" customHeight="1">
      <c r="A447" s="176"/>
      <c r="B447" s="176"/>
      <c r="C447" s="176"/>
      <c r="D447" s="176"/>
      <c r="E447" s="176"/>
      <c r="F447" s="176"/>
      <c r="G447" s="176"/>
      <c r="H447" s="176"/>
      <c r="I447" s="176"/>
      <c r="J447" s="176"/>
      <c r="K447" s="176"/>
      <c r="L447" s="176"/>
      <c r="M447" s="176"/>
      <c r="N447" s="176"/>
      <c r="O447" s="176"/>
      <c r="P447" s="176"/>
      <c r="Q447" s="176"/>
      <c r="R447" s="176"/>
      <c r="S447" s="176"/>
      <c r="T447" s="176"/>
      <c r="U447" s="176"/>
      <c r="V447" s="176"/>
      <c r="W447" s="176"/>
      <c r="X447" s="176"/>
      <c r="Y447" s="176"/>
      <c r="Z447" s="176"/>
      <c r="AA447" s="176"/>
      <c r="AB447" s="176"/>
      <c r="AC447" s="176"/>
      <c r="AD447" s="176"/>
      <c r="AE447" s="176"/>
      <c r="AF447" s="176"/>
      <c r="AG447" s="176"/>
      <c r="AH447" s="176"/>
      <c r="AI447" s="176"/>
      <c r="AJ447" s="176"/>
      <c r="AK447" s="176"/>
      <c r="AL447" s="176"/>
      <c r="AM447" s="176"/>
      <c r="AN447" s="176"/>
      <c r="AO447" s="176"/>
      <c r="AP447" s="176"/>
      <c r="AQ447" s="176"/>
      <c r="AR447" s="176"/>
      <c r="AS447" s="176"/>
      <c r="AT447" s="176"/>
      <c r="AU447" s="176"/>
      <c r="AV447" s="176"/>
      <c r="AW447" s="176"/>
      <c r="AX447" s="176"/>
      <c r="AY447" s="176"/>
      <c r="AZ447" s="176"/>
      <c r="BA447" s="176"/>
      <c r="BB447" s="176"/>
    </row>
    <row r="448" ht="15.75" customHeight="1">
      <c r="A448" s="176"/>
      <c r="B448" s="176"/>
      <c r="C448" s="176"/>
      <c r="D448" s="176"/>
      <c r="E448" s="176"/>
      <c r="F448" s="176"/>
      <c r="G448" s="176"/>
      <c r="H448" s="176"/>
      <c r="I448" s="176"/>
      <c r="J448" s="176"/>
      <c r="K448" s="176"/>
      <c r="L448" s="176"/>
      <c r="M448" s="176"/>
      <c r="N448" s="176"/>
      <c r="O448" s="176"/>
      <c r="P448" s="176"/>
      <c r="Q448" s="176"/>
      <c r="R448" s="176"/>
      <c r="S448" s="176"/>
      <c r="T448" s="176"/>
      <c r="U448" s="176"/>
      <c r="V448" s="176"/>
      <c r="W448" s="176"/>
      <c r="X448" s="176"/>
      <c r="Y448" s="176"/>
      <c r="Z448" s="176"/>
      <c r="AA448" s="176"/>
      <c r="AB448" s="176"/>
      <c r="AC448" s="176"/>
      <c r="AD448" s="176"/>
      <c r="AE448" s="176"/>
      <c r="AF448" s="176"/>
      <c r="AG448" s="176"/>
      <c r="AH448" s="176"/>
      <c r="AI448" s="176"/>
      <c r="AJ448" s="176"/>
      <c r="AK448" s="176"/>
      <c r="AL448" s="176"/>
      <c r="AM448" s="176"/>
      <c r="AN448" s="176"/>
      <c r="AO448" s="176"/>
      <c r="AP448" s="176"/>
      <c r="AQ448" s="176"/>
      <c r="AR448" s="176"/>
      <c r="AS448" s="176"/>
      <c r="AT448" s="176"/>
      <c r="AU448" s="176"/>
      <c r="AV448" s="176"/>
      <c r="AW448" s="176"/>
      <c r="AX448" s="176"/>
      <c r="AY448" s="176"/>
      <c r="AZ448" s="176"/>
      <c r="BA448" s="176"/>
      <c r="BB448" s="176"/>
    </row>
    <row r="449" ht="15.75" customHeight="1">
      <c r="A449" s="176"/>
      <c r="B449" s="176"/>
      <c r="C449" s="176"/>
      <c r="D449" s="176"/>
      <c r="E449" s="176"/>
      <c r="F449" s="176"/>
      <c r="G449" s="176"/>
      <c r="H449" s="176"/>
      <c r="I449" s="176"/>
      <c r="J449" s="176"/>
      <c r="K449" s="176"/>
      <c r="L449" s="176"/>
      <c r="M449" s="176"/>
      <c r="N449" s="176"/>
      <c r="O449" s="176"/>
      <c r="P449" s="176"/>
      <c r="Q449" s="176"/>
      <c r="R449" s="176"/>
      <c r="S449" s="176"/>
      <c r="T449" s="176"/>
      <c r="U449" s="176"/>
      <c r="V449" s="176"/>
      <c r="W449" s="176"/>
      <c r="X449" s="176"/>
      <c r="Y449" s="176"/>
      <c r="Z449" s="176"/>
      <c r="AA449" s="176"/>
      <c r="AB449" s="176"/>
      <c r="AC449" s="176"/>
      <c r="AD449" s="176"/>
      <c r="AE449" s="176"/>
      <c r="AF449" s="176"/>
      <c r="AG449" s="176"/>
      <c r="AH449" s="176"/>
      <c r="AI449" s="176"/>
      <c r="AJ449" s="176"/>
      <c r="AK449" s="176"/>
      <c r="AL449" s="176"/>
      <c r="AM449" s="176"/>
      <c r="AN449" s="176"/>
      <c r="AO449" s="176"/>
      <c r="AP449" s="176"/>
      <c r="AQ449" s="176"/>
      <c r="AR449" s="176"/>
      <c r="AS449" s="176"/>
      <c r="AT449" s="176"/>
      <c r="AU449" s="176"/>
      <c r="AV449" s="176"/>
      <c r="AW449" s="176"/>
      <c r="AX449" s="176"/>
      <c r="AY449" s="176"/>
      <c r="AZ449" s="176"/>
      <c r="BA449" s="176"/>
      <c r="BB449" s="176"/>
    </row>
    <row r="450" ht="15.75" customHeight="1">
      <c r="A450" s="176"/>
      <c r="B450" s="176"/>
      <c r="C450" s="176"/>
      <c r="D450" s="176"/>
      <c r="E450" s="176"/>
      <c r="F450" s="176"/>
      <c r="G450" s="176"/>
      <c r="H450" s="176"/>
      <c r="I450" s="176"/>
      <c r="J450" s="176"/>
      <c r="K450" s="176"/>
      <c r="L450" s="176"/>
      <c r="M450" s="176"/>
      <c r="N450" s="176"/>
      <c r="O450" s="176"/>
      <c r="P450" s="176"/>
      <c r="Q450" s="176"/>
      <c r="R450" s="176"/>
      <c r="S450" s="176"/>
      <c r="T450" s="176"/>
      <c r="U450" s="176"/>
      <c r="V450" s="176"/>
      <c r="W450" s="176"/>
      <c r="X450" s="176"/>
      <c r="Y450" s="176"/>
      <c r="Z450" s="176"/>
      <c r="AA450" s="176"/>
      <c r="AB450" s="176"/>
      <c r="AC450" s="176"/>
      <c r="AD450" s="176"/>
      <c r="AE450" s="176"/>
      <c r="AF450" s="176"/>
      <c r="AG450" s="176"/>
      <c r="AH450" s="176"/>
      <c r="AI450" s="176"/>
      <c r="AJ450" s="176"/>
      <c r="AK450" s="176"/>
      <c r="AL450" s="176"/>
      <c r="AM450" s="176"/>
      <c r="AN450" s="176"/>
      <c r="AO450" s="176"/>
      <c r="AP450" s="176"/>
      <c r="AQ450" s="176"/>
      <c r="AR450" s="176"/>
      <c r="AS450" s="176"/>
      <c r="AT450" s="176"/>
      <c r="AU450" s="176"/>
      <c r="AV450" s="176"/>
      <c r="AW450" s="176"/>
      <c r="AX450" s="176"/>
      <c r="AY450" s="176"/>
      <c r="AZ450" s="176"/>
      <c r="BA450" s="176"/>
      <c r="BB450" s="176"/>
    </row>
    <row r="451" ht="15.75" customHeight="1">
      <c r="A451" s="176"/>
      <c r="B451" s="176"/>
      <c r="C451" s="176"/>
      <c r="D451" s="176"/>
      <c r="E451" s="176"/>
      <c r="F451" s="176"/>
      <c r="G451" s="176"/>
      <c r="H451" s="176"/>
      <c r="I451" s="176"/>
      <c r="J451" s="176"/>
      <c r="K451" s="176"/>
      <c r="L451" s="176"/>
      <c r="M451" s="176"/>
      <c r="N451" s="176"/>
      <c r="O451" s="176"/>
      <c r="P451" s="176"/>
      <c r="Q451" s="176"/>
      <c r="R451" s="176"/>
      <c r="S451" s="176"/>
      <c r="T451" s="176"/>
      <c r="U451" s="176"/>
      <c r="V451" s="176"/>
      <c r="W451" s="176"/>
      <c r="X451" s="176"/>
      <c r="Y451" s="176"/>
      <c r="Z451" s="176"/>
      <c r="AA451" s="176"/>
      <c r="AB451" s="176"/>
      <c r="AC451" s="176"/>
      <c r="AD451" s="176"/>
      <c r="AE451" s="176"/>
      <c r="AF451" s="176"/>
      <c r="AG451" s="176"/>
      <c r="AH451" s="176"/>
      <c r="AI451" s="176"/>
      <c r="AJ451" s="176"/>
      <c r="AK451" s="176"/>
      <c r="AL451" s="176"/>
      <c r="AM451" s="176"/>
      <c r="AN451" s="176"/>
      <c r="AO451" s="176"/>
      <c r="AP451" s="176"/>
      <c r="AQ451" s="176"/>
      <c r="AR451" s="176"/>
      <c r="AS451" s="176"/>
      <c r="AT451" s="176"/>
      <c r="AU451" s="176"/>
      <c r="AV451" s="176"/>
      <c r="AW451" s="176"/>
      <c r="AX451" s="176"/>
      <c r="AY451" s="176"/>
      <c r="AZ451" s="176"/>
      <c r="BA451" s="176"/>
      <c r="BB451" s="176"/>
    </row>
    <row r="452" ht="15.75" customHeight="1">
      <c r="A452" s="176"/>
      <c r="B452" s="176"/>
      <c r="C452" s="176"/>
      <c r="D452" s="176"/>
      <c r="E452" s="176"/>
      <c r="F452" s="176"/>
      <c r="G452" s="176"/>
      <c r="H452" s="176"/>
      <c r="I452" s="176"/>
      <c r="J452" s="176"/>
      <c r="K452" s="176"/>
      <c r="L452" s="176"/>
      <c r="M452" s="176"/>
      <c r="N452" s="176"/>
      <c r="O452" s="176"/>
      <c r="P452" s="176"/>
      <c r="Q452" s="176"/>
      <c r="R452" s="176"/>
      <c r="S452" s="176"/>
      <c r="T452" s="176"/>
      <c r="U452" s="176"/>
      <c r="V452" s="176"/>
      <c r="W452" s="176"/>
      <c r="X452" s="176"/>
      <c r="Y452" s="176"/>
      <c r="Z452" s="176"/>
      <c r="AA452" s="176"/>
      <c r="AB452" s="176"/>
      <c r="AC452" s="176"/>
      <c r="AD452" s="176"/>
      <c r="AE452" s="176"/>
      <c r="AF452" s="176"/>
      <c r="AG452" s="176"/>
      <c r="AH452" s="176"/>
      <c r="AI452" s="176"/>
      <c r="AJ452" s="176"/>
      <c r="AK452" s="176"/>
      <c r="AL452" s="176"/>
      <c r="AM452" s="176"/>
      <c r="AN452" s="176"/>
      <c r="AO452" s="176"/>
      <c r="AP452" s="176"/>
      <c r="AQ452" s="176"/>
      <c r="AR452" s="176"/>
      <c r="AS452" s="176"/>
      <c r="AT452" s="176"/>
      <c r="AU452" s="176"/>
      <c r="AV452" s="176"/>
      <c r="AW452" s="176"/>
      <c r="AX452" s="176"/>
      <c r="AY452" s="176"/>
      <c r="AZ452" s="176"/>
      <c r="BA452" s="176"/>
      <c r="BB452" s="176"/>
    </row>
    <row r="453" ht="15.75" customHeight="1">
      <c r="A453" s="176"/>
      <c r="B453" s="176"/>
      <c r="C453" s="176"/>
      <c r="D453" s="176"/>
      <c r="E453" s="176"/>
      <c r="F453" s="176"/>
      <c r="G453" s="176"/>
      <c r="H453" s="176"/>
      <c r="I453" s="176"/>
      <c r="J453" s="176"/>
      <c r="K453" s="176"/>
      <c r="L453" s="176"/>
      <c r="M453" s="176"/>
      <c r="N453" s="176"/>
      <c r="O453" s="176"/>
      <c r="P453" s="176"/>
      <c r="Q453" s="176"/>
      <c r="R453" s="176"/>
      <c r="S453" s="176"/>
      <c r="T453" s="176"/>
      <c r="U453" s="176"/>
      <c r="V453" s="176"/>
      <c r="W453" s="176"/>
      <c r="X453" s="176"/>
      <c r="Y453" s="176"/>
      <c r="Z453" s="176"/>
      <c r="AA453" s="176"/>
      <c r="AB453" s="176"/>
      <c r="AC453" s="176"/>
      <c r="AD453" s="176"/>
      <c r="AE453" s="176"/>
      <c r="AF453" s="176"/>
      <c r="AG453" s="176"/>
      <c r="AH453" s="176"/>
      <c r="AI453" s="176"/>
      <c r="AJ453" s="176"/>
      <c r="AK453" s="176"/>
      <c r="AL453" s="176"/>
      <c r="AM453" s="176"/>
      <c r="AN453" s="176"/>
      <c r="AO453" s="176"/>
      <c r="AP453" s="176"/>
      <c r="AQ453" s="176"/>
      <c r="AR453" s="176"/>
      <c r="AS453" s="176"/>
      <c r="AT453" s="176"/>
      <c r="AU453" s="176"/>
      <c r="AV453" s="176"/>
      <c r="AW453" s="176"/>
      <c r="AX453" s="176"/>
      <c r="AY453" s="176"/>
      <c r="AZ453" s="176"/>
      <c r="BA453" s="176"/>
      <c r="BB453" s="176"/>
    </row>
    <row r="454" ht="15.75" customHeight="1">
      <c r="A454" s="176"/>
      <c r="B454" s="176"/>
      <c r="C454" s="176"/>
      <c r="D454" s="176"/>
      <c r="E454" s="176"/>
      <c r="F454" s="176"/>
      <c r="G454" s="176"/>
      <c r="H454" s="176"/>
      <c r="I454" s="176"/>
      <c r="J454" s="176"/>
      <c r="K454" s="176"/>
      <c r="L454" s="176"/>
      <c r="M454" s="176"/>
      <c r="N454" s="176"/>
      <c r="O454" s="176"/>
      <c r="P454" s="176"/>
      <c r="Q454" s="176"/>
      <c r="R454" s="176"/>
      <c r="S454" s="176"/>
      <c r="T454" s="176"/>
      <c r="U454" s="176"/>
      <c r="V454" s="176"/>
      <c r="W454" s="176"/>
      <c r="X454" s="176"/>
      <c r="Y454" s="176"/>
      <c r="Z454" s="176"/>
      <c r="AA454" s="176"/>
      <c r="AB454" s="176"/>
      <c r="AC454" s="176"/>
      <c r="AD454" s="176"/>
      <c r="AE454" s="176"/>
      <c r="AF454" s="176"/>
      <c r="AG454" s="176"/>
      <c r="AH454" s="176"/>
      <c r="AI454" s="176"/>
      <c r="AJ454" s="176"/>
      <c r="AK454" s="176"/>
      <c r="AL454" s="176"/>
      <c r="AM454" s="176"/>
      <c r="AN454" s="176"/>
      <c r="AO454" s="176"/>
      <c r="AP454" s="176"/>
      <c r="AQ454" s="176"/>
      <c r="AR454" s="176"/>
      <c r="AS454" s="176"/>
      <c r="AT454" s="176"/>
      <c r="AU454" s="176"/>
      <c r="AV454" s="176"/>
      <c r="AW454" s="176"/>
      <c r="AX454" s="176"/>
      <c r="AY454" s="176"/>
      <c r="AZ454" s="176"/>
      <c r="BA454" s="176"/>
      <c r="BB454" s="176"/>
    </row>
    <row r="455" ht="15.75" customHeight="1">
      <c r="A455" s="176"/>
      <c r="B455" s="176"/>
      <c r="C455" s="176"/>
      <c r="D455" s="176"/>
      <c r="E455" s="176"/>
      <c r="F455" s="176"/>
      <c r="G455" s="176"/>
      <c r="H455" s="176"/>
      <c r="I455" s="176"/>
      <c r="J455" s="176"/>
      <c r="K455" s="176"/>
      <c r="L455" s="176"/>
      <c r="M455" s="176"/>
      <c r="N455" s="176"/>
      <c r="O455" s="176"/>
      <c r="P455" s="176"/>
      <c r="Q455" s="176"/>
      <c r="R455" s="176"/>
      <c r="S455" s="176"/>
      <c r="T455" s="176"/>
      <c r="U455" s="176"/>
      <c r="V455" s="176"/>
      <c r="W455" s="176"/>
      <c r="X455" s="176"/>
      <c r="Y455" s="176"/>
      <c r="Z455" s="176"/>
      <c r="AA455" s="176"/>
      <c r="AB455" s="176"/>
      <c r="AC455" s="176"/>
      <c r="AD455" s="176"/>
      <c r="AE455" s="176"/>
      <c r="AF455" s="176"/>
      <c r="AG455" s="176"/>
      <c r="AH455" s="176"/>
      <c r="AI455" s="176"/>
      <c r="AJ455" s="176"/>
      <c r="AK455" s="176"/>
      <c r="AL455" s="176"/>
      <c r="AM455" s="176"/>
      <c r="AN455" s="176"/>
      <c r="AO455" s="176"/>
      <c r="AP455" s="176"/>
      <c r="AQ455" s="176"/>
      <c r="AR455" s="176"/>
      <c r="AS455" s="176"/>
      <c r="AT455" s="176"/>
      <c r="AU455" s="176"/>
      <c r="AV455" s="176"/>
      <c r="AW455" s="176"/>
      <c r="AX455" s="176"/>
      <c r="AY455" s="176"/>
      <c r="AZ455" s="176"/>
      <c r="BA455" s="176"/>
      <c r="BB455" s="176"/>
    </row>
    <row r="456" ht="15.75" customHeight="1">
      <c r="A456" s="176"/>
      <c r="B456" s="176"/>
      <c r="C456" s="176"/>
      <c r="D456" s="176"/>
      <c r="E456" s="176"/>
      <c r="F456" s="176"/>
      <c r="G456" s="176"/>
      <c r="H456" s="176"/>
      <c r="I456" s="176"/>
      <c r="J456" s="176"/>
      <c r="K456" s="176"/>
      <c r="L456" s="176"/>
      <c r="M456" s="176"/>
      <c r="N456" s="176"/>
      <c r="O456" s="176"/>
      <c r="P456" s="176"/>
      <c r="Q456" s="176"/>
      <c r="R456" s="176"/>
      <c r="S456" s="176"/>
      <c r="T456" s="176"/>
      <c r="U456" s="176"/>
      <c r="V456" s="176"/>
      <c r="W456" s="176"/>
      <c r="X456" s="176"/>
      <c r="Y456" s="176"/>
      <c r="Z456" s="176"/>
      <c r="AA456" s="176"/>
      <c r="AB456" s="176"/>
      <c r="AC456" s="176"/>
      <c r="AD456" s="176"/>
      <c r="AE456" s="176"/>
      <c r="AF456" s="176"/>
      <c r="AG456" s="176"/>
      <c r="AH456" s="176"/>
      <c r="AI456" s="176"/>
      <c r="AJ456" s="176"/>
      <c r="AK456" s="176"/>
      <c r="AL456" s="176"/>
      <c r="AM456" s="176"/>
      <c r="AN456" s="176"/>
      <c r="AO456" s="176"/>
      <c r="AP456" s="176"/>
      <c r="AQ456" s="176"/>
      <c r="AR456" s="176"/>
      <c r="AS456" s="176"/>
      <c r="AT456" s="176"/>
      <c r="AU456" s="176"/>
      <c r="AV456" s="176"/>
      <c r="AW456" s="176"/>
      <c r="AX456" s="176"/>
      <c r="AY456" s="176"/>
      <c r="AZ456" s="176"/>
      <c r="BA456" s="176"/>
      <c r="BB456" s="176"/>
    </row>
    <row r="457" ht="15.75" customHeight="1">
      <c r="A457" s="176"/>
      <c r="B457" s="176"/>
      <c r="C457" s="176"/>
      <c r="D457" s="176"/>
      <c r="E457" s="176"/>
      <c r="F457" s="176"/>
      <c r="G457" s="176"/>
      <c r="H457" s="176"/>
      <c r="I457" s="176"/>
      <c r="J457" s="176"/>
      <c r="K457" s="176"/>
      <c r="L457" s="176"/>
      <c r="M457" s="176"/>
      <c r="N457" s="176"/>
      <c r="O457" s="176"/>
      <c r="P457" s="176"/>
      <c r="Q457" s="176"/>
      <c r="R457" s="176"/>
      <c r="S457" s="176"/>
      <c r="T457" s="176"/>
      <c r="U457" s="176"/>
      <c r="V457" s="176"/>
      <c r="W457" s="176"/>
      <c r="X457" s="176"/>
      <c r="Y457" s="176"/>
      <c r="Z457" s="176"/>
      <c r="AA457" s="176"/>
      <c r="AB457" s="176"/>
      <c r="AC457" s="176"/>
      <c r="AD457" s="176"/>
      <c r="AE457" s="176"/>
      <c r="AF457" s="176"/>
      <c r="AG457" s="176"/>
      <c r="AH457" s="176"/>
      <c r="AI457" s="176"/>
      <c r="AJ457" s="176"/>
      <c r="AK457" s="176"/>
      <c r="AL457" s="176"/>
      <c r="AM457" s="176"/>
      <c r="AN457" s="176"/>
      <c r="AO457" s="176"/>
      <c r="AP457" s="176"/>
      <c r="AQ457" s="176"/>
      <c r="AR457" s="176"/>
      <c r="AS457" s="176"/>
      <c r="AT457" s="176"/>
      <c r="AU457" s="176"/>
      <c r="AV457" s="176"/>
      <c r="AW457" s="176"/>
      <c r="AX457" s="176"/>
      <c r="AY457" s="176"/>
      <c r="AZ457" s="176"/>
      <c r="BA457" s="176"/>
      <c r="BB457" s="176"/>
    </row>
    <row r="458" ht="15.75" customHeight="1">
      <c r="A458" s="176"/>
      <c r="B458" s="176"/>
      <c r="C458" s="176"/>
      <c r="D458" s="176"/>
      <c r="E458" s="176"/>
      <c r="F458" s="176"/>
      <c r="G458" s="176"/>
      <c r="H458" s="176"/>
      <c r="I458" s="176"/>
      <c r="J458" s="176"/>
      <c r="K458" s="176"/>
      <c r="L458" s="176"/>
      <c r="M458" s="176"/>
      <c r="N458" s="176"/>
      <c r="O458" s="176"/>
      <c r="P458" s="176"/>
      <c r="Q458" s="176"/>
      <c r="R458" s="176"/>
      <c r="S458" s="176"/>
      <c r="T458" s="176"/>
      <c r="U458" s="176"/>
      <c r="V458" s="176"/>
      <c r="W458" s="176"/>
      <c r="X458" s="176"/>
      <c r="Y458" s="176"/>
      <c r="Z458" s="176"/>
      <c r="AA458" s="176"/>
      <c r="AB458" s="176"/>
      <c r="AC458" s="176"/>
      <c r="AD458" s="176"/>
      <c r="AE458" s="176"/>
      <c r="AF458" s="176"/>
      <c r="AG458" s="176"/>
      <c r="AH458" s="176"/>
      <c r="AI458" s="176"/>
      <c r="AJ458" s="176"/>
      <c r="AK458" s="176"/>
      <c r="AL458" s="176"/>
      <c r="AM458" s="176"/>
      <c r="AN458" s="176"/>
      <c r="AO458" s="176"/>
      <c r="AP458" s="176"/>
      <c r="AQ458" s="176"/>
      <c r="AR458" s="176"/>
      <c r="AS458" s="176"/>
      <c r="AT458" s="176"/>
      <c r="AU458" s="176"/>
      <c r="AV458" s="176"/>
      <c r="AW458" s="176"/>
      <c r="AX458" s="176"/>
      <c r="AY458" s="176"/>
      <c r="AZ458" s="176"/>
      <c r="BA458" s="176"/>
      <c r="BB458" s="176"/>
    </row>
    <row r="459" ht="15.75" customHeight="1">
      <c r="A459" s="176"/>
      <c r="B459" s="176"/>
      <c r="C459" s="176"/>
      <c r="D459" s="176"/>
      <c r="E459" s="176"/>
      <c r="F459" s="176"/>
      <c r="G459" s="176"/>
      <c r="H459" s="176"/>
      <c r="I459" s="176"/>
      <c r="J459" s="176"/>
      <c r="K459" s="176"/>
      <c r="L459" s="176"/>
      <c r="M459" s="176"/>
      <c r="N459" s="176"/>
      <c r="O459" s="176"/>
      <c r="P459" s="176"/>
      <c r="Q459" s="176"/>
      <c r="R459" s="176"/>
      <c r="S459" s="176"/>
      <c r="T459" s="176"/>
      <c r="U459" s="176"/>
      <c r="V459" s="176"/>
      <c r="W459" s="176"/>
      <c r="X459" s="176"/>
      <c r="Y459" s="176"/>
      <c r="Z459" s="176"/>
      <c r="AA459" s="176"/>
      <c r="AB459" s="176"/>
      <c r="AC459" s="176"/>
      <c r="AD459" s="176"/>
      <c r="AE459" s="176"/>
      <c r="AF459" s="176"/>
      <c r="AG459" s="176"/>
      <c r="AH459" s="176"/>
      <c r="AI459" s="176"/>
      <c r="AJ459" s="176"/>
      <c r="AK459" s="176"/>
      <c r="AL459" s="176"/>
      <c r="AM459" s="176"/>
      <c r="AN459" s="176"/>
      <c r="AO459" s="176"/>
      <c r="AP459" s="176"/>
      <c r="AQ459" s="176"/>
      <c r="AR459" s="176"/>
      <c r="AS459" s="176"/>
      <c r="AT459" s="176"/>
      <c r="AU459" s="176"/>
      <c r="AV459" s="176"/>
      <c r="AW459" s="176"/>
      <c r="AX459" s="176"/>
      <c r="AY459" s="176"/>
      <c r="AZ459" s="176"/>
      <c r="BA459" s="176"/>
      <c r="BB459" s="176"/>
    </row>
    <row r="460" ht="15.75" customHeight="1">
      <c r="A460" s="176"/>
      <c r="B460" s="176"/>
      <c r="C460" s="176"/>
      <c r="D460" s="176"/>
      <c r="E460" s="176"/>
      <c r="F460" s="176"/>
      <c r="G460" s="176"/>
      <c r="H460" s="176"/>
      <c r="I460" s="176"/>
      <c r="J460" s="176"/>
      <c r="K460" s="176"/>
      <c r="L460" s="176"/>
      <c r="M460" s="176"/>
      <c r="N460" s="176"/>
      <c r="O460" s="176"/>
      <c r="P460" s="176"/>
      <c r="Q460" s="176"/>
      <c r="R460" s="176"/>
      <c r="S460" s="176"/>
      <c r="T460" s="176"/>
      <c r="U460" s="176"/>
      <c r="V460" s="176"/>
      <c r="W460" s="176"/>
      <c r="X460" s="176"/>
      <c r="Y460" s="176"/>
      <c r="Z460" s="176"/>
      <c r="AA460" s="176"/>
      <c r="AB460" s="176"/>
      <c r="AC460" s="176"/>
      <c r="AD460" s="176"/>
      <c r="AE460" s="176"/>
      <c r="AF460" s="176"/>
      <c r="AG460" s="176"/>
      <c r="AH460" s="176"/>
      <c r="AI460" s="176"/>
      <c r="AJ460" s="176"/>
      <c r="AK460" s="176"/>
      <c r="AL460" s="176"/>
      <c r="AM460" s="176"/>
      <c r="AN460" s="176"/>
      <c r="AO460" s="176"/>
      <c r="AP460" s="176"/>
      <c r="AQ460" s="176"/>
      <c r="AR460" s="176"/>
      <c r="AS460" s="176"/>
      <c r="AT460" s="176"/>
      <c r="AU460" s="176"/>
      <c r="AV460" s="176"/>
      <c r="AW460" s="176"/>
      <c r="AX460" s="176"/>
      <c r="AY460" s="176"/>
      <c r="AZ460" s="176"/>
      <c r="BA460" s="176"/>
      <c r="BB460" s="176"/>
    </row>
    <row r="461" ht="15.75" customHeight="1">
      <c r="A461" s="176"/>
      <c r="B461" s="176"/>
      <c r="C461" s="176"/>
      <c r="D461" s="176"/>
      <c r="E461" s="176"/>
      <c r="F461" s="176"/>
      <c r="G461" s="176"/>
      <c r="H461" s="176"/>
      <c r="I461" s="176"/>
      <c r="J461" s="176"/>
      <c r="K461" s="176"/>
      <c r="L461" s="176"/>
      <c r="M461" s="176"/>
      <c r="N461" s="176"/>
      <c r="O461" s="176"/>
      <c r="P461" s="176"/>
      <c r="Q461" s="176"/>
      <c r="R461" s="176"/>
      <c r="S461" s="176"/>
      <c r="T461" s="176"/>
      <c r="U461" s="176"/>
      <c r="V461" s="176"/>
      <c r="W461" s="176"/>
      <c r="X461" s="176"/>
      <c r="Y461" s="176"/>
      <c r="Z461" s="176"/>
      <c r="AA461" s="176"/>
      <c r="AB461" s="176"/>
      <c r="AC461" s="176"/>
      <c r="AD461" s="176"/>
      <c r="AE461" s="176"/>
      <c r="AF461" s="176"/>
      <c r="AG461" s="176"/>
      <c r="AH461" s="176"/>
      <c r="AI461" s="176"/>
      <c r="AJ461" s="176"/>
      <c r="AK461" s="176"/>
      <c r="AL461" s="176"/>
      <c r="AM461" s="176"/>
      <c r="AN461" s="176"/>
      <c r="AO461" s="176"/>
      <c r="AP461" s="176"/>
      <c r="AQ461" s="176"/>
      <c r="AR461" s="176"/>
      <c r="AS461" s="176"/>
      <c r="AT461" s="176"/>
      <c r="AU461" s="176"/>
      <c r="AV461" s="176"/>
      <c r="AW461" s="176"/>
      <c r="AX461" s="176"/>
      <c r="AY461" s="176"/>
      <c r="AZ461" s="176"/>
      <c r="BA461" s="176"/>
      <c r="BB461" s="176"/>
    </row>
    <row r="462" ht="15.75" customHeight="1">
      <c r="A462" s="176"/>
      <c r="B462" s="176"/>
      <c r="C462" s="176"/>
      <c r="D462" s="176"/>
      <c r="E462" s="176"/>
      <c r="F462" s="176"/>
      <c r="G462" s="176"/>
      <c r="H462" s="176"/>
      <c r="I462" s="176"/>
      <c r="J462" s="176"/>
      <c r="K462" s="176"/>
      <c r="L462" s="176"/>
      <c r="M462" s="176"/>
      <c r="N462" s="176"/>
      <c r="O462" s="176"/>
      <c r="P462" s="176"/>
      <c r="Q462" s="176"/>
      <c r="R462" s="176"/>
      <c r="S462" s="176"/>
      <c r="T462" s="176"/>
      <c r="U462" s="176"/>
      <c r="V462" s="176"/>
      <c r="W462" s="176"/>
      <c r="X462" s="176"/>
      <c r="Y462" s="176"/>
      <c r="Z462" s="176"/>
      <c r="AA462" s="176"/>
      <c r="AB462" s="176"/>
      <c r="AC462" s="176"/>
      <c r="AD462" s="176"/>
      <c r="AE462" s="176"/>
      <c r="AF462" s="176"/>
      <c r="AG462" s="176"/>
      <c r="AH462" s="176"/>
      <c r="AI462" s="176"/>
      <c r="AJ462" s="176"/>
      <c r="AK462" s="176"/>
      <c r="AL462" s="176"/>
      <c r="AM462" s="176"/>
      <c r="AN462" s="176"/>
      <c r="AO462" s="176"/>
      <c r="AP462" s="176"/>
      <c r="AQ462" s="176"/>
      <c r="AR462" s="176"/>
      <c r="AS462" s="176"/>
      <c r="AT462" s="176"/>
      <c r="AU462" s="176"/>
      <c r="AV462" s="176"/>
      <c r="AW462" s="176"/>
      <c r="AX462" s="176"/>
      <c r="AY462" s="176"/>
      <c r="AZ462" s="176"/>
      <c r="BA462" s="176"/>
      <c r="BB462" s="176"/>
    </row>
    <row r="463" ht="15.75" customHeight="1">
      <c r="A463" s="176"/>
      <c r="B463" s="176"/>
      <c r="C463" s="176"/>
      <c r="D463" s="176"/>
      <c r="E463" s="176"/>
      <c r="F463" s="176"/>
      <c r="G463" s="176"/>
      <c r="H463" s="176"/>
      <c r="I463" s="176"/>
      <c r="J463" s="176"/>
      <c r="K463" s="176"/>
      <c r="L463" s="176"/>
      <c r="M463" s="176"/>
      <c r="N463" s="176"/>
      <c r="O463" s="176"/>
      <c r="P463" s="176"/>
      <c r="Q463" s="176"/>
      <c r="R463" s="176"/>
      <c r="S463" s="176"/>
      <c r="T463" s="176"/>
      <c r="U463" s="176"/>
      <c r="V463" s="176"/>
      <c r="W463" s="176"/>
      <c r="X463" s="176"/>
      <c r="Y463" s="176"/>
      <c r="Z463" s="176"/>
      <c r="AA463" s="176"/>
      <c r="AB463" s="176"/>
      <c r="AC463" s="176"/>
      <c r="AD463" s="176"/>
      <c r="AE463" s="176"/>
      <c r="AF463" s="176"/>
      <c r="AG463" s="176"/>
      <c r="AH463" s="176"/>
      <c r="AI463" s="176"/>
      <c r="AJ463" s="176"/>
      <c r="AK463" s="176"/>
      <c r="AL463" s="176"/>
      <c r="AM463" s="176"/>
      <c r="AN463" s="176"/>
      <c r="AO463" s="176"/>
      <c r="AP463" s="176"/>
      <c r="AQ463" s="176"/>
      <c r="AR463" s="176"/>
      <c r="AS463" s="176"/>
      <c r="AT463" s="176"/>
      <c r="AU463" s="176"/>
      <c r="AV463" s="176"/>
      <c r="AW463" s="176"/>
      <c r="AX463" s="176"/>
      <c r="AY463" s="176"/>
      <c r="AZ463" s="176"/>
      <c r="BA463" s="176"/>
      <c r="BB463" s="176"/>
    </row>
    <row r="464" ht="15.75" customHeight="1">
      <c r="A464" s="176"/>
      <c r="B464" s="176"/>
      <c r="C464" s="176"/>
      <c r="D464" s="176"/>
      <c r="E464" s="176"/>
      <c r="F464" s="176"/>
      <c r="G464" s="176"/>
      <c r="H464" s="176"/>
      <c r="I464" s="176"/>
      <c r="J464" s="176"/>
      <c r="K464" s="176"/>
      <c r="L464" s="176"/>
      <c r="M464" s="176"/>
      <c r="N464" s="176"/>
      <c r="O464" s="176"/>
      <c r="P464" s="176"/>
      <c r="Q464" s="176"/>
      <c r="R464" s="176"/>
      <c r="S464" s="176"/>
      <c r="T464" s="176"/>
      <c r="U464" s="176"/>
      <c r="V464" s="176"/>
      <c r="W464" s="176"/>
      <c r="X464" s="176"/>
      <c r="Y464" s="176"/>
      <c r="Z464" s="176"/>
      <c r="AA464" s="176"/>
      <c r="AB464" s="176"/>
      <c r="AC464" s="176"/>
      <c r="AD464" s="176"/>
      <c r="AE464" s="176"/>
      <c r="AF464" s="176"/>
      <c r="AG464" s="176"/>
      <c r="AH464" s="176"/>
      <c r="AI464" s="176"/>
      <c r="AJ464" s="176"/>
      <c r="AK464" s="176"/>
      <c r="AL464" s="176"/>
      <c r="AM464" s="176"/>
      <c r="AN464" s="176"/>
      <c r="AO464" s="176"/>
      <c r="AP464" s="176"/>
      <c r="AQ464" s="176"/>
      <c r="AR464" s="176"/>
      <c r="AS464" s="176"/>
      <c r="AT464" s="176"/>
      <c r="AU464" s="176"/>
      <c r="AV464" s="176"/>
      <c r="AW464" s="176"/>
      <c r="AX464" s="176"/>
      <c r="AY464" s="176"/>
      <c r="AZ464" s="176"/>
      <c r="BA464" s="176"/>
      <c r="BB464" s="176"/>
    </row>
    <row r="465" ht="15.75" customHeight="1">
      <c r="A465" s="176"/>
      <c r="B465" s="176"/>
      <c r="C465" s="176"/>
      <c r="D465" s="176"/>
      <c r="E465" s="176"/>
      <c r="F465" s="176"/>
      <c r="G465" s="176"/>
      <c r="H465" s="176"/>
      <c r="I465" s="176"/>
      <c r="J465" s="176"/>
      <c r="K465" s="176"/>
      <c r="L465" s="176"/>
      <c r="M465" s="176"/>
      <c r="N465" s="176"/>
      <c r="O465" s="176"/>
      <c r="P465" s="176"/>
      <c r="Q465" s="176"/>
      <c r="R465" s="176"/>
      <c r="S465" s="176"/>
      <c r="T465" s="176"/>
      <c r="U465" s="176"/>
      <c r="V465" s="176"/>
      <c r="W465" s="176"/>
      <c r="X465" s="176"/>
      <c r="Y465" s="176"/>
      <c r="Z465" s="176"/>
      <c r="AA465" s="176"/>
      <c r="AB465" s="176"/>
      <c r="AC465" s="176"/>
      <c r="AD465" s="176"/>
      <c r="AE465" s="176"/>
      <c r="AF465" s="176"/>
      <c r="AG465" s="176"/>
      <c r="AH465" s="176"/>
      <c r="AI465" s="176"/>
      <c r="AJ465" s="176"/>
      <c r="AK465" s="176"/>
      <c r="AL465" s="176"/>
      <c r="AM465" s="176"/>
      <c r="AN465" s="176"/>
      <c r="AO465" s="176"/>
      <c r="AP465" s="176"/>
      <c r="AQ465" s="176"/>
      <c r="AR465" s="176"/>
      <c r="AS465" s="176"/>
      <c r="AT465" s="176"/>
      <c r="AU465" s="176"/>
      <c r="AV465" s="176"/>
      <c r="AW465" s="176"/>
      <c r="AX465" s="176"/>
      <c r="AY465" s="176"/>
      <c r="AZ465" s="176"/>
      <c r="BA465" s="176"/>
      <c r="BB465" s="176"/>
    </row>
    <row r="466" ht="15.75" customHeight="1">
      <c r="A466" s="176"/>
      <c r="B466" s="176"/>
      <c r="C466" s="176"/>
      <c r="D466" s="176"/>
      <c r="E466" s="176"/>
      <c r="F466" s="176"/>
      <c r="G466" s="176"/>
      <c r="H466" s="176"/>
      <c r="I466" s="176"/>
      <c r="J466" s="176"/>
      <c r="K466" s="176"/>
      <c r="L466" s="176"/>
      <c r="M466" s="176"/>
      <c r="N466" s="176"/>
      <c r="O466" s="176"/>
      <c r="P466" s="176"/>
      <c r="Q466" s="176"/>
      <c r="R466" s="176"/>
      <c r="S466" s="176"/>
      <c r="T466" s="176"/>
      <c r="U466" s="176"/>
      <c r="V466" s="176"/>
      <c r="W466" s="176"/>
      <c r="X466" s="176"/>
      <c r="Y466" s="176"/>
      <c r="Z466" s="176"/>
      <c r="AA466" s="176"/>
      <c r="AB466" s="176"/>
      <c r="AC466" s="176"/>
      <c r="AD466" s="176"/>
      <c r="AE466" s="176"/>
      <c r="AF466" s="176"/>
      <c r="AG466" s="176"/>
      <c r="AH466" s="176"/>
      <c r="AI466" s="176"/>
      <c r="AJ466" s="176"/>
      <c r="AK466" s="176"/>
      <c r="AL466" s="176"/>
      <c r="AM466" s="176"/>
      <c r="AN466" s="176"/>
      <c r="AO466" s="176"/>
      <c r="AP466" s="176"/>
      <c r="AQ466" s="176"/>
      <c r="AR466" s="176"/>
      <c r="AS466" s="176"/>
      <c r="AT466" s="176"/>
      <c r="AU466" s="176"/>
      <c r="AV466" s="176"/>
      <c r="AW466" s="176"/>
      <c r="AX466" s="176"/>
      <c r="AY466" s="176"/>
      <c r="AZ466" s="176"/>
      <c r="BA466" s="176"/>
      <c r="BB466" s="176"/>
    </row>
    <row r="467" ht="15.75" customHeight="1">
      <c r="A467" s="176"/>
      <c r="B467" s="176"/>
      <c r="C467" s="176"/>
      <c r="D467" s="176"/>
      <c r="E467" s="176"/>
      <c r="F467" s="176"/>
      <c r="G467" s="176"/>
      <c r="H467" s="176"/>
      <c r="I467" s="176"/>
      <c r="J467" s="176"/>
      <c r="K467" s="176"/>
      <c r="L467" s="176"/>
      <c r="M467" s="176"/>
      <c r="N467" s="176"/>
      <c r="O467" s="176"/>
      <c r="P467" s="176"/>
      <c r="Q467" s="176"/>
      <c r="R467" s="176"/>
      <c r="S467" s="176"/>
      <c r="T467" s="176"/>
      <c r="U467" s="176"/>
      <c r="V467" s="176"/>
      <c r="W467" s="176"/>
      <c r="X467" s="176"/>
      <c r="Y467" s="176"/>
      <c r="Z467" s="176"/>
      <c r="AA467" s="176"/>
      <c r="AB467" s="176"/>
      <c r="AC467" s="176"/>
      <c r="AD467" s="176"/>
      <c r="AE467" s="176"/>
      <c r="AF467" s="176"/>
      <c r="AG467" s="176"/>
      <c r="AH467" s="176"/>
      <c r="AI467" s="176"/>
      <c r="AJ467" s="176"/>
      <c r="AK467" s="176"/>
      <c r="AL467" s="176"/>
      <c r="AM467" s="176"/>
      <c r="AN467" s="176"/>
      <c r="AO467" s="176"/>
      <c r="AP467" s="176"/>
      <c r="AQ467" s="176"/>
      <c r="AR467" s="176"/>
      <c r="AS467" s="176"/>
      <c r="AT467" s="176"/>
      <c r="AU467" s="176"/>
      <c r="AV467" s="176"/>
      <c r="AW467" s="176"/>
      <c r="AX467" s="176"/>
      <c r="AY467" s="176"/>
      <c r="AZ467" s="176"/>
      <c r="BA467" s="176"/>
      <c r="BB467" s="176"/>
    </row>
    <row r="468" ht="15.75" customHeight="1">
      <c r="A468" s="176"/>
      <c r="B468" s="176"/>
      <c r="C468" s="176"/>
      <c r="D468" s="176"/>
      <c r="E468" s="176"/>
      <c r="F468" s="176"/>
      <c r="G468" s="176"/>
      <c r="H468" s="176"/>
      <c r="I468" s="176"/>
      <c r="J468" s="176"/>
      <c r="K468" s="176"/>
      <c r="L468" s="176"/>
      <c r="M468" s="176"/>
      <c r="N468" s="176"/>
      <c r="O468" s="176"/>
      <c r="P468" s="176"/>
      <c r="Q468" s="176"/>
      <c r="R468" s="176"/>
      <c r="S468" s="176"/>
      <c r="T468" s="176"/>
      <c r="U468" s="176"/>
      <c r="V468" s="176"/>
      <c r="W468" s="176"/>
      <c r="X468" s="176"/>
      <c r="Y468" s="176"/>
      <c r="Z468" s="176"/>
      <c r="AA468" s="176"/>
      <c r="AB468" s="176"/>
      <c r="AC468" s="176"/>
      <c r="AD468" s="176"/>
      <c r="AE468" s="176"/>
      <c r="AF468" s="176"/>
      <c r="AG468" s="176"/>
      <c r="AH468" s="176"/>
      <c r="AI468" s="176"/>
      <c r="AJ468" s="176"/>
      <c r="AK468" s="176"/>
      <c r="AL468" s="176"/>
      <c r="AM468" s="176"/>
      <c r="AN468" s="176"/>
      <c r="AO468" s="176"/>
      <c r="AP468" s="176"/>
      <c r="AQ468" s="176"/>
      <c r="AR468" s="176"/>
      <c r="AS468" s="176"/>
      <c r="AT468" s="176"/>
      <c r="AU468" s="176"/>
      <c r="AV468" s="176"/>
      <c r="AW468" s="176"/>
      <c r="AX468" s="176"/>
      <c r="AY468" s="176"/>
      <c r="AZ468" s="176"/>
      <c r="BA468" s="176"/>
      <c r="BB468" s="176"/>
    </row>
    <row r="469" ht="15.75" customHeight="1">
      <c r="A469" s="176"/>
      <c r="B469" s="176"/>
      <c r="C469" s="176"/>
      <c r="D469" s="176"/>
      <c r="E469" s="176"/>
      <c r="F469" s="176"/>
      <c r="G469" s="176"/>
      <c r="H469" s="176"/>
      <c r="I469" s="176"/>
      <c r="J469" s="176"/>
      <c r="K469" s="176"/>
      <c r="L469" s="176"/>
      <c r="M469" s="176"/>
      <c r="N469" s="176"/>
      <c r="O469" s="176"/>
      <c r="P469" s="176"/>
      <c r="Q469" s="176"/>
      <c r="R469" s="176"/>
      <c r="S469" s="176"/>
      <c r="T469" s="176"/>
      <c r="U469" s="176"/>
      <c r="V469" s="176"/>
      <c r="W469" s="176"/>
      <c r="X469" s="176"/>
      <c r="Y469" s="176"/>
      <c r="Z469" s="176"/>
      <c r="AA469" s="176"/>
      <c r="AB469" s="176"/>
      <c r="AC469" s="176"/>
      <c r="AD469" s="176"/>
      <c r="AE469" s="176"/>
      <c r="AF469" s="176"/>
      <c r="AG469" s="176"/>
      <c r="AH469" s="176"/>
      <c r="AI469" s="176"/>
      <c r="AJ469" s="176"/>
      <c r="AK469" s="176"/>
      <c r="AL469" s="176"/>
      <c r="AM469" s="176"/>
      <c r="AN469" s="176"/>
      <c r="AO469" s="176"/>
      <c r="AP469" s="176"/>
      <c r="AQ469" s="176"/>
      <c r="AR469" s="176"/>
      <c r="AS469" s="176"/>
      <c r="AT469" s="176"/>
      <c r="AU469" s="176"/>
      <c r="AV469" s="176"/>
      <c r="AW469" s="176"/>
      <c r="AX469" s="176"/>
      <c r="AY469" s="176"/>
      <c r="AZ469" s="176"/>
      <c r="BA469" s="176"/>
      <c r="BB469" s="176"/>
    </row>
    <row r="470" ht="15.75" customHeight="1">
      <c r="A470" s="176"/>
      <c r="B470" s="176"/>
      <c r="C470" s="176"/>
      <c r="D470" s="176"/>
      <c r="E470" s="176"/>
      <c r="F470" s="176"/>
      <c r="G470" s="176"/>
      <c r="H470" s="176"/>
      <c r="I470" s="176"/>
      <c r="J470" s="176"/>
      <c r="K470" s="176"/>
      <c r="L470" s="176"/>
      <c r="M470" s="176"/>
      <c r="N470" s="176"/>
      <c r="O470" s="176"/>
      <c r="P470" s="176"/>
      <c r="Q470" s="176"/>
      <c r="R470" s="176"/>
      <c r="S470" s="176"/>
      <c r="T470" s="176"/>
      <c r="U470" s="176"/>
      <c r="V470" s="176"/>
      <c r="W470" s="176"/>
      <c r="X470" s="176"/>
      <c r="Y470" s="176"/>
      <c r="Z470" s="176"/>
      <c r="AA470" s="176"/>
      <c r="AB470" s="176"/>
      <c r="AC470" s="176"/>
      <c r="AD470" s="176"/>
      <c r="AE470" s="176"/>
      <c r="AF470" s="176"/>
      <c r="AG470" s="176"/>
      <c r="AH470" s="176"/>
      <c r="AI470" s="176"/>
      <c r="AJ470" s="176"/>
      <c r="AK470" s="176"/>
      <c r="AL470" s="176"/>
      <c r="AM470" s="176"/>
      <c r="AN470" s="176"/>
      <c r="AO470" s="176"/>
      <c r="AP470" s="176"/>
      <c r="AQ470" s="176"/>
      <c r="AR470" s="176"/>
      <c r="AS470" s="176"/>
      <c r="AT470" s="176"/>
      <c r="AU470" s="176"/>
      <c r="AV470" s="176"/>
      <c r="AW470" s="176"/>
      <c r="AX470" s="176"/>
      <c r="AY470" s="176"/>
      <c r="AZ470" s="176"/>
      <c r="BA470" s="176"/>
      <c r="BB470" s="176"/>
    </row>
    <row r="471" ht="15.75" customHeight="1">
      <c r="A471" s="176"/>
      <c r="B471" s="176"/>
      <c r="C471" s="176"/>
      <c r="D471" s="176"/>
      <c r="E471" s="176"/>
      <c r="F471" s="176"/>
      <c r="G471" s="176"/>
      <c r="H471" s="176"/>
      <c r="I471" s="176"/>
      <c r="J471" s="176"/>
      <c r="K471" s="176"/>
      <c r="L471" s="176"/>
      <c r="M471" s="176"/>
      <c r="N471" s="176"/>
      <c r="O471" s="176"/>
      <c r="P471" s="176"/>
      <c r="Q471" s="176"/>
      <c r="R471" s="176"/>
      <c r="S471" s="176"/>
      <c r="T471" s="176"/>
      <c r="U471" s="176"/>
      <c r="V471" s="176"/>
      <c r="W471" s="176"/>
      <c r="X471" s="176"/>
      <c r="Y471" s="176"/>
      <c r="Z471" s="176"/>
      <c r="AA471" s="176"/>
      <c r="AB471" s="176"/>
      <c r="AC471" s="176"/>
      <c r="AD471" s="176"/>
      <c r="AE471" s="176"/>
      <c r="AF471" s="176"/>
      <c r="AG471" s="176"/>
      <c r="AH471" s="176"/>
      <c r="AI471" s="176"/>
      <c r="AJ471" s="176"/>
      <c r="AK471" s="176"/>
      <c r="AL471" s="176"/>
      <c r="AM471" s="176"/>
      <c r="AN471" s="176"/>
      <c r="AO471" s="176"/>
      <c r="AP471" s="176"/>
      <c r="AQ471" s="176"/>
      <c r="AR471" s="176"/>
      <c r="AS471" s="176"/>
      <c r="AT471" s="176"/>
      <c r="AU471" s="176"/>
      <c r="AV471" s="176"/>
      <c r="AW471" s="176"/>
      <c r="AX471" s="176"/>
      <c r="AY471" s="176"/>
      <c r="AZ471" s="176"/>
      <c r="BA471" s="176"/>
      <c r="BB471" s="176"/>
    </row>
    <row r="472" ht="15.75" customHeight="1">
      <c r="A472" s="176"/>
      <c r="B472" s="176"/>
      <c r="C472" s="176"/>
      <c r="D472" s="176"/>
      <c r="E472" s="176"/>
      <c r="F472" s="176"/>
      <c r="G472" s="176"/>
      <c r="H472" s="176"/>
      <c r="I472" s="176"/>
      <c r="J472" s="176"/>
      <c r="K472" s="176"/>
      <c r="L472" s="176"/>
      <c r="M472" s="176"/>
      <c r="N472" s="176"/>
      <c r="O472" s="176"/>
      <c r="P472" s="176"/>
      <c r="Q472" s="176"/>
      <c r="R472" s="176"/>
      <c r="S472" s="176"/>
      <c r="T472" s="176"/>
      <c r="U472" s="176"/>
      <c r="V472" s="176"/>
      <c r="W472" s="176"/>
      <c r="X472" s="176"/>
      <c r="Y472" s="176"/>
      <c r="Z472" s="176"/>
      <c r="AA472" s="176"/>
      <c r="AB472" s="176"/>
      <c r="AC472" s="176"/>
      <c r="AD472" s="176"/>
      <c r="AE472" s="176"/>
      <c r="AF472" s="176"/>
      <c r="AG472" s="176"/>
      <c r="AH472" s="176"/>
      <c r="AI472" s="176"/>
      <c r="AJ472" s="176"/>
      <c r="AK472" s="176"/>
      <c r="AL472" s="176"/>
      <c r="AM472" s="176"/>
      <c r="AN472" s="176"/>
      <c r="AO472" s="176"/>
      <c r="AP472" s="176"/>
      <c r="AQ472" s="176"/>
      <c r="AR472" s="176"/>
      <c r="AS472" s="176"/>
      <c r="AT472" s="176"/>
      <c r="AU472" s="176"/>
      <c r="AV472" s="176"/>
      <c r="AW472" s="176"/>
      <c r="AX472" s="176"/>
      <c r="AY472" s="176"/>
      <c r="AZ472" s="176"/>
      <c r="BA472" s="176"/>
      <c r="BB472" s="176"/>
    </row>
    <row r="473" ht="15.75" customHeight="1">
      <c r="A473" s="176"/>
      <c r="B473" s="176"/>
      <c r="C473" s="176"/>
      <c r="D473" s="176"/>
      <c r="E473" s="176"/>
      <c r="F473" s="176"/>
      <c r="G473" s="176"/>
      <c r="H473" s="176"/>
      <c r="I473" s="176"/>
      <c r="J473" s="176"/>
      <c r="K473" s="176"/>
      <c r="L473" s="176"/>
      <c r="M473" s="176"/>
      <c r="N473" s="176"/>
      <c r="O473" s="176"/>
      <c r="P473" s="176"/>
      <c r="Q473" s="176"/>
      <c r="R473" s="176"/>
      <c r="S473" s="176"/>
      <c r="T473" s="176"/>
      <c r="U473" s="176"/>
      <c r="V473" s="176"/>
      <c r="W473" s="176"/>
      <c r="X473" s="176"/>
      <c r="Y473" s="176"/>
      <c r="Z473" s="176"/>
      <c r="AA473" s="176"/>
      <c r="AB473" s="176"/>
      <c r="AC473" s="176"/>
      <c r="AD473" s="176"/>
      <c r="AE473" s="176"/>
      <c r="AF473" s="176"/>
      <c r="AG473" s="176"/>
      <c r="AH473" s="176"/>
      <c r="AI473" s="176"/>
      <c r="AJ473" s="176"/>
      <c r="AK473" s="176"/>
      <c r="AL473" s="176"/>
      <c r="AM473" s="176"/>
      <c r="AN473" s="176"/>
      <c r="AO473" s="176"/>
      <c r="AP473" s="176"/>
      <c r="AQ473" s="176"/>
      <c r="AR473" s="176"/>
      <c r="AS473" s="176"/>
      <c r="AT473" s="176"/>
      <c r="AU473" s="176"/>
      <c r="AV473" s="176"/>
      <c r="AW473" s="176"/>
      <c r="AX473" s="176"/>
      <c r="AY473" s="176"/>
      <c r="AZ473" s="176"/>
      <c r="BA473" s="176"/>
      <c r="BB473" s="176"/>
    </row>
    <row r="474" ht="15.75" customHeight="1">
      <c r="A474" s="176"/>
      <c r="B474" s="176"/>
      <c r="C474" s="176"/>
      <c r="D474" s="176"/>
      <c r="E474" s="176"/>
      <c r="F474" s="176"/>
      <c r="G474" s="176"/>
      <c r="H474" s="176"/>
      <c r="I474" s="176"/>
      <c r="J474" s="176"/>
      <c r="K474" s="176"/>
      <c r="L474" s="176"/>
      <c r="M474" s="176"/>
      <c r="N474" s="176"/>
      <c r="O474" s="176"/>
      <c r="P474" s="176"/>
      <c r="Q474" s="176"/>
      <c r="R474" s="176"/>
      <c r="S474" s="176"/>
      <c r="T474" s="176"/>
      <c r="U474" s="176"/>
      <c r="V474" s="176"/>
      <c r="W474" s="176"/>
      <c r="X474" s="176"/>
      <c r="Y474" s="176"/>
      <c r="Z474" s="176"/>
      <c r="AA474" s="176"/>
      <c r="AB474" s="176"/>
      <c r="AC474" s="176"/>
      <c r="AD474" s="176"/>
      <c r="AE474" s="176"/>
      <c r="AF474" s="176"/>
      <c r="AG474" s="176"/>
      <c r="AH474" s="176"/>
      <c r="AI474" s="176"/>
      <c r="AJ474" s="176"/>
      <c r="AK474" s="176"/>
      <c r="AL474" s="176"/>
      <c r="AM474" s="176"/>
      <c r="AN474" s="176"/>
      <c r="AO474" s="176"/>
      <c r="AP474" s="176"/>
      <c r="AQ474" s="176"/>
      <c r="AR474" s="176"/>
      <c r="AS474" s="176"/>
      <c r="AT474" s="176"/>
      <c r="AU474" s="176"/>
      <c r="AV474" s="176"/>
      <c r="AW474" s="176"/>
      <c r="AX474" s="176"/>
      <c r="AY474" s="176"/>
      <c r="AZ474" s="176"/>
      <c r="BA474" s="176"/>
      <c r="BB474" s="176"/>
    </row>
    <row r="475" ht="15.75" customHeight="1">
      <c r="A475" s="176"/>
      <c r="B475" s="176"/>
      <c r="C475" s="176"/>
      <c r="D475" s="176"/>
      <c r="E475" s="176"/>
      <c r="F475" s="176"/>
      <c r="G475" s="176"/>
      <c r="H475" s="176"/>
      <c r="I475" s="176"/>
      <c r="J475" s="176"/>
      <c r="K475" s="176"/>
      <c r="L475" s="176"/>
      <c r="M475" s="176"/>
      <c r="N475" s="176"/>
      <c r="O475" s="176"/>
      <c r="P475" s="176"/>
      <c r="Q475" s="176"/>
      <c r="R475" s="176"/>
      <c r="S475" s="176"/>
      <c r="T475" s="176"/>
      <c r="U475" s="176"/>
      <c r="V475" s="176"/>
      <c r="W475" s="176"/>
      <c r="X475" s="176"/>
      <c r="Y475" s="176"/>
      <c r="Z475" s="176"/>
      <c r="AA475" s="176"/>
      <c r="AB475" s="176"/>
      <c r="AC475" s="176"/>
      <c r="AD475" s="176"/>
      <c r="AE475" s="176"/>
      <c r="AF475" s="176"/>
      <c r="AG475" s="176"/>
      <c r="AH475" s="176"/>
      <c r="AI475" s="176"/>
      <c r="AJ475" s="176"/>
      <c r="AK475" s="176"/>
      <c r="AL475" s="176"/>
      <c r="AM475" s="176"/>
      <c r="AN475" s="176"/>
      <c r="AO475" s="176"/>
      <c r="AP475" s="176"/>
      <c r="AQ475" s="176"/>
      <c r="AR475" s="176"/>
      <c r="AS475" s="176"/>
      <c r="AT475" s="176"/>
      <c r="AU475" s="176"/>
      <c r="AV475" s="176"/>
      <c r="AW475" s="176"/>
      <c r="AX475" s="176"/>
      <c r="AY475" s="176"/>
      <c r="AZ475" s="176"/>
      <c r="BA475" s="176"/>
      <c r="BB475" s="176"/>
    </row>
    <row r="476" ht="15.75" customHeight="1">
      <c r="A476" s="176"/>
      <c r="B476" s="176"/>
      <c r="C476" s="176"/>
      <c r="D476" s="176"/>
      <c r="E476" s="176"/>
      <c r="F476" s="176"/>
      <c r="G476" s="176"/>
      <c r="H476" s="176"/>
      <c r="I476" s="176"/>
      <c r="J476" s="176"/>
      <c r="K476" s="176"/>
      <c r="L476" s="176"/>
      <c r="M476" s="176"/>
      <c r="N476" s="176"/>
      <c r="O476" s="176"/>
      <c r="P476" s="176"/>
      <c r="Q476" s="176"/>
      <c r="R476" s="176"/>
      <c r="S476" s="176"/>
      <c r="T476" s="176"/>
      <c r="U476" s="176"/>
      <c r="V476" s="176"/>
      <c r="W476" s="176"/>
      <c r="X476" s="176"/>
      <c r="Y476" s="176"/>
      <c r="Z476" s="176"/>
      <c r="AA476" s="176"/>
      <c r="AB476" s="176"/>
      <c r="AC476" s="176"/>
      <c r="AD476" s="176"/>
      <c r="AE476" s="176"/>
      <c r="AF476" s="176"/>
      <c r="AG476" s="176"/>
      <c r="AH476" s="176"/>
      <c r="AI476" s="176"/>
      <c r="AJ476" s="176"/>
      <c r="AK476" s="176"/>
      <c r="AL476" s="176"/>
      <c r="AM476" s="176"/>
      <c r="AN476" s="176"/>
      <c r="AO476" s="176"/>
      <c r="AP476" s="176"/>
      <c r="AQ476" s="176"/>
      <c r="AR476" s="176"/>
      <c r="AS476" s="176"/>
      <c r="AT476" s="176"/>
      <c r="AU476" s="176"/>
      <c r="AV476" s="176"/>
      <c r="AW476" s="176"/>
      <c r="AX476" s="176"/>
      <c r="AY476" s="176"/>
      <c r="AZ476" s="176"/>
      <c r="BA476" s="176"/>
      <c r="BB476" s="176"/>
    </row>
    <row r="477" ht="15.75" customHeight="1">
      <c r="A477" s="176"/>
      <c r="B477" s="176"/>
      <c r="C477" s="176"/>
      <c r="D477" s="176"/>
      <c r="E477" s="176"/>
      <c r="F477" s="176"/>
      <c r="G477" s="176"/>
      <c r="H477" s="176"/>
      <c r="I477" s="176"/>
      <c r="J477" s="176"/>
      <c r="K477" s="176"/>
      <c r="L477" s="176"/>
      <c r="M477" s="176"/>
      <c r="N477" s="176"/>
      <c r="O477" s="176"/>
      <c r="P477" s="176"/>
      <c r="Q477" s="176"/>
      <c r="R477" s="176"/>
      <c r="S477" s="176"/>
      <c r="T477" s="176"/>
      <c r="U477" s="176"/>
      <c r="V477" s="176"/>
      <c r="W477" s="176"/>
      <c r="X477" s="176"/>
      <c r="Y477" s="176"/>
      <c r="Z477" s="176"/>
      <c r="AA477" s="176"/>
      <c r="AB477" s="176"/>
      <c r="AC477" s="176"/>
      <c r="AD477" s="176"/>
      <c r="AE477" s="176"/>
      <c r="AF477" s="176"/>
      <c r="AG477" s="176"/>
      <c r="AH477" s="176"/>
      <c r="AI477" s="176"/>
      <c r="AJ477" s="176"/>
      <c r="AK477" s="176"/>
      <c r="AL477" s="176"/>
      <c r="AM477" s="176"/>
      <c r="AN477" s="176"/>
      <c r="AO477" s="176"/>
      <c r="AP477" s="176"/>
      <c r="AQ477" s="176"/>
      <c r="AR477" s="176"/>
      <c r="AS477" s="176"/>
      <c r="AT477" s="176"/>
      <c r="AU477" s="176"/>
      <c r="AV477" s="176"/>
      <c r="AW477" s="176"/>
      <c r="AX477" s="176"/>
      <c r="AY477" s="176"/>
      <c r="AZ477" s="176"/>
      <c r="BA477" s="176"/>
      <c r="BB477" s="176"/>
    </row>
    <row r="478" ht="15.75" customHeight="1">
      <c r="A478" s="176"/>
      <c r="B478" s="176"/>
      <c r="C478" s="176"/>
      <c r="D478" s="176"/>
      <c r="E478" s="176"/>
      <c r="F478" s="176"/>
      <c r="G478" s="176"/>
      <c r="H478" s="176"/>
      <c r="I478" s="176"/>
      <c r="J478" s="176"/>
      <c r="K478" s="176"/>
      <c r="L478" s="176"/>
      <c r="M478" s="176"/>
      <c r="N478" s="176"/>
      <c r="O478" s="176"/>
      <c r="P478" s="176"/>
      <c r="Q478" s="176"/>
      <c r="R478" s="176"/>
      <c r="S478" s="176"/>
      <c r="T478" s="176"/>
      <c r="U478" s="176"/>
      <c r="V478" s="176"/>
      <c r="W478" s="176"/>
      <c r="X478" s="176"/>
      <c r="Y478" s="176"/>
      <c r="Z478" s="176"/>
      <c r="AA478" s="176"/>
      <c r="AB478" s="176"/>
      <c r="AC478" s="176"/>
      <c r="AD478" s="176"/>
      <c r="AE478" s="176"/>
      <c r="AF478" s="176"/>
      <c r="AG478" s="176"/>
      <c r="AH478" s="176"/>
      <c r="AI478" s="176"/>
      <c r="AJ478" s="176"/>
      <c r="AK478" s="176"/>
      <c r="AL478" s="176"/>
      <c r="AM478" s="176"/>
      <c r="AN478" s="176"/>
      <c r="AO478" s="176"/>
      <c r="AP478" s="176"/>
      <c r="AQ478" s="176"/>
      <c r="AR478" s="176"/>
      <c r="AS478" s="176"/>
      <c r="AT478" s="176"/>
      <c r="AU478" s="176"/>
      <c r="AV478" s="176"/>
      <c r="AW478" s="176"/>
      <c r="AX478" s="176"/>
      <c r="AY478" s="176"/>
      <c r="AZ478" s="176"/>
      <c r="BA478" s="176"/>
      <c r="BB478" s="176"/>
    </row>
    <row r="479" ht="15.75" customHeight="1">
      <c r="A479" s="176"/>
      <c r="B479" s="176"/>
      <c r="C479" s="176"/>
      <c r="D479" s="176"/>
      <c r="E479" s="176"/>
      <c r="F479" s="176"/>
      <c r="G479" s="176"/>
      <c r="H479" s="176"/>
      <c r="I479" s="176"/>
      <c r="J479" s="176"/>
      <c r="K479" s="176"/>
      <c r="L479" s="176"/>
      <c r="M479" s="176"/>
      <c r="N479" s="176"/>
      <c r="O479" s="176"/>
      <c r="P479" s="176"/>
      <c r="Q479" s="176"/>
      <c r="R479" s="176"/>
      <c r="S479" s="176"/>
      <c r="T479" s="176"/>
      <c r="U479" s="176"/>
      <c r="V479" s="176"/>
      <c r="W479" s="176"/>
      <c r="X479" s="176"/>
      <c r="Y479" s="176"/>
      <c r="Z479" s="176"/>
      <c r="AA479" s="176"/>
      <c r="AB479" s="176"/>
      <c r="AC479" s="176"/>
      <c r="AD479" s="176"/>
      <c r="AE479" s="176"/>
      <c r="AF479" s="176"/>
      <c r="AG479" s="176"/>
      <c r="AH479" s="176"/>
      <c r="AI479" s="176"/>
      <c r="AJ479" s="176"/>
      <c r="AK479" s="176"/>
      <c r="AL479" s="176"/>
      <c r="AM479" s="176"/>
      <c r="AN479" s="176"/>
      <c r="AO479" s="176"/>
      <c r="AP479" s="176"/>
      <c r="AQ479" s="176"/>
      <c r="AR479" s="176"/>
      <c r="AS479" s="176"/>
      <c r="AT479" s="176"/>
      <c r="AU479" s="176"/>
      <c r="AV479" s="176"/>
      <c r="AW479" s="176"/>
      <c r="AX479" s="176"/>
      <c r="AY479" s="176"/>
      <c r="AZ479" s="176"/>
      <c r="BA479" s="176"/>
      <c r="BB479" s="176"/>
    </row>
    <row r="480" ht="15.75" customHeight="1">
      <c r="A480" s="176"/>
      <c r="B480" s="176"/>
      <c r="C480" s="176"/>
      <c r="D480" s="176"/>
      <c r="E480" s="176"/>
      <c r="F480" s="176"/>
      <c r="G480" s="176"/>
      <c r="H480" s="176"/>
      <c r="I480" s="176"/>
      <c r="J480" s="176"/>
      <c r="K480" s="176"/>
      <c r="L480" s="176"/>
      <c r="M480" s="176"/>
      <c r="N480" s="176"/>
      <c r="O480" s="176"/>
      <c r="P480" s="176"/>
      <c r="Q480" s="176"/>
      <c r="R480" s="176"/>
      <c r="S480" s="176"/>
      <c r="T480" s="176"/>
      <c r="U480" s="176"/>
      <c r="V480" s="176"/>
      <c r="W480" s="176"/>
      <c r="X480" s="176"/>
      <c r="Y480" s="176"/>
      <c r="Z480" s="176"/>
      <c r="AA480" s="176"/>
      <c r="AB480" s="176"/>
      <c r="AC480" s="176"/>
      <c r="AD480" s="176"/>
      <c r="AE480" s="176"/>
      <c r="AF480" s="176"/>
      <c r="AG480" s="176"/>
      <c r="AH480" s="176"/>
      <c r="AI480" s="176"/>
      <c r="AJ480" s="176"/>
      <c r="AK480" s="176"/>
      <c r="AL480" s="176"/>
      <c r="AM480" s="176"/>
      <c r="AN480" s="176"/>
      <c r="AO480" s="176"/>
      <c r="AP480" s="176"/>
      <c r="AQ480" s="176"/>
      <c r="AR480" s="176"/>
      <c r="AS480" s="176"/>
      <c r="AT480" s="176"/>
      <c r="AU480" s="176"/>
      <c r="AV480" s="176"/>
      <c r="AW480" s="176"/>
      <c r="AX480" s="176"/>
      <c r="AY480" s="176"/>
      <c r="AZ480" s="176"/>
      <c r="BA480" s="176"/>
      <c r="BB480" s="176"/>
    </row>
    <row r="481" ht="15.75" customHeight="1">
      <c r="A481" s="176"/>
      <c r="B481" s="176"/>
      <c r="C481" s="176"/>
      <c r="D481" s="176"/>
      <c r="E481" s="176"/>
      <c r="F481" s="176"/>
      <c r="G481" s="176"/>
      <c r="H481" s="176"/>
      <c r="I481" s="176"/>
      <c r="J481" s="176"/>
      <c r="K481" s="176"/>
      <c r="L481" s="176"/>
      <c r="M481" s="176"/>
      <c r="N481" s="176"/>
      <c r="O481" s="176"/>
      <c r="P481" s="176"/>
      <c r="Q481" s="176"/>
      <c r="R481" s="176"/>
      <c r="S481" s="176"/>
      <c r="T481" s="176"/>
      <c r="U481" s="176"/>
      <c r="V481" s="176"/>
      <c r="W481" s="176"/>
      <c r="X481" s="176"/>
      <c r="Y481" s="176"/>
      <c r="Z481" s="176"/>
      <c r="AA481" s="176"/>
      <c r="AB481" s="176"/>
      <c r="AC481" s="176"/>
      <c r="AD481" s="176"/>
      <c r="AE481" s="176"/>
      <c r="AF481" s="176"/>
      <c r="AG481" s="176"/>
      <c r="AH481" s="176"/>
      <c r="AI481" s="176"/>
      <c r="AJ481" s="176"/>
      <c r="AK481" s="176"/>
      <c r="AL481" s="176"/>
      <c r="AM481" s="176"/>
      <c r="AN481" s="176"/>
      <c r="AO481" s="176"/>
      <c r="AP481" s="176"/>
      <c r="AQ481" s="176"/>
      <c r="AR481" s="176"/>
      <c r="AS481" s="176"/>
      <c r="AT481" s="176"/>
      <c r="AU481" s="176"/>
      <c r="AV481" s="176"/>
      <c r="AW481" s="176"/>
      <c r="AX481" s="176"/>
      <c r="AY481" s="176"/>
      <c r="AZ481" s="176"/>
      <c r="BA481" s="176"/>
      <c r="BB481" s="176"/>
    </row>
    <row r="482" ht="15.75" customHeight="1">
      <c r="A482" s="176"/>
      <c r="B482" s="176"/>
      <c r="C482" s="176"/>
      <c r="D482" s="176"/>
      <c r="E482" s="176"/>
      <c r="F482" s="176"/>
      <c r="G482" s="176"/>
      <c r="H482" s="176"/>
      <c r="I482" s="176"/>
      <c r="J482" s="176"/>
      <c r="K482" s="176"/>
      <c r="L482" s="176"/>
      <c r="M482" s="176"/>
      <c r="N482" s="176"/>
      <c r="O482" s="176"/>
      <c r="P482" s="176"/>
      <c r="Q482" s="176"/>
      <c r="R482" s="176"/>
      <c r="S482" s="176"/>
      <c r="T482" s="176"/>
      <c r="U482" s="176"/>
      <c r="V482" s="176"/>
      <c r="W482" s="176"/>
      <c r="X482" s="176"/>
      <c r="Y482" s="176"/>
      <c r="Z482" s="176"/>
      <c r="AA482" s="176"/>
      <c r="AB482" s="176"/>
      <c r="AC482" s="176"/>
      <c r="AD482" s="176"/>
      <c r="AE482" s="176"/>
      <c r="AF482" s="176"/>
      <c r="AG482" s="176"/>
      <c r="AH482" s="176"/>
      <c r="AI482" s="176"/>
      <c r="AJ482" s="176"/>
      <c r="AK482" s="176"/>
      <c r="AL482" s="176"/>
      <c r="AM482" s="176"/>
      <c r="AN482" s="176"/>
      <c r="AO482" s="176"/>
      <c r="AP482" s="176"/>
      <c r="AQ482" s="176"/>
      <c r="AR482" s="176"/>
      <c r="AS482" s="176"/>
      <c r="AT482" s="176"/>
      <c r="AU482" s="176"/>
      <c r="AV482" s="176"/>
      <c r="AW482" s="176"/>
      <c r="AX482" s="176"/>
      <c r="AY482" s="176"/>
      <c r="AZ482" s="176"/>
      <c r="BA482" s="176"/>
      <c r="BB482" s="176"/>
    </row>
    <row r="483" ht="15.75" customHeight="1">
      <c r="A483" s="176"/>
      <c r="B483" s="176"/>
      <c r="C483" s="176"/>
      <c r="D483" s="176"/>
      <c r="E483" s="176"/>
      <c r="F483" s="176"/>
      <c r="G483" s="176"/>
      <c r="H483" s="176"/>
      <c r="I483" s="176"/>
      <c r="J483" s="176"/>
      <c r="K483" s="176"/>
      <c r="L483" s="176"/>
      <c r="M483" s="176"/>
      <c r="N483" s="176"/>
      <c r="O483" s="176"/>
      <c r="P483" s="176"/>
      <c r="Q483" s="176"/>
      <c r="R483" s="176"/>
      <c r="S483" s="176"/>
      <c r="T483" s="176"/>
      <c r="U483" s="176"/>
      <c r="V483" s="176"/>
      <c r="W483" s="176"/>
      <c r="X483" s="176"/>
      <c r="Y483" s="176"/>
      <c r="Z483" s="176"/>
      <c r="AA483" s="176"/>
      <c r="AB483" s="176"/>
      <c r="AC483" s="176"/>
      <c r="AD483" s="176"/>
      <c r="AE483" s="176"/>
      <c r="AF483" s="176"/>
      <c r="AG483" s="176"/>
      <c r="AH483" s="176"/>
      <c r="AI483" s="176"/>
      <c r="AJ483" s="176"/>
      <c r="AK483" s="176"/>
      <c r="AL483" s="176"/>
      <c r="AM483" s="176"/>
      <c r="AN483" s="176"/>
      <c r="AO483" s="176"/>
      <c r="AP483" s="176"/>
      <c r="AQ483" s="176"/>
      <c r="AR483" s="176"/>
      <c r="AS483" s="176"/>
      <c r="AT483" s="176"/>
      <c r="AU483" s="176"/>
      <c r="AV483" s="176"/>
      <c r="AW483" s="176"/>
      <c r="AX483" s="176"/>
      <c r="AY483" s="176"/>
      <c r="AZ483" s="176"/>
      <c r="BA483" s="176"/>
      <c r="BB483" s="176"/>
    </row>
    <row r="484" ht="15.75" customHeight="1">
      <c r="A484" s="176"/>
      <c r="B484" s="176"/>
      <c r="C484" s="176"/>
      <c r="D484" s="176"/>
      <c r="E484" s="176"/>
      <c r="F484" s="176"/>
      <c r="G484" s="176"/>
      <c r="H484" s="176"/>
      <c r="I484" s="176"/>
      <c r="J484" s="176"/>
      <c r="K484" s="176"/>
      <c r="L484" s="176"/>
      <c r="M484" s="176"/>
      <c r="N484" s="176"/>
      <c r="O484" s="176"/>
      <c r="P484" s="176"/>
      <c r="Q484" s="176"/>
      <c r="R484" s="176"/>
      <c r="S484" s="176"/>
      <c r="T484" s="176"/>
      <c r="U484" s="176"/>
      <c r="V484" s="176"/>
      <c r="W484" s="176"/>
      <c r="X484" s="176"/>
      <c r="Y484" s="176"/>
      <c r="Z484" s="176"/>
      <c r="AA484" s="176"/>
      <c r="AB484" s="176"/>
      <c r="AC484" s="176"/>
      <c r="AD484" s="176"/>
      <c r="AE484" s="176"/>
      <c r="AF484" s="176"/>
      <c r="AG484" s="176"/>
      <c r="AH484" s="176"/>
      <c r="AI484" s="176"/>
      <c r="AJ484" s="176"/>
      <c r="AK484" s="176"/>
      <c r="AL484" s="176"/>
      <c r="AM484" s="176"/>
      <c r="AN484" s="176"/>
      <c r="AO484" s="176"/>
      <c r="AP484" s="176"/>
      <c r="AQ484" s="176"/>
      <c r="AR484" s="176"/>
      <c r="AS484" s="176"/>
      <c r="AT484" s="176"/>
      <c r="AU484" s="176"/>
      <c r="AV484" s="176"/>
      <c r="AW484" s="176"/>
      <c r="AX484" s="176"/>
      <c r="AY484" s="176"/>
      <c r="AZ484" s="176"/>
      <c r="BA484" s="176"/>
      <c r="BB484" s="176"/>
    </row>
    <row r="485" ht="15.75" customHeight="1">
      <c r="A485" s="176"/>
      <c r="B485" s="176"/>
      <c r="C485" s="176"/>
      <c r="D485" s="176"/>
      <c r="E485" s="176"/>
      <c r="F485" s="176"/>
      <c r="G485" s="176"/>
      <c r="H485" s="176"/>
      <c r="I485" s="176"/>
      <c r="J485" s="176"/>
      <c r="K485" s="176"/>
      <c r="L485" s="176"/>
      <c r="M485" s="176"/>
      <c r="N485" s="176"/>
      <c r="O485" s="176"/>
      <c r="P485" s="176"/>
      <c r="Q485" s="176"/>
      <c r="R485" s="176"/>
      <c r="S485" s="176"/>
      <c r="T485" s="176"/>
      <c r="U485" s="176"/>
      <c r="V485" s="176"/>
      <c r="W485" s="176"/>
      <c r="X485" s="176"/>
      <c r="Y485" s="176"/>
      <c r="Z485" s="176"/>
      <c r="AA485" s="176"/>
      <c r="AB485" s="176"/>
      <c r="AC485" s="176"/>
      <c r="AD485" s="176"/>
      <c r="AE485" s="176"/>
      <c r="AF485" s="176"/>
      <c r="AG485" s="176"/>
      <c r="AH485" s="176"/>
      <c r="AI485" s="176"/>
      <c r="AJ485" s="176"/>
      <c r="AK485" s="176"/>
      <c r="AL485" s="176"/>
      <c r="AM485" s="176"/>
      <c r="AN485" s="176"/>
      <c r="AO485" s="176"/>
      <c r="AP485" s="176"/>
      <c r="AQ485" s="176"/>
      <c r="AR485" s="176"/>
      <c r="AS485" s="176"/>
      <c r="AT485" s="176"/>
      <c r="AU485" s="176"/>
      <c r="AV485" s="176"/>
      <c r="AW485" s="176"/>
      <c r="AX485" s="176"/>
      <c r="AY485" s="176"/>
      <c r="AZ485" s="176"/>
      <c r="BA485" s="176"/>
      <c r="BB485" s="176"/>
    </row>
    <row r="486" ht="15.75" customHeight="1">
      <c r="A486" s="176"/>
      <c r="B486" s="176"/>
      <c r="C486" s="176"/>
      <c r="D486" s="176"/>
      <c r="E486" s="176"/>
      <c r="F486" s="176"/>
      <c r="G486" s="176"/>
      <c r="H486" s="176"/>
      <c r="I486" s="176"/>
      <c r="J486" s="176"/>
      <c r="K486" s="176"/>
      <c r="L486" s="176"/>
      <c r="M486" s="176"/>
      <c r="N486" s="176"/>
      <c r="O486" s="176"/>
      <c r="P486" s="176"/>
      <c r="Q486" s="176"/>
      <c r="R486" s="176"/>
      <c r="S486" s="176"/>
      <c r="T486" s="176"/>
      <c r="U486" s="176"/>
      <c r="V486" s="176"/>
      <c r="W486" s="176"/>
      <c r="X486" s="176"/>
      <c r="Y486" s="176"/>
      <c r="Z486" s="176"/>
      <c r="AA486" s="176"/>
      <c r="AB486" s="176"/>
      <c r="AC486" s="176"/>
      <c r="AD486" s="176"/>
      <c r="AE486" s="176"/>
      <c r="AF486" s="176"/>
      <c r="AG486" s="176"/>
      <c r="AH486" s="176"/>
      <c r="AI486" s="176"/>
      <c r="AJ486" s="176"/>
      <c r="AK486" s="176"/>
      <c r="AL486" s="176"/>
      <c r="AM486" s="176"/>
      <c r="AN486" s="176"/>
      <c r="AO486" s="176"/>
      <c r="AP486" s="176"/>
      <c r="AQ486" s="176"/>
      <c r="AR486" s="176"/>
      <c r="AS486" s="176"/>
      <c r="AT486" s="176"/>
      <c r="AU486" s="176"/>
      <c r="AV486" s="176"/>
      <c r="AW486" s="176"/>
      <c r="AX486" s="176"/>
      <c r="AY486" s="176"/>
      <c r="AZ486" s="176"/>
      <c r="BA486" s="176"/>
      <c r="BB486" s="176"/>
    </row>
    <row r="487" ht="15.75" customHeight="1">
      <c r="A487" s="176"/>
      <c r="B487" s="176"/>
      <c r="C487" s="176"/>
      <c r="D487" s="176"/>
      <c r="E487" s="176"/>
      <c r="F487" s="176"/>
      <c r="G487" s="176"/>
      <c r="H487" s="176"/>
      <c r="I487" s="176"/>
      <c r="J487" s="176"/>
      <c r="K487" s="176"/>
      <c r="L487" s="176"/>
      <c r="M487" s="176"/>
      <c r="N487" s="176"/>
      <c r="O487" s="176"/>
      <c r="P487" s="176"/>
      <c r="Q487" s="176"/>
      <c r="R487" s="176"/>
      <c r="S487" s="176"/>
      <c r="T487" s="176"/>
      <c r="U487" s="176"/>
      <c r="V487" s="176"/>
      <c r="W487" s="176"/>
      <c r="X487" s="176"/>
      <c r="Y487" s="176"/>
      <c r="Z487" s="176"/>
      <c r="AA487" s="176"/>
      <c r="AB487" s="176"/>
      <c r="AC487" s="176"/>
      <c r="AD487" s="176"/>
      <c r="AE487" s="176"/>
      <c r="AF487" s="176"/>
      <c r="AG487" s="176"/>
      <c r="AH487" s="176"/>
      <c r="AI487" s="176"/>
      <c r="AJ487" s="176"/>
      <c r="AK487" s="176"/>
      <c r="AL487" s="176"/>
      <c r="AM487" s="176"/>
      <c r="AN487" s="176"/>
      <c r="AO487" s="176"/>
      <c r="AP487" s="176"/>
      <c r="AQ487" s="176"/>
      <c r="AR487" s="176"/>
      <c r="AS487" s="176"/>
      <c r="AT487" s="176"/>
      <c r="AU487" s="176"/>
      <c r="AV487" s="176"/>
      <c r="AW487" s="176"/>
      <c r="AX487" s="176"/>
      <c r="AY487" s="176"/>
      <c r="AZ487" s="176"/>
      <c r="BA487" s="176"/>
      <c r="BB487" s="176"/>
    </row>
    <row r="488" ht="15.75" customHeight="1">
      <c r="A488" s="176"/>
      <c r="B488" s="176"/>
      <c r="C488" s="176"/>
      <c r="D488" s="176"/>
      <c r="E488" s="176"/>
      <c r="F488" s="176"/>
      <c r="G488" s="176"/>
      <c r="H488" s="176"/>
      <c r="I488" s="176"/>
      <c r="J488" s="176"/>
      <c r="K488" s="176"/>
      <c r="L488" s="176"/>
      <c r="M488" s="176"/>
      <c r="N488" s="176"/>
      <c r="O488" s="176"/>
      <c r="P488" s="176"/>
      <c r="Q488" s="176"/>
      <c r="R488" s="176"/>
      <c r="S488" s="176"/>
      <c r="T488" s="176"/>
      <c r="U488" s="176"/>
      <c r="V488" s="176"/>
      <c r="W488" s="176"/>
      <c r="X488" s="176"/>
      <c r="Y488" s="176"/>
      <c r="Z488" s="176"/>
      <c r="AA488" s="176"/>
      <c r="AB488" s="176"/>
      <c r="AC488" s="176"/>
      <c r="AD488" s="176"/>
      <c r="AE488" s="176"/>
      <c r="AF488" s="176"/>
      <c r="AG488" s="176"/>
      <c r="AH488" s="176"/>
      <c r="AI488" s="176"/>
      <c r="AJ488" s="176"/>
      <c r="AK488" s="176"/>
      <c r="AL488" s="176"/>
      <c r="AM488" s="176"/>
      <c r="AN488" s="176"/>
      <c r="AO488" s="176"/>
      <c r="AP488" s="176"/>
      <c r="AQ488" s="176"/>
      <c r="AR488" s="176"/>
      <c r="AS488" s="176"/>
      <c r="AT488" s="176"/>
      <c r="AU488" s="176"/>
      <c r="AV488" s="176"/>
      <c r="AW488" s="176"/>
      <c r="AX488" s="176"/>
      <c r="AY488" s="176"/>
      <c r="AZ488" s="176"/>
      <c r="BA488" s="176"/>
      <c r="BB488" s="176"/>
    </row>
    <row r="489" ht="15.75" customHeight="1">
      <c r="A489" s="176"/>
      <c r="B489" s="176"/>
      <c r="C489" s="176"/>
      <c r="D489" s="176"/>
      <c r="E489" s="176"/>
      <c r="F489" s="176"/>
      <c r="G489" s="176"/>
      <c r="H489" s="176"/>
      <c r="I489" s="176"/>
      <c r="J489" s="176"/>
      <c r="K489" s="176"/>
      <c r="L489" s="176"/>
      <c r="M489" s="176"/>
      <c r="N489" s="176"/>
      <c r="O489" s="176"/>
      <c r="P489" s="176"/>
      <c r="Q489" s="176"/>
      <c r="R489" s="176"/>
      <c r="S489" s="176"/>
      <c r="T489" s="176"/>
      <c r="U489" s="176"/>
      <c r="V489" s="176"/>
      <c r="W489" s="176"/>
      <c r="X489" s="176"/>
      <c r="Y489" s="176"/>
      <c r="Z489" s="176"/>
      <c r="AA489" s="176"/>
      <c r="AB489" s="176"/>
      <c r="AC489" s="176"/>
      <c r="AD489" s="176"/>
      <c r="AE489" s="176"/>
      <c r="AF489" s="176"/>
      <c r="AG489" s="176"/>
      <c r="AH489" s="176"/>
      <c r="AI489" s="176"/>
      <c r="AJ489" s="176"/>
      <c r="AK489" s="176"/>
      <c r="AL489" s="176"/>
      <c r="AM489" s="176"/>
      <c r="AN489" s="176"/>
      <c r="AO489" s="176"/>
      <c r="AP489" s="176"/>
      <c r="AQ489" s="176"/>
      <c r="AR489" s="176"/>
      <c r="AS489" s="176"/>
      <c r="AT489" s="176"/>
      <c r="AU489" s="176"/>
      <c r="AV489" s="176"/>
      <c r="AW489" s="176"/>
      <c r="AX489" s="176"/>
      <c r="AY489" s="176"/>
      <c r="AZ489" s="176"/>
      <c r="BA489" s="176"/>
      <c r="BB489" s="176"/>
    </row>
    <row r="490" ht="15.75" customHeight="1">
      <c r="A490" s="176"/>
      <c r="B490" s="176"/>
      <c r="C490" s="176"/>
      <c r="D490" s="176"/>
      <c r="E490" s="176"/>
      <c r="F490" s="176"/>
      <c r="G490" s="176"/>
      <c r="H490" s="176"/>
      <c r="I490" s="176"/>
      <c r="J490" s="176"/>
      <c r="K490" s="176"/>
      <c r="L490" s="176"/>
      <c r="M490" s="176"/>
      <c r="N490" s="176"/>
      <c r="O490" s="176"/>
      <c r="P490" s="176"/>
      <c r="Q490" s="176"/>
      <c r="R490" s="176"/>
      <c r="S490" s="176"/>
      <c r="T490" s="176"/>
      <c r="U490" s="176"/>
      <c r="V490" s="176"/>
      <c r="W490" s="176"/>
      <c r="X490" s="176"/>
      <c r="Y490" s="176"/>
      <c r="Z490" s="176"/>
      <c r="AA490" s="176"/>
      <c r="AB490" s="176"/>
      <c r="AC490" s="176"/>
      <c r="AD490" s="176"/>
      <c r="AE490" s="176"/>
      <c r="AF490" s="176"/>
      <c r="AG490" s="176"/>
      <c r="AH490" s="176"/>
      <c r="AI490" s="176"/>
      <c r="AJ490" s="176"/>
      <c r="AK490" s="176"/>
      <c r="AL490" s="176"/>
      <c r="AM490" s="176"/>
      <c r="AN490" s="176"/>
      <c r="AO490" s="176"/>
      <c r="AP490" s="176"/>
      <c r="AQ490" s="176"/>
      <c r="AR490" s="176"/>
      <c r="AS490" s="176"/>
      <c r="AT490" s="176"/>
      <c r="AU490" s="176"/>
      <c r="AV490" s="176"/>
      <c r="AW490" s="176"/>
      <c r="AX490" s="176"/>
      <c r="AY490" s="176"/>
      <c r="AZ490" s="176"/>
      <c r="BA490" s="176"/>
      <c r="BB490" s="176"/>
    </row>
    <row r="491" ht="15.75" customHeight="1">
      <c r="A491" s="176"/>
      <c r="B491" s="176"/>
      <c r="C491" s="176"/>
      <c r="D491" s="176"/>
      <c r="E491" s="176"/>
      <c r="F491" s="176"/>
      <c r="G491" s="176"/>
      <c r="H491" s="176"/>
      <c r="I491" s="176"/>
      <c r="J491" s="176"/>
      <c r="K491" s="176"/>
      <c r="L491" s="176"/>
      <c r="M491" s="176"/>
      <c r="N491" s="176"/>
      <c r="O491" s="176"/>
      <c r="P491" s="176"/>
      <c r="Q491" s="176"/>
      <c r="R491" s="176"/>
      <c r="S491" s="176"/>
      <c r="T491" s="176"/>
      <c r="U491" s="176"/>
      <c r="V491" s="176"/>
      <c r="W491" s="176"/>
      <c r="X491" s="176"/>
      <c r="Y491" s="176"/>
      <c r="Z491" s="176"/>
      <c r="AA491" s="176"/>
      <c r="AB491" s="176"/>
      <c r="AC491" s="176"/>
      <c r="AD491" s="176"/>
      <c r="AE491" s="176"/>
      <c r="AF491" s="176"/>
      <c r="AG491" s="176"/>
      <c r="AH491" s="176"/>
      <c r="AI491" s="176"/>
      <c r="AJ491" s="176"/>
      <c r="AK491" s="176"/>
      <c r="AL491" s="176"/>
      <c r="AM491" s="176"/>
      <c r="AN491" s="176"/>
      <c r="AO491" s="176"/>
      <c r="AP491" s="176"/>
      <c r="AQ491" s="176"/>
      <c r="AR491" s="176"/>
      <c r="AS491" s="176"/>
      <c r="AT491" s="176"/>
      <c r="AU491" s="176"/>
      <c r="AV491" s="176"/>
      <c r="AW491" s="176"/>
      <c r="AX491" s="176"/>
      <c r="AY491" s="176"/>
      <c r="AZ491" s="176"/>
      <c r="BA491" s="176"/>
      <c r="BB491" s="176"/>
    </row>
    <row r="492" ht="15.75" customHeight="1">
      <c r="A492" s="176"/>
      <c r="B492" s="176"/>
      <c r="C492" s="176"/>
      <c r="D492" s="176"/>
      <c r="E492" s="176"/>
      <c r="F492" s="176"/>
      <c r="G492" s="176"/>
      <c r="H492" s="176"/>
      <c r="I492" s="176"/>
      <c r="J492" s="176"/>
      <c r="K492" s="176"/>
      <c r="L492" s="176"/>
      <c r="M492" s="176"/>
      <c r="N492" s="176"/>
      <c r="O492" s="176"/>
      <c r="P492" s="176"/>
      <c r="Q492" s="176"/>
      <c r="R492" s="176"/>
      <c r="S492" s="176"/>
      <c r="T492" s="176"/>
      <c r="U492" s="176"/>
      <c r="V492" s="176"/>
      <c r="W492" s="176"/>
      <c r="X492" s="176"/>
      <c r="Y492" s="176"/>
      <c r="Z492" s="176"/>
      <c r="AA492" s="176"/>
      <c r="AB492" s="176"/>
      <c r="AC492" s="176"/>
      <c r="AD492" s="176"/>
      <c r="AE492" s="176"/>
      <c r="AF492" s="176"/>
      <c r="AG492" s="176"/>
      <c r="AH492" s="176"/>
      <c r="AI492" s="176"/>
      <c r="AJ492" s="176"/>
      <c r="AK492" s="176"/>
      <c r="AL492" s="176"/>
      <c r="AM492" s="176"/>
      <c r="AN492" s="176"/>
      <c r="AO492" s="176"/>
      <c r="AP492" s="176"/>
      <c r="AQ492" s="176"/>
      <c r="AR492" s="176"/>
      <c r="AS492" s="176"/>
      <c r="AT492" s="176"/>
      <c r="AU492" s="176"/>
      <c r="AV492" s="176"/>
      <c r="AW492" s="176"/>
      <c r="AX492" s="176"/>
      <c r="AY492" s="176"/>
      <c r="AZ492" s="176"/>
      <c r="BA492" s="176"/>
      <c r="BB492" s="176"/>
    </row>
    <row r="493" ht="15.75" customHeight="1">
      <c r="A493" s="176"/>
      <c r="B493" s="176"/>
      <c r="C493" s="176"/>
      <c r="D493" s="176"/>
      <c r="E493" s="176"/>
      <c r="F493" s="176"/>
      <c r="G493" s="176"/>
      <c r="H493" s="176"/>
      <c r="I493" s="176"/>
      <c r="J493" s="176"/>
      <c r="K493" s="176"/>
      <c r="L493" s="176"/>
      <c r="M493" s="176"/>
      <c r="N493" s="176"/>
      <c r="O493" s="176"/>
      <c r="P493" s="176"/>
      <c r="Q493" s="176"/>
      <c r="R493" s="176"/>
      <c r="S493" s="176"/>
      <c r="T493" s="176"/>
      <c r="U493" s="176"/>
      <c r="V493" s="176"/>
      <c r="W493" s="176"/>
      <c r="X493" s="176"/>
      <c r="Y493" s="176"/>
      <c r="Z493" s="176"/>
      <c r="AA493" s="176"/>
      <c r="AB493" s="176"/>
      <c r="AC493" s="176"/>
      <c r="AD493" s="176"/>
      <c r="AE493" s="176"/>
      <c r="AF493" s="176"/>
      <c r="AG493" s="176"/>
      <c r="AH493" s="176"/>
      <c r="AI493" s="176"/>
      <c r="AJ493" s="176"/>
      <c r="AK493" s="176"/>
      <c r="AL493" s="176"/>
      <c r="AM493" s="176"/>
      <c r="AN493" s="176"/>
      <c r="AO493" s="176"/>
      <c r="AP493" s="176"/>
      <c r="AQ493" s="176"/>
      <c r="AR493" s="176"/>
      <c r="AS493" s="176"/>
      <c r="AT493" s="176"/>
      <c r="AU493" s="176"/>
      <c r="AV493" s="176"/>
      <c r="AW493" s="176"/>
      <c r="AX493" s="176"/>
      <c r="AY493" s="176"/>
      <c r="AZ493" s="176"/>
      <c r="BA493" s="176"/>
      <c r="BB493" s="176"/>
    </row>
    <row r="494" ht="15.75" customHeight="1">
      <c r="A494" s="176"/>
      <c r="B494" s="176"/>
      <c r="C494" s="176"/>
      <c r="D494" s="176"/>
      <c r="E494" s="176"/>
      <c r="F494" s="176"/>
      <c r="G494" s="176"/>
      <c r="H494" s="176"/>
      <c r="I494" s="176"/>
      <c r="J494" s="176"/>
      <c r="K494" s="176"/>
      <c r="L494" s="176"/>
      <c r="M494" s="176"/>
      <c r="N494" s="176"/>
      <c r="O494" s="176"/>
      <c r="P494" s="176"/>
      <c r="Q494" s="176"/>
      <c r="R494" s="176"/>
      <c r="S494" s="176"/>
      <c r="T494" s="176"/>
      <c r="U494" s="176"/>
      <c r="V494" s="176"/>
      <c r="W494" s="176"/>
      <c r="X494" s="176"/>
      <c r="Y494" s="176"/>
      <c r="Z494" s="176"/>
      <c r="AA494" s="176"/>
      <c r="AB494" s="176"/>
      <c r="AC494" s="176"/>
      <c r="AD494" s="176"/>
      <c r="AE494" s="176"/>
      <c r="AF494" s="176"/>
      <c r="AG494" s="176"/>
      <c r="AH494" s="176"/>
      <c r="AI494" s="176"/>
      <c r="AJ494" s="176"/>
      <c r="AK494" s="176"/>
      <c r="AL494" s="176"/>
      <c r="AM494" s="176"/>
      <c r="AN494" s="176"/>
      <c r="AO494" s="176"/>
      <c r="AP494" s="176"/>
      <c r="AQ494" s="176"/>
      <c r="AR494" s="176"/>
      <c r="AS494" s="176"/>
      <c r="AT494" s="176"/>
      <c r="AU494" s="176"/>
      <c r="AV494" s="176"/>
      <c r="AW494" s="176"/>
      <c r="AX494" s="176"/>
      <c r="AY494" s="176"/>
      <c r="AZ494" s="176"/>
      <c r="BA494" s="176"/>
      <c r="BB494" s="176"/>
    </row>
    <row r="495" ht="15.75" customHeight="1">
      <c r="A495" s="176"/>
      <c r="B495" s="176"/>
      <c r="C495" s="176"/>
      <c r="D495" s="176"/>
      <c r="E495" s="176"/>
      <c r="F495" s="176"/>
      <c r="G495" s="176"/>
      <c r="H495" s="176"/>
      <c r="I495" s="176"/>
      <c r="J495" s="176"/>
      <c r="K495" s="176"/>
      <c r="L495" s="176"/>
      <c r="M495" s="176"/>
      <c r="N495" s="176"/>
      <c r="O495" s="176"/>
      <c r="P495" s="176"/>
      <c r="Q495" s="176"/>
      <c r="R495" s="176"/>
      <c r="S495" s="176"/>
      <c r="T495" s="176"/>
      <c r="U495" s="176"/>
      <c r="V495" s="176"/>
      <c r="W495" s="176"/>
      <c r="X495" s="176"/>
      <c r="Y495" s="176"/>
      <c r="Z495" s="176"/>
      <c r="AA495" s="176"/>
      <c r="AB495" s="176"/>
      <c r="AC495" s="176"/>
      <c r="AD495" s="176"/>
      <c r="AE495" s="176"/>
      <c r="AF495" s="176"/>
      <c r="AG495" s="176"/>
      <c r="AH495" s="176"/>
      <c r="AI495" s="176"/>
      <c r="AJ495" s="176"/>
      <c r="AK495" s="176"/>
      <c r="AL495" s="176"/>
      <c r="AM495" s="176"/>
      <c r="AN495" s="176"/>
      <c r="AO495" s="176"/>
      <c r="AP495" s="176"/>
      <c r="AQ495" s="176"/>
      <c r="AR495" s="176"/>
      <c r="AS495" s="176"/>
      <c r="AT495" s="176"/>
      <c r="AU495" s="176"/>
      <c r="AV495" s="176"/>
      <c r="AW495" s="176"/>
      <c r="AX495" s="176"/>
      <c r="AY495" s="176"/>
      <c r="AZ495" s="176"/>
      <c r="BA495" s="176"/>
      <c r="BB495" s="176"/>
    </row>
    <row r="496" ht="15.75" customHeight="1">
      <c r="A496" s="176"/>
      <c r="B496" s="176"/>
      <c r="C496" s="176"/>
      <c r="D496" s="176"/>
      <c r="E496" s="176"/>
      <c r="F496" s="176"/>
      <c r="G496" s="176"/>
      <c r="H496" s="176"/>
      <c r="I496" s="176"/>
      <c r="J496" s="176"/>
      <c r="K496" s="176"/>
      <c r="L496" s="176"/>
      <c r="M496" s="176"/>
      <c r="N496" s="176"/>
      <c r="O496" s="176"/>
      <c r="P496" s="176"/>
      <c r="Q496" s="176"/>
      <c r="R496" s="176"/>
      <c r="S496" s="176"/>
      <c r="T496" s="176"/>
      <c r="U496" s="176"/>
      <c r="V496" s="176"/>
      <c r="W496" s="176"/>
      <c r="X496" s="176"/>
      <c r="Y496" s="176"/>
      <c r="Z496" s="176"/>
      <c r="AA496" s="176"/>
      <c r="AB496" s="176"/>
      <c r="AC496" s="176"/>
      <c r="AD496" s="176"/>
      <c r="AE496" s="176"/>
      <c r="AF496" s="176"/>
      <c r="AG496" s="176"/>
      <c r="AH496" s="176"/>
      <c r="AI496" s="176"/>
      <c r="AJ496" s="176"/>
      <c r="AK496" s="176"/>
      <c r="AL496" s="176"/>
      <c r="AM496" s="176"/>
      <c r="AN496" s="176"/>
      <c r="AO496" s="176"/>
      <c r="AP496" s="176"/>
      <c r="AQ496" s="176"/>
      <c r="AR496" s="176"/>
      <c r="AS496" s="176"/>
      <c r="AT496" s="176"/>
      <c r="AU496" s="176"/>
      <c r="AV496" s="176"/>
      <c r="AW496" s="176"/>
      <c r="AX496" s="176"/>
      <c r="AY496" s="176"/>
      <c r="AZ496" s="176"/>
      <c r="BA496" s="176"/>
      <c r="BB496" s="176"/>
    </row>
    <row r="497" ht="15.75" customHeight="1">
      <c r="A497" s="176"/>
      <c r="B497" s="176"/>
      <c r="C497" s="176"/>
      <c r="D497" s="176"/>
      <c r="E497" s="176"/>
      <c r="F497" s="176"/>
      <c r="G497" s="176"/>
      <c r="H497" s="176"/>
      <c r="I497" s="176"/>
      <c r="J497" s="176"/>
      <c r="K497" s="176"/>
      <c r="L497" s="176"/>
      <c r="M497" s="176"/>
      <c r="N497" s="176"/>
      <c r="O497" s="176"/>
      <c r="P497" s="176"/>
      <c r="Q497" s="176"/>
      <c r="R497" s="176"/>
      <c r="S497" s="176"/>
      <c r="T497" s="176"/>
      <c r="U497" s="176"/>
      <c r="V497" s="176"/>
      <c r="W497" s="176"/>
      <c r="X497" s="176"/>
      <c r="Y497" s="176"/>
      <c r="Z497" s="176"/>
      <c r="AA497" s="176"/>
      <c r="AB497" s="176"/>
      <c r="AC497" s="176"/>
      <c r="AD497" s="176"/>
      <c r="AE497" s="176"/>
      <c r="AF497" s="176"/>
      <c r="AG497" s="176"/>
      <c r="AH497" s="176"/>
      <c r="AI497" s="176"/>
      <c r="AJ497" s="176"/>
      <c r="AK497" s="176"/>
      <c r="AL497" s="176"/>
      <c r="AM497" s="176"/>
      <c r="AN497" s="176"/>
      <c r="AO497" s="176"/>
      <c r="AP497" s="176"/>
      <c r="AQ497" s="176"/>
      <c r="AR497" s="176"/>
      <c r="AS497" s="176"/>
      <c r="AT497" s="176"/>
      <c r="AU497" s="176"/>
      <c r="AV497" s="176"/>
      <c r="AW497" s="176"/>
      <c r="AX497" s="176"/>
      <c r="AY497" s="176"/>
      <c r="AZ497" s="176"/>
      <c r="BA497" s="176"/>
      <c r="BB497" s="176"/>
    </row>
    <row r="498" ht="15.75" customHeight="1">
      <c r="A498" s="176"/>
      <c r="B498" s="176"/>
      <c r="C498" s="176"/>
      <c r="D498" s="176"/>
      <c r="E498" s="176"/>
      <c r="F498" s="176"/>
      <c r="G498" s="176"/>
      <c r="H498" s="176"/>
      <c r="I498" s="176"/>
      <c r="J498" s="176"/>
      <c r="K498" s="176"/>
      <c r="L498" s="176"/>
      <c r="M498" s="176"/>
      <c r="N498" s="176"/>
      <c r="O498" s="176"/>
      <c r="P498" s="176"/>
      <c r="Q498" s="176"/>
      <c r="R498" s="176"/>
      <c r="S498" s="176"/>
      <c r="T498" s="176"/>
      <c r="U498" s="176"/>
      <c r="V498" s="176"/>
      <c r="W498" s="176"/>
      <c r="X498" s="176"/>
      <c r="Y498" s="176"/>
      <c r="Z498" s="176"/>
      <c r="AA498" s="176"/>
      <c r="AB498" s="176"/>
      <c r="AC498" s="176"/>
      <c r="AD498" s="176"/>
      <c r="AE498" s="176"/>
      <c r="AF498" s="176"/>
      <c r="AG498" s="176"/>
      <c r="AH498" s="176"/>
      <c r="AI498" s="176"/>
      <c r="AJ498" s="176"/>
      <c r="AK498" s="176"/>
      <c r="AL498" s="176"/>
      <c r="AM498" s="176"/>
      <c r="AN498" s="176"/>
      <c r="AO498" s="176"/>
      <c r="AP498" s="176"/>
      <c r="AQ498" s="176"/>
      <c r="AR498" s="176"/>
      <c r="AS498" s="176"/>
      <c r="AT498" s="176"/>
      <c r="AU498" s="176"/>
      <c r="AV498" s="176"/>
      <c r="AW498" s="176"/>
      <c r="AX498" s="176"/>
      <c r="AY498" s="176"/>
      <c r="AZ498" s="176"/>
      <c r="BA498" s="176"/>
      <c r="BB498" s="176"/>
    </row>
    <row r="499" ht="15.75" customHeight="1">
      <c r="A499" s="176"/>
      <c r="B499" s="176"/>
      <c r="C499" s="176"/>
      <c r="D499" s="176"/>
      <c r="E499" s="176"/>
      <c r="F499" s="176"/>
      <c r="G499" s="176"/>
      <c r="H499" s="176"/>
      <c r="I499" s="176"/>
      <c r="J499" s="176"/>
      <c r="K499" s="176"/>
      <c r="L499" s="176"/>
      <c r="M499" s="176"/>
      <c r="N499" s="176"/>
      <c r="O499" s="176"/>
      <c r="P499" s="176"/>
      <c r="Q499" s="176"/>
      <c r="R499" s="176"/>
      <c r="S499" s="176"/>
      <c r="T499" s="176"/>
      <c r="U499" s="176"/>
      <c r="V499" s="176"/>
      <c r="W499" s="176"/>
      <c r="X499" s="176"/>
      <c r="Y499" s="176"/>
      <c r="Z499" s="176"/>
      <c r="AA499" s="176"/>
      <c r="AB499" s="176"/>
      <c r="AC499" s="176"/>
      <c r="AD499" s="176"/>
      <c r="AE499" s="176"/>
      <c r="AF499" s="176"/>
      <c r="AG499" s="176"/>
      <c r="AH499" s="176"/>
      <c r="AI499" s="176"/>
      <c r="AJ499" s="176"/>
      <c r="AK499" s="176"/>
      <c r="AL499" s="176"/>
      <c r="AM499" s="176"/>
      <c r="AN499" s="176"/>
      <c r="AO499" s="176"/>
      <c r="AP499" s="176"/>
      <c r="AQ499" s="176"/>
      <c r="AR499" s="176"/>
      <c r="AS499" s="176"/>
      <c r="AT499" s="176"/>
      <c r="AU499" s="176"/>
      <c r="AV499" s="176"/>
      <c r="AW499" s="176"/>
      <c r="AX499" s="176"/>
      <c r="AY499" s="176"/>
      <c r="AZ499" s="176"/>
      <c r="BA499" s="176"/>
      <c r="BB499" s="176"/>
    </row>
    <row r="500" ht="15.75" customHeight="1">
      <c r="A500" s="176"/>
      <c r="B500" s="176"/>
      <c r="C500" s="176"/>
      <c r="D500" s="176"/>
      <c r="E500" s="176"/>
      <c r="F500" s="176"/>
      <c r="G500" s="176"/>
      <c r="H500" s="176"/>
      <c r="I500" s="176"/>
      <c r="J500" s="176"/>
      <c r="K500" s="176"/>
      <c r="L500" s="176"/>
      <c r="M500" s="176"/>
      <c r="N500" s="176"/>
      <c r="O500" s="176"/>
      <c r="P500" s="176"/>
      <c r="Q500" s="176"/>
      <c r="R500" s="176"/>
      <c r="S500" s="176"/>
      <c r="T500" s="176"/>
      <c r="U500" s="176"/>
      <c r="V500" s="176"/>
      <c r="W500" s="176"/>
      <c r="X500" s="176"/>
      <c r="Y500" s="176"/>
      <c r="Z500" s="176"/>
      <c r="AA500" s="176"/>
      <c r="AB500" s="176"/>
      <c r="AC500" s="176"/>
      <c r="AD500" s="176"/>
      <c r="AE500" s="176"/>
      <c r="AF500" s="176"/>
      <c r="AG500" s="176"/>
      <c r="AH500" s="176"/>
      <c r="AI500" s="176"/>
      <c r="AJ500" s="176"/>
      <c r="AK500" s="176"/>
      <c r="AL500" s="176"/>
      <c r="AM500" s="176"/>
      <c r="AN500" s="176"/>
      <c r="AO500" s="176"/>
      <c r="AP500" s="176"/>
      <c r="AQ500" s="176"/>
      <c r="AR500" s="176"/>
      <c r="AS500" s="176"/>
      <c r="AT500" s="176"/>
      <c r="AU500" s="176"/>
      <c r="AV500" s="176"/>
      <c r="AW500" s="176"/>
      <c r="AX500" s="176"/>
      <c r="AY500" s="176"/>
      <c r="AZ500" s="176"/>
      <c r="BA500" s="176"/>
      <c r="BB500" s="176"/>
    </row>
    <row r="501" ht="15.75" customHeight="1">
      <c r="A501" s="176"/>
      <c r="B501" s="176"/>
      <c r="C501" s="176"/>
      <c r="D501" s="176"/>
      <c r="E501" s="176"/>
      <c r="F501" s="176"/>
      <c r="G501" s="176"/>
      <c r="H501" s="176"/>
      <c r="I501" s="176"/>
      <c r="J501" s="176"/>
      <c r="K501" s="176"/>
      <c r="L501" s="176"/>
      <c r="M501" s="176"/>
      <c r="N501" s="176"/>
      <c r="O501" s="176"/>
      <c r="P501" s="176"/>
      <c r="Q501" s="176"/>
      <c r="R501" s="176"/>
      <c r="S501" s="176"/>
      <c r="T501" s="176"/>
      <c r="U501" s="176"/>
      <c r="V501" s="176"/>
      <c r="W501" s="176"/>
      <c r="X501" s="176"/>
      <c r="Y501" s="176"/>
      <c r="Z501" s="176"/>
      <c r="AA501" s="176"/>
      <c r="AB501" s="176"/>
      <c r="AC501" s="176"/>
      <c r="AD501" s="176"/>
      <c r="AE501" s="176"/>
      <c r="AF501" s="176"/>
      <c r="AG501" s="176"/>
      <c r="AH501" s="176"/>
      <c r="AI501" s="176"/>
      <c r="AJ501" s="176"/>
      <c r="AK501" s="176"/>
      <c r="AL501" s="176"/>
      <c r="AM501" s="176"/>
      <c r="AN501" s="176"/>
      <c r="AO501" s="176"/>
      <c r="AP501" s="176"/>
      <c r="AQ501" s="176"/>
      <c r="AR501" s="176"/>
      <c r="AS501" s="176"/>
      <c r="AT501" s="176"/>
      <c r="AU501" s="176"/>
      <c r="AV501" s="176"/>
      <c r="AW501" s="176"/>
      <c r="AX501" s="176"/>
      <c r="AY501" s="176"/>
      <c r="AZ501" s="176"/>
      <c r="BA501" s="176"/>
      <c r="BB501" s="176"/>
    </row>
    <row r="502" ht="15.75" customHeight="1">
      <c r="A502" s="176"/>
      <c r="B502" s="176"/>
      <c r="C502" s="176"/>
      <c r="D502" s="176"/>
      <c r="E502" s="176"/>
      <c r="F502" s="176"/>
      <c r="G502" s="176"/>
      <c r="H502" s="176"/>
      <c r="I502" s="176"/>
      <c r="J502" s="176"/>
      <c r="K502" s="176"/>
      <c r="L502" s="176"/>
      <c r="M502" s="176"/>
      <c r="N502" s="176"/>
      <c r="O502" s="176"/>
      <c r="P502" s="176"/>
      <c r="Q502" s="176"/>
      <c r="R502" s="176"/>
      <c r="S502" s="176"/>
      <c r="T502" s="176"/>
      <c r="U502" s="176"/>
      <c r="V502" s="176"/>
      <c r="W502" s="176"/>
      <c r="X502" s="176"/>
      <c r="Y502" s="176"/>
      <c r="Z502" s="176"/>
      <c r="AA502" s="176"/>
      <c r="AB502" s="176"/>
      <c r="AC502" s="176"/>
      <c r="AD502" s="176"/>
      <c r="AE502" s="176"/>
      <c r="AF502" s="176"/>
      <c r="AG502" s="176"/>
      <c r="AH502" s="176"/>
      <c r="AI502" s="176"/>
      <c r="AJ502" s="176"/>
      <c r="AK502" s="176"/>
      <c r="AL502" s="176"/>
      <c r="AM502" s="176"/>
      <c r="AN502" s="176"/>
      <c r="AO502" s="176"/>
      <c r="AP502" s="176"/>
      <c r="AQ502" s="176"/>
      <c r="AR502" s="176"/>
      <c r="AS502" s="176"/>
      <c r="AT502" s="176"/>
      <c r="AU502" s="176"/>
      <c r="AV502" s="176"/>
      <c r="AW502" s="176"/>
      <c r="AX502" s="176"/>
      <c r="AY502" s="176"/>
      <c r="AZ502" s="176"/>
      <c r="BA502" s="176"/>
      <c r="BB502" s="176"/>
    </row>
    <row r="503" ht="15.75" customHeight="1">
      <c r="A503" s="176"/>
      <c r="B503" s="176"/>
      <c r="C503" s="176"/>
      <c r="D503" s="176"/>
      <c r="E503" s="176"/>
      <c r="F503" s="176"/>
      <c r="G503" s="176"/>
      <c r="H503" s="176"/>
      <c r="I503" s="176"/>
      <c r="J503" s="176"/>
      <c r="K503" s="176"/>
      <c r="L503" s="176"/>
      <c r="M503" s="176"/>
      <c r="N503" s="176"/>
      <c r="O503" s="176"/>
      <c r="P503" s="176"/>
      <c r="Q503" s="176"/>
      <c r="R503" s="176"/>
      <c r="S503" s="176"/>
      <c r="T503" s="176"/>
      <c r="U503" s="176"/>
      <c r="V503" s="176"/>
      <c r="W503" s="176"/>
      <c r="X503" s="176"/>
      <c r="Y503" s="176"/>
      <c r="Z503" s="176"/>
      <c r="AA503" s="176"/>
      <c r="AB503" s="176"/>
      <c r="AC503" s="176"/>
      <c r="AD503" s="176"/>
      <c r="AE503" s="176"/>
      <c r="AF503" s="176"/>
      <c r="AG503" s="176"/>
      <c r="AH503" s="176"/>
      <c r="AI503" s="176"/>
      <c r="AJ503" s="176"/>
      <c r="AK503" s="176"/>
      <c r="AL503" s="176"/>
      <c r="AM503" s="176"/>
      <c r="AN503" s="176"/>
      <c r="AO503" s="176"/>
      <c r="AP503" s="176"/>
      <c r="AQ503" s="176"/>
      <c r="AR503" s="176"/>
      <c r="AS503" s="176"/>
      <c r="AT503" s="176"/>
      <c r="AU503" s="176"/>
      <c r="AV503" s="176"/>
      <c r="AW503" s="176"/>
      <c r="AX503" s="176"/>
      <c r="AY503" s="176"/>
      <c r="AZ503" s="176"/>
      <c r="BA503" s="176"/>
      <c r="BB503" s="176"/>
    </row>
    <row r="504" ht="15.75" customHeight="1">
      <c r="A504" s="176"/>
      <c r="B504" s="176"/>
      <c r="C504" s="176"/>
      <c r="D504" s="176"/>
      <c r="E504" s="176"/>
      <c r="F504" s="176"/>
      <c r="G504" s="176"/>
      <c r="H504" s="176"/>
      <c r="I504" s="176"/>
      <c r="J504" s="176"/>
      <c r="K504" s="176"/>
      <c r="L504" s="176"/>
      <c r="M504" s="176"/>
      <c r="N504" s="176"/>
      <c r="O504" s="176"/>
      <c r="P504" s="176"/>
      <c r="Q504" s="176"/>
      <c r="R504" s="176"/>
      <c r="S504" s="176"/>
      <c r="T504" s="176"/>
      <c r="U504" s="176"/>
      <c r="V504" s="176"/>
      <c r="W504" s="176"/>
      <c r="X504" s="176"/>
      <c r="Y504" s="176"/>
      <c r="Z504" s="176"/>
      <c r="AA504" s="176"/>
      <c r="AB504" s="176"/>
      <c r="AC504" s="176"/>
      <c r="AD504" s="176"/>
      <c r="AE504" s="176"/>
      <c r="AF504" s="176"/>
      <c r="AG504" s="176"/>
      <c r="AH504" s="176"/>
      <c r="AI504" s="176"/>
      <c r="AJ504" s="176"/>
      <c r="AK504" s="176"/>
      <c r="AL504" s="176"/>
      <c r="AM504" s="176"/>
      <c r="AN504" s="176"/>
      <c r="AO504" s="176"/>
      <c r="AP504" s="176"/>
      <c r="AQ504" s="176"/>
      <c r="AR504" s="176"/>
      <c r="AS504" s="176"/>
      <c r="AT504" s="176"/>
      <c r="AU504" s="176"/>
      <c r="AV504" s="176"/>
      <c r="AW504" s="176"/>
      <c r="AX504" s="176"/>
      <c r="AY504" s="176"/>
      <c r="AZ504" s="176"/>
      <c r="BA504" s="176"/>
      <c r="BB504" s="176"/>
    </row>
    <row r="505" ht="15.75" customHeight="1">
      <c r="A505" s="176"/>
      <c r="B505" s="176"/>
      <c r="C505" s="176"/>
      <c r="D505" s="176"/>
      <c r="E505" s="176"/>
      <c r="F505" s="176"/>
      <c r="G505" s="176"/>
      <c r="H505" s="176"/>
      <c r="I505" s="176"/>
      <c r="J505" s="176"/>
      <c r="K505" s="176"/>
      <c r="L505" s="176"/>
      <c r="M505" s="176"/>
      <c r="N505" s="176"/>
      <c r="O505" s="176"/>
      <c r="P505" s="176"/>
      <c r="Q505" s="176"/>
      <c r="R505" s="176"/>
      <c r="S505" s="176"/>
      <c r="T505" s="176"/>
      <c r="U505" s="176"/>
      <c r="V505" s="176"/>
      <c r="W505" s="176"/>
      <c r="X505" s="176"/>
      <c r="Y505" s="176"/>
      <c r="Z505" s="176"/>
      <c r="AA505" s="176"/>
      <c r="AB505" s="176"/>
      <c r="AC505" s="176"/>
      <c r="AD505" s="176"/>
      <c r="AE505" s="176"/>
      <c r="AF505" s="176"/>
      <c r="AG505" s="176"/>
      <c r="AH505" s="176"/>
      <c r="AI505" s="176"/>
      <c r="AJ505" s="176"/>
      <c r="AK505" s="176"/>
      <c r="AL505" s="176"/>
      <c r="AM505" s="176"/>
      <c r="AN505" s="176"/>
      <c r="AO505" s="176"/>
      <c r="AP505" s="176"/>
      <c r="AQ505" s="176"/>
      <c r="AR505" s="176"/>
      <c r="AS505" s="176"/>
      <c r="AT505" s="176"/>
      <c r="AU505" s="176"/>
      <c r="AV505" s="176"/>
      <c r="AW505" s="176"/>
      <c r="AX505" s="176"/>
      <c r="AY505" s="176"/>
      <c r="AZ505" s="176"/>
      <c r="BA505" s="176"/>
      <c r="BB505" s="176"/>
    </row>
    <row r="506" ht="15.75" customHeight="1">
      <c r="A506" s="176"/>
      <c r="B506" s="176"/>
      <c r="C506" s="176"/>
      <c r="D506" s="176"/>
      <c r="E506" s="176"/>
      <c r="F506" s="176"/>
      <c r="G506" s="176"/>
      <c r="H506" s="176"/>
      <c r="I506" s="176"/>
      <c r="J506" s="176"/>
      <c r="K506" s="176"/>
      <c r="L506" s="176"/>
      <c r="M506" s="176"/>
      <c r="N506" s="176"/>
      <c r="O506" s="176"/>
      <c r="P506" s="176"/>
      <c r="Q506" s="176"/>
      <c r="R506" s="176"/>
      <c r="S506" s="176"/>
      <c r="T506" s="176"/>
      <c r="U506" s="176"/>
      <c r="V506" s="176"/>
      <c r="W506" s="176"/>
      <c r="X506" s="176"/>
      <c r="Y506" s="176"/>
      <c r="Z506" s="176"/>
      <c r="AA506" s="176"/>
      <c r="AB506" s="176"/>
      <c r="AC506" s="176"/>
      <c r="AD506" s="176"/>
      <c r="AE506" s="176"/>
      <c r="AF506" s="176"/>
      <c r="AG506" s="176"/>
      <c r="AH506" s="176"/>
      <c r="AI506" s="176"/>
      <c r="AJ506" s="176"/>
      <c r="AK506" s="176"/>
      <c r="AL506" s="176"/>
      <c r="AM506" s="176"/>
      <c r="AN506" s="176"/>
      <c r="AO506" s="176"/>
      <c r="AP506" s="176"/>
      <c r="AQ506" s="176"/>
      <c r="AR506" s="176"/>
      <c r="AS506" s="176"/>
      <c r="AT506" s="176"/>
      <c r="AU506" s="176"/>
      <c r="AV506" s="176"/>
      <c r="AW506" s="176"/>
      <c r="AX506" s="176"/>
      <c r="AY506" s="176"/>
      <c r="AZ506" s="176"/>
      <c r="BA506" s="176"/>
      <c r="BB506" s="176"/>
    </row>
    <row r="507" ht="15.75" customHeight="1">
      <c r="A507" s="176"/>
      <c r="B507" s="176"/>
      <c r="C507" s="176"/>
      <c r="D507" s="176"/>
      <c r="E507" s="176"/>
      <c r="F507" s="176"/>
      <c r="G507" s="176"/>
      <c r="H507" s="176"/>
      <c r="I507" s="176"/>
      <c r="J507" s="176"/>
      <c r="K507" s="176"/>
      <c r="L507" s="176"/>
      <c r="M507" s="176"/>
      <c r="N507" s="176"/>
      <c r="O507" s="176"/>
      <c r="P507" s="176"/>
      <c r="Q507" s="176"/>
      <c r="R507" s="176"/>
      <c r="S507" s="176"/>
      <c r="T507" s="176"/>
      <c r="U507" s="176"/>
      <c r="V507" s="176"/>
      <c r="W507" s="176"/>
      <c r="X507" s="176"/>
      <c r="Y507" s="176"/>
      <c r="Z507" s="176"/>
      <c r="AA507" s="176"/>
      <c r="AB507" s="176"/>
      <c r="AC507" s="176"/>
      <c r="AD507" s="176"/>
      <c r="AE507" s="176"/>
      <c r="AF507" s="176"/>
      <c r="AG507" s="176"/>
      <c r="AH507" s="176"/>
      <c r="AI507" s="176"/>
      <c r="AJ507" s="176"/>
      <c r="AK507" s="176"/>
      <c r="AL507" s="176"/>
      <c r="AM507" s="176"/>
      <c r="AN507" s="176"/>
      <c r="AO507" s="176"/>
      <c r="AP507" s="176"/>
      <c r="AQ507" s="176"/>
      <c r="AR507" s="176"/>
      <c r="AS507" s="176"/>
      <c r="AT507" s="176"/>
      <c r="AU507" s="176"/>
      <c r="AV507" s="176"/>
      <c r="AW507" s="176"/>
      <c r="AX507" s="176"/>
      <c r="AY507" s="176"/>
      <c r="AZ507" s="176"/>
      <c r="BA507" s="176"/>
      <c r="BB507" s="176"/>
    </row>
    <row r="508" ht="15.75" customHeight="1">
      <c r="A508" s="176"/>
      <c r="B508" s="176"/>
      <c r="C508" s="176"/>
      <c r="D508" s="176"/>
      <c r="E508" s="176"/>
      <c r="F508" s="176"/>
      <c r="G508" s="176"/>
      <c r="H508" s="176"/>
      <c r="I508" s="176"/>
      <c r="J508" s="176"/>
      <c r="K508" s="176"/>
      <c r="L508" s="176"/>
      <c r="M508" s="176"/>
      <c r="N508" s="176"/>
      <c r="O508" s="176"/>
      <c r="P508" s="176"/>
      <c r="Q508" s="176"/>
      <c r="R508" s="176"/>
      <c r="S508" s="176"/>
      <c r="T508" s="176"/>
      <c r="U508" s="176"/>
      <c r="V508" s="176"/>
      <c r="W508" s="176"/>
      <c r="X508" s="176"/>
      <c r="Y508" s="176"/>
      <c r="Z508" s="176"/>
      <c r="AA508" s="176"/>
      <c r="AB508" s="176"/>
      <c r="AC508" s="176"/>
      <c r="AD508" s="176"/>
      <c r="AE508" s="176"/>
      <c r="AF508" s="176"/>
      <c r="AG508" s="176"/>
      <c r="AH508" s="176"/>
      <c r="AI508" s="176"/>
      <c r="AJ508" s="176"/>
      <c r="AK508" s="176"/>
      <c r="AL508" s="176"/>
      <c r="AM508" s="176"/>
      <c r="AN508" s="176"/>
      <c r="AO508" s="176"/>
      <c r="AP508" s="176"/>
      <c r="AQ508" s="176"/>
      <c r="AR508" s="176"/>
      <c r="AS508" s="176"/>
      <c r="AT508" s="176"/>
      <c r="AU508" s="176"/>
      <c r="AV508" s="176"/>
      <c r="AW508" s="176"/>
      <c r="AX508" s="176"/>
      <c r="AY508" s="176"/>
      <c r="AZ508" s="176"/>
      <c r="BA508" s="176"/>
      <c r="BB508" s="176"/>
    </row>
    <row r="509" ht="15.75" customHeight="1">
      <c r="A509" s="176"/>
      <c r="B509" s="176"/>
      <c r="C509" s="176"/>
      <c r="D509" s="176"/>
      <c r="E509" s="176"/>
      <c r="F509" s="176"/>
      <c r="G509" s="176"/>
      <c r="H509" s="176"/>
      <c r="I509" s="176"/>
      <c r="J509" s="176"/>
      <c r="K509" s="176"/>
      <c r="L509" s="176"/>
      <c r="M509" s="176"/>
      <c r="N509" s="176"/>
      <c r="O509" s="176"/>
      <c r="P509" s="176"/>
      <c r="Q509" s="176"/>
      <c r="R509" s="176"/>
      <c r="S509" s="176"/>
      <c r="T509" s="176"/>
      <c r="U509" s="176"/>
      <c r="V509" s="176"/>
      <c r="W509" s="176"/>
      <c r="X509" s="176"/>
      <c r="Y509" s="176"/>
      <c r="Z509" s="176"/>
      <c r="AA509" s="176"/>
      <c r="AB509" s="176"/>
      <c r="AC509" s="176"/>
      <c r="AD509" s="176"/>
      <c r="AE509" s="176"/>
      <c r="AF509" s="176"/>
      <c r="AG509" s="176"/>
      <c r="AH509" s="176"/>
      <c r="AI509" s="176"/>
      <c r="AJ509" s="176"/>
      <c r="AK509" s="176"/>
      <c r="AL509" s="176"/>
      <c r="AM509" s="176"/>
      <c r="AN509" s="176"/>
      <c r="AO509" s="176"/>
      <c r="AP509" s="176"/>
      <c r="AQ509" s="176"/>
      <c r="AR509" s="176"/>
      <c r="AS509" s="176"/>
      <c r="AT509" s="176"/>
      <c r="AU509" s="176"/>
      <c r="AV509" s="176"/>
      <c r="AW509" s="176"/>
      <c r="AX509" s="176"/>
      <c r="AY509" s="176"/>
      <c r="AZ509" s="176"/>
      <c r="BA509" s="176"/>
      <c r="BB509" s="176"/>
    </row>
    <row r="510" ht="15.75" customHeight="1">
      <c r="A510" s="176"/>
      <c r="B510" s="176"/>
      <c r="C510" s="176"/>
      <c r="D510" s="176"/>
      <c r="E510" s="176"/>
      <c r="F510" s="176"/>
      <c r="G510" s="176"/>
      <c r="H510" s="176"/>
      <c r="I510" s="176"/>
      <c r="J510" s="176"/>
      <c r="K510" s="176"/>
      <c r="L510" s="176"/>
      <c r="M510" s="176"/>
      <c r="N510" s="176"/>
      <c r="O510" s="176"/>
      <c r="P510" s="176"/>
      <c r="Q510" s="176"/>
      <c r="R510" s="176"/>
      <c r="S510" s="176"/>
      <c r="T510" s="176"/>
      <c r="U510" s="176"/>
      <c r="V510" s="176"/>
      <c r="W510" s="176"/>
      <c r="X510" s="176"/>
      <c r="Y510" s="176"/>
      <c r="Z510" s="176"/>
      <c r="AA510" s="176"/>
      <c r="AB510" s="176"/>
      <c r="AC510" s="176"/>
      <c r="AD510" s="176"/>
      <c r="AE510" s="176"/>
      <c r="AF510" s="176"/>
      <c r="AG510" s="176"/>
      <c r="AH510" s="176"/>
      <c r="AI510" s="176"/>
      <c r="AJ510" s="176"/>
      <c r="AK510" s="176"/>
      <c r="AL510" s="176"/>
      <c r="AM510" s="176"/>
      <c r="AN510" s="176"/>
      <c r="AO510" s="176"/>
      <c r="AP510" s="176"/>
      <c r="AQ510" s="176"/>
      <c r="AR510" s="176"/>
      <c r="AS510" s="176"/>
      <c r="AT510" s="176"/>
      <c r="AU510" s="176"/>
      <c r="AV510" s="176"/>
      <c r="AW510" s="176"/>
      <c r="AX510" s="176"/>
      <c r="AY510" s="176"/>
      <c r="AZ510" s="176"/>
      <c r="BA510" s="176"/>
      <c r="BB510" s="176"/>
    </row>
    <row r="511" ht="15.75" customHeight="1">
      <c r="A511" s="176"/>
      <c r="B511" s="176"/>
      <c r="C511" s="176"/>
      <c r="D511" s="176"/>
      <c r="E511" s="176"/>
      <c r="F511" s="176"/>
      <c r="G511" s="176"/>
      <c r="H511" s="176"/>
      <c r="I511" s="176"/>
      <c r="J511" s="176"/>
      <c r="K511" s="176"/>
      <c r="L511" s="176"/>
      <c r="M511" s="176"/>
      <c r="N511" s="176"/>
      <c r="O511" s="176"/>
      <c r="P511" s="176"/>
      <c r="Q511" s="176"/>
      <c r="R511" s="176"/>
      <c r="S511" s="176"/>
      <c r="T511" s="176"/>
      <c r="U511" s="176"/>
      <c r="V511" s="176"/>
      <c r="W511" s="176"/>
      <c r="X511" s="176"/>
      <c r="Y511" s="176"/>
      <c r="Z511" s="176"/>
      <c r="AA511" s="176"/>
      <c r="AB511" s="176"/>
      <c r="AC511" s="176"/>
      <c r="AD511" s="176"/>
      <c r="AE511" s="176"/>
      <c r="AF511" s="176"/>
      <c r="AG511" s="176"/>
      <c r="AH511" s="176"/>
      <c r="AI511" s="176"/>
      <c r="AJ511" s="176"/>
      <c r="AK511" s="176"/>
      <c r="AL511" s="176"/>
      <c r="AM511" s="176"/>
      <c r="AN511" s="176"/>
      <c r="AO511" s="176"/>
      <c r="AP511" s="176"/>
      <c r="AQ511" s="176"/>
      <c r="AR511" s="176"/>
      <c r="AS511" s="176"/>
      <c r="AT511" s="176"/>
      <c r="AU511" s="176"/>
      <c r="AV511" s="176"/>
      <c r="AW511" s="176"/>
      <c r="AX511" s="176"/>
      <c r="AY511" s="176"/>
      <c r="AZ511" s="176"/>
      <c r="BA511" s="176"/>
      <c r="BB511" s="176"/>
    </row>
    <row r="512" ht="15.75" customHeight="1">
      <c r="A512" s="176"/>
      <c r="B512" s="176"/>
      <c r="C512" s="176"/>
      <c r="D512" s="176"/>
      <c r="E512" s="176"/>
      <c r="F512" s="176"/>
      <c r="G512" s="176"/>
      <c r="H512" s="176"/>
      <c r="I512" s="176"/>
      <c r="J512" s="176"/>
      <c r="K512" s="176"/>
      <c r="L512" s="176"/>
      <c r="M512" s="176"/>
      <c r="N512" s="176"/>
      <c r="O512" s="176"/>
      <c r="P512" s="176"/>
      <c r="Q512" s="176"/>
      <c r="R512" s="176"/>
      <c r="S512" s="176"/>
      <c r="T512" s="176"/>
      <c r="U512" s="176"/>
      <c r="V512" s="176"/>
      <c r="W512" s="176"/>
      <c r="X512" s="176"/>
      <c r="Y512" s="176"/>
      <c r="Z512" s="176"/>
      <c r="AA512" s="176"/>
      <c r="AB512" s="176"/>
      <c r="AC512" s="176"/>
      <c r="AD512" s="176"/>
      <c r="AE512" s="176"/>
      <c r="AF512" s="176"/>
      <c r="AG512" s="176"/>
      <c r="AH512" s="176"/>
      <c r="AI512" s="176"/>
      <c r="AJ512" s="176"/>
      <c r="AK512" s="176"/>
      <c r="AL512" s="176"/>
      <c r="AM512" s="176"/>
      <c r="AN512" s="176"/>
      <c r="AO512" s="176"/>
      <c r="AP512" s="176"/>
      <c r="AQ512" s="176"/>
      <c r="AR512" s="176"/>
      <c r="AS512" s="176"/>
      <c r="AT512" s="176"/>
      <c r="AU512" s="176"/>
      <c r="AV512" s="176"/>
      <c r="AW512" s="176"/>
      <c r="AX512" s="176"/>
      <c r="AY512" s="176"/>
      <c r="AZ512" s="176"/>
      <c r="BA512" s="176"/>
      <c r="BB512" s="176"/>
    </row>
    <row r="513" ht="15.75" customHeight="1">
      <c r="A513" s="176"/>
      <c r="B513" s="176"/>
      <c r="C513" s="176"/>
      <c r="D513" s="176"/>
      <c r="E513" s="176"/>
      <c r="F513" s="176"/>
      <c r="G513" s="176"/>
      <c r="H513" s="176"/>
      <c r="I513" s="176"/>
      <c r="J513" s="176"/>
      <c r="K513" s="176"/>
      <c r="L513" s="176"/>
      <c r="M513" s="176"/>
      <c r="N513" s="176"/>
      <c r="O513" s="176"/>
      <c r="P513" s="176"/>
      <c r="Q513" s="176"/>
      <c r="R513" s="176"/>
      <c r="S513" s="176"/>
      <c r="T513" s="176"/>
      <c r="U513" s="176"/>
      <c r="V513" s="176"/>
      <c r="W513" s="176"/>
      <c r="X513" s="176"/>
      <c r="Y513" s="176"/>
      <c r="Z513" s="176"/>
      <c r="AA513" s="176"/>
      <c r="AB513" s="176"/>
      <c r="AC513" s="176"/>
      <c r="AD513" s="176"/>
      <c r="AE513" s="176"/>
      <c r="AF513" s="176"/>
      <c r="AG513" s="176"/>
      <c r="AH513" s="176"/>
      <c r="AI513" s="176"/>
      <c r="AJ513" s="176"/>
      <c r="AK513" s="176"/>
      <c r="AL513" s="176"/>
      <c r="AM513" s="176"/>
      <c r="AN513" s="176"/>
      <c r="AO513" s="176"/>
      <c r="AP513" s="176"/>
      <c r="AQ513" s="176"/>
      <c r="AR513" s="176"/>
      <c r="AS513" s="176"/>
      <c r="AT513" s="176"/>
      <c r="AU513" s="176"/>
      <c r="AV513" s="176"/>
      <c r="AW513" s="176"/>
      <c r="AX513" s="176"/>
      <c r="AY513" s="176"/>
      <c r="AZ513" s="176"/>
      <c r="BA513" s="176"/>
      <c r="BB513" s="176"/>
    </row>
    <row r="514" ht="15.75" customHeight="1">
      <c r="A514" s="176"/>
      <c r="B514" s="176"/>
      <c r="C514" s="176"/>
      <c r="D514" s="176"/>
      <c r="E514" s="176"/>
      <c r="F514" s="176"/>
      <c r="G514" s="176"/>
      <c r="H514" s="176"/>
      <c r="I514" s="176"/>
      <c r="J514" s="176"/>
      <c r="K514" s="176"/>
      <c r="L514" s="176"/>
      <c r="M514" s="176"/>
      <c r="N514" s="176"/>
      <c r="O514" s="176"/>
      <c r="P514" s="176"/>
      <c r="Q514" s="176"/>
      <c r="R514" s="176"/>
      <c r="S514" s="176"/>
      <c r="T514" s="176"/>
      <c r="U514" s="176"/>
      <c r="V514" s="176"/>
      <c r="W514" s="176"/>
      <c r="X514" s="176"/>
      <c r="Y514" s="176"/>
      <c r="Z514" s="176"/>
      <c r="AA514" s="176"/>
      <c r="AB514" s="176"/>
      <c r="AC514" s="176"/>
      <c r="AD514" s="176"/>
      <c r="AE514" s="176"/>
      <c r="AF514" s="176"/>
      <c r="AG514" s="176"/>
      <c r="AH514" s="176"/>
      <c r="AI514" s="176"/>
      <c r="AJ514" s="176"/>
      <c r="AK514" s="176"/>
      <c r="AL514" s="176"/>
      <c r="AM514" s="176"/>
      <c r="AN514" s="176"/>
      <c r="AO514" s="176"/>
      <c r="AP514" s="176"/>
      <c r="AQ514" s="176"/>
      <c r="AR514" s="176"/>
      <c r="AS514" s="176"/>
      <c r="AT514" s="176"/>
      <c r="AU514" s="176"/>
      <c r="AV514" s="176"/>
      <c r="AW514" s="176"/>
      <c r="AX514" s="176"/>
      <c r="AY514" s="176"/>
      <c r="AZ514" s="176"/>
      <c r="BA514" s="176"/>
      <c r="BB514" s="176"/>
    </row>
    <row r="515" ht="15.75" customHeight="1">
      <c r="A515" s="176"/>
      <c r="B515" s="176"/>
      <c r="C515" s="176"/>
      <c r="D515" s="176"/>
      <c r="E515" s="176"/>
      <c r="F515" s="176"/>
      <c r="G515" s="176"/>
      <c r="H515" s="176"/>
      <c r="I515" s="176"/>
      <c r="J515" s="176"/>
      <c r="K515" s="176"/>
      <c r="L515" s="176"/>
      <c r="M515" s="176"/>
      <c r="N515" s="176"/>
      <c r="O515" s="176"/>
      <c r="P515" s="176"/>
      <c r="Q515" s="176"/>
      <c r="R515" s="176"/>
      <c r="S515" s="176"/>
      <c r="T515" s="176"/>
      <c r="U515" s="176"/>
      <c r="V515" s="176"/>
      <c r="W515" s="176"/>
      <c r="X515" s="176"/>
      <c r="Y515" s="176"/>
      <c r="Z515" s="176"/>
      <c r="AA515" s="176"/>
      <c r="AB515" s="176"/>
      <c r="AC515" s="176"/>
      <c r="AD515" s="176"/>
      <c r="AE515" s="176"/>
      <c r="AF515" s="176"/>
      <c r="AG515" s="176"/>
      <c r="AH515" s="176"/>
      <c r="AI515" s="176"/>
      <c r="AJ515" s="176"/>
      <c r="AK515" s="176"/>
      <c r="AL515" s="176"/>
      <c r="AM515" s="176"/>
      <c r="AN515" s="176"/>
      <c r="AO515" s="176"/>
      <c r="AP515" s="176"/>
      <c r="AQ515" s="176"/>
      <c r="AR515" s="176"/>
      <c r="AS515" s="176"/>
      <c r="AT515" s="176"/>
      <c r="AU515" s="176"/>
      <c r="AV515" s="176"/>
      <c r="AW515" s="176"/>
      <c r="AX515" s="176"/>
      <c r="AY515" s="176"/>
      <c r="AZ515" s="176"/>
      <c r="BA515" s="176"/>
      <c r="BB515" s="176"/>
    </row>
    <row r="516" ht="15.75" customHeight="1">
      <c r="A516" s="176"/>
      <c r="B516" s="176"/>
      <c r="C516" s="176"/>
      <c r="D516" s="176"/>
      <c r="E516" s="176"/>
      <c r="F516" s="176"/>
      <c r="G516" s="176"/>
      <c r="H516" s="176"/>
      <c r="I516" s="176"/>
      <c r="J516" s="176"/>
      <c r="K516" s="176"/>
      <c r="L516" s="176"/>
      <c r="M516" s="176"/>
      <c r="N516" s="176"/>
      <c r="O516" s="176"/>
      <c r="P516" s="176"/>
      <c r="Q516" s="176"/>
      <c r="R516" s="176"/>
      <c r="S516" s="176"/>
      <c r="T516" s="176"/>
      <c r="U516" s="176"/>
      <c r="V516" s="176"/>
      <c r="W516" s="176"/>
      <c r="X516" s="176"/>
      <c r="Y516" s="176"/>
      <c r="Z516" s="176"/>
      <c r="AA516" s="176"/>
      <c r="AB516" s="176"/>
      <c r="AC516" s="176"/>
      <c r="AD516" s="176"/>
      <c r="AE516" s="176"/>
      <c r="AF516" s="176"/>
      <c r="AG516" s="176"/>
      <c r="AH516" s="176"/>
      <c r="AI516" s="176"/>
      <c r="AJ516" s="176"/>
      <c r="AK516" s="176"/>
      <c r="AL516" s="176"/>
      <c r="AM516" s="176"/>
      <c r="AN516" s="176"/>
      <c r="AO516" s="176"/>
      <c r="AP516" s="176"/>
      <c r="AQ516" s="176"/>
      <c r="AR516" s="176"/>
      <c r="AS516" s="176"/>
      <c r="AT516" s="176"/>
      <c r="AU516" s="176"/>
      <c r="AV516" s="176"/>
      <c r="AW516" s="176"/>
      <c r="AX516" s="176"/>
      <c r="AY516" s="176"/>
      <c r="AZ516" s="176"/>
      <c r="BA516" s="176"/>
      <c r="BB516" s="176"/>
    </row>
    <row r="517" ht="15.75" customHeight="1">
      <c r="A517" s="176"/>
      <c r="B517" s="176"/>
      <c r="C517" s="176"/>
      <c r="D517" s="176"/>
      <c r="E517" s="176"/>
      <c r="F517" s="176"/>
      <c r="G517" s="176"/>
      <c r="H517" s="176"/>
      <c r="I517" s="176"/>
      <c r="J517" s="176"/>
      <c r="K517" s="176"/>
      <c r="L517" s="176"/>
      <c r="M517" s="176"/>
      <c r="N517" s="176"/>
      <c r="O517" s="176"/>
      <c r="P517" s="176"/>
      <c r="Q517" s="176"/>
      <c r="R517" s="176"/>
      <c r="S517" s="176"/>
      <c r="T517" s="176"/>
      <c r="U517" s="176"/>
      <c r="V517" s="176"/>
      <c r="W517" s="176"/>
      <c r="X517" s="176"/>
      <c r="Y517" s="176"/>
      <c r="Z517" s="176"/>
      <c r="AA517" s="176"/>
      <c r="AB517" s="176"/>
      <c r="AC517" s="176"/>
      <c r="AD517" s="176"/>
      <c r="AE517" s="176"/>
      <c r="AF517" s="176"/>
      <c r="AG517" s="176"/>
      <c r="AH517" s="176"/>
      <c r="AI517" s="176"/>
      <c r="AJ517" s="176"/>
      <c r="AK517" s="176"/>
      <c r="AL517" s="176"/>
      <c r="AM517" s="176"/>
      <c r="AN517" s="176"/>
      <c r="AO517" s="176"/>
      <c r="AP517" s="176"/>
      <c r="AQ517" s="176"/>
      <c r="AR517" s="176"/>
      <c r="AS517" s="176"/>
      <c r="AT517" s="176"/>
      <c r="AU517" s="176"/>
      <c r="AV517" s="176"/>
      <c r="AW517" s="176"/>
      <c r="AX517" s="176"/>
      <c r="AY517" s="176"/>
      <c r="AZ517" s="176"/>
      <c r="BA517" s="176"/>
      <c r="BB517" s="176"/>
    </row>
    <row r="518" ht="15.75" customHeight="1">
      <c r="A518" s="176"/>
      <c r="B518" s="176"/>
      <c r="C518" s="176"/>
      <c r="D518" s="176"/>
      <c r="E518" s="176"/>
      <c r="F518" s="176"/>
      <c r="G518" s="176"/>
      <c r="H518" s="176"/>
      <c r="I518" s="176"/>
      <c r="J518" s="176"/>
      <c r="K518" s="176"/>
      <c r="L518" s="176"/>
      <c r="M518" s="176"/>
      <c r="N518" s="176"/>
      <c r="O518" s="176"/>
      <c r="P518" s="176"/>
      <c r="Q518" s="176"/>
      <c r="R518" s="176"/>
      <c r="S518" s="176"/>
      <c r="T518" s="176"/>
      <c r="U518" s="176"/>
      <c r="V518" s="176"/>
      <c r="W518" s="176"/>
      <c r="X518" s="176"/>
      <c r="Y518" s="176"/>
      <c r="Z518" s="176"/>
      <c r="AA518" s="176"/>
      <c r="AB518" s="176"/>
      <c r="AC518" s="176"/>
      <c r="AD518" s="176"/>
      <c r="AE518" s="176"/>
      <c r="AF518" s="176"/>
      <c r="AG518" s="176"/>
      <c r="AH518" s="176"/>
      <c r="AI518" s="176"/>
      <c r="AJ518" s="176"/>
      <c r="AK518" s="176"/>
      <c r="AL518" s="176"/>
      <c r="AM518" s="176"/>
      <c r="AN518" s="176"/>
      <c r="AO518" s="176"/>
      <c r="AP518" s="176"/>
      <c r="AQ518" s="176"/>
      <c r="AR518" s="176"/>
      <c r="AS518" s="176"/>
      <c r="AT518" s="176"/>
      <c r="AU518" s="176"/>
      <c r="AV518" s="176"/>
      <c r="AW518" s="176"/>
      <c r="AX518" s="176"/>
      <c r="AY518" s="176"/>
      <c r="AZ518" s="176"/>
      <c r="BA518" s="176"/>
      <c r="BB518" s="176"/>
    </row>
    <row r="519" ht="15.75" customHeight="1">
      <c r="A519" s="176"/>
      <c r="B519" s="176"/>
      <c r="C519" s="176"/>
      <c r="D519" s="176"/>
      <c r="E519" s="176"/>
      <c r="F519" s="176"/>
      <c r="G519" s="176"/>
      <c r="H519" s="176"/>
      <c r="I519" s="176"/>
      <c r="J519" s="176"/>
      <c r="K519" s="176"/>
      <c r="L519" s="176"/>
      <c r="M519" s="176"/>
      <c r="N519" s="176"/>
      <c r="O519" s="176"/>
      <c r="P519" s="176"/>
      <c r="Q519" s="176"/>
      <c r="R519" s="176"/>
      <c r="S519" s="176"/>
      <c r="T519" s="176"/>
      <c r="U519" s="176"/>
      <c r="V519" s="176"/>
      <c r="W519" s="176"/>
      <c r="X519" s="176"/>
      <c r="Y519" s="176"/>
      <c r="Z519" s="176"/>
      <c r="AA519" s="176"/>
      <c r="AB519" s="176"/>
      <c r="AC519" s="176"/>
      <c r="AD519" s="176"/>
      <c r="AE519" s="176"/>
      <c r="AF519" s="176"/>
      <c r="AG519" s="176"/>
      <c r="AH519" s="176"/>
      <c r="AI519" s="176"/>
      <c r="AJ519" s="176"/>
      <c r="AK519" s="176"/>
      <c r="AL519" s="176"/>
      <c r="AM519" s="176"/>
      <c r="AN519" s="176"/>
      <c r="AO519" s="176"/>
      <c r="AP519" s="176"/>
      <c r="AQ519" s="176"/>
      <c r="AR519" s="176"/>
      <c r="AS519" s="176"/>
      <c r="AT519" s="176"/>
      <c r="AU519" s="176"/>
      <c r="AV519" s="176"/>
      <c r="AW519" s="176"/>
      <c r="AX519" s="176"/>
      <c r="AY519" s="176"/>
      <c r="AZ519" s="176"/>
      <c r="BA519" s="176"/>
      <c r="BB519" s="176"/>
    </row>
    <row r="520" ht="15.75" customHeight="1">
      <c r="A520" s="176"/>
      <c r="B520" s="176"/>
      <c r="C520" s="176"/>
      <c r="D520" s="176"/>
      <c r="E520" s="176"/>
      <c r="F520" s="176"/>
      <c r="G520" s="176"/>
      <c r="H520" s="176"/>
      <c r="I520" s="176"/>
      <c r="J520" s="176"/>
      <c r="K520" s="176"/>
      <c r="L520" s="176"/>
      <c r="M520" s="176"/>
      <c r="N520" s="176"/>
      <c r="O520" s="176"/>
      <c r="P520" s="176"/>
      <c r="Q520" s="176"/>
      <c r="R520" s="176"/>
      <c r="S520" s="176"/>
      <c r="T520" s="176"/>
      <c r="U520" s="176"/>
      <c r="V520" s="176"/>
      <c r="W520" s="176"/>
      <c r="X520" s="176"/>
      <c r="Y520" s="176"/>
      <c r="Z520" s="176"/>
      <c r="AA520" s="176"/>
      <c r="AB520" s="176"/>
      <c r="AC520" s="176"/>
      <c r="AD520" s="176"/>
      <c r="AE520" s="176"/>
      <c r="AF520" s="176"/>
      <c r="AG520" s="176"/>
      <c r="AH520" s="176"/>
      <c r="AI520" s="176"/>
      <c r="AJ520" s="176"/>
      <c r="AK520" s="176"/>
      <c r="AL520" s="176"/>
      <c r="AM520" s="176"/>
      <c r="AN520" s="176"/>
      <c r="AO520" s="176"/>
      <c r="AP520" s="176"/>
      <c r="AQ520" s="176"/>
      <c r="AR520" s="176"/>
      <c r="AS520" s="176"/>
      <c r="AT520" s="176"/>
      <c r="AU520" s="176"/>
      <c r="AV520" s="176"/>
      <c r="AW520" s="176"/>
      <c r="AX520" s="176"/>
      <c r="AY520" s="176"/>
      <c r="AZ520" s="176"/>
      <c r="BA520" s="176"/>
      <c r="BB520" s="176"/>
    </row>
    <row r="521" ht="15.75" customHeight="1">
      <c r="A521" s="176"/>
      <c r="B521" s="176"/>
      <c r="C521" s="176"/>
      <c r="D521" s="176"/>
      <c r="E521" s="176"/>
      <c r="F521" s="176"/>
      <c r="G521" s="176"/>
      <c r="H521" s="176"/>
      <c r="I521" s="176"/>
      <c r="J521" s="176"/>
      <c r="K521" s="176"/>
      <c r="L521" s="176"/>
      <c r="M521" s="176"/>
      <c r="N521" s="176"/>
      <c r="O521" s="176"/>
      <c r="P521" s="176"/>
      <c r="Q521" s="176"/>
      <c r="R521" s="176"/>
      <c r="S521" s="176"/>
      <c r="T521" s="176"/>
      <c r="U521" s="176"/>
      <c r="V521" s="176"/>
      <c r="W521" s="176"/>
      <c r="X521" s="176"/>
      <c r="Y521" s="176"/>
      <c r="Z521" s="176"/>
      <c r="AA521" s="176"/>
      <c r="AB521" s="176"/>
      <c r="AC521" s="176"/>
      <c r="AD521" s="176"/>
      <c r="AE521" s="176"/>
      <c r="AF521" s="176"/>
      <c r="AG521" s="176"/>
      <c r="AH521" s="176"/>
      <c r="AI521" s="176"/>
      <c r="AJ521" s="176"/>
      <c r="AK521" s="176"/>
      <c r="AL521" s="176"/>
      <c r="AM521" s="176"/>
      <c r="AN521" s="176"/>
      <c r="AO521" s="176"/>
      <c r="AP521" s="176"/>
      <c r="AQ521" s="176"/>
      <c r="AR521" s="176"/>
      <c r="AS521" s="176"/>
      <c r="AT521" s="176"/>
      <c r="AU521" s="176"/>
      <c r="AV521" s="176"/>
      <c r="AW521" s="176"/>
      <c r="AX521" s="176"/>
      <c r="AY521" s="176"/>
      <c r="AZ521" s="176"/>
      <c r="BA521" s="176"/>
      <c r="BB521" s="176"/>
    </row>
    <row r="522" ht="15.75" customHeight="1">
      <c r="A522" s="176"/>
      <c r="B522" s="176"/>
      <c r="C522" s="176"/>
      <c r="D522" s="176"/>
      <c r="E522" s="176"/>
      <c r="F522" s="176"/>
      <c r="G522" s="176"/>
      <c r="H522" s="176"/>
      <c r="I522" s="176"/>
      <c r="J522" s="176"/>
      <c r="K522" s="176"/>
      <c r="L522" s="176"/>
      <c r="M522" s="176"/>
      <c r="N522" s="176"/>
      <c r="O522" s="176"/>
      <c r="P522" s="176"/>
      <c r="Q522" s="176"/>
      <c r="R522" s="176"/>
      <c r="S522" s="176"/>
      <c r="T522" s="176"/>
      <c r="U522" s="176"/>
      <c r="V522" s="176"/>
      <c r="W522" s="176"/>
      <c r="X522" s="176"/>
      <c r="Y522" s="176"/>
      <c r="Z522" s="176"/>
      <c r="AA522" s="176"/>
      <c r="AB522" s="176"/>
      <c r="AC522" s="176"/>
      <c r="AD522" s="176"/>
      <c r="AE522" s="176"/>
      <c r="AF522" s="176"/>
      <c r="AG522" s="176"/>
      <c r="AH522" s="176"/>
      <c r="AI522" s="176"/>
      <c r="AJ522" s="176"/>
      <c r="AK522" s="176"/>
      <c r="AL522" s="176"/>
      <c r="AM522" s="176"/>
      <c r="AN522" s="176"/>
      <c r="AO522" s="176"/>
      <c r="AP522" s="176"/>
      <c r="AQ522" s="176"/>
      <c r="AR522" s="176"/>
      <c r="AS522" s="176"/>
      <c r="AT522" s="176"/>
      <c r="AU522" s="176"/>
      <c r="AV522" s="176"/>
      <c r="AW522" s="176"/>
      <c r="AX522" s="176"/>
      <c r="AY522" s="176"/>
      <c r="AZ522" s="176"/>
      <c r="BA522" s="176"/>
      <c r="BB522" s="176"/>
    </row>
    <row r="523" ht="15.75" customHeight="1">
      <c r="A523" s="176"/>
      <c r="B523" s="176"/>
      <c r="C523" s="176"/>
      <c r="D523" s="176"/>
      <c r="E523" s="176"/>
      <c r="F523" s="176"/>
      <c r="G523" s="176"/>
      <c r="H523" s="176"/>
      <c r="I523" s="176"/>
      <c r="J523" s="176"/>
      <c r="K523" s="176"/>
      <c r="L523" s="176"/>
      <c r="M523" s="176"/>
      <c r="N523" s="176"/>
      <c r="O523" s="176"/>
      <c r="P523" s="176"/>
      <c r="Q523" s="176"/>
      <c r="R523" s="176"/>
      <c r="S523" s="176"/>
      <c r="T523" s="176"/>
      <c r="U523" s="176"/>
      <c r="V523" s="176"/>
      <c r="W523" s="176"/>
      <c r="X523" s="176"/>
      <c r="Y523" s="176"/>
      <c r="Z523" s="176"/>
      <c r="AA523" s="176"/>
      <c r="AB523" s="176"/>
      <c r="AC523" s="176"/>
      <c r="AD523" s="176"/>
      <c r="AE523" s="176"/>
      <c r="AF523" s="176"/>
      <c r="AG523" s="176"/>
      <c r="AH523" s="176"/>
      <c r="AI523" s="176"/>
      <c r="AJ523" s="176"/>
      <c r="AK523" s="176"/>
      <c r="AL523" s="176"/>
      <c r="AM523" s="176"/>
      <c r="AN523" s="176"/>
      <c r="AO523" s="176"/>
      <c r="AP523" s="176"/>
      <c r="AQ523" s="176"/>
      <c r="AR523" s="176"/>
      <c r="AS523" s="176"/>
      <c r="AT523" s="176"/>
      <c r="AU523" s="176"/>
      <c r="AV523" s="176"/>
      <c r="AW523" s="176"/>
      <c r="AX523" s="176"/>
      <c r="AY523" s="176"/>
      <c r="AZ523" s="176"/>
      <c r="BA523" s="176"/>
      <c r="BB523" s="176"/>
    </row>
    <row r="524" ht="15.75" customHeight="1">
      <c r="A524" s="176"/>
      <c r="B524" s="176"/>
      <c r="C524" s="176"/>
      <c r="D524" s="176"/>
      <c r="E524" s="176"/>
      <c r="F524" s="176"/>
      <c r="G524" s="176"/>
      <c r="H524" s="176"/>
      <c r="I524" s="176"/>
      <c r="J524" s="176"/>
      <c r="K524" s="176"/>
      <c r="L524" s="176"/>
      <c r="M524" s="176"/>
      <c r="N524" s="176"/>
      <c r="O524" s="176"/>
      <c r="P524" s="176"/>
      <c r="Q524" s="176"/>
      <c r="R524" s="176"/>
      <c r="S524" s="176"/>
      <c r="T524" s="176"/>
      <c r="U524" s="176"/>
      <c r="V524" s="176"/>
      <c r="W524" s="176"/>
      <c r="X524" s="176"/>
      <c r="Y524" s="176"/>
      <c r="Z524" s="176"/>
      <c r="AA524" s="176"/>
      <c r="AB524" s="176"/>
      <c r="AC524" s="176"/>
      <c r="AD524" s="176"/>
      <c r="AE524" s="176"/>
      <c r="AF524" s="176"/>
      <c r="AG524" s="176"/>
      <c r="AH524" s="176"/>
      <c r="AI524" s="176"/>
      <c r="AJ524" s="176"/>
      <c r="AK524" s="176"/>
      <c r="AL524" s="176"/>
      <c r="AM524" s="176"/>
      <c r="AN524" s="176"/>
      <c r="AO524" s="176"/>
      <c r="AP524" s="176"/>
      <c r="AQ524" s="176"/>
      <c r="AR524" s="176"/>
      <c r="AS524" s="176"/>
      <c r="AT524" s="176"/>
      <c r="AU524" s="176"/>
      <c r="AV524" s="176"/>
      <c r="AW524" s="176"/>
      <c r="AX524" s="176"/>
      <c r="AY524" s="176"/>
      <c r="AZ524" s="176"/>
      <c r="BA524" s="176"/>
      <c r="BB524" s="176"/>
    </row>
    <row r="525" ht="15.75" customHeight="1">
      <c r="A525" s="176"/>
      <c r="B525" s="176"/>
      <c r="C525" s="176"/>
      <c r="D525" s="176"/>
      <c r="E525" s="176"/>
      <c r="F525" s="176"/>
      <c r="G525" s="176"/>
      <c r="H525" s="176"/>
      <c r="I525" s="176"/>
      <c r="J525" s="176"/>
      <c r="K525" s="176"/>
      <c r="L525" s="176"/>
      <c r="M525" s="176"/>
      <c r="N525" s="176"/>
      <c r="O525" s="176"/>
      <c r="P525" s="176"/>
      <c r="Q525" s="176"/>
      <c r="R525" s="176"/>
      <c r="S525" s="176"/>
      <c r="T525" s="176"/>
      <c r="U525" s="176"/>
      <c r="V525" s="176"/>
      <c r="W525" s="176"/>
      <c r="X525" s="176"/>
      <c r="Y525" s="176"/>
      <c r="Z525" s="176"/>
      <c r="AA525" s="176"/>
      <c r="AB525" s="176"/>
      <c r="AC525" s="176"/>
      <c r="AD525" s="176"/>
      <c r="AE525" s="176"/>
      <c r="AF525" s="176"/>
      <c r="AG525" s="176"/>
      <c r="AH525" s="176"/>
      <c r="AI525" s="176"/>
      <c r="AJ525" s="176"/>
      <c r="AK525" s="176"/>
      <c r="AL525" s="176"/>
      <c r="AM525" s="176"/>
      <c r="AN525" s="176"/>
      <c r="AO525" s="176"/>
      <c r="AP525" s="176"/>
      <c r="AQ525" s="176"/>
      <c r="AR525" s="176"/>
      <c r="AS525" s="176"/>
      <c r="AT525" s="176"/>
      <c r="AU525" s="176"/>
      <c r="AV525" s="176"/>
      <c r="AW525" s="176"/>
      <c r="AX525" s="176"/>
      <c r="AY525" s="176"/>
      <c r="AZ525" s="176"/>
      <c r="BA525" s="176"/>
      <c r="BB525" s="176"/>
    </row>
    <row r="526" ht="15.75" customHeight="1">
      <c r="A526" s="176"/>
      <c r="B526" s="176"/>
      <c r="C526" s="176"/>
      <c r="D526" s="176"/>
      <c r="E526" s="176"/>
      <c r="F526" s="176"/>
      <c r="G526" s="176"/>
      <c r="H526" s="176"/>
      <c r="I526" s="176"/>
      <c r="J526" s="176"/>
      <c r="K526" s="176"/>
      <c r="L526" s="176"/>
      <c r="M526" s="176"/>
      <c r="N526" s="176"/>
      <c r="O526" s="176"/>
      <c r="P526" s="176"/>
      <c r="Q526" s="176"/>
      <c r="R526" s="176"/>
      <c r="S526" s="176"/>
      <c r="T526" s="176"/>
      <c r="U526" s="176"/>
      <c r="V526" s="176"/>
      <c r="W526" s="176"/>
      <c r="X526" s="176"/>
      <c r="Y526" s="176"/>
      <c r="Z526" s="176"/>
      <c r="AA526" s="176"/>
      <c r="AB526" s="176"/>
      <c r="AC526" s="176"/>
      <c r="AD526" s="176"/>
      <c r="AE526" s="176"/>
      <c r="AF526" s="176"/>
      <c r="AG526" s="176"/>
      <c r="AH526" s="176"/>
      <c r="AI526" s="176"/>
      <c r="AJ526" s="176"/>
      <c r="AK526" s="176"/>
      <c r="AL526" s="176"/>
      <c r="AM526" s="176"/>
      <c r="AN526" s="176"/>
      <c r="AO526" s="176"/>
      <c r="AP526" s="176"/>
      <c r="AQ526" s="176"/>
      <c r="AR526" s="176"/>
      <c r="AS526" s="176"/>
      <c r="AT526" s="176"/>
      <c r="AU526" s="176"/>
      <c r="AV526" s="176"/>
      <c r="AW526" s="176"/>
      <c r="AX526" s="176"/>
      <c r="AY526" s="176"/>
      <c r="AZ526" s="176"/>
      <c r="BA526" s="176"/>
      <c r="BB526" s="176"/>
    </row>
    <row r="527" ht="15.75" customHeight="1">
      <c r="A527" s="176"/>
      <c r="B527" s="176"/>
      <c r="C527" s="176"/>
      <c r="D527" s="176"/>
      <c r="E527" s="176"/>
      <c r="F527" s="176"/>
      <c r="G527" s="176"/>
      <c r="H527" s="176"/>
      <c r="I527" s="176"/>
      <c r="J527" s="176"/>
      <c r="K527" s="176"/>
      <c r="L527" s="176"/>
      <c r="M527" s="176"/>
      <c r="N527" s="176"/>
      <c r="O527" s="176"/>
      <c r="P527" s="176"/>
      <c r="Q527" s="176"/>
      <c r="R527" s="176"/>
      <c r="S527" s="176"/>
      <c r="T527" s="176"/>
      <c r="U527" s="176"/>
      <c r="V527" s="176"/>
      <c r="W527" s="176"/>
      <c r="X527" s="176"/>
      <c r="Y527" s="176"/>
      <c r="Z527" s="176"/>
      <c r="AA527" s="176"/>
      <c r="AB527" s="176"/>
      <c r="AC527" s="176"/>
      <c r="AD527" s="176"/>
      <c r="AE527" s="176"/>
      <c r="AF527" s="176"/>
      <c r="AG527" s="176"/>
      <c r="AH527" s="176"/>
      <c r="AI527" s="176"/>
      <c r="AJ527" s="176"/>
      <c r="AK527" s="176"/>
      <c r="AL527" s="176"/>
      <c r="AM527" s="176"/>
      <c r="AN527" s="176"/>
      <c r="AO527" s="176"/>
      <c r="AP527" s="176"/>
      <c r="AQ527" s="176"/>
      <c r="AR527" s="176"/>
      <c r="AS527" s="176"/>
      <c r="AT527" s="176"/>
      <c r="AU527" s="176"/>
      <c r="AV527" s="176"/>
      <c r="AW527" s="176"/>
      <c r="AX527" s="176"/>
      <c r="AY527" s="176"/>
      <c r="AZ527" s="176"/>
      <c r="BA527" s="176"/>
      <c r="BB527" s="176"/>
    </row>
    <row r="528" ht="15.75" customHeight="1">
      <c r="A528" s="176"/>
      <c r="B528" s="176"/>
      <c r="C528" s="176"/>
      <c r="D528" s="176"/>
      <c r="E528" s="176"/>
      <c r="F528" s="176"/>
      <c r="G528" s="176"/>
      <c r="H528" s="176"/>
      <c r="I528" s="176"/>
      <c r="J528" s="176"/>
      <c r="K528" s="176"/>
      <c r="L528" s="176"/>
      <c r="M528" s="176"/>
      <c r="N528" s="176"/>
      <c r="O528" s="176"/>
      <c r="P528" s="176"/>
      <c r="Q528" s="176"/>
      <c r="R528" s="176"/>
      <c r="S528" s="176"/>
      <c r="T528" s="176"/>
      <c r="U528" s="176"/>
      <c r="V528" s="176"/>
      <c r="W528" s="176"/>
      <c r="X528" s="176"/>
      <c r="Y528" s="176"/>
      <c r="Z528" s="176"/>
      <c r="AA528" s="176"/>
      <c r="AB528" s="176"/>
      <c r="AC528" s="176"/>
      <c r="AD528" s="176"/>
      <c r="AE528" s="176"/>
      <c r="AF528" s="176"/>
      <c r="AG528" s="176"/>
      <c r="AH528" s="176"/>
      <c r="AI528" s="176"/>
      <c r="AJ528" s="176"/>
      <c r="AK528" s="176"/>
      <c r="AL528" s="176"/>
      <c r="AM528" s="176"/>
      <c r="AN528" s="176"/>
      <c r="AO528" s="176"/>
      <c r="AP528" s="176"/>
      <c r="AQ528" s="176"/>
      <c r="AR528" s="176"/>
      <c r="AS528" s="176"/>
      <c r="AT528" s="176"/>
      <c r="AU528" s="176"/>
      <c r="AV528" s="176"/>
      <c r="AW528" s="176"/>
      <c r="AX528" s="176"/>
      <c r="AY528" s="176"/>
      <c r="AZ528" s="176"/>
      <c r="BA528" s="176"/>
      <c r="BB528" s="176"/>
    </row>
    <row r="529" ht="15.75" customHeight="1">
      <c r="A529" s="176"/>
      <c r="B529" s="176"/>
      <c r="C529" s="176"/>
      <c r="D529" s="176"/>
      <c r="E529" s="176"/>
      <c r="F529" s="176"/>
      <c r="G529" s="176"/>
      <c r="H529" s="176"/>
      <c r="I529" s="176"/>
      <c r="J529" s="176"/>
      <c r="K529" s="176"/>
      <c r="L529" s="176"/>
      <c r="M529" s="176"/>
      <c r="N529" s="176"/>
      <c r="O529" s="176"/>
      <c r="P529" s="176"/>
      <c r="Q529" s="176"/>
      <c r="R529" s="176"/>
      <c r="S529" s="176"/>
      <c r="T529" s="176"/>
      <c r="U529" s="176"/>
      <c r="V529" s="176"/>
      <c r="W529" s="176"/>
      <c r="X529" s="176"/>
      <c r="Y529" s="176"/>
      <c r="Z529" s="176"/>
      <c r="AA529" s="176"/>
      <c r="AB529" s="176"/>
      <c r="AC529" s="176"/>
      <c r="AD529" s="176"/>
      <c r="AE529" s="176"/>
      <c r="AF529" s="176"/>
      <c r="AG529" s="176"/>
      <c r="AH529" s="176"/>
      <c r="AI529" s="176"/>
      <c r="AJ529" s="176"/>
      <c r="AK529" s="176"/>
      <c r="AL529" s="176"/>
      <c r="AM529" s="176"/>
      <c r="AN529" s="176"/>
      <c r="AO529" s="176"/>
      <c r="AP529" s="176"/>
      <c r="AQ529" s="176"/>
      <c r="AR529" s="176"/>
      <c r="AS529" s="176"/>
      <c r="AT529" s="176"/>
      <c r="AU529" s="176"/>
      <c r="AV529" s="176"/>
      <c r="AW529" s="176"/>
      <c r="AX529" s="176"/>
      <c r="AY529" s="176"/>
      <c r="AZ529" s="176"/>
      <c r="BA529" s="176"/>
      <c r="BB529" s="176"/>
    </row>
    <row r="530" ht="15.75" customHeight="1">
      <c r="A530" s="176"/>
      <c r="B530" s="176"/>
      <c r="C530" s="176"/>
      <c r="D530" s="176"/>
      <c r="E530" s="176"/>
      <c r="F530" s="176"/>
      <c r="G530" s="176"/>
      <c r="H530" s="176"/>
      <c r="I530" s="176"/>
      <c r="J530" s="176"/>
      <c r="K530" s="176"/>
      <c r="L530" s="176"/>
      <c r="M530" s="176"/>
      <c r="N530" s="176"/>
      <c r="O530" s="176"/>
      <c r="P530" s="176"/>
      <c r="Q530" s="176"/>
      <c r="R530" s="176"/>
      <c r="S530" s="176"/>
      <c r="T530" s="176"/>
      <c r="U530" s="176"/>
      <c r="V530" s="176"/>
      <c r="W530" s="176"/>
      <c r="X530" s="176"/>
      <c r="Y530" s="176"/>
      <c r="Z530" s="176"/>
      <c r="AA530" s="176"/>
      <c r="AB530" s="176"/>
      <c r="AC530" s="176"/>
      <c r="AD530" s="176"/>
      <c r="AE530" s="176"/>
      <c r="AF530" s="176"/>
      <c r="AG530" s="176"/>
      <c r="AH530" s="176"/>
      <c r="AI530" s="176"/>
      <c r="AJ530" s="176"/>
      <c r="AK530" s="176"/>
      <c r="AL530" s="176"/>
      <c r="AM530" s="176"/>
      <c r="AN530" s="176"/>
      <c r="AO530" s="176"/>
      <c r="AP530" s="176"/>
      <c r="AQ530" s="176"/>
      <c r="AR530" s="176"/>
      <c r="AS530" s="176"/>
      <c r="AT530" s="176"/>
      <c r="AU530" s="176"/>
      <c r="AV530" s="176"/>
      <c r="AW530" s="176"/>
      <c r="AX530" s="176"/>
      <c r="AY530" s="176"/>
      <c r="AZ530" s="176"/>
      <c r="BA530" s="176"/>
      <c r="BB530" s="176"/>
    </row>
    <row r="531" ht="15.75" customHeight="1">
      <c r="A531" s="176"/>
      <c r="B531" s="176"/>
      <c r="C531" s="176"/>
      <c r="D531" s="176"/>
      <c r="E531" s="176"/>
      <c r="F531" s="176"/>
      <c r="G531" s="176"/>
      <c r="H531" s="176"/>
      <c r="I531" s="176"/>
      <c r="J531" s="176"/>
      <c r="K531" s="176"/>
      <c r="L531" s="176"/>
      <c r="M531" s="176"/>
      <c r="N531" s="176"/>
      <c r="O531" s="176"/>
      <c r="P531" s="176"/>
      <c r="Q531" s="176"/>
      <c r="R531" s="176"/>
      <c r="S531" s="176"/>
      <c r="T531" s="176"/>
      <c r="U531" s="176"/>
      <c r="V531" s="176"/>
      <c r="W531" s="176"/>
      <c r="X531" s="176"/>
      <c r="Y531" s="176"/>
      <c r="Z531" s="176"/>
      <c r="AA531" s="176"/>
      <c r="AB531" s="176"/>
      <c r="AC531" s="176"/>
      <c r="AD531" s="176"/>
      <c r="AE531" s="176"/>
      <c r="AF531" s="176"/>
      <c r="AG531" s="176"/>
      <c r="AH531" s="176"/>
      <c r="AI531" s="176"/>
      <c r="AJ531" s="176"/>
      <c r="AK531" s="176"/>
      <c r="AL531" s="176"/>
      <c r="AM531" s="176"/>
      <c r="AN531" s="176"/>
      <c r="AO531" s="176"/>
      <c r="AP531" s="176"/>
      <c r="AQ531" s="176"/>
      <c r="AR531" s="176"/>
      <c r="AS531" s="176"/>
      <c r="AT531" s="176"/>
      <c r="AU531" s="176"/>
      <c r="AV531" s="176"/>
      <c r="AW531" s="176"/>
      <c r="AX531" s="176"/>
      <c r="AY531" s="176"/>
      <c r="AZ531" s="176"/>
      <c r="BA531" s="176"/>
      <c r="BB531" s="176"/>
    </row>
    <row r="532" ht="15.75" customHeight="1">
      <c r="A532" s="176"/>
      <c r="B532" s="176"/>
      <c r="C532" s="176"/>
      <c r="D532" s="176"/>
      <c r="E532" s="176"/>
      <c r="F532" s="176"/>
      <c r="G532" s="176"/>
      <c r="H532" s="176"/>
      <c r="I532" s="176"/>
      <c r="J532" s="176"/>
      <c r="K532" s="176"/>
      <c r="L532" s="176"/>
      <c r="M532" s="176"/>
      <c r="N532" s="176"/>
      <c r="O532" s="176"/>
      <c r="P532" s="176"/>
      <c r="Q532" s="176"/>
      <c r="R532" s="176"/>
      <c r="S532" s="176"/>
      <c r="T532" s="176"/>
      <c r="U532" s="176"/>
      <c r="V532" s="176"/>
      <c r="W532" s="176"/>
      <c r="X532" s="176"/>
      <c r="Y532" s="176"/>
      <c r="Z532" s="176"/>
      <c r="AA532" s="176"/>
      <c r="AB532" s="176"/>
      <c r="AC532" s="176"/>
      <c r="AD532" s="176"/>
      <c r="AE532" s="176"/>
      <c r="AF532" s="176"/>
      <c r="AG532" s="176"/>
      <c r="AH532" s="176"/>
      <c r="AI532" s="176"/>
      <c r="AJ532" s="176"/>
      <c r="AK532" s="176"/>
      <c r="AL532" s="176"/>
      <c r="AM532" s="176"/>
      <c r="AN532" s="176"/>
      <c r="AO532" s="176"/>
      <c r="AP532" s="176"/>
      <c r="AQ532" s="176"/>
      <c r="AR532" s="176"/>
      <c r="AS532" s="176"/>
      <c r="AT532" s="176"/>
      <c r="AU532" s="176"/>
      <c r="AV532" s="176"/>
      <c r="AW532" s="176"/>
      <c r="AX532" s="176"/>
      <c r="AY532" s="176"/>
      <c r="AZ532" s="176"/>
      <c r="BA532" s="176"/>
      <c r="BB532" s="176"/>
    </row>
    <row r="533" ht="15.75" customHeight="1">
      <c r="A533" s="176"/>
      <c r="B533" s="176"/>
      <c r="C533" s="176"/>
      <c r="D533" s="176"/>
      <c r="E533" s="176"/>
      <c r="F533" s="176"/>
      <c r="G533" s="176"/>
      <c r="H533" s="176"/>
      <c r="I533" s="176"/>
      <c r="J533" s="176"/>
      <c r="K533" s="176"/>
      <c r="L533" s="176"/>
      <c r="M533" s="176"/>
      <c r="N533" s="176"/>
      <c r="O533" s="176"/>
      <c r="P533" s="176"/>
      <c r="Q533" s="176"/>
      <c r="R533" s="176"/>
      <c r="S533" s="176"/>
      <c r="T533" s="176"/>
      <c r="U533" s="176"/>
      <c r="V533" s="176"/>
      <c r="W533" s="176"/>
      <c r="X533" s="176"/>
      <c r="Y533" s="176"/>
      <c r="Z533" s="176"/>
      <c r="AA533" s="176"/>
      <c r="AB533" s="176"/>
      <c r="AC533" s="176"/>
      <c r="AD533" s="176"/>
      <c r="AE533" s="176"/>
      <c r="AF533" s="176"/>
      <c r="AG533" s="176"/>
      <c r="AH533" s="176"/>
      <c r="AI533" s="176"/>
      <c r="AJ533" s="176"/>
      <c r="AK533" s="176"/>
      <c r="AL533" s="176"/>
      <c r="AM533" s="176"/>
      <c r="AN533" s="176"/>
      <c r="AO533" s="176"/>
      <c r="AP533" s="176"/>
      <c r="AQ533" s="176"/>
      <c r="AR533" s="176"/>
      <c r="AS533" s="176"/>
      <c r="AT533" s="176"/>
      <c r="AU533" s="176"/>
      <c r="AV533" s="176"/>
      <c r="AW533" s="176"/>
      <c r="AX533" s="176"/>
      <c r="AY533" s="176"/>
      <c r="AZ533" s="176"/>
      <c r="BA533" s="176"/>
      <c r="BB533" s="176"/>
    </row>
    <row r="534" ht="15.75" customHeight="1">
      <c r="A534" s="176"/>
      <c r="B534" s="176"/>
      <c r="C534" s="176"/>
      <c r="D534" s="176"/>
      <c r="E534" s="176"/>
      <c r="F534" s="176"/>
      <c r="G534" s="176"/>
      <c r="H534" s="176"/>
      <c r="I534" s="176"/>
      <c r="J534" s="176"/>
      <c r="K534" s="176"/>
      <c r="L534" s="176"/>
      <c r="M534" s="176"/>
      <c r="N534" s="176"/>
      <c r="O534" s="176"/>
      <c r="P534" s="176"/>
      <c r="Q534" s="176"/>
      <c r="R534" s="176"/>
      <c r="S534" s="176"/>
      <c r="T534" s="176"/>
      <c r="U534" s="176"/>
      <c r="V534" s="176"/>
      <c r="W534" s="176"/>
      <c r="X534" s="176"/>
      <c r="Y534" s="176"/>
      <c r="Z534" s="176"/>
      <c r="AA534" s="176"/>
      <c r="AB534" s="176"/>
      <c r="AC534" s="176"/>
      <c r="AD534" s="176"/>
      <c r="AE534" s="176"/>
      <c r="AF534" s="176"/>
      <c r="AG534" s="176"/>
      <c r="AH534" s="176"/>
      <c r="AI534" s="176"/>
      <c r="AJ534" s="176"/>
      <c r="AK534" s="176"/>
      <c r="AL534" s="176"/>
      <c r="AM534" s="176"/>
      <c r="AN534" s="176"/>
      <c r="AO534" s="176"/>
      <c r="AP534" s="176"/>
      <c r="AQ534" s="176"/>
      <c r="AR534" s="176"/>
      <c r="AS534" s="176"/>
      <c r="AT534" s="176"/>
      <c r="AU534" s="176"/>
      <c r="AV534" s="176"/>
      <c r="AW534" s="176"/>
      <c r="AX534" s="176"/>
      <c r="AY534" s="176"/>
      <c r="AZ534" s="176"/>
      <c r="BA534" s="176"/>
      <c r="BB534" s="176"/>
    </row>
    <row r="535" ht="15.75" customHeight="1">
      <c r="A535" s="176"/>
      <c r="B535" s="176"/>
      <c r="C535" s="176"/>
      <c r="D535" s="176"/>
      <c r="E535" s="176"/>
      <c r="F535" s="176"/>
      <c r="G535" s="176"/>
      <c r="H535" s="176"/>
      <c r="I535" s="176"/>
      <c r="J535" s="176"/>
      <c r="K535" s="176"/>
      <c r="L535" s="176"/>
      <c r="M535" s="176"/>
      <c r="N535" s="176"/>
      <c r="O535" s="176"/>
      <c r="P535" s="176"/>
      <c r="Q535" s="176"/>
      <c r="R535" s="176"/>
      <c r="S535" s="176"/>
      <c r="T535" s="176"/>
      <c r="U535" s="176"/>
      <c r="V535" s="176"/>
      <c r="W535" s="176"/>
      <c r="X535" s="176"/>
      <c r="Y535" s="176"/>
      <c r="Z535" s="176"/>
      <c r="AA535" s="176"/>
      <c r="AB535" s="176"/>
      <c r="AC535" s="176"/>
      <c r="AD535" s="176"/>
      <c r="AE535" s="176"/>
      <c r="AF535" s="176"/>
      <c r="AG535" s="176"/>
      <c r="AH535" s="176"/>
      <c r="AI535" s="176"/>
      <c r="AJ535" s="176"/>
      <c r="AK535" s="176"/>
      <c r="AL535" s="176"/>
      <c r="AM535" s="176"/>
      <c r="AN535" s="176"/>
      <c r="AO535" s="176"/>
      <c r="AP535" s="176"/>
      <c r="AQ535" s="176"/>
      <c r="AR535" s="176"/>
      <c r="AS535" s="176"/>
      <c r="AT535" s="176"/>
      <c r="AU535" s="176"/>
      <c r="AV535" s="176"/>
      <c r="AW535" s="176"/>
      <c r="AX535" s="176"/>
      <c r="AY535" s="176"/>
      <c r="AZ535" s="176"/>
      <c r="BA535" s="176"/>
      <c r="BB535" s="176"/>
    </row>
    <row r="536" ht="15.75" customHeight="1">
      <c r="A536" s="176"/>
      <c r="B536" s="176"/>
      <c r="C536" s="176"/>
      <c r="D536" s="176"/>
      <c r="E536" s="176"/>
      <c r="F536" s="176"/>
      <c r="G536" s="176"/>
      <c r="H536" s="176"/>
      <c r="I536" s="176"/>
      <c r="J536" s="176"/>
      <c r="K536" s="176"/>
      <c r="L536" s="176"/>
      <c r="M536" s="176"/>
      <c r="N536" s="176"/>
      <c r="O536" s="176"/>
      <c r="P536" s="176"/>
      <c r="Q536" s="176"/>
      <c r="R536" s="176"/>
      <c r="S536" s="176"/>
      <c r="T536" s="176"/>
      <c r="U536" s="176"/>
      <c r="V536" s="176"/>
      <c r="W536" s="176"/>
      <c r="X536" s="176"/>
      <c r="Y536" s="176"/>
      <c r="Z536" s="176"/>
      <c r="AA536" s="176"/>
      <c r="AB536" s="176"/>
      <c r="AC536" s="176"/>
      <c r="AD536" s="176"/>
      <c r="AE536" s="176"/>
      <c r="AF536" s="176"/>
      <c r="AG536" s="176"/>
      <c r="AH536" s="176"/>
      <c r="AI536" s="176"/>
      <c r="AJ536" s="176"/>
      <c r="AK536" s="176"/>
      <c r="AL536" s="176"/>
      <c r="AM536" s="176"/>
      <c r="AN536" s="176"/>
      <c r="AO536" s="176"/>
      <c r="AP536" s="176"/>
      <c r="AQ536" s="176"/>
      <c r="AR536" s="176"/>
      <c r="AS536" s="176"/>
      <c r="AT536" s="176"/>
      <c r="AU536" s="176"/>
      <c r="AV536" s="176"/>
      <c r="AW536" s="176"/>
      <c r="AX536" s="176"/>
      <c r="AY536" s="176"/>
      <c r="AZ536" s="176"/>
      <c r="BA536" s="176"/>
      <c r="BB536" s="176"/>
    </row>
    <row r="537" ht="15.75" customHeight="1">
      <c r="A537" s="176"/>
      <c r="B537" s="176"/>
      <c r="C537" s="176"/>
      <c r="D537" s="176"/>
      <c r="E537" s="176"/>
      <c r="F537" s="176"/>
      <c r="G537" s="176"/>
      <c r="H537" s="176"/>
      <c r="I537" s="176"/>
      <c r="J537" s="176"/>
      <c r="K537" s="176"/>
      <c r="L537" s="176"/>
      <c r="M537" s="176"/>
      <c r="N537" s="176"/>
      <c r="O537" s="176"/>
      <c r="P537" s="176"/>
      <c r="Q537" s="176"/>
      <c r="R537" s="176"/>
      <c r="S537" s="176"/>
      <c r="T537" s="176"/>
      <c r="U537" s="176"/>
      <c r="V537" s="176"/>
      <c r="W537" s="176"/>
      <c r="X537" s="176"/>
      <c r="Y537" s="176"/>
      <c r="Z537" s="176"/>
      <c r="AA537" s="176"/>
      <c r="AB537" s="176"/>
      <c r="AC537" s="176"/>
      <c r="AD537" s="176"/>
      <c r="AE537" s="176"/>
      <c r="AF537" s="176"/>
      <c r="AG537" s="176"/>
      <c r="AH537" s="176"/>
      <c r="AI537" s="176"/>
      <c r="AJ537" s="176"/>
      <c r="AK537" s="176"/>
      <c r="AL537" s="176"/>
      <c r="AM537" s="176"/>
      <c r="AN537" s="176"/>
      <c r="AO537" s="176"/>
      <c r="AP537" s="176"/>
      <c r="AQ537" s="176"/>
      <c r="AR537" s="176"/>
      <c r="AS537" s="176"/>
      <c r="AT537" s="176"/>
      <c r="AU537" s="176"/>
      <c r="AV537" s="176"/>
      <c r="AW537" s="176"/>
      <c r="AX537" s="176"/>
      <c r="AY537" s="176"/>
      <c r="AZ537" s="176"/>
      <c r="BA537" s="176"/>
      <c r="BB537" s="176"/>
    </row>
    <row r="538" ht="15.75" customHeight="1">
      <c r="A538" s="176"/>
      <c r="B538" s="176"/>
      <c r="C538" s="176"/>
      <c r="D538" s="176"/>
      <c r="E538" s="176"/>
      <c r="F538" s="176"/>
      <c r="G538" s="176"/>
      <c r="H538" s="176"/>
      <c r="I538" s="176"/>
      <c r="J538" s="176"/>
      <c r="K538" s="176"/>
      <c r="L538" s="176"/>
      <c r="M538" s="176"/>
      <c r="N538" s="176"/>
      <c r="O538" s="176"/>
      <c r="P538" s="176"/>
      <c r="Q538" s="176"/>
      <c r="R538" s="176"/>
      <c r="S538" s="176"/>
      <c r="T538" s="176"/>
      <c r="U538" s="176"/>
      <c r="V538" s="176"/>
      <c r="W538" s="176"/>
      <c r="X538" s="176"/>
      <c r="Y538" s="176"/>
      <c r="Z538" s="176"/>
      <c r="AA538" s="176"/>
      <c r="AB538" s="176"/>
      <c r="AC538" s="176"/>
      <c r="AD538" s="176"/>
      <c r="AE538" s="176"/>
      <c r="AF538" s="176"/>
      <c r="AG538" s="176"/>
      <c r="AH538" s="176"/>
      <c r="AI538" s="176"/>
      <c r="AJ538" s="176"/>
      <c r="AK538" s="176"/>
      <c r="AL538" s="176"/>
      <c r="AM538" s="176"/>
      <c r="AN538" s="176"/>
      <c r="AO538" s="176"/>
      <c r="AP538" s="176"/>
      <c r="AQ538" s="176"/>
      <c r="AR538" s="176"/>
      <c r="AS538" s="176"/>
      <c r="AT538" s="176"/>
      <c r="AU538" s="176"/>
      <c r="AV538" s="176"/>
      <c r="AW538" s="176"/>
      <c r="AX538" s="176"/>
      <c r="AY538" s="176"/>
      <c r="AZ538" s="176"/>
      <c r="BA538" s="176"/>
      <c r="BB538" s="176"/>
    </row>
    <row r="539" ht="15.75" customHeight="1">
      <c r="A539" s="176"/>
      <c r="B539" s="176"/>
      <c r="C539" s="176"/>
      <c r="D539" s="176"/>
      <c r="E539" s="176"/>
      <c r="F539" s="176"/>
      <c r="G539" s="176"/>
      <c r="H539" s="176"/>
      <c r="I539" s="176"/>
      <c r="J539" s="176"/>
      <c r="K539" s="176"/>
      <c r="L539" s="176"/>
      <c r="M539" s="176"/>
      <c r="N539" s="176"/>
      <c r="O539" s="176"/>
      <c r="P539" s="176"/>
      <c r="Q539" s="176"/>
      <c r="R539" s="176"/>
      <c r="S539" s="176"/>
      <c r="T539" s="176"/>
      <c r="U539" s="176"/>
      <c r="V539" s="176"/>
      <c r="W539" s="176"/>
      <c r="X539" s="176"/>
      <c r="Y539" s="176"/>
      <c r="Z539" s="176"/>
      <c r="AA539" s="176"/>
      <c r="AB539" s="176"/>
      <c r="AC539" s="176"/>
      <c r="AD539" s="176"/>
      <c r="AE539" s="176"/>
      <c r="AF539" s="176"/>
      <c r="AG539" s="176"/>
      <c r="AH539" s="176"/>
      <c r="AI539" s="176"/>
      <c r="AJ539" s="176"/>
      <c r="AK539" s="176"/>
      <c r="AL539" s="176"/>
      <c r="AM539" s="176"/>
      <c r="AN539" s="176"/>
      <c r="AO539" s="176"/>
      <c r="AP539" s="176"/>
      <c r="AQ539" s="176"/>
      <c r="AR539" s="176"/>
      <c r="AS539" s="176"/>
      <c r="AT539" s="176"/>
      <c r="AU539" s="176"/>
      <c r="AV539" s="176"/>
      <c r="AW539" s="176"/>
      <c r="AX539" s="176"/>
      <c r="AY539" s="176"/>
      <c r="AZ539" s="176"/>
      <c r="BA539" s="176"/>
      <c r="BB539" s="176"/>
    </row>
    <row r="540" ht="15.75" customHeight="1">
      <c r="A540" s="176"/>
      <c r="B540" s="176"/>
      <c r="C540" s="176"/>
      <c r="D540" s="176"/>
      <c r="E540" s="176"/>
      <c r="F540" s="176"/>
      <c r="G540" s="176"/>
      <c r="H540" s="176"/>
      <c r="I540" s="176"/>
      <c r="J540" s="176"/>
      <c r="K540" s="176"/>
      <c r="L540" s="176"/>
      <c r="M540" s="176"/>
      <c r="N540" s="176"/>
      <c r="O540" s="176"/>
      <c r="P540" s="176"/>
      <c r="Q540" s="176"/>
      <c r="R540" s="176"/>
      <c r="S540" s="176"/>
      <c r="T540" s="176"/>
      <c r="U540" s="176"/>
      <c r="V540" s="176"/>
      <c r="W540" s="176"/>
      <c r="X540" s="176"/>
      <c r="Y540" s="176"/>
      <c r="Z540" s="176"/>
      <c r="AA540" s="176"/>
      <c r="AB540" s="176"/>
      <c r="AC540" s="176"/>
      <c r="AD540" s="176"/>
      <c r="AE540" s="176"/>
      <c r="AF540" s="176"/>
      <c r="AG540" s="176"/>
      <c r="AH540" s="176"/>
      <c r="AI540" s="176"/>
      <c r="AJ540" s="176"/>
      <c r="AK540" s="176"/>
      <c r="AL540" s="176"/>
      <c r="AM540" s="176"/>
      <c r="AN540" s="176"/>
      <c r="AO540" s="176"/>
      <c r="AP540" s="176"/>
      <c r="AQ540" s="176"/>
      <c r="AR540" s="176"/>
      <c r="AS540" s="176"/>
      <c r="AT540" s="176"/>
      <c r="AU540" s="176"/>
      <c r="AV540" s="176"/>
      <c r="AW540" s="176"/>
      <c r="AX540" s="176"/>
      <c r="AY540" s="176"/>
      <c r="AZ540" s="176"/>
      <c r="BA540" s="176"/>
      <c r="BB540" s="176"/>
    </row>
    <row r="541" ht="15.75" customHeight="1">
      <c r="A541" s="176"/>
      <c r="B541" s="176"/>
      <c r="C541" s="176"/>
      <c r="D541" s="176"/>
      <c r="E541" s="176"/>
      <c r="F541" s="176"/>
      <c r="G541" s="176"/>
      <c r="H541" s="176"/>
      <c r="I541" s="176"/>
      <c r="J541" s="176"/>
      <c r="K541" s="176"/>
      <c r="L541" s="176"/>
      <c r="M541" s="176"/>
      <c r="N541" s="176"/>
      <c r="O541" s="176"/>
      <c r="P541" s="176"/>
      <c r="Q541" s="176"/>
      <c r="R541" s="176"/>
      <c r="S541" s="176"/>
      <c r="T541" s="176"/>
      <c r="U541" s="176"/>
      <c r="V541" s="176"/>
      <c r="W541" s="176"/>
      <c r="X541" s="176"/>
      <c r="Y541" s="176"/>
      <c r="Z541" s="176"/>
      <c r="AA541" s="176"/>
      <c r="AB541" s="176"/>
      <c r="AC541" s="176"/>
      <c r="AD541" s="176"/>
      <c r="AE541" s="176"/>
      <c r="AF541" s="176"/>
      <c r="AG541" s="176"/>
      <c r="AH541" s="176"/>
      <c r="AI541" s="176"/>
      <c r="AJ541" s="176"/>
      <c r="AK541" s="176"/>
      <c r="AL541" s="176"/>
      <c r="AM541" s="176"/>
      <c r="AN541" s="176"/>
      <c r="AO541" s="176"/>
      <c r="AP541" s="176"/>
      <c r="AQ541" s="176"/>
      <c r="AR541" s="176"/>
      <c r="AS541" s="176"/>
      <c r="AT541" s="176"/>
      <c r="AU541" s="176"/>
      <c r="AV541" s="176"/>
      <c r="AW541" s="176"/>
      <c r="AX541" s="176"/>
      <c r="AY541" s="176"/>
      <c r="AZ541" s="176"/>
      <c r="BA541" s="176"/>
      <c r="BB541" s="176"/>
    </row>
    <row r="542" ht="15.75" customHeight="1">
      <c r="A542" s="176"/>
      <c r="B542" s="176"/>
      <c r="C542" s="176"/>
      <c r="D542" s="176"/>
      <c r="E542" s="176"/>
      <c r="F542" s="176"/>
      <c r="G542" s="176"/>
      <c r="H542" s="176"/>
      <c r="I542" s="176"/>
      <c r="J542" s="176"/>
      <c r="K542" s="176"/>
      <c r="L542" s="176"/>
      <c r="M542" s="176"/>
      <c r="N542" s="176"/>
      <c r="O542" s="176"/>
      <c r="P542" s="176"/>
      <c r="Q542" s="176"/>
      <c r="R542" s="176"/>
      <c r="S542" s="176"/>
      <c r="T542" s="176"/>
      <c r="U542" s="176"/>
      <c r="V542" s="176"/>
      <c r="W542" s="176"/>
      <c r="X542" s="176"/>
      <c r="Y542" s="176"/>
      <c r="Z542" s="176"/>
      <c r="AA542" s="176"/>
      <c r="AB542" s="176"/>
      <c r="AC542" s="176"/>
      <c r="AD542" s="176"/>
      <c r="AE542" s="176"/>
      <c r="AF542" s="176"/>
      <c r="AG542" s="176"/>
      <c r="AH542" s="176"/>
      <c r="AI542" s="176"/>
      <c r="AJ542" s="176"/>
      <c r="AK542" s="176"/>
      <c r="AL542" s="176"/>
      <c r="AM542" s="176"/>
      <c r="AN542" s="176"/>
      <c r="AO542" s="176"/>
      <c r="AP542" s="176"/>
      <c r="AQ542" s="176"/>
      <c r="AR542" s="176"/>
      <c r="AS542" s="176"/>
      <c r="AT542" s="176"/>
      <c r="AU542" s="176"/>
      <c r="AV542" s="176"/>
      <c r="AW542" s="176"/>
      <c r="AX542" s="176"/>
      <c r="AY542" s="176"/>
      <c r="AZ542" s="176"/>
      <c r="BA542" s="176"/>
      <c r="BB542" s="176"/>
    </row>
    <row r="543" ht="15.75" customHeight="1">
      <c r="A543" s="176"/>
      <c r="B543" s="176"/>
      <c r="C543" s="176"/>
      <c r="D543" s="176"/>
      <c r="E543" s="176"/>
      <c r="F543" s="176"/>
      <c r="G543" s="176"/>
      <c r="H543" s="176"/>
      <c r="I543" s="176"/>
      <c r="J543" s="176"/>
      <c r="K543" s="176"/>
      <c r="L543" s="176"/>
      <c r="M543" s="176"/>
      <c r="N543" s="176"/>
      <c r="O543" s="176"/>
      <c r="P543" s="176"/>
      <c r="Q543" s="176"/>
      <c r="R543" s="176"/>
      <c r="S543" s="176"/>
      <c r="T543" s="176"/>
      <c r="U543" s="176"/>
      <c r="V543" s="176"/>
      <c r="W543" s="176"/>
      <c r="X543" s="176"/>
      <c r="Y543" s="176"/>
      <c r="Z543" s="176"/>
      <c r="AA543" s="176"/>
      <c r="AB543" s="176"/>
      <c r="AC543" s="176"/>
      <c r="AD543" s="176"/>
      <c r="AE543" s="176"/>
      <c r="AF543" s="176"/>
      <c r="AG543" s="176"/>
      <c r="AH543" s="176"/>
      <c r="AI543" s="176"/>
      <c r="AJ543" s="176"/>
      <c r="AK543" s="176"/>
      <c r="AL543" s="176"/>
      <c r="AM543" s="176"/>
      <c r="AN543" s="176"/>
      <c r="AO543" s="176"/>
      <c r="AP543" s="176"/>
      <c r="AQ543" s="176"/>
      <c r="AR543" s="176"/>
      <c r="AS543" s="176"/>
      <c r="AT543" s="176"/>
      <c r="AU543" s="176"/>
      <c r="AV543" s="176"/>
      <c r="AW543" s="176"/>
      <c r="AX543" s="176"/>
      <c r="AY543" s="176"/>
      <c r="AZ543" s="176"/>
      <c r="BA543" s="176"/>
      <c r="BB543" s="176"/>
    </row>
    <row r="544" ht="15.75" customHeight="1">
      <c r="A544" s="176"/>
      <c r="B544" s="176"/>
      <c r="C544" s="176"/>
      <c r="D544" s="176"/>
      <c r="E544" s="176"/>
      <c r="F544" s="176"/>
      <c r="G544" s="176"/>
      <c r="H544" s="176"/>
      <c r="I544" s="176"/>
      <c r="J544" s="176"/>
      <c r="K544" s="176"/>
      <c r="L544" s="176"/>
      <c r="M544" s="176"/>
      <c r="N544" s="176"/>
      <c r="O544" s="176"/>
      <c r="P544" s="176"/>
      <c r="Q544" s="176"/>
      <c r="R544" s="176"/>
      <c r="S544" s="176"/>
      <c r="T544" s="176"/>
      <c r="U544" s="176"/>
      <c r="V544" s="176"/>
      <c r="W544" s="176"/>
      <c r="X544" s="176"/>
      <c r="Y544" s="176"/>
      <c r="Z544" s="176"/>
      <c r="AA544" s="176"/>
      <c r="AB544" s="176"/>
      <c r="AC544" s="176"/>
      <c r="AD544" s="176"/>
      <c r="AE544" s="176"/>
      <c r="AF544" s="176"/>
      <c r="AG544" s="176"/>
      <c r="AH544" s="176"/>
      <c r="AI544" s="176"/>
      <c r="AJ544" s="176"/>
      <c r="AK544" s="176"/>
      <c r="AL544" s="176"/>
      <c r="AM544" s="176"/>
      <c r="AN544" s="176"/>
      <c r="AO544" s="176"/>
      <c r="AP544" s="176"/>
      <c r="AQ544" s="176"/>
      <c r="AR544" s="176"/>
      <c r="AS544" s="176"/>
      <c r="AT544" s="176"/>
      <c r="AU544" s="176"/>
      <c r="AV544" s="176"/>
      <c r="AW544" s="176"/>
      <c r="AX544" s="176"/>
      <c r="AY544" s="176"/>
      <c r="AZ544" s="176"/>
      <c r="BA544" s="176"/>
      <c r="BB544" s="176"/>
    </row>
    <row r="545" ht="15.75" customHeight="1">
      <c r="A545" s="176"/>
      <c r="B545" s="176"/>
      <c r="C545" s="176"/>
      <c r="D545" s="176"/>
      <c r="E545" s="176"/>
      <c r="F545" s="176"/>
      <c r="G545" s="176"/>
      <c r="H545" s="176"/>
      <c r="I545" s="176"/>
      <c r="J545" s="176"/>
      <c r="K545" s="176"/>
      <c r="L545" s="176"/>
      <c r="M545" s="176"/>
      <c r="N545" s="176"/>
      <c r="O545" s="176"/>
      <c r="P545" s="176"/>
      <c r="Q545" s="176"/>
      <c r="R545" s="176"/>
      <c r="S545" s="176"/>
      <c r="T545" s="176"/>
      <c r="U545" s="176"/>
      <c r="V545" s="176"/>
      <c r="W545" s="176"/>
      <c r="X545" s="176"/>
      <c r="Y545" s="176"/>
      <c r="Z545" s="176"/>
      <c r="AA545" s="176"/>
      <c r="AB545" s="176"/>
      <c r="AC545" s="176"/>
      <c r="AD545" s="176"/>
      <c r="AE545" s="176"/>
      <c r="AF545" s="176"/>
      <c r="AG545" s="176"/>
      <c r="AH545" s="176"/>
      <c r="AI545" s="176"/>
      <c r="AJ545" s="176"/>
      <c r="AK545" s="176"/>
      <c r="AL545" s="176"/>
      <c r="AM545" s="176"/>
      <c r="AN545" s="176"/>
      <c r="AO545" s="176"/>
      <c r="AP545" s="176"/>
      <c r="AQ545" s="176"/>
      <c r="AR545" s="176"/>
      <c r="AS545" s="176"/>
      <c r="AT545" s="176"/>
      <c r="AU545" s="176"/>
      <c r="AV545" s="176"/>
      <c r="AW545" s="176"/>
      <c r="AX545" s="176"/>
      <c r="AY545" s="176"/>
      <c r="AZ545" s="176"/>
      <c r="BA545" s="176"/>
      <c r="BB545" s="176"/>
    </row>
    <row r="546" ht="15.75" customHeight="1">
      <c r="A546" s="176"/>
      <c r="B546" s="176"/>
      <c r="C546" s="176"/>
      <c r="D546" s="176"/>
      <c r="E546" s="176"/>
      <c r="F546" s="176"/>
      <c r="G546" s="176"/>
      <c r="H546" s="176"/>
      <c r="I546" s="176"/>
      <c r="J546" s="176"/>
      <c r="K546" s="176"/>
      <c r="L546" s="176"/>
      <c r="M546" s="176"/>
      <c r="N546" s="176"/>
      <c r="O546" s="176"/>
      <c r="P546" s="176"/>
      <c r="Q546" s="176"/>
      <c r="R546" s="176"/>
      <c r="S546" s="176"/>
      <c r="T546" s="176"/>
      <c r="U546" s="176"/>
      <c r="V546" s="176"/>
      <c r="W546" s="176"/>
      <c r="X546" s="176"/>
      <c r="Y546" s="176"/>
      <c r="Z546" s="176"/>
      <c r="AA546" s="176"/>
      <c r="AB546" s="176"/>
      <c r="AC546" s="176"/>
      <c r="AD546" s="176"/>
      <c r="AE546" s="176"/>
      <c r="AF546" s="176"/>
      <c r="AG546" s="176"/>
      <c r="AH546" s="176"/>
      <c r="AI546" s="176"/>
      <c r="AJ546" s="176"/>
      <c r="AK546" s="176"/>
      <c r="AL546" s="176"/>
      <c r="AM546" s="176"/>
      <c r="AN546" s="176"/>
      <c r="AO546" s="176"/>
      <c r="AP546" s="176"/>
      <c r="AQ546" s="176"/>
      <c r="AR546" s="176"/>
      <c r="AS546" s="176"/>
      <c r="AT546" s="176"/>
      <c r="AU546" s="176"/>
      <c r="AV546" s="176"/>
      <c r="AW546" s="176"/>
      <c r="AX546" s="176"/>
      <c r="AY546" s="176"/>
      <c r="AZ546" s="176"/>
      <c r="BA546" s="176"/>
      <c r="BB546" s="176"/>
    </row>
    <row r="547" ht="15.75" customHeight="1">
      <c r="A547" s="176"/>
      <c r="B547" s="176"/>
      <c r="C547" s="176"/>
      <c r="D547" s="176"/>
      <c r="E547" s="176"/>
      <c r="F547" s="176"/>
      <c r="G547" s="176"/>
      <c r="H547" s="176"/>
      <c r="I547" s="176"/>
      <c r="J547" s="176"/>
      <c r="K547" s="176"/>
      <c r="L547" s="176"/>
      <c r="M547" s="176"/>
      <c r="N547" s="176"/>
      <c r="O547" s="176"/>
      <c r="P547" s="176"/>
      <c r="Q547" s="176"/>
      <c r="R547" s="176"/>
      <c r="S547" s="176"/>
      <c r="T547" s="176"/>
      <c r="U547" s="176"/>
      <c r="V547" s="176"/>
      <c r="W547" s="176"/>
      <c r="X547" s="176"/>
      <c r="Y547" s="176"/>
      <c r="Z547" s="176"/>
      <c r="AA547" s="176"/>
      <c r="AB547" s="176"/>
      <c r="AC547" s="176"/>
      <c r="AD547" s="176"/>
      <c r="AE547" s="176"/>
      <c r="AF547" s="176"/>
      <c r="AG547" s="176"/>
      <c r="AH547" s="176"/>
      <c r="AI547" s="176"/>
      <c r="AJ547" s="176"/>
      <c r="AK547" s="176"/>
      <c r="AL547" s="176"/>
      <c r="AM547" s="176"/>
      <c r="AN547" s="176"/>
      <c r="AO547" s="176"/>
      <c r="AP547" s="176"/>
      <c r="AQ547" s="176"/>
      <c r="AR547" s="176"/>
      <c r="AS547" s="176"/>
      <c r="AT547" s="176"/>
      <c r="AU547" s="176"/>
      <c r="AV547" s="176"/>
      <c r="AW547" s="176"/>
      <c r="AX547" s="176"/>
      <c r="AY547" s="176"/>
      <c r="AZ547" s="176"/>
      <c r="BA547" s="176"/>
      <c r="BB547" s="176"/>
    </row>
    <row r="548" ht="15.75" customHeight="1">
      <c r="A548" s="176"/>
      <c r="B548" s="176"/>
      <c r="C548" s="176"/>
      <c r="D548" s="176"/>
      <c r="E548" s="176"/>
      <c r="F548" s="176"/>
      <c r="G548" s="176"/>
      <c r="H548" s="176"/>
      <c r="I548" s="176"/>
      <c r="J548" s="176"/>
      <c r="K548" s="176"/>
      <c r="L548" s="176"/>
      <c r="M548" s="176"/>
      <c r="N548" s="176"/>
      <c r="O548" s="176"/>
      <c r="P548" s="176"/>
      <c r="Q548" s="176"/>
      <c r="R548" s="176"/>
      <c r="S548" s="176"/>
      <c r="T548" s="176"/>
      <c r="U548" s="176"/>
      <c r="V548" s="176"/>
      <c r="W548" s="176"/>
      <c r="X548" s="176"/>
      <c r="Y548" s="176"/>
      <c r="Z548" s="176"/>
      <c r="AA548" s="176"/>
      <c r="AB548" s="176"/>
      <c r="AC548" s="176"/>
      <c r="AD548" s="176"/>
      <c r="AE548" s="176"/>
      <c r="AF548" s="176"/>
      <c r="AG548" s="176"/>
      <c r="AH548" s="176"/>
      <c r="AI548" s="176"/>
      <c r="AJ548" s="176"/>
      <c r="AK548" s="176"/>
      <c r="AL548" s="176"/>
      <c r="AM548" s="176"/>
      <c r="AN548" s="176"/>
      <c r="AO548" s="176"/>
      <c r="AP548" s="176"/>
      <c r="AQ548" s="176"/>
      <c r="AR548" s="176"/>
      <c r="AS548" s="176"/>
      <c r="AT548" s="176"/>
      <c r="AU548" s="176"/>
      <c r="AV548" s="176"/>
      <c r="AW548" s="176"/>
      <c r="AX548" s="176"/>
      <c r="AY548" s="176"/>
      <c r="AZ548" s="176"/>
      <c r="BA548" s="176"/>
      <c r="BB548" s="176"/>
    </row>
    <row r="549" ht="15.75" customHeight="1">
      <c r="A549" s="176"/>
      <c r="B549" s="176"/>
      <c r="C549" s="176"/>
      <c r="D549" s="176"/>
      <c r="E549" s="176"/>
      <c r="F549" s="176"/>
      <c r="G549" s="176"/>
      <c r="H549" s="176"/>
      <c r="I549" s="176"/>
      <c r="J549" s="176"/>
      <c r="K549" s="176"/>
      <c r="L549" s="176"/>
      <c r="M549" s="176"/>
      <c r="N549" s="176"/>
      <c r="O549" s="176"/>
      <c r="P549" s="176"/>
      <c r="Q549" s="176"/>
      <c r="R549" s="176"/>
      <c r="S549" s="176"/>
      <c r="T549" s="176"/>
      <c r="U549" s="176"/>
      <c r="V549" s="176"/>
      <c r="W549" s="176"/>
      <c r="X549" s="176"/>
      <c r="Y549" s="176"/>
      <c r="Z549" s="176"/>
      <c r="AA549" s="176"/>
      <c r="AB549" s="176"/>
      <c r="AC549" s="176"/>
      <c r="AD549" s="176"/>
      <c r="AE549" s="176"/>
      <c r="AF549" s="176"/>
      <c r="AG549" s="176"/>
      <c r="AH549" s="176"/>
      <c r="AI549" s="176"/>
      <c r="AJ549" s="176"/>
      <c r="AK549" s="176"/>
      <c r="AL549" s="176"/>
      <c r="AM549" s="176"/>
      <c r="AN549" s="176"/>
      <c r="AO549" s="176"/>
      <c r="AP549" s="176"/>
      <c r="AQ549" s="176"/>
      <c r="AR549" s="176"/>
      <c r="AS549" s="176"/>
      <c r="AT549" s="176"/>
      <c r="AU549" s="176"/>
      <c r="AV549" s="176"/>
      <c r="AW549" s="176"/>
      <c r="AX549" s="176"/>
      <c r="AY549" s="176"/>
      <c r="AZ549" s="176"/>
      <c r="BA549" s="176"/>
      <c r="BB549" s="176"/>
    </row>
    <row r="550" ht="15.75" customHeight="1">
      <c r="A550" s="176"/>
      <c r="B550" s="176"/>
      <c r="C550" s="176"/>
      <c r="D550" s="176"/>
      <c r="E550" s="176"/>
      <c r="F550" s="176"/>
      <c r="G550" s="176"/>
      <c r="H550" s="176"/>
      <c r="I550" s="176"/>
      <c r="J550" s="176"/>
      <c r="K550" s="176"/>
      <c r="L550" s="176"/>
      <c r="M550" s="176"/>
      <c r="N550" s="176"/>
      <c r="O550" s="176"/>
      <c r="P550" s="176"/>
      <c r="Q550" s="176"/>
      <c r="R550" s="176"/>
      <c r="S550" s="176"/>
      <c r="T550" s="176"/>
      <c r="U550" s="176"/>
      <c r="V550" s="176"/>
      <c r="W550" s="176"/>
      <c r="X550" s="176"/>
      <c r="Y550" s="176"/>
      <c r="Z550" s="176"/>
      <c r="AA550" s="176"/>
      <c r="AB550" s="176"/>
      <c r="AC550" s="176"/>
      <c r="AD550" s="176"/>
      <c r="AE550" s="176"/>
      <c r="AF550" s="176"/>
      <c r="AG550" s="176"/>
      <c r="AH550" s="176"/>
      <c r="AI550" s="176"/>
      <c r="AJ550" s="176"/>
      <c r="AK550" s="176"/>
      <c r="AL550" s="176"/>
      <c r="AM550" s="176"/>
      <c r="AN550" s="176"/>
      <c r="AO550" s="176"/>
      <c r="AP550" s="176"/>
      <c r="AQ550" s="176"/>
      <c r="AR550" s="176"/>
      <c r="AS550" s="176"/>
      <c r="AT550" s="176"/>
      <c r="AU550" s="176"/>
      <c r="AV550" s="176"/>
      <c r="AW550" s="176"/>
      <c r="AX550" s="176"/>
      <c r="AY550" s="176"/>
      <c r="AZ550" s="176"/>
      <c r="BA550" s="176"/>
      <c r="BB550" s="176"/>
    </row>
    <row r="551" ht="15.75" customHeight="1">
      <c r="A551" s="176"/>
      <c r="B551" s="176"/>
      <c r="C551" s="176"/>
      <c r="D551" s="176"/>
      <c r="E551" s="176"/>
      <c r="F551" s="176"/>
      <c r="G551" s="176"/>
      <c r="H551" s="176"/>
      <c r="I551" s="176"/>
      <c r="J551" s="176"/>
      <c r="K551" s="176"/>
      <c r="L551" s="176"/>
      <c r="M551" s="176"/>
      <c r="N551" s="176"/>
      <c r="O551" s="176"/>
      <c r="P551" s="176"/>
      <c r="Q551" s="176"/>
      <c r="R551" s="176"/>
      <c r="S551" s="176"/>
      <c r="T551" s="176"/>
      <c r="U551" s="176"/>
      <c r="V551" s="176"/>
      <c r="W551" s="176"/>
      <c r="X551" s="176"/>
      <c r="Y551" s="176"/>
      <c r="Z551" s="176"/>
      <c r="AA551" s="176"/>
      <c r="AB551" s="176"/>
      <c r="AC551" s="176"/>
      <c r="AD551" s="176"/>
      <c r="AE551" s="176"/>
      <c r="AF551" s="176"/>
      <c r="AG551" s="176"/>
      <c r="AH551" s="176"/>
      <c r="AI551" s="176"/>
      <c r="AJ551" s="176"/>
      <c r="AK551" s="176"/>
      <c r="AL551" s="176"/>
      <c r="AM551" s="176"/>
      <c r="AN551" s="176"/>
      <c r="AO551" s="176"/>
      <c r="AP551" s="176"/>
      <c r="AQ551" s="176"/>
      <c r="AR551" s="176"/>
      <c r="AS551" s="176"/>
      <c r="AT551" s="176"/>
      <c r="AU551" s="176"/>
      <c r="AV551" s="176"/>
      <c r="AW551" s="176"/>
      <c r="AX551" s="176"/>
      <c r="AY551" s="176"/>
      <c r="AZ551" s="176"/>
      <c r="BA551" s="176"/>
      <c r="BB551" s="176"/>
    </row>
    <row r="552" ht="15.75" customHeight="1">
      <c r="A552" s="176"/>
      <c r="B552" s="176"/>
      <c r="C552" s="176"/>
      <c r="D552" s="176"/>
      <c r="E552" s="176"/>
      <c r="F552" s="176"/>
      <c r="G552" s="176"/>
      <c r="H552" s="176"/>
      <c r="I552" s="176"/>
      <c r="J552" s="176"/>
      <c r="K552" s="176"/>
      <c r="L552" s="176"/>
      <c r="M552" s="176"/>
      <c r="N552" s="176"/>
      <c r="O552" s="176"/>
      <c r="P552" s="176"/>
      <c r="Q552" s="176"/>
      <c r="R552" s="176"/>
      <c r="S552" s="176"/>
      <c r="T552" s="176"/>
      <c r="U552" s="176"/>
      <c r="V552" s="176"/>
      <c r="W552" s="176"/>
      <c r="X552" s="176"/>
      <c r="Y552" s="176"/>
      <c r="Z552" s="176"/>
      <c r="AA552" s="176"/>
      <c r="AB552" s="176"/>
      <c r="AC552" s="176"/>
      <c r="AD552" s="176"/>
      <c r="AE552" s="176"/>
      <c r="AF552" s="176"/>
      <c r="AG552" s="176"/>
      <c r="AH552" s="176"/>
      <c r="AI552" s="176"/>
      <c r="AJ552" s="176"/>
      <c r="AK552" s="176"/>
      <c r="AL552" s="176"/>
      <c r="AM552" s="176"/>
      <c r="AN552" s="176"/>
      <c r="AO552" s="176"/>
      <c r="AP552" s="176"/>
      <c r="AQ552" s="176"/>
      <c r="AR552" s="176"/>
      <c r="AS552" s="176"/>
      <c r="AT552" s="176"/>
      <c r="AU552" s="176"/>
      <c r="AV552" s="176"/>
      <c r="AW552" s="176"/>
      <c r="AX552" s="176"/>
      <c r="AY552" s="176"/>
      <c r="AZ552" s="176"/>
      <c r="BA552" s="176"/>
      <c r="BB552" s="176"/>
    </row>
    <row r="553" ht="15.75" customHeight="1">
      <c r="A553" s="176"/>
      <c r="B553" s="176"/>
      <c r="C553" s="176"/>
      <c r="D553" s="176"/>
      <c r="E553" s="176"/>
      <c r="F553" s="176"/>
      <c r="G553" s="176"/>
      <c r="H553" s="176"/>
      <c r="I553" s="176"/>
      <c r="J553" s="176"/>
      <c r="K553" s="176"/>
      <c r="L553" s="176"/>
      <c r="M553" s="176"/>
      <c r="N553" s="176"/>
      <c r="O553" s="176"/>
      <c r="P553" s="176"/>
      <c r="Q553" s="176"/>
      <c r="R553" s="176"/>
      <c r="S553" s="176"/>
      <c r="T553" s="176"/>
      <c r="U553" s="176"/>
      <c r="V553" s="176"/>
      <c r="W553" s="176"/>
      <c r="X553" s="176"/>
      <c r="Y553" s="176"/>
      <c r="Z553" s="176"/>
      <c r="AA553" s="176"/>
      <c r="AB553" s="176"/>
      <c r="AC553" s="176"/>
      <c r="AD553" s="176"/>
      <c r="AE553" s="176"/>
      <c r="AF553" s="176"/>
      <c r="AG553" s="176"/>
      <c r="AH553" s="176"/>
      <c r="AI553" s="176"/>
      <c r="AJ553" s="176"/>
      <c r="AK553" s="176"/>
      <c r="AL553" s="176"/>
      <c r="AM553" s="176"/>
      <c r="AN553" s="176"/>
      <c r="AO553" s="176"/>
      <c r="AP553" s="176"/>
      <c r="AQ553" s="176"/>
      <c r="AR553" s="176"/>
      <c r="AS553" s="176"/>
      <c r="AT553" s="176"/>
      <c r="AU553" s="176"/>
      <c r="AV553" s="176"/>
      <c r="AW553" s="176"/>
      <c r="AX553" s="176"/>
      <c r="AY553" s="176"/>
      <c r="AZ553" s="176"/>
      <c r="BA553" s="176"/>
      <c r="BB553" s="176"/>
    </row>
    <row r="554" ht="15.75" customHeight="1">
      <c r="A554" s="176"/>
      <c r="B554" s="176"/>
      <c r="C554" s="176"/>
      <c r="D554" s="176"/>
      <c r="E554" s="176"/>
      <c r="F554" s="176"/>
      <c r="G554" s="176"/>
      <c r="H554" s="176"/>
      <c r="I554" s="176"/>
      <c r="J554" s="176"/>
      <c r="K554" s="176"/>
      <c r="L554" s="176"/>
      <c r="M554" s="176"/>
      <c r="N554" s="176"/>
      <c r="O554" s="176"/>
      <c r="P554" s="176"/>
      <c r="Q554" s="176"/>
      <c r="R554" s="176"/>
      <c r="S554" s="176"/>
      <c r="T554" s="176"/>
      <c r="U554" s="176"/>
      <c r="V554" s="176"/>
      <c r="W554" s="176"/>
      <c r="X554" s="176"/>
      <c r="Y554" s="176"/>
      <c r="Z554" s="176"/>
      <c r="AA554" s="176"/>
      <c r="AB554" s="176"/>
      <c r="AC554" s="176"/>
      <c r="AD554" s="176"/>
      <c r="AE554" s="176"/>
      <c r="AF554" s="176"/>
      <c r="AG554" s="176"/>
      <c r="AH554" s="176"/>
      <c r="AI554" s="176"/>
      <c r="AJ554" s="176"/>
      <c r="AK554" s="176"/>
      <c r="AL554" s="176"/>
      <c r="AM554" s="176"/>
      <c r="AN554" s="176"/>
      <c r="AO554" s="176"/>
      <c r="AP554" s="176"/>
      <c r="AQ554" s="176"/>
      <c r="AR554" s="176"/>
      <c r="AS554" s="176"/>
      <c r="AT554" s="176"/>
      <c r="AU554" s="176"/>
      <c r="AV554" s="176"/>
      <c r="AW554" s="176"/>
      <c r="AX554" s="176"/>
      <c r="AY554" s="176"/>
      <c r="AZ554" s="176"/>
      <c r="BA554" s="176"/>
      <c r="BB554" s="176"/>
    </row>
    <row r="555" ht="15.75" customHeight="1">
      <c r="A555" s="176"/>
      <c r="B555" s="176"/>
      <c r="C555" s="176"/>
      <c r="D555" s="176"/>
      <c r="E555" s="176"/>
      <c r="F555" s="176"/>
      <c r="G555" s="176"/>
      <c r="H555" s="176"/>
      <c r="I555" s="176"/>
      <c r="J555" s="176"/>
      <c r="K555" s="176"/>
      <c r="L555" s="176"/>
      <c r="M555" s="176"/>
      <c r="N555" s="176"/>
      <c r="O555" s="176"/>
      <c r="P555" s="176"/>
      <c r="Q555" s="176"/>
      <c r="R555" s="176"/>
      <c r="S555" s="176"/>
      <c r="T555" s="176"/>
      <c r="U555" s="176"/>
      <c r="V555" s="176"/>
      <c r="W555" s="176"/>
      <c r="X555" s="176"/>
      <c r="Y555" s="176"/>
      <c r="Z555" s="176"/>
      <c r="AA555" s="176"/>
      <c r="AB555" s="176"/>
      <c r="AC555" s="176"/>
      <c r="AD555" s="176"/>
      <c r="AE555" s="176"/>
      <c r="AF555" s="176"/>
      <c r="AG555" s="176"/>
      <c r="AH555" s="176"/>
      <c r="AI555" s="176"/>
      <c r="AJ555" s="176"/>
      <c r="AK555" s="176"/>
      <c r="AL555" s="176"/>
      <c r="AM555" s="176"/>
      <c r="AN555" s="176"/>
      <c r="AO555" s="176"/>
      <c r="AP555" s="176"/>
      <c r="AQ555" s="176"/>
      <c r="AR555" s="176"/>
      <c r="AS555" s="176"/>
      <c r="AT555" s="176"/>
      <c r="AU555" s="176"/>
      <c r="AV555" s="176"/>
      <c r="AW555" s="176"/>
      <c r="AX555" s="176"/>
      <c r="AY555" s="176"/>
      <c r="AZ555" s="176"/>
      <c r="BA555" s="176"/>
      <c r="BB555" s="176"/>
    </row>
    <row r="556" ht="15.75" customHeight="1">
      <c r="A556" s="176"/>
      <c r="B556" s="176"/>
      <c r="C556" s="176"/>
      <c r="D556" s="176"/>
      <c r="E556" s="176"/>
      <c r="F556" s="176"/>
      <c r="G556" s="176"/>
      <c r="H556" s="176"/>
      <c r="I556" s="176"/>
      <c r="J556" s="176"/>
      <c r="K556" s="176"/>
      <c r="L556" s="176"/>
      <c r="M556" s="176"/>
      <c r="N556" s="176"/>
      <c r="O556" s="176"/>
      <c r="P556" s="176"/>
      <c r="Q556" s="176"/>
      <c r="R556" s="176"/>
      <c r="S556" s="176"/>
      <c r="T556" s="176"/>
      <c r="U556" s="176"/>
      <c r="V556" s="176"/>
      <c r="W556" s="176"/>
      <c r="X556" s="176"/>
      <c r="Y556" s="176"/>
      <c r="Z556" s="176"/>
      <c r="AA556" s="176"/>
      <c r="AB556" s="176"/>
      <c r="AC556" s="176"/>
      <c r="AD556" s="176"/>
      <c r="AE556" s="176"/>
      <c r="AF556" s="176"/>
      <c r="AG556" s="176"/>
      <c r="AH556" s="176"/>
      <c r="AI556" s="176"/>
      <c r="AJ556" s="176"/>
      <c r="AK556" s="176"/>
      <c r="AL556" s="176"/>
      <c r="AM556" s="176"/>
      <c r="AN556" s="176"/>
      <c r="AO556" s="176"/>
      <c r="AP556" s="176"/>
      <c r="AQ556" s="176"/>
      <c r="AR556" s="176"/>
      <c r="AS556" s="176"/>
      <c r="AT556" s="176"/>
      <c r="AU556" s="176"/>
      <c r="AV556" s="176"/>
      <c r="AW556" s="176"/>
      <c r="AX556" s="176"/>
      <c r="AY556" s="176"/>
      <c r="AZ556" s="176"/>
      <c r="BA556" s="176"/>
      <c r="BB556" s="176"/>
    </row>
    <row r="557" ht="15.75" customHeight="1">
      <c r="A557" s="176"/>
      <c r="B557" s="176"/>
      <c r="C557" s="176"/>
      <c r="D557" s="176"/>
      <c r="E557" s="176"/>
      <c r="F557" s="176"/>
      <c r="G557" s="176"/>
      <c r="H557" s="176"/>
      <c r="I557" s="176"/>
      <c r="J557" s="176"/>
      <c r="K557" s="176"/>
      <c r="L557" s="176"/>
      <c r="M557" s="176"/>
      <c r="N557" s="176"/>
      <c r="O557" s="176"/>
      <c r="P557" s="176"/>
      <c r="Q557" s="176"/>
      <c r="R557" s="176"/>
      <c r="S557" s="176"/>
      <c r="T557" s="176"/>
      <c r="U557" s="176"/>
      <c r="V557" s="176"/>
      <c r="W557" s="176"/>
      <c r="X557" s="176"/>
      <c r="Y557" s="176"/>
      <c r="Z557" s="176"/>
      <c r="AA557" s="176"/>
      <c r="AB557" s="176"/>
      <c r="AC557" s="176"/>
      <c r="AD557" s="176"/>
      <c r="AE557" s="176"/>
      <c r="AF557" s="176"/>
      <c r="AG557" s="176"/>
      <c r="AH557" s="176"/>
      <c r="AI557" s="176"/>
      <c r="AJ557" s="176"/>
      <c r="AK557" s="176"/>
      <c r="AL557" s="176"/>
      <c r="AM557" s="176"/>
      <c r="AN557" s="176"/>
      <c r="AO557" s="176"/>
      <c r="AP557" s="176"/>
      <c r="AQ557" s="176"/>
      <c r="AR557" s="176"/>
      <c r="AS557" s="176"/>
      <c r="AT557" s="176"/>
      <c r="AU557" s="176"/>
      <c r="AV557" s="176"/>
      <c r="AW557" s="176"/>
      <c r="AX557" s="176"/>
      <c r="AY557" s="176"/>
      <c r="AZ557" s="176"/>
      <c r="BA557" s="176"/>
      <c r="BB557" s="176"/>
    </row>
    <row r="558" ht="15.75" customHeight="1">
      <c r="A558" s="176"/>
      <c r="B558" s="176"/>
      <c r="C558" s="176"/>
      <c r="D558" s="176"/>
      <c r="E558" s="176"/>
      <c r="F558" s="176"/>
      <c r="G558" s="176"/>
      <c r="H558" s="176"/>
      <c r="I558" s="176"/>
      <c r="J558" s="176"/>
      <c r="K558" s="176"/>
      <c r="L558" s="176"/>
      <c r="M558" s="176"/>
      <c r="N558" s="176"/>
      <c r="O558" s="176"/>
      <c r="P558" s="176"/>
      <c r="Q558" s="176"/>
      <c r="R558" s="176"/>
      <c r="S558" s="176"/>
      <c r="T558" s="176"/>
      <c r="U558" s="176"/>
      <c r="V558" s="176"/>
      <c r="W558" s="176"/>
      <c r="X558" s="176"/>
      <c r="Y558" s="176"/>
      <c r="Z558" s="176"/>
      <c r="AA558" s="176"/>
      <c r="AB558" s="176"/>
      <c r="AC558" s="176"/>
      <c r="AD558" s="176"/>
      <c r="AE558" s="176"/>
      <c r="AF558" s="176"/>
      <c r="AG558" s="176"/>
      <c r="AH558" s="176"/>
      <c r="AI558" s="176"/>
      <c r="AJ558" s="176"/>
      <c r="AK558" s="176"/>
      <c r="AL558" s="176"/>
      <c r="AM558" s="176"/>
      <c r="AN558" s="176"/>
      <c r="AO558" s="176"/>
      <c r="AP558" s="176"/>
      <c r="AQ558" s="176"/>
      <c r="AR558" s="176"/>
      <c r="AS558" s="176"/>
      <c r="AT558" s="176"/>
      <c r="AU558" s="176"/>
      <c r="AV558" s="176"/>
      <c r="AW558" s="176"/>
      <c r="AX558" s="176"/>
      <c r="AY558" s="176"/>
      <c r="AZ558" s="176"/>
      <c r="BA558" s="176"/>
      <c r="BB558" s="176"/>
    </row>
    <row r="559" ht="15.75" customHeight="1">
      <c r="A559" s="176"/>
      <c r="B559" s="176"/>
      <c r="C559" s="176"/>
      <c r="D559" s="176"/>
      <c r="E559" s="176"/>
      <c r="F559" s="176"/>
      <c r="G559" s="176"/>
      <c r="H559" s="176"/>
      <c r="I559" s="176"/>
      <c r="J559" s="176"/>
      <c r="K559" s="176"/>
      <c r="L559" s="176"/>
      <c r="M559" s="176"/>
      <c r="N559" s="176"/>
      <c r="O559" s="176"/>
      <c r="P559" s="176"/>
      <c r="Q559" s="176"/>
      <c r="R559" s="176"/>
      <c r="S559" s="176"/>
      <c r="T559" s="176"/>
      <c r="U559" s="176"/>
      <c r="V559" s="176"/>
      <c r="W559" s="176"/>
      <c r="X559" s="176"/>
      <c r="Y559" s="176"/>
      <c r="Z559" s="176"/>
      <c r="AA559" s="176"/>
      <c r="AB559" s="176"/>
      <c r="AC559" s="176"/>
      <c r="AD559" s="176"/>
      <c r="AE559" s="176"/>
      <c r="AF559" s="176"/>
      <c r="AG559" s="176"/>
      <c r="AH559" s="176"/>
      <c r="AI559" s="176"/>
      <c r="AJ559" s="176"/>
      <c r="AK559" s="176"/>
      <c r="AL559" s="176"/>
      <c r="AM559" s="176"/>
      <c r="AN559" s="176"/>
      <c r="AO559" s="176"/>
      <c r="AP559" s="176"/>
      <c r="AQ559" s="176"/>
      <c r="AR559" s="176"/>
      <c r="AS559" s="176"/>
      <c r="AT559" s="176"/>
      <c r="AU559" s="176"/>
      <c r="AV559" s="176"/>
      <c r="AW559" s="176"/>
      <c r="AX559" s="176"/>
      <c r="AY559" s="176"/>
      <c r="AZ559" s="176"/>
      <c r="BA559" s="176"/>
      <c r="BB559" s="176"/>
    </row>
    <row r="560" ht="15.75" customHeight="1">
      <c r="A560" s="176"/>
      <c r="B560" s="176"/>
      <c r="C560" s="176"/>
      <c r="D560" s="176"/>
      <c r="E560" s="176"/>
      <c r="F560" s="176"/>
      <c r="G560" s="176"/>
      <c r="H560" s="176"/>
      <c r="I560" s="176"/>
      <c r="J560" s="176"/>
      <c r="K560" s="176"/>
      <c r="L560" s="176"/>
      <c r="M560" s="176"/>
      <c r="N560" s="176"/>
      <c r="O560" s="176"/>
      <c r="P560" s="176"/>
      <c r="Q560" s="176"/>
      <c r="R560" s="176"/>
      <c r="S560" s="176"/>
      <c r="T560" s="176"/>
      <c r="U560" s="176"/>
      <c r="V560" s="176"/>
      <c r="W560" s="176"/>
      <c r="X560" s="176"/>
      <c r="Y560" s="176"/>
      <c r="Z560" s="176"/>
      <c r="AA560" s="176"/>
      <c r="AB560" s="176"/>
      <c r="AC560" s="176"/>
      <c r="AD560" s="176"/>
      <c r="AE560" s="176"/>
      <c r="AF560" s="176"/>
      <c r="AG560" s="176"/>
      <c r="AH560" s="176"/>
      <c r="AI560" s="176"/>
      <c r="AJ560" s="176"/>
      <c r="AK560" s="176"/>
      <c r="AL560" s="176"/>
      <c r="AM560" s="176"/>
      <c r="AN560" s="176"/>
      <c r="AO560" s="176"/>
      <c r="AP560" s="176"/>
      <c r="AQ560" s="176"/>
      <c r="AR560" s="176"/>
      <c r="AS560" s="176"/>
      <c r="AT560" s="176"/>
      <c r="AU560" s="176"/>
      <c r="AV560" s="176"/>
      <c r="AW560" s="176"/>
      <c r="AX560" s="176"/>
      <c r="AY560" s="176"/>
      <c r="AZ560" s="176"/>
      <c r="BA560" s="176"/>
      <c r="BB560" s="176"/>
    </row>
    <row r="561" ht="15.75" customHeight="1">
      <c r="A561" s="176"/>
      <c r="B561" s="176"/>
      <c r="C561" s="176"/>
      <c r="D561" s="176"/>
      <c r="E561" s="176"/>
      <c r="F561" s="176"/>
      <c r="G561" s="176"/>
      <c r="H561" s="176"/>
      <c r="I561" s="176"/>
      <c r="J561" s="176"/>
      <c r="K561" s="176"/>
      <c r="L561" s="176"/>
      <c r="M561" s="176"/>
      <c r="N561" s="176"/>
      <c r="O561" s="176"/>
      <c r="P561" s="176"/>
      <c r="Q561" s="176"/>
      <c r="R561" s="176"/>
      <c r="S561" s="176"/>
      <c r="T561" s="176"/>
      <c r="U561" s="176"/>
      <c r="V561" s="176"/>
      <c r="W561" s="176"/>
      <c r="X561" s="176"/>
      <c r="Y561" s="176"/>
      <c r="Z561" s="176"/>
      <c r="AA561" s="176"/>
      <c r="AB561" s="176"/>
      <c r="AC561" s="176"/>
      <c r="AD561" s="176"/>
      <c r="AE561" s="176"/>
      <c r="AF561" s="176"/>
      <c r="AG561" s="176"/>
      <c r="AH561" s="176"/>
      <c r="AI561" s="176"/>
      <c r="AJ561" s="176"/>
      <c r="AK561" s="176"/>
      <c r="AL561" s="176"/>
      <c r="AM561" s="176"/>
      <c r="AN561" s="176"/>
      <c r="AO561" s="176"/>
      <c r="AP561" s="176"/>
      <c r="AQ561" s="176"/>
      <c r="AR561" s="176"/>
      <c r="AS561" s="176"/>
      <c r="AT561" s="176"/>
      <c r="AU561" s="176"/>
      <c r="AV561" s="176"/>
      <c r="AW561" s="176"/>
      <c r="AX561" s="176"/>
      <c r="AY561" s="176"/>
      <c r="AZ561" s="176"/>
      <c r="BA561" s="176"/>
      <c r="BB561" s="176"/>
    </row>
    <row r="562" ht="15.75" customHeight="1">
      <c r="A562" s="176"/>
      <c r="B562" s="176"/>
      <c r="C562" s="176"/>
      <c r="D562" s="176"/>
      <c r="E562" s="176"/>
      <c r="F562" s="176"/>
      <c r="G562" s="176"/>
      <c r="H562" s="176"/>
      <c r="I562" s="176"/>
      <c r="J562" s="176"/>
      <c r="K562" s="176"/>
      <c r="L562" s="176"/>
      <c r="M562" s="176"/>
      <c r="N562" s="176"/>
      <c r="O562" s="176"/>
      <c r="P562" s="176"/>
      <c r="Q562" s="176"/>
      <c r="R562" s="176"/>
      <c r="S562" s="176"/>
      <c r="T562" s="176"/>
      <c r="U562" s="176"/>
      <c r="V562" s="176"/>
      <c r="W562" s="176"/>
      <c r="X562" s="176"/>
      <c r="Y562" s="176"/>
      <c r="Z562" s="176"/>
      <c r="AA562" s="176"/>
      <c r="AB562" s="176"/>
      <c r="AC562" s="176"/>
      <c r="AD562" s="176"/>
      <c r="AE562" s="176"/>
      <c r="AF562" s="176"/>
      <c r="AG562" s="176"/>
      <c r="AH562" s="176"/>
      <c r="AI562" s="176"/>
      <c r="AJ562" s="176"/>
      <c r="AK562" s="176"/>
      <c r="AL562" s="176"/>
      <c r="AM562" s="176"/>
      <c r="AN562" s="176"/>
      <c r="AO562" s="176"/>
      <c r="AP562" s="176"/>
      <c r="AQ562" s="176"/>
      <c r="AR562" s="176"/>
      <c r="AS562" s="176"/>
      <c r="AT562" s="176"/>
      <c r="AU562" s="176"/>
      <c r="AV562" s="176"/>
      <c r="AW562" s="176"/>
      <c r="AX562" s="176"/>
      <c r="AY562" s="176"/>
      <c r="AZ562" s="176"/>
      <c r="BA562" s="176"/>
      <c r="BB562" s="176"/>
    </row>
    <row r="563" ht="15.75" customHeight="1">
      <c r="A563" s="176"/>
      <c r="B563" s="176"/>
      <c r="C563" s="176"/>
      <c r="D563" s="176"/>
      <c r="E563" s="176"/>
      <c r="F563" s="176"/>
      <c r="G563" s="176"/>
      <c r="H563" s="176"/>
      <c r="I563" s="176"/>
      <c r="J563" s="176"/>
      <c r="K563" s="176"/>
      <c r="L563" s="176"/>
      <c r="M563" s="176"/>
      <c r="N563" s="176"/>
      <c r="O563" s="176"/>
      <c r="P563" s="176"/>
      <c r="Q563" s="176"/>
      <c r="R563" s="176"/>
      <c r="S563" s="176"/>
      <c r="T563" s="176"/>
      <c r="U563" s="176"/>
      <c r="V563" s="176"/>
      <c r="W563" s="176"/>
      <c r="X563" s="176"/>
      <c r="Y563" s="176"/>
      <c r="Z563" s="176"/>
      <c r="AA563" s="176"/>
      <c r="AB563" s="176"/>
      <c r="AC563" s="176"/>
      <c r="AD563" s="176"/>
      <c r="AE563" s="176"/>
      <c r="AF563" s="176"/>
      <c r="AG563" s="176"/>
      <c r="AH563" s="176"/>
      <c r="AI563" s="176"/>
      <c r="AJ563" s="176"/>
      <c r="AK563" s="176"/>
      <c r="AL563" s="176"/>
      <c r="AM563" s="176"/>
      <c r="AN563" s="176"/>
      <c r="AO563" s="176"/>
      <c r="AP563" s="176"/>
      <c r="AQ563" s="176"/>
      <c r="AR563" s="176"/>
      <c r="AS563" s="176"/>
      <c r="AT563" s="176"/>
      <c r="AU563" s="176"/>
      <c r="AV563" s="176"/>
      <c r="AW563" s="176"/>
      <c r="AX563" s="176"/>
      <c r="AY563" s="176"/>
      <c r="AZ563" s="176"/>
      <c r="BA563" s="176"/>
      <c r="BB563" s="176"/>
    </row>
    <row r="564" ht="15.75" customHeight="1">
      <c r="A564" s="176"/>
      <c r="B564" s="176"/>
      <c r="C564" s="176"/>
      <c r="D564" s="176"/>
      <c r="E564" s="176"/>
      <c r="F564" s="176"/>
      <c r="G564" s="176"/>
      <c r="H564" s="176"/>
      <c r="I564" s="176"/>
      <c r="J564" s="176"/>
      <c r="K564" s="176"/>
      <c r="L564" s="176"/>
      <c r="M564" s="176"/>
      <c r="N564" s="176"/>
      <c r="O564" s="176"/>
      <c r="P564" s="176"/>
      <c r="Q564" s="176"/>
      <c r="R564" s="176"/>
      <c r="S564" s="176"/>
      <c r="T564" s="176"/>
      <c r="U564" s="176"/>
      <c r="V564" s="176"/>
      <c r="W564" s="176"/>
      <c r="X564" s="176"/>
      <c r="Y564" s="176"/>
      <c r="Z564" s="176"/>
      <c r="AA564" s="176"/>
      <c r="AB564" s="176"/>
      <c r="AC564" s="176"/>
      <c r="AD564" s="176"/>
      <c r="AE564" s="176"/>
      <c r="AF564" s="176"/>
      <c r="AG564" s="176"/>
      <c r="AH564" s="176"/>
      <c r="AI564" s="176"/>
      <c r="AJ564" s="176"/>
      <c r="AK564" s="176"/>
      <c r="AL564" s="176"/>
      <c r="AM564" s="176"/>
      <c r="AN564" s="176"/>
      <c r="AO564" s="176"/>
      <c r="AP564" s="176"/>
      <c r="AQ564" s="176"/>
      <c r="AR564" s="176"/>
      <c r="AS564" s="176"/>
      <c r="AT564" s="176"/>
      <c r="AU564" s="176"/>
      <c r="AV564" s="176"/>
      <c r="AW564" s="176"/>
      <c r="AX564" s="176"/>
      <c r="AY564" s="176"/>
      <c r="AZ564" s="176"/>
      <c r="BA564" s="176"/>
      <c r="BB564" s="176"/>
    </row>
    <row r="565" ht="15.75" customHeight="1">
      <c r="A565" s="176"/>
      <c r="B565" s="176"/>
      <c r="C565" s="176"/>
      <c r="D565" s="176"/>
      <c r="E565" s="176"/>
      <c r="F565" s="176"/>
      <c r="G565" s="176"/>
      <c r="H565" s="176"/>
      <c r="I565" s="176"/>
      <c r="J565" s="176"/>
      <c r="K565" s="176"/>
      <c r="L565" s="176"/>
      <c r="M565" s="176"/>
      <c r="N565" s="176"/>
      <c r="O565" s="176"/>
      <c r="P565" s="176"/>
      <c r="Q565" s="176"/>
      <c r="R565" s="176"/>
      <c r="S565" s="176"/>
      <c r="T565" s="176"/>
      <c r="U565" s="176"/>
      <c r="V565" s="176"/>
      <c r="W565" s="176"/>
      <c r="X565" s="176"/>
      <c r="Y565" s="176"/>
      <c r="Z565" s="176"/>
      <c r="AA565" s="176"/>
      <c r="AB565" s="176"/>
      <c r="AC565" s="176"/>
      <c r="AD565" s="176"/>
      <c r="AE565" s="176"/>
      <c r="AF565" s="176"/>
      <c r="AG565" s="176"/>
      <c r="AH565" s="176"/>
      <c r="AI565" s="176"/>
      <c r="AJ565" s="176"/>
      <c r="AK565" s="176"/>
      <c r="AL565" s="176"/>
      <c r="AM565" s="176"/>
      <c r="AN565" s="176"/>
      <c r="AO565" s="176"/>
      <c r="AP565" s="176"/>
      <c r="AQ565" s="176"/>
      <c r="AR565" s="176"/>
      <c r="AS565" s="176"/>
      <c r="AT565" s="176"/>
      <c r="AU565" s="176"/>
      <c r="AV565" s="176"/>
      <c r="AW565" s="176"/>
      <c r="AX565" s="176"/>
      <c r="AY565" s="176"/>
      <c r="AZ565" s="176"/>
      <c r="BA565" s="176"/>
      <c r="BB565" s="176"/>
    </row>
    <row r="566" ht="15.75" customHeight="1">
      <c r="A566" s="176"/>
      <c r="B566" s="176"/>
      <c r="C566" s="176"/>
      <c r="D566" s="176"/>
      <c r="E566" s="176"/>
      <c r="F566" s="176"/>
      <c r="G566" s="176"/>
      <c r="H566" s="176"/>
      <c r="I566" s="176"/>
      <c r="J566" s="176"/>
      <c r="K566" s="176"/>
      <c r="L566" s="176"/>
      <c r="M566" s="176"/>
      <c r="N566" s="176"/>
      <c r="O566" s="176"/>
      <c r="P566" s="176"/>
      <c r="Q566" s="176"/>
      <c r="R566" s="176"/>
      <c r="S566" s="176"/>
      <c r="T566" s="176"/>
      <c r="U566" s="176"/>
      <c r="V566" s="176"/>
      <c r="W566" s="176"/>
      <c r="X566" s="176"/>
      <c r="Y566" s="176"/>
      <c r="Z566" s="176"/>
      <c r="AA566" s="176"/>
      <c r="AB566" s="176"/>
      <c r="AC566" s="176"/>
      <c r="AD566" s="176"/>
      <c r="AE566" s="176"/>
      <c r="AF566" s="176"/>
      <c r="AG566" s="176"/>
      <c r="AH566" s="176"/>
      <c r="AI566" s="176"/>
      <c r="AJ566" s="176"/>
      <c r="AK566" s="176"/>
      <c r="AL566" s="176"/>
      <c r="AM566" s="176"/>
      <c r="AN566" s="176"/>
      <c r="AO566" s="176"/>
      <c r="AP566" s="176"/>
      <c r="AQ566" s="176"/>
      <c r="AR566" s="176"/>
      <c r="AS566" s="176"/>
      <c r="AT566" s="176"/>
      <c r="AU566" s="176"/>
      <c r="AV566" s="176"/>
      <c r="AW566" s="176"/>
      <c r="AX566" s="176"/>
      <c r="AY566" s="176"/>
      <c r="AZ566" s="176"/>
      <c r="BA566" s="176"/>
      <c r="BB566" s="176"/>
    </row>
    <row r="567" ht="15.75" customHeight="1">
      <c r="A567" s="176"/>
      <c r="B567" s="176"/>
      <c r="C567" s="176"/>
      <c r="D567" s="176"/>
      <c r="E567" s="176"/>
      <c r="F567" s="176"/>
      <c r="G567" s="176"/>
      <c r="H567" s="176"/>
      <c r="I567" s="176"/>
      <c r="J567" s="176"/>
      <c r="K567" s="176"/>
      <c r="L567" s="176"/>
      <c r="M567" s="176"/>
      <c r="N567" s="176"/>
      <c r="O567" s="176"/>
      <c r="P567" s="176"/>
      <c r="Q567" s="176"/>
      <c r="R567" s="176"/>
      <c r="S567" s="176"/>
      <c r="T567" s="176"/>
      <c r="U567" s="176"/>
      <c r="V567" s="176"/>
      <c r="W567" s="176"/>
      <c r="X567" s="176"/>
      <c r="Y567" s="176"/>
      <c r="Z567" s="176"/>
      <c r="AA567" s="176"/>
      <c r="AB567" s="176"/>
      <c r="AC567" s="176"/>
      <c r="AD567" s="176"/>
      <c r="AE567" s="176"/>
      <c r="AF567" s="176"/>
      <c r="AG567" s="176"/>
      <c r="AH567" s="176"/>
      <c r="AI567" s="176"/>
      <c r="AJ567" s="176"/>
      <c r="AK567" s="176"/>
      <c r="AL567" s="176"/>
      <c r="AM567" s="176"/>
      <c r="AN567" s="176"/>
      <c r="AO567" s="176"/>
      <c r="AP567" s="176"/>
      <c r="AQ567" s="176"/>
      <c r="AR567" s="176"/>
      <c r="AS567" s="176"/>
      <c r="AT567" s="176"/>
      <c r="AU567" s="176"/>
      <c r="AV567" s="176"/>
      <c r="AW567" s="176"/>
      <c r="AX567" s="176"/>
      <c r="AY567" s="176"/>
      <c r="AZ567" s="176"/>
      <c r="BA567" s="176"/>
      <c r="BB567" s="176"/>
    </row>
    <row r="568" ht="15.75" customHeight="1">
      <c r="A568" s="176"/>
      <c r="B568" s="176"/>
      <c r="C568" s="176"/>
      <c r="D568" s="176"/>
      <c r="E568" s="176"/>
      <c r="F568" s="176"/>
      <c r="G568" s="176"/>
      <c r="H568" s="176"/>
      <c r="I568" s="176"/>
      <c r="J568" s="176"/>
      <c r="K568" s="176"/>
      <c r="L568" s="176"/>
      <c r="M568" s="176"/>
      <c r="N568" s="176"/>
      <c r="O568" s="176"/>
      <c r="P568" s="176"/>
      <c r="Q568" s="176"/>
      <c r="R568" s="176"/>
      <c r="S568" s="176"/>
      <c r="T568" s="176"/>
      <c r="U568" s="176"/>
      <c r="V568" s="176"/>
      <c r="W568" s="176"/>
      <c r="X568" s="176"/>
      <c r="Y568" s="176"/>
      <c r="Z568" s="176"/>
      <c r="AA568" s="176"/>
      <c r="AB568" s="176"/>
      <c r="AC568" s="176"/>
      <c r="AD568" s="176"/>
      <c r="AE568" s="176"/>
      <c r="AF568" s="176"/>
      <c r="AG568" s="176"/>
      <c r="AH568" s="176"/>
      <c r="AI568" s="176"/>
      <c r="AJ568" s="176"/>
      <c r="AK568" s="176"/>
      <c r="AL568" s="176"/>
      <c r="AM568" s="176"/>
      <c r="AN568" s="176"/>
      <c r="AO568" s="176"/>
      <c r="AP568" s="176"/>
      <c r="AQ568" s="176"/>
      <c r="AR568" s="176"/>
      <c r="AS568" s="176"/>
      <c r="AT568" s="176"/>
      <c r="AU568" s="176"/>
      <c r="AV568" s="176"/>
      <c r="AW568" s="176"/>
      <c r="AX568" s="176"/>
      <c r="AY568" s="176"/>
      <c r="AZ568" s="176"/>
      <c r="BA568" s="176"/>
      <c r="BB568" s="176"/>
    </row>
    <row r="569" ht="15.75" customHeight="1">
      <c r="A569" s="176"/>
      <c r="B569" s="176"/>
      <c r="C569" s="176"/>
      <c r="D569" s="176"/>
      <c r="E569" s="176"/>
      <c r="F569" s="176"/>
      <c r="G569" s="176"/>
      <c r="H569" s="176"/>
      <c r="I569" s="176"/>
      <c r="J569" s="176"/>
      <c r="K569" s="176"/>
      <c r="L569" s="176"/>
      <c r="M569" s="176"/>
      <c r="N569" s="176"/>
      <c r="O569" s="176"/>
      <c r="P569" s="176"/>
      <c r="Q569" s="176"/>
      <c r="R569" s="176"/>
      <c r="S569" s="176"/>
      <c r="T569" s="176"/>
      <c r="U569" s="176"/>
      <c r="V569" s="176"/>
      <c r="W569" s="176"/>
      <c r="X569" s="176"/>
      <c r="Y569" s="176"/>
      <c r="Z569" s="176"/>
      <c r="AA569" s="176"/>
      <c r="AB569" s="176"/>
      <c r="AC569" s="176"/>
      <c r="AD569" s="176"/>
      <c r="AE569" s="176"/>
      <c r="AF569" s="176"/>
      <c r="AG569" s="176"/>
      <c r="AH569" s="176"/>
      <c r="AI569" s="176"/>
      <c r="AJ569" s="176"/>
      <c r="AK569" s="176"/>
      <c r="AL569" s="176"/>
      <c r="AM569" s="176"/>
      <c r="AN569" s="176"/>
      <c r="AO569" s="176"/>
      <c r="AP569" s="176"/>
      <c r="AQ569" s="176"/>
      <c r="AR569" s="176"/>
      <c r="AS569" s="176"/>
      <c r="AT569" s="176"/>
      <c r="AU569" s="176"/>
      <c r="AV569" s="176"/>
      <c r="AW569" s="176"/>
      <c r="AX569" s="176"/>
      <c r="AY569" s="176"/>
      <c r="AZ569" s="176"/>
      <c r="BA569" s="176"/>
      <c r="BB569" s="176"/>
    </row>
    <row r="570" ht="15.75" customHeight="1">
      <c r="A570" s="176"/>
      <c r="B570" s="176"/>
      <c r="C570" s="176"/>
      <c r="D570" s="176"/>
      <c r="E570" s="176"/>
      <c r="F570" s="176"/>
      <c r="G570" s="176"/>
      <c r="H570" s="176"/>
      <c r="I570" s="176"/>
      <c r="J570" s="176"/>
      <c r="K570" s="176"/>
      <c r="L570" s="176"/>
      <c r="M570" s="176"/>
      <c r="N570" s="176"/>
      <c r="O570" s="176"/>
      <c r="P570" s="176"/>
      <c r="Q570" s="176"/>
      <c r="R570" s="176"/>
      <c r="S570" s="176"/>
      <c r="T570" s="176"/>
      <c r="U570" s="176"/>
      <c r="V570" s="176"/>
      <c r="W570" s="176"/>
      <c r="X570" s="176"/>
      <c r="Y570" s="176"/>
      <c r="Z570" s="176"/>
      <c r="AA570" s="176"/>
      <c r="AB570" s="176"/>
      <c r="AC570" s="176"/>
      <c r="AD570" s="176"/>
      <c r="AE570" s="176"/>
      <c r="AF570" s="176"/>
      <c r="AG570" s="176"/>
      <c r="AH570" s="176"/>
      <c r="AI570" s="176"/>
      <c r="AJ570" s="176"/>
      <c r="AK570" s="176"/>
      <c r="AL570" s="176"/>
      <c r="AM570" s="176"/>
      <c r="AN570" s="176"/>
      <c r="AO570" s="176"/>
      <c r="AP570" s="176"/>
      <c r="AQ570" s="176"/>
      <c r="AR570" s="176"/>
      <c r="AS570" s="176"/>
      <c r="AT570" s="176"/>
      <c r="AU570" s="176"/>
      <c r="AV570" s="176"/>
      <c r="AW570" s="176"/>
      <c r="AX570" s="176"/>
      <c r="AY570" s="176"/>
      <c r="AZ570" s="176"/>
      <c r="BA570" s="176"/>
      <c r="BB570" s="176"/>
    </row>
    <row r="571" ht="15.75" customHeight="1">
      <c r="A571" s="176"/>
      <c r="B571" s="176"/>
      <c r="C571" s="176"/>
      <c r="D571" s="176"/>
      <c r="E571" s="176"/>
      <c r="F571" s="176"/>
      <c r="G571" s="176"/>
      <c r="H571" s="176"/>
      <c r="I571" s="176"/>
      <c r="J571" s="176"/>
      <c r="K571" s="176"/>
      <c r="L571" s="176"/>
      <c r="M571" s="176"/>
      <c r="N571" s="176"/>
      <c r="O571" s="176"/>
      <c r="P571" s="176"/>
      <c r="Q571" s="176"/>
      <c r="R571" s="176"/>
      <c r="S571" s="176"/>
      <c r="T571" s="176"/>
      <c r="U571" s="176"/>
      <c r="V571" s="176"/>
      <c r="W571" s="176"/>
      <c r="X571" s="176"/>
      <c r="Y571" s="176"/>
      <c r="Z571" s="176"/>
      <c r="AA571" s="176"/>
      <c r="AB571" s="176"/>
      <c r="AC571" s="176"/>
      <c r="AD571" s="176"/>
      <c r="AE571" s="176"/>
      <c r="AF571" s="176"/>
      <c r="AG571" s="176"/>
      <c r="AH571" s="176"/>
      <c r="AI571" s="176"/>
      <c r="AJ571" s="176"/>
      <c r="AK571" s="176"/>
      <c r="AL571" s="176"/>
      <c r="AM571" s="176"/>
      <c r="AN571" s="176"/>
      <c r="AO571" s="176"/>
      <c r="AP571" s="176"/>
      <c r="AQ571" s="176"/>
      <c r="AR571" s="176"/>
      <c r="AS571" s="176"/>
      <c r="AT571" s="176"/>
      <c r="AU571" s="176"/>
      <c r="AV571" s="176"/>
      <c r="AW571" s="176"/>
      <c r="AX571" s="176"/>
      <c r="AY571" s="176"/>
      <c r="AZ571" s="176"/>
      <c r="BA571" s="176"/>
      <c r="BB571" s="176"/>
    </row>
    <row r="572" ht="15.75" customHeight="1">
      <c r="A572" s="176"/>
      <c r="B572" s="176"/>
      <c r="C572" s="176"/>
      <c r="D572" s="176"/>
      <c r="E572" s="176"/>
      <c r="F572" s="176"/>
      <c r="G572" s="176"/>
      <c r="H572" s="176"/>
      <c r="I572" s="176"/>
      <c r="J572" s="176"/>
      <c r="K572" s="176"/>
      <c r="L572" s="176"/>
      <c r="M572" s="176"/>
      <c r="N572" s="176"/>
      <c r="O572" s="176"/>
      <c r="P572" s="176"/>
      <c r="Q572" s="176"/>
      <c r="R572" s="176"/>
      <c r="S572" s="176"/>
      <c r="T572" s="176"/>
      <c r="U572" s="176"/>
      <c r="V572" s="176"/>
      <c r="W572" s="176"/>
      <c r="X572" s="176"/>
      <c r="Y572" s="176"/>
      <c r="Z572" s="176"/>
      <c r="AA572" s="176"/>
      <c r="AB572" s="176"/>
      <c r="AC572" s="176"/>
      <c r="AD572" s="176"/>
      <c r="AE572" s="176"/>
      <c r="AF572" s="176"/>
      <c r="AG572" s="176"/>
      <c r="AH572" s="176"/>
      <c r="AI572" s="176"/>
      <c r="AJ572" s="176"/>
      <c r="AK572" s="176"/>
      <c r="AL572" s="176"/>
      <c r="AM572" s="176"/>
      <c r="AN572" s="176"/>
      <c r="AO572" s="176"/>
      <c r="AP572" s="176"/>
      <c r="AQ572" s="176"/>
      <c r="AR572" s="176"/>
      <c r="AS572" s="176"/>
      <c r="AT572" s="176"/>
      <c r="AU572" s="176"/>
      <c r="AV572" s="176"/>
      <c r="AW572" s="176"/>
      <c r="AX572" s="176"/>
      <c r="AY572" s="176"/>
      <c r="AZ572" s="176"/>
      <c r="BA572" s="176"/>
      <c r="BB572" s="176"/>
    </row>
    <row r="573" ht="15.75" customHeight="1">
      <c r="A573" s="176"/>
      <c r="B573" s="176"/>
      <c r="C573" s="176"/>
      <c r="D573" s="176"/>
      <c r="E573" s="176"/>
      <c r="F573" s="176"/>
      <c r="G573" s="176"/>
      <c r="H573" s="176"/>
      <c r="I573" s="176"/>
      <c r="J573" s="176"/>
      <c r="K573" s="176"/>
      <c r="L573" s="176"/>
      <c r="M573" s="176"/>
      <c r="N573" s="176"/>
      <c r="O573" s="176"/>
      <c r="P573" s="176"/>
      <c r="Q573" s="176"/>
      <c r="R573" s="176"/>
      <c r="S573" s="176"/>
      <c r="T573" s="176"/>
      <c r="U573" s="176"/>
      <c r="V573" s="176"/>
      <c r="W573" s="176"/>
      <c r="X573" s="176"/>
      <c r="Y573" s="176"/>
      <c r="Z573" s="176"/>
      <c r="AA573" s="176"/>
      <c r="AB573" s="176"/>
      <c r="AC573" s="176"/>
      <c r="AD573" s="176"/>
      <c r="AE573" s="176"/>
      <c r="AF573" s="176"/>
      <c r="AG573" s="176"/>
      <c r="AH573" s="176"/>
      <c r="AI573" s="176"/>
      <c r="AJ573" s="176"/>
      <c r="AK573" s="176"/>
      <c r="AL573" s="176"/>
      <c r="AM573" s="176"/>
      <c r="AN573" s="176"/>
      <c r="AO573" s="176"/>
      <c r="AP573" s="176"/>
      <c r="AQ573" s="176"/>
      <c r="AR573" s="176"/>
      <c r="AS573" s="176"/>
      <c r="AT573" s="176"/>
      <c r="AU573" s="176"/>
      <c r="AV573" s="176"/>
      <c r="AW573" s="176"/>
      <c r="AX573" s="176"/>
      <c r="AY573" s="176"/>
      <c r="AZ573" s="176"/>
      <c r="BA573" s="176"/>
      <c r="BB573" s="176"/>
    </row>
    <row r="574" ht="15.75" customHeight="1">
      <c r="A574" s="176"/>
      <c r="B574" s="176"/>
      <c r="C574" s="176"/>
      <c r="D574" s="176"/>
      <c r="E574" s="176"/>
      <c r="F574" s="176"/>
      <c r="G574" s="176"/>
      <c r="H574" s="176"/>
      <c r="I574" s="176"/>
      <c r="J574" s="176"/>
      <c r="K574" s="176"/>
      <c r="L574" s="176"/>
      <c r="M574" s="176"/>
      <c r="N574" s="176"/>
      <c r="O574" s="176"/>
      <c r="P574" s="176"/>
      <c r="Q574" s="176"/>
      <c r="R574" s="176"/>
      <c r="S574" s="176"/>
      <c r="T574" s="176"/>
      <c r="U574" s="176"/>
      <c r="V574" s="176"/>
      <c r="W574" s="176"/>
      <c r="X574" s="176"/>
      <c r="Y574" s="176"/>
      <c r="Z574" s="176"/>
      <c r="AA574" s="176"/>
      <c r="AB574" s="176"/>
      <c r="AC574" s="176"/>
      <c r="AD574" s="176"/>
      <c r="AE574" s="176"/>
      <c r="AF574" s="176"/>
      <c r="AG574" s="176"/>
      <c r="AH574" s="176"/>
      <c r="AI574" s="176"/>
      <c r="AJ574" s="176"/>
      <c r="AK574" s="176"/>
      <c r="AL574" s="176"/>
      <c r="AM574" s="176"/>
      <c r="AN574" s="176"/>
      <c r="AO574" s="176"/>
      <c r="AP574" s="176"/>
      <c r="AQ574" s="176"/>
      <c r="AR574" s="176"/>
      <c r="AS574" s="176"/>
      <c r="AT574" s="176"/>
      <c r="AU574" s="176"/>
      <c r="AV574" s="176"/>
      <c r="AW574" s="176"/>
      <c r="AX574" s="176"/>
      <c r="AY574" s="176"/>
      <c r="AZ574" s="176"/>
      <c r="BA574" s="176"/>
      <c r="BB574" s="176"/>
    </row>
    <row r="575" ht="15.75" customHeight="1">
      <c r="A575" s="176"/>
      <c r="B575" s="176"/>
      <c r="C575" s="176"/>
      <c r="D575" s="176"/>
      <c r="E575" s="176"/>
      <c r="F575" s="176"/>
      <c r="G575" s="176"/>
      <c r="H575" s="176"/>
      <c r="I575" s="176"/>
      <c r="J575" s="176"/>
      <c r="K575" s="176"/>
      <c r="L575" s="176"/>
      <c r="M575" s="176"/>
      <c r="N575" s="176"/>
      <c r="O575" s="176"/>
      <c r="P575" s="176"/>
      <c r="Q575" s="176"/>
      <c r="R575" s="176"/>
      <c r="S575" s="176"/>
      <c r="T575" s="176"/>
      <c r="U575" s="176"/>
      <c r="V575" s="176"/>
      <c r="W575" s="176"/>
      <c r="X575" s="176"/>
      <c r="Y575" s="176"/>
      <c r="Z575" s="176"/>
      <c r="AA575" s="176"/>
      <c r="AB575" s="176"/>
      <c r="AC575" s="176"/>
      <c r="AD575" s="176"/>
      <c r="AE575" s="176"/>
      <c r="AF575" s="176"/>
      <c r="AG575" s="176"/>
      <c r="AH575" s="176"/>
      <c r="AI575" s="176"/>
      <c r="AJ575" s="176"/>
      <c r="AK575" s="176"/>
      <c r="AL575" s="176"/>
      <c r="AM575" s="176"/>
      <c r="AN575" s="176"/>
      <c r="AO575" s="176"/>
      <c r="AP575" s="176"/>
      <c r="AQ575" s="176"/>
      <c r="AR575" s="176"/>
      <c r="AS575" s="176"/>
      <c r="AT575" s="176"/>
      <c r="AU575" s="176"/>
      <c r="AV575" s="176"/>
      <c r="AW575" s="176"/>
      <c r="AX575" s="176"/>
      <c r="AY575" s="176"/>
      <c r="AZ575" s="176"/>
      <c r="BA575" s="176"/>
      <c r="BB575" s="176"/>
    </row>
    <row r="576" ht="15.75" customHeight="1">
      <c r="A576" s="176"/>
      <c r="B576" s="176"/>
      <c r="C576" s="176"/>
      <c r="D576" s="176"/>
      <c r="E576" s="176"/>
      <c r="F576" s="176"/>
      <c r="G576" s="176"/>
      <c r="H576" s="176"/>
      <c r="I576" s="176"/>
      <c r="J576" s="176"/>
      <c r="K576" s="176"/>
      <c r="L576" s="176"/>
      <c r="M576" s="176"/>
      <c r="N576" s="176"/>
      <c r="O576" s="176"/>
      <c r="P576" s="176"/>
      <c r="Q576" s="176"/>
      <c r="R576" s="176"/>
      <c r="S576" s="176"/>
      <c r="T576" s="176"/>
      <c r="U576" s="176"/>
      <c r="V576" s="176"/>
      <c r="W576" s="176"/>
      <c r="X576" s="176"/>
      <c r="Y576" s="176"/>
      <c r="Z576" s="176"/>
      <c r="AA576" s="176"/>
      <c r="AB576" s="176"/>
      <c r="AC576" s="176"/>
      <c r="AD576" s="176"/>
      <c r="AE576" s="176"/>
      <c r="AF576" s="176"/>
      <c r="AG576" s="176"/>
      <c r="AH576" s="176"/>
      <c r="AI576" s="176"/>
      <c r="AJ576" s="176"/>
      <c r="AK576" s="176"/>
      <c r="AL576" s="176"/>
      <c r="AM576" s="176"/>
      <c r="AN576" s="176"/>
      <c r="AO576" s="176"/>
      <c r="AP576" s="176"/>
      <c r="AQ576" s="176"/>
      <c r="AR576" s="176"/>
      <c r="AS576" s="176"/>
      <c r="AT576" s="176"/>
      <c r="AU576" s="176"/>
      <c r="AV576" s="176"/>
      <c r="AW576" s="176"/>
      <c r="AX576" s="176"/>
      <c r="AY576" s="176"/>
      <c r="AZ576" s="176"/>
      <c r="BA576" s="176"/>
      <c r="BB576" s="176"/>
    </row>
    <row r="577" ht="15.75" customHeight="1">
      <c r="A577" s="176"/>
      <c r="B577" s="176"/>
      <c r="C577" s="176"/>
      <c r="D577" s="176"/>
      <c r="E577" s="176"/>
      <c r="F577" s="176"/>
      <c r="G577" s="176"/>
      <c r="H577" s="176"/>
      <c r="I577" s="176"/>
      <c r="J577" s="176"/>
      <c r="K577" s="176"/>
      <c r="L577" s="176"/>
      <c r="M577" s="176"/>
      <c r="N577" s="176"/>
      <c r="O577" s="176"/>
      <c r="P577" s="176"/>
      <c r="Q577" s="176"/>
      <c r="R577" s="176"/>
      <c r="S577" s="176"/>
      <c r="T577" s="176"/>
      <c r="U577" s="176"/>
      <c r="V577" s="176"/>
      <c r="W577" s="176"/>
      <c r="X577" s="176"/>
      <c r="Y577" s="176"/>
      <c r="Z577" s="176"/>
      <c r="AA577" s="176"/>
      <c r="AB577" s="176"/>
      <c r="AC577" s="176"/>
      <c r="AD577" s="176"/>
      <c r="AE577" s="176"/>
      <c r="AF577" s="176"/>
      <c r="AG577" s="176"/>
      <c r="AH577" s="176"/>
      <c r="AI577" s="176"/>
      <c r="AJ577" s="176"/>
      <c r="AK577" s="176"/>
      <c r="AL577" s="176"/>
      <c r="AM577" s="176"/>
      <c r="AN577" s="176"/>
      <c r="AO577" s="176"/>
      <c r="AP577" s="176"/>
      <c r="AQ577" s="176"/>
      <c r="AR577" s="176"/>
      <c r="AS577" s="176"/>
      <c r="AT577" s="176"/>
      <c r="AU577" s="176"/>
      <c r="AV577" s="176"/>
      <c r="AW577" s="176"/>
      <c r="AX577" s="176"/>
      <c r="AY577" s="176"/>
      <c r="AZ577" s="176"/>
      <c r="BA577" s="176"/>
      <c r="BB577" s="176"/>
    </row>
    <row r="578" ht="15.75" customHeight="1">
      <c r="A578" s="176"/>
      <c r="B578" s="176"/>
      <c r="C578" s="176"/>
      <c r="D578" s="176"/>
      <c r="E578" s="176"/>
      <c r="F578" s="176"/>
      <c r="G578" s="176"/>
      <c r="H578" s="176"/>
      <c r="I578" s="176"/>
      <c r="J578" s="176"/>
      <c r="K578" s="176"/>
      <c r="L578" s="176"/>
      <c r="M578" s="176"/>
      <c r="N578" s="176"/>
      <c r="O578" s="176"/>
      <c r="P578" s="176"/>
      <c r="Q578" s="176"/>
      <c r="R578" s="176"/>
      <c r="S578" s="176"/>
      <c r="T578" s="176"/>
      <c r="U578" s="176"/>
      <c r="V578" s="176"/>
      <c r="W578" s="176"/>
      <c r="X578" s="176"/>
      <c r="Y578" s="176"/>
      <c r="Z578" s="176"/>
      <c r="AA578" s="176"/>
      <c r="AB578" s="176"/>
      <c r="AC578" s="176"/>
      <c r="AD578" s="176"/>
      <c r="AE578" s="176"/>
      <c r="AF578" s="176"/>
      <c r="AG578" s="176"/>
      <c r="AH578" s="176"/>
      <c r="AI578" s="176"/>
      <c r="AJ578" s="176"/>
      <c r="AK578" s="176"/>
      <c r="AL578" s="176"/>
      <c r="AM578" s="176"/>
      <c r="AN578" s="176"/>
      <c r="AO578" s="176"/>
      <c r="AP578" s="176"/>
      <c r="AQ578" s="176"/>
      <c r="AR578" s="176"/>
      <c r="AS578" s="176"/>
      <c r="AT578" s="176"/>
      <c r="AU578" s="176"/>
      <c r="AV578" s="176"/>
      <c r="AW578" s="176"/>
      <c r="AX578" s="176"/>
      <c r="AY578" s="176"/>
      <c r="AZ578" s="176"/>
      <c r="BA578" s="176"/>
      <c r="BB578" s="176"/>
    </row>
    <row r="579" ht="15.75" customHeight="1">
      <c r="A579" s="176"/>
      <c r="B579" s="176"/>
      <c r="C579" s="176"/>
      <c r="D579" s="176"/>
      <c r="E579" s="176"/>
      <c r="F579" s="176"/>
      <c r="G579" s="176"/>
      <c r="H579" s="176"/>
      <c r="I579" s="176"/>
      <c r="J579" s="176"/>
      <c r="K579" s="176"/>
      <c r="L579" s="176"/>
      <c r="M579" s="176"/>
      <c r="N579" s="176"/>
      <c r="O579" s="176"/>
      <c r="P579" s="176"/>
      <c r="Q579" s="176"/>
      <c r="R579" s="176"/>
      <c r="S579" s="176"/>
      <c r="T579" s="176"/>
      <c r="U579" s="176"/>
      <c r="V579" s="176"/>
      <c r="W579" s="176"/>
      <c r="X579" s="176"/>
      <c r="Y579" s="176"/>
      <c r="Z579" s="176"/>
      <c r="AA579" s="176"/>
      <c r="AB579" s="176"/>
      <c r="AC579" s="176"/>
      <c r="AD579" s="176"/>
      <c r="AE579" s="176"/>
      <c r="AF579" s="176"/>
      <c r="AG579" s="176"/>
      <c r="AH579" s="176"/>
      <c r="AI579" s="176"/>
      <c r="AJ579" s="176"/>
      <c r="AK579" s="176"/>
      <c r="AL579" s="176"/>
      <c r="AM579" s="176"/>
      <c r="AN579" s="176"/>
      <c r="AO579" s="176"/>
      <c r="AP579" s="176"/>
      <c r="AQ579" s="176"/>
      <c r="AR579" s="176"/>
      <c r="AS579" s="176"/>
      <c r="AT579" s="176"/>
      <c r="AU579" s="176"/>
      <c r="AV579" s="176"/>
      <c r="AW579" s="176"/>
      <c r="AX579" s="176"/>
      <c r="AY579" s="176"/>
      <c r="AZ579" s="176"/>
      <c r="BA579" s="176"/>
      <c r="BB579" s="176"/>
    </row>
    <row r="580" ht="15.75" customHeight="1">
      <c r="A580" s="176"/>
      <c r="B580" s="176"/>
      <c r="C580" s="176"/>
      <c r="D580" s="176"/>
      <c r="E580" s="176"/>
      <c r="F580" s="176"/>
      <c r="G580" s="176"/>
      <c r="H580" s="176"/>
      <c r="I580" s="176"/>
      <c r="J580" s="176"/>
      <c r="K580" s="176"/>
      <c r="L580" s="176"/>
      <c r="M580" s="176"/>
      <c r="N580" s="176"/>
      <c r="O580" s="176"/>
      <c r="P580" s="176"/>
      <c r="Q580" s="176"/>
      <c r="R580" s="176"/>
      <c r="S580" s="176"/>
      <c r="T580" s="176"/>
      <c r="U580" s="176"/>
      <c r="V580" s="176"/>
      <c r="W580" s="176"/>
      <c r="X580" s="176"/>
      <c r="Y580" s="176"/>
      <c r="Z580" s="176"/>
      <c r="AA580" s="176"/>
      <c r="AB580" s="176"/>
      <c r="AC580" s="176"/>
      <c r="AD580" s="176"/>
      <c r="AE580" s="176"/>
      <c r="AF580" s="176"/>
      <c r="AG580" s="176"/>
      <c r="AH580" s="176"/>
      <c r="AI580" s="176"/>
      <c r="AJ580" s="176"/>
      <c r="AK580" s="176"/>
      <c r="AL580" s="176"/>
      <c r="AM580" s="176"/>
      <c r="AN580" s="176"/>
      <c r="AO580" s="176"/>
      <c r="AP580" s="176"/>
      <c r="AQ580" s="176"/>
      <c r="AR580" s="176"/>
      <c r="AS580" s="176"/>
      <c r="AT580" s="176"/>
      <c r="AU580" s="176"/>
      <c r="AV580" s="176"/>
      <c r="AW580" s="176"/>
      <c r="AX580" s="176"/>
      <c r="AY580" s="176"/>
      <c r="AZ580" s="176"/>
      <c r="BA580" s="176"/>
      <c r="BB580" s="176"/>
    </row>
    <row r="581" ht="15.75" customHeight="1">
      <c r="A581" s="176"/>
      <c r="B581" s="176"/>
      <c r="C581" s="176"/>
      <c r="D581" s="176"/>
      <c r="E581" s="176"/>
      <c r="F581" s="176"/>
      <c r="G581" s="176"/>
      <c r="H581" s="176"/>
      <c r="I581" s="176"/>
      <c r="J581" s="176"/>
      <c r="K581" s="176"/>
      <c r="L581" s="176"/>
      <c r="M581" s="176"/>
      <c r="N581" s="176"/>
      <c r="O581" s="176"/>
      <c r="P581" s="176"/>
      <c r="Q581" s="176"/>
      <c r="R581" s="176"/>
      <c r="S581" s="176"/>
      <c r="T581" s="176"/>
      <c r="U581" s="176"/>
      <c r="V581" s="176"/>
      <c r="W581" s="176"/>
      <c r="X581" s="176"/>
      <c r="Y581" s="176"/>
      <c r="Z581" s="176"/>
      <c r="AA581" s="176"/>
      <c r="AB581" s="176"/>
      <c r="AC581" s="176"/>
      <c r="AD581" s="176"/>
      <c r="AE581" s="176"/>
      <c r="AF581" s="176"/>
      <c r="AG581" s="176"/>
      <c r="AH581" s="176"/>
      <c r="AI581" s="176"/>
      <c r="AJ581" s="176"/>
      <c r="AK581" s="176"/>
      <c r="AL581" s="176"/>
      <c r="AM581" s="176"/>
      <c r="AN581" s="176"/>
      <c r="AO581" s="176"/>
      <c r="AP581" s="176"/>
      <c r="AQ581" s="176"/>
      <c r="AR581" s="176"/>
      <c r="AS581" s="176"/>
      <c r="AT581" s="176"/>
      <c r="AU581" s="176"/>
      <c r="AV581" s="176"/>
      <c r="AW581" s="176"/>
      <c r="AX581" s="176"/>
      <c r="AY581" s="176"/>
      <c r="AZ581" s="176"/>
      <c r="BA581" s="176"/>
      <c r="BB581" s="176"/>
    </row>
    <row r="582" ht="15.75" customHeight="1">
      <c r="A582" s="176"/>
      <c r="B582" s="176"/>
      <c r="C582" s="176"/>
      <c r="D582" s="176"/>
      <c r="E582" s="176"/>
      <c r="F582" s="176"/>
      <c r="G582" s="176"/>
      <c r="H582" s="176"/>
      <c r="I582" s="176"/>
      <c r="J582" s="176"/>
      <c r="K582" s="176"/>
      <c r="L582" s="176"/>
      <c r="M582" s="176"/>
      <c r="N582" s="176"/>
      <c r="O582" s="176"/>
      <c r="P582" s="176"/>
      <c r="Q582" s="176"/>
      <c r="R582" s="176"/>
      <c r="S582" s="176"/>
      <c r="T582" s="176"/>
      <c r="U582" s="176"/>
      <c r="V582" s="176"/>
      <c r="W582" s="176"/>
      <c r="X582" s="176"/>
      <c r="Y582" s="176"/>
      <c r="Z582" s="176"/>
      <c r="AA582" s="176"/>
      <c r="AB582" s="176"/>
      <c r="AC582" s="176"/>
      <c r="AD582" s="176"/>
      <c r="AE582" s="176"/>
      <c r="AF582" s="176"/>
      <c r="AG582" s="176"/>
      <c r="AH582" s="176"/>
      <c r="AI582" s="176"/>
      <c r="AJ582" s="176"/>
      <c r="AK582" s="176"/>
      <c r="AL582" s="176"/>
      <c r="AM582" s="176"/>
      <c r="AN582" s="176"/>
      <c r="AO582" s="176"/>
      <c r="AP582" s="176"/>
      <c r="AQ582" s="176"/>
      <c r="AR582" s="176"/>
      <c r="AS582" s="176"/>
      <c r="AT582" s="176"/>
      <c r="AU582" s="176"/>
      <c r="AV582" s="176"/>
      <c r="AW582" s="176"/>
      <c r="AX582" s="176"/>
      <c r="AY582" s="176"/>
      <c r="AZ582" s="176"/>
      <c r="BA582" s="176"/>
      <c r="BB582" s="176"/>
    </row>
    <row r="583" ht="15.75" customHeight="1">
      <c r="A583" s="176"/>
      <c r="B583" s="176"/>
      <c r="C583" s="176"/>
      <c r="D583" s="176"/>
      <c r="E583" s="176"/>
      <c r="F583" s="176"/>
      <c r="G583" s="176"/>
      <c r="H583" s="176"/>
      <c r="I583" s="176"/>
      <c r="J583" s="176"/>
      <c r="K583" s="176"/>
      <c r="L583" s="176"/>
      <c r="M583" s="176"/>
      <c r="N583" s="176"/>
      <c r="O583" s="176"/>
      <c r="P583" s="176"/>
      <c r="Q583" s="176"/>
      <c r="R583" s="176"/>
      <c r="S583" s="176"/>
      <c r="T583" s="176"/>
      <c r="U583" s="176"/>
      <c r="V583" s="176"/>
      <c r="W583" s="176"/>
      <c r="X583" s="176"/>
      <c r="Y583" s="176"/>
      <c r="Z583" s="176"/>
      <c r="AA583" s="176"/>
      <c r="AB583" s="176"/>
      <c r="AC583" s="176"/>
      <c r="AD583" s="176"/>
      <c r="AE583" s="176"/>
      <c r="AF583" s="176"/>
      <c r="AG583" s="176"/>
      <c r="AH583" s="176"/>
      <c r="AI583" s="176"/>
      <c r="AJ583" s="176"/>
      <c r="AK583" s="176"/>
      <c r="AL583" s="176"/>
      <c r="AM583" s="176"/>
      <c r="AN583" s="176"/>
      <c r="AO583" s="176"/>
      <c r="AP583" s="176"/>
      <c r="AQ583" s="176"/>
      <c r="AR583" s="176"/>
      <c r="AS583" s="176"/>
      <c r="AT583" s="176"/>
      <c r="AU583" s="176"/>
      <c r="AV583" s="176"/>
      <c r="AW583" s="176"/>
      <c r="AX583" s="176"/>
      <c r="AY583" s="176"/>
      <c r="AZ583" s="176"/>
      <c r="BA583" s="176"/>
      <c r="BB583" s="176"/>
    </row>
    <row r="584" ht="15.75" customHeight="1">
      <c r="A584" s="176"/>
      <c r="B584" s="176"/>
      <c r="C584" s="176"/>
      <c r="D584" s="176"/>
      <c r="E584" s="176"/>
      <c r="F584" s="176"/>
      <c r="G584" s="176"/>
      <c r="H584" s="176"/>
      <c r="I584" s="176"/>
      <c r="J584" s="176"/>
      <c r="K584" s="176"/>
      <c r="L584" s="176"/>
      <c r="M584" s="176"/>
      <c r="N584" s="176"/>
      <c r="O584" s="176"/>
      <c r="P584" s="176"/>
      <c r="Q584" s="176"/>
      <c r="R584" s="176"/>
      <c r="S584" s="176"/>
      <c r="T584" s="176"/>
      <c r="U584" s="176"/>
      <c r="V584" s="176"/>
      <c r="W584" s="176"/>
      <c r="X584" s="176"/>
      <c r="Y584" s="176"/>
      <c r="Z584" s="176"/>
      <c r="AA584" s="176"/>
      <c r="AB584" s="176"/>
      <c r="AC584" s="176"/>
      <c r="AD584" s="176"/>
      <c r="AE584" s="176"/>
      <c r="AF584" s="176"/>
      <c r="AG584" s="176"/>
      <c r="AH584" s="176"/>
      <c r="AI584" s="176"/>
      <c r="AJ584" s="176"/>
      <c r="AK584" s="176"/>
      <c r="AL584" s="176"/>
      <c r="AM584" s="176"/>
      <c r="AN584" s="176"/>
      <c r="AO584" s="176"/>
      <c r="AP584" s="176"/>
      <c r="AQ584" s="176"/>
      <c r="AR584" s="176"/>
      <c r="AS584" s="176"/>
      <c r="AT584" s="176"/>
      <c r="AU584" s="176"/>
      <c r="AV584" s="176"/>
      <c r="AW584" s="176"/>
      <c r="AX584" s="176"/>
      <c r="AY584" s="176"/>
      <c r="AZ584" s="176"/>
      <c r="BA584" s="176"/>
      <c r="BB584" s="176"/>
    </row>
    <row r="585" ht="15.75" customHeight="1">
      <c r="A585" s="176"/>
      <c r="B585" s="176"/>
      <c r="C585" s="176"/>
      <c r="D585" s="176"/>
      <c r="E585" s="176"/>
      <c r="F585" s="176"/>
      <c r="G585" s="176"/>
      <c r="H585" s="176"/>
      <c r="I585" s="176"/>
      <c r="J585" s="176"/>
      <c r="K585" s="176"/>
      <c r="L585" s="176"/>
      <c r="M585" s="176"/>
      <c r="N585" s="176"/>
      <c r="O585" s="176"/>
      <c r="P585" s="176"/>
      <c r="Q585" s="176"/>
      <c r="R585" s="176"/>
      <c r="S585" s="176"/>
      <c r="T585" s="176"/>
      <c r="U585" s="176"/>
      <c r="V585" s="176"/>
      <c r="W585" s="176"/>
      <c r="X585" s="176"/>
      <c r="Y585" s="176"/>
      <c r="Z585" s="176"/>
      <c r="AA585" s="176"/>
      <c r="AB585" s="176"/>
      <c r="AC585" s="176"/>
      <c r="AD585" s="176"/>
      <c r="AE585" s="176"/>
      <c r="AF585" s="176"/>
      <c r="AG585" s="176"/>
      <c r="AH585" s="176"/>
      <c r="AI585" s="176"/>
      <c r="AJ585" s="176"/>
      <c r="AK585" s="176"/>
      <c r="AL585" s="176"/>
      <c r="AM585" s="176"/>
      <c r="AN585" s="176"/>
      <c r="AO585" s="176"/>
      <c r="AP585" s="176"/>
      <c r="AQ585" s="176"/>
      <c r="AR585" s="176"/>
      <c r="AS585" s="176"/>
      <c r="AT585" s="176"/>
      <c r="AU585" s="176"/>
      <c r="AV585" s="176"/>
      <c r="AW585" s="176"/>
      <c r="AX585" s="176"/>
      <c r="AY585" s="176"/>
      <c r="AZ585" s="176"/>
      <c r="BA585" s="176"/>
      <c r="BB585" s="176"/>
    </row>
    <row r="586" ht="15.75" customHeight="1">
      <c r="A586" s="176"/>
      <c r="B586" s="176"/>
      <c r="C586" s="176"/>
      <c r="D586" s="176"/>
      <c r="E586" s="176"/>
      <c r="F586" s="176"/>
      <c r="G586" s="176"/>
      <c r="H586" s="176"/>
      <c r="I586" s="176"/>
      <c r="J586" s="176"/>
      <c r="K586" s="176"/>
      <c r="L586" s="176"/>
      <c r="M586" s="176"/>
      <c r="N586" s="176"/>
      <c r="O586" s="176"/>
      <c r="P586" s="176"/>
      <c r="Q586" s="176"/>
      <c r="R586" s="176"/>
      <c r="S586" s="176"/>
      <c r="T586" s="176"/>
      <c r="U586" s="176"/>
      <c r="V586" s="176"/>
      <c r="W586" s="176"/>
      <c r="X586" s="176"/>
      <c r="Y586" s="176"/>
      <c r="Z586" s="176"/>
      <c r="AA586" s="176"/>
      <c r="AB586" s="176"/>
      <c r="AC586" s="176"/>
      <c r="AD586" s="176"/>
      <c r="AE586" s="176"/>
      <c r="AF586" s="176"/>
      <c r="AG586" s="176"/>
      <c r="AH586" s="176"/>
      <c r="AI586" s="176"/>
      <c r="AJ586" s="176"/>
      <c r="AK586" s="176"/>
      <c r="AL586" s="176"/>
      <c r="AM586" s="176"/>
      <c r="AN586" s="176"/>
      <c r="AO586" s="176"/>
      <c r="AP586" s="176"/>
      <c r="AQ586" s="176"/>
      <c r="AR586" s="176"/>
      <c r="AS586" s="176"/>
      <c r="AT586" s="176"/>
      <c r="AU586" s="176"/>
      <c r="AV586" s="176"/>
      <c r="AW586" s="176"/>
      <c r="AX586" s="176"/>
      <c r="AY586" s="176"/>
      <c r="AZ586" s="176"/>
      <c r="BA586" s="176"/>
      <c r="BB586" s="176"/>
    </row>
    <row r="587" ht="15.75" customHeight="1">
      <c r="A587" s="176"/>
      <c r="B587" s="176"/>
      <c r="C587" s="176"/>
      <c r="D587" s="176"/>
      <c r="E587" s="176"/>
      <c r="F587" s="176"/>
      <c r="G587" s="176"/>
      <c r="H587" s="176"/>
      <c r="I587" s="176"/>
      <c r="J587" s="176"/>
      <c r="K587" s="176"/>
      <c r="L587" s="176"/>
      <c r="M587" s="176"/>
      <c r="N587" s="176"/>
      <c r="O587" s="176"/>
      <c r="P587" s="176"/>
      <c r="Q587" s="176"/>
      <c r="R587" s="176"/>
      <c r="S587" s="176"/>
      <c r="T587" s="176"/>
      <c r="U587" s="176"/>
      <c r="V587" s="176"/>
      <c r="W587" s="176"/>
      <c r="X587" s="176"/>
      <c r="Y587" s="176"/>
      <c r="Z587" s="176"/>
      <c r="AA587" s="176"/>
      <c r="AB587" s="176"/>
      <c r="AC587" s="176"/>
      <c r="AD587" s="176"/>
      <c r="AE587" s="176"/>
      <c r="AF587" s="176"/>
      <c r="AG587" s="176"/>
      <c r="AH587" s="176"/>
      <c r="AI587" s="176"/>
      <c r="AJ587" s="176"/>
      <c r="AK587" s="176"/>
      <c r="AL587" s="176"/>
      <c r="AM587" s="176"/>
      <c r="AN587" s="176"/>
      <c r="AO587" s="176"/>
      <c r="AP587" s="176"/>
      <c r="AQ587" s="176"/>
      <c r="AR587" s="176"/>
      <c r="AS587" s="176"/>
      <c r="AT587" s="176"/>
      <c r="AU587" s="176"/>
      <c r="AV587" s="176"/>
      <c r="AW587" s="176"/>
      <c r="AX587" s="176"/>
      <c r="AY587" s="176"/>
      <c r="AZ587" s="176"/>
      <c r="BA587" s="176"/>
      <c r="BB587" s="176"/>
    </row>
    <row r="588" ht="15.75" customHeight="1">
      <c r="A588" s="176"/>
      <c r="B588" s="176"/>
      <c r="C588" s="176"/>
      <c r="D588" s="176"/>
      <c r="E588" s="176"/>
      <c r="F588" s="176"/>
      <c r="G588" s="176"/>
      <c r="H588" s="176"/>
      <c r="I588" s="176"/>
      <c r="J588" s="176"/>
      <c r="K588" s="176"/>
      <c r="L588" s="176"/>
      <c r="M588" s="176"/>
      <c r="N588" s="176"/>
      <c r="O588" s="176"/>
      <c r="P588" s="176"/>
      <c r="Q588" s="176"/>
      <c r="R588" s="176"/>
      <c r="S588" s="176"/>
      <c r="T588" s="176"/>
      <c r="U588" s="176"/>
      <c r="V588" s="176"/>
      <c r="W588" s="176"/>
      <c r="X588" s="176"/>
      <c r="Y588" s="176"/>
      <c r="Z588" s="176"/>
      <c r="AA588" s="176"/>
      <c r="AB588" s="176"/>
      <c r="AC588" s="176"/>
      <c r="AD588" s="176"/>
      <c r="AE588" s="176"/>
      <c r="AF588" s="176"/>
      <c r="AG588" s="176"/>
      <c r="AH588" s="176"/>
      <c r="AI588" s="176"/>
      <c r="AJ588" s="176"/>
      <c r="AK588" s="176"/>
      <c r="AL588" s="176"/>
      <c r="AM588" s="176"/>
      <c r="AN588" s="176"/>
      <c r="AO588" s="176"/>
      <c r="AP588" s="176"/>
      <c r="AQ588" s="176"/>
      <c r="AR588" s="176"/>
      <c r="AS588" s="176"/>
      <c r="AT588" s="176"/>
      <c r="AU588" s="176"/>
      <c r="AV588" s="176"/>
      <c r="AW588" s="176"/>
      <c r="AX588" s="176"/>
      <c r="AY588" s="176"/>
      <c r="AZ588" s="176"/>
      <c r="BA588" s="176"/>
      <c r="BB588" s="176"/>
    </row>
    <row r="589" ht="15.75" customHeight="1">
      <c r="A589" s="176"/>
      <c r="B589" s="176"/>
      <c r="C589" s="176"/>
      <c r="D589" s="176"/>
      <c r="E589" s="176"/>
      <c r="F589" s="176"/>
      <c r="G589" s="176"/>
      <c r="H589" s="176"/>
      <c r="I589" s="176"/>
      <c r="J589" s="176"/>
      <c r="K589" s="176"/>
      <c r="L589" s="176"/>
      <c r="M589" s="176"/>
      <c r="N589" s="176"/>
      <c r="O589" s="176"/>
      <c r="P589" s="176"/>
      <c r="Q589" s="176"/>
      <c r="R589" s="176"/>
      <c r="S589" s="176"/>
      <c r="T589" s="176"/>
      <c r="U589" s="176"/>
      <c r="V589" s="176"/>
      <c r="W589" s="176"/>
      <c r="X589" s="176"/>
      <c r="Y589" s="176"/>
      <c r="Z589" s="176"/>
      <c r="AA589" s="176"/>
      <c r="AB589" s="176"/>
      <c r="AC589" s="176"/>
      <c r="AD589" s="176"/>
      <c r="AE589" s="176"/>
      <c r="AF589" s="176"/>
      <c r="AG589" s="176"/>
      <c r="AH589" s="176"/>
      <c r="AI589" s="176"/>
      <c r="AJ589" s="176"/>
      <c r="AK589" s="176"/>
      <c r="AL589" s="176"/>
      <c r="AM589" s="176"/>
      <c r="AN589" s="176"/>
      <c r="AO589" s="176"/>
      <c r="AP589" s="176"/>
      <c r="AQ589" s="176"/>
      <c r="AR589" s="176"/>
      <c r="AS589" s="176"/>
      <c r="AT589" s="176"/>
      <c r="AU589" s="176"/>
      <c r="AV589" s="176"/>
      <c r="AW589" s="176"/>
      <c r="AX589" s="176"/>
      <c r="AY589" s="176"/>
      <c r="AZ589" s="176"/>
      <c r="BA589" s="176"/>
      <c r="BB589" s="176"/>
    </row>
    <row r="590" ht="15.75" customHeight="1">
      <c r="A590" s="176"/>
      <c r="B590" s="176"/>
      <c r="C590" s="176"/>
      <c r="D590" s="176"/>
      <c r="E590" s="176"/>
      <c r="F590" s="176"/>
      <c r="G590" s="176"/>
      <c r="H590" s="176"/>
      <c r="I590" s="176"/>
      <c r="J590" s="176"/>
      <c r="K590" s="176"/>
      <c r="L590" s="176"/>
      <c r="M590" s="176"/>
      <c r="N590" s="176"/>
      <c r="O590" s="176"/>
      <c r="P590" s="176"/>
      <c r="Q590" s="176"/>
      <c r="R590" s="176"/>
      <c r="S590" s="176"/>
      <c r="T590" s="176"/>
      <c r="U590" s="176"/>
      <c r="V590" s="176"/>
      <c r="W590" s="176"/>
      <c r="X590" s="176"/>
      <c r="Y590" s="176"/>
      <c r="Z590" s="176"/>
      <c r="AA590" s="176"/>
      <c r="AB590" s="176"/>
      <c r="AC590" s="176"/>
      <c r="AD590" s="176"/>
      <c r="AE590" s="176"/>
      <c r="AF590" s="176"/>
      <c r="AG590" s="176"/>
      <c r="AH590" s="176"/>
      <c r="AI590" s="176"/>
      <c r="AJ590" s="176"/>
      <c r="AK590" s="176"/>
      <c r="AL590" s="176"/>
      <c r="AM590" s="176"/>
      <c r="AN590" s="176"/>
      <c r="AO590" s="176"/>
      <c r="AP590" s="176"/>
      <c r="AQ590" s="176"/>
      <c r="AR590" s="176"/>
      <c r="AS590" s="176"/>
      <c r="AT590" s="176"/>
      <c r="AU590" s="176"/>
      <c r="AV590" s="176"/>
      <c r="AW590" s="176"/>
      <c r="AX590" s="176"/>
      <c r="AY590" s="176"/>
      <c r="AZ590" s="176"/>
      <c r="BA590" s="176"/>
      <c r="BB590" s="176"/>
    </row>
    <row r="591" ht="15.75" customHeight="1">
      <c r="A591" s="176"/>
      <c r="B591" s="176"/>
      <c r="C591" s="176"/>
      <c r="D591" s="176"/>
      <c r="E591" s="176"/>
      <c r="F591" s="176"/>
      <c r="G591" s="176"/>
      <c r="H591" s="176"/>
      <c r="I591" s="176"/>
      <c r="J591" s="176"/>
      <c r="K591" s="176"/>
      <c r="L591" s="176"/>
      <c r="M591" s="176"/>
      <c r="N591" s="176"/>
      <c r="O591" s="176"/>
      <c r="P591" s="176"/>
      <c r="Q591" s="176"/>
      <c r="R591" s="176"/>
      <c r="S591" s="176"/>
      <c r="T591" s="176"/>
      <c r="U591" s="176"/>
      <c r="V591" s="176"/>
      <c r="W591" s="176"/>
      <c r="X591" s="176"/>
      <c r="Y591" s="176"/>
      <c r="Z591" s="176"/>
      <c r="AA591" s="176"/>
      <c r="AB591" s="176"/>
      <c r="AC591" s="176"/>
      <c r="AD591" s="176"/>
      <c r="AE591" s="176"/>
      <c r="AF591" s="176"/>
      <c r="AG591" s="176"/>
      <c r="AH591" s="176"/>
      <c r="AI591" s="176"/>
      <c r="AJ591" s="176"/>
      <c r="AK591" s="176"/>
      <c r="AL591" s="176"/>
      <c r="AM591" s="176"/>
      <c r="AN591" s="176"/>
      <c r="AO591" s="176"/>
      <c r="AP591" s="176"/>
      <c r="AQ591" s="176"/>
      <c r="AR591" s="176"/>
      <c r="AS591" s="176"/>
      <c r="AT591" s="176"/>
      <c r="AU591" s="176"/>
      <c r="AV591" s="176"/>
      <c r="AW591" s="176"/>
      <c r="AX591" s="176"/>
      <c r="AY591" s="176"/>
      <c r="AZ591" s="176"/>
      <c r="BA591" s="176"/>
      <c r="BB591" s="176"/>
    </row>
    <row r="592" ht="15.75" customHeight="1">
      <c r="A592" s="176"/>
      <c r="B592" s="176"/>
      <c r="C592" s="176"/>
      <c r="D592" s="176"/>
      <c r="E592" s="176"/>
      <c r="F592" s="176"/>
      <c r="G592" s="176"/>
      <c r="H592" s="176"/>
      <c r="I592" s="176"/>
      <c r="J592" s="176"/>
      <c r="K592" s="176"/>
      <c r="L592" s="176"/>
      <c r="M592" s="176"/>
      <c r="N592" s="176"/>
      <c r="O592" s="176"/>
      <c r="P592" s="176"/>
      <c r="Q592" s="176"/>
      <c r="R592" s="176"/>
      <c r="S592" s="176"/>
      <c r="T592" s="176"/>
      <c r="U592" s="176"/>
      <c r="V592" s="176"/>
      <c r="W592" s="176"/>
      <c r="X592" s="176"/>
      <c r="Y592" s="176"/>
      <c r="Z592" s="176"/>
      <c r="AA592" s="176"/>
      <c r="AB592" s="176"/>
      <c r="AC592" s="176"/>
      <c r="AD592" s="176"/>
      <c r="AE592" s="176"/>
      <c r="AF592" s="176"/>
      <c r="AG592" s="176"/>
      <c r="AH592" s="176"/>
      <c r="AI592" s="176"/>
      <c r="AJ592" s="176"/>
      <c r="AK592" s="176"/>
      <c r="AL592" s="176"/>
      <c r="AM592" s="176"/>
      <c r="AN592" s="176"/>
      <c r="AO592" s="176"/>
      <c r="AP592" s="176"/>
      <c r="AQ592" s="176"/>
      <c r="AR592" s="176"/>
      <c r="AS592" s="176"/>
      <c r="AT592" s="176"/>
      <c r="AU592" s="176"/>
      <c r="AV592" s="176"/>
      <c r="AW592" s="176"/>
      <c r="AX592" s="176"/>
      <c r="AY592" s="176"/>
      <c r="AZ592" s="176"/>
      <c r="BA592" s="176"/>
      <c r="BB592" s="176"/>
    </row>
    <row r="593" ht="15.75" customHeight="1">
      <c r="A593" s="176"/>
      <c r="B593" s="176"/>
      <c r="C593" s="176"/>
      <c r="D593" s="176"/>
      <c r="E593" s="176"/>
      <c r="F593" s="176"/>
      <c r="G593" s="176"/>
      <c r="H593" s="176"/>
      <c r="I593" s="176"/>
      <c r="J593" s="176"/>
      <c r="K593" s="176"/>
      <c r="L593" s="176"/>
      <c r="M593" s="176"/>
      <c r="N593" s="176"/>
      <c r="O593" s="176"/>
      <c r="P593" s="176"/>
      <c r="Q593" s="176"/>
      <c r="R593" s="176"/>
      <c r="S593" s="176"/>
      <c r="T593" s="176"/>
      <c r="U593" s="176"/>
      <c r="V593" s="176"/>
      <c r="W593" s="176"/>
      <c r="X593" s="176"/>
      <c r="Y593" s="176"/>
      <c r="Z593" s="176"/>
      <c r="AA593" s="176"/>
      <c r="AB593" s="176"/>
      <c r="AC593" s="176"/>
      <c r="AD593" s="176"/>
      <c r="AE593" s="176"/>
      <c r="AF593" s="176"/>
      <c r="AG593" s="176"/>
      <c r="AH593" s="176"/>
      <c r="AI593" s="176"/>
      <c r="AJ593" s="176"/>
      <c r="AK593" s="176"/>
      <c r="AL593" s="176"/>
      <c r="AM593" s="176"/>
      <c r="AN593" s="176"/>
      <c r="AO593" s="176"/>
      <c r="AP593" s="176"/>
      <c r="AQ593" s="176"/>
      <c r="AR593" s="176"/>
      <c r="AS593" s="176"/>
      <c r="AT593" s="176"/>
      <c r="AU593" s="176"/>
      <c r="AV593" s="176"/>
      <c r="AW593" s="176"/>
      <c r="AX593" s="176"/>
      <c r="AY593" s="176"/>
      <c r="AZ593" s="176"/>
      <c r="BA593" s="176"/>
      <c r="BB593" s="176"/>
    </row>
    <row r="594" ht="15.75" customHeight="1">
      <c r="A594" s="176"/>
      <c r="B594" s="176"/>
      <c r="C594" s="176"/>
      <c r="D594" s="176"/>
      <c r="E594" s="176"/>
      <c r="F594" s="176"/>
      <c r="G594" s="176"/>
      <c r="H594" s="176"/>
      <c r="I594" s="176"/>
      <c r="J594" s="176"/>
      <c r="K594" s="176"/>
      <c r="L594" s="176"/>
      <c r="M594" s="176"/>
      <c r="N594" s="176"/>
      <c r="O594" s="176"/>
      <c r="P594" s="176"/>
      <c r="Q594" s="176"/>
      <c r="R594" s="176"/>
      <c r="S594" s="176"/>
      <c r="T594" s="176"/>
      <c r="U594" s="176"/>
      <c r="V594" s="176"/>
      <c r="W594" s="176"/>
      <c r="X594" s="176"/>
      <c r="Y594" s="176"/>
      <c r="Z594" s="176"/>
      <c r="AA594" s="176"/>
      <c r="AB594" s="176"/>
      <c r="AC594" s="176"/>
      <c r="AD594" s="176"/>
      <c r="AE594" s="176"/>
      <c r="AF594" s="176"/>
      <c r="AG594" s="176"/>
      <c r="AH594" s="176"/>
      <c r="AI594" s="176"/>
      <c r="AJ594" s="176"/>
      <c r="AK594" s="176"/>
      <c r="AL594" s="176"/>
      <c r="AM594" s="176"/>
      <c r="AN594" s="176"/>
      <c r="AO594" s="176"/>
      <c r="AP594" s="176"/>
      <c r="AQ594" s="176"/>
      <c r="AR594" s="176"/>
      <c r="AS594" s="176"/>
      <c r="AT594" s="176"/>
      <c r="AU594" s="176"/>
      <c r="AV594" s="176"/>
      <c r="AW594" s="176"/>
      <c r="AX594" s="176"/>
      <c r="AY594" s="176"/>
      <c r="AZ594" s="176"/>
      <c r="BA594" s="176"/>
      <c r="BB594" s="176"/>
    </row>
    <row r="595" ht="15.75" customHeight="1">
      <c r="A595" s="176"/>
      <c r="B595" s="176"/>
      <c r="C595" s="176"/>
      <c r="D595" s="176"/>
      <c r="E595" s="176"/>
      <c r="F595" s="176"/>
      <c r="G595" s="176"/>
      <c r="H595" s="176"/>
      <c r="I595" s="176"/>
      <c r="J595" s="176"/>
      <c r="K595" s="176"/>
      <c r="L595" s="176"/>
      <c r="M595" s="176"/>
      <c r="N595" s="176"/>
      <c r="O595" s="176"/>
      <c r="P595" s="176"/>
      <c r="Q595" s="176"/>
      <c r="R595" s="176"/>
      <c r="S595" s="176"/>
      <c r="T595" s="176"/>
      <c r="U595" s="176"/>
      <c r="V595" s="176"/>
      <c r="W595" s="176"/>
      <c r="X595" s="176"/>
      <c r="Y595" s="176"/>
      <c r="Z595" s="176"/>
      <c r="AA595" s="176"/>
      <c r="AB595" s="176"/>
      <c r="AC595" s="176"/>
      <c r="AD595" s="176"/>
      <c r="AE595" s="176"/>
      <c r="AF595" s="176"/>
      <c r="AG595" s="176"/>
      <c r="AH595" s="176"/>
      <c r="AI595" s="176"/>
      <c r="AJ595" s="176"/>
      <c r="AK595" s="176"/>
      <c r="AL595" s="176"/>
      <c r="AM595" s="176"/>
      <c r="AN595" s="176"/>
      <c r="AO595" s="176"/>
      <c r="AP595" s="176"/>
      <c r="AQ595" s="176"/>
      <c r="AR595" s="176"/>
      <c r="AS595" s="176"/>
      <c r="AT595" s="176"/>
      <c r="AU595" s="176"/>
      <c r="AV595" s="176"/>
      <c r="AW595" s="176"/>
      <c r="AX595" s="176"/>
      <c r="AY595" s="176"/>
      <c r="AZ595" s="176"/>
      <c r="BA595" s="176"/>
      <c r="BB595" s="176"/>
    </row>
    <row r="596" ht="15.75" customHeight="1">
      <c r="A596" s="176"/>
      <c r="B596" s="176"/>
      <c r="C596" s="176"/>
      <c r="D596" s="176"/>
      <c r="E596" s="176"/>
      <c r="F596" s="176"/>
      <c r="G596" s="176"/>
      <c r="H596" s="176"/>
      <c r="I596" s="176"/>
      <c r="J596" s="176"/>
      <c r="K596" s="176"/>
      <c r="L596" s="176"/>
      <c r="M596" s="176"/>
      <c r="N596" s="176"/>
      <c r="O596" s="176"/>
      <c r="P596" s="176"/>
      <c r="Q596" s="176"/>
      <c r="R596" s="176"/>
      <c r="S596" s="176"/>
      <c r="T596" s="176"/>
      <c r="U596" s="176"/>
      <c r="V596" s="176"/>
      <c r="W596" s="176"/>
      <c r="X596" s="176"/>
      <c r="Y596" s="176"/>
      <c r="Z596" s="176"/>
      <c r="AA596" s="176"/>
      <c r="AB596" s="176"/>
      <c r="AC596" s="176"/>
      <c r="AD596" s="176"/>
      <c r="AE596" s="176"/>
      <c r="AF596" s="176"/>
      <c r="AG596" s="176"/>
      <c r="AH596" s="176"/>
      <c r="AI596" s="176"/>
      <c r="AJ596" s="176"/>
      <c r="AK596" s="176"/>
      <c r="AL596" s="176"/>
      <c r="AM596" s="176"/>
      <c r="AN596" s="176"/>
      <c r="AO596" s="176"/>
      <c r="AP596" s="176"/>
      <c r="AQ596" s="176"/>
      <c r="AR596" s="176"/>
      <c r="AS596" s="176"/>
      <c r="AT596" s="176"/>
      <c r="AU596" s="176"/>
      <c r="AV596" s="176"/>
      <c r="AW596" s="176"/>
      <c r="AX596" s="176"/>
      <c r="AY596" s="176"/>
      <c r="AZ596" s="176"/>
      <c r="BA596" s="176"/>
      <c r="BB596" s="176"/>
    </row>
    <row r="597" ht="15.75" customHeight="1">
      <c r="A597" s="176"/>
      <c r="B597" s="176"/>
      <c r="C597" s="176"/>
      <c r="D597" s="176"/>
      <c r="E597" s="176"/>
      <c r="F597" s="176"/>
      <c r="G597" s="176"/>
      <c r="H597" s="176"/>
      <c r="I597" s="176"/>
      <c r="J597" s="176"/>
      <c r="K597" s="176"/>
      <c r="L597" s="176"/>
      <c r="M597" s="176"/>
      <c r="N597" s="176"/>
      <c r="O597" s="176"/>
      <c r="P597" s="176"/>
      <c r="Q597" s="176"/>
      <c r="R597" s="176"/>
      <c r="S597" s="176"/>
      <c r="T597" s="176"/>
      <c r="U597" s="176"/>
      <c r="V597" s="176"/>
      <c r="W597" s="176"/>
      <c r="X597" s="176"/>
      <c r="Y597" s="176"/>
      <c r="Z597" s="176"/>
      <c r="AA597" s="176"/>
      <c r="AB597" s="176"/>
      <c r="AC597" s="176"/>
      <c r="AD597" s="176"/>
      <c r="AE597" s="176"/>
      <c r="AF597" s="176"/>
      <c r="AG597" s="176"/>
      <c r="AH597" s="176"/>
      <c r="AI597" s="176"/>
      <c r="AJ597" s="176"/>
      <c r="AK597" s="176"/>
      <c r="AL597" s="176"/>
      <c r="AM597" s="176"/>
      <c r="AN597" s="176"/>
      <c r="AO597" s="176"/>
      <c r="AP597" s="176"/>
      <c r="AQ597" s="176"/>
      <c r="AR597" s="176"/>
      <c r="AS597" s="176"/>
      <c r="AT597" s="176"/>
      <c r="AU597" s="176"/>
      <c r="AV597" s="176"/>
      <c r="AW597" s="176"/>
      <c r="AX597" s="176"/>
      <c r="AY597" s="176"/>
      <c r="AZ597" s="176"/>
      <c r="BA597" s="176"/>
      <c r="BB597" s="176"/>
    </row>
    <row r="598" ht="15.75" customHeight="1">
      <c r="A598" s="176"/>
      <c r="B598" s="176"/>
      <c r="C598" s="176"/>
      <c r="D598" s="176"/>
      <c r="E598" s="176"/>
      <c r="F598" s="176"/>
      <c r="G598" s="176"/>
      <c r="H598" s="176"/>
      <c r="I598" s="176"/>
      <c r="J598" s="176"/>
      <c r="K598" s="176"/>
      <c r="L598" s="176"/>
      <c r="M598" s="176"/>
      <c r="N598" s="176"/>
      <c r="O598" s="176"/>
      <c r="P598" s="176"/>
      <c r="Q598" s="176"/>
      <c r="R598" s="176"/>
      <c r="S598" s="176"/>
      <c r="T598" s="176"/>
      <c r="U598" s="176"/>
      <c r="V598" s="176"/>
      <c r="W598" s="176"/>
      <c r="X598" s="176"/>
      <c r="Y598" s="176"/>
      <c r="Z598" s="176"/>
      <c r="AA598" s="176"/>
      <c r="AB598" s="176"/>
      <c r="AC598" s="176"/>
      <c r="AD598" s="176"/>
      <c r="AE598" s="176"/>
      <c r="AF598" s="176"/>
      <c r="AG598" s="176"/>
      <c r="AH598" s="176"/>
      <c r="AI598" s="176"/>
      <c r="AJ598" s="176"/>
      <c r="AK598" s="176"/>
      <c r="AL598" s="176"/>
      <c r="AM598" s="176"/>
      <c r="AN598" s="176"/>
      <c r="AO598" s="176"/>
      <c r="AP598" s="176"/>
      <c r="AQ598" s="176"/>
      <c r="AR598" s="176"/>
      <c r="AS598" s="176"/>
      <c r="AT598" s="176"/>
      <c r="AU598" s="176"/>
      <c r="AV598" s="176"/>
      <c r="AW598" s="176"/>
      <c r="AX598" s="176"/>
      <c r="AY598" s="176"/>
      <c r="AZ598" s="176"/>
      <c r="BA598" s="176"/>
      <c r="BB598" s="176"/>
    </row>
    <row r="599" ht="15.75" customHeight="1">
      <c r="A599" s="176"/>
      <c r="B599" s="176"/>
      <c r="C599" s="176"/>
      <c r="D599" s="176"/>
      <c r="E599" s="176"/>
      <c r="F599" s="176"/>
      <c r="G599" s="176"/>
      <c r="H599" s="176"/>
      <c r="I599" s="176"/>
      <c r="J599" s="176"/>
      <c r="K599" s="176"/>
      <c r="L599" s="176"/>
      <c r="M599" s="176"/>
      <c r="N599" s="176"/>
      <c r="O599" s="176"/>
      <c r="P599" s="176"/>
      <c r="Q599" s="176"/>
      <c r="R599" s="176"/>
      <c r="S599" s="176"/>
      <c r="T599" s="176"/>
      <c r="U599" s="176"/>
      <c r="V599" s="176"/>
      <c r="W599" s="176"/>
      <c r="X599" s="176"/>
      <c r="Y599" s="176"/>
      <c r="Z599" s="176"/>
      <c r="AA599" s="176"/>
      <c r="AB599" s="176"/>
      <c r="AC599" s="176"/>
      <c r="AD599" s="176"/>
      <c r="AE599" s="176"/>
      <c r="AF599" s="176"/>
      <c r="AG599" s="176"/>
      <c r="AH599" s="176"/>
      <c r="AI599" s="176"/>
      <c r="AJ599" s="176"/>
      <c r="AK599" s="176"/>
      <c r="AL599" s="176"/>
      <c r="AM599" s="176"/>
      <c r="AN599" s="176"/>
      <c r="AO599" s="176"/>
      <c r="AP599" s="176"/>
      <c r="AQ599" s="176"/>
      <c r="AR599" s="176"/>
      <c r="AS599" s="176"/>
      <c r="AT599" s="176"/>
      <c r="AU599" s="176"/>
      <c r="AV599" s="176"/>
      <c r="AW599" s="176"/>
      <c r="AX599" s="176"/>
      <c r="AY599" s="176"/>
      <c r="AZ599" s="176"/>
      <c r="BA599" s="176"/>
      <c r="BB599" s="176"/>
    </row>
    <row r="600" ht="15.75" customHeight="1">
      <c r="A600" s="176"/>
      <c r="B600" s="176"/>
      <c r="C600" s="176"/>
      <c r="D600" s="176"/>
      <c r="E600" s="176"/>
      <c r="F600" s="176"/>
      <c r="G600" s="176"/>
      <c r="H600" s="176"/>
      <c r="I600" s="176"/>
      <c r="J600" s="176"/>
      <c r="K600" s="176"/>
      <c r="L600" s="176"/>
      <c r="M600" s="176"/>
      <c r="N600" s="176"/>
      <c r="O600" s="176"/>
      <c r="P600" s="176"/>
      <c r="Q600" s="176"/>
      <c r="R600" s="176"/>
      <c r="S600" s="176"/>
      <c r="T600" s="176"/>
      <c r="U600" s="176"/>
      <c r="V600" s="176"/>
      <c r="W600" s="176"/>
      <c r="X600" s="176"/>
      <c r="Y600" s="176"/>
      <c r="Z600" s="176"/>
      <c r="AA600" s="176"/>
      <c r="AB600" s="176"/>
      <c r="AC600" s="176"/>
      <c r="AD600" s="176"/>
      <c r="AE600" s="176"/>
      <c r="AF600" s="176"/>
      <c r="AG600" s="176"/>
      <c r="AH600" s="176"/>
      <c r="AI600" s="176"/>
      <c r="AJ600" s="176"/>
      <c r="AK600" s="176"/>
      <c r="AL600" s="176"/>
      <c r="AM600" s="176"/>
      <c r="AN600" s="176"/>
      <c r="AO600" s="176"/>
      <c r="AP600" s="176"/>
      <c r="AQ600" s="176"/>
      <c r="AR600" s="176"/>
      <c r="AS600" s="176"/>
      <c r="AT600" s="176"/>
      <c r="AU600" s="176"/>
      <c r="AV600" s="176"/>
      <c r="AW600" s="176"/>
      <c r="AX600" s="176"/>
      <c r="AY600" s="176"/>
      <c r="AZ600" s="176"/>
      <c r="BA600" s="176"/>
      <c r="BB600" s="176"/>
    </row>
    <row r="601" ht="15.75" customHeight="1">
      <c r="A601" s="176"/>
      <c r="B601" s="176"/>
      <c r="C601" s="176"/>
      <c r="D601" s="176"/>
      <c r="E601" s="176"/>
      <c r="F601" s="176"/>
      <c r="G601" s="176"/>
      <c r="H601" s="176"/>
      <c r="I601" s="176"/>
      <c r="J601" s="176"/>
      <c r="K601" s="176"/>
      <c r="L601" s="176"/>
      <c r="M601" s="176"/>
      <c r="N601" s="176"/>
      <c r="O601" s="176"/>
      <c r="P601" s="176"/>
      <c r="Q601" s="176"/>
      <c r="R601" s="176"/>
      <c r="S601" s="176"/>
      <c r="T601" s="176"/>
      <c r="U601" s="176"/>
      <c r="V601" s="176"/>
      <c r="W601" s="176"/>
      <c r="X601" s="176"/>
      <c r="Y601" s="176"/>
      <c r="Z601" s="176"/>
      <c r="AA601" s="176"/>
      <c r="AB601" s="176"/>
      <c r="AC601" s="176"/>
      <c r="AD601" s="176"/>
      <c r="AE601" s="176"/>
      <c r="AF601" s="176"/>
      <c r="AG601" s="176"/>
      <c r="AH601" s="176"/>
      <c r="AI601" s="176"/>
      <c r="AJ601" s="176"/>
      <c r="AK601" s="176"/>
      <c r="AL601" s="176"/>
      <c r="AM601" s="176"/>
      <c r="AN601" s="176"/>
      <c r="AO601" s="176"/>
      <c r="AP601" s="176"/>
      <c r="AQ601" s="176"/>
      <c r="AR601" s="176"/>
      <c r="AS601" s="176"/>
      <c r="AT601" s="176"/>
      <c r="AU601" s="176"/>
      <c r="AV601" s="176"/>
      <c r="AW601" s="176"/>
      <c r="AX601" s="176"/>
      <c r="AY601" s="176"/>
      <c r="AZ601" s="176"/>
      <c r="BA601" s="176"/>
      <c r="BB601" s="176"/>
    </row>
    <row r="602" ht="15.75" customHeight="1">
      <c r="A602" s="176"/>
      <c r="B602" s="176"/>
      <c r="C602" s="176"/>
      <c r="D602" s="176"/>
      <c r="E602" s="176"/>
      <c r="F602" s="176"/>
      <c r="G602" s="176"/>
      <c r="H602" s="176"/>
      <c r="I602" s="176"/>
      <c r="J602" s="176"/>
      <c r="K602" s="176"/>
      <c r="L602" s="176"/>
      <c r="M602" s="176"/>
      <c r="N602" s="176"/>
      <c r="O602" s="176"/>
      <c r="P602" s="176"/>
      <c r="Q602" s="176"/>
      <c r="R602" s="176"/>
      <c r="S602" s="176"/>
      <c r="T602" s="176"/>
      <c r="U602" s="176"/>
      <c r="V602" s="176"/>
      <c r="W602" s="176"/>
      <c r="X602" s="176"/>
      <c r="Y602" s="176"/>
      <c r="Z602" s="176"/>
      <c r="AA602" s="176"/>
      <c r="AB602" s="176"/>
      <c r="AC602" s="176"/>
      <c r="AD602" s="176"/>
      <c r="AE602" s="176"/>
      <c r="AF602" s="176"/>
      <c r="AG602" s="176"/>
      <c r="AH602" s="176"/>
      <c r="AI602" s="176"/>
      <c r="AJ602" s="176"/>
      <c r="AK602" s="176"/>
      <c r="AL602" s="176"/>
      <c r="AM602" s="176"/>
      <c r="AN602" s="176"/>
      <c r="AO602" s="176"/>
      <c r="AP602" s="176"/>
      <c r="AQ602" s="176"/>
      <c r="AR602" s="176"/>
      <c r="AS602" s="176"/>
      <c r="AT602" s="176"/>
      <c r="AU602" s="176"/>
      <c r="AV602" s="176"/>
      <c r="AW602" s="176"/>
      <c r="AX602" s="176"/>
      <c r="AY602" s="176"/>
      <c r="AZ602" s="176"/>
      <c r="BA602" s="176"/>
      <c r="BB602" s="176"/>
    </row>
    <row r="603" ht="15.75" customHeight="1">
      <c r="A603" s="176"/>
      <c r="B603" s="176"/>
      <c r="C603" s="176"/>
      <c r="D603" s="176"/>
      <c r="E603" s="176"/>
      <c r="F603" s="176"/>
      <c r="G603" s="176"/>
      <c r="H603" s="176"/>
      <c r="I603" s="176"/>
      <c r="J603" s="176"/>
      <c r="K603" s="176"/>
      <c r="L603" s="176"/>
      <c r="M603" s="176"/>
      <c r="N603" s="176"/>
      <c r="O603" s="176"/>
      <c r="P603" s="176"/>
      <c r="Q603" s="176"/>
      <c r="R603" s="176"/>
      <c r="S603" s="176"/>
      <c r="T603" s="176"/>
      <c r="U603" s="176"/>
      <c r="V603" s="176"/>
      <c r="W603" s="176"/>
      <c r="X603" s="176"/>
      <c r="Y603" s="176"/>
      <c r="Z603" s="176"/>
      <c r="AA603" s="176"/>
      <c r="AB603" s="176"/>
      <c r="AC603" s="176"/>
      <c r="AD603" s="176"/>
      <c r="AE603" s="176"/>
      <c r="AF603" s="176"/>
      <c r="AG603" s="176"/>
      <c r="AH603" s="176"/>
      <c r="AI603" s="176"/>
      <c r="AJ603" s="176"/>
      <c r="AK603" s="176"/>
      <c r="AL603" s="176"/>
      <c r="AM603" s="176"/>
      <c r="AN603" s="176"/>
      <c r="AO603" s="176"/>
      <c r="AP603" s="176"/>
      <c r="AQ603" s="176"/>
      <c r="AR603" s="176"/>
      <c r="AS603" s="176"/>
      <c r="AT603" s="176"/>
      <c r="AU603" s="176"/>
      <c r="AV603" s="176"/>
      <c r="AW603" s="176"/>
      <c r="AX603" s="176"/>
      <c r="AY603" s="176"/>
      <c r="AZ603" s="176"/>
      <c r="BA603" s="176"/>
      <c r="BB603" s="176"/>
    </row>
    <row r="604" ht="15.75" customHeight="1">
      <c r="A604" s="176"/>
      <c r="B604" s="176"/>
      <c r="C604" s="176"/>
      <c r="D604" s="176"/>
      <c r="E604" s="176"/>
      <c r="F604" s="176"/>
      <c r="G604" s="176"/>
      <c r="H604" s="176"/>
      <c r="I604" s="176"/>
      <c r="J604" s="176"/>
      <c r="K604" s="176"/>
      <c r="L604" s="176"/>
      <c r="M604" s="176"/>
      <c r="N604" s="176"/>
      <c r="O604" s="176"/>
      <c r="P604" s="176"/>
      <c r="Q604" s="176"/>
      <c r="R604" s="176"/>
      <c r="S604" s="176"/>
      <c r="T604" s="176"/>
      <c r="U604" s="176"/>
      <c r="V604" s="176"/>
      <c r="W604" s="176"/>
      <c r="X604" s="176"/>
      <c r="Y604" s="176"/>
      <c r="Z604" s="176"/>
      <c r="AA604" s="176"/>
      <c r="AB604" s="176"/>
      <c r="AC604" s="176"/>
      <c r="AD604" s="176"/>
      <c r="AE604" s="176"/>
      <c r="AF604" s="176"/>
      <c r="AG604" s="176"/>
      <c r="AH604" s="176"/>
      <c r="AI604" s="176"/>
      <c r="AJ604" s="176"/>
      <c r="AK604" s="176"/>
      <c r="AL604" s="176"/>
      <c r="AM604" s="176"/>
      <c r="AN604" s="176"/>
      <c r="AO604" s="176"/>
      <c r="AP604" s="176"/>
      <c r="AQ604" s="176"/>
      <c r="AR604" s="176"/>
      <c r="AS604" s="176"/>
      <c r="AT604" s="176"/>
      <c r="AU604" s="176"/>
      <c r="AV604" s="176"/>
      <c r="AW604" s="176"/>
      <c r="AX604" s="176"/>
      <c r="AY604" s="176"/>
      <c r="AZ604" s="176"/>
      <c r="BA604" s="176"/>
      <c r="BB604" s="176"/>
    </row>
    <row r="605" ht="15.75" customHeight="1">
      <c r="A605" s="176"/>
      <c r="B605" s="176"/>
      <c r="C605" s="176"/>
      <c r="D605" s="176"/>
      <c r="E605" s="176"/>
      <c r="F605" s="176"/>
      <c r="G605" s="176"/>
      <c r="H605" s="176"/>
      <c r="I605" s="176"/>
      <c r="J605" s="176"/>
      <c r="K605" s="176"/>
      <c r="L605" s="176"/>
      <c r="M605" s="176"/>
      <c r="N605" s="176"/>
      <c r="O605" s="176"/>
      <c r="P605" s="176"/>
      <c r="Q605" s="176"/>
      <c r="R605" s="176"/>
      <c r="S605" s="176"/>
      <c r="T605" s="176"/>
      <c r="U605" s="176"/>
      <c r="V605" s="176"/>
      <c r="W605" s="176"/>
      <c r="X605" s="176"/>
      <c r="Y605" s="176"/>
      <c r="Z605" s="176"/>
      <c r="AA605" s="176"/>
      <c r="AB605" s="176"/>
      <c r="AC605" s="176"/>
      <c r="AD605" s="176"/>
      <c r="AE605" s="176"/>
      <c r="AF605" s="176"/>
      <c r="AG605" s="176"/>
      <c r="AH605" s="176"/>
      <c r="AI605" s="176"/>
      <c r="AJ605" s="176"/>
      <c r="AK605" s="176"/>
      <c r="AL605" s="176"/>
      <c r="AM605" s="176"/>
      <c r="AN605" s="176"/>
      <c r="AO605" s="176"/>
      <c r="AP605" s="176"/>
      <c r="AQ605" s="176"/>
      <c r="AR605" s="176"/>
      <c r="AS605" s="176"/>
      <c r="AT605" s="176"/>
      <c r="AU605" s="176"/>
      <c r="AV605" s="176"/>
      <c r="AW605" s="176"/>
      <c r="AX605" s="176"/>
      <c r="AY605" s="176"/>
      <c r="AZ605" s="176"/>
      <c r="BA605" s="176"/>
      <c r="BB605" s="176"/>
    </row>
    <row r="606" ht="15.75" customHeight="1">
      <c r="A606" s="176"/>
      <c r="B606" s="176"/>
      <c r="C606" s="176"/>
      <c r="D606" s="176"/>
      <c r="E606" s="176"/>
      <c r="F606" s="176"/>
      <c r="G606" s="176"/>
      <c r="H606" s="176"/>
      <c r="I606" s="176"/>
      <c r="J606" s="176"/>
      <c r="K606" s="176"/>
      <c r="L606" s="176"/>
      <c r="M606" s="176"/>
      <c r="N606" s="176"/>
      <c r="O606" s="176"/>
      <c r="P606" s="176"/>
      <c r="Q606" s="176"/>
      <c r="R606" s="176"/>
      <c r="S606" s="176"/>
      <c r="T606" s="176"/>
      <c r="U606" s="176"/>
      <c r="V606" s="176"/>
      <c r="W606" s="176"/>
      <c r="X606" s="176"/>
      <c r="Y606" s="176"/>
      <c r="Z606" s="176"/>
      <c r="AA606" s="176"/>
      <c r="AB606" s="176"/>
      <c r="AC606" s="176"/>
      <c r="AD606" s="176"/>
      <c r="AE606" s="176"/>
      <c r="AF606" s="176"/>
      <c r="AG606" s="176"/>
      <c r="AH606" s="176"/>
      <c r="AI606" s="176"/>
      <c r="AJ606" s="176"/>
      <c r="AK606" s="176"/>
      <c r="AL606" s="176"/>
      <c r="AM606" s="176"/>
      <c r="AN606" s="176"/>
      <c r="AO606" s="176"/>
      <c r="AP606" s="176"/>
      <c r="AQ606" s="176"/>
      <c r="AR606" s="176"/>
      <c r="AS606" s="176"/>
      <c r="AT606" s="176"/>
      <c r="AU606" s="176"/>
      <c r="AV606" s="176"/>
      <c r="AW606" s="176"/>
      <c r="AX606" s="176"/>
      <c r="AY606" s="176"/>
      <c r="AZ606" s="176"/>
      <c r="BA606" s="176"/>
      <c r="BB606" s="176"/>
    </row>
    <row r="607" ht="15.75" customHeight="1">
      <c r="A607" s="176"/>
      <c r="B607" s="176"/>
      <c r="C607" s="176"/>
      <c r="D607" s="176"/>
      <c r="E607" s="176"/>
      <c r="F607" s="176"/>
      <c r="G607" s="176"/>
      <c r="H607" s="176"/>
      <c r="I607" s="176"/>
      <c r="J607" s="176"/>
      <c r="K607" s="176"/>
      <c r="L607" s="176"/>
      <c r="M607" s="176"/>
      <c r="N607" s="176"/>
      <c r="O607" s="176"/>
      <c r="P607" s="176"/>
      <c r="Q607" s="176"/>
      <c r="R607" s="176"/>
      <c r="S607" s="176"/>
      <c r="T607" s="176"/>
      <c r="U607" s="176"/>
      <c r="V607" s="176"/>
      <c r="W607" s="176"/>
      <c r="X607" s="176"/>
      <c r="Y607" s="176"/>
      <c r="Z607" s="176"/>
      <c r="AA607" s="176"/>
      <c r="AB607" s="176"/>
      <c r="AC607" s="176"/>
      <c r="AD607" s="176"/>
      <c r="AE607" s="176"/>
      <c r="AF607" s="176"/>
      <c r="AG607" s="176"/>
      <c r="AH607" s="176"/>
      <c r="AI607" s="176"/>
      <c r="AJ607" s="176"/>
      <c r="AK607" s="176"/>
      <c r="AL607" s="176"/>
      <c r="AM607" s="176"/>
      <c r="AN607" s="176"/>
      <c r="AO607" s="176"/>
      <c r="AP607" s="176"/>
      <c r="AQ607" s="176"/>
      <c r="AR607" s="176"/>
      <c r="AS607" s="176"/>
      <c r="AT607" s="176"/>
      <c r="AU607" s="176"/>
      <c r="AV607" s="176"/>
      <c r="AW607" s="176"/>
      <c r="AX607" s="176"/>
      <c r="AY607" s="176"/>
      <c r="AZ607" s="176"/>
      <c r="BA607" s="176"/>
      <c r="BB607" s="176"/>
    </row>
    <row r="608" ht="15.75" customHeight="1">
      <c r="A608" s="176"/>
      <c r="B608" s="176"/>
      <c r="C608" s="176"/>
      <c r="D608" s="176"/>
      <c r="E608" s="176"/>
      <c r="F608" s="176"/>
      <c r="G608" s="176"/>
      <c r="H608" s="176"/>
      <c r="I608" s="176"/>
      <c r="J608" s="176"/>
      <c r="K608" s="176"/>
      <c r="L608" s="176"/>
      <c r="M608" s="176"/>
      <c r="N608" s="176"/>
      <c r="O608" s="176"/>
      <c r="P608" s="176"/>
      <c r="Q608" s="176"/>
      <c r="R608" s="176"/>
      <c r="S608" s="176"/>
      <c r="T608" s="176"/>
      <c r="U608" s="176"/>
      <c r="V608" s="176"/>
      <c r="W608" s="176"/>
      <c r="X608" s="176"/>
      <c r="Y608" s="176"/>
      <c r="Z608" s="176"/>
      <c r="AA608" s="176"/>
      <c r="AB608" s="176"/>
      <c r="AC608" s="176"/>
      <c r="AD608" s="176"/>
      <c r="AE608" s="176"/>
      <c r="AF608" s="176"/>
      <c r="AG608" s="176"/>
      <c r="AH608" s="176"/>
      <c r="AI608" s="176"/>
      <c r="AJ608" s="176"/>
      <c r="AK608" s="176"/>
      <c r="AL608" s="176"/>
      <c r="AM608" s="176"/>
      <c r="AN608" s="176"/>
      <c r="AO608" s="176"/>
      <c r="AP608" s="176"/>
      <c r="AQ608" s="176"/>
      <c r="AR608" s="176"/>
      <c r="AS608" s="176"/>
      <c r="AT608" s="176"/>
      <c r="AU608" s="176"/>
      <c r="AV608" s="176"/>
      <c r="AW608" s="176"/>
      <c r="AX608" s="176"/>
      <c r="AY608" s="176"/>
      <c r="AZ608" s="176"/>
      <c r="BA608" s="176"/>
      <c r="BB608" s="176"/>
    </row>
    <row r="609" ht="15.75" customHeight="1">
      <c r="A609" s="176"/>
      <c r="B609" s="176"/>
      <c r="C609" s="176"/>
      <c r="D609" s="176"/>
      <c r="E609" s="176"/>
      <c r="F609" s="176"/>
      <c r="G609" s="176"/>
      <c r="H609" s="176"/>
      <c r="I609" s="176"/>
      <c r="J609" s="176"/>
      <c r="K609" s="176"/>
      <c r="L609" s="176"/>
      <c r="M609" s="176"/>
      <c r="N609" s="176"/>
      <c r="O609" s="176"/>
      <c r="P609" s="176"/>
      <c r="Q609" s="176"/>
      <c r="R609" s="176"/>
      <c r="S609" s="176"/>
      <c r="T609" s="176"/>
      <c r="U609" s="176"/>
      <c r="V609" s="176"/>
      <c r="W609" s="176"/>
      <c r="X609" s="176"/>
      <c r="Y609" s="176"/>
      <c r="Z609" s="176"/>
      <c r="AA609" s="176"/>
      <c r="AB609" s="176"/>
      <c r="AC609" s="176"/>
      <c r="AD609" s="176"/>
      <c r="AE609" s="176"/>
      <c r="AF609" s="176"/>
      <c r="AG609" s="176"/>
      <c r="AH609" s="176"/>
      <c r="AI609" s="176"/>
      <c r="AJ609" s="176"/>
      <c r="AK609" s="176"/>
      <c r="AL609" s="176"/>
      <c r="AM609" s="176"/>
      <c r="AN609" s="176"/>
      <c r="AO609" s="176"/>
      <c r="AP609" s="176"/>
      <c r="AQ609" s="176"/>
      <c r="AR609" s="176"/>
      <c r="AS609" s="176"/>
      <c r="AT609" s="176"/>
      <c r="AU609" s="176"/>
      <c r="AV609" s="176"/>
      <c r="AW609" s="176"/>
      <c r="AX609" s="176"/>
      <c r="AY609" s="176"/>
      <c r="AZ609" s="176"/>
      <c r="BA609" s="176"/>
      <c r="BB609" s="176"/>
    </row>
    <row r="610" ht="15.75" customHeight="1">
      <c r="A610" s="176"/>
      <c r="B610" s="176"/>
      <c r="C610" s="176"/>
      <c r="D610" s="176"/>
      <c r="E610" s="176"/>
      <c r="F610" s="176"/>
      <c r="G610" s="176"/>
      <c r="H610" s="176"/>
      <c r="I610" s="176"/>
      <c r="J610" s="176"/>
      <c r="K610" s="176"/>
      <c r="L610" s="176"/>
      <c r="M610" s="176"/>
      <c r="N610" s="176"/>
      <c r="O610" s="176"/>
      <c r="P610" s="176"/>
      <c r="Q610" s="176"/>
      <c r="R610" s="176"/>
      <c r="S610" s="176"/>
      <c r="T610" s="176"/>
      <c r="U610" s="176"/>
      <c r="V610" s="176"/>
      <c r="W610" s="176"/>
      <c r="X610" s="176"/>
      <c r="Y610" s="176"/>
      <c r="Z610" s="176"/>
      <c r="AA610" s="176"/>
      <c r="AB610" s="176"/>
      <c r="AC610" s="176"/>
      <c r="AD610" s="176"/>
      <c r="AE610" s="176"/>
      <c r="AF610" s="176"/>
      <c r="AG610" s="176"/>
      <c r="AH610" s="176"/>
      <c r="AI610" s="176"/>
      <c r="AJ610" s="176"/>
      <c r="AK610" s="176"/>
      <c r="AL610" s="176"/>
      <c r="AM610" s="176"/>
      <c r="AN610" s="176"/>
      <c r="AO610" s="176"/>
      <c r="AP610" s="176"/>
      <c r="AQ610" s="176"/>
      <c r="AR610" s="176"/>
      <c r="AS610" s="176"/>
      <c r="AT610" s="176"/>
      <c r="AU610" s="176"/>
      <c r="AV610" s="176"/>
      <c r="AW610" s="176"/>
      <c r="AX610" s="176"/>
      <c r="AY610" s="176"/>
      <c r="AZ610" s="176"/>
      <c r="BA610" s="176"/>
      <c r="BB610" s="176"/>
    </row>
    <row r="611" ht="15.75" customHeight="1">
      <c r="A611" s="176"/>
      <c r="B611" s="176"/>
      <c r="C611" s="176"/>
      <c r="D611" s="176"/>
      <c r="E611" s="176"/>
      <c r="F611" s="176"/>
      <c r="G611" s="176"/>
      <c r="H611" s="176"/>
      <c r="I611" s="176"/>
      <c r="J611" s="176"/>
      <c r="K611" s="176"/>
      <c r="L611" s="176"/>
      <c r="M611" s="176"/>
      <c r="N611" s="176"/>
      <c r="O611" s="176"/>
      <c r="P611" s="176"/>
      <c r="Q611" s="176"/>
      <c r="R611" s="176"/>
      <c r="S611" s="176"/>
      <c r="T611" s="176"/>
      <c r="U611" s="176"/>
      <c r="V611" s="176"/>
      <c r="W611" s="176"/>
      <c r="X611" s="176"/>
      <c r="Y611" s="176"/>
      <c r="Z611" s="176"/>
      <c r="AA611" s="176"/>
      <c r="AB611" s="176"/>
      <c r="AC611" s="176"/>
      <c r="AD611" s="176"/>
      <c r="AE611" s="176"/>
      <c r="AF611" s="176"/>
      <c r="AG611" s="176"/>
      <c r="AH611" s="176"/>
      <c r="AI611" s="176"/>
      <c r="AJ611" s="176"/>
      <c r="AK611" s="176"/>
      <c r="AL611" s="176"/>
      <c r="AM611" s="176"/>
      <c r="AN611" s="176"/>
      <c r="AO611" s="176"/>
      <c r="AP611" s="176"/>
      <c r="AQ611" s="176"/>
      <c r="AR611" s="176"/>
      <c r="AS611" s="176"/>
      <c r="AT611" s="176"/>
      <c r="AU611" s="176"/>
      <c r="AV611" s="176"/>
      <c r="AW611" s="176"/>
      <c r="AX611" s="176"/>
      <c r="AY611" s="176"/>
      <c r="AZ611" s="176"/>
      <c r="BA611" s="176"/>
      <c r="BB611" s="176"/>
    </row>
    <row r="612" ht="15.75" customHeight="1">
      <c r="A612" s="176"/>
      <c r="B612" s="176"/>
      <c r="C612" s="176"/>
      <c r="D612" s="176"/>
      <c r="E612" s="176"/>
      <c r="F612" s="176"/>
      <c r="G612" s="176"/>
      <c r="H612" s="176"/>
      <c r="I612" s="176"/>
      <c r="J612" s="176"/>
      <c r="K612" s="176"/>
      <c r="L612" s="176"/>
      <c r="M612" s="176"/>
      <c r="N612" s="176"/>
      <c r="O612" s="176"/>
      <c r="P612" s="176"/>
      <c r="Q612" s="176"/>
      <c r="R612" s="176"/>
      <c r="S612" s="176"/>
      <c r="T612" s="176"/>
      <c r="U612" s="176"/>
      <c r="V612" s="176"/>
      <c r="W612" s="176"/>
      <c r="X612" s="176"/>
      <c r="Y612" s="176"/>
      <c r="Z612" s="176"/>
      <c r="AA612" s="176"/>
      <c r="AB612" s="176"/>
      <c r="AC612" s="176"/>
      <c r="AD612" s="176"/>
      <c r="AE612" s="176"/>
      <c r="AF612" s="176"/>
      <c r="AG612" s="176"/>
      <c r="AH612" s="176"/>
      <c r="AI612" s="176"/>
      <c r="AJ612" s="176"/>
      <c r="AK612" s="176"/>
      <c r="AL612" s="176"/>
      <c r="AM612" s="176"/>
      <c r="AN612" s="176"/>
      <c r="AO612" s="176"/>
      <c r="AP612" s="176"/>
      <c r="AQ612" s="176"/>
      <c r="AR612" s="176"/>
      <c r="AS612" s="176"/>
      <c r="AT612" s="176"/>
      <c r="AU612" s="176"/>
      <c r="AV612" s="176"/>
      <c r="AW612" s="176"/>
      <c r="AX612" s="176"/>
      <c r="AY612" s="176"/>
      <c r="AZ612" s="176"/>
      <c r="BA612" s="176"/>
      <c r="BB612" s="176"/>
    </row>
    <row r="613" ht="15.75" customHeight="1">
      <c r="A613" s="176"/>
      <c r="B613" s="176"/>
      <c r="C613" s="176"/>
      <c r="D613" s="176"/>
      <c r="E613" s="176"/>
      <c r="F613" s="176"/>
      <c r="G613" s="176"/>
      <c r="H613" s="176"/>
      <c r="I613" s="176"/>
      <c r="J613" s="176"/>
      <c r="K613" s="176"/>
      <c r="L613" s="176"/>
      <c r="M613" s="176"/>
      <c r="N613" s="176"/>
      <c r="O613" s="176"/>
      <c r="P613" s="176"/>
      <c r="Q613" s="176"/>
      <c r="R613" s="176"/>
      <c r="S613" s="176"/>
      <c r="T613" s="176"/>
      <c r="U613" s="176"/>
      <c r="V613" s="176"/>
      <c r="W613" s="176"/>
      <c r="X613" s="176"/>
      <c r="Y613" s="176"/>
      <c r="Z613" s="176"/>
      <c r="AA613" s="176"/>
      <c r="AB613" s="176"/>
      <c r="AC613" s="176"/>
      <c r="AD613" s="176"/>
      <c r="AE613" s="176"/>
      <c r="AF613" s="176"/>
      <c r="AG613" s="176"/>
      <c r="AH613" s="176"/>
      <c r="AI613" s="176"/>
      <c r="AJ613" s="176"/>
      <c r="AK613" s="176"/>
      <c r="AL613" s="176"/>
      <c r="AM613" s="176"/>
      <c r="AN613" s="176"/>
      <c r="AO613" s="176"/>
      <c r="AP613" s="176"/>
      <c r="AQ613" s="176"/>
      <c r="AR613" s="176"/>
      <c r="AS613" s="176"/>
      <c r="AT613" s="176"/>
      <c r="AU613" s="176"/>
      <c r="AV613" s="176"/>
      <c r="AW613" s="176"/>
      <c r="AX613" s="176"/>
      <c r="AY613" s="176"/>
      <c r="AZ613" s="176"/>
      <c r="BA613" s="176"/>
      <c r="BB613" s="176"/>
    </row>
    <row r="614" ht="15.75" customHeight="1">
      <c r="A614" s="176"/>
      <c r="B614" s="176"/>
      <c r="C614" s="176"/>
      <c r="D614" s="176"/>
      <c r="E614" s="176"/>
      <c r="F614" s="176"/>
      <c r="G614" s="176"/>
      <c r="H614" s="176"/>
      <c r="I614" s="176"/>
      <c r="J614" s="176"/>
      <c r="K614" s="176"/>
      <c r="L614" s="176"/>
      <c r="M614" s="176"/>
      <c r="N614" s="176"/>
      <c r="O614" s="176"/>
      <c r="P614" s="176"/>
      <c r="Q614" s="176"/>
      <c r="R614" s="176"/>
      <c r="S614" s="176"/>
      <c r="T614" s="176"/>
      <c r="U614" s="176"/>
      <c r="V614" s="176"/>
      <c r="W614" s="176"/>
      <c r="X614" s="176"/>
      <c r="Y614" s="176"/>
      <c r="Z614" s="176"/>
      <c r="AA614" s="176"/>
      <c r="AB614" s="176"/>
      <c r="AC614" s="176"/>
      <c r="AD614" s="176"/>
      <c r="AE614" s="176"/>
      <c r="AF614" s="176"/>
      <c r="AG614" s="176"/>
      <c r="AH614" s="176"/>
      <c r="AI614" s="176"/>
      <c r="AJ614" s="176"/>
      <c r="AK614" s="176"/>
      <c r="AL614" s="176"/>
      <c r="AM614" s="176"/>
      <c r="AN614" s="176"/>
      <c r="AO614" s="176"/>
      <c r="AP614" s="176"/>
      <c r="AQ614" s="176"/>
      <c r="AR614" s="176"/>
      <c r="AS614" s="176"/>
      <c r="AT614" s="176"/>
      <c r="AU614" s="176"/>
      <c r="AV614" s="176"/>
      <c r="AW614" s="176"/>
      <c r="AX614" s="176"/>
      <c r="AY614" s="176"/>
      <c r="AZ614" s="176"/>
      <c r="BA614" s="176"/>
      <c r="BB614" s="176"/>
    </row>
    <row r="615" ht="15.75" customHeight="1">
      <c r="A615" s="176"/>
      <c r="B615" s="176"/>
      <c r="C615" s="176"/>
      <c r="D615" s="176"/>
      <c r="E615" s="176"/>
      <c r="F615" s="176"/>
      <c r="G615" s="176"/>
      <c r="H615" s="176"/>
      <c r="I615" s="176"/>
      <c r="J615" s="176"/>
      <c r="K615" s="176"/>
      <c r="L615" s="176"/>
      <c r="M615" s="176"/>
      <c r="N615" s="176"/>
      <c r="O615" s="176"/>
      <c r="P615" s="176"/>
      <c r="Q615" s="176"/>
      <c r="R615" s="176"/>
      <c r="S615" s="176"/>
      <c r="T615" s="176"/>
      <c r="U615" s="176"/>
      <c r="V615" s="176"/>
      <c r="W615" s="176"/>
      <c r="X615" s="176"/>
      <c r="Y615" s="176"/>
      <c r="Z615" s="176"/>
      <c r="AA615" s="176"/>
      <c r="AB615" s="176"/>
      <c r="AC615" s="176"/>
      <c r="AD615" s="176"/>
      <c r="AE615" s="176"/>
      <c r="AF615" s="176"/>
      <c r="AG615" s="176"/>
      <c r="AH615" s="176"/>
      <c r="AI615" s="176"/>
      <c r="AJ615" s="176"/>
      <c r="AK615" s="176"/>
      <c r="AL615" s="176"/>
      <c r="AM615" s="176"/>
      <c r="AN615" s="176"/>
      <c r="AO615" s="176"/>
      <c r="AP615" s="176"/>
      <c r="AQ615" s="176"/>
      <c r="AR615" s="176"/>
      <c r="AS615" s="176"/>
      <c r="AT615" s="176"/>
      <c r="AU615" s="176"/>
      <c r="AV615" s="176"/>
      <c r="AW615" s="176"/>
      <c r="AX615" s="176"/>
      <c r="AY615" s="176"/>
      <c r="AZ615" s="176"/>
      <c r="BA615" s="176"/>
      <c r="BB615" s="176"/>
    </row>
    <row r="616" ht="15.75" customHeight="1">
      <c r="A616" s="176"/>
      <c r="B616" s="176"/>
      <c r="C616" s="176"/>
      <c r="D616" s="176"/>
      <c r="E616" s="176"/>
      <c r="F616" s="176"/>
      <c r="G616" s="176"/>
      <c r="H616" s="176"/>
      <c r="I616" s="176"/>
      <c r="J616" s="176"/>
      <c r="K616" s="176"/>
      <c r="L616" s="176"/>
      <c r="M616" s="176"/>
      <c r="N616" s="176"/>
      <c r="O616" s="176"/>
      <c r="P616" s="176"/>
      <c r="Q616" s="176"/>
      <c r="R616" s="176"/>
      <c r="S616" s="176"/>
      <c r="T616" s="176"/>
      <c r="U616" s="176"/>
      <c r="V616" s="176"/>
      <c r="W616" s="176"/>
      <c r="X616" s="176"/>
      <c r="Y616" s="176"/>
      <c r="Z616" s="176"/>
      <c r="AA616" s="176"/>
      <c r="AB616" s="176"/>
      <c r="AC616" s="176"/>
      <c r="AD616" s="176"/>
      <c r="AE616" s="176"/>
      <c r="AF616" s="176"/>
      <c r="AG616" s="176"/>
      <c r="AH616" s="176"/>
      <c r="AI616" s="176"/>
      <c r="AJ616" s="176"/>
      <c r="AK616" s="176"/>
      <c r="AL616" s="176"/>
      <c r="AM616" s="176"/>
      <c r="AN616" s="176"/>
      <c r="AO616" s="176"/>
      <c r="AP616" s="176"/>
      <c r="AQ616" s="176"/>
      <c r="AR616" s="176"/>
      <c r="AS616" s="176"/>
      <c r="AT616" s="176"/>
      <c r="AU616" s="176"/>
      <c r="AV616" s="176"/>
      <c r="AW616" s="176"/>
      <c r="AX616" s="176"/>
      <c r="AY616" s="176"/>
      <c r="AZ616" s="176"/>
      <c r="BA616" s="176"/>
      <c r="BB616" s="176"/>
    </row>
    <row r="617" ht="15.75" customHeight="1">
      <c r="A617" s="176"/>
      <c r="B617" s="176"/>
      <c r="C617" s="176"/>
      <c r="D617" s="176"/>
      <c r="E617" s="176"/>
      <c r="F617" s="176"/>
      <c r="G617" s="176"/>
      <c r="H617" s="176"/>
      <c r="I617" s="176"/>
      <c r="J617" s="176"/>
      <c r="K617" s="176"/>
      <c r="L617" s="176"/>
      <c r="M617" s="176"/>
      <c r="N617" s="176"/>
      <c r="O617" s="176"/>
      <c r="P617" s="176"/>
      <c r="Q617" s="176"/>
      <c r="R617" s="176"/>
      <c r="S617" s="176"/>
      <c r="T617" s="176"/>
      <c r="U617" s="176"/>
      <c r="V617" s="176"/>
      <c r="W617" s="176"/>
      <c r="X617" s="176"/>
      <c r="Y617" s="176"/>
      <c r="Z617" s="176"/>
      <c r="AA617" s="176"/>
      <c r="AB617" s="176"/>
      <c r="AC617" s="176"/>
      <c r="AD617" s="176"/>
      <c r="AE617" s="176"/>
      <c r="AF617" s="176"/>
      <c r="AG617" s="176"/>
      <c r="AH617" s="176"/>
      <c r="AI617" s="176"/>
      <c r="AJ617" s="176"/>
      <c r="AK617" s="176"/>
      <c r="AL617" s="176"/>
      <c r="AM617" s="176"/>
      <c r="AN617" s="176"/>
      <c r="AO617" s="176"/>
      <c r="AP617" s="176"/>
      <c r="AQ617" s="176"/>
      <c r="AR617" s="176"/>
      <c r="AS617" s="176"/>
      <c r="AT617" s="176"/>
      <c r="AU617" s="176"/>
      <c r="AV617" s="176"/>
      <c r="AW617" s="176"/>
      <c r="AX617" s="176"/>
      <c r="AY617" s="176"/>
      <c r="AZ617" s="176"/>
      <c r="BA617" s="176"/>
      <c r="BB617" s="176"/>
    </row>
    <row r="618" ht="15.75" customHeight="1">
      <c r="A618" s="176"/>
      <c r="B618" s="176"/>
      <c r="C618" s="176"/>
      <c r="D618" s="176"/>
      <c r="E618" s="176"/>
      <c r="F618" s="176"/>
      <c r="G618" s="176"/>
      <c r="H618" s="176"/>
      <c r="I618" s="176"/>
      <c r="J618" s="176"/>
      <c r="K618" s="176"/>
      <c r="L618" s="176"/>
      <c r="M618" s="176"/>
      <c r="N618" s="176"/>
      <c r="O618" s="176"/>
      <c r="P618" s="176"/>
      <c r="Q618" s="176"/>
      <c r="R618" s="176"/>
      <c r="S618" s="176"/>
      <c r="T618" s="176"/>
      <c r="U618" s="176"/>
      <c r="V618" s="176"/>
      <c r="W618" s="176"/>
      <c r="X618" s="176"/>
      <c r="Y618" s="176"/>
      <c r="Z618" s="176"/>
      <c r="AA618" s="176"/>
      <c r="AB618" s="176"/>
      <c r="AC618" s="176"/>
      <c r="AD618" s="176"/>
      <c r="AE618" s="176"/>
      <c r="AF618" s="176"/>
      <c r="AG618" s="176"/>
      <c r="AH618" s="176"/>
      <c r="AI618" s="176"/>
      <c r="AJ618" s="176"/>
      <c r="AK618" s="176"/>
      <c r="AL618" s="176"/>
      <c r="AM618" s="176"/>
      <c r="AN618" s="176"/>
      <c r="AO618" s="176"/>
      <c r="AP618" s="176"/>
      <c r="AQ618" s="176"/>
      <c r="AR618" s="176"/>
      <c r="AS618" s="176"/>
      <c r="AT618" s="176"/>
      <c r="AU618" s="176"/>
      <c r="AV618" s="176"/>
      <c r="AW618" s="176"/>
      <c r="AX618" s="176"/>
      <c r="AY618" s="176"/>
      <c r="AZ618" s="176"/>
      <c r="BA618" s="176"/>
      <c r="BB618" s="176"/>
    </row>
    <row r="619" ht="15.75" customHeight="1">
      <c r="A619" s="176"/>
      <c r="B619" s="176"/>
      <c r="C619" s="176"/>
      <c r="D619" s="176"/>
      <c r="E619" s="176"/>
      <c r="F619" s="176"/>
      <c r="G619" s="176"/>
      <c r="H619" s="176"/>
      <c r="I619" s="176"/>
      <c r="J619" s="176"/>
      <c r="K619" s="176"/>
      <c r="L619" s="176"/>
      <c r="M619" s="176"/>
      <c r="N619" s="176"/>
      <c r="O619" s="176"/>
      <c r="P619" s="176"/>
      <c r="Q619" s="176"/>
      <c r="R619" s="176"/>
      <c r="S619" s="176"/>
      <c r="T619" s="176"/>
      <c r="U619" s="176"/>
      <c r="V619" s="176"/>
      <c r="W619" s="176"/>
      <c r="X619" s="176"/>
      <c r="Y619" s="176"/>
      <c r="Z619" s="176"/>
      <c r="AA619" s="176"/>
      <c r="AB619" s="176"/>
      <c r="AC619" s="176"/>
      <c r="AD619" s="176"/>
      <c r="AE619" s="176"/>
      <c r="AF619" s="176"/>
      <c r="AG619" s="176"/>
      <c r="AH619" s="176"/>
      <c r="AI619" s="176"/>
      <c r="AJ619" s="176"/>
      <c r="AK619" s="176"/>
      <c r="AL619" s="176"/>
      <c r="AM619" s="176"/>
      <c r="AN619" s="176"/>
      <c r="AO619" s="176"/>
      <c r="AP619" s="176"/>
      <c r="AQ619" s="176"/>
      <c r="AR619" s="176"/>
      <c r="AS619" s="176"/>
      <c r="AT619" s="176"/>
      <c r="AU619" s="176"/>
      <c r="AV619" s="176"/>
      <c r="AW619" s="176"/>
      <c r="AX619" s="176"/>
      <c r="AY619" s="176"/>
      <c r="AZ619" s="176"/>
      <c r="BA619" s="176"/>
      <c r="BB619" s="176"/>
    </row>
    <row r="620" ht="15.75" customHeight="1">
      <c r="A620" s="176"/>
      <c r="B620" s="176"/>
      <c r="C620" s="176"/>
      <c r="D620" s="176"/>
      <c r="E620" s="176"/>
      <c r="F620" s="176"/>
      <c r="G620" s="176"/>
      <c r="H620" s="176"/>
      <c r="I620" s="176"/>
      <c r="J620" s="176"/>
      <c r="K620" s="176"/>
      <c r="L620" s="176"/>
      <c r="M620" s="176"/>
      <c r="N620" s="176"/>
      <c r="O620" s="176"/>
      <c r="P620" s="176"/>
      <c r="Q620" s="176"/>
      <c r="R620" s="176"/>
      <c r="S620" s="176"/>
      <c r="T620" s="176"/>
      <c r="U620" s="176"/>
      <c r="V620" s="176"/>
      <c r="W620" s="176"/>
      <c r="X620" s="176"/>
      <c r="Y620" s="176"/>
      <c r="Z620" s="176"/>
      <c r="AA620" s="176"/>
      <c r="AB620" s="176"/>
      <c r="AC620" s="176"/>
      <c r="AD620" s="176"/>
      <c r="AE620" s="176"/>
      <c r="AF620" s="176"/>
      <c r="AG620" s="176"/>
      <c r="AH620" s="176"/>
      <c r="AI620" s="176"/>
      <c r="AJ620" s="176"/>
      <c r="AK620" s="176"/>
      <c r="AL620" s="176"/>
      <c r="AM620" s="176"/>
      <c r="AN620" s="176"/>
      <c r="AO620" s="176"/>
      <c r="AP620" s="176"/>
      <c r="AQ620" s="176"/>
      <c r="AR620" s="176"/>
      <c r="AS620" s="176"/>
      <c r="AT620" s="176"/>
      <c r="AU620" s="176"/>
      <c r="AV620" s="176"/>
      <c r="AW620" s="176"/>
      <c r="AX620" s="176"/>
      <c r="AY620" s="176"/>
      <c r="AZ620" s="176"/>
      <c r="BA620" s="176"/>
      <c r="BB620" s="176"/>
    </row>
    <row r="621" ht="15.75" customHeight="1">
      <c r="A621" s="176"/>
      <c r="B621" s="176"/>
      <c r="C621" s="176"/>
      <c r="D621" s="176"/>
      <c r="E621" s="176"/>
      <c r="F621" s="176"/>
      <c r="G621" s="176"/>
      <c r="H621" s="176"/>
      <c r="I621" s="176"/>
      <c r="J621" s="176"/>
      <c r="K621" s="176"/>
      <c r="L621" s="176"/>
      <c r="M621" s="176"/>
      <c r="N621" s="176"/>
      <c r="O621" s="176"/>
      <c r="P621" s="176"/>
      <c r="Q621" s="176"/>
      <c r="R621" s="176"/>
      <c r="S621" s="176"/>
      <c r="T621" s="176"/>
      <c r="U621" s="176"/>
      <c r="V621" s="176"/>
      <c r="W621" s="176"/>
      <c r="X621" s="176"/>
      <c r="Y621" s="176"/>
      <c r="Z621" s="176"/>
      <c r="AA621" s="176"/>
      <c r="AB621" s="176"/>
      <c r="AC621" s="176"/>
      <c r="AD621" s="176"/>
      <c r="AE621" s="176"/>
      <c r="AF621" s="176"/>
      <c r="AG621" s="176"/>
      <c r="AH621" s="176"/>
      <c r="AI621" s="176"/>
      <c r="AJ621" s="176"/>
      <c r="AK621" s="176"/>
      <c r="AL621" s="176"/>
      <c r="AM621" s="176"/>
      <c r="AN621" s="176"/>
      <c r="AO621" s="176"/>
      <c r="AP621" s="176"/>
      <c r="AQ621" s="176"/>
      <c r="AR621" s="176"/>
      <c r="AS621" s="176"/>
      <c r="AT621" s="176"/>
      <c r="AU621" s="176"/>
      <c r="AV621" s="176"/>
      <c r="AW621" s="176"/>
      <c r="AX621" s="176"/>
      <c r="AY621" s="176"/>
      <c r="AZ621" s="176"/>
      <c r="BA621" s="176"/>
      <c r="BB621" s="176"/>
    </row>
    <row r="622" ht="15.75" customHeight="1">
      <c r="A622" s="176"/>
      <c r="B622" s="176"/>
      <c r="C622" s="176"/>
      <c r="D622" s="176"/>
      <c r="E622" s="176"/>
      <c r="F622" s="176"/>
      <c r="G622" s="176"/>
      <c r="H622" s="176"/>
      <c r="I622" s="176"/>
      <c r="J622" s="176"/>
      <c r="K622" s="176"/>
      <c r="L622" s="176"/>
      <c r="M622" s="176"/>
      <c r="N622" s="176"/>
      <c r="O622" s="176"/>
      <c r="P622" s="176"/>
      <c r="Q622" s="176"/>
      <c r="R622" s="176"/>
      <c r="S622" s="176"/>
      <c r="T622" s="176"/>
      <c r="U622" s="176"/>
      <c r="V622" s="176"/>
      <c r="W622" s="176"/>
      <c r="X622" s="176"/>
      <c r="Y622" s="176"/>
      <c r="Z622" s="176"/>
      <c r="AA622" s="176"/>
      <c r="AB622" s="176"/>
      <c r="AC622" s="176"/>
      <c r="AD622" s="176"/>
      <c r="AE622" s="176"/>
      <c r="AF622" s="176"/>
      <c r="AG622" s="176"/>
      <c r="AH622" s="176"/>
      <c r="AI622" s="176"/>
      <c r="AJ622" s="176"/>
      <c r="AK622" s="176"/>
      <c r="AL622" s="176"/>
      <c r="AM622" s="176"/>
      <c r="AN622" s="176"/>
      <c r="AO622" s="176"/>
      <c r="AP622" s="176"/>
      <c r="AQ622" s="176"/>
      <c r="AR622" s="176"/>
      <c r="AS622" s="176"/>
      <c r="AT622" s="176"/>
      <c r="AU622" s="176"/>
      <c r="AV622" s="176"/>
      <c r="AW622" s="176"/>
      <c r="AX622" s="176"/>
      <c r="AY622" s="176"/>
      <c r="AZ622" s="176"/>
      <c r="BA622" s="176"/>
      <c r="BB622" s="176"/>
    </row>
    <row r="623" ht="15.75" customHeight="1">
      <c r="A623" s="176"/>
      <c r="B623" s="176"/>
      <c r="C623" s="176"/>
      <c r="D623" s="176"/>
      <c r="E623" s="176"/>
      <c r="F623" s="176"/>
      <c r="G623" s="176"/>
      <c r="H623" s="176"/>
      <c r="I623" s="176"/>
      <c r="J623" s="176"/>
      <c r="K623" s="176"/>
      <c r="L623" s="176"/>
      <c r="M623" s="176"/>
      <c r="N623" s="176"/>
      <c r="O623" s="176"/>
      <c r="P623" s="176"/>
      <c r="Q623" s="176"/>
      <c r="R623" s="176"/>
      <c r="S623" s="176"/>
      <c r="T623" s="176"/>
      <c r="U623" s="176"/>
      <c r="V623" s="176"/>
      <c r="W623" s="176"/>
      <c r="X623" s="176"/>
      <c r="Y623" s="176"/>
      <c r="Z623" s="176"/>
      <c r="AA623" s="176"/>
      <c r="AB623" s="176"/>
      <c r="AC623" s="176"/>
      <c r="AD623" s="176"/>
      <c r="AE623" s="176"/>
      <c r="AF623" s="176"/>
      <c r="AG623" s="176"/>
      <c r="AH623" s="176"/>
      <c r="AI623" s="176"/>
      <c r="AJ623" s="176"/>
      <c r="AK623" s="176"/>
      <c r="AL623" s="176"/>
      <c r="AM623" s="176"/>
      <c r="AN623" s="176"/>
      <c r="AO623" s="176"/>
      <c r="AP623" s="176"/>
      <c r="AQ623" s="176"/>
      <c r="AR623" s="176"/>
      <c r="AS623" s="176"/>
      <c r="AT623" s="176"/>
      <c r="AU623" s="176"/>
      <c r="AV623" s="176"/>
      <c r="AW623" s="176"/>
      <c r="AX623" s="176"/>
      <c r="AY623" s="176"/>
      <c r="AZ623" s="176"/>
      <c r="BA623" s="176"/>
      <c r="BB623" s="176"/>
    </row>
    <row r="624" ht="15.75" customHeight="1">
      <c r="A624" s="176"/>
      <c r="B624" s="176"/>
      <c r="C624" s="176"/>
      <c r="D624" s="176"/>
      <c r="E624" s="176"/>
      <c r="F624" s="176"/>
      <c r="G624" s="176"/>
      <c r="H624" s="176"/>
      <c r="I624" s="176"/>
      <c r="J624" s="176"/>
      <c r="K624" s="176"/>
      <c r="L624" s="176"/>
      <c r="M624" s="176"/>
      <c r="N624" s="176"/>
      <c r="O624" s="176"/>
      <c r="P624" s="176"/>
      <c r="Q624" s="176"/>
      <c r="R624" s="176"/>
      <c r="S624" s="176"/>
      <c r="T624" s="176"/>
      <c r="U624" s="176"/>
      <c r="V624" s="176"/>
      <c r="W624" s="176"/>
      <c r="X624" s="176"/>
      <c r="Y624" s="176"/>
      <c r="Z624" s="176"/>
      <c r="AA624" s="176"/>
      <c r="AB624" s="176"/>
      <c r="AC624" s="176"/>
      <c r="AD624" s="176"/>
      <c r="AE624" s="176"/>
      <c r="AF624" s="176"/>
      <c r="AG624" s="176"/>
      <c r="AH624" s="176"/>
      <c r="AI624" s="176"/>
      <c r="AJ624" s="176"/>
      <c r="AK624" s="176"/>
      <c r="AL624" s="176"/>
      <c r="AM624" s="176"/>
      <c r="AN624" s="176"/>
      <c r="AO624" s="176"/>
      <c r="AP624" s="176"/>
      <c r="AQ624" s="176"/>
      <c r="AR624" s="176"/>
      <c r="AS624" s="176"/>
      <c r="AT624" s="176"/>
      <c r="AU624" s="176"/>
      <c r="AV624" s="176"/>
      <c r="AW624" s="176"/>
      <c r="AX624" s="176"/>
      <c r="AY624" s="176"/>
      <c r="AZ624" s="176"/>
      <c r="BA624" s="176"/>
      <c r="BB624" s="176"/>
    </row>
    <row r="625" ht="15.75" customHeight="1">
      <c r="A625" s="176"/>
      <c r="B625" s="176"/>
      <c r="C625" s="176"/>
      <c r="D625" s="176"/>
      <c r="E625" s="176"/>
      <c r="F625" s="176"/>
      <c r="G625" s="176"/>
      <c r="H625" s="176"/>
      <c r="I625" s="176"/>
      <c r="J625" s="176"/>
      <c r="K625" s="176"/>
      <c r="L625" s="176"/>
      <c r="M625" s="176"/>
      <c r="N625" s="176"/>
      <c r="O625" s="176"/>
      <c r="P625" s="176"/>
      <c r="Q625" s="176"/>
      <c r="R625" s="176"/>
      <c r="S625" s="176"/>
      <c r="T625" s="176"/>
      <c r="U625" s="176"/>
      <c r="V625" s="176"/>
      <c r="W625" s="176"/>
      <c r="X625" s="176"/>
      <c r="Y625" s="176"/>
      <c r="Z625" s="176"/>
      <c r="AA625" s="176"/>
      <c r="AB625" s="176"/>
      <c r="AC625" s="176"/>
      <c r="AD625" s="176"/>
      <c r="AE625" s="176"/>
      <c r="AF625" s="176"/>
      <c r="AG625" s="176"/>
      <c r="AH625" s="176"/>
      <c r="AI625" s="176"/>
      <c r="AJ625" s="176"/>
      <c r="AK625" s="176"/>
      <c r="AL625" s="176"/>
      <c r="AM625" s="176"/>
      <c r="AN625" s="176"/>
      <c r="AO625" s="176"/>
      <c r="AP625" s="176"/>
      <c r="AQ625" s="176"/>
      <c r="AR625" s="176"/>
      <c r="AS625" s="176"/>
      <c r="AT625" s="176"/>
      <c r="AU625" s="176"/>
      <c r="AV625" s="176"/>
      <c r="AW625" s="176"/>
      <c r="AX625" s="176"/>
      <c r="AY625" s="176"/>
      <c r="AZ625" s="176"/>
      <c r="BA625" s="176"/>
      <c r="BB625" s="176"/>
    </row>
    <row r="626" ht="15.75" customHeight="1">
      <c r="A626" s="176"/>
      <c r="B626" s="176"/>
      <c r="C626" s="176"/>
      <c r="D626" s="176"/>
      <c r="E626" s="176"/>
      <c r="F626" s="176"/>
      <c r="G626" s="176"/>
      <c r="H626" s="176"/>
      <c r="I626" s="176"/>
      <c r="J626" s="176"/>
      <c r="K626" s="176"/>
      <c r="L626" s="176"/>
      <c r="M626" s="176"/>
      <c r="N626" s="176"/>
      <c r="O626" s="176"/>
      <c r="P626" s="176"/>
      <c r="Q626" s="176"/>
      <c r="R626" s="176"/>
      <c r="S626" s="176"/>
      <c r="T626" s="176"/>
      <c r="U626" s="176"/>
      <c r="V626" s="176"/>
      <c r="W626" s="176"/>
      <c r="X626" s="176"/>
      <c r="Y626" s="176"/>
      <c r="Z626" s="176"/>
      <c r="AA626" s="176"/>
      <c r="AB626" s="176"/>
      <c r="AC626" s="176"/>
      <c r="AD626" s="176"/>
      <c r="AE626" s="176"/>
      <c r="AF626" s="176"/>
      <c r="AG626" s="176"/>
      <c r="AH626" s="176"/>
      <c r="AI626" s="176"/>
      <c r="AJ626" s="176"/>
      <c r="AK626" s="176"/>
      <c r="AL626" s="176"/>
      <c r="AM626" s="176"/>
      <c r="AN626" s="176"/>
      <c r="AO626" s="176"/>
      <c r="AP626" s="176"/>
      <c r="AQ626" s="176"/>
      <c r="AR626" s="176"/>
      <c r="AS626" s="176"/>
      <c r="AT626" s="176"/>
      <c r="AU626" s="176"/>
      <c r="AV626" s="176"/>
      <c r="AW626" s="176"/>
      <c r="AX626" s="176"/>
      <c r="AY626" s="176"/>
      <c r="AZ626" s="176"/>
      <c r="BA626" s="176"/>
      <c r="BB626" s="176"/>
    </row>
    <row r="627" ht="15.75" customHeight="1">
      <c r="A627" s="176"/>
      <c r="B627" s="176"/>
      <c r="C627" s="176"/>
      <c r="D627" s="176"/>
      <c r="E627" s="176"/>
      <c r="F627" s="176"/>
      <c r="G627" s="176"/>
      <c r="H627" s="176"/>
      <c r="I627" s="176"/>
      <c r="J627" s="176"/>
      <c r="K627" s="176"/>
      <c r="L627" s="176"/>
      <c r="M627" s="176"/>
      <c r="N627" s="176"/>
      <c r="O627" s="176"/>
      <c r="P627" s="176"/>
      <c r="Q627" s="176"/>
      <c r="R627" s="176"/>
      <c r="S627" s="176"/>
      <c r="T627" s="176"/>
      <c r="U627" s="176"/>
      <c r="V627" s="176"/>
      <c r="W627" s="176"/>
      <c r="X627" s="176"/>
      <c r="Y627" s="176"/>
      <c r="Z627" s="176"/>
      <c r="AA627" s="176"/>
      <c r="AB627" s="176"/>
      <c r="AC627" s="176"/>
      <c r="AD627" s="176"/>
      <c r="AE627" s="176"/>
      <c r="AF627" s="176"/>
      <c r="AG627" s="176"/>
      <c r="AH627" s="176"/>
      <c r="AI627" s="176"/>
      <c r="AJ627" s="176"/>
      <c r="AK627" s="176"/>
      <c r="AL627" s="176"/>
      <c r="AM627" s="176"/>
      <c r="AN627" s="176"/>
      <c r="AO627" s="176"/>
      <c r="AP627" s="176"/>
      <c r="AQ627" s="176"/>
      <c r="AR627" s="176"/>
      <c r="AS627" s="176"/>
      <c r="AT627" s="176"/>
      <c r="AU627" s="176"/>
      <c r="AV627" s="176"/>
      <c r="AW627" s="176"/>
      <c r="AX627" s="176"/>
      <c r="AY627" s="176"/>
      <c r="AZ627" s="176"/>
      <c r="BA627" s="176"/>
      <c r="BB627" s="176"/>
    </row>
    <row r="628" ht="15.75" customHeight="1">
      <c r="A628" s="176"/>
      <c r="B628" s="176"/>
      <c r="C628" s="176"/>
      <c r="D628" s="176"/>
      <c r="E628" s="176"/>
      <c r="F628" s="176"/>
      <c r="G628" s="176"/>
      <c r="H628" s="176"/>
      <c r="I628" s="176"/>
      <c r="J628" s="176"/>
      <c r="K628" s="176"/>
      <c r="L628" s="176"/>
      <c r="M628" s="176"/>
      <c r="N628" s="176"/>
      <c r="O628" s="176"/>
      <c r="P628" s="176"/>
      <c r="Q628" s="176"/>
      <c r="R628" s="176"/>
      <c r="S628" s="176"/>
      <c r="T628" s="176"/>
      <c r="U628" s="176"/>
      <c r="V628" s="176"/>
      <c r="W628" s="176"/>
      <c r="X628" s="176"/>
      <c r="Y628" s="176"/>
      <c r="Z628" s="176"/>
      <c r="AA628" s="176"/>
      <c r="AB628" s="176"/>
      <c r="AC628" s="176"/>
      <c r="AD628" s="176"/>
      <c r="AE628" s="176"/>
      <c r="AF628" s="176"/>
      <c r="AG628" s="176"/>
      <c r="AH628" s="176"/>
      <c r="AI628" s="176"/>
      <c r="AJ628" s="176"/>
      <c r="AK628" s="176"/>
      <c r="AL628" s="176"/>
      <c r="AM628" s="176"/>
      <c r="AN628" s="176"/>
      <c r="AO628" s="176"/>
      <c r="AP628" s="176"/>
      <c r="AQ628" s="176"/>
      <c r="AR628" s="176"/>
      <c r="AS628" s="176"/>
      <c r="AT628" s="176"/>
      <c r="AU628" s="176"/>
      <c r="AV628" s="176"/>
      <c r="AW628" s="176"/>
      <c r="AX628" s="176"/>
      <c r="AY628" s="176"/>
      <c r="AZ628" s="176"/>
      <c r="BA628" s="176"/>
      <c r="BB628" s="176"/>
    </row>
    <row r="629" ht="15.75" customHeight="1">
      <c r="A629" s="176"/>
      <c r="B629" s="176"/>
      <c r="C629" s="176"/>
      <c r="D629" s="176"/>
      <c r="E629" s="176"/>
      <c r="F629" s="176"/>
      <c r="G629" s="176"/>
      <c r="H629" s="176"/>
      <c r="I629" s="176"/>
      <c r="J629" s="176"/>
      <c r="K629" s="176"/>
      <c r="L629" s="176"/>
      <c r="M629" s="176"/>
      <c r="N629" s="176"/>
      <c r="O629" s="176"/>
      <c r="P629" s="176"/>
      <c r="Q629" s="176"/>
      <c r="R629" s="176"/>
      <c r="S629" s="176"/>
      <c r="T629" s="176"/>
      <c r="U629" s="176"/>
      <c r="V629" s="176"/>
      <c r="W629" s="176"/>
      <c r="X629" s="176"/>
      <c r="Y629" s="176"/>
      <c r="Z629" s="176"/>
      <c r="AA629" s="176"/>
      <c r="AB629" s="176"/>
      <c r="AC629" s="176"/>
      <c r="AD629" s="176"/>
      <c r="AE629" s="176"/>
      <c r="AF629" s="176"/>
      <c r="AG629" s="176"/>
      <c r="AH629" s="176"/>
      <c r="AI629" s="176"/>
      <c r="AJ629" s="176"/>
      <c r="AK629" s="176"/>
      <c r="AL629" s="176"/>
      <c r="AM629" s="176"/>
      <c r="AN629" s="176"/>
      <c r="AO629" s="176"/>
      <c r="AP629" s="176"/>
      <c r="AQ629" s="176"/>
      <c r="AR629" s="176"/>
      <c r="AS629" s="176"/>
      <c r="AT629" s="176"/>
      <c r="AU629" s="176"/>
      <c r="AV629" s="176"/>
      <c r="AW629" s="176"/>
      <c r="AX629" s="176"/>
      <c r="AY629" s="176"/>
      <c r="AZ629" s="176"/>
      <c r="BA629" s="176"/>
      <c r="BB629" s="176"/>
    </row>
    <row r="630" ht="15.75" customHeight="1">
      <c r="A630" s="176"/>
      <c r="B630" s="176"/>
      <c r="C630" s="176"/>
      <c r="D630" s="176"/>
      <c r="E630" s="176"/>
      <c r="F630" s="176"/>
      <c r="G630" s="176"/>
      <c r="H630" s="176"/>
      <c r="I630" s="176"/>
      <c r="J630" s="176"/>
      <c r="K630" s="176"/>
      <c r="L630" s="176"/>
      <c r="M630" s="176"/>
      <c r="N630" s="176"/>
      <c r="O630" s="176"/>
      <c r="P630" s="176"/>
      <c r="Q630" s="176"/>
      <c r="R630" s="176"/>
      <c r="S630" s="176"/>
      <c r="T630" s="176"/>
      <c r="U630" s="176"/>
      <c r="V630" s="176"/>
      <c r="W630" s="176"/>
      <c r="X630" s="176"/>
      <c r="Y630" s="176"/>
      <c r="Z630" s="176"/>
      <c r="AA630" s="176"/>
      <c r="AB630" s="176"/>
      <c r="AC630" s="176"/>
      <c r="AD630" s="176"/>
      <c r="AE630" s="176"/>
      <c r="AF630" s="176"/>
      <c r="AG630" s="176"/>
      <c r="AH630" s="176"/>
      <c r="AI630" s="176"/>
      <c r="AJ630" s="176"/>
      <c r="AK630" s="176"/>
      <c r="AL630" s="176"/>
      <c r="AM630" s="176"/>
      <c r="AN630" s="176"/>
      <c r="AO630" s="176"/>
      <c r="AP630" s="176"/>
      <c r="AQ630" s="176"/>
      <c r="AR630" s="176"/>
      <c r="AS630" s="176"/>
      <c r="AT630" s="176"/>
      <c r="AU630" s="176"/>
      <c r="AV630" s="176"/>
      <c r="AW630" s="176"/>
      <c r="AX630" s="176"/>
      <c r="AY630" s="176"/>
      <c r="AZ630" s="176"/>
      <c r="BA630" s="176"/>
      <c r="BB630" s="176"/>
    </row>
    <row r="631" ht="15.75" customHeight="1">
      <c r="A631" s="176"/>
      <c r="B631" s="176"/>
      <c r="C631" s="176"/>
      <c r="D631" s="176"/>
      <c r="E631" s="176"/>
      <c r="F631" s="176"/>
      <c r="G631" s="176"/>
      <c r="H631" s="176"/>
      <c r="I631" s="176"/>
      <c r="J631" s="176"/>
      <c r="K631" s="176"/>
      <c r="L631" s="176"/>
      <c r="M631" s="176"/>
      <c r="N631" s="176"/>
      <c r="O631" s="176"/>
      <c r="P631" s="176"/>
      <c r="Q631" s="176"/>
      <c r="R631" s="176"/>
      <c r="S631" s="176"/>
      <c r="T631" s="176"/>
      <c r="U631" s="176"/>
      <c r="V631" s="176"/>
      <c r="W631" s="176"/>
      <c r="X631" s="176"/>
      <c r="Y631" s="176"/>
      <c r="Z631" s="176"/>
      <c r="AA631" s="176"/>
      <c r="AB631" s="176"/>
      <c r="AC631" s="176"/>
      <c r="AD631" s="176"/>
      <c r="AE631" s="176"/>
      <c r="AF631" s="176"/>
      <c r="AG631" s="176"/>
      <c r="AH631" s="176"/>
      <c r="AI631" s="176"/>
      <c r="AJ631" s="176"/>
      <c r="AK631" s="176"/>
      <c r="AL631" s="176"/>
      <c r="AM631" s="176"/>
      <c r="AN631" s="176"/>
      <c r="AO631" s="176"/>
      <c r="AP631" s="176"/>
      <c r="AQ631" s="176"/>
      <c r="AR631" s="176"/>
      <c r="AS631" s="176"/>
      <c r="AT631" s="176"/>
      <c r="AU631" s="176"/>
      <c r="AV631" s="176"/>
      <c r="AW631" s="176"/>
      <c r="AX631" s="176"/>
      <c r="AY631" s="176"/>
      <c r="AZ631" s="176"/>
      <c r="BA631" s="176"/>
      <c r="BB631" s="176"/>
    </row>
    <row r="632" ht="15.75" customHeight="1">
      <c r="A632" s="176"/>
      <c r="B632" s="176"/>
      <c r="C632" s="176"/>
      <c r="D632" s="176"/>
      <c r="E632" s="176"/>
      <c r="F632" s="176"/>
      <c r="G632" s="176"/>
      <c r="H632" s="176"/>
      <c r="I632" s="176"/>
      <c r="J632" s="176"/>
      <c r="K632" s="176"/>
      <c r="L632" s="176"/>
      <c r="M632" s="176"/>
      <c r="N632" s="176"/>
      <c r="O632" s="176"/>
      <c r="P632" s="176"/>
      <c r="Q632" s="176"/>
      <c r="R632" s="176"/>
      <c r="S632" s="176"/>
      <c r="T632" s="176"/>
      <c r="U632" s="176"/>
      <c r="V632" s="176"/>
      <c r="W632" s="176"/>
      <c r="X632" s="176"/>
      <c r="Y632" s="176"/>
      <c r="Z632" s="176"/>
      <c r="AA632" s="176"/>
      <c r="AB632" s="176"/>
      <c r="AC632" s="176"/>
      <c r="AD632" s="176"/>
      <c r="AE632" s="176"/>
      <c r="AF632" s="176"/>
      <c r="AG632" s="176"/>
      <c r="AH632" s="176"/>
      <c r="AI632" s="176"/>
      <c r="AJ632" s="176"/>
      <c r="AK632" s="176"/>
      <c r="AL632" s="176"/>
      <c r="AM632" s="176"/>
      <c r="AN632" s="176"/>
      <c r="AO632" s="176"/>
      <c r="AP632" s="176"/>
      <c r="AQ632" s="176"/>
      <c r="AR632" s="176"/>
      <c r="AS632" s="176"/>
      <c r="AT632" s="176"/>
      <c r="AU632" s="176"/>
      <c r="AV632" s="176"/>
      <c r="AW632" s="176"/>
      <c r="AX632" s="176"/>
      <c r="AY632" s="176"/>
      <c r="AZ632" s="176"/>
      <c r="BA632" s="176"/>
      <c r="BB632" s="176"/>
    </row>
    <row r="633" ht="15.75" customHeight="1">
      <c r="A633" s="176"/>
      <c r="B633" s="176"/>
      <c r="C633" s="176"/>
      <c r="D633" s="176"/>
      <c r="E633" s="176"/>
      <c r="F633" s="176"/>
      <c r="G633" s="176"/>
      <c r="H633" s="176"/>
      <c r="I633" s="176"/>
      <c r="J633" s="176"/>
      <c r="K633" s="176"/>
      <c r="L633" s="176"/>
      <c r="M633" s="176"/>
      <c r="N633" s="176"/>
      <c r="O633" s="176"/>
      <c r="P633" s="176"/>
      <c r="Q633" s="176"/>
      <c r="R633" s="176"/>
      <c r="S633" s="176"/>
      <c r="T633" s="176"/>
      <c r="U633" s="176"/>
      <c r="V633" s="176"/>
      <c r="W633" s="176"/>
      <c r="X633" s="176"/>
      <c r="Y633" s="176"/>
      <c r="Z633" s="176"/>
      <c r="AA633" s="176"/>
      <c r="AB633" s="176"/>
      <c r="AC633" s="176"/>
      <c r="AD633" s="176"/>
      <c r="AE633" s="176"/>
      <c r="AF633" s="176"/>
      <c r="AG633" s="176"/>
      <c r="AH633" s="176"/>
      <c r="AI633" s="176"/>
      <c r="AJ633" s="176"/>
      <c r="AK633" s="176"/>
      <c r="AL633" s="176"/>
      <c r="AM633" s="176"/>
      <c r="AN633" s="176"/>
      <c r="AO633" s="176"/>
      <c r="AP633" s="176"/>
      <c r="AQ633" s="176"/>
      <c r="AR633" s="176"/>
      <c r="AS633" s="176"/>
      <c r="AT633" s="176"/>
      <c r="AU633" s="176"/>
      <c r="AV633" s="176"/>
      <c r="AW633" s="176"/>
      <c r="AX633" s="176"/>
      <c r="AY633" s="176"/>
      <c r="AZ633" s="176"/>
      <c r="BA633" s="176"/>
      <c r="BB633" s="176"/>
    </row>
    <row r="634" ht="15.75" customHeight="1">
      <c r="A634" s="176"/>
      <c r="B634" s="176"/>
      <c r="C634" s="176"/>
      <c r="D634" s="176"/>
      <c r="E634" s="176"/>
      <c r="F634" s="176"/>
      <c r="G634" s="176"/>
      <c r="H634" s="176"/>
      <c r="I634" s="176"/>
      <c r="J634" s="176"/>
      <c r="K634" s="176"/>
      <c r="L634" s="176"/>
      <c r="M634" s="176"/>
      <c r="N634" s="176"/>
      <c r="O634" s="176"/>
      <c r="P634" s="176"/>
      <c r="Q634" s="176"/>
      <c r="R634" s="176"/>
      <c r="S634" s="176"/>
      <c r="T634" s="176"/>
      <c r="U634" s="176"/>
      <c r="V634" s="176"/>
      <c r="W634" s="176"/>
      <c r="X634" s="176"/>
      <c r="Y634" s="176"/>
      <c r="Z634" s="176"/>
      <c r="AA634" s="176"/>
      <c r="AB634" s="176"/>
      <c r="AC634" s="176"/>
      <c r="AD634" s="176"/>
      <c r="AE634" s="176"/>
      <c r="AF634" s="176"/>
      <c r="AG634" s="176"/>
      <c r="AH634" s="176"/>
      <c r="AI634" s="176"/>
      <c r="AJ634" s="176"/>
      <c r="AK634" s="176"/>
      <c r="AL634" s="176"/>
      <c r="AM634" s="176"/>
      <c r="AN634" s="176"/>
      <c r="AO634" s="176"/>
      <c r="AP634" s="176"/>
      <c r="AQ634" s="176"/>
      <c r="AR634" s="176"/>
      <c r="AS634" s="176"/>
      <c r="AT634" s="176"/>
      <c r="AU634" s="176"/>
      <c r="AV634" s="176"/>
      <c r="AW634" s="176"/>
      <c r="AX634" s="176"/>
      <c r="AY634" s="176"/>
      <c r="AZ634" s="176"/>
      <c r="BA634" s="176"/>
      <c r="BB634" s="176"/>
    </row>
    <row r="635" ht="15.75" customHeight="1">
      <c r="A635" s="176"/>
      <c r="B635" s="176"/>
      <c r="C635" s="176"/>
      <c r="D635" s="176"/>
      <c r="E635" s="176"/>
      <c r="F635" s="176"/>
      <c r="G635" s="176"/>
      <c r="H635" s="176"/>
      <c r="I635" s="176"/>
      <c r="J635" s="176"/>
      <c r="K635" s="176"/>
      <c r="L635" s="176"/>
      <c r="M635" s="176"/>
      <c r="N635" s="176"/>
      <c r="O635" s="176"/>
      <c r="P635" s="176"/>
      <c r="Q635" s="176"/>
      <c r="R635" s="176"/>
      <c r="S635" s="176"/>
      <c r="T635" s="176"/>
      <c r="U635" s="176"/>
      <c r="V635" s="176"/>
      <c r="W635" s="176"/>
      <c r="X635" s="176"/>
      <c r="Y635" s="176"/>
      <c r="Z635" s="176"/>
      <c r="AA635" s="176"/>
      <c r="AB635" s="176"/>
      <c r="AC635" s="176"/>
      <c r="AD635" s="176"/>
      <c r="AE635" s="176"/>
      <c r="AF635" s="176"/>
      <c r="AG635" s="176"/>
      <c r="AH635" s="176"/>
      <c r="AI635" s="176"/>
      <c r="AJ635" s="176"/>
      <c r="AK635" s="176"/>
      <c r="AL635" s="176"/>
      <c r="AM635" s="176"/>
      <c r="AN635" s="176"/>
      <c r="AO635" s="176"/>
      <c r="AP635" s="176"/>
      <c r="AQ635" s="176"/>
      <c r="AR635" s="176"/>
      <c r="AS635" s="176"/>
      <c r="AT635" s="176"/>
      <c r="AU635" s="176"/>
      <c r="AV635" s="176"/>
      <c r="AW635" s="176"/>
      <c r="AX635" s="176"/>
      <c r="AY635" s="176"/>
      <c r="AZ635" s="176"/>
      <c r="BA635" s="176"/>
      <c r="BB635" s="176"/>
    </row>
    <row r="636" ht="15.75" customHeight="1">
      <c r="A636" s="176"/>
      <c r="B636" s="176"/>
      <c r="C636" s="176"/>
      <c r="D636" s="176"/>
      <c r="E636" s="176"/>
      <c r="F636" s="176"/>
      <c r="G636" s="176"/>
      <c r="H636" s="176"/>
      <c r="I636" s="176"/>
      <c r="J636" s="176"/>
      <c r="K636" s="176"/>
      <c r="L636" s="176"/>
      <c r="M636" s="176"/>
      <c r="N636" s="176"/>
      <c r="O636" s="176"/>
      <c r="P636" s="176"/>
      <c r="Q636" s="176"/>
      <c r="R636" s="176"/>
      <c r="S636" s="176"/>
      <c r="T636" s="176"/>
      <c r="U636" s="176"/>
      <c r="V636" s="176"/>
      <c r="W636" s="176"/>
      <c r="X636" s="176"/>
      <c r="Y636" s="176"/>
      <c r="Z636" s="176"/>
      <c r="AA636" s="176"/>
      <c r="AB636" s="176"/>
      <c r="AC636" s="176"/>
      <c r="AD636" s="176"/>
      <c r="AE636" s="176"/>
      <c r="AF636" s="176"/>
      <c r="AG636" s="176"/>
      <c r="AH636" s="176"/>
      <c r="AI636" s="176"/>
      <c r="AJ636" s="176"/>
      <c r="AK636" s="176"/>
      <c r="AL636" s="176"/>
      <c r="AM636" s="176"/>
      <c r="AN636" s="176"/>
      <c r="AO636" s="176"/>
      <c r="AP636" s="176"/>
      <c r="AQ636" s="176"/>
      <c r="AR636" s="176"/>
      <c r="AS636" s="176"/>
      <c r="AT636" s="176"/>
      <c r="AU636" s="176"/>
      <c r="AV636" s="176"/>
      <c r="AW636" s="176"/>
      <c r="AX636" s="176"/>
      <c r="AY636" s="176"/>
      <c r="AZ636" s="176"/>
      <c r="BA636" s="176"/>
      <c r="BB636" s="176"/>
    </row>
    <row r="637" ht="15.75" customHeight="1">
      <c r="A637" s="176"/>
      <c r="B637" s="176"/>
      <c r="C637" s="176"/>
      <c r="D637" s="176"/>
      <c r="E637" s="176"/>
      <c r="F637" s="176"/>
      <c r="G637" s="176"/>
      <c r="H637" s="176"/>
      <c r="I637" s="176"/>
      <c r="J637" s="176"/>
      <c r="K637" s="176"/>
      <c r="L637" s="176"/>
      <c r="M637" s="176"/>
      <c r="N637" s="176"/>
      <c r="O637" s="176"/>
      <c r="P637" s="176"/>
      <c r="Q637" s="176"/>
      <c r="R637" s="176"/>
      <c r="S637" s="176"/>
      <c r="T637" s="176"/>
      <c r="U637" s="176"/>
      <c r="V637" s="176"/>
      <c r="W637" s="176"/>
      <c r="X637" s="176"/>
      <c r="Y637" s="176"/>
      <c r="Z637" s="176"/>
      <c r="AA637" s="176"/>
      <c r="AB637" s="176"/>
      <c r="AC637" s="176"/>
      <c r="AD637" s="176"/>
      <c r="AE637" s="176"/>
      <c r="AF637" s="176"/>
      <c r="AG637" s="176"/>
      <c r="AH637" s="176"/>
      <c r="AI637" s="176"/>
      <c r="AJ637" s="176"/>
      <c r="AK637" s="176"/>
      <c r="AL637" s="176"/>
      <c r="AM637" s="176"/>
      <c r="AN637" s="176"/>
      <c r="AO637" s="176"/>
      <c r="AP637" s="176"/>
      <c r="AQ637" s="176"/>
      <c r="AR637" s="176"/>
      <c r="AS637" s="176"/>
      <c r="AT637" s="176"/>
      <c r="AU637" s="176"/>
      <c r="AV637" s="176"/>
      <c r="AW637" s="176"/>
      <c r="AX637" s="176"/>
      <c r="AY637" s="176"/>
      <c r="AZ637" s="176"/>
      <c r="BA637" s="176"/>
      <c r="BB637" s="176"/>
    </row>
    <row r="638" ht="15.75" customHeight="1">
      <c r="A638" s="176"/>
      <c r="B638" s="176"/>
      <c r="C638" s="176"/>
      <c r="D638" s="176"/>
      <c r="E638" s="176"/>
      <c r="F638" s="176"/>
      <c r="G638" s="176"/>
      <c r="H638" s="176"/>
      <c r="I638" s="176"/>
      <c r="J638" s="176"/>
      <c r="K638" s="176"/>
      <c r="L638" s="176"/>
      <c r="M638" s="176"/>
      <c r="N638" s="176"/>
      <c r="O638" s="176"/>
      <c r="P638" s="176"/>
      <c r="Q638" s="176"/>
      <c r="R638" s="176"/>
      <c r="S638" s="176"/>
      <c r="T638" s="176"/>
      <c r="U638" s="176"/>
      <c r="V638" s="176"/>
      <c r="W638" s="176"/>
      <c r="X638" s="176"/>
      <c r="Y638" s="176"/>
      <c r="Z638" s="176"/>
      <c r="AA638" s="176"/>
      <c r="AB638" s="176"/>
      <c r="AC638" s="176"/>
      <c r="AD638" s="176"/>
      <c r="AE638" s="176"/>
      <c r="AF638" s="176"/>
      <c r="AG638" s="176"/>
      <c r="AH638" s="176"/>
      <c r="AI638" s="176"/>
      <c r="AJ638" s="176"/>
      <c r="AK638" s="176"/>
      <c r="AL638" s="176"/>
      <c r="AM638" s="176"/>
      <c r="AN638" s="176"/>
      <c r="AO638" s="176"/>
      <c r="AP638" s="176"/>
      <c r="AQ638" s="176"/>
      <c r="AR638" s="176"/>
      <c r="AS638" s="176"/>
      <c r="AT638" s="176"/>
      <c r="AU638" s="176"/>
      <c r="AV638" s="176"/>
      <c r="AW638" s="176"/>
      <c r="AX638" s="176"/>
      <c r="AY638" s="176"/>
      <c r="AZ638" s="176"/>
      <c r="BA638" s="176"/>
      <c r="BB638" s="176"/>
    </row>
    <row r="639" ht="15.75" customHeight="1">
      <c r="A639" s="176"/>
      <c r="B639" s="176"/>
      <c r="C639" s="176"/>
      <c r="D639" s="176"/>
      <c r="E639" s="176"/>
      <c r="F639" s="176"/>
      <c r="G639" s="176"/>
      <c r="H639" s="176"/>
      <c r="I639" s="176"/>
      <c r="J639" s="176"/>
      <c r="K639" s="176"/>
      <c r="L639" s="176"/>
      <c r="M639" s="176"/>
      <c r="N639" s="176"/>
      <c r="O639" s="176"/>
      <c r="P639" s="176"/>
      <c r="Q639" s="176"/>
      <c r="R639" s="176"/>
      <c r="S639" s="176"/>
      <c r="T639" s="176"/>
      <c r="U639" s="176"/>
      <c r="V639" s="176"/>
      <c r="W639" s="176"/>
      <c r="X639" s="176"/>
      <c r="Y639" s="176"/>
      <c r="Z639" s="176"/>
      <c r="AA639" s="176"/>
      <c r="AB639" s="176"/>
      <c r="AC639" s="176"/>
      <c r="AD639" s="176"/>
      <c r="AE639" s="176"/>
      <c r="AF639" s="176"/>
      <c r="AG639" s="176"/>
      <c r="AH639" s="176"/>
      <c r="AI639" s="176"/>
      <c r="AJ639" s="176"/>
      <c r="AK639" s="176"/>
      <c r="AL639" s="176"/>
      <c r="AM639" s="176"/>
      <c r="AN639" s="176"/>
      <c r="AO639" s="176"/>
      <c r="AP639" s="176"/>
      <c r="AQ639" s="176"/>
      <c r="AR639" s="176"/>
      <c r="AS639" s="176"/>
      <c r="AT639" s="176"/>
      <c r="AU639" s="176"/>
      <c r="AV639" s="176"/>
      <c r="AW639" s="176"/>
      <c r="AX639" s="176"/>
      <c r="AY639" s="176"/>
      <c r="AZ639" s="176"/>
      <c r="BA639" s="176"/>
      <c r="BB639" s="176"/>
    </row>
    <row r="640" ht="15.75" customHeight="1">
      <c r="A640" s="176"/>
      <c r="B640" s="176"/>
      <c r="C640" s="176"/>
      <c r="D640" s="176"/>
      <c r="E640" s="176"/>
      <c r="F640" s="176"/>
      <c r="G640" s="176"/>
      <c r="H640" s="176"/>
      <c r="I640" s="176"/>
      <c r="J640" s="176"/>
      <c r="K640" s="176"/>
      <c r="L640" s="176"/>
      <c r="M640" s="176"/>
      <c r="N640" s="176"/>
      <c r="O640" s="176"/>
      <c r="P640" s="176"/>
      <c r="Q640" s="176"/>
      <c r="R640" s="176"/>
      <c r="S640" s="176"/>
      <c r="T640" s="176"/>
      <c r="U640" s="176"/>
      <c r="V640" s="176"/>
      <c r="W640" s="176"/>
      <c r="X640" s="176"/>
      <c r="Y640" s="176"/>
      <c r="Z640" s="176"/>
      <c r="AA640" s="176"/>
      <c r="AB640" s="176"/>
      <c r="AC640" s="176"/>
      <c r="AD640" s="176"/>
      <c r="AE640" s="176"/>
      <c r="AF640" s="176"/>
      <c r="AG640" s="176"/>
      <c r="AH640" s="176"/>
      <c r="AI640" s="176"/>
      <c r="AJ640" s="176"/>
      <c r="AK640" s="176"/>
      <c r="AL640" s="176"/>
      <c r="AM640" s="176"/>
      <c r="AN640" s="176"/>
      <c r="AO640" s="176"/>
      <c r="AP640" s="176"/>
      <c r="AQ640" s="176"/>
      <c r="AR640" s="176"/>
      <c r="AS640" s="176"/>
      <c r="AT640" s="176"/>
      <c r="AU640" s="176"/>
      <c r="AV640" s="176"/>
      <c r="AW640" s="176"/>
      <c r="AX640" s="176"/>
      <c r="AY640" s="176"/>
      <c r="AZ640" s="176"/>
      <c r="BA640" s="176"/>
      <c r="BB640" s="176"/>
    </row>
    <row r="641" ht="15.75" customHeight="1">
      <c r="A641" s="176"/>
      <c r="B641" s="176"/>
      <c r="C641" s="176"/>
      <c r="D641" s="176"/>
      <c r="E641" s="176"/>
      <c r="F641" s="176"/>
      <c r="G641" s="176"/>
      <c r="H641" s="176"/>
      <c r="I641" s="176"/>
      <c r="J641" s="176"/>
      <c r="K641" s="176"/>
      <c r="L641" s="176"/>
      <c r="M641" s="176"/>
      <c r="N641" s="176"/>
      <c r="O641" s="176"/>
      <c r="P641" s="176"/>
      <c r="Q641" s="176"/>
      <c r="R641" s="176"/>
      <c r="S641" s="176"/>
      <c r="T641" s="176"/>
      <c r="U641" s="176"/>
      <c r="V641" s="176"/>
      <c r="W641" s="176"/>
      <c r="X641" s="176"/>
      <c r="Y641" s="176"/>
      <c r="Z641" s="176"/>
      <c r="AA641" s="176"/>
      <c r="AB641" s="176"/>
      <c r="AC641" s="176"/>
      <c r="AD641" s="176"/>
      <c r="AE641" s="176"/>
      <c r="AF641" s="176"/>
      <c r="AG641" s="176"/>
      <c r="AH641" s="176"/>
      <c r="AI641" s="176"/>
      <c r="AJ641" s="176"/>
      <c r="AK641" s="176"/>
      <c r="AL641" s="176"/>
      <c r="AM641" s="176"/>
      <c r="AN641" s="176"/>
      <c r="AO641" s="176"/>
      <c r="AP641" s="176"/>
      <c r="AQ641" s="176"/>
      <c r="AR641" s="176"/>
      <c r="AS641" s="176"/>
      <c r="AT641" s="176"/>
      <c r="AU641" s="176"/>
      <c r="AV641" s="176"/>
      <c r="AW641" s="176"/>
      <c r="AX641" s="176"/>
      <c r="AY641" s="176"/>
      <c r="AZ641" s="176"/>
      <c r="BA641" s="176"/>
      <c r="BB641" s="176"/>
    </row>
    <row r="642" ht="15.75" customHeight="1">
      <c r="A642" s="176"/>
      <c r="B642" s="176"/>
      <c r="C642" s="176"/>
      <c r="D642" s="176"/>
      <c r="E642" s="176"/>
      <c r="F642" s="176"/>
      <c r="G642" s="176"/>
      <c r="H642" s="176"/>
      <c r="I642" s="176"/>
      <c r="J642" s="176"/>
      <c r="K642" s="176"/>
      <c r="L642" s="176"/>
      <c r="M642" s="176"/>
      <c r="N642" s="176"/>
      <c r="O642" s="176"/>
      <c r="P642" s="176"/>
      <c r="Q642" s="176"/>
      <c r="R642" s="176"/>
      <c r="S642" s="176"/>
      <c r="T642" s="176"/>
      <c r="U642" s="176"/>
      <c r="V642" s="176"/>
      <c r="W642" s="176"/>
      <c r="X642" s="176"/>
      <c r="Y642" s="176"/>
      <c r="Z642" s="176"/>
      <c r="AA642" s="176"/>
      <c r="AB642" s="176"/>
      <c r="AC642" s="176"/>
      <c r="AD642" s="176"/>
      <c r="AE642" s="176"/>
      <c r="AF642" s="176"/>
      <c r="AG642" s="176"/>
      <c r="AH642" s="176"/>
      <c r="AI642" s="176"/>
      <c r="AJ642" s="176"/>
      <c r="AK642" s="176"/>
      <c r="AL642" s="176"/>
      <c r="AM642" s="176"/>
      <c r="AN642" s="176"/>
      <c r="AO642" s="176"/>
      <c r="AP642" s="176"/>
      <c r="AQ642" s="176"/>
      <c r="AR642" s="176"/>
      <c r="AS642" s="176"/>
      <c r="AT642" s="176"/>
      <c r="AU642" s="176"/>
      <c r="AV642" s="176"/>
      <c r="AW642" s="176"/>
      <c r="AX642" s="176"/>
      <c r="AY642" s="176"/>
      <c r="AZ642" s="176"/>
      <c r="BA642" s="176"/>
      <c r="BB642" s="176"/>
    </row>
    <row r="643" ht="15.75" customHeight="1">
      <c r="A643" s="176"/>
      <c r="B643" s="176"/>
      <c r="C643" s="176"/>
      <c r="D643" s="176"/>
      <c r="E643" s="176"/>
      <c r="F643" s="176"/>
      <c r="G643" s="176"/>
      <c r="H643" s="176"/>
      <c r="I643" s="176"/>
      <c r="J643" s="176"/>
      <c r="K643" s="176"/>
      <c r="L643" s="176"/>
      <c r="M643" s="176"/>
      <c r="N643" s="176"/>
      <c r="O643" s="176"/>
      <c r="P643" s="176"/>
      <c r="Q643" s="176"/>
      <c r="R643" s="176"/>
      <c r="S643" s="176"/>
      <c r="T643" s="176"/>
      <c r="U643" s="176"/>
      <c r="V643" s="176"/>
      <c r="W643" s="176"/>
      <c r="X643" s="176"/>
      <c r="Y643" s="176"/>
      <c r="Z643" s="176"/>
      <c r="AA643" s="176"/>
      <c r="AB643" s="176"/>
      <c r="AC643" s="176"/>
      <c r="AD643" s="176"/>
      <c r="AE643" s="176"/>
      <c r="AF643" s="176"/>
      <c r="AG643" s="176"/>
      <c r="AH643" s="176"/>
      <c r="AI643" s="176"/>
      <c r="AJ643" s="176"/>
      <c r="AK643" s="176"/>
      <c r="AL643" s="176"/>
      <c r="AM643" s="176"/>
      <c r="AN643" s="176"/>
      <c r="AO643" s="176"/>
      <c r="AP643" s="176"/>
      <c r="AQ643" s="176"/>
      <c r="AR643" s="176"/>
      <c r="AS643" s="176"/>
      <c r="AT643" s="176"/>
      <c r="AU643" s="176"/>
      <c r="AV643" s="176"/>
      <c r="AW643" s="176"/>
      <c r="AX643" s="176"/>
      <c r="AY643" s="176"/>
      <c r="AZ643" s="176"/>
      <c r="BA643" s="176"/>
      <c r="BB643" s="176"/>
    </row>
    <row r="644" ht="15.75" customHeight="1">
      <c r="A644" s="176"/>
      <c r="B644" s="176"/>
      <c r="C644" s="176"/>
      <c r="D644" s="176"/>
      <c r="E644" s="176"/>
      <c r="F644" s="176"/>
      <c r="G644" s="176"/>
      <c r="H644" s="176"/>
      <c r="I644" s="176"/>
      <c r="J644" s="176"/>
      <c r="K644" s="176"/>
      <c r="L644" s="176"/>
      <c r="M644" s="176"/>
      <c r="N644" s="176"/>
      <c r="O644" s="176"/>
      <c r="P644" s="176"/>
      <c r="Q644" s="176"/>
      <c r="R644" s="176"/>
      <c r="S644" s="176"/>
      <c r="T644" s="176"/>
      <c r="U644" s="176"/>
      <c r="V644" s="176"/>
      <c r="W644" s="176"/>
      <c r="X644" s="176"/>
      <c r="Y644" s="176"/>
      <c r="Z644" s="176"/>
      <c r="AA644" s="176"/>
      <c r="AB644" s="176"/>
      <c r="AC644" s="176"/>
      <c r="AD644" s="176"/>
      <c r="AE644" s="176"/>
      <c r="AF644" s="176"/>
      <c r="AG644" s="176"/>
      <c r="AH644" s="176"/>
      <c r="AI644" s="176"/>
      <c r="AJ644" s="176"/>
      <c r="AK644" s="176"/>
      <c r="AL644" s="176"/>
      <c r="AM644" s="176"/>
      <c r="AN644" s="176"/>
      <c r="AO644" s="176"/>
      <c r="AP644" s="176"/>
      <c r="AQ644" s="176"/>
      <c r="AR644" s="176"/>
      <c r="AS644" s="176"/>
      <c r="AT644" s="176"/>
      <c r="AU644" s="176"/>
      <c r="AV644" s="176"/>
      <c r="AW644" s="176"/>
      <c r="AX644" s="176"/>
      <c r="AY644" s="176"/>
      <c r="AZ644" s="176"/>
      <c r="BA644" s="176"/>
      <c r="BB644" s="176"/>
    </row>
    <row r="645" ht="15.75" customHeight="1">
      <c r="A645" s="176"/>
      <c r="B645" s="176"/>
      <c r="C645" s="176"/>
      <c r="D645" s="176"/>
      <c r="E645" s="176"/>
      <c r="F645" s="176"/>
      <c r="G645" s="176"/>
      <c r="H645" s="176"/>
      <c r="I645" s="176"/>
      <c r="J645" s="176"/>
      <c r="K645" s="176"/>
      <c r="L645" s="176"/>
      <c r="M645" s="176"/>
      <c r="N645" s="176"/>
      <c r="O645" s="176"/>
      <c r="P645" s="176"/>
      <c r="Q645" s="176"/>
      <c r="R645" s="176"/>
      <c r="S645" s="176"/>
      <c r="T645" s="176"/>
      <c r="U645" s="176"/>
      <c r="V645" s="176"/>
      <c r="W645" s="176"/>
      <c r="X645" s="176"/>
      <c r="Y645" s="176"/>
      <c r="Z645" s="176"/>
      <c r="AA645" s="176"/>
      <c r="AB645" s="176"/>
      <c r="AC645" s="176"/>
      <c r="AD645" s="176"/>
      <c r="AE645" s="176"/>
      <c r="AF645" s="176"/>
      <c r="AG645" s="176"/>
      <c r="AH645" s="176"/>
      <c r="AI645" s="176"/>
      <c r="AJ645" s="176"/>
      <c r="AK645" s="176"/>
      <c r="AL645" s="176"/>
      <c r="AM645" s="176"/>
      <c r="AN645" s="176"/>
      <c r="AO645" s="176"/>
      <c r="AP645" s="176"/>
      <c r="AQ645" s="176"/>
      <c r="AR645" s="176"/>
      <c r="AS645" s="176"/>
      <c r="AT645" s="176"/>
      <c r="AU645" s="176"/>
      <c r="AV645" s="176"/>
      <c r="AW645" s="176"/>
      <c r="AX645" s="176"/>
      <c r="AY645" s="176"/>
      <c r="AZ645" s="176"/>
      <c r="BA645" s="176"/>
      <c r="BB645" s="176"/>
    </row>
    <row r="646" ht="15.75" customHeight="1">
      <c r="A646" s="176"/>
      <c r="B646" s="176"/>
      <c r="C646" s="176"/>
      <c r="D646" s="176"/>
      <c r="E646" s="176"/>
      <c r="F646" s="176"/>
      <c r="G646" s="176"/>
      <c r="H646" s="176"/>
      <c r="I646" s="176"/>
      <c r="J646" s="176"/>
      <c r="K646" s="176"/>
      <c r="L646" s="176"/>
      <c r="M646" s="176"/>
      <c r="N646" s="176"/>
      <c r="O646" s="176"/>
      <c r="P646" s="176"/>
      <c r="Q646" s="176"/>
      <c r="R646" s="176"/>
      <c r="S646" s="176"/>
      <c r="T646" s="176"/>
      <c r="U646" s="176"/>
      <c r="V646" s="176"/>
      <c r="W646" s="176"/>
      <c r="X646" s="176"/>
      <c r="Y646" s="176"/>
      <c r="Z646" s="176"/>
      <c r="AA646" s="176"/>
      <c r="AB646" s="176"/>
      <c r="AC646" s="176"/>
      <c r="AD646" s="176"/>
      <c r="AE646" s="176"/>
      <c r="AF646" s="176"/>
      <c r="AG646" s="176"/>
      <c r="AH646" s="176"/>
      <c r="AI646" s="176"/>
      <c r="AJ646" s="176"/>
      <c r="AK646" s="176"/>
      <c r="AL646" s="176"/>
      <c r="AM646" s="176"/>
      <c r="AN646" s="176"/>
      <c r="AO646" s="176"/>
      <c r="AP646" s="176"/>
      <c r="AQ646" s="176"/>
      <c r="AR646" s="176"/>
      <c r="AS646" s="176"/>
      <c r="AT646" s="176"/>
      <c r="AU646" s="176"/>
      <c r="AV646" s="176"/>
      <c r="AW646" s="176"/>
      <c r="AX646" s="176"/>
      <c r="AY646" s="176"/>
      <c r="AZ646" s="176"/>
      <c r="BA646" s="176"/>
      <c r="BB646" s="176"/>
    </row>
    <row r="647" ht="15.75" customHeight="1">
      <c r="A647" s="176"/>
      <c r="B647" s="176"/>
      <c r="C647" s="176"/>
      <c r="D647" s="176"/>
      <c r="E647" s="176"/>
      <c r="F647" s="176"/>
      <c r="G647" s="176"/>
      <c r="H647" s="176"/>
      <c r="I647" s="176"/>
      <c r="J647" s="176"/>
      <c r="K647" s="176"/>
      <c r="L647" s="176"/>
      <c r="M647" s="176"/>
      <c r="N647" s="176"/>
      <c r="O647" s="176"/>
      <c r="P647" s="176"/>
      <c r="Q647" s="176"/>
      <c r="R647" s="176"/>
      <c r="S647" s="176"/>
      <c r="T647" s="176"/>
      <c r="U647" s="176"/>
      <c r="V647" s="176"/>
      <c r="W647" s="176"/>
      <c r="X647" s="176"/>
      <c r="Y647" s="176"/>
      <c r="Z647" s="176"/>
      <c r="AA647" s="176"/>
      <c r="AB647" s="176"/>
      <c r="AC647" s="176"/>
      <c r="AD647" s="176"/>
      <c r="AE647" s="176"/>
      <c r="AF647" s="176"/>
      <c r="AG647" s="176"/>
      <c r="AH647" s="176"/>
      <c r="AI647" s="176"/>
      <c r="AJ647" s="176"/>
      <c r="AK647" s="176"/>
      <c r="AL647" s="176"/>
      <c r="AM647" s="176"/>
      <c r="AN647" s="176"/>
      <c r="AO647" s="176"/>
      <c r="AP647" s="176"/>
      <c r="AQ647" s="176"/>
      <c r="AR647" s="176"/>
      <c r="AS647" s="176"/>
      <c r="AT647" s="176"/>
      <c r="AU647" s="176"/>
      <c r="AV647" s="176"/>
      <c r="AW647" s="176"/>
      <c r="AX647" s="176"/>
      <c r="AY647" s="176"/>
      <c r="AZ647" s="176"/>
      <c r="BA647" s="176"/>
      <c r="BB647" s="176"/>
    </row>
    <row r="648" ht="15.75" customHeight="1">
      <c r="A648" s="176"/>
      <c r="B648" s="176"/>
      <c r="C648" s="176"/>
      <c r="D648" s="176"/>
      <c r="E648" s="176"/>
      <c r="F648" s="176"/>
      <c r="G648" s="176"/>
      <c r="H648" s="176"/>
      <c r="I648" s="176"/>
      <c r="J648" s="176"/>
      <c r="K648" s="176"/>
      <c r="L648" s="176"/>
      <c r="M648" s="176"/>
      <c r="N648" s="176"/>
      <c r="O648" s="176"/>
      <c r="P648" s="176"/>
      <c r="Q648" s="176"/>
      <c r="R648" s="176"/>
      <c r="S648" s="176"/>
      <c r="T648" s="176"/>
      <c r="U648" s="176"/>
      <c r="V648" s="176"/>
      <c r="W648" s="176"/>
      <c r="X648" s="176"/>
      <c r="Y648" s="176"/>
      <c r="Z648" s="176"/>
      <c r="AA648" s="176"/>
      <c r="AB648" s="176"/>
      <c r="AC648" s="176"/>
      <c r="AD648" s="176"/>
      <c r="AE648" s="176"/>
      <c r="AF648" s="176"/>
      <c r="AG648" s="176"/>
      <c r="AH648" s="176"/>
      <c r="AI648" s="176"/>
      <c r="AJ648" s="176"/>
      <c r="AK648" s="176"/>
      <c r="AL648" s="176"/>
      <c r="AM648" s="176"/>
      <c r="AN648" s="176"/>
      <c r="AO648" s="176"/>
      <c r="AP648" s="176"/>
      <c r="AQ648" s="176"/>
      <c r="AR648" s="176"/>
      <c r="AS648" s="176"/>
      <c r="AT648" s="176"/>
      <c r="AU648" s="176"/>
      <c r="AV648" s="176"/>
      <c r="AW648" s="176"/>
      <c r="AX648" s="176"/>
      <c r="AY648" s="176"/>
      <c r="AZ648" s="176"/>
      <c r="BA648" s="176"/>
      <c r="BB648" s="176"/>
    </row>
    <row r="649" ht="15.75" customHeight="1">
      <c r="A649" s="176"/>
      <c r="B649" s="176"/>
      <c r="C649" s="176"/>
      <c r="D649" s="176"/>
      <c r="E649" s="176"/>
      <c r="F649" s="176"/>
      <c r="G649" s="176"/>
      <c r="H649" s="176"/>
      <c r="I649" s="176"/>
      <c r="J649" s="176"/>
      <c r="K649" s="176"/>
      <c r="L649" s="176"/>
      <c r="M649" s="176"/>
      <c r="N649" s="176"/>
      <c r="O649" s="176"/>
      <c r="P649" s="176"/>
      <c r="Q649" s="176"/>
      <c r="R649" s="176"/>
      <c r="S649" s="176"/>
      <c r="T649" s="176"/>
      <c r="U649" s="176"/>
      <c r="V649" s="176"/>
      <c r="W649" s="176"/>
      <c r="X649" s="176"/>
      <c r="Y649" s="176"/>
      <c r="Z649" s="176"/>
      <c r="AA649" s="176"/>
      <c r="AB649" s="176"/>
      <c r="AC649" s="176"/>
      <c r="AD649" s="176"/>
      <c r="AE649" s="176"/>
      <c r="AF649" s="176"/>
      <c r="AG649" s="176"/>
      <c r="AH649" s="176"/>
      <c r="AI649" s="176"/>
      <c r="AJ649" s="176"/>
      <c r="AK649" s="176"/>
      <c r="AL649" s="176"/>
      <c r="AM649" s="176"/>
      <c r="AN649" s="176"/>
      <c r="AO649" s="176"/>
      <c r="AP649" s="176"/>
      <c r="AQ649" s="176"/>
      <c r="AR649" s="176"/>
      <c r="AS649" s="176"/>
      <c r="AT649" s="176"/>
      <c r="AU649" s="176"/>
      <c r="AV649" s="176"/>
      <c r="AW649" s="176"/>
      <c r="AX649" s="176"/>
      <c r="AY649" s="176"/>
      <c r="AZ649" s="176"/>
      <c r="BA649" s="176"/>
      <c r="BB649" s="176"/>
    </row>
    <row r="650" ht="15.75" customHeight="1">
      <c r="A650" s="176"/>
      <c r="B650" s="176"/>
      <c r="C650" s="176"/>
      <c r="D650" s="176"/>
      <c r="E650" s="176"/>
      <c r="F650" s="176"/>
      <c r="G650" s="176"/>
      <c r="H650" s="176"/>
      <c r="I650" s="176"/>
      <c r="J650" s="176"/>
      <c r="K650" s="176"/>
      <c r="L650" s="176"/>
      <c r="M650" s="176"/>
      <c r="N650" s="176"/>
      <c r="O650" s="176"/>
      <c r="P650" s="176"/>
      <c r="Q650" s="176"/>
      <c r="R650" s="176"/>
      <c r="S650" s="176"/>
      <c r="T650" s="176"/>
      <c r="U650" s="176"/>
      <c r="V650" s="176"/>
      <c r="W650" s="176"/>
      <c r="X650" s="176"/>
      <c r="Y650" s="176"/>
      <c r="Z650" s="176"/>
      <c r="AA650" s="176"/>
      <c r="AB650" s="176"/>
      <c r="AC650" s="176"/>
      <c r="AD650" s="176"/>
      <c r="AE650" s="176"/>
      <c r="AF650" s="176"/>
      <c r="AG650" s="176"/>
      <c r="AH650" s="176"/>
      <c r="AI650" s="176"/>
      <c r="AJ650" s="176"/>
      <c r="AK650" s="176"/>
      <c r="AL650" s="176"/>
      <c r="AM650" s="176"/>
      <c r="AN650" s="176"/>
      <c r="AO650" s="176"/>
      <c r="AP650" s="176"/>
      <c r="AQ650" s="176"/>
      <c r="AR650" s="176"/>
      <c r="AS650" s="176"/>
      <c r="AT650" s="176"/>
      <c r="AU650" s="176"/>
      <c r="AV650" s="176"/>
      <c r="AW650" s="176"/>
      <c r="AX650" s="176"/>
      <c r="AY650" s="176"/>
      <c r="AZ650" s="176"/>
      <c r="BA650" s="176"/>
      <c r="BB650" s="176"/>
    </row>
    <row r="651" ht="15.75" customHeight="1">
      <c r="A651" s="176"/>
      <c r="B651" s="176"/>
      <c r="C651" s="176"/>
      <c r="D651" s="176"/>
      <c r="E651" s="176"/>
      <c r="F651" s="176"/>
      <c r="G651" s="176"/>
      <c r="H651" s="176"/>
      <c r="I651" s="176"/>
      <c r="J651" s="176"/>
      <c r="K651" s="176"/>
      <c r="L651" s="176"/>
      <c r="M651" s="176"/>
      <c r="N651" s="176"/>
      <c r="O651" s="176"/>
      <c r="P651" s="176"/>
      <c r="Q651" s="176"/>
      <c r="R651" s="176"/>
      <c r="S651" s="176"/>
      <c r="T651" s="176"/>
      <c r="U651" s="176"/>
      <c r="V651" s="176"/>
      <c r="W651" s="176"/>
      <c r="X651" s="176"/>
      <c r="Y651" s="176"/>
      <c r="Z651" s="176"/>
      <c r="AA651" s="176"/>
      <c r="AB651" s="176"/>
      <c r="AC651" s="176"/>
      <c r="AD651" s="176"/>
      <c r="AE651" s="176"/>
      <c r="AF651" s="176"/>
      <c r="AG651" s="176"/>
      <c r="AH651" s="176"/>
      <c r="AI651" s="176"/>
      <c r="AJ651" s="176"/>
      <c r="AK651" s="176"/>
      <c r="AL651" s="176"/>
      <c r="AM651" s="176"/>
      <c r="AN651" s="176"/>
      <c r="AO651" s="176"/>
      <c r="AP651" s="176"/>
      <c r="AQ651" s="176"/>
      <c r="AR651" s="176"/>
      <c r="AS651" s="176"/>
      <c r="AT651" s="176"/>
      <c r="AU651" s="176"/>
      <c r="AV651" s="176"/>
      <c r="AW651" s="176"/>
      <c r="AX651" s="176"/>
      <c r="AY651" s="176"/>
      <c r="AZ651" s="176"/>
      <c r="BA651" s="176"/>
      <c r="BB651" s="176"/>
    </row>
    <row r="652" ht="15.75" customHeight="1">
      <c r="A652" s="176"/>
      <c r="B652" s="176"/>
      <c r="C652" s="176"/>
      <c r="D652" s="176"/>
      <c r="E652" s="176"/>
      <c r="F652" s="176"/>
      <c r="G652" s="176"/>
      <c r="H652" s="176"/>
      <c r="I652" s="176"/>
      <c r="J652" s="176"/>
      <c r="K652" s="176"/>
      <c r="L652" s="176"/>
      <c r="M652" s="176"/>
      <c r="N652" s="176"/>
      <c r="O652" s="176"/>
      <c r="P652" s="176"/>
      <c r="Q652" s="176"/>
      <c r="R652" s="176"/>
      <c r="S652" s="176"/>
      <c r="T652" s="176"/>
      <c r="U652" s="176"/>
      <c r="V652" s="176"/>
      <c r="W652" s="176"/>
      <c r="X652" s="176"/>
      <c r="Y652" s="176"/>
      <c r="Z652" s="176"/>
      <c r="AA652" s="176"/>
      <c r="AB652" s="176"/>
      <c r="AC652" s="176"/>
      <c r="AD652" s="176"/>
      <c r="AE652" s="176"/>
      <c r="AF652" s="176"/>
      <c r="AG652" s="176"/>
      <c r="AH652" s="176"/>
      <c r="AI652" s="176"/>
      <c r="AJ652" s="176"/>
      <c r="AK652" s="176"/>
      <c r="AL652" s="176"/>
      <c r="AM652" s="176"/>
      <c r="AN652" s="176"/>
      <c r="AO652" s="176"/>
      <c r="AP652" s="176"/>
      <c r="AQ652" s="176"/>
      <c r="AR652" s="176"/>
      <c r="AS652" s="176"/>
      <c r="AT652" s="176"/>
      <c r="AU652" s="176"/>
      <c r="AV652" s="176"/>
      <c r="AW652" s="176"/>
      <c r="AX652" s="176"/>
      <c r="AY652" s="176"/>
      <c r="AZ652" s="176"/>
      <c r="BA652" s="176"/>
      <c r="BB652" s="176"/>
    </row>
    <row r="653" ht="15.75" customHeight="1">
      <c r="A653" s="176"/>
      <c r="B653" s="176"/>
      <c r="C653" s="176"/>
      <c r="D653" s="176"/>
      <c r="E653" s="176"/>
      <c r="F653" s="176"/>
      <c r="G653" s="176"/>
      <c r="H653" s="176"/>
      <c r="I653" s="176"/>
      <c r="J653" s="176"/>
      <c r="K653" s="176"/>
      <c r="L653" s="176"/>
      <c r="M653" s="176"/>
      <c r="N653" s="176"/>
      <c r="O653" s="176"/>
      <c r="P653" s="176"/>
      <c r="Q653" s="176"/>
      <c r="R653" s="176"/>
      <c r="S653" s="176"/>
      <c r="T653" s="176"/>
      <c r="U653" s="176"/>
      <c r="V653" s="176"/>
      <c r="W653" s="176"/>
      <c r="X653" s="176"/>
      <c r="Y653" s="176"/>
      <c r="Z653" s="176"/>
      <c r="AA653" s="176"/>
      <c r="AB653" s="176"/>
      <c r="AC653" s="176"/>
      <c r="AD653" s="176"/>
      <c r="AE653" s="176"/>
      <c r="AF653" s="176"/>
      <c r="AG653" s="176"/>
      <c r="AH653" s="176"/>
      <c r="AI653" s="176"/>
      <c r="AJ653" s="176"/>
      <c r="AK653" s="176"/>
      <c r="AL653" s="176"/>
      <c r="AM653" s="176"/>
      <c r="AN653" s="176"/>
      <c r="AO653" s="176"/>
      <c r="AP653" s="176"/>
      <c r="AQ653" s="176"/>
      <c r="AR653" s="176"/>
      <c r="AS653" s="176"/>
      <c r="AT653" s="176"/>
      <c r="AU653" s="176"/>
      <c r="AV653" s="176"/>
      <c r="AW653" s="176"/>
      <c r="AX653" s="176"/>
      <c r="AY653" s="176"/>
      <c r="AZ653" s="176"/>
      <c r="BA653" s="176"/>
      <c r="BB653" s="176"/>
    </row>
    <row r="654" ht="15.75" customHeight="1">
      <c r="A654" s="176"/>
      <c r="B654" s="176"/>
      <c r="C654" s="176"/>
      <c r="D654" s="176"/>
      <c r="E654" s="176"/>
      <c r="F654" s="176"/>
      <c r="G654" s="176"/>
      <c r="H654" s="176"/>
      <c r="I654" s="176"/>
      <c r="J654" s="176"/>
      <c r="K654" s="176"/>
      <c r="L654" s="176"/>
      <c r="M654" s="176"/>
      <c r="N654" s="176"/>
      <c r="O654" s="176"/>
      <c r="P654" s="176"/>
      <c r="Q654" s="176"/>
      <c r="R654" s="176"/>
      <c r="S654" s="176"/>
      <c r="T654" s="176"/>
      <c r="U654" s="176"/>
      <c r="V654" s="176"/>
      <c r="W654" s="176"/>
      <c r="X654" s="176"/>
      <c r="Y654" s="176"/>
      <c r="Z654" s="176"/>
      <c r="AA654" s="176"/>
      <c r="AB654" s="176"/>
      <c r="AC654" s="176"/>
      <c r="AD654" s="176"/>
      <c r="AE654" s="176"/>
      <c r="AF654" s="176"/>
      <c r="AG654" s="176"/>
      <c r="AH654" s="176"/>
      <c r="AI654" s="176"/>
      <c r="AJ654" s="176"/>
      <c r="AK654" s="176"/>
      <c r="AL654" s="176"/>
      <c r="AM654" s="176"/>
      <c r="AN654" s="176"/>
      <c r="AO654" s="176"/>
      <c r="AP654" s="176"/>
      <c r="AQ654" s="176"/>
      <c r="AR654" s="176"/>
      <c r="AS654" s="176"/>
      <c r="AT654" s="176"/>
      <c r="AU654" s="176"/>
      <c r="AV654" s="176"/>
      <c r="AW654" s="176"/>
      <c r="AX654" s="176"/>
      <c r="AY654" s="176"/>
      <c r="AZ654" s="176"/>
      <c r="BA654" s="176"/>
      <c r="BB654" s="176"/>
    </row>
    <row r="655" ht="15.75" customHeight="1">
      <c r="A655" s="176"/>
      <c r="B655" s="176"/>
      <c r="C655" s="176"/>
      <c r="D655" s="176"/>
      <c r="E655" s="176"/>
      <c r="F655" s="176"/>
      <c r="G655" s="176"/>
      <c r="H655" s="176"/>
      <c r="I655" s="176"/>
      <c r="J655" s="176"/>
      <c r="K655" s="176"/>
      <c r="L655" s="176"/>
      <c r="M655" s="176"/>
      <c r="N655" s="176"/>
      <c r="O655" s="176"/>
      <c r="P655" s="176"/>
      <c r="Q655" s="176"/>
      <c r="R655" s="176"/>
      <c r="S655" s="176"/>
      <c r="T655" s="176"/>
      <c r="U655" s="176"/>
      <c r="V655" s="176"/>
      <c r="W655" s="176"/>
      <c r="X655" s="176"/>
      <c r="Y655" s="176"/>
      <c r="Z655" s="176"/>
      <c r="AA655" s="176"/>
      <c r="AB655" s="176"/>
      <c r="AC655" s="176"/>
      <c r="AD655" s="176"/>
      <c r="AE655" s="176"/>
      <c r="AF655" s="176"/>
      <c r="AG655" s="176"/>
      <c r="AH655" s="176"/>
      <c r="AI655" s="176"/>
      <c r="AJ655" s="176"/>
      <c r="AK655" s="176"/>
      <c r="AL655" s="176"/>
      <c r="AM655" s="176"/>
      <c r="AN655" s="176"/>
      <c r="AO655" s="176"/>
      <c r="AP655" s="176"/>
      <c r="AQ655" s="176"/>
      <c r="AR655" s="176"/>
      <c r="AS655" s="176"/>
      <c r="AT655" s="176"/>
      <c r="AU655" s="176"/>
      <c r="AV655" s="176"/>
      <c r="AW655" s="176"/>
      <c r="AX655" s="176"/>
      <c r="AY655" s="176"/>
      <c r="AZ655" s="176"/>
      <c r="BA655" s="176"/>
      <c r="BB655" s="176"/>
    </row>
    <row r="656" ht="15.75" customHeight="1">
      <c r="A656" s="176"/>
      <c r="B656" s="176"/>
      <c r="C656" s="176"/>
      <c r="D656" s="176"/>
      <c r="E656" s="176"/>
      <c r="F656" s="176"/>
      <c r="G656" s="176"/>
      <c r="H656" s="176"/>
      <c r="I656" s="176"/>
      <c r="J656" s="176"/>
      <c r="K656" s="176"/>
      <c r="L656" s="176"/>
      <c r="M656" s="176"/>
      <c r="N656" s="176"/>
      <c r="O656" s="176"/>
      <c r="P656" s="176"/>
      <c r="Q656" s="176"/>
      <c r="R656" s="176"/>
      <c r="S656" s="176"/>
      <c r="T656" s="176"/>
      <c r="U656" s="176"/>
      <c r="V656" s="176"/>
      <c r="W656" s="176"/>
      <c r="X656" s="176"/>
      <c r="Y656" s="176"/>
      <c r="Z656" s="176"/>
      <c r="AA656" s="176"/>
      <c r="AB656" s="176"/>
      <c r="AC656" s="176"/>
      <c r="AD656" s="176"/>
      <c r="AE656" s="176"/>
      <c r="AF656" s="176"/>
      <c r="AG656" s="176"/>
      <c r="AH656" s="176"/>
      <c r="AI656" s="176"/>
      <c r="AJ656" s="176"/>
      <c r="AK656" s="176"/>
      <c r="AL656" s="176"/>
      <c r="AM656" s="176"/>
      <c r="AN656" s="176"/>
      <c r="AO656" s="176"/>
      <c r="AP656" s="176"/>
      <c r="AQ656" s="176"/>
      <c r="AR656" s="176"/>
      <c r="AS656" s="176"/>
      <c r="AT656" s="176"/>
      <c r="AU656" s="176"/>
      <c r="AV656" s="176"/>
      <c r="AW656" s="176"/>
      <c r="AX656" s="176"/>
      <c r="AY656" s="176"/>
      <c r="AZ656" s="176"/>
      <c r="BA656" s="176"/>
      <c r="BB656" s="176"/>
    </row>
    <row r="657" ht="15.75" customHeight="1">
      <c r="A657" s="176"/>
      <c r="B657" s="176"/>
      <c r="C657" s="176"/>
      <c r="D657" s="176"/>
      <c r="E657" s="176"/>
      <c r="F657" s="176"/>
      <c r="G657" s="176"/>
      <c r="H657" s="176"/>
      <c r="I657" s="176"/>
      <c r="J657" s="176"/>
      <c r="K657" s="176"/>
      <c r="L657" s="176"/>
      <c r="M657" s="176"/>
      <c r="N657" s="176"/>
      <c r="O657" s="176"/>
      <c r="P657" s="176"/>
      <c r="Q657" s="176"/>
      <c r="R657" s="176"/>
      <c r="S657" s="176"/>
      <c r="T657" s="176"/>
      <c r="U657" s="176"/>
      <c r="V657" s="176"/>
      <c r="W657" s="176"/>
      <c r="X657" s="176"/>
      <c r="Y657" s="176"/>
      <c r="Z657" s="176"/>
      <c r="AA657" s="176"/>
      <c r="AB657" s="176"/>
      <c r="AC657" s="176"/>
      <c r="AD657" s="176"/>
      <c r="AE657" s="176"/>
      <c r="AF657" s="176"/>
      <c r="AG657" s="176"/>
      <c r="AH657" s="176"/>
      <c r="AI657" s="176"/>
      <c r="AJ657" s="176"/>
      <c r="AK657" s="176"/>
      <c r="AL657" s="176"/>
      <c r="AM657" s="176"/>
      <c r="AN657" s="176"/>
      <c r="AO657" s="176"/>
      <c r="AP657" s="176"/>
      <c r="AQ657" s="176"/>
      <c r="AR657" s="176"/>
      <c r="AS657" s="176"/>
      <c r="AT657" s="176"/>
      <c r="AU657" s="176"/>
      <c r="AV657" s="176"/>
      <c r="AW657" s="176"/>
      <c r="AX657" s="176"/>
      <c r="AY657" s="176"/>
      <c r="AZ657" s="176"/>
      <c r="BA657" s="176"/>
      <c r="BB657" s="176"/>
    </row>
    <row r="658" ht="15.75" customHeight="1">
      <c r="A658" s="176"/>
      <c r="B658" s="176"/>
      <c r="C658" s="176"/>
      <c r="D658" s="176"/>
      <c r="E658" s="176"/>
      <c r="F658" s="176"/>
      <c r="G658" s="176"/>
      <c r="H658" s="176"/>
      <c r="I658" s="176"/>
      <c r="J658" s="176"/>
      <c r="K658" s="176"/>
      <c r="L658" s="176"/>
      <c r="M658" s="176"/>
      <c r="N658" s="176"/>
      <c r="O658" s="176"/>
      <c r="P658" s="176"/>
      <c r="Q658" s="176"/>
      <c r="R658" s="176"/>
      <c r="S658" s="176"/>
      <c r="T658" s="176"/>
      <c r="U658" s="176"/>
      <c r="V658" s="176"/>
      <c r="W658" s="176"/>
      <c r="X658" s="176"/>
      <c r="Y658" s="176"/>
      <c r="Z658" s="176"/>
      <c r="AA658" s="176"/>
      <c r="AB658" s="176"/>
      <c r="AC658" s="176"/>
      <c r="AD658" s="176"/>
      <c r="AE658" s="176"/>
      <c r="AF658" s="176"/>
      <c r="AG658" s="176"/>
      <c r="AH658" s="176"/>
      <c r="AI658" s="176"/>
      <c r="AJ658" s="176"/>
      <c r="AK658" s="176"/>
      <c r="AL658" s="176"/>
      <c r="AM658" s="176"/>
      <c r="AN658" s="176"/>
      <c r="AO658" s="176"/>
      <c r="AP658" s="176"/>
      <c r="AQ658" s="176"/>
      <c r="AR658" s="176"/>
      <c r="AS658" s="176"/>
      <c r="AT658" s="176"/>
      <c r="AU658" s="176"/>
      <c r="AV658" s="176"/>
      <c r="AW658" s="176"/>
      <c r="AX658" s="176"/>
      <c r="AY658" s="176"/>
      <c r="AZ658" s="176"/>
      <c r="BA658" s="176"/>
      <c r="BB658" s="176"/>
    </row>
    <row r="659" ht="15.75" customHeight="1">
      <c r="A659" s="176"/>
      <c r="B659" s="176"/>
      <c r="C659" s="176"/>
      <c r="D659" s="176"/>
      <c r="E659" s="176"/>
      <c r="F659" s="176"/>
      <c r="G659" s="176"/>
      <c r="H659" s="176"/>
      <c r="I659" s="176"/>
      <c r="J659" s="176"/>
      <c r="K659" s="176"/>
      <c r="L659" s="176"/>
      <c r="M659" s="176"/>
      <c r="N659" s="176"/>
      <c r="O659" s="176"/>
      <c r="P659" s="176"/>
      <c r="Q659" s="176"/>
      <c r="R659" s="176"/>
      <c r="S659" s="176"/>
      <c r="T659" s="176"/>
      <c r="U659" s="176"/>
      <c r="V659" s="176"/>
      <c r="W659" s="176"/>
      <c r="X659" s="176"/>
      <c r="Y659" s="176"/>
      <c r="Z659" s="176"/>
      <c r="AA659" s="176"/>
      <c r="AB659" s="176"/>
      <c r="AC659" s="176"/>
      <c r="AD659" s="176"/>
      <c r="AE659" s="176"/>
      <c r="AF659" s="176"/>
      <c r="AG659" s="176"/>
      <c r="AH659" s="176"/>
      <c r="AI659" s="176"/>
      <c r="AJ659" s="176"/>
      <c r="AK659" s="176"/>
      <c r="AL659" s="176"/>
      <c r="AM659" s="176"/>
      <c r="AN659" s="176"/>
      <c r="AO659" s="176"/>
      <c r="AP659" s="176"/>
      <c r="AQ659" s="176"/>
      <c r="AR659" s="176"/>
      <c r="AS659" s="176"/>
      <c r="AT659" s="176"/>
      <c r="AU659" s="176"/>
      <c r="AV659" s="176"/>
      <c r="AW659" s="176"/>
      <c r="AX659" s="176"/>
      <c r="AY659" s="176"/>
      <c r="AZ659" s="176"/>
      <c r="BA659" s="176"/>
      <c r="BB659" s="176"/>
    </row>
    <row r="660" ht="15.75" customHeight="1">
      <c r="A660" s="176"/>
      <c r="B660" s="176"/>
      <c r="C660" s="176"/>
      <c r="D660" s="176"/>
      <c r="E660" s="176"/>
      <c r="F660" s="176"/>
      <c r="G660" s="176"/>
      <c r="H660" s="176"/>
      <c r="I660" s="176"/>
      <c r="J660" s="176"/>
      <c r="K660" s="176"/>
      <c r="L660" s="176"/>
      <c r="M660" s="176"/>
      <c r="N660" s="176"/>
      <c r="O660" s="176"/>
      <c r="P660" s="176"/>
      <c r="Q660" s="176"/>
      <c r="R660" s="176"/>
      <c r="S660" s="176"/>
      <c r="T660" s="176"/>
      <c r="U660" s="176"/>
      <c r="V660" s="176"/>
      <c r="W660" s="176"/>
      <c r="X660" s="176"/>
      <c r="Y660" s="176"/>
      <c r="Z660" s="176"/>
      <c r="AA660" s="176"/>
      <c r="AB660" s="176"/>
      <c r="AC660" s="176"/>
      <c r="AD660" s="176"/>
      <c r="AE660" s="176"/>
      <c r="AF660" s="176"/>
      <c r="AG660" s="176"/>
      <c r="AH660" s="176"/>
      <c r="AI660" s="176"/>
      <c r="AJ660" s="176"/>
      <c r="AK660" s="176"/>
      <c r="AL660" s="176"/>
      <c r="AM660" s="176"/>
      <c r="AN660" s="176"/>
      <c r="AO660" s="176"/>
      <c r="AP660" s="176"/>
      <c r="AQ660" s="176"/>
      <c r="AR660" s="176"/>
      <c r="AS660" s="176"/>
      <c r="AT660" s="176"/>
      <c r="AU660" s="176"/>
      <c r="AV660" s="176"/>
      <c r="AW660" s="176"/>
      <c r="AX660" s="176"/>
      <c r="AY660" s="176"/>
      <c r="AZ660" s="176"/>
      <c r="BA660" s="176"/>
      <c r="BB660" s="176"/>
    </row>
    <row r="661" ht="15.75" customHeight="1">
      <c r="A661" s="176"/>
      <c r="B661" s="176"/>
      <c r="C661" s="176"/>
      <c r="D661" s="176"/>
      <c r="E661" s="176"/>
      <c r="F661" s="176"/>
      <c r="G661" s="176"/>
      <c r="H661" s="176"/>
      <c r="I661" s="176"/>
      <c r="J661" s="176"/>
      <c r="K661" s="176"/>
      <c r="L661" s="176"/>
      <c r="M661" s="176"/>
      <c r="N661" s="176"/>
      <c r="O661" s="176"/>
      <c r="P661" s="176"/>
      <c r="Q661" s="176"/>
      <c r="R661" s="176"/>
      <c r="S661" s="176"/>
      <c r="T661" s="176"/>
      <c r="U661" s="176"/>
      <c r="V661" s="176"/>
      <c r="W661" s="176"/>
      <c r="X661" s="176"/>
      <c r="Y661" s="176"/>
      <c r="Z661" s="176"/>
      <c r="AA661" s="176"/>
      <c r="AB661" s="176"/>
      <c r="AC661" s="176"/>
      <c r="AD661" s="176"/>
      <c r="AE661" s="176"/>
      <c r="AF661" s="176"/>
      <c r="AG661" s="176"/>
      <c r="AH661" s="176"/>
      <c r="AI661" s="176"/>
      <c r="AJ661" s="176"/>
      <c r="AK661" s="176"/>
      <c r="AL661" s="176"/>
      <c r="AM661" s="176"/>
      <c r="AN661" s="176"/>
      <c r="AO661" s="176"/>
      <c r="AP661" s="176"/>
      <c r="AQ661" s="176"/>
      <c r="AR661" s="176"/>
      <c r="AS661" s="176"/>
      <c r="AT661" s="176"/>
      <c r="AU661" s="176"/>
      <c r="AV661" s="176"/>
      <c r="AW661" s="176"/>
      <c r="AX661" s="176"/>
      <c r="AY661" s="176"/>
      <c r="AZ661" s="176"/>
      <c r="BA661" s="176"/>
      <c r="BB661" s="176"/>
    </row>
    <row r="662" ht="15.75" customHeight="1">
      <c r="A662" s="176"/>
      <c r="B662" s="176"/>
      <c r="C662" s="176"/>
      <c r="D662" s="176"/>
      <c r="E662" s="176"/>
      <c r="F662" s="176"/>
      <c r="G662" s="176"/>
      <c r="H662" s="176"/>
      <c r="I662" s="176"/>
      <c r="J662" s="176"/>
      <c r="K662" s="176"/>
      <c r="L662" s="176"/>
      <c r="M662" s="176"/>
      <c r="N662" s="176"/>
      <c r="O662" s="176"/>
      <c r="P662" s="176"/>
      <c r="Q662" s="176"/>
      <c r="R662" s="176"/>
      <c r="S662" s="176"/>
      <c r="T662" s="176"/>
      <c r="U662" s="176"/>
      <c r="V662" s="176"/>
      <c r="W662" s="176"/>
      <c r="X662" s="176"/>
      <c r="Y662" s="176"/>
      <c r="Z662" s="176"/>
      <c r="AA662" s="176"/>
      <c r="AB662" s="176"/>
      <c r="AC662" s="176"/>
      <c r="AD662" s="176"/>
      <c r="AE662" s="176"/>
      <c r="AF662" s="176"/>
      <c r="AG662" s="176"/>
      <c r="AH662" s="176"/>
      <c r="AI662" s="176"/>
      <c r="AJ662" s="176"/>
      <c r="AK662" s="176"/>
      <c r="AL662" s="176"/>
      <c r="AM662" s="176"/>
      <c r="AN662" s="176"/>
      <c r="AO662" s="176"/>
      <c r="AP662" s="176"/>
      <c r="AQ662" s="176"/>
      <c r="AR662" s="176"/>
      <c r="AS662" s="176"/>
      <c r="AT662" s="176"/>
      <c r="AU662" s="176"/>
      <c r="AV662" s="176"/>
      <c r="AW662" s="176"/>
      <c r="AX662" s="176"/>
      <c r="AY662" s="176"/>
      <c r="AZ662" s="176"/>
      <c r="BA662" s="176"/>
      <c r="BB662" s="176"/>
    </row>
    <row r="663" ht="15.75" customHeight="1">
      <c r="A663" s="176"/>
      <c r="B663" s="176"/>
      <c r="C663" s="176"/>
      <c r="D663" s="176"/>
      <c r="E663" s="176"/>
      <c r="F663" s="176"/>
      <c r="G663" s="176"/>
      <c r="H663" s="176"/>
      <c r="I663" s="176"/>
      <c r="J663" s="176"/>
      <c r="K663" s="176"/>
      <c r="L663" s="176"/>
      <c r="M663" s="176"/>
      <c r="N663" s="176"/>
      <c r="O663" s="176"/>
      <c r="P663" s="176"/>
      <c r="Q663" s="176"/>
      <c r="R663" s="176"/>
      <c r="S663" s="176"/>
      <c r="T663" s="176"/>
      <c r="U663" s="176"/>
      <c r="V663" s="176"/>
      <c r="W663" s="176"/>
      <c r="X663" s="176"/>
      <c r="Y663" s="176"/>
      <c r="Z663" s="176"/>
      <c r="AA663" s="176"/>
      <c r="AB663" s="176"/>
      <c r="AC663" s="176"/>
      <c r="AD663" s="176"/>
      <c r="AE663" s="176"/>
      <c r="AF663" s="176"/>
      <c r="AG663" s="176"/>
      <c r="AH663" s="176"/>
      <c r="AI663" s="176"/>
      <c r="AJ663" s="176"/>
      <c r="AK663" s="176"/>
      <c r="AL663" s="176"/>
      <c r="AM663" s="176"/>
      <c r="AN663" s="176"/>
      <c r="AO663" s="176"/>
      <c r="AP663" s="176"/>
      <c r="AQ663" s="176"/>
      <c r="AR663" s="176"/>
      <c r="AS663" s="176"/>
      <c r="AT663" s="176"/>
      <c r="AU663" s="176"/>
      <c r="AV663" s="176"/>
      <c r="AW663" s="176"/>
      <c r="AX663" s="176"/>
      <c r="AY663" s="176"/>
      <c r="AZ663" s="176"/>
      <c r="BA663" s="176"/>
      <c r="BB663" s="176"/>
    </row>
    <row r="664" ht="15.75" customHeight="1">
      <c r="A664" s="176"/>
      <c r="B664" s="176"/>
      <c r="C664" s="176"/>
      <c r="D664" s="176"/>
      <c r="E664" s="176"/>
      <c r="F664" s="176"/>
      <c r="G664" s="176"/>
      <c r="H664" s="176"/>
      <c r="I664" s="176"/>
      <c r="J664" s="176"/>
      <c r="K664" s="176"/>
      <c r="L664" s="176"/>
      <c r="M664" s="176"/>
      <c r="N664" s="176"/>
      <c r="O664" s="176"/>
      <c r="P664" s="176"/>
      <c r="Q664" s="176"/>
      <c r="R664" s="176"/>
      <c r="S664" s="176"/>
      <c r="T664" s="176"/>
      <c r="U664" s="176"/>
      <c r="V664" s="176"/>
      <c r="W664" s="176"/>
      <c r="X664" s="176"/>
      <c r="Y664" s="176"/>
      <c r="Z664" s="176"/>
      <c r="AA664" s="176"/>
      <c r="AB664" s="176"/>
      <c r="AC664" s="176"/>
      <c r="AD664" s="176"/>
      <c r="AE664" s="176"/>
      <c r="AF664" s="176"/>
      <c r="AG664" s="176"/>
      <c r="AH664" s="176"/>
      <c r="AI664" s="176"/>
      <c r="AJ664" s="176"/>
      <c r="AK664" s="176"/>
      <c r="AL664" s="176"/>
      <c r="AM664" s="176"/>
      <c r="AN664" s="176"/>
      <c r="AO664" s="176"/>
      <c r="AP664" s="176"/>
      <c r="AQ664" s="176"/>
      <c r="AR664" s="176"/>
      <c r="AS664" s="176"/>
      <c r="AT664" s="176"/>
      <c r="AU664" s="176"/>
      <c r="AV664" s="176"/>
      <c r="AW664" s="176"/>
      <c r="AX664" s="176"/>
      <c r="AY664" s="176"/>
      <c r="AZ664" s="176"/>
      <c r="BA664" s="176"/>
      <c r="BB664" s="176"/>
    </row>
    <row r="665" ht="15.75" customHeight="1">
      <c r="A665" s="176"/>
      <c r="B665" s="176"/>
      <c r="C665" s="176"/>
      <c r="D665" s="176"/>
      <c r="E665" s="176"/>
      <c r="F665" s="176"/>
      <c r="G665" s="176"/>
      <c r="H665" s="176"/>
      <c r="I665" s="176"/>
      <c r="J665" s="176"/>
      <c r="K665" s="176"/>
      <c r="L665" s="176"/>
      <c r="M665" s="176"/>
      <c r="N665" s="176"/>
      <c r="O665" s="176"/>
      <c r="P665" s="176"/>
      <c r="Q665" s="176"/>
      <c r="R665" s="176"/>
      <c r="S665" s="176"/>
      <c r="T665" s="176"/>
      <c r="U665" s="176"/>
      <c r="V665" s="176"/>
      <c r="W665" s="176"/>
      <c r="X665" s="176"/>
      <c r="Y665" s="176"/>
      <c r="Z665" s="176"/>
      <c r="AA665" s="176"/>
      <c r="AB665" s="176"/>
      <c r="AC665" s="176"/>
      <c r="AD665" s="176"/>
      <c r="AE665" s="176"/>
      <c r="AF665" s="176"/>
      <c r="AG665" s="176"/>
      <c r="AH665" s="176"/>
      <c r="AI665" s="176"/>
      <c r="AJ665" s="176"/>
      <c r="AK665" s="176"/>
      <c r="AL665" s="176"/>
      <c r="AM665" s="176"/>
      <c r="AN665" s="176"/>
      <c r="AO665" s="176"/>
      <c r="AP665" s="176"/>
      <c r="AQ665" s="176"/>
      <c r="AR665" s="176"/>
      <c r="AS665" s="176"/>
      <c r="AT665" s="176"/>
      <c r="AU665" s="176"/>
      <c r="AV665" s="176"/>
      <c r="AW665" s="176"/>
      <c r="AX665" s="176"/>
      <c r="AY665" s="176"/>
      <c r="AZ665" s="176"/>
      <c r="BA665" s="176"/>
      <c r="BB665" s="176"/>
    </row>
    <row r="666" ht="15.75" customHeight="1">
      <c r="A666" s="176"/>
      <c r="B666" s="176"/>
      <c r="C666" s="176"/>
      <c r="D666" s="176"/>
      <c r="E666" s="176"/>
      <c r="F666" s="176"/>
      <c r="G666" s="176"/>
      <c r="H666" s="176"/>
      <c r="I666" s="176"/>
      <c r="J666" s="176"/>
      <c r="K666" s="176"/>
      <c r="L666" s="176"/>
      <c r="M666" s="176"/>
      <c r="N666" s="176"/>
      <c r="O666" s="176"/>
      <c r="P666" s="176"/>
      <c r="Q666" s="176"/>
      <c r="R666" s="176"/>
      <c r="S666" s="176"/>
      <c r="T666" s="176"/>
      <c r="U666" s="176"/>
      <c r="V666" s="176"/>
      <c r="W666" s="176"/>
      <c r="X666" s="176"/>
      <c r="Y666" s="176"/>
      <c r="Z666" s="176"/>
      <c r="AA666" s="176"/>
      <c r="AB666" s="176"/>
      <c r="AC666" s="176"/>
      <c r="AD666" s="176"/>
      <c r="AE666" s="176"/>
      <c r="AF666" s="176"/>
      <c r="AG666" s="176"/>
      <c r="AH666" s="176"/>
      <c r="AI666" s="176"/>
      <c r="AJ666" s="176"/>
      <c r="AK666" s="176"/>
      <c r="AL666" s="176"/>
      <c r="AM666" s="176"/>
      <c r="AN666" s="176"/>
      <c r="AO666" s="176"/>
      <c r="AP666" s="176"/>
      <c r="AQ666" s="176"/>
      <c r="AR666" s="176"/>
      <c r="AS666" s="176"/>
      <c r="AT666" s="176"/>
      <c r="AU666" s="176"/>
      <c r="AV666" s="176"/>
      <c r="AW666" s="176"/>
      <c r="AX666" s="176"/>
      <c r="AY666" s="176"/>
      <c r="AZ666" s="176"/>
      <c r="BA666" s="176"/>
      <c r="BB666" s="176"/>
    </row>
    <row r="667" ht="15.75" customHeight="1">
      <c r="A667" s="176"/>
      <c r="B667" s="176"/>
      <c r="C667" s="176"/>
      <c r="D667" s="176"/>
      <c r="E667" s="176"/>
      <c r="F667" s="176"/>
      <c r="G667" s="176"/>
      <c r="H667" s="176"/>
      <c r="I667" s="176"/>
      <c r="J667" s="176"/>
      <c r="K667" s="176"/>
      <c r="L667" s="176"/>
      <c r="M667" s="176"/>
      <c r="N667" s="176"/>
      <c r="O667" s="176"/>
      <c r="P667" s="176"/>
      <c r="Q667" s="176"/>
      <c r="R667" s="176"/>
      <c r="S667" s="176"/>
      <c r="T667" s="176"/>
      <c r="U667" s="176"/>
      <c r="V667" s="176"/>
      <c r="W667" s="176"/>
      <c r="X667" s="176"/>
      <c r="Y667" s="176"/>
      <c r="Z667" s="176"/>
      <c r="AA667" s="176"/>
      <c r="AB667" s="176"/>
      <c r="AC667" s="176"/>
      <c r="AD667" s="176"/>
      <c r="AE667" s="176"/>
      <c r="AF667" s="176"/>
      <c r="AG667" s="176"/>
      <c r="AH667" s="176"/>
      <c r="AI667" s="176"/>
      <c r="AJ667" s="176"/>
      <c r="AK667" s="176"/>
      <c r="AL667" s="176"/>
      <c r="AM667" s="176"/>
      <c r="AN667" s="176"/>
      <c r="AO667" s="176"/>
      <c r="AP667" s="176"/>
      <c r="AQ667" s="176"/>
      <c r="AR667" s="176"/>
      <c r="AS667" s="176"/>
      <c r="AT667" s="176"/>
      <c r="AU667" s="176"/>
      <c r="AV667" s="176"/>
      <c r="AW667" s="176"/>
      <c r="AX667" s="176"/>
      <c r="AY667" s="176"/>
      <c r="AZ667" s="176"/>
      <c r="BA667" s="176"/>
      <c r="BB667" s="176"/>
    </row>
    <row r="668" ht="15.75" customHeight="1">
      <c r="A668" s="176"/>
      <c r="B668" s="176"/>
      <c r="C668" s="176"/>
      <c r="D668" s="176"/>
      <c r="E668" s="176"/>
      <c r="F668" s="176"/>
      <c r="G668" s="176"/>
      <c r="H668" s="176"/>
      <c r="I668" s="176"/>
      <c r="J668" s="176"/>
      <c r="K668" s="176"/>
      <c r="L668" s="176"/>
      <c r="M668" s="176"/>
      <c r="N668" s="176"/>
      <c r="O668" s="176"/>
      <c r="P668" s="176"/>
      <c r="Q668" s="176"/>
      <c r="R668" s="176"/>
      <c r="S668" s="176"/>
      <c r="T668" s="176"/>
      <c r="U668" s="176"/>
      <c r="V668" s="176"/>
      <c r="W668" s="176"/>
      <c r="X668" s="176"/>
      <c r="Y668" s="176"/>
      <c r="Z668" s="176"/>
      <c r="AA668" s="176"/>
      <c r="AB668" s="176"/>
      <c r="AC668" s="176"/>
      <c r="AD668" s="176"/>
      <c r="AE668" s="176"/>
      <c r="AF668" s="176"/>
      <c r="AG668" s="176"/>
      <c r="AH668" s="176"/>
      <c r="AI668" s="176"/>
      <c r="AJ668" s="176"/>
      <c r="AK668" s="176"/>
      <c r="AL668" s="176"/>
      <c r="AM668" s="176"/>
      <c r="AN668" s="176"/>
      <c r="AO668" s="176"/>
      <c r="AP668" s="176"/>
      <c r="AQ668" s="176"/>
      <c r="AR668" s="176"/>
      <c r="AS668" s="176"/>
      <c r="AT668" s="176"/>
      <c r="AU668" s="176"/>
      <c r="AV668" s="176"/>
      <c r="AW668" s="176"/>
      <c r="AX668" s="176"/>
      <c r="AY668" s="176"/>
      <c r="AZ668" s="176"/>
      <c r="BA668" s="176"/>
      <c r="BB668" s="176"/>
    </row>
    <row r="669" ht="15.75" customHeight="1">
      <c r="A669" s="176"/>
      <c r="B669" s="176"/>
      <c r="C669" s="176"/>
      <c r="D669" s="176"/>
      <c r="E669" s="176"/>
      <c r="F669" s="176"/>
      <c r="G669" s="176"/>
      <c r="H669" s="176"/>
      <c r="I669" s="176"/>
      <c r="J669" s="176"/>
      <c r="K669" s="176"/>
      <c r="L669" s="176"/>
      <c r="M669" s="176"/>
      <c r="N669" s="176"/>
      <c r="O669" s="176"/>
      <c r="P669" s="176"/>
      <c r="Q669" s="176"/>
      <c r="R669" s="176"/>
      <c r="S669" s="176"/>
      <c r="T669" s="176"/>
      <c r="U669" s="176"/>
      <c r="V669" s="176"/>
      <c r="W669" s="176"/>
      <c r="X669" s="176"/>
      <c r="Y669" s="176"/>
      <c r="Z669" s="176"/>
      <c r="AA669" s="176"/>
      <c r="AB669" s="176"/>
      <c r="AC669" s="176"/>
      <c r="AD669" s="176"/>
      <c r="AE669" s="176"/>
      <c r="AF669" s="176"/>
      <c r="AG669" s="176"/>
      <c r="AH669" s="176"/>
      <c r="AI669" s="176"/>
      <c r="AJ669" s="176"/>
      <c r="AK669" s="176"/>
      <c r="AL669" s="176"/>
      <c r="AM669" s="176"/>
      <c r="AN669" s="176"/>
      <c r="AO669" s="176"/>
      <c r="AP669" s="176"/>
      <c r="AQ669" s="176"/>
      <c r="AR669" s="176"/>
      <c r="AS669" s="176"/>
      <c r="AT669" s="176"/>
      <c r="AU669" s="176"/>
      <c r="AV669" s="176"/>
      <c r="AW669" s="176"/>
      <c r="AX669" s="176"/>
      <c r="AY669" s="176"/>
      <c r="AZ669" s="176"/>
      <c r="BA669" s="176"/>
      <c r="BB669" s="176"/>
    </row>
    <row r="670" ht="15.75" customHeight="1">
      <c r="A670" s="176"/>
      <c r="B670" s="176"/>
      <c r="C670" s="176"/>
      <c r="D670" s="176"/>
      <c r="E670" s="176"/>
      <c r="F670" s="176"/>
      <c r="G670" s="176"/>
      <c r="H670" s="176"/>
      <c r="I670" s="176"/>
      <c r="J670" s="176"/>
      <c r="K670" s="176"/>
      <c r="L670" s="176"/>
      <c r="M670" s="176"/>
      <c r="N670" s="176"/>
      <c r="O670" s="176"/>
      <c r="P670" s="176"/>
      <c r="Q670" s="176"/>
      <c r="R670" s="176"/>
      <c r="S670" s="176"/>
      <c r="T670" s="176"/>
      <c r="U670" s="176"/>
      <c r="V670" s="176"/>
      <c r="W670" s="176"/>
      <c r="X670" s="176"/>
      <c r="Y670" s="176"/>
      <c r="Z670" s="176"/>
      <c r="AA670" s="176"/>
      <c r="AB670" s="176"/>
      <c r="AC670" s="176"/>
      <c r="AD670" s="176"/>
      <c r="AE670" s="176"/>
      <c r="AF670" s="176"/>
      <c r="AG670" s="176"/>
      <c r="AH670" s="176"/>
      <c r="AI670" s="176"/>
      <c r="AJ670" s="176"/>
      <c r="AK670" s="176"/>
      <c r="AL670" s="176"/>
      <c r="AM670" s="176"/>
      <c r="AN670" s="176"/>
      <c r="AO670" s="176"/>
      <c r="AP670" s="176"/>
      <c r="AQ670" s="176"/>
      <c r="AR670" s="176"/>
      <c r="AS670" s="176"/>
      <c r="AT670" s="176"/>
      <c r="AU670" s="176"/>
      <c r="AV670" s="176"/>
      <c r="AW670" s="176"/>
      <c r="AX670" s="176"/>
      <c r="AY670" s="176"/>
      <c r="AZ670" s="176"/>
      <c r="BA670" s="176"/>
      <c r="BB670" s="176"/>
    </row>
    <row r="671" ht="15.75" customHeight="1">
      <c r="A671" s="176"/>
      <c r="B671" s="176"/>
      <c r="C671" s="176"/>
      <c r="D671" s="176"/>
      <c r="E671" s="176"/>
      <c r="F671" s="176"/>
      <c r="G671" s="176"/>
      <c r="H671" s="176"/>
      <c r="I671" s="176"/>
      <c r="J671" s="176"/>
      <c r="K671" s="176"/>
      <c r="L671" s="176"/>
      <c r="M671" s="176"/>
      <c r="N671" s="176"/>
      <c r="O671" s="176"/>
      <c r="P671" s="176"/>
      <c r="Q671" s="176"/>
      <c r="R671" s="176"/>
      <c r="S671" s="176"/>
      <c r="T671" s="176"/>
      <c r="U671" s="176"/>
      <c r="V671" s="176"/>
      <c r="W671" s="176"/>
      <c r="X671" s="176"/>
      <c r="Y671" s="176"/>
      <c r="Z671" s="176"/>
      <c r="AA671" s="176"/>
      <c r="AB671" s="176"/>
      <c r="AC671" s="176"/>
      <c r="AD671" s="176"/>
      <c r="AE671" s="176"/>
      <c r="AF671" s="176"/>
      <c r="AG671" s="176"/>
      <c r="AH671" s="176"/>
      <c r="AI671" s="176"/>
      <c r="AJ671" s="176"/>
      <c r="AK671" s="176"/>
      <c r="AL671" s="176"/>
      <c r="AM671" s="176"/>
      <c r="AN671" s="176"/>
      <c r="AO671" s="176"/>
      <c r="AP671" s="176"/>
      <c r="AQ671" s="176"/>
      <c r="AR671" s="176"/>
      <c r="AS671" s="176"/>
      <c r="AT671" s="176"/>
      <c r="AU671" s="176"/>
      <c r="AV671" s="176"/>
      <c r="AW671" s="176"/>
      <c r="AX671" s="176"/>
      <c r="AY671" s="176"/>
      <c r="AZ671" s="176"/>
      <c r="BA671" s="176"/>
      <c r="BB671" s="176"/>
    </row>
    <row r="672" ht="15.75" customHeight="1">
      <c r="A672" s="176"/>
      <c r="B672" s="176"/>
      <c r="C672" s="176"/>
      <c r="D672" s="176"/>
      <c r="E672" s="176"/>
      <c r="F672" s="176"/>
      <c r="G672" s="176"/>
      <c r="H672" s="176"/>
      <c r="I672" s="176"/>
      <c r="J672" s="176"/>
      <c r="K672" s="176"/>
      <c r="L672" s="176"/>
      <c r="M672" s="176"/>
      <c r="N672" s="176"/>
      <c r="O672" s="176"/>
      <c r="P672" s="176"/>
      <c r="Q672" s="176"/>
      <c r="R672" s="176"/>
      <c r="S672" s="176"/>
      <c r="T672" s="176"/>
      <c r="U672" s="176"/>
      <c r="V672" s="176"/>
      <c r="W672" s="176"/>
      <c r="X672" s="176"/>
      <c r="Y672" s="176"/>
      <c r="Z672" s="176"/>
      <c r="AA672" s="176"/>
      <c r="AB672" s="176"/>
      <c r="AC672" s="176"/>
      <c r="AD672" s="176"/>
      <c r="AE672" s="176"/>
      <c r="AF672" s="176"/>
      <c r="AG672" s="176"/>
      <c r="AH672" s="176"/>
      <c r="AI672" s="176"/>
      <c r="AJ672" s="176"/>
      <c r="AK672" s="176"/>
      <c r="AL672" s="176"/>
      <c r="AM672" s="176"/>
      <c r="AN672" s="176"/>
      <c r="AO672" s="176"/>
      <c r="AP672" s="176"/>
      <c r="AQ672" s="176"/>
      <c r="AR672" s="176"/>
      <c r="AS672" s="176"/>
      <c r="AT672" s="176"/>
      <c r="AU672" s="176"/>
      <c r="AV672" s="176"/>
      <c r="AW672" s="176"/>
      <c r="AX672" s="176"/>
      <c r="AY672" s="176"/>
      <c r="AZ672" s="176"/>
      <c r="BA672" s="176"/>
      <c r="BB672" s="176"/>
    </row>
    <row r="673" ht="15.75" customHeight="1">
      <c r="A673" s="176"/>
      <c r="B673" s="176"/>
      <c r="C673" s="176"/>
      <c r="D673" s="176"/>
      <c r="E673" s="176"/>
      <c r="F673" s="176"/>
      <c r="G673" s="176"/>
      <c r="H673" s="176"/>
      <c r="I673" s="176"/>
      <c r="J673" s="176"/>
      <c r="K673" s="176"/>
      <c r="L673" s="176"/>
      <c r="M673" s="176"/>
      <c r="N673" s="176"/>
      <c r="O673" s="176"/>
      <c r="P673" s="176"/>
      <c r="Q673" s="176"/>
      <c r="R673" s="176"/>
      <c r="S673" s="176"/>
      <c r="T673" s="176"/>
      <c r="U673" s="176"/>
      <c r="V673" s="176"/>
      <c r="W673" s="176"/>
      <c r="X673" s="176"/>
      <c r="Y673" s="176"/>
      <c r="Z673" s="176"/>
      <c r="AA673" s="176"/>
      <c r="AB673" s="176"/>
      <c r="AC673" s="176"/>
      <c r="AD673" s="176"/>
      <c r="AE673" s="176"/>
      <c r="AF673" s="176"/>
      <c r="AG673" s="176"/>
      <c r="AH673" s="176"/>
      <c r="AI673" s="176"/>
      <c r="AJ673" s="176"/>
      <c r="AK673" s="176"/>
      <c r="AL673" s="176"/>
      <c r="AM673" s="176"/>
      <c r="AN673" s="176"/>
      <c r="AO673" s="176"/>
      <c r="AP673" s="176"/>
      <c r="AQ673" s="176"/>
      <c r="AR673" s="176"/>
      <c r="AS673" s="176"/>
      <c r="AT673" s="176"/>
      <c r="AU673" s="176"/>
      <c r="AV673" s="176"/>
      <c r="AW673" s="176"/>
      <c r="AX673" s="176"/>
      <c r="AY673" s="176"/>
      <c r="AZ673" s="176"/>
      <c r="BA673" s="176"/>
      <c r="BB673" s="176"/>
    </row>
    <row r="674" ht="15.75" customHeight="1">
      <c r="A674" s="176"/>
      <c r="B674" s="176"/>
      <c r="C674" s="176"/>
      <c r="D674" s="176"/>
      <c r="E674" s="176"/>
      <c r="F674" s="176"/>
      <c r="G674" s="176"/>
      <c r="H674" s="176"/>
      <c r="I674" s="176"/>
      <c r="J674" s="176"/>
      <c r="K674" s="176"/>
      <c r="L674" s="176"/>
      <c r="M674" s="176"/>
      <c r="N674" s="176"/>
      <c r="O674" s="176"/>
      <c r="P674" s="176"/>
      <c r="Q674" s="176"/>
      <c r="R674" s="176"/>
      <c r="S674" s="176"/>
      <c r="T674" s="176"/>
      <c r="U674" s="176"/>
      <c r="V674" s="176"/>
      <c r="W674" s="176"/>
      <c r="X674" s="176"/>
      <c r="Y674" s="176"/>
      <c r="Z674" s="176"/>
      <c r="AA674" s="176"/>
      <c r="AB674" s="176"/>
      <c r="AC674" s="176"/>
      <c r="AD674" s="176"/>
      <c r="AE674" s="176"/>
      <c r="AF674" s="176"/>
      <c r="AG674" s="176"/>
      <c r="AH674" s="176"/>
      <c r="AI674" s="176"/>
      <c r="AJ674" s="176"/>
      <c r="AK674" s="176"/>
      <c r="AL674" s="176"/>
      <c r="AM674" s="176"/>
      <c r="AN674" s="176"/>
      <c r="AO674" s="176"/>
      <c r="AP674" s="176"/>
      <c r="AQ674" s="176"/>
      <c r="AR674" s="176"/>
      <c r="AS674" s="176"/>
      <c r="AT674" s="176"/>
      <c r="AU674" s="176"/>
      <c r="AV674" s="176"/>
      <c r="AW674" s="176"/>
      <c r="AX674" s="176"/>
      <c r="AY674" s="176"/>
      <c r="AZ674" s="176"/>
      <c r="BA674" s="176"/>
      <c r="BB674" s="176"/>
    </row>
    <row r="675" ht="15.75" customHeight="1">
      <c r="A675" s="176"/>
      <c r="B675" s="176"/>
      <c r="C675" s="176"/>
      <c r="D675" s="176"/>
      <c r="E675" s="176"/>
      <c r="F675" s="176"/>
      <c r="G675" s="176"/>
      <c r="H675" s="176"/>
      <c r="I675" s="176"/>
      <c r="J675" s="176"/>
      <c r="K675" s="176"/>
      <c r="L675" s="176"/>
      <c r="M675" s="176"/>
      <c r="N675" s="176"/>
      <c r="O675" s="176"/>
      <c r="P675" s="176"/>
      <c r="Q675" s="176"/>
      <c r="R675" s="176"/>
      <c r="S675" s="176"/>
      <c r="T675" s="176"/>
      <c r="U675" s="176"/>
      <c r="V675" s="176"/>
      <c r="W675" s="176"/>
      <c r="X675" s="176"/>
      <c r="Y675" s="176"/>
      <c r="Z675" s="176"/>
      <c r="AA675" s="176"/>
      <c r="AB675" s="176"/>
      <c r="AC675" s="176"/>
      <c r="AD675" s="176"/>
      <c r="AE675" s="176"/>
      <c r="AF675" s="176"/>
      <c r="AG675" s="176"/>
      <c r="AH675" s="176"/>
      <c r="AI675" s="176"/>
      <c r="AJ675" s="176"/>
      <c r="AK675" s="176"/>
      <c r="AL675" s="176"/>
      <c r="AM675" s="176"/>
      <c r="AN675" s="176"/>
      <c r="AO675" s="176"/>
      <c r="AP675" s="176"/>
      <c r="AQ675" s="176"/>
      <c r="AR675" s="176"/>
      <c r="AS675" s="176"/>
      <c r="AT675" s="176"/>
      <c r="AU675" s="176"/>
      <c r="AV675" s="176"/>
      <c r="AW675" s="176"/>
      <c r="AX675" s="176"/>
      <c r="AY675" s="176"/>
      <c r="AZ675" s="176"/>
      <c r="BA675" s="176"/>
      <c r="BB675" s="176"/>
    </row>
    <row r="676" ht="15.75" customHeight="1">
      <c r="A676" s="176"/>
      <c r="B676" s="176"/>
      <c r="C676" s="176"/>
      <c r="D676" s="176"/>
      <c r="E676" s="176"/>
      <c r="F676" s="176"/>
      <c r="G676" s="176"/>
      <c r="H676" s="176"/>
      <c r="I676" s="176"/>
      <c r="J676" s="176"/>
      <c r="K676" s="176"/>
      <c r="L676" s="176"/>
      <c r="M676" s="176"/>
      <c r="N676" s="176"/>
      <c r="O676" s="176"/>
      <c r="P676" s="176"/>
      <c r="Q676" s="176"/>
      <c r="R676" s="176"/>
      <c r="S676" s="176"/>
      <c r="T676" s="176"/>
      <c r="U676" s="176"/>
      <c r="V676" s="176"/>
      <c r="W676" s="176"/>
      <c r="X676" s="176"/>
      <c r="Y676" s="176"/>
      <c r="Z676" s="176"/>
      <c r="AA676" s="176"/>
      <c r="AB676" s="176"/>
      <c r="AC676" s="176"/>
      <c r="AD676" s="176"/>
      <c r="AE676" s="176"/>
      <c r="AF676" s="176"/>
      <c r="AG676" s="176"/>
      <c r="AH676" s="176"/>
      <c r="AI676" s="176"/>
      <c r="AJ676" s="176"/>
      <c r="AK676" s="176"/>
      <c r="AL676" s="176"/>
      <c r="AM676" s="176"/>
      <c r="AN676" s="176"/>
      <c r="AO676" s="176"/>
      <c r="AP676" s="176"/>
      <c r="AQ676" s="176"/>
      <c r="AR676" s="176"/>
      <c r="AS676" s="176"/>
      <c r="AT676" s="176"/>
      <c r="AU676" s="176"/>
      <c r="AV676" s="176"/>
      <c r="AW676" s="176"/>
      <c r="AX676" s="176"/>
      <c r="AY676" s="176"/>
      <c r="AZ676" s="176"/>
      <c r="BA676" s="176"/>
      <c r="BB676" s="176"/>
    </row>
    <row r="677" ht="15.75" customHeight="1">
      <c r="A677" s="176"/>
      <c r="B677" s="176"/>
      <c r="C677" s="176"/>
      <c r="D677" s="176"/>
      <c r="E677" s="176"/>
      <c r="F677" s="176"/>
      <c r="G677" s="176"/>
      <c r="H677" s="176"/>
      <c r="I677" s="176"/>
      <c r="J677" s="176"/>
      <c r="K677" s="176"/>
      <c r="L677" s="176"/>
      <c r="M677" s="176"/>
      <c r="N677" s="176"/>
      <c r="O677" s="176"/>
      <c r="P677" s="176"/>
      <c r="Q677" s="176"/>
      <c r="R677" s="176"/>
      <c r="S677" s="176"/>
      <c r="T677" s="176"/>
      <c r="U677" s="176"/>
      <c r="V677" s="176"/>
      <c r="W677" s="176"/>
      <c r="X677" s="176"/>
      <c r="Y677" s="176"/>
      <c r="Z677" s="176"/>
      <c r="AA677" s="176"/>
      <c r="AB677" s="176"/>
      <c r="AC677" s="176"/>
      <c r="AD677" s="176"/>
      <c r="AE677" s="176"/>
      <c r="AF677" s="176"/>
      <c r="AG677" s="176"/>
      <c r="AH677" s="176"/>
      <c r="AI677" s="176"/>
      <c r="AJ677" s="176"/>
      <c r="AK677" s="176"/>
      <c r="AL677" s="176"/>
      <c r="AM677" s="176"/>
      <c r="AN677" s="176"/>
      <c r="AO677" s="176"/>
      <c r="AP677" s="176"/>
      <c r="AQ677" s="176"/>
      <c r="AR677" s="176"/>
      <c r="AS677" s="176"/>
      <c r="AT677" s="176"/>
      <c r="AU677" s="176"/>
      <c r="AV677" s="176"/>
      <c r="AW677" s="176"/>
      <c r="AX677" s="176"/>
      <c r="AY677" s="176"/>
      <c r="AZ677" s="176"/>
      <c r="BA677" s="176"/>
      <c r="BB677" s="176"/>
    </row>
    <row r="678" ht="15.75" customHeight="1">
      <c r="A678" s="176"/>
      <c r="B678" s="176"/>
      <c r="C678" s="176"/>
      <c r="D678" s="176"/>
      <c r="E678" s="176"/>
      <c r="F678" s="176"/>
      <c r="G678" s="176"/>
      <c r="H678" s="176"/>
      <c r="I678" s="176"/>
      <c r="J678" s="176"/>
      <c r="K678" s="176"/>
      <c r="L678" s="176"/>
      <c r="M678" s="176"/>
      <c r="N678" s="176"/>
      <c r="O678" s="176"/>
      <c r="P678" s="176"/>
      <c r="Q678" s="176"/>
      <c r="R678" s="176"/>
      <c r="S678" s="176"/>
      <c r="T678" s="176"/>
      <c r="U678" s="176"/>
      <c r="V678" s="176"/>
      <c r="W678" s="176"/>
      <c r="X678" s="176"/>
      <c r="Y678" s="176"/>
      <c r="Z678" s="176"/>
      <c r="AA678" s="176"/>
      <c r="AB678" s="176"/>
      <c r="AC678" s="176"/>
      <c r="AD678" s="176"/>
      <c r="AE678" s="176"/>
      <c r="AF678" s="176"/>
      <c r="AG678" s="176"/>
      <c r="AH678" s="176"/>
      <c r="AI678" s="176"/>
      <c r="AJ678" s="176"/>
      <c r="AK678" s="176"/>
      <c r="AL678" s="176"/>
      <c r="AM678" s="176"/>
      <c r="AN678" s="176"/>
      <c r="AO678" s="176"/>
      <c r="AP678" s="176"/>
      <c r="AQ678" s="176"/>
      <c r="AR678" s="176"/>
      <c r="AS678" s="176"/>
      <c r="AT678" s="176"/>
      <c r="AU678" s="176"/>
      <c r="AV678" s="176"/>
      <c r="AW678" s="176"/>
      <c r="AX678" s="176"/>
      <c r="AY678" s="176"/>
      <c r="AZ678" s="176"/>
      <c r="BA678" s="176"/>
      <c r="BB678" s="176"/>
    </row>
    <row r="679" ht="15.75" customHeight="1">
      <c r="A679" s="176"/>
      <c r="B679" s="176"/>
      <c r="C679" s="176"/>
      <c r="D679" s="176"/>
      <c r="E679" s="176"/>
      <c r="F679" s="176"/>
      <c r="G679" s="176"/>
      <c r="H679" s="176"/>
      <c r="I679" s="176"/>
      <c r="J679" s="176"/>
      <c r="K679" s="176"/>
      <c r="L679" s="176"/>
      <c r="M679" s="176"/>
      <c r="N679" s="176"/>
      <c r="O679" s="176"/>
      <c r="P679" s="176"/>
      <c r="Q679" s="176"/>
      <c r="R679" s="176"/>
      <c r="S679" s="176"/>
      <c r="T679" s="176"/>
      <c r="U679" s="176"/>
      <c r="V679" s="176"/>
      <c r="W679" s="176"/>
      <c r="X679" s="176"/>
      <c r="Y679" s="176"/>
      <c r="Z679" s="176"/>
      <c r="AA679" s="176"/>
      <c r="AB679" s="176"/>
      <c r="AC679" s="176"/>
      <c r="AD679" s="176"/>
      <c r="AE679" s="176"/>
      <c r="AF679" s="176"/>
      <c r="AG679" s="176"/>
      <c r="AH679" s="176"/>
      <c r="AI679" s="176"/>
      <c r="AJ679" s="176"/>
      <c r="AK679" s="176"/>
      <c r="AL679" s="176"/>
      <c r="AM679" s="176"/>
      <c r="AN679" s="176"/>
      <c r="AO679" s="176"/>
      <c r="AP679" s="176"/>
      <c r="AQ679" s="176"/>
      <c r="AR679" s="176"/>
      <c r="AS679" s="176"/>
      <c r="AT679" s="176"/>
      <c r="AU679" s="176"/>
      <c r="AV679" s="176"/>
      <c r="AW679" s="176"/>
      <c r="AX679" s="176"/>
      <c r="AY679" s="176"/>
      <c r="AZ679" s="176"/>
      <c r="BA679" s="176"/>
      <c r="BB679" s="176"/>
    </row>
    <row r="680" ht="15.75" customHeight="1">
      <c r="A680" s="176"/>
      <c r="B680" s="176"/>
      <c r="C680" s="176"/>
      <c r="D680" s="176"/>
      <c r="E680" s="176"/>
      <c r="F680" s="176"/>
      <c r="G680" s="176"/>
      <c r="H680" s="176"/>
      <c r="I680" s="176"/>
      <c r="J680" s="176"/>
      <c r="K680" s="176"/>
      <c r="L680" s="176"/>
      <c r="M680" s="176"/>
      <c r="N680" s="176"/>
      <c r="O680" s="176"/>
      <c r="P680" s="176"/>
      <c r="Q680" s="176"/>
      <c r="R680" s="176"/>
      <c r="S680" s="176"/>
      <c r="T680" s="176"/>
      <c r="U680" s="176"/>
      <c r="V680" s="176"/>
      <c r="W680" s="176"/>
      <c r="X680" s="176"/>
      <c r="Y680" s="176"/>
      <c r="Z680" s="176"/>
      <c r="AA680" s="176"/>
      <c r="AB680" s="176"/>
      <c r="AC680" s="176"/>
      <c r="AD680" s="176"/>
      <c r="AE680" s="176"/>
      <c r="AF680" s="176"/>
      <c r="AG680" s="176"/>
      <c r="AH680" s="176"/>
      <c r="AI680" s="176"/>
      <c r="AJ680" s="176"/>
      <c r="AK680" s="176"/>
      <c r="AL680" s="176"/>
      <c r="AM680" s="176"/>
      <c r="AN680" s="176"/>
      <c r="AO680" s="176"/>
      <c r="AP680" s="176"/>
      <c r="AQ680" s="176"/>
      <c r="AR680" s="176"/>
      <c r="AS680" s="176"/>
      <c r="AT680" s="176"/>
      <c r="AU680" s="176"/>
      <c r="AV680" s="176"/>
      <c r="AW680" s="176"/>
      <c r="AX680" s="176"/>
      <c r="AY680" s="176"/>
      <c r="AZ680" s="176"/>
      <c r="BA680" s="176"/>
      <c r="BB680" s="176"/>
    </row>
    <row r="681" ht="15.75" customHeight="1">
      <c r="A681" s="176"/>
      <c r="B681" s="176"/>
      <c r="C681" s="176"/>
      <c r="D681" s="176"/>
      <c r="E681" s="176"/>
      <c r="F681" s="176"/>
      <c r="G681" s="176"/>
      <c r="H681" s="176"/>
      <c r="I681" s="176"/>
      <c r="J681" s="176"/>
      <c r="K681" s="176"/>
      <c r="L681" s="176"/>
      <c r="M681" s="176"/>
      <c r="N681" s="176"/>
      <c r="O681" s="176"/>
      <c r="P681" s="176"/>
      <c r="Q681" s="176"/>
      <c r="R681" s="176"/>
      <c r="S681" s="176"/>
      <c r="T681" s="176"/>
      <c r="U681" s="176"/>
      <c r="V681" s="176"/>
      <c r="W681" s="176"/>
      <c r="X681" s="176"/>
      <c r="Y681" s="176"/>
      <c r="Z681" s="176"/>
      <c r="AA681" s="176"/>
      <c r="AB681" s="176"/>
      <c r="AC681" s="176"/>
      <c r="AD681" s="176"/>
      <c r="AE681" s="176"/>
      <c r="AF681" s="176"/>
      <c r="AG681" s="176"/>
      <c r="AH681" s="176"/>
      <c r="AI681" s="176"/>
      <c r="AJ681" s="176"/>
      <c r="AK681" s="176"/>
      <c r="AL681" s="176"/>
      <c r="AM681" s="176"/>
      <c r="AN681" s="176"/>
      <c r="AO681" s="176"/>
      <c r="AP681" s="176"/>
      <c r="AQ681" s="176"/>
      <c r="AR681" s="176"/>
      <c r="AS681" s="176"/>
      <c r="AT681" s="176"/>
      <c r="AU681" s="176"/>
      <c r="AV681" s="176"/>
      <c r="AW681" s="176"/>
      <c r="AX681" s="176"/>
      <c r="AY681" s="176"/>
      <c r="AZ681" s="176"/>
      <c r="BA681" s="176"/>
      <c r="BB681" s="176"/>
    </row>
    <row r="682" ht="15.75" customHeight="1">
      <c r="A682" s="176"/>
      <c r="B682" s="176"/>
      <c r="C682" s="176"/>
      <c r="D682" s="176"/>
      <c r="E682" s="176"/>
      <c r="F682" s="176"/>
      <c r="G682" s="176"/>
      <c r="H682" s="176"/>
      <c r="I682" s="176"/>
      <c r="J682" s="176"/>
      <c r="K682" s="176"/>
      <c r="L682" s="176"/>
      <c r="M682" s="176"/>
      <c r="N682" s="176"/>
      <c r="O682" s="176"/>
      <c r="P682" s="176"/>
      <c r="Q682" s="176"/>
      <c r="R682" s="176"/>
      <c r="S682" s="176"/>
      <c r="T682" s="176"/>
      <c r="U682" s="176"/>
      <c r="V682" s="176"/>
      <c r="W682" s="176"/>
      <c r="X682" s="176"/>
      <c r="Y682" s="176"/>
      <c r="Z682" s="176"/>
      <c r="AA682" s="176"/>
      <c r="AB682" s="176"/>
      <c r="AC682" s="176"/>
      <c r="AD682" s="176"/>
      <c r="AE682" s="176"/>
      <c r="AF682" s="176"/>
      <c r="AG682" s="176"/>
      <c r="AH682" s="176"/>
      <c r="AI682" s="176"/>
      <c r="AJ682" s="176"/>
      <c r="AK682" s="176"/>
      <c r="AL682" s="176"/>
      <c r="AM682" s="176"/>
      <c r="AN682" s="176"/>
      <c r="AO682" s="176"/>
      <c r="AP682" s="176"/>
      <c r="AQ682" s="176"/>
      <c r="AR682" s="176"/>
      <c r="AS682" s="176"/>
      <c r="AT682" s="176"/>
      <c r="AU682" s="176"/>
      <c r="AV682" s="176"/>
      <c r="AW682" s="176"/>
      <c r="AX682" s="176"/>
      <c r="AY682" s="176"/>
      <c r="AZ682" s="176"/>
      <c r="BA682" s="176"/>
      <c r="BB682" s="176"/>
    </row>
    <row r="683" ht="15.75" customHeight="1">
      <c r="A683" s="176"/>
      <c r="B683" s="176"/>
      <c r="C683" s="176"/>
      <c r="D683" s="176"/>
      <c r="E683" s="176"/>
      <c r="F683" s="176"/>
      <c r="G683" s="176"/>
      <c r="H683" s="176"/>
      <c r="I683" s="176"/>
      <c r="J683" s="176"/>
      <c r="K683" s="176"/>
      <c r="L683" s="176"/>
      <c r="M683" s="176"/>
      <c r="N683" s="176"/>
      <c r="O683" s="176"/>
      <c r="P683" s="176"/>
      <c r="Q683" s="176"/>
      <c r="R683" s="176"/>
      <c r="S683" s="176"/>
      <c r="T683" s="176"/>
      <c r="U683" s="176"/>
      <c r="V683" s="176"/>
      <c r="W683" s="176"/>
      <c r="X683" s="176"/>
      <c r="Y683" s="176"/>
      <c r="Z683" s="176"/>
      <c r="AA683" s="176"/>
      <c r="AB683" s="176"/>
      <c r="AC683" s="176"/>
      <c r="AD683" s="176"/>
      <c r="AE683" s="176"/>
      <c r="AF683" s="176"/>
      <c r="AG683" s="176"/>
      <c r="AH683" s="176"/>
      <c r="AI683" s="176"/>
      <c r="AJ683" s="176"/>
      <c r="AK683" s="176"/>
      <c r="AL683" s="176"/>
      <c r="AM683" s="176"/>
      <c r="AN683" s="176"/>
      <c r="AO683" s="176"/>
      <c r="AP683" s="176"/>
      <c r="AQ683" s="176"/>
      <c r="AR683" s="176"/>
      <c r="AS683" s="176"/>
      <c r="AT683" s="176"/>
      <c r="AU683" s="176"/>
      <c r="AV683" s="176"/>
      <c r="AW683" s="176"/>
      <c r="AX683" s="176"/>
      <c r="AY683" s="176"/>
      <c r="AZ683" s="176"/>
      <c r="BA683" s="176"/>
      <c r="BB683" s="176"/>
    </row>
    <row r="684" ht="15.75" customHeight="1">
      <c r="A684" s="176"/>
      <c r="B684" s="176"/>
      <c r="C684" s="176"/>
      <c r="D684" s="176"/>
      <c r="E684" s="176"/>
      <c r="F684" s="176"/>
      <c r="G684" s="176"/>
      <c r="H684" s="176"/>
      <c r="I684" s="176"/>
      <c r="J684" s="176"/>
      <c r="K684" s="176"/>
      <c r="L684" s="176"/>
      <c r="M684" s="176"/>
      <c r="N684" s="176"/>
      <c r="O684" s="176"/>
      <c r="P684" s="176"/>
      <c r="Q684" s="176"/>
      <c r="R684" s="176"/>
      <c r="S684" s="176"/>
      <c r="T684" s="176"/>
      <c r="U684" s="176"/>
      <c r="V684" s="176"/>
      <c r="W684" s="176"/>
      <c r="X684" s="176"/>
      <c r="Y684" s="176"/>
      <c r="Z684" s="176"/>
      <c r="AA684" s="176"/>
      <c r="AB684" s="176"/>
      <c r="AC684" s="176"/>
      <c r="AD684" s="176"/>
      <c r="AE684" s="176"/>
      <c r="AF684" s="176"/>
      <c r="AG684" s="176"/>
      <c r="AH684" s="176"/>
      <c r="AI684" s="176"/>
      <c r="AJ684" s="176"/>
      <c r="AK684" s="176"/>
      <c r="AL684" s="176"/>
      <c r="AM684" s="176"/>
      <c r="AN684" s="176"/>
      <c r="AO684" s="176"/>
      <c r="AP684" s="176"/>
      <c r="AQ684" s="176"/>
      <c r="AR684" s="176"/>
      <c r="AS684" s="176"/>
      <c r="AT684" s="176"/>
      <c r="AU684" s="176"/>
      <c r="AV684" s="176"/>
      <c r="AW684" s="176"/>
      <c r="AX684" s="176"/>
      <c r="AY684" s="176"/>
      <c r="AZ684" s="176"/>
      <c r="BA684" s="176"/>
      <c r="BB684" s="176"/>
    </row>
    <row r="685" ht="15.75" customHeight="1">
      <c r="A685" s="176"/>
      <c r="B685" s="176"/>
      <c r="C685" s="176"/>
      <c r="D685" s="176"/>
      <c r="E685" s="176"/>
      <c r="F685" s="176"/>
      <c r="G685" s="176"/>
      <c r="H685" s="176"/>
      <c r="I685" s="176"/>
      <c r="J685" s="176"/>
      <c r="K685" s="176"/>
      <c r="L685" s="176"/>
      <c r="M685" s="176"/>
      <c r="N685" s="176"/>
      <c r="O685" s="176"/>
      <c r="P685" s="176"/>
      <c r="Q685" s="176"/>
      <c r="R685" s="176"/>
      <c r="S685" s="176"/>
      <c r="T685" s="176"/>
      <c r="U685" s="176"/>
      <c r="V685" s="176"/>
      <c r="W685" s="176"/>
      <c r="X685" s="176"/>
      <c r="Y685" s="176"/>
      <c r="Z685" s="176"/>
      <c r="AA685" s="176"/>
      <c r="AB685" s="176"/>
      <c r="AC685" s="176"/>
      <c r="AD685" s="176"/>
      <c r="AE685" s="176"/>
      <c r="AF685" s="176"/>
      <c r="AG685" s="176"/>
      <c r="AH685" s="176"/>
      <c r="AI685" s="176"/>
      <c r="AJ685" s="176"/>
      <c r="AK685" s="176"/>
      <c r="AL685" s="176"/>
      <c r="AM685" s="176"/>
      <c r="AN685" s="176"/>
      <c r="AO685" s="176"/>
      <c r="AP685" s="176"/>
      <c r="AQ685" s="176"/>
      <c r="AR685" s="176"/>
      <c r="AS685" s="176"/>
      <c r="AT685" s="176"/>
      <c r="AU685" s="176"/>
      <c r="AV685" s="176"/>
      <c r="AW685" s="176"/>
      <c r="AX685" s="176"/>
      <c r="AY685" s="176"/>
      <c r="AZ685" s="176"/>
      <c r="BA685" s="176"/>
      <c r="BB685" s="176"/>
    </row>
    <row r="686" ht="15.75" customHeight="1">
      <c r="A686" s="176"/>
      <c r="B686" s="176"/>
      <c r="C686" s="176"/>
      <c r="D686" s="176"/>
      <c r="E686" s="176"/>
      <c r="F686" s="176"/>
      <c r="G686" s="176"/>
      <c r="H686" s="176"/>
      <c r="I686" s="176"/>
      <c r="J686" s="176"/>
      <c r="K686" s="176"/>
      <c r="L686" s="176"/>
      <c r="M686" s="176"/>
      <c r="N686" s="176"/>
      <c r="O686" s="176"/>
      <c r="P686" s="176"/>
      <c r="Q686" s="176"/>
      <c r="R686" s="176"/>
      <c r="S686" s="176"/>
      <c r="T686" s="176"/>
      <c r="U686" s="176"/>
      <c r="V686" s="176"/>
      <c r="W686" s="176"/>
      <c r="X686" s="176"/>
      <c r="Y686" s="176"/>
      <c r="Z686" s="176"/>
      <c r="AA686" s="176"/>
      <c r="AB686" s="176"/>
      <c r="AC686" s="176"/>
      <c r="AD686" s="176"/>
      <c r="AE686" s="176"/>
      <c r="AF686" s="176"/>
      <c r="AG686" s="176"/>
      <c r="AH686" s="176"/>
      <c r="AI686" s="176"/>
      <c r="AJ686" s="176"/>
      <c r="AK686" s="176"/>
      <c r="AL686" s="176"/>
      <c r="AM686" s="176"/>
      <c r="AN686" s="176"/>
      <c r="AO686" s="176"/>
      <c r="AP686" s="176"/>
      <c r="AQ686" s="176"/>
      <c r="AR686" s="176"/>
      <c r="AS686" s="176"/>
      <c r="AT686" s="176"/>
      <c r="AU686" s="176"/>
      <c r="AV686" s="176"/>
      <c r="AW686" s="176"/>
      <c r="AX686" s="176"/>
      <c r="AY686" s="176"/>
      <c r="AZ686" s="176"/>
      <c r="BA686" s="176"/>
      <c r="BB686" s="176"/>
    </row>
    <row r="687" ht="15.75" customHeight="1">
      <c r="A687" s="176"/>
      <c r="B687" s="176"/>
      <c r="C687" s="176"/>
      <c r="D687" s="176"/>
      <c r="E687" s="176"/>
      <c r="F687" s="176"/>
      <c r="G687" s="176"/>
      <c r="H687" s="176"/>
      <c r="I687" s="176"/>
      <c r="J687" s="176"/>
      <c r="K687" s="176"/>
      <c r="L687" s="176"/>
      <c r="M687" s="176"/>
      <c r="N687" s="176"/>
      <c r="O687" s="176"/>
      <c r="P687" s="176"/>
      <c r="Q687" s="176"/>
      <c r="R687" s="176"/>
      <c r="S687" s="176"/>
      <c r="T687" s="176"/>
      <c r="U687" s="176"/>
      <c r="V687" s="176"/>
      <c r="W687" s="176"/>
      <c r="X687" s="176"/>
      <c r="Y687" s="176"/>
      <c r="Z687" s="176"/>
      <c r="AA687" s="176"/>
      <c r="AB687" s="176"/>
      <c r="AC687" s="176"/>
      <c r="AD687" s="176"/>
      <c r="AE687" s="176"/>
      <c r="AF687" s="176"/>
      <c r="AG687" s="176"/>
      <c r="AH687" s="176"/>
      <c r="AI687" s="176"/>
      <c r="AJ687" s="176"/>
      <c r="AK687" s="176"/>
      <c r="AL687" s="176"/>
      <c r="AM687" s="176"/>
      <c r="AN687" s="176"/>
      <c r="AO687" s="176"/>
      <c r="AP687" s="176"/>
      <c r="AQ687" s="176"/>
      <c r="AR687" s="176"/>
      <c r="AS687" s="176"/>
      <c r="AT687" s="176"/>
      <c r="AU687" s="176"/>
      <c r="AV687" s="176"/>
      <c r="AW687" s="176"/>
      <c r="AX687" s="176"/>
      <c r="AY687" s="176"/>
      <c r="AZ687" s="176"/>
      <c r="BA687" s="176"/>
      <c r="BB687" s="176"/>
    </row>
    <row r="688" ht="15.75" customHeight="1">
      <c r="A688" s="176"/>
      <c r="B688" s="176"/>
      <c r="C688" s="176"/>
      <c r="D688" s="176"/>
      <c r="E688" s="176"/>
      <c r="F688" s="176"/>
      <c r="G688" s="176"/>
      <c r="H688" s="176"/>
      <c r="I688" s="176"/>
      <c r="J688" s="176"/>
      <c r="K688" s="176"/>
      <c r="L688" s="176"/>
      <c r="M688" s="176"/>
      <c r="N688" s="176"/>
      <c r="O688" s="176"/>
      <c r="P688" s="176"/>
      <c r="Q688" s="176"/>
      <c r="R688" s="176"/>
      <c r="S688" s="176"/>
      <c r="T688" s="176"/>
      <c r="U688" s="176"/>
      <c r="V688" s="176"/>
      <c r="W688" s="176"/>
      <c r="X688" s="176"/>
      <c r="Y688" s="176"/>
      <c r="Z688" s="176"/>
      <c r="AA688" s="176"/>
      <c r="AB688" s="176"/>
      <c r="AC688" s="176"/>
      <c r="AD688" s="176"/>
      <c r="AE688" s="176"/>
      <c r="AF688" s="176"/>
      <c r="AG688" s="176"/>
      <c r="AH688" s="176"/>
      <c r="AI688" s="176"/>
      <c r="AJ688" s="176"/>
      <c r="AK688" s="176"/>
      <c r="AL688" s="176"/>
      <c r="AM688" s="176"/>
      <c r="AN688" s="176"/>
      <c r="AO688" s="176"/>
      <c r="AP688" s="176"/>
      <c r="AQ688" s="176"/>
      <c r="AR688" s="176"/>
      <c r="AS688" s="176"/>
      <c r="AT688" s="176"/>
      <c r="AU688" s="176"/>
      <c r="AV688" s="176"/>
      <c r="AW688" s="176"/>
      <c r="AX688" s="176"/>
      <c r="AY688" s="176"/>
      <c r="AZ688" s="176"/>
      <c r="BA688" s="176"/>
      <c r="BB688" s="176"/>
    </row>
    <row r="689" ht="15.75" customHeight="1">
      <c r="A689" s="176"/>
      <c r="B689" s="176"/>
      <c r="C689" s="176"/>
      <c r="D689" s="176"/>
      <c r="E689" s="176"/>
      <c r="F689" s="176"/>
      <c r="G689" s="176"/>
      <c r="H689" s="176"/>
      <c r="I689" s="176"/>
      <c r="J689" s="176"/>
      <c r="K689" s="176"/>
      <c r="L689" s="176"/>
      <c r="M689" s="176"/>
      <c r="N689" s="176"/>
      <c r="O689" s="176"/>
      <c r="P689" s="176"/>
      <c r="Q689" s="176"/>
      <c r="R689" s="176"/>
      <c r="S689" s="176"/>
      <c r="T689" s="176"/>
      <c r="U689" s="176"/>
      <c r="V689" s="176"/>
      <c r="W689" s="176"/>
      <c r="X689" s="176"/>
      <c r="Y689" s="176"/>
      <c r="Z689" s="176"/>
      <c r="AA689" s="176"/>
      <c r="AB689" s="176"/>
      <c r="AC689" s="176"/>
      <c r="AD689" s="176"/>
      <c r="AE689" s="176"/>
      <c r="AF689" s="176"/>
      <c r="AG689" s="176"/>
      <c r="AH689" s="176"/>
      <c r="AI689" s="176"/>
      <c r="AJ689" s="176"/>
      <c r="AK689" s="176"/>
      <c r="AL689" s="176"/>
      <c r="AM689" s="176"/>
      <c r="AN689" s="176"/>
      <c r="AO689" s="176"/>
      <c r="AP689" s="176"/>
      <c r="AQ689" s="176"/>
      <c r="AR689" s="176"/>
      <c r="AS689" s="176"/>
      <c r="AT689" s="176"/>
      <c r="AU689" s="176"/>
      <c r="AV689" s="176"/>
      <c r="AW689" s="176"/>
      <c r="AX689" s="176"/>
      <c r="AY689" s="176"/>
      <c r="AZ689" s="176"/>
      <c r="BA689" s="176"/>
      <c r="BB689" s="176"/>
    </row>
    <row r="690" ht="15.75" customHeight="1">
      <c r="A690" s="176"/>
      <c r="B690" s="176"/>
      <c r="C690" s="176"/>
      <c r="D690" s="176"/>
      <c r="E690" s="176"/>
      <c r="F690" s="176"/>
      <c r="G690" s="176"/>
      <c r="H690" s="176"/>
      <c r="I690" s="176"/>
      <c r="J690" s="176"/>
      <c r="K690" s="176"/>
      <c r="L690" s="176"/>
      <c r="M690" s="176"/>
      <c r="N690" s="176"/>
      <c r="O690" s="176"/>
      <c r="P690" s="176"/>
      <c r="Q690" s="176"/>
      <c r="R690" s="176"/>
      <c r="S690" s="176"/>
      <c r="T690" s="176"/>
      <c r="U690" s="176"/>
      <c r="V690" s="176"/>
      <c r="W690" s="176"/>
      <c r="X690" s="176"/>
      <c r="Y690" s="176"/>
      <c r="Z690" s="176"/>
      <c r="AA690" s="176"/>
      <c r="AB690" s="176"/>
      <c r="AC690" s="176"/>
      <c r="AD690" s="176"/>
      <c r="AE690" s="176"/>
      <c r="AF690" s="176"/>
      <c r="AG690" s="176"/>
      <c r="AH690" s="176"/>
      <c r="AI690" s="176"/>
      <c r="AJ690" s="176"/>
      <c r="AK690" s="176"/>
      <c r="AL690" s="176"/>
      <c r="AM690" s="176"/>
      <c r="AN690" s="176"/>
      <c r="AO690" s="176"/>
      <c r="AP690" s="176"/>
      <c r="AQ690" s="176"/>
      <c r="AR690" s="176"/>
      <c r="AS690" s="176"/>
      <c r="AT690" s="176"/>
      <c r="AU690" s="176"/>
      <c r="AV690" s="176"/>
      <c r="AW690" s="176"/>
      <c r="AX690" s="176"/>
      <c r="AY690" s="176"/>
      <c r="AZ690" s="176"/>
      <c r="BA690" s="176"/>
      <c r="BB690" s="176"/>
    </row>
    <row r="691" ht="15.75" customHeight="1">
      <c r="A691" s="176"/>
      <c r="B691" s="176"/>
      <c r="C691" s="176"/>
      <c r="D691" s="176"/>
      <c r="E691" s="176"/>
      <c r="F691" s="176"/>
      <c r="G691" s="176"/>
      <c r="H691" s="176"/>
      <c r="I691" s="176"/>
      <c r="J691" s="176"/>
      <c r="K691" s="176"/>
      <c r="L691" s="176"/>
      <c r="M691" s="176"/>
      <c r="N691" s="176"/>
      <c r="O691" s="176"/>
      <c r="P691" s="176"/>
      <c r="Q691" s="176"/>
      <c r="R691" s="176"/>
      <c r="S691" s="176"/>
      <c r="T691" s="176"/>
      <c r="U691" s="176"/>
      <c r="V691" s="176"/>
      <c r="W691" s="176"/>
      <c r="X691" s="176"/>
      <c r="Y691" s="176"/>
      <c r="Z691" s="176"/>
      <c r="AA691" s="176"/>
      <c r="AB691" s="176"/>
      <c r="AC691" s="176"/>
      <c r="AD691" s="176"/>
      <c r="AE691" s="176"/>
      <c r="AF691" s="176"/>
      <c r="AG691" s="176"/>
      <c r="AH691" s="176"/>
      <c r="AI691" s="176"/>
      <c r="AJ691" s="176"/>
      <c r="AK691" s="176"/>
      <c r="AL691" s="176"/>
      <c r="AM691" s="176"/>
      <c r="AN691" s="176"/>
      <c r="AO691" s="176"/>
      <c r="AP691" s="176"/>
      <c r="AQ691" s="176"/>
      <c r="AR691" s="176"/>
      <c r="AS691" s="176"/>
      <c r="AT691" s="176"/>
      <c r="AU691" s="176"/>
      <c r="AV691" s="176"/>
      <c r="AW691" s="176"/>
      <c r="AX691" s="176"/>
      <c r="AY691" s="176"/>
      <c r="AZ691" s="176"/>
      <c r="BA691" s="176"/>
      <c r="BB691" s="176"/>
    </row>
    <row r="692" ht="15.75" customHeight="1">
      <c r="A692" s="176"/>
      <c r="B692" s="176"/>
      <c r="C692" s="176"/>
      <c r="D692" s="176"/>
      <c r="E692" s="176"/>
      <c r="F692" s="176"/>
      <c r="G692" s="176"/>
      <c r="H692" s="176"/>
      <c r="I692" s="176"/>
      <c r="J692" s="176"/>
      <c r="K692" s="176"/>
      <c r="L692" s="176"/>
      <c r="M692" s="176"/>
      <c r="N692" s="176"/>
      <c r="O692" s="176"/>
      <c r="P692" s="176"/>
      <c r="Q692" s="176"/>
      <c r="R692" s="176"/>
      <c r="S692" s="176"/>
      <c r="T692" s="176"/>
      <c r="U692" s="176"/>
      <c r="V692" s="176"/>
      <c r="W692" s="176"/>
      <c r="X692" s="176"/>
      <c r="Y692" s="176"/>
      <c r="Z692" s="176"/>
      <c r="AA692" s="176"/>
      <c r="AB692" s="176"/>
      <c r="AC692" s="176"/>
      <c r="AD692" s="176"/>
      <c r="AE692" s="176"/>
      <c r="AF692" s="176"/>
      <c r="AG692" s="176"/>
      <c r="AH692" s="176"/>
      <c r="AI692" s="176"/>
      <c r="AJ692" s="176"/>
      <c r="AK692" s="176"/>
      <c r="AL692" s="176"/>
      <c r="AM692" s="176"/>
      <c r="AN692" s="176"/>
      <c r="AO692" s="176"/>
      <c r="AP692" s="176"/>
      <c r="AQ692" s="176"/>
      <c r="AR692" s="176"/>
      <c r="AS692" s="176"/>
      <c r="AT692" s="176"/>
      <c r="AU692" s="176"/>
      <c r="AV692" s="176"/>
      <c r="AW692" s="176"/>
      <c r="AX692" s="176"/>
      <c r="AY692" s="176"/>
      <c r="AZ692" s="176"/>
      <c r="BA692" s="176"/>
      <c r="BB692" s="176"/>
    </row>
    <row r="693" ht="15.75" customHeight="1">
      <c r="A693" s="176"/>
      <c r="B693" s="176"/>
      <c r="C693" s="176"/>
      <c r="D693" s="176"/>
      <c r="E693" s="176"/>
      <c r="F693" s="176"/>
      <c r="G693" s="176"/>
      <c r="H693" s="176"/>
      <c r="I693" s="176"/>
      <c r="J693" s="176"/>
      <c r="K693" s="176"/>
      <c r="L693" s="176"/>
      <c r="M693" s="176"/>
      <c r="N693" s="176"/>
      <c r="O693" s="176"/>
      <c r="P693" s="176"/>
      <c r="Q693" s="176"/>
      <c r="R693" s="176"/>
      <c r="S693" s="176"/>
      <c r="T693" s="176"/>
      <c r="U693" s="176"/>
      <c r="V693" s="176"/>
      <c r="W693" s="176"/>
      <c r="X693" s="176"/>
      <c r="Y693" s="176"/>
      <c r="Z693" s="176"/>
      <c r="AA693" s="176"/>
      <c r="AB693" s="176"/>
      <c r="AC693" s="176"/>
      <c r="AD693" s="176"/>
      <c r="AE693" s="176"/>
      <c r="AF693" s="176"/>
      <c r="AG693" s="176"/>
      <c r="AH693" s="176"/>
      <c r="AI693" s="176"/>
      <c r="AJ693" s="176"/>
      <c r="AK693" s="176"/>
      <c r="AL693" s="176"/>
      <c r="AM693" s="176"/>
      <c r="AN693" s="176"/>
      <c r="AO693" s="176"/>
      <c r="AP693" s="176"/>
      <c r="AQ693" s="176"/>
      <c r="AR693" s="176"/>
      <c r="AS693" s="176"/>
      <c r="AT693" s="176"/>
      <c r="AU693" s="176"/>
      <c r="AV693" s="176"/>
      <c r="AW693" s="176"/>
      <c r="AX693" s="176"/>
      <c r="AY693" s="176"/>
      <c r="AZ693" s="176"/>
      <c r="BA693" s="176"/>
      <c r="BB693" s="176"/>
    </row>
    <row r="694" ht="15.75" customHeight="1">
      <c r="A694" s="176"/>
      <c r="B694" s="176"/>
      <c r="C694" s="176"/>
      <c r="D694" s="176"/>
      <c r="E694" s="176"/>
      <c r="F694" s="176"/>
      <c r="G694" s="176"/>
      <c r="H694" s="176"/>
      <c r="I694" s="176"/>
      <c r="J694" s="176"/>
      <c r="K694" s="176"/>
      <c r="L694" s="176"/>
      <c r="M694" s="176"/>
      <c r="N694" s="176"/>
      <c r="O694" s="176"/>
      <c r="P694" s="176"/>
      <c r="Q694" s="176"/>
      <c r="R694" s="176"/>
      <c r="S694" s="176"/>
      <c r="T694" s="176"/>
      <c r="U694" s="176"/>
      <c r="V694" s="176"/>
      <c r="W694" s="176"/>
      <c r="X694" s="176"/>
      <c r="Y694" s="176"/>
      <c r="Z694" s="176"/>
      <c r="AA694" s="176"/>
      <c r="AB694" s="176"/>
      <c r="AC694" s="176"/>
      <c r="AD694" s="176"/>
      <c r="AE694" s="176"/>
      <c r="AF694" s="176"/>
      <c r="AG694" s="176"/>
      <c r="AH694" s="176"/>
      <c r="AI694" s="176"/>
      <c r="AJ694" s="176"/>
      <c r="AK694" s="176"/>
      <c r="AL694" s="176"/>
      <c r="AM694" s="176"/>
      <c r="AN694" s="176"/>
      <c r="AO694" s="176"/>
      <c r="AP694" s="176"/>
      <c r="AQ694" s="176"/>
      <c r="AR694" s="176"/>
      <c r="AS694" s="176"/>
      <c r="AT694" s="176"/>
      <c r="AU694" s="176"/>
      <c r="AV694" s="176"/>
      <c r="AW694" s="176"/>
      <c r="AX694" s="176"/>
      <c r="AY694" s="176"/>
      <c r="AZ694" s="176"/>
      <c r="BA694" s="176"/>
      <c r="BB694" s="176"/>
    </row>
    <row r="695" ht="15.75" customHeight="1">
      <c r="A695" s="176"/>
      <c r="B695" s="176"/>
      <c r="C695" s="176"/>
      <c r="D695" s="176"/>
      <c r="E695" s="176"/>
      <c r="F695" s="176"/>
      <c r="G695" s="176"/>
      <c r="H695" s="176"/>
      <c r="I695" s="176"/>
      <c r="J695" s="176"/>
      <c r="K695" s="176"/>
      <c r="L695" s="176"/>
      <c r="M695" s="176"/>
      <c r="N695" s="176"/>
      <c r="O695" s="176"/>
      <c r="P695" s="176"/>
      <c r="Q695" s="176"/>
      <c r="R695" s="176"/>
      <c r="S695" s="176"/>
      <c r="T695" s="176"/>
      <c r="U695" s="176"/>
      <c r="V695" s="176"/>
      <c r="W695" s="176"/>
      <c r="X695" s="176"/>
      <c r="Y695" s="176"/>
      <c r="Z695" s="176"/>
      <c r="AA695" s="176"/>
      <c r="AB695" s="176"/>
      <c r="AC695" s="176"/>
      <c r="AD695" s="176"/>
      <c r="AE695" s="176"/>
      <c r="AF695" s="176"/>
      <c r="AG695" s="176"/>
      <c r="AH695" s="176"/>
      <c r="AI695" s="176"/>
      <c r="AJ695" s="176"/>
      <c r="AK695" s="176"/>
      <c r="AL695" s="176"/>
      <c r="AM695" s="176"/>
      <c r="AN695" s="176"/>
      <c r="AO695" s="176"/>
      <c r="AP695" s="176"/>
      <c r="AQ695" s="176"/>
      <c r="AR695" s="176"/>
      <c r="AS695" s="176"/>
      <c r="AT695" s="176"/>
      <c r="AU695" s="176"/>
      <c r="AV695" s="176"/>
      <c r="AW695" s="176"/>
      <c r="AX695" s="176"/>
      <c r="AY695" s="176"/>
      <c r="AZ695" s="176"/>
      <c r="BA695" s="176"/>
      <c r="BB695" s="176"/>
    </row>
    <row r="696" ht="15.75" customHeight="1">
      <c r="A696" s="176"/>
      <c r="B696" s="176"/>
      <c r="C696" s="176"/>
      <c r="D696" s="176"/>
      <c r="E696" s="176"/>
      <c r="F696" s="176"/>
      <c r="G696" s="176"/>
      <c r="H696" s="176"/>
      <c r="I696" s="176"/>
      <c r="J696" s="176"/>
      <c r="K696" s="176"/>
      <c r="L696" s="176"/>
      <c r="M696" s="176"/>
      <c r="N696" s="176"/>
      <c r="O696" s="176"/>
      <c r="P696" s="176"/>
      <c r="Q696" s="176"/>
      <c r="R696" s="176"/>
      <c r="S696" s="176"/>
      <c r="T696" s="176"/>
      <c r="U696" s="176"/>
      <c r="V696" s="176"/>
      <c r="W696" s="176"/>
      <c r="X696" s="176"/>
      <c r="Y696" s="176"/>
      <c r="Z696" s="176"/>
      <c r="AA696" s="176"/>
      <c r="AB696" s="176"/>
      <c r="AC696" s="176"/>
      <c r="AD696" s="176"/>
      <c r="AE696" s="176"/>
      <c r="AF696" s="176"/>
      <c r="AG696" s="176"/>
      <c r="AH696" s="176"/>
      <c r="AI696" s="176"/>
      <c r="AJ696" s="176"/>
      <c r="AK696" s="176"/>
      <c r="AL696" s="176"/>
      <c r="AM696" s="176"/>
      <c r="AN696" s="176"/>
      <c r="AO696" s="176"/>
      <c r="AP696" s="176"/>
      <c r="AQ696" s="176"/>
      <c r="AR696" s="176"/>
      <c r="AS696" s="176"/>
      <c r="AT696" s="176"/>
      <c r="AU696" s="176"/>
      <c r="AV696" s="176"/>
      <c r="AW696" s="176"/>
      <c r="AX696" s="176"/>
      <c r="AY696" s="176"/>
      <c r="AZ696" s="176"/>
      <c r="BA696" s="176"/>
      <c r="BB696" s="176"/>
    </row>
    <row r="697" ht="15.75" customHeight="1">
      <c r="A697" s="176"/>
      <c r="B697" s="176"/>
      <c r="C697" s="176"/>
      <c r="D697" s="176"/>
      <c r="E697" s="176"/>
      <c r="F697" s="176"/>
      <c r="G697" s="176"/>
      <c r="H697" s="176"/>
      <c r="I697" s="176"/>
      <c r="J697" s="176"/>
      <c r="K697" s="176"/>
      <c r="L697" s="176"/>
      <c r="M697" s="176"/>
      <c r="N697" s="176"/>
      <c r="O697" s="176"/>
      <c r="P697" s="176"/>
      <c r="Q697" s="176"/>
      <c r="R697" s="176"/>
      <c r="S697" s="176"/>
      <c r="T697" s="176"/>
      <c r="U697" s="176"/>
      <c r="V697" s="176"/>
      <c r="W697" s="176"/>
      <c r="X697" s="176"/>
      <c r="Y697" s="176"/>
      <c r="Z697" s="176"/>
      <c r="AA697" s="176"/>
      <c r="AB697" s="176"/>
      <c r="AC697" s="176"/>
      <c r="AD697" s="176"/>
      <c r="AE697" s="176"/>
      <c r="AF697" s="176"/>
      <c r="AG697" s="176"/>
      <c r="AH697" s="176"/>
      <c r="AI697" s="176"/>
      <c r="AJ697" s="176"/>
      <c r="AK697" s="176"/>
      <c r="AL697" s="176"/>
      <c r="AM697" s="176"/>
      <c r="AN697" s="176"/>
      <c r="AO697" s="176"/>
      <c r="AP697" s="176"/>
      <c r="AQ697" s="176"/>
      <c r="AR697" s="176"/>
      <c r="AS697" s="176"/>
      <c r="AT697" s="176"/>
      <c r="AU697" s="176"/>
      <c r="AV697" s="176"/>
      <c r="AW697" s="176"/>
      <c r="AX697" s="176"/>
      <c r="AY697" s="176"/>
      <c r="AZ697" s="176"/>
      <c r="BA697" s="176"/>
      <c r="BB697" s="176"/>
    </row>
    <row r="698" ht="15.75" customHeight="1">
      <c r="A698" s="176"/>
      <c r="B698" s="176"/>
      <c r="C698" s="176"/>
      <c r="D698" s="176"/>
      <c r="E698" s="176"/>
      <c r="F698" s="176"/>
      <c r="G698" s="176"/>
      <c r="H698" s="176"/>
      <c r="I698" s="176"/>
      <c r="J698" s="176"/>
      <c r="K698" s="176"/>
      <c r="L698" s="176"/>
      <c r="M698" s="176"/>
      <c r="N698" s="176"/>
      <c r="O698" s="176"/>
      <c r="P698" s="176"/>
      <c r="Q698" s="176"/>
      <c r="R698" s="176"/>
      <c r="S698" s="176"/>
      <c r="T698" s="176"/>
      <c r="U698" s="176"/>
      <c r="V698" s="176"/>
      <c r="W698" s="176"/>
      <c r="X698" s="176"/>
      <c r="Y698" s="176"/>
      <c r="Z698" s="176"/>
      <c r="AA698" s="176"/>
      <c r="AB698" s="176"/>
      <c r="AC698" s="176"/>
      <c r="AD698" s="176"/>
      <c r="AE698" s="176"/>
      <c r="AF698" s="176"/>
      <c r="AG698" s="176"/>
      <c r="AH698" s="176"/>
      <c r="AI698" s="176"/>
      <c r="AJ698" s="176"/>
      <c r="AK698" s="176"/>
      <c r="AL698" s="176"/>
      <c r="AM698" s="176"/>
      <c r="AN698" s="176"/>
      <c r="AO698" s="176"/>
      <c r="AP698" s="176"/>
      <c r="AQ698" s="176"/>
      <c r="AR698" s="176"/>
      <c r="AS698" s="176"/>
      <c r="AT698" s="176"/>
      <c r="AU698" s="176"/>
      <c r="AV698" s="176"/>
      <c r="AW698" s="176"/>
      <c r="AX698" s="176"/>
      <c r="AY698" s="176"/>
      <c r="AZ698" s="176"/>
      <c r="BA698" s="176"/>
      <c r="BB698" s="176"/>
    </row>
    <row r="699" ht="15.75" customHeight="1">
      <c r="A699" s="176"/>
      <c r="B699" s="176"/>
      <c r="C699" s="176"/>
      <c r="D699" s="176"/>
      <c r="E699" s="176"/>
      <c r="F699" s="176"/>
      <c r="G699" s="176"/>
      <c r="H699" s="176"/>
      <c r="I699" s="176"/>
      <c r="J699" s="176"/>
      <c r="K699" s="176"/>
      <c r="L699" s="176"/>
      <c r="M699" s="176"/>
      <c r="N699" s="176"/>
      <c r="O699" s="176"/>
      <c r="P699" s="176"/>
      <c r="Q699" s="176"/>
      <c r="R699" s="176"/>
      <c r="S699" s="176"/>
      <c r="T699" s="176"/>
      <c r="U699" s="176"/>
      <c r="V699" s="176"/>
      <c r="W699" s="176"/>
      <c r="X699" s="176"/>
      <c r="Y699" s="176"/>
      <c r="Z699" s="176"/>
      <c r="AA699" s="176"/>
      <c r="AB699" s="176"/>
      <c r="AC699" s="176"/>
      <c r="AD699" s="176"/>
      <c r="AE699" s="176"/>
      <c r="AF699" s="176"/>
      <c r="AG699" s="176"/>
      <c r="AH699" s="176"/>
      <c r="AI699" s="176"/>
      <c r="AJ699" s="176"/>
      <c r="AK699" s="176"/>
      <c r="AL699" s="176"/>
      <c r="AM699" s="176"/>
      <c r="AN699" s="176"/>
      <c r="AO699" s="176"/>
      <c r="AP699" s="176"/>
      <c r="AQ699" s="176"/>
      <c r="AR699" s="176"/>
      <c r="AS699" s="176"/>
      <c r="AT699" s="176"/>
      <c r="AU699" s="176"/>
      <c r="AV699" s="176"/>
      <c r="AW699" s="176"/>
      <c r="AX699" s="176"/>
      <c r="AY699" s="176"/>
      <c r="AZ699" s="176"/>
      <c r="BA699" s="176"/>
      <c r="BB699" s="176"/>
    </row>
    <row r="700" ht="15.75" customHeight="1">
      <c r="A700" s="176"/>
      <c r="B700" s="176"/>
      <c r="C700" s="176"/>
      <c r="D700" s="176"/>
      <c r="E700" s="176"/>
      <c r="F700" s="176"/>
      <c r="G700" s="176"/>
      <c r="H700" s="176"/>
      <c r="I700" s="176"/>
      <c r="J700" s="176"/>
      <c r="K700" s="176"/>
      <c r="L700" s="176"/>
      <c r="M700" s="176"/>
      <c r="N700" s="176"/>
      <c r="O700" s="176"/>
      <c r="P700" s="176"/>
      <c r="Q700" s="176"/>
      <c r="R700" s="176"/>
      <c r="S700" s="176"/>
      <c r="T700" s="176"/>
      <c r="U700" s="176"/>
      <c r="V700" s="176"/>
      <c r="W700" s="176"/>
      <c r="X700" s="176"/>
      <c r="Y700" s="176"/>
      <c r="Z700" s="176"/>
      <c r="AA700" s="176"/>
      <c r="AB700" s="176"/>
      <c r="AC700" s="176"/>
      <c r="AD700" s="176"/>
      <c r="AE700" s="176"/>
      <c r="AF700" s="176"/>
      <c r="AG700" s="176"/>
      <c r="AH700" s="176"/>
      <c r="AI700" s="176"/>
      <c r="AJ700" s="176"/>
      <c r="AK700" s="176"/>
      <c r="AL700" s="176"/>
      <c r="AM700" s="176"/>
      <c r="AN700" s="176"/>
      <c r="AO700" s="176"/>
      <c r="AP700" s="176"/>
      <c r="AQ700" s="176"/>
      <c r="AR700" s="176"/>
      <c r="AS700" s="176"/>
      <c r="AT700" s="176"/>
      <c r="AU700" s="176"/>
      <c r="AV700" s="176"/>
      <c r="AW700" s="176"/>
      <c r="AX700" s="176"/>
      <c r="AY700" s="176"/>
      <c r="AZ700" s="176"/>
      <c r="BA700" s="176"/>
      <c r="BB700" s="176"/>
    </row>
    <row r="701" ht="15.75" customHeight="1">
      <c r="A701" s="176"/>
      <c r="B701" s="176"/>
      <c r="C701" s="176"/>
      <c r="D701" s="176"/>
      <c r="E701" s="176"/>
      <c r="F701" s="176"/>
      <c r="G701" s="176"/>
      <c r="H701" s="176"/>
      <c r="I701" s="176"/>
      <c r="J701" s="176"/>
      <c r="K701" s="176"/>
      <c r="L701" s="176"/>
      <c r="M701" s="176"/>
      <c r="N701" s="176"/>
      <c r="O701" s="176"/>
      <c r="P701" s="176"/>
      <c r="Q701" s="176"/>
      <c r="R701" s="176"/>
      <c r="S701" s="176"/>
      <c r="T701" s="176"/>
      <c r="U701" s="176"/>
      <c r="V701" s="176"/>
      <c r="W701" s="176"/>
      <c r="X701" s="176"/>
      <c r="Y701" s="176"/>
      <c r="Z701" s="176"/>
      <c r="AA701" s="176"/>
      <c r="AB701" s="176"/>
      <c r="AC701" s="176"/>
      <c r="AD701" s="176"/>
      <c r="AE701" s="176"/>
      <c r="AF701" s="176"/>
      <c r="AG701" s="176"/>
      <c r="AH701" s="176"/>
      <c r="AI701" s="176"/>
      <c r="AJ701" s="176"/>
      <c r="AK701" s="176"/>
      <c r="AL701" s="176"/>
      <c r="AM701" s="176"/>
      <c r="AN701" s="176"/>
      <c r="AO701" s="176"/>
      <c r="AP701" s="176"/>
      <c r="AQ701" s="176"/>
      <c r="AR701" s="176"/>
      <c r="AS701" s="176"/>
      <c r="AT701" s="176"/>
      <c r="AU701" s="176"/>
      <c r="AV701" s="176"/>
      <c r="AW701" s="176"/>
      <c r="AX701" s="176"/>
      <c r="AY701" s="176"/>
      <c r="AZ701" s="176"/>
      <c r="BA701" s="176"/>
      <c r="BB701" s="176"/>
    </row>
    <row r="702" ht="15.75" customHeight="1">
      <c r="A702" s="176"/>
      <c r="B702" s="176"/>
      <c r="C702" s="176"/>
      <c r="D702" s="176"/>
      <c r="E702" s="176"/>
      <c r="F702" s="176"/>
      <c r="G702" s="176"/>
      <c r="H702" s="176"/>
      <c r="I702" s="176"/>
      <c r="J702" s="176"/>
      <c r="K702" s="176"/>
      <c r="L702" s="176"/>
      <c r="M702" s="176"/>
      <c r="N702" s="176"/>
      <c r="O702" s="176"/>
      <c r="P702" s="176"/>
      <c r="Q702" s="176"/>
      <c r="R702" s="176"/>
      <c r="S702" s="176"/>
      <c r="T702" s="176"/>
      <c r="U702" s="176"/>
      <c r="V702" s="176"/>
      <c r="W702" s="176"/>
      <c r="X702" s="176"/>
      <c r="Y702" s="176"/>
      <c r="Z702" s="176"/>
      <c r="AA702" s="176"/>
      <c r="AB702" s="176"/>
      <c r="AC702" s="176"/>
      <c r="AD702" s="176"/>
      <c r="AE702" s="176"/>
      <c r="AF702" s="176"/>
      <c r="AG702" s="176"/>
      <c r="AH702" s="176"/>
      <c r="AI702" s="176"/>
      <c r="AJ702" s="176"/>
      <c r="AK702" s="176"/>
      <c r="AL702" s="176"/>
      <c r="AM702" s="176"/>
      <c r="AN702" s="176"/>
      <c r="AO702" s="176"/>
      <c r="AP702" s="176"/>
      <c r="AQ702" s="176"/>
      <c r="AR702" s="176"/>
      <c r="AS702" s="176"/>
      <c r="AT702" s="176"/>
      <c r="AU702" s="176"/>
      <c r="AV702" s="176"/>
      <c r="AW702" s="176"/>
      <c r="AX702" s="176"/>
      <c r="AY702" s="176"/>
      <c r="AZ702" s="176"/>
      <c r="BA702" s="176"/>
      <c r="BB702" s="176"/>
    </row>
    <row r="703" ht="15.75" customHeight="1">
      <c r="A703" s="176"/>
      <c r="B703" s="176"/>
      <c r="C703" s="176"/>
      <c r="D703" s="176"/>
      <c r="E703" s="176"/>
      <c r="F703" s="176"/>
      <c r="G703" s="176"/>
      <c r="H703" s="176"/>
      <c r="I703" s="176"/>
      <c r="J703" s="176"/>
      <c r="K703" s="176"/>
      <c r="L703" s="176"/>
      <c r="M703" s="176"/>
      <c r="N703" s="176"/>
      <c r="O703" s="176"/>
      <c r="P703" s="176"/>
      <c r="Q703" s="176"/>
      <c r="R703" s="176"/>
      <c r="S703" s="176"/>
      <c r="T703" s="176"/>
      <c r="U703" s="176"/>
      <c r="V703" s="176"/>
      <c r="W703" s="176"/>
      <c r="X703" s="176"/>
      <c r="Y703" s="176"/>
      <c r="Z703" s="176"/>
      <c r="AA703" s="176"/>
      <c r="AB703" s="176"/>
      <c r="AC703" s="176"/>
      <c r="AD703" s="176"/>
      <c r="AE703" s="176"/>
      <c r="AF703" s="176"/>
      <c r="AG703" s="176"/>
      <c r="AH703" s="176"/>
      <c r="AI703" s="176"/>
      <c r="AJ703" s="176"/>
      <c r="AK703" s="176"/>
      <c r="AL703" s="176"/>
      <c r="AM703" s="176"/>
      <c r="AN703" s="176"/>
      <c r="AO703" s="176"/>
      <c r="AP703" s="176"/>
      <c r="AQ703" s="176"/>
      <c r="AR703" s="176"/>
      <c r="AS703" s="176"/>
      <c r="AT703" s="176"/>
      <c r="AU703" s="176"/>
      <c r="AV703" s="176"/>
      <c r="AW703" s="176"/>
      <c r="AX703" s="176"/>
      <c r="AY703" s="176"/>
      <c r="AZ703" s="176"/>
      <c r="BA703" s="176"/>
      <c r="BB703" s="176"/>
    </row>
    <row r="704" ht="15.75" customHeight="1">
      <c r="A704" s="176"/>
      <c r="B704" s="176"/>
      <c r="C704" s="176"/>
      <c r="D704" s="176"/>
      <c r="E704" s="176"/>
      <c r="F704" s="176"/>
      <c r="G704" s="176"/>
      <c r="H704" s="176"/>
      <c r="I704" s="176"/>
      <c r="J704" s="176"/>
      <c r="K704" s="176"/>
      <c r="L704" s="176"/>
      <c r="M704" s="176"/>
      <c r="N704" s="176"/>
      <c r="O704" s="176"/>
      <c r="P704" s="176"/>
      <c r="Q704" s="176"/>
      <c r="R704" s="176"/>
      <c r="S704" s="176"/>
      <c r="T704" s="176"/>
      <c r="U704" s="176"/>
      <c r="V704" s="176"/>
      <c r="W704" s="176"/>
      <c r="X704" s="176"/>
      <c r="Y704" s="176"/>
      <c r="Z704" s="176"/>
      <c r="AA704" s="176"/>
      <c r="AB704" s="176"/>
      <c r="AC704" s="176"/>
      <c r="AD704" s="176"/>
      <c r="AE704" s="176"/>
      <c r="AF704" s="176"/>
      <c r="AG704" s="176"/>
      <c r="AH704" s="176"/>
      <c r="AI704" s="176"/>
      <c r="AJ704" s="176"/>
      <c r="AK704" s="176"/>
      <c r="AL704" s="176"/>
      <c r="AM704" s="176"/>
      <c r="AN704" s="176"/>
      <c r="AO704" s="176"/>
      <c r="AP704" s="176"/>
      <c r="AQ704" s="176"/>
      <c r="AR704" s="176"/>
      <c r="AS704" s="176"/>
      <c r="AT704" s="176"/>
      <c r="AU704" s="176"/>
      <c r="AV704" s="176"/>
      <c r="AW704" s="176"/>
      <c r="AX704" s="176"/>
      <c r="AY704" s="176"/>
      <c r="AZ704" s="176"/>
      <c r="BA704" s="176"/>
      <c r="BB704" s="176"/>
    </row>
    <row r="705" ht="15.75" customHeight="1">
      <c r="A705" s="176"/>
      <c r="B705" s="176"/>
      <c r="C705" s="176"/>
      <c r="D705" s="176"/>
      <c r="E705" s="176"/>
      <c r="F705" s="176"/>
      <c r="G705" s="176"/>
      <c r="H705" s="176"/>
      <c r="I705" s="176"/>
      <c r="J705" s="176"/>
      <c r="K705" s="176"/>
      <c r="L705" s="176"/>
      <c r="M705" s="176"/>
      <c r="N705" s="176"/>
      <c r="O705" s="176"/>
      <c r="P705" s="176"/>
      <c r="Q705" s="176"/>
      <c r="R705" s="176"/>
      <c r="S705" s="176"/>
      <c r="T705" s="176"/>
      <c r="U705" s="176"/>
      <c r="V705" s="176"/>
      <c r="W705" s="176"/>
      <c r="X705" s="176"/>
      <c r="Y705" s="176"/>
      <c r="Z705" s="176"/>
      <c r="AA705" s="176"/>
      <c r="AB705" s="176"/>
      <c r="AC705" s="176"/>
      <c r="AD705" s="176"/>
      <c r="AE705" s="176"/>
      <c r="AF705" s="176"/>
      <c r="AG705" s="176"/>
      <c r="AH705" s="176"/>
      <c r="AI705" s="176"/>
      <c r="AJ705" s="176"/>
      <c r="AK705" s="176"/>
      <c r="AL705" s="176"/>
      <c r="AM705" s="176"/>
      <c r="AN705" s="176"/>
      <c r="AO705" s="176"/>
      <c r="AP705" s="176"/>
      <c r="AQ705" s="176"/>
      <c r="AR705" s="176"/>
      <c r="AS705" s="176"/>
      <c r="AT705" s="176"/>
      <c r="AU705" s="176"/>
      <c r="AV705" s="176"/>
      <c r="AW705" s="176"/>
      <c r="AX705" s="176"/>
      <c r="AY705" s="176"/>
      <c r="AZ705" s="176"/>
      <c r="BA705" s="176"/>
      <c r="BB705" s="176"/>
    </row>
    <row r="706" ht="15.75" customHeight="1">
      <c r="A706" s="176"/>
      <c r="B706" s="176"/>
      <c r="C706" s="176"/>
      <c r="D706" s="176"/>
      <c r="E706" s="176"/>
      <c r="F706" s="176"/>
      <c r="G706" s="176"/>
      <c r="H706" s="176"/>
      <c r="I706" s="176"/>
      <c r="J706" s="176"/>
      <c r="K706" s="176"/>
      <c r="L706" s="176"/>
      <c r="M706" s="176"/>
      <c r="N706" s="176"/>
      <c r="O706" s="176"/>
      <c r="P706" s="176"/>
      <c r="Q706" s="176"/>
      <c r="R706" s="176"/>
      <c r="S706" s="176"/>
      <c r="T706" s="176"/>
      <c r="U706" s="176"/>
      <c r="V706" s="176"/>
      <c r="W706" s="176"/>
      <c r="X706" s="176"/>
      <c r="Y706" s="176"/>
      <c r="Z706" s="176"/>
      <c r="AA706" s="176"/>
      <c r="AB706" s="176"/>
      <c r="AC706" s="176"/>
      <c r="AD706" s="176"/>
      <c r="AE706" s="176"/>
      <c r="AF706" s="176"/>
      <c r="AG706" s="176"/>
      <c r="AH706" s="176"/>
      <c r="AI706" s="176"/>
      <c r="AJ706" s="176"/>
      <c r="AK706" s="176"/>
      <c r="AL706" s="176"/>
      <c r="AM706" s="176"/>
      <c r="AN706" s="176"/>
      <c r="AO706" s="176"/>
      <c r="AP706" s="176"/>
      <c r="AQ706" s="176"/>
      <c r="AR706" s="176"/>
      <c r="AS706" s="176"/>
      <c r="AT706" s="176"/>
      <c r="AU706" s="176"/>
      <c r="AV706" s="176"/>
      <c r="AW706" s="176"/>
      <c r="AX706" s="176"/>
      <c r="AY706" s="176"/>
      <c r="AZ706" s="176"/>
      <c r="BA706" s="176"/>
      <c r="BB706" s="176"/>
    </row>
    <row r="707" ht="15.75" customHeight="1">
      <c r="A707" s="176"/>
      <c r="B707" s="176"/>
      <c r="C707" s="176"/>
      <c r="D707" s="176"/>
      <c r="E707" s="176"/>
      <c r="F707" s="176"/>
      <c r="G707" s="176"/>
      <c r="H707" s="176"/>
      <c r="I707" s="176"/>
      <c r="J707" s="176"/>
      <c r="K707" s="176"/>
      <c r="L707" s="176"/>
      <c r="M707" s="176"/>
      <c r="N707" s="176"/>
      <c r="O707" s="176"/>
      <c r="P707" s="176"/>
      <c r="Q707" s="176"/>
      <c r="R707" s="176"/>
      <c r="S707" s="176"/>
      <c r="T707" s="176"/>
      <c r="U707" s="176"/>
      <c r="V707" s="176"/>
      <c r="W707" s="176"/>
      <c r="X707" s="176"/>
      <c r="Y707" s="176"/>
      <c r="Z707" s="176"/>
      <c r="AA707" s="176"/>
      <c r="AB707" s="176"/>
      <c r="AC707" s="176"/>
      <c r="AD707" s="176"/>
      <c r="AE707" s="176"/>
      <c r="AF707" s="176"/>
      <c r="AG707" s="176"/>
      <c r="AH707" s="176"/>
      <c r="AI707" s="176"/>
      <c r="AJ707" s="176"/>
      <c r="AK707" s="176"/>
      <c r="AL707" s="176"/>
      <c r="AM707" s="176"/>
      <c r="AN707" s="176"/>
      <c r="AO707" s="176"/>
      <c r="AP707" s="176"/>
      <c r="AQ707" s="176"/>
      <c r="AR707" s="176"/>
      <c r="AS707" s="176"/>
      <c r="AT707" s="176"/>
      <c r="AU707" s="176"/>
      <c r="AV707" s="176"/>
      <c r="AW707" s="176"/>
      <c r="AX707" s="176"/>
      <c r="AY707" s="176"/>
      <c r="AZ707" s="176"/>
      <c r="BA707" s="176"/>
      <c r="BB707" s="176"/>
    </row>
    <row r="708" ht="15.75" customHeight="1">
      <c r="A708" s="176"/>
      <c r="B708" s="176"/>
      <c r="C708" s="176"/>
      <c r="D708" s="176"/>
      <c r="E708" s="176"/>
      <c r="F708" s="176"/>
      <c r="G708" s="176"/>
      <c r="H708" s="176"/>
      <c r="I708" s="176"/>
      <c r="J708" s="176"/>
      <c r="K708" s="176"/>
      <c r="L708" s="176"/>
      <c r="M708" s="176"/>
      <c r="N708" s="176"/>
      <c r="O708" s="176"/>
      <c r="P708" s="176"/>
      <c r="Q708" s="176"/>
      <c r="R708" s="176"/>
      <c r="S708" s="176"/>
      <c r="T708" s="176"/>
      <c r="U708" s="176"/>
      <c r="V708" s="176"/>
      <c r="W708" s="176"/>
      <c r="X708" s="176"/>
      <c r="Y708" s="176"/>
      <c r="Z708" s="176"/>
      <c r="AA708" s="176"/>
      <c r="AB708" s="176"/>
      <c r="AC708" s="176"/>
      <c r="AD708" s="176"/>
      <c r="AE708" s="176"/>
      <c r="AF708" s="176"/>
      <c r="AG708" s="176"/>
      <c r="AH708" s="176"/>
      <c r="AI708" s="176"/>
      <c r="AJ708" s="176"/>
      <c r="AK708" s="176"/>
      <c r="AL708" s="176"/>
      <c r="AM708" s="176"/>
      <c r="AN708" s="176"/>
      <c r="AO708" s="176"/>
      <c r="AP708" s="176"/>
      <c r="AQ708" s="176"/>
      <c r="AR708" s="176"/>
      <c r="AS708" s="176"/>
      <c r="AT708" s="176"/>
      <c r="AU708" s="176"/>
      <c r="AV708" s="176"/>
      <c r="AW708" s="176"/>
      <c r="AX708" s="176"/>
      <c r="AY708" s="176"/>
      <c r="AZ708" s="176"/>
      <c r="BA708" s="176"/>
      <c r="BB708" s="176"/>
    </row>
    <row r="709" ht="15.75" customHeight="1">
      <c r="A709" s="176"/>
      <c r="B709" s="176"/>
      <c r="C709" s="176"/>
      <c r="D709" s="176"/>
      <c r="E709" s="176"/>
      <c r="F709" s="176"/>
      <c r="G709" s="176"/>
      <c r="H709" s="176"/>
      <c r="I709" s="176"/>
      <c r="J709" s="176"/>
      <c r="K709" s="176"/>
      <c r="L709" s="176"/>
      <c r="M709" s="176"/>
      <c r="N709" s="176"/>
      <c r="O709" s="176"/>
      <c r="P709" s="176"/>
      <c r="Q709" s="176"/>
      <c r="R709" s="176"/>
      <c r="S709" s="176"/>
      <c r="T709" s="176"/>
      <c r="U709" s="176"/>
      <c r="V709" s="176"/>
      <c r="W709" s="176"/>
      <c r="X709" s="176"/>
      <c r="Y709" s="176"/>
      <c r="Z709" s="176"/>
      <c r="AA709" s="176"/>
      <c r="AB709" s="176"/>
      <c r="AC709" s="176"/>
      <c r="AD709" s="176"/>
      <c r="AE709" s="176"/>
      <c r="AF709" s="176"/>
      <c r="AG709" s="176"/>
      <c r="AH709" s="176"/>
      <c r="AI709" s="176"/>
      <c r="AJ709" s="176"/>
      <c r="AK709" s="176"/>
      <c r="AL709" s="176"/>
      <c r="AM709" s="176"/>
      <c r="AN709" s="176"/>
      <c r="AO709" s="176"/>
      <c r="AP709" s="176"/>
      <c r="AQ709" s="176"/>
      <c r="AR709" s="176"/>
      <c r="AS709" s="176"/>
      <c r="AT709" s="176"/>
      <c r="AU709" s="176"/>
      <c r="AV709" s="176"/>
      <c r="AW709" s="176"/>
      <c r="AX709" s="176"/>
      <c r="AY709" s="176"/>
      <c r="AZ709" s="176"/>
      <c r="BA709" s="176"/>
      <c r="BB709" s="176"/>
    </row>
    <row r="710" ht="15.75" customHeight="1">
      <c r="A710" s="176"/>
      <c r="B710" s="176"/>
      <c r="C710" s="176"/>
      <c r="D710" s="176"/>
      <c r="E710" s="176"/>
      <c r="F710" s="176"/>
      <c r="G710" s="176"/>
      <c r="H710" s="176"/>
      <c r="I710" s="176"/>
      <c r="J710" s="176"/>
      <c r="K710" s="176"/>
      <c r="L710" s="176"/>
      <c r="M710" s="176"/>
      <c r="N710" s="176"/>
      <c r="O710" s="176"/>
      <c r="P710" s="176"/>
      <c r="Q710" s="176"/>
      <c r="R710" s="176"/>
      <c r="S710" s="176"/>
      <c r="T710" s="176"/>
      <c r="U710" s="176"/>
      <c r="V710" s="176"/>
      <c r="W710" s="176"/>
      <c r="X710" s="176"/>
      <c r="Y710" s="176"/>
      <c r="Z710" s="176"/>
      <c r="AA710" s="176"/>
      <c r="AB710" s="176"/>
      <c r="AC710" s="176"/>
      <c r="AD710" s="176"/>
      <c r="AE710" s="176"/>
      <c r="AF710" s="176"/>
      <c r="AG710" s="176"/>
      <c r="AH710" s="176"/>
      <c r="AI710" s="176"/>
      <c r="AJ710" s="176"/>
      <c r="AK710" s="176"/>
      <c r="AL710" s="176"/>
      <c r="AM710" s="176"/>
      <c r="AN710" s="176"/>
      <c r="AO710" s="176"/>
      <c r="AP710" s="176"/>
      <c r="AQ710" s="176"/>
      <c r="AR710" s="176"/>
      <c r="AS710" s="176"/>
      <c r="AT710" s="176"/>
      <c r="AU710" s="176"/>
      <c r="AV710" s="176"/>
      <c r="AW710" s="176"/>
      <c r="AX710" s="176"/>
      <c r="AY710" s="176"/>
      <c r="AZ710" s="176"/>
      <c r="BA710" s="176"/>
      <c r="BB710" s="176"/>
    </row>
    <row r="711" ht="15.75" customHeight="1">
      <c r="A711" s="176"/>
      <c r="B711" s="176"/>
      <c r="C711" s="176"/>
      <c r="D711" s="176"/>
      <c r="E711" s="176"/>
      <c r="F711" s="176"/>
      <c r="G711" s="176"/>
      <c r="H711" s="176"/>
      <c r="I711" s="176"/>
      <c r="J711" s="176"/>
      <c r="K711" s="176"/>
      <c r="L711" s="176"/>
      <c r="M711" s="176"/>
      <c r="N711" s="176"/>
      <c r="O711" s="176"/>
      <c r="P711" s="176"/>
      <c r="Q711" s="176"/>
      <c r="R711" s="176"/>
      <c r="S711" s="176"/>
      <c r="T711" s="176"/>
      <c r="U711" s="176"/>
      <c r="V711" s="176"/>
      <c r="W711" s="176"/>
      <c r="X711" s="176"/>
      <c r="Y711" s="176"/>
      <c r="Z711" s="176"/>
      <c r="AA711" s="176"/>
      <c r="AB711" s="176"/>
      <c r="AC711" s="176"/>
      <c r="AD711" s="176"/>
      <c r="AE711" s="176"/>
      <c r="AF711" s="176"/>
      <c r="AG711" s="176"/>
      <c r="AH711" s="176"/>
      <c r="AI711" s="176"/>
      <c r="AJ711" s="176"/>
      <c r="AK711" s="176"/>
      <c r="AL711" s="176"/>
      <c r="AM711" s="176"/>
      <c r="AN711" s="176"/>
      <c r="AO711" s="176"/>
      <c r="AP711" s="176"/>
      <c r="AQ711" s="176"/>
      <c r="AR711" s="176"/>
      <c r="AS711" s="176"/>
      <c r="AT711" s="176"/>
      <c r="AU711" s="176"/>
      <c r="AV711" s="176"/>
      <c r="AW711" s="176"/>
      <c r="AX711" s="176"/>
      <c r="AY711" s="176"/>
      <c r="AZ711" s="176"/>
      <c r="BA711" s="176"/>
      <c r="BB711" s="176"/>
    </row>
    <row r="712" ht="15.75" customHeight="1">
      <c r="A712" s="176"/>
      <c r="B712" s="176"/>
      <c r="C712" s="176"/>
      <c r="D712" s="176"/>
      <c r="E712" s="176"/>
      <c r="F712" s="176"/>
      <c r="G712" s="176"/>
      <c r="H712" s="176"/>
      <c r="I712" s="176"/>
      <c r="J712" s="176"/>
      <c r="K712" s="176"/>
      <c r="L712" s="176"/>
      <c r="M712" s="176"/>
      <c r="N712" s="176"/>
      <c r="O712" s="176"/>
      <c r="P712" s="176"/>
      <c r="Q712" s="176"/>
      <c r="R712" s="176"/>
      <c r="S712" s="176"/>
      <c r="T712" s="176"/>
      <c r="U712" s="176"/>
      <c r="V712" s="176"/>
      <c r="W712" s="176"/>
      <c r="X712" s="176"/>
      <c r="Y712" s="176"/>
      <c r="Z712" s="176"/>
      <c r="AA712" s="176"/>
      <c r="AB712" s="176"/>
      <c r="AC712" s="176"/>
      <c r="AD712" s="176"/>
      <c r="AE712" s="176"/>
      <c r="AF712" s="176"/>
      <c r="AG712" s="176"/>
      <c r="AH712" s="176"/>
      <c r="AI712" s="176"/>
      <c r="AJ712" s="176"/>
      <c r="AK712" s="176"/>
      <c r="AL712" s="176"/>
      <c r="AM712" s="176"/>
      <c r="AN712" s="176"/>
      <c r="AO712" s="176"/>
      <c r="AP712" s="176"/>
      <c r="AQ712" s="176"/>
      <c r="AR712" s="176"/>
      <c r="AS712" s="176"/>
      <c r="AT712" s="176"/>
      <c r="AU712" s="176"/>
      <c r="AV712" s="176"/>
      <c r="AW712" s="176"/>
      <c r="AX712" s="176"/>
      <c r="AY712" s="176"/>
      <c r="AZ712" s="176"/>
      <c r="BA712" s="176"/>
      <c r="BB712" s="176"/>
    </row>
    <row r="713" ht="15.75" customHeight="1">
      <c r="A713" s="176"/>
      <c r="B713" s="176"/>
      <c r="C713" s="176"/>
      <c r="D713" s="176"/>
      <c r="E713" s="176"/>
      <c r="F713" s="176"/>
      <c r="G713" s="176"/>
      <c r="H713" s="176"/>
      <c r="I713" s="176"/>
      <c r="J713" s="176"/>
      <c r="K713" s="176"/>
      <c r="L713" s="176"/>
      <c r="M713" s="176"/>
      <c r="N713" s="176"/>
      <c r="O713" s="176"/>
      <c r="P713" s="176"/>
      <c r="Q713" s="176"/>
      <c r="R713" s="176"/>
      <c r="S713" s="176"/>
      <c r="T713" s="176"/>
      <c r="U713" s="176"/>
      <c r="V713" s="176"/>
      <c r="W713" s="176"/>
      <c r="X713" s="176"/>
      <c r="Y713" s="176"/>
      <c r="Z713" s="176"/>
      <c r="AA713" s="176"/>
      <c r="AB713" s="176"/>
      <c r="AC713" s="176"/>
      <c r="AD713" s="176"/>
      <c r="AE713" s="176"/>
      <c r="AF713" s="176"/>
      <c r="AG713" s="176"/>
      <c r="AH713" s="176"/>
      <c r="AI713" s="176"/>
      <c r="AJ713" s="176"/>
      <c r="AK713" s="176"/>
      <c r="AL713" s="176"/>
      <c r="AM713" s="176"/>
      <c r="AN713" s="176"/>
      <c r="AO713" s="176"/>
      <c r="AP713" s="176"/>
      <c r="AQ713" s="176"/>
      <c r="AR713" s="176"/>
      <c r="AS713" s="176"/>
      <c r="AT713" s="176"/>
      <c r="AU713" s="176"/>
      <c r="AV713" s="176"/>
      <c r="AW713" s="176"/>
      <c r="AX713" s="176"/>
      <c r="AY713" s="176"/>
      <c r="AZ713" s="176"/>
      <c r="BA713" s="176"/>
      <c r="BB713" s="176"/>
    </row>
    <row r="714" ht="15.75" customHeight="1">
      <c r="A714" s="176"/>
      <c r="B714" s="176"/>
      <c r="C714" s="176"/>
      <c r="D714" s="176"/>
      <c r="E714" s="176"/>
      <c r="F714" s="176"/>
      <c r="G714" s="176"/>
      <c r="H714" s="176"/>
      <c r="I714" s="176"/>
      <c r="J714" s="176"/>
      <c r="K714" s="176"/>
      <c r="L714" s="176"/>
      <c r="M714" s="176"/>
      <c r="N714" s="176"/>
      <c r="O714" s="176"/>
      <c r="P714" s="176"/>
      <c r="Q714" s="176"/>
      <c r="R714" s="176"/>
      <c r="S714" s="176"/>
      <c r="T714" s="176"/>
      <c r="U714" s="176"/>
      <c r="V714" s="176"/>
      <c r="W714" s="176"/>
      <c r="X714" s="176"/>
      <c r="Y714" s="176"/>
      <c r="Z714" s="176"/>
      <c r="AA714" s="176"/>
      <c r="AB714" s="176"/>
      <c r="AC714" s="176"/>
      <c r="AD714" s="176"/>
      <c r="AE714" s="176"/>
      <c r="AF714" s="176"/>
      <c r="AG714" s="176"/>
      <c r="AH714" s="176"/>
      <c r="AI714" s="176"/>
      <c r="AJ714" s="176"/>
      <c r="AK714" s="176"/>
      <c r="AL714" s="176"/>
      <c r="AM714" s="176"/>
      <c r="AN714" s="176"/>
      <c r="AO714" s="176"/>
      <c r="AP714" s="176"/>
      <c r="AQ714" s="176"/>
      <c r="AR714" s="176"/>
      <c r="AS714" s="176"/>
      <c r="AT714" s="176"/>
      <c r="AU714" s="176"/>
      <c r="AV714" s="176"/>
      <c r="AW714" s="176"/>
      <c r="AX714" s="176"/>
      <c r="AY714" s="176"/>
      <c r="AZ714" s="176"/>
      <c r="BA714" s="176"/>
      <c r="BB714" s="176"/>
    </row>
    <row r="715" ht="15.75" customHeight="1">
      <c r="A715" s="176"/>
      <c r="B715" s="176"/>
      <c r="C715" s="176"/>
      <c r="D715" s="176"/>
      <c r="E715" s="176"/>
      <c r="F715" s="176"/>
      <c r="G715" s="176"/>
      <c r="H715" s="176"/>
      <c r="I715" s="176"/>
      <c r="J715" s="176"/>
      <c r="K715" s="176"/>
      <c r="L715" s="176"/>
      <c r="M715" s="176"/>
      <c r="N715" s="176"/>
      <c r="O715" s="176"/>
      <c r="P715" s="176"/>
      <c r="Q715" s="176"/>
      <c r="R715" s="176"/>
      <c r="S715" s="176"/>
      <c r="T715" s="176"/>
      <c r="U715" s="176"/>
      <c r="V715" s="176"/>
      <c r="W715" s="176"/>
      <c r="X715" s="176"/>
      <c r="Y715" s="176"/>
      <c r="Z715" s="176"/>
      <c r="AA715" s="176"/>
      <c r="AB715" s="176"/>
      <c r="AC715" s="176"/>
      <c r="AD715" s="176"/>
      <c r="AE715" s="176"/>
      <c r="AF715" s="176"/>
      <c r="AG715" s="176"/>
      <c r="AH715" s="176"/>
      <c r="AI715" s="176"/>
      <c r="AJ715" s="176"/>
      <c r="AK715" s="176"/>
      <c r="AL715" s="176"/>
      <c r="AM715" s="176"/>
      <c r="AN715" s="176"/>
      <c r="AO715" s="176"/>
      <c r="AP715" s="176"/>
      <c r="AQ715" s="176"/>
      <c r="AR715" s="176"/>
      <c r="AS715" s="176"/>
      <c r="AT715" s="176"/>
      <c r="AU715" s="176"/>
      <c r="AV715" s="176"/>
      <c r="AW715" s="176"/>
      <c r="AX715" s="176"/>
      <c r="AY715" s="176"/>
      <c r="AZ715" s="176"/>
      <c r="BA715" s="176"/>
      <c r="BB715" s="176"/>
    </row>
    <row r="716" ht="15.75" customHeight="1">
      <c r="A716" s="176"/>
      <c r="B716" s="176"/>
      <c r="C716" s="176"/>
      <c r="D716" s="176"/>
      <c r="E716" s="176"/>
      <c r="F716" s="176"/>
      <c r="G716" s="176"/>
      <c r="H716" s="176"/>
      <c r="I716" s="176"/>
      <c r="J716" s="176"/>
      <c r="K716" s="176"/>
      <c r="L716" s="176"/>
      <c r="M716" s="176"/>
      <c r="N716" s="176"/>
      <c r="O716" s="176"/>
      <c r="P716" s="176"/>
      <c r="Q716" s="176"/>
      <c r="R716" s="176"/>
      <c r="S716" s="176"/>
      <c r="T716" s="176"/>
      <c r="U716" s="176"/>
      <c r="V716" s="176"/>
      <c r="W716" s="176"/>
      <c r="X716" s="176"/>
      <c r="Y716" s="176"/>
      <c r="Z716" s="176"/>
      <c r="AA716" s="176"/>
      <c r="AB716" s="176"/>
      <c r="AC716" s="176"/>
      <c r="AD716" s="176"/>
      <c r="AE716" s="176"/>
      <c r="AF716" s="176"/>
      <c r="AG716" s="176"/>
      <c r="AH716" s="176"/>
      <c r="AI716" s="176"/>
      <c r="AJ716" s="176"/>
      <c r="AK716" s="176"/>
      <c r="AL716" s="176"/>
      <c r="AM716" s="176"/>
      <c r="AN716" s="176"/>
      <c r="AO716" s="176"/>
      <c r="AP716" s="176"/>
      <c r="AQ716" s="176"/>
      <c r="AR716" s="176"/>
      <c r="AS716" s="176"/>
      <c r="AT716" s="176"/>
      <c r="AU716" s="176"/>
      <c r="AV716" s="176"/>
      <c r="AW716" s="176"/>
      <c r="AX716" s="176"/>
      <c r="AY716" s="176"/>
      <c r="AZ716" s="176"/>
      <c r="BA716" s="176"/>
      <c r="BB716" s="176"/>
    </row>
    <row r="717" ht="15.75" customHeight="1">
      <c r="A717" s="176"/>
      <c r="B717" s="176"/>
      <c r="C717" s="176"/>
      <c r="D717" s="176"/>
      <c r="E717" s="176"/>
      <c r="F717" s="176"/>
      <c r="G717" s="176"/>
      <c r="H717" s="176"/>
      <c r="I717" s="176"/>
      <c r="J717" s="176"/>
      <c r="K717" s="176"/>
      <c r="L717" s="176"/>
      <c r="M717" s="176"/>
      <c r="N717" s="176"/>
      <c r="O717" s="176"/>
      <c r="P717" s="176"/>
      <c r="Q717" s="176"/>
      <c r="R717" s="176"/>
      <c r="S717" s="176"/>
      <c r="T717" s="176"/>
      <c r="U717" s="176"/>
      <c r="V717" s="176"/>
      <c r="W717" s="176"/>
      <c r="X717" s="176"/>
      <c r="Y717" s="176"/>
      <c r="Z717" s="176"/>
      <c r="AA717" s="176"/>
      <c r="AB717" s="176"/>
      <c r="AC717" s="176"/>
      <c r="AD717" s="176"/>
      <c r="AE717" s="176"/>
      <c r="AF717" s="176"/>
      <c r="AG717" s="176"/>
      <c r="AH717" s="176"/>
      <c r="AI717" s="176"/>
      <c r="AJ717" s="176"/>
      <c r="AK717" s="176"/>
      <c r="AL717" s="176"/>
      <c r="AM717" s="176"/>
      <c r="AN717" s="176"/>
      <c r="AO717" s="176"/>
      <c r="AP717" s="176"/>
      <c r="AQ717" s="176"/>
      <c r="AR717" s="176"/>
      <c r="AS717" s="176"/>
      <c r="AT717" s="176"/>
      <c r="AU717" s="176"/>
      <c r="AV717" s="176"/>
      <c r="AW717" s="176"/>
      <c r="AX717" s="176"/>
      <c r="AY717" s="176"/>
      <c r="AZ717" s="176"/>
      <c r="BA717" s="176"/>
      <c r="BB717" s="176"/>
    </row>
    <row r="718" ht="15.75" customHeight="1">
      <c r="A718" s="176"/>
      <c r="B718" s="176"/>
      <c r="C718" s="176"/>
      <c r="D718" s="176"/>
      <c r="E718" s="176"/>
      <c r="F718" s="176"/>
      <c r="G718" s="176"/>
      <c r="H718" s="176"/>
      <c r="I718" s="176"/>
      <c r="J718" s="176"/>
      <c r="K718" s="176"/>
      <c r="L718" s="176"/>
      <c r="M718" s="176"/>
      <c r="N718" s="176"/>
      <c r="O718" s="176"/>
      <c r="P718" s="176"/>
      <c r="Q718" s="176"/>
      <c r="R718" s="176"/>
      <c r="S718" s="176"/>
      <c r="T718" s="176"/>
      <c r="U718" s="176"/>
      <c r="V718" s="176"/>
      <c r="W718" s="176"/>
      <c r="X718" s="176"/>
      <c r="Y718" s="176"/>
      <c r="Z718" s="176"/>
      <c r="AA718" s="176"/>
      <c r="AB718" s="176"/>
      <c r="AC718" s="176"/>
      <c r="AD718" s="176"/>
      <c r="AE718" s="176"/>
      <c r="AF718" s="176"/>
      <c r="AG718" s="176"/>
      <c r="AH718" s="176"/>
      <c r="AI718" s="176"/>
      <c r="AJ718" s="176"/>
      <c r="AK718" s="176"/>
      <c r="AL718" s="176"/>
      <c r="AM718" s="176"/>
      <c r="AN718" s="176"/>
      <c r="AO718" s="176"/>
      <c r="AP718" s="176"/>
      <c r="AQ718" s="176"/>
      <c r="AR718" s="176"/>
      <c r="AS718" s="176"/>
      <c r="AT718" s="176"/>
      <c r="AU718" s="176"/>
      <c r="AV718" s="176"/>
      <c r="AW718" s="176"/>
      <c r="AX718" s="176"/>
      <c r="AY718" s="176"/>
      <c r="AZ718" s="176"/>
      <c r="BA718" s="176"/>
      <c r="BB718" s="176"/>
    </row>
    <row r="719" ht="15.75" customHeight="1">
      <c r="A719" s="176"/>
      <c r="B719" s="176"/>
      <c r="C719" s="176"/>
      <c r="D719" s="176"/>
      <c r="E719" s="176"/>
      <c r="F719" s="176"/>
      <c r="G719" s="176"/>
      <c r="H719" s="176"/>
      <c r="I719" s="176"/>
      <c r="J719" s="176"/>
      <c r="K719" s="176"/>
      <c r="L719" s="176"/>
      <c r="M719" s="176"/>
      <c r="N719" s="176"/>
      <c r="O719" s="176"/>
      <c r="P719" s="176"/>
      <c r="Q719" s="176"/>
      <c r="R719" s="176"/>
      <c r="S719" s="176"/>
      <c r="T719" s="176"/>
      <c r="U719" s="176"/>
      <c r="V719" s="176"/>
      <c r="W719" s="176"/>
      <c r="X719" s="176"/>
      <c r="Y719" s="176"/>
      <c r="Z719" s="176"/>
      <c r="AA719" s="176"/>
      <c r="AB719" s="176"/>
      <c r="AC719" s="176"/>
      <c r="AD719" s="176"/>
      <c r="AE719" s="176"/>
      <c r="AF719" s="176"/>
      <c r="AG719" s="176"/>
      <c r="AH719" s="176"/>
      <c r="AI719" s="176"/>
      <c r="AJ719" s="176"/>
      <c r="AK719" s="176"/>
      <c r="AL719" s="176"/>
      <c r="AM719" s="176"/>
      <c r="AN719" s="176"/>
      <c r="AO719" s="176"/>
      <c r="AP719" s="176"/>
      <c r="AQ719" s="176"/>
      <c r="AR719" s="176"/>
      <c r="AS719" s="176"/>
      <c r="AT719" s="176"/>
      <c r="AU719" s="176"/>
      <c r="AV719" s="176"/>
      <c r="AW719" s="176"/>
      <c r="AX719" s="176"/>
      <c r="AY719" s="176"/>
      <c r="AZ719" s="176"/>
      <c r="BA719" s="176"/>
      <c r="BB719" s="176"/>
    </row>
    <row r="720" ht="15.75" customHeight="1">
      <c r="A720" s="176"/>
      <c r="B720" s="176"/>
      <c r="C720" s="176"/>
      <c r="D720" s="176"/>
      <c r="E720" s="176"/>
      <c r="F720" s="176"/>
      <c r="G720" s="176"/>
      <c r="H720" s="176"/>
      <c r="I720" s="176"/>
      <c r="J720" s="176"/>
      <c r="K720" s="176"/>
      <c r="L720" s="176"/>
      <c r="M720" s="176"/>
      <c r="N720" s="176"/>
      <c r="O720" s="176"/>
      <c r="P720" s="176"/>
      <c r="Q720" s="176"/>
      <c r="R720" s="176"/>
      <c r="S720" s="176"/>
      <c r="T720" s="176"/>
      <c r="U720" s="176"/>
      <c r="V720" s="176"/>
      <c r="W720" s="176"/>
      <c r="X720" s="176"/>
      <c r="Y720" s="176"/>
      <c r="Z720" s="176"/>
      <c r="AA720" s="176"/>
      <c r="AB720" s="176"/>
      <c r="AC720" s="176"/>
      <c r="AD720" s="176"/>
      <c r="AE720" s="176"/>
      <c r="AF720" s="176"/>
      <c r="AG720" s="176"/>
      <c r="AH720" s="176"/>
      <c r="AI720" s="176"/>
      <c r="AJ720" s="176"/>
      <c r="AK720" s="176"/>
      <c r="AL720" s="176"/>
      <c r="AM720" s="176"/>
      <c r="AN720" s="176"/>
      <c r="AO720" s="176"/>
      <c r="AP720" s="176"/>
      <c r="AQ720" s="176"/>
      <c r="AR720" s="176"/>
      <c r="AS720" s="176"/>
      <c r="AT720" s="176"/>
      <c r="AU720" s="176"/>
      <c r="AV720" s="176"/>
      <c r="AW720" s="176"/>
      <c r="AX720" s="176"/>
      <c r="AY720" s="176"/>
      <c r="AZ720" s="176"/>
      <c r="BA720" s="176"/>
      <c r="BB720" s="176"/>
    </row>
    <row r="721" ht="15.75" customHeight="1">
      <c r="A721" s="176"/>
      <c r="B721" s="176"/>
      <c r="C721" s="176"/>
      <c r="D721" s="176"/>
      <c r="E721" s="176"/>
      <c r="F721" s="176"/>
      <c r="G721" s="176"/>
      <c r="H721" s="176"/>
      <c r="I721" s="176"/>
      <c r="J721" s="176"/>
      <c r="K721" s="176"/>
      <c r="L721" s="176"/>
      <c r="M721" s="176"/>
      <c r="N721" s="176"/>
      <c r="O721" s="176"/>
      <c r="P721" s="176"/>
      <c r="Q721" s="176"/>
      <c r="R721" s="176"/>
      <c r="S721" s="176"/>
      <c r="T721" s="176"/>
      <c r="U721" s="176"/>
      <c r="V721" s="176"/>
      <c r="W721" s="176"/>
      <c r="X721" s="176"/>
      <c r="Y721" s="176"/>
      <c r="Z721" s="176"/>
      <c r="AA721" s="176"/>
      <c r="AB721" s="176"/>
      <c r="AC721" s="176"/>
      <c r="AD721" s="176"/>
      <c r="AE721" s="176"/>
      <c r="AF721" s="176"/>
      <c r="AG721" s="176"/>
      <c r="AH721" s="176"/>
      <c r="AI721" s="176"/>
      <c r="AJ721" s="176"/>
      <c r="AK721" s="176"/>
      <c r="AL721" s="176"/>
      <c r="AM721" s="176"/>
      <c r="AN721" s="176"/>
      <c r="AO721" s="176"/>
      <c r="AP721" s="176"/>
      <c r="AQ721" s="176"/>
      <c r="AR721" s="176"/>
      <c r="AS721" s="176"/>
      <c r="AT721" s="176"/>
      <c r="AU721" s="176"/>
      <c r="AV721" s="176"/>
      <c r="AW721" s="176"/>
      <c r="AX721" s="176"/>
      <c r="AY721" s="176"/>
      <c r="AZ721" s="176"/>
      <c r="BA721" s="176"/>
      <c r="BB721" s="176"/>
    </row>
    <row r="722" ht="15.75" customHeight="1">
      <c r="A722" s="176"/>
      <c r="B722" s="176"/>
      <c r="C722" s="176"/>
      <c r="D722" s="176"/>
      <c r="E722" s="176"/>
      <c r="F722" s="176"/>
      <c r="G722" s="176"/>
      <c r="H722" s="176"/>
      <c r="I722" s="176"/>
      <c r="J722" s="176"/>
      <c r="K722" s="176"/>
      <c r="L722" s="176"/>
      <c r="M722" s="176"/>
      <c r="N722" s="176"/>
      <c r="O722" s="176"/>
      <c r="P722" s="176"/>
      <c r="Q722" s="176"/>
      <c r="R722" s="176"/>
      <c r="S722" s="176"/>
      <c r="T722" s="176"/>
      <c r="U722" s="176"/>
      <c r="V722" s="176"/>
      <c r="W722" s="176"/>
      <c r="X722" s="176"/>
      <c r="Y722" s="176"/>
      <c r="Z722" s="176"/>
      <c r="AA722" s="176"/>
      <c r="AB722" s="176"/>
      <c r="AC722" s="176"/>
      <c r="AD722" s="176"/>
      <c r="AE722" s="176"/>
      <c r="AF722" s="176"/>
      <c r="AG722" s="176"/>
      <c r="AH722" s="176"/>
      <c r="AI722" s="176"/>
      <c r="AJ722" s="176"/>
      <c r="AK722" s="176"/>
      <c r="AL722" s="176"/>
      <c r="AM722" s="176"/>
      <c r="AN722" s="176"/>
      <c r="AO722" s="176"/>
      <c r="AP722" s="176"/>
      <c r="AQ722" s="176"/>
      <c r="AR722" s="176"/>
      <c r="AS722" s="176"/>
      <c r="AT722" s="176"/>
      <c r="AU722" s="176"/>
      <c r="AV722" s="176"/>
      <c r="AW722" s="176"/>
      <c r="AX722" s="176"/>
      <c r="AY722" s="176"/>
      <c r="AZ722" s="176"/>
      <c r="BA722" s="176"/>
      <c r="BB722" s="176"/>
    </row>
    <row r="723" ht="15.75" customHeight="1">
      <c r="A723" s="176"/>
      <c r="B723" s="176"/>
      <c r="C723" s="176"/>
      <c r="D723" s="176"/>
      <c r="E723" s="176"/>
      <c r="F723" s="176"/>
      <c r="G723" s="176"/>
      <c r="H723" s="176"/>
      <c r="I723" s="176"/>
      <c r="J723" s="176"/>
      <c r="K723" s="176"/>
      <c r="L723" s="176"/>
      <c r="M723" s="176"/>
      <c r="N723" s="176"/>
      <c r="O723" s="176"/>
      <c r="P723" s="176"/>
      <c r="Q723" s="176"/>
      <c r="R723" s="176"/>
      <c r="S723" s="176"/>
      <c r="T723" s="176"/>
      <c r="U723" s="176"/>
      <c r="V723" s="176"/>
      <c r="W723" s="176"/>
      <c r="X723" s="176"/>
      <c r="Y723" s="176"/>
      <c r="Z723" s="176"/>
      <c r="AA723" s="176"/>
      <c r="AB723" s="176"/>
      <c r="AC723" s="176"/>
      <c r="AD723" s="176"/>
      <c r="AE723" s="176"/>
      <c r="AF723" s="176"/>
      <c r="AG723" s="176"/>
      <c r="AH723" s="176"/>
      <c r="AI723" s="176"/>
      <c r="AJ723" s="176"/>
      <c r="AK723" s="176"/>
      <c r="AL723" s="176"/>
      <c r="AM723" s="176"/>
      <c r="AN723" s="176"/>
      <c r="AO723" s="176"/>
      <c r="AP723" s="176"/>
      <c r="AQ723" s="176"/>
      <c r="AR723" s="176"/>
      <c r="AS723" s="176"/>
      <c r="AT723" s="176"/>
      <c r="AU723" s="176"/>
      <c r="AV723" s="176"/>
      <c r="AW723" s="176"/>
      <c r="AX723" s="176"/>
      <c r="AY723" s="176"/>
      <c r="AZ723" s="176"/>
      <c r="BA723" s="176"/>
      <c r="BB723" s="176"/>
    </row>
    <row r="724" ht="15.75" customHeight="1">
      <c r="A724" s="176"/>
      <c r="B724" s="176"/>
      <c r="C724" s="176"/>
      <c r="D724" s="176"/>
      <c r="E724" s="176"/>
      <c r="F724" s="176"/>
      <c r="G724" s="176"/>
      <c r="H724" s="176"/>
      <c r="I724" s="176"/>
      <c r="J724" s="176"/>
      <c r="K724" s="176"/>
      <c r="L724" s="176"/>
      <c r="M724" s="176"/>
      <c r="N724" s="176"/>
      <c r="O724" s="176"/>
      <c r="P724" s="176"/>
      <c r="Q724" s="176"/>
      <c r="R724" s="176"/>
      <c r="S724" s="176"/>
      <c r="T724" s="176"/>
      <c r="U724" s="176"/>
      <c r="V724" s="176"/>
      <c r="W724" s="176"/>
      <c r="X724" s="176"/>
      <c r="Y724" s="176"/>
      <c r="Z724" s="176"/>
      <c r="AA724" s="176"/>
      <c r="AB724" s="176"/>
      <c r="AC724" s="176"/>
      <c r="AD724" s="176"/>
      <c r="AE724" s="176"/>
      <c r="AF724" s="176"/>
      <c r="AG724" s="176"/>
      <c r="AH724" s="176"/>
      <c r="AI724" s="176"/>
      <c r="AJ724" s="176"/>
      <c r="AK724" s="176"/>
      <c r="AL724" s="176"/>
      <c r="AM724" s="176"/>
      <c r="AN724" s="176"/>
      <c r="AO724" s="176"/>
      <c r="AP724" s="176"/>
      <c r="AQ724" s="176"/>
      <c r="AR724" s="176"/>
      <c r="AS724" s="176"/>
      <c r="AT724" s="176"/>
      <c r="AU724" s="176"/>
      <c r="AV724" s="176"/>
      <c r="AW724" s="176"/>
      <c r="AX724" s="176"/>
      <c r="AY724" s="176"/>
      <c r="AZ724" s="176"/>
      <c r="BA724" s="176"/>
      <c r="BB724" s="176"/>
    </row>
    <row r="725" ht="15.75" customHeight="1">
      <c r="A725" s="176"/>
      <c r="B725" s="176"/>
      <c r="C725" s="176"/>
      <c r="D725" s="176"/>
      <c r="E725" s="176"/>
      <c r="F725" s="176"/>
      <c r="G725" s="176"/>
      <c r="H725" s="176"/>
      <c r="I725" s="176"/>
      <c r="J725" s="176"/>
      <c r="K725" s="176"/>
      <c r="L725" s="176"/>
      <c r="M725" s="176"/>
      <c r="N725" s="176"/>
      <c r="O725" s="176"/>
      <c r="P725" s="176"/>
      <c r="Q725" s="176"/>
      <c r="R725" s="176"/>
      <c r="S725" s="176"/>
      <c r="T725" s="176"/>
      <c r="U725" s="176"/>
      <c r="V725" s="176"/>
      <c r="W725" s="176"/>
      <c r="X725" s="176"/>
      <c r="Y725" s="176"/>
      <c r="Z725" s="176"/>
      <c r="AA725" s="176"/>
      <c r="AB725" s="176"/>
      <c r="AC725" s="176"/>
      <c r="AD725" s="176"/>
      <c r="AE725" s="176"/>
      <c r="AF725" s="176"/>
      <c r="AG725" s="176"/>
      <c r="AH725" s="176"/>
      <c r="AI725" s="176"/>
      <c r="AJ725" s="176"/>
      <c r="AK725" s="176"/>
      <c r="AL725" s="176"/>
      <c r="AM725" s="176"/>
      <c r="AN725" s="176"/>
      <c r="AO725" s="176"/>
      <c r="AP725" s="176"/>
      <c r="AQ725" s="176"/>
      <c r="AR725" s="176"/>
      <c r="AS725" s="176"/>
      <c r="AT725" s="176"/>
      <c r="AU725" s="176"/>
      <c r="AV725" s="176"/>
      <c r="AW725" s="176"/>
      <c r="AX725" s="176"/>
      <c r="AY725" s="176"/>
      <c r="AZ725" s="176"/>
      <c r="BA725" s="176"/>
      <c r="BB725" s="176"/>
    </row>
    <row r="726" ht="15.75" customHeight="1">
      <c r="A726" s="176"/>
      <c r="B726" s="176"/>
      <c r="C726" s="176"/>
      <c r="D726" s="176"/>
      <c r="E726" s="176"/>
      <c r="F726" s="176"/>
      <c r="G726" s="176"/>
      <c r="H726" s="176"/>
      <c r="I726" s="176"/>
      <c r="J726" s="176"/>
      <c r="K726" s="176"/>
      <c r="L726" s="176"/>
      <c r="M726" s="176"/>
      <c r="N726" s="176"/>
      <c r="O726" s="176"/>
      <c r="P726" s="176"/>
      <c r="Q726" s="176"/>
      <c r="R726" s="176"/>
      <c r="S726" s="176"/>
      <c r="T726" s="176"/>
      <c r="U726" s="176"/>
      <c r="V726" s="176"/>
      <c r="W726" s="176"/>
      <c r="X726" s="176"/>
      <c r="Y726" s="176"/>
      <c r="Z726" s="176"/>
      <c r="AA726" s="176"/>
      <c r="AB726" s="176"/>
      <c r="AC726" s="176"/>
      <c r="AD726" s="176"/>
      <c r="AE726" s="176"/>
      <c r="AF726" s="176"/>
      <c r="AG726" s="176"/>
      <c r="AH726" s="176"/>
      <c r="AI726" s="176"/>
      <c r="AJ726" s="176"/>
      <c r="AK726" s="176"/>
      <c r="AL726" s="176"/>
      <c r="AM726" s="176"/>
      <c r="AN726" s="176"/>
      <c r="AO726" s="176"/>
      <c r="AP726" s="176"/>
      <c r="AQ726" s="176"/>
      <c r="AR726" s="176"/>
      <c r="AS726" s="176"/>
      <c r="AT726" s="176"/>
      <c r="AU726" s="176"/>
      <c r="AV726" s="176"/>
      <c r="AW726" s="176"/>
      <c r="AX726" s="176"/>
      <c r="AY726" s="176"/>
      <c r="AZ726" s="176"/>
      <c r="BA726" s="176"/>
      <c r="BB726" s="176"/>
    </row>
    <row r="727" ht="15.75" customHeight="1">
      <c r="A727" s="176"/>
      <c r="B727" s="176"/>
      <c r="C727" s="176"/>
      <c r="D727" s="176"/>
      <c r="E727" s="176"/>
      <c r="F727" s="176"/>
      <c r="G727" s="176"/>
      <c r="H727" s="176"/>
      <c r="I727" s="176"/>
      <c r="J727" s="176"/>
      <c r="K727" s="176"/>
      <c r="L727" s="176"/>
      <c r="M727" s="176"/>
      <c r="N727" s="176"/>
      <c r="O727" s="176"/>
      <c r="P727" s="176"/>
      <c r="Q727" s="176"/>
      <c r="R727" s="176"/>
      <c r="S727" s="176"/>
      <c r="T727" s="176"/>
      <c r="U727" s="176"/>
      <c r="V727" s="176"/>
      <c r="W727" s="176"/>
      <c r="X727" s="176"/>
      <c r="Y727" s="176"/>
      <c r="Z727" s="176"/>
      <c r="AA727" s="176"/>
      <c r="AB727" s="176"/>
      <c r="AC727" s="176"/>
      <c r="AD727" s="176"/>
      <c r="AE727" s="176"/>
      <c r="AF727" s="176"/>
      <c r="AG727" s="176"/>
      <c r="AH727" s="176"/>
      <c r="AI727" s="176"/>
      <c r="AJ727" s="176"/>
      <c r="AK727" s="176"/>
      <c r="AL727" s="176"/>
      <c r="AM727" s="176"/>
      <c r="AN727" s="176"/>
      <c r="AO727" s="176"/>
      <c r="AP727" s="176"/>
      <c r="AQ727" s="176"/>
      <c r="AR727" s="176"/>
      <c r="AS727" s="176"/>
      <c r="AT727" s="176"/>
      <c r="AU727" s="176"/>
      <c r="AV727" s="176"/>
      <c r="AW727" s="176"/>
      <c r="AX727" s="176"/>
      <c r="AY727" s="176"/>
      <c r="AZ727" s="176"/>
      <c r="BA727" s="176"/>
      <c r="BB727" s="176"/>
    </row>
    <row r="728" ht="15.75" customHeight="1">
      <c r="A728" s="176"/>
      <c r="B728" s="176"/>
      <c r="C728" s="176"/>
      <c r="D728" s="176"/>
      <c r="E728" s="176"/>
      <c r="F728" s="176"/>
      <c r="G728" s="176"/>
      <c r="H728" s="176"/>
      <c r="I728" s="176"/>
      <c r="J728" s="176"/>
      <c r="K728" s="176"/>
      <c r="L728" s="176"/>
      <c r="M728" s="176"/>
      <c r="N728" s="176"/>
      <c r="O728" s="176"/>
      <c r="P728" s="176"/>
      <c r="Q728" s="176"/>
      <c r="R728" s="176"/>
      <c r="S728" s="176"/>
      <c r="T728" s="176"/>
      <c r="U728" s="176"/>
      <c r="V728" s="176"/>
      <c r="W728" s="176"/>
      <c r="X728" s="176"/>
      <c r="Y728" s="176"/>
      <c r="Z728" s="176"/>
      <c r="AA728" s="176"/>
      <c r="AB728" s="176"/>
      <c r="AC728" s="176"/>
      <c r="AD728" s="176"/>
      <c r="AE728" s="176"/>
      <c r="AF728" s="176"/>
      <c r="AG728" s="176"/>
      <c r="AH728" s="176"/>
      <c r="AI728" s="176"/>
      <c r="AJ728" s="176"/>
      <c r="AK728" s="176"/>
      <c r="AL728" s="176"/>
      <c r="AM728" s="176"/>
      <c r="AN728" s="176"/>
      <c r="AO728" s="176"/>
      <c r="AP728" s="176"/>
      <c r="AQ728" s="176"/>
      <c r="AR728" s="176"/>
      <c r="AS728" s="176"/>
      <c r="AT728" s="176"/>
      <c r="AU728" s="176"/>
      <c r="AV728" s="176"/>
      <c r="AW728" s="176"/>
      <c r="AX728" s="176"/>
      <c r="AY728" s="176"/>
      <c r="AZ728" s="176"/>
      <c r="BA728" s="176"/>
      <c r="BB728" s="176"/>
    </row>
    <row r="729" ht="15.75" customHeight="1">
      <c r="A729" s="176"/>
      <c r="B729" s="176"/>
      <c r="C729" s="176"/>
      <c r="D729" s="176"/>
      <c r="E729" s="176"/>
      <c r="F729" s="176"/>
      <c r="G729" s="176"/>
      <c r="H729" s="176"/>
      <c r="I729" s="176"/>
      <c r="J729" s="176"/>
      <c r="K729" s="176"/>
      <c r="L729" s="176"/>
      <c r="M729" s="176"/>
      <c r="N729" s="176"/>
      <c r="O729" s="176"/>
      <c r="P729" s="176"/>
      <c r="Q729" s="176"/>
      <c r="R729" s="176"/>
      <c r="S729" s="176"/>
      <c r="T729" s="176"/>
      <c r="U729" s="176"/>
      <c r="V729" s="176"/>
      <c r="W729" s="176"/>
      <c r="X729" s="176"/>
      <c r="Y729" s="176"/>
      <c r="Z729" s="176"/>
      <c r="AA729" s="176"/>
      <c r="AB729" s="176"/>
      <c r="AC729" s="176"/>
      <c r="AD729" s="176"/>
      <c r="AE729" s="176"/>
      <c r="AF729" s="176"/>
      <c r="AG729" s="176"/>
      <c r="AH729" s="176"/>
      <c r="AI729" s="176"/>
      <c r="AJ729" s="176"/>
      <c r="AK729" s="176"/>
      <c r="AL729" s="176"/>
      <c r="AM729" s="176"/>
      <c r="AN729" s="176"/>
      <c r="AO729" s="176"/>
      <c r="AP729" s="176"/>
      <c r="AQ729" s="176"/>
      <c r="AR729" s="176"/>
      <c r="AS729" s="176"/>
      <c r="AT729" s="176"/>
      <c r="AU729" s="176"/>
      <c r="AV729" s="176"/>
      <c r="AW729" s="176"/>
      <c r="AX729" s="176"/>
      <c r="AY729" s="176"/>
      <c r="AZ729" s="176"/>
      <c r="BA729" s="176"/>
      <c r="BB729" s="176"/>
    </row>
    <row r="730" ht="15.75" customHeight="1">
      <c r="A730" s="176"/>
      <c r="B730" s="176"/>
      <c r="C730" s="176"/>
      <c r="D730" s="176"/>
      <c r="E730" s="176"/>
      <c r="F730" s="176"/>
      <c r="G730" s="176"/>
      <c r="H730" s="176"/>
      <c r="I730" s="176"/>
      <c r="J730" s="176"/>
      <c r="K730" s="176"/>
      <c r="L730" s="176"/>
      <c r="M730" s="176"/>
      <c r="N730" s="176"/>
      <c r="O730" s="176"/>
      <c r="P730" s="176"/>
      <c r="Q730" s="176"/>
      <c r="R730" s="176"/>
      <c r="S730" s="176"/>
      <c r="T730" s="176"/>
      <c r="U730" s="176"/>
      <c r="V730" s="176"/>
      <c r="W730" s="176"/>
      <c r="X730" s="176"/>
      <c r="Y730" s="176"/>
      <c r="Z730" s="176"/>
      <c r="AA730" s="176"/>
      <c r="AB730" s="176"/>
      <c r="AC730" s="176"/>
      <c r="AD730" s="176"/>
      <c r="AE730" s="176"/>
      <c r="AF730" s="176"/>
      <c r="AG730" s="176"/>
      <c r="AH730" s="176"/>
      <c r="AI730" s="176"/>
      <c r="AJ730" s="176"/>
      <c r="AK730" s="176"/>
      <c r="AL730" s="176"/>
      <c r="AM730" s="176"/>
      <c r="AN730" s="176"/>
      <c r="AO730" s="176"/>
      <c r="AP730" s="176"/>
      <c r="AQ730" s="176"/>
      <c r="AR730" s="176"/>
      <c r="AS730" s="176"/>
      <c r="AT730" s="176"/>
      <c r="AU730" s="176"/>
      <c r="AV730" s="176"/>
      <c r="AW730" s="176"/>
      <c r="AX730" s="176"/>
      <c r="AY730" s="176"/>
      <c r="AZ730" s="176"/>
      <c r="BA730" s="176"/>
      <c r="BB730" s="176"/>
    </row>
    <row r="731" ht="15.75" customHeight="1">
      <c r="A731" s="176"/>
      <c r="B731" s="176"/>
      <c r="C731" s="176"/>
      <c r="D731" s="176"/>
      <c r="E731" s="176"/>
      <c r="F731" s="176"/>
      <c r="G731" s="176"/>
      <c r="H731" s="176"/>
      <c r="I731" s="176"/>
      <c r="J731" s="176"/>
      <c r="K731" s="176"/>
      <c r="L731" s="176"/>
      <c r="M731" s="176"/>
      <c r="N731" s="176"/>
      <c r="O731" s="176"/>
      <c r="P731" s="176"/>
      <c r="Q731" s="176"/>
      <c r="R731" s="176"/>
      <c r="S731" s="176"/>
      <c r="T731" s="176"/>
      <c r="U731" s="176"/>
      <c r="V731" s="176"/>
      <c r="W731" s="176"/>
      <c r="X731" s="176"/>
      <c r="Y731" s="176"/>
      <c r="Z731" s="176"/>
      <c r="AA731" s="176"/>
      <c r="AB731" s="176"/>
      <c r="AC731" s="176"/>
      <c r="AD731" s="176"/>
      <c r="AE731" s="176"/>
      <c r="AF731" s="176"/>
      <c r="AG731" s="176"/>
      <c r="AH731" s="176"/>
      <c r="AI731" s="176"/>
      <c r="AJ731" s="176"/>
      <c r="AK731" s="176"/>
      <c r="AL731" s="176"/>
      <c r="AM731" s="176"/>
      <c r="AN731" s="176"/>
      <c r="AO731" s="176"/>
      <c r="AP731" s="176"/>
      <c r="AQ731" s="176"/>
      <c r="AR731" s="176"/>
      <c r="AS731" s="176"/>
      <c r="AT731" s="176"/>
      <c r="AU731" s="176"/>
      <c r="AV731" s="176"/>
      <c r="AW731" s="176"/>
      <c r="AX731" s="176"/>
      <c r="AY731" s="176"/>
      <c r="AZ731" s="176"/>
      <c r="BA731" s="176"/>
      <c r="BB731" s="176"/>
    </row>
    <row r="732" ht="15.75" customHeight="1">
      <c r="A732" s="176"/>
      <c r="B732" s="176"/>
      <c r="C732" s="176"/>
      <c r="D732" s="176"/>
      <c r="E732" s="176"/>
      <c r="F732" s="176"/>
      <c r="G732" s="176"/>
      <c r="H732" s="176"/>
      <c r="I732" s="176"/>
      <c r="J732" s="176"/>
      <c r="K732" s="176"/>
      <c r="L732" s="176"/>
      <c r="M732" s="176"/>
      <c r="N732" s="176"/>
      <c r="O732" s="176"/>
      <c r="P732" s="176"/>
      <c r="Q732" s="176"/>
      <c r="R732" s="176"/>
      <c r="S732" s="176"/>
      <c r="T732" s="176"/>
      <c r="U732" s="176"/>
      <c r="V732" s="176"/>
      <c r="W732" s="176"/>
      <c r="X732" s="176"/>
      <c r="Y732" s="176"/>
      <c r="Z732" s="176"/>
      <c r="AA732" s="176"/>
      <c r="AB732" s="176"/>
      <c r="AC732" s="176"/>
      <c r="AD732" s="176"/>
      <c r="AE732" s="176"/>
      <c r="AF732" s="176"/>
      <c r="AG732" s="176"/>
      <c r="AH732" s="176"/>
      <c r="AI732" s="176"/>
      <c r="AJ732" s="176"/>
      <c r="AK732" s="176"/>
      <c r="AL732" s="176"/>
      <c r="AM732" s="176"/>
      <c r="AN732" s="176"/>
      <c r="AO732" s="176"/>
      <c r="AP732" s="176"/>
      <c r="AQ732" s="176"/>
      <c r="AR732" s="176"/>
      <c r="AS732" s="176"/>
      <c r="AT732" s="176"/>
      <c r="AU732" s="176"/>
      <c r="AV732" s="176"/>
      <c r="AW732" s="176"/>
      <c r="AX732" s="176"/>
      <c r="AY732" s="176"/>
      <c r="AZ732" s="176"/>
      <c r="BA732" s="176"/>
      <c r="BB732" s="176"/>
    </row>
    <row r="733" ht="15.75" customHeight="1">
      <c r="A733" s="176"/>
      <c r="B733" s="176"/>
      <c r="C733" s="176"/>
      <c r="D733" s="176"/>
      <c r="E733" s="176"/>
      <c r="F733" s="176"/>
      <c r="G733" s="176"/>
      <c r="H733" s="176"/>
      <c r="I733" s="176"/>
      <c r="J733" s="176"/>
      <c r="K733" s="176"/>
      <c r="L733" s="176"/>
      <c r="M733" s="176"/>
      <c r="N733" s="176"/>
      <c r="O733" s="176"/>
      <c r="P733" s="176"/>
      <c r="Q733" s="176"/>
      <c r="R733" s="176"/>
      <c r="S733" s="176"/>
      <c r="T733" s="176"/>
      <c r="U733" s="176"/>
      <c r="V733" s="176"/>
      <c r="W733" s="176"/>
      <c r="X733" s="176"/>
      <c r="Y733" s="176"/>
      <c r="Z733" s="176"/>
      <c r="AA733" s="176"/>
      <c r="AB733" s="176"/>
      <c r="AC733" s="176"/>
      <c r="AD733" s="176"/>
      <c r="AE733" s="176"/>
      <c r="AF733" s="176"/>
      <c r="AG733" s="176"/>
      <c r="AH733" s="176"/>
      <c r="AI733" s="176"/>
      <c r="AJ733" s="176"/>
      <c r="AK733" s="176"/>
      <c r="AL733" s="176"/>
      <c r="AM733" s="176"/>
      <c r="AN733" s="176"/>
      <c r="AO733" s="176"/>
      <c r="AP733" s="176"/>
      <c r="AQ733" s="176"/>
      <c r="AR733" s="176"/>
      <c r="AS733" s="176"/>
      <c r="AT733" s="176"/>
      <c r="AU733" s="176"/>
      <c r="AV733" s="176"/>
      <c r="AW733" s="176"/>
      <c r="AX733" s="176"/>
      <c r="AY733" s="176"/>
      <c r="AZ733" s="176"/>
      <c r="BA733" s="176"/>
      <c r="BB733" s="176"/>
    </row>
    <row r="734" ht="15.75" customHeight="1">
      <c r="A734" s="176"/>
      <c r="B734" s="176"/>
      <c r="C734" s="176"/>
      <c r="D734" s="176"/>
      <c r="E734" s="176"/>
      <c r="F734" s="176"/>
      <c r="G734" s="176"/>
      <c r="H734" s="176"/>
      <c r="I734" s="176"/>
      <c r="J734" s="176"/>
      <c r="K734" s="176"/>
      <c r="L734" s="176"/>
      <c r="M734" s="176"/>
      <c r="N734" s="176"/>
      <c r="O734" s="176"/>
      <c r="P734" s="176"/>
      <c r="Q734" s="176"/>
      <c r="R734" s="176"/>
      <c r="S734" s="176"/>
      <c r="T734" s="176"/>
      <c r="U734" s="176"/>
      <c r="V734" s="176"/>
      <c r="W734" s="176"/>
      <c r="X734" s="176"/>
      <c r="Y734" s="176"/>
      <c r="Z734" s="176"/>
      <c r="AA734" s="176"/>
      <c r="AB734" s="176"/>
      <c r="AC734" s="176"/>
      <c r="AD734" s="176"/>
      <c r="AE734" s="176"/>
      <c r="AF734" s="176"/>
      <c r="AG734" s="176"/>
      <c r="AH734" s="176"/>
      <c r="AI734" s="176"/>
      <c r="AJ734" s="176"/>
      <c r="AK734" s="176"/>
      <c r="AL734" s="176"/>
      <c r="AM734" s="176"/>
      <c r="AN734" s="176"/>
      <c r="AO734" s="176"/>
      <c r="AP734" s="176"/>
      <c r="AQ734" s="176"/>
      <c r="AR734" s="176"/>
      <c r="AS734" s="176"/>
      <c r="AT734" s="176"/>
      <c r="AU734" s="176"/>
      <c r="AV734" s="176"/>
      <c r="AW734" s="176"/>
      <c r="AX734" s="176"/>
      <c r="AY734" s="176"/>
      <c r="AZ734" s="176"/>
      <c r="BA734" s="176"/>
      <c r="BB734" s="176"/>
    </row>
    <row r="735" ht="15.75" customHeight="1">
      <c r="A735" s="176"/>
      <c r="B735" s="176"/>
      <c r="C735" s="176"/>
      <c r="D735" s="176"/>
      <c r="E735" s="176"/>
      <c r="F735" s="176"/>
      <c r="G735" s="176"/>
      <c r="H735" s="176"/>
      <c r="I735" s="176"/>
      <c r="J735" s="176"/>
      <c r="K735" s="176"/>
      <c r="L735" s="176"/>
      <c r="M735" s="176"/>
      <c r="N735" s="176"/>
      <c r="O735" s="176"/>
      <c r="P735" s="176"/>
      <c r="Q735" s="176"/>
      <c r="R735" s="176"/>
      <c r="S735" s="176"/>
      <c r="T735" s="176"/>
      <c r="U735" s="176"/>
      <c r="V735" s="176"/>
      <c r="W735" s="176"/>
      <c r="X735" s="176"/>
      <c r="Y735" s="176"/>
      <c r="Z735" s="176"/>
      <c r="AA735" s="176"/>
      <c r="AB735" s="176"/>
      <c r="AC735" s="176"/>
      <c r="AD735" s="176"/>
      <c r="AE735" s="176"/>
      <c r="AF735" s="176"/>
      <c r="AG735" s="176"/>
      <c r="AH735" s="176"/>
      <c r="AI735" s="176"/>
      <c r="AJ735" s="176"/>
      <c r="AK735" s="176"/>
      <c r="AL735" s="176"/>
      <c r="AM735" s="176"/>
      <c r="AN735" s="176"/>
      <c r="AO735" s="176"/>
      <c r="AP735" s="176"/>
      <c r="AQ735" s="176"/>
      <c r="AR735" s="176"/>
      <c r="AS735" s="176"/>
      <c r="AT735" s="176"/>
      <c r="AU735" s="176"/>
      <c r="AV735" s="176"/>
      <c r="AW735" s="176"/>
      <c r="AX735" s="176"/>
      <c r="AY735" s="176"/>
      <c r="AZ735" s="176"/>
      <c r="BA735" s="176"/>
      <c r="BB735" s="176"/>
    </row>
    <row r="736" ht="15.75" customHeight="1">
      <c r="A736" s="176"/>
      <c r="B736" s="176"/>
      <c r="C736" s="176"/>
      <c r="D736" s="176"/>
      <c r="E736" s="176"/>
      <c r="F736" s="176"/>
      <c r="G736" s="176"/>
      <c r="H736" s="176"/>
      <c r="I736" s="176"/>
      <c r="J736" s="176"/>
      <c r="K736" s="176"/>
      <c r="L736" s="176"/>
      <c r="M736" s="176"/>
      <c r="N736" s="176"/>
      <c r="O736" s="176"/>
      <c r="P736" s="176"/>
      <c r="Q736" s="176"/>
      <c r="R736" s="176"/>
      <c r="S736" s="176"/>
      <c r="T736" s="176"/>
      <c r="U736" s="176"/>
      <c r="V736" s="176"/>
      <c r="W736" s="176"/>
      <c r="X736" s="176"/>
      <c r="Y736" s="176"/>
      <c r="Z736" s="176"/>
      <c r="AA736" s="176"/>
      <c r="AB736" s="176"/>
      <c r="AC736" s="176"/>
      <c r="AD736" s="176"/>
      <c r="AE736" s="176"/>
      <c r="AF736" s="176"/>
      <c r="AG736" s="176"/>
      <c r="AH736" s="176"/>
      <c r="AI736" s="176"/>
      <c r="AJ736" s="176"/>
      <c r="AK736" s="176"/>
      <c r="AL736" s="176"/>
      <c r="AM736" s="176"/>
      <c r="AN736" s="176"/>
      <c r="AO736" s="176"/>
      <c r="AP736" s="176"/>
      <c r="AQ736" s="176"/>
      <c r="AR736" s="176"/>
      <c r="AS736" s="176"/>
      <c r="AT736" s="176"/>
      <c r="AU736" s="176"/>
      <c r="AV736" s="176"/>
      <c r="AW736" s="176"/>
      <c r="AX736" s="176"/>
      <c r="AY736" s="176"/>
      <c r="AZ736" s="176"/>
      <c r="BA736" s="176"/>
      <c r="BB736" s="176"/>
    </row>
    <row r="737" ht="15.75" customHeight="1">
      <c r="A737" s="176"/>
      <c r="B737" s="176"/>
      <c r="C737" s="176"/>
      <c r="D737" s="176"/>
      <c r="E737" s="176"/>
      <c r="F737" s="176"/>
      <c r="G737" s="176"/>
      <c r="H737" s="176"/>
      <c r="I737" s="176"/>
      <c r="J737" s="176"/>
      <c r="K737" s="176"/>
      <c r="L737" s="176"/>
      <c r="M737" s="176"/>
      <c r="N737" s="176"/>
      <c r="O737" s="176"/>
      <c r="P737" s="176"/>
      <c r="Q737" s="176"/>
      <c r="R737" s="176"/>
      <c r="S737" s="176"/>
      <c r="T737" s="176"/>
      <c r="U737" s="176"/>
      <c r="V737" s="176"/>
      <c r="W737" s="176"/>
      <c r="X737" s="176"/>
      <c r="Y737" s="176"/>
      <c r="Z737" s="176"/>
      <c r="AA737" s="176"/>
      <c r="AB737" s="176"/>
      <c r="AC737" s="176"/>
      <c r="AD737" s="176"/>
      <c r="AE737" s="176"/>
      <c r="AF737" s="176"/>
      <c r="AG737" s="176"/>
      <c r="AH737" s="176"/>
      <c r="AI737" s="176"/>
      <c r="AJ737" s="176"/>
      <c r="AK737" s="176"/>
      <c r="AL737" s="176"/>
      <c r="AM737" s="176"/>
      <c r="AN737" s="176"/>
      <c r="AO737" s="176"/>
      <c r="AP737" s="176"/>
      <c r="AQ737" s="176"/>
      <c r="AR737" s="176"/>
      <c r="AS737" s="176"/>
      <c r="AT737" s="176"/>
      <c r="AU737" s="176"/>
      <c r="AV737" s="176"/>
      <c r="AW737" s="176"/>
      <c r="AX737" s="176"/>
      <c r="AY737" s="176"/>
      <c r="AZ737" s="176"/>
      <c r="BA737" s="176"/>
      <c r="BB737" s="176"/>
    </row>
    <row r="738" ht="15.75" customHeight="1">
      <c r="A738" s="176"/>
      <c r="B738" s="176"/>
      <c r="C738" s="176"/>
      <c r="D738" s="176"/>
      <c r="E738" s="176"/>
      <c r="F738" s="176"/>
      <c r="G738" s="176"/>
      <c r="H738" s="176"/>
      <c r="I738" s="176"/>
      <c r="J738" s="176"/>
      <c r="K738" s="176"/>
      <c r="L738" s="176"/>
      <c r="M738" s="176"/>
      <c r="N738" s="176"/>
      <c r="O738" s="176"/>
      <c r="P738" s="176"/>
      <c r="Q738" s="176"/>
      <c r="R738" s="176"/>
      <c r="S738" s="176"/>
      <c r="T738" s="176"/>
      <c r="U738" s="176"/>
      <c r="V738" s="176"/>
      <c r="W738" s="176"/>
      <c r="X738" s="176"/>
      <c r="Y738" s="176"/>
      <c r="Z738" s="176"/>
      <c r="AA738" s="176"/>
      <c r="AB738" s="176"/>
      <c r="AC738" s="176"/>
      <c r="AD738" s="176"/>
      <c r="AE738" s="176"/>
      <c r="AF738" s="176"/>
      <c r="AG738" s="176"/>
      <c r="AH738" s="176"/>
      <c r="AI738" s="176"/>
      <c r="AJ738" s="176"/>
      <c r="AK738" s="176"/>
      <c r="AL738" s="176"/>
      <c r="AM738" s="176"/>
      <c r="AN738" s="176"/>
      <c r="AO738" s="176"/>
      <c r="AP738" s="176"/>
      <c r="AQ738" s="176"/>
      <c r="AR738" s="176"/>
      <c r="AS738" s="176"/>
      <c r="AT738" s="176"/>
      <c r="AU738" s="176"/>
      <c r="AV738" s="176"/>
      <c r="AW738" s="176"/>
      <c r="AX738" s="176"/>
      <c r="AY738" s="176"/>
      <c r="AZ738" s="176"/>
      <c r="BA738" s="176"/>
      <c r="BB738" s="176"/>
    </row>
    <row r="739" ht="15.75" customHeight="1">
      <c r="A739" s="176"/>
      <c r="B739" s="176"/>
      <c r="C739" s="176"/>
      <c r="D739" s="176"/>
      <c r="E739" s="176"/>
      <c r="F739" s="176"/>
      <c r="G739" s="176"/>
      <c r="H739" s="176"/>
      <c r="I739" s="176"/>
      <c r="J739" s="176"/>
      <c r="K739" s="176"/>
      <c r="L739" s="176"/>
      <c r="M739" s="176"/>
      <c r="N739" s="176"/>
      <c r="O739" s="176"/>
      <c r="P739" s="176"/>
      <c r="Q739" s="176"/>
      <c r="R739" s="176"/>
      <c r="S739" s="176"/>
      <c r="T739" s="176"/>
      <c r="U739" s="176"/>
      <c r="V739" s="176"/>
      <c r="W739" s="176"/>
      <c r="X739" s="176"/>
      <c r="Y739" s="176"/>
      <c r="Z739" s="176"/>
      <c r="AA739" s="176"/>
      <c r="AB739" s="176"/>
      <c r="AC739" s="176"/>
      <c r="AD739" s="176"/>
      <c r="AE739" s="176"/>
      <c r="AF739" s="176"/>
      <c r="AG739" s="176"/>
      <c r="AH739" s="176"/>
      <c r="AI739" s="176"/>
      <c r="AJ739" s="176"/>
      <c r="AK739" s="176"/>
      <c r="AL739" s="176"/>
      <c r="AM739" s="176"/>
      <c r="AN739" s="176"/>
      <c r="AO739" s="176"/>
      <c r="AP739" s="176"/>
      <c r="AQ739" s="176"/>
      <c r="AR739" s="176"/>
      <c r="AS739" s="176"/>
      <c r="AT739" s="176"/>
      <c r="AU739" s="176"/>
      <c r="AV739" s="176"/>
      <c r="AW739" s="176"/>
      <c r="AX739" s="176"/>
      <c r="AY739" s="176"/>
      <c r="AZ739" s="176"/>
      <c r="BA739" s="176"/>
      <c r="BB739" s="176"/>
    </row>
    <row r="740" ht="15.75" customHeight="1">
      <c r="A740" s="176"/>
      <c r="B740" s="176"/>
      <c r="C740" s="176"/>
      <c r="D740" s="176"/>
      <c r="E740" s="176"/>
      <c r="F740" s="176"/>
      <c r="G740" s="176"/>
      <c r="H740" s="176"/>
      <c r="I740" s="176"/>
      <c r="J740" s="176"/>
      <c r="K740" s="176"/>
      <c r="L740" s="176"/>
      <c r="M740" s="176"/>
      <c r="N740" s="176"/>
      <c r="O740" s="176"/>
      <c r="P740" s="176"/>
      <c r="Q740" s="176"/>
      <c r="R740" s="176"/>
      <c r="S740" s="176"/>
      <c r="T740" s="176"/>
      <c r="U740" s="176"/>
      <c r="V740" s="176"/>
      <c r="W740" s="176"/>
      <c r="X740" s="176"/>
      <c r="Y740" s="176"/>
      <c r="Z740" s="176"/>
      <c r="AA740" s="176"/>
      <c r="AB740" s="176"/>
      <c r="AC740" s="176"/>
      <c r="AD740" s="176"/>
      <c r="AE740" s="176"/>
      <c r="AF740" s="176"/>
      <c r="AG740" s="176"/>
      <c r="AH740" s="176"/>
      <c r="AI740" s="176"/>
      <c r="AJ740" s="176"/>
      <c r="AK740" s="176"/>
      <c r="AL740" s="176"/>
      <c r="AM740" s="176"/>
      <c r="AN740" s="176"/>
      <c r="AO740" s="176"/>
      <c r="AP740" s="176"/>
      <c r="AQ740" s="176"/>
      <c r="AR740" s="176"/>
      <c r="AS740" s="176"/>
      <c r="AT740" s="176"/>
      <c r="AU740" s="176"/>
      <c r="AV740" s="176"/>
      <c r="AW740" s="176"/>
      <c r="AX740" s="176"/>
      <c r="AY740" s="176"/>
      <c r="AZ740" s="176"/>
      <c r="BA740" s="176"/>
      <c r="BB740" s="176"/>
    </row>
    <row r="741" ht="15.75" customHeight="1">
      <c r="A741" s="176"/>
      <c r="B741" s="176"/>
      <c r="C741" s="176"/>
      <c r="D741" s="176"/>
      <c r="E741" s="176"/>
      <c r="F741" s="176"/>
      <c r="G741" s="176"/>
      <c r="H741" s="176"/>
      <c r="I741" s="176"/>
      <c r="J741" s="176"/>
      <c r="K741" s="176"/>
      <c r="L741" s="176"/>
      <c r="M741" s="176"/>
      <c r="N741" s="176"/>
      <c r="O741" s="176"/>
      <c r="P741" s="176"/>
      <c r="Q741" s="176"/>
      <c r="R741" s="176"/>
      <c r="S741" s="176"/>
      <c r="T741" s="176"/>
      <c r="U741" s="176"/>
      <c r="V741" s="176"/>
      <c r="W741" s="176"/>
      <c r="X741" s="176"/>
      <c r="Y741" s="176"/>
      <c r="Z741" s="176"/>
      <c r="AA741" s="176"/>
      <c r="AB741" s="176"/>
      <c r="AC741" s="176"/>
      <c r="AD741" s="176"/>
      <c r="AE741" s="176"/>
      <c r="AF741" s="176"/>
      <c r="AG741" s="176"/>
      <c r="AH741" s="176"/>
      <c r="AI741" s="176"/>
      <c r="AJ741" s="176"/>
      <c r="AK741" s="176"/>
      <c r="AL741" s="176"/>
      <c r="AM741" s="176"/>
      <c r="AN741" s="176"/>
      <c r="AO741" s="176"/>
      <c r="AP741" s="176"/>
      <c r="AQ741" s="176"/>
      <c r="AR741" s="176"/>
      <c r="AS741" s="176"/>
      <c r="AT741" s="176"/>
      <c r="AU741" s="176"/>
      <c r="AV741" s="176"/>
      <c r="AW741" s="176"/>
      <c r="AX741" s="176"/>
      <c r="AY741" s="176"/>
      <c r="AZ741" s="176"/>
      <c r="BA741" s="176"/>
      <c r="BB741" s="176"/>
    </row>
    <row r="742" ht="15.75" customHeight="1">
      <c r="A742" s="176"/>
      <c r="B742" s="176"/>
      <c r="C742" s="176"/>
      <c r="D742" s="176"/>
      <c r="E742" s="176"/>
      <c r="F742" s="176"/>
      <c r="G742" s="176"/>
      <c r="H742" s="176"/>
      <c r="I742" s="176"/>
      <c r="J742" s="176"/>
      <c r="K742" s="176"/>
      <c r="L742" s="176"/>
      <c r="M742" s="176"/>
      <c r="N742" s="176"/>
      <c r="O742" s="176"/>
      <c r="P742" s="176"/>
      <c r="Q742" s="176"/>
      <c r="R742" s="176"/>
      <c r="S742" s="176"/>
      <c r="T742" s="176"/>
      <c r="U742" s="176"/>
      <c r="V742" s="176"/>
      <c r="W742" s="176"/>
      <c r="X742" s="176"/>
      <c r="Y742" s="176"/>
      <c r="Z742" s="176"/>
      <c r="AA742" s="176"/>
      <c r="AB742" s="176"/>
      <c r="AC742" s="176"/>
      <c r="AD742" s="176"/>
      <c r="AE742" s="176"/>
      <c r="AF742" s="176"/>
      <c r="AG742" s="176"/>
      <c r="AH742" s="176"/>
      <c r="AI742" s="176"/>
      <c r="AJ742" s="176"/>
      <c r="AK742" s="176"/>
      <c r="AL742" s="176"/>
      <c r="AM742" s="176"/>
      <c r="AN742" s="176"/>
      <c r="AO742" s="176"/>
      <c r="AP742" s="176"/>
      <c r="AQ742" s="176"/>
      <c r="AR742" s="176"/>
      <c r="AS742" s="176"/>
      <c r="AT742" s="176"/>
      <c r="AU742" s="176"/>
      <c r="AV742" s="176"/>
      <c r="AW742" s="176"/>
      <c r="AX742" s="176"/>
      <c r="AY742" s="176"/>
      <c r="AZ742" s="176"/>
      <c r="BA742" s="176"/>
      <c r="BB742" s="176"/>
    </row>
    <row r="743" ht="15.75" customHeight="1">
      <c r="A743" s="176"/>
      <c r="B743" s="176"/>
      <c r="C743" s="176"/>
      <c r="D743" s="176"/>
      <c r="E743" s="176"/>
      <c r="F743" s="176"/>
      <c r="G743" s="176"/>
      <c r="H743" s="176"/>
      <c r="I743" s="176"/>
      <c r="J743" s="176"/>
      <c r="K743" s="176"/>
      <c r="L743" s="176"/>
      <c r="M743" s="176"/>
      <c r="N743" s="176"/>
      <c r="O743" s="176"/>
      <c r="P743" s="176"/>
      <c r="Q743" s="176"/>
      <c r="R743" s="176"/>
      <c r="S743" s="176"/>
      <c r="T743" s="176"/>
      <c r="U743" s="176"/>
      <c r="V743" s="176"/>
      <c r="W743" s="176"/>
      <c r="X743" s="176"/>
      <c r="Y743" s="176"/>
      <c r="Z743" s="176"/>
      <c r="AA743" s="176"/>
      <c r="AB743" s="176"/>
      <c r="AC743" s="176"/>
      <c r="AD743" s="176"/>
      <c r="AE743" s="176"/>
      <c r="AF743" s="176"/>
      <c r="AG743" s="176"/>
      <c r="AH743" s="176"/>
      <c r="AI743" s="176"/>
      <c r="AJ743" s="176"/>
      <c r="AK743" s="176"/>
      <c r="AL743" s="176"/>
      <c r="AM743" s="176"/>
      <c r="AN743" s="176"/>
      <c r="AO743" s="176"/>
      <c r="AP743" s="176"/>
      <c r="AQ743" s="176"/>
      <c r="AR743" s="176"/>
      <c r="AS743" s="176"/>
      <c r="AT743" s="176"/>
      <c r="AU743" s="176"/>
      <c r="AV743" s="176"/>
      <c r="AW743" s="176"/>
      <c r="AX743" s="176"/>
      <c r="AY743" s="176"/>
      <c r="AZ743" s="176"/>
      <c r="BA743" s="176"/>
      <c r="BB743" s="176"/>
    </row>
    <row r="744" ht="15.75" customHeight="1">
      <c r="A744" s="176"/>
      <c r="B744" s="176"/>
      <c r="C744" s="176"/>
      <c r="D744" s="176"/>
      <c r="E744" s="176"/>
      <c r="F744" s="176"/>
      <c r="G744" s="176"/>
      <c r="H744" s="176"/>
      <c r="I744" s="176"/>
      <c r="J744" s="176"/>
      <c r="K744" s="176"/>
      <c r="L744" s="176"/>
      <c r="M744" s="176"/>
      <c r="N744" s="176"/>
      <c r="O744" s="176"/>
      <c r="P744" s="176"/>
      <c r="Q744" s="176"/>
      <c r="R744" s="176"/>
      <c r="S744" s="176"/>
      <c r="T744" s="176"/>
      <c r="U744" s="176"/>
      <c r="V744" s="176"/>
      <c r="W744" s="176"/>
      <c r="X744" s="176"/>
      <c r="Y744" s="176"/>
      <c r="Z744" s="176"/>
      <c r="AA744" s="176"/>
      <c r="AB744" s="176"/>
      <c r="AC744" s="176"/>
      <c r="AD744" s="176"/>
      <c r="AE744" s="176"/>
      <c r="AF744" s="176"/>
      <c r="AG744" s="176"/>
      <c r="AH744" s="176"/>
      <c r="AI744" s="176"/>
      <c r="AJ744" s="176"/>
      <c r="AK744" s="176"/>
      <c r="AL744" s="176"/>
      <c r="AM744" s="176"/>
      <c r="AN744" s="176"/>
      <c r="AO744" s="176"/>
      <c r="AP744" s="176"/>
      <c r="AQ744" s="176"/>
      <c r="AR744" s="176"/>
      <c r="AS744" s="176"/>
      <c r="AT744" s="176"/>
      <c r="AU744" s="176"/>
      <c r="AV744" s="176"/>
      <c r="AW744" s="176"/>
      <c r="AX744" s="176"/>
      <c r="AY744" s="176"/>
      <c r="AZ744" s="176"/>
      <c r="BA744" s="176"/>
      <c r="BB744" s="176"/>
    </row>
    <row r="745" ht="15.75" customHeight="1">
      <c r="A745" s="176"/>
      <c r="B745" s="176"/>
      <c r="C745" s="176"/>
      <c r="D745" s="176"/>
      <c r="E745" s="176"/>
      <c r="F745" s="176"/>
      <c r="G745" s="176"/>
      <c r="H745" s="176"/>
      <c r="I745" s="176"/>
      <c r="J745" s="176"/>
      <c r="K745" s="176"/>
      <c r="L745" s="176"/>
      <c r="M745" s="176"/>
      <c r="N745" s="176"/>
      <c r="O745" s="176"/>
      <c r="P745" s="176"/>
      <c r="Q745" s="176"/>
      <c r="R745" s="176"/>
      <c r="S745" s="176"/>
      <c r="T745" s="176"/>
      <c r="U745" s="176"/>
      <c r="V745" s="176"/>
      <c r="W745" s="176"/>
      <c r="X745" s="176"/>
      <c r="Y745" s="176"/>
      <c r="Z745" s="176"/>
      <c r="AA745" s="176"/>
      <c r="AB745" s="176"/>
      <c r="AC745" s="176"/>
      <c r="AD745" s="176"/>
      <c r="AE745" s="176"/>
      <c r="AF745" s="176"/>
      <c r="AG745" s="176"/>
      <c r="AH745" s="176"/>
      <c r="AI745" s="176"/>
      <c r="AJ745" s="176"/>
      <c r="AK745" s="176"/>
      <c r="AL745" s="176"/>
      <c r="AM745" s="176"/>
      <c r="AN745" s="176"/>
      <c r="AO745" s="176"/>
      <c r="AP745" s="176"/>
      <c r="AQ745" s="176"/>
      <c r="AR745" s="176"/>
      <c r="AS745" s="176"/>
      <c r="AT745" s="176"/>
      <c r="AU745" s="176"/>
      <c r="AV745" s="176"/>
      <c r="AW745" s="176"/>
      <c r="AX745" s="176"/>
      <c r="AY745" s="176"/>
      <c r="AZ745" s="176"/>
      <c r="BA745" s="176"/>
      <c r="BB745" s="176"/>
    </row>
    <row r="746" ht="15.75" customHeight="1">
      <c r="A746" s="176"/>
      <c r="B746" s="176"/>
      <c r="C746" s="176"/>
      <c r="D746" s="176"/>
      <c r="E746" s="176"/>
      <c r="F746" s="176"/>
      <c r="G746" s="176"/>
      <c r="H746" s="176"/>
      <c r="I746" s="176"/>
      <c r="J746" s="176"/>
      <c r="K746" s="176"/>
      <c r="L746" s="176"/>
      <c r="M746" s="176"/>
      <c r="N746" s="176"/>
      <c r="O746" s="176"/>
      <c r="P746" s="176"/>
      <c r="Q746" s="176"/>
      <c r="R746" s="176"/>
      <c r="S746" s="176"/>
      <c r="T746" s="176"/>
      <c r="U746" s="176"/>
      <c r="V746" s="176"/>
      <c r="W746" s="176"/>
      <c r="X746" s="176"/>
      <c r="Y746" s="176"/>
      <c r="Z746" s="176"/>
      <c r="AA746" s="176"/>
      <c r="AB746" s="176"/>
      <c r="AC746" s="176"/>
      <c r="AD746" s="176"/>
      <c r="AE746" s="176"/>
      <c r="AF746" s="176"/>
      <c r="AG746" s="176"/>
      <c r="AH746" s="176"/>
      <c r="AI746" s="176"/>
      <c r="AJ746" s="176"/>
      <c r="AK746" s="176"/>
      <c r="AL746" s="176"/>
      <c r="AM746" s="176"/>
      <c r="AN746" s="176"/>
      <c r="AO746" s="176"/>
      <c r="AP746" s="176"/>
      <c r="AQ746" s="176"/>
      <c r="AR746" s="176"/>
      <c r="AS746" s="176"/>
      <c r="AT746" s="176"/>
      <c r="AU746" s="176"/>
      <c r="AV746" s="176"/>
      <c r="AW746" s="176"/>
      <c r="AX746" s="176"/>
      <c r="AY746" s="176"/>
      <c r="AZ746" s="176"/>
      <c r="BA746" s="176"/>
      <c r="BB746" s="176"/>
    </row>
    <row r="747" ht="15.75" customHeight="1">
      <c r="A747" s="176"/>
      <c r="B747" s="176"/>
      <c r="C747" s="176"/>
      <c r="D747" s="176"/>
      <c r="E747" s="176"/>
      <c r="F747" s="176"/>
      <c r="G747" s="176"/>
      <c r="H747" s="176"/>
      <c r="I747" s="176"/>
      <c r="J747" s="176"/>
      <c r="K747" s="176"/>
      <c r="L747" s="176"/>
      <c r="M747" s="176"/>
      <c r="N747" s="176"/>
      <c r="O747" s="176"/>
      <c r="P747" s="176"/>
      <c r="Q747" s="176"/>
      <c r="R747" s="176"/>
      <c r="S747" s="176"/>
      <c r="T747" s="176"/>
      <c r="U747" s="176"/>
      <c r="V747" s="176"/>
      <c r="W747" s="176"/>
      <c r="X747" s="176"/>
      <c r="Y747" s="176"/>
      <c r="Z747" s="176"/>
      <c r="AA747" s="176"/>
      <c r="AB747" s="176"/>
      <c r="AC747" s="176"/>
      <c r="AD747" s="176"/>
      <c r="AE747" s="176"/>
      <c r="AF747" s="176"/>
      <c r="AG747" s="176"/>
      <c r="AH747" s="176"/>
      <c r="AI747" s="176"/>
      <c r="AJ747" s="176"/>
      <c r="AK747" s="176"/>
      <c r="AL747" s="176"/>
      <c r="AM747" s="176"/>
      <c r="AN747" s="176"/>
      <c r="AO747" s="176"/>
      <c r="AP747" s="176"/>
      <c r="AQ747" s="176"/>
      <c r="AR747" s="176"/>
      <c r="AS747" s="176"/>
      <c r="AT747" s="176"/>
      <c r="AU747" s="176"/>
      <c r="AV747" s="176"/>
      <c r="AW747" s="176"/>
      <c r="AX747" s="176"/>
      <c r="AY747" s="176"/>
      <c r="AZ747" s="176"/>
      <c r="BA747" s="176"/>
      <c r="BB747" s="176"/>
    </row>
    <row r="748" ht="15.75" customHeight="1">
      <c r="A748" s="176"/>
      <c r="B748" s="176"/>
      <c r="C748" s="176"/>
      <c r="D748" s="176"/>
      <c r="E748" s="176"/>
      <c r="F748" s="176"/>
      <c r="G748" s="176"/>
      <c r="H748" s="176"/>
      <c r="I748" s="176"/>
      <c r="J748" s="176"/>
      <c r="K748" s="176"/>
      <c r="L748" s="176"/>
      <c r="M748" s="176"/>
      <c r="N748" s="176"/>
      <c r="O748" s="176"/>
      <c r="P748" s="176"/>
      <c r="Q748" s="176"/>
      <c r="R748" s="176"/>
      <c r="S748" s="176"/>
      <c r="T748" s="176"/>
      <c r="U748" s="176"/>
      <c r="V748" s="176"/>
      <c r="W748" s="176"/>
      <c r="X748" s="176"/>
      <c r="Y748" s="176"/>
      <c r="Z748" s="176"/>
      <c r="AA748" s="176"/>
      <c r="AB748" s="176"/>
      <c r="AC748" s="176"/>
      <c r="AD748" s="176"/>
      <c r="AE748" s="176"/>
      <c r="AF748" s="176"/>
      <c r="AG748" s="176"/>
      <c r="AH748" s="176"/>
      <c r="AI748" s="176"/>
      <c r="AJ748" s="176"/>
      <c r="AK748" s="176"/>
      <c r="AL748" s="176"/>
      <c r="AM748" s="176"/>
      <c r="AN748" s="176"/>
      <c r="AO748" s="176"/>
      <c r="AP748" s="176"/>
      <c r="AQ748" s="176"/>
      <c r="AR748" s="176"/>
      <c r="AS748" s="176"/>
      <c r="AT748" s="176"/>
      <c r="AU748" s="176"/>
      <c r="AV748" s="176"/>
      <c r="AW748" s="176"/>
      <c r="AX748" s="176"/>
      <c r="AY748" s="176"/>
      <c r="AZ748" s="176"/>
      <c r="BA748" s="176"/>
      <c r="BB748" s="176"/>
    </row>
    <row r="749" ht="15.75" customHeight="1">
      <c r="A749" s="176"/>
      <c r="B749" s="176"/>
      <c r="C749" s="176"/>
      <c r="D749" s="176"/>
      <c r="E749" s="176"/>
      <c r="F749" s="176"/>
      <c r="G749" s="176"/>
      <c r="H749" s="176"/>
      <c r="I749" s="176"/>
      <c r="J749" s="176"/>
      <c r="K749" s="176"/>
      <c r="L749" s="176"/>
      <c r="M749" s="176"/>
      <c r="N749" s="176"/>
      <c r="O749" s="176"/>
      <c r="P749" s="176"/>
      <c r="Q749" s="176"/>
      <c r="R749" s="176"/>
      <c r="S749" s="176"/>
      <c r="T749" s="176"/>
      <c r="U749" s="176"/>
      <c r="V749" s="176"/>
      <c r="W749" s="176"/>
      <c r="X749" s="176"/>
      <c r="Y749" s="176"/>
      <c r="Z749" s="176"/>
      <c r="AA749" s="176"/>
      <c r="AB749" s="176"/>
      <c r="AC749" s="176"/>
      <c r="AD749" s="176"/>
      <c r="AE749" s="176"/>
      <c r="AF749" s="176"/>
      <c r="AG749" s="176"/>
      <c r="AH749" s="176"/>
      <c r="AI749" s="176"/>
      <c r="AJ749" s="176"/>
      <c r="AK749" s="176"/>
      <c r="AL749" s="176"/>
      <c r="AM749" s="176"/>
      <c r="AN749" s="176"/>
      <c r="AO749" s="176"/>
      <c r="AP749" s="176"/>
      <c r="AQ749" s="176"/>
      <c r="AR749" s="176"/>
      <c r="AS749" s="176"/>
      <c r="AT749" s="176"/>
      <c r="AU749" s="176"/>
      <c r="AV749" s="176"/>
      <c r="AW749" s="176"/>
      <c r="AX749" s="176"/>
      <c r="AY749" s="176"/>
      <c r="AZ749" s="176"/>
      <c r="BA749" s="176"/>
      <c r="BB749" s="176"/>
    </row>
    <row r="750" ht="15.75" customHeight="1">
      <c r="A750" s="176"/>
      <c r="B750" s="176"/>
      <c r="C750" s="176"/>
      <c r="D750" s="176"/>
      <c r="E750" s="176"/>
      <c r="F750" s="176"/>
      <c r="G750" s="176"/>
      <c r="H750" s="176"/>
      <c r="I750" s="176"/>
      <c r="J750" s="176"/>
      <c r="K750" s="176"/>
      <c r="L750" s="176"/>
      <c r="M750" s="176"/>
      <c r="N750" s="176"/>
      <c r="O750" s="176"/>
      <c r="P750" s="176"/>
      <c r="Q750" s="176"/>
      <c r="R750" s="176"/>
      <c r="S750" s="176"/>
      <c r="T750" s="176"/>
      <c r="U750" s="176"/>
      <c r="V750" s="176"/>
      <c r="W750" s="176"/>
      <c r="X750" s="176"/>
      <c r="Y750" s="176"/>
      <c r="Z750" s="176"/>
      <c r="AA750" s="176"/>
      <c r="AB750" s="176"/>
      <c r="AC750" s="176"/>
      <c r="AD750" s="176"/>
      <c r="AE750" s="176"/>
      <c r="AF750" s="176"/>
      <c r="AG750" s="176"/>
      <c r="AH750" s="176"/>
      <c r="AI750" s="176"/>
      <c r="AJ750" s="176"/>
      <c r="AK750" s="176"/>
      <c r="AL750" s="176"/>
      <c r="AM750" s="176"/>
      <c r="AN750" s="176"/>
      <c r="AO750" s="176"/>
      <c r="AP750" s="176"/>
      <c r="AQ750" s="176"/>
      <c r="AR750" s="176"/>
      <c r="AS750" s="176"/>
      <c r="AT750" s="176"/>
      <c r="AU750" s="176"/>
      <c r="AV750" s="176"/>
      <c r="AW750" s="176"/>
      <c r="AX750" s="176"/>
      <c r="AY750" s="176"/>
      <c r="AZ750" s="176"/>
      <c r="BA750" s="176"/>
      <c r="BB750" s="176"/>
    </row>
    <row r="751" ht="15.75" customHeight="1">
      <c r="A751" s="176"/>
      <c r="B751" s="176"/>
      <c r="C751" s="176"/>
      <c r="D751" s="176"/>
      <c r="E751" s="176"/>
      <c r="F751" s="176"/>
      <c r="G751" s="176"/>
      <c r="H751" s="176"/>
      <c r="I751" s="176"/>
      <c r="J751" s="176"/>
      <c r="K751" s="176"/>
      <c r="L751" s="176"/>
      <c r="M751" s="176"/>
      <c r="N751" s="176"/>
      <c r="O751" s="176"/>
      <c r="P751" s="176"/>
      <c r="Q751" s="176"/>
      <c r="R751" s="176"/>
      <c r="S751" s="176"/>
      <c r="T751" s="176"/>
      <c r="U751" s="176"/>
      <c r="V751" s="176"/>
      <c r="W751" s="176"/>
      <c r="X751" s="176"/>
      <c r="Y751" s="176"/>
      <c r="Z751" s="176"/>
      <c r="AA751" s="176"/>
      <c r="AB751" s="176"/>
      <c r="AC751" s="176"/>
      <c r="AD751" s="176"/>
      <c r="AE751" s="176"/>
      <c r="AF751" s="176"/>
      <c r="AG751" s="176"/>
      <c r="AH751" s="176"/>
      <c r="AI751" s="176"/>
      <c r="AJ751" s="176"/>
      <c r="AK751" s="176"/>
      <c r="AL751" s="176"/>
      <c r="AM751" s="176"/>
      <c r="AN751" s="176"/>
      <c r="AO751" s="176"/>
      <c r="AP751" s="176"/>
      <c r="AQ751" s="176"/>
      <c r="AR751" s="176"/>
      <c r="AS751" s="176"/>
      <c r="AT751" s="176"/>
      <c r="AU751" s="176"/>
      <c r="AV751" s="176"/>
      <c r="AW751" s="176"/>
      <c r="AX751" s="176"/>
      <c r="AY751" s="176"/>
      <c r="AZ751" s="176"/>
      <c r="BA751" s="176"/>
      <c r="BB751" s="176"/>
    </row>
    <row r="752" ht="15.75" customHeight="1">
      <c r="A752" s="176"/>
      <c r="B752" s="176"/>
      <c r="C752" s="176"/>
      <c r="D752" s="176"/>
      <c r="E752" s="176"/>
      <c r="F752" s="176"/>
      <c r="G752" s="176"/>
      <c r="H752" s="176"/>
      <c r="I752" s="176"/>
      <c r="J752" s="176"/>
      <c r="K752" s="176"/>
      <c r="L752" s="176"/>
      <c r="M752" s="176"/>
      <c r="N752" s="176"/>
      <c r="O752" s="176"/>
      <c r="P752" s="176"/>
      <c r="Q752" s="176"/>
      <c r="R752" s="176"/>
      <c r="S752" s="176"/>
      <c r="T752" s="176"/>
      <c r="U752" s="176"/>
      <c r="V752" s="176"/>
      <c r="W752" s="176"/>
      <c r="X752" s="176"/>
      <c r="Y752" s="176"/>
      <c r="Z752" s="176"/>
      <c r="AA752" s="176"/>
      <c r="AB752" s="176"/>
      <c r="AC752" s="176"/>
      <c r="AD752" s="176"/>
      <c r="AE752" s="176"/>
      <c r="AF752" s="176"/>
      <c r="AG752" s="176"/>
      <c r="AH752" s="176"/>
      <c r="AI752" s="176"/>
      <c r="AJ752" s="176"/>
      <c r="AK752" s="176"/>
      <c r="AL752" s="176"/>
      <c r="AM752" s="176"/>
      <c r="AN752" s="176"/>
      <c r="AO752" s="176"/>
      <c r="AP752" s="176"/>
      <c r="AQ752" s="176"/>
      <c r="AR752" s="176"/>
      <c r="AS752" s="176"/>
      <c r="AT752" s="176"/>
      <c r="AU752" s="176"/>
      <c r="AV752" s="176"/>
      <c r="AW752" s="176"/>
      <c r="AX752" s="176"/>
      <c r="AY752" s="176"/>
      <c r="AZ752" s="176"/>
      <c r="BA752" s="176"/>
      <c r="BB752" s="176"/>
    </row>
    <row r="753" ht="15.75" customHeight="1">
      <c r="A753" s="176"/>
      <c r="B753" s="176"/>
      <c r="C753" s="176"/>
      <c r="D753" s="176"/>
      <c r="E753" s="176"/>
      <c r="F753" s="176"/>
      <c r="G753" s="176"/>
      <c r="H753" s="176"/>
      <c r="I753" s="176"/>
      <c r="J753" s="176"/>
      <c r="K753" s="176"/>
      <c r="L753" s="176"/>
      <c r="M753" s="176"/>
      <c r="N753" s="176"/>
      <c r="O753" s="176"/>
      <c r="P753" s="176"/>
      <c r="Q753" s="176"/>
      <c r="R753" s="176"/>
      <c r="S753" s="176"/>
      <c r="T753" s="176"/>
      <c r="U753" s="176"/>
      <c r="V753" s="176"/>
      <c r="W753" s="176"/>
      <c r="X753" s="176"/>
      <c r="Y753" s="176"/>
      <c r="Z753" s="176"/>
      <c r="AA753" s="176"/>
      <c r="AB753" s="176"/>
      <c r="AC753" s="176"/>
      <c r="AD753" s="176"/>
      <c r="AE753" s="176"/>
      <c r="AF753" s="176"/>
      <c r="AG753" s="176"/>
      <c r="AH753" s="176"/>
      <c r="AI753" s="176"/>
      <c r="AJ753" s="176"/>
      <c r="AK753" s="176"/>
      <c r="AL753" s="176"/>
      <c r="AM753" s="176"/>
      <c r="AN753" s="176"/>
      <c r="AO753" s="176"/>
      <c r="AP753" s="176"/>
      <c r="AQ753" s="176"/>
      <c r="AR753" s="176"/>
      <c r="AS753" s="176"/>
      <c r="AT753" s="176"/>
      <c r="AU753" s="176"/>
      <c r="AV753" s="176"/>
      <c r="AW753" s="176"/>
      <c r="AX753" s="176"/>
      <c r="AY753" s="176"/>
      <c r="AZ753" s="176"/>
      <c r="BA753" s="176"/>
      <c r="BB753" s="176"/>
    </row>
    <row r="754" ht="15.75" customHeight="1">
      <c r="A754" s="176"/>
      <c r="B754" s="176"/>
      <c r="C754" s="176"/>
      <c r="D754" s="176"/>
      <c r="E754" s="176"/>
      <c r="F754" s="176"/>
      <c r="G754" s="176"/>
      <c r="H754" s="176"/>
      <c r="I754" s="176"/>
      <c r="J754" s="176"/>
      <c r="K754" s="176"/>
      <c r="L754" s="176"/>
      <c r="M754" s="176"/>
      <c r="N754" s="176"/>
      <c r="O754" s="176"/>
      <c r="P754" s="176"/>
      <c r="Q754" s="176"/>
      <c r="R754" s="176"/>
      <c r="S754" s="176"/>
      <c r="T754" s="176"/>
      <c r="U754" s="176"/>
      <c r="V754" s="176"/>
      <c r="W754" s="176"/>
      <c r="X754" s="176"/>
      <c r="Y754" s="176"/>
      <c r="Z754" s="176"/>
      <c r="AA754" s="176"/>
      <c r="AB754" s="176"/>
      <c r="AC754" s="176"/>
      <c r="AD754" s="176"/>
      <c r="AE754" s="176"/>
      <c r="AF754" s="176"/>
      <c r="AG754" s="176"/>
      <c r="AH754" s="176"/>
      <c r="AI754" s="176"/>
      <c r="AJ754" s="176"/>
      <c r="AK754" s="176"/>
      <c r="AL754" s="176"/>
      <c r="AM754" s="176"/>
      <c r="AN754" s="176"/>
      <c r="AO754" s="176"/>
      <c r="AP754" s="176"/>
      <c r="AQ754" s="176"/>
      <c r="AR754" s="176"/>
      <c r="AS754" s="176"/>
      <c r="AT754" s="176"/>
      <c r="AU754" s="176"/>
      <c r="AV754" s="176"/>
      <c r="AW754" s="176"/>
      <c r="AX754" s="176"/>
      <c r="AY754" s="176"/>
      <c r="AZ754" s="176"/>
      <c r="BA754" s="176"/>
      <c r="BB754" s="176"/>
    </row>
    <row r="755" ht="15.75" customHeight="1">
      <c r="A755" s="176"/>
      <c r="B755" s="176"/>
      <c r="C755" s="176"/>
      <c r="D755" s="176"/>
      <c r="E755" s="176"/>
      <c r="F755" s="176"/>
      <c r="G755" s="176"/>
      <c r="H755" s="176"/>
      <c r="I755" s="176"/>
      <c r="J755" s="176"/>
      <c r="K755" s="176"/>
      <c r="L755" s="176"/>
      <c r="M755" s="176"/>
      <c r="N755" s="176"/>
      <c r="O755" s="176"/>
      <c r="P755" s="176"/>
      <c r="Q755" s="176"/>
      <c r="R755" s="176"/>
      <c r="S755" s="176"/>
      <c r="T755" s="176"/>
      <c r="U755" s="176"/>
      <c r="V755" s="176"/>
      <c r="W755" s="176"/>
      <c r="X755" s="176"/>
      <c r="Y755" s="176"/>
      <c r="Z755" s="176"/>
      <c r="AA755" s="176"/>
      <c r="AB755" s="176"/>
      <c r="AC755" s="176"/>
      <c r="AD755" s="176"/>
      <c r="AE755" s="176"/>
      <c r="AF755" s="176"/>
      <c r="AG755" s="176"/>
      <c r="AH755" s="176"/>
      <c r="AI755" s="176"/>
      <c r="AJ755" s="176"/>
      <c r="AK755" s="176"/>
      <c r="AL755" s="176"/>
      <c r="AM755" s="176"/>
      <c r="AN755" s="176"/>
      <c r="AO755" s="176"/>
      <c r="AP755" s="176"/>
      <c r="AQ755" s="176"/>
      <c r="AR755" s="176"/>
      <c r="AS755" s="176"/>
      <c r="AT755" s="176"/>
      <c r="AU755" s="176"/>
      <c r="AV755" s="176"/>
      <c r="AW755" s="176"/>
      <c r="AX755" s="176"/>
      <c r="AY755" s="176"/>
      <c r="AZ755" s="176"/>
      <c r="BA755" s="176"/>
      <c r="BB755" s="176"/>
    </row>
    <row r="756" ht="15.75" customHeight="1">
      <c r="A756" s="176"/>
      <c r="B756" s="176"/>
      <c r="C756" s="176"/>
      <c r="D756" s="176"/>
      <c r="E756" s="176"/>
      <c r="F756" s="176"/>
      <c r="G756" s="176"/>
      <c r="H756" s="176"/>
      <c r="I756" s="176"/>
      <c r="J756" s="176"/>
      <c r="K756" s="176"/>
      <c r="L756" s="176"/>
      <c r="M756" s="176"/>
      <c r="N756" s="176"/>
      <c r="O756" s="176"/>
      <c r="P756" s="176"/>
      <c r="Q756" s="176"/>
      <c r="R756" s="176"/>
      <c r="S756" s="176"/>
      <c r="T756" s="176"/>
      <c r="U756" s="176"/>
      <c r="V756" s="176"/>
      <c r="W756" s="176"/>
      <c r="X756" s="176"/>
      <c r="Y756" s="176"/>
      <c r="Z756" s="176"/>
      <c r="AA756" s="176"/>
      <c r="AB756" s="176"/>
      <c r="AC756" s="176"/>
      <c r="AD756" s="176"/>
      <c r="AE756" s="176"/>
      <c r="AF756" s="176"/>
      <c r="AG756" s="176"/>
      <c r="AH756" s="176"/>
      <c r="AI756" s="176"/>
      <c r="AJ756" s="176"/>
      <c r="AK756" s="176"/>
      <c r="AL756" s="176"/>
      <c r="AM756" s="176"/>
      <c r="AN756" s="176"/>
      <c r="AO756" s="176"/>
      <c r="AP756" s="176"/>
      <c r="AQ756" s="176"/>
      <c r="AR756" s="176"/>
      <c r="AS756" s="176"/>
      <c r="AT756" s="176"/>
      <c r="AU756" s="176"/>
      <c r="AV756" s="176"/>
      <c r="AW756" s="176"/>
      <c r="AX756" s="176"/>
      <c r="AY756" s="176"/>
      <c r="AZ756" s="176"/>
      <c r="BA756" s="176"/>
      <c r="BB756" s="176"/>
    </row>
    <row r="757" ht="15.75" customHeight="1">
      <c r="A757" s="176"/>
      <c r="B757" s="176"/>
      <c r="C757" s="176"/>
      <c r="D757" s="176"/>
      <c r="E757" s="176"/>
      <c r="F757" s="176"/>
      <c r="G757" s="176"/>
      <c r="H757" s="176"/>
      <c r="I757" s="176"/>
      <c r="J757" s="176"/>
      <c r="K757" s="176"/>
      <c r="L757" s="176"/>
      <c r="M757" s="176"/>
      <c r="N757" s="176"/>
      <c r="O757" s="176"/>
      <c r="P757" s="176"/>
      <c r="Q757" s="176"/>
      <c r="R757" s="176"/>
      <c r="S757" s="176"/>
      <c r="T757" s="176"/>
      <c r="U757" s="176"/>
      <c r="V757" s="176"/>
      <c r="W757" s="176"/>
      <c r="X757" s="176"/>
      <c r="Y757" s="176"/>
      <c r="Z757" s="176"/>
      <c r="AA757" s="176"/>
      <c r="AB757" s="176"/>
      <c r="AC757" s="176"/>
      <c r="AD757" s="176"/>
      <c r="AE757" s="176"/>
      <c r="AF757" s="176"/>
      <c r="AG757" s="176"/>
      <c r="AH757" s="176"/>
      <c r="AI757" s="176"/>
      <c r="AJ757" s="176"/>
      <c r="AK757" s="176"/>
      <c r="AL757" s="176"/>
      <c r="AM757" s="176"/>
      <c r="AN757" s="176"/>
      <c r="AO757" s="176"/>
      <c r="AP757" s="176"/>
      <c r="AQ757" s="176"/>
      <c r="AR757" s="176"/>
      <c r="AS757" s="176"/>
      <c r="AT757" s="176"/>
      <c r="AU757" s="176"/>
      <c r="AV757" s="176"/>
      <c r="AW757" s="176"/>
      <c r="AX757" s="176"/>
      <c r="AY757" s="176"/>
      <c r="AZ757" s="176"/>
      <c r="BA757" s="176"/>
      <c r="BB757" s="176"/>
    </row>
    <row r="758" ht="15.75" customHeight="1">
      <c r="A758" s="176"/>
      <c r="B758" s="176"/>
      <c r="C758" s="176"/>
      <c r="D758" s="176"/>
      <c r="E758" s="176"/>
      <c r="F758" s="176"/>
      <c r="G758" s="176"/>
      <c r="H758" s="176"/>
      <c r="I758" s="176"/>
      <c r="J758" s="176"/>
      <c r="K758" s="176"/>
      <c r="L758" s="176"/>
      <c r="M758" s="176"/>
      <c r="N758" s="176"/>
      <c r="O758" s="176"/>
      <c r="P758" s="176"/>
      <c r="Q758" s="176"/>
      <c r="R758" s="176"/>
      <c r="S758" s="176"/>
      <c r="T758" s="176"/>
      <c r="U758" s="176"/>
      <c r="V758" s="176"/>
      <c r="W758" s="176"/>
      <c r="X758" s="176"/>
      <c r="Y758" s="176"/>
      <c r="Z758" s="176"/>
      <c r="AA758" s="176"/>
      <c r="AB758" s="176"/>
      <c r="AC758" s="176"/>
      <c r="AD758" s="176"/>
      <c r="AE758" s="176"/>
      <c r="AF758" s="176"/>
      <c r="AG758" s="176"/>
      <c r="AH758" s="176"/>
      <c r="AI758" s="176"/>
      <c r="AJ758" s="176"/>
      <c r="AK758" s="176"/>
      <c r="AL758" s="176"/>
      <c r="AM758" s="176"/>
      <c r="AN758" s="176"/>
      <c r="AO758" s="176"/>
      <c r="AP758" s="176"/>
      <c r="AQ758" s="176"/>
      <c r="AR758" s="176"/>
      <c r="AS758" s="176"/>
      <c r="AT758" s="176"/>
      <c r="AU758" s="176"/>
      <c r="AV758" s="176"/>
      <c r="AW758" s="176"/>
      <c r="AX758" s="176"/>
      <c r="AY758" s="176"/>
      <c r="AZ758" s="176"/>
      <c r="BA758" s="176"/>
      <c r="BB758" s="176"/>
    </row>
    <row r="759" ht="15.75" customHeight="1">
      <c r="A759" s="176"/>
      <c r="B759" s="176"/>
      <c r="C759" s="176"/>
      <c r="D759" s="176"/>
      <c r="E759" s="176"/>
      <c r="F759" s="176"/>
      <c r="G759" s="176"/>
      <c r="H759" s="176"/>
      <c r="I759" s="176"/>
      <c r="J759" s="176"/>
      <c r="K759" s="176"/>
      <c r="L759" s="176"/>
      <c r="M759" s="176"/>
      <c r="N759" s="176"/>
      <c r="O759" s="176"/>
      <c r="P759" s="176"/>
      <c r="Q759" s="176"/>
      <c r="R759" s="176"/>
      <c r="S759" s="176"/>
      <c r="T759" s="176"/>
      <c r="U759" s="176"/>
      <c r="V759" s="176"/>
      <c r="W759" s="176"/>
      <c r="X759" s="176"/>
      <c r="Y759" s="176"/>
      <c r="Z759" s="176"/>
      <c r="AA759" s="176"/>
      <c r="AB759" s="176"/>
      <c r="AC759" s="176"/>
      <c r="AD759" s="176"/>
      <c r="AE759" s="176"/>
      <c r="AF759" s="176"/>
      <c r="AG759" s="176"/>
      <c r="AH759" s="176"/>
      <c r="AI759" s="176"/>
      <c r="AJ759" s="176"/>
      <c r="AK759" s="176"/>
      <c r="AL759" s="176"/>
      <c r="AM759" s="176"/>
      <c r="AN759" s="176"/>
      <c r="AO759" s="176"/>
      <c r="AP759" s="176"/>
      <c r="AQ759" s="176"/>
      <c r="AR759" s="176"/>
      <c r="AS759" s="176"/>
      <c r="AT759" s="176"/>
      <c r="AU759" s="176"/>
      <c r="AV759" s="176"/>
      <c r="AW759" s="176"/>
      <c r="AX759" s="176"/>
      <c r="AY759" s="176"/>
      <c r="AZ759" s="176"/>
      <c r="BA759" s="176"/>
      <c r="BB759" s="176"/>
    </row>
    <row r="760" ht="15.75" customHeight="1">
      <c r="A760" s="176"/>
      <c r="B760" s="176"/>
      <c r="C760" s="176"/>
      <c r="D760" s="176"/>
      <c r="E760" s="176"/>
      <c r="F760" s="176"/>
      <c r="G760" s="176"/>
      <c r="H760" s="176"/>
      <c r="I760" s="176"/>
      <c r="J760" s="176"/>
      <c r="K760" s="176"/>
      <c r="L760" s="176"/>
      <c r="M760" s="176"/>
      <c r="N760" s="176"/>
      <c r="O760" s="176"/>
      <c r="P760" s="176"/>
      <c r="Q760" s="176"/>
      <c r="R760" s="176"/>
      <c r="S760" s="176"/>
      <c r="T760" s="176"/>
      <c r="U760" s="176"/>
      <c r="V760" s="176"/>
      <c r="W760" s="176"/>
      <c r="X760" s="176"/>
      <c r="Y760" s="176"/>
      <c r="Z760" s="176"/>
      <c r="AA760" s="176"/>
      <c r="AB760" s="176"/>
      <c r="AC760" s="176"/>
      <c r="AD760" s="176"/>
      <c r="AE760" s="176"/>
      <c r="AF760" s="176"/>
      <c r="AG760" s="176"/>
      <c r="AH760" s="176"/>
      <c r="AI760" s="176"/>
      <c r="AJ760" s="176"/>
      <c r="AK760" s="176"/>
      <c r="AL760" s="176"/>
      <c r="AM760" s="176"/>
      <c r="AN760" s="176"/>
      <c r="AO760" s="176"/>
      <c r="AP760" s="176"/>
      <c r="AQ760" s="176"/>
      <c r="AR760" s="176"/>
      <c r="AS760" s="176"/>
      <c r="AT760" s="176"/>
      <c r="AU760" s="176"/>
      <c r="AV760" s="176"/>
      <c r="AW760" s="176"/>
      <c r="AX760" s="176"/>
      <c r="AY760" s="176"/>
      <c r="AZ760" s="176"/>
      <c r="BA760" s="176"/>
      <c r="BB760" s="176"/>
    </row>
    <row r="761" ht="15.75" customHeight="1">
      <c r="A761" s="176"/>
      <c r="B761" s="176"/>
      <c r="C761" s="176"/>
      <c r="D761" s="176"/>
      <c r="E761" s="176"/>
      <c r="F761" s="176"/>
      <c r="G761" s="176"/>
      <c r="H761" s="176"/>
      <c r="I761" s="176"/>
      <c r="J761" s="176"/>
      <c r="K761" s="176"/>
      <c r="L761" s="176"/>
      <c r="M761" s="176"/>
      <c r="N761" s="176"/>
      <c r="O761" s="176"/>
      <c r="P761" s="176"/>
      <c r="Q761" s="176"/>
      <c r="R761" s="176"/>
      <c r="S761" s="176"/>
      <c r="T761" s="176"/>
      <c r="U761" s="176"/>
      <c r="V761" s="176"/>
      <c r="W761" s="176"/>
      <c r="X761" s="176"/>
      <c r="Y761" s="176"/>
      <c r="Z761" s="176"/>
      <c r="AA761" s="176"/>
      <c r="AB761" s="176"/>
      <c r="AC761" s="176"/>
      <c r="AD761" s="176"/>
      <c r="AE761" s="176"/>
      <c r="AF761" s="176"/>
      <c r="AG761" s="176"/>
      <c r="AH761" s="176"/>
      <c r="AI761" s="176"/>
      <c r="AJ761" s="176"/>
      <c r="AK761" s="176"/>
      <c r="AL761" s="176"/>
      <c r="AM761" s="176"/>
      <c r="AN761" s="176"/>
      <c r="AO761" s="176"/>
      <c r="AP761" s="176"/>
      <c r="AQ761" s="176"/>
      <c r="AR761" s="176"/>
      <c r="AS761" s="176"/>
      <c r="AT761" s="176"/>
      <c r="AU761" s="176"/>
      <c r="AV761" s="176"/>
      <c r="AW761" s="176"/>
      <c r="AX761" s="176"/>
      <c r="AY761" s="176"/>
      <c r="AZ761" s="176"/>
      <c r="BA761" s="176"/>
      <c r="BB761" s="176"/>
    </row>
    <row r="762" ht="15.75" customHeight="1">
      <c r="A762" s="176"/>
      <c r="B762" s="176"/>
      <c r="C762" s="176"/>
      <c r="D762" s="176"/>
      <c r="E762" s="176"/>
      <c r="F762" s="176"/>
      <c r="G762" s="176"/>
      <c r="H762" s="176"/>
      <c r="I762" s="176"/>
      <c r="J762" s="176"/>
      <c r="K762" s="176"/>
      <c r="L762" s="176"/>
      <c r="M762" s="176"/>
      <c r="N762" s="176"/>
      <c r="O762" s="176"/>
      <c r="P762" s="176"/>
      <c r="Q762" s="176"/>
      <c r="R762" s="176"/>
      <c r="S762" s="176"/>
      <c r="T762" s="176"/>
      <c r="U762" s="176"/>
      <c r="V762" s="176"/>
      <c r="W762" s="176"/>
      <c r="X762" s="176"/>
      <c r="Y762" s="176"/>
      <c r="Z762" s="176"/>
      <c r="AA762" s="176"/>
      <c r="AB762" s="176"/>
      <c r="AC762" s="176"/>
      <c r="AD762" s="176"/>
      <c r="AE762" s="176"/>
      <c r="AF762" s="176"/>
      <c r="AG762" s="176"/>
      <c r="AH762" s="176"/>
      <c r="AI762" s="176"/>
      <c r="AJ762" s="176"/>
      <c r="AK762" s="176"/>
      <c r="AL762" s="176"/>
      <c r="AM762" s="176"/>
      <c r="AN762" s="176"/>
      <c r="AO762" s="176"/>
      <c r="AP762" s="176"/>
      <c r="AQ762" s="176"/>
      <c r="AR762" s="176"/>
      <c r="AS762" s="176"/>
      <c r="AT762" s="176"/>
      <c r="AU762" s="176"/>
      <c r="AV762" s="176"/>
      <c r="AW762" s="176"/>
      <c r="AX762" s="176"/>
      <c r="AY762" s="176"/>
      <c r="AZ762" s="176"/>
      <c r="BA762" s="176"/>
      <c r="BB762" s="176"/>
    </row>
    <row r="763" ht="15.75" customHeight="1">
      <c r="A763" s="176"/>
      <c r="B763" s="176"/>
      <c r="C763" s="176"/>
      <c r="D763" s="176"/>
      <c r="E763" s="176"/>
      <c r="F763" s="176"/>
      <c r="G763" s="176"/>
      <c r="H763" s="176"/>
      <c r="I763" s="176"/>
      <c r="J763" s="176"/>
      <c r="K763" s="176"/>
      <c r="L763" s="176"/>
      <c r="M763" s="176"/>
      <c r="N763" s="176"/>
      <c r="O763" s="176"/>
      <c r="P763" s="176"/>
      <c r="Q763" s="176"/>
      <c r="R763" s="176"/>
      <c r="S763" s="176"/>
      <c r="T763" s="176"/>
      <c r="U763" s="176"/>
      <c r="V763" s="176"/>
      <c r="W763" s="176"/>
      <c r="X763" s="176"/>
      <c r="Y763" s="176"/>
      <c r="Z763" s="176"/>
      <c r="AA763" s="176"/>
      <c r="AB763" s="176"/>
      <c r="AC763" s="176"/>
      <c r="AD763" s="176"/>
      <c r="AE763" s="176"/>
      <c r="AF763" s="176"/>
      <c r="AG763" s="176"/>
      <c r="AH763" s="176"/>
      <c r="AI763" s="176"/>
      <c r="AJ763" s="176"/>
      <c r="AK763" s="176"/>
      <c r="AL763" s="176"/>
      <c r="AM763" s="176"/>
      <c r="AN763" s="176"/>
      <c r="AO763" s="176"/>
      <c r="AP763" s="176"/>
      <c r="AQ763" s="176"/>
      <c r="AR763" s="176"/>
      <c r="AS763" s="176"/>
      <c r="AT763" s="176"/>
      <c r="AU763" s="176"/>
      <c r="AV763" s="176"/>
      <c r="AW763" s="176"/>
      <c r="AX763" s="176"/>
      <c r="AY763" s="176"/>
      <c r="AZ763" s="176"/>
      <c r="BA763" s="176"/>
      <c r="BB763" s="176"/>
    </row>
    <row r="764" ht="15.75" customHeight="1">
      <c r="A764" s="176"/>
      <c r="B764" s="176"/>
      <c r="C764" s="176"/>
      <c r="D764" s="176"/>
      <c r="E764" s="176"/>
      <c r="F764" s="176"/>
      <c r="G764" s="176"/>
      <c r="H764" s="176"/>
      <c r="I764" s="176"/>
      <c r="J764" s="176"/>
      <c r="K764" s="176"/>
      <c r="L764" s="176"/>
      <c r="M764" s="176"/>
      <c r="N764" s="176"/>
      <c r="O764" s="176"/>
      <c r="P764" s="176"/>
      <c r="Q764" s="176"/>
      <c r="R764" s="176"/>
      <c r="S764" s="176"/>
      <c r="T764" s="176"/>
      <c r="U764" s="176"/>
      <c r="V764" s="176"/>
      <c r="W764" s="176"/>
      <c r="X764" s="176"/>
      <c r="Y764" s="176"/>
      <c r="Z764" s="176"/>
      <c r="AA764" s="176"/>
      <c r="AB764" s="176"/>
      <c r="AC764" s="176"/>
      <c r="AD764" s="176"/>
      <c r="AE764" s="176"/>
      <c r="AF764" s="176"/>
      <c r="AG764" s="176"/>
      <c r="AH764" s="176"/>
      <c r="AI764" s="176"/>
      <c r="AJ764" s="176"/>
      <c r="AK764" s="176"/>
      <c r="AL764" s="176"/>
      <c r="AM764" s="176"/>
      <c r="AN764" s="176"/>
      <c r="AO764" s="176"/>
      <c r="AP764" s="176"/>
      <c r="AQ764" s="176"/>
      <c r="AR764" s="176"/>
      <c r="AS764" s="176"/>
      <c r="AT764" s="176"/>
      <c r="AU764" s="176"/>
      <c r="AV764" s="176"/>
      <c r="AW764" s="176"/>
      <c r="AX764" s="176"/>
      <c r="AY764" s="176"/>
      <c r="AZ764" s="176"/>
      <c r="BA764" s="176"/>
      <c r="BB764" s="176"/>
    </row>
    <row r="765" ht="15.75" customHeight="1">
      <c r="A765" s="176"/>
      <c r="B765" s="176"/>
      <c r="C765" s="176"/>
      <c r="D765" s="176"/>
      <c r="E765" s="176"/>
      <c r="F765" s="176"/>
      <c r="G765" s="176"/>
      <c r="H765" s="176"/>
      <c r="I765" s="176"/>
      <c r="J765" s="176"/>
      <c r="K765" s="176"/>
      <c r="L765" s="176"/>
      <c r="M765" s="176"/>
      <c r="N765" s="176"/>
      <c r="O765" s="176"/>
      <c r="P765" s="176"/>
      <c r="Q765" s="176"/>
      <c r="R765" s="176"/>
      <c r="S765" s="176"/>
      <c r="T765" s="176"/>
      <c r="U765" s="176"/>
      <c r="V765" s="176"/>
      <c r="W765" s="176"/>
      <c r="X765" s="176"/>
      <c r="Y765" s="176"/>
      <c r="Z765" s="176"/>
      <c r="AA765" s="176"/>
      <c r="AB765" s="176"/>
      <c r="AC765" s="176"/>
      <c r="AD765" s="176"/>
      <c r="AE765" s="176"/>
      <c r="AF765" s="176"/>
      <c r="AG765" s="176"/>
      <c r="AH765" s="176"/>
      <c r="AI765" s="176"/>
      <c r="AJ765" s="176"/>
      <c r="AK765" s="176"/>
      <c r="AL765" s="176"/>
      <c r="AM765" s="176"/>
      <c r="AN765" s="176"/>
      <c r="AO765" s="176"/>
      <c r="AP765" s="176"/>
      <c r="AQ765" s="176"/>
      <c r="AR765" s="176"/>
      <c r="AS765" s="176"/>
      <c r="AT765" s="176"/>
      <c r="AU765" s="176"/>
      <c r="AV765" s="176"/>
      <c r="AW765" s="176"/>
      <c r="AX765" s="176"/>
      <c r="AY765" s="176"/>
      <c r="AZ765" s="176"/>
      <c r="BA765" s="176"/>
      <c r="BB765" s="176"/>
    </row>
    <row r="766" ht="15.75" customHeight="1">
      <c r="A766" s="176"/>
      <c r="B766" s="176"/>
      <c r="C766" s="176"/>
      <c r="D766" s="176"/>
      <c r="E766" s="176"/>
      <c r="F766" s="176"/>
      <c r="G766" s="176"/>
      <c r="H766" s="176"/>
      <c r="I766" s="176"/>
      <c r="J766" s="176"/>
      <c r="K766" s="176"/>
      <c r="L766" s="176"/>
      <c r="M766" s="176"/>
      <c r="N766" s="176"/>
      <c r="O766" s="176"/>
      <c r="P766" s="176"/>
      <c r="Q766" s="176"/>
      <c r="R766" s="176"/>
      <c r="S766" s="176"/>
      <c r="T766" s="176"/>
      <c r="U766" s="176"/>
      <c r="V766" s="176"/>
      <c r="W766" s="176"/>
      <c r="X766" s="176"/>
      <c r="Y766" s="176"/>
      <c r="Z766" s="176"/>
      <c r="AA766" s="176"/>
      <c r="AB766" s="176"/>
      <c r="AC766" s="176"/>
      <c r="AD766" s="176"/>
      <c r="AE766" s="176"/>
      <c r="AF766" s="176"/>
      <c r="AG766" s="176"/>
      <c r="AH766" s="176"/>
      <c r="AI766" s="176"/>
      <c r="AJ766" s="176"/>
      <c r="AK766" s="176"/>
      <c r="AL766" s="176"/>
      <c r="AM766" s="176"/>
      <c r="AN766" s="176"/>
      <c r="AO766" s="176"/>
      <c r="AP766" s="176"/>
      <c r="AQ766" s="176"/>
      <c r="AR766" s="176"/>
      <c r="AS766" s="176"/>
      <c r="AT766" s="176"/>
      <c r="AU766" s="176"/>
      <c r="AV766" s="176"/>
      <c r="AW766" s="176"/>
      <c r="AX766" s="176"/>
      <c r="AY766" s="176"/>
      <c r="AZ766" s="176"/>
      <c r="BA766" s="176"/>
      <c r="BB766" s="176"/>
    </row>
    <row r="767" ht="15.75" customHeight="1">
      <c r="A767" s="176"/>
      <c r="B767" s="176"/>
      <c r="C767" s="176"/>
      <c r="D767" s="176"/>
      <c r="E767" s="176"/>
      <c r="F767" s="176"/>
      <c r="G767" s="176"/>
      <c r="H767" s="176"/>
      <c r="I767" s="176"/>
      <c r="J767" s="176"/>
      <c r="K767" s="176"/>
      <c r="L767" s="176"/>
      <c r="M767" s="176"/>
      <c r="N767" s="176"/>
      <c r="O767" s="176"/>
      <c r="P767" s="176"/>
      <c r="Q767" s="176"/>
      <c r="R767" s="176"/>
      <c r="S767" s="176"/>
      <c r="T767" s="176"/>
      <c r="U767" s="176"/>
      <c r="V767" s="176"/>
      <c r="W767" s="176"/>
      <c r="X767" s="176"/>
      <c r="Y767" s="176"/>
      <c r="Z767" s="176"/>
      <c r="AA767" s="176"/>
      <c r="AB767" s="176"/>
      <c r="AC767" s="176"/>
      <c r="AD767" s="176"/>
      <c r="AE767" s="176"/>
      <c r="AF767" s="176"/>
      <c r="AG767" s="176"/>
      <c r="AH767" s="176"/>
      <c r="AI767" s="176"/>
      <c r="AJ767" s="176"/>
      <c r="AK767" s="176"/>
      <c r="AL767" s="176"/>
      <c r="AM767" s="176"/>
      <c r="AN767" s="176"/>
      <c r="AO767" s="176"/>
      <c r="AP767" s="176"/>
      <c r="AQ767" s="176"/>
      <c r="AR767" s="176"/>
      <c r="AS767" s="176"/>
      <c r="AT767" s="176"/>
      <c r="AU767" s="176"/>
      <c r="AV767" s="176"/>
      <c r="AW767" s="176"/>
      <c r="AX767" s="176"/>
      <c r="AY767" s="176"/>
      <c r="AZ767" s="176"/>
      <c r="BA767" s="176"/>
      <c r="BB767" s="176"/>
    </row>
    <row r="768" ht="15.75" customHeight="1">
      <c r="A768" s="176"/>
      <c r="B768" s="176"/>
      <c r="C768" s="176"/>
      <c r="D768" s="176"/>
      <c r="E768" s="176"/>
      <c r="F768" s="176"/>
      <c r="G768" s="176"/>
      <c r="H768" s="176"/>
      <c r="I768" s="176"/>
      <c r="J768" s="176"/>
      <c r="K768" s="176"/>
      <c r="L768" s="176"/>
      <c r="M768" s="176"/>
      <c r="N768" s="176"/>
      <c r="O768" s="176"/>
      <c r="P768" s="176"/>
      <c r="Q768" s="176"/>
      <c r="R768" s="176"/>
      <c r="S768" s="176"/>
      <c r="T768" s="176"/>
      <c r="U768" s="176"/>
      <c r="V768" s="176"/>
      <c r="W768" s="176"/>
      <c r="X768" s="176"/>
      <c r="Y768" s="176"/>
      <c r="Z768" s="176"/>
      <c r="AA768" s="176"/>
      <c r="AB768" s="176"/>
      <c r="AC768" s="176"/>
      <c r="AD768" s="176"/>
      <c r="AE768" s="176"/>
      <c r="AF768" s="176"/>
      <c r="AG768" s="176"/>
      <c r="AH768" s="176"/>
      <c r="AI768" s="176"/>
      <c r="AJ768" s="176"/>
      <c r="AK768" s="176"/>
      <c r="AL768" s="176"/>
      <c r="AM768" s="176"/>
      <c r="AN768" s="176"/>
      <c r="AO768" s="176"/>
      <c r="AP768" s="176"/>
      <c r="AQ768" s="176"/>
      <c r="AR768" s="176"/>
      <c r="AS768" s="176"/>
      <c r="AT768" s="176"/>
      <c r="AU768" s="176"/>
      <c r="AV768" s="176"/>
      <c r="AW768" s="176"/>
      <c r="AX768" s="176"/>
      <c r="AY768" s="176"/>
      <c r="AZ768" s="176"/>
      <c r="BA768" s="176"/>
      <c r="BB768" s="176"/>
    </row>
    <row r="769" ht="15.75" customHeight="1">
      <c r="A769" s="176"/>
      <c r="B769" s="176"/>
      <c r="C769" s="176"/>
      <c r="D769" s="176"/>
      <c r="E769" s="176"/>
      <c r="F769" s="176"/>
      <c r="G769" s="176"/>
      <c r="H769" s="176"/>
      <c r="I769" s="176"/>
      <c r="J769" s="176"/>
      <c r="K769" s="176"/>
      <c r="L769" s="176"/>
      <c r="M769" s="176"/>
      <c r="N769" s="176"/>
      <c r="O769" s="176"/>
      <c r="P769" s="176"/>
      <c r="Q769" s="176"/>
      <c r="R769" s="176"/>
      <c r="S769" s="176"/>
      <c r="T769" s="176"/>
      <c r="U769" s="176"/>
      <c r="V769" s="176"/>
      <c r="W769" s="176"/>
      <c r="X769" s="176"/>
      <c r="Y769" s="176"/>
      <c r="Z769" s="176"/>
      <c r="AA769" s="176"/>
      <c r="AB769" s="176"/>
      <c r="AC769" s="176"/>
      <c r="AD769" s="176"/>
      <c r="AE769" s="176"/>
      <c r="AF769" s="176"/>
      <c r="AG769" s="176"/>
      <c r="AH769" s="176"/>
      <c r="AI769" s="176"/>
      <c r="AJ769" s="176"/>
      <c r="AK769" s="176"/>
      <c r="AL769" s="176"/>
      <c r="AM769" s="176"/>
      <c r="AN769" s="176"/>
      <c r="AO769" s="176"/>
      <c r="AP769" s="176"/>
      <c r="AQ769" s="176"/>
      <c r="AR769" s="176"/>
      <c r="AS769" s="176"/>
      <c r="AT769" s="176"/>
      <c r="AU769" s="176"/>
      <c r="AV769" s="176"/>
      <c r="AW769" s="176"/>
      <c r="AX769" s="176"/>
      <c r="AY769" s="176"/>
      <c r="AZ769" s="176"/>
      <c r="BA769" s="176"/>
      <c r="BB769" s="176"/>
    </row>
    <row r="770" ht="15.75" customHeight="1">
      <c r="A770" s="176"/>
      <c r="B770" s="176"/>
      <c r="C770" s="176"/>
      <c r="D770" s="176"/>
      <c r="E770" s="176"/>
      <c r="F770" s="176"/>
      <c r="G770" s="176"/>
      <c r="H770" s="176"/>
      <c r="I770" s="176"/>
      <c r="J770" s="176"/>
      <c r="K770" s="176"/>
      <c r="L770" s="176"/>
      <c r="M770" s="176"/>
      <c r="N770" s="176"/>
      <c r="O770" s="176"/>
      <c r="P770" s="176"/>
      <c r="Q770" s="176"/>
      <c r="R770" s="176"/>
      <c r="S770" s="176"/>
      <c r="T770" s="176"/>
      <c r="U770" s="176"/>
      <c r="V770" s="176"/>
      <c r="W770" s="176"/>
      <c r="X770" s="176"/>
      <c r="Y770" s="176"/>
      <c r="Z770" s="176"/>
      <c r="AA770" s="176"/>
      <c r="AB770" s="176"/>
      <c r="AC770" s="176"/>
      <c r="AD770" s="176"/>
      <c r="AE770" s="176"/>
      <c r="AF770" s="176"/>
      <c r="AG770" s="176"/>
      <c r="AH770" s="176"/>
      <c r="AI770" s="176"/>
      <c r="AJ770" s="176"/>
      <c r="AK770" s="176"/>
      <c r="AL770" s="176"/>
      <c r="AM770" s="176"/>
      <c r="AN770" s="176"/>
      <c r="AO770" s="176"/>
      <c r="AP770" s="176"/>
      <c r="AQ770" s="176"/>
      <c r="AR770" s="176"/>
      <c r="AS770" s="176"/>
      <c r="AT770" s="176"/>
      <c r="AU770" s="176"/>
      <c r="AV770" s="176"/>
      <c r="AW770" s="176"/>
      <c r="AX770" s="176"/>
      <c r="AY770" s="176"/>
      <c r="AZ770" s="176"/>
      <c r="BA770" s="176"/>
      <c r="BB770" s="176"/>
    </row>
    <row r="771" ht="15.75" customHeight="1">
      <c r="A771" s="176"/>
      <c r="B771" s="176"/>
      <c r="C771" s="176"/>
      <c r="D771" s="176"/>
      <c r="E771" s="176"/>
      <c r="F771" s="176"/>
      <c r="G771" s="176"/>
      <c r="H771" s="176"/>
      <c r="I771" s="176"/>
      <c r="J771" s="176"/>
      <c r="K771" s="176"/>
      <c r="L771" s="176"/>
      <c r="M771" s="176"/>
      <c r="N771" s="176"/>
      <c r="O771" s="176"/>
      <c r="P771" s="176"/>
      <c r="Q771" s="176"/>
      <c r="R771" s="176"/>
      <c r="S771" s="176"/>
      <c r="T771" s="176"/>
      <c r="U771" s="176"/>
      <c r="V771" s="176"/>
      <c r="W771" s="176"/>
      <c r="X771" s="176"/>
      <c r="Y771" s="176"/>
      <c r="Z771" s="176"/>
      <c r="AA771" s="176"/>
      <c r="AB771" s="176"/>
      <c r="AC771" s="176"/>
      <c r="AD771" s="176"/>
      <c r="AE771" s="176"/>
      <c r="AF771" s="176"/>
      <c r="AG771" s="176"/>
      <c r="AH771" s="176"/>
      <c r="AI771" s="176"/>
      <c r="AJ771" s="176"/>
      <c r="AK771" s="176"/>
      <c r="AL771" s="176"/>
      <c r="AM771" s="176"/>
      <c r="AN771" s="176"/>
      <c r="AO771" s="176"/>
      <c r="AP771" s="176"/>
      <c r="AQ771" s="176"/>
      <c r="AR771" s="176"/>
      <c r="AS771" s="176"/>
      <c r="AT771" s="176"/>
      <c r="AU771" s="176"/>
      <c r="AV771" s="176"/>
      <c r="AW771" s="176"/>
      <c r="AX771" s="176"/>
      <c r="AY771" s="176"/>
      <c r="AZ771" s="176"/>
      <c r="BA771" s="176"/>
      <c r="BB771" s="176"/>
    </row>
    <row r="772" ht="15.75" customHeight="1">
      <c r="A772" s="176"/>
      <c r="B772" s="176"/>
      <c r="C772" s="176"/>
      <c r="D772" s="176"/>
      <c r="E772" s="176"/>
      <c r="F772" s="176"/>
      <c r="G772" s="176"/>
      <c r="H772" s="176"/>
      <c r="I772" s="176"/>
      <c r="J772" s="176"/>
      <c r="K772" s="176"/>
      <c r="L772" s="176"/>
      <c r="M772" s="176"/>
      <c r="N772" s="176"/>
      <c r="O772" s="176"/>
      <c r="P772" s="176"/>
      <c r="Q772" s="176"/>
      <c r="R772" s="176"/>
      <c r="S772" s="176"/>
      <c r="T772" s="176"/>
      <c r="U772" s="176"/>
      <c r="V772" s="176"/>
      <c r="W772" s="176"/>
      <c r="X772" s="176"/>
      <c r="Y772" s="176"/>
      <c r="Z772" s="176"/>
      <c r="AA772" s="176"/>
      <c r="AB772" s="176"/>
      <c r="AC772" s="176"/>
      <c r="AD772" s="176"/>
      <c r="AE772" s="176"/>
      <c r="AF772" s="176"/>
      <c r="AG772" s="176"/>
      <c r="AH772" s="176"/>
      <c r="AI772" s="176"/>
      <c r="AJ772" s="176"/>
      <c r="AK772" s="176"/>
      <c r="AL772" s="176"/>
      <c r="AM772" s="176"/>
      <c r="AN772" s="176"/>
      <c r="AO772" s="176"/>
      <c r="AP772" s="176"/>
      <c r="AQ772" s="176"/>
      <c r="AR772" s="176"/>
      <c r="AS772" s="176"/>
      <c r="AT772" s="176"/>
      <c r="AU772" s="176"/>
      <c r="AV772" s="176"/>
      <c r="AW772" s="176"/>
      <c r="AX772" s="176"/>
      <c r="AY772" s="176"/>
      <c r="AZ772" s="176"/>
      <c r="BA772" s="176"/>
      <c r="BB772" s="176"/>
    </row>
    <row r="773" ht="15.75" customHeight="1">
      <c r="A773" s="176"/>
      <c r="B773" s="176"/>
      <c r="C773" s="176"/>
      <c r="D773" s="176"/>
      <c r="E773" s="176"/>
      <c r="F773" s="176"/>
      <c r="G773" s="176"/>
      <c r="H773" s="176"/>
      <c r="I773" s="176"/>
      <c r="J773" s="176"/>
      <c r="K773" s="176"/>
      <c r="L773" s="176"/>
      <c r="M773" s="176"/>
      <c r="N773" s="176"/>
      <c r="O773" s="176"/>
      <c r="P773" s="176"/>
      <c r="Q773" s="176"/>
      <c r="R773" s="176"/>
      <c r="S773" s="176"/>
      <c r="T773" s="176"/>
      <c r="U773" s="176"/>
      <c r="V773" s="176"/>
      <c r="W773" s="176"/>
      <c r="X773" s="176"/>
      <c r="Y773" s="176"/>
      <c r="Z773" s="176"/>
      <c r="AA773" s="176"/>
      <c r="AB773" s="176"/>
      <c r="AC773" s="176"/>
      <c r="AD773" s="176"/>
      <c r="AE773" s="176"/>
      <c r="AF773" s="176"/>
      <c r="AG773" s="176"/>
      <c r="AH773" s="176"/>
      <c r="AI773" s="176"/>
      <c r="AJ773" s="176"/>
      <c r="AK773" s="176"/>
      <c r="AL773" s="176"/>
      <c r="AM773" s="176"/>
      <c r="AN773" s="176"/>
      <c r="AO773" s="176"/>
      <c r="AP773" s="176"/>
      <c r="AQ773" s="176"/>
      <c r="AR773" s="176"/>
      <c r="AS773" s="176"/>
      <c r="AT773" s="176"/>
      <c r="AU773" s="176"/>
      <c r="AV773" s="176"/>
      <c r="AW773" s="176"/>
      <c r="AX773" s="176"/>
      <c r="AY773" s="176"/>
      <c r="AZ773" s="176"/>
      <c r="BA773" s="176"/>
      <c r="BB773" s="176"/>
    </row>
    <row r="774" ht="15.75" customHeight="1">
      <c r="A774" s="176"/>
      <c r="B774" s="176"/>
      <c r="C774" s="176"/>
      <c r="D774" s="176"/>
      <c r="E774" s="176"/>
      <c r="F774" s="176"/>
      <c r="G774" s="176"/>
      <c r="H774" s="176"/>
      <c r="I774" s="176"/>
      <c r="J774" s="176"/>
      <c r="K774" s="176"/>
      <c r="L774" s="176"/>
      <c r="M774" s="176"/>
      <c r="N774" s="176"/>
      <c r="O774" s="176"/>
      <c r="P774" s="176"/>
      <c r="Q774" s="176"/>
      <c r="R774" s="176"/>
      <c r="S774" s="176"/>
      <c r="T774" s="176"/>
      <c r="U774" s="176"/>
      <c r="V774" s="176"/>
      <c r="W774" s="176"/>
      <c r="X774" s="176"/>
      <c r="Y774" s="176"/>
      <c r="Z774" s="176"/>
      <c r="AA774" s="176"/>
      <c r="AB774" s="176"/>
      <c r="AC774" s="176"/>
      <c r="AD774" s="176"/>
      <c r="AE774" s="176"/>
      <c r="AF774" s="176"/>
      <c r="AG774" s="176"/>
      <c r="AH774" s="176"/>
      <c r="AI774" s="176"/>
      <c r="AJ774" s="176"/>
      <c r="AK774" s="176"/>
      <c r="AL774" s="176"/>
      <c r="AM774" s="176"/>
      <c r="AN774" s="176"/>
      <c r="AO774" s="176"/>
      <c r="AP774" s="176"/>
      <c r="AQ774" s="176"/>
      <c r="AR774" s="176"/>
      <c r="AS774" s="176"/>
      <c r="AT774" s="176"/>
      <c r="AU774" s="176"/>
      <c r="AV774" s="176"/>
      <c r="AW774" s="176"/>
      <c r="AX774" s="176"/>
      <c r="AY774" s="176"/>
      <c r="AZ774" s="176"/>
      <c r="BA774" s="176"/>
      <c r="BB774" s="176"/>
    </row>
    <row r="775" ht="15.75" customHeight="1">
      <c r="A775" s="176"/>
      <c r="B775" s="176"/>
      <c r="C775" s="176"/>
      <c r="D775" s="176"/>
      <c r="E775" s="176"/>
      <c r="F775" s="176"/>
      <c r="G775" s="176"/>
      <c r="H775" s="176"/>
      <c r="I775" s="176"/>
      <c r="J775" s="176"/>
      <c r="K775" s="176"/>
      <c r="L775" s="176"/>
      <c r="M775" s="176"/>
      <c r="N775" s="176"/>
      <c r="O775" s="176"/>
      <c r="P775" s="176"/>
      <c r="Q775" s="176"/>
      <c r="R775" s="176"/>
      <c r="S775" s="176"/>
      <c r="T775" s="176"/>
      <c r="U775" s="176"/>
      <c r="V775" s="176"/>
      <c r="W775" s="176"/>
      <c r="X775" s="176"/>
      <c r="Y775" s="176"/>
      <c r="Z775" s="176"/>
      <c r="AA775" s="176"/>
      <c r="AB775" s="176"/>
      <c r="AC775" s="176"/>
      <c r="AD775" s="176"/>
      <c r="AE775" s="176"/>
      <c r="AF775" s="176"/>
      <c r="AG775" s="176"/>
      <c r="AH775" s="176"/>
      <c r="AI775" s="176"/>
      <c r="AJ775" s="176"/>
      <c r="AK775" s="176"/>
      <c r="AL775" s="176"/>
      <c r="AM775" s="176"/>
      <c r="AN775" s="176"/>
      <c r="AO775" s="176"/>
      <c r="AP775" s="176"/>
      <c r="AQ775" s="176"/>
      <c r="AR775" s="176"/>
      <c r="AS775" s="176"/>
      <c r="AT775" s="176"/>
      <c r="AU775" s="176"/>
      <c r="AV775" s="176"/>
      <c r="AW775" s="176"/>
      <c r="AX775" s="176"/>
      <c r="AY775" s="176"/>
      <c r="AZ775" s="176"/>
      <c r="BA775" s="176"/>
      <c r="BB775" s="176"/>
    </row>
    <row r="776" ht="15.75" customHeight="1">
      <c r="A776" s="176"/>
      <c r="B776" s="176"/>
      <c r="C776" s="176"/>
      <c r="D776" s="176"/>
      <c r="E776" s="176"/>
      <c r="F776" s="176"/>
      <c r="G776" s="176"/>
      <c r="H776" s="176"/>
      <c r="I776" s="176"/>
      <c r="J776" s="176"/>
      <c r="K776" s="176"/>
      <c r="L776" s="176"/>
      <c r="M776" s="176"/>
      <c r="N776" s="176"/>
      <c r="O776" s="176"/>
      <c r="P776" s="176"/>
      <c r="Q776" s="176"/>
      <c r="R776" s="176"/>
      <c r="S776" s="176"/>
      <c r="T776" s="176"/>
      <c r="U776" s="176"/>
      <c r="V776" s="176"/>
      <c r="W776" s="176"/>
      <c r="X776" s="176"/>
      <c r="Y776" s="176"/>
      <c r="Z776" s="176"/>
      <c r="AA776" s="176"/>
      <c r="AB776" s="176"/>
      <c r="AC776" s="176"/>
      <c r="AD776" s="176"/>
      <c r="AE776" s="176"/>
      <c r="AF776" s="176"/>
      <c r="AG776" s="176"/>
      <c r="AH776" s="176"/>
      <c r="AI776" s="176"/>
      <c r="AJ776" s="176"/>
      <c r="AK776" s="176"/>
      <c r="AL776" s="176"/>
      <c r="AM776" s="176"/>
      <c r="AN776" s="176"/>
      <c r="AO776" s="176"/>
      <c r="AP776" s="176"/>
      <c r="AQ776" s="176"/>
      <c r="AR776" s="176"/>
      <c r="AS776" s="176"/>
      <c r="AT776" s="176"/>
      <c r="AU776" s="176"/>
      <c r="AV776" s="176"/>
      <c r="AW776" s="176"/>
      <c r="AX776" s="176"/>
      <c r="AY776" s="176"/>
      <c r="AZ776" s="176"/>
      <c r="BA776" s="176"/>
      <c r="BB776" s="176"/>
    </row>
    <row r="777" ht="15.75" customHeight="1">
      <c r="A777" s="176"/>
      <c r="B777" s="176"/>
      <c r="C777" s="176"/>
      <c r="D777" s="176"/>
      <c r="E777" s="176"/>
      <c r="F777" s="176"/>
      <c r="G777" s="176"/>
      <c r="H777" s="176"/>
      <c r="I777" s="176"/>
      <c r="J777" s="176"/>
      <c r="K777" s="176"/>
      <c r="L777" s="176"/>
      <c r="M777" s="176"/>
      <c r="N777" s="176"/>
      <c r="O777" s="176"/>
      <c r="P777" s="176"/>
      <c r="Q777" s="176"/>
      <c r="R777" s="176"/>
      <c r="S777" s="176"/>
      <c r="T777" s="176"/>
      <c r="U777" s="176"/>
      <c r="V777" s="176"/>
      <c r="W777" s="176"/>
      <c r="X777" s="176"/>
      <c r="Y777" s="176"/>
      <c r="Z777" s="176"/>
      <c r="AA777" s="176"/>
      <c r="AB777" s="176"/>
      <c r="AC777" s="176"/>
      <c r="AD777" s="176"/>
      <c r="AE777" s="176"/>
      <c r="AF777" s="176"/>
      <c r="AG777" s="176"/>
      <c r="AH777" s="176"/>
      <c r="AI777" s="176"/>
      <c r="AJ777" s="176"/>
      <c r="AK777" s="176"/>
      <c r="AL777" s="176"/>
      <c r="AM777" s="176"/>
      <c r="AN777" s="176"/>
      <c r="AO777" s="176"/>
      <c r="AP777" s="176"/>
      <c r="AQ777" s="176"/>
      <c r="AR777" s="176"/>
      <c r="AS777" s="176"/>
      <c r="AT777" s="176"/>
      <c r="AU777" s="176"/>
      <c r="AV777" s="176"/>
      <c r="AW777" s="176"/>
      <c r="AX777" s="176"/>
      <c r="AY777" s="176"/>
      <c r="AZ777" s="176"/>
      <c r="BA777" s="176"/>
      <c r="BB777" s="176"/>
    </row>
    <row r="778" ht="15.75" customHeight="1">
      <c r="A778" s="176"/>
      <c r="B778" s="176"/>
      <c r="C778" s="176"/>
      <c r="D778" s="176"/>
      <c r="E778" s="176"/>
      <c r="F778" s="176"/>
      <c r="G778" s="176"/>
      <c r="H778" s="176"/>
      <c r="I778" s="176"/>
      <c r="J778" s="176"/>
      <c r="K778" s="176"/>
      <c r="L778" s="176"/>
      <c r="M778" s="176"/>
      <c r="N778" s="176"/>
      <c r="O778" s="176"/>
      <c r="P778" s="176"/>
      <c r="Q778" s="176"/>
      <c r="R778" s="176"/>
      <c r="S778" s="176"/>
      <c r="T778" s="176"/>
      <c r="U778" s="176"/>
      <c r="V778" s="176"/>
      <c r="W778" s="176"/>
      <c r="X778" s="176"/>
      <c r="Y778" s="176"/>
      <c r="Z778" s="176"/>
      <c r="AA778" s="176"/>
      <c r="AB778" s="176"/>
      <c r="AC778" s="176"/>
      <c r="AD778" s="176"/>
      <c r="AE778" s="176"/>
      <c r="AF778" s="176"/>
      <c r="AG778" s="176"/>
      <c r="AH778" s="176"/>
      <c r="AI778" s="176"/>
      <c r="AJ778" s="176"/>
      <c r="AK778" s="176"/>
      <c r="AL778" s="176"/>
      <c r="AM778" s="176"/>
      <c r="AN778" s="176"/>
      <c r="AO778" s="176"/>
      <c r="AP778" s="176"/>
      <c r="AQ778" s="176"/>
      <c r="AR778" s="176"/>
      <c r="AS778" s="176"/>
      <c r="AT778" s="176"/>
      <c r="AU778" s="176"/>
      <c r="AV778" s="176"/>
      <c r="AW778" s="176"/>
      <c r="AX778" s="176"/>
      <c r="AY778" s="176"/>
      <c r="AZ778" s="176"/>
      <c r="BA778" s="176"/>
      <c r="BB778" s="176"/>
    </row>
    <row r="779" ht="15.75" customHeight="1">
      <c r="A779" s="176"/>
      <c r="B779" s="176"/>
      <c r="C779" s="176"/>
      <c r="D779" s="176"/>
      <c r="E779" s="176"/>
      <c r="F779" s="176"/>
      <c r="G779" s="176"/>
      <c r="H779" s="176"/>
      <c r="I779" s="176"/>
      <c r="J779" s="176"/>
      <c r="K779" s="176"/>
      <c r="L779" s="176"/>
      <c r="M779" s="176"/>
      <c r="N779" s="176"/>
      <c r="O779" s="176"/>
      <c r="P779" s="176"/>
      <c r="Q779" s="176"/>
      <c r="R779" s="176"/>
      <c r="S779" s="176"/>
      <c r="T779" s="176"/>
      <c r="U779" s="176"/>
      <c r="V779" s="176"/>
      <c r="W779" s="176"/>
      <c r="X779" s="176"/>
      <c r="Y779" s="176"/>
      <c r="Z779" s="176"/>
      <c r="AA779" s="176"/>
      <c r="AB779" s="176"/>
      <c r="AC779" s="176"/>
      <c r="AD779" s="176"/>
      <c r="AE779" s="176"/>
      <c r="AF779" s="176"/>
      <c r="AG779" s="176"/>
      <c r="AH779" s="176"/>
      <c r="AI779" s="176"/>
      <c r="AJ779" s="176"/>
      <c r="AK779" s="176"/>
      <c r="AL779" s="176"/>
      <c r="AM779" s="176"/>
      <c r="AN779" s="176"/>
      <c r="AO779" s="176"/>
      <c r="AP779" s="176"/>
      <c r="AQ779" s="176"/>
      <c r="AR779" s="176"/>
      <c r="AS779" s="176"/>
      <c r="AT779" s="176"/>
      <c r="AU779" s="176"/>
      <c r="AV779" s="176"/>
      <c r="AW779" s="176"/>
      <c r="AX779" s="176"/>
      <c r="AY779" s="176"/>
      <c r="AZ779" s="176"/>
      <c r="BA779" s="176"/>
      <c r="BB779" s="176"/>
    </row>
    <row r="780" ht="15.75" customHeight="1">
      <c r="A780" s="176"/>
      <c r="B780" s="176"/>
      <c r="C780" s="176"/>
      <c r="D780" s="176"/>
      <c r="E780" s="176"/>
      <c r="F780" s="176"/>
      <c r="G780" s="176"/>
      <c r="H780" s="176"/>
      <c r="I780" s="176"/>
      <c r="J780" s="176"/>
      <c r="K780" s="176"/>
      <c r="L780" s="176"/>
      <c r="M780" s="176"/>
      <c r="N780" s="176"/>
      <c r="O780" s="176"/>
      <c r="P780" s="176"/>
      <c r="Q780" s="176"/>
      <c r="R780" s="176"/>
      <c r="S780" s="176"/>
      <c r="T780" s="176"/>
      <c r="U780" s="176"/>
      <c r="V780" s="176"/>
      <c r="W780" s="176"/>
      <c r="X780" s="176"/>
      <c r="Y780" s="176"/>
      <c r="Z780" s="176"/>
      <c r="AA780" s="176"/>
      <c r="AB780" s="176"/>
      <c r="AC780" s="176"/>
      <c r="AD780" s="176"/>
      <c r="AE780" s="176"/>
      <c r="AF780" s="176"/>
      <c r="AG780" s="176"/>
      <c r="AH780" s="176"/>
      <c r="AI780" s="176"/>
      <c r="AJ780" s="176"/>
      <c r="AK780" s="176"/>
      <c r="AL780" s="176"/>
      <c r="AM780" s="176"/>
      <c r="AN780" s="176"/>
      <c r="AO780" s="176"/>
      <c r="AP780" s="176"/>
      <c r="AQ780" s="176"/>
      <c r="AR780" s="176"/>
      <c r="AS780" s="176"/>
      <c r="AT780" s="176"/>
      <c r="AU780" s="176"/>
      <c r="AV780" s="176"/>
      <c r="AW780" s="176"/>
      <c r="AX780" s="176"/>
      <c r="AY780" s="176"/>
      <c r="AZ780" s="176"/>
      <c r="BA780" s="176"/>
      <c r="BB780" s="176"/>
    </row>
    <row r="781" ht="15.75" customHeight="1">
      <c r="A781" s="176"/>
      <c r="B781" s="176"/>
      <c r="C781" s="176"/>
      <c r="D781" s="176"/>
      <c r="E781" s="176"/>
      <c r="F781" s="176"/>
      <c r="G781" s="176"/>
      <c r="H781" s="176"/>
      <c r="I781" s="176"/>
      <c r="J781" s="176"/>
      <c r="K781" s="176"/>
      <c r="L781" s="176"/>
      <c r="M781" s="176"/>
      <c r="N781" s="176"/>
      <c r="O781" s="176"/>
      <c r="P781" s="176"/>
      <c r="Q781" s="176"/>
      <c r="R781" s="176"/>
      <c r="S781" s="176"/>
      <c r="T781" s="176"/>
      <c r="U781" s="176"/>
      <c r="V781" s="176"/>
      <c r="W781" s="176"/>
      <c r="X781" s="176"/>
      <c r="Y781" s="176"/>
      <c r="Z781" s="176"/>
      <c r="AA781" s="176"/>
      <c r="AB781" s="176"/>
      <c r="AC781" s="176"/>
      <c r="AD781" s="176"/>
      <c r="AE781" s="176"/>
      <c r="AF781" s="176"/>
      <c r="AG781" s="176"/>
      <c r="AH781" s="176"/>
      <c r="AI781" s="176"/>
      <c r="AJ781" s="176"/>
      <c r="AK781" s="176"/>
      <c r="AL781" s="176"/>
      <c r="AM781" s="176"/>
      <c r="AN781" s="176"/>
      <c r="AO781" s="176"/>
      <c r="AP781" s="176"/>
      <c r="AQ781" s="176"/>
      <c r="AR781" s="176"/>
      <c r="AS781" s="176"/>
      <c r="AT781" s="176"/>
      <c r="AU781" s="176"/>
      <c r="AV781" s="176"/>
      <c r="AW781" s="176"/>
      <c r="AX781" s="176"/>
      <c r="AY781" s="176"/>
      <c r="AZ781" s="176"/>
      <c r="BA781" s="176"/>
      <c r="BB781" s="176"/>
    </row>
    <row r="782" ht="15.75" customHeight="1">
      <c r="A782" s="176"/>
      <c r="B782" s="176"/>
      <c r="C782" s="176"/>
      <c r="D782" s="176"/>
      <c r="E782" s="176"/>
      <c r="F782" s="176"/>
      <c r="G782" s="176"/>
      <c r="H782" s="176"/>
      <c r="I782" s="176"/>
      <c r="J782" s="176"/>
      <c r="K782" s="176"/>
      <c r="L782" s="176"/>
      <c r="M782" s="176"/>
      <c r="N782" s="176"/>
      <c r="O782" s="176"/>
      <c r="P782" s="176"/>
      <c r="Q782" s="176"/>
      <c r="R782" s="176"/>
      <c r="S782" s="176"/>
      <c r="T782" s="176"/>
      <c r="U782" s="176"/>
      <c r="V782" s="176"/>
      <c r="W782" s="176"/>
      <c r="X782" s="176"/>
      <c r="Y782" s="176"/>
      <c r="Z782" s="176"/>
      <c r="AA782" s="176"/>
      <c r="AB782" s="176"/>
      <c r="AC782" s="176"/>
      <c r="AD782" s="176"/>
      <c r="AE782" s="176"/>
      <c r="AF782" s="176"/>
      <c r="AG782" s="176"/>
      <c r="AH782" s="176"/>
      <c r="AI782" s="176"/>
      <c r="AJ782" s="176"/>
      <c r="AK782" s="176"/>
      <c r="AL782" s="176"/>
      <c r="AM782" s="176"/>
      <c r="AN782" s="176"/>
      <c r="AO782" s="176"/>
      <c r="AP782" s="176"/>
      <c r="AQ782" s="176"/>
      <c r="AR782" s="176"/>
      <c r="AS782" s="176"/>
      <c r="AT782" s="176"/>
      <c r="AU782" s="176"/>
      <c r="AV782" s="176"/>
      <c r="AW782" s="176"/>
      <c r="AX782" s="176"/>
      <c r="AY782" s="176"/>
      <c r="AZ782" s="176"/>
      <c r="BA782" s="176"/>
      <c r="BB782" s="176"/>
    </row>
    <row r="783" ht="15.75" customHeight="1">
      <c r="A783" s="176"/>
      <c r="B783" s="176"/>
      <c r="C783" s="176"/>
      <c r="D783" s="176"/>
      <c r="E783" s="176"/>
      <c r="F783" s="176"/>
      <c r="G783" s="176"/>
      <c r="H783" s="176"/>
      <c r="I783" s="176"/>
      <c r="J783" s="176"/>
      <c r="K783" s="176"/>
      <c r="L783" s="176"/>
      <c r="M783" s="176"/>
      <c r="N783" s="176"/>
      <c r="O783" s="176"/>
      <c r="P783" s="176"/>
      <c r="Q783" s="176"/>
      <c r="R783" s="176"/>
      <c r="S783" s="176"/>
      <c r="T783" s="176"/>
      <c r="U783" s="176"/>
      <c r="V783" s="176"/>
      <c r="W783" s="176"/>
      <c r="X783" s="176"/>
      <c r="Y783" s="176"/>
      <c r="Z783" s="176"/>
      <c r="AA783" s="176"/>
      <c r="AB783" s="176"/>
      <c r="AC783" s="176"/>
      <c r="AD783" s="176"/>
      <c r="AE783" s="176"/>
      <c r="AF783" s="176"/>
      <c r="AG783" s="176"/>
      <c r="AH783" s="176"/>
      <c r="AI783" s="176"/>
      <c r="AJ783" s="176"/>
      <c r="AK783" s="176"/>
      <c r="AL783" s="176"/>
      <c r="AM783" s="176"/>
      <c r="AN783" s="176"/>
      <c r="AO783" s="176"/>
      <c r="AP783" s="176"/>
      <c r="AQ783" s="176"/>
      <c r="AR783" s="176"/>
      <c r="AS783" s="176"/>
      <c r="AT783" s="176"/>
      <c r="AU783" s="176"/>
      <c r="AV783" s="176"/>
      <c r="AW783" s="176"/>
      <c r="AX783" s="176"/>
      <c r="AY783" s="176"/>
      <c r="AZ783" s="176"/>
      <c r="BA783" s="176"/>
      <c r="BB783" s="176"/>
    </row>
    <row r="784" ht="15.75" customHeight="1">
      <c r="A784" s="176"/>
      <c r="B784" s="176"/>
      <c r="C784" s="176"/>
      <c r="D784" s="176"/>
      <c r="E784" s="176"/>
      <c r="F784" s="176"/>
      <c r="G784" s="176"/>
      <c r="H784" s="176"/>
      <c r="I784" s="176"/>
      <c r="J784" s="176"/>
      <c r="K784" s="176"/>
      <c r="L784" s="176"/>
      <c r="M784" s="176"/>
      <c r="N784" s="176"/>
      <c r="O784" s="176"/>
      <c r="P784" s="176"/>
      <c r="Q784" s="176"/>
      <c r="R784" s="176"/>
      <c r="S784" s="176"/>
      <c r="T784" s="176"/>
      <c r="U784" s="176"/>
      <c r="V784" s="176"/>
      <c r="W784" s="176"/>
      <c r="X784" s="176"/>
      <c r="Y784" s="176"/>
      <c r="Z784" s="176"/>
      <c r="AA784" s="176"/>
      <c r="AB784" s="176"/>
      <c r="AC784" s="176"/>
      <c r="AD784" s="176"/>
      <c r="AE784" s="176"/>
      <c r="AF784" s="176"/>
      <c r="AG784" s="176"/>
      <c r="AH784" s="176"/>
      <c r="AI784" s="176"/>
      <c r="AJ784" s="176"/>
      <c r="AK784" s="176"/>
      <c r="AL784" s="176"/>
      <c r="AM784" s="176"/>
      <c r="AN784" s="176"/>
      <c r="AO784" s="176"/>
      <c r="AP784" s="176"/>
      <c r="AQ784" s="176"/>
      <c r="AR784" s="176"/>
      <c r="AS784" s="176"/>
      <c r="AT784" s="176"/>
      <c r="AU784" s="176"/>
      <c r="AV784" s="176"/>
      <c r="AW784" s="176"/>
      <c r="AX784" s="176"/>
      <c r="AY784" s="176"/>
      <c r="AZ784" s="176"/>
      <c r="BA784" s="176"/>
      <c r="BB784" s="176"/>
    </row>
    <row r="785" ht="15.75" customHeight="1">
      <c r="A785" s="176"/>
      <c r="B785" s="176"/>
      <c r="C785" s="176"/>
      <c r="D785" s="176"/>
      <c r="E785" s="176"/>
      <c r="F785" s="176"/>
      <c r="G785" s="176"/>
      <c r="H785" s="176"/>
      <c r="I785" s="176"/>
      <c r="J785" s="176"/>
      <c r="K785" s="176"/>
      <c r="L785" s="176"/>
      <c r="M785" s="176"/>
      <c r="N785" s="176"/>
      <c r="O785" s="176"/>
      <c r="P785" s="176"/>
      <c r="Q785" s="176"/>
      <c r="R785" s="176"/>
      <c r="S785" s="176"/>
      <c r="T785" s="176"/>
      <c r="U785" s="176"/>
      <c r="V785" s="176"/>
      <c r="W785" s="176"/>
      <c r="X785" s="176"/>
      <c r="Y785" s="176"/>
      <c r="Z785" s="176"/>
      <c r="AA785" s="176"/>
      <c r="AB785" s="176"/>
      <c r="AC785" s="176"/>
      <c r="AD785" s="176"/>
      <c r="AE785" s="176"/>
      <c r="AF785" s="176"/>
      <c r="AG785" s="176"/>
      <c r="AH785" s="176"/>
      <c r="AI785" s="176"/>
      <c r="AJ785" s="176"/>
      <c r="AK785" s="176"/>
      <c r="AL785" s="176"/>
      <c r="AM785" s="176"/>
      <c r="AN785" s="176"/>
      <c r="AO785" s="176"/>
      <c r="AP785" s="176"/>
      <c r="AQ785" s="176"/>
      <c r="AR785" s="176"/>
      <c r="AS785" s="176"/>
      <c r="AT785" s="176"/>
      <c r="AU785" s="176"/>
      <c r="AV785" s="176"/>
      <c r="AW785" s="176"/>
      <c r="AX785" s="176"/>
      <c r="AY785" s="176"/>
      <c r="AZ785" s="176"/>
      <c r="BA785" s="176"/>
      <c r="BB785" s="176"/>
    </row>
    <row r="786" ht="15.75" customHeight="1">
      <c r="A786" s="176"/>
      <c r="B786" s="176"/>
      <c r="C786" s="176"/>
      <c r="D786" s="176"/>
      <c r="E786" s="176"/>
      <c r="F786" s="176"/>
      <c r="G786" s="176"/>
      <c r="H786" s="176"/>
      <c r="I786" s="176"/>
      <c r="J786" s="176"/>
      <c r="K786" s="176"/>
      <c r="L786" s="176"/>
      <c r="M786" s="176"/>
      <c r="N786" s="176"/>
      <c r="O786" s="176"/>
      <c r="P786" s="176"/>
      <c r="Q786" s="176"/>
      <c r="R786" s="176"/>
      <c r="S786" s="176"/>
      <c r="T786" s="176"/>
      <c r="U786" s="176"/>
      <c r="V786" s="176"/>
      <c r="W786" s="176"/>
      <c r="X786" s="176"/>
      <c r="Y786" s="176"/>
      <c r="Z786" s="176"/>
      <c r="AA786" s="176"/>
      <c r="AB786" s="176"/>
      <c r="AC786" s="176"/>
      <c r="AD786" s="176"/>
      <c r="AE786" s="176"/>
      <c r="AF786" s="176"/>
      <c r="AG786" s="176"/>
      <c r="AH786" s="176"/>
      <c r="AI786" s="176"/>
      <c r="AJ786" s="176"/>
      <c r="AK786" s="176"/>
      <c r="AL786" s="176"/>
      <c r="AM786" s="176"/>
      <c r="AN786" s="176"/>
      <c r="AO786" s="176"/>
      <c r="AP786" s="176"/>
      <c r="AQ786" s="176"/>
      <c r="AR786" s="176"/>
      <c r="AS786" s="176"/>
      <c r="AT786" s="176"/>
      <c r="AU786" s="176"/>
      <c r="AV786" s="176"/>
      <c r="AW786" s="176"/>
      <c r="AX786" s="176"/>
      <c r="AY786" s="176"/>
      <c r="AZ786" s="176"/>
      <c r="BA786" s="176"/>
      <c r="BB786" s="176"/>
    </row>
    <row r="787" ht="15.75" customHeight="1">
      <c r="A787" s="176"/>
      <c r="B787" s="176"/>
      <c r="C787" s="176"/>
      <c r="D787" s="176"/>
      <c r="E787" s="176"/>
      <c r="F787" s="176"/>
      <c r="G787" s="176"/>
      <c r="H787" s="176"/>
      <c r="I787" s="176"/>
      <c r="J787" s="176"/>
      <c r="K787" s="176"/>
      <c r="L787" s="176"/>
      <c r="M787" s="176"/>
      <c r="N787" s="176"/>
      <c r="O787" s="176"/>
      <c r="P787" s="176"/>
      <c r="Q787" s="176"/>
      <c r="R787" s="176"/>
      <c r="S787" s="176"/>
      <c r="T787" s="176"/>
      <c r="U787" s="176"/>
      <c r="V787" s="176"/>
      <c r="W787" s="176"/>
      <c r="X787" s="176"/>
      <c r="Y787" s="176"/>
      <c r="Z787" s="176"/>
      <c r="AA787" s="176"/>
      <c r="AB787" s="176"/>
      <c r="AC787" s="176"/>
      <c r="AD787" s="176"/>
      <c r="AE787" s="176"/>
      <c r="AF787" s="176"/>
      <c r="AG787" s="176"/>
      <c r="AH787" s="176"/>
      <c r="AI787" s="176"/>
      <c r="AJ787" s="176"/>
      <c r="AK787" s="176"/>
      <c r="AL787" s="176"/>
      <c r="AM787" s="176"/>
      <c r="AN787" s="176"/>
      <c r="AO787" s="176"/>
      <c r="AP787" s="176"/>
      <c r="AQ787" s="176"/>
      <c r="AR787" s="176"/>
      <c r="AS787" s="176"/>
      <c r="AT787" s="176"/>
      <c r="AU787" s="176"/>
      <c r="AV787" s="176"/>
      <c r="AW787" s="176"/>
      <c r="AX787" s="176"/>
      <c r="AY787" s="176"/>
      <c r="AZ787" s="176"/>
      <c r="BA787" s="176"/>
      <c r="BB787" s="176"/>
    </row>
    <row r="788" ht="15.75" customHeight="1">
      <c r="A788" s="176"/>
      <c r="B788" s="176"/>
      <c r="C788" s="176"/>
      <c r="D788" s="176"/>
      <c r="E788" s="176"/>
      <c r="F788" s="176"/>
      <c r="G788" s="176"/>
      <c r="H788" s="176"/>
      <c r="I788" s="176"/>
      <c r="J788" s="176"/>
      <c r="K788" s="176"/>
      <c r="L788" s="176"/>
      <c r="M788" s="176"/>
      <c r="N788" s="176"/>
      <c r="O788" s="176"/>
      <c r="P788" s="176"/>
      <c r="Q788" s="176"/>
      <c r="R788" s="176"/>
      <c r="S788" s="176"/>
      <c r="T788" s="176"/>
      <c r="U788" s="176"/>
      <c r="V788" s="176"/>
      <c r="W788" s="176"/>
      <c r="X788" s="176"/>
      <c r="Y788" s="176"/>
      <c r="Z788" s="176"/>
      <c r="AA788" s="176"/>
      <c r="AB788" s="176"/>
      <c r="AC788" s="176"/>
      <c r="AD788" s="176"/>
      <c r="AE788" s="176"/>
      <c r="AF788" s="176"/>
      <c r="AG788" s="176"/>
      <c r="AH788" s="176"/>
      <c r="AI788" s="176"/>
      <c r="AJ788" s="176"/>
      <c r="AK788" s="176"/>
      <c r="AL788" s="176"/>
      <c r="AM788" s="176"/>
      <c r="AN788" s="176"/>
      <c r="AO788" s="176"/>
      <c r="AP788" s="176"/>
      <c r="AQ788" s="176"/>
      <c r="AR788" s="176"/>
      <c r="AS788" s="176"/>
      <c r="AT788" s="176"/>
      <c r="AU788" s="176"/>
      <c r="AV788" s="176"/>
      <c r="AW788" s="176"/>
      <c r="AX788" s="176"/>
      <c r="AY788" s="176"/>
      <c r="AZ788" s="176"/>
      <c r="BA788" s="176"/>
      <c r="BB788" s="176"/>
    </row>
    <row r="789" ht="15.75" customHeight="1">
      <c r="A789" s="176"/>
      <c r="B789" s="176"/>
      <c r="C789" s="176"/>
      <c r="D789" s="176"/>
      <c r="E789" s="176"/>
      <c r="F789" s="176"/>
      <c r="G789" s="176"/>
      <c r="H789" s="176"/>
      <c r="I789" s="176"/>
      <c r="J789" s="176"/>
      <c r="K789" s="176"/>
      <c r="L789" s="176"/>
      <c r="M789" s="176"/>
      <c r="N789" s="176"/>
      <c r="O789" s="176"/>
      <c r="P789" s="176"/>
      <c r="Q789" s="176"/>
      <c r="R789" s="176"/>
      <c r="S789" s="176"/>
      <c r="T789" s="176"/>
      <c r="U789" s="176"/>
      <c r="V789" s="176"/>
      <c r="W789" s="176"/>
      <c r="X789" s="176"/>
      <c r="Y789" s="176"/>
      <c r="Z789" s="176"/>
      <c r="AA789" s="176"/>
      <c r="AB789" s="176"/>
      <c r="AC789" s="176"/>
      <c r="AD789" s="176"/>
      <c r="AE789" s="176"/>
      <c r="AF789" s="176"/>
      <c r="AG789" s="176"/>
      <c r="AH789" s="176"/>
      <c r="AI789" s="176"/>
      <c r="AJ789" s="176"/>
      <c r="AK789" s="176"/>
      <c r="AL789" s="176"/>
      <c r="AM789" s="176"/>
      <c r="AN789" s="176"/>
      <c r="AO789" s="176"/>
      <c r="AP789" s="176"/>
      <c r="AQ789" s="176"/>
      <c r="AR789" s="176"/>
      <c r="AS789" s="176"/>
      <c r="AT789" s="176"/>
      <c r="AU789" s="176"/>
      <c r="AV789" s="176"/>
      <c r="AW789" s="176"/>
      <c r="AX789" s="176"/>
      <c r="AY789" s="176"/>
      <c r="AZ789" s="176"/>
      <c r="BA789" s="176"/>
      <c r="BB789" s="176"/>
    </row>
    <row r="790" ht="15.75" customHeight="1">
      <c r="A790" s="176"/>
      <c r="B790" s="176"/>
      <c r="C790" s="176"/>
      <c r="D790" s="176"/>
      <c r="E790" s="176"/>
      <c r="F790" s="176"/>
      <c r="G790" s="176"/>
      <c r="H790" s="176"/>
      <c r="I790" s="176"/>
      <c r="J790" s="176"/>
      <c r="K790" s="176"/>
      <c r="L790" s="176"/>
      <c r="M790" s="176"/>
      <c r="N790" s="176"/>
      <c r="O790" s="176"/>
      <c r="P790" s="176"/>
      <c r="Q790" s="176"/>
      <c r="R790" s="176"/>
      <c r="S790" s="176"/>
      <c r="T790" s="176"/>
      <c r="U790" s="176"/>
      <c r="V790" s="176"/>
      <c r="W790" s="176"/>
      <c r="X790" s="176"/>
      <c r="Y790" s="176"/>
      <c r="Z790" s="176"/>
      <c r="AA790" s="176"/>
      <c r="AB790" s="176"/>
      <c r="AC790" s="176"/>
      <c r="AD790" s="176"/>
      <c r="AE790" s="176"/>
      <c r="AF790" s="176"/>
      <c r="AG790" s="176"/>
      <c r="AH790" s="176"/>
      <c r="AI790" s="176"/>
      <c r="AJ790" s="176"/>
      <c r="AK790" s="176"/>
      <c r="AL790" s="176"/>
      <c r="AM790" s="176"/>
      <c r="AN790" s="176"/>
      <c r="AO790" s="176"/>
      <c r="AP790" s="176"/>
      <c r="AQ790" s="176"/>
      <c r="AR790" s="176"/>
      <c r="AS790" s="176"/>
      <c r="AT790" s="176"/>
      <c r="AU790" s="176"/>
      <c r="AV790" s="176"/>
      <c r="AW790" s="176"/>
      <c r="AX790" s="176"/>
      <c r="AY790" s="176"/>
      <c r="AZ790" s="176"/>
      <c r="BA790" s="176"/>
      <c r="BB790" s="176"/>
    </row>
    <row r="791" ht="15.75" customHeight="1">
      <c r="A791" s="176"/>
      <c r="B791" s="176"/>
      <c r="C791" s="176"/>
      <c r="D791" s="176"/>
      <c r="E791" s="176"/>
      <c r="F791" s="176"/>
      <c r="G791" s="176"/>
      <c r="H791" s="176"/>
      <c r="I791" s="176"/>
      <c r="J791" s="176"/>
      <c r="K791" s="176"/>
      <c r="L791" s="176"/>
      <c r="M791" s="176"/>
      <c r="N791" s="176"/>
      <c r="O791" s="176"/>
      <c r="P791" s="176"/>
      <c r="Q791" s="176"/>
      <c r="R791" s="176"/>
      <c r="S791" s="176"/>
      <c r="T791" s="176"/>
      <c r="U791" s="176"/>
      <c r="V791" s="176"/>
      <c r="W791" s="176"/>
      <c r="X791" s="176"/>
      <c r="Y791" s="176"/>
      <c r="Z791" s="176"/>
      <c r="AA791" s="176"/>
      <c r="AB791" s="176"/>
      <c r="AC791" s="176"/>
      <c r="AD791" s="176"/>
      <c r="AE791" s="176"/>
      <c r="AF791" s="176"/>
      <c r="AG791" s="176"/>
      <c r="AH791" s="176"/>
      <c r="AI791" s="176"/>
      <c r="AJ791" s="176"/>
      <c r="AK791" s="176"/>
      <c r="AL791" s="176"/>
      <c r="AM791" s="176"/>
      <c r="AN791" s="176"/>
      <c r="AO791" s="176"/>
      <c r="AP791" s="176"/>
      <c r="AQ791" s="176"/>
      <c r="AR791" s="176"/>
      <c r="AS791" s="176"/>
      <c r="AT791" s="176"/>
      <c r="AU791" s="176"/>
      <c r="AV791" s="176"/>
      <c r="AW791" s="176"/>
      <c r="AX791" s="176"/>
      <c r="AY791" s="176"/>
      <c r="AZ791" s="176"/>
      <c r="BA791" s="176"/>
      <c r="BB791" s="176"/>
    </row>
    <row r="792" ht="15.75" customHeight="1">
      <c r="A792" s="176"/>
      <c r="B792" s="176"/>
      <c r="C792" s="176"/>
      <c r="D792" s="176"/>
      <c r="E792" s="176"/>
      <c r="F792" s="176"/>
      <c r="G792" s="176"/>
      <c r="H792" s="176"/>
      <c r="I792" s="176"/>
      <c r="J792" s="176"/>
      <c r="K792" s="176"/>
      <c r="L792" s="176"/>
      <c r="M792" s="176"/>
      <c r="N792" s="176"/>
      <c r="O792" s="176"/>
      <c r="P792" s="176"/>
      <c r="Q792" s="176"/>
      <c r="R792" s="176"/>
      <c r="S792" s="176"/>
      <c r="T792" s="176"/>
      <c r="U792" s="176"/>
      <c r="V792" s="176"/>
      <c r="W792" s="176"/>
      <c r="X792" s="176"/>
      <c r="Y792" s="176"/>
      <c r="Z792" s="176"/>
      <c r="AA792" s="176"/>
      <c r="AB792" s="176"/>
      <c r="AC792" s="176"/>
      <c r="AD792" s="176"/>
      <c r="AE792" s="176"/>
      <c r="AF792" s="176"/>
      <c r="AG792" s="176"/>
      <c r="AH792" s="176"/>
      <c r="AI792" s="176"/>
      <c r="AJ792" s="176"/>
      <c r="AK792" s="176"/>
      <c r="AL792" s="176"/>
      <c r="AM792" s="176"/>
      <c r="AN792" s="176"/>
      <c r="AO792" s="176"/>
      <c r="AP792" s="176"/>
      <c r="AQ792" s="176"/>
      <c r="AR792" s="176"/>
      <c r="AS792" s="176"/>
      <c r="AT792" s="176"/>
      <c r="AU792" s="176"/>
      <c r="AV792" s="176"/>
      <c r="AW792" s="176"/>
      <c r="AX792" s="176"/>
      <c r="AY792" s="176"/>
      <c r="AZ792" s="176"/>
      <c r="BA792" s="176"/>
      <c r="BB792" s="176"/>
    </row>
    <row r="793" ht="15.75" customHeight="1">
      <c r="A793" s="176"/>
      <c r="B793" s="176"/>
      <c r="C793" s="176"/>
      <c r="D793" s="176"/>
      <c r="E793" s="176"/>
      <c r="F793" s="176"/>
      <c r="G793" s="176"/>
      <c r="H793" s="176"/>
      <c r="I793" s="176"/>
      <c r="J793" s="176"/>
      <c r="K793" s="176"/>
      <c r="L793" s="176"/>
      <c r="M793" s="176"/>
      <c r="N793" s="176"/>
      <c r="O793" s="176"/>
      <c r="P793" s="176"/>
      <c r="Q793" s="176"/>
      <c r="R793" s="176"/>
      <c r="S793" s="176"/>
      <c r="T793" s="176"/>
      <c r="U793" s="176"/>
      <c r="V793" s="176"/>
      <c r="W793" s="176"/>
      <c r="X793" s="176"/>
      <c r="Y793" s="176"/>
      <c r="Z793" s="176"/>
      <c r="AA793" s="176"/>
      <c r="AB793" s="176"/>
      <c r="AC793" s="176"/>
      <c r="AD793" s="176"/>
      <c r="AE793" s="176"/>
      <c r="AF793" s="176"/>
      <c r="AG793" s="176"/>
      <c r="AH793" s="176"/>
      <c r="AI793" s="176"/>
      <c r="AJ793" s="176"/>
      <c r="AK793" s="176"/>
      <c r="AL793" s="176"/>
      <c r="AM793" s="176"/>
      <c r="AN793" s="176"/>
      <c r="AO793" s="176"/>
      <c r="AP793" s="176"/>
      <c r="AQ793" s="176"/>
      <c r="AR793" s="176"/>
      <c r="AS793" s="176"/>
      <c r="AT793" s="176"/>
      <c r="AU793" s="176"/>
      <c r="AV793" s="176"/>
      <c r="AW793" s="176"/>
      <c r="AX793" s="176"/>
      <c r="AY793" s="176"/>
      <c r="AZ793" s="176"/>
      <c r="BA793" s="176"/>
      <c r="BB793" s="176"/>
    </row>
    <row r="794" ht="15.75" customHeight="1">
      <c r="A794" s="176"/>
      <c r="B794" s="176"/>
      <c r="C794" s="176"/>
      <c r="D794" s="176"/>
      <c r="E794" s="176"/>
      <c r="F794" s="176"/>
      <c r="G794" s="176"/>
      <c r="H794" s="176"/>
      <c r="I794" s="176"/>
      <c r="J794" s="176"/>
      <c r="K794" s="176"/>
      <c r="L794" s="176"/>
      <c r="M794" s="176"/>
      <c r="N794" s="176"/>
      <c r="O794" s="176"/>
      <c r="P794" s="176"/>
      <c r="Q794" s="176"/>
      <c r="R794" s="176"/>
      <c r="S794" s="176"/>
      <c r="T794" s="176"/>
      <c r="U794" s="176"/>
      <c r="V794" s="176"/>
      <c r="W794" s="176"/>
      <c r="X794" s="176"/>
      <c r="Y794" s="176"/>
      <c r="Z794" s="176"/>
      <c r="AA794" s="176"/>
      <c r="AB794" s="176"/>
      <c r="AC794" s="176"/>
      <c r="AD794" s="176"/>
      <c r="AE794" s="176"/>
      <c r="AF794" s="176"/>
      <c r="AG794" s="176"/>
      <c r="AH794" s="176"/>
      <c r="AI794" s="176"/>
      <c r="AJ794" s="176"/>
      <c r="AK794" s="176"/>
      <c r="AL794" s="176"/>
      <c r="AM794" s="176"/>
      <c r="AN794" s="176"/>
      <c r="AO794" s="176"/>
      <c r="AP794" s="176"/>
      <c r="AQ794" s="176"/>
      <c r="AR794" s="176"/>
      <c r="AS794" s="176"/>
      <c r="AT794" s="176"/>
      <c r="AU794" s="176"/>
      <c r="AV794" s="176"/>
      <c r="AW794" s="176"/>
      <c r="AX794" s="176"/>
      <c r="AY794" s="176"/>
      <c r="AZ794" s="176"/>
      <c r="BA794" s="176"/>
      <c r="BB794" s="176"/>
    </row>
    <row r="795" ht="15.75" customHeight="1">
      <c r="A795" s="176"/>
      <c r="B795" s="176"/>
      <c r="C795" s="176"/>
      <c r="D795" s="176"/>
      <c r="E795" s="176"/>
      <c r="F795" s="176"/>
      <c r="G795" s="176"/>
      <c r="H795" s="176"/>
      <c r="I795" s="176"/>
      <c r="J795" s="176"/>
      <c r="K795" s="176"/>
      <c r="L795" s="176"/>
      <c r="M795" s="176"/>
      <c r="N795" s="176"/>
      <c r="O795" s="176"/>
      <c r="P795" s="176"/>
      <c r="Q795" s="176"/>
      <c r="R795" s="176"/>
      <c r="S795" s="176"/>
      <c r="T795" s="176"/>
      <c r="U795" s="176"/>
      <c r="V795" s="176"/>
      <c r="W795" s="176"/>
      <c r="X795" s="176"/>
      <c r="Y795" s="176"/>
      <c r="Z795" s="176"/>
      <c r="AA795" s="176"/>
      <c r="AB795" s="176"/>
      <c r="AC795" s="176"/>
      <c r="AD795" s="176"/>
      <c r="AE795" s="176"/>
      <c r="AF795" s="176"/>
      <c r="AG795" s="176"/>
      <c r="AH795" s="176"/>
      <c r="AI795" s="176"/>
      <c r="AJ795" s="176"/>
      <c r="AK795" s="176"/>
      <c r="AL795" s="176"/>
      <c r="AM795" s="176"/>
      <c r="AN795" s="176"/>
      <c r="AO795" s="176"/>
      <c r="AP795" s="176"/>
      <c r="AQ795" s="176"/>
      <c r="AR795" s="176"/>
      <c r="AS795" s="176"/>
      <c r="AT795" s="176"/>
      <c r="AU795" s="176"/>
      <c r="AV795" s="176"/>
      <c r="AW795" s="176"/>
      <c r="AX795" s="176"/>
      <c r="AY795" s="176"/>
      <c r="AZ795" s="176"/>
      <c r="BA795" s="176"/>
      <c r="BB795" s="176"/>
    </row>
    <row r="796" ht="15.75" customHeight="1">
      <c r="A796" s="176"/>
      <c r="B796" s="176"/>
      <c r="C796" s="176"/>
      <c r="D796" s="176"/>
      <c r="E796" s="176"/>
      <c r="F796" s="176"/>
      <c r="G796" s="176"/>
      <c r="H796" s="176"/>
      <c r="I796" s="176"/>
      <c r="J796" s="176"/>
      <c r="K796" s="176"/>
      <c r="L796" s="176"/>
      <c r="M796" s="176"/>
      <c r="N796" s="176"/>
      <c r="O796" s="176"/>
      <c r="P796" s="176"/>
      <c r="Q796" s="176"/>
      <c r="R796" s="176"/>
      <c r="S796" s="176"/>
      <c r="T796" s="176"/>
      <c r="U796" s="176"/>
      <c r="V796" s="176"/>
      <c r="W796" s="176"/>
      <c r="X796" s="176"/>
      <c r="Y796" s="176"/>
      <c r="Z796" s="176"/>
      <c r="AA796" s="176"/>
      <c r="AB796" s="176"/>
      <c r="AC796" s="176"/>
      <c r="AD796" s="176"/>
      <c r="AE796" s="176"/>
      <c r="AF796" s="176"/>
      <c r="AG796" s="176"/>
      <c r="AH796" s="176"/>
      <c r="AI796" s="176"/>
      <c r="AJ796" s="176"/>
      <c r="AK796" s="176"/>
      <c r="AL796" s="176"/>
      <c r="AM796" s="176"/>
      <c r="AN796" s="176"/>
      <c r="AO796" s="176"/>
      <c r="AP796" s="176"/>
      <c r="AQ796" s="176"/>
      <c r="AR796" s="176"/>
      <c r="AS796" s="176"/>
      <c r="AT796" s="176"/>
      <c r="AU796" s="176"/>
      <c r="AV796" s="176"/>
      <c r="AW796" s="176"/>
      <c r="AX796" s="176"/>
      <c r="AY796" s="176"/>
      <c r="AZ796" s="176"/>
      <c r="BA796" s="176"/>
      <c r="BB796" s="176"/>
    </row>
    <row r="797" ht="15.75" customHeight="1">
      <c r="A797" s="176"/>
      <c r="B797" s="176"/>
      <c r="C797" s="176"/>
      <c r="D797" s="176"/>
      <c r="E797" s="176"/>
      <c r="F797" s="176"/>
      <c r="G797" s="176"/>
      <c r="H797" s="176"/>
      <c r="I797" s="176"/>
      <c r="J797" s="176"/>
      <c r="K797" s="176"/>
      <c r="L797" s="176"/>
      <c r="M797" s="176"/>
      <c r="N797" s="176"/>
      <c r="O797" s="176"/>
      <c r="P797" s="176"/>
      <c r="Q797" s="176"/>
      <c r="R797" s="176"/>
      <c r="S797" s="176"/>
      <c r="T797" s="176"/>
      <c r="U797" s="176"/>
      <c r="V797" s="176"/>
      <c r="W797" s="176"/>
      <c r="X797" s="176"/>
      <c r="Y797" s="176"/>
      <c r="Z797" s="176"/>
      <c r="AA797" s="176"/>
      <c r="AB797" s="176"/>
      <c r="AC797" s="176"/>
      <c r="AD797" s="176"/>
      <c r="AE797" s="176"/>
      <c r="AF797" s="176"/>
      <c r="AG797" s="176"/>
      <c r="AH797" s="176"/>
      <c r="AI797" s="176"/>
      <c r="AJ797" s="176"/>
      <c r="AK797" s="176"/>
      <c r="AL797" s="176"/>
      <c r="AM797" s="176"/>
      <c r="AN797" s="176"/>
      <c r="AO797" s="176"/>
      <c r="AP797" s="176"/>
      <c r="AQ797" s="176"/>
      <c r="AR797" s="176"/>
      <c r="AS797" s="176"/>
      <c r="AT797" s="176"/>
      <c r="AU797" s="176"/>
      <c r="AV797" s="176"/>
      <c r="AW797" s="176"/>
      <c r="AX797" s="176"/>
      <c r="AY797" s="176"/>
      <c r="AZ797" s="176"/>
      <c r="BA797" s="176"/>
      <c r="BB797" s="176"/>
    </row>
    <row r="798" ht="15.75" customHeight="1">
      <c r="A798" s="176"/>
      <c r="B798" s="176"/>
      <c r="C798" s="176"/>
      <c r="D798" s="176"/>
      <c r="E798" s="176"/>
      <c r="F798" s="176"/>
      <c r="G798" s="176"/>
      <c r="H798" s="176"/>
      <c r="I798" s="176"/>
      <c r="J798" s="176"/>
      <c r="K798" s="176"/>
      <c r="L798" s="176"/>
      <c r="M798" s="176"/>
      <c r="N798" s="176"/>
      <c r="O798" s="176"/>
      <c r="P798" s="176"/>
      <c r="Q798" s="176"/>
      <c r="R798" s="176"/>
      <c r="S798" s="176"/>
      <c r="T798" s="176"/>
      <c r="U798" s="176"/>
      <c r="V798" s="176"/>
      <c r="W798" s="176"/>
      <c r="X798" s="176"/>
      <c r="Y798" s="176"/>
      <c r="Z798" s="176"/>
      <c r="AA798" s="176"/>
      <c r="AB798" s="176"/>
      <c r="AC798" s="176"/>
      <c r="AD798" s="176"/>
      <c r="AE798" s="176"/>
      <c r="AF798" s="176"/>
      <c r="AG798" s="176"/>
      <c r="AH798" s="176"/>
      <c r="AI798" s="176"/>
      <c r="AJ798" s="176"/>
      <c r="AK798" s="176"/>
      <c r="AL798" s="176"/>
      <c r="AM798" s="176"/>
      <c r="AN798" s="176"/>
      <c r="AO798" s="176"/>
      <c r="AP798" s="176"/>
      <c r="AQ798" s="176"/>
      <c r="AR798" s="176"/>
      <c r="AS798" s="176"/>
      <c r="AT798" s="176"/>
      <c r="AU798" s="176"/>
      <c r="AV798" s="176"/>
      <c r="AW798" s="176"/>
      <c r="AX798" s="176"/>
      <c r="AY798" s="176"/>
      <c r="AZ798" s="176"/>
      <c r="BA798" s="176"/>
      <c r="BB798" s="176"/>
    </row>
    <row r="799" ht="15.75" customHeight="1">
      <c r="A799" s="176"/>
      <c r="B799" s="176"/>
      <c r="C799" s="176"/>
      <c r="D799" s="176"/>
      <c r="E799" s="176"/>
      <c r="F799" s="176"/>
      <c r="G799" s="176"/>
      <c r="H799" s="176"/>
      <c r="I799" s="176"/>
      <c r="J799" s="176"/>
      <c r="K799" s="176"/>
      <c r="L799" s="176"/>
      <c r="M799" s="176"/>
      <c r="N799" s="176"/>
      <c r="O799" s="176"/>
      <c r="P799" s="176"/>
      <c r="Q799" s="176"/>
      <c r="R799" s="176"/>
      <c r="S799" s="176"/>
      <c r="T799" s="176"/>
      <c r="U799" s="176"/>
      <c r="V799" s="176"/>
      <c r="W799" s="176"/>
      <c r="X799" s="176"/>
      <c r="Y799" s="176"/>
      <c r="Z799" s="176"/>
      <c r="AA799" s="176"/>
      <c r="AB799" s="176"/>
      <c r="AC799" s="176"/>
      <c r="AD799" s="176"/>
      <c r="AE799" s="176"/>
      <c r="AF799" s="176"/>
      <c r="AG799" s="176"/>
      <c r="AH799" s="176"/>
      <c r="AI799" s="176"/>
      <c r="AJ799" s="176"/>
      <c r="AK799" s="176"/>
      <c r="AL799" s="176"/>
      <c r="AM799" s="176"/>
      <c r="AN799" s="176"/>
      <c r="AO799" s="176"/>
      <c r="AP799" s="176"/>
      <c r="AQ799" s="176"/>
      <c r="AR799" s="176"/>
      <c r="AS799" s="176"/>
      <c r="AT799" s="176"/>
      <c r="AU799" s="176"/>
      <c r="AV799" s="176"/>
      <c r="AW799" s="176"/>
      <c r="AX799" s="176"/>
      <c r="AY799" s="176"/>
      <c r="AZ799" s="176"/>
      <c r="BA799" s="176"/>
      <c r="BB799" s="176"/>
    </row>
    <row r="800" ht="15.75" customHeight="1">
      <c r="A800" s="176"/>
      <c r="B800" s="176"/>
      <c r="C800" s="176"/>
      <c r="D800" s="176"/>
      <c r="E800" s="176"/>
      <c r="F800" s="176"/>
      <c r="G800" s="176"/>
      <c r="H800" s="176"/>
      <c r="I800" s="176"/>
      <c r="J800" s="176"/>
      <c r="K800" s="176"/>
      <c r="L800" s="176"/>
      <c r="M800" s="176"/>
      <c r="N800" s="176"/>
      <c r="O800" s="176"/>
      <c r="P800" s="176"/>
      <c r="Q800" s="176"/>
      <c r="R800" s="176"/>
      <c r="S800" s="176"/>
      <c r="T800" s="176"/>
      <c r="U800" s="176"/>
      <c r="V800" s="176"/>
      <c r="W800" s="176"/>
      <c r="X800" s="176"/>
      <c r="Y800" s="176"/>
      <c r="Z800" s="176"/>
      <c r="AA800" s="176"/>
      <c r="AB800" s="176"/>
      <c r="AC800" s="176"/>
      <c r="AD800" s="176"/>
      <c r="AE800" s="176"/>
      <c r="AF800" s="176"/>
      <c r="AG800" s="176"/>
      <c r="AH800" s="176"/>
      <c r="AI800" s="176"/>
      <c r="AJ800" s="176"/>
      <c r="AK800" s="176"/>
      <c r="AL800" s="176"/>
      <c r="AM800" s="176"/>
      <c r="AN800" s="176"/>
      <c r="AO800" s="176"/>
      <c r="AP800" s="176"/>
      <c r="AQ800" s="176"/>
      <c r="AR800" s="176"/>
      <c r="AS800" s="176"/>
      <c r="AT800" s="176"/>
      <c r="AU800" s="176"/>
      <c r="AV800" s="176"/>
      <c r="AW800" s="176"/>
      <c r="AX800" s="176"/>
      <c r="AY800" s="176"/>
      <c r="AZ800" s="176"/>
      <c r="BA800" s="176"/>
      <c r="BB800" s="176"/>
    </row>
    <row r="801" ht="15.75" customHeight="1">
      <c r="A801" s="176"/>
      <c r="B801" s="176"/>
      <c r="C801" s="176"/>
      <c r="D801" s="176"/>
      <c r="E801" s="176"/>
      <c r="F801" s="176"/>
      <c r="G801" s="176"/>
      <c r="H801" s="176"/>
      <c r="I801" s="176"/>
      <c r="J801" s="176"/>
      <c r="K801" s="176"/>
      <c r="L801" s="176"/>
      <c r="M801" s="176"/>
      <c r="N801" s="176"/>
      <c r="O801" s="176"/>
      <c r="P801" s="176"/>
      <c r="Q801" s="176"/>
      <c r="R801" s="176"/>
      <c r="S801" s="176"/>
      <c r="T801" s="176"/>
      <c r="U801" s="176"/>
      <c r="V801" s="176"/>
      <c r="W801" s="176"/>
      <c r="X801" s="176"/>
      <c r="Y801" s="176"/>
      <c r="Z801" s="176"/>
      <c r="AA801" s="176"/>
      <c r="AB801" s="176"/>
      <c r="AC801" s="176"/>
      <c r="AD801" s="176"/>
      <c r="AE801" s="176"/>
      <c r="AF801" s="176"/>
      <c r="AG801" s="176"/>
      <c r="AH801" s="176"/>
      <c r="AI801" s="176"/>
      <c r="AJ801" s="176"/>
      <c r="AK801" s="176"/>
      <c r="AL801" s="176"/>
      <c r="AM801" s="176"/>
      <c r="AN801" s="176"/>
      <c r="AO801" s="176"/>
      <c r="AP801" s="176"/>
      <c r="AQ801" s="176"/>
      <c r="AR801" s="176"/>
      <c r="AS801" s="176"/>
      <c r="AT801" s="176"/>
      <c r="AU801" s="176"/>
      <c r="AV801" s="176"/>
      <c r="AW801" s="176"/>
      <c r="AX801" s="176"/>
      <c r="AY801" s="176"/>
      <c r="AZ801" s="176"/>
      <c r="BA801" s="176"/>
      <c r="BB801" s="176"/>
    </row>
    <row r="802" ht="15.75" customHeight="1">
      <c r="A802" s="176"/>
      <c r="B802" s="176"/>
      <c r="C802" s="176"/>
      <c r="D802" s="176"/>
      <c r="E802" s="176"/>
      <c r="F802" s="176"/>
      <c r="G802" s="176"/>
      <c r="H802" s="176"/>
      <c r="I802" s="176"/>
      <c r="J802" s="176"/>
      <c r="K802" s="176"/>
      <c r="L802" s="176"/>
      <c r="M802" s="176"/>
      <c r="N802" s="176"/>
      <c r="O802" s="176"/>
      <c r="P802" s="176"/>
      <c r="Q802" s="176"/>
      <c r="R802" s="176"/>
      <c r="S802" s="176"/>
      <c r="T802" s="176"/>
      <c r="U802" s="176"/>
      <c r="V802" s="176"/>
      <c r="W802" s="176"/>
      <c r="X802" s="176"/>
      <c r="Y802" s="176"/>
      <c r="Z802" s="176"/>
      <c r="AA802" s="176"/>
      <c r="AB802" s="176"/>
      <c r="AC802" s="176"/>
      <c r="AD802" s="176"/>
      <c r="AE802" s="176"/>
      <c r="AF802" s="176"/>
      <c r="AG802" s="176"/>
      <c r="AH802" s="176"/>
      <c r="AI802" s="176"/>
      <c r="AJ802" s="176"/>
      <c r="AK802" s="176"/>
      <c r="AL802" s="176"/>
      <c r="AM802" s="176"/>
      <c r="AN802" s="176"/>
      <c r="AO802" s="176"/>
      <c r="AP802" s="176"/>
      <c r="AQ802" s="176"/>
      <c r="AR802" s="176"/>
      <c r="AS802" s="176"/>
      <c r="AT802" s="176"/>
      <c r="AU802" s="176"/>
      <c r="AV802" s="176"/>
      <c r="AW802" s="176"/>
      <c r="AX802" s="176"/>
      <c r="AY802" s="176"/>
      <c r="AZ802" s="176"/>
      <c r="BA802" s="176"/>
      <c r="BB802" s="176"/>
    </row>
    <row r="803" ht="15.75" customHeight="1">
      <c r="A803" s="176"/>
      <c r="B803" s="176"/>
      <c r="C803" s="176"/>
      <c r="D803" s="176"/>
      <c r="E803" s="176"/>
      <c r="F803" s="176"/>
      <c r="G803" s="176"/>
      <c r="H803" s="176"/>
      <c r="I803" s="176"/>
      <c r="J803" s="176"/>
      <c r="K803" s="176"/>
      <c r="L803" s="176"/>
      <c r="M803" s="176"/>
      <c r="N803" s="176"/>
      <c r="O803" s="176"/>
      <c r="P803" s="176"/>
      <c r="Q803" s="176"/>
      <c r="R803" s="176"/>
      <c r="S803" s="176"/>
      <c r="T803" s="176"/>
      <c r="U803" s="176"/>
      <c r="V803" s="176"/>
      <c r="W803" s="176"/>
      <c r="X803" s="176"/>
      <c r="Y803" s="176"/>
      <c r="Z803" s="176"/>
      <c r="AA803" s="176"/>
      <c r="AB803" s="176"/>
      <c r="AC803" s="176"/>
      <c r="AD803" s="176"/>
      <c r="AE803" s="176"/>
      <c r="AF803" s="176"/>
      <c r="AG803" s="176"/>
      <c r="AH803" s="176"/>
      <c r="AI803" s="176"/>
      <c r="AJ803" s="176"/>
      <c r="AK803" s="176"/>
      <c r="AL803" s="176"/>
      <c r="AM803" s="176"/>
      <c r="AN803" s="176"/>
      <c r="AO803" s="176"/>
      <c r="AP803" s="176"/>
      <c r="AQ803" s="176"/>
      <c r="AR803" s="176"/>
      <c r="AS803" s="176"/>
      <c r="AT803" s="176"/>
      <c r="AU803" s="176"/>
      <c r="AV803" s="176"/>
      <c r="AW803" s="176"/>
      <c r="AX803" s="176"/>
      <c r="AY803" s="176"/>
      <c r="AZ803" s="176"/>
      <c r="BA803" s="176"/>
      <c r="BB803" s="176"/>
    </row>
    <row r="804" ht="15.75" customHeight="1">
      <c r="A804" s="176"/>
      <c r="B804" s="176"/>
      <c r="C804" s="176"/>
      <c r="D804" s="176"/>
      <c r="E804" s="176"/>
      <c r="F804" s="176"/>
      <c r="G804" s="176"/>
      <c r="H804" s="176"/>
      <c r="I804" s="176"/>
      <c r="J804" s="176"/>
      <c r="K804" s="176"/>
      <c r="L804" s="176"/>
      <c r="M804" s="176"/>
      <c r="N804" s="176"/>
      <c r="O804" s="176"/>
      <c r="P804" s="176"/>
      <c r="Q804" s="176"/>
      <c r="R804" s="176"/>
      <c r="S804" s="176"/>
      <c r="T804" s="176"/>
      <c r="U804" s="176"/>
      <c r="V804" s="176"/>
      <c r="W804" s="176"/>
      <c r="X804" s="176"/>
      <c r="Y804" s="176"/>
      <c r="Z804" s="176"/>
      <c r="AA804" s="176"/>
      <c r="AB804" s="176"/>
      <c r="AC804" s="176"/>
      <c r="AD804" s="176"/>
      <c r="AE804" s="176"/>
      <c r="AF804" s="176"/>
      <c r="AG804" s="176"/>
      <c r="AH804" s="176"/>
      <c r="AI804" s="176"/>
      <c r="AJ804" s="176"/>
      <c r="AK804" s="176"/>
      <c r="AL804" s="176"/>
      <c r="AM804" s="176"/>
      <c r="AN804" s="176"/>
      <c r="AO804" s="176"/>
      <c r="AP804" s="176"/>
      <c r="AQ804" s="176"/>
      <c r="AR804" s="176"/>
      <c r="AS804" s="176"/>
      <c r="AT804" s="176"/>
      <c r="AU804" s="176"/>
      <c r="AV804" s="176"/>
      <c r="AW804" s="176"/>
      <c r="AX804" s="176"/>
      <c r="AY804" s="176"/>
      <c r="AZ804" s="176"/>
      <c r="BA804" s="176"/>
      <c r="BB804" s="176"/>
    </row>
    <row r="805" ht="15.75" customHeight="1">
      <c r="A805" s="176"/>
      <c r="B805" s="176"/>
      <c r="C805" s="176"/>
      <c r="D805" s="176"/>
      <c r="E805" s="176"/>
      <c r="F805" s="176"/>
      <c r="G805" s="176"/>
      <c r="H805" s="176"/>
      <c r="I805" s="176"/>
      <c r="J805" s="176"/>
      <c r="K805" s="176"/>
      <c r="L805" s="176"/>
      <c r="M805" s="176"/>
      <c r="N805" s="176"/>
      <c r="O805" s="176"/>
      <c r="P805" s="176"/>
      <c r="Q805" s="176"/>
      <c r="R805" s="176"/>
      <c r="S805" s="176"/>
      <c r="T805" s="176"/>
      <c r="U805" s="176"/>
      <c r="V805" s="176"/>
      <c r="W805" s="176"/>
      <c r="X805" s="176"/>
      <c r="Y805" s="176"/>
      <c r="Z805" s="176"/>
      <c r="AA805" s="176"/>
      <c r="AB805" s="176"/>
      <c r="AC805" s="176"/>
      <c r="AD805" s="176"/>
      <c r="AE805" s="176"/>
      <c r="AF805" s="176"/>
      <c r="AG805" s="176"/>
      <c r="AH805" s="176"/>
      <c r="AI805" s="176"/>
      <c r="AJ805" s="176"/>
      <c r="AK805" s="176"/>
      <c r="AL805" s="176"/>
      <c r="AM805" s="176"/>
      <c r="AN805" s="176"/>
      <c r="AO805" s="176"/>
      <c r="AP805" s="176"/>
      <c r="AQ805" s="176"/>
      <c r="AR805" s="176"/>
      <c r="AS805" s="176"/>
      <c r="AT805" s="176"/>
      <c r="AU805" s="176"/>
      <c r="AV805" s="176"/>
      <c r="AW805" s="176"/>
      <c r="AX805" s="176"/>
      <c r="AY805" s="176"/>
      <c r="AZ805" s="176"/>
      <c r="BA805" s="176"/>
      <c r="BB805" s="176"/>
    </row>
    <row r="806" ht="15.75" customHeight="1">
      <c r="A806" s="176"/>
      <c r="B806" s="176"/>
      <c r="C806" s="176"/>
      <c r="D806" s="176"/>
      <c r="E806" s="176"/>
      <c r="F806" s="176"/>
      <c r="G806" s="176"/>
      <c r="H806" s="176"/>
      <c r="I806" s="176"/>
      <c r="J806" s="176"/>
      <c r="K806" s="176"/>
      <c r="L806" s="176"/>
      <c r="M806" s="176"/>
      <c r="N806" s="176"/>
      <c r="O806" s="176"/>
      <c r="P806" s="176"/>
      <c r="Q806" s="176"/>
      <c r="R806" s="176"/>
      <c r="S806" s="176"/>
      <c r="T806" s="176"/>
      <c r="U806" s="176"/>
      <c r="V806" s="176"/>
      <c r="W806" s="176"/>
      <c r="X806" s="176"/>
      <c r="Y806" s="176"/>
      <c r="Z806" s="176"/>
      <c r="AA806" s="176"/>
      <c r="AB806" s="176"/>
      <c r="AC806" s="176"/>
      <c r="AD806" s="176"/>
      <c r="AE806" s="176"/>
      <c r="AF806" s="176"/>
      <c r="AG806" s="176"/>
      <c r="AH806" s="176"/>
      <c r="AI806" s="176"/>
      <c r="AJ806" s="176"/>
      <c r="AK806" s="176"/>
      <c r="AL806" s="176"/>
      <c r="AM806" s="176"/>
      <c r="AN806" s="176"/>
      <c r="AO806" s="176"/>
      <c r="AP806" s="176"/>
      <c r="AQ806" s="176"/>
      <c r="AR806" s="176"/>
      <c r="AS806" s="176"/>
      <c r="AT806" s="176"/>
      <c r="AU806" s="176"/>
      <c r="AV806" s="176"/>
      <c r="AW806" s="176"/>
      <c r="AX806" s="176"/>
      <c r="AY806" s="176"/>
      <c r="AZ806" s="176"/>
      <c r="BA806" s="176"/>
      <c r="BB806" s="176"/>
    </row>
    <row r="807" ht="15.75" customHeight="1">
      <c r="A807" s="176"/>
      <c r="B807" s="176"/>
      <c r="C807" s="176"/>
      <c r="D807" s="176"/>
      <c r="E807" s="176"/>
      <c r="F807" s="176"/>
      <c r="G807" s="176"/>
      <c r="H807" s="176"/>
      <c r="I807" s="176"/>
      <c r="J807" s="176"/>
      <c r="K807" s="176"/>
      <c r="L807" s="176"/>
      <c r="M807" s="176"/>
      <c r="N807" s="176"/>
      <c r="O807" s="176"/>
      <c r="P807" s="176"/>
      <c r="Q807" s="176"/>
      <c r="R807" s="176"/>
      <c r="S807" s="176"/>
      <c r="T807" s="176"/>
      <c r="U807" s="176"/>
      <c r="V807" s="176"/>
      <c r="W807" s="176"/>
      <c r="X807" s="176"/>
      <c r="Y807" s="176"/>
      <c r="Z807" s="176"/>
      <c r="AA807" s="176"/>
      <c r="AB807" s="176"/>
      <c r="AC807" s="176"/>
      <c r="AD807" s="176"/>
      <c r="AE807" s="176"/>
      <c r="AF807" s="176"/>
      <c r="AG807" s="176"/>
      <c r="AH807" s="176"/>
      <c r="AI807" s="176"/>
      <c r="AJ807" s="176"/>
      <c r="AK807" s="176"/>
      <c r="AL807" s="176"/>
      <c r="AM807" s="176"/>
      <c r="AN807" s="176"/>
      <c r="AO807" s="176"/>
      <c r="AP807" s="176"/>
      <c r="AQ807" s="176"/>
      <c r="AR807" s="176"/>
      <c r="AS807" s="176"/>
      <c r="AT807" s="176"/>
      <c r="AU807" s="176"/>
      <c r="AV807" s="176"/>
      <c r="AW807" s="176"/>
      <c r="AX807" s="176"/>
      <c r="AY807" s="176"/>
      <c r="AZ807" s="176"/>
      <c r="BA807" s="176"/>
      <c r="BB807" s="176"/>
    </row>
    <row r="808" ht="15.75" customHeight="1">
      <c r="A808" s="176"/>
      <c r="B808" s="176"/>
      <c r="C808" s="176"/>
      <c r="D808" s="176"/>
      <c r="E808" s="176"/>
      <c r="F808" s="176"/>
      <c r="G808" s="176"/>
      <c r="H808" s="176"/>
      <c r="I808" s="176"/>
      <c r="J808" s="176"/>
      <c r="K808" s="176"/>
      <c r="L808" s="176"/>
      <c r="M808" s="176"/>
      <c r="N808" s="176"/>
      <c r="O808" s="176"/>
      <c r="P808" s="176"/>
      <c r="Q808" s="176"/>
      <c r="R808" s="176"/>
      <c r="S808" s="176"/>
      <c r="T808" s="176"/>
      <c r="U808" s="176"/>
      <c r="V808" s="176"/>
      <c r="W808" s="176"/>
      <c r="X808" s="176"/>
      <c r="Y808" s="176"/>
      <c r="Z808" s="176"/>
      <c r="AA808" s="176"/>
      <c r="AB808" s="176"/>
      <c r="AC808" s="176"/>
      <c r="AD808" s="176"/>
      <c r="AE808" s="176"/>
      <c r="AF808" s="176"/>
      <c r="AG808" s="176"/>
      <c r="AH808" s="176"/>
      <c r="AI808" s="176"/>
      <c r="AJ808" s="176"/>
      <c r="AK808" s="176"/>
      <c r="AL808" s="176"/>
      <c r="AM808" s="176"/>
      <c r="AN808" s="176"/>
      <c r="AO808" s="176"/>
      <c r="AP808" s="176"/>
      <c r="AQ808" s="176"/>
      <c r="AR808" s="176"/>
      <c r="AS808" s="176"/>
      <c r="AT808" s="176"/>
      <c r="AU808" s="176"/>
      <c r="AV808" s="176"/>
      <c r="AW808" s="176"/>
      <c r="AX808" s="176"/>
      <c r="AY808" s="176"/>
      <c r="AZ808" s="176"/>
      <c r="BA808" s="176"/>
      <c r="BB808" s="176"/>
    </row>
    <row r="809" ht="15.75" customHeight="1">
      <c r="A809" s="176"/>
      <c r="B809" s="176"/>
      <c r="C809" s="176"/>
      <c r="D809" s="176"/>
      <c r="E809" s="176"/>
      <c r="F809" s="176"/>
      <c r="G809" s="176"/>
      <c r="H809" s="176"/>
      <c r="I809" s="176"/>
      <c r="J809" s="176"/>
      <c r="K809" s="176"/>
      <c r="L809" s="176"/>
      <c r="M809" s="176"/>
      <c r="N809" s="176"/>
      <c r="O809" s="176"/>
      <c r="P809" s="176"/>
      <c r="Q809" s="176"/>
      <c r="R809" s="176"/>
      <c r="S809" s="176"/>
      <c r="T809" s="176"/>
      <c r="U809" s="176"/>
      <c r="V809" s="176"/>
      <c r="W809" s="176"/>
      <c r="X809" s="176"/>
      <c r="Y809" s="176"/>
      <c r="Z809" s="176"/>
      <c r="AA809" s="176"/>
      <c r="AB809" s="176"/>
      <c r="AC809" s="176"/>
      <c r="AD809" s="176"/>
      <c r="AE809" s="176"/>
      <c r="AF809" s="176"/>
      <c r="AG809" s="176"/>
      <c r="AH809" s="176"/>
      <c r="AI809" s="176"/>
      <c r="AJ809" s="176"/>
      <c r="AK809" s="176"/>
      <c r="AL809" s="176"/>
      <c r="AM809" s="176"/>
      <c r="AN809" s="176"/>
      <c r="AO809" s="176"/>
      <c r="AP809" s="176"/>
      <c r="AQ809" s="176"/>
      <c r="AR809" s="176"/>
      <c r="AS809" s="176"/>
      <c r="AT809" s="176"/>
      <c r="AU809" s="176"/>
      <c r="AV809" s="176"/>
      <c r="AW809" s="176"/>
      <c r="AX809" s="176"/>
      <c r="AY809" s="176"/>
      <c r="AZ809" s="176"/>
      <c r="BA809" s="176"/>
      <c r="BB809" s="176"/>
    </row>
    <row r="810" ht="15.75" customHeight="1">
      <c r="A810" s="176"/>
      <c r="B810" s="176"/>
      <c r="C810" s="176"/>
      <c r="D810" s="176"/>
      <c r="E810" s="176"/>
      <c r="F810" s="176"/>
      <c r="G810" s="176"/>
      <c r="H810" s="176"/>
      <c r="I810" s="176"/>
      <c r="J810" s="176"/>
      <c r="K810" s="176"/>
      <c r="L810" s="176"/>
      <c r="M810" s="176"/>
      <c r="N810" s="176"/>
      <c r="O810" s="176"/>
      <c r="P810" s="176"/>
      <c r="Q810" s="176"/>
      <c r="R810" s="176"/>
      <c r="S810" s="176"/>
      <c r="T810" s="176"/>
      <c r="U810" s="176"/>
      <c r="V810" s="176"/>
      <c r="W810" s="176"/>
      <c r="X810" s="176"/>
      <c r="Y810" s="176"/>
      <c r="Z810" s="176"/>
      <c r="AA810" s="176"/>
      <c r="AB810" s="176"/>
      <c r="AC810" s="176"/>
      <c r="AD810" s="176"/>
      <c r="AE810" s="176"/>
      <c r="AF810" s="176"/>
      <c r="AG810" s="176"/>
      <c r="AH810" s="176"/>
      <c r="AI810" s="176"/>
      <c r="AJ810" s="176"/>
      <c r="AK810" s="176"/>
      <c r="AL810" s="176"/>
      <c r="AM810" s="176"/>
      <c r="AN810" s="176"/>
      <c r="AO810" s="176"/>
      <c r="AP810" s="176"/>
      <c r="AQ810" s="176"/>
      <c r="AR810" s="176"/>
      <c r="AS810" s="176"/>
      <c r="AT810" s="176"/>
      <c r="AU810" s="176"/>
      <c r="AV810" s="176"/>
      <c r="AW810" s="176"/>
      <c r="AX810" s="176"/>
      <c r="AY810" s="176"/>
      <c r="AZ810" s="176"/>
      <c r="BA810" s="176"/>
      <c r="BB810" s="176"/>
    </row>
    <row r="811" ht="15.75" customHeight="1">
      <c r="A811" s="176"/>
      <c r="B811" s="176"/>
      <c r="C811" s="176"/>
      <c r="D811" s="176"/>
      <c r="E811" s="176"/>
      <c r="F811" s="176"/>
      <c r="G811" s="176"/>
      <c r="H811" s="176"/>
      <c r="I811" s="176"/>
      <c r="J811" s="176"/>
      <c r="K811" s="176"/>
      <c r="L811" s="176"/>
      <c r="M811" s="176"/>
      <c r="N811" s="176"/>
      <c r="O811" s="176"/>
      <c r="P811" s="176"/>
      <c r="Q811" s="176"/>
      <c r="R811" s="176"/>
      <c r="S811" s="176"/>
      <c r="T811" s="176"/>
      <c r="U811" s="176"/>
      <c r="V811" s="176"/>
      <c r="W811" s="176"/>
      <c r="X811" s="176"/>
      <c r="Y811" s="176"/>
      <c r="Z811" s="176"/>
      <c r="AA811" s="176"/>
      <c r="AB811" s="176"/>
      <c r="AC811" s="176"/>
      <c r="AD811" s="176"/>
      <c r="AE811" s="176"/>
      <c r="AF811" s="176"/>
      <c r="AG811" s="176"/>
      <c r="AH811" s="176"/>
      <c r="AI811" s="176"/>
      <c r="AJ811" s="176"/>
      <c r="AK811" s="176"/>
      <c r="AL811" s="176"/>
      <c r="AM811" s="176"/>
      <c r="AN811" s="176"/>
      <c r="AO811" s="176"/>
      <c r="AP811" s="176"/>
      <c r="AQ811" s="176"/>
      <c r="AR811" s="176"/>
      <c r="AS811" s="176"/>
      <c r="AT811" s="176"/>
      <c r="AU811" s="176"/>
      <c r="AV811" s="176"/>
      <c r="AW811" s="176"/>
      <c r="AX811" s="176"/>
      <c r="AY811" s="176"/>
      <c r="AZ811" s="176"/>
      <c r="BA811" s="176"/>
      <c r="BB811" s="176"/>
    </row>
    <row r="812" ht="15.75" customHeight="1">
      <c r="A812" s="176"/>
      <c r="B812" s="176"/>
      <c r="C812" s="176"/>
      <c r="D812" s="176"/>
      <c r="E812" s="176"/>
      <c r="F812" s="176"/>
      <c r="G812" s="176"/>
      <c r="H812" s="176"/>
      <c r="I812" s="176"/>
      <c r="J812" s="176"/>
      <c r="K812" s="176"/>
      <c r="L812" s="176"/>
      <c r="M812" s="176"/>
      <c r="N812" s="176"/>
      <c r="O812" s="176"/>
      <c r="P812" s="176"/>
      <c r="Q812" s="176"/>
      <c r="R812" s="176"/>
      <c r="S812" s="176"/>
      <c r="T812" s="176"/>
      <c r="U812" s="176"/>
      <c r="V812" s="176"/>
      <c r="W812" s="176"/>
      <c r="X812" s="176"/>
      <c r="Y812" s="176"/>
      <c r="Z812" s="176"/>
      <c r="AA812" s="176"/>
      <c r="AB812" s="176"/>
      <c r="AC812" s="176"/>
      <c r="AD812" s="176"/>
      <c r="AE812" s="176"/>
      <c r="AF812" s="176"/>
      <c r="AG812" s="176"/>
      <c r="AH812" s="176"/>
      <c r="AI812" s="176"/>
      <c r="AJ812" s="176"/>
      <c r="AK812" s="176"/>
      <c r="AL812" s="176"/>
      <c r="AM812" s="176"/>
      <c r="AN812" s="176"/>
      <c r="AO812" s="176"/>
      <c r="AP812" s="176"/>
      <c r="AQ812" s="176"/>
      <c r="AR812" s="176"/>
      <c r="AS812" s="176"/>
      <c r="AT812" s="176"/>
      <c r="AU812" s="176"/>
      <c r="AV812" s="176"/>
      <c r="AW812" s="176"/>
      <c r="AX812" s="176"/>
      <c r="AY812" s="176"/>
      <c r="AZ812" s="176"/>
      <c r="BA812" s="176"/>
      <c r="BB812" s="176"/>
    </row>
    <row r="813" ht="15.75" customHeight="1">
      <c r="A813" s="176"/>
      <c r="B813" s="176"/>
      <c r="C813" s="176"/>
      <c r="D813" s="176"/>
      <c r="E813" s="176"/>
      <c r="F813" s="176"/>
      <c r="G813" s="176"/>
      <c r="H813" s="176"/>
      <c r="I813" s="176"/>
      <c r="J813" s="176"/>
      <c r="K813" s="176"/>
      <c r="L813" s="176"/>
      <c r="M813" s="176"/>
      <c r="N813" s="176"/>
      <c r="O813" s="176"/>
      <c r="P813" s="176"/>
      <c r="Q813" s="176"/>
      <c r="R813" s="176"/>
      <c r="S813" s="176"/>
      <c r="T813" s="176"/>
      <c r="U813" s="176"/>
      <c r="V813" s="176"/>
      <c r="W813" s="176"/>
      <c r="X813" s="176"/>
      <c r="Y813" s="176"/>
      <c r="Z813" s="176"/>
      <c r="AA813" s="176"/>
      <c r="AB813" s="176"/>
      <c r="AC813" s="176"/>
      <c r="AD813" s="176"/>
      <c r="AE813" s="176"/>
      <c r="AF813" s="176"/>
      <c r="AG813" s="176"/>
      <c r="AH813" s="176"/>
      <c r="AI813" s="176"/>
      <c r="AJ813" s="176"/>
      <c r="AK813" s="176"/>
      <c r="AL813" s="176"/>
      <c r="AM813" s="176"/>
      <c r="AN813" s="176"/>
      <c r="AO813" s="176"/>
      <c r="AP813" s="176"/>
      <c r="AQ813" s="176"/>
      <c r="AR813" s="176"/>
      <c r="AS813" s="176"/>
      <c r="AT813" s="176"/>
      <c r="AU813" s="176"/>
      <c r="AV813" s="176"/>
      <c r="AW813" s="176"/>
      <c r="AX813" s="176"/>
      <c r="AY813" s="176"/>
      <c r="AZ813" s="176"/>
      <c r="BA813" s="176"/>
      <c r="BB813" s="176"/>
    </row>
    <row r="814" ht="15.75" customHeight="1">
      <c r="A814" s="176"/>
      <c r="B814" s="176"/>
      <c r="C814" s="176"/>
      <c r="D814" s="176"/>
      <c r="E814" s="176"/>
      <c r="F814" s="176"/>
      <c r="G814" s="176"/>
      <c r="H814" s="176"/>
      <c r="I814" s="176"/>
      <c r="J814" s="176"/>
      <c r="K814" s="176"/>
      <c r="L814" s="176"/>
      <c r="M814" s="176"/>
      <c r="N814" s="176"/>
      <c r="O814" s="176"/>
      <c r="P814" s="176"/>
      <c r="Q814" s="176"/>
      <c r="R814" s="176"/>
      <c r="S814" s="176"/>
      <c r="T814" s="176"/>
      <c r="U814" s="176"/>
      <c r="V814" s="176"/>
      <c r="W814" s="176"/>
      <c r="X814" s="176"/>
      <c r="Y814" s="176"/>
      <c r="Z814" s="176"/>
      <c r="AA814" s="176"/>
      <c r="AB814" s="176"/>
      <c r="AC814" s="176"/>
      <c r="AD814" s="176"/>
      <c r="AE814" s="176"/>
      <c r="AF814" s="176"/>
      <c r="AG814" s="176"/>
      <c r="AH814" s="176"/>
      <c r="AI814" s="176"/>
      <c r="AJ814" s="176"/>
      <c r="AK814" s="176"/>
      <c r="AL814" s="176"/>
      <c r="AM814" s="176"/>
      <c r="AN814" s="176"/>
      <c r="AO814" s="176"/>
      <c r="AP814" s="176"/>
      <c r="AQ814" s="176"/>
      <c r="AR814" s="176"/>
      <c r="AS814" s="176"/>
      <c r="AT814" s="176"/>
      <c r="AU814" s="176"/>
      <c r="AV814" s="176"/>
      <c r="AW814" s="176"/>
      <c r="AX814" s="176"/>
      <c r="AY814" s="176"/>
      <c r="AZ814" s="176"/>
      <c r="BA814" s="176"/>
      <c r="BB814" s="176"/>
    </row>
    <row r="815" ht="15.75" customHeight="1">
      <c r="A815" s="176"/>
      <c r="B815" s="176"/>
      <c r="C815" s="176"/>
      <c r="D815" s="176"/>
      <c r="E815" s="176"/>
      <c r="F815" s="176"/>
      <c r="G815" s="176"/>
      <c r="H815" s="176"/>
      <c r="I815" s="176"/>
      <c r="J815" s="176"/>
      <c r="K815" s="176"/>
      <c r="L815" s="176"/>
      <c r="M815" s="176"/>
      <c r="N815" s="176"/>
      <c r="O815" s="176"/>
      <c r="P815" s="176"/>
      <c r="Q815" s="176"/>
      <c r="R815" s="176"/>
      <c r="S815" s="176"/>
      <c r="T815" s="176"/>
      <c r="U815" s="176"/>
      <c r="V815" s="176"/>
      <c r="W815" s="176"/>
      <c r="X815" s="176"/>
      <c r="Y815" s="176"/>
      <c r="Z815" s="176"/>
      <c r="AA815" s="176"/>
      <c r="AB815" s="176"/>
      <c r="AC815" s="176"/>
      <c r="AD815" s="176"/>
      <c r="AE815" s="176"/>
      <c r="AF815" s="176"/>
      <c r="AG815" s="176"/>
      <c r="AH815" s="176"/>
      <c r="AI815" s="176"/>
      <c r="AJ815" s="176"/>
      <c r="AK815" s="176"/>
      <c r="AL815" s="176"/>
      <c r="AM815" s="176"/>
      <c r="AN815" s="176"/>
      <c r="AO815" s="176"/>
      <c r="AP815" s="176"/>
      <c r="AQ815" s="176"/>
      <c r="AR815" s="176"/>
      <c r="AS815" s="176"/>
      <c r="AT815" s="176"/>
      <c r="AU815" s="176"/>
      <c r="AV815" s="176"/>
      <c r="AW815" s="176"/>
      <c r="AX815" s="176"/>
      <c r="AY815" s="176"/>
      <c r="AZ815" s="176"/>
      <c r="BA815" s="176"/>
      <c r="BB815" s="176"/>
    </row>
    <row r="816" ht="15.75" customHeight="1">
      <c r="A816" s="176"/>
      <c r="B816" s="176"/>
      <c r="C816" s="176"/>
      <c r="D816" s="176"/>
      <c r="E816" s="176"/>
      <c r="F816" s="176"/>
      <c r="G816" s="176"/>
      <c r="H816" s="176"/>
      <c r="I816" s="176"/>
      <c r="J816" s="176"/>
      <c r="K816" s="176"/>
      <c r="L816" s="176"/>
      <c r="M816" s="176"/>
      <c r="N816" s="176"/>
      <c r="O816" s="176"/>
      <c r="P816" s="176"/>
      <c r="Q816" s="176"/>
      <c r="R816" s="176"/>
      <c r="S816" s="176"/>
      <c r="T816" s="176"/>
      <c r="U816" s="176"/>
      <c r="V816" s="176"/>
      <c r="W816" s="176"/>
      <c r="X816" s="176"/>
      <c r="Y816" s="176"/>
      <c r="Z816" s="176"/>
      <c r="AA816" s="176"/>
      <c r="AB816" s="176"/>
      <c r="AC816" s="176"/>
      <c r="AD816" s="176"/>
      <c r="AE816" s="176"/>
      <c r="AF816" s="176"/>
      <c r="AG816" s="176"/>
      <c r="AH816" s="176"/>
      <c r="AI816" s="176"/>
      <c r="AJ816" s="176"/>
      <c r="AK816" s="176"/>
      <c r="AL816" s="176"/>
      <c r="AM816" s="176"/>
      <c r="AN816" s="176"/>
      <c r="AO816" s="176"/>
      <c r="AP816" s="176"/>
      <c r="AQ816" s="176"/>
      <c r="AR816" s="176"/>
      <c r="AS816" s="176"/>
      <c r="AT816" s="176"/>
      <c r="AU816" s="176"/>
      <c r="AV816" s="176"/>
      <c r="AW816" s="176"/>
      <c r="AX816" s="176"/>
      <c r="AY816" s="176"/>
      <c r="AZ816" s="176"/>
      <c r="BA816" s="176"/>
      <c r="BB816" s="176"/>
    </row>
    <row r="817" ht="15.75" customHeight="1">
      <c r="A817" s="176"/>
      <c r="B817" s="176"/>
      <c r="C817" s="176"/>
      <c r="D817" s="176"/>
      <c r="E817" s="176"/>
      <c r="F817" s="176"/>
      <c r="G817" s="176"/>
      <c r="H817" s="176"/>
      <c r="I817" s="176"/>
      <c r="J817" s="176"/>
      <c r="K817" s="176"/>
      <c r="L817" s="176"/>
      <c r="M817" s="176"/>
      <c r="N817" s="176"/>
      <c r="O817" s="176"/>
      <c r="P817" s="176"/>
      <c r="Q817" s="176"/>
      <c r="R817" s="176"/>
      <c r="S817" s="176"/>
      <c r="T817" s="176"/>
      <c r="U817" s="176"/>
      <c r="V817" s="176"/>
      <c r="W817" s="176"/>
      <c r="X817" s="176"/>
      <c r="Y817" s="176"/>
      <c r="Z817" s="176"/>
      <c r="AA817" s="176"/>
      <c r="AB817" s="176"/>
      <c r="AC817" s="176"/>
      <c r="AD817" s="176"/>
      <c r="AE817" s="176"/>
      <c r="AF817" s="176"/>
      <c r="AG817" s="176"/>
      <c r="AH817" s="176"/>
      <c r="AI817" s="176"/>
      <c r="AJ817" s="176"/>
      <c r="AK817" s="176"/>
      <c r="AL817" s="176"/>
      <c r="AM817" s="176"/>
      <c r="AN817" s="176"/>
      <c r="AO817" s="176"/>
      <c r="AP817" s="176"/>
      <c r="AQ817" s="176"/>
      <c r="AR817" s="176"/>
      <c r="AS817" s="176"/>
      <c r="AT817" s="176"/>
      <c r="AU817" s="176"/>
      <c r="AV817" s="176"/>
      <c r="AW817" s="176"/>
      <c r="AX817" s="176"/>
      <c r="AY817" s="176"/>
      <c r="AZ817" s="176"/>
      <c r="BA817" s="176"/>
      <c r="BB817" s="176"/>
    </row>
    <row r="818" ht="15.75" customHeight="1">
      <c r="A818" s="176"/>
      <c r="B818" s="176"/>
      <c r="C818" s="176"/>
      <c r="D818" s="176"/>
      <c r="E818" s="176"/>
      <c r="F818" s="176"/>
      <c r="G818" s="176"/>
      <c r="H818" s="176"/>
      <c r="I818" s="176"/>
      <c r="J818" s="176"/>
      <c r="K818" s="176"/>
      <c r="L818" s="176"/>
      <c r="M818" s="176"/>
      <c r="N818" s="176"/>
      <c r="O818" s="176"/>
      <c r="P818" s="176"/>
      <c r="Q818" s="176"/>
      <c r="R818" s="176"/>
      <c r="S818" s="176"/>
      <c r="T818" s="176"/>
      <c r="U818" s="176"/>
      <c r="V818" s="176"/>
      <c r="W818" s="176"/>
      <c r="X818" s="176"/>
      <c r="Y818" s="176"/>
      <c r="Z818" s="176"/>
      <c r="AA818" s="176"/>
      <c r="AB818" s="176"/>
      <c r="AC818" s="176"/>
      <c r="AD818" s="176"/>
      <c r="AE818" s="176"/>
      <c r="AF818" s="176"/>
      <c r="AG818" s="176"/>
      <c r="AH818" s="176"/>
      <c r="AI818" s="176"/>
      <c r="AJ818" s="176"/>
      <c r="AK818" s="176"/>
      <c r="AL818" s="176"/>
      <c r="AM818" s="176"/>
      <c r="AN818" s="176"/>
      <c r="AO818" s="176"/>
      <c r="AP818" s="176"/>
      <c r="AQ818" s="176"/>
      <c r="AR818" s="176"/>
      <c r="AS818" s="176"/>
      <c r="AT818" s="176"/>
      <c r="AU818" s="176"/>
      <c r="AV818" s="176"/>
      <c r="AW818" s="176"/>
      <c r="AX818" s="176"/>
      <c r="AY818" s="176"/>
      <c r="AZ818" s="176"/>
      <c r="BA818" s="176"/>
      <c r="BB818" s="176"/>
    </row>
    <row r="819" ht="15.75" customHeight="1">
      <c r="A819" s="176"/>
      <c r="B819" s="176"/>
      <c r="C819" s="176"/>
      <c r="D819" s="176"/>
      <c r="E819" s="176"/>
      <c r="F819" s="176"/>
      <c r="G819" s="176"/>
      <c r="H819" s="176"/>
      <c r="I819" s="176"/>
      <c r="J819" s="176"/>
      <c r="K819" s="176"/>
      <c r="L819" s="176"/>
      <c r="M819" s="176"/>
      <c r="N819" s="176"/>
      <c r="O819" s="176"/>
      <c r="P819" s="176"/>
      <c r="Q819" s="176"/>
      <c r="R819" s="176"/>
      <c r="S819" s="176"/>
      <c r="T819" s="176"/>
      <c r="U819" s="176"/>
      <c r="V819" s="176"/>
      <c r="W819" s="176"/>
      <c r="X819" s="176"/>
      <c r="Y819" s="176"/>
      <c r="Z819" s="176"/>
      <c r="AA819" s="176"/>
      <c r="AB819" s="176"/>
      <c r="AC819" s="176"/>
      <c r="AD819" s="176"/>
      <c r="AE819" s="176"/>
      <c r="AF819" s="176"/>
      <c r="AG819" s="176"/>
      <c r="AH819" s="176"/>
      <c r="AI819" s="176"/>
      <c r="AJ819" s="176"/>
      <c r="AK819" s="176"/>
      <c r="AL819" s="176"/>
      <c r="AM819" s="176"/>
      <c r="AN819" s="176"/>
      <c r="AO819" s="176"/>
      <c r="AP819" s="176"/>
      <c r="AQ819" s="176"/>
      <c r="AR819" s="176"/>
      <c r="AS819" s="176"/>
      <c r="AT819" s="176"/>
      <c r="AU819" s="176"/>
      <c r="AV819" s="176"/>
      <c r="AW819" s="176"/>
      <c r="AX819" s="176"/>
      <c r="AY819" s="176"/>
      <c r="AZ819" s="176"/>
      <c r="BA819" s="176"/>
      <c r="BB819" s="176"/>
    </row>
    <row r="820" ht="15.75" customHeight="1">
      <c r="A820" s="176"/>
      <c r="B820" s="176"/>
      <c r="C820" s="176"/>
      <c r="D820" s="176"/>
      <c r="E820" s="176"/>
      <c r="F820" s="176"/>
      <c r="G820" s="176"/>
      <c r="H820" s="176"/>
      <c r="I820" s="176"/>
      <c r="J820" s="176"/>
      <c r="K820" s="176"/>
      <c r="L820" s="176"/>
      <c r="M820" s="176"/>
      <c r="N820" s="176"/>
      <c r="O820" s="176"/>
      <c r="P820" s="176"/>
      <c r="Q820" s="176"/>
      <c r="R820" s="176"/>
      <c r="S820" s="176"/>
      <c r="T820" s="176"/>
      <c r="U820" s="176"/>
      <c r="V820" s="176"/>
      <c r="W820" s="176"/>
      <c r="X820" s="176"/>
      <c r="Y820" s="176"/>
      <c r="Z820" s="176"/>
      <c r="AA820" s="176"/>
      <c r="AB820" s="176"/>
      <c r="AC820" s="176"/>
      <c r="AD820" s="176"/>
      <c r="AE820" s="176"/>
      <c r="AF820" s="176"/>
      <c r="AG820" s="176"/>
      <c r="AH820" s="176"/>
      <c r="AI820" s="176"/>
      <c r="AJ820" s="176"/>
      <c r="AK820" s="176"/>
      <c r="AL820" s="176"/>
      <c r="AM820" s="176"/>
      <c r="AN820" s="176"/>
      <c r="AO820" s="176"/>
      <c r="AP820" s="176"/>
      <c r="AQ820" s="176"/>
      <c r="AR820" s="176"/>
      <c r="AS820" s="176"/>
      <c r="AT820" s="176"/>
      <c r="AU820" s="176"/>
      <c r="AV820" s="176"/>
      <c r="AW820" s="176"/>
      <c r="AX820" s="176"/>
      <c r="AY820" s="176"/>
      <c r="AZ820" s="176"/>
      <c r="BA820" s="176"/>
      <c r="BB820" s="176"/>
    </row>
    <row r="821" ht="15.75" customHeight="1">
      <c r="A821" s="176"/>
      <c r="B821" s="176"/>
      <c r="C821" s="176"/>
      <c r="D821" s="176"/>
      <c r="E821" s="176"/>
      <c r="F821" s="176"/>
      <c r="G821" s="176"/>
      <c r="H821" s="176"/>
      <c r="I821" s="176"/>
      <c r="J821" s="176"/>
      <c r="K821" s="176"/>
      <c r="L821" s="176"/>
      <c r="M821" s="176"/>
      <c r="N821" s="176"/>
      <c r="O821" s="176"/>
      <c r="P821" s="176"/>
      <c r="Q821" s="176"/>
      <c r="R821" s="176"/>
      <c r="S821" s="176"/>
      <c r="T821" s="176"/>
      <c r="U821" s="176"/>
      <c r="V821" s="176"/>
      <c r="W821" s="176"/>
      <c r="X821" s="176"/>
      <c r="Y821" s="176"/>
      <c r="Z821" s="176"/>
      <c r="AA821" s="176"/>
      <c r="AB821" s="176"/>
      <c r="AC821" s="176"/>
      <c r="AD821" s="176"/>
      <c r="AE821" s="176"/>
      <c r="AF821" s="176"/>
      <c r="AG821" s="176"/>
      <c r="AH821" s="176"/>
      <c r="AI821" s="176"/>
      <c r="AJ821" s="176"/>
      <c r="AK821" s="176"/>
      <c r="AL821" s="176"/>
      <c r="AM821" s="176"/>
      <c r="AN821" s="176"/>
      <c r="AO821" s="176"/>
      <c r="AP821" s="176"/>
      <c r="AQ821" s="176"/>
      <c r="AR821" s="176"/>
      <c r="AS821" s="176"/>
      <c r="AT821" s="176"/>
      <c r="AU821" s="176"/>
      <c r="AV821" s="176"/>
      <c r="AW821" s="176"/>
      <c r="AX821" s="176"/>
      <c r="AY821" s="176"/>
      <c r="AZ821" s="176"/>
      <c r="BA821" s="176"/>
      <c r="BB821" s="176"/>
    </row>
    <row r="822" ht="15.75" customHeight="1">
      <c r="A822" s="176"/>
      <c r="B822" s="176"/>
      <c r="C822" s="176"/>
      <c r="D822" s="176"/>
      <c r="E822" s="176"/>
      <c r="F822" s="176"/>
      <c r="G822" s="176"/>
      <c r="H822" s="176"/>
      <c r="I822" s="176"/>
      <c r="J822" s="176"/>
      <c r="K822" s="176"/>
      <c r="L822" s="176"/>
      <c r="M822" s="176"/>
      <c r="N822" s="176"/>
      <c r="O822" s="176"/>
      <c r="P822" s="176"/>
      <c r="Q822" s="176"/>
      <c r="R822" s="176"/>
      <c r="S822" s="176"/>
      <c r="T822" s="176"/>
      <c r="U822" s="176"/>
      <c r="V822" s="176"/>
      <c r="W822" s="176"/>
      <c r="X822" s="176"/>
      <c r="Y822" s="176"/>
      <c r="Z822" s="176"/>
      <c r="AA822" s="176"/>
      <c r="AB822" s="176"/>
      <c r="AC822" s="176"/>
      <c r="AD822" s="176"/>
      <c r="AE822" s="176"/>
      <c r="AF822" s="176"/>
      <c r="AG822" s="176"/>
      <c r="AH822" s="176"/>
      <c r="AI822" s="176"/>
      <c r="AJ822" s="176"/>
      <c r="AK822" s="176"/>
      <c r="AL822" s="176"/>
      <c r="AM822" s="176"/>
      <c r="AN822" s="176"/>
      <c r="AO822" s="176"/>
      <c r="AP822" s="176"/>
      <c r="AQ822" s="176"/>
      <c r="AR822" s="176"/>
      <c r="AS822" s="176"/>
      <c r="AT822" s="176"/>
      <c r="AU822" s="176"/>
      <c r="AV822" s="176"/>
      <c r="AW822" s="176"/>
      <c r="AX822" s="176"/>
      <c r="AY822" s="176"/>
      <c r="AZ822" s="176"/>
      <c r="BA822" s="176"/>
      <c r="BB822" s="176"/>
    </row>
    <row r="823" ht="15.75" customHeight="1">
      <c r="A823" s="176"/>
      <c r="B823" s="176"/>
      <c r="C823" s="176"/>
      <c r="D823" s="176"/>
      <c r="E823" s="176"/>
      <c r="F823" s="176"/>
      <c r="G823" s="176"/>
      <c r="H823" s="176"/>
      <c r="I823" s="176"/>
      <c r="J823" s="176"/>
      <c r="K823" s="176"/>
      <c r="L823" s="176"/>
      <c r="M823" s="176"/>
      <c r="N823" s="176"/>
      <c r="O823" s="176"/>
      <c r="P823" s="176"/>
      <c r="Q823" s="176"/>
      <c r="R823" s="176"/>
      <c r="S823" s="176"/>
      <c r="T823" s="176"/>
      <c r="U823" s="176"/>
      <c r="V823" s="176"/>
      <c r="W823" s="176"/>
      <c r="X823" s="176"/>
      <c r="Y823" s="176"/>
      <c r="Z823" s="176"/>
      <c r="AA823" s="176"/>
      <c r="AB823" s="176"/>
      <c r="AC823" s="176"/>
      <c r="AD823" s="176"/>
      <c r="AE823" s="176"/>
      <c r="AF823" s="176"/>
      <c r="AG823" s="176"/>
      <c r="AH823" s="176"/>
      <c r="AI823" s="176"/>
      <c r="AJ823" s="176"/>
      <c r="AK823" s="176"/>
      <c r="AL823" s="176"/>
      <c r="AM823" s="176"/>
      <c r="AN823" s="176"/>
      <c r="AO823" s="176"/>
      <c r="AP823" s="176"/>
      <c r="AQ823" s="176"/>
      <c r="AR823" s="176"/>
      <c r="AS823" s="176"/>
      <c r="AT823" s="176"/>
      <c r="AU823" s="176"/>
      <c r="AV823" s="176"/>
      <c r="AW823" s="176"/>
      <c r="AX823" s="176"/>
      <c r="AY823" s="176"/>
      <c r="AZ823" s="176"/>
      <c r="BA823" s="176"/>
      <c r="BB823" s="176"/>
    </row>
    <row r="824" ht="15.75" customHeight="1">
      <c r="A824" s="176"/>
      <c r="B824" s="176"/>
      <c r="C824" s="176"/>
      <c r="D824" s="176"/>
      <c r="E824" s="176"/>
      <c r="F824" s="176"/>
      <c r="G824" s="176"/>
      <c r="H824" s="176"/>
      <c r="I824" s="176"/>
      <c r="J824" s="176"/>
      <c r="K824" s="176"/>
      <c r="L824" s="176"/>
      <c r="M824" s="176"/>
      <c r="N824" s="176"/>
      <c r="O824" s="176"/>
      <c r="P824" s="176"/>
      <c r="Q824" s="176"/>
      <c r="R824" s="176"/>
      <c r="S824" s="176"/>
      <c r="T824" s="176"/>
      <c r="U824" s="176"/>
      <c r="V824" s="176"/>
      <c r="W824" s="176"/>
      <c r="X824" s="176"/>
      <c r="Y824" s="176"/>
      <c r="Z824" s="176"/>
      <c r="AA824" s="176"/>
      <c r="AB824" s="176"/>
      <c r="AC824" s="176"/>
      <c r="AD824" s="176"/>
      <c r="AE824" s="176"/>
      <c r="AF824" s="176"/>
      <c r="AG824" s="176"/>
      <c r="AH824" s="176"/>
      <c r="AI824" s="176"/>
      <c r="AJ824" s="176"/>
      <c r="AK824" s="176"/>
      <c r="AL824" s="176"/>
      <c r="AM824" s="176"/>
      <c r="AN824" s="176"/>
      <c r="AO824" s="176"/>
      <c r="AP824" s="176"/>
      <c r="AQ824" s="176"/>
      <c r="AR824" s="176"/>
      <c r="AS824" s="176"/>
      <c r="AT824" s="176"/>
      <c r="AU824" s="176"/>
      <c r="AV824" s="176"/>
      <c r="AW824" s="176"/>
      <c r="AX824" s="176"/>
      <c r="AY824" s="176"/>
      <c r="AZ824" s="176"/>
      <c r="BA824" s="176"/>
      <c r="BB824" s="176"/>
    </row>
    <row r="825" ht="15.75" customHeight="1">
      <c r="A825" s="176"/>
      <c r="B825" s="176"/>
      <c r="C825" s="176"/>
      <c r="D825" s="176"/>
      <c r="E825" s="176"/>
      <c r="F825" s="176"/>
      <c r="G825" s="176"/>
      <c r="H825" s="176"/>
      <c r="I825" s="176"/>
      <c r="J825" s="176"/>
      <c r="K825" s="176"/>
      <c r="L825" s="176"/>
      <c r="M825" s="176"/>
      <c r="N825" s="176"/>
      <c r="O825" s="176"/>
      <c r="P825" s="176"/>
      <c r="Q825" s="176"/>
      <c r="R825" s="176"/>
      <c r="S825" s="176"/>
      <c r="T825" s="176"/>
      <c r="U825" s="176"/>
      <c r="V825" s="176"/>
      <c r="W825" s="176"/>
      <c r="X825" s="176"/>
      <c r="Y825" s="176"/>
      <c r="Z825" s="176"/>
      <c r="AA825" s="176"/>
      <c r="AB825" s="176"/>
      <c r="AC825" s="176"/>
      <c r="AD825" s="176"/>
      <c r="AE825" s="176"/>
      <c r="AF825" s="176"/>
      <c r="AG825" s="176"/>
      <c r="AH825" s="176"/>
      <c r="AI825" s="176"/>
      <c r="AJ825" s="176"/>
      <c r="AK825" s="176"/>
      <c r="AL825" s="176"/>
      <c r="AM825" s="176"/>
      <c r="AN825" s="176"/>
      <c r="AO825" s="176"/>
      <c r="AP825" s="176"/>
      <c r="AQ825" s="176"/>
      <c r="AR825" s="176"/>
      <c r="AS825" s="176"/>
      <c r="AT825" s="176"/>
      <c r="AU825" s="176"/>
      <c r="AV825" s="176"/>
      <c r="AW825" s="176"/>
      <c r="AX825" s="176"/>
      <c r="AY825" s="176"/>
      <c r="AZ825" s="176"/>
      <c r="BA825" s="176"/>
      <c r="BB825" s="176"/>
    </row>
    <row r="826" ht="15.75" customHeight="1">
      <c r="A826" s="176"/>
      <c r="B826" s="176"/>
      <c r="C826" s="176"/>
      <c r="D826" s="176"/>
      <c r="E826" s="176"/>
      <c r="F826" s="176"/>
      <c r="G826" s="176"/>
      <c r="H826" s="176"/>
      <c r="I826" s="176"/>
      <c r="J826" s="176"/>
      <c r="K826" s="176"/>
      <c r="L826" s="176"/>
      <c r="M826" s="176"/>
      <c r="N826" s="176"/>
      <c r="O826" s="176"/>
      <c r="P826" s="176"/>
      <c r="Q826" s="176"/>
      <c r="R826" s="176"/>
      <c r="S826" s="176"/>
      <c r="T826" s="176"/>
      <c r="U826" s="176"/>
      <c r="V826" s="176"/>
      <c r="W826" s="176"/>
      <c r="X826" s="176"/>
      <c r="Y826" s="176"/>
      <c r="Z826" s="176"/>
      <c r="AA826" s="176"/>
      <c r="AB826" s="176"/>
      <c r="AC826" s="176"/>
      <c r="AD826" s="176"/>
      <c r="AE826" s="176"/>
      <c r="AF826" s="176"/>
      <c r="AG826" s="176"/>
      <c r="AH826" s="176"/>
      <c r="AI826" s="176"/>
      <c r="AJ826" s="176"/>
      <c r="AK826" s="176"/>
      <c r="AL826" s="176"/>
      <c r="AM826" s="176"/>
      <c r="AN826" s="176"/>
      <c r="AO826" s="176"/>
      <c r="AP826" s="176"/>
      <c r="AQ826" s="176"/>
      <c r="AR826" s="176"/>
      <c r="AS826" s="176"/>
      <c r="AT826" s="176"/>
      <c r="AU826" s="176"/>
      <c r="AV826" s="176"/>
      <c r="AW826" s="176"/>
      <c r="AX826" s="176"/>
      <c r="AY826" s="176"/>
      <c r="AZ826" s="176"/>
      <c r="BA826" s="176"/>
      <c r="BB826" s="176"/>
    </row>
    <row r="827" ht="15.75" customHeight="1">
      <c r="A827" s="176"/>
      <c r="B827" s="176"/>
      <c r="C827" s="176"/>
      <c r="D827" s="176"/>
      <c r="E827" s="176"/>
      <c r="F827" s="176"/>
      <c r="G827" s="176"/>
      <c r="H827" s="176"/>
      <c r="I827" s="176"/>
      <c r="J827" s="176"/>
      <c r="K827" s="176"/>
      <c r="L827" s="176"/>
      <c r="M827" s="176"/>
      <c r="N827" s="176"/>
      <c r="O827" s="176"/>
      <c r="P827" s="176"/>
      <c r="Q827" s="176"/>
      <c r="R827" s="176"/>
      <c r="S827" s="176"/>
      <c r="T827" s="176"/>
      <c r="U827" s="176"/>
      <c r="V827" s="176"/>
      <c r="W827" s="176"/>
      <c r="X827" s="176"/>
      <c r="Y827" s="176"/>
      <c r="Z827" s="176"/>
      <c r="AA827" s="176"/>
      <c r="AB827" s="176"/>
      <c r="AC827" s="176"/>
      <c r="AD827" s="176"/>
      <c r="AE827" s="176"/>
      <c r="AF827" s="176"/>
      <c r="AG827" s="176"/>
      <c r="AH827" s="176"/>
      <c r="AI827" s="176"/>
      <c r="AJ827" s="176"/>
      <c r="AK827" s="176"/>
      <c r="AL827" s="176"/>
      <c r="AM827" s="176"/>
      <c r="AN827" s="176"/>
      <c r="AO827" s="176"/>
      <c r="AP827" s="176"/>
      <c r="AQ827" s="176"/>
      <c r="AR827" s="176"/>
      <c r="AS827" s="176"/>
      <c r="AT827" s="176"/>
      <c r="AU827" s="176"/>
      <c r="AV827" s="176"/>
      <c r="AW827" s="176"/>
      <c r="AX827" s="176"/>
      <c r="AY827" s="176"/>
      <c r="AZ827" s="176"/>
      <c r="BA827" s="176"/>
      <c r="BB827" s="176"/>
    </row>
    <row r="828" ht="15.75" customHeight="1">
      <c r="A828" s="176"/>
      <c r="B828" s="176"/>
      <c r="C828" s="176"/>
      <c r="D828" s="176"/>
      <c r="E828" s="176"/>
      <c r="F828" s="176"/>
      <c r="G828" s="176"/>
      <c r="H828" s="176"/>
      <c r="I828" s="176"/>
      <c r="J828" s="176"/>
      <c r="K828" s="176"/>
      <c r="L828" s="176"/>
      <c r="M828" s="176"/>
      <c r="N828" s="176"/>
      <c r="O828" s="176"/>
      <c r="P828" s="176"/>
      <c r="Q828" s="176"/>
      <c r="R828" s="176"/>
      <c r="S828" s="176"/>
      <c r="T828" s="176"/>
      <c r="U828" s="176"/>
      <c r="V828" s="176"/>
      <c r="W828" s="176"/>
      <c r="X828" s="176"/>
      <c r="Y828" s="176"/>
      <c r="Z828" s="176"/>
      <c r="AA828" s="176"/>
      <c r="AB828" s="176"/>
      <c r="AC828" s="176"/>
      <c r="AD828" s="176"/>
      <c r="AE828" s="176"/>
      <c r="AF828" s="176"/>
      <c r="AG828" s="176"/>
      <c r="AH828" s="176"/>
      <c r="AI828" s="176"/>
      <c r="AJ828" s="176"/>
      <c r="AK828" s="176"/>
      <c r="AL828" s="176"/>
      <c r="AM828" s="176"/>
      <c r="AN828" s="176"/>
      <c r="AO828" s="176"/>
      <c r="AP828" s="176"/>
      <c r="AQ828" s="176"/>
      <c r="AR828" s="176"/>
      <c r="AS828" s="176"/>
      <c r="AT828" s="176"/>
      <c r="AU828" s="176"/>
      <c r="AV828" s="176"/>
      <c r="AW828" s="176"/>
      <c r="AX828" s="176"/>
      <c r="AY828" s="176"/>
      <c r="AZ828" s="176"/>
      <c r="BA828" s="176"/>
      <c r="BB828" s="176"/>
    </row>
    <row r="829" ht="15.75" customHeight="1">
      <c r="A829" s="176"/>
      <c r="B829" s="176"/>
      <c r="C829" s="176"/>
      <c r="D829" s="176"/>
      <c r="E829" s="176"/>
      <c r="F829" s="176"/>
      <c r="G829" s="176"/>
      <c r="H829" s="176"/>
      <c r="I829" s="176"/>
      <c r="J829" s="176"/>
      <c r="K829" s="176"/>
      <c r="L829" s="176"/>
      <c r="M829" s="176"/>
      <c r="N829" s="176"/>
      <c r="O829" s="176"/>
      <c r="P829" s="176"/>
      <c r="Q829" s="176"/>
      <c r="R829" s="176"/>
      <c r="S829" s="176"/>
      <c r="T829" s="176"/>
      <c r="U829" s="176"/>
      <c r="V829" s="176"/>
      <c r="W829" s="176"/>
      <c r="X829" s="176"/>
      <c r="Y829" s="176"/>
      <c r="Z829" s="176"/>
      <c r="AA829" s="176"/>
      <c r="AB829" s="176"/>
      <c r="AC829" s="176"/>
      <c r="AD829" s="176"/>
      <c r="AE829" s="176"/>
      <c r="AF829" s="176"/>
      <c r="AG829" s="176"/>
      <c r="AH829" s="176"/>
      <c r="AI829" s="176"/>
      <c r="AJ829" s="176"/>
      <c r="AK829" s="176"/>
      <c r="AL829" s="176"/>
      <c r="AM829" s="176"/>
      <c r="AN829" s="176"/>
      <c r="AO829" s="176"/>
      <c r="AP829" s="176"/>
      <c r="AQ829" s="176"/>
      <c r="AR829" s="176"/>
      <c r="AS829" s="176"/>
      <c r="AT829" s="176"/>
      <c r="AU829" s="176"/>
      <c r="AV829" s="176"/>
      <c r="AW829" s="176"/>
      <c r="AX829" s="176"/>
      <c r="AY829" s="176"/>
      <c r="AZ829" s="176"/>
      <c r="BA829" s="176"/>
      <c r="BB829" s="176"/>
    </row>
    <row r="830" ht="15.75" customHeight="1">
      <c r="A830" s="176"/>
      <c r="B830" s="176"/>
      <c r="C830" s="176"/>
      <c r="D830" s="176"/>
      <c r="E830" s="176"/>
      <c r="F830" s="176"/>
      <c r="G830" s="176"/>
      <c r="H830" s="176"/>
      <c r="I830" s="176"/>
      <c r="J830" s="176"/>
      <c r="K830" s="176"/>
      <c r="L830" s="176"/>
      <c r="M830" s="176"/>
      <c r="N830" s="176"/>
      <c r="O830" s="176"/>
      <c r="P830" s="176"/>
      <c r="Q830" s="176"/>
      <c r="R830" s="176"/>
      <c r="S830" s="176"/>
      <c r="T830" s="176"/>
      <c r="U830" s="176"/>
      <c r="V830" s="176"/>
      <c r="W830" s="176"/>
      <c r="X830" s="176"/>
      <c r="Y830" s="176"/>
      <c r="Z830" s="176"/>
      <c r="AA830" s="176"/>
      <c r="AB830" s="176"/>
      <c r="AC830" s="176"/>
      <c r="AD830" s="176"/>
      <c r="AE830" s="176"/>
      <c r="AF830" s="176"/>
      <c r="AG830" s="176"/>
      <c r="AH830" s="176"/>
      <c r="AI830" s="176"/>
      <c r="AJ830" s="176"/>
      <c r="AK830" s="176"/>
      <c r="AL830" s="176"/>
      <c r="AM830" s="176"/>
      <c r="AN830" s="176"/>
      <c r="AO830" s="176"/>
      <c r="AP830" s="176"/>
      <c r="AQ830" s="176"/>
      <c r="AR830" s="176"/>
      <c r="AS830" s="176"/>
      <c r="AT830" s="176"/>
      <c r="AU830" s="176"/>
      <c r="AV830" s="176"/>
      <c r="AW830" s="176"/>
      <c r="AX830" s="176"/>
      <c r="AY830" s="176"/>
      <c r="AZ830" s="176"/>
      <c r="BA830" s="176"/>
      <c r="BB830" s="176"/>
    </row>
    <row r="831" ht="15.75" customHeight="1">
      <c r="A831" s="176"/>
      <c r="B831" s="176"/>
      <c r="C831" s="176"/>
      <c r="D831" s="176"/>
      <c r="E831" s="176"/>
      <c r="F831" s="176"/>
      <c r="G831" s="176"/>
      <c r="H831" s="176"/>
      <c r="I831" s="176"/>
      <c r="J831" s="176"/>
      <c r="K831" s="176"/>
      <c r="L831" s="176"/>
      <c r="M831" s="176"/>
      <c r="N831" s="176"/>
      <c r="O831" s="176"/>
      <c r="P831" s="176"/>
      <c r="Q831" s="176"/>
      <c r="R831" s="176"/>
      <c r="S831" s="176"/>
      <c r="T831" s="176"/>
      <c r="U831" s="176"/>
      <c r="V831" s="176"/>
      <c r="W831" s="176"/>
      <c r="X831" s="176"/>
      <c r="Y831" s="176"/>
      <c r="Z831" s="176"/>
      <c r="AA831" s="176"/>
      <c r="AB831" s="176"/>
      <c r="AC831" s="176"/>
      <c r="AD831" s="176"/>
      <c r="AE831" s="176"/>
      <c r="AF831" s="176"/>
      <c r="AG831" s="176"/>
      <c r="AH831" s="176"/>
      <c r="AI831" s="176"/>
      <c r="AJ831" s="176"/>
      <c r="AK831" s="176"/>
      <c r="AL831" s="176"/>
      <c r="AM831" s="176"/>
      <c r="AN831" s="176"/>
      <c r="AO831" s="176"/>
      <c r="AP831" s="176"/>
      <c r="AQ831" s="176"/>
      <c r="AR831" s="176"/>
      <c r="AS831" s="176"/>
      <c r="AT831" s="176"/>
      <c r="AU831" s="176"/>
      <c r="AV831" s="176"/>
      <c r="AW831" s="176"/>
      <c r="AX831" s="176"/>
      <c r="AY831" s="176"/>
      <c r="AZ831" s="176"/>
      <c r="BA831" s="176"/>
      <c r="BB831" s="176"/>
    </row>
    <row r="832" ht="15.75" customHeight="1">
      <c r="A832" s="176"/>
      <c r="B832" s="176"/>
      <c r="C832" s="176"/>
      <c r="D832" s="176"/>
      <c r="E832" s="176"/>
      <c r="F832" s="176"/>
      <c r="G832" s="176"/>
      <c r="H832" s="176"/>
      <c r="I832" s="176"/>
      <c r="J832" s="176"/>
      <c r="K832" s="176"/>
      <c r="L832" s="176"/>
      <c r="M832" s="176"/>
      <c r="N832" s="176"/>
      <c r="O832" s="176"/>
      <c r="P832" s="176"/>
      <c r="Q832" s="176"/>
      <c r="R832" s="176"/>
      <c r="S832" s="176"/>
      <c r="T832" s="176"/>
      <c r="U832" s="176"/>
      <c r="V832" s="176"/>
      <c r="W832" s="176"/>
      <c r="X832" s="176"/>
      <c r="Y832" s="176"/>
      <c r="Z832" s="176"/>
      <c r="AA832" s="176"/>
      <c r="AB832" s="176"/>
      <c r="AC832" s="176"/>
      <c r="AD832" s="176"/>
      <c r="AE832" s="176"/>
      <c r="AF832" s="176"/>
      <c r="AG832" s="176"/>
      <c r="AH832" s="176"/>
      <c r="AI832" s="176"/>
      <c r="AJ832" s="176"/>
      <c r="AK832" s="176"/>
      <c r="AL832" s="176"/>
      <c r="AM832" s="176"/>
      <c r="AN832" s="176"/>
      <c r="AO832" s="176"/>
      <c r="AP832" s="176"/>
      <c r="AQ832" s="176"/>
      <c r="AR832" s="176"/>
      <c r="AS832" s="176"/>
      <c r="AT832" s="176"/>
      <c r="AU832" s="176"/>
      <c r="AV832" s="176"/>
      <c r="AW832" s="176"/>
      <c r="AX832" s="176"/>
      <c r="AY832" s="176"/>
      <c r="AZ832" s="176"/>
      <c r="BA832" s="176"/>
      <c r="BB832" s="176"/>
    </row>
    <row r="833" ht="15.75" customHeight="1">
      <c r="A833" s="176"/>
      <c r="B833" s="176"/>
      <c r="C833" s="176"/>
      <c r="D833" s="176"/>
      <c r="E833" s="176"/>
      <c r="F833" s="176"/>
      <c r="G833" s="176"/>
      <c r="H833" s="176"/>
      <c r="I833" s="176"/>
      <c r="J833" s="176"/>
      <c r="K833" s="176"/>
      <c r="L833" s="176"/>
      <c r="M833" s="176"/>
      <c r="N833" s="176"/>
      <c r="O833" s="176"/>
      <c r="P833" s="176"/>
      <c r="Q833" s="176"/>
      <c r="R833" s="176"/>
      <c r="S833" s="176"/>
      <c r="T833" s="176"/>
      <c r="U833" s="176"/>
      <c r="V833" s="176"/>
      <c r="W833" s="176"/>
      <c r="X833" s="176"/>
      <c r="Y833" s="176"/>
      <c r="Z833" s="176"/>
      <c r="AA833" s="176"/>
      <c r="AB833" s="176"/>
      <c r="AC833" s="176"/>
      <c r="AD833" s="176"/>
      <c r="AE833" s="176"/>
      <c r="AF833" s="176"/>
      <c r="AG833" s="176"/>
      <c r="AH833" s="176"/>
      <c r="AI833" s="176"/>
      <c r="AJ833" s="176"/>
      <c r="AK833" s="176"/>
      <c r="AL833" s="176"/>
      <c r="AM833" s="176"/>
      <c r="AN833" s="176"/>
      <c r="AO833" s="176"/>
      <c r="AP833" s="176"/>
      <c r="AQ833" s="176"/>
      <c r="AR833" s="176"/>
      <c r="AS833" s="176"/>
      <c r="AT833" s="176"/>
      <c r="AU833" s="176"/>
      <c r="AV833" s="176"/>
      <c r="AW833" s="176"/>
      <c r="AX833" s="176"/>
      <c r="AY833" s="176"/>
      <c r="AZ833" s="176"/>
      <c r="BA833" s="176"/>
      <c r="BB833" s="176"/>
    </row>
    <row r="834" ht="15.75" customHeight="1">
      <c r="A834" s="176"/>
      <c r="B834" s="176"/>
      <c r="C834" s="176"/>
      <c r="D834" s="176"/>
      <c r="E834" s="176"/>
      <c r="F834" s="176"/>
      <c r="G834" s="176"/>
      <c r="H834" s="176"/>
      <c r="I834" s="176"/>
      <c r="J834" s="176"/>
      <c r="K834" s="176"/>
      <c r="L834" s="176"/>
      <c r="M834" s="176"/>
      <c r="N834" s="176"/>
      <c r="O834" s="176"/>
      <c r="P834" s="176"/>
      <c r="Q834" s="176"/>
      <c r="R834" s="176"/>
      <c r="S834" s="176"/>
      <c r="T834" s="176"/>
      <c r="U834" s="176"/>
      <c r="V834" s="176"/>
      <c r="W834" s="176"/>
      <c r="X834" s="176"/>
      <c r="Y834" s="176"/>
      <c r="Z834" s="176"/>
      <c r="AA834" s="176"/>
      <c r="AB834" s="176"/>
      <c r="AC834" s="176"/>
      <c r="AD834" s="176"/>
      <c r="AE834" s="176"/>
      <c r="AF834" s="176"/>
      <c r="AG834" s="176"/>
      <c r="AH834" s="176"/>
      <c r="AI834" s="176"/>
      <c r="AJ834" s="176"/>
      <c r="AK834" s="176"/>
      <c r="AL834" s="176"/>
      <c r="AM834" s="176"/>
      <c r="AN834" s="176"/>
      <c r="AO834" s="176"/>
      <c r="AP834" s="176"/>
      <c r="AQ834" s="176"/>
      <c r="AR834" s="176"/>
      <c r="AS834" s="176"/>
      <c r="AT834" s="176"/>
      <c r="AU834" s="176"/>
      <c r="AV834" s="176"/>
      <c r="AW834" s="176"/>
      <c r="AX834" s="176"/>
      <c r="AY834" s="176"/>
      <c r="AZ834" s="176"/>
      <c r="BA834" s="176"/>
      <c r="BB834" s="176"/>
    </row>
    <row r="835" ht="15.75" customHeight="1">
      <c r="A835" s="176"/>
      <c r="B835" s="176"/>
      <c r="C835" s="176"/>
      <c r="D835" s="176"/>
      <c r="E835" s="176"/>
      <c r="F835" s="176"/>
      <c r="G835" s="176"/>
      <c r="H835" s="176"/>
      <c r="I835" s="176"/>
      <c r="J835" s="176"/>
      <c r="K835" s="176"/>
      <c r="L835" s="176"/>
      <c r="M835" s="176"/>
      <c r="N835" s="176"/>
      <c r="O835" s="176"/>
      <c r="P835" s="176"/>
      <c r="Q835" s="176"/>
      <c r="R835" s="176"/>
      <c r="S835" s="176"/>
      <c r="T835" s="176"/>
      <c r="U835" s="176"/>
      <c r="V835" s="176"/>
      <c r="W835" s="176"/>
      <c r="X835" s="176"/>
      <c r="Y835" s="176"/>
      <c r="Z835" s="176"/>
      <c r="AA835" s="176"/>
      <c r="AB835" s="176"/>
      <c r="AC835" s="176"/>
      <c r="AD835" s="176"/>
      <c r="AE835" s="176"/>
      <c r="AF835" s="176"/>
      <c r="AG835" s="176"/>
      <c r="AH835" s="176"/>
      <c r="AI835" s="176"/>
      <c r="AJ835" s="176"/>
      <c r="AK835" s="176"/>
      <c r="AL835" s="176"/>
      <c r="AM835" s="176"/>
      <c r="AN835" s="176"/>
      <c r="AO835" s="176"/>
      <c r="AP835" s="176"/>
      <c r="AQ835" s="176"/>
      <c r="AR835" s="176"/>
      <c r="AS835" s="176"/>
      <c r="AT835" s="176"/>
      <c r="AU835" s="176"/>
      <c r="AV835" s="176"/>
      <c r="AW835" s="176"/>
      <c r="AX835" s="176"/>
      <c r="AY835" s="176"/>
      <c r="AZ835" s="176"/>
      <c r="BA835" s="176"/>
      <c r="BB835" s="176"/>
    </row>
    <row r="836" ht="15.75" customHeight="1">
      <c r="A836" s="176"/>
      <c r="B836" s="176"/>
      <c r="C836" s="176"/>
      <c r="D836" s="176"/>
      <c r="E836" s="176"/>
      <c r="F836" s="176"/>
      <c r="G836" s="176"/>
      <c r="H836" s="176"/>
      <c r="I836" s="176"/>
      <c r="J836" s="176"/>
      <c r="K836" s="176"/>
      <c r="L836" s="176"/>
      <c r="M836" s="176"/>
      <c r="N836" s="176"/>
      <c r="O836" s="176"/>
      <c r="P836" s="176"/>
      <c r="Q836" s="176"/>
      <c r="R836" s="176"/>
      <c r="S836" s="176"/>
      <c r="T836" s="176"/>
      <c r="U836" s="176"/>
      <c r="V836" s="176"/>
      <c r="W836" s="176"/>
      <c r="X836" s="176"/>
      <c r="Y836" s="176"/>
      <c r="Z836" s="176"/>
      <c r="AA836" s="176"/>
      <c r="AB836" s="176"/>
      <c r="AC836" s="176"/>
      <c r="AD836" s="176"/>
      <c r="AE836" s="176"/>
      <c r="AF836" s="176"/>
      <c r="AG836" s="176"/>
      <c r="AH836" s="176"/>
      <c r="AI836" s="176"/>
      <c r="AJ836" s="176"/>
      <c r="AK836" s="176"/>
      <c r="AL836" s="176"/>
      <c r="AM836" s="176"/>
      <c r="AN836" s="176"/>
      <c r="AO836" s="176"/>
      <c r="AP836" s="176"/>
      <c r="AQ836" s="176"/>
      <c r="AR836" s="176"/>
      <c r="AS836" s="176"/>
      <c r="AT836" s="176"/>
      <c r="AU836" s="176"/>
      <c r="AV836" s="176"/>
      <c r="AW836" s="176"/>
      <c r="AX836" s="176"/>
      <c r="AY836" s="176"/>
      <c r="AZ836" s="176"/>
      <c r="BA836" s="176"/>
      <c r="BB836" s="176"/>
    </row>
    <row r="837" ht="15.75" customHeight="1">
      <c r="A837" s="176"/>
      <c r="B837" s="176"/>
      <c r="C837" s="176"/>
      <c r="D837" s="176"/>
      <c r="E837" s="176"/>
      <c r="F837" s="176"/>
      <c r="G837" s="176"/>
      <c r="H837" s="176"/>
      <c r="I837" s="176"/>
      <c r="J837" s="176"/>
      <c r="K837" s="176"/>
      <c r="L837" s="176"/>
      <c r="M837" s="176"/>
      <c r="N837" s="176"/>
      <c r="O837" s="176"/>
      <c r="P837" s="176"/>
      <c r="Q837" s="176"/>
      <c r="R837" s="176"/>
      <c r="S837" s="176"/>
      <c r="T837" s="176"/>
      <c r="U837" s="176"/>
      <c r="V837" s="176"/>
      <c r="W837" s="176"/>
      <c r="X837" s="176"/>
      <c r="Y837" s="176"/>
      <c r="Z837" s="176"/>
      <c r="AA837" s="176"/>
      <c r="AB837" s="176"/>
      <c r="AC837" s="176"/>
      <c r="AD837" s="176"/>
      <c r="AE837" s="176"/>
      <c r="AF837" s="176"/>
      <c r="AG837" s="176"/>
      <c r="AH837" s="176"/>
      <c r="AI837" s="176"/>
      <c r="AJ837" s="176"/>
      <c r="AK837" s="176"/>
      <c r="AL837" s="176"/>
      <c r="AM837" s="176"/>
      <c r="AN837" s="176"/>
      <c r="AO837" s="176"/>
      <c r="AP837" s="176"/>
      <c r="AQ837" s="176"/>
      <c r="AR837" s="176"/>
      <c r="AS837" s="176"/>
      <c r="AT837" s="176"/>
      <c r="AU837" s="176"/>
      <c r="AV837" s="176"/>
      <c r="AW837" s="176"/>
      <c r="AX837" s="176"/>
      <c r="AY837" s="176"/>
      <c r="AZ837" s="176"/>
      <c r="BA837" s="176"/>
      <c r="BB837" s="176"/>
    </row>
    <row r="838" ht="15.75" customHeight="1">
      <c r="A838" s="176"/>
      <c r="B838" s="176"/>
      <c r="C838" s="176"/>
      <c r="D838" s="176"/>
      <c r="E838" s="176"/>
      <c r="F838" s="176"/>
      <c r="G838" s="176"/>
      <c r="H838" s="176"/>
      <c r="I838" s="176"/>
      <c r="J838" s="176"/>
      <c r="K838" s="176"/>
      <c r="L838" s="176"/>
      <c r="M838" s="176"/>
      <c r="N838" s="176"/>
      <c r="O838" s="176"/>
      <c r="P838" s="176"/>
      <c r="Q838" s="176"/>
      <c r="R838" s="176"/>
      <c r="S838" s="176"/>
      <c r="T838" s="176"/>
      <c r="U838" s="176"/>
      <c r="V838" s="176"/>
      <c r="W838" s="176"/>
      <c r="X838" s="176"/>
      <c r="Y838" s="176"/>
      <c r="Z838" s="176"/>
      <c r="AA838" s="176"/>
      <c r="AB838" s="176"/>
      <c r="AC838" s="176"/>
      <c r="AD838" s="176"/>
      <c r="AE838" s="176"/>
      <c r="AF838" s="176"/>
      <c r="AG838" s="176"/>
      <c r="AH838" s="176"/>
      <c r="AI838" s="176"/>
      <c r="AJ838" s="176"/>
      <c r="AK838" s="176"/>
      <c r="AL838" s="176"/>
      <c r="AM838" s="176"/>
      <c r="AN838" s="176"/>
      <c r="AO838" s="176"/>
      <c r="AP838" s="176"/>
      <c r="AQ838" s="176"/>
      <c r="AR838" s="176"/>
      <c r="AS838" s="176"/>
      <c r="AT838" s="176"/>
      <c r="AU838" s="176"/>
      <c r="AV838" s="176"/>
      <c r="AW838" s="176"/>
      <c r="AX838" s="176"/>
      <c r="AY838" s="176"/>
      <c r="AZ838" s="176"/>
      <c r="BA838" s="176"/>
      <c r="BB838" s="176"/>
    </row>
    <row r="839" ht="15.75" customHeight="1">
      <c r="A839" s="176"/>
      <c r="B839" s="176"/>
      <c r="C839" s="176"/>
      <c r="D839" s="176"/>
      <c r="E839" s="176"/>
      <c r="F839" s="176"/>
      <c r="G839" s="176"/>
      <c r="H839" s="176"/>
      <c r="I839" s="176"/>
      <c r="J839" s="176"/>
      <c r="K839" s="176"/>
      <c r="L839" s="176"/>
      <c r="M839" s="176"/>
      <c r="N839" s="176"/>
      <c r="O839" s="176"/>
      <c r="P839" s="176"/>
      <c r="Q839" s="176"/>
      <c r="R839" s="176"/>
      <c r="S839" s="176"/>
      <c r="T839" s="176"/>
      <c r="U839" s="176"/>
      <c r="V839" s="176"/>
      <c r="W839" s="176"/>
      <c r="X839" s="176"/>
      <c r="Y839" s="176"/>
      <c r="Z839" s="176"/>
      <c r="AA839" s="176"/>
      <c r="AB839" s="176"/>
      <c r="AC839" s="176"/>
      <c r="AD839" s="176"/>
      <c r="AE839" s="176"/>
      <c r="AF839" s="176"/>
      <c r="AG839" s="176"/>
      <c r="AH839" s="176"/>
      <c r="AI839" s="176"/>
      <c r="AJ839" s="176"/>
      <c r="AK839" s="176"/>
      <c r="AL839" s="176"/>
      <c r="AM839" s="176"/>
      <c r="AN839" s="176"/>
      <c r="AO839" s="176"/>
      <c r="AP839" s="176"/>
      <c r="AQ839" s="176"/>
      <c r="AR839" s="176"/>
      <c r="AS839" s="176"/>
      <c r="AT839" s="176"/>
      <c r="AU839" s="176"/>
      <c r="AV839" s="176"/>
      <c r="AW839" s="176"/>
      <c r="AX839" s="176"/>
      <c r="AY839" s="176"/>
      <c r="AZ839" s="176"/>
      <c r="BA839" s="176"/>
      <c r="BB839" s="176"/>
    </row>
    <row r="840" ht="15.75" customHeight="1">
      <c r="A840" s="176"/>
      <c r="B840" s="176"/>
      <c r="C840" s="176"/>
      <c r="D840" s="176"/>
      <c r="E840" s="176"/>
      <c r="F840" s="176"/>
      <c r="G840" s="176"/>
      <c r="H840" s="176"/>
      <c r="I840" s="176"/>
      <c r="J840" s="176"/>
      <c r="K840" s="176"/>
      <c r="L840" s="176"/>
      <c r="M840" s="176"/>
      <c r="N840" s="176"/>
      <c r="O840" s="176"/>
      <c r="P840" s="176"/>
      <c r="Q840" s="176"/>
      <c r="R840" s="176"/>
      <c r="S840" s="176"/>
      <c r="T840" s="176"/>
      <c r="U840" s="176"/>
      <c r="V840" s="176"/>
      <c r="W840" s="176"/>
      <c r="X840" s="176"/>
      <c r="Y840" s="176"/>
      <c r="Z840" s="176"/>
      <c r="AA840" s="176"/>
      <c r="AB840" s="176"/>
      <c r="AC840" s="176"/>
      <c r="AD840" s="176"/>
      <c r="AE840" s="176"/>
      <c r="AF840" s="176"/>
      <c r="AG840" s="176"/>
      <c r="AH840" s="176"/>
      <c r="AI840" s="176"/>
      <c r="AJ840" s="176"/>
      <c r="AK840" s="176"/>
      <c r="AL840" s="176"/>
      <c r="AM840" s="176"/>
      <c r="AN840" s="176"/>
      <c r="AO840" s="176"/>
      <c r="AP840" s="176"/>
      <c r="AQ840" s="176"/>
      <c r="AR840" s="176"/>
      <c r="AS840" s="176"/>
      <c r="AT840" s="176"/>
      <c r="AU840" s="176"/>
      <c r="AV840" s="176"/>
      <c r="AW840" s="176"/>
      <c r="AX840" s="176"/>
      <c r="AY840" s="176"/>
      <c r="AZ840" s="176"/>
      <c r="BA840" s="176"/>
      <c r="BB840" s="176"/>
    </row>
    <row r="841" ht="15.75" customHeight="1">
      <c r="A841" s="176"/>
      <c r="B841" s="176"/>
      <c r="C841" s="176"/>
      <c r="D841" s="176"/>
      <c r="E841" s="176"/>
      <c r="F841" s="176"/>
      <c r="G841" s="176"/>
      <c r="H841" s="176"/>
      <c r="I841" s="176"/>
      <c r="J841" s="176"/>
      <c r="K841" s="176"/>
      <c r="L841" s="176"/>
      <c r="M841" s="176"/>
      <c r="N841" s="176"/>
      <c r="O841" s="176"/>
      <c r="P841" s="176"/>
      <c r="Q841" s="176"/>
      <c r="R841" s="176"/>
      <c r="S841" s="176"/>
      <c r="T841" s="176"/>
      <c r="U841" s="176"/>
      <c r="V841" s="176"/>
      <c r="W841" s="176"/>
      <c r="X841" s="176"/>
      <c r="Y841" s="176"/>
      <c r="Z841" s="176"/>
      <c r="AA841" s="176"/>
      <c r="AB841" s="176"/>
      <c r="AC841" s="176"/>
      <c r="AD841" s="176"/>
      <c r="AE841" s="176"/>
      <c r="AF841" s="176"/>
      <c r="AG841" s="176"/>
      <c r="AH841" s="176"/>
      <c r="AI841" s="176"/>
      <c r="AJ841" s="176"/>
      <c r="AK841" s="176"/>
      <c r="AL841" s="176"/>
      <c r="AM841" s="176"/>
      <c r="AN841" s="176"/>
      <c r="AO841" s="176"/>
      <c r="AP841" s="176"/>
      <c r="AQ841" s="176"/>
      <c r="AR841" s="176"/>
      <c r="AS841" s="176"/>
      <c r="AT841" s="176"/>
      <c r="AU841" s="176"/>
      <c r="AV841" s="176"/>
      <c r="AW841" s="176"/>
      <c r="AX841" s="176"/>
      <c r="AY841" s="176"/>
      <c r="AZ841" s="176"/>
      <c r="BA841" s="176"/>
      <c r="BB841" s="176"/>
    </row>
    <row r="842" ht="15.75" customHeight="1">
      <c r="A842" s="176"/>
      <c r="B842" s="176"/>
      <c r="C842" s="176"/>
      <c r="D842" s="176"/>
      <c r="E842" s="176"/>
      <c r="F842" s="176"/>
      <c r="G842" s="176"/>
      <c r="H842" s="176"/>
      <c r="I842" s="176"/>
      <c r="J842" s="176"/>
      <c r="K842" s="176"/>
      <c r="L842" s="176"/>
      <c r="M842" s="176"/>
      <c r="N842" s="176"/>
      <c r="O842" s="176"/>
      <c r="P842" s="176"/>
      <c r="Q842" s="176"/>
      <c r="R842" s="176"/>
      <c r="S842" s="176"/>
      <c r="T842" s="176"/>
      <c r="U842" s="176"/>
      <c r="V842" s="176"/>
      <c r="W842" s="176"/>
      <c r="X842" s="176"/>
      <c r="Y842" s="176"/>
      <c r="Z842" s="176"/>
      <c r="AA842" s="176"/>
      <c r="AB842" s="176"/>
      <c r="AC842" s="176"/>
      <c r="AD842" s="176"/>
      <c r="AE842" s="176"/>
      <c r="AF842" s="176"/>
      <c r="AG842" s="176"/>
      <c r="AH842" s="176"/>
      <c r="AI842" s="176"/>
      <c r="AJ842" s="176"/>
      <c r="AK842" s="176"/>
      <c r="AL842" s="176"/>
      <c r="AM842" s="176"/>
      <c r="AN842" s="176"/>
      <c r="AO842" s="176"/>
      <c r="AP842" s="176"/>
      <c r="AQ842" s="176"/>
      <c r="AR842" s="176"/>
      <c r="AS842" s="176"/>
      <c r="AT842" s="176"/>
      <c r="AU842" s="176"/>
      <c r="AV842" s="176"/>
      <c r="AW842" s="176"/>
      <c r="AX842" s="176"/>
      <c r="AY842" s="176"/>
      <c r="AZ842" s="176"/>
      <c r="BA842" s="176"/>
      <c r="BB842" s="176"/>
    </row>
    <row r="843" ht="15.75" customHeight="1">
      <c r="A843" s="176"/>
      <c r="B843" s="176"/>
      <c r="C843" s="176"/>
      <c r="D843" s="176"/>
      <c r="E843" s="176"/>
      <c r="F843" s="176"/>
      <c r="G843" s="176"/>
      <c r="H843" s="176"/>
      <c r="I843" s="176"/>
      <c r="J843" s="176"/>
      <c r="K843" s="176"/>
      <c r="L843" s="176"/>
      <c r="M843" s="176"/>
      <c r="N843" s="176"/>
      <c r="O843" s="176"/>
      <c r="P843" s="176"/>
      <c r="Q843" s="176"/>
      <c r="R843" s="176"/>
      <c r="S843" s="176"/>
      <c r="T843" s="176"/>
      <c r="U843" s="176"/>
      <c r="V843" s="176"/>
      <c r="W843" s="176"/>
      <c r="X843" s="176"/>
      <c r="Y843" s="176"/>
      <c r="Z843" s="176"/>
      <c r="AA843" s="176"/>
      <c r="AB843" s="176"/>
      <c r="AC843" s="176"/>
      <c r="AD843" s="176"/>
      <c r="AE843" s="176"/>
      <c r="AF843" s="176"/>
      <c r="AG843" s="176"/>
      <c r="AH843" s="176"/>
      <c r="AI843" s="176"/>
      <c r="AJ843" s="176"/>
      <c r="AK843" s="176"/>
      <c r="AL843" s="176"/>
      <c r="AM843" s="176"/>
      <c r="AN843" s="176"/>
      <c r="AO843" s="176"/>
      <c r="AP843" s="176"/>
      <c r="AQ843" s="176"/>
      <c r="AR843" s="176"/>
      <c r="AS843" s="176"/>
      <c r="AT843" s="176"/>
      <c r="AU843" s="176"/>
      <c r="AV843" s="176"/>
      <c r="AW843" s="176"/>
      <c r="AX843" s="176"/>
      <c r="AY843" s="176"/>
      <c r="AZ843" s="176"/>
      <c r="BA843" s="176"/>
      <c r="BB843" s="176"/>
    </row>
    <row r="844" ht="15.75" customHeight="1">
      <c r="A844" s="176"/>
      <c r="B844" s="176"/>
      <c r="C844" s="176"/>
      <c r="D844" s="176"/>
      <c r="E844" s="176"/>
      <c r="F844" s="176"/>
      <c r="G844" s="176"/>
      <c r="H844" s="176"/>
      <c r="I844" s="176"/>
      <c r="J844" s="176"/>
      <c r="K844" s="176"/>
      <c r="L844" s="176"/>
      <c r="M844" s="176"/>
      <c r="N844" s="176"/>
      <c r="O844" s="176"/>
      <c r="P844" s="176"/>
      <c r="Q844" s="176"/>
      <c r="R844" s="176"/>
      <c r="S844" s="176"/>
      <c r="T844" s="176"/>
      <c r="U844" s="176"/>
      <c r="V844" s="176"/>
      <c r="W844" s="176"/>
      <c r="X844" s="176"/>
      <c r="Y844" s="176"/>
      <c r="Z844" s="176"/>
      <c r="AA844" s="176"/>
      <c r="AB844" s="176"/>
      <c r="AC844" s="176"/>
      <c r="AD844" s="176"/>
      <c r="AE844" s="176"/>
      <c r="AF844" s="176"/>
      <c r="AG844" s="176"/>
      <c r="AH844" s="176"/>
      <c r="AI844" s="176"/>
      <c r="AJ844" s="176"/>
      <c r="AK844" s="176"/>
      <c r="AL844" s="176"/>
      <c r="AM844" s="176"/>
      <c r="AN844" s="176"/>
      <c r="AO844" s="176"/>
      <c r="AP844" s="176"/>
      <c r="AQ844" s="176"/>
      <c r="AR844" s="176"/>
      <c r="AS844" s="176"/>
      <c r="AT844" s="176"/>
      <c r="AU844" s="176"/>
      <c r="AV844" s="176"/>
      <c r="AW844" s="176"/>
      <c r="AX844" s="176"/>
      <c r="AY844" s="176"/>
      <c r="AZ844" s="176"/>
      <c r="BA844" s="176"/>
      <c r="BB844" s="176"/>
    </row>
    <row r="845" ht="15.75" customHeight="1">
      <c r="A845" s="176"/>
      <c r="B845" s="176"/>
      <c r="C845" s="176"/>
      <c r="D845" s="176"/>
      <c r="E845" s="176"/>
      <c r="F845" s="176"/>
      <c r="G845" s="176"/>
      <c r="H845" s="176"/>
      <c r="I845" s="176"/>
      <c r="J845" s="176"/>
      <c r="K845" s="176"/>
      <c r="L845" s="176"/>
      <c r="M845" s="176"/>
      <c r="N845" s="176"/>
      <c r="O845" s="176"/>
      <c r="P845" s="176"/>
      <c r="Q845" s="176"/>
      <c r="R845" s="176"/>
      <c r="S845" s="176"/>
      <c r="T845" s="176"/>
      <c r="U845" s="176"/>
      <c r="V845" s="176"/>
      <c r="W845" s="176"/>
      <c r="X845" s="176"/>
      <c r="Y845" s="176"/>
      <c r="Z845" s="176"/>
      <c r="AA845" s="176"/>
      <c r="AB845" s="176"/>
      <c r="AC845" s="176"/>
      <c r="AD845" s="176"/>
      <c r="AE845" s="176"/>
      <c r="AF845" s="176"/>
      <c r="AG845" s="176"/>
      <c r="AH845" s="176"/>
      <c r="AI845" s="176"/>
      <c r="AJ845" s="176"/>
      <c r="AK845" s="176"/>
      <c r="AL845" s="176"/>
      <c r="AM845" s="176"/>
      <c r="AN845" s="176"/>
      <c r="AO845" s="176"/>
      <c r="AP845" s="176"/>
      <c r="AQ845" s="176"/>
      <c r="AR845" s="176"/>
      <c r="AS845" s="176"/>
      <c r="AT845" s="176"/>
      <c r="AU845" s="176"/>
      <c r="AV845" s="176"/>
      <c r="AW845" s="176"/>
      <c r="AX845" s="176"/>
      <c r="AY845" s="176"/>
      <c r="AZ845" s="176"/>
      <c r="BA845" s="176"/>
      <c r="BB845" s="176"/>
    </row>
    <row r="846" ht="15.75" customHeight="1">
      <c r="A846" s="176"/>
      <c r="B846" s="176"/>
      <c r="C846" s="176"/>
      <c r="D846" s="176"/>
      <c r="E846" s="176"/>
      <c r="F846" s="176"/>
      <c r="G846" s="176"/>
      <c r="H846" s="176"/>
      <c r="I846" s="176"/>
      <c r="J846" s="176"/>
      <c r="K846" s="176"/>
      <c r="L846" s="176"/>
      <c r="M846" s="176"/>
      <c r="N846" s="176"/>
      <c r="O846" s="176"/>
      <c r="P846" s="176"/>
      <c r="Q846" s="176"/>
      <c r="R846" s="176"/>
      <c r="S846" s="176"/>
      <c r="T846" s="176"/>
      <c r="U846" s="176"/>
      <c r="V846" s="176"/>
      <c r="W846" s="176"/>
      <c r="X846" s="176"/>
      <c r="Y846" s="176"/>
      <c r="Z846" s="176"/>
      <c r="AA846" s="176"/>
      <c r="AB846" s="176"/>
      <c r="AC846" s="176"/>
      <c r="AD846" s="176"/>
      <c r="AE846" s="176"/>
      <c r="AF846" s="176"/>
      <c r="AG846" s="176"/>
      <c r="AH846" s="176"/>
      <c r="AI846" s="176"/>
      <c r="AJ846" s="176"/>
      <c r="AK846" s="176"/>
      <c r="AL846" s="176"/>
      <c r="AM846" s="176"/>
      <c r="AN846" s="176"/>
      <c r="AO846" s="176"/>
      <c r="AP846" s="176"/>
      <c r="AQ846" s="176"/>
      <c r="AR846" s="176"/>
      <c r="AS846" s="176"/>
      <c r="AT846" s="176"/>
      <c r="AU846" s="176"/>
      <c r="AV846" s="176"/>
      <c r="AW846" s="176"/>
      <c r="AX846" s="176"/>
      <c r="AY846" s="176"/>
      <c r="AZ846" s="176"/>
      <c r="BA846" s="176"/>
      <c r="BB846" s="176"/>
    </row>
    <row r="847" ht="15.75" customHeight="1">
      <c r="A847" s="176"/>
      <c r="B847" s="176"/>
      <c r="C847" s="176"/>
      <c r="D847" s="176"/>
      <c r="E847" s="176"/>
      <c r="F847" s="176"/>
      <c r="G847" s="176"/>
      <c r="H847" s="176"/>
      <c r="I847" s="176"/>
      <c r="J847" s="176"/>
      <c r="K847" s="176"/>
      <c r="L847" s="176"/>
      <c r="M847" s="176"/>
      <c r="N847" s="176"/>
      <c r="O847" s="176"/>
      <c r="P847" s="176"/>
      <c r="Q847" s="176"/>
      <c r="R847" s="176"/>
      <c r="S847" s="176"/>
      <c r="T847" s="176"/>
      <c r="U847" s="176"/>
      <c r="V847" s="176"/>
      <c r="W847" s="176"/>
      <c r="X847" s="176"/>
      <c r="Y847" s="176"/>
      <c r="Z847" s="176"/>
      <c r="AA847" s="176"/>
      <c r="AB847" s="176"/>
      <c r="AC847" s="176"/>
      <c r="AD847" s="176"/>
      <c r="AE847" s="176"/>
      <c r="AF847" s="176"/>
      <c r="AG847" s="176"/>
      <c r="AH847" s="176"/>
      <c r="AI847" s="176"/>
      <c r="AJ847" s="176"/>
      <c r="AK847" s="176"/>
      <c r="AL847" s="176"/>
      <c r="AM847" s="176"/>
      <c r="AN847" s="176"/>
      <c r="AO847" s="176"/>
      <c r="AP847" s="176"/>
      <c r="AQ847" s="176"/>
      <c r="AR847" s="176"/>
      <c r="AS847" s="176"/>
      <c r="AT847" s="176"/>
      <c r="AU847" s="176"/>
      <c r="AV847" s="176"/>
      <c r="AW847" s="176"/>
      <c r="AX847" s="176"/>
      <c r="AY847" s="176"/>
      <c r="AZ847" s="176"/>
      <c r="BA847" s="176"/>
      <c r="BB847" s="176"/>
    </row>
    <row r="848" ht="15.75" customHeight="1">
      <c r="A848" s="176"/>
      <c r="B848" s="176"/>
      <c r="C848" s="176"/>
      <c r="D848" s="176"/>
      <c r="E848" s="176"/>
      <c r="F848" s="176"/>
      <c r="G848" s="176"/>
      <c r="H848" s="176"/>
      <c r="I848" s="176"/>
      <c r="J848" s="176"/>
      <c r="K848" s="176"/>
      <c r="L848" s="176"/>
      <c r="M848" s="176"/>
      <c r="N848" s="176"/>
      <c r="O848" s="176"/>
      <c r="P848" s="176"/>
      <c r="Q848" s="176"/>
      <c r="R848" s="176"/>
      <c r="S848" s="176"/>
      <c r="T848" s="176"/>
      <c r="U848" s="176"/>
      <c r="V848" s="176"/>
      <c r="W848" s="176"/>
      <c r="X848" s="176"/>
      <c r="Y848" s="176"/>
      <c r="Z848" s="176"/>
      <c r="AA848" s="176"/>
      <c r="AB848" s="176"/>
      <c r="AC848" s="176"/>
      <c r="AD848" s="176"/>
      <c r="AE848" s="176"/>
      <c r="AF848" s="176"/>
      <c r="AG848" s="176"/>
      <c r="AH848" s="176"/>
      <c r="AI848" s="176"/>
      <c r="AJ848" s="176"/>
      <c r="AK848" s="176"/>
      <c r="AL848" s="176"/>
      <c r="AM848" s="176"/>
      <c r="AN848" s="176"/>
      <c r="AO848" s="176"/>
      <c r="AP848" s="176"/>
      <c r="AQ848" s="176"/>
      <c r="AR848" s="176"/>
      <c r="AS848" s="176"/>
      <c r="AT848" s="176"/>
      <c r="AU848" s="176"/>
      <c r="AV848" s="176"/>
      <c r="AW848" s="176"/>
      <c r="AX848" s="176"/>
      <c r="AY848" s="176"/>
      <c r="AZ848" s="176"/>
      <c r="BA848" s="176"/>
      <c r="BB848" s="176"/>
    </row>
    <row r="849" ht="15.75" customHeight="1">
      <c r="A849" s="176"/>
      <c r="B849" s="176"/>
      <c r="C849" s="176"/>
      <c r="D849" s="176"/>
      <c r="E849" s="176"/>
      <c r="F849" s="176"/>
      <c r="G849" s="176"/>
      <c r="H849" s="176"/>
      <c r="I849" s="176"/>
      <c r="J849" s="176"/>
      <c r="K849" s="176"/>
      <c r="L849" s="176"/>
      <c r="M849" s="176"/>
      <c r="N849" s="176"/>
      <c r="O849" s="176"/>
      <c r="P849" s="176"/>
      <c r="Q849" s="176"/>
      <c r="R849" s="176"/>
      <c r="S849" s="176"/>
      <c r="T849" s="176"/>
      <c r="U849" s="176"/>
      <c r="V849" s="176"/>
      <c r="W849" s="176"/>
      <c r="X849" s="176"/>
      <c r="Y849" s="176"/>
      <c r="Z849" s="176"/>
      <c r="AA849" s="176"/>
      <c r="AB849" s="176"/>
      <c r="AC849" s="176"/>
      <c r="AD849" s="176"/>
      <c r="AE849" s="176"/>
      <c r="AF849" s="176"/>
      <c r="AG849" s="176"/>
      <c r="AH849" s="176"/>
      <c r="AI849" s="176"/>
      <c r="AJ849" s="176"/>
      <c r="AK849" s="176"/>
      <c r="AL849" s="176"/>
      <c r="AM849" s="176"/>
      <c r="AN849" s="176"/>
      <c r="AO849" s="176"/>
      <c r="AP849" s="176"/>
      <c r="AQ849" s="176"/>
      <c r="AR849" s="176"/>
      <c r="AS849" s="176"/>
      <c r="AT849" s="176"/>
      <c r="AU849" s="176"/>
      <c r="AV849" s="176"/>
      <c r="AW849" s="176"/>
      <c r="AX849" s="176"/>
      <c r="AY849" s="176"/>
      <c r="AZ849" s="176"/>
      <c r="BA849" s="176"/>
      <c r="BB849" s="176"/>
    </row>
    <row r="850" ht="15.75" customHeight="1">
      <c r="A850" s="176"/>
      <c r="B850" s="176"/>
      <c r="C850" s="176"/>
      <c r="D850" s="176"/>
      <c r="E850" s="176"/>
      <c r="F850" s="176"/>
      <c r="G850" s="176"/>
      <c r="H850" s="176"/>
      <c r="I850" s="176"/>
      <c r="J850" s="176"/>
      <c r="K850" s="176"/>
      <c r="L850" s="176"/>
      <c r="M850" s="176"/>
      <c r="N850" s="176"/>
      <c r="O850" s="176"/>
      <c r="P850" s="176"/>
      <c r="Q850" s="176"/>
      <c r="R850" s="176"/>
      <c r="S850" s="176"/>
      <c r="T850" s="176"/>
      <c r="U850" s="176"/>
      <c r="V850" s="176"/>
      <c r="W850" s="176"/>
      <c r="X850" s="176"/>
      <c r="Y850" s="176"/>
      <c r="Z850" s="176"/>
      <c r="AA850" s="176"/>
      <c r="AB850" s="176"/>
      <c r="AC850" s="176"/>
      <c r="AD850" s="176"/>
      <c r="AE850" s="176"/>
      <c r="AF850" s="176"/>
      <c r="AG850" s="176"/>
      <c r="AH850" s="176"/>
      <c r="AI850" s="176"/>
      <c r="AJ850" s="176"/>
      <c r="AK850" s="176"/>
      <c r="AL850" s="176"/>
      <c r="AM850" s="176"/>
      <c r="AN850" s="176"/>
      <c r="AO850" s="176"/>
      <c r="AP850" s="176"/>
      <c r="AQ850" s="176"/>
      <c r="AR850" s="176"/>
      <c r="AS850" s="176"/>
      <c r="AT850" s="176"/>
      <c r="AU850" s="176"/>
      <c r="AV850" s="176"/>
      <c r="AW850" s="176"/>
      <c r="AX850" s="176"/>
      <c r="AY850" s="176"/>
      <c r="AZ850" s="176"/>
      <c r="BA850" s="176"/>
      <c r="BB850" s="176"/>
    </row>
    <row r="851" ht="15.75" customHeight="1">
      <c r="A851" s="176"/>
      <c r="B851" s="176"/>
      <c r="C851" s="176"/>
      <c r="D851" s="176"/>
      <c r="E851" s="176"/>
      <c r="F851" s="176"/>
      <c r="G851" s="176"/>
      <c r="H851" s="176"/>
      <c r="I851" s="176"/>
      <c r="J851" s="176"/>
      <c r="K851" s="176"/>
      <c r="L851" s="176"/>
      <c r="M851" s="176"/>
      <c r="N851" s="176"/>
      <c r="O851" s="176"/>
      <c r="P851" s="176"/>
      <c r="Q851" s="176"/>
      <c r="R851" s="176"/>
      <c r="S851" s="176"/>
      <c r="T851" s="176"/>
      <c r="U851" s="176"/>
      <c r="V851" s="176"/>
      <c r="W851" s="176"/>
      <c r="X851" s="176"/>
      <c r="Y851" s="176"/>
      <c r="Z851" s="176"/>
      <c r="AA851" s="176"/>
      <c r="AB851" s="176"/>
      <c r="AC851" s="176"/>
      <c r="AD851" s="176"/>
      <c r="AE851" s="176"/>
      <c r="AF851" s="176"/>
      <c r="AG851" s="176"/>
      <c r="AH851" s="176"/>
      <c r="AI851" s="176"/>
      <c r="AJ851" s="176"/>
      <c r="AK851" s="176"/>
      <c r="AL851" s="176"/>
      <c r="AM851" s="176"/>
      <c r="AN851" s="176"/>
      <c r="AO851" s="176"/>
      <c r="AP851" s="176"/>
      <c r="AQ851" s="176"/>
      <c r="AR851" s="176"/>
      <c r="AS851" s="176"/>
      <c r="AT851" s="176"/>
      <c r="AU851" s="176"/>
      <c r="AV851" s="176"/>
      <c r="AW851" s="176"/>
      <c r="AX851" s="176"/>
      <c r="AY851" s="176"/>
      <c r="AZ851" s="176"/>
      <c r="BA851" s="176"/>
      <c r="BB851" s="176"/>
    </row>
    <row r="852" ht="15.75" customHeight="1">
      <c r="A852" s="176"/>
      <c r="B852" s="176"/>
      <c r="C852" s="176"/>
      <c r="D852" s="176"/>
      <c r="E852" s="176"/>
      <c r="F852" s="176"/>
      <c r="G852" s="176"/>
      <c r="H852" s="176"/>
      <c r="I852" s="176"/>
      <c r="J852" s="176"/>
      <c r="K852" s="176"/>
      <c r="L852" s="176"/>
      <c r="M852" s="176"/>
      <c r="N852" s="176"/>
      <c r="O852" s="176"/>
      <c r="P852" s="176"/>
      <c r="Q852" s="176"/>
      <c r="R852" s="176"/>
      <c r="S852" s="176"/>
      <c r="T852" s="176"/>
      <c r="U852" s="176"/>
      <c r="V852" s="176"/>
      <c r="W852" s="176"/>
      <c r="X852" s="176"/>
      <c r="Y852" s="176"/>
      <c r="Z852" s="176"/>
      <c r="AA852" s="176"/>
      <c r="AB852" s="176"/>
      <c r="AC852" s="176"/>
      <c r="AD852" s="176"/>
      <c r="AE852" s="176"/>
      <c r="AF852" s="176"/>
      <c r="AG852" s="176"/>
      <c r="AH852" s="176"/>
      <c r="AI852" s="176"/>
      <c r="AJ852" s="176"/>
      <c r="AK852" s="176"/>
      <c r="AL852" s="176"/>
      <c r="AM852" s="176"/>
      <c r="AN852" s="176"/>
      <c r="AO852" s="176"/>
      <c r="AP852" s="176"/>
      <c r="AQ852" s="176"/>
      <c r="AR852" s="176"/>
      <c r="AS852" s="176"/>
      <c r="AT852" s="176"/>
      <c r="AU852" s="176"/>
      <c r="AV852" s="176"/>
      <c r="AW852" s="176"/>
      <c r="AX852" s="176"/>
      <c r="AY852" s="176"/>
      <c r="AZ852" s="176"/>
      <c r="BA852" s="176"/>
      <c r="BB852" s="176"/>
    </row>
    <row r="853" ht="15.75" customHeight="1">
      <c r="A853" s="176"/>
      <c r="B853" s="176"/>
      <c r="C853" s="176"/>
      <c r="D853" s="176"/>
      <c r="E853" s="176"/>
      <c r="F853" s="176"/>
      <c r="G853" s="176"/>
      <c r="H853" s="176"/>
      <c r="I853" s="176"/>
      <c r="J853" s="176"/>
      <c r="K853" s="176"/>
      <c r="L853" s="176"/>
      <c r="M853" s="176"/>
      <c r="N853" s="176"/>
      <c r="O853" s="176"/>
      <c r="P853" s="176"/>
      <c r="Q853" s="176"/>
      <c r="R853" s="176"/>
      <c r="S853" s="176"/>
      <c r="T853" s="176"/>
      <c r="U853" s="176"/>
      <c r="V853" s="176"/>
      <c r="W853" s="176"/>
      <c r="X853" s="176"/>
      <c r="Y853" s="176"/>
      <c r="Z853" s="176"/>
      <c r="AA853" s="176"/>
      <c r="AB853" s="176"/>
      <c r="AC853" s="176"/>
      <c r="AD853" s="176"/>
      <c r="AE853" s="176"/>
      <c r="AF853" s="176"/>
      <c r="AG853" s="176"/>
      <c r="AH853" s="176"/>
      <c r="AI853" s="176"/>
      <c r="AJ853" s="176"/>
      <c r="AK853" s="176"/>
      <c r="AL853" s="176"/>
      <c r="AM853" s="176"/>
      <c r="AN853" s="176"/>
      <c r="AO853" s="176"/>
      <c r="AP853" s="176"/>
      <c r="AQ853" s="176"/>
      <c r="AR853" s="176"/>
      <c r="AS853" s="176"/>
      <c r="AT853" s="176"/>
      <c r="AU853" s="176"/>
      <c r="AV853" s="176"/>
      <c r="AW853" s="176"/>
      <c r="AX853" s="176"/>
      <c r="AY853" s="176"/>
      <c r="AZ853" s="176"/>
      <c r="BA853" s="176"/>
      <c r="BB853" s="176"/>
    </row>
    <row r="854" ht="15.75" customHeight="1">
      <c r="A854" s="176"/>
      <c r="B854" s="176"/>
      <c r="C854" s="176"/>
      <c r="D854" s="176"/>
      <c r="E854" s="176"/>
      <c r="F854" s="176"/>
      <c r="G854" s="176"/>
      <c r="H854" s="176"/>
      <c r="I854" s="176"/>
      <c r="J854" s="176"/>
      <c r="K854" s="176"/>
      <c r="L854" s="176"/>
      <c r="M854" s="176"/>
      <c r="N854" s="176"/>
      <c r="O854" s="176"/>
      <c r="P854" s="176"/>
      <c r="Q854" s="176"/>
      <c r="R854" s="176"/>
      <c r="S854" s="176"/>
      <c r="T854" s="176"/>
      <c r="U854" s="176"/>
      <c r="V854" s="176"/>
      <c r="W854" s="176"/>
      <c r="X854" s="176"/>
      <c r="Y854" s="176"/>
      <c r="Z854" s="176"/>
      <c r="AA854" s="176"/>
      <c r="AB854" s="176"/>
      <c r="AC854" s="176"/>
      <c r="AD854" s="176"/>
      <c r="AE854" s="176"/>
      <c r="AF854" s="176"/>
      <c r="AG854" s="176"/>
      <c r="AH854" s="176"/>
      <c r="AI854" s="176"/>
      <c r="AJ854" s="176"/>
      <c r="AK854" s="176"/>
      <c r="AL854" s="176"/>
      <c r="AM854" s="176"/>
      <c r="AN854" s="176"/>
      <c r="AO854" s="176"/>
      <c r="AP854" s="176"/>
      <c r="AQ854" s="176"/>
      <c r="AR854" s="176"/>
      <c r="AS854" s="176"/>
      <c r="AT854" s="176"/>
      <c r="AU854" s="176"/>
      <c r="AV854" s="176"/>
      <c r="AW854" s="176"/>
      <c r="AX854" s="176"/>
      <c r="AY854" s="176"/>
      <c r="AZ854" s="176"/>
      <c r="BA854" s="176"/>
      <c r="BB854" s="176"/>
    </row>
    <row r="855" ht="15.75" customHeight="1">
      <c r="A855" s="176"/>
      <c r="B855" s="176"/>
      <c r="C855" s="176"/>
      <c r="D855" s="176"/>
      <c r="E855" s="176"/>
      <c r="F855" s="176"/>
      <c r="G855" s="176"/>
      <c r="H855" s="176"/>
      <c r="I855" s="176"/>
      <c r="J855" s="176"/>
      <c r="K855" s="176"/>
      <c r="L855" s="176"/>
      <c r="M855" s="176"/>
      <c r="N855" s="176"/>
      <c r="O855" s="176"/>
      <c r="P855" s="176"/>
      <c r="Q855" s="176"/>
      <c r="R855" s="176"/>
      <c r="S855" s="176"/>
      <c r="T855" s="176"/>
      <c r="U855" s="176"/>
      <c r="V855" s="176"/>
      <c r="W855" s="176"/>
      <c r="X855" s="176"/>
      <c r="Y855" s="176"/>
      <c r="Z855" s="176"/>
      <c r="AA855" s="176"/>
      <c r="AB855" s="176"/>
      <c r="AC855" s="176"/>
      <c r="AD855" s="176"/>
      <c r="AE855" s="176"/>
      <c r="AF855" s="176"/>
      <c r="AG855" s="176"/>
      <c r="AH855" s="176"/>
      <c r="AI855" s="176"/>
      <c r="AJ855" s="176"/>
      <c r="AK855" s="176"/>
      <c r="AL855" s="176"/>
      <c r="AM855" s="176"/>
      <c r="AN855" s="176"/>
      <c r="AO855" s="176"/>
      <c r="AP855" s="176"/>
      <c r="AQ855" s="176"/>
      <c r="AR855" s="176"/>
      <c r="AS855" s="176"/>
      <c r="AT855" s="176"/>
      <c r="AU855" s="176"/>
      <c r="AV855" s="176"/>
      <c r="AW855" s="176"/>
      <c r="AX855" s="176"/>
      <c r="AY855" s="176"/>
      <c r="AZ855" s="176"/>
      <c r="BA855" s="176"/>
      <c r="BB855" s="176"/>
    </row>
    <row r="856" ht="15.75" customHeight="1">
      <c r="A856" s="176"/>
      <c r="B856" s="176"/>
      <c r="C856" s="176"/>
      <c r="D856" s="176"/>
      <c r="E856" s="176"/>
      <c r="F856" s="176"/>
      <c r="G856" s="176"/>
      <c r="H856" s="176"/>
      <c r="I856" s="176"/>
      <c r="J856" s="176"/>
      <c r="K856" s="176"/>
      <c r="L856" s="176"/>
      <c r="M856" s="176"/>
      <c r="N856" s="176"/>
      <c r="O856" s="176"/>
      <c r="P856" s="176"/>
      <c r="Q856" s="176"/>
      <c r="R856" s="176"/>
      <c r="S856" s="176"/>
      <c r="T856" s="176"/>
      <c r="U856" s="176"/>
      <c r="V856" s="176"/>
      <c r="W856" s="176"/>
      <c r="X856" s="176"/>
      <c r="Y856" s="176"/>
      <c r="Z856" s="176"/>
      <c r="AA856" s="176"/>
      <c r="AB856" s="176"/>
      <c r="AC856" s="176"/>
      <c r="AD856" s="176"/>
      <c r="AE856" s="176"/>
      <c r="AF856" s="176"/>
      <c r="AG856" s="176"/>
      <c r="AH856" s="176"/>
      <c r="AI856" s="176"/>
      <c r="AJ856" s="176"/>
      <c r="AK856" s="176"/>
      <c r="AL856" s="176"/>
      <c r="AM856" s="176"/>
      <c r="AN856" s="176"/>
      <c r="AO856" s="176"/>
      <c r="AP856" s="176"/>
      <c r="AQ856" s="176"/>
      <c r="AR856" s="176"/>
      <c r="AS856" s="176"/>
      <c r="AT856" s="176"/>
      <c r="AU856" s="176"/>
      <c r="AV856" s="176"/>
      <c r="AW856" s="176"/>
      <c r="AX856" s="176"/>
      <c r="AY856" s="176"/>
      <c r="AZ856" s="176"/>
      <c r="BA856" s="176"/>
      <c r="BB856" s="176"/>
    </row>
    <row r="857" ht="15.75" customHeight="1">
      <c r="A857" s="176"/>
      <c r="B857" s="176"/>
      <c r="C857" s="176"/>
      <c r="D857" s="176"/>
      <c r="E857" s="176"/>
      <c r="F857" s="176"/>
      <c r="G857" s="176"/>
      <c r="H857" s="176"/>
      <c r="I857" s="176"/>
      <c r="J857" s="176"/>
      <c r="K857" s="176"/>
      <c r="L857" s="176"/>
      <c r="M857" s="176"/>
      <c r="N857" s="176"/>
      <c r="O857" s="176"/>
      <c r="P857" s="176"/>
      <c r="Q857" s="176"/>
      <c r="R857" s="176"/>
      <c r="S857" s="176"/>
      <c r="T857" s="176"/>
      <c r="U857" s="176"/>
      <c r="V857" s="176"/>
      <c r="W857" s="176"/>
      <c r="X857" s="176"/>
      <c r="Y857" s="176"/>
      <c r="Z857" s="176"/>
      <c r="AA857" s="176"/>
      <c r="AB857" s="176"/>
      <c r="AC857" s="176"/>
      <c r="AD857" s="176"/>
      <c r="AE857" s="176"/>
      <c r="AF857" s="176"/>
      <c r="AG857" s="176"/>
      <c r="AH857" s="176"/>
      <c r="AI857" s="176"/>
      <c r="AJ857" s="176"/>
      <c r="AK857" s="176"/>
      <c r="AL857" s="176"/>
      <c r="AM857" s="176"/>
      <c r="AN857" s="176"/>
      <c r="AO857" s="176"/>
      <c r="AP857" s="176"/>
      <c r="AQ857" s="176"/>
      <c r="AR857" s="176"/>
      <c r="AS857" s="176"/>
      <c r="AT857" s="176"/>
      <c r="AU857" s="176"/>
      <c r="AV857" s="176"/>
      <c r="AW857" s="176"/>
      <c r="AX857" s="176"/>
      <c r="AY857" s="176"/>
      <c r="AZ857" s="176"/>
      <c r="BA857" s="176"/>
      <c r="BB857" s="176"/>
    </row>
    <row r="858" ht="15.75" customHeight="1">
      <c r="A858" s="176"/>
      <c r="B858" s="176"/>
      <c r="C858" s="176"/>
      <c r="D858" s="176"/>
      <c r="E858" s="176"/>
      <c r="F858" s="176"/>
      <c r="G858" s="176"/>
      <c r="H858" s="176"/>
      <c r="I858" s="176"/>
      <c r="J858" s="176"/>
      <c r="K858" s="176"/>
      <c r="L858" s="176"/>
      <c r="M858" s="176"/>
      <c r="N858" s="176"/>
      <c r="O858" s="176"/>
      <c r="P858" s="176"/>
      <c r="Q858" s="176"/>
      <c r="R858" s="176"/>
      <c r="S858" s="176"/>
      <c r="T858" s="176"/>
      <c r="U858" s="176"/>
      <c r="V858" s="176"/>
      <c r="W858" s="176"/>
      <c r="X858" s="176"/>
      <c r="Y858" s="176"/>
      <c r="Z858" s="176"/>
      <c r="AA858" s="176"/>
      <c r="AB858" s="176"/>
      <c r="AC858" s="176"/>
      <c r="AD858" s="176"/>
      <c r="AE858" s="176"/>
      <c r="AF858" s="176"/>
      <c r="AG858" s="176"/>
      <c r="AH858" s="176"/>
      <c r="AI858" s="176"/>
      <c r="AJ858" s="176"/>
      <c r="AK858" s="176"/>
      <c r="AL858" s="176"/>
      <c r="AM858" s="176"/>
      <c r="AN858" s="176"/>
      <c r="AO858" s="176"/>
      <c r="AP858" s="176"/>
      <c r="AQ858" s="176"/>
      <c r="AR858" s="176"/>
      <c r="AS858" s="176"/>
      <c r="AT858" s="176"/>
      <c r="AU858" s="176"/>
      <c r="AV858" s="176"/>
      <c r="AW858" s="176"/>
      <c r="AX858" s="176"/>
      <c r="AY858" s="176"/>
      <c r="AZ858" s="176"/>
      <c r="BA858" s="176"/>
      <c r="BB858" s="176"/>
    </row>
    <row r="859" ht="15.75" customHeight="1">
      <c r="A859" s="176"/>
      <c r="B859" s="176"/>
      <c r="C859" s="176"/>
      <c r="D859" s="176"/>
      <c r="E859" s="176"/>
      <c r="F859" s="176"/>
      <c r="G859" s="176"/>
      <c r="H859" s="176"/>
      <c r="I859" s="176"/>
      <c r="J859" s="176"/>
      <c r="K859" s="176"/>
      <c r="L859" s="176"/>
      <c r="M859" s="176"/>
      <c r="N859" s="176"/>
      <c r="O859" s="176"/>
      <c r="P859" s="176"/>
      <c r="Q859" s="176"/>
      <c r="R859" s="176"/>
      <c r="S859" s="176"/>
      <c r="T859" s="176"/>
      <c r="U859" s="176"/>
      <c r="V859" s="176"/>
      <c r="W859" s="176"/>
      <c r="X859" s="176"/>
      <c r="Y859" s="176"/>
      <c r="Z859" s="176"/>
      <c r="AA859" s="176"/>
      <c r="AB859" s="176"/>
      <c r="AC859" s="176"/>
      <c r="AD859" s="176"/>
      <c r="AE859" s="176"/>
      <c r="AF859" s="176"/>
      <c r="AG859" s="176"/>
      <c r="AH859" s="176"/>
      <c r="AI859" s="176"/>
      <c r="AJ859" s="176"/>
      <c r="AK859" s="176"/>
      <c r="AL859" s="176"/>
      <c r="AM859" s="176"/>
      <c r="AN859" s="176"/>
      <c r="AO859" s="176"/>
      <c r="AP859" s="176"/>
      <c r="AQ859" s="176"/>
      <c r="AR859" s="176"/>
      <c r="AS859" s="176"/>
      <c r="AT859" s="176"/>
      <c r="AU859" s="176"/>
      <c r="AV859" s="176"/>
      <c r="AW859" s="176"/>
      <c r="AX859" s="176"/>
      <c r="AY859" s="176"/>
      <c r="AZ859" s="176"/>
      <c r="BA859" s="176"/>
      <c r="BB859" s="176"/>
    </row>
    <row r="860" ht="15.75" customHeight="1">
      <c r="A860" s="176"/>
      <c r="B860" s="176"/>
      <c r="C860" s="176"/>
      <c r="D860" s="176"/>
      <c r="E860" s="176"/>
      <c r="F860" s="176"/>
      <c r="G860" s="176"/>
      <c r="H860" s="176"/>
      <c r="I860" s="176"/>
      <c r="J860" s="176"/>
      <c r="K860" s="176"/>
      <c r="L860" s="176"/>
      <c r="M860" s="176"/>
      <c r="N860" s="176"/>
      <c r="O860" s="176"/>
      <c r="P860" s="176"/>
      <c r="Q860" s="176"/>
      <c r="R860" s="176"/>
      <c r="S860" s="176"/>
      <c r="T860" s="176"/>
      <c r="U860" s="176"/>
      <c r="V860" s="176"/>
      <c r="W860" s="176"/>
      <c r="X860" s="176"/>
      <c r="Y860" s="176"/>
      <c r="Z860" s="176"/>
      <c r="AA860" s="176"/>
      <c r="AB860" s="176"/>
      <c r="AC860" s="176"/>
      <c r="AD860" s="176"/>
      <c r="AE860" s="176"/>
      <c r="AF860" s="176"/>
      <c r="AG860" s="176"/>
      <c r="AH860" s="176"/>
      <c r="AI860" s="176"/>
      <c r="AJ860" s="176"/>
      <c r="AK860" s="176"/>
      <c r="AL860" s="176"/>
      <c r="AM860" s="176"/>
      <c r="AN860" s="176"/>
      <c r="AO860" s="176"/>
      <c r="AP860" s="176"/>
      <c r="AQ860" s="176"/>
      <c r="AR860" s="176"/>
      <c r="AS860" s="176"/>
      <c r="AT860" s="176"/>
      <c r="AU860" s="176"/>
      <c r="AV860" s="176"/>
      <c r="AW860" s="176"/>
      <c r="AX860" s="176"/>
      <c r="AY860" s="176"/>
      <c r="AZ860" s="176"/>
      <c r="BA860" s="176"/>
      <c r="BB860" s="176"/>
    </row>
    <row r="861" ht="15.75" customHeight="1">
      <c r="A861" s="176"/>
      <c r="B861" s="176"/>
      <c r="C861" s="176"/>
      <c r="D861" s="176"/>
      <c r="E861" s="176"/>
      <c r="F861" s="176"/>
      <c r="G861" s="176"/>
      <c r="H861" s="176"/>
      <c r="I861" s="176"/>
      <c r="J861" s="176"/>
      <c r="K861" s="176"/>
      <c r="L861" s="176"/>
      <c r="M861" s="176"/>
      <c r="N861" s="176"/>
      <c r="O861" s="176"/>
      <c r="P861" s="176"/>
      <c r="Q861" s="176"/>
      <c r="R861" s="176"/>
      <c r="S861" s="176"/>
      <c r="T861" s="176"/>
      <c r="U861" s="176"/>
      <c r="V861" s="176"/>
      <c r="W861" s="176"/>
      <c r="X861" s="176"/>
      <c r="Y861" s="176"/>
      <c r="Z861" s="176"/>
      <c r="AA861" s="176"/>
      <c r="AB861" s="176"/>
      <c r="AC861" s="176"/>
      <c r="AD861" s="176"/>
      <c r="AE861" s="176"/>
      <c r="AF861" s="176"/>
      <c r="AG861" s="176"/>
      <c r="AH861" s="176"/>
      <c r="AI861" s="176"/>
      <c r="AJ861" s="176"/>
      <c r="AK861" s="176"/>
      <c r="AL861" s="176"/>
      <c r="AM861" s="176"/>
      <c r="AN861" s="176"/>
      <c r="AO861" s="176"/>
      <c r="AP861" s="176"/>
      <c r="AQ861" s="176"/>
      <c r="AR861" s="176"/>
      <c r="AS861" s="176"/>
      <c r="AT861" s="176"/>
      <c r="AU861" s="176"/>
      <c r="AV861" s="176"/>
      <c r="AW861" s="176"/>
      <c r="AX861" s="176"/>
      <c r="AY861" s="176"/>
      <c r="AZ861" s="176"/>
      <c r="BA861" s="176"/>
      <c r="BB861" s="176"/>
    </row>
    <row r="862" ht="15.75" customHeight="1">
      <c r="A862" s="176"/>
      <c r="B862" s="176"/>
      <c r="C862" s="176"/>
      <c r="D862" s="176"/>
      <c r="E862" s="176"/>
      <c r="F862" s="176"/>
      <c r="G862" s="176"/>
      <c r="H862" s="176"/>
      <c r="I862" s="176"/>
      <c r="J862" s="176"/>
      <c r="K862" s="176"/>
      <c r="L862" s="176"/>
      <c r="M862" s="176"/>
      <c r="N862" s="176"/>
      <c r="O862" s="176"/>
      <c r="P862" s="176"/>
      <c r="Q862" s="176"/>
      <c r="R862" s="176"/>
      <c r="S862" s="176"/>
      <c r="T862" s="176"/>
      <c r="U862" s="176"/>
      <c r="V862" s="176"/>
      <c r="W862" s="176"/>
      <c r="X862" s="176"/>
      <c r="Y862" s="176"/>
      <c r="Z862" s="176"/>
      <c r="AA862" s="176"/>
      <c r="AB862" s="176"/>
      <c r="AC862" s="176"/>
      <c r="AD862" s="176"/>
      <c r="AE862" s="176"/>
      <c r="AF862" s="176"/>
      <c r="AG862" s="176"/>
      <c r="AH862" s="176"/>
      <c r="AI862" s="176"/>
      <c r="AJ862" s="176"/>
      <c r="AK862" s="176"/>
      <c r="AL862" s="176"/>
      <c r="AM862" s="176"/>
      <c r="AN862" s="176"/>
      <c r="AO862" s="176"/>
      <c r="AP862" s="176"/>
      <c r="AQ862" s="176"/>
      <c r="AR862" s="176"/>
      <c r="AS862" s="176"/>
      <c r="AT862" s="176"/>
      <c r="AU862" s="176"/>
      <c r="AV862" s="176"/>
      <c r="AW862" s="176"/>
      <c r="AX862" s="176"/>
      <c r="AY862" s="176"/>
      <c r="AZ862" s="176"/>
      <c r="BA862" s="176"/>
      <c r="BB862" s="176"/>
    </row>
    <row r="863" ht="15.75" customHeight="1">
      <c r="A863" s="176"/>
      <c r="B863" s="176"/>
      <c r="C863" s="176"/>
      <c r="D863" s="176"/>
      <c r="E863" s="176"/>
      <c r="F863" s="176"/>
      <c r="G863" s="176"/>
      <c r="H863" s="176"/>
      <c r="I863" s="176"/>
      <c r="J863" s="176"/>
      <c r="K863" s="176"/>
      <c r="L863" s="176"/>
      <c r="M863" s="176"/>
      <c r="N863" s="176"/>
      <c r="O863" s="176"/>
      <c r="P863" s="176"/>
      <c r="Q863" s="176"/>
      <c r="R863" s="176"/>
      <c r="S863" s="176"/>
      <c r="T863" s="176"/>
      <c r="U863" s="176"/>
      <c r="V863" s="176"/>
      <c r="W863" s="176"/>
      <c r="X863" s="176"/>
      <c r="Y863" s="176"/>
      <c r="Z863" s="176"/>
      <c r="AA863" s="176"/>
      <c r="AB863" s="176"/>
      <c r="AC863" s="176"/>
      <c r="AD863" s="176"/>
      <c r="AE863" s="176"/>
      <c r="AF863" s="176"/>
      <c r="AG863" s="176"/>
      <c r="AH863" s="176"/>
      <c r="AI863" s="176"/>
      <c r="AJ863" s="176"/>
      <c r="AK863" s="176"/>
      <c r="AL863" s="176"/>
      <c r="AM863" s="176"/>
      <c r="AN863" s="176"/>
      <c r="AO863" s="176"/>
      <c r="AP863" s="176"/>
      <c r="AQ863" s="176"/>
      <c r="AR863" s="176"/>
      <c r="AS863" s="176"/>
      <c r="AT863" s="176"/>
      <c r="AU863" s="176"/>
      <c r="AV863" s="176"/>
      <c r="AW863" s="176"/>
      <c r="AX863" s="176"/>
      <c r="AY863" s="176"/>
      <c r="AZ863" s="176"/>
      <c r="BA863" s="176"/>
      <c r="BB863" s="176"/>
    </row>
    <row r="864" ht="15.75" customHeight="1">
      <c r="A864" s="176"/>
      <c r="B864" s="176"/>
      <c r="C864" s="176"/>
      <c r="D864" s="176"/>
      <c r="E864" s="176"/>
      <c r="F864" s="176"/>
      <c r="G864" s="176"/>
      <c r="H864" s="176"/>
      <c r="I864" s="176"/>
      <c r="J864" s="176"/>
      <c r="K864" s="176"/>
      <c r="L864" s="176"/>
      <c r="M864" s="176"/>
      <c r="N864" s="176"/>
      <c r="O864" s="176"/>
      <c r="P864" s="176"/>
      <c r="Q864" s="176"/>
      <c r="R864" s="176"/>
      <c r="S864" s="176"/>
      <c r="T864" s="176"/>
      <c r="U864" s="176"/>
      <c r="V864" s="176"/>
      <c r="W864" s="176"/>
      <c r="X864" s="176"/>
      <c r="Y864" s="176"/>
      <c r="Z864" s="176"/>
      <c r="AA864" s="176"/>
      <c r="AB864" s="176"/>
      <c r="AC864" s="176"/>
      <c r="AD864" s="176"/>
      <c r="AE864" s="176"/>
      <c r="AF864" s="176"/>
      <c r="AG864" s="176"/>
      <c r="AH864" s="176"/>
      <c r="AI864" s="176"/>
      <c r="AJ864" s="176"/>
      <c r="AK864" s="176"/>
      <c r="AL864" s="176"/>
      <c r="AM864" s="176"/>
      <c r="AN864" s="176"/>
      <c r="AO864" s="176"/>
      <c r="AP864" s="176"/>
      <c r="AQ864" s="176"/>
      <c r="AR864" s="176"/>
      <c r="AS864" s="176"/>
      <c r="AT864" s="176"/>
      <c r="AU864" s="176"/>
      <c r="AV864" s="176"/>
      <c r="AW864" s="176"/>
      <c r="AX864" s="176"/>
      <c r="AY864" s="176"/>
      <c r="AZ864" s="176"/>
      <c r="BA864" s="176"/>
      <c r="BB864" s="176"/>
    </row>
    <row r="865" ht="15.75" customHeight="1">
      <c r="A865" s="176"/>
      <c r="B865" s="176"/>
      <c r="C865" s="176"/>
      <c r="D865" s="176"/>
      <c r="E865" s="176"/>
      <c r="F865" s="176"/>
      <c r="G865" s="176"/>
      <c r="H865" s="176"/>
      <c r="I865" s="176"/>
      <c r="J865" s="176"/>
      <c r="K865" s="176"/>
      <c r="L865" s="176"/>
      <c r="M865" s="176"/>
      <c r="N865" s="176"/>
      <c r="O865" s="176"/>
      <c r="P865" s="176"/>
      <c r="Q865" s="176"/>
      <c r="R865" s="176"/>
      <c r="S865" s="176"/>
      <c r="T865" s="176"/>
      <c r="U865" s="176"/>
      <c r="V865" s="176"/>
      <c r="W865" s="176"/>
      <c r="X865" s="176"/>
      <c r="Y865" s="176"/>
      <c r="Z865" s="176"/>
      <c r="AA865" s="176"/>
      <c r="AB865" s="176"/>
      <c r="AC865" s="176"/>
      <c r="AD865" s="176"/>
      <c r="AE865" s="176"/>
      <c r="AF865" s="176"/>
      <c r="AG865" s="176"/>
      <c r="AH865" s="176"/>
      <c r="AI865" s="176"/>
      <c r="AJ865" s="176"/>
      <c r="AK865" s="176"/>
      <c r="AL865" s="176"/>
      <c r="AM865" s="176"/>
      <c r="AN865" s="176"/>
      <c r="AO865" s="176"/>
      <c r="AP865" s="176"/>
      <c r="AQ865" s="176"/>
      <c r="AR865" s="176"/>
      <c r="AS865" s="176"/>
      <c r="AT865" s="176"/>
      <c r="AU865" s="176"/>
      <c r="AV865" s="176"/>
      <c r="AW865" s="176"/>
      <c r="AX865" s="176"/>
      <c r="AY865" s="176"/>
      <c r="AZ865" s="176"/>
      <c r="BA865" s="176"/>
      <c r="BB865" s="176"/>
    </row>
    <row r="866" ht="15.75" customHeight="1">
      <c r="A866" s="176"/>
      <c r="B866" s="176"/>
      <c r="C866" s="176"/>
      <c r="D866" s="176"/>
      <c r="E866" s="176"/>
      <c r="F866" s="176"/>
      <c r="G866" s="176"/>
      <c r="H866" s="176"/>
      <c r="I866" s="176"/>
      <c r="J866" s="176"/>
      <c r="K866" s="176"/>
      <c r="L866" s="176"/>
      <c r="M866" s="176"/>
      <c r="N866" s="176"/>
      <c r="O866" s="176"/>
      <c r="P866" s="176"/>
      <c r="Q866" s="176"/>
      <c r="R866" s="176"/>
      <c r="S866" s="176"/>
      <c r="T866" s="176"/>
      <c r="U866" s="176"/>
      <c r="V866" s="176"/>
      <c r="W866" s="176"/>
      <c r="X866" s="176"/>
      <c r="Y866" s="176"/>
      <c r="Z866" s="176"/>
      <c r="AA866" s="176"/>
      <c r="AB866" s="176"/>
      <c r="AC866" s="176"/>
      <c r="AD866" s="176"/>
      <c r="AE866" s="176"/>
      <c r="AF866" s="176"/>
      <c r="AG866" s="176"/>
      <c r="AH866" s="176"/>
      <c r="AI866" s="176"/>
      <c r="AJ866" s="176"/>
      <c r="AK866" s="176"/>
      <c r="AL866" s="176"/>
      <c r="AM866" s="176"/>
      <c r="AN866" s="176"/>
      <c r="AO866" s="176"/>
      <c r="AP866" s="176"/>
      <c r="AQ866" s="176"/>
      <c r="AR866" s="176"/>
      <c r="AS866" s="176"/>
      <c r="AT866" s="176"/>
      <c r="AU866" s="176"/>
      <c r="AV866" s="176"/>
      <c r="AW866" s="176"/>
      <c r="AX866" s="176"/>
      <c r="AY866" s="176"/>
      <c r="AZ866" s="176"/>
      <c r="BA866" s="176"/>
      <c r="BB866" s="176"/>
    </row>
    <row r="867" ht="15.75" customHeight="1">
      <c r="A867" s="176"/>
      <c r="B867" s="176"/>
      <c r="C867" s="176"/>
      <c r="D867" s="176"/>
      <c r="E867" s="176"/>
      <c r="F867" s="176"/>
      <c r="G867" s="176"/>
      <c r="H867" s="176"/>
      <c r="I867" s="176"/>
      <c r="J867" s="176"/>
      <c r="K867" s="176"/>
      <c r="L867" s="176"/>
      <c r="M867" s="176"/>
      <c r="N867" s="176"/>
      <c r="O867" s="176"/>
      <c r="P867" s="176"/>
      <c r="Q867" s="176"/>
      <c r="R867" s="176"/>
      <c r="S867" s="176"/>
      <c r="T867" s="176"/>
      <c r="U867" s="176"/>
      <c r="V867" s="176"/>
      <c r="W867" s="176"/>
      <c r="X867" s="176"/>
      <c r="Y867" s="176"/>
      <c r="Z867" s="176"/>
      <c r="AA867" s="176"/>
      <c r="AB867" s="176"/>
      <c r="AC867" s="176"/>
      <c r="AD867" s="176"/>
      <c r="AE867" s="176"/>
      <c r="AF867" s="176"/>
      <c r="AG867" s="176"/>
      <c r="AH867" s="176"/>
      <c r="AI867" s="176"/>
      <c r="AJ867" s="176"/>
      <c r="AK867" s="176"/>
      <c r="AL867" s="176"/>
      <c r="AM867" s="176"/>
      <c r="AN867" s="176"/>
      <c r="AO867" s="176"/>
      <c r="AP867" s="176"/>
      <c r="AQ867" s="176"/>
      <c r="AR867" s="176"/>
      <c r="AS867" s="176"/>
      <c r="AT867" s="176"/>
      <c r="AU867" s="176"/>
      <c r="AV867" s="176"/>
      <c r="AW867" s="176"/>
      <c r="AX867" s="176"/>
      <c r="AY867" s="176"/>
      <c r="AZ867" s="176"/>
      <c r="BA867" s="176"/>
      <c r="BB867" s="176"/>
    </row>
    <row r="868" ht="15.75" customHeight="1">
      <c r="A868" s="176"/>
      <c r="B868" s="176"/>
      <c r="C868" s="176"/>
      <c r="D868" s="176"/>
      <c r="E868" s="176"/>
      <c r="F868" s="176"/>
      <c r="G868" s="176"/>
      <c r="H868" s="176"/>
      <c r="I868" s="176"/>
      <c r="J868" s="176"/>
      <c r="K868" s="176"/>
      <c r="L868" s="176"/>
      <c r="M868" s="176"/>
      <c r="N868" s="176"/>
      <c r="O868" s="176"/>
      <c r="P868" s="176"/>
      <c r="Q868" s="176"/>
      <c r="R868" s="176"/>
      <c r="S868" s="176"/>
      <c r="T868" s="176"/>
      <c r="U868" s="176"/>
      <c r="V868" s="176"/>
      <c r="W868" s="176"/>
      <c r="X868" s="176"/>
      <c r="Y868" s="176"/>
      <c r="Z868" s="176"/>
      <c r="AA868" s="176"/>
      <c r="AB868" s="176"/>
      <c r="AC868" s="176"/>
      <c r="AD868" s="176"/>
      <c r="AE868" s="176"/>
      <c r="AF868" s="176"/>
      <c r="AG868" s="176"/>
      <c r="AH868" s="176"/>
      <c r="AI868" s="176"/>
      <c r="AJ868" s="176"/>
      <c r="AK868" s="176"/>
      <c r="AL868" s="176"/>
      <c r="AM868" s="176"/>
      <c r="AN868" s="176"/>
      <c r="AO868" s="176"/>
      <c r="AP868" s="176"/>
      <c r="AQ868" s="176"/>
      <c r="AR868" s="176"/>
      <c r="AS868" s="176"/>
      <c r="AT868" s="176"/>
      <c r="AU868" s="176"/>
      <c r="AV868" s="176"/>
      <c r="AW868" s="176"/>
      <c r="AX868" s="176"/>
      <c r="AY868" s="176"/>
      <c r="AZ868" s="176"/>
      <c r="BA868" s="176"/>
      <c r="BB868" s="176"/>
    </row>
    <row r="869" ht="15.75" customHeight="1">
      <c r="A869" s="176"/>
      <c r="B869" s="176"/>
      <c r="C869" s="176"/>
      <c r="D869" s="176"/>
      <c r="E869" s="176"/>
      <c r="F869" s="176"/>
      <c r="G869" s="176"/>
      <c r="H869" s="176"/>
      <c r="I869" s="176"/>
      <c r="J869" s="176"/>
      <c r="K869" s="176"/>
      <c r="L869" s="176"/>
      <c r="M869" s="176"/>
      <c r="N869" s="176"/>
      <c r="O869" s="176"/>
      <c r="P869" s="176"/>
      <c r="Q869" s="176"/>
      <c r="R869" s="176"/>
      <c r="S869" s="176"/>
      <c r="T869" s="176"/>
      <c r="U869" s="176"/>
      <c r="V869" s="176"/>
      <c r="W869" s="176"/>
      <c r="X869" s="176"/>
      <c r="Y869" s="176"/>
      <c r="Z869" s="176"/>
      <c r="AA869" s="176"/>
      <c r="AB869" s="176"/>
      <c r="AC869" s="176"/>
      <c r="AD869" s="176"/>
      <c r="AE869" s="176"/>
      <c r="AF869" s="176"/>
      <c r="AG869" s="176"/>
      <c r="AH869" s="176"/>
      <c r="AI869" s="176"/>
      <c r="AJ869" s="176"/>
      <c r="AK869" s="176"/>
      <c r="AL869" s="176"/>
      <c r="AM869" s="176"/>
      <c r="AN869" s="176"/>
      <c r="AO869" s="176"/>
      <c r="AP869" s="176"/>
      <c r="AQ869" s="176"/>
      <c r="AR869" s="176"/>
      <c r="AS869" s="176"/>
      <c r="AT869" s="176"/>
      <c r="AU869" s="176"/>
      <c r="AV869" s="176"/>
      <c r="AW869" s="176"/>
      <c r="AX869" s="176"/>
      <c r="AY869" s="176"/>
      <c r="AZ869" s="176"/>
      <c r="BA869" s="176"/>
      <c r="BB869" s="176"/>
    </row>
    <row r="870" ht="15.75" customHeight="1">
      <c r="A870" s="176"/>
      <c r="B870" s="176"/>
      <c r="C870" s="176"/>
      <c r="D870" s="176"/>
      <c r="E870" s="176"/>
      <c r="F870" s="176"/>
      <c r="G870" s="176"/>
      <c r="H870" s="176"/>
      <c r="I870" s="176"/>
      <c r="J870" s="176"/>
      <c r="K870" s="176"/>
      <c r="L870" s="176"/>
      <c r="M870" s="176"/>
      <c r="N870" s="176"/>
      <c r="O870" s="176"/>
      <c r="P870" s="176"/>
      <c r="Q870" s="176"/>
      <c r="R870" s="176"/>
      <c r="S870" s="176"/>
      <c r="T870" s="176"/>
      <c r="U870" s="176"/>
      <c r="V870" s="176"/>
      <c r="W870" s="176"/>
      <c r="X870" s="176"/>
      <c r="Y870" s="176"/>
      <c r="Z870" s="176"/>
      <c r="AA870" s="176"/>
      <c r="AB870" s="176"/>
      <c r="AC870" s="176"/>
      <c r="AD870" s="176"/>
      <c r="AE870" s="176"/>
      <c r="AF870" s="176"/>
      <c r="AG870" s="176"/>
      <c r="AH870" s="176"/>
      <c r="AI870" s="176"/>
      <c r="AJ870" s="176"/>
      <c r="AK870" s="176"/>
      <c r="AL870" s="176"/>
      <c r="AM870" s="176"/>
      <c r="AN870" s="176"/>
      <c r="AO870" s="176"/>
      <c r="AP870" s="176"/>
      <c r="AQ870" s="176"/>
      <c r="AR870" s="176"/>
      <c r="AS870" s="176"/>
      <c r="AT870" s="176"/>
      <c r="AU870" s="176"/>
      <c r="AV870" s="176"/>
      <c r="AW870" s="176"/>
      <c r="AX870" s="176"/>
      <c r="AY870" s="176"/>
      <c r="AZ870" s="176"/>
      <c r="BA870" s="176"/>
      <c r="BB870" s="176"/>
    </row>
    <row r="871" ht="15.75" customHeight="1">
      <c r="A871" s="176"/>
      <c r="B871" s="176"/>
      <c r="C871" s="176"/>
      <c r="D871" s="176"/>
      <c r="E871" s="176"/>
      <c r="F871" s="176"/>
      <c r="G871" s="176"/>
      <c r="H871" s="176"/>
      <c r="I871" s="176"/>
      <c r="J871" s="176"/>
      <c r="K871" s="176"/>
      <c r="L871" s="176"/>
      <c r="M871" s="176"/>
      <c r="N871" s="176"/>
      <c r="O871" s="176"/>
      <c r="P871" s="176"/>
      <c r="Q871" s="176"/>
      <c r="R871" s="176"/>
      <c r="S871" s="176"/>
      <c r="T871" s="176"/>
      <c r="U871" s="176"/>
      <c r="V871" s="176"/>
      <c r="W871" s="176"/>
      <c r="X871" s="176"/>
      <c r="Y871" s="176"/>
      <c r="Z871" s="176"/>
      <c r="AA871" s="176"/>
      <c r="AB871" s="176"/>
      <c r="AC871" s="176"/>
      <c r="AD871" s="176"/>
      <c r="AE871" s="176"/>
      <c r="AF871" s="176"/>
      <c r="AG871" s="176"/>
      <c r="AH871" s="176"/>
      <c r="AI871" s="176"/>
      <c r="AJ871" s="176"/>
      <c r="AK871" s="176"/>
      <c r="AL871" s="176"/>
      <c r="AM871" s="176"/>
      <c r="AN871" s="176"/>
      <c r="AO871" s="176"/>
      <c r="AP871" s="176"/>
      <c r="AQ871" s="176"/>
      <c r="AR871" s="176"/>
      <c r="AS871" s="176"/>
      <c r="AT871" s="176"/>
      <c r="AU871" s="176"/>
      <c r="AV871" s="176"/>
      <c r="AW871" s="176"/>
      <c r="AX871" s="176"/>
      <c r="AY871" s="176"/>
      <c r="AZ871" s="176"/>
      <c r="BA871" s="176"/>
      <c r="BB871" s="176"/>
    </row>
    <row r="872" ht="15.75" customHeight="1">
      <c r="A872" s="176"/>
      <c r="B872" s="176"/>
      <c r="C872" s="176"/>
      <c r="D872" s="176"/>
      <c r="E872" s="176"/>
      <c r="F872" s="176"/>
      <c r="G872" s="176"/>
      <c r="H872" s="176"/>
      <c r="I872" s="176"/>
      <c r="J872" s="176"/>
      <c r="K872" s="176"/>
      <c r="L872" s="176"/>
      <c r="M872" s="176"/>
      <c r="N872" s="176"/>
      <c r="O872" s="176"/>
      <c r="P872" s="176"/>
      <c r="Q872" s="176"/>
      <c r="R872" s="176"/>
      <c r="S872" s="176"/>
      <c r="T872" s="176"/>
      <c r="U872" s="176"/>
      <c r="V872" s="176"/>
      <c r="W872" s="176"/>
      <c r="X872" s="176"/>
      <c r="Y872" s="176"/>
      <c r="Z872" s="176"/>
      <c r="AA872" s="176"/>
      <c r="AB872" s="176"/>
      <c r="AC872" s="176"/>
      <c r="AD872" s="176"/>
      <c r="AE872" s="176"/>
      <c r="AF872" s="176"/>
      <c r="AG872" s="176"/>
      <c r="AH872" s="176"/>
      <c r="AI872" s="176"/>
      <c r="AJ872" s="176"/>
      <c r="AK872" s="176"/>
      <c r="AL872" s="176"/>
      <c r="AM872" s="176"/>
      <c r="AN872" s="176"/>
      <c r="AO872" s="176"/>
      <c r="AP872" s="176"/>
      <c r="AQ872" s="176"/>
      <c r="AR872" s="176"/>
      <c r="AS872" s="176"/>
      <c r="AT872" s="176"/>
      <c r="AU872" s="176"/>
      <c r="AV872" s="176"/>
      <c r="AW872" s="176"/>
      <c r="AX872" s="176"/>
      <c r="AY872" s="176"/>
      <c r="AZ872" s="176"/>
      <c r="BA872" s="176"/>
      <c r="BB872" s="176"/>
    </row>
    <row r="873" ht="15.75" customHeight="1">
      <c r="A873" s="176"/>
      <c r="B873" s="176"/>
      <c r="C873" s="176"/>
      <c r="D873" s="176"/>
      <c r="E873" s="176"/>
      <c r="F873" s="176"/>
      <c r="G873" s="176"/>
      <c r="H873" s="176"/>
      <c r="I873" s="176"/>
      <c r="J873" s="176"/>
      <c r="K873" s="176"/>
      <c r="L873" s="176"/>
      <c r="M873" s="176"/>
      <c r="N873" s="176"/>
      <c r="O873" s="176"/>
      <c r="P873" s="176"/>
      <c r="Q873" s="176"/>
      <c r="R873" s="176"/>
      <c r="S873" s="176"/>
      <c r="T873" s="176"/>
      <c r="U873" s="176"/>
      <c r="V873" s="176"/>
      <c r="W873" s="176"/>
      <c r="X873" s="176"/>
      <c r="Y873" s="176"/>
      <c r="Z873" s="176"/>
      <c r="AA873" s="176"/>
      <c r="AB873" s="176"/>
      <c r="AC873" s="176"/>
      <c r="AD873" s="176"/>
      <c r="AE873" s="176"/>
      <c r="AF873" s="176"/>
      <c r="AG873" s="176"/>
      <c r="AH873" s="176"/>
      <c r="AI873" s="176"/>
      <c r="AJ873" s="176"/>
      <c r="AK873" s="176"/>
      <c r="AL873" s="176"/>
      <c r="AM873" s="176"/>
      <c r="AN873" s="176"/>
      <c r="AO873" s="176"/>
      <c r="AP873" s="176"/>
      <c r="AQ873" s="176"/>
      <c r="AR873" s="176"/>
      <c r="AS873" s="176"/>
      <c r="AT873" s="176"/>
      <c r="AU873" s="176"/>
      <c r="AV873" s="176"/>
      <c r="AW873" s="176"/>
      <c r="AX873" s="176"/>
      <c r="AY873" s="176"/>
      <c r="AZ873" s="176"/>
      <c r="BA873" s="176"/>
      <c r="BB873" s="176"/>
    </row>
    <row r="874" ht="15.75" customHeight="1">
      <c r="A874" s="176"/>
      <c r="B874" s="176"/>
      <c r="C874" s="176"/>
      <c r="D874" s="176"/>
      <c r="E874" s="176"/>
      <c r="F874" s="176"/>
      <c r="G874" s="176"/>
      <c r="H874" s="176"/>
      <c r="I874" s="176"/>
      <c r="J874" s="176"/>
      <c r="K874" s="176"/>
      <c r="L874" s="176"/>
      <c r="M874" s="176"/>
      <c r="N874" s="176"/>
      <c r="O874" s="176"/>
      <c r="P874" s="176"/>
      <c r="Q874" s="176"/>
      <c r="R874" s="176"/>
      <c r="S874" s="176"/>
      <c r="T874" s="176"/>
      <c r="U874" s="176"/>
      <c r="V874" s="176"/>
      <c r="W874" s="176"/>
      <c r="X874" s="176"/>
      <c r="Y874" s="176"/>
      <c r="Z874" s="176"/>
      <c r="AA874" s="176"/>
      <c r="AB874" s="176"/>
      <c r="AC874" s="176"/>
      <c r="AD874" s="176"/>
      <c r="AE874" s="176"/>
      <c r="AF874" s="176"/>
      <c r="AG874" s="176"/>
      <c r="AH874" s="176"/>
      <c r="AI874" s="176"/>
      <c r="AJ874" s="176"/>
      <c r="AK874" s="176"/>
      <c r="AL874" s="176"/>
      <c r="AM874" s="176"/>
      <c r="AN874" s="176"/>
      <c r="AO874" s="176"/>
      <c r="AP874" s="176"/>
      <c r="AQ874" s="176"/>
      <c r="AR874" s="176"/>
      <c r="AS874" s="176"/>
      <c r="AT874" s="176"/>
      <c r="AU874" s="176"/>
      <c r="AV874" s="176"/>
      <c r="AW874" s="176"/>
      <c r="AX874" s="176"/>
      <c r="AY874" s="176"/>
      <c r="AZ874" s="176"/>
      <c r="BA874" s="176"/>
      <c r="BB874" s="176"/>
    </row>
    <row r="875" ht="15.75" customHeight="1">
      <c r="A875" s="176"/>
      <c r="B875" s="176"/>
      <c r="C875" s="176"/>
      <c r="D875" s="176"/>
      <c r="E875" s="176"/>
      <c r="F875" s="176"/>
      <c r="G875" s="176"/>
      <c r="H875" s="176"/>
      <c r="I875" s="176"/>
      <c r="J875" s="176"/>
      <c r="K875" s="176"/>
      <c r="L875" s="176"/>
      <c r="M875" s="176"/>
      <c r="N875" s="176"/>
      <c r="O875" s="176"/>
      <c r="P875" s="176"/>
      <c r="Q875" s="176"/>
      <c r="R875" s="176"/>
      <c r="S875" s="176"/>
      <c r="T875" s="176"/>
      <c r="U875" s="176"/>
      <c r="V875" s="176"/>
      <c r="W875" s="176"/>
      <c r="X875" s="176"/>
      <c r="Y875" s="176"/>
      <c r="Z875" s="176"/>
      <c r="AA875" s="176"/>
      <c r="AB875" s="176"/>
      <c r="AC875" s="176"/>
      <c r="AD875" s="176"/>
      <c r="AE875" s="176"/>
      <c r="AF875" s="176"/>
      <c r="AG875" s="176"/>
      <c r="AH875" s="176"/>
      <c r="AI875" s="176"/>
      <c r="AJ875" s="176"/>
      <c r="AK875" s="176"/>
      <c r="AL875" s="176"/>
      <c r="AM875" s="176"/>
      <c r="AN875" s="176"/>
      <c r="AO875" s="176"/>
      <c r="AP875" s="176"/>
      <c r="AQ875" s="176"/>
      <c r="AR875" s="176"/>
      <c r="AS875" s="176"/>
      <c r="AT875" s="176"/>
      <c r="AU875" s="176"/>
      <c r="AV875" s="176"/>
      <c r="AW875" s="176"/>
      <c r="AX875" s="176"/>
      <c r="AY875" s="176"/>
      <c r="AZ875" s="176"/>
      <c r="BA875" s="176"/>
      <c r="BB875" s="176"/>
    </row>
    <row r="876" ht="15.75" customHeight="1">
      <c r="A876" s="176"/>
      <c r="B876" s="176"/>
      <c r="C876" s="176"/>
      <c r="D876" s="176"/>
      <c r="E876" s="176"/>
      <c r="F876" s="176"/>
      <c r="G876" s="176"/>
      <c r="H876" s="176"/>
      <c r="I876" s="176"/>
      <c r="J876" s="176"/>
      <c r="K876" s="176"/>
      <c r="L876" s="176"/>
      <c r="M876" s="176"/>
      <c r="N876" s="176"/>
      <c r="O876" s="176"/>
      <c r="P876" s="176"/>
      <c r="Q876" s="176"/>
      <c r="R876" s="176"/>
      <c r="S876" s="176"/>
      <c r="T876" s="176"/>
      <c r="U876" s="176"/>
      <c r="V876" s="176"/>
      <c r="W876" s="176"/>
      <c r="X876" s="176"/>
      <c r="Y876" s="176"/>
      <c r="Z876" s="176"/>
      <c r="AA876" s="176"/>
      <c r="AB876" s="176"/>
      <c r="AC876" s="176"/>
      <c r="AD876" s="176"/>
      <c r="AE876" s="176"/>
      <c r="AF876" s="176"/>
      <c r="AG876" s="176"/>
      <c r="AH876" s="176"/>
      <c r="AI876" s="176"/>
      <c r="AJ876" s="176"/>
      <c r="AK876" s="176"/>
      <c r="AL876" s="176"/>
      <c r="AM876" s="176"/>
      <c r="AN876" s="176"/>
      <c r="AO876" s="176"/>
      <c r="AP876" s="176"/>
      <c r="AQ876" s="176"/>
      <c r="AR876" s="176"/>
      <c r="AS876" s="176"/>
      <c r="AT876" s="176"/>
      <c r="AU876" s="176"/>
      <c r="AV876" s="176"/>
      <c r="AW876" s="176"/>
      <c r="AX876" s="176"/>
      <c r="AY876" s="176"/>
      <c r="AZ876" s="176"/>
      <c r="BA876" s="176"/>
      <c r="BB876" s="176"/>
    </row>
    <row r="877" ht="15.75" customHeight="1">
      <c r="A877" s="176"/>
      <c r="B877" s="176"/>
      <c r="C877" s="176"/>
      <c r="D877" s="176"/>
      <c r="E877" s="176"/>
      <c r="F877" s="176"/>
      <c r="G877" s="176"/>
      <c r="H877" s="176"/>
      <c r="I877" s="176"/>
      <c r="J877" s="176"/>
      <c r="K877" s="176"/>
      <c r="L877" s="176"/>
      <c r="M877" s="176"/>
      <c r="N877" s="176"/>
      <c r="O877" s="176"/>
      <c r="P877" s="176"/>
      <c r="Q877" s="176"/>
      <c r="R877" s="176"/>
      <c r="S877" s="176"/>
      <c r="T877" s="176"/>
      <c r="U877" s="176"/>
      <c r="V877" s="176"/>
      <c r="W877" s="176"/>
      <c r="X877" s="176"/>
      <c r="Y877" s="176"/>
      <c r="Z877" s="176"/>
      <c r="AA877" s="176"/>
      <c r="AB877" s="176"/>
      <c r="AC877" s="176"/>
      <c r="AD877" s="176"/>
      <c r="AE877" s="176"/>
      <c r="AF877" s="176"/>
      <c r="AG877" s="176"/>
      <c r="AH877" s="176"/>
      <c r="AI877" s="176"/>
      <c r="AJ877" s="176"/>
      <c r="AK877" s="176"/>
      <c r="AL877" s="176"/>
      <c r="AM877" s="176"/>
      <c r="AN877" s="176"/>
      <c r="AO877" s="176"/>
      <c r="AP877" s="176"/>
      <c r="AQ877" s="176"/>
      <c r="AR877" s="176"/>
      <c r="AS877" s="176"/>
      <c r="AT877" s="176"/>
      <c r="AU877" s="176"/>
      <c r="AV877" s="176"/>
      <c r="AW877" s="176"/>
      <c r="AX877" s="176"/>
      <c r="AY877" s="176"/>
      <c r="AZ877" s="176"/>
      <c r="BA877" s="176"/>
      <c r="BB877" s="176"/>
    </row>
    <row r="878" ht="15.75" customHeight="1">
      <c r="A878" s="176"/>
      <c r="B878" s="176"/>
      <c r="C878" s="176"/>
      <c r="D878" s="176"/>
      <c r="E878" s="176"/>
      <c r="F878" s="176"/>
      <c r="G878" s="176"/>
      <c r="H878" s="176"/>
      <c r="I878" s="176"/>
      <c r="J878" s="176"/>
      <c r="K878" s="176"/>
      <c r="L878" s="176"/>
      <c r="M878" s="176"/>
      <c r="N878" s="176"/>
      <c r="O878" s="176"/>
      <c r="P878" s="176"/>
      <c r="Q878" s="176"/>
      <c r="R878" s="176"/>
      <c r="S878" s="176"/>
      <c r="T878" s="176"/>
      <c r="U878" s="176"/>
      <c r="V878" s="176"/>
      <c r="W878" s="176"/>
      <c r="X878" s="176"/>
      <c r="Y878" s="176"/>
      <c r="Z878" s="176"/>
      <c r="AA878" s="176"/>
      <c r="AB878" s="176"/>
      <c r="AC878" s="176"/>
      <c r="AD878" s="176"/>
      <c r="AE878" s="176"/>
      <c r="AF878" s="176"/>
      <c r="AG878" s="176"/>
      <c r="AH878" s="176"/>
      <c r="AI878" s="176"/>
      <c r="AJ878" s="176"/>
      <c r="AK878" s="176"/>
      <c r="AL878" s="176"/>
      <c r="AM878" s="176"/>
      <c r="AN878" s="176"/>
      <c r="AO878" s="176"/>
      <c r="AP878" s="176"/>
      <c r="AQ878" s="176"/>
      <c r="AR878" s="176"/>
      <c r="AS878" s="176"/>
      <c r="AT878" s="176"/>
      <c r="AU878" s="176"/>
      <c r="AV878" s="176"/>
      <c r="AW878" s="176"/>
      <c r="AX878" s="176"/>
      <c r="AY878" s="176"/>
      <c r="AZ878" s="176"/>
      <c r="BA878" s="176"/>
      <c r="BB878" s="176"/>
    </row>
    <row r="879" ht="15.75" customHeight="1">
      <c r="A879" s="176"/>
      <c r="B879" s="176"/>
      <c r="C879" s="176"/>
      <c r="D879" s="176"/>
      <c r="E879" s="176"/>
      <c r="F879" s="176"/>
      <c r="G879" s="176"/>
      <c r="H879" s="176"/>
      <c r="I879" s="176"/>
      <c r="J879" s="176"/>
      <c r="K879" s="176"/>
      <c r="L879" s="176"/>
      <c r="M879" s="176"/>
      <c r="N879" s="176"/>
      <c r="O879" s="176"/>
      <c r="P879" s="176"/>
      <c r="Q879" s="176"/>
      <c r="R879" s="176"/>
      <c r="S879" s="176"/>
      <c r="T879" s="176"/>
      <c r="U879" s="176"/>
      <c r="V879" s="176"/>
      <c r="W879" s="176"/>
      <c r="X879" s="176"/>
      <c r="Y879" s="176"/>
      <c r="Z879" s="176"/>
      <c r="AA879" s="176"/>
      <c r="AB879" s="176"/>
      <c r="AC879" s="176"/>
      <c r="AD879" s="176"/>
      <c r="AE879" s="176"/>
      <c r="AF879" s="176"/>
      <c r="AG879" s="176"/>
      <c r="AH879" s="176"/>
      <c r="AI879" s="176"/>
      <c r="AJ879" s="176"/>
      <c r="AK879" s="176"/>
      <c r="AL879" s="176"/>
      <c r="AM879" s="176"/>
      <c r="AN879" s="176"/>
      <c r="AO879" s="176"/>
      <c r="AP879" s="176"/>
      <c r="AQ879" s="176"/>
      <c r="AR879" s="176"/>
      <c r="AS879" s="176"/>
      <c r="AT879" s="176"/>
      <c r="AU879" s="176"/>
      <c r="AV879" s="176"/>
      <c r="AW879" s="176"/>
      <c r="AX879" s="176"/>
      <c r="AY879" s="176"/>
      <c r="AZ879" s="176"/>
      <c r="BA879" s="176"/>
      <c r="BB879" s="176"/>
    </row>
    <row r="880" ht="15.75" customHeight="1">
      <c r="A880" s="176"/>
      <c r="B880" s="176"/>
      <c r="C880" s="176"/>
      <c r="D880" s="176"/>
      <c r="E880" s="176"/>
      <c r="F880" s="176"/>
      <c r="G880" s="176"/>
      <c r="H880" s="176"/>
      <c r="I880" s="176"/>
      <c r="J880" s="176"/>
      <c r="K880" s="176"/>
      <c r="L880" s="176"/>
      <c r="M880" s="176"/>
      <c r="N880" s="176"/>
      <c r="O880" s="176"/>
      <c r="P880" s="176"/>
      <c r="Q880" s="176"/>
      <c r="R880" s="176"/>
      <c r="S880" s="176"/>
      <c r="T880" s="176"/>
      <c r="U880" s="176"/>
      <c r="V880" s="176"/>
      <c r="W880" s="176"/>
      <c r="X880" s="176"/>
      <c r="Y880" s="176"/>
      <c r="Z880" s="176"/>
      <c r="AA880" s="176"/>
      <c r="AB880" s="176"/>
      <c r="AC880" s="176"/>
      <c r="AD880" s="176"/>
      <c r="AE880" s="176"/>
      <c r="AF880" s="176"/>
      <c r="AG880" s="176"/>
      <c r="AH880" s="176"/>
      <c r="AI880" s="176"/>
      <c r="AJ880" s="176"/>
      <c r="AK880" s="176"/>
      <c r="AL880" s="176"/>
      <c r="AM880" s="176"/>
      <c r="AN880" s="176"/>
      <c r="AO880" s="176"/>
      <c r="AP880" s="176"/>
      <c r="AQ880" s="176"/>
      <c r="AR880" s="176"/>
      <c r="AS880" s="176"/>
      <c r="AT880" s="176"/>
      <c r="AU880" s="176"/>
      <c r="AV880" s="176"/>
      <c r="AW880" s="176"/>
      <c r="AX880" s="176"/>
      <c r="AY880" s="176"/>
      <c r="AZ880" s="176"/>
      <c r="BA880" s="176"/>
      <c r="BB880" s="176"/>
    </row>
    <row r="881" ht="15.75" customHeight="1">
      <c r="A881" s="176"/>
      <c r="B881" s="176"/>
      <c r="C881" s="176"/>
      <c r="D881" s="176"/>
      <c r="E881" s="176"/>
      <c r="F881" s="176"/>
      <c r="G881" s="176"/>
      <c r="H881" s="176"/>
      <c r="I881" s="176"/>
      <c r="J881" s="176"/>
      <c r="K881" s="176"/>
      <c r="L881" s="176"/>
      <c r="M881" s="176"/>
      <c r="N881" s="176"/>
      <c r="O881" s="176"/>
      <c r="P881" s="176"/>
      <c r="Q881" s="176"/>
      <c r="R881" s="176"/>
      <c r="S881" s="176"/>
      <c r="T881" s="176"/>
      <c r="U881" s="176"/>
      <c r="V881" s="176"/>
      <c r="W881" s="176"/>
      <c r="X881" s="176"/>
      <c r="Y881" s="176"/>
      <c r="Z881" s="176"/>
      <c r="AA881" s="176"/>
      <c r="AB881" s="176"/>
      <c r="AC881" s="176"/>
      <c r="AD881" s="176"/>
      <c r="AE881" s="176"/>
      <c r="AF881" s="176"/>
      <c r="AG881" s="176"/>
      <c r="AH881" s="176"/>
      <c r="AI881" s="176"/>
      <c r="AJ881" s="176"/>
      <c r="AK881" s="176"/>
      <c r="AL881" s="176"/>
      <c r="AM881" s="176"/>
      <c r="AN881" s="176"/>
      <c r="AO881" s="176"/>
      <c r="AP881" s="176"/>
      <c r="AQ881" s="176"/>
      <c r="AR881" s="176"/>
      <c r="AS881" s="176"/>
      <c r="AT881" s="176"/>
      <c r="AU881" s="176"/>
      <c r="AV881" s="176"/>
      <c r="AW881" s="176"/>
      <c r="AX881" s="176"/>
      <c r="AY881" s="176"/>
      <c r="AZ881" s="176"/>
      <c r="BA881" s="176"/>
      <c r="BB881" s="176"/>
    </row>
    <row r="882" ht="15.75" customHeight="1">
      <c r="A882" s="176"/>
      <c r="B882" s="176"/>
      <c r="C882" s="176"/>
      <c r="D882" s="176"/>
      <c r="E882" s="176"/>
      <c r="F882" s="176"/>
      <c r="G882" s="176"/>
      <c r="H882" s="176"/>
      <c r="I882" s="176"/>
      <c r="J882" s="176"/>
      <c r="K882" s="176"/>
      <c r="L882" s="176"/>
      <c r="M882" s="176"/>
      <c r="N882" s="176"/>
      <c r="O882" s="176"/>
      <c r="P882" s="176"/>
      <c r="Q882" s="176"/>
      <c r="R882" s="176"/>
      <c r="S882" s="176"/>
      <c r="T882" s="176"/>
      <c r="U882" s="176"/>
      <c r="V882" s="176"/>
      <c r="W882" s="176"/>
      <c r="X882" s="176"/>
      <c r="Y882" s="176"/>
      <c r="Z882" s="176"/>
      <c r="AA882" s="176"/>
      <c r="AB882" s="176"/>
      <c r="AC882" s="176"/>
      <c r="AD882" s="176"/>
      <c r="AE882" s="176"/>
      <c r="AF882" s="176"/>
      <c r="AG882" s="176"/>
      <c r="AH882" s="176"/>
      <c r="AI882" s="176"/>
      <c r="AJ882" s="176"/>
      <c r="AK882" s="176"/>
      <c r="AL882" s="176"/>
      <c r="AM882" s="176"/>
      <c r="AN882" s="176"/>
      <c r="AO882" s="176"/>
      <c r="AP882" s="176"/>
      <c r="AQ882" s="176"/>
      <c r="AR882" s="176"/>
      <c r="AS882" s="176"/>
      <c r="AT882" s="176"/>
      <c r="AU882" s="176"/>
      <c r="AV882" s="176"/>
      <c r="AW882" s="176"/>
      <c r="AX882" s="176"/>
      <c r="AY882" s="176"/>
      <c r="AZ882" s="176"/>
      <c r="BA882" s="176"/>
      <c r="BB882" s="176"/>
    </row>
    <row r="883" ht="15.75" customHeight="1">
      <c r="A883" s="176"/>
      <c r="B883" s="176"/>
      <c r="C883" s="176"/>
      <c r="D883" s="176"/>
      <c r="E883" s="176"/>
      <c r="F883" s="176"/>
      <c r="G883" s="176"/>
      <c r="H883" s="176"/>
      <c r="I883" s="176"/>
      <c r="J883" s="176"/>
      <c r="K883" s="176"/>
      <c r="L883" s="176"/>
      <c r="M883" s="176"/>
      <c r="N883" s="176"/>
      <c r="O883" s="176"/>
      <c r="P883" s="176"/>
      <c r="Q883" s="176"/>
      <c r="R883" s="176"/>
      <c r="S883" s="176"/>
      <c r="T883" s="176"/>
      <c r="U883" s="176"/>
      <c r="V883" s="176"/>
      <c r="W883" s="176"/>
      <c r="X883" s="176"/>
      <c r="Y883" s="176"/>
      <c r="Z883" s="176"/>
      <c r="AA883" s="176"/>
      <c r="AB883" s="176"/>
      <c r="AC883" s="176"/>
      <c r="AD883" s="176"/>
      <c r="AE883" s="176"/>
      <c r="AF883" s="176"/>
      <c r="AG883" s="176"/>
      <c r="AH883" s="176"/>
      <c r="AI883" s="176"/>
      <c r="AJ883" s="176"/>
      <c r="AK883" s="176"/>
      <c r="AL883" s="176"/>
      <c r="AM883" s="176"/>
      <c r="AN883" s="176"/>
      <c r="AO883" s="176"/>
      <c r="AP883" s="176"/>
      <c r="AQ883" s="176"/>
      <c r="AR883" s="176"/>
      <c r="AS883" s="176"/>
      <c r="AT883" s="176"/>
      <c r="AU883" s="176"/>
      <c r="AV883" s="176"/>
      <c r="AW883" s="176"/>
      <c r="AX883" s="176"/>
      <c r="AY883" s="176"/>
      <c r="AZ883" s="176"/>
      <c r="BA883" s="176"/>
      <c r="BB883" s="176"/>
    </row>
    <row r="884" ht="15.75" customHeight="1">
      <c r="A884" s="176"/>
      <c r="B884" s="176"/>
      <c r="C884" s="176"/>
      <c r="D884" s="176"/>
      <c r="E884" s="176"/>
      <c r="F884" s="176"/>
      <c r="G884" s="176"/>
      <c r="H884" s="176"/>
      <c r="I884" s="176"/>
      <c r="J884" s="176"/>
      <c r="K884" s="176"/>
      <c r="L884" s="176"/>
      <c r="M884" s="176"/>
      <c r="N884" s="176"/>
      <c r="O884" s="176"/>
      <c r="P884" s="176"/>
      <c r="Q884" s="176"/>
      <c r="R884" s="176"/>
      <c r="S884" s="176"/>
      <c r="T884" s="176"/>
      <c r="U884" s="176"/>
      <c r="V884" s="176"/>
      <c r="W884" s="176"/>
      <c r="X884" s="176"/>
      <c r="Y884" s="176"/>
      <c r="Z884" s="176"/>
      <c r="AA884" s="176"/>
      <c r="AB884" s="176"/>
      <c r="AC884" s="176"/>
      <c r="AD884" s="176"/>
      <c r="AE884" s="176"/>
      <c r="AF884" s="176"/>
      <c r="AG884" s="176"/>
      <c r="AH884" s="176"/>
      <c r="AI884" s="176"/>
      <c r="AJ884" s="176"/>
      <c r="AK884" s="176"/>
      <c r="AL884" s="176"/>
      <c r="AM884" s="176"/>
      <c r="AN884" s="176"/>
      <c r="AO884" s="176"/>
      <c r="AP884" s="176"/>
      <c r="AQ884" s="176"/>
      <c r="AR884" s="176"/>
      <c r="AS884" s="176"/>
      <c r="AT884" s="176"/>
      <c r="AU884" s="176"/>
      <c r="AV884" s="176"/>
      <c r="AW884" s="176"/>
      <c r="AX884" s="176"/>
      <c r="AY884" s="176"/>
      <c r="AZ884" s="176"/>
      <c r="BA884" s="176"/>
      <c r="BB884" s="176"/>
    </row>
    <row r="885" ht="15.75" customHeight="1">
      <c r="A885" s="176"/>
      <c r="B885" s="176"/>
      <c r="C885" s="176"/>
      <c r="D885" s="176"/>
      <c r="E885" s="176"/>
      <c r="F885" s="176"/>
      <c r="G885" s="176"/>
      <c r="H885" s="176"/>
      <c r="I885" s="176"/>
      <c r="J885" s="176"/>
      <c r="K885" s="176"/>
      <c r="L885" s="176"/>
      <c r="M885" s="176"/>
      <c r="N885" s="176"/>
      <c r="O885" s="176"/>
      <c r="P885" s="176"/>
      <c r="Q885" s="176"/>
      <c r="R885" s="176"/>
      <c r="S885" s="176"/>
      <c r="T885" s="176"/>
      <c r="U885" s="176"/>
      <c r="V885" s="176"/>
      <c r="W885" s="176"/>
      <c r="X885" s="176"/>
      <c r="Y885" s="176"/>
      <c r="Z885" s="176"/>
      <c r="AA885" s="176"/>
      <c r="AB885" s="176"/>
      <c r="AC885" s="176"/>
      <c r="AD885" s="176"/>
      <c r="AE885" s="176"/>
      <c r="AF885" s="176"/>
      <c r="AG885" s="176"/>
      <c r="AH885" s="176"/>
      <c r="AI885" s="176"/>
      <c r="AJ885" s="176"/>
      <c r="AK885" s="176"/>
      <c r="AL885" s="176"/>
      <c r="AM885" s="176"/>
      <c r="AN885" s="176"/>
      <c r="AO885" s="176"/>
      <c r="AP885" s="176"/>
      <c r="AQ885" s="176"/>
      <c r="AR885" s="176"/>
      <c r="AS885" s="176"/>
      <c r="AT885" s="176"/>
      <c r="AU885" s="176"/>
      <c r="AV885" s="176"/>
      <c r="AW885" s="176"/>
      <c r="AX885" s="176"/>
      <c r="AY885" s="176"/>
      <c r="AZ885" s="176"/>
      <c r="BA885" s="176"/>
      <c r="BB885" s="176"/>
    </row>
    <row r="886" ht="15.75" customHeight="1">
      <c r="A886" s="176"/>
      <c r="B886" s="176"/>
      <c r="C886" s="176"/>
      <c r="D886" s="176"/>
      <c r="E886" s="176"/>
      <c r="F886" s="176"/>
      <c r="G886" s="176"/>
      <c r="H886" s="176"/>
      <c r="I886" s="176"/>
      <c r="J886" s="176"/>
      <c r="K886" s="176"/>
      <c r="L886" s="176"/>
      <c r="M886" s="176"/>
      <c r="N886" s="176"/>
      <c r="O886" s="176"/>
      <c r="P886" s="176"/>
      <c r="Q886" s="176"/>
      <c r="R886" s="176"/>
      <c r="S886" s="176"/>
      <c r="T886" s="176"/>
      <c r="U886" s="176"/>
      <c r="V886" s="176"/>
      <c r="W886" s="176"/>
      <c r="X886" s="176"/>
      <c r="Y886" s="176"/>
      <c r="Z886" s="176"/>
      <c r="AA886" s="176"/>
      <c r="AB886" s="176"/>
      <c r="AC886" s="176"/>
      <c r="AD886" s="176"/>
      <c r="AE886" s="176"/>
      <c r="AF886" s="176"/>
      <c r="AG886" s="176"/>
      <c r="AH886" s="176"/>
      <c r="AI886" s="176"/>
      <c r="AJ886" s="176"/>
      <c r="AK886" s="176"/>
      <c r="AL886" s="176"/>
      <c r="AM886" s="176"/>
      <c r="AN886" s="176"/>
      <c r="AO886" s="176"/>
      <c r="AP886" s="176"/>
      <c r="AQ886" s="176"/>
      <c r="AR886" s="176"/>
      <c r="AS886" s="176"/>
      <c r="AT886" s="176"/>
      <c r="AU886" s="176"/>
      <c r="AV886" s="176"/>
      <c r="AW886" s="176"/>
      <c r="AX886" s="176"/>
      <c r="AY886" s="176"/>
      <c r="AZ886" s="176"/>
      <c r="BA886" s="176"/>
      <c r="BB886" s="176"/>
    </row>
    <row r="887" ht="15.75" customHeight="1">
      <c r="A887" s="176"/>
      <c r="B887" s="176"/>
      <c r="C887" s="176"/>
      <c r="D887" s="176"/>
      <c r="E887" s="176"/>
      <c r="F887" s="176"/>
      <c r="G887" s="176"/>
      <c r="H887" s="176"/>
      <c r="I887" s="176"/>
      <c r="J887" s="176"/>
      <c r="K887" s="176"/>
      <c r="L887" s="176"/>
      <c r="M887" s="176"/>
      <c r="N887" s="176"/>
      <c r="O887" s="176"/>
      <c r="P887" s="176"/>
      <c r="Q887" s="176"/>
      <c r="R887" s="176"/>
      <c r="S887" s="176"/>
      <c r="T887" s="176"/>
      <c r="U887" s="176"/>
      <c r="V887" s="176"/>
      <c r="W887" s="176"/>
      <c r="X887" s="176"/>
      <c r="Y887" s="176"/>
      <c r="Z887" s="176"/>
      <c r="AA887" s="176"/>
      <c r="AB887" s="176"/>
      <c r="AC887" s="176"/>
      <c r="AD887" s="176"/>
      <c r="AE887" s="176"/>
      <c r="AF887" s="176"/>
      <c r="AG887" s="176"/>
      <c r="AH887" s="176"/>
      <c r="AI887" s="176"/>
      <c r="AJ887" s="176"/>
      <c r="AK887" s="176"/>
      <c r="AL887" s="176"/>
      <c r="AM887" s="176"/>
      <c r="AN887" s="176"/>
      <c r="AO887" s="176"/>
      <c r="AP887" s="176"/>
      <c r="AQ887" s="176"/>
      <c r="AR887" s="176"/>
      <c r="AS887" s="176"/>
      <c r="AT887" s="176"/>
      <c r="AU887" s="176"/>
      <c r="AV887" s="176"/>
      <c r="AW887" s="176"/>
      <c r="AX887" s="176"/>
      <c r="AY887" s="176"/>
      <c r="AZ887" s="176"/>
      <c r="BA887" s="176"/>
      <c r="BB887" s="176"/>
    </row>
    <row r="888" ht="15.75" customHeight="1">
      <c r="A888" s="176"/>
      <c r="B888" s="176"/>
      <c r="C888" s="176"/>
      <c r="D888" s="176"/>
      <c r="E888" s="176"/>
      <c r="F888" s="176"/>
      <c r="G888" s="176"/>
      <c r="H888" s="176"/>
      <c r="I888" s="176"/>
      <c r="J888" s="176"/>
      <c r="K888" s="176"/>
      <c r="L888" s="176"/>
      <c r="M888" s="176"/>
      <c r="N888" s="176"/>
      <c r="O888" s="176"/>
      <c r="P888" s="176"/>
      <c r="Q888" s="176"/>
      <c r="R888" s="176"/>
      <c r="S888" s="176"/>
      <c r="T888" s="176"/>
      <c r="U888" s="176"/>
      <c r="V888" s="176"/>
      <c r="W888" s="176"/>
      <c r="X888" s="176"/>
      <c r="Y888" s="176"/>
      <c r="Z888" s="176"/>
      <c r="AA888" s="176"/>
      <c r="AB888" s="176"/>
      <c r="AC888" s="176"/>
      <c r="AD888" s="176"/>
      <c r="AE888" s="176"/>
      <c r="AF888" s="176"/>
      <c r="AG888" s="176"/>
      <c r="AH888" s="176"/>
      <c r="AI888" s="176"/>
      <c r="AJ888" s="176"/>
      <c r="AK888" s="176"/>
      <c r="AL888" s="176"/>
      <c r="AM888" s="176"/>
      <c r="AN888" s="176"/>
      <c r="AO888" s="176"/>
      <c r="AP888" s="176"/>
      <c r="AQ888" s="176"/>
      <c r="AR888" s="176"/>
      <c r="AS888" s="176"/>
      <c r="AT888" s="176"/>
      <c r="AU888" s="176"/>
      <c r="AV888" s="176"/>
      <c r="AW888" s="176"/>
      <c r="AX888" s="176"/>
      <c r="AY888" s="176"/>
      <c r="AZ888" s="176"/>
      <c r="BA888" s="176"/>
      <c r="BB888" s="176"/>
    </row>
    <row r="889" ht="15.75" customHeight="1">
      <c r="A889" s="176"/>
      <c r="B889" s="176"/>
      <c r="C889" s="176"/>
      <c r="D889" s="176"/>
      <c r="E889" s="176"/>
      <c r="F889" s="176"/>
      <c r="G889" s="176"/>
      <c r="H889" s="176"/>
      <c r="I889" s="176"/>
      <c r="J889" s="176"/>
      <c r="K889" s="176"/>
      <c r="L889" s="176"/>
      <c r="M889" s="176"/>
      <c r="N889" s="176"/>
      <c r="O889" s="176"/>
      <c r="P889" s="176"/>
      <c r="Q889" s="176"/>
      <c r="R889" s="176"/>
      <c r="S889" s="176"/>
      <c r="T889" s="176"/>
      <c r="U889" s="176"/>
      <c r="V889" s="176"/>
      <c r="W889" s="176"/>
      <c r="X889" s="176"/>
      <c r="Y889" s="176"/>
      <c r="Z889" s="176"/>
      <c r="AA889" s="176"/>
      <c r="AB889" s="176"/>
      <c r="AC889" s="176"/>
      <c r="AD889" s="176"/>
      <c r="AE889" s="176"/>
      <c r="AF889" s="176"/>
      <c r="AG889" s="176"/>
      <c r="AH889" s="176"/>
      <c r="AI889" s="176"/>
      <c r="AJ889" s="176"/>
      <c r="AK889" s="176"/>
      <c r="AL889" s="176"/>
      <c r="AM889" s="176"/>
      <c r="AN889" s="176"/>
      <c r="AO889" s="176"/>
      <c r="AP889" s="176"/>
      <c r="AQ889" s="176"/>
      <c r="AR889" s="176"/>
      <c r="AS889" s="176"/>
      <c r="AT889" s="176"/>
      <c r="AU889" s="176"/>
      <c r="AV889" s="176"/>
      <c r="AW889" s="176"/>
      <c r="AX889" s="176"/>
      <c r="AY889" s="176"/>
      <c r="AZ889" s="176"/>
      <c r="BA889" s="176"/>
      <c r="BB889" s="176"/>
    </row>
    <row r="890" ht="15.75" customHeight="1">
      <c r="A890" s="176"/>
      <c r="B890" s="176"/>
      <c r="C890" s="176"/>
      <c r="D890" s="176"/>
      <c r="E890" s="176"/>
      <c r="F890" s="176"/>
      <c r="G890" s="176"/>
      <c r="H890" s="176"/>
      <c r="I890" s="176"/>
      <c r="J890" s="176"/>
      <c r="K890" s="176"/>
      <c r="L890" s="176"/>
      <c r="M890" s="176"/>
      <c r="N890" s="176"/>
      <c r="O890" s="176"/>
      <c r="P890" s="176"/>
      <c r="Q890" s="176"/>
      <c r="R890" s="176"/>
      <c r="S890" s="176"/>
      <c r="T890" s="176"/>
      <c r="U890" s="176"/>
      <c r="V890" s="176"/>
      <c r="W890" s="176"/>
      <c r="X890" s="176"/>
      <c r="Y890" s="176"/>
      <c r="Z890" s="176"/>
      <c r="AA890" s="176"/>
      <c r="AB890" s="176"/>
      <c r="AC890" s="176"/>
      <c r="AD890" s="176"/>
      <c r="AE890" s="176"/>
      <c r="AF890" s="176"/>
      <c r="AG890" s="176"/>
      <c r="AH890" s="176"/>
      <c r="AI890" s="176"/>
      <c r="AJ890" s="176"/>
      <c r="AK890" s="176"/>
      <c r="AL890" s="176"/>
      <c r="AM890" s="176"/>
      <c r="AN890" s="176"/>
      <c r="AO890" s="176"/>
      <c r="AP890" s="176"/>
      <c r="AQ890" s="176"/>
      <c r="AR890" s="176"/>
      <c r="AS890" s="176"/>
      <c r="AT890" s="176"/>
      <c r="AU890" s="176"/>
      <c r="AV890" s="176"/>
      <c r="AW890" s="176"/>
      <c r="AX890" s="176"/>
      <c r="AY890" s="176"/>
      <c r="AZ890" s="176"/>
      <c r="BA890" s="176"/>
      <c r="BB890" s="176"/>
    </row>
    <row r="891" ht="15.75" customHeight="1">
      <c r="A891" s="176"/>
      <c r="B891" s="176"/>
      <c r="C891" s="176"/>
      <c r="D891" s="176"/>
      <c r="E891" s="176"/>
      <c r="F891" s="176"/>
      <c r="G891" s="176"/>
      <c r="H891" s="176"/>
      <c r="I891" s="176"/>
      <c r="J891" s="176"/>
      <c r="K891" s="176"/>
      <c r="L891" s="176"/>
      <c r="M891" s="176"/>
      <c r="N891" s="176"/>
      <c r="O891" s="176"/>
      <c r="P891" s="176"/>
      <c r="Q891" s="176"/>
      <c r="R891" s="176"/>
      <c r="S891" s="176"/>
      <c r="T891" s="176"/>
      <c r="U891" s="176"/>
      <c r="V891" s="176"/>
      <c r="W891" s="176"/>
      <c r="X891" s="176"/>
      <c r="Y891" s="176"/>
      <c r="Z891" s="176"/>
      <c r="AA891" s="176"/>
      <c r="AB891" s="176"/>
      <c r="AC891" s="176"/>
      <c r="AD891" s="176"/>
      <c r="AE891" s="176"/>
      <c r="AF891" s="176"/>
      <c r="AG891" s="176"/>
      <c r="AH891" s="176"/>
      <c r="AI891" s="176"/>
      <c r="AJ891" s="176"/>
      <c r="AK891" s="176"/>
      <c r="AL891" s="176"/>
      <c r="AM891" s="176"/>
      <c r="AN891" s="176"/>
      <c r="AO891" s="176"/>
      <c r="AP891" s="176"/>
      <c r="AQ891" s="176"/>
      <c r="AR891" s="176"/>
      <c r="AS891" s="176"/>
      <c r="AT891" s="176"/>
      <c r="AU891" s="176"/>
      <c r="AV891" s="176"/>
      <c r="AW891" s="176"/>
      <c r="AX891" s="176"/>
      <c r="AY891" s="176"/>
      <c r="AZ891" s="176"/>
      <c r="BA891" s="176"/>
      <c r="BB891" s="176"/>
    </row>
    <row r="892" ht="15.75" customHeight="1">
      <c r="A892" s="176"/>
      <c r="B892" s="176"/>
      <c r="C892" s="176"/>
      <c r="D892" s="176"/>
      <c r="E892" s="176"/>
      <c r="F892" s="176"/>
      <c r="G892" s="176"/>
      <c r="H892" s="176"/>
      <c r="I892" s="176"/>
      <c r="J892" s="176"/>
      <c r="K892" s="176"/>
      <c r="L892" s="176"/>
      <c r="M892" s="176"/>
      <c r="N892" s="176"/>
      <c r="O892" s="176"/>
      <c r="P892" s="176"/>
      <c r="Q892" s="176"/>
      <c r="R892" s="176"/>
      <c r="S892" s="176"/>
      <c r="T892" s="176"/>
      <c r="U892" s="176"/>
      <c r="V892" s="176"/>
      <c r="W892" s="176"/>
      <c r="X892" s="176"/>
      <c r="Y892" s="176"/>
      <c r="Z892" s="176"/>
      <c r="AA892" s="176"/>
      <c r="AB892" s="176"/>
      <c r="AC892" s="176"/>
      <c r="AD892" s="176"/>
      <c r="AE892" s="176"/>
      <c r="AF892" s="176"/>
      <c r="AG892" s="176"/>
      <c r="AH892" s="176"/>
      <c r="AI892" s="176"/>
      <c r="AJ892" s="176"/>
      <c r="AK892" s="176"/>
      <c r="AL892" s="176"/>
      <c r="AM892" s="176"/>
      <c r="AN892" s="176"/>
      <c r="AO892" s="176"/>
      <c r="AP892" s="176"/>
      <c r="AQ892" s="176"/>
      <c r="AR892" s="176"/>
      <c r="AS892" s="176"/>
      <c r="AT892" s="176"/>
      <c r="AU892" s="176"/>
      <c r="AV892" s="176"/>
      <c r="AW892" s="176"/>
      <c r="AX892" s="176"/>
      <c r="AY892" s="176"/>
      <c r="AZ892" s="176"/>
      <c r="BA892" s="176"/>
      <c r="BB892" s="176"/>
    </row>
    <row r="893" ht="15.75" customHeight="1">
      <c r="A893" s="176"/>
      <c r="B893" s="176"/>
      <c r="C893" s="176"/>
      <c r="D893" s="176"/>
      <c r="E893" s="176"/>
      <c r="F893" s="176"/>
      <c r="G893" s="176"/>
      <c r="H893" s="176"/>
      <c r="I893" s="176"/>
      <c r="J893" s="176"/>
      <c r="K893" s="176"/>
      <c r="L893" s="176"/>
      <c r="M893" s="176"/>
      <c r="N893" s="176"/>
      <c r="O893" s="176"/>
      <c r="P893" s="176"/>
      <c r="Q893" s="176"/>
      <c r="R893" s="176"/>
      <c r="S893" s="176"/>
      <c r="T893" s="176"/>
      <c r="U893" s="176"/>
      <c r="V893" s="176"/>
      <c r="W893" s="176"/>
      <c r="X893" s="176"/>
      <c r="Y893" s="176"/>
      <c r="Z893" s="176"/>
      <c r="AA893" s="176"/>
      <c r="AB893" s="176"/>
      <c r="AC893" s="176"/>
      <c r="AD893" s="176"/>
      <c r="AE893" s="176"/>
      <c r="AF893" s="176"/>
      <c r="AG893" s="176"/>
      <c r="AH893" s="176"/>
      <c r="AI893" s="176"/>
      <c r="AJ893" s="176"/>
      <c r="AK893" s="176"/>
      <c r="AL893" s="176"/>
      <c r="AM893" s="176"/>
      <c r="AN893" s="176"/>
      <c r="AO893" s="176"/>
      <c r="AP893" s="176"/>
      <c r="AQ893" s="176"/>
      <c r="AR893" s="176"/>
      <c r="AS893" s="176"/>
      <c r="AT893" s="176"/>
      <c r="AU893" s="176"/>
      <c r="AV893" s="176"/>
      <c r="AW893" s="176"/>
      <c r="AX893" s="176"/>
      <c r="AY893" s="176"/>
      <c r="AZ893" s="176"/>
      <c r="BA893" s="176"/>
      <c r="BB893" s="176"/>
    </row>
    <row r="894" ht="15.75" customHeight="1">
      <c r="A894" s="176"/>
      <c r="B894" s="176"/>
      <c r="C894" s="176"/>
      <c r="D894" s="176"/>
      <c r="E894" s="176"/>
      <c r="F894" s="176"/>
      <c r="G894" s="176"/>
      <c r="H894" s="176"/>
      <c r="I894" s="176"/>
      <c r="J894" s="176"/>
      <c r="K894" s="176"/>
      <c r="L894" s="176"/>
      <c r="M894" s="176"/>
      <c r="N894" s="176"/>
      <c r="O894" s="176"/>
      <c r="P894" s="176"/>
      <c r="Q894" s="176"/>
      <c r="R894" s="176"/>
      <c r="S894" s="176"/>
      <c r="T894" s="176"/>
      <c r="U894" s="176"/>
      <c r="V894" s="176"/>
      <c r="W894" s="176"/>
      <c r="X894" s="176"/>
      <c r="Y894" s="176"/>
      <c r="Z894" s="176"/>
      <c r="AA894" s="176"/>
      <c r="AB894" s="176"/>
      <c r="AC894" s="176"/>
      <c r="AD894" s="176"/>
      <c r="AE894" s="176"/>
      <c r="AF894" s="176"/>
      <c r="AG894" s="176"/>
      <c r="AH894" s="176"/>
      <c r="AI894" s="176"/>
      <c r="AJ894" s="176"/>
      <c r="AK894" s="176"/>
      <c r="AL894" s="176"/>
      <c r="AM894" s="176"/>
      <c r="AN894" s="176"/>
      <c r="AO894" s="176"/>
      <c r="AP894" s="176"/>
      <c r="AQ894" s="176"/>
      <c r="AR894" s="176"/>
      <c r="AS894" s="176"/>
      <c r="AT894" s="176"/>
      <c r="AU894" s="176"/>
      <c r="AV894" s="176"/>
      <c r="AW894" s="176"/>
      <c r="AX894" s="176"/>
      <c r="AY894" s="176"/>
      <c r="AZ894" s="176"/>
      <c r="BA894" s="176"/>
      <c r="BB894" s="176"/>
    </row>
    <row r="895" ht="15.75" customHeight="1">
      <c r="A895" s="176"/>
      <c r="B895" s="176"/>
      <c r="C895" s="176"/>
      <c r="D895" s="176"/>
      <c r="E895" s="176"/>
      <c r="F895" s="176"/>
      <c r="G895" s="176"/>
      <c r="H895" s="176"/>
      <c r="I895" s="176"/>
      <c r="J895" s="176"/>
      <c r="K895" s="176"/>
      <c r="L895" s="176"/>
      <c r="M895" s="176"/>
      <c r="N895" s="176"/>
      <c r="O895" s="176"/>
      <c r="P895" s="176"/>
      <c r="Q895" s="176"/>
      <c r="R895" s="176"/>
      <c r="S895" s="176"/>
      <c r="T895" s="176"/>
      <c r="U895" s="176"/>
      <c r="V895" s="176"/>
      <c r="W895" s="176"/>
      <c r="X895" s="176"/>
      <c r="Y895" s="176"/>
      <c r="Z895" s="176"/>
      <c r="AA895" s="176"/>
      <c r="AB895" s="176"/>
      <c r="AC895" s="176"/>
      <c r="AD895" s="176"/>
      <c r="AE895" s="176"/>
      <c r="AF895" s="176"/>
      <c r="AG895" s="176"/>
      <c r="AH895" s="176"/>
      <c r="AI895" s="176"/>
      <c r="AJ895" s="176"/>
      <c r="AK895" s="176"/>
      <c r="AL895" s="176"/>
      <c r="AM895" s="176"/>
      <c r="AN895" s="176"/>
      <c r="AO895" s="176"/>
      <c r="AP895" s="176"/>
      <c r="AQ895" s="176"/>
      <c r="AR895" s="176"/>
      <c r="AS895" s="176"/>
      <c r="AT895" s="176"/>
      <c r="AU895" s="176"/>
      <c r="AV895" s="176"/>
      <c r="AW895" s="176"/>
      <c r="AX895" s="176"/>
      <c r="AY895" s="176"/>
      <c r="AZ895" s="176"/>
      <c r="BA895" s="176"/>
      <c r="BB895" s="176"/>
    </row>
    <row r="896" ht="15.75" customHeight="1">
      <c r="A896" s="176"/>
      <c r="B896" s="176"/>
      <c r="C896" s="176"/>
      <c r="D896" s="176"/>
      <c r="E896" s="176"/>
      <c r="F896" s="176"/>
      <c r="G896" s="176"/>
      <c r="H896" s="176"/>
      <c r="I896" s="176"/>
      <c r="J896" s="176"/>
      <c r="K896" s="176"/>
      <c r="L896" s="176"/>
      <c r="M896" s="176"/>
      <c r="N896" s="176"/>
      <c r="O896" s="176"/>
      <c r="P896" s="176"/>
      <c r="Q896" s="176"/>
      <c r="R896" s="176"/>
      <c r="S896" s="176"/>
      <c r="T896" s="176"/>
      <c r="U896" s="176"/>
      <c r="V896" s="176"/>
      <c r="W896" s="176"/>
      <c r="X896" s="176"/>
      <c r="Y896" s="176"/>
      <c r="Z896" s="176"/>
      <c r="AA896" s="176"/>
      <c r="AB896" s="176"/>
      <c r="AC896" s="176"/>
      <c r="AD896" s="176"/>
      <c r="AE896" s="176"/>
      <c r="AF896" s="176"/>
      <c r="AG896" s="176"/>
      <c r="AH896" s="176"/>
      <c r="AI896" s="176"/>
      <c r="AJ896" s="176"/>
      <c r="AK896" s="176"/>
      <c r="AL896" s="176"/>
      <c r="AM896" s="176"/>
      <c r="AN896" s="176"/>
      <c r="AO896" s="176"/>
      <c r="AP896" s="176"/>
      <c r="AQ896" s="176"/>
      <c r="AR896" s="176"/>
      <c r="AS896" s="176"/>
      <c r="AT896" s="176"/>
      <c r="AU896" s="176"/>
      <c r="AV896" s="176"/>
      <c r="AW896" s="176"/>
      <c r="AX896" s="176"/>
      <c r="AY896" s="176"/>
      <c r="AZ896" s="176"/>
      <c r="BA896" s="176"/>
      <c r="BB896" s="176"/>
    </row>
    <row r="897" ht="15.75" customHeight="1">
      <c r="A897" s="176"/>
      <c r="B897" s="176"/>
      <c r="C897" s="176"/>
      <c r="D897" s="176"/>
      <c r="E897" s="176"/>
      <c r="F897" s="176"/>
      <c r="G897" s="176"/>
      <c r="H897" s="176"/>
      <c r="I897" s="176"/>
      <c r="J897" s="176"/>
      <c r="K897" s="176"/>
      <c r="L897" s="176"/>
      <c r="M897" s="176"/>
      <c r="N897" s="176"/>
      <c r="O897" s="176"/>
      <c r="P897" s="176"/>
      <c r="Q897" s="176"/>
      <c r="R897" s="176"/>
      <c r="S897" s="176"/>
      <c r="T897" s="176"/>
      <c r="U897" s="176"/>
      <c r="V897" s="176"/>
      <c r="W897" s="176"/>
      <c r="X897" s="176"/>
      <c r="Y897" s="176"/>
      <c r="Z897" s="176"/>
      <c r="AA897" s="176"/>
      <c r="AB897" s="176"/>
      <c r="AC897" s="176"/>
      <c r="AD897" s="176"/>
      <c r="AE897" s="176"/>
      <c r="AF897" s="176"/>
      <c r="AG897" s="176"/>
      <c r="AH897" s="176"/>
      <c r="AI897" s="176"/>
      <c r="AJ897" s="176"/>
      <c r="AK897" s="176"/>
      <c r="AL897" s="176"/>
      <c r="AM897" s="176"/>
      <c r="AN897" s="176"/>
      <c r="AO897" s="176"/>
      <c r="AP897" s="176"/>
      <c r="AQ897" s="176"/>
      <c r="AR897" s="176"/>
      <c r="AS897" s="176"/>
      <c r="AT897" s="176"/>
      <c r="AU897" s="176"/>
      <c r="AV897" s="176"/>
      <c r="AW897" s="176"/>
      <c r="AX897" s="176"/>
      <c r="AY897" s="176"/>
      <c r="AZ897" s="176"/>
      <c r="BA897" s="176"/>
      <c r="BB897" s="176"/>
    </row>
    <row r="898" ht="15.75" customHeight="1">
      <c r="A898" s="176"/>
      <c r="B898" s="176"/>
      <c r="C898" s="176"/>
      <c r="D898" s="176"/>
      <c r="E898" s="176"/>
      <c r="F898" s="176"/>
      <c r="G898" s="176"/>
      <c r="H898" s="176"/>
      <c r="I898" s="176"/>
      <c r="J898" s="176"/>
      <c r="K898" s="176"/>
      <c r="L898" s="176"/>
      <c r="M898" s="176"/>
      <c r="N898" s="176"/>
      <c r="O898" s="176"/>
      <c r="P898" s="176"/>
      <c r="Q898" s="176"/>
      <c r="R898" s="176"/>
      <c r="S898" s="176"/>
      <c r="T898" s="176"/>
      <c r="U898" s="176"/>
      <c r="V898" s="176"/>
      <c r="W898" s="176"/>
      <c r="X898" s="176"/>
      <c r="Y898" s="176"/>
      <c r="Z898" s="176"/>
      <c r="AA898" s="176"/>
      <c r="AB898" s="176"/>
      <c r="AC898" s="176"/>
      <c r="AD898" s="176"/>
      <c r="AE898" s="176"/>
      <c r="AF898" s="176"/>
      <c r="AG898" s="176"/>
      <c r="AH898" s="176"/>
      <c r="AI898" s="176"/>
      <c r="AJ898" s="176"/>
      <c r="AK898" s="176"/>
      <c r="AL898" s="176"/>
      <c r="AM898" s="176"/>
      <c r="AN898" s="176"/>
      <c r="AO898" s="176"/>
      <c r="AP898" s="176"/>
      <c r="AQ898" s="176"/>
      <c r="AR898" s="176"/>
      <c r="AS898" s="176"/>
      <c r="AT898" s="176"/>
      <c r="AU898" s="176"/>
      <c r="AV898" s="176"/>
      <c r="AW898" s="176"/>
      <c r="AX898" s="176"/>
      <c r="AY898" s="176"/>
      <c r="AZ898" s="176"/>
      <c r="BA898" s="176"/>
      <c r="BB898" s="176"/>
    </row>
    <row r="899" ht="15.75" customHeight="1">
      <c r="A899" s="176"/>
      <c r="B899" s="176"/>
      <c r="C899" s="176"/>
      <c r="D899" s="176"/>
      <c r="E899" s="176"/>
      <c r="F899" s="176"/>
      <c r="G899" s="176"/>
      <c r="H899" s="176"/>
      <c r="I899" s="176"/>
      <c r="J899" s="176"/>
      <c r="K899" s="176"/>
      <c r="L899" s="176"/>
      <c r="M899" s="176"/>
      <c r="N899" s="176"/>
      <c r="O899" s="176"/>
      <c r="P899" s="176"/>
      <c r="Q899" s="176"/>
      <c r="R899" s="176"/>
      <c r="S899" s="176"/>
      <c r="T899" s="176"/>
      <c r="U899" s="176"/>
      <c r="V899" s="176"/>
      <c r="W899" s="176"/>
      <c r="X899" s="176"/>
      <c r="Y899" s="176"/>
      <c r="Z899" s="176"/>
      <c r="AA899" s="176"/>
      <c r="AB899" s="176"/>
      <c r="AC899" s="176"/>
      <c r="AD899" s="176"/>
      <c r="AE899" s="176"/>
      <c r="AF899" s="176"/>
      <c r="AG899" s="176"/>
      <c r="AH899" s="176"/>
      <c r="AI899" s="176"/>
      <c r="AJ899" s="176"/>
      <c r="AK899" s="176"/>
      <c r="AL899" s="176"/>
      <c r="AM899" s="176"/>
      <c r="AN899" s="176"/>
      <c r="AO899" s="176"/>
      <c r="AP899" s="176"/>
      <c r="AQ899" s="176"/>
      <c r="AR899" s="176"/>
      <c r="AS899" s="176"/>
      <c r="AT899" s="176"/>
      <c r="AU899" s="176"/>
      <c r="AV899" s="176"/>
      <c r="AW899" s="176"/>
      <c r="AX899" s="176"/>
      <c r="AY899" s="176"/>
      <c r="AZ899" s="176"/>
      <c r="BA899" s="176"/>
      <c r="BB899" s="176"/>
    </row>
    <row r="900" ht="15.75" customHeight="1">
      <c r="A900" s="176"/>
      <c r="B900" s="176"/>
      <c r="C900" s="176"/>
      <c r="D900" s="176"/>
      <c r="E900" s="176"/>
      <c r="F900" s="176"/>
      <c r="G900" s="176"/>
      <c r="H900" s="176"/>
      <c r="I900" s="176"/>
      <c r="J900" s="176"/>
      <c r="K900" s="176"/>
      <c r="L900" s="176"/>
      <c r="M900" s="176"/>
      <c r="N900" s="176"/>
      <c r="O900" s="176"/>
      <c r="P900" s="176"/>
      <c r="Q900" s="176"/>
      <c r="R900" s="176"/>
      <c r="S900" s="176"/>
      <c r="T900" s="176"/>
      <c r="U900" s="176"/>
      <c r="V900" s="176"/>
      <c r="W900" s="176"/>
      <c r="X900" s="176"/>
      <c r="Y900" s="176"/>
      <c r="Z900" s="176"/>
      <c r="AA900" s="176"/>
      <c r="AB900" s="176"/>
      <c r="AC900" s="176"/>
      <c r="AD900" s="176"/>
      <c r="AE900" s="176"/>
      <c r="AF900" s="176"/>
      <c r="AG900" s="176"/>
      <c r="AH900" s="176"/>
      <c r="AI900" s="176"/>
      <c r="AJ900" s="176"/>
      <c r="AK900" s="176"/>
      <c r="AL900" s="176"/>
      <c r="AM900" s="176"/>
      <c r="AN900" s="176"/>
      <c r="AO900" s="176"/>
      <c r="AP900" s="176"/>
      <c r="AQ900" s="176"/>
      <c r="AR900" s="176"/>
      <c r="AS900" s="176"/>
      <c r="AT900" s="176"/>
      <c r="AU900" s="176"/>
      <c r="AV900" s="176"/>
      <c r="AW900" s="176"/>
      <c r="AX900" s="176"/>
      <c r="AY900" s="176"/>
      <c r="AZ900" s="176"/>
      <c r="BA900" s="176"/>
      <c r="BB900" s="176"/>
    </row>
    <row r="901" ht="15.75" customHeight="1">
      <c r="A901" s="176"/>
      <c r="B901" s="176"/>
      <c r="C901" s="176"/>
      <c r="D901" s="176"/>
      <c r="E901" s="176"/>
      <c r="F901" s="176"/>
      <c r="G901" s="176"/>
      <c r="H901" s="176"/>
      <c r="I901" s="176"/>
      <c r="J901" s="176"/>
      <c r="K901" s="176"/>
      <c r="L901" s="176"/>
      <c r="M901" s="176"/>
      <c r="N901" s="176"/>
      <c r="O901" s="176"/>
      <c r="P901" s="176"/>
      <c r="Q901" s="176"/>
      <c r="R901" s="176"/>
      <c r="S901" s="176"/>
      <c r="T901" s="176"/>
      <c r="U901" s="176"/>
      <c r="V901" s="176"/>
      <c r="W901" s="176"/>
      <c r="X901" s="176"/>
      <c r="Y901" s="176"/>
      <c r="Z901" s="176"/>
      <c r="AA901" s="176"/>
      <c r="AB901" s="176"/>
      <c r="AC901" s="176"/>
      <c r="AD901" s="176"/>
      <c r="AE901" s="176"/>
      <c r="AF901" s="176"/>
      <c r="AG901" s="176"/>
      <c r="AH901" s="176"/>
      <c r="AI901" s="176"/>
      <c r="AJ901" s="176"/>
      <c r="AK901" s="176"/>
      <c r="AL901" s="176"/>
      <c r="AM901" s="176"/>
      <c r="AN901" s="176"/>
      <c r="AO901" s="176"/>
      <c r="AP901" s="176"/>
      <c r="AQ901" s="176"/>
      <c r="AR901" s="176"/>
      <c r="AS901" s="176"/>
      <c r="AT901" s="176"/>
      <c r="AU901" s="176"/>
      <c r="AV901" s="176"/>
      <c r="AW901" s="176"/>
      <c r="AX901" s="176"/>
      <c r="AY901" s="176"/>
      <c r="AZ901" s="176"/>
      <c r="BA901" s="176"/>
      <c r="BB901" s="176"/>
    </row>
    <row r="902" ht="15.75" customHeight="1">
      <c r="A902" s="176"/>
      <c r="B902" s="176"/>
      <c r="C902" s="176"/>
      <c r="D902" s="176"/>
      <c r="E902" s="176"/>
      <c r="F902" s="176"/>
      <c r="G902" s="176"/>
      <c r="H902" s="176"/>
      <c r="I902" s="176"/>
      <c r="J902" s="176"/>
      <c r="K902" s="176"/>
      <c r="L902" s="176"/>
      <c r="M902" s="176"/>
      <c r="N902" s="176"/>
      <c r="O902" s="176"/>
      <c r="P902" s="176"/>
      <c r="Q902" s="176"/>
      <c r="R902" s="176"/>
      <c r="S902" s="176"/>
      <c r="T902" s="176"/>
      <c r="U902" s="176"/>
      <c r="V902" s="176"/>
      <c r="W902" s="176"/>
      <c r="X902" s="176"/>
      <c r="Y902" s="176"/>
      <c r="Z902" s="176"/>
      <c r="AA902" s="176"/>
      <c r="AB902" s="176"/>
      <c r="AC902" s="176"/>
      <c r="AD902" s="176"/>
      <c r="AE902" s="176"/>
      <c r="AF902" s="176"/>
      <c r="AG902" s="176"/>
      <c r="AH902" s="176"/>
      <c r="AI902" s="176"/>
      <c r="AJ902" s="176"/>
      <c r="AK902" s="176"/>
      <c r="AL902" s="176"/>
      <c r="AM902" s="176"/>
      <c r="AN902" s="176"/>
      <c r="AO902" s="176"/>
      <c r="AP902" s="176"/>
      <c r="AQ902" s="176"/>
      <c r="AR902" s="176"/>
      <c r="AS902" s="176"/>
      <c r="AT902" s="176"/>
      <c r="AU902" s="176"/>
      <c r="AV902" s="176"/>
      <c r="AW902" s="176"/>
      <c r="AX902" s="176"/>
      <c r="AY902" s="176"/>
      <c r="AZ902" s="176"/>
      <c r="BA902" s="176"/>
      <c r="BB902" s="176"/>
    </row>
    <row r="903" ht="15.75" customHeight="1">
      <c r="A903" s="176"/>
      <c r="B903" s="176"/>
      <c r="C903" s="176"/>
      <c r="D903" s="176"/>
      <c r="E903" s="176"/>
      <c r="F903" s="176"/>
      <c r="G903" s="176"/>
      <c r="H903" s="176"/>
      <c r="I903" s="176"/>
      <c r="J903" s="176"/>
      <c r="K903" s="176"/>
      <c r="L903" s="176"/>
      <c r="M903" s="176"/>
      <c r="N903" s="176"/>
      <c r="O903" s="176"/>
      <c r="P903" s="176"/>
      <c r="Q903" s="176"/>
      <c r="R903" s="176"/>
      <c r="S903" s="176"/>
      <c r="T903" s="176"/>
      <c r="U903" s="176"/>
      <c r="V903" s="176"/>
      <c r="W903" s="176"/>
      <c r="X903" s="176"/>
      <c r="Y903" s="176"/>
      <c r="Z903" s="176"/>
      <c r="AA903" s="176"/>
      <c r="AB903" s="176"/>
      <c r="AC903" s="176"/>
      <c r="AD903" s="176"/>
      <c r="AE903" s="176"/>
      <c r="AF903" s="176"/>
      <c r="AG903" s="176"/>
      <c r="AH903" s="176"/>
      <c r="AI903" s="176"/>
      <c r="AJ903" s="176"/>
      <c r="AK903" s="176"/>
      <c r="AL903" s="176"/>
      <c r="AM903" s="176"/>
      <c r="AN903" s="176"/>
      <c r="AO903" s="176"/>
      <c r="AP903" s="176"/>
      <c r="AQ903" s="176"/>
      <c r="AR903" s="176"/>
      <c r="AS903" s="176"/>
      <c r="AT903" s="176"/>
      <c r="AU903" s="176"/>
      <c r="AV903" s="176"/>
      <c r="AW903" s="176"/>
      <c r="AX903" s="176"/>
      <c r="AY903" s="176"/>
      <c r="AZ903" s="176"/>
      <c r="BA903" s="176"/>
      <c r="BB903" s="176"/>
    </row>
    <row r="904" ht="15.75" customHeight="1">
      <c r="A904" s="176"/>
      <c r="B904" s="176"/>
      <c r="C904" s="176"/>
      <c r="D904" s="176"/>
      <c r="E904" s="176"/>
      <c r="F904" s="176"/>
      <c r="G904" s="176"/>
      <c r="H904" s="176"/>
      <c r="I904" s="176"/>
      <c r="J904" s="176"/>
      <c r="K904" s="176"/>
      <c r="L904" s="176"/>
      <c r="M904" s="176"/>
      <c r="N904" s="176"/>
      <c r="O904" s="176"/>
      <c r="P904" s="176"/>
      <c r="Q904" s="176"/>
      <c r="R904" s="176"/>
      <c r="S904" s="176"/>
      <c r="T904" s="176"/>
      <c r="U904" s="176"/>
      <c r="V904" s="176"/>
      <c r="W904" s="176"/>
      <c r="X904" s="176"/>
      <c r="Y904" s="176"/>
      <c r="Z904" s="176"/>
      <c r="AA904" s="176"/>
      <c r="AB904" s="176"/>
      <c r="AC904" s="176"/>
      <c r="AD904" s="176"/>
      <c r="AE904" s="176"/>
      <c r="AF904" s="176"/>
      <c r="AG904" s="176"/>
      <c r="AH904" s="176"/>
      <c r="AI904" s="176"/>
      <c r="AJ904" s="176"/>
      <c r="AK904" s="176"/>
      <c r="AL904" s="176"/>
      <c r="AM904" s="176"/>
      <c r="AN904" s="176"/>
      <c r="AO904" s="176"/>
      <c r="AP904" s="176"/>
      <c r="AQ904" s="176"/>
      <c r="AR904" s="176"/>
      <c r="AS904" s="176"/>
      <c r="AT904" s="176"/>
      <c r="AU904" s="176"/>
      <c r="AV904" s="176"/>
      <c r="AW904" s="176"/>
      <c r="AX904" s="176"/>
      <c r="AY904" s="176"/>
      <c r="AZ904" s="176"/>
      <c r="BA904" s="176"/>
      <c r="BB904" s="176"/>
    </row>
    <row r="905" ht="15.75" customHeight="1">
      <c r="A905" s="176"/>
      <c r="B905" s="176"/>
      <c r="C905" s="176"/>
      <c r="D905" s="176"/>
      <c r="E905" s="176"/>
      <c r="F905" s="176"/>
      <c r="G905" s="176"/>
      <c r="H905" s="176"/>
      <c r="I905" s="176"/>
      <c r="J905" s="176"/>
      <c r="K905" s="176"/>
      <c r="L905" s="176"/>
      <c r="M905" s="176"/>
      <c r="N905" s="176"/>
      <c r="O905" s="176"/>
      <c r="P905" s="176"/>
      <c r="Q905" s="176"/>
      <c r="R905" s="176"/>
      <c r="S905" s="176"/>
      <c r="T905" s="176"/>
      <c r="U905" s="176"/>
      <c r="V905" s="176"/>
      <c r="W905" s="176"/>
      <c r="X905" s="176"/>
      <c r="Y905" s="176"/>
      <c r="Z905" s="176"/>
      <c r="AA905" s="176"/>
      <c r="AB905" s="176"/>
      <c r="AC905" s="176"/>
      <c r="AD905" s="176"/>
      <c r="AE905" s="176"/>
      <c r="AF905" s="176"/>
      <c r="AG905" s="176"/>
      <c r="AH905" s="176"/>
      <c r="AI905" s="176"/>
      <c r="AJ905" s="176"/>
      <c r="AK905" s="176"/>
      <c r="AL905" s="176"/>
      <c r="AM905" s="176"/>
      <c r="AN905" s="176"/>
      <c r="AO905" s="176"/>
      <c r="AP905" s="176"/>
      <c r="AQ905" s="176"/>
      <c r="AR905" s="176"/>
      <c r="AS905" s="176"/>
      <c r="AT905" s="176"/>
      <c r="AU905" s="176"/>
      <c r="AV905" s="176"/>
      <c r="AW905" s="176"/>
      <c r="AX905" s="176"/>
      <c r="AY905" s="176"/>
      <c r="AZ905" s="176"/>
      <c r="BA905" s="176"/>
      <c r="BB905" s="176"/>
    </row>
    <row r="906" ht="15.75" customHeight="1">
      <c r="A906" s="176"/>
      <c r="B906" s="176"/>
      <c r="C906" s="176"/>
      <c r="D906" s="176"/>
      <c r="E906" s="176"/>
      <c r="F906" s="176"/>
      <c r="G906" s="176"/>
      <c r="H906" s="176"/>
      <c r="I906" s="176"/>
      <c r="J906" s="176"/>
      <c r="K906" s="176"/>
      <c r="L906" s="176"/>
      <c r="M906" s="176"/>
      <c r="N906" s="176"/>
      <c r="O906" s="176"/>
      <c r="P906" s="176"/>
      <c r="Q906" s="176"/>
      <c r="R906" s="176"/>
      <c r="S906" s="176"/>
      <c r="T906" s="176"/>
      <c r="U906" s="176"/>
      <c r="V906" s="176"/>
      <c r="W906" s="176"/>
      <c r="X906" s="176"/>
      <c r="Y906" s="176"/>
      <c r="Z906" s="176"/>
      <c r="AA906" s="176"/>
      <c r="AB906" s="176"/>
      <c r="AC906" s="176"/>
      <c r="AD906" s="176"/>
      <c r="AE906" s="176"/>
      <c r="AF906" s="176"/>
      <c r="AG906" s="176"/>
      <c r="AH906" s="176"/>
      <c r="AI906" s="176"/>
      <c r="AJ906" s="176"/>
      <c r="AK906" s="176"/>
      <c r="AL906" s="176"/>
      <c r="AM906" s="176"/>
      <c r="AN906" s="176"/>
      <c r="AO906" s="176"/>
      <c r="AP906" s="176"/>
      <c r="AQ906" s="176"/>
      <c r="AR906" s="176"/>
      <c r="AS906" s="176"/>
      <c r="AT906" s="176"/>
      <c r="AU906" s="176"/>
      <c r="AV906" s="176"/>
      <c r="AW906" s="176"/>
      <c r="AX906" s="176"/>
      <c r="AY906" s="176"/>
      <c r="AZ906" s="176"/>
      <c r="BA906" s="176"/>
      <c r="BB906" s="176"/>
    </row>
    <row r="907" ht="15.75" customHeight="1">
      <c r="A907" s="176"/>
      <c r="B907" s="176"/>
      <c r="C907" s="176"/>
      <c r="D907" s="176"/>
      <c r="E907" s="176"/>
      <c r="F907" s="176"/>
      <c r="G907" s="176"/>
      <c r="H907" s="176"/>
      <c r="I907" s="176"/>
      <c r="J907" s="176"/>
      <c r="K907" s="176"/>
      <c r="L907" s="176"/>
      <c r="M907" s="176"/>
      <c r="N907" s="176"/>
      <c r="O907" s="176"/>
      <c r="P907" s="176"/>
      <c r="Q907" s="176"/>
      <c r="R907" s="176"/>
      <c r="S907" s="176"/>
      <c r="T907" s="176"/>
      <c r="U907" s="176"/>
      <c r="V907" s="176"/>
      <c r="W907" s="176"/>
      <c r="X907" s="176"/>
      <c r="Y907" s="176"/>
      <c r="Z907" s="176"/>
      <c r="AA907" s="176"/>
      <c r="AB907" s="176"/>
      <c r="AC907" s="176"/>
      <c r="AD907" s="176"/>
      <c r="AE907" s="176"/>
      <c r="AF907" s="176"/>
      <c r="AG907" s="176"/>
      <c r="AH907" s="176"/>
      <c r="AI907" s="176"/>
      <c r="AJ907" s="176"/>
      <c r="AK907" s="176"/>
      <c r="AL907" s="176"/>
      <c r="AM907" s="176"/>
      <c r="AN907" s="176"/>
      <c r="AO907" s="176"/>
      <c r="AP907" s="176"/>
      <c r="AQ907" s="176"/>
      <c r="AR907" s="176"/>
      <c r="AS907" s="176"/>
      <c r="AT907" s="176"/>
      <c r="AU907" s="176"/>
      <c r="AV907" s="176"/>
      <c r="AW907" s="176"/>
      <c r="AX907" s="176"/>
      <c r="AY907" s="176"/>
      <c r="AZ907" s="176"/>
      <c r="BA907" s="176"/>
      <c r="BB907" s="176"/>
    </row>
    <row r="908" ht="15.75" customHeight="1">
      <c r="A908" s="176"/>
      <c r="B908" s="176"/>
      <c r="C908" s="176"/>
      <c r="D908" s="176"/>
      <c r="E908" s="176"/>
      <c r="F908" s="176"/>
      <c r="G908" s="176"/>
      <c r="H908" s="176"/>
      <c r="I908" s="176"/>
      <c r="J908" s="176"/>
      <c r="K908" s="176"/>
      <c r="L908" s="176"/>
      <c r="M908" s="176"/>
      <c r="N908" s="176"/>
      <c r="O908" s="176"/>
      <c r="P908" s="176"/>
      <c r="Q908" s="176"/>
      <c r="R908" s="176"/>
      <c r="S908" s="176"/>
      <c r="T908" s="176"/>
      <c r="U908" s="176"/>
      <c r="V908" s="176"/>
      <c r="W908" s="176"/>
      <c r="X908" s="176"/>
      <c r="Y908" s="176"/>
      <c r="Z908" s="176"/>
      <c r="AA908" s="176"/>
      <c r="AB908" s="176"/>
      <c r="AC908" s="176"/>
      <c r="AD908" s="176"/>
      <c r="AE908" s="176"/>
      <c r="AF908" s="176"/>
      <c r="AG908" s="176"/>
      <c r="AH908" s="176"/>
      <c r="AI908" s="176"/>
      <c r="AJ908" s="176"/>
      <c r="AK908" s="176"/>
      <c r="AL908" s="176"/>
      <c r="AM908" s="176"/>
      <c r="AN908" s="176"/>
      <c r="AO908" s="176"/>
      <c r="AP908" s="176"/>
      <c r="AQ908" s="176"/>
      <c r="AR908" s="176"/>
      <c r="AS908" s="176"/>
      <c r="AT908" s="176"/>
      <c r="AU908" s="176"/>
      <c r="AV908" s="176"/>
      <c r="AW908" s="176"/>
      <c r="AX908" s="176"/>
      <c r="AY908" s="176"/>
      <c r="AZ908" s="176"/>
      <c r="BA908" s="176"/>
      <c r="BB908" s="176"/>
    </row>
    <row r="909" ht="15.75" customHeight="1">
      <c r="A909" s="176"/>
      <c r="B909" s="176"/>
      <c r="C909" s="176"/>
      <c r="D909" s="176"/>
      <c r="E909" s="176"/>
      <c r="F909" s="176"/>
      <c r="G909" s="176"/>
      <c r="H909" s="176"/>
      <c r="I909" s="176"/>
      <c r="J909" s="176"/>
      <c r="K909" s="176"/>
      <c r="L909" s="176"/>
      <c r="M909" s="176"/>
      <c r="N909" s="176"/>
      <c r="O909" s="176"/>
      <c r="P909" s="176"/>
      <c r="Q909" s="176"/>
      <c r="R909" s="176"/>
      <c r="S909" s="176"/>
      <c r="T909" s="176"/>
      <c r="U909" s="176"/>
      <c r="V909" s="176"/>
      <c r="W909" s="176"/>
      <c r="X909" s="176"/>
      <c r="Y909" s="176"/>
      <c r="Z909" s="176"/>
      <c r="AA909" s="176"/>
      <c r="AB909" s="176"/>
      <c r="AC909" s="176"/>
      <c r="AD909" s="176"/>
      <c r="AE909" s="176"/>
      <c r="AF909" s="176"/>
      <c r="AG909" s="176"/>
      <c r="AH909" s="176"/>
      <c r="AI909" s="176"/>
      <c r="AJ909" s="176"/>
      <c r="AK909" s="176"/>
      <c r="AL909" s="176"/>
      <c r="AM909" s="176"/>
      <c r="AN909" s="176"/>
      <c r="AO909" s="176"/>
      <c r="AP909" s="176"/>
      <c r="AQ909" s="176"/>
      <c r="AR909" s="176"/>
      <c r="AS909" s="176"/>
      <c r="AT909" s="176"/>
      <c r="AU909" s="176"/>
      <c r="AV909" s="176"/>
      <c r="AW909" s="176"/>
      <c r="AX909" s="176"/>
      <c r="AY909" s="176"/>
      <c r="AZ909" s="176"/>
      <c r="BA909" s="176"/>
      <c r="BB909" s="176"/>
    </row>
    <row r="910" ht="15.75" customHeight="1">
      <c r="A910" s="176"/>
      <c r="B910" s="176"/>
      <c r="C910" s="176"/>
      <c r="D910" s="176"/>
      <c r="E910" s="176"/>
      <c r="F910" s="176"/>
      <c r="G910" s="176"/>
      <c r="H910" s="176"/>
      <c r="I910" s="176"/>
      <c r="J910" s="176"/>
      <c r="K910" s="176"/>
      <c r="L910" s="176"/>
      <c r="M910" s="176"/>
      <c r="N910" s="176"/>
      <c r="O910" s="176"/>
      <c r="P910" s="176"/>
      <c r="Q910" s="176"/>
      <c r="R910" s="176"/>
      <c r="S910" s="176"/>
      <c r="T910" s="176"/>
      <c r="U910" s="176"/>
      <c r="V910" s="176"/>
      <c r="W910" s="176"/>
      <c r="X910" s="176"/>
      <c r="Y910" s="176"/>
      <c r="Z910" s="176"/>
      <c r="AA910" s="176"/>
      <c r="AB910" s="176"/>
      <c r="AC910" s="176"/>
      <c r="AD910" s="176"/>
      <c r="AE910" s="176"/>
      <c r="AF910" s="176"/>
      <c r="AG910" s="176"/>
      <c r="AH910" s="176"/>
      <c r="AI910" s="176"/>
      <c r="AJ910" s="176"/>
      <c r="AK910" s="176"/>
      <c r="AL910" s="176"/>
      <c r="AM910" s="176"/>
      <c r="AN910" s="176"/>
      <c r="AO910" s="176"/>
      <c r="AP910" s="176"/>
      <c r="AQ910" s="176"/>
      <c r="AR910" s="176"/>
      <c r="AS910" s="176"/>
      <c r="AT910" s="176"/>
      <c r="AU910" s="176"/>
      <c r="AV910" s="176"/>
      <c r="AW910" s="176"/>
      <c r="AX910" s="176"/>
      <c r="AY910" s="176"/>
      <c r="AZ910" s="176"/>
      <c r="BA910" s="176"/>
      <c r="BB910" s="176"/>
    </row>
    <row r="911" ht="15.75" customHeight="1">
      <c r="A911" s="176"/>
      <c r="B911" s="176"/>
      <c r="C911" s="176"/>
      <c r="D911" s="176"/>
      <c r="E911" s="176"/>
      <c r="F911" s="176"/>
      <c r="G911" s="176"/>
      <c r="H911" s="176"/>
      <c r="I911" s="176"/>
      <c r="J911" s="176"/>
      <c r="K911" s="176"/>
      <c r="L911" s="176"/>
      <c r="M911" s="176"/>
      <c r="N911" s="176"/>
      <c r="O911" s="176"/>
      <c r="P911" s="176"/>
      <c r="Q911" s="176"/>
      <c r="R911" s="176"/>
      <c r="S911" s="176"/>
      <c r="T911" s="176"/>
      <c r="U911" s="176"/>
      <c r="V911" s="176"/>
      <c r="W911" s="176"/>
      <c r="X911" s="176"/>
      <c r="Y911" s="176"/>
      <c r="Z911" s="176"/>
      <c r="AA911" s="176"/>
      <c r="AB911" s="176"/>
      <c r="AC911" s="176"/>
      <c r="AD911" s="176"/>
      <c r="AE911" s="176"/>
      <c r="AF911" s="176"/>
      <c r="AG911" s="176"/>
      <c r="AH911" s="176"/>
      <c r="AI911" s="176"/>
      <c r="AJ911" s="176"/>
      <c r="AK911" s="176"/>
      <c r="AL911" s="176"/>
      <c r="AM911" s="176"/>
      <c r="AN911" s="176"/>
      <c r="AO911" s="176"/>
      <c r="AP911" s="176"/>
      <c r="AQ911" s="176"/>
      <c r="AR911" s="176"/>
      <c r="AS911" s="176"/>
      <c r="AT911" s="176"/>
      <c r="AU911" s="176"/>
      <c r="AV911" s="176"/>
      <c r="AW911" s="176"/>
      <c r="AX911" s="176"/>
      <c r="AY911" s="176"/>
      <c r="AZ911" s="176"/>
      <c r="BA911" s="176"/>
      <c r="BB911" s="176"/>
    </row>
    <row r="912" ht="15.75" customHeight="1">
      <c r="A912" s="176"/>
      <c r="B912" s="176"/>
      <c r="C912" s="176"/>
      <c r="D912" s="176"/>
      <c r="E912" s="176"/>
      <c r="F912" s="176"/>
      <c r="G912" s="176"/>
      <c r="H912" s="176"/>
      <c r="I912" s="176"/>
      <c r="J912" s="176"/>
      <c r="K912" s="176"/>
      <c r="L912" s="176"/>
      <c r="M912" s="176"/>
      <c r="N912" s="176"/>
      <c r="O912" s="176"/>
      <c r="P912" s="176"/>
      <c r="Q912" s="176"/>
      <c r="R912" s="176"/>
      <c r="S912" s="176"/>
      <c r="T912" s="176"/>
      <c r="U912" s="176"/>
      <c r="V912" s="176"/>
      <c r="W912" s="176"/>
      <c r="X912" s="176"/>
      <c r="Y912" s="176"/>
      <c r="Z912" s="176"/>
      <c r="AA912" s="176"/>
      <c r="AB912" s="176"/>
      <c r="AC912" s="176"/>
      <c r="AD912" s="176"/>
      <c r="AE912" s="176"/>
      <c r="AF912" s="176"/>
      <c r="AG912" s="176"/>
      <c r="AH912" s="176"/>
      <c r="AI912" s="176"/>
      <c r="AJ912" s="176"/>
      <c r="AK912" s="176"/>
      <c r="AL912" s="176"/>
      <c r="AM912" s="176"/>
      <c r="AN912" s="176"/>
      <c r="AO912" s="176"/>
      <c r="AP912" s="176"/>
      <c r="AQ912" s="176"/>
      <c r="AR912" s="176"/>
      <c r="AS912" s="176"/>
      <c r="AT912" s="176"/>
      <c r="AU912" s="176"/>
      <c r="AV912" s="176"/>
      <c r="AW912" s="176"/>
      <c r="AX912" s="176"/>
      <c r="AY912" s="176"/>
      <c r="AZ912" s="176"/>
      <c r="BA912" s="176"/>
      <c r="BB912" s="176"/>
    </row>
    <row r="913" ht="15.75" customHeight="1">
      <c r="A913" s="176"/>
      <c r="B913" s="176"/>
      <c r="C913" s="176"/>
      <c r="D913" s="176"/>
      <c r="E913" s="176"/>
      <c r="F913" s="176"/>
      <c r="G913" s="176"/>
      <c r="H913" s="176"/>
      <c r="I913" s="176"/>
      <c r="J913" s="176"/>
      <c r="K913" s="176"/>
      <c r="L913" s="176"/>
      <c r="M913" s="176"/>
      <c r="N913" s="176"/>
      <c r="O913" s="176"/>
      <c r="P913" s="176"/>
      <c r="Q913" s="176"/>
      <c r="R913" s="176"/>
      <c r="S913" s="176"/>
      <c r="T913" s="176"/>
      <c r="U913" s="176"/>
      <c r="V913" s="176"/>
      <c r="W913" s="176"/>
      <c r="X913" s="176"/>
      <c r="Y913" s="176"/>
      <c r="Z913" s="176"/>
      <c r="AA913" s="176"/>
      <c r="AB913" s="176"/>
      <c r="AC913" s="176"/>
      <c r="AD913" s="176"/>
      <c r="AE913" s="176"/>
      <c r="AF913" s="176"/>
      <c r="AG913" s="176"/>
      <c r="AH913" s="176"/>
      <c r="AI913" s="176"/>
      <c r="AJ913" s="176"/>
      <c r="AK913" s="176"/>
      <c r="AL913" s="176"/>
      <c r="AM913" s="176"/>
      <c r="AN913" s="176"/>
      <c r="AO913" s="176"/>
      <c r="AP913" s="176"/>
      <c r="AQ913" s="176"/>
      <c r="AR913" s="176"/>
      <c r="AS913" s="176"/>
      <c r="AT913" s="176"/>
      <c r="AU913" s="176"/>
      <c r="AV913" s="176"/>
      <c r="AW913" s="176"/>
      <c r="AX913" s="176"/>
      <c r="AY913" s="176"/>
      <c r="AZ913" s="176"/>
      <c r="BA913" s="176"/>
      <c r="BB913" s="176"/>
    </row>
    <row r="914" ht="15.75" customHeight="1">
      <c r="A914" s="176"/>
      <c r="B914" s="176"/>
      <c r="C914" s="176"/>
      <c r="D914" s="176"/>
      <c r="E914" s="176"/>
      <c r="F914" s="176"/>
      <c r="G914" s="176"/>
      <c r="H914" s="176"/>
      <c r="I914" s="176"/>
      <c r="J914" s="176"/>
      <c r="K914" s="176"/>
      <c r="L914" s="176"/>
      <c r="M914" s="176"/>
      <c r="N914" s="176"/>
      <c r="O914" s="176"/>
      <c r="P914" s="176"/>
      <c r="Q914" s="176"/>
      <c r="R914" s="176"/>
      <c r="S914" s="176"/>
      <c r="T914" s="176"/>
      <c r="U914" s="176"/>
      <c r="V914" s="176"/>
      <c r="W914" s="176"/>
      <c r="X914" s="176"/>
      <c r="Y914" s="176"/>
      <c r="Z914" s="176"/>
      <c r="AA914" s="176"/>
      <c r="AB914" s="176"/>
      <c r="AC914" s="176"/>
      <c r="AD914" s="176"/>
      <c r="AE914" s="176"/>
      <c r="AF914" s="176"/>
      <c r="AG914" s="176"/>
      <c r="AH914" s="176"/>
      <c r="AI914" s="176"/>
      <c r="AJ914" s="176"/>
      <c r="AK914" s="176"/>
      <c r="AL914" s="176"/>
      <c r="AM914" s="176"/>
      <c r="AN914" s="176"/>
      <c r="AO914" s="176"/>
      <c r="AP914" s="176"/>
      <c r="AQ914" s="176"/>
      <c r="AR914" s="176"/>
      <c r="AS914" s="176"/>
      <c r="AT914" s="176"/>
      <c r="AU914" s="176"/>
      <c r="AV914" s="176"/>
      <c r="AW914" s="176"/>
      <c r="AX914" s="176"/>
      <c r="AY914" s="176"/>
      <c r="AZ914" s="176"/>
      <c r="BA914" s="176"/>
      <c r="BB914" s="176"/>
    </row>
    <row r="915" ht="15.75" customHeight="1">
      <c r="A915" s="176"/>
      <c r="B915" s="176"/>
      <c r="C915" s="176"/>
      <c r="D915" s="176"/>
      <c r="E915" s="176"/>
      <c r="F915" s="176"/>
      <c r="G915" s="176"/>
      <c r="H915" s="176"/>
      <c r="I915" s="176"/>
      <c r="J915" s="176"/>
      <c r="K915" s="176"/>
      <c r="L915" s="176"/>
      <c r="M915" s="176"/>
      <c r="N915" s="176"/>
      <c r="O915" s="176"/>
      <c r="P915" s="176"/>
      <c r="Q915" s="176"/>
      <c r="R915" s="176"/>
      <c r="S915" s="176"/>
      <c r="T915" s="176"/>
      <c r="U915" s="176"/>
      <c r="V915" s="176"/>
      <c r="W915" s="176"/>
      <c r="X915" s="176"/>
      <c r="Y915" s="176"/>
      <c r="Z915" s="176"/>
      <c r="AA915" s="176"/>
      <c r="AB915" s="176"/>
      <c r="AC915" s="176"/>
      <c r="AD915" s="176"/>
      <c r="AE915" s="176"/>
      <c r="AF915" s="176"/>
      <c r="AG915" s="176"/>
      <c r="AH915" s="176"/>
      <c r="AI915" s="176"/>
      <c r="AJ915" s="176"/>
      <c r="AK915" s="176"/>
      <c r="AL915" s="176"/>
      <c r="AM915" s="176"/>
      <c r="AN915" s="176"/>
      <c r="AO915" s="176"/>
      <c r="AP915" s="176"/>
      <c r="AQ915" s="176"/>
      <c r="AR915" s="176"/>
      <c r="AS915" s="176"/>
      <c r="AT915" s="176"/>
      <c r="AU915" s="176"/>
      <c r="AV915" s="176"/>
      <c r="AW915" s="176"/>
      <c r="AX915" s="176"/>
      <c r="AY915" s="176"/>
      <c r="AZ915" s="176"/>
      <c r="BA915" s="176"/>
      <c r="BB915" s="176"/>
    </row>
    <row r="916" ht="15.75" customHeight="1">
      <c r="A916" s="176"/>
      <c r="B916" s="176"/>
      <c r="C916" s="176"/>
      <c r="D916" s="176"/>
      <c r="E916" s="176"/>
      <c r="F916" s="176"/>
      <c r="G916" s="176"/>
      <c r="H916" s="176"/>
      <c r="I916" s="176"/>
      <c r="J916" s="176"/>
      <c r="K916" s="176"/>
      <c r="L916" s="176"/>
      <c r="M916" s="176"/>
      <c r="N916" s="176"/>
      <c r="O916" s="176"/>
      <c r="P916" s="176"/>
      <c r="Q916" s="176"/>
      <c r="R916" s="176"/>
      <c r="S916" s="176"/>
      <c r="T916" s="176"/>
      <c r="U916" s="176"/>
      <c r="V916" s="176"/>
      <c r="W916" s="176"/>
      <c r="X916" s="176"/>
      <c r="Y916" s="176"/>
      <c r="Z916" s="176"/>
      <c r="AA916" s="176"/>
      <c r="AB916" s="176"/>
      <c r="AC916" s="176"/>
      <c r="AD916" s="176"/>
      <c r="AE916" s="176"/>
      <c r="AF916" s="176"/>
      <c r="AG916" s="176"/>
      <c r="AH916" s="176"/>
      <c r="AI916" s="176"/>
      <c r="AJ916" s="176"/>
      <c r="AK916" s="176"/>
      <c r="AL916" s="176"/>
      <c r="AM916" s="176"/>
      <c r="AN916" s="176"/>
      <c r="AO916" s="176"/>
      <c r="AP916" s="176"/>
      <c r="AQ916" s="176"/>
      <c r="AR916" s="176"/>
      <c r="AS916" s="176"/>
      <c r="AT916" s="176"/>
      <c r="AU916" s="176"/>
      <c r="AV916" s="176"/>
      <c r="AW916" s="176"/>
      <c r="AX916" s="176"/>
      <c r="AY916" s="176"/>
      <c r="AZ916" s="176"/>
      <c r="BA916" s="176"/>
      <c r="BB916" s="176"/>
    </row>
    <row r="917" ht="15.75" customHeight="1">
      <c r="A917" s="176"/>
      <c r="B917" s="176"/>
      <c r="C917" s="176"/>
      <c r="D917" s="176"/>
      <c r="E917" s="176"/>
      <c r="F917" s="176"/>
      <c r="G917" s="176"/>
      <c r="H917" s="176"/>
      <c r="I917" s="176"/>
      <c r="J917" s="176"/>
      <c r="K917" s="176"/>
      <c r="L917" s="176"/>
      <c r="M917" s="176"/>
      <c r="N917" s="176"/>
      <c r="O917" s="176"/>
      <c r="P917" s="176"/>
      <c r="Q917" s="176"/>
      <c r="R917" s="176"/>
      <c r="S917" s="176"/>
      <c r="T917" s="176"/>
      <c r="U917" s="176"/>
      <c r="V917" s="176"/>
      <c r="W917" s="176"/>
      <c r="X917" s="176"/>
      <c r="Y917" s="176"/>
      <c r="Z917" s="176"/>
      <c r="AA917" s="176"/>
      <c r="AB917" s="176"/>
      <c r="AC917" s="176"/>
      <c r="AD917" s="176"/>
      <c r="AE917" s="176"/>
      <c r="AF917" s="176"/>
      <c r="AG917" s="176"/>
      <c r="AH917" s="176"/>
      <c r="AI917" s="176"/>
      <c r="AJ917" s="176"/>
      <c r="AK917" s="176"/>
      <c r="AL917" s="176"/>
      <c r="AM917" s="176"/>
      <c r="AN917" s="176"/>
      <c r="AO917" s="176"/>
      <c r="AP917" s="176"/>
      <c r="AQ917" s="176"/>
      <c r="AR917" s="176"/>
      <c r="AS917" s="176"/>
      <c r="AT917" s="176"/>
      <c r="AU917" s="176"/>
      <c r="AV917" s="176"/>
      <c r="AW917" s="176"/>
      <c r="AX917" s="176"/>
      <c r="AY917" s="176"/>
      <c r="AZ917" s="176"/>
      <c r="BA917" s="176"/>
      <c r="BB917" s="176"/>
    </row>
    <row r="918" ht="15.75" customHeight="1">
      <c r="A918" s="176"/>
      <c r="B918" s="176"/>
      <c r="C918" s="176"/>
      <c r="D918" s="176"/>
      <c r="E918" s="176"/>
      <c r="F918" s="176"/>
      <c r="G918" s="176"/>
      <c r="H918" s="176"/>
      <c r="I918" s="176"/>
      <c r="J918" s="176"/>
      <c r="K918" s="176"/>
      <c r="L918" s="176"/>
      <c r="M918" s="176"/>
      <c r="N918" s="176"/>
      <c r="O918" s="176"/>
      <c r="P918" s="176"/>
      <c r="Q918" s="176"/>
      <c r="R918" s="176"/>
      <c r="S918" s="176"/>
      <c r="T918" s="176"/>
      <c r="U918" s="176"/>
      <c r="V918" s="176"/>
      <c r="W918" s="176"/>
      <c r="X918" s="176"/>
      <c r="Y918" s="176"/>
      <c r="Z918" s="176"/>
      <c r="AA918" s="176"/>
      <c r="AB918" s="176"/>
      <c r="AC918" s="176"/>
      <c r="AD918" s="176"/>
      <c r="AE918" s="176"/>
      <c r="AF918" s="176"/>
      <c r="AG918" s="176"/>
      <c r="AH918" s="176"/>
      <c r="AI918" s="176"/>
      <c r="AJ918" s="176"/>
      <c r="AK918" s="176"/>
      <c r="AL918" s="176"/>
      <c r="AM918" s="176"/>
      <c r="AN918" s="176"/>
      <c r="AO918" s="176"/>
      <c r="AP918" s="176"/>
      <c r="AQ918" s="176"/>
      <c r="AR918" s="176"/>
      <c r="AS918" s="176"/>
      <c r="AT918" s="176"/>
      <c r="AU918" s="176"/>
      <c r="AV918" s="176"/>
      <c r="AW918" s="176"/>
      <c r="AX918" s="176"/>
      <c r="AY918" s="176"/>
      <c r="AZ918" s="176"/>
      <c r="BA918" s="176"/>
      <c r="BB918" s="176"/>
    </row>
    <row r="919" ht="15.75" customHeight="1">
      <c r="A919" s="176"/>
      <c r="B919" s="176"/>
      <c r="C919" s="176"/>
      <c r="D919" s="176"/>
      <c r="E919" s="176"/>
      <c r="F919" s="176"/>
      <c r="G919" s="176"/>
      <c r="H919" s="176"/>
      <c r="I919" s="176"/>
      <c r="J919" s="176"/>
      <c r="K919" s="176"/>
      <c r="L919" s="176"/>
      <c r="M919" s="176"/>
      <c r="N919" s="176"/>
      <c r="O919" s="176"/>
      <c r="P919" s="176"/>
      <c r="Q919" s="176"/>
      <c r="R919" s="176"/>
      <c r="S919" s="176"/>
      <c r="T919" s="176"/>
      <c r="U919" s="176"/>
      <c r="V919" s="176"/>
      <c r="W919" s="176"/>
      <c r="X919" s="176"/>
      <c r="Y919" s="176"/>
      <c r="Z919" s="176"/>
      <c r="AA919" s="176"/>
      <c r="AB919" s="176"/>
      <c r="AC919" s="176"/>
      <c r="AD919" s="176"/>
      <c r="AE919" s="176"/>
      <c r="AF919" s="176"/>
      <c r="AG919" s="176"/>
      <c r="AH919" s="176"/>
      <c r="AI919" s="176"/>
      <c r="AJ919" s="176"/>
      <c r="AK919" s="176"/>
      <c r="AL919" s="176"/>
      <c r="AM919" s="176"/>
      <c r="AN919" s="176"/>
      <c r="AO919" s="176"/>
      <c r="AP919" s="176"/>
      <c r="AQ919" s="176"/>
      <c r="AR919" s="176"/>
      <c r="AS919" s="176"/>
      <c r="AT919" s="176"/>
      <c r="AU919" s="176"/>
      <c r="AV919" s="176"/>
      <c r="AW919" s="176"/>
      <c r="AX919" s="176"/>
      <c r="AY919" s="176"/>
      <c r="AZ919" s="176"/>
      <c r="BA919" s="176"/>
      <c r="BB919" s="176"/>
    </row>
    <row r="920" ht="15.75" customHeight="1">
      <c r="A920" s="176"/>
      <c r="B920" s="176"/>
      <c r="C920" s="176"/>
      <c r="D920" s="176"/>
      <c r="E920" s="176"/>
      <c r="F920" s="176"/>
      <c r="G920" s="176"/>
      <c r="H920" s="176"/>
      <c r="I920" s="176"/>
      <c r="J920" s="176"/>
      <c r="K920" s="176"/>
      <c r="L920" s="176"/>
      <c r="M920" s="176"/>
      <c r="N920" s="176"/>
      <c r="O920" s="176"/>
      <c r="P920" s="176"/>
      <c r="Q920" s="176"/>
      <c r="R920" s="176"/>
      <c r="S920" s="176"/>
      <c r="T920" s="176"/>
      <c r="U920" s="176"/>
      <c r="V920" s="176"/>
      <c r="W920" s="176"/>
      <c r="X920" s="176"/>
      <c r="Y920" s="176"/>
      <c r="Z920" s="176"/>
      <c r="AA920" s="176"/>
      <c r="AB920" s="176"/>
      <c r="AC920" s="176"/>
      <c r="AD920" s="176"/>
      <c r="AE920" s="176"/>
      <c r="AF920" s="176"/>
      <c r="AG920" s="176"/>
      <c r="AH920" s="176"/>
      <c r="AI920" s="176"/>
      <c r="AJ920" s="176"/>
      <c r="AK920" s="176"/>
      <c r="AL920" s="176"/>
      <c r="AM920" s="176"/>
      <c r="AN920" s="176"/>
      <c r="AO920" s="176"/>
      <c r="AP920" s="176"/>
      <c r="AQ920" s="176"/>
      <c r="AR920" s="176"/>
      <c r="AS920" s="176"/>
      <c r="AT920" s="176"/>
      <c r="AU920" s="176"/>
      <c r="AV920" s="176"/>
      <c r="AW920" s="176"/>
      <c r="AX920" s="176"/>
      <c r="AY920" s="176"/>
      <c r="AZ920" s="176"/>
      <c r="BA920" s="176"/>
      <c r="BB920" s="176"/>
    </row>
    <row r="921" ht="15.75" customHeight="1">
      <c r="A921" s="176"/>
      <c r="B921" s="176"/>
      <c r="C921" s="176"/>
      <c r="D921" s="176"/>
      <c r="E921" s="176"/>
      <c r="F921" s="176"/>
      <c r="G921" s="176"/>
      <c r="H921" s="176"/>
      <c r="I921" s="176"/>
      <c r="J921" s="176"/>
      <c r="K921" s="176"/>
      <c r="L921" s="176"/>
      <c r="M921" s="176"/>
      <c r="N921" s="176"/>
      <c r="O921" s="176"/>
      <c r="P921" s="176"/>
      <c r="Q921" s="176"/>
      <c r="R921" s="176"/>
      <c r="S921" s="176"/>
      <c r="T921" s="176"/>
      <c r="U921" s="176"/>
      <c r="V921" s="176"/>
      <c r="W921" s="176"/>
      <c r="X921" s="176"/>
      <c r="Y921" s="176"/>
      <c r="Z921" s="176"/>
      <c r="AA921" s="176"/>
      <c r="AB921" s="176"/>
      <c r="AC921" s="176"/>
      <c r="AD921" s="176"/>
      <c r="AE921" s="176"/>
      <c r="AF921" s="176"/>
      <c r="AG921" s="176"/>
      <c r="AH921" s="176"/>
      <c r="AI921" s="176"/>
      <c r="AJ921" s="176"/>
      <c r="AK921" s="176"/>
      <c r="AL921" s="176"/>
      <c r="AM921" s="176"/>
      <c r="AN921" s="176"/>
      <c r="AO921" s="176"/>
      <c r="AP921" s="176"/>
      <c r="AQ921" s="176"/>
      <c r="AR921" s="176"/>
      <c r="AS921" s="176"/>
      <c r="AT921" s="176"/>
      <c r="AU921" s="176"/>
      <c r="AV921" s="176"/>
      <c r="AW921" s="176"/>
      <c r="AX921" s="176"/>
      <c r="AY921" s="176"/>
      <c r="AZ921" s="176"/>
      <c r="BA921" s="176"/>
      <c r="BB921" s="176"/>
    </row>
    <row r="922" ht="15.75" customHeight="1">
      <c r="A922" s="176"/>
      <c r="B922" s="176"/>
      <c r="C922" s="176"/>
      <c r="D922" s="176"/>
      <c r="E922" s="176"/>
      <c r="F922" s="176"/>
      <c r="G922" s="176"/>
      <c r="H922" s="176"/>
      <c r="I922" s="176"/>
      <c r="J922" s="176"/>
      <c r="K922" s="176"/>
      <c r="L922" s="176"/>
      <c r="M922" s="176"/>
      <c r="N922" s="176"/>
      <c r="O922" s="176"/>
      <c r="P922" s="176"/>
      <c r="Q922" s="176"/>
      <c r="R922" s="176"/>
      <c r="S922" s="176"/>
      <c r="T922" s="176"/>
      <c r="U922" s="176"/>
      <c r="V922" s="176"/>
      <c r="W922" s="176"/>
      <c r="X922" s="176"/>
      <c r="Y922" s="176"/>
      <c r="Z922" s="176"/>
      <c r="AA922" s="176"/>
      <c r="AB922" s="176"/>
      <c r="AC922" s="176"/>
      <c r="AD922" s="176"/>
      <c r="AE922" s="176"/>
      <c r="AF922" s="176"/>
      <c r="AG922" s="176"/>
      <c r="AH922" s="176"/>
      <c r="AI922" s="176"/>
      <c r="AJ922" s="176"/>
      <c r="AK922" s="176"/>
      <c r="AL922" s="176"/>
      <c r="AM922" s="176"/>
      <c r="AN922" s="176"/>
      <c r="AO922" s="176"/>
      <c r="AP922" s="176"/>
      <c r="AQ922" s="176"/>
      <c r="AR922" s="176"/>
      <c r="AS922" s="176"/>
      <c r="AT922" s="176"/>
      <c r="AU922" s="176"/>
      <c r="AV922" s="176"/>
      <c r="AW922" s="176"/>
      <c r="AX922" s="176"/>
      <c r="AY922" s="176"/>
      <c r="AZ922" s="176"/>
      <c r="BA922" s="176"/>
      <c r="BB922" s="176"/>
    </row>
    <row r="923" ht="15.75" customHeight="1">
      <c r="A923" s="176"/>
      <c r="B923" s="176"/>
      <c r="C923" s="176"/>
      <c r="D923" s="176"/>
      <c r="E923" s="176"/>
      <c r="F923" s="176"/>
      <c r="G923" s="176"/>
      <c r="H923" s="176"/>
      <c r="I923" s="176"/>
      <c r="J923" s="176"/>
      <c r="K923" s="176"/>
      <c r="L923" s="176"/>
      <c r="M923" s="176"/>
      <c r="N923" s="176"/>
      <c r="O923" s="176"/>
      <c r="P923" s="176"/>
      <c r="Q923" s="176"/>
      <c r="R923" s="176"/>
      <c r="S923" s="176"/>
      <c r="T923" s="176"/>
      <c r="U923" s="176"/>
      <c r="V923" s="176"/>
      <c r="W923" s="176"/>
      <c r="X923" s="176"/>
      <c r="Y923" s="176"/>
      <c r="Z923" s="176"/>
      <c r="AA923" s="176"/>
      <c r="AB923" s="176"/>
      <c r="AC923" s="176"/>
      <c r="AD923" s="176"/>
      <c r="AE923" s="176"/>
      <c r="AF923" s="176"/>
      <c r="AG923" s="176"/>
      <c r="AH923" s="176"/>
      <c r="AI923" s="176"/>
      <c r="AJ923" s="176"/>
      <c r="AK923" s="176"/>
      <c r="AL923" s="176"/>
      <c r="AM923" s="176"/>
      <c r="AN923" s="176"/>
      <c r="AO923" s="176"/>
      <c r="AP923" s="176"/>
      <c r="AQ923" s="176"/>
      <c r="AR923" s="176"/>
      <c r="AS923" s="176"/>
      <c r="AT923" s="176"/>
      <c r="AU923" s="176"/>
      <c r="AV923" s="176"/>
      <c r="AW923" s="176"/>
      <c r="AX923" s="176"/>
      <c r="AY923" s="176"/>
      <c r="AZ923" s="176"/>
      <c r="BA923" s="176"/>
      <c r="BB923" s="176"/>
    </row>
    <row r="924" ht="15.75" customHeight="1">
      <c r="A924" s="176"/>
      <c r="B924" s="176"/>
      <c r="C924" s="176"/>
      <c r="D924" s="176"/>
      <c r="E924" s="176"/>
      <c r="F924" s="176"/>
      <c r="G924" s="176"/>
      <c r="H924" s="176"/>
      <c r="I924" s="176"/>
      <c r="J924" s="176"/>
      <c r="K924" s="176"/>
      <c r="L924" s="176"/>
      <c r="M924" s="176"/>
      <c r="N924" s="176"/>
      <c r="O924" s="176"/>
      <c r="P924" s="176"/>
      <c r="Q924" s="176"/>
      <c r="R924" s="176"/>
      <c r="S924" s="176"/>
      <c r="T924" s="176"/>
      <c r="U924" s="176"/>
      <c r="V924" s="176"/>
      <c r="W924" s="176"/>
      <c r="X924" s="176"/>
      <c r="Y924" s="176"/>
      <c r="Z924" s="176"/>
      <c r="AA924" s="176"/>
      <c r="AB924" s="176"/>
      <c r="AC924" s="176"/>
      <c r="AD924" s="176"/>
      <c r="AE924" s="176"/>
      <c r="AF924" s="176"/>
      <c r="AG924" s="176"/>
      <c r="AH924" s="176"/>
      <c r="AI924" s="176"/>
      <c r="AJ924" s="176"/>
      <c r="AK924" s="176"/>
      <c r="AL924" s="176"/>
      <c r="AM924" s="176"/>
      <c r="AN924" s="176"/>
      <c r="AO924" s="176"/>
      <c r="AP924" s="176"/>
      <c r="AQ924" s="176"/>
      <c r="AR924" s="176"/>
      <c r="AS924" s="176"/>
      <c r="AT924" s="176"/>
      <c r="AU924" s="176"/>
      <c r="AV924" s="176"/>
      <c r="AW924" s="176"/>
      <c r="AX924" s="176"/>
      <c r="AY924" s="176"/>
      <c r="AZ924" s="176"/>
      <c r="BA924" s="176"/>
      <c r="BB924" s="176"/>
    </row>
    <row r="925" ht="15.75" customHeight="1">
      <c r="A925" s="176"/>
      <c r="B925" s="176"/>
      <c r="C925" s="176"/>
      <c r="D925" s="176"/>
      <c r="E925" s="176"/>
      <c r="F925" s="176"/>
      <c r="G925" s="176"/>
      <c r="H925" s="176"/>
      <c r="I925" s="176"/>
      <c r="J925" s="176"/>
      <c r="K925" s="176"/>
      <c r="L925" s="176"/>
      <c r="M925" s="176"/>
      <c r="N925" s="176"/>
      <c r="O925" s="176"/>
      <c r="P925" s="176"/>
      <c r="Q925" s="176"/>
      <c r="R925" s="176"/>
      <c r="S925" s="176"/>
      <c r="T925" s="176"/>
      <c r="U925" s="176"/>
      <c r="V925" s="176"/>
      <c r="W925" s="176"/>
      <c r="X925" s="176"/>
      <c r="Y925" s="176"/>
      <c r="Z925" s="176"/>
      <c r="AA925" s="176"/>
      <c r="AB925" s="176"/>
      <c r="AC925" s="176"/>
      <c r="AD925" s="176"/>
      <c r="AE925" s="176"/>
      <c r="AF925" s="176"/>
      <c r="AG925" s="176"/>
      <c r="AH925" s="176"/>
      <c r="AI925" s="176"/>
      <c r="AJ925" s="176"/>
      <c r="AK925" s="176"/>
      <c r="AL925" s="176"/>
      <c r="AM925" s="176"/>
      <c r="AN925" s="176"/>
      <c r="AO925" s="176"/>
      <c r="AP925" s="176"/>
      <c r="AQ925" s="176"/>
      <c r="AR925" s="176"/>
      <c r="AS925" s="176"/>
      <c r="AT925" s="176"/>
      <c r="AU925" s="176"/>
      <c r="AV925" s="176"/>
      <c r="AW925" s="176"/>
      <c r="AX925" s="176"/>
      <c r="AY925" s="176"/>
      <c r="AZ925" s="176"/>
      <c r="BA925" s="176"/>
      <c r="BB925" s="176"/>
    </row>
    <row r="926" ht="15.75" customHeight="1">
      <c r="A926" s="176"/>
      <c r="B926" s="176"/>
      <c r="C926" s="176"/>
      <c r="D926" s="176"/>
      <c r="E926" s="176"/>
      <c r="F926" s="176"/>
      <c r="G926" s="176"/>
      <c r="H926" s="176"/>
      <c r="I926" s="176"/>
      <c r="J926" s="176"/>
      <c r="K926" s="176"/>
      <c r="L926" s="176"/>
      <c r="M926" s="176"/>
      <c r="N926" s="176"/>
      <c r="O926" s="176"/>
      <c r="P926" s="176"/>
      <c r="Q926" s="176"/>
      <c r="R926" s="176"/>
      <c r="S926" s="176"/>
      <c r="T926" s="176"/>
      <c r="U926" s="176"/>
      <c r="V926" s="176"/>
      <c r="W926" s="176"/>
      <c r="X926" s="176"/>
      <c r="Y926" s="176"/>
      <c r="Z926" s="176"/>
      <c r="AA926" s="176"/>
      <c r="AB926" s="176"/>
      <c r="AC926" s="176"/>
      <c r="AD926" s="176"/>
      <c r="AE926" s="176"/>
      <c r="AF926" s="176"/>
      <c r="AG926" s="176"/>
      <c r="AH926" s="176"/>
      <c r="AI926" s="176"/>
      <c r="AJ926" s="176"/>
      <c r="AK926" s="176"/>
      <c r="AL926" s="176"/>
      <c r="AM926" s="176"/>
      <c r="AN926" s="176"/>
      <c r="AO926" s="176"/>
      <c r="AP926" s="176"/>
      <c r="AQ926" s="176"/>
      <c r="AR926" s="176"/>
      <c r="AS926" s="176"/>
      <c r="AT926" s="176"/>
      <c r="AU926" s="176"/>
      <c r="AV926" s="176"/>
      <c r="AW926" s="176"/>
      <c r="AX926" s="176"/>
      <c r="AY926" s="176"/>
      <c r="AZ926" s="176"/>
      <c r="BA926" s="176"/>
      <c r="BB926" s="176"/>
    </row>
    <row r="927" ht="15.75" customHeight="1">
      <c r="A927" s="176"/>
      <c r="B927" s="176"/>
      <c r="C927" s="176"/>
      <c r="D927" s="176"/>
      <c r="E927" s="176"/>
      <c r="F927" s="176"/>
      <c r="G927" s="176"/>
      <c r="H927" s="176"/>
      <c r="I927" s="176"/>
      <c r="J927" s="176"/>
      <c r="K927" s="176"/>
      <c r="L927" s="176"/>
      <c r="M927" s="176"/>
      <c r="N927" s="176"/>
      <c r="O927" s="176"/>
      <c r="P927" s="176"/>
      <c r="Q927" s="176"/>
      <c r="R927" s="176"/>
      <c r="S927" s="176"/>
      <c r="T927" s="176"/>
      <c r="U927" s="176"/>
      <c r="V927" s="176"/>
      <c r="W927" s="176"/>
      <c r="X927" s="176"/>
      <c r="Y927" s="176"/>
      <c r="Z927" s="176"/>
      <c r="AA927" s="176"/>
      <c r="AB927" s="176"/>
      <c r="AC927" s="176"/>
      <c r="AD927" s="176"/>
      <c r="AE927" s="176"/>
      <c r="AF927" s="176"/>
      <c r="AG927" s="176"/>
      <c r="AH927" s="176"/>
      <c r="AI927" s="176"/>
      <c r="AJ927" s="176"/>
      <c r="AK927" s="176"/>
      <c r="AL927" s="176"/>
      <c r="AM927" s="176"/>
      <c r="AN927" s="176"/>
      <c r="AO927" s="176"/>
      <c r="AP927" s="176"/>
      <c r="AQ927" s="176"/>
      <c r="AR927" s="176"/>
      <c r="AS927" s="176"/>
      <c r="AT927" s="176"/>
      <c r="AU927" s="176"/>
      <c r="AV927" s="176"/>
      <c r="AW927" s="176"/>
      <c r="AX927" s="176"/>
      <c r="AY927" s="176"/>
      <c r="AZ927" s="176"/>
      <c r="BA927" s="176"/>
      <c r="BB927" s="176"/>
    </row>
    <row r="928" ht="15.75" customHeight="1">
      <c r="A928" s="176"/>
      <c r="B928" s="176"/>
      <c r="C928" s="176"/>
      <c r="D928" s="176"/>
      <c r="E928" s="176"/>
      <c r="F928" s="176"/>
      <c r="G928" s="176"/>
      <c r="H928" s="176"/>
      <c r="I928" s="176"/>
      <c r="J928" s="176"/>
      <c r="K928" s="176"/>
      <c r="L928" s="176"/>
      <c r="M928" s="176"/>
      <c r="N928" s="176"/>
      <c r="O928" s="176"/>
      <c r="P928" s="176"/>
      <c r="Q928" s="176"/>
      <c r="R928" s="176"/>
      <c r="S928" s="176"/>
      <c r="T928" s="176"/>
      <c r="U928" s="176"/>
      <c r="V928" s="176"/>
      <c r="W928" s="176"/>
      <c r="X928" s="176"/>
      <c r="Y928" s="176"/>
      <c r="Z928" s="176"/>
      <c r="AA928" s="176"/>
      <c r="AB928" s="176"/>
      <c r="AC928" s="176"/>
      <c r="AD928" s="176"/>
      <c r="AE928" s="176"/>
      <c r="AF928" s="176"/>
      <c r="AG928" s="176"/>
      <c r="AH928" s="176"/>
      <c r="AI928" s="176"/>
      <c r="AJ928" s="176"/>
      <c r="AK928" s="176"/>
      <c r="AL928" s="176"/>
      <c r="AM928" s="176"/>
      <c r="AN928" s="176"/>
      <c r="AO928" s="176"/>
      <c r="AP928" s="176"/>
      <c r="AQ928" s="176"/>
      <c r="AR928" s="176"/>
      <c r="AS928" s="176"/>
      <c r="AT928" s="176"/>
      <c r="AU928" s="176"/>
      <c r="AV928" s="176"/>
      <c r="AW928" s="176"/>
      <c r="AX928" s="176"/>
      <c r="AY928" s="176"/>
      <c r="AZ928" s="176"/>
      <c r="BA928" s="176"/>
      <c r="BB928" s="176"/>
    </row>
    <row r="929" ht="15.75" customHeight="1">
      <c r="A929" s="176"/>
      <c r="B929" s="176"/>
      <c r="C929" s="176"/>
      <c r="D929" s="176"/>
      <c r="E929" s="176"/>
      <c r="F929" s="176"/>
      <c r="G929" s="176"/>
      <c r="H929" s="176"/>
      <c r="I929" s="176"/>
      <c r="J929" s="176"/>
      <c r="K929" s="176"/>
      <c r="L929" s="176"/>
      <c r="M929" s="176"/>
      <c r="N929" s="176"/>
      <c r="O929" s="176"/>
      <c r="P929" s="176"/>
      <c r="Q929" s="176"/>
      <c r="R929" s="176"/>
      <c r="S929" s="176"/>
      <c r="T929" s="176"/>
      <c r="U929" s="176"/>
      <c r="V929" s="176"/>
      <c r="W929" s="176"/>
      <c r="X929" s="176"/>
      <c r="Y929" s="176"/>
      <c r="Z929" s="176"/>
      <c r="AA929" s="176"/>
      <c r="AB929" s="176"/>
      <c r="AC929" s="176"/>
      <c r="AD929" s="176"/>
      <c r="AE929" s="176"/>
      <c r="AF929" s="176"/>
      <c r="AG929" s="176"/>
      <c r="AH929" s="176"/>
      <c r="AI929" s="176"/>
      <c r="AJ929" s="176"/>
      <c r="AK929" s="176"/>
      <c r="AL929" s="176"/>
      <c r="AM929" s="176"/>
      <c r="AN929" s="176"/>
      <c r="AO929" s="176"/>
      <c r="AP929" s="176"/>
      <c r="AQ929" s="176"/>
      <c r="AR929" s="176"/>
      <c r="AS929" s="176"/>
      <c r="AT929" s="176"/>
      <c r="AU929" s="176"/>
      <c r="AV929" s="176"/>
      <c r="AW929" s="176"/>
      <c r="AX929" s="176"/>
      <c r="AY929" s="176"/>
      <c r="AZ929" s="176"/>
      <c r="BA929" s="176"/>
      <c r="BB929" s="176"/>
    </row>
    <row r="930" ht="15.75" customHeight="1">
      <c r="A930" s="176"/>
      <c r="B930" s="176"/>
      <c r="C930" s="176"/>
      <c r="D930" s="176"/>
      <c r="E930" s="176"/>
      <c r="F930" s="176"/>
      <c r="G930" s="176"/>
      <c r="H930" s="176"/>
      <c r="I930" s="176"/>
      <c r="J930" s="176"/>
      <c r="K930" s="176"/>
      <c r="L930" s="176"/>
      <c r="M930" s="176"/>
      <c r="N930" s="176"/>
      <c r="O930" s="176"/>
      <c r="P930" s="176"/>
      <c r="Q930" s="176"/>
      <c r="R930" s="176"/>
      <c r="S930" s="176"/>
      <c r="T930" s="176"/>
      <c r="U930" s="176"/>
      <c r="V930" s="176"/>
      <c r="W930" s="176"/>
      <c r="X930" s="176"/>
      <c r="Y930" s="176"/>
      <c r="Z930" s="176"/>
      <c r="AA930" s="176"/>
      <c r="AB930" s="176"/>
      <c r="AC930" s="176"/>
      <c r="AD930" s="176"/>
      <c r="AE930" s="176"/>
      <c r="AF930" s="176"/>
      <c r="AG930" s="176"/>
      <c r="AH930" s="176"/>
      <c r="AI930" s="176"/>
      <c r="AJ930" s="176"/>
      <c r="AK930" s="176"/>
      <c r="AL930" s="176"/>
      <c r="AM930" s="176"/>
      <c r="AN930" s="176"/>
      <c r="AO930" s="176"/>
      <c r="AP930" s="176"/>
      <c r="AQ930" s="176"/>
      <c r="AR930" s="176"/>
      <c r="AS930" s="176"/>
      <c r="AT930" s="176"/>
      <c r="AU930" s="176"/>
      <c r="AV930" s="176"/>
      <c r="AW930" s="176"/>
      <c r="AX930" s="176"/>
      <c r="AY930" s="176"/>
      <c r="AZ930" s="176"/>
      <c r="BA930" s="176"/>
      <c r="BB930" s="176"/>
    </row>
    <row r="931" ht="15.75" customHeight="1">
      <c r="A931" s="176"/>
      <c r="B931" s="176"/>
      <c r="C931" s="176"/>
      <c r="D931" s="176"/>
      <c r="E931" s="176"/>
      <c r="F931" s="176"/>
      <c r="G931" s="176"/>
      <c r="H931" s="176"/>
      <c r="I931" s="176"/>
      <c r="J931" s="176"/>
      <c r="K931" s="176"/>
      <c r="L931" s="176"/>
      <c r="M931" s="176"/>
      <c r="N931" s="176"/>
      <c r="O931" s="176"/>
      <c r="P931" s="176"/>
      <c r="Q931" s="176"/>
      <c r="R931" s="176"/>
      <c r="S931" s="176"/>
      <c r="T931" s="176"/>
      <c r="U931" s="176"/>
      <c r="V931" s="176"/>
      <c r="W931" s="176"/>
      <c r="X931" s="176"/>
      <c r="Y931" s="176"/>
      <c r="Z931" s="176"/>
      <c r="AA931" s="176"/>
      <c r="AB931" s="176"/>
      <c r="AC931" s="176"/>
      <c r="AD931" s="176"/>
      <c r="AE931" s="176"/>
      <c r="AF931" s="176"/>
      <c r="AG931" s="176"/>
      <c r="AH931" s="176"/>
      <c r="AI931" s="176"/>
      <c r="AJ931" s="176"/>
      <c r="AK931" s="176"/>
      <c r="AL931" s="176"/>
      <c r="AM931" s="176"/>
      <c r="AN931" s="176"/>
      <c r="AO931" s="176"/>
      <c r="AP931" s="176"/>
      <c r="AQ931" s="176"/>
      <c r="AR931" s="176"/>
      <c r="AS931" s="176"/>
      <c r="AT931" s="176"/>
      <c r="AU931" s="176"/>
      <c r="AV931" s="176"/>
      <c r="AW931" s="176"/>
      <c r="AX931" s="176"/>
      <c r="AY931" s="176"/>
      <c r="AZ931" s="176"/>
      <c r="BA931" s="176"/>
      <c r="BB931" s="176"/>
    </row>
    <row r="932" ht="15.75" customHeight="1">
      <c r="A932" s="176"/>
      <c r="B932" s="176"/>
      <c r="C932" s="176"/>
      <c r="D932" s="176"/>
      <c r="E932" s="176"/>
      <c r="F932" s="176"/>
      <c r="G932" s="176"/>
      <c r="H932" s="176"/>
      <c r="I932" s="176"/>
      <c r="J932" s="176"/>
      <c r="K932" s="176"/>
      <c r="L932" s="176"/>
      <c r="M932" s="176"/>
      <c r="N932" s="176"/>
      <c r="O932" s="176"/>
      <c r="P932" s="176"/>
      <c r="Q932" s="176"/>
      <c r="R932" s="176"/>
      <c r="S932" s="176"/>
      <c r="T932" s="176"/>
      <c r="U932" s="176"/>
      <c r="V932" s="176"/>
      <c r="W932" s="176"/>
      <c r="X932" s="176"/>
      <c r="Y932" s="176"/>
      <c r="Z932" s="176"/>
      <c r="AA932" s="176"/>
      <c r="AB932" s="176"/>
      <c r="AC932" s="176"/>
      <c r="AD932" s="176"/>
      <c r="AE932" s="176"/>
      <c r="AF932" s="176"/>
      <c r="AG932" s="176"/>
      <c r="AH932" s="176"/>
      <c r="AI932" s="176"/>
      <c r="AJ932" s="176"/>
      <c r="AK932" s="176"/>
      <c r="AL932" s="176"/>
      <c r="AM932" s="176"/>
      <c r="AN932" s="176"/>
      <c r="AO932" s="176"/>
      <c r="AP932" s="176"/>
      <c r="AQ932" s="176"/>
      <c r="AR932" s="176"/>
      <c r="AS932" s="176"/>
      <c r="AT932" s="176"/>
      <c r="AU932" s="176"/>
      <c r="AV932" s="176"/>
      <c r="AW932" s="176"/>
      <c r="AX932" s="176"/>
      <c r="AY932" s="176"/>
      <c r="AZ932" s="176"/>
      <c r="BA932" s="176"/>
      <c r="BB932" s="176"/>
    </row>
    <row r="933" ht="15.75" customHeight="1">
      <c r="A933" s="176"/>
      <c r="B933" s="176"/>
      <c r="C933" s="176"/>
      <c r="D933" s="176"/>
      <c r="E933" s="176"/>
      <c r="F933" s="176"/>
      <c r="G933" s="176"/>
      <c r="H933" s="176"/>
      <c r="I933" s="176"/>
      <c r="J933" s="176"/>
      <c r="K933" s="176"/>
      <c r="L933" s="176"/>
      <c r="M933" s="176"/>
      <c r="N933" s="176"/>
      <c r="O933" s="176"/>
      <c r="P933" s="176"/>
      <c r="Q933" s="176"/>
      <c r="R933" s="176"/>
      <c r="S933" s="176"/>
      <c r="T933" s="176"/>
      <c r="U933" s="176"/>
      <c r="V933" s="176"/>
      <c r="W933" s="176"/>
      <c r="X933" s="176"/>
      <c r="Y933" s="176"/>
      <c r="Z933" s="176"/>
      <c r="AA933" s="176"/>
      <c r="AB933" s="176"/>
      <c r="AC933" s="176"/>
      <c r="AD933" s="176"/>
      <c r="AE933" s="176"/>
      <c r="AF933" s="176"/>
      <c r="AG933" s="176"/>
      <c r="AH933" s="176"/>
      <c r="AI933" s="176"/>
      <c r="AJ933" s="176"/>
      <c r="AK933" s="176"/>
      <c r="AL933" s="176"/>
      <c r="AM933" s="176"/>
      <c r="AN933" s="176"/>
      <c r="AO933" s="176"/>
      <c r="AP933" s="176"/>
      <c r="AQ933" s="176"/>
      <c r="AR933" s="176"/>
      <c r="AS933" s="176"/>
      <c r="AT933" s="176"/>
      <c r="AU933" s="176"/>
      <c r="AV933" s="176"/>
      <c r="AW933" s="176"/>
      <c r="AX933" s="176"/>
      <c r="AY933" s="176"/>
      <c r="AZ933" s="176"/>
      <c r="BA933" s="176"/>
      <c r="BB933" s="176"/>
    </row>
    <row r="934" ht="15.75" customHeight="1">
      <c r="A934" s="176"/>
      <c r="B934" s="176"/>
      <c r="C934" s="176"/>
      <c r="D934" s="176"/>
      <c r="E934" s="176"/>
      <c r="F934" s="176"/>
      <c r="G934" s="176"/>
      <c r="H934" s="176"/>
      <c r="I934" s="176"/>
      <c r="J934" s="176"/>
      <c r="K934" s="176"/>
      <c r="L934" s="176"/>
      <c r="M934" s="176"/>
      <c r="N934" s="176"/>
      <c r="O934" s="176"/>
      <c r="P934" s="176"/>
      <c r="Q934" s="176"/>
      <c r="R934" s="176"/>
      <c r="S934" s="176"/>
      <c r="T934" s="176"/>
      <c r="U934" s="176"/>
      <c r="V934" s="176"/>
      <c r="W934" s="176"/>
      <c r="X934" s="176"/>
      <c r="Y934" s="176"/>
      <c r="Z934" s="176"/>
      <c r="AA934" s="176"/>
      <c r="AB934" s="176"/>
      <c r="AC934" s="176"/>
      <c r="AD934" s="176"/>
      <c r="AE934" s="176"/>
      <c r="AF934" s="176"/>
      <c r="AG934" s="176"/>
      <c r="AH934" s="176"/>
      <c r="AI934" s="176"/>
      <c r="AJ934" s="176"/>
      <c r="AK934" s="176"/>
      <c r="AL934" s="176"/>
      <c r="AM934" s="176"/>
      <c r="AN934" s="176"/>
      <c r="AO934" s="176"/>
      <c r="AP934" s="176"/>
      <c r="AQ934" s="176"/>
      <c r="AR934" s="176"/>
      <c r="AS934" s="176"/>
      <c r="AT934" s="176"/>
      <c r="AU934" s="176"/>
      <c r="AV934" s="176"/>
      <c r="AW934" s="176"/>
      <c r="AX934" s="176"/>
      <c r="AY934" s="176"/>
      <c r="AZ934" s="176"/>
      <c r="BA934" s="176"/>
      <c r="BB934" s="176"/>
    </row>
    <row r="935" ht="15.75" customHeight="1">
      <c r="A935" s="176"/>
      <c r="B935" s="176"/>
      <c r="C935" s="176"/>
      <c r="D935" s="176"/>
      <c r="E935" s="176"/>
      <c r="F935" s="176"/>
      <c r="G935" s="176"/>
      <c r="H935" s="176"/>
      <c r="I935" s="176"/>
      <c r="J935" s="176"/>
      <c r="K935" s="176"/>
      <c r="L935" s="176"/>
      <c r="M935" s="176"/>
      <c r="N935" s="176"/>
      <c r="O935" s="176"/>
      <c r="P935" s="176"/>
      <c r="Q935" s="176"/>
      <c r="R935" s="176"/>
      <c r="S935" s="176"/>
      <c r="T935" s="176"/>
      <c r="U935" s="176"/>
      <c r="V935" s="176"/>
      <c r="W935" s="176"/>
      <c r="X935" s="176"/>
      <c r="Y935" s="176"/>
      <c r="Z935" s="176"/>
      <c r="AA935" s="176"/>
      <c r="AB935" s="176"/>
      <c r="AC935" s="176"/>
      <c r="AD935" s="176"/>
      <c r="AE935" s="176"/>
      <c r="AF935" s="176"/>
      <c r="AG935" s="176"/>
      <c r="AH935" s="176"/>
      <c r="AI935" s="176"/>
      <c r="AJ935" s="176"/>
      <c r="AK935" s="176"/>
      <c r="AL935" s="176"/>
      <c r="AM935" s="176"/>
      <c r="AN935" s="176"/>
      <c r="AO935" s="176"/>
      <c r="AP935" s="176"/>
      <c r="AQ935" s="176"/>
      <c r="AR935" s="176"/>
      <c r="AS935" s="176"/>
      <c r="AT935" s="176"/>
      <c r="AU935" s="176"/>
      <c r="AV935" s="176"/>
      <c r="AW935" s="176"/>
      <c r="AX935" s="176"/>
      <c r="AY935" s="176"/>
      <c r="AZ935" s="176"/>
      <c r="BA935" s="176"/>
      <c r="BB935" s="176"/>
    </row>
    <row r="936" ht="15.75" customHeight="1">
      <c r="A936" s="176"/>
      <c r="B936" s="176"/>
      <c r="C936" s="176"/>
      <c r="D936" s="176"/>
      <c r="E936" s="176"/>
      <c r="F936" s="176"/>
      <c r="G936" s="176"/>
      <c r="H936" s="176"/>
      <c r="I936" s="176"/>
      <c r="J936" s="176"/>
      <c r="K936" s="176"/>
      <c r="L936" s="176"/>
      <c r="M936" s="176"/>
      <c r="N936" s="176"/>
      <c r="O936" s="176"/>
      <c r="P936" s="176"/>
      <c r="Q936" s="176"/>
      <c r="R936" s="176"/>
      <c r="S936" s="176"/>
      <c r="T936" s="176"/>
      <c r="U936" s="176"/>
      <c r="V936" s="176"/>
      <c r="W936" s="176"/>
      <c r="X936" s="176"/>
      <c r="Y936" s="176"/>
      <c r="Z936" s="176"/>
      <c r="AA936" s="176"/>
      <c r="AB936" s="176"/>
      <c r="AC936" s="176"/>
      <c r="AD936" s="176"/>
      <c r="AE936" s="176"/>
      <c r="AF936" s="176"/>
      <c r="AG936" s="176"/>
      <c r="AH936" s="176"/>
      <c r="AI936" s="176"/>
      <c r="AJ936" s="176"/>
      <c r="AK936" s="176"/>
      <c r="AL936" s="176"/>
      <c r="AM936" s="176"/>
      <c r="AN936" s="176"/>
      <c r="AO936" s="176"/>
      <c r="AP936" s="176"/>
      <c r="AQ936" s="176"/>
      <c r="AR936" s="176"/>
      <c r="AS936" s="176"/>
      <c r="AT936" s="176"/>
      <c r="AU936" s="176"/>
      <c r="AV936" s="176"/>
      <c r="AW936" s="176"/>
      <c r="AX936" s="176"/>
      <c r="AY936" s="176"/>
      <c r="AZ936" s="176"/>
      <c r="BA936" s="176"/>
      <c r="BB936" s="176"/>
    </row>
    <row r="937" ht="15.75" customHeight="1">
      <c r="A937" s="176"/>
      <c r="B937" s="176"/>
      <c r="C937" s="176"/>
      <c r="D937" s="176"/>
      <c r="E937" s="176"/>
      <c r="F937" s="176"/>
      <c r="G937" s="176"/>
      <c r="H937" s="176"/>
      <c r="I937" s="176"/>
      <c r="J937" s="176"/>
      <c r="K937" s="176"/>
      <c r="L937" s="176"/>
      <c r="M937" s="176"/>
      <c r="N937" s="176"/>
      <c r="O937" s="176"/>
      <c r="P937" s="176"/>
      <c r="Q937" s="176"/>
      <c r="R937" s="176"/>
      <c r="S937" s="176"/>
      <c r="T937" s="176"/>
      <c r="U937" s="176"/>
      <c r="V937" s="176"/>
      <c r="W937" s="176"/>
      <c r="X937" s="176"/>
      <c r="Y937" s="176"/>
      <c r="Z937" s="176"/>
      <c r="AA937" s="176"/>
      <c r="AB937" s="176"/>
      <c r="AC937" s="176"/>
      <c r="AD937" s="176"/>
      <c r="AE937" s="176"/>
      <c r="AF937" s="176"/>
      <c r="AG937" s="176"/>
      <c r="AH937" s="176"/>
      <c r="AI937" s="176"/>
      <c r="AJ937" s="176"/>
      <c r="AK937" s="176"/>
      <c r="AL937" s="176"/>
      <c r="AM937" s="176"/>
      <c r="AN937" s="176"/>
      <c r="AO937" s="176"/>
      <c r="AP937" s="176"/>
      <c r="AQ937" s="176"/>
      <c r="AR937" s="176"/>
      <c r="AS937" s="176"/>
      <c r="AT937" s="176"/>
      <c r="AU937" s="176"/>
      <c r="AV937" s="176"/>
      <c r="AW937" s="176"/>
      <c r="AX937" s="176"/>
      <c r="AY937" s="176"/>
      <c r="AZ937" s="176"/>
      <c r="BA937" s="176"/>
      <c r="BB937" s="176"/>
    </row>
    <row r="938" ht="15.75" customHeight="1">
      <c r="A938" s="176"/>
      <c r="B938" s="176"/>
      <c r="C938" s="176"/>
      <c r="D938" s="176"/>
      <c r="E938" s="176"/>
      <c r="F938" s="176"/>
      <c r="G938" s="176"/>
      <c r="H938" s="176"/>
      <c r="I938" s="176"/>
      <c r="J938" s="176"/>
      <c r="K938" s="176"/>
      <c r="L938" s="176"/>
      <c r="M938" s="176"/>
      <c r="N938" s="176"/>
      <c r="O938" s="176"/>
      <c r="P938" s="176"/>
      <c r="Q938" s="176"/>
      <c r="R938" s="176"/>
      <c r="S938" s="176"/>
      <c r="T938" s="176"/>
      <c r="U938" s="176"/>
      <c r="V938" s="176"/>
      <c r="W938" s="176"/>
      <c r="X938" s="176"/>
      <c r="Y938" s="176"/>
      <c r="Z938" s="176"/>
      <c r="AA938" s="176"/>
      <c r="AB938" s="176"/>
      <c r="AC938" s="176"/>
      <c r="AD938" s="176"/>
      <c r="AE938" s="176"/>
      <c r="AF938" s="176"/>
      <c r="AG938" s="176"/>
      <c r="AH938" s="176"/>
      <c r="AI938" s="176"/>
      <c r="AJ938" s="176"/>
      <c r="AK938" s="176"/>
      <c r="AL938" s="176"/>
      <c r="AM938" s="176"/>
      <c r="AN938" s="176"/>
      <c r="AO938" s="176"/>
      <c r="AP938" s="176"/>
      <c r="AQ938" s="176"/>
      <c r="AR938" s="176"/>
      <c r="AS938" s="176"/>
      <c r="AT938" s="176"/>
      <c r="AU938" s="176"/>
      <c r="AV938" s="176"/>
      <c r="AW938" s="176"/>
      <c r="AX938" s="176"/>
      <c r="AY938" s="176"/>
      <c r="AZ938" s="176"/>
      <c r="BA938" s="176"/>
      <c r="BB938" s="176"/>
    </row>
    <row r="939" ht="15.75" customHeight="1">
      <c r="A939" s="176"/>
      <c r="B939" s="176"/>
      <c r="C939" s="176"/>
      <c r="D939" s="176"/>
      <c r="E939" s="176"/>
      <c r="F939" s="176"/>
      <c r="G939" s="176"/>
      <c r="H939" s="176"/>
      <c r="I939" s="176"/>
      <c r="J939" s="176"/>
      <c r="K939" s="176"/>
      <c r="L939" s="176"/>
      <c r="M939" s="176"/>
      <c r="N939" s="176"/>
      <c r="O939" s="176"/>
      <c r="P939" s="176"/>
      <c r="Q939" s="176"/>
      <c r="R939" s="176"/>
      <c r="S939" s="176"/>
      <c r="T939" s="176"/>
      <c r="U939" s="176"/>
      <c r="V939" s="176"/>
      <c r="W939" s="176"/>
      <c r="X939" s="176"/>
      <c r="Y939" s="176"/>
      <c r="Z939" s="176"/>
      <c r="AA939" s="176"/>
      <c r="AB939" s="176"/>
      <c r="AC939" s="176"/>
      <c r="AD939" s="176"/>
      <c r="AE939" s="176"/>
      <c r="AF939" s="176"/>
      <c r="AG939" s="176"/>
      <c r="AH939" s="176"/>
      <c r="AI939" s="176"/>
      <c r="AJ939" s="176"/>
      <c r="AK939" s="176"/>
      <c r="AL939" s="176"/>
      <c r="AM939" s="176"/>
      <c r="AN939" s="176"/>
      <c r="AO939" s="176"/>
      <c r="AP939" s="176"/>
      <c r="AQ939" s="176"/>
      <c r="AR939" s="176"/>
      <c r="AS939" s="176"/>
      <c r="AT939" s="176"/>
      <c r="AU939" s="176"/>
      <c r="AV939" s="176"/>
      <c r="AW939" s="176"/>
      <c r="AX939" s="176"/>
      <c r="AY939" s="176"/>
      <c r="AZ939" s="176"/>
      <c r="BA939" s="176"/>
      <c r="BB939" s="176"/>
    </row>
    <row r="940" ht="15.75" customHeight="1">
      <c r="A940" s="176"/>
      <c r="B940" s="176"/>
      <c r="C940" s="176"/>
      <c r="D940" s="176"/>
      <c r="E940" s="176"/>
      <c r="F940" s="176"/>
      <c r="G940" s="176"/>
      <c r="H940" s="176"/>
      <c r="I940" s="176"/>
      <c r="J940" s="176"/>
      <c r="K940" s="176"/>
      <c r="L940" s="176"/>
      <c r="M940" s="176"/>
      <c r="N940" s="176"/>
      <c r="O940" s="176"/>
      <c r="P940" s="176"/>
      <c r="Q940" s="176"/>
      <c r="R940" s="176"/>
      <c r="S940" s="176"/>
      <c r="T940" s="176"/>
      <c r="U940" s="176"/>
      <c r="V940" s="176"/>
      <c r="W940" s="176"/>
      <c r="X940" s="176"/>
      <c r="Y940" s="176"/>
      <c r="Z940" s="176"/>
      <c r="AA940" s="176"/>
      <c r="AB940" s="176"/>
      <c r="AC940" s="176"/>
      <c r="AD940" s="176"/>
      <c r="AE940" s="176"/>
      <c r="AF940" s="176"/>
      <c r="AG940" s="176"/>
      <c r="AH940" s="176"/>
      <c r="AI940" s="176"/>
      <c r="AJ940" s="176"/>
      <c r="AK940" s="176"/>
      <c r="AL940" s="176"/>
      <c r="AM940" s="176"/>
      <c r="AN940" s="176"/>
      <c r="AO940" s="176"/>
      <c r="AP940" s="176"/>
      <c r="AQ940" s="176"/>
      <c r="AR940" s="176"/>
      <c r="AS940" s="176"/>
      <c r="AT940" s="176"/>
      <c r="AU940" s="176"/>
      <c r="AV940" s="176"/>
      <c r="AW940" s="176"/>
      <c r="AX940" s="176"/>
      <c r="AY940" s="176"/>
      <c r="AZ940" s="176"/>
      <c r="BA940" s="176"/>
      <c r="BB940" s="176"/>
    </row>
    <row r="941" ht="15.75" customHeight="1">
      <c r="A941" s="176"/>
      <c r="B941" s="176"/>
      <c r="C941" s="176"/>
      <c r="D941" s="176"/>
      <c r="E941" s="176"/>
      <c r="F941" s="176"/>
      <c r="G941" s="176"/>
      <c r="H941" s="176"/>
      <c r="I941" s="176"/>
      <c r="J941" s="176"/>
      <c r="K941" s="176"/>
      <c r="L941" s="176"/>
      <c r="M941" s="176"/>
      <c r="N941" s="176"/>
      <c r="O941" s="176"/>
      <c r="P941" s="176"/>
      <c r="Q941" s="176"/>
      <c r="R941" s="176"/>
      <c r="S941" s="176"/>
      <c r="T941" s="176"/>
      <c r="U941" s="176"/>
      <c r="V941" s="176"/>
      <c r="W941" s="176"/>
      <c r="X941" s="176"/>
      <c r="Y941" s="176"/>
      <c r="Z941" s="176"/>
      <c r="AA941" s="176"/>
      <c r="AB941" s="176"/>
      <c r="AC941" s="176"/>
      <c r="AD941" s="176"/>
      <c r="AE941" s="176"/>
      <c r="AF941" s="176"/>
      <c r="AG941" s="176"/>
      <c r="AH941" s="176"/>
      <c r="AI941" s="176"/>
      <c r="AJ941" s="176"/>
      <c r="AK941" s="176"/>
      <c r="AL941" s="176"/>
      <c r="AM941" s="176"/>
      <c r="AN941" s="176"/>
      <c r="AO941" s="176"/>
      <c r="AP941" s="176"/>
      <c r="AQ941" s="176"/>
      <c r="AR941" s="176"/>
      <c r="AS941" s="176"/>
      <c r="AT941" s="176"/>
      <c r="AU941" s="176"/>
      <c r="AV941" s="176"/>
      <c r="AW941" s="176"/>
      <c r="AX941" s="176"/>
      <c r="AY941" s="176"/>
      <c r="AZ941" s="176"/>
      <c r="BA941" s="176"/>
      <c r="BB941" s="176"/>
    </row>
    <row r="942" ht="15.75" customHeight="1">
      <c r="A942" s="176"/>
      <c r="B942" s="176"/>
      <c r="C942" s="176"/>
      <c r="D942" s="176"/>
      <c r="E942" s="176"/>
      <c r="F942" s="176"/>
      <c r="G942" s="176"/>
      <c r="H942" s="176"/>
      <c r="I942" s="176"/>
      <c r="J942" s="176"/>
      <c r="K942" s="176"/>
      <c r="L942" s="176"/>
      <c r="M942" s="176"/>
      <c r="N942" s="176"/>
      <c r="O942" s="176"/>
      <c r="P942" s="176"/>
      <c r="Q942" s="176"/>
      <c r="R942" s="176"/>
      <c r="S942" s="176"/>
      <c r="T942" s="176"/>
      <c r="U942" s="176"/>
      <c r="V942" s="176"/>
      <c r="W942" s="176"/>
      <c r="X942" s="176"/>
      <c r="Y942" s="176"/>
      <c r="Z942" s="176"/>
      <c r="AA942" s="176"/>
      <c r="AB942" s="176"/>
      <c r="AC942" s="176"/>
      <c r="AD942" s="176"/>
      <c r="AE942" s="176"/>
      <c r="AF942" s="176"/>
      <c r="AG942" s="176"/>
      <c r="AH942" s="176"/>
      <c r="AI942" s="176"/>
      <c r="AJ942" s="176"/>
      <c r="AK942" s="176"/>
      <c r="AL942" s="176"/>
      <c r="AM942" s="176"/>
      <c r="AN942" s="176"/>
      <c r="AO942" s="176"/>
      <c r="AP942" s="176"/>
      <c r="AQ942" s="176"/>
      <c r="AR942" s="176"/>
      <c r="AS942" s="176"/>
      <c r="AT942" s="176"/>
      <c r="AU942" s="176"/>
      <c r="AV942" s="176"/>
      <c r="AW942" s="176"/>
      <c r="AX942" s="176"/>
      <c r="AY942" s="176"/>
      <c r="AZ942" s="176"/>
      <c r="BA942" s="176"/>
      <c r="BB942" s="176"/>
    </row>
    <row r="943" ht="15.75" customHeight="1">
      <c r="A943" s="176"/>
      <c r="B943" s="176"/>
      <c r="C943" s="176"/>
      <c r="D943" s="176"/>
      <c r="E943" s="176"/>
      <c r="F943" s="176"/>
      <c r="G943" s="176"/>
      <c r="H943" s="176"/>
      <c r="I943" s="176"/>
      <c r="J943" s="176"/>
      <c r="K943" s="176"/>
      <c r="L943" s="176"/>
      <c r="M943" s="176"/>
      <c r="N943" s="176"/>
      <c r="O943" s="176"/>
      <c r="P943" s="176"/>
      <c r="Q943" s="176"/>
      <c r="R943" s="176"/>
      <c r="S943" s="176"/>
      <c r="T943" s="176"/>
      <c r="U943" s="176"/>
      <c r="V943" s="176"/>
      <c r="W943" s="176"/>
      <c r="X943" s="176"/>
      <c r="Y943" s="176"/>
      <c r="Z943" s="176"/>
      <c r="AA943" s="176"/>
      <c r="AB943" s="176"/>
      <c r="AC943" s="176"/>
      <c r="AD943" s="176"/>
      <c r="AE943" s="176"/>
      <c r="AF943" s="176"/>
      <c r="AG943" s="176"/>
      <c r="AH943" s="176"/>
      <c r="AI943" s="176"/>
      <c r="AJ943" s="176"/>
      <c r="AK943" s="176"/>
      <c r="AL943" s="176"/>
      <c r="AM943" s="176"/>
      <c r="AN943" s="176"/>
      <c r="AO943" s="176"/>
      <c r="AP943" s="176"/>
      <c r="AQ943" s="176"/>
      <c r="AR943" s="176"/>
      <c r="AS943" s="176"/>
      <c r="AT943" s="176"/>
      <c r="AU943" s="176"/>
      <c r="AV943" s="176"/>
      <c r="AW943" s="176"/>
      <c r="AX943" s="176"/>
      <c r="AY943" s="176"/>
      <c r="AZ943" s="176"/>
      <c r="BA943" s="176"/>
      <c r="BB943" s="176"/>
    </row>
    <row r="944" ht="15.75" customHeight="1">
      <c r="A944" s="176"/>
      <c r="B944" s="176"/>
      <c r="C944" s="176"/>
      <c r="D944" s="176"/>
      <c r="E944" s="176"/>
      <c r="F944" s="176"/>
      <c r="G944" s="176"/>
      <c r="H944" s="176"/>
      <c r="I944" s="176"/>
      <c r="J944" s="176"/>
      <c r="K944" s="176"/>
      <c r="L944" s="176"/>
      <c r="M944" s="176"/>
      <c r="N944" s="176"/>
      <c r="O944" s="176"/>
      <c r="P944" s="176"/>
      <c r="Q944" s="176"/>
      <c r="R944" s="176"/>
      <c r="S944" s="176"/>
      <c r="T944" s="176"/>
      <c r="U944" s="176"/>
      <c r="V944" s="176"/>
      <c r="W944" s="176"/>
      <c r="X944" s="176"/>
      <c r="Y944" s="176"/>
      <c r="Z944" s="176"/>
      <c r="AA944" s="176"/>
      <c r="AB944" s="176"/>
      <c r="AC944" s="176"/>
      <c r="AD944" s="176"/>
      <c r="AE944" s="176"/>
      <c r="AF944" s="176"/>
      <c r="AG944" s="176"/>
      <c r="AH944" s="176"/>
      <c r="AI944" s="176"/>
      <c r="AJ944" s="176"/>
      <c r="AK944" s="176"/>
      <c r="AL944" s="176"/>
      <c r="AM944" s="176"/>
      <c r="AN944" s="176"/>
      <c r="AO944" s="176"/>
      <c r="AP944" s="176"/>
      <c r="AQ944" s="176"/>
      <c r="AR944" s="176"/>
      <c r="AS944" s="176"/>
      <c r="AT944" s="176"/>
      <c r="AU944" s="176"/>
      <c r="AV944" s="176"/>
      <c r="AW944" s="176"/>
      <c r="AX944" s="176"/>
      <c r="AY944" s="176"/>
      <c r="AZ944" s="176"/>
      <c r="BA944" s="176"/>
      <c r="BB944" s="176"/>
    </row>
    <row r="945" ht="15.75" customHeight="1">
      <c r="A945" s="176"/>
      <c r="B945" s="176"/>
      <c r="C945" s="176"/>
      <c r="D945" s="176"/>
      <c r="E945" s="176"/>
      <c r="F945" s="176"/>
      <c r="G945" s="176"/>
      <c r="H945" s="176"/>
      <c r="I945" s="176"/>
      <c r="J945" s="176"/>
      <c r="K945" s="176"/>
      <c r="L945" s="176"/>
      <c r="M945" s="176"/>
      <c r="N945" s="176"/>
      <c r="O945" s="176"/>
      <c r="P945" s="176"/>
      <c r="Q945" s="176"/>
      <c r="R945" s="176"/>
      <c r="S945" s="176"/>
      <c r="T945" s="176"/>
      <c r="U945" s="176"/>
      <c r="V945" s="176"/>
      <c r="W945" s="176"/>
      <c r="X945" s="176"/>
      <c r="Y945" s="176"/>
      <c r="Z945" s="176"/>
      <c r="AA945" s="176"/>
      <c r="AB945" s="176"/>
      <c r="AC945" s="176"/>
      <c r="AD945" s="176"/>
      <c r="AE945" s="176"/>
      <c r="AF945" s="176"/>
      <c r="AG945" s="176"/>
      <c r="AH945" s="176"/>
      <c r="AI945" s="176"/>
      <c r="AJ945" s="176"/>
      <c r="AK945" s="176"/>
      <c r="AL945" s="176"/>
      <c r="AM945" s="176"/>
      <c r="AN945" s="176"/>
      <c r="AO945" s="176"/>
      <c r="AP945" s="176"/>
      <c r="AQ945" s="176"/>
      <c r="AR945" s="176"/>
      <c r="AS945" s="176"/>
      <c r="AT945" s="176"/>
      <c r="AU945" s="176"/>
      <c r="AV945" s="176"/>
      <c r="AW945" s="176"/>
      <c r="AX945" s="176"/>
      <c r="AY945" s="176"/>
      <c r="AZ945" s="176"/>
      <c r="BA945" s="176"/>
      <c r="BB945" s="176"/>
    </row>
    <row r="946" ht="15.75" customHeight="1">
      <c r="A946" s="176"/>
      <c r="B946" s="176"/>
      <c r="C946" s="176"/>
      <c r="D946" s="176"/>
      <c r="E946" s="176"/>
      <c r="F946" s="176"/>
      <c r="G946" s="176"/>
      <c r="H946" s="176"/>
      <c r="I946" s="176"/>
      <c r="J946" s="176"/>
      <c r="K946" s="176"/>
      <c r="L946" s="176"/>
      <c r="M946" s="176"/>
      <c r="N946" s="176"/>
      <c r="O946" s="176"/>
      <c r="P946" s="176"/>
      <c r="Q946" s="176"/>
      <c r="R946" s="176"/>
      <c r="S946" s="176"/>
      <c r="T946" s="176"/>
      <c r="U946" s="176"/>
      <c r="V946" s="176"/>
      <c r="W946" s="176"/>
      <c r="X946" s="176"/>
      <c r="Y946" s="176"/>
      <c r="Z946" s="176"/>
      <c r="AA946" s="176"/>
      <c r="AB946" s="176"/>
      <c r="AC946" s="176"/>
      <c r="AD946" s="176"/>
      <c r="AE946" s="176"/>
      <c r="AF946" s="176"/>
      <c r="AG946" s="176"/>
      <c r="AH946" s="176"/>
      <c r="AI946" s="176"/>
      <c r="AJ946" s="176"/>
      <c r="AK946" s="176"/>
      <c r="AL946" s="176"/>
      <c r="AM946" s="176"/>
      <c r="AN946" s="176"/>
      <c r="AO946" s="176"/>
      <c r="AP946" s="176"/>
      <c r="AQ946" s="176"/>
      <c r="AR946" s="176"/>
      <c r="AS946" s="176"/>
      <c r="AT946" s="176"/>
      <c r="AU946" s="176"/>
      <c r="AV946" s="176"/>
      <c r="AW946" s="176"/>
      <c r="AX946" s="176"/>
      <c r="AY946" s="176"/>
      <c r="AZ946" s="176"/>
      <c r="BA946" s="176"/>
      <c r="BB946" s="176"/>
    </row>
    <row r="947" ht="15.75" customHeight="1">
      <c r="A947" s="176"/>
      <c r="B947" s="176"/>
      <c r="C947" s="176"/>
      <c r="D947" s="176"/>
      <c r="E947" s="176"/>
      <c r="F947" s="176"/>
      <c r="G947" s="176"/>
      <c r="H947" s="176"/>
      <c r="I947" s="176"/>
      <c r="J947" s="176"/>
      <c r="K947" s="176"/>
      <c r="L947" s="176"/>
      <c r="M947" s="176"/>
      <c r="N947" s="176"/>
      <c r="O947" s="176"/>
      <c r="P947" s="176"/>
      <c r="Q947" s="176"/>
      <c r="R947" s="176"/>
      <c r="S947" s="176"/>
      <c r="T947" s="176"/>
      <c r="U947" s="176"/>
      <c r="V947" s="176"/>
      <c r="W947" s="176"/>
      <c r="X947" s="176"/>
      <c r="Y947" s="176"/>
      <c r="Z947" s="176"/>
      <c r="AA947" s="176"/>
      <c r="AB947" s="176"/>
      <c r="AC947" s="176"/>
      <c r="AD947" s="176"/>
      <c r="AE947" s="176"/>
      <c r="AF947" s="176"/>
      <c r="AG947" s="176"/>
      <c r="AH947" s="176"/>
      <c r="AI947" s="176"/>
      <c r="AJ947" s="176"/>
      <c r="AK947" s="176"/>
      <c r="AL947" s="176"/>
      <c r="AM947" s="176"/>
      <c r="AN947" s="176"/>
      <c r="AO947" s="176"/>
      <c r="AP947" s="176"/>
      <c r="AQ947" s="176"/>
      <c r="AR947" s="176"/>
      <c r="AS947" s="176"/>
      <c r="AT947" s="176"/>
      <c r="AU947" s="176"/>
      <c r="AV947" s="176"/>
      <c r="AW947" s="176"/>
      <c r="AX947" s="176"/>
      <c r="AY947" s="176"/>
      <c r="AZ947" s="176"/>
      <c r="BA947" s="176"/>
      <c r="BB947" s="176"/>
    </row>
    <row r="948" ht="15.75" customHeight="1">
      <c r="A948" s="176"/>
      <c r="B948" s="176"/>
      <c r="C948" s="176"/>
      <c r="D948" s="176"/>
      <c r="E948" s="176"/>
      <c r="F948" s="176"/>
      <c r="G948" s="176"/>
      <c r="H948" s="176"/>
      <c r="I948" s="176"/>
      <c r="J948" s="176"/>
      <c r="K948" s="176"/>
      <c r="L948" s="176"/>
      <c r="M948" s="176"/>
      <c r="N948" s="176"/>
      <c r="O948" s="176"/>
      <c r="P948" s="176"/>
      <c r="Q948" s="176"/>
      <c r="R948" s="176"/>
      <c r="S948" s="176"/>
      <c r="T948" s="176"/>
      <c r="U948" s="176"/>
      <c r="V948" s="176"/>
      <c r="W948" s="176"/>
      <c r="X948" s="176"/>
      <c r="Y948" s="176"/>
      <c r="Z948" s="176"/>
      <c r="AA948" s="176"/>
      <c r="AB948" s="176"/>
      <c r="AC948" s="176"/>
      <c r="AD948" s="176"/>
      <c r="AE948" s="176"/>
      <c r="AF948" s="176"/>
      <c r="AG948" s="176"/>
      <c r="AH948" s="176"/>
      <c r="AI948" s="176"/>
      <c r="AJ948" s="176"/>
      <c r="AK948" s="176"/>
      <c r="AL948" s="176"/>
      <c r="AM948" s="176"/>
      <c r="AN948" s="176"/>
      <c r="AO948" s="176"/>
      <c r="AP948" s="176"/>
      <c r="AQ948" s="176"/>
      <c r="AR948" s="176"/>
      <c r="AS948" s="176"/>
      <c r="AT948" s="176"/>
      <c r="AU948" s="176"/>
      <c r="AV948" s="176"/>
      <c r="AW948" s="176"/>
      <c r="AX948" s="176"/>
      <c r="AY948" s="176"/>
      <c r="AZ948" s="176"/>
      <c r="BA948" s="176"/>
      <c r="BB948" s="176"/>
    </row>
    <row r="949" ht="15.75" customHeight="1">
      <c r="A949" s="176"/>
      <c r="B949" s="176"/>
      <c r="C949" s="176"/>
      <c r="D949" s="176"/>
      <c r="E949" s="176"/>
      <c r="F949" s="176"/>
      <c r="G949" s="176"/>
      <c r="H949" s="176"/>
      <c r="I949" s="176"/>
      <c r="J949" s="176"/>
      <c r="K949" s="176"/>
      <c r="L949" s="176"/>
      <c r="M949" s="176"/>
      <c r="N949" s="176"/>
      <c r="O949" s="176"/>
      <c r="P949" s="176"/>
      <c r="Q949" s="176"/>
      <c r="R949" s="176"/>
      <c r="S949" s="176"/>
      <c r="T949" s="176"/>
      <c r="U949" s="176"/>
      <c r="V949" s="176"/>
      <c r="W949" s="176"/>
      <c r="X949" s="176"/>
      <c r="Y949" s="176"/>
      <c r="Z949" s="176"/>
      <c r="AA949" s="176"/>
      <c r="AB949" s="176"/>
      <c r="AC949" s="176"/>
      <c r="AD949" s="176"/>
      <c r="AE949" s="176"/>
      <c r="AF949" s="176"/>
      <c r="AG949" s="176"/>
      <c r="AH949" s="176"/>
      <c r="AI949" s="176"/>
      <c r="AJ949" s="176"/>
      <c r="AK949" s="176"/>
      <c r="AL949" s="176"/>
      <c r="AM949" s="176"/>
      <c r="AN949" s="176"/>
      <c r="AO949" s="176"/>
      <c r="AP949" s="176"/>
      <c r="AQ949" s="176"/>
      <c r="AR949" s="176"/>
      <c r="AS949" s="176"/>
      <c r="AT949" s="176"/>
      <c r="AU949" s="176"/>
      <c r="AV949" s="176"/>
      <c r="AW949" s="176"/>
      <c r="AX949" s="176"/>
      <c r="AY949" s="176"/>
      <c r="AZ949" s="176"/>
      <c r="BA949" s="176"/>
      <c r="BB949" s="176"/>
    </row>
    <row r="950" ht="15.75" customHeight="1">
      <c r="A950" s="176"/>
      <c r="B950" s="176"/>
      <c r="C950" s="176"/>
      <c r="D950" s="176"/>
      <c r="E950" s="176"/>
      <c r="F950" s="176"/>
      <c r="G950" s="176"/>
      <c r="H950" s="176"/>
      <c r="I950" s="176"/>
      <c r="J950" s="176"/>
      <c r="K950" s="176"/>
      <c r="L950" s="176"/>
      <c r="M950" s="176"/>
      <c r="N950" s="176"/>
      <c r="O950" s="176"/>
      <c r="P950" s="176"/>
      <c r="Q950" s="176"/>
      <c r="R950" s="176"/>
      <c r="S950" s="176"/>
      <c r="T950" s="176"/>
      <c r="U950" s="176"/>
      <c r="V950" s="176"/>
      <c r="W950" s="176"/>
      <c r="X950" s="176"/>
      <c r="Y950" s="176"/>
      <c r="Z950" s="176"/>
      <c r="AA950" s="176"/>
      <c r="AB950" s="176"/>
      <c r="AC950" s="176"/>
      <c r="AD950" s="176"/>
      <c r="AE950" s="176"/>
      <c r="AF950" s="176"/>
      <c r="AG950" s="176"/>
      <c r="AH950" s="176"/>
      <c r="AI950" s="176"/>
      <c r="AJ950" s="176"/>
      <c r="AK950" s="176"/>
      <c r="AL950" s="176"/>
      <c r="AM950" s="176"/>
      <c r="AN950" s="176"/>
      <c r="AO950" s="176"/>
      <c r="AP950" s="176"/>
      <c r="AQ950" s="176"/>
      <c r="AR950" s="176"/>
      <c r="AS950" s="176"/>
      <c r="AT950" s="176"/>
      <c r="AU950" s="176"/>
      <c r="AV950" s="176"/>
      <c r="AW950" s="176"/>
      <c r="AX950" s="176"/>
      <c r="AY950" s="176"/>
      <c r="AZ950" s="176"/>
      <c r="BA950" s="176"/>
      <c r="BB950" s="176"/>
    </row>
    <row r="951" ht="15.75" customHeight="1">
      <c r="A951" s="176"/>
      <c r="B951" s="176"/>
      <c r="C951" s="176"/>
      <c r="D951" s="176"/>
      <c r="E951" s="176"/>
      <c r="F951" s="176"/>
      <c r="G951" s="176"/>
      <c r="H951" s="176"/>
      <c r="I951" s="176"/>
      <c r="J951" s="176"/>
      <c r="K951" s="176"/>
      <c r="L951" s="176"/>
      <c r="M951" s="176"/>
      <c r="N951" s="176"/>
      <c r="O951" s="176"/>
      <c r="P951" s="176"/>
      <c r="Q951" s="176"/>
      <c r="R951" s="176"/>
      <c r="S951" s="176"/>
      <c r="T951" s="176"/>
      <c r="U951" s="176"/>
      <c r="V951" s="176"/>
      <c r="W951" s="176"/>
      <c r="X951" s="176"/>
      <c r="Y951" s="176"/>
      <c r="Z951" s="176"/>
      <c r="AA951" s="176"/>
      <c r="AB951" s="176"/>
      <c r="AC951" s="176"/>
      <c r="AD951" s="176"/>
      <c r="AE951" s="176"/>
      <c r="AF951" s="176"/>
      <c r="AG951" s="176"/>
      <c r="AH951" s="176"/>
      <c r="AI951" s="176"/>
      <c r="AJ951" s="176"/>
      <c r="AK951" s="176"/>
      <c r="AL951" s="176"/>
      <c r="AM951" s="176"/>
      <c r="AN951" s="176"/>
      <c r="AO951" s="176"/>
      <c r="AP951" s="176"/>
      <c r="AQ951" s="176"/>
      <c r="AR951" s="176"/>
      <c r="AS951" s="176"/>
      <c r="AT951" s="176"/>
      <c r="AU951" s="176"/>
      <c r="AV951" s="176"/>
      <c r="AW951" s="176"/>
      <c r="AX951" s="176"/>
      <c r="AY951" s="176"/>
      <c r="AZ951" s="176"/>
      <c r="BA951" s="176"/>
      <c r="BB951" s="176"/>
    </row>
    <row r="952" ht="15.75" customHeight="1">
      <c r="A952" s="176"/>
      <c r="B952" s="176"/>
      <c r="C952" s="176"/>
      <c r="D952" s="176"/>
      <c r="E952" s="176"/>
      <c r="F952" s="176"/>
      <c r="G952" s="176"/>
      <c r="H952" s="176"/>
      <c r="I952" s="176"/>
      <c r="J952" s="176"/>
      <c r="K952" s="176"/>
      <c r="L952" s="176"/>
      <c r="M952" s="176"/>
      <c r="N952" s="176"/>
      <c r="O952" s="176"/>
      <c r="P952" s="176"/>
      <c r="Q952" s="176"/>
      <c r="R952" s="176"/>
      <c r="S952" s="176"/>
      <c r="T952" s="176"/>
      <c r="U952" s="176"/>
      <c r="V952" s="176"/>
      <c r="W952" s="176"/>
      <c r="X952" s="176"/>
      <c r="Y952" s="176"/>
      <c r="Z952" s="176"/>
      <c r="AA952" s="176"/>
      <c r="AB952" s="176"/>
      <c r="AC952" s="176"/>
      <c r="AD952" s="176"/>
      <c r="AE952" s="176"/>
      <c r="AF952" s="176"/>
      <c r="AG952" s="176"/>
      <c r="AH952" s="176"/>
      <c r="AI952" s="176"/>
      <c r="AJ952" s="176"/>
      <c r="AK952" s="176"/>
      <c r="AL952" s="176"/>
      <c r="AM952" s="176"/>
      <c r="AN952" s="176"/>
      <c r="AO952" s="176"/>
      <c r="AP952" s="176"/>
      <c r="AQ952" s="176"/>
      <c r="AR952" s="176"/>
      <c r="AS952" s="176"/>
      <c r="AT952" s="176"/>
      <c r="AU952" s="176"/>
      <c r="AV952" s="176"/>
      <c r="AW952" s="176"/>
      <c r="AX952" s="176"/>
      <c r="AY952" s="176"/>
      <c r="AZ952" s="176"/>
      <c r="BA952" s="176"/>
      <c r="BB952" s="176"/>
    </row>
    <row r="953" ht="15.75" customHeight="1">
      <c r="A953" s="176"/>
      <c r="B953" s="176"/>
      <c r="C953" s="176"/>
      <c r="D953" s="176"/>
      <c r="E953" s="176"/>
      <c r="F953" s="176"/>
      <c r="G953" s="176"/>
      <c r="H953" s="176"/>
      <c r="I953" s="176"/>
      <c r="J953" s="176"/>
      <c r="K953" s="176"/>
      <c r="L953" s="176"/>
      <c r="M953" s="176"/>
      <c r="N953" s="176"/>
      <c r="O953" s="176"/>
      <c r="P953" s="176"/>
      <c r="Q953" s="176"/>
      <c r="R953" s="176"/>
      <c r="S953" s="176"/>
      <c r="T953" s="176"/>
      <c r="U953" s="176"/>
      <c r="V953" s="176"/>
      <c r="W953" s="176"/>
      <c r="X953" s="176"/>
      <c r="Y953" s="176"/>
      <c r="Z953" s="176"/>
      <c r="AA953" s="176"/>
      <c r="AB953" s="176"/>
      <c r="AC953" s="176"/>
      <c r="AD953" s="176"/>
      <c r="AE953" s="176"/>
      <c r="AF953" s="176"/>
      <c r="AG953" s="176"/>
      <c r="AH953" s="176"/>
      <c r="AI953" s="176"/>
      <c r="AJ953" s="176"/>
      <c r="AK953" s="176"/>
      <c r="AL953" s="176"/>
      <c r="AM953" s="176"/>
      <c r="AN953" s="176"/>
      <c r="AO953" s="176"/>
      <c r="AP953" s="176"/>
      <c r="AQ953" s="176"/>
      <c r="AR953" s="176"/>
      <c r="AS953" s="176"/>
      <c r="AT953" s="176"/>
      <c r="AU953" s="176"/>
      <c r="AV953" s="176"/>
      <c r="AW953" s="176"/>
      <c r="AX953" s="176"/>
      <c r="AY953" s="176"/>
      <c r="AZ953" s="176"/>
      <c r="BA953" s="176"/>
      <c r="BB953" s="176"/>
    </row>
    <row r="954" ht="15.75" customHeight="1">
      <c r="A954" s="176"/>
      <c r="B954" s="176"/>
      <c r="C954" s="176"/>
      <c r="D954" s="176"/>
      <c r="E954" s="176"/>
      <c r="F954" s="176"/>
      <c r="G954" s="176"/>
      <c r="H954" s="176"/>
      <c r="I954" s="176"/>
      <c r="J954" s="176"/>
      <c r="K954" s="176"/>
      <c r="L954" s="176"/>
      <c r="M954" s="176"/>
      <c r="N954" s="176"/>
      <c r="O954" s="176"/>
      <c r="P954" s="176"/>
      <c r="Q954" s="176"/>
      <c r="R954" s="176"/>
      <c r="S954" s="176"/>
      <c r="T954" s="176"/>
      <c r="U954" s="176"/>
      <c r="V954" s="176"/>
      <c r="W954" s="176"/>
      <c r="X954" s="176"/>
      <c r="Y954" s="176"/>
      <c r="Z954" s="176"/>
      <c r="AA954" s="176"/>
      <c r="AB954" s="176"/>
      <c r="AC954" s="176"/>
      <c r="AD954" s="176"/>
      <c r="AE954" s="176"/>
      <c r="AF954" s="176"/>
      <c r="AG954" s="176"/>
      <c r="AH954" s="176"/>
      <c r="AI954" s="176"/>
      <c r="AJ954" s="176"/>
      <c r="AK954" s="176"/>
      <c r="AL954" s="176"/>
      <c r="AM954" s="176"/>
      <c r="AN954" s="176"/>
      <c r="AO954" s="176"/>
      <c r="AP954" s="176"/>
      <c r="AQ954" s="176"/>
      <c r="AR954" s="176"/>
      <c r="AS954" s="176"/>
      <c r="AT954" s="176"/>
      <c r="AU954" s="176"/>
      <c r="AV954" s="176"/>
      <c r="AW954" s="176"/>
      <c r="AX954" s="176"/>
      <c r="AY954" s="176"/>
      <c r="AZ954" s="176"/>
      <c r="BA954" s="176"/>
      <c r="BB954" s="176"/>
    </row>
    <row r="955" ht="15.75" customHeight="1">
      <c r="A955" s="176"/>
      <c r="B955" s="176"/>
      <c r="C955" s="176"/>
      <c r="D955" s="176"/>
      <c r="E955" s="176"/>
      <c r="F955" s="176"/>
      <c r="G955" s="176"/>
      <c r="H955" s="176"/>
      <c r="I955" s="176"/>
      <c r="J955" s="176"/>
      <c r="K955" s="176"/>
      <c r="L955" s="176"/>
      <c r="M955" s="176"/>
      <c r="N955" s="176"/>
      <c r="O955" s="176"/>
      <c r="P955" s="176"/>
      <c r="Q955" s="176"/>
      <c r="R955" s="176"/>
      <c r="S955" s="176"/>
      <c r="T955" s="176"/>
      <c r="U955" s="176"/>
      <c r="V955" s="176"/>
      <c r="W955" s="176"/>
      <c r="X955" s="176"/>
      <c r="Y955" s="176"/>
      <c r="Z955" s="176"/>
      <c r="AA955" s="176"/>
      <c r="AB955" s="176"/>
      <c r="AC955" s="176"/>
      <c r="AD955" s="176"/>
      <c r="AE955" s="176"/>
      <c r="AF955" s="176"/>
      <c r="AG955" s="176"/>
      <c r="AH955" s="176"/>
      <c r="AI955" s="176"/>
      <c r="AJ955" s="176"/>
      <c r="AK955" s="176"/>
      <c r="AL955" s="176"/>
      <c r="AM955" s="176"/>
      <c r="AN955" s="176"/>
      <c r="AO955" s="176"/>
      <c r="AP955" s="176"/>
      <c r="AQ955" s="176"/>
      <c r="AR955" s="176"/>
      <c r="AS955" s="176"/>
      <c r="AT955" s="176"/>
      <c r="AU955" s="176"/>
      <c r="AV955" s="176"/>
      <c r="AW955" s="176"/>
      <c r="AX955" s="176"/>
      <c r="AY955" s="176"/>
      <c r="AZ955" s="176"/>
      <c r="BA955" s="176"/>
      <c r="BB955" s="176"/>
    </row>
    <row r="956" ht="15.75" customHeight="1">
      <c r="A956" s="176"/>
      <c r="B956" s="176"/>
      <c r="C956" s="176"/>
      <c r="D956" s="176"/>
      <c r="E956" s="176"/>
      <c r="F956" s="176"/>
      <c r="G956" s="176"/>
      <c r="H956" s="176"/>
      <c r="I956" s="176"/>
      <c r="J956" s="176"/>
      <c r="K956" s="176"/>
      <c r="L956" s="176"/>
      <c r="M956" s="176"/>
      <c r="N956" s="176"/>
      <c r="O956" s="176"/>
      <c r="P956" s="176"/>
      <c r="Q956" s="176"/>
      <c r="R956" s="176"/>
      <c r="S956" s="176"/>
      <c r="T956" s="176"/>
      <c r="U956" s="176"/>
      <c r="V956" s="176"/>
      <c r="W956" s="176"/>
      <c r="X956" s="176"/>
      <c r="Y956" s="176"/>
      <c r="Z956" s="176"/>
      <c r="AA956" s="176"/>
      <c r="AB956" s="176"/>
      <c r="AC956" s="176"/>
      <c r="AD956" s="176"/>
      <c r="AE956" s="176"/>
      <c r="AF956" s="176"/>
      <c r="AG956" s="176"/>
      <c r="AH956" s="176"/>
      <c r="AI956" s="176"/>
      <c r="AJ956" s="176"/>
      <c r="AK956" s="176"/>
      <c r="AL956" s="176"/>
      <c r="AM956" s="176"/>
      <c r="AN956" s="176"/>
      <c r="AO956" s="176"/>
      <c r="AP956" s="176"/>
      <c r="AQ956" s="176"/>
      <c r="AR956" s="176"/>
      <c r="AS956" s="176"/>
      <c r="AT956" s="176"/>
      <c r="AU956" s="176"/>
      <c r="AV956" s="176"/>
      <c r="AW956" s="176"/>
      <c r="AX956" s="176"/>
      <c r="AY956" s="176"/>
      <c r="AZ956" s="176"/>
      <c r="BA956" s="176"/>
      <c r="BB956" s="176"/>
    </row>
    <row r="957" ht="15.75" customHeight="1">
      <c r="A957" s="176"/>
      <c r="B957" s="176"/>
      <c r="C957" s="176"/>
      <c r="D957" s="176"/>
      <c r="E957" s="176"/>
      <c r="F957" s="176"/>
      <c r="G957" s="176"/>
      <c r="H957" s="176"/>
      <c r="I957" s="176"/>
      <c r="J957" s="176"/>
      <c r="K957" s="176"/>
      <c r="L957" s="176"/>
      <c r="M957" s="176"/>
      <c r="N957" s="176"/>
      <c r="O957" s="176"/>
      <c r="P957" s="176"/>
      <c r="Q957" s="176"/>
      <c r="R957" s="176"/>
      <c r="S957" s="176"/>
      <c r="T957" s="176"/>
      <c r="U957" s="176"/>
      <c r="V957" s="176"/>
      <c r="W957" s="176"/>
      <c r="X957" s="176"/>
      <c r="Y957" s="176"/>
      <c r="Z957" s="176"/>
      <c r="AA957" s="176"/>
      <c r="AB957" s="176"/>
      <c r="AC957" s="176"/>
      <c r="AD957" s="176"/>
      <c r="AE957" s="176"/>
      <c r="AF957" s="176"/>
      <c r="AG957" s="176"/>
      <c r="AH957" s="176"/>
      <c r="AI957" s="176"/>
      <c r="AJ957" s="176"/>
      <c r="AK957" s="176"/>
      <c r="AL957" s="176"/>
      <c r="AM957" s="176"/>
      <c r="AN957" s="176"/>
      <c r="AO957" s="176"/>
      <c r="AP957" s="176"/>
      <c r="AQ957" s="176"/>
      <c r="AR957" s="176"/>
      <c r="AS957" s="176"/>
      <c r="AT957" s="176"/>
      <c r="AU957" s="176"/>
      <c r="AV957" s="176"/>
      <c r="AW957" s="176"/>
      <c r="AX957" s="176"/>
      <c r="AY957" s="176"/>
      <c r="AZ957" s="176"/>
      <c r="BA957" s="176"/>
      <c r="BB957" s="176"/>
    </row>
    <row r="958" ht="15.75" customHeight="1">
      <c r="A958" s="176"/>
      <c r="B958" s="176"/>
      <c r="C958" s="176"/>
      <c r="D958" s="176"/>
      <c r="E958" s="176"/>
      <c r="F958" s="176"/>
      <c r="G958" s="176"/>
      <c r="H958" s="176"/>
      <c r="I958" s="176"/>
      <c r="J958" s="176"/>
      <c r="K958" s="176"/>
      <c r="L958" s="176"/>
      <c r="M958" s="176"/>
      <c r="N958" s="176"/>
      <c r="O958" s="176"/>
      <c r="P958" s="176"/>
      <c r="Q958" s="176"/>
      <c r="R958" s="176"/>
      <c r="S958" s="176"/>
      <c r="T958" s="176"/>
      <c r="U958" s="176"/>
      <c r="V958" s="176"/>
      <c r="W958" s="176"/>
      <c r="X958" s="176"/>
      <c r="Y958" s="176"/>
      <c r="Z958" s="176"/>
      <c r="AA958" s="176"/>
      <c r="AB958" s="176"/>
      <c r="AC958" s="176"/>
      <c r="AD958" s="176"/>
      <c r="AE958" s="176"/>
      <c r="AF958" s="176"/>
      <c r="AG958" s="176"/>
      <c r="AH958" s="176"/>
      <c r="AI958" s="176"/>
      <c r="AJ958" s="176"/>
      <c r="AK958" s="176"/>
      <c r="AL958" s="176"/>
      <c r="AM958" s="176"/>
      <c r="AN958" s="176"/>
      <c r="AO958" s="176"/>
      <c r="AP958" s="176"/>
      <c r="AQ958" s="176"/>
      <c r="AR958" s="176"/>
      <c r="AS958" s="176"/>
      <c r="AT958" s="176"/>
      <c r="AU958" s="176"/>
      <c r="AV958" s="176"/>
      <c r="AW958" s="176"/>
      <c r="AX958" s="176"/>
      <c r="AY958" s="176"/>
      <c r="AZ958" s="176"/>
      <c r="BA958" s="176"/>
      <c r="BB958" s="176"/>
    </row>
    <row r="959" ht="15.75" customHeight="1">
      <c r="A959" s="176"/>
      <c r="B959" s="176"/>
      <c r="C959" s="176"/>
      <c r="D959" s="176"/>
      <c r="E959" s="176"/>
      <c r="F959" s="176"/>
      <c r="G959" s="176"/>
      <c r="H959" s="176"/>
      <c r="I959" s="176"/>
      <c r="J959" s="176"/>
      <c r="K959" s="176"/>
      <c r="L959" s="176"/>
      <c r="M959" s="176"/>
      <c r="N959" s="176"/>
      <c r="O959" s="176"/>
      <c r="P959" s="176"/>
      <c r="Q959" s="176"/>
      <c r="R959" s="176"/>
      <c r="S959" s="176"/>
      <c r="T959" s="176"/>
      <c r="U959" s="176"/>
      <c r="V959" s="176"/>
      <c r="W959" s="176"/>
      <c r="X959" s="176"/>
      <c r="Y959" s="176"/>
      <c r="Z959" s="176"/>
      <c r="AA959" s="176"/>
      <c r="AB959" s="176"/>
      <c r="AC959" s="176"/>
      <c r="AD959" s="176"/>
      <c r="AE959" s="176"/>
      <c r="AF959" s="176"/>
      <c r="AG959" s="176"/>
      <c r="AH959" s="176"/>
      <c r="AI959" s="176"/>
      <c r="AJ959" s="176"/>
      <c r="AK959" s="176"/>
      <c r="AL959" s="176"/>
      <c r="AM959" s="176"/>
      <c r="AN959" s="176"/>
      <c r="AO959" s="176"/>
      <c r="AP959" s="176"/>
      <c r="AQ959" s="176"/>
      <c r="AR959" s="176"/>
      <c r="AS959" s="176"/>
      <c r="AT959" s="176"/>
      <c r="AU959" s="176"/>
      <c r="AV959" s="176"/>
      <c r="AW959" s="176"/>
      <c r="AX959" s="176"/>
      <c r="AY959" s="176"/>
      <c r="AZ959" s="176"/>
      <c r="BA959" s="176"/>
      <c r="BB959" s="176"/>
    </row>
    <row r="960" ht="15.75" customHeight="1">
      <c r="A960" s="176"/>
      <c r="B960" s="176"/>
      <c r="C960" s="176"/>
      <c r="D960" s="176"/>
      <c r="E960" s="176"/>
      <c r="F960" s="176"/>
      <c r="G960" s="176"/>
      <c r="H960" s="176"/>
      <c r="I960" s="176"/>
      <c r="J960" s="176"/>
      <c r="K960" s="176"/>
      <c r="L960" s="176"/>
      <c r="M960" s="176"/>
      <c r="N960" s="176"/>
      <c r="O960" s="176"/>
      <c r="P960" s="176"/>
      <c r="Q960" s="176"/>
      <c r="R960" s="176"/>
      <c r="S960" s="176"/>
      <c r="T960" s="176"/>
      <c r="U960" s="176"/>
      <c r="V960" s="176"/>
      <c r="W960" s="176"/>
      <c r="X960" s="176"/>
      <c r="Y960" s="176"/>
      <c r="Z960" s="176"/>
      <c r="AA960" s="176"/>
      <c r="AB960" s="176"/>
      <c r="AC960" s="176"/>
      <c r="AD960" s="176"/>
      <c r="AE960" s="176"/>
      <c r="AF960" s="176"/>
      <c r="AG960" s="176"/>
      <c r="AH960" s="176"/>
      <c r="AI960" s="176"/>
      <c r="AJ960" s="176"/>
      <c r="AK960" s="176"/>
      <c r="AL960" s="176"/>
      <c r="AM960" s="176"/>
      <c r="AN960" s="176"/>
      <c r="AO960" s="176"/>
      <c r="AP960" s="176"/>
      <c r="AQ960" s="176"/>
      <c r="AR960" s="176"/>
      <c r="AS960" s="176"/>
      <c r="AT960" s="176"/>
      <c r="AU960" s="176"/>
      <c r="AV960" s="176"/>
      <c r="AW960" s="176"/>
      <c r="AX960" s="176"/>
      <c r="AY960" s="176"/>
      <c r="AZ960" s="176"/>
      <c r="BA960" s="176"/>
      <c r="BB960" s="176"/>
    </row>
    <row r="961" ht="15.75" customHeight="1">
      <c r="A961" s="176"/>
      <c r="B961" s="176"/>
      <c r="C961" s="176"/>
      <c r="D961" s="176"/>
      <c r="E961" s="176"/>
      <c r="F961" s="176"/>
      <c r="G961" s="176"/>
      <c r="H961" s="176"/>
      <c r="I961" s="176"/>
      <c r="J961" s="176"/>
      <c r="K961" s="176"/>
      <c r="L961" s="176"/>
      <c r="M961" s="176"/>
      <c r="N961" s="176"/>
      <c r="O961" s="176"/>
      <c r="P961" s="176"/>
      <c r="Q961" s="176"/>
      <c r="R961" s="176"/>
      <c r="S961" s="176"/>
      <c r="T961" s="176"/>
      <c r="U961" s="176"/>
      <c r="V961" s="176"/>
      <c r="W961" s="176"/>
      <c r="X961" s="176"/>
      <c r="Y961" s="176"/>
      <c r="Z961" s="176"/>
      <c r="AA961" s="176"/>
      <c r="AB961" s="176"/>
      <c r="AC961" s="176"/>
      <c r="AD961" s="176"/>
      <c r="AE961" s="176"/>
      <c r="AF961" s="176"/>
      <c r="AG961" s="176"/>
      <c r="AH961" s="176"/>
      <c r="AI961" s="176"/>
      <c r="AJ961" s="176"/>
      <c r="AK961" s="176"/>
      <c r="AL961" s="176"/>
      <c r="AM961" s="176"/>
      <c r="AN961" s="176"/>
      <c r="AO961" s="176"/>
      <c r="AP961" s="176"/>
      <c r="AQ961" s="176"/>
      <c r="AR961" s="176"/>
      <c r="AS961" s="176"/>
      <c r="AT961" s="176"/>
      <c r="AU961" s="176"/>
      <c r="AV961" s="176"/>
      <c r="AW961" s="176"/>
      <c r="AX961" s="176"/>
      <c r="AY961" s="176"/>
      <c r="AZ961" s="176"/>
      <c r="BA961" s="176"/>
      <c r="BB961" s="176"/>
    </row>
    <row r="962" ht="15.75" customHeight="1">
      <c r="A962" s="176"/>
      <c r="B962" s="176"/>
      <c r="C962" s="176"/>
      <c r="D962" s="176"/>
      <c r="E962" s="176"/>
      <c r="F962" s="176"/>
      <c r="G962" s="176"/>
      <c r="H962" s="176"/>
      <c r="I962" s="176"/>
      <c r="J962" s="176"/>
      <c r="K962" s="176"/>
      <c r="L962" s="176"/>
      <c r="M962" s="176"/>
      <c r="N962" s="176"/>
      <c r="O962" s="176"/>
      <c r="P962" s="176"/>
      <c r="Q962" s="176"/>
      <c r="R962" s="176"/>
      <c r="S962" s="176"/>
      <c r="T962" s="176"/>
      <c r="U962" s="176"/>
      <c r="V962" s="176"/>
      <c r="W962" s="176"/>
      <c r="X962" s="176"/>
      <c r="Y962" s="176"/>
      <c r="Z962" s="176"/>
      <c r="AA962" s="176"/>
      <c r="AB962" s="176"/>
      <c r="AC962" s="176"/>
      <c r="AD962" s="176"/>
      <c r="AE962" s="176"/>
      <c r="AF962" s="176"/>
      <c r="AG962" s="176"/>
      <c r="AH962" s="176"/>
      <c r="AI962" s="176"/>
      <c r="AJ962" s="176"/>
      <c r="AK962" s="176"/>
      <c r="AL962" s="176"/>
      <c r="AM962" s="176"/>
      <c r="AN962" s="176"/>
      <c r="AO962" s="176"/>
      <c r="AP962" s="176"/>
      <c r="AQ962" s="176"/>
      <c r="AR962" s="176"/>
      <c r="AS962" s="176"/>
      <c r="AT962" s="176"/>
      <c r="AU962" s="176"/>
      <c r="AV962" s="176"/>
      <c r="AW962" s="176"/>
      <c r="AX962" s="176"/>
      <c r="AY962" s="176"/>
      <c r="AZ962" s="176"/>
      <c r="BA962" s="176"/>
      <c r="BB962" s="176"/>
    </row>
    <row r="963" ht="15.75" customHeight="1">
      <c r="A963" s="176"/>
      <c r="B963" s="176"/>
      <c r="C963" s="176"/>
      <c r="D963" s="176"/>
      <c r="E963" s="176"/>
      <c r="F963" s="176"/>
      <c r="G963" s="176"/>
      <c r="H963" s="176"/>
      <c r="I963" s="176"/>
      <c r="J963" s="176"/>
      <c r="K963" s="176"/>
      <c r="L963" s="176"/>
      <c r="M963" s="176"/>
      <c r="N963" s="176"/>
      <c r="O963" s="176"/>
      <c r="P963" s="176"/>
      <c r="Q963" s="176"/>
      <c r="R963" s="176"/>
      <c r="S963" s="176"/>
      <c r="T963" s="176"/>
      <c r="U963" s="176"/>
      <c r="V963" s="176"/>
      <c r="W963" s="176"/>
      <c r="X963" s="176"/>
      <c r="Y963" s="176"/>
      <c r="Z963" s="176"/>
      <c r="AA963" s="176"/>
      <c r="AB963" s="176"/>
      <c r="AC963" s="176"/>
      <c r="AD963" s="176"/>
      <c r="AE963" s="176"/>
      <c r="AF963" s="176"/>
      <c r="AG963" s="176"/>
      <c r="AH963" s="176"/>
      <c r="AI963" s="176"/>
      <c r="AJ963" s="176"/>
      <c r="AK963" s="176"/>
      <c r="AL963" s="176"/>
      <c r="AM963" s="176"/>
      <c r="AN963" s="176"/>
      <c r="AO963" s="176"/>
      <c r="AP963" s="176"/>
      <c r="AQ963" s="176"/>
      <c r="AR963" s="176"/>
      <c r="AS963" s="176"/>
      <c r="AT963" s="176"/>
      <c r="AU963" s="176"/>
      <c r="AV963" s="176"/>
      <c r="AW963" s="176"/>
      <c r="AX963" s="176"/>
      <c r="AY963" s="176"/>
      <c r="AZ963" s="176"/>
      <c r="BA963" s="176"/>
      <c r="BB963" s="176"/>
    </row>
    <row r="964" ht="15.75" customHeight="1">
      <c r="A964" s="176"/>
      <c r="B964" s="176"/>
      <c r="C964" s="176"/>
      <c r="D964" s="176"/>
      <c r="E964" s="176"/>
      <c r="F964" s="176"/>
      <c r="G964" s="176"/>
      <c r="H964" s="176"/>
      <c r="I964" s="176"/>
      <c r="J964" s="176"/>
      <c r="K964" s="176"/>
      <c r="L964" s="176"/>
      <c r="M964" s="176"/>
      <c r="N964" s="176"/>
      <c r="O964" s="176"/>
      <c r="P964" s="176"/>
      <c r="Q964" s="176"/>
      <c r="R964" s="176"/>
      <c r="S964" s="176"/>
      <c r="T964" s="176"/>
      <c r="U964" s="176"/>
      <c r="V964" s="176"/>
      <c r="W964" s="176"/>
      <c r="X964" s="176"/>
      <c r="Y964" s="176"/>
      <c r="Z964" s="176"/>
      <c r="AA964" s="176"/>
      <c r="AB964" s="176"/>
      <c r="AC964" s="176"/>
      <c r="AD964" s="176"/>
      <c r="AE964" s="176"/>
      <c r="AF964" s="176"/>
      <c r="AG964" s="176"/>
      <c r="AH964" s="176"/>
      <c r="AI964" s="176"/>
      <c r="AJ964" s="176"/>
      <c r="AK964" s="176"/>
      <c r="AL964" s="176"/>
      <c r="AM964" s="176"/>
      <c r="AN964" s="176"/>
      <c r="AO964" s="176"/>
      <c r="AP964" s="176"/>
      <c r="AQ964" s="176"/>
      <c r="AR964" s="176"/>
      <c r="AS964" s="176"/>
      <c r="AT964" s="176"/>
      <c r="AU964" s="176"/>
      <c r="AV964" s="176"/>
      <c r="AW964" s="176"/>
      <c r="AX964" s="176"/>
      <c r="AY964" s="176"/>
      <c r="AZ964" s="176"/>
      <c r="BA964" s="176"/>
      <c r="BB964" s="176"/>
    </row>
    <row r="965" ht="15.75" customHeight="1">
      <c r="A965" s="176"/>
      <c r="B965" s="176"/>
      <c r="C965" s="176"/>
      <c r="D965" s="176"/>
      <c r="E965" s="176"/>
      <c r="F965" s="176"/>
      <c r="G965" s="176"/>
      <c r="H965" s="176"/>
      <c r="I965" s="176"/>
      <c r="J965" s="176"/>
      <c r="K965" s="176"/>
      <c r="L965" s="176"/>
      <c r="M965" s="176"/>
      <c r="N965" s="176"/>
      <c r="O965" s="176"/>
      <c r="P965" s="176"/>
      <c r="Q965" s="176"/>
      <c r="R965" s="176"/>
      <c r="S965" s="176"/>
      <c r="T965" s="176"/>
      <c r="U965" s="176"/>
      <c r="V965" s="176"/>
      <c r="W965" s="176"/>
      <c r="X965" s="176"/>
      <c r="Y965" s="176"/>
      <c r="Z965" s="176"/>
      <c r="AA965" s="176"/>
      <c r="AB965" s="176"/>
      <c r="AC965" s="176"/>
      <c r="AD965" s="176"/>
      <c r="AE965" s="176"/>
      <c r="AF965" s="176"/>
      <c r="AG965" s="176"/>
      <c r="AH965" s="176"/>
      <c r="AI965" s="176"/>
      <c r="AJ965" s="176"/>
      <c r="AK965" s="176"/>
      <c r="AL965" s="176"/>
      <c r="AM965" s="176"/>
      <c r="AN965" s="176"/>
      <c r="AO965" s="176"/>
      <c r="AP965" s="176"/>
      <c r="AQ965" s="176"/>
      <c r="AR965" s="176"/>
      <c r="AS965" s="176"/>
      <c r="AT965" s="176"/>
      <c r="AU965" s="176"/>
      <c r="AV965" s="176"/>
      <c r="AW965" s="176"/>
      <c r="AX965" s="176"/>
      <c r="AY965" s="176"/>
      <c r="AZ965" s="176"/>
      <c r="BA965" s="176"/>
      <c r="BB965" s="176"/>
    </row>
    <row r="966" ht="15.75" customHeight="1">
      <c r="A966" s="176"/>
      <c r="B966" s="176"/>
      <c r="C966" s="176"/>
      <c r="D966" s="176"/>
      <c r="E966" s="176"/>
      <c r="F966" s="176"/>
      <c r="G966" s="176"/>
      <c r="H966" s="176"/>
      <c r="I966" s="176"/>
      <c r="J966" s="176"/>
      <c r="K966" s="176"/>
      <c r="L966" s="176"/>
      <c r="M966" s="176"/>
      <c r="N966" s="176"/>
      <c r="O966" s="176"/>
      <c r="P966" s="176"/>
      <c r="Q966" s="176"/>
      <c r="R966" s="176"/>
      <c r="S966" s="176"/>
      <c r="T966" s="176"/>
      <c r="U966" s="176"/>
      <c r="V966" s="176"/>
      <c r="W966" s="176"/>
      <c r="X966" s="176"/>
      <c r="Y966" s="176"/>
      <c r="Z966" s="176"/>
      <c r="AA966" s="176"/>
      <c r="AB966" s="176"/>
      <c r="AC966" s="176"/>
      <c r="AD966" s="176"/>
      <c r="AE966" s="176"/>
      <c r="AF966" s="176"/>
      <c r="AG966" s="176"/>
      <c r="AH966" s="176"/>
      <c r="AI966" s="176"/>
      <c r="AJ966" s="176"/>
      <c r="AK966" s="176"/>
      <c r="AL966" s="176"/>
      <c r="AM966" s="176"/>
      <c r="AN966" s="176"/>
      <c r="AO966" s="176"/>
      <c r="AP966" s="176"/>
      <c r="AQ966" s="176"/>
      <c r="AR966" s="176"/>
      <c r="AS966" s="176"/>
      <c r="AT966" s="176"/>
      <c r="AU966" s="176"/>
      <c r="AV966" s="176"/>
      <c r="AW966" s="176"/>
      <c r="AX966" s="176"/>
      <c r="AY966" s="176"/>
      <c r="AZ966" s="176"/>
      <c r="BA966" s="176"/>
      <c r="BB966" s="176"/>
    </row>
    <row r="967" ht="15.75" customHeight="1">
      <c r="A967" s="176"/>
      <c r="B967" s="176"/>
      <c r="C967" s="176"/>
      <c r="D967" s="176"/>
      <c r="E967" s="176"/>
      <c r="F967" s="176"/>
      <c r="G967" s="176"/>
      <c r="H967" s="176"/>
      <c r="I967" s="176"/>
      <c r="J967" s="176"/>
      <c r="K967" s="176"/>
      <c r="L967" s="176"/>
      <c r="M967" s="176"/>
      <c r="N967" s="176"/>
      <c r="O967" s="176"/>
      <c r="P967" s="176"/>
      <c r="Q967" s="176"/>
      <c r="R967" s="176"/>
      <c r="S967" s="176"/>
      <c r="T967" s="176"/>
      <c r="U967" s="176"/>
      <c r="V967" s="176"/>
      <c r="W967" s="176"/>
      <c r="X967" s="176"/>
      <c r="Y967" s="176"/>
      <c r="Z967" s="176"/>
      <c r="AA967" s="176"/>
      <c r="AB967" s="176"/>
      <c r="AC967" s="176"/>
      <c r="AD967" s="176"/>
      <c r="AE967" s="176"/>
      <c r="AF967" s="176"/>
      <c r="AG967" s="176"/>
      <c r="AH967" s="176"/>
      <c r="AI967" s="176"/>
      <c r="AJ967" s="176"/>
      <c r="AK967" s="176"/>
      <c r="AL967" s="176"/>
      <c r="AM967" s="176"/>
      <c r="AN967" s="176"/>
      <c r="AO967" s="176"/>
      <c r="AP967" s="176"/>
      <c r="AQ967" s="176"/>
      <c r="AR967" s="176"/>
      <c r="AS967" s="176"/>
      <c r="AT967" s="176"/>
      <c r="AU967" s="176"/>
      <c r="AV967" s="176"/>
      <c r="AW967" s="176"/>
      <c r="AX967" s="176"/>
      <c r="AY967" s="176"/>
      <c r="AZ967" s="176"/>
      <c r="BA967" s="176"/>
      <c r="BB967" s="176"/>
    </row>
    <row r="968" ht="15.75" customHeight="1">
      <c r="A968" s="176"/>
      <c r="B968" s="176"/>
      <c r="C968" s="176"/>
      <c r="D968" s="176"/>
      <c r="E968" s="176"/>
      <c r="F968" s="176"/>
      <c r="G968" s="176"/>
      <c r="H968" s="176"/>
      <c r="I968" s="176"/>
      <c r="J968" s="176"/>
      <c r="K968" s="176"/>
      <c r="L968" s="176"/>
      <c r="M968" s="176"/>
      <c r="N968" s="176"/>
      <c r="O968" s="176"/>
      <c r="P968" s="176"/>
      <c r="Q968" s="176"/>
      <c r="R968" s="176"/>
      <c r="S968" s="176"/>
      <c r="T968" s="176"/>
      <c r="U968" s="176"/>
      <c r="V968" s="176"/>
      <c r="W968" s="176"/>
      <c r="X968" s="176"/>
      <c r="Y968" s="176"/>
      <c r="Z968" s="176"/>
      <c r="AA968" s="176"/>
      <c r="AB968" s="176"/>
      <c r="AC968" s="176"/>
      <c r="AD968" s="176"/>
      <c r="AE968" s="176"/>
      <c r="AF968" s="176"/>
      <c r="AG968" s="176"/>
      <c r="AH968" s="176"/>
      <c r="AI968" s="176"/>
      <c r="AJ968" s="176"/>
      <c r="AK968" s="176"/>
      <c r="AL968" s="176"/>
      <c r="AM968" s="176"/>
      <c r="AN968" s="176"/>
      <c r="AO968" s="176"/>
      <c r="AP968" s="176"/>
      <c r="AQ968" s="176"/>
      <c r="AR968" s="176"/>
      <c r="AS968" s="176"/>
      <c r="AT968" s="176"/>
      <c r="AU968" s="176"/>
      <c r="AV968" s="176"/>
      <c r="AW968" s="176"/>
      <c r="AX968" s="176"/>
      <c r="AY968" s="176"/>
      <c r="AZ968" s="176"/>
      <c r="BA968" s="176"/>
      <c r="BB968" s="176"/>
    </row>
    <row r="969" ht="15.75" customHeight="1">
      <c r="A969" s="176"/>
      <c r="B969" s="176"/>
      <c r="C969" s="176"/>
      <c r="D969" s="176"/>
      <c r="E969" s="176"/>
      <c r="F969" s="176"/>
      <c r="G969" s="176"/>
      <c r="H969" s="176"/>
      <c r="I969" s="176"/>
      <c r="J969" s="176"/>
      <c r="K969" s="176"/>
      <c r="L969" s="176"/>
      <c r="M969" s="176"/>
      <c r="N969" s="176"/>
      <c r="O969" s="176"/>
      <c r="P969" s="176"/>
      <c r="Q969" s="176"/>
      <c r="R969" s="176"/>
      <c r="S969" s="176"/>
      <c r="T969" s="176"/>
      <c r="U969" s="176"/>
      <c r="V969" s="176"/>
      <c r="W969" s="176"/>
      <c r="X969" s="176"/>
      <c r="Y969" s="176"/>
      <c r="Z969" s="176"/>
      <c r="AA969" s="176"/>
      <c r="AB969" s="176"/>
      <c r="AC969" s="176"/>
      <c r="AD969" s="176"/>
      <c r="AE969" s="176"/>
      <c r="AF969" s="176"/>
      <c r="AG969" s="176"/>
      <c r="AH969" s="176"/>
      <c r="AI969" s="176"/>
      <c r="AJ969" s="176"/>
      <c r="AK969" s="176"/>
      <c r="AL969" s="176"/>
      <c r="AM969" s="176"/>
      <c r="AN969" s="176"/>
      <c r="AO969" s="176"/>
      <c r="AP969" s="176"/>
      <c r="AQ969" s="176"/>
      <c r="AR969" s="176"/>
      <c r="AS969" s="176"/>
      <c r="AT969" s="176"/>
      <c r="AU969" s="176"/>
      <c r="AV969" s="176"/>
      <c r="AW969" s="176"/>
      <c r="AX969" s="176"/>
      <c r="AY969" s="176"/>
      <c r="AZ969" s="176"/>
      <c r="BA969" s="176"/>
      <c r="BB969" s="176"/>
    </row>
    <row r="970" ht="15.75" customHeight="1">
      <c r="A970" s="176"/>
      <c r="B970" s="176"/>
      <c r="C970" s="176"/>
      <c r="D970" s="176"/>
      <c r="E970" s="176"/>
      <c r="F970" s="176"/>
      <c r="G970" s="176"/>
      <c r="H970" s="176"/>
      <c r="I970" s="176"/>
      <c r="J970" s="176"/>
      <c r="K970" s="176"/>
      <c r="L970" s="176"/>
      <c r="M970" s="176"/>
      <c r="N970" s="176"/>
      <c r="O970" s="176"/>
      <c r="P970" s="176"/>
      <c r="Q970" s="176"/>
      <c r="R970" s="176"/>
      <c r="S970" s="176"/>
      <c r="T970" s="176"/>
      <c r="U970" s="176"/>
      <c r="V970" s="176"/>
      <c r="W970" s="176"/>
      <c r="X970" s="176"/>
      <c r="Y970" s="176"/>
      <c r="Z970" s="176"/>
      <c r="AA970" s="176"/>
      <c r="AB970" s="176"/>
      <c r="AC970" s="176"/>
      <c r="AD970" s="176"/>
      <c r="AE970" s="176"/>
      <c r="AF970" s="176"/>
      <c r="AG970" s="176"/>
      <c r="AH970" s="176"/>
      <c r="AI970" s="176"/>
      <c r="AJ970" s="176"/>
      <c r="AK970" s="176"/>
      <c r="AL970" s="176"/>
      <c r="AM970" s="176"/>
      <c r="AN970" s="176"/>
      <c r="AO970" s="176"/>
      <c r="AP970" s="176"/>
      <c r="AQ970" s="176"/>
      <c r="AR970" s="176"/>
      <c r="AS970" s="176"/>
      <c r="AT970" s="176"/>
      <c r="AU970" s="176"/>
      <c r="AV970" s="176"/>
      <c r="AW970" s="176"/>
      <c r="AX970" s="176"/>
      <c r="AY970" s="176"/>
      <c r="AZ970" s="176"/>
      <c r="BA970" s="176"/>
      <c r="BB970" s="176"/>
    </row>
    <row r="971" ht="15.75" customHeight="1">
      <c r="A971" s="176"/>
      <c r="B971" s="176"/>
      <c r="C971" s="176"/>
      <c r="D971" s="176"/>
      <c r="E971" s="176"/>
      <c r="F971" s="176"/>
      <c r="G971" s="176"/>
      <c r="H971" s="176"/>
      <c r="I971" s="176"/>
      <c r="J971" s="176"/>
      <c r="K971" s="176"/>
      <c r="L971" s="176"/>
      <c r="M971" s="176"/>
      <c r="N971" s="176"/>
      <c r="O971" s="176"/>
      <c r="P971" s="176"/>
      <c r="Q971" s="176"/>
      <c r="R971" s="176"/>
      <c r="S971" s="176"/>
      <c r="T971" s="176"/>
      <c r="U971" s="176"/>
      <c r="V971" s="176"/>
      <c r="W971" s="176"/>
      <c r="X971" s="176"/>
      <c r="Y971" s="176"/>
      <c r="Z971" s="176"/>
      <c r="AA971" s="176"/>
      <c r="AB971" s="176"/>
      <c r="AC971" s="176"/>
      <c r="AD971" s="176"/>
      <c r="AE971" s="176"/>
      <c r="AF971" s="176"/>
      <c r="AG971" s="176"/>
      <c r="AH971" s="176"/>
      <c r="AI971" s="176"/>
      <c r="AJ971" s="176"/>
      <c r="AK971" s="176"/>
      <c r="AL971" s="176"/>
      <c r="AM971" s="176"/>
      <c r="AN971" s="176"/>
      <c r="AO971" s="176"/>
      <c r="AP971" s="176"/>
      <c r="AQ971" s="176"/>
      <c r="AR971" s="176"/>
      <c r="AS971" s="176"/>
      <c r="AT971" s="176"/>
      <c r="AU971" s="176"/>
      <c r="AV971" s="176"/>
      <c r="AW971" s="176"/>
      <c r="AX971" s="176"/>
      <c r="AY971" s="176"/>
      <c r="AZ971" s="176"/>
      <c r="BA971" s="176"/>
      <c r="BB971" s="176"/>
    </row>
    <row r="972" ht="15.75" customHeight="1">
      <c r="A972" s="176"/>
      <c r="B972" s="176"/>
      <c r="C972" s="176"/>
      <c r="D972" s="176"/>
      <c r="E972" s="176"/>
      <c r="F972" s="176"/>
      <c r="G972" s="176"/>
      <c r="H972" s="176"/>
      <c r="I972" s="176"/>
      <c r="J972" s="176"/>
      <c r="K972" s="176"/>
      <c r="L972" s="176"/>
      <c r="M972" s="176"/>
      <c r="N972" s="176"/>
      <c r="O972" s="176"/>
      <c r="P972" s="176"/>
      <c r="Q972" s="176"/>
      <c r="R972" s="176"/>
      <c r="S972" s="176"/>
      <c r="T972" s="176"/>
      <c r="U972" s="176"/>
      <c r="V972" s="176"/>
      <c r="W972" s="176"/>
      <c r="X972" s="176"/>
      <c r="Y972" s="176"/>
      <c r="Z972" s="176"/>
      <c r="AA972" s="176"/>
      <c r="AB972" s="176"/>
      <c r="AC972" s="176"/>
      <c r="AD972" s="176"/>
      <c r="AE972" s="176"/>
      <c r="AF972" s="176"/>
      <c r="AG972" s="176"/>
      <c r="AH972" s="176"/>
      <c r="AI972" s="176"/>
      <c r="AJ972" s="176"/>
      <c r="AK972" s="176"/>
      <c r="AL972" s="176"/>
      <c r="AM972" s="176"/>
      <c r="AN972" s="176"/>
      <c r="AO972" s="176"/>
      <c r="AP972" s="176"/>
      <c r="AQ972" s="176"/>
      <c r="AR972" s="176"/>
      <c r="AS972" s="176"/>
      <c r="AT972" s="176"/>
      <c r="AU972" s="176"/>
      <c r="AV972" s="176"/>
      <c r="AW972" s="176"/>
      <c r="AX972" s="176"/>
      <c r="AY972" s="176"/>
      <c r="AZ972" s="176"/>
      <c r="BA972" s="176"/>
      <c r="BB972" s="176"/>
    </row>
    <row r="973" ht="15.75" customHeight="1">
      <c r="A973" s="176"/>
      <c r="B973" s="176"/>
      <c r="C973" s="176"/>
      <c r="D973" s="176"/>
      <c r="E973" s="176"/>
      <c r="F973" s="176"/>
      <c r="G973" s="176"/>
      <c r="H973" s="176"/>
      <c r="I973" s="176"/>
      <c r="J973" s="176"/>
      <c r="K973" s="176"/>
      <c r="L973" s="176"/>
      <c r="M973" s="176"/>
      <c r="N973" s="176"/>
      <c r="O973" s="176"/>
      <c r="P973" s="176"/>
      <c r="Q973" s="176"/>
      <c r="R973" s="176"/>
      <c r="S973" s="176"/>
      <c r="T973" s="176"/>
      <c r="U973" s="176"/>
      <c r="V973" s="176"/>
      <c r="W973" s="176"/>
      <c r="X973" s="176"/>
      <c r="Y973" s="176"/>
      <c r="Z973" s="176"/>
      <c r="AA973" s="176"/>
      <c r="AB973" s="176"/>
      <c r="AC973" s="176"/>
      <c r="AD973" s="176"/>
      <c r="AE973" s="176"/>
      <c r="AF973" s="176"/>
      <c r="AG973" s="176"/>
      <c r="AH973" s="176"/>
      <c r="AI973" s="176"/>
      <c r="AJ973" s="176"/>
      <c r="AK973" s="176"/>
      <c r="AL973" s="176"/>
      <c r="AM973" s="176"/>
      <c r="AN973" s="176"/>
      <c r="AO973" s="176"/>
      <c r="AP973" s="176"/>
      <c r="AQ973" s="176"/>
      <c r="AR973" s="176"/>
      <c r="AS973" s="176"/>
      <c r="AT973" s="176"/>
      <c r="AU973" s="176"/>
      <c r="AV973" s="176"/>
      <c r="AW973" s="176"/>
      <c r="AX973" s="176"/>
      <c r="AY973" s="176"/>
      <c r="AZ973" s="176"/>
      <c r="BA973" s="176"/>
      <c r="BB973" s="176"/>
    </row>
    <row r="974" ht="15.75" customHeight="1">
      <c r="A974" s="176"/>
      <c r="B974" s="176"/>
      <c r="C974" s="176"/>
      <c r="D974" s="176"/>
      <c r="E974" s="176"/>
      <c r="F974" s="176"/>
      <c r="G974" s="176"/>
      <c r="H974" s="176"/>
      <c r="I974" s="176"/>
      <c r="J974" s="176"/>
      <c r="K974" s="176"/>
      <c r="L974" s="176"/>
      <c r="M974" s="176"/>
      <c r="N974" s="176"/>
      <c r="O974" s="176"/>
      <c r="P974" s="176"/>
      <c r="Q974" s="176"/>
      <c r="R974" s="176"/>
      <c r="S974" s="176"/>
      <c r="T974" s="176"/>
      <c r="U974" s="176"/>
      <c r="V974" s="176"/>
      <c r="W974" s="176"/>
      <c r="X974" s="176"/>
      <c r="Y974" s="176"/>
      <c r="Z974" s="176"/>
      <c r="AA974" s="176"/>
      <c r="AB974" s="176"/>
      <c r="AC974" s="176"/>
      <c r="AD974" s="176"/>
      <c r="AE974" s="176"/>
      <c r="AF974" s="176"/>
      <c r="AG974" s="176"/>
      <c r="AH974" s="176"/>
      <c r="AI974" s="176"/>
      <c r="AJ974" s="176"/>
      <c r="AK974" s="176"/>
      <c r="AL974" s="176"/>
      <c r="AM974" s="176"/>
      <c r="AN974" s="176"/>
      <c r="AO974" s="176"/>
      <c r="AP974" s="176"/>
      <c r="AQ974" s="176"/>
      <c r="AR974" s="176"/>
      <c r="AS974" s="176"/>
      <c r="AT974" s="176"/>
      <c r="AU974" s="176"/>
      <c r="AV974" s="176"/>
      <c r="AW974" s="176"/>
      <c r="AX974" s="176"/>
      <c r="AY974" s="176"/>
      <c r="AZ974" s="176"/>
      <c r="BA974" s="176"/>
      <c r="BB974" s="176"/>
    </row>
    <row r="975" ht="15.75" customHeight="1">
      <c r="A975" s="176"/>
      <c r="B975" s="176"/>
      <c r="C975" s="176"/>
      <c r="D975" s="176"/>
      <c r="E975" s="176"/>
      <c r="F975" s="176"/>
      <c r="G975" s="176"/>
      <c r="H975" s="176"/>
      <c r="I975" s="176"/>
      <c r="J975" s="176"/>
      <c r="K975" s="176"/>
      <c r="L975" s="176"/>
      <c r="M975" s="176"/>
      <c r="N975" s="176"/>
      <c r="O975" s="176"/>
      <c r="P975" s="176"/>
      <c r="Q975" s="176"/>
      <c r="R975" s="176"/>
      <c r="S975" s="176"/>
      <c r="T975" s="176"/>
      <c r="U975" s="176"/>
      <c r="V975" s="176"/>
      <c r="W975" s="176"/>
      <c r="X975" s="176"/>
      <c r="Y975" s="176"/>
      <c r="Z975" s="176"/>
      <c r="AA975" s="176"/>
      <c r="AB975" s="176"/>
      <c r="AC975" s="176"/>
      <c r="AD975" s="176"/>
      <c r="AE975" s="176"/>
      <c r="AF975" s="176"/>
      <c r="AG975" s="176"/>
      <c r="AH975" s="176"/>
      <c r="AI975" s="176"/>
      <c r="AJ975" s="176"/>
      <c r="AK975" s="176"/>
      <c r="AL975" s="176"/>
      <c r="AM975" s="176"/>
      <c r="AN975" s="176"/>
      <c r="AO975" s="176"/>
      <c r="AP975" s="176"/>
      <c r="AQ975" s="176"/>
      <c r="AR975" s="176"/>
      <c r="AS975" s="176"/>
      <c r="AT975" s="176"/>
      <c r="AU975" s="176"/>
      <c r="AV975" s="176"/>
      <c r="AW975" s="176"/>
      <c r="AX975" s="176"/>
      <c r="AY975" s="176"/>
      <c r="AZ975" s="176"/>
      <c r="BA975" s="176"/>
      <c r="BB975" s="176"/>
    </row>
    <row r="976" ht="15.75" customHeight="1">
      <c r="A976" s="176"/>
      <c r="B976" s="176"/>
      <c r="C976" s="176"/>
      <c r="D976" s="176"/>
      <c r="E976" s="176"/>
      <c r="F976" s="176"/>
      <c r="G976" s="176"/>
      <c r="H976" s="176"/>
      <c r="I976" s="176"/>
      <c r="J976" s="176"/>
      <c r="K976" s="176"/>
      <c r="L976" s="176"/>
      <c r="M976" s="176"/>
      <c r="N976" s="176"/>
      <c r="O976" s="176"/>
      <c r="P976" s="176"/>
      <c r="Q976" s="176"/>
      <c r="R976" s="176"/>
      <c r="S976" s="176"/>
      <c r="T976" s="176"/>
      <c r="U976" s="176"/>
      <c r="V976" s="176"/>
      <c r="W976" s="176"/>
      <c r="X976" s="176"/>
      <c r="Y976" s="176"/>
      <c r="Z976" s="176"/>
      <c r="AA976" s="176"/>
      <c r="AB976" s="176"/>
      <c r="AC976" s="176"/>
      <c r="AD976" s="176"/>
      <c r="AE976" s="176"/>
      <c r="AF976" s="176"/>
      <c r="AG976" s="176"/>
      <c r="AH976" s="176"/>
      <c r="AI976" s="176"/>
      <c r="AJ976" s="176"/>
      <c r="AK976" s="176"/>
      <c r="AL976" s="176"/>
      <c r="AM976" s="176"/>
      <c r="AN976" s="176"/>
      <c r="AO976" s="176"/>
      <c r="AP976" s="176"/>
      <c r="AQ976" s="176"/>
      <c r="AR976" s="176"/>
      <c r="AS976" s="176"/>
      <c r="AT976" s="176"/>
      <c r="AU976" s="176"/>
      <c r="AV976" s="176"/>
      <c r="AW976" s="176"/>
      <c r="AX976" s="176"/>
      <c r="AY976" s="176"/>
      <c r="AZ976" s="176"/>
      <c r="BA976" s="176"/>
      <c r="BB976" s="176"/>
    </row>
    <row r="977" ht="15.75" customHeight="1">
      <c r="A977" s="176"/>
      <c r="B977" s="176"/>
      <c r="C977" s="176"/>
      <c r="D977" s="176"/>
      <c r="E977" s="176"/>
      <c r="F977" s="176"/>
      <c r="G977" s="176"/>
      <c r="H977" s="176"/>
      <c r="I977" s="176"/>
      <c r="J977" s="176"/>
      <c r="K977" s="176"/>
      <c r="L977" s="176"/>
      <c r="M977" s="176"/>
      <c r="N977" s="176"/>
      <c r="O977" s="176"/>
      <c r="P977" s="176"/>
      <c r="Q977" s="176"/>
      <c r="R977" s="176"/>
      <c r="S977" s="176"/>
      <c r="T977" s="176"/>
      <c r="U977" s="176"/>
      <c r="V977" s="176"/>
      <c r="W977" s="176"/>
      <c r="X977" s="176"/>
      <c r="Y977" s="176"/>
      <c r="Z977" s="176"/>
      <c r="AA977" s="176"/>
      <c r="AB977" s="176"/>
      <c r="AC977" s="176"/>
      <c r="AD977" s="176"/>
      <c r="AE977" s="176"/>
      <c r="AF977" s="176"/>
      <c r="AG977" s="176"/>
      <c r="AH977" s="176"/>
      <c r="AI977" s="176"/>
      <c r="AJ977" s="176"/>
      <c r="AK977" s="176"/>
      <c r="AL977" s="176"/>
      <c r="AM977" s="176"/>
      <c r="AN977" s="176"/>
      <c r="AO977" s="176"/>
      <c r="AP977" s="176"/>
      <c r="AQ977" s="176"/>
      <c r="AR977" s="176"/>
      <c r="AS977" s="176"/>
      <c r="AT977" s="176"/>
      <c r="AU977" s="176"/>
      <c r="AV977" s="176"/>
      <c r="AW977" s="176"/>
      <c r="AX977" s="176"/>
      <c r="AY977" s="176"/>
      <c r="AZ977" s="176"/>
      <c r="BA977" s="176"/>
      <c r="BB977" s="176"/>
    </row>
    <row r="978" ht="15.75" customHeight="1">
      <c r="A978" s="176"/>
      <c r="B978" s="176"/>
      <c r="C978" s="176"/>
      <c r="D978" s="176"/>
      <c r="E978" s="176"/>
      <c r="F978" s="176"/>
      <c r="G978" s="176"/>
      <c r="H978" s="176"/>
      <c r="I978" s="176"/>
      <c r="J978" s="176"/>
      <c r="K978" s="176"/>
      <c r="L978" s="176"/>
      <c r="M978" s="176"/>
      <c r="N978" s="176"/>
      <c r="O978" s="176"/>
      <c r="P978" s="176"/>
      <c r="Q978" s="176"/>
      <c r="R978" s="176"/>
      <c r="S978" s="176"/>
      <c r="T978" s="176"/>
      <c r="U978" s="176"/>
      <c r="V978" s="176"/>
      <c r="W978" s="176"/>
      <c r="X978" s="176"/>
      <c r="Y978" s="176"/>
      <c r="Z978" s="176"/>
      <c r="AA978" s="176"/>
      <c r="AB978" s="176"/>
      <c r="AC978" s="176"/>
      <c r="AD978" s="176"/>
      <c r="AE978" s="176"/>
      <c r="AF978" s="176"/>
      <c r="AG978" s="176"/>
      <c r="AH978" s="176"/>
      <c r="AI978" s="176"/>
      <c r="AJ978" s="176"/>
      <c r="AK978" s="176"/>
      <c r="AL978" s="176"/>
      <c r="AM978" s="176"/>
      <c r="AN978" s="176"/>
      <c r="AO978" s="176"/>
      <c r="AP978" s="176"/>
      <c r="AQ978" s="176"/>
      <c r="AR978" s="176"/>
      <c r="AS978" s="176"/>
      <c r="AT978" s="176"/>
      <c r="AU978" s="176"/>
      <c r="AV978" s="176"/>
      <c r="AW978" s="176"/>
      <c r="AX978" s="176"/>
      <c r="AY978" s="176"/>
      <c r="AZ978" s="176"/>
      <c r="BA978" s="176"/>
      <c r="BB978" s="176"/>
    </row>
    <row r="979" ht="15.75" customHeight="1">
      <c r="A979" s="176"/>
      <c r="B979" s="176"/>
      <c r="C979" s="176"/>
      <c r="D979" s="176"/>
      <c r="E979" s="176"/>
      <c r="F979" s="176"/>
      <c r="G979" s="176"/>
      <c r="H979" s="176"/>
      <c r="I979" s="176"/>
      <c r="J979" s="176"/>
      <c r="K979" s="176"/>
      <c r="L979" s="176"/>
      <c r="M979" s="176"/>
      <c r="N979" s="176"/>
      <c r="O979" s="176"/>
      <c r="P979" s="176"/>
      <c r="Q979" s="176"/>
      <c r="R979" s="176"/>
      <c r="S979" s="176"/>
      <c r="T979" s="176"/>
      <c r="U979" s="176"/>
      <c r="V979" s="176"/>
      <c r="W979" s="176"/>
      <c r="X979" s="176"/>
      <c r="Y979" s="176"/>
      <c r="Z979" s="176"/>
      <c r="AA979" s="176"/>
      <c r="AB979" s="176"/>
      <c r="AC979" s="176"/>
      <c r="AD979" s="176"/>
      <c r="AE979" s="176"/>
      <c r="AF979" s="176"/>
      <c r="AG979" s="176"/>
      <c r="AH979" s="176"/>
      <c r="AI979" s="176"/>
      <c r="AJ979" s="176"/>
      <c r="AK979" s="176"/>
      <c r="AL979" s="176"/>
      <c r="AM979" s="176"/>
      <c r="AN979" s="176"/>
      <c r="AO979" s="176"/>
      <c r="AP979" s="176"/>
      <c r="AQ979" s="176"/>
      <c r="AR979" s="176"/>
      <c r="AS979" s="176"/>
      <c r="AT979" s="176"/>
      <c r="AU979" s="176"/>
      <c r="AV979" s="176"/>
      <c r="AW979" s="176"/>
      <c r="AX979" s="176"/>
      <c r="AY979" s="176"/>
      <c r="AZ979" s="176"/>
      <c r="BA979" s="176"/>
      <c r="BB979" s="176"/>
    </row>
    <row r="980" ht="15.75" customHeight="1">
      <c r="A980" s="176"/>
      <c r="B980" s="176"/>
      <c r="C980" s="176"/>
      <c r="D980" s="176"/>
      <c r="E980" s="176"/>
      <c r="F980" s="176"/>
      <c r="G980" s="176"/>
      <c r="H980" s="176"/>
      <c r="I980" s="176"/>
      <c r="J980" s="176"/>
      <c r="K980" s="176"/>
      <c r="L980" s="176"/>
      <c r="M980" s="176"/>
      <c r="N980" s="176"/>
      <c r="O980" s="176"/>
      <c r="P980" s="176"/>
      <c r="Q980" s="176"/>
      <c r="R980" s="176"/>
      <c r="S980" s="176"/>
      <c r="T980" s="176"/>
      <c r="U980" s="176"/>
      <c r="V980" s="176"/>
      <c r="W980" s="176"/>
      <c r="X980" s="176"/>
      <c r="Y980" s="176"/>
      <c r="Z980" s="176"/>
      <c r="AA980" s="176"/>
      <c r="AB980" s="176"/>
      <c r="AC980" s="176"/>
      <c r="AD980" s="176"/>
      <c r="AE980" s="176"/>
      <c r="AF980" s="176"/>
      <c r="AG980" s="176"/>
      <c r="AH980" s="176"/>
      <c r="AI980" s="176"/>
      <c r="AJ980" s="176"/>
      <c r="AK980" s="176"/>
      <c r="AL980" s="176"/>
      <c r="AM980" s="176"/>
      <c r="AN980" s="176"/>
      <c r="AO980" s="176"/>
      <c r="AP980" s="176"/>
      <c r="AQ980" s="176"/>
      <c r="AR980" s="176"/>
      <c r="AS980" s="176"/>
      <c r="AT980" s="176"/>
      <c r="AU980" s="176"/>
      <c r="AV980" s="176"/>
      <c r="AW980" s="176"/>
      <c r="AX980" s="176"/>
      <c r="AY980" s="176"/>
      <c r="AZ980" s="176"/>
      <c r="BA980" s="176"/>
      <c r="BB980" s="176"/>
    </row>
    <row r="981" ht="15.75" customHeight="1">
      <c r="A981" s="176"/>
      <c r="B981" s="176"/>
      <c r="C981" s="176"/>
      <c r="D981" s="176"/>
      <c r="E981" s="176"/>
      <c r="F981" s="176"/>
      <c r="G981" s="176"/>
      <c r="H981" s="176"/>
      <c r="I981" s="176"/>
      <c r="J981" s="176"/>
      <c r="K981" s="176"/>
      <c r="L981" s="176"/>
      <c r="M981" s="176"/>
      <c r="N981" s="176"/>
      <c r="O981" s="176"/>
      <c r="P981" s="176"/>
      <c r="Q981" s="176"/>
      <c r="R981" s="176"/>
      <c r="S981" s="176"/>
      <c r="T981" s="176"/>
      <c r="U981" s="176"/>
      <c r="V981" s="176"/>
      <c r="W981" s="176"/>
      <c r="X981" s="176"/>
      <c r="Y981" s="176"/>
      <c r="Z981" s="176"/>
      <c r="AA981" s="176"/>
      <c r="AB981" s="176"/>
      <c r="AC981" s="176"/>
      <c r="AD981" s="176"/>
      <c r="AE981" s="176"/>
      <c r="AF981" s="176"/>
      <c r="AG981" s="176"/>
      <c r="AH981" s="176"/>
      <c r="AI981" s="176"/>
      <c r="AJ981" s="176"/>
      <c r="AK981" s="176"/>
      <c r="AL981" s="176"/>
      <c r="AM981" s="176"/>
      <c r="AN981" s="176"/>
      <c r="AO981" s="176"/>
      <c r="AP981" s="176"/>
      <c r="AQ981" s="176"/>
      <c r="AR981" s="176"/>
      <c r="AS981" s="176"/>
      <c r="AT981" s="176"/>
      <c r="AU981" s="176"/>
      <c r="AV981" s="176"/>
      <c r="AW981" s="176"/>
      <c r="AX981" s="176"/>
      <c r="AY981" s="176"/>
      <c r="AZ981" s="176"/>
      <c r="BA981" s="176"/>
      <c r="BB981" s="176"/>
    </row>
    <row r="982" ht="15.75" customHeight="1">
      <c r="A982" s="176"/>
      <c r="B982" s="176"/>
      <c r="C982" s="176"/>
      <c r="D982" s="176"/>
      <c r="E982" s="176"/>
      <c r="F982" s="176"/>
      <c r="G982" s="176"/>
      <c r="H982" s="176"/>
      <c r="I982" s="176"/>
      <c r="J982" s="176"/>
      <c r="K982" s="176"/>
      <c r="L982" s="176"/>
      <c r="M982" s="176"/>
      <c r="N982" s="176"/>
      <c r="O982" s="176"/>
      <c r="P982" s="176"/>
      <c r="Q982" s="176"/>
      <c r="R982" s="176"/>
      <c r="S982" s="176"/>
      <c r="T982" s="176"/>
      <c r="U982" s="176"/>
      <c r="V982" s="176"/>
      <c r="W982" s="176"/>
      <c r="X982" s="176"/>
      <c r="Y982" s="176"/>
      <c r="Z982" s="176"/>
      <c r="AA982" s="176"/>
      <c r="AB982" s="176"/>
      <c r="AC982" s="176"/>
      <c r="AD982" s="176"/>
      <c r="AE982" s="176"/>
      <c r="AF982" s="176"/>
      <c r="AG982" s="176"/>
      <c r="AH982" s="176"/>
      <c r="AI982" s="176"/>
      <c r="AJ982" s="176"/>
      <c r="AK982" s="176"/>
      <c r="AL982" s="176"/>
      <c r="AM982" s="176"/>
      <c r="AN982" s="176"/>
      <c r="AO982" s="176"/>
      <c r="AP982" s="176"/>
      <c r="AQ982" s="176"/>
      <c r="AR982" s="176"/>
      <c r="AS982" s="176"/>
      <c r="AT982" s="176"/>
      <c r="AU982" s="176"/>
      <c r="AV982" s="176"/>
      <c r="AW982" s="176"/>
      <c r="AX982" s="176"/>
      <c r="AY982" s="176"/>
      <c r="AZ982" s="176"/>
      <c r="BA982" s="176"/>
      <c r="BB982" s="176"/>
    </row>
    <row r="983" ht="15.75" customHeight="1">
      <c r="A983" s="176"/>
      <c r="B983" s="176"/>
      <c r="C983" s="176"/>
      <c r="D983" s="176"/>
      <c r="E983" s="176"/>
      <c r="F983" s="176"/>
      <c r="G983" s="176"/>
      <c r="H983" s="176"/>
      <c r="I983" s="176"/>
      <c r="J983" s="176"/>
      <c r="K983" s="176"/>
      <c r="L983" s="176"/>
      <c r="M983" s="176"/>
      <c r="N983" s="176"/>
      <c r="O983" s="176"/>
      <c r="P983" s="176"/>
      <c r="Q983" s="176"/>
      <c r="R983" s="176"/>
      <c r="S983" s="176"/>
      <c r="T983" s="176"/>
      <c r="U983" s="176"/>
      <c r="V983" s="176"/>
      <c r="W983" s="176"/>
      <c r="X983" s="176"/>
      <c r="Y983" s="176"/>
      <c r="Z983" s="176"/>
      <c r="AA983" s="176"/>
      <c r="AB983" s="176"/>
      <c r="AC983" s="176"/>
      <c r="AD983" s="176"/>
      <c r="AE983" s="176"/>
      <c r="AF983" s="176"/>
      <c r="AG983" s="176"/>
      <c r="AH983" s="176"/>
      <c r="AI983" s="176"/>
      <c r="AJ983" s="176"/>
      <c r="AK983" s="176"/>
      <c r="AL983" s="176"/>
      <c r="AM983" s="176"/>
      <c r="AN983" s="176"/>
      <c r="AO983" s="176"/>
      <c r="AP983" s="176"/>
      <c r="AQ983" s="176"/>
      <c r="AR983" s="176"/>
      <c r="AS983" s="176"/>
      <c r="AT983" s="176"/>
      <c r="AU983" s="176"/>
      <c r="AV983" s="176"/>
      <c r="AW983" s="176"/>
      <c r="AX983" s="176"/>
      <c r="AY983" s="176"/>
      <c r="AZ983" s="176"/>
      <c r="BA983" s="176"/>
      <c r="BB983" s="176"/>
    </row>
    <row r="984" ht="15.75" customHeight="1">
      <c r="A984" s="176"/>
      <c r="B984" s="176"/>
      <c r="C984" s="176"/>
      <c r="D984" s="176"/>
      <c r="E984" s="176"/>
      <c r="F984" s="176"/>
      <c r="G984" s="176"/>
      <c r="H984" s="176"/>
      <c r="I984" s="176"/>
      <c r="J984" s="176"/>
      <c r="K984" s="176"/>
      <c r="L984" s="176"/>
      <c r="M984" s="176"/>
      <c r="N984" s="176"/>
      <c r="O984" s="176"/>
      <c r="P984" s="176"/>
      <c r="Q984" s="176"/>
      <c r="R984" s="176"/>
      <c r="S984" s="176"/>
      <c r="T984" s="176"/>
      <c r="U984" s="176"/>
      <c r="V984" s="176"/>
      <c r="W984" s="176"/>
      <c r="X984" s="176"/>
      <c r="Y984" s="176"/>
      <c r="Z984" s="176"/>
      <c r="AA984" s="176"/>
      <c r="AB984" s="176"/>
      <c r="AC984" s="176"/>
      <c r="AD984" s="176"/>
      <c r="AE984" s="176"/>
      <c r="AF984" s="176"/>
      <c r="AG984" s="176"/>
      <c r="AH984" s="176"/>
      <c r="AI984" s="176"/>
      <c r="AJ984" s="176"/>
      <c r="AK984" s="176"/>
      <c r="AL984" s="176"/>
      <c r="AM984" s="176"/>
      <c r="AN984" s="176"/>
      <c r="AO984" s="176"/>
      <c r="AP984" s="176"/>
      <c r="AQ984" s="176"/>
      <c r="AR984" s="176"/>
      <c r="AS984" s="176"/>
      <c r="AT984" s="176"/>
      <c r="AU984" s="176"/>
      <c r="AV984" s="176"/>
      <c r="AW984" s="176"/>
      <c r="AX984" s="176"/>
      <c r="AY984" s="176"/>
      <c r="AZ984" s="176"/>
      <c r="BA984" s="176"/>
      <c r="BB984" s="176"/>
    </row>
    <row r="985" ht="15.75" customHeight="1">
      <c r="A985" s="176"/>
      <c r="B985" s="176"/>
      <c r="C985" s="176"/>
      <c r="D985" s="176"/>
      <c r="E985" s="176"/>
      <c r="F985" s="176"/>
      <c r="G985" s="176"/>
      <c r="H985" s="176"/>
      <c r="I985" s="176"/>
      <c r="J985" s="176"/>
      <c r="K985" s="176"/>
      <c r="L985" s="176"/>
      <c r="M985" s="176"/>
      <c r="N985" s="176"/>
      <c r="O985" s="176"/>
      <c r="P985" s="176"/>
      <c r="Q985" s="176"/>
      <c r="R985" s="176"/>
      <c r="S985" s="176"/>
      <c r="T985" s="176"/>
      <c r="U985" s="176"/>
      <c r="V985" s="176"/>
      <c r="W985" s="176"/>
      <c r="X985" s="176"/>
      <c r="Y985" s="176"/>
      <c r="Z985" s="176"/>
      <c r="AA985" s="176"/>
      <c r="AB985" s="176"/>
      <c r="AC985" s="176"/>
      <c r="AD985" s="176"/>
      <c r="AE985" s="176"/>
      <c r="AF985" s="176"/>
      <c r="AG985" s="176"/>
      <c r="AH985" s="176"/>
      <c r="AI985" s="176"/>
      <c r="AJ985" s="176"/>
      <c r="AK985" s="176"/>
      <c r="AL985" s="176"/>
      <c r="AM985" s="176"/>
      <c r="AN985" s="176"/>
      <c r="AO985" s="176"/>
      <c r="AP985" s="176"/>
      <c r="AQ985" s="176"/>
      <c r="AR985" s="176"/>
      <c r="AS985" s="176"/>
      <c r="AT985" s="176"/>
      <c r="AU985" s="176"/>
      <c r="AV985" s="176"/>
      <c r="AW985" s="176"/>
      <c r="AX985" s="176"/>
      <c r="AY985" s="176"/>
      <c r="AZ985" s="176"/>
      <c r="BA985" s="176"/>
      <c r="BB985" s="176"/>
    </row>
    <row r="986" ht="15.75" customHeight="1">
      <c r="A986" s="176"/>
      <c r="B986" s="176"/>
      <c r="C986" s="176"/>
      <c r="D986" s="176"/>
      <c r="E986" s="176"/>
      <c r="F986" s="176"/>
      <c r="G986" s="176"/>
      <c r="H986" s="176"/>
      <c r="I986" s="176"/>
      <c r="J986" s="176"/>
      <c r="K986" s="176"/>
      <c r="L986" s="176"/>
      <c r="M986" s="176"/>
      <c r="N986" s="176"/>
      <c r="O986" s="176"/>
      <c r="P986" s="176"/>
      <c r="Q986" s="176"/>
      <c r="R986" s="176"/>
      <c r="S986" s="176"/>
      <c r="T986" s="176"/>
      <c r="U986" s="176"/>
      <c r="V986" s="176"/>
      <c r="W986" s="176"/>
      <c r="X986" s="176"/>
      <c r="Y986" s="176"/>
      <c r="Z986" s="176"/>
      <c r="AA986" s="176"/>
      <c r="AB986" s="176"/>
      <c r="AC986" s="176"/>
      <c r="AD986" s="176"/>
      <c r="AE986" s="176"/>
      <c r="AF986" s="176"/>
      <c r="AG986" s="176"/>
      <c r="AH986" s="176"/>
      <c r="AI986" s="176"/>
      <c r="AJ986" s="176"/>
      <c r="AK986" s="176"/>
      <c r="AL986" s="176"/>
      <c r="AM986" s="176"/>
      <c r="AN986" s="176"/>
      <c r="AO986" s="176"/>
      <c r="AP986" s="176"/>
      <c r="AQ986" s="176"/>
      <c r="AR986" s="176"/>
      <c r="AS986" s="176"/>
      <c r="AT986" s="176"/>
      <c r="AU986" s="176"/>
      <c r="AV986" s="176"/>
      <c r="AW986" s="176"/>
      <c r="AX986" s="176"/>
      <c r="AY986" s="176"/>
      <c r="AZ986" s="176"/>
      <c r="BA986" s="176"/>
      <c r="BB986" s="176"/>
    </row>
    <row r="987" ht="15.75" customHeight="1">
      <c r="A987" s="176"/>
      <c r="B987" s="176"/>
      <c r="C987" s="176"/>
      <c r="D987" s="176"/>
      <c r="E987" s="176"/>
      <c r="F987" s="176"/>
      <c r="G987" s="176"/>
      <c r="H987" s="176"/>
      <c r="I987" s="176"/>
      <c r="J987" s="176"/>
      <c r="K987" s="176"/>
      <c r="L987" s="176"/>
      <c r="M987" s="176"/>
      <c r="N987" s="176"/>
      <c r="O987" s="176"/>
      <c r="P987" s="176"/>
      <c r="Q987" s="176"/>
      <c r="R987" s="176"/>
      <c r="S987" s="176"/>
      <c r="T987" s="176"/>
      <c r="U987" s="176"/>
      <c r="V987" s="176"/>
      <c r="W987" s="176"/>
      <c r="X987" s="176"/>
      <c r="Y987" s="176"/>
      <c r="Z987" s="176"/>
      <c r="AA987" s="176"/>
      <c r="AB987" s="176"/>
      <c r="AC987" s="176"/>
      <c r="AD987" s="176"/>
      <c r="AE987" s="176"/>
      <c r="AF987" s="176"/>
      <c r="AG987" s="176"/>
      <c r="AH987" s="176"/>
      <c r="AI987" s="176"/>
      <c r="AJ987" s="176"/>
      <c r="AK987" s="176"/>
      <c r="AL987" s="176"/>
      <c r="AM987" s="176"/>
      <c r="AN987" s="176"/>
      <c r="AO987" s="176"/>
      <c r="AP987" s="176"/>
      <c r="AQ987" s="176"/>
      <c r="AR987" s="176"/>
      <c r="AS987" s="176"/>
      <c r="AT987" s="176"/>
      <c r="AU987" s="176"/>
      <c r="AV987" s="176"/>
      <c r="AW987" s="176"/>
      <c r="AX987" s="176"/>
      <c r="AY987" s="176"/>
      <c r="AZ987" s="176"/>
      <c r="BA987" s="176"/>
      <c r="BB987" s="176"/>
    </row>
    <row r="988" ht="15.75" customHeight="1">
      <c r="A988" s="176"/>
      <c r="B988" s="176"/>
      <c r="C988" s="176"/>
      <c r="D988" s="176"/>
      <c r="E988" s="176"/>
      <c r="F988" s="176"/>
      <c r="G988" s="176"/>
      <c r="H988" s="176"/>
      <c r="I988" s="176"/>
      <c r="J988" s="176"/>
      <c r="K988" s="176"/>
      <c r="L988" s="176"/>
      <c r="M988" s="176"/>
      <c r="N988" s="176"/>
      <c r="O988" s="176"/>
      <c r="P988" s="176"/>
      <c r="Q988" s="176"/>
      <c r="R988" s="176"/>
      <c r="S988" s="176"/>
      <c r="T988" s="176"/>
      <c r="U988" s="176"/>
      <c r="V988" s="176"/>
      <c r="W988" s="176"/>
      <c r="X988" s="176"/>
      <c r="Y988" s="176"/>
      <c r="Z988" s="176"/>
      <c r="AA988" s="176"/>
      <c r="AB988" s="176"/>
      <c r="AC988" s="176"/>
      <c r="AD988" s="176"/>
      <c r="AE988" s="176"/>
      <c r="AF988" s="176"/>
      <c r="AG988" s="176"/>
      <c r="AH988" s="176"/>
      <c r="AI988" s="176"/>
      <c r="AJ988" s="176"/>
      <c r="AK988" s="176"/>
      <c r="AL988" s="176"/>
      <c r="AM988" s="176"/>
      <c r="AN988" s="176"/>
      <c r="AO988" s="176"/>
      <c r="AP988" s="176"/>
      <c r="AQ988" s="176"/>
      <c r="AR988" s="176"/>
      <c r="AS988" s="176"/>
      <c r="AT988" s="176"/>
      <c r="AU988" s="176"/>
      <c r="AV988" s="176"/>
      <c r="AW988" s="176"/>
      <c r="AX988" s="176"/>
      <c r="AY988" s="176"/>
      <c r="AZ988" s="176"/>
      <c r="BA988" s="176"/>
      <c r="BB988" s="176"/>
    </row>
    <row r="989" ht="15.75" customHeight="1">
      <c r="A989" s="176"/>
      <c r="B989" s="176"/>
      <c r="C989" s="176"/>
      <c r="D989" s="176"/>
      <c r="E989" s="176"/>
      <c r="F989" s="176"/>
      <c r="G989" s="176"/>
      <c r="H989" s="176"/>
      <c r="I989" s="176"/>
      <c r="J989" s="176"/>
      <c r="K989" s="176"/>
      <c r="L989" s="176"/>
      <c r="M989" s="176"/>
      <c r="N989" s="176"/>
      <c r="O989" s="176"/>
      <c r="P989" s="176"/>
      <c r="Q989" s="176"/>
      <c r="R989" s="176"/>
      <c r="S989" s="176"/>
      <c r="T989" s="176"/>
      <c r="U989" s="176"/>
      <c r="V989" s="176"/>
      <c r="W989" s="176"/>
      <c r="X989" s="176"/>
      <c r="Y989" s="176"/>
      <c r="Z989" s="176"/>
      <c r="AA989" s="176"/>
      <c r="AB989" s="176"/>
      <c r="AC989" s="176"/>
      <c r="AD989" s="176"/>
      <c r="AE989" s="176"/>
      <c r="AF989" s="176"/>
      <c r="AG989" s="176"/>
      <c r="AH989" s="176"/>
      <c r="AI989" s="176"/>
      <c r="AJ989" s="176"/>
      <c r="AK989" s="176"/>
      <c r="AL989" s="176"/>
      <c r="AM989" s="176"/>
      <c r="AN989" s="176"/>
      <c r="AO989" s="176"/>
      <c r="AP989" s="176"/>
      <c r="AQ989" s="176"/>
      <c r="AR989" s="176"/>
      <c r="AS989" s="176"/>
      <c r="AT989" s="176"/>
      <c r="AU989" s="176"/>
      <c r="AV989" s="176"/>
      <c r="AW989" s="176"/>
      <c r="AX989" s="176"/>
      <c r="AY989" s="176"/>
      <c r="AZ989" s="176"/>
      <c r="BA989" s="176"/>
      <c r="BB989" s="176"/>
    </row>
    <row r="990" ht="15.75" customHeight="1">
      <c r="A990" s="176"/>
      <c r="B990" s="176"/>
      <c r="C990" s="176"/>
      <c r="D990" s="176"/>
      <c r="E990" s="176"/>
      <c r="F990" s="176"/>
      <c r="G990" s="176"/>
      <c r="H990" s="176"/>
      <c r="I990" s="176"/>
      <c r="J990" s="176"/>
      <c r="K990" s="176"/>
      <c r="L990" s="176"/>
      <c r="M990" s="176"/>
      <c r="N990" s="176"/>
      <c r="O990" s="176"/>
      <c r="P990" s="176"/>
      <c r="Q990" s="176"/>
      <c r="R990" s="176"/>
      <c r="S990" s="176"/>
      <c r="T990" s="176"/>
      <c r="U990" s="176"/>
      <c r="V990" s="176"/>
      <c r="W990" s="176"/>
      <c r="X990" s="176"/>
      <c r="Y990" s="176"/>
      <c r="Z990" s="176"/>
      <c r="AA990" s="176"/>
      <c r="AB990" s="176"/>
      <c r="AC990" s="176"/>
      <c r="AD990" s="176"/>
      <c r="AE990" s="176"/>
      <c r="AF990" s="176"/>
      <c r="AG990" s="176"/>
      <c r="AH990" s="176"/>
      <c r="AI990" s="176"/>
      <c r="AJ990" s="176"/>
      <c r="AK990" s="176"/>
      <c r="AL990" s="176"/>
      <c r="AM990" s="176"/>
      <c r="AN990" s="176"/>
      <c r="AO990" s="176"/>
      <c r="AP990" s="176"/>
      <c r="AQ990" s="176"/>
      <c r="AR990" s="176"/>
      <c r="AS990" s="176"/>
      <c r="AT990" s="176"/>
      <c r="AU990" s="176"/>
      <c r="AV990" s="176"/>
      <c r="AW990" s="176"/>
      <c r="AX990" s="176"/>
      <c r="AY990" s="176"/>
      <c r="AZ990" s="176"/>
      <c r="BA990" s="176"/>
      <c r="BB990" s="176"/>
    </row>
    <row r="991" ht="15.75" customHeight="1">
      <c r="A991" s="176"/>
      <c r="B991" s="176"/>
      <c r="C991" s="176"/>
      <c r="D991" s="176"/>
      <c r="E991" s="176"/>
      <c r="F991" s="176"/>
      <c r="G991" s="176"/>
      <c r="H991" s="176"/>
      <c r="I991" s="176"/>
      <c r="J991" s="176"/>
      <c r="K991" s="176"/>
      <c r="L991" s="176"/>
      <c r="M991" s="176"/>
      <c r="N991" s="176"/>
      <c r="O991" s="176"/>
      <c r="P991" s="176"/>
      <c r="Q991" s="176"/>
      <c r="R991" s="176"/>
      <c r="S991" s="176"/>
      <c r="T991" s="176"/>
      <c r="U991" s="176"/>
      <c r="V991" s="176"/>
      <c r="W991" s="176"/>
      <c r="X991" s="176"/>
      <c r="Y991" s="176"/>
      <c r="Z991" s="176"/>
      <c r="AA991" s="176"/>
      <c r="AB991" s="176"/>
      <c r="AC991" s="176"/>
      <c r="AD991" s="176"/>
      <c r="AE991" s="176"/>
      <c r="AF991" s="176"/>
      <c r="AG991" s="176"/>
      <c r="AH991" s="176"/>
      <c r="AI991" s="176"/>
      <c r="AJ991" s="176"/>
      <c r="AK991" s="176"/>
      <c r="AL991" s="176"/>
      <c r="AM991" s="176"/>
      <c r="AN991" s="176"/>
      <c r="AO991" s="176"/>
      <c r="AP991" s="176"/>
      <c r="AQ991" s="176"/>
      <c r="AR991" s="176"/>
      <c r="AS991" s="176"/>
      <c r="AT991" s="176"/>
      <c r="AU991" s="176"/>
      <c r="AV991" s="176"/>
      <c r="AW991" s="176"/>
      <c r="AX991" s="176"/>
      <c r="AY991" s="176"/>
      <c r="AZ991" s="176"/>
      <c r="BA991" s="176"/>
      <c r="BB991" s="176"/>
    </row>
    <row r="992" ht="15.75" customHeight="1">
      <c r="A992" s="176"/>
      <c r="B992" s="176"/>
      <c r="C992" s="176"/>
      <c r="D992" s="176"/>
      <c r="E992" s="176"/>
      <c r="F992" s="176"/>
      <c r="G992" s="176"/>
      <c r="H992" s="176"/>
      <c r="I992" s="176"/>
      <c r="J992" s="176"/>
      <c r="K992" s="176"/>
      <c r="L992" s="176"/>
      <c r="M992" s="176"/>
      <c r="N992" s="176"/>
      <c r="O992" s="176"/>
      <c r="P992" s="176"/>
      <c r="Q992" s="176"/>
      <c r="R992" s="176"/>
      <c r="S992" s="176"/>
      <c r="T992" s="176"/>
      <c r="U992" s="176"/>
      <c r="V992" s="176"/>
      <c r="W992" s="176"/>
      <c r="X992" s="176"/>
      <c r="Y992" s="176"/>
      <c r="Z992" s="176"/>
      <c r="AA992" s="176"/>
      <c r="AB992" s="176"/>
      <c r="AC992" s="176"/>
      <c r="AD992" s="176"/>
      <c r="AE992" s="176"/>
      <c r="AF992" s="176"/>
      <c r="AG992" s="176"/>
      <c r="AH992" s="176"/>
      <c r="AI992" s="176"/>
      <c r="AJ992" s="176"/>
      <c r="AK992" s="176"/>
      <c r="AL992" s="176"/>
      <c r="AM992" s="176"/>
      <c r="AN992" s="176"/>
      <c r="AO992" s="176"/>
      <c r="AP992" s="176"/>
      <c r="AQ992" s="176"/>
      <c r="AR992" s="176"/>
      <c r="AS992" s="176"/>
      <c r="AT992" s="176"/>
      <c r="AU992" s="176"/>
      <c r="AV992" s="176"/>
      <c r="AW992" s="176"/>
      <c r="AX992" s="176"/>
      <c r="AY992" s="176"/>
      <c r="AZ992" s="176"/>
      <c r="BA992" s="176"/>
      <c r="BB992" s="176"/>
    </row>
    <row r="993" ht="15.75" customHeight="1">
      <c r="A993" s="176"/>
      <c r="B993" s="176"/>
      <c r="C993" s="176"/>
      <c r="D993" s="176"/>
      <c r="E993" s="176"/>
      <c r="F993" s="176"/>
      <c r="G993" s="176"/>
      <c r="H993" s="176"/>
      <c r="I993" s="176"/>
      <c r="J993" s="176"/>
      <c r="K993" s="176"/>
      <c r="L993" s="176"/>
      <c r="M993" s="176"/>
      <c r="N993" s="176"/>
      <c r="O993" s="176"/>
      <c r="P993" s="176"/>
      <c r="Q993" s="176"/>
      <c r="R993" s="176"/>
      <c r="S993" s="176"/>
      <c r="T993" s="176"/>
      <c r="U993" s="176"/>
      <c r="V993" s="176"/>
      <c r="W993" s="176"/>
      <c r="X993" s="176"/>
      <c r="Y993" s="176"/>
      <c r="Z993" s="176"/>
      <c r="AA993" s="176"/>
      <c r="AB993" s="176"/>
      <c r="AC993" s="176"/>
      <c r="AD993" s="176"/>
      <c r="AE993" s="176"/>
      <c r="AF993" s="176"/>
      <c r="AG993" s="176"/>
      <c r="AH993" s="176"/>
      <c r="AI993" s="176"/>
      <c r="AJ993" s="176"/>
      <c r="AK993" s="176"/>
      <c r="AL993" s="176"/>
      <c r="AM993" s="176"/>
      <c r="AN993" s="176"/>
      <c r="AO993" s="176"/>
      <c r="AP993" s="176"/>
      <c r="AQ993" s="176"/>
      <c r="AR993" s="176"/>
      <c r="AS993" s="176"/>
      <c r="AT993" s="176"/>
      <c r="AU993" s="176"/>
      <c r="AV993" s="176"/>
      <c r="AW993" s="176"/>
      <c r="AX993" s="176"/>
      <c r="AY993" s="176"/>
      <c r="AZ993" s="176"/>
      <c r="BA993" s="176"/>
      <c r="BB993" s="176"/>
    </row>
    <row r="994" ht="15.75" customHeight="1">
      <c r="A994" s="176"/>
      <c r="B994" s="176"/>
      <c r="C994" s="176"/>
      <c r="D994" s="176"/>
      <c r="E994" s="176"/>
      <c r="F994" s="176"/>
      <c r="G994" s="176"/>
      <c r="H994" s="176"/>
      <c r="I994" s="176"/>
      <c r="J994" s="176"/>
      <c r="K994" s="176"/>
      <c r="L994" s="176"/>
      <c r="M994" s="176"/>
      <c r="N994" s="176"/>
      <c r="O994" s="176"/>
      <c r="P994" s="176"/>
      <c r="Q994" s="176"/>
      <c r="R994" s="176"/>
      <c r="S994" s="176"/>
      <c r="T994" s="176"/>
      <c r="U994" s="176"/>
      <c r="V994" s="176"/>
      <c r="W994" s="176"/>
      <c r="X994" s="176"/>
      <c r="Y994" s="176"/>
      <c r="Z994" s="176"/>
      <c r="AA994" s="176"/>
      <c r="AB994" s="176"/>
      <c r="AC994" s="176"/>
      <c r="AD994" s="176"/>
      <c r="AE994" s="176"/>
      <c r="AF994" s="176"/>
      <c r="AG994" s="176"/>
      <c r="AH994" s="176"/>
      <c r="AI994" s="176"/>
      <c r="AJ994" s="176"/>
      <c r="AK994" s="176"/>
      <c r="AL994" s="176"/>
      <c r="AM994" s="176"/>
      <c r="AN994" s="176"/>
      <c r="AO994" s="176"/>
      <c r="AP994" s="176"/>
      <c r="AQ994" s="176"/>
      <c r="AR994" s="176"/>
      <c r="AS994" s="176"/>
      <c r="AT994" s="176"/>
      <c r="AU994" s="176"/>
      <c r="AV994" s="176"/>
      <c r="AW994" s="176"/>
      <c r="AX994" s="176"/>
      <c r="AY994" s="176"/>
      <c r="AZ994" s="176"/>
      <c r="BA994" s="176"/>
      <c r="BB994" s="176"/>
    </row>
    <row r="995" ht="15.75" customHeight="1">
      <c r="A995" s="176"/>
      <c r="B995" s="176"/>
      <c r="C995" s="176"/>
      <c r="D995" s="176"/>
      <c r="E995" s="176"/>
      <c r="F995" s="176"/>
      <c r="G995" s="176"/>
      <c r="H995" s="176"/>
      <c r="I995" s="176"/>
      <c r="J995" s="176"/>
      <c r="K995" s="176"/>
      <c r="L995" s="176"/>
      <c r="M995" s="176"/>
      <c r="N995" s="176"/>
      <c r="O995" s="176"/>
      <c r="P995" s="176"/>
      <c r="Q995" s="176"/>
      <c r="R995" s="176"/>
      <c r="S995" s="176"/>
      <c r="T995" s="176"/>
      <c r="U995" s="176"/>
      <c r="V995" s="176"/>
      <c r="W995" s="176"/>
      <c r="X995" s="176"/>
      <c r="Y995" s="176"/>
      <c r="Z995" s="176"/>
      <c r="AA995" s="176"/>
      <c r="AB995" s="176"/>
      <c r="AC995" s="176"/>
      <c r="AD995" s="176"/>
      <c r="AE995" s="176"/>
      <c r="AF995" s="176"/>
      <c r="AG995" s="176"/>
      <c r="AH995" s="176"/>
      <c r="AI995" s="176"/>
      <c r="AJ995" s="176"/>
      <c r="AK995" s="176"/>
      <c r="AL995" s="176"/>
      <c r="AM995" s="176"/>
      <c r="AN995" s="176"/>
      <c r="AO995" s="176"/>
      <c r="AP995" s="176"/>
      <c r="AQ995" s="176"/>
      <c r="AR995" s="176"/>
      <c r="AS995" s="176"/>
      <c r="AT995" s="176"/>
      <c r="AU995" s="176"/>
      <c r="AV995" s="176"/>
      <c r="AW995" s="176"/>
      <c r="AX995" s="176"/>
      <c r="AY995" s="176"/>
      <c r="AZ995" s="176"/>
      <c r="BA995" s="176"/>
      <c r="BB995" s="176"/>
    </row>
    <row r="996" ht="15.75" customHeight="1">
      <c r="A996" s="176"/>
      <c r="B996" s="176"/>
      <c r="C996" s="176"/>
      <c r="D996" s="176"/>
      <c r="E996" s="176"/>
      <c r="F996" s="176"/>
      <c r="G996" s="176"/>
      <c r="H996" s="176"/>
      <c r="I996" s="176"/>
      <c r="J996" s="176"/>
      <c r="K996" s="176"/>
      <c r="L996" s="176"/>
      <c r="M996" s="176"/>
      <c r="N996" s="176"/>
      <c r="O996" s="176"/>
      <c r="P996" s="176"/>
      <c r="Q996" s="176"/>
      <c r="R996" s="176"/>
      <c r="S996" s="176"/>
      <c r="T996" s="176"/>
      <c r="U996" s="176"/>
      <c r="V996" s="176"/>
      <c r="W996" s="176"/>
      <c r="X996" s="176"/>
      <c r="Y996" s="176"/>
      <c r="Z996" s="176"/>
      <c r="AA996" s="176"/>
      <c r="AB996" s="176"/>
      <c r="AC996" s="176"/>
      <c r="AD996" s="176"/>
      <c r="AE996" s="176"/>
      <c r="AF996" s="176"/>
      <c r="AG996" s="176"/>
      <c r="AH996" s="176"/>
      <c r="AI996" s="176"/>
      <c r="AJ996" s="176"/>
      <c r="AK996" s="176"/>
      <c r="AL996" s="176"/>
      <c r="AM996" s="176"/>
      <c r="AN996" s="176"/>
      <c r="AO996" s="176"/>
      <c r="AP996" s="176"/>
      <c r="AQ996" s="176"/>
      <c r="AR996" s="176"/>
      <c r="AS996" s="176"/>
      <c r="AT996" s="176"/>
      <c r="AU996" s="176"/>
      <c r="AV996" s="176"/>
      <c r="AW996" s="176"/>
      <c r="AX996" s="176"/>
      <c r="AY996" s="176"/>
      <c r="AZ996" s="176"/>
      <c r="BA996" s="176"/>
      <c r="BB996" s="176"/>
    </row>
    <row r="997" ht="15.75" customHeight="1">
      <c r="A997" s="176"/>
      <c r="B997" s="176"/>
      <c r="C997" s="176"/>
      <c r="D997" s="176"/>
      <c r="E997" s="176"/>
      <c r="F997" s="176"/>
      <c r="G997" s="176"/>
      <c r="H997" s="176"/>
      <c r="I997" s="176"/>
      <c r="J997" s="176"/>
      <c r="K997" s="176"/>
      <c r="L997" s="176"/>
      <c r="M997" s="176"/>
      <c r="N997" s="176"/>
      <c r="O997" s="176"/>
      <c r="P997" s="176"/>
      <c r="Q997" s="176"/>
      <c r="R997" s="176"/>
      <c r="S997" s="176"/>
      <c r="T997" s="176"/>
      <c r="U997" s="176"/>
      <c r="V997" s="176"/>
      <c r="W997" s="176"/>
      <c r="X997" s="176"/>
      <c r="Y997" s="176"/>
      <c r="Z997" s="176"/>
      <c r="AA997" s="176"/>
      <c r="AB997" s="176"/>
      <c r="AC997" s="176"/>
      <c r="AD997" s="176"/>
      <c r="AE997" s="176"/>
      <c r="AF997" s="176"/>
      <c r="AG997" s="176"/>
      <c r="AH997" s="176"/>
      <c r="AI997" s="176"/>
      <c r="AJ997" s="176"/>
      <c r="AK997" s="176"/>
      <c r="AL997" s="176"/>
      <c r="AM997" s="176"/>
      <c r="AN997" s="176"/>
      <c r="AO997" s="176"/>
      <c r="AP997" s="176"/>
      <c r="AQ997" s="176"/>
      <c r="AR997" s="176"/>
      <c r="AS997" s="176"/>
      <c r="AT997" s="176"/>
      <c r="AU997" s="176"/>
      <c r="AV997" s="176"/>
      <c r="AW997" s="176"/>
      <c r="AX997" s="176"/>
      <c r="AY997" s="176"/>
      <c r="AZ997" s="176"/>
      <c r="BA997" s="176"/>
      <c r="BB997" s="176"/>
    </row>
    <row r="998" ht="15.75" customHeight="1">
      <c r="A998" s="176"/>
      <c r="B998" s="176"/>
      <c r="C998" s="176"/>
      <c r="D998" s="176"/>
      <c r="E998" s="176"/>
      <c r="F998" s="176"/>
      <c r="G998" s="176"/>
      <c r="H998" s="176"/>
      <c r="I998" s="176"/>
      <c r="J998" s="176"/>
      <c r="K998" s="176"/>
      <c r="L998" s="176"/>
      <c r="M998" s="176"/>
      <c r="N998" s="176"/>
      <c r="O998" s="176"/>
      <c r="P998" s="176"/>
      <c r="Q998" s="176"/>
      <c r="R998" s="176"/>
      <c r="S998" s="176"/>
      <c r="T998" s="176"/>
      <c r="U998" s="176"/>
      <c r="V998" s="176"/>
      <c r="W998" s="176"/>
      <c r="X998" s="176"/>
      <c r="Y998" s="176"/>
      <c r="Z998" s="176"/>
      <c r="AA998" s="176"/>
      <c r="AB998" s="176"/>
      <c r="AC998" s="176"/>
      <c r="AD998" s="176"/>
      <c r="AE998" s="176"/>
      <c r="AF998" s="176"/>
      <c r="AG998" s="176"/>
      <c r="AH998" s="176"/>
      <c r="AI998" s="176"/>
      <c r="AJ998" s="176"/>
      <c r="AK998" s="176"/>
      <c r="AL998" s="176"/>
      <c r="AM998" s="176"/>
      <c r="AN998" s="176"/>
      <c r="AO998" s="176"/>
      <c r="AP998" s="176"/>
      <c r="AQ998" s="176"/>
      <c r="AR998" s="176"/>
      <c r="AS998" s="176"/>
      <c r="AT998" s="176"/>
      <c r="AU998" s="176"/>
      <c r="AV998" s="176"/>
      <c r="AW998" s="176"/>
      <c r="AX998" s="176"/>
      <c r="AY998" s="176"/>
      <c r="AZ998" s="176"/>
      <c r="BA998" s="176"/>
      <c r="BB998" s="176"/>
    </row>
    <row r="999" ht="15.75" customHeight="1">
      <c r="A999" s="176"/>
      <c r="B999" s="176"/>
      <c r="C999" s="176"/>
      <c r="D999" s="176"/>
      <c r="E999" s="176"/>
      <c r="F999" s="176"/>
      <c r="G999" s="176"/>
      <c r="H999" s="176"/>
      <c r="I999" s="176"/>
      <c r="J999" s="176"/>
      <c r="K999" s="176"/>
      <c r="L999" s="176"/>
      <c r="M999" s="176"/>
      <c r="N999" s="176"/>
      <c r="O999" s="176"/>
      <c r="P999" s="176"/>
      <c r="Q999" s="176"/>
      <c r="R999" s="176"/>
      <c r="S999" s="176"/>
      <c r="T999" s="176"/>
      <c r="U999" s="176"/>
      <c r="V999" s="176"/>
      <c r="W999" s="176"/>
      <c r="X999" s="176"/>
      <c r="Y999" s="176"/>
      <c r="Z999" s="176"/>
      <c r="AA999" s="176"/>
      <c r="AB999" s="176"/>
      <c r="AC999" s="176"/>
      <c r="AD999" s="176"/>
      <c r="AE999" s="176"/>
      <c r="AF999" s="176"/>
      <c r="AG999" s="176"/>
      <c r="AH999" s="176"/>
      <c r="AI999" s="176"/>
      <c r="AJ999" s="176"/>
      <c r="AK999" s="176"/>
      <c r="AL999" s="176"/>
      <c r="AM999" s="176"/>
      <c r="AN999" s="176"/>
      <c r="AO999" s="176"/>
      <c r="AP999" s="176"/>
      <c r="AQ999" s="176"/>
      <c r="AR999" s="176"/>
      <c r="AS999" s="176"/>
      <c r="AT999" s="176"/>
      <c r="AU999" s="176"/>
      <c r="AV999" s="176"/>
      <c r="AW999" s="176"/>
      <c r="AX999" s="176"/>
      <c r="AY999" s="176"/>
      <c r="AZ999" s="176"/>
      <c r="BA999" s="176"/>
      <c r="BB999" s="176"/>
    </row>
    <row r="1000" ht="15.75" customHeight="1">
      <c r="A1000" s="176"/>
      <c r="B1000" s="176"/>
      <c r="C1000" s="176"/>
      <c r="D1000" s="176"/>
      <c r="E1000" s="176"/>
      <c r="F1000" s="176"/>
      <c r="G1000" s="176"/>
      <c r="H1000" s="176"/>
      <c r="I1000" s="176"/>
      <c r="J1000" s="176"/>
      <c r="K1000" s="176"/>
      <c r="L1000" s="176"/>
      <c r="M1000" s="176"/>
      <c r="N1000" s="176"/>
      <c r="O1000" s="176"/>
      <c r="P1000" s="176"/>
      <c r="Q1000" s="176"/>
      <c r="R1000" s="176"/>
      <c r="S1000" s="176"/>
      <c r="T1000" s="176"/>
      <c r="U1000" s="176"/>
      <c r="V1000" s="176"/>
      <c r="W1000" s="176"/>
      <c r="X1000" s="176"/>
      <c r="Y1000" s="176"/>
      <c r="Z1000" s="176"/>
      <c r="AA1000" s="176"/>
      <c r="AB1000" s="176"/>
      <c r="AC1000" s="176"/>
      <c r="AD1000" s="176"/>
      <c r="AE1000" s="176"/>
      <c r="AF1000" s="176"/>
      <c r="AG1000" s="176"/>
      <c r="AH1000" s="176"/>
      <c r="AI1000" s="176"/>
      <c r="AJ1000" s="176"/>
      <c r="AK1000" s="176"/>
      <c r="AL1000" s="176"/>
      <c r="AM1000" s="176"/>
      <c r="AN1000" s="176"/>
      <c r="AO1000" s="176"/>
      <c r="AP1000" s="176"/>
      <c r="AQ1000" s="176"/>
      <c r="AR1000" s="176"/>
      <c r="AS1000" s="176"/>
      <c r="AT1000" s="176"/>
      <c r="AU1000" s="176"/>
      <c r="AV1000" s="176"/>
      <c r="AW1000" s="176"/>
      <c r="AX1000" s="176"/>
      <c r="AY1000" s="176"/>
      <c r="AZ1000" s="176"/>
      <c r="BA1000" s="176"/>
      <c r="BB1000" s="176"/>
    </row>
    <row r="1001" ht="15.75" customHeight="1">
      <c r="A1001" s="176"/>
      <c r="B1001" s="176"/>
      <c r="C1001" s="176"/>
      <c r="D1001" s="176"/>
      <c r="E1001" s="176"/>
      <c r="F1001" s="176"/>
      <c r="G1001" s="176"/>
      <c r="H1001" s="176"/>
      <c r="I1001" s="176"/>
      <c r="J1001" s="176"/>
      <c r="K1001" s="176"/>
      <c r="L1001" s="176"/>
      <c r="M1001" s="176"/>
      <c r="N1001" s="176"/>
      <c r="O1001" s="176"/>
      <c r="P1001" s="176"/>
      <c r="Q1001" s="176"/>
      <c r="R1001" s="176"/>
      <c r="S1001" s="176"/>
      <c r="T1001" s="176"/>
      <c r="U1001" s="176"/>
      <c r="V1001" s="176"/>
      <c r="W1001" s="176"/>
      <c r="X1001" s="176"/>
      <c r="Y1001" s="176"/>
      <c r="Z1001" s="176"/>
      <c r="AA1001" s="176"/>
      <c r="AB1001" s="176"/>
      <c r="AC1001" s="176"/>
      <c r="AD1001" s="176"/>
      <c r="AE1001" s="176"/>
      <c r="AF1001" s="176"/>
      <c r="AG1001" s="176"/>
      <c r="AH1001" s="176"/>
      <c r="AI1001" s="176"/>
      <c r="AJ1001" s="176"/>
      <c r="AK1001" s="176"/>
      <c r="AL1001" s="176"/>
      <c r="AM1001" s="176"/>
      <c r="AN1001" s="176"/>
      <c r="AO1001" s="176"/>
      <c r="AP1001" s="176"/>
      <c r="AQ1001" s="176"/>
      <c r="AR1001" s="176"/>
      <c r="AS1001" s="176"/>
      <c r="AT1001" s="176"/>
      <c r="AU1001" s="176"/>
      <c r="AV1001" s="176"/>
      <c r="AW1001" s="176"/>
      <c r="AX1001" s="176"/>
      <c r="AY1001" s="176"/>
      <c r="AZ1001" s="176"/>
      <c r="BA1001" s="176"/>
      <c r="BB1001" s="176"/>
    </row>
  </sheetData>
  <mergeCells count="16">
    <mergeCell ref="B3:B4"/>
    <mergeCell ref="C3:F3"/>
    <mergeCell ref="G3:J3"/>
    <mergeCell ref="K3:N3"/>
    <mergeCell ref="O3:R3"/>
    <mergeCell ref="S3:V3"/>
    <mergeCell ref="W3:Z3"/>
    <mergeCell ref="AY3:AZ3"/>
    <mergeCell ref="BA3:BB3"/>
    <mergeCell ref="AA3:AD3"/>
    <mergeCell ref="AE3:AH3"/>
    <mergeCell ref="AI3:AL3"/>
    <mergeCell ref="AM3:AP3"/>
    <mergeCell ref="AQ3:AT3"/>
    <mergeCell ref="AU3:AV3"/>
    <mergeCell ref="AW3:AX3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6" width="12.63"/>
    <col customWidth="1" min="7" max="7" width="12.25"/>
    <col customWidth="1" min="8" max="8" width="12.63"/>
    <col customWidth="1" min="9" max="9" width="12.25"/>
    <col customWidth="1" min="10" max="10" width="12.63"/>
    <col customWidth="1" min="11" max="11" width="13.13"/>
    <col customWidth="1" min="12" max="12" width="12.63"/>
    <col customWidth="1" min="13" max="13" width="13.13"/>
    <col customWidth="1" min="14" max="14" width="12.63"/>
    <col customWidth="1" min="15" max="15" width="12.75"/>
    <col customWidth="1" min="16" max="16" width="12.63"/>
    <col customWidth="1" min="17" max="17" width="13.13"/>
    <col customWidth="1" min="18" max="18" width="12.63"/>
    <col customWidth="1" min="19" max="19" width="12.75"/>
    <col customWidth="1" min="20" max="20" width="12.63"/>
    <col customWidth="1" min="21" max="21" width="12.75"/>
    <col customWidth="1" min="22" max="22" width="12.63"/>
    <col customWidth="1" min="23" max="23" width="12.75"/>
    <col customWidth="1" min="24" max="24" width="12.63"/>
    <col customWidth="1" min="25" max="25" width="12.75"/>
    <col customWidth="1" min="26" max="26" width="12.63"/>
    <col customWidth="1" min="27" max="27" width="12.75"/>
    <col customWidth="1" min="28" max="28" width="12.63"/>
    <col customWidth="1" min="29" max="29" width="12.75"/>
    <col customWidth="1" min="30" max="30" width="12.63"/>
    <col customWidth="1" min="31" max="31" width="12.75"/>
    <col customWidth="1" min="32" max="32" width="12.63"/>
    <col customWidth="1" min="33" max="33" width="12.75"/>
    <col customWidth="1" min="34" max="34" width="12.63"/>
    <col customWidth="1" min="35" max="35" width="12.75"/>
    <col customWidth="1" min="36" max="36" width="12.63"/>
    <col customWidth="1" min="37" max="37" width="12.75"/>
    <col customWidth="1" min="38" max="38" width="12.63"/>
    <col customWidth="1" min="39" max="39" width="12.75"/>
    <col customWidth="1" min="40" max="40" width="12.63"/>
    <col customWidth="1" min="41" max="41" width="12.75"/>
    <col customWidth="1" min="42" max="42" width="12.63"/>
    <col customWidth="1" min="43" max="43" width="13.75"/>
    <col customWidth="1" min="44" max="44" width="12.63"/>
    <col customWidth="1" min="45" max="45" width="11.63"/>
    <col customWidth="1" min="46" max="54" width="12.63"/>
  </cols>
  <sheetData>
    <row r="1" ht="15.75" customHeight="1">
      <c r="A1" s="213"/>
      <c r="B1" s="214" t="s">
        <v>1</v>
      </c>
      <c r="C1" s="213"/>
      <c r="D1" s="213"/>
      <c r="E1" s="213"/>
      <c r="F1" s="213"/>
      <c r="G1" s="213"/>
      <c r="H1" s="213"/>
      <c r="I1" s="213"/>
      <c r="J1" s="213"/>
      <c r="K1" s="215"/>
      <c r="L1" s="213"/>
      <c r="M1" s="215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</row>
    <row r="2" ht="15.75" customHeight="1">
      <c r="A2" s="213"/>
      <c r="B2" s="216" t="s">
        <v>57</v>
      </c>
      <c r="C2" s="213"/>
      <c r="D2" s="213"/>
      <c r="E2" s="213"/>
      <c r="F2" s="213"/>
      <c r="G2" s="213"/>
      <c r="H2" s="213"/>
      <c r="I2" s="213"/>
      <c r="J2" s="213"/>
      <c r="K2" s="215"/>
      <c r="L2" s="213"/>
      <c r="M2" s="215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  <c r="AA2" s="213"/>
      <c r="AB2" s="213"/>
      <c r="AC2" s="213"/>
      <c r="AD2" s="213"/>
      <c r="AE2" s="213"/>
      <c r="AF2" s="213"/>
      <c r="AG2" s="213"/>
      <c r="AH2" s="213"/>
      <c r="AI2" s="213"/>
      <c r="AJ2" s="213"/>
      <c r="AK2" s="213"/>
      <c r="AL2" s="213"/>
      <c r="AM2" s="213"/>
      <c r="AN2" s="213"/>
      <c r="AO2" s="213"/>
      <c r="AP2" s="213"/>
      <c r="AQ2" s="213"/>
      <c r="AR2" s="213"/>
      <c r="AS2" s="213"/>
      <c r="AT2" s="213"/>
      <c r="AU2" s="213"/>
      <c r="AV2" s="213"/>
      <c r="AW2" s="213"/>
      <c r="AX2" s="213"/>
      <c r="AY2" s="213"/>
      <c r="AZ2" s="213"/>
      <c r="BA2" s="213"/>
      <c r="BB2" s="213"/>
    </row>
    <row r="3" ht="15.75" customHeight="1">
      <c r="A3" s="213"/>
      <c r="B3" s="130"/>
      <c r="C3" s="6" t="s">
        <v>48</v>
      </c>
      <c r="D3" s="7"/>
      <c r="E3" s="7"/>
      <c r="F3" s="8"/>
      <c r="G3" s="131" t="s">
        <v>49</v>
      </c>
      <c r="H3" s="7"/>
      <c r="I3" s="7"/>
      <c r="J3" s="132"/>
      <c r="K3" s="133" t="s">
        <v>5</v>
      </c>
      <c r="L3" s="7"/>
      <c r="M3" s="7"/>
      <c r="N3" s="132"/>
      <c r="O3" s="133" t="s">
        <v>6</v>
      </c>
      <c r="P3" s="7"/>
      <c r="Q3" s="7"/>
      <c r="R3" s="132"/>
      <c r="S3" s="133" t="s">
        <v>7</v>
      </c>
      <c r="T3" s="7"/>
      <c r="U3" s="7"/>
      <c r="V3" s="132"/>
      <c r="W3" s="133" t="s">
        <v>8</v>
      </c>
      <c r="X3" s="7"/>
      <c r="Y3" s="7"/>
      <c r="Z3" s="132"/>
      <c r="AA3" s="133" t="s">
        <v>9</v>
      </c>
      <c r="AB3" s="7"/>
      <c r="AC3" s="7"/>
      <c r="AD3" s="132"/>
      <c r="AE3" s="133" t="s">
        <v>10</v>
      </c>
      <c r="AF3" s="7"/>
      <c r="AG3" s="7"/>
      <c r="AH3" s="132"/>
      <c r="AI3" s="133" t="s">
        <v>11</v>
      </c>
      <c r="AJ3" s="7"/>
      <c r="AK3" s="7"/>
      <c r="AL3" s="132"/>
      <c r="AM3" s="133" t="s">
        <v>12</v>
      </c>
      <c r="AN3" s="7"/>
      <c r="AO3" s="7"/>
      <c r="AP3" s="132"/>
      <c r="AQ3" s="133" t="s">
        <v>13</v>
      </c>
      <c r="AR3" s="7"/>
      <c r="AS3" s="7"/>
      <c r="AT3" s="132"/>
      <c r="AU3" s="217" t="s">
        <v>58</v>
      </c>
      <c r="AV3" s="14"/>
      <c r="AW3" s="217" t="s">
        <v>59</v>
      </c>
      <c r="AX3" s="14"/>
      <c r="AY3" s="217" t="s">
        <v>60</v>
      </c>
      <c r="AZ3" s="14"/>
      <c r="BA3" s="217" t="s">
        <v>17</v>
      </c>
      <c r="BB3" s="14"/>
    </row>
    <row r="4" ht="15.75" customHeight="1">
      <c r="A4" s="213"/>
      <c r="B4" s="134"/>
      <c r="C4" s="17" t="s">
        <v>21</v>
      </c>
      <c r="D4" s="18" t="s">
        <v>19</v>
      </c>
      <c r="E4" s="18" t="s">
        <v>20</v>
      </c>
      <c r="F4" s="19" t="s">
        <v>19</v>
      </c>
      <c r="G4" s="20" t="s">
        <v>21</v>
      </c>
      <c r="H4" s="18" t="s">
        <v>19</v>
      </c>
      <c r="I4" s="18" t="s">
        <v>20</v>
      </c>
      <c r="J4" s="18" t="s">
        <v>19</v>
      </c>
      <c r="K4" s="218" t="s">
        <v>21</v>
      </c>
      <c r="L4" s="219" t="s">
        <v>19</v>
      </c>
      <c r="M4" s="218" t="s">
        <v>20</v>
      </c>
      <c r="N4" s="219" t="s">
        <v>19</v>
      </c>
      <c r="O4" s="18" t="s">
        <v>21</v>
      </c>
      <c r="P4" s="18" t="s">
        <v>19</v>
      </c>
      <c r="Q4" s="18" t="s">
        <v>20</v>
      </c>
      <c r="R4" s="18" t="s">
        <v>19</v>
      </c>
      <c r="S4" s="18" t="s">
        <v>21</v>
      </c>
      <c r="T4" s="18" t="s">
        <v>19</v>
      </c>
      <c r="U4" s="18" t="s">
        <v>20</v>
      </c>
      <c r="V4" s="18" t="s">
        <v>19</v>
      </c>
      <c r="W4" s="18" t="s">
        <v>21</v>
      </c>
      <c r="X4" s="18" t="s">
        <v>19</v>
      </c>
      <c r="Y4" s="18" t="s">
        <v>20</v>
      </c>
      <c r="Z4" s="18" t="s">
        <v>19</v>
      </c>
      <c r="AA4" s="18" t="s">
        <v>21</v>
      </c>
      <c r="AB4" s="18" t="s">
        <v>19</v>
      </c>
      <c r="AC4" s="18" t="s">
        <v>20</v>
      </c>
      <c r="AD4" s="18" t="s">
        <v>19</v>
      </c>
      <c r="AE4" s="18" t="s">
        <v>21</v>
      </c>
      <c r="AF4" s="18" t="s">
        <v>19</v>
      </c>
      <c r="AG4" s="18" t="s">
        <v>20</v>
      </c>
      <c r="AH4" s="18" t="s">
        <v>19</v>
      </c>
      <c r="AI4" s="18" t="s">
        <v>21</v>
      </c>
      <c r="AJ4" s="18" t="s">
        <v>19</v>
      </c>
      <c r="AK4" s="18" t="s">
        <v>20</v>
      </c>
      <c r="AL4" s="18" t="s">
        <v>19</v>
      </c>
      <c r="AM4" s="18" t="s">
        <v>21</v>
      </c>
      <c r="AN4" s="18" t="s">
        <v>19</v>
      </c>
      <c r="AO4" s="18" t="s">
        <v>20</v>
      </c>
      <c r="AP4" s="18" t="s">
        <v>19</v>
      </c>
      <c r="AQ4" s="18" t="s">
        <v>21</v>
      </c>
      <c r="AR4" s="18" t="s">
        <v>19</v>
      </c>
      <c r="AS4" s="18" t="s">
        <v>20</v>
      </c>
      <c r="AT4" s="18" t="s">
        <v>19</v>
      </c>
      <c r="AU4" s="18" t="s">
        <v>21</v>
      </c>
      <c r="AV4" s="18" t="s">
        <v>19</v>
      </c>
      <c r="AW4" s="18" t="s">
        <v>21</v>
      </c>
      <c r="AX4" s="18" t="s">
        <v>19</v>
      </c>
      <c r="AY4" s="18" t="s">
        <v>21</v>
      </c>
      <c r="AZ4" s="18" t="s">
        <v>19</v>
      </c>
      <c r="BA4" s="18" t="s">
        <v>21</v>
      </c>
      <c r="BB4" s="18" t="s">
        <v>19</v>
      </c>
    </row>
    <row r="5" ht="15.75" customHeight="1">
      <c r="A5" s="213"/>
      <c r="B5" s="16" t="s">
        <v>22</v>
      </c>
      <c r="C5" s="220">
        <f t="shared" ref="C5:C9" si="1">G5+K5</f>
        <v>17655880.25</v>
      </c>
      <c r="D5" s="137"/>
      <c r="E5" s="221" t="str">
        <f t="shared" ref="E5:E9" si="2">I5+M5</f>
        <v>#REF!</v>
      </c>
      <c r="F5" s="149"/>
      <c r="G5" s="135">
        <f>'Summary Sheet - Jan 2026'!G5+'Summary Sheet - Feb 2026'!G5+'Summary Sheet - Mar 2026'!G5</f>
        <v>0</v>
      </c>
      <c r="H5" s="28"/>
      <c r="I5" s="83">
        <f>'Summary Sheet - Jan 2026'!I5+'Summary Sheet - Feb 2026'!I5+'Summary Sheet - Mar 2026'!I5</f>
        <v>0</v>
      </c>
      <c r="J5" s="28"/>
      <c r="K5" s="222">
        <f t="shared" ref="K5:K9" si="3">O5+S5+W5+AA5+AE5+AI5+AM5+AQ5+AU5+AW5+AY5+BA5</f>
        <v>17655880.25</v>
      </c>
      <c r="L5" s="139"/>
      <c r="M5" s="223" t="str">
        <f t="shared" ref="M5:M9" si="4">Q5+U5+Y5+AC5+AG5+AK5+AO5+AS5</f>
        <v>#REF!</v>
      </c>
      <c r="N5" s="139"/>
      <c r="O5" s="194">
        <f>'Summary Sheet - Jan 2026'!O5+'Summary Sheet - Feb 2026'!O5+'Summary Sheet - Mar 2026'!O5</f>
        <v>4135946</v>
      </c>
      <c r="P5" s="28"/>
      <c r="Q5" s="34">
        <f>'Summary Sheet - Jan 2026'!Q5+'Summary Sheet - Feb 2026'!Q5+'Summary Sheet - Mar 2026'!Q5</f>
        <v>7039564</v>
      </c>
      <c r="R5" s="28"/>
      <c r="S5" s="34">
        <f>'Summary Sheet - Oct 2025'!S5+'Summary Sheet - Nov 2025'!S5+'Summary Sheet - Dec 2025'!S5</f>
        <v>0</v>
      </c>
      <c r="T5" s="28"/>
      <c r="U5" s="34" t="str">
        <f>'Summary Sheet - Oct 2025'!U5+'Summary Sheet - Nov 2025'!U5+'Summary Sheet - Dec 2025'!U5</f>
        <v>#REF!</v>
      </c>
      <c r="V5" s="28"/>
      <c r="W5" s="34">
        <f>'Summary Sheet - Jan 2026'!W5+'Summary Sheet - Feb 2026'!W5+'Summary Sheet - Mar 2026'!W5</f>
        <v>4374538</v>
      </c>
      <c r="X5" s="28"/>
      <c r="Y5" s="34">
        <f>'Summary Sheet - Jan 2026'!Y5+'Summary Sheet - Feb 2026'!Y5+'Summary Sheet - Mar 2026'!Y5</f>
        <v>4652984.14</v>
      </c>
      <c r="Z5" s="28"/>
      <c r="AA5" s="34">
        <f>'Summary Sheet - Jan 2026'!AA5+'Summary Sheet - Feb 2026'!AA5+'Summary Sheet - Mar 2026'!AA5</f>
        <v>3199411.25</v>
      </c>
      <c r="AB5" s="28"/>
      <c r="AC5" s="34">
        <f>'Summary Sheet - Jan 2026'!AC5+'Summary Sheet - Feb 2026'!AC5+'Summary Sheet - Mar 2026'!AC5</f>
        <v>3631845</v>
      </c>
      <c r="AD5" s="28"/>
      <c r="AE5" s="34">
        <f>'Summary Sheet - Jan 2026'!AE5+'Summary Sheet - Feb 2026'!AE5+'Summary Sheet - Mar 2026'!AE5</f>
        <v>4989610</v>
      </c>
      <c r="AF5" s="28"/>
      <c r="AG5" s="34">
        <f>'Mg St Bandra'!BH28+'Mg St Bandra'!BN28+'Mg St Bandra'!BT28</f>
        <v>4783028</v>
      </c>
      <c r="AH5" s="28"/>
      <c r="AI5" s="34">
        <f>'Summary Sheet - Oct 2025'!AI5+'Summary Sheet - Nov 2025'!AI5+'Summary Sheet - Dec 2025'!AI5</f>
        <v>0</v>
      </c>
      <c r="AJ5" s="28"/>
      <c r="AK5" s="34" t="str">
        <f>'Summary Sheet - Oct 2025'!AK5+'Summary Sheet - Nov 2025'!AK5+'Summary Sheet - Dec 2025'!AK5</f>
        <v>#REF!</v>
      </c>
      <c r="AL5" s="28"/>
      <c r="AM5" s="34">
        <f>'Summary Sheet - Oct 2025'!AM5+'Summary Sheet - Nov 2025'!AM5+'Summary Sheet - Dec 2025'!AM5</f>
        <v>0</v>
      </c>
      <c r="AN5" s="28"/>
      <c r="AO5" s="34">
        <f>'Summary Sheet - Oct 2025'!AO5+'Summary Sheet - Nov 2025'!AO5+'Summary Sheet - Dec 2025'!AO5</f>
        <v>0</v>
      </c>
      <c r="AP5" s="28"/>
      <c r="AQ5" s="83">
        <f>'Summary Sheet - Jan 2026'!AQ5+'Summary Sheet - Feb 2026'!AQ5+'Summary Sheet - Mar 2026'!AQ5</f>
        <v>956375</v>
      </c>
      <c r="AR5" s="28"/>
      <c r="AS5" s="83">
        <f>'Summary Sheet - Jan 2026'!AS5+'Summary Sheet - Feb 2026'!AS5+'Summary Sheet - Mar 2026'!AS5</f>
        <v>3000000</v>
      </c>
      <c r="AT5" s="28"/>
      <c r="AU5" s="83"/>
      <c r="AV5" s="28"/>
      <c r="AW5" s="83"/>
      <c r="AX5" s="28"/>
      <c r="AY5" s="83">
        <f>'Summary Sheet - Jan 2026'!BC5+'Summary Sheet - Feb 2026'!BC5+'Summary Sheet - Mar 2026'!AY5</f>
        <v>0</v>
      </c>
      <c r="AZ5" s="28"/>
      <c r="BA5" s="83">
        <f>'Summary Sheet - Jan 2026'!BG5+'Summary Sheet - Feb 2026'!BG5+'Summary Sheet - Mar 2026'!BA5</f>
        <v>0</v>
      </c>
      <c r="BB5" s="28"/>
    </row>
    <row r="6" ht="15.75" customHeight="1">
      <c r="A6" s="213"/>
      <c r="B6" s="16" t="s">
        <v>23</v>
      </c>
      <c r="C6" s="224">
        <f t="shared" si="1"/>
        <v>34284313.5</v>
      </c>
      <c r="D6" s="139"/>
      <c r="E6" s="225" t="str">
        <f t="shared" si="2"/>
        <v>#REF!</v>
      </c>
      <c r="F6" s="150"/>
      <c r="G6" s="138">
        <f>'Summary Sheet - Jan 2026'!G6+'Summary Sheet - Feb 2026'!G6+'Summary Sheet - Mar 2026'!G6</f>
        <v>0</v>
      </c>
      <c r="H6" s="43"/>
      <c r="I6" s="114">
        <f>'Summary Sheet - Jan 2026'!I6+'Summary Sheet - Feb 2026'!I6+'Summary Sheet - Mar 2026'!I6</f>
        <v>0</v>
      </c>
      <c r="J6" s="43"/>
      <c r="K6" s="222">
        <f t="shared" si="3"/>
        <v>34284313.5</v>
      </c>
      <c r="L6" s="139"/>
      <c r="M6" s="223" t="str">
        <f t="shared" si="4"/>
        <v>#REF!</v>
      </c>
      <c r="N6" s="139"/>
      <c r="O6" s="194">
        <f>'Summary Sheet - Jan 2026'!O6+'Summary Sheet - Feb 2026'!O6+'Summary Sheet - Mar 2026'!O6</f>
        <v>15529933</v>
      </c>
      <c r="P6" s="43"/>
      <c r="Q6" s="34">
        <f>'Summary Sheet - Jan 2026'!Q6+'Summary Sheet - Feb 2026'!Q6+'Summary Sheet - Mar 2026'!Q6</f>
        <v>12342984</v>
      </c>
      <c r="R6" s="43"/>
      <c r="S6" s="48">
        <f>'Summary Sheet - July 2025'!S6+'Summary Sheet - Aug 2025'!S6+'Summary Sheet - Sep 2025'!S6</f>
        <v>0</v>
      </c>
      <c r="T6" s="43"/>
      <c r="U6" s="48" t="str">
        <f>'Summary Sheet - July 2025'!U6+'Summary Sheet - Aug 2025'!U6+'Summary Sheet - Sep 2025'!U6</f>
        <v>#REF!</v>
      </c>
      <c r="V6" s="43"/>
      <c r="W6" s="34">
        <f>'Summary Sheet - Jan 2026'!W6+'Summary Sheet - Feb 2026'!W6+'Summary Sheet - Mar 2026'!W6</f>
        <v>2940359.5</v>
      </c>
      <c r="X6" s="43"/>
      <c r="Y6" s="34">
        <f>'Summary Sheet - Jan 2026'!Y6+'Summary Sheet - Feb 2026'!Y6+'Summary Sheet - Mar 2026'!Y6</f>
        <v>3076116.82</v>
      </c>
      <c r="Z6" s="43"/>
      <c r="AA6" s="34">
        <f>'Summary Sheet - Jan 2026'!AA6+'Summary Sheet - Feb 2026'!AA6+'Summary Sheet - Mar 2026'!AA6</f>
        <v>0</v>
      </c>
      <c r="AB6" s="43"/>
      <c r="AC6" s="34">
        <f>'Summary Sheet - Jan 2026'!AC6+'Summary Sheet - Feb 2026'!AC6+'Summary Sheet - Mar 2026'!AC6</f>
        <v>0</v>
      </c>
      <c r="AD6" s="43"/>
      <c r="AE6" s="34">
        <f>'Summary Sheet - Jan 2026'!AE6+'Summary Sheet - Feb 2026'!AE6+'Summary Sheet - Mar 2026'!AE6</f>
        <v>6094646</v>
      </c>
      <c r="AF6" s="43"/>
      <c r="AG6" s="34">
        <f>'Mg St Bandra'!BH29+'Mg St Bandra'!BN29+'Mg St Bandra'!BT29</f>
        <v>5994449</v>
      </c>
      <c r="AH6" s="43"/>
      <c r="AI6" s="48">
        <f>'Summary Sheet - July 2025'!AI6+'Summary Sheet - Aug 2025'!AI6+'Summary Sheet - Sep 2025'!AI6</f>
        <v>0</v>
      </c>
      <c r="AJ6" s="43"/>
      <c r="AK6" s="48" t="str">
        <f>'Summary Sheet - July 2025'!AK6+'Summary Sheet - Aug 2025'!AK6+'Summary Sheet - Sep 2025'!AK6</f>
        <v>#REF!</v>
      </c>
      <c r="AL6" s="43"/>
      <c r="AM6" s="48">
        <f>'Summary Sheet - July 2025'!AM6+'Summary Sheet - Aug 2025'!AM6+'Summary Sheet - Sep 2025'!AM6</f>
        <v>0</v>
      </c>
      <c r="AN6" s="43"/>
      <c r="AO6" s="48">
        <f>'Summary Sheet - July 2025'!AO6+'Summary Sheet - Aug 2025'!AO6+'Summary Sheet - Sep 2025'!AO6</f>
        <v>0</v>
      </c>
      <c r="AP6" s="43"/>
      <c r="AQ6" s="114">
        <f>'Summary Sheet - Jan 2026'!AQ6+'Summary Sheet - Feb 2026'!AQ6+'Summary Sheet - Mar 2026'!AQ6</f>
        <v>9719375</v>
      </c>
      <c r="AR6" s="43"/>
      <c r="AS6" s="114">
        <f>'Summary Sheet - Jan 2026'!AS6+'Summary Sheet - Feb 2026'!AS6+'Summary Sheet - Mar 2026'!AS6</f>
        <v>0</v>
      </c>
      <c r="AT6" s="43"/>
      <c r="AU6" s="114"/>
      <c r="AV6" s="43"/>
      <c r="AW6" s="114"/>
      <c r="AX6" s="43"/>
      <c r="AY6" s="114"/>
      <c r="AZ6" s="43"/>
      <c r="BA6" s="114">
        <f>'Summary Sheet - Jan 2026'!BG6+'Summary Sheet - Feb 2026'!BG6+'Summary Sheet - Mar 2026'!BA6</f>
        <v>0</v>
      </c>
      <c r="BB6" s="43"/>
    </row>
    <row r="7" ht="15.75" customHeight="1">
      <c r="A7" s="213"/>
      <c r="B7" s="16" t="s">
        <v>24</v>
      </c>
      <c r="C7" s="224">
        <f t="shared" si="1"/>
        <v>170806785.4</v>
      </c>
      <c r="D7" s="139"/>
      <c r="E7" s="225" t="str">
        <f t="shared" si="2"/>
        <v>#REF!</v>
      </c>
      <c r="F7" s="150"/>
      <c r="G7" s="138">
        <f>'Summary Sheet - Jan 2026'!G7+'Summary Sheet - Feb 2026'!G7+'Summary Sheet - Mar 2026'!G7</f>
        <v>0</v>
      </c>
      <c r="H7" s="43"/>
      <c r="I7" s="114">
        <f>'Summary Sheet - Jan 2026'!I7+'Summary Sheet - Feb 2026'!I7+'Summary Sheet - Mar 2026'!I7</f>
        <v>0</v>
      </c>
      <c r="J7" s="43"/>
      <c r="K7" s="222">
        <f t="shared" si="3"/>
        <v>170806785.4</v>
      </c>
      <c r="L7" s="139"/>
      <c r="M7" s="223" t="str">
        <f t="shared" si="4"/>
        <v>#REF!</v>
      </c>
      <c r="N7" s="139"/>
      <c r="O7" s="194">
        <f>'Summary Sheet - Jan 2026'!O7+'Summary Sheet - Feb 2026'!O7+'Summary Sheet - Mar 2026'!O7</f>
        <v>44497048.86</v>
      </c>
      <c r="P7" s="43"/>
      <c r="Q7" s="34">
        <f>'Summary Sheet - Jan 2026'!Q7+'Summary Sheet - Feb 2026'!Q7+'Summary Sheet - Mar 2026'!Q7</f>
        <v>33387797</v>
      </c>
      <c r="R7" s="43"/>
      <c r="S7" s="48">
        <f>'Summary Sheet - Jan 2026'!S7+'Summary Sheet - Feb 2026'!S7+'Summary Sheet - Mar 2026'!S7</f>
        <v>4115965.07</v>
      </c>
      <c r="T7" s="43"/>
      <c r="U7" s="48" t="str">
        <f>'Summary Sheet - Jan 2026'!U7+'Summary Sheet - Feb 2026'!U7+'Summary Sheet - Mar 2026'!U7</f>
        <v>#REF!</v>
      </c>
      <c r="V7" s="43"/>
      <c r="W7" s="34">
        <f>'Summary Sheet - Jan 2026'!W7+'Summary Sheet - Feb 2026'!W7+'Summary Sheet - Mar 2026'!W7</f>
        <v>38953267.07</v>
      </c>
      <c r="X7" s="43"/>
      <c r="Y7" s="34">
        <f>'Summary Sheet - Jan 2026'!Y7+'Summary Sheet - Feb 2026'!Y7+'Summary Sheet - Mar 2026'!Y7</f>
        <v>34015867.24</v>
      </c>
      <c r="Z7" s="43"/>
      <c r="AA7" s="34">
        <f>'Summary Sheet - Jan 2026'!AA7+'Summary Sheet - Feb 2026'!AA7+'Summary Sheet - Mar 2026'!AA7</f>
        <v>24107173.1</v>
      </c>
      <c r="AB7" s="43"/>
      <c r="AC7" s="34">
        <f>'Summary Sheet - Jan 2026'!AC7+'Summary Sheet - Feb 2026'!AC7+'Summary Sheet - Mar 2026'!AC7</f>
        <v>24452610</v>
      </c>
      <c r="AD7" s="43"/>
      <c r="AE7" s="34">
        <f>'Summary Sheet - Jan 2026'!AE7+'Summary Sheet - Feb 2026'!AE7+'Summary Sheet - Mar 2026'!AE7</f>
        <v>39684976.36</v>
      </c>
      <c r="AF7" s="43"/>
      <c r="AG7" s="34">
        <f>'Mg St Bandra'!BH30+'Mg St Bandra'!BN30+'Mg St Bandra'!BT30</f>
        <v>34884266</v>
      </c>
      <c r="AH7" s="43"/>
      <c r="AI7" s="48">
        <f>'Summary Sheet - Jan 2026'!AI7+'Summary Sheet - Feb 2026'!AI7+'Summary Sheet - Mar 2026'!AI7</f>
        <v>521899</v>
      </c>
      <c r="AJ7" s="43"/>
      <c r="AK7" s="48" t="str">
        <f>'Summary Sheet - Jan 2026'!AK7+'Summary Sheet - Feb 2026'!AK7+'Summary Sheet - Mar 2026'!AK7</f>
        <v>#REF!</v>
      </c>
      <c r="AL7" s="43"/>
      <c r="AM7" s="48">
        <f>'Summary Sheet - Jan 2026'!AM7+'Summary Sheet - Feb 2026'!AM7+'Summary Sheet - Mar 2026'!AM7</f>
        <v>2606906.65</v>
      </c>
      <c r="AN7" s="43"/>
      <c r="AO7" s="48">
        <f>'Summary Sheet - Jan 2026'!AO7+'Summary Sheet - Feb 2026'!AO7+'Summary Sheet - Mar 2026'!AO7</f>
        <v>233590</v>
      </c>
      <c r="AP7" s="43"/>
      <c r="AQ7" s="114">
        <f>'Summary Sheet - Jan 2026'!AQ7+'Summary Sheet - Feb 2026'!AQ7+'Summary Sheet - Mar 2026'!AQ7</f>
        <v>12978793</v>
      </c>
      <c r="AR7" s="43"/>
      <c r="AS7" s="114">
        <f>'Summary Sheet - Jan 2026'!AS7+'Summary Sheet - Feb 2026'!AS7+'Summary Sheet - Mar 2026'!AS7</f>
        <v>12000000</v>
      </c>
      <c r="AT7" s="43"/>
      <c r="AU7" s="114">
        <f>'Summary Sheet - Jan 2026'!AU7+'Summary Sheet - Feb 2026'!AU7+'Summary Sheet - Mar 2026'!AU7</f>
        <v>1024478.65</v>
      </c>
      <c r="AV7" s="43"/>
      <c r="AW7" s="114">
        <f>'Summary Sheet - Jan 2026'!AY7+'Summary Sheet - Feb 2026'!AY7+'Summary Sheet - Mar 2026'!AW7</f>
        <v>430147.87</v>
      </c>
      <c r="AX7" s="43"/>
      <c r="AY7" s="114">
        <f>'Summary Sheet - Jan 2026'!BC7+'Summary Sheet - Feb 2026'!BC7+'Summary Sheet - Mar 2026'!AY7</f>
        <v>545403.76</v>
      </c>
      <c r="AZ7" s="43"/>
      <c r="BA7" s="114">
        <f>'Summary Sheet - Jan 2026'!BG7+'Summary Sheet - Feb 2026'!BG7+'Summary Sheet - Mar 2026'!BA7</f>
        <v>1340726</v>
      </c>
      <c r="BB7" s="43"/>
    </row>
    <row r="8" ht="15.75" customHeight="1">
      <c r="A8" s="213"/>
      <c r="B8" s="16" t="s">
        <v>25</v>
      </c>
      <c r="C8" s="226">
        <f t="shared" si="1"/>
        <v>15056085.23</v>
      </c>
      <c r="D8" s="142"/>
      <c r="E8" s="227" t="str">
        <f t="shared" si="2"/>
        <v>#REF!</v>
      </c>
      <c r="F8" s="151"/>
      <c r="G8" s="141">
        <f>'Summary Sheet - Jan 2026'!G9+'Summary Sheet - Feb 2026'!G8+'Summary Sheet - Mar 2026'!G8</f>
        <v>0</v>
      </c>
      <c r="H8" s="55"/>
      <c r="I8" s="62">
        <f>'Summary Sheet - Jan 2026'!I9+'Summary Sheet - Feb 2026'!I8+'Summary Sheet - Mar 2026'!I8</f>
        <v>0</v>
      </c>
      <c r="J8" s="55"/>
      <c r="K8" s="222">
        <f t="shared" si="3"/>
        <v>15056085.23</v>
      </c>
      <c r="L8" s="139"/>
      <c r="M8" s="223" t="str">
        <f t="shared" si="4"/>
        <v>#REF!</v>
      </c>
      <c r="N8" s="139"/>
      <c r="O8" s="194">
        <f>'Summary Sheet - Jan 2026'!O8+'Summary Sheet - Feb 2026'!O8+'Summary Sheet - Mar 2026'!O8</f>
        <v>5743424.03</v>
      </c>
      <c r="P8" s="43"/>
      <c r="Q8" s="34">
        <f>'Summary Sheet - Jan 2026'!Q8+'Summary Sheet - Feb 2026'!Q8+'Summary Sheet - Mar 2026'!Q8</f>
        <v>4290229</v>
      </c>
      <c r="R8" s="43"/>
      <c r="S8" s="60">
        <f>'Summary Sheet - Jan 2026'!S8+'Summary Sheet - Feb 2026'!S8+'Summary Sheet - Mar 2026'!S8</f>
        <v>0</v>
      </c>
      <c r="T8" s="43"/>
      <c r="U8" s="60" t="str">
        <f>'Summary Sheet - Jan 2026'!U8+'Summary Sheet - Feb 2026'!U8+'Summary Sheet - Mar 2026'!U8</f>
        <v>#REF!</v>
      </c>
      <c r="V8" s="43"/>
      <c r="W8" s="34">
        <f>'Summary Sheet - Jan 2026'!W8+'Summary Sheet - Feb 2026'!W8+'Summary Sheet - Mar 2026'!W8</f>
        <v>2730514.9</v>
      </c>
      <c r="X8" s="43"/>
      <c r="Y8" s="34">
        <f>'Summary Sheet - Jan 2026'!Y8+'Summary Sheet - Feb 2026'!Y8+'Summary Sheet - Mar 2026'!Y8</f>
        <v>2988939.723</v>
      </c>
      <c r="Z8" s="43"/>
      <c r="AA8" s="34">
        <f>'Summary Sheet - Jan 2026'!AA8+'Summary Sheet - Feb 2026'!AA8+'Summary Sheet - Mar 2026'!AA8</f>
        <v>1009042.54</v>
      </c>
      <c r="AB8" s="43"/>
      <c r="AC8" s="34">
        <f>'Summary Sheet - Jan 2026'!AC8+'Summary Sheet - Feb 2026'!AC8+'Summary Sheet - Mar 2026'!AC8</f>
        <v>1671025.073</v>
      </c>
      <c r="AD8" s="43"/>
      <c r="AE8" s="83">
        <f>'Summary Sheet - Jan 2026'!AE8+'Summary Sheet - Feb 2026'!AE8+'Summary Sheet - Mar 2026'!AE8</f>
        <v>3251766.76</v>
      </c>
      <c r="AF8" s="43"/>
      <c r="AG8" s="83">
        <f>'Summary Sheet - Jan 2026'!AG8+'Summary Sheet - Feb 2026'!AG8+'Summary Sheet - Mar 2026'!AG8</f>
        <v>4109556.87</v>
      </c>
      <c r="AH8" s="43"/>
      <c r="AI8" s="62">
        <f>'Summary Sheet - Jan 2026'!AI8+'Summary Sheet - Feb 2026'!AI8+'Summary Sheet - Mar 2026'!AI8</f>
        <v>0</v>
      </c>
      <c r="AJ8" s="43"/>
      <c r="AK8" s="55" t="str">
        <f>'Summary Sheet - Jan 2026'!AK8+'Summary Sheet - Feb 2026'!AK8+'Summary Sheet - Mar 2026'!AK8</f>
        <v>#REF!</v>
      </c>
      <c r="AL8" s="43"/>
      <c r="AM8" s="60">
        <f>'Summary Sheet - Jan 2026'!AM8+'Summary Sheet - Feb 2026'!AM8+'Summary Sheet - Mar 2026'!AM8</f>
        <v>0</v>
      </c>
      <c r="AN8" s="43"/>
      <c r="AO8" s="60">
        <f>'Summary Sheet - Jan 2026'!AO8+'Summary Sheet - Feb 2026'!AO8+'Summary Sheet - Mar 2026'!AO8</f>
        <v>0</v>
      </c>
      <c r="AP8" s="43"/>
      <c r="AQ8" s="62">
        <f>'Summary Sheet - Jan 2026'!AQ8+'Summary Sheet - Feb 2026'!AQ8+'Summary Sheet - Mar 2026'!AQ8</f>
        <v>2321337</v>
      </c>
      <c r="AR8" s="43"/>
      <c r="AS8" s="62">
        <f>'Summary Sheet - Jan 2026'!AS8+'Summary Sheet - Feb 2026'!AS8+'Summary Sheet - Mar 2026'!AS8</f>
        <v>0</v>
      </c>
      <c r="AT8" s="43"/>
      <c r="AU8" s="114">
        <f>'Summary Sheet - Jan 2026'!AU8+'Summary Sheet - Feb 2026'!AU8+'Summary Sheet - Mar 2026'!AU8</f>
        <v>0</v>
      </c>
      <c r="AV8" s="43"/>
      <c r="AW8" s="114">
        <f>'Summary Sheet - Jan 2026'!AY8+'Summary Sheet - Feb 2026'!AY8+'Summary Sheet - Mar 2026'!AW8</f>
        <v>0</v>
      </c>
      <c r="AX8" s="43"/>
      <c r="AY8" s="114">
        <f>'Summary Sheet - Jan 2026'!BC8+'Summary Sheet - Feb 2026'!BC8+'Summary Sheet - Mar 2026'!AY8</f>
        <v>0</v>
      </c>
      <c r="AZ8" s="43"/>
      <c r="BA8" s="114">
        <f>'Summary Sheet - Jan 2026'!BG8+'Summary Sheet - Feb 2026'!BG8+'Summary Sheet - Mar 2026'!BA8</f>
        <v>0</v>
      </c>
      <c r="BB8" s="43"/>
    </row>
    <row r="9" ht="15.75" customHeight="1">
      <c r="A9" s="213"/>
      <c r="B9" s="228" t="s">
        <v>26</v>
      </c>
      <c r="C9" s="226">
        <f t="shared" si="1"/>
        <v>134130</v>
      </c>
      <c r="D9" s="142"/>
      <c r="E9" s="227">
        <f t="shared" si="2"/>
        <v>0</v>
      </c>
      <c r="F9" s="151"/>
      <c r="G9" s="141">
        <f>'Summary Sheet - Jan 2026'!G10+'Summary Sheet - Feb 2026'!G9+'Summary Sheet - Mar 2026'!G9</f>
        <v>0</v>
      </c>
      <c r="H9" s="55"/>
      <c r="I9" s="62">
        <f>'Summary Sheet - Jan 2026'!I10+'Summary Sheet - Feb 2026'!I9+'Summary Sheet - Mar 2026'!I9</f>
        <v>0</v>
      </c>
      <c r="J9" s="55"/>
      <c r="K9" s="222">
        <f t="shared" si="3"/>
        <v>134130</v>
      </c>
      <c r="L9" s="139"/>
      <c r="M9" s="223">
        <f t="shared" si="4"/>
        <v>0</v>
      </c>
      <c r="N9" s="139"/>
      <c r="O9" s="194">
        <f>'Summary Sheet - Jan 2026'!O9+'Summary Sheet - Feb 2026'!O9+'Summary Sheet - Mar 2026'!O9</f>
        <v>48900</v>
      </c>
      <c r="P9" s="100"/>
      <c r="Q9" s="194">
        <f>'Summary Sheet - Jan 2026'!Q9+'Summary Sheet - Feb 2026'!Q9</f>
        <v>0</v>
      </c>
      <c r="R9" s="100"/>
      <c r="S9" s="60">
        <f>'Summary Sheet - Jan 2026'!S9+'Summary Sheet - Feb 2026'!S9+'Summary Sheet - Mar 2026'!S9</f>
        <v>0</v>
      </c>
      <c r="T9" s="100"/>
      <c r="U9" s="60">
        <f>'Summary Sheet - Jan 2026'!U9+'Summary Sheet - Feb 2026'!U9+'Summary Sheet - Mar 2026'!U9</f>
        <v>0</v>
      </c>
      <c r="V9" s="100"/>
      <c r="W9" s="34">
        <f>'Summary Sheet - Jan 2026'!W9+'Summary Sheet - Feb 2026'!W9+'Summary Sheet - Mar 2026'!W9</f>
        <v>45600</v>
      </c>
      <c r="X9" s="100"/>
      <c r="Y9" s="34">
        <f>'Summary Sheet - Jan 2026'!Y9+'Summary Sheet - Feb 2026'!Y9+'Summary Sheet - Mar 2026'!Y9</f>
        <v>0</v>
      </c>
      <c r="Z9" s="100"/>
      <c r="AA9" s="34">
        <f>'Summary Sheet - Jan 2026'!AA9+'Summary Sheet - Feb 2026'!AA9+'Summary Sheet - Mar 2026'!AA9</f>
        <v>8050</v>
      </c>
      <c r="AB9" s="100"/>
      <c r="AC9" s="34">
        <f>'Summary Sheet - Jan 2026'!AC9+'Summary Sheet - Feb 2026'!AC9+'Summary Sheet - Mar 2026'!AC9</f>
        <v>0</v>
      </c>
      <c r="AD9" s="100"/>
      <c r="AE9" s="83">
        <f>'Summary Sheet - Jan 2026'!AE9+'Summary Sheet - Feb 2026'!AE9+'Summary Sheet - Mar 2026'!AE9</f>
        <v>17600</v>
      </c>
      <c r="AF9" s="100"/>
      <c r="AG9" s="83">
        <f>'Summary Sheet - Jan 2026'!AG9+'Summary Sheet - Feb 2026'!AG9+'Summary Sheet - Mar 2026'!AG9</f>
        <v>0</v>
      </c>
      <c r="AH9" s="100"/>
      <c r="AI9" s="62">
        <f>'Summary Sheet - Jan 2026'!AI9+'Summary Sheet - Feb 2026'!AI9+'Summary Sheet - Mar 2026'!AI9</f>
        <v>0</v>
      </c>
      <c r="AJ9" s="100"/>
      <c r="AK9" s="62">
        <f>'Summary Sheet - Jan 2026'!AK9+'Summary Sheet - Feb 2026'!AK9+'Summary Sheet - Mar 2026'!AK9</f>
        <v>0</v>
      </c>
      <c r="AL9" s="100"/>
      <c r="AM9" s="60">
        <f>'Summary Sheet - Jan 2026'!AM9+'Summary Sheet - Feb 2026'!AM9+'Summary Sheet - Mar 2026'!AM9</f>
        <v>0</v>
      </c>
      <c r="AN9" s="100"/>
      <c r="AO9" s="60">
        <f>'Summary Sheet - Jan 2026'!AO9+'Summary Sheet - Feb 2026'!AO9+'Summary Sheet - Mar 2026'!AO9</f>
        <v>0</v>
      </c>
      <c r="AP9" s="100"/>
      <c r="AQ9" s="62">
        <f>'Summary Sheet - Jan 2026'!AQ9+'Summary Sheet - Feb 2026'!AQ9+'Summary Sheet - Mar 2026'!AQ9</f>
        <v>13980</v>
      </c>
      <c r="AR9" s="100"/>
      <c r="AS9" s="62">
        <f>'Summary Sheet - Jan 2026'!AS9+'Summary Sheet - Feb 2026'!AS9+'Summary Sheet - Mar 2026'!AS9</f>
        <v>0</v>
      </c>
      <c r="AT9" s="100"/>
      <c r="AU9" s="114">
        <f>'Summary Sheet - Jan 2026'!AU9+'Summary Sheet - Feb 2026'!AU9+'Summary Sheet - Mar 2026'!AU9</f>
        <v>0</v>
      </c>
      <c r="AV9" s="100"/>
      <c r="AW9" s="114">
        <f>'Summary Sheet - Jan 2026'!AY9+'Summary Sheet - Feb 2026'!AY9+'Summary Sheet - Mar 2026'!AW9</f>
        <v>0</v>
      </c>
      <c r="AX9" s="100"/>
      <c r="AY9" s="114">
        <f>'Summary Sheet - Jan 2026'!BC9+'Summary Sheet - Feb 2026'!BC9+'Summary Sheet - Mar 2026'!AY9</f>
        <v>0</v>
      </c>
      <c r="AZ9" s="100"/>
      <c r="BA9" s="114">
        <f>'Summary Sheet - Jan 2026'!BG9+'Summary Sheet - Feb 2026'!BG9+'Summary Sheet - Mar 2026'!BA9</f>
        <v>0</v>
      </c>
      <c r="BB9" s="100"/>
    </row>
    <row r="10" ht="15.75" customHeight="1">
      <c r="A10" s="213"/>
      <c r="B10" s="16" t="s">
        <v>27</v>
      </c>
      <c r="C10" s="89">
        <f>SUM(C5:C9)</f>
        <v>237937194.4</v>
      </c>
      <c r="D10" s="70"/>
      <c r="E10" s="89" t="str">
        <f>SUM(E5:E9)</f>
        <v>#REF!</v>
      </c>
      <c r="F10" s="73"/>
      <c r="G10" s="145">
        <f>SUM(G5:G8)</f>
        <v>0</v>
      </c>
      <c r="H10" s="147"/>
      <c r="I10" s="145">
        <f>SUM(I5:I8)</f>
        <v>0</v>
      </c>
      <c r="J10" s="229"/>
      <c r="K10" s="89">
        <f>SUM(K5:K9)</f>
        <v>237937194.4</v>
      </c>
      <c r="L10" s="70"/>
      <c r="M10" s="89" t="str">
        <f>SUM(M5:M9)</f>
        <v>#REF!</v>
      </c>
      <c r="N10" s="73"/>
      <c r="O10" s="200">
        <f>SUM(O5:O9)</f>
        <v>69955251.89</v>
      </c>
      <c r="P10" s="147"/>
      <c r="Q10" s="118">
        <f>SUM(Q5:Q9)</f>
        <v>57060574</v>
      </c>
      <c r="R10" s="147"/>
      <c r="S10" s="118">
        <f>SUM(S5:S9)</f>
        <v>4115965.07</v>
      </c>
      <c r="T10" s="147"/>
      <c r="U10" s="118" t="str">
        <f>SUM(U5:U9)</f>
        <v>#REF!</v>
      </c>
      <c r="V10" s="147"/>
      <c r="W10" s="118">
        <f>SUM(W5:W9)</f>
        <v>49044279.47</v>
      </c>
      <c r="X10" s="147"/>
      <c r="Y10" s="118">
        <f>SUM(Y5:Y9)</f>
        <v>44733907.92</v>
      </c>
      <c r="Z10" s="147"/>
      <c r="AA10" s="118">
        <f>SUM(AA5:AA9)</f>
        <v>28323676.89</v>
      </c>
      <c r="AB10" s="147"/>
      <c r="AC10" s="118">
        <f>SUM(AC5:AC9)</f>
        <v>29755480.07</v>
      </c>
      <c r="AD10" s="147"/>
      <c r="AE10" s="118">
        <f>SUM(AE5:AE9)</f>
        <v>54038599.12</v>
      </c>
      <c r="AF10" s="147"/>
      <c r="AG10" s="118">
        <f>SUM(AG5:AG9)</f>
        <v>49771299.87</v>
      </c>
      <c r="AH10" s="147"/>
      <c r="AI10" s="118">
        <f>SUM(AI5:AI9)</f>
        <v>521899</v>
      </c>
      <c r="AJ10" s="147"/>
      <c r="AK10" s="118" t="str">
        <f>SUM(AK5:AK9)</f>
        <v>#REF!</v>
      </c>
      <c r="AL10" s="147"/>
      <c r="AM10" s="118">
        <f>SUM(AM5:AM9)</f>
        <v>2606906.65</v>
      </c>
      <c r="AN10" s="147"/>
      <c r="AO10" s="118">
        <f>SUM(AO5:AO9)</f>
        <v>233590</v>
      </c>
      <c r="AP10" s="147"/>
      <c r="AQ10" s="118">
        <f>SUM(AQ5:AQ9)</f>
        <v>25989860</v>
      </c>
      <c r="AR10" s="147"/>
      <c r="AS10" s="118">
        <f>SUM(AS5:AS9)</f>
        <v>15000000</v>
      </c>
      <c r="AT10" s="147"/>
      <c r="AU10" s="118">
        <f>SUM(AU5:AU9)</f>
        <v>1024478.65</v>
      </c>
      <c r="AV10" s="147"/>
      <c r="AW10" s="118">
        <f>SUM(AW5:AW9)</f>
        <v>430147.87</v>
      </c>
      <c r="AX10" s="147"/>
      <c r="AY10" s="118">
        <f>SUM(AY5:AY9)</f>
        <v>545403.76</v>
      </c>
      <c r="AZ10" s="147"/>
      <c r="BA10" s="118">
        <f>SUM(BA5:BA9)</f>
        <v>1340726</v>
      </c>
      <c r="BB10" s="147"/>
    </row>
    <row r="11" ht="15.75" customHeight="1">
      <c r="A11" s="213"/>
      <c r="B11" s="230"/>
      <c r="C11" s="220"/>
      <c r="D11" s="137"/>
      <c r="E11" s="221"/>
      <c r="F11" s="149"/>
      <c r="G11" s="135">
        <f>'Summary Sheet - Jan 2026'!G11+'Summary Sheet - Feb 2026'!G11+'Summary Sheet - Mar 2026'!G11</f>
        <v>0</v>
      </c>
      <c r="H11" s="28"/>
      <c r="I11" s="83">
        <f>'Summary Sheet - Jan 2026'!I11+'Summary Sheet - Feb 2026'!I11+'Summary Sheet - Mar 2026'!I11</f>
        <v>0</v>
      </c>
      <c r="J11" s="28"/>
      <c r="K11" s="221"/>
      <c r="L11" s="137"/>
      <c r="M11" s="221"/>
      <c r="N11" s="137"/>
      <c r="O11" s="28"/>
      <c r="P11" s="28"/>
      <c r="Q11" s="83">
        <f>'Summary Sheet - Jan 2026'!Q11+'Summary Sheet - Feb 2026'!Q11+'Summary Sheet - Mar 2026'!Q11</f>
        <v>0</v>
      </c>
      <c r="R11" s="28"/>
      <c r="S11" s="83">
        <f>'Summary Sheet - Jan 2026'!S11+'Summary Sheet - Feb 2026'!S11+'Summary Sheet - Mar 2026'!S11</f>
        <v>0</v>
      </c>
      <c r="T11" s="28"/>
      <c r="U11" s="83">
        <f>'Summary Sheet - Jan 2026'!U11+'Summary Sheet - Feb 2026'!U11+'Summary Sheet - Mar 2026'!U11</f>
        <v>0</v>
      </c>
      <c r="V11" s="28"/>
      <c r="W11" s="83">
        <f>'Summary Sheet - Jan 2026'!W11+'Summary Sheet - Feb 2026'!W11+'Summary Sheet - Mar 2026'!W11</f>
        <v>0</v>
      </c>
      <c r="X11" s="28"/>
      <c r="Y11" s="83">
        <f>'Summary Sheet - Jan 2026'!Y11+'Summary Sheet - Feb 2026'!Y11+'Summary Sheet - Mar 2026'!Y11</f>
        <v>0</v>
      </c>
      <c r="Z11" s="28"/>
      <c r="AA11" s="83">
        <f>'Summary Sheet - Jan 2026'!AA11+'Summary Sheet - Feb 2026'!AA11+'Summary Sheet - Mar 2026'!AA11</f>
        <v>0</v>
      </c>
      <c r="AB11" s="28"/>
      <c r="AC11" s="83">
        <f>'Summary Sheet - Jan 2026'!AC11+'Summary Sheet - Feb 2026'!AC11+'Summary Sheet - Mar 2026'!AC11</f>
        <v>0</v>
      </c>
      <c r="AD11" s="28"/>
      <c r="AE11" s="28"/>
      <c r="AF11" s="28"/>
      <c r="AG11" s="28"/>
      <c r="AH11" s="28"/>
      <c r="AI11" s="28"/>
      <c r="AJ11" s="28"/>
      <c r="AK11" s="83">
        <f>'Summary Sheet - Jan 2026'!AK11+'Summary Sheet - Feb 2026'!AK11+'Summary Sheet - Mar 2026'!AK11</f>
        <v>0</v>
      </c>
      <c r="AL11" s="28"/>
      <c r="AM11" s="83">
        <f>'Summary Sheet - Jan 2026'!AM11+'Summary Sheet - Feb 2026'!AM11+'Summary Sheet - Mar 2026'!AM11</f>
        <v>0</v>
      </c>
      <c r="AN11" s="28"/>
      <c r="AO11" s="83">
        <f>'Summary Sheet - Jan 2026'!AO11+'Summary Sheet - Feb 2026'!AO11+'Summary Sheet - Mar 2026'!AO11</f>
        <v>0</v>
      </c>
      <c r="AP11" s="28"/>
      <c r="AQ11" s="83">
        <f>'Summary Sheet - Jan 2026'!AQ11+'Summary Sheet - Feb 2026'!AQ11+'Summary Sheet - Mar 2026'!AQ11</f>
        <v>0</v>
      </c>
      <c r="AR11" s="28"/>
      <c r="AS11" s="83">
        <f>'Summary Sheet - Jan 2026'!AS11+'Summary Sheet - Feb 2026'!AS11+'Summary Sheet - Mar 2026'!AS11</f>
        <v>0</v>
      </c>
      <c r="AT11" s="28"/>
      <c r="AU11" s="83"/>
      <c r="AV11" s="28"/>
      <c r="AW11" s="83"/>
      <c r="AX11" s="28"/>
      <c r="AY11" s="83"/>
      <c r="AZ11" s="28"/>
      <c r="BA11" s="83"/>
      <c r="BB11" s="28"/>
    </row>
    <row r="12" ht="15.75" customHeight="1">
      <c r="A12" s="213"/>
      <c r="B12" s="16" t="s">
        <v>29</v>
      </c>
      <c r="C12" s="224">
        <f t="shared" ref="C12:C13" si="5">G12+K12</f>
        <v>75091442.74</v>
      </c>
      <c r="D12" s="139"/>
      <c r="E12" s="225" t="str">
        <f t="shared" ref="E12:E13" si="6">I12+M12</f>
        <v>#REF!</v>
      </c>
      <c r="F12" s="150"/>
      <c r="G12" s="138">
        <f>'Summary Sheet - Jan 2026'!G12+'Summary Sheet - Feb 2026'!G12+'Summary Sheet - Mar 2026'!G12</f>
        <v>0</v>
      </c>
      <c r="H12" s="43"/>
      <c r="I12" s="114">
        <f>'Summary Sheet - Jan 2026'!I12+'Summary Sheet - Feb 2026'!I12+'Summary Sheet - Mar 2026'!I12</f>
        <v>0</v>
      </c>
      <c r="J12" s="43"/>
      <c r="K12" s="222">
        <f t="shared" ref="K12:K13" si="7">O12+S12+W12+AA12+AE12+AI12+AM12+AQ12+AU12+AW12+AY12+BA12</f>
        <v>75091442.74</v>
      </c>
      <c r="L12" s="139"/>
      <c r="M12" s="223" t="str">
        <f t="shared" ref="M12:M13" si="8">Q12+U12+Y12+AC12+AG12+AK12+AO12+AS12</f>
        <v>#REF!</v>
      </c>
      <c r="N12" s="139"/>
      <c r="O12" s="34">
        <f>'Summary Sheet - Jan 2026'!O12+'Summary Sheet - Feb 2026'!O12+'Summary Sheet - Mar 2026'!O12</f>
        <v>21613305.26</v>
      </c>
      <c r="P12" s="43"/>
      <c r="Q12" s="34">
        <f>'Summary Sheet - Jan 2026'!Q12+'Summary Sheet - Feb 2026'!Q12+'Summary Sheet - Mar 2026'!Q12</f>
        <v>21985339.51</v>
      </c>
      <c r="R12" s="43"/>
      <c r="S12" s="48">
        <f>'Summary Sheet - Jan 2026'!S12+'Summary Sheet - Feb 2026'!S12+'Summary Sheet - Mar 2026'!S12</f>
        <v>1185344.51</v>
      </c>
      <c r="T12" s="43"/>
      <c r="U12" s="48" t="str">
        <f>'Summary Sheet - Jan 2026'!U12+'Summary Sheet - Feb 2026'!U12+'Summary Sheet - Mar 2026'!U12</f>
        <v>#REF!</v>
      </c>
      <c r="V12" s="43"/>
      <c r="W12" s="48">
        <f>'Summary Sheet - Jan 2026'!W12+'Summary Sheet - Feb 2026'!W12+'Summary Sheet - Mar 2026'!W12</f>
        <v>14246023.7</v>
      </c>
      <c r="X12" s="43"/>
      <c r="Y12" s="48">
        <f>'Summary Sheet - Jan 2026'!Y12+'Summary Sheet - Feb 2026'!Y12+'Summary Sheet - Mar 2026'!Y12</f>
        <v>12330868.29</v>
      </c>
      <c r="Z12" s="43"/>
      <c r="AA12" s="48">
        <f>'Summary Sheet - Jan 2026'!AA12+'Summary Sheet - Feb 2026'!AA12+'Summary Sheet - Mar 2026'!AA12</f>
        <v>7628315.747</v>
      </c>
      <c r="AB12" s="43"/>
      <c r="AC12" s="48">
        <f>'Summary Sheet - Jan 2026'!AC12+'Summary Sheet - Feb 2026'!AC12+'Summary Sheet - Mar 2026'!AC12</f>
        <v>7173663.042</v>
      </c>
      <c r="AD12" s="43"/>
      <c r="AE12" s="48">
        <f>'Summary Sheet - Jan 2026'!AE12+'Summary Sheet - Feb 2026'!AE12+'Summary Sheet - Mar 2026'!AE12</f>
        <v>14887350.88</v>
      </c>
      <c r="AF12" s="43"/>
      <c r="AG12" s="48">
        <f>'Summary Sheet - Jan 2026'!AG12+'Summary Sheet - Feb 2026'!AG12+'Summary Sheet - Mar 2026'!AG12</f>
        <v>14570531.18</v>
      </c>
      <c r="AH12" s="43"/>
      <c r="AI12" s="114">
        <f>'Summary Sheet - Jan 2026'!AI12+'Summary Sheet - Feb 2026'!AI12+'Summary Sheet - Mar 2026'!AI12</f>
        <v>0</v>
      </c>
      <c r="AJ12" s="43"/>
      <c r="AK12" s="43" t="str">
        <f>'Summary Sheet - Jan 2026'!AK12+'Summary Sheet - Feb 2026'!AK12+'Summary Sheet - Mar 2026'!AK12</f>
        <v>#REF!</v>
      </c>
      <c r="AL12" s="43"/>
      <c r="AM12" s="48">
        <f>'Summary Sheet - Jan 2026'!AM12+'Summary Sheet - Feb 2026'!AM12+'Summary Sheet - Mar 2026'!AM12</f>
        <v>2650914.312</v>
      </c>
      <c r="AN12" s="43"/>
      <c r="AO12" s="114">
        <f>'Summary Sheet - Jan 2026'!AO12+'Summary Sheet - Feb 2026'!AO12+'Summary Sheet - Mar 2026'!AO12</f>
        <v>0</v>
      </c>
      <c r="AP12" s="43"/>
      <c r="AQ12" s="114">
        <f>'Summary Sheet - Jan 2026'!AQ12+'Summary Sheet - Feb 2026'!AQ12+'Summary Sheet - Mar 2026'!AQ12</f>
        <v>10722147.42</v>
      </c>
      <c r="AR12" s="43"/>
      <c r="AS12" s="114">
        <f>'Summary Sheet - Jan 2026'!AS12+'Summary Sheet - Feb 2026'!AS12+'Summary Sheet - Mar 2026'!AS12</f>
        <v>6430500</v>
      </c>
      <c r="AT12" s="43"/>
      <c r="AU12" s="114">
        <f>'Summary Sheet - Jan 2026'!AU12+'Summary Sheet - Feb 2026'!AU12+'Summary Sheet - Mar 2026'!AU12</f>
        <v>677416.4793</v>
      </c>
      <c r="AV12" s="43"/>
      <c r="AW12" s="114">
        <f>'Summary Sheet - Jan 2026'!AY12+'Summary Sheet - Feb 2026'!AY12+'Summary Sheet - Mar 2026'!AW12</f>
        <v>548354.377</v>
      </c>
      <c r="AX12" s="43"/>
      <c r="AY12" s="114">
        <f>'Summary Sheet - Jan 2026'!BC12+'Summary Sheet - Feb 2026'!BC12+'Summary Sheet - Mar 2026'!AY12</f>
        <v>595392.4703</v>
      </c>
      <c r="AZ12" s="43"/>
      <c r="BA12" s="114">
        <f>'Summary Sheet - Jan 2026'!BG12+'Summary Sheet - Feb 2026'!BG12+'Summary Sheet - Mar 2026'!BA12</f>
        <v>336877.58</v>
      </c>
      <c r="BB12" s="43"/>
    </row>
    <row r="13" ht="15.75" customHeight="1">
      <c r="A13" s="213"/>
      <c r="B13" s="16" t="s">
        <v>30</v>
      </c>
      <c r="C13" s="226">
        <f t="shared" si="5"/>
        <v>2937807.181</v>
      </c>
      <c r="D13" s="142"/>
      <c r="E13" s="227" t="str">
        <f t="shared" si="6"/>
        <v>#REF!</v>
      </c>
      <c r="F13" s="151"/>
      <c r="G13" s="141">
        <f>'Summary Sheet - Jan 2026'!G13+'Summary Sheet - Feb 2026'!G13+'Summary Sheet - Mar 2026'!G13</f>
        <v>0</v>
      </c>
      <c r="H13" s="55"/>
      <c r="I13" s="62">
        <f>'Summary Sheet - Jan 2026'!I13+'Summary Sheet - Feb 2026'!I13+'Summary Sheet - Mar 2026'!I13</f>
        <v>0</v>
      </c>
      <c r="J13" s="55"/>
      <c r="K13" s="222">
        <f t="shared" si="7"/>
        <v>2937807.181</v>
      </c>
      <c r="L13" s="142"/>
      <c r="M13" s="223" t="str">
        <f t="shared" si="8"/>
        <v>#REF!</v>
      </c>
      <c r="N13" s="142"/>
      <c r="O13" s="34">
        <f>'Summary Sheet - Jan 2026'!O13+'Summary Sheet - Feb 2026'!O13+'Summary Sheet - Mar 2026'!O13</f>
        <v>133624.2</v>
      </c>
      <c r="P13" s="55"/>
      <c r="Q13" s="34">
        <f>'Summary Sheet - Jan 2026'!Q13+'Summary Sheet - Feb 2026'!Q13+'Summary Sheet - Mar 2026'!Q13</f>
        <v>163588.0695</v>
      </c>
      <c r="R13" s="55"/>
      <c r="S13" s="60">
        <f>'Summary Sheet - Jan 2026'!S13+'Summary Sheet - Feb 2026'!S13+'Summary Sheet - Mar 2026'!S13</f>
        <v>71264.5</v>
      </c>
      <c r="T13" s="55"/>
      <c r="U13" s="60" t="str">
        <f>'Summary Sheet - Jan 2026'!U13+'Summary Sheet - Feb 2026'!U13+'Summary Sheet - Mar 2026'!U13</f>
        <v>#REF!</v>
      </c>
      <c r="V13" s="55"/>
      <c r="W13" s="60">
        <f>'Summary Sheet - Jan 2026'!W13+'Summary Sheet - Feb 2026'!W13+'Summary Sheet - Mar 2026'!W13</f>
        <v>595283.7</v>
      </c>
      <c r="X13" s="55"/>
      <c r="Y13" s="60">
        <f>'Summary Sheet - Jan 2026'!Y13+'Summary Sheet - Feb 2026'!Y13+'Summary Sheet - Mar 2026'!Y13</f>
        <v>393658.3897</v>
      </c>
      <c r="Z13" s="55"/>
      <c r="AA13" s="60">
        <f>'Summary Sheet - Jan 2026'!AA13+'Summary Sheet - Feb 2026'!AA13+'Summary Sheet - Mar 2026'!AA13</f>
        <v>472483.5808</v>
      </c>
      <c r="AB13" s="55"/>
      <c r="AC13" s="60">
        <f>'Summary Sheet - Jan 2026'!AC13+'Summary Sheet - Feb 2026'!AC13+'Summary Sheet - Mar 2026'!AC13</f>
        <v>286461.441</v>
      </c>
      <c r="AD13" s="55"/>
      <c r="AE13" s="60">
        <f>'Summary Sheet - Jan 2026'!AE13+'Summary Sheet - Feb 2026'!AE13+'Summary Sheet - Mar 2026'!AE13</f>
        <v>584079.5</v>
      </c>
      <c r="AF13" s="55"/>
      <c r="AG13" s="60">
        <f>'Summary Sheet - Jan 2026'!AG13+'Summary Sheet - Feb 2026'!AG13+'Summary Sheet - Mar 2026'!AG13</f>
        <v>273742.1493</v>
      </c>
      <c r="AH13" s="55"/>
      <c r="AI13" s="62">
        <f>'Summary Sheet - Jan 2026'!AI13+'Summary Sheet - Feb 2026'!AI13+'Summary Sheet - Mar 2026'!AI13</f>
        <v>0</v>
      </c>
      <c r="AJ13" s="55"/>
      <c r="AK13" s="55" t="str">
        <f>'Summary Sheet - Jan 2026'!AK13+'Summary Sheet - Feb 2026'!AK13+'Summary Sheet - Mar 2026'!AK13</f>
        <v>#REF!</v>
      </c>
      <c r="AL13" s="55"/>
      <c r="AM13" s="60">
        <f>'Summary Sheet - Jan 2026'!AM13+'Summary Sheet - Feb 2026'!AM13+'Summary Sheet - Mar 2026'!AM13</f>
        <v>351081</v>
      </c>
      <c r="AN13" s="55"/>
      <c r="AO13" s="62">
        <f>'Summary Sheet - Jan 2026'!AO13+'Summary Sheet - Feb 2026'!AO13+'Summary Sheet - Mar 2026'!AO13</f>
        <v>0</v>
      </c>
      <c r="AP13" s="55"/>
      <c r="AQ13" s="62">
        <f>'Summary Sheet - Jan 2026'!AQ13+'Summary Sheet - Feb 2026'!AQ13+'Summary Sheet - Mar 2026'!AQ13</f>
        <v>400894.7</v>
      </c>
      <c r="AR13" s="55"/>
      <c r="AS13" s="62">
        <f>'Summary Sheet - Jan 2026'!AS13+'Summary Sheet - Feb 2026'!AS13+'Summary Sheet - Mar 2026'!AS13</f>
        <v>46500</v>
      </c>
      <c r="AT13" s="55"/>
      <c r="AU13" s="114">
        <f>'Summary Sheet - Jan 2026'!AU13+'Summary Sheet - Feb 2026'!AU13+'Summary Sheet - Mar 2026'!AU13</f>
        <v>41567</v>
      </c>
      <c r="AV13" s="55"/>
      <c r="AW13" s="114">
        <f>'Summary Sheet - Jan 2026'!AY13+'Summary Sheet - Feb 2026'!AY13+'Summary Sheet - Mar 2026'!AW13</f>
        <v>16619</v>
      </c>
      <c r="AX13" s="43"/>
      <c r="AY13" s="114">
        <f>'Summary Sheet - Jan 2026'!BC13+'Summary Sheet - Feb 2026'!BC13+'Summary Sheet - Mar 2026'!AY13</f>
        <v>16713</v>
      </c>
      <c r="AZ13" s="43"/>
      <c r="BA13" s="114">
        <f>'Summary Sheet - Jan 2026'!BG13+'Summary Sheet - Feb 2026'!BG13+'Summary Sheet - Mar 2026'!BA13</f>
        <v>254197</v>
      </c>
      <c r="BB13" s="43"/>
    </row>
    <row r="14" ht="15.75" customHeight="1">
      <c r="A14" s="213"/>
      <c r="B14" s="16" t="s">
        <v>31</v>
      </c>
      <c r="C14" s="89">
        <f>C12+C13</f>
        <v>78029249.93</v>
      </c>
      <c r="D14" s="70"/>
      <c r="E14" s="231" t="str">
        <f>E12+E13</f>
        <v>#REF!</v>
      </c>
      <c r="F14" s="73"/>
      <c r="G14" s="231">
        <f>G12+G13</f>
        <v>0</v>
      </c>
      <c r="H14" s="147"/>
      <c r="I14" s="231">
        <f>I12+I13</f>
        <v>0</v>
      </c>
      <c r="J14" s="147"/>
      <c r="K14" s="231">
        <f>SUM(K12:K13)</f>
        <v>78029249.93</v>
      </c>
      <c r="L14" s="70"/>
      <c r="M14" s="231" t="str">
        <f>SUM(M12:M13)</f>
        <v>#REF!</v>
      </c>
      <c r="N14" s="70"/>
      <c r="O14" s="118">
        <f>SUM(O12:O13)</f>
        <v>21746929.46</v>
      </c>
      <c r="P14" s="147"/>
      <c r="Q14" s="118">
        <f>SUM(Q12:Q13)</f>
        <v>22148927.58</v>
      </c>
      <c r="R14" s="147"/>
      <c r="S14" s="118">
        <f>SUM(S12:S13)</f>
        <v>1256609.01</v>
      </c>
      <c r="T14" s="147"/>
      <c r="U14" s="118" t="str">
        <f>SUM(U12:U13)</f>
        <v>#REF!</v>
      </c>
      <c r="V14" s="147"/>
      <c r="W14" s="118">
        <f>SUM(W12:W13)</f>
        <v>14841307.4</v>
      </c>
      <c r="X14" s="147"/>
      <c r="Y14" s="118">
        <f>SUM(Y12:Y13)</f>
        <v>12724526.68</v>
      </c>
      <c r="Z14" s="147"/>
      <c r="AA14" s="118">
        <f>SUM(AA12:AA13)</f>
        <v>8100799.328</v>
      </c>
      <c r="AB14" s="147"/>
      <c r="AC14" s="118">
        <f>SUM(AC12:AC13)</f>
        <v>7460124.483</v>
      </c>
      <c r="AD14" s="147"/>
      <c r="AE14" s="118">
        <f>SUM(AE12:AE13)</f>
        <v>15471430.38</v>
      </c>
      <c r="AF14" s="147"/>
      <c r="AG14" s="118">
        <f>SUM(AG12:AG13)</f>
        <v>14844273.33</v>
      </c>
      <c r="AH14" s="147"/>
      <c r="AI14" s="118">
        <f>SUM(AI12:AI13)</f>
        <v>0</v>
      </c>
      <c r="AJ14" s="147"/>
      <c r="AK14" s="118" t="str">
        <f>SUM(AK12:AK13)</f>
        <v>#REF!</v>
      </c>
      <c r="AL14" s="147"/>
      <c r="AM14" s="118">
        <f>SUM(AM12:AM13)</f>
        <v>3001995.312</v>
      </c>
      <c r="AN14" s="147"/>
      <c r="AO14" s="118">
        <f>SUM(AO12:AO13)</f>
        <v>0</v>
      </c>
      <c r="AP14" s="147"/>
      <c r="AQ14" s="118">
        <f>SUM(AQ12:AQ13)</f>
        <v>11123042.12</v>
      </c>
      <c r="AR14" s="147"/>
      <c r="AS14" s="118">
        <f>SUM(AS12:AS13)</f>
        <v>6477000</v>
      </c>
      <c r="AT14" s="147"/>
      <c r="AU14" s="118">
        <f>SUM(AU12:AU13)</f>
        <v>718983.4793</v>
      </c>
      <c r="AV14" s="147"/>
      <c r="AW14" s="146">
        <f>SUM(AW12:AW13)</f>
        <v>564973.377</v>
      </c>
      <c r="AX14" s="232"/>
      <c r="AY14" s="232">
        <f>SUM(AY12:AY13)</f>
        <v>612105.4703</v>
      </c>
      <c r="AZ14" s="232"/>
      <c r="BA14" s="232">
        <f>SUM(BA12:BA13)</f>
        <v>591074.58</v>
      </c>
      <c r="BB14" s="232"/>
    </row>
    <row r="15" ht="15.75" customHeight="1">
      <c r="A15" s="213"/>
      <c r="B15" s="90"/>
      <c r="C15" s="233"/>
      <c r="D15" s="92"/>
      <c r="E15" s="234"/>
      <c r="F15" s="94"/>
      <c r="G15" s="144">
        <f>'Summary Sheet - Jan 2026'!G15+'Summary Sheet - Feb 2026'!G15+'Summary Sheet - Mar 2026'!G15</f>
        <v>0</v>
      </c>
      <c r="H15" s="100"/>
      <c r="I15" s="96">
        <f>'Summary Sheet - Jan 2026'!I15+'Summary Sheet - Feb 2026'!I15+'Summary Sheet - Mar 2026'!I15</f>
        <v>0</v>
      </c>
      <c r="J15" s="100"/>
      <c r="K15" s="234"/>
      <c r="L15" s="92"/>
      <c r="M15" s="234"/>
      <c r="N15" s="92"/>
      <c r="O15" s="101"/>
      <c r="P15" s="100"/>
      <c r="Q15" s="100"/>
      <c r="R15" s="100"/>
      <c r="S15" s="101"/>
      <c r="T15" s="100"/>
      <c r="U15" s="100"/>
      <c r="V15" s="100"/>
      <c r="W15" s="101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96"/>
      <c r="AR15" s="100"/>
      <c r="AS15" s="96"/>
      <c r="AT15" s="100"/>
      <c r="AU15" s="96"/>
      <c r="AV15" s="100"/>
      <c r="AW15" s="96"/>
      <c r="AX15" s="100"/>
      <c r="AY15" s="96"/>
      <c r="AZ15" s="100"/>
      <c r="BA15" s="96"/>
      <c r="BB15" s="100"/>
    </row>
    <row r="16" ht="15.75" customHeight="1">
      <c r="A16" s="213"/>
      <c r="B16" s="153" t="s">
        <v>33</v>
      </c>
      <c r="C16" s="235">
        <f>C10-C14</f>
        <v>159907944.4</v>
      </c>
      <c r="D16" s="160"/>
      <c r="E16" s="235" t="str">
        <f>E10-E14</f>
        <v>#REF!</v>
      </c>
      <c r="F16" s="157"/>
      <c r="G16" s="158">
        <f>'Summary Sheet - Jan 2026'!G16+'Summary Sheet - Feb 2026'!G16+'Summary Sheet - Mar 2026'!G16</f>
        <v>0</v>
      </c>
      <c r="H16" s="160"/>
      <c r="I16" s="159">
        <f>'Summary Sheet - Jan 2026'!I16+'Summary Sheet - Feb 2026'!I16+'Summary Sheet - Mar 2026'!I16</f>
        <v>0</v>
      </c>
      <c r="J16" s="160"/>
      <c r="K16" s="159">
        <f>+K10-K14</f>
        <v>159907944.4</v>
      </c>
      <c r="L16" s="160"/>
      <c r="M16" s="159" t="str">
        <f>+M10-M14</f>
        <v>#REF!</v>
      </c>
      <c r="N16" s="160"/>
      <c r="O16" s="156">
        <f>+O10-O14</f>
        <v>48208322.43</v>
      </c>
      <c r="P16" s="160"/>
      <c r="Q16" s="156">
        <f>+Q10-Q14</f>
        <v>34911646.42</v>
      </c>
      <c r="R16" s="160"/>
      <c r="S16" s="156">
        <f>+S10-S14</f>
        <v>2859356.06</v>
      </c>
      <c r="T16" s="160"/>
      <c r="U16" s="156" t="str">
        <f>+U10-U14</f>
        <v>#REF!</v>
      </c>
      <c r="V16" s="160"/>
      <c r="W16" s="156">
        <f>+W10-W14</f>
        <v>34202972.07</v>
      </c>
      <c r="X16" s="160"/>
      <c r="Y16" s="156">
        <f>+Y10-Y14</f>
        <v>32009381.25</v>
      </c>
      <c r="Z16" s="160"/>
      <c r="AA16" s="156">
        <f>+AA10-AA14</f>
        <v>20222877.56</v>
      </c>
      <c r="AB16" s="160"/>
      <c r="AC16" s="156">
        <f>+AC10-AC14</f>
        <v>22295355.59</v>
      </c>
      <c r="AD16" s="160"/>
      <c r="AE16" s="156">
        <f>+AE10-AE14</f>
        <v>38567168.74</v>
      </c>
      <c r="AF16" s="160"/>
      <c r="AG16" s="156">
        <f>+AG10-AG14</f>
        <v>34927026.54</v>
      </c>
      <c r="AH16" s="160"/>
      <c r="AI16" s="156">
        <f>+AI10-AI14</f>
        <v>521899</v>
      </c>
      <c r="AJ16" s="160"/>
      <c r="AK16" s="156" t="str">
        <f>'Summary Sheet - Jan 2026'!AK16+'Summary Sheet - Feb 2026'!AK16+'Summary Sheet - Mar 2026'!AK16</f>
        <v>#REF!</v>
      </c>
      <c r="AL16" s="160"/>
      <c r="AM16" s="156">
        <f>+AM10-AM14</f>
        <v>-395088.662</v>
      </c>
      <c r="AN16" s="160"/>
      <c r="AO16" s="156">
        <f>+AO10-AO14</f>
        <v>233590</v>
      </c>
      <c r="AP16" s="160"/>
      <c r="AQ16" s="156">
        <f>+AQ10-AQ14</f>
        <v>14866817.88</v>
      </c>
      <c r="AR16" s="160"/>
      <c r="AS16" s="156">
        <f>+AS10-AS14</f>
        <v>8523000</v>
      </c>
      <c r="AT16" s="160"/>
      <c r="AU16" s="156">
        <f>+AU10-AU14</f>
        <v>305495.1707</v>
      </c>
      <c r="AV16" s="160"/>
      <c r="AW16" s="156">
        <f>+AW10-AW14</f>
        <v>-134825.507</v>
      </c>
      <c r="AX16" s="160"/>
      <c r="AY16" s="156">
        <f>+AY10-AY14</f>
        <v>-66701.71025</v>
      </c>
      <c r="AZ16" s="160"/>
      <c r="BA16" s="156">
        <f>+BA10-BA14</f>
        <v>749651.42</v>
      </c>
      <c r="BB16" s="160"/>
    </row>
    <row r="17" ht="15.75" customHeight="1">
      <c r="A17" s="213"/>
      <c r="B17" s="22"/>
      <c r="C17" s="220"/>
      <c r="D17" s="137"/>
      <c r="E17" s="221"/>
      <c r="F17" s="149"/>
      <c r="G17" s="135"/>
      <c r="H17" s="28"/>
      <c r="I17" s="83"/>
      <c r="J17" s="28"/>
      <c r="K17" s="221"/>
      <c r="L17" s="137"/>
      <c r="M17" s="221"/>
      <c r="N17" s="137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83"/>
      <c r="AR17" s="28"/>
      <c r="AS17" s="83"/>
      <c r="AT17" s="28"/>
      <c r="AU17" s="83"/>
      <c r="AV17" s="28"/>
      <c r="AW17" s="83"/>
      <c r="AX17" s="28"/>
      <c r="AY17" s="83"/>
      <c r="AZ17" s="28"/>
      <c r="BA17" s="83"/>
      <c r="BB17" s="28"/>
    </row>
    <row r="18" ht="15.75" customHeight="1">
      <c r="A18" s="213"/>
      <c r="B18" s="38" t="s">
        <v>34</v>
      </c>
      <c r="C18" s="224">
        <f t="shared" ref="C18:C27" si="9">G18+K18</f>
        <v>4202675.63</v>
      </c>
      <c r="D18" s="139"/>
      <c r="E18" s="225" t="str">
        <f t="shared" ref="E18:E28" si="10">I18+M18</f>
        <v>#REF!</v>
      </c>
      <c r="F18" s="150"/>
      <c r="G18" s="138">
        <f>'Summary Sheet - Jan 2026'!G18+'Summary Sheet - Feb 2026'!G18+'Summary Sheet - Mar 2026'!G18</f>
        <v>268348.5</v>
      </c>
      <c r="H18" s="43"/>
      <c r="I18" s="114">
        <f>'Summary Sheet - Jan 2026'!I18+'Summary Sheet - Feb 2026'!I18+'Summary Sheet - Mar 2026'!I18</f>
        <v>0</v>
      </c>
      <c r="J18" s="43"/>
      <c r="K18" s="222">
        <f t="shared" ref="K18:K27" si="11">O18+S18+W18+AA18+AE18+AI18+AM18+AQ18+AU18+AW18+AY18+BA18</f>
        <v>3934327.13</v>
      </c>
      <c r="L18" s="139"/>
      <c r="M18" s="223" t="str">
        <f t="shared" ref="M18:M27" si="12">Q18+U18+Y18+AC18+AG18+AK18+AO18+AS18</f>
        <v>#REF!</v>
      </c>
      <c r="N18" s="139"/>
      <c r="O18" s="34">
        <f>'Summary Sheet - Jan 2026'!O18+'Summary Sheet - Feb 2026'!O18+'Summary Sheet - Mar 2026'!O18</f>
        <v>1093190.21</v>
      </c>
      <c r="P18" s="43"/>
      <c r="Q18" s="48">
        <f>'Summary Sheet - Jan 2026'!Q18+'Summary Sheet - Feb 2026'!Q18+'Summary Sheet - Mar 2026'!Q18</f>
        <v>1212969.184</v>
      </c>
      <c r="R18" s="43"/>
      <c r="S18" s="48">
        <f>'Summary Sheet - Jan 2026'!S18+'Summary Sheet - Feb 2026'!S18+'Summary Sheet - Mar 2026'!S18</f>
        <v>90874.84</v>
      </c>
      <c r="T18" s="43"/>
      <c r="U18" s="48" t="str">
        <f>'Summary Sheet - Jan 2026'!U18+'Summary Sheet - Feb 2026'!U18+'Summary Sheet - Mar 2026'!U18</f>
        <v>#REF!</v>
      </c>
      <c r="V18" s="43"/>
      <c r="W18" s="48">
        <f>'Summary Sheet - Jan 2026'!W18+'Summary Sheet - Feb 2026'!W18+'Summary Sheet - Mar 2026'!W18</f>
        <v>1312764.77</v>
      </c>
      <c r="X18" s="43"/>
      <c r="Y18" s="48">
        <f>'Summary Sheet - Jan 2026'!Y18+'Summary Sheet - Feb 2026'!Y18+'Summary Sheet - Mar 2026'!Y18</f>
        <v>1033353.273</v>
      </c>
      <c r="Z18" s="43"/>
      <c r="AA18" s="48">
        <f>'Summary Sheet - Jan 2026'!AA18+'Summary Sheet - Feb 2026'!AA18+'Summary Sheet - Mar 2026'!AA18</f>
        <v>291050.58</v>
      </c>
      <c r="AB18" s="43"/>
      <c r="AC18" s="48">
        <f>'Summary Sheet - Jan 2026'!AC18+'Summary Sheet - Feb 2026'!AC18+'Summary Sheet - Mar 2026'!AC18</f>
        <v>699253.7817</v>
      </c>
      <c r="AD18" s="43"/>
      <c r="AE18" s="48">
        <f>'Summary Sheet - Jan 2026'!AE18+'Summary Sheet - Feb 2026'!AE18+'Summary Sheet - Mar 2026'!AE18</f>
        <v>648819.24</v>
      </c>
      <c r="AF18" s="43"/>
      <c r="AG18" s="48">
        <f>'Summary Sheet - Jan 2026'!AG18+'Summary Sheet - Feb 2026'!AG18+'Summary Sheet - Mar 2026'!AG18</f>
        <v>1050174.427</v>
      </c>
      <c r="AH18" s="43"/>
      <c r="AI18" s="48">
        <f>'Summary Sheet - Jan 2026'!AI18+'Summary Sheet - Feb 2026'!AI18+'Summary Sheet - Mar 2026'!AI18</f>
        <v>0</v>
      </c>
      <c r="AJ18" s="43"/>
      <c r="AK18" s="48" t="str">
        <f>'Summary Sheet - Jan 2026'!AK18+'Summary Sheet - Feb 2026'!AK18+'Summary Sheet - Mar 2026'!AK18</f>
        <v>#REF!</v>
      </c>
      <c r="AL18" s="43"/>
      <c r="AM18" s="48">
        <f>'Summary Sheet - Jan 2026'!AM18+'Summary Sheet - Feb 2026'!AM18+'Summary Sheet - Mar 2026'!AM18</f>
        <v>134930</v>
      </c>
      <c r="AN18" s="43"/>
      <c r="AO18" s="48">
        <f>'Summary Sheet - Jan 2026'!AO18+'Summary Sheet - Feb 2026'!AO18+'Summary Sheet - Mar 2026'!AO18</f>
        <v>0</v>
      </c>
      <c r="AP18" s="43"/>
      <c r="AQ18" s="114">
        <f>'Summary Sheet - Jan 2026'!AQ18+'Summary Sheet - Feb 2026'!AQ18+'Summary Sheet - Mar 2026'!AQ18</f>
        <v>362697.49</v>
      </c>
      <c r="AR18" s="43"/>
      <c r="AS18" s="114">
        <f>'Summary Sheet - Jan 2026'!AS18+'Summary Sheet - Feb 2026'!AS18+'Summary Sheet - Mar 2026'!AS18</f>
        <v>240000</v>
      </c>
      <c r="AT18" s="43"/>
      <c r="AU18" s="114">
        <f>'Summary Sheet - Jan 2026'!AU17+'Summary Sheet - Feb 2026'!AU17+'Summary Sheet - Mar 2026'!AU18</f>
        <v>0</v>
      </c>
      <c r="AV18" s="43"/>
      <c r="AW18" s="114">
        <f>'Summary Sheet - Jan 2026'!AY17+'Summary Sheet - Feb 2026'!AY17+'Summary Sheet - Mar 2026'!AW18</f>
        <v>0</v>
      </c>
      <c r="AX18" s="43"/>
      <c r="AY18" s="114">
        <f>'Summary Sheet - Jan 2026'!BC17+'Summary Sheet - Feb 2026'!BC17+'Summary Sheet - Mar 2026'!AY18</f>
        <v>0</v>
      </c>
      <c r="AZ18" s="43"/>
      <c r="BA18" s="114">
        <f>'Summary Sheet - Jan 2026'!BG18+'Summary Sheet - Feb 2026'!BG18+'Summary Sheet - Mar 2026'!BA18</f>
        <v>0</v>
      </c>
      <c r="BB18" s="43"/>
    </row>
    <row r="19" ht="15.75" customHeight="1">
      <c r="A19" s="213"/>
      <c r="B19" s="38" t="s">
        <v>35</v>
      </c>
      <c r="C19" s="224">
        <f t="shared" si="9"/>
        <v>4562576.265</v>
      </c>
      <c r="D19" s="139"/>
      <c r="E19" s="225" t="str">
        <f t="shared" si="10"/>
        <v>#REF!</v>
      </c>
      <c r="F19" s="150"/>
      <c r="G19" s="138">
        <f>'Summary Sheet - Jan 2026'!G19+'Summary Sheet - Feb 2026'!G19+'Summary Sheet - Mar 2026'!G19</f>
        <v>148254</v>
      </c>
      <c r="H19" s="43"/>
      <c r="I19" s="114">
        <f>'Summary Sheet - Jan 2026'!I19+'Summary Sheet - Feb 2026'!I19+'Summary Sheet - Mar 2026'!I19</f>
        <v>38622</v>
      </c>
      <c r="J19" s="43"/>
      <c r="K19" s="222">
        <f t="shared" si="11"/>
        <v>4414322.265</v>
      </c>
      <c r="L19" s="139"/>
      <c r="M19" s="223" t="str">
        <f t="shared" si="12"/>
        <v>#REF!</v>
      </c>
      <c r="N19" s="139"/>
      <c r="O19" s="34">
        <f>'Summary Sheet - Jan 2026'!O19+'Summary Sheet - Feb 2026'!O19+'Summary Sheet - Mar 2026'!O19</f>
        <v>261390</v>
      </c>
      <c r="P19" s="43"/>
      <c r="Q19" s="48">
        <f>'Summary Sheet - Jan 2026'!Q19+'Summary Sheet - Feb 2026'!Q19+'Summary Sheet - Mar 2026'!Q19</f>
        <v>224999</v>
      </c>
      <c r="R19" s="43"/>
      <c r="S19" s="48">
        <f>'Summary Sheet - Jan 2026'!S19+'Summary Sheet - Feb 2026'!S19+'Summary Sheet - Mar 2026'!S19</f>
        <v>438791</v>
      </c>
      <c r="T19" s="43"/>
      <c r="U19" s="48" t="str">
        <f>'Summary Sheet - Jan 2026'!U19+'Summary Sheet - Feb 2026'!U19+'Summary Sheet - Mar 2026'!U19</f>
        <v>#REF!</v>
      </c>
      <c r="V19" s="43"/>
      <c r="W19" s="48">
        <f>'Summary Sheet - Jan 2026'!W19+'Summary Sheet - Feb 2026'!W19+'Summary Sheet - Mar 2026'!W19</f>
        <v>727436.9038</v>
      </c>
      <c r="X19" s="43"/>
      <c r="Y19" s="48">
        <f>'Summary Sheet - Jan 2026'!Y19+'Summary Sheet - Feb 2026'!Y19+'Summary Sheet - Mar 2026'!Y19</f>
        <v>519443</v>
      </c>
      <c r="Z19" s="43"/>
      <c r="AA19" s="48">
        <f>'Summary Sheet - Jan 2026'!AA19+'Summary Sheet - Feb 2026'!AA19+'Summary Sheet - Mar 2026'!AA19</f>
        <v>531093.4286</v>
      </c>
      <c r="AB19" s="43"/>
      <c r="AC19" s="48">
        <f>'Summary Sheet - Jan 2026'!AC19+'Summary Sheet - Feb 2026'!AC19+'Summary Sheet - Mar 2026'!AC19</f>
        <v>952374</v>
      </c>
      <c r="AD19" s="43"/>
      <c r="AE19" s="48">
        <f>'Summary Sheet - Jan 2026'!AE19+'Summary Sheet - Feb 2026'!AE19+'Summary Sheet - Mar 2026'!AE19</f>
        <v>829107.4838</v>
      </c>
      <c r="AF19" s="43"/>
      <c r="AG19" s="48">
        <f>'Summary Sheet - Jan 2026'!AG19+'Summary Sheet - Feb 2026'!AG19+'Summary Sheet - Mar 2026'!AG19</f>
        <v>590413</v>
      </c>
      <c r="AH19" s="43"/>
      <c r="AI19" s="48">
        <f>'Summary Sheet - Jan 2026'!AI19+'Summary Sheet - Feb 2026'!AI19+'Summary Sheet - Mar 2026'!AI19</f>
        <v>41300</v>
      </c>
      <c r="AJ19" s="43"/>
      <c r="AK19" s="48" t="str">
        <f>'Summary Sheet - Jan 2026'!AK19+'Summary Sheet - Feb 2026'!AK19+'Summary Sheet - Mar 2026'!AK19</f>
        <v>#REF!</v>
      </c>
      <c r="AL19" s="43"/>
      <c r="AM19" s="48">
        <f>'Summary Sheet - Jan 2026'!AM19+'Summary Sheet - Feb 2026'!AM19+'Summary Sheet - Mar 2026'!AM19</f>
        <v>192980.0171</v>
      </c>
      <c r="AN19" s="43"/>
      <c r="AO19" s="48">
        <f>'Summary Sheet - Jan 2026'!AO19+'Summary Sheet - Feb 2026'!AO19+'Summary Sheet - Mar 2026'!AO19</f>
        <v>256154</v>
      </c>
      <c r="AP19" s="43"/>
      <c r="AQ19" s="114">
        <f>'Summary Sheet - Jan 2026'!AQ19+'Summary Sheet - Feb 2026'!AQ19+'Summary Sheet - Mar 2026'!AQ19</f>
        <v>199430</v>
      </c>
      <c r="AR19" s="43"/>
      <c r="AS19" s="114">
        <f>'Summary Sheet - Jan 2026'!AS19+'Summary Sheet - Feb 2026'!AS19+'Summary Sheet - Mar 2026'!AS19</f>
        <v>86990</v>
      </c>
      <c r="AT19" s="43"/>
      <c r="AU19" s="114">
        <f>'Summary Sheet - Jan 2026'!AU18+'Summary Sheet - Feb 2026'!AU18+'Summary Sheet - Mar 2026'!AU19</f>
        <v>108747.2857</v>
      </c>
      <c r="AV19" s="43"/>
      <c r="AW19" s="114">
        <f>'Summary Sheet - Jan 2026'!AY18+'Summary Sheet - Feb 2026'!AY18+'Summary Sheet - Mar 2026'!AW19</f>
        <v>102574.619</v>
      </c>
      <c r="AX19" s="43"/>
      <c r="AY19" s="114">
        <f>'Summary Sheet - Jan 2026'!BC19+'Summary Sheet - Feb 2026'!BC19+'Summary Sheet - Mar 2026'!AY19</f>
        <v>238998.8571</v>
      </c>
      <c r="AZ19" s="43"/>
      <c r="BA19" s="114">
        <f>'Summary Sheet - Jan 2026'!BG19+'Summary Sheet - Feb 2026'!BG19+'Summary Sheet - Mar 2026'!BA19</f>
        <v>742472.67</v>
      </c>
      <c r="BB19" s="43"/>
    </row>
    <row r="20" ht="15.75" customHeight="1">
      <c r="A20" s="213"/>
      <c r="B20" s="38" t="s">
        <v>36</v>
      </c>
      <c r="C20" s="224">
        <f t="shared" si="9"/>
        <v>6755391.7</v>
      </c>
      <c r="D20" s="139"/>
      <c r="E20" s="225" t="str">
        <f t="shared" si="10"/>
        <v>#REF!</v>
      </c>
      <c r="F20" s="150"/>
      <c r="G20" s="138">
        <f>'Summary Sheet - Jan 2026'!G20+'Summary Sheet - Feb 2026'!G20+'Summary Sheet - Mar 2026'!G20</f>
        <v>0</v>
      </c>
      <c r="H20" s="43"/>
      <c r="I20" s="114">
        <f>'Summary Sheet - Jan 2026'!I20+'Summary Sheet - Feb 2026'!I20+'Summary Sheet - Mar 2026'!I20</f>
        <v>0</v>
      </c>
      <c r="J20" s="43"/>
      <c r="K20" s="222">
        <f t="shared" si="11"/>
        <v>6755391.7</v>
      </c>
      <c r="L20" s="139"/>
      <c r="M20" s="223" t="str">
        <f t="shared" si="12"/>
        <v>#REF!</v>
      </c>
      <c r="N20" s="139"/>
      <c r="O20" s="34">
        <f>'Summary Sheet - Jan 2026'!O20+'Summary Sheet - Feb 2026'!O20+'Summary Sheet - Mar 2026'!O20</f>
        <v>316511.6056</v>
      </c>
      <c r="P20" s="43"/>
      <c r="Q20" s="48">
        <f>'Summary Sheet - Jan 2026'!Q20+'Summary Sheet - Feb 2026'!Q20+'Summary Sheet - Mar 2026'!Q20</f>
        <v>641680.03</v>
      </c>
      <c r="R20" s="43"/>
      <c r="S20" s="48">
        <f>'Summary Sheet - Jan 2026'!S20+'Summary Sheet - Feb 2026'!S20+'Summary Sheet - Mar 2026'!S20</f>
        <v>336721.37</v>
      </c>
      <c r="T20" s="43"/>
      <c r="U20" s="48" t="str">
        <f>'Summary Sheet - Jan 2026'!U20+'Summary Sheet - Feb 2026'!U20+'Summary Sheet - Mar 2026'!U20</f>
        <v>#REF!</v>
      </c>
      <c r="V20" s="43"/>
      <c r="W20" s="48">
        <f>'Summary Sheet - Jan 2026'!W20+'Summary Sheet - Feb 2026'!W20+'Summary Sheet - Mar 2026'!W20</f>
        <v>1319780.565</v>
      </c>
      <c r="X20" s="43"/>
      <c r="Y20" s="48">
        <f>'Summary Sheet - Jan 2026'!Y20+'Summary Sheet - Feb 2026'!Y20+'Summary Sheet - Mar 2026'!Y20</f>
        <v>1578597.137</v>
      </c>
      <c r="Z20" s="43"/>
      <c r="AA20" s="48">
        <f>'Summary Sheet - Jan 2026'!AA20+'Summary Sheet - Feb 2026'!AA20+'Summary Sheet - Mar 2026'!AA20</f>
        <v>2017108.35</v>
      </c>
      <c r="AB20" s="43"/>
      <c r="AC20" s="48">
        <f>'Summary Sheet - Jan 2026'!AC20+'Summary Sheet - Feb 2026'!AC20+'Summary Sheet - Mar 2026'!AC20</f>
        <v>2367771.436</v>
      </c>
      <c r="AD20" s="43"/>
      <c r="AE20" s="48">
        <f>'Summary Sheet - Jan 2026'!AE20+'Summary Sheet - Feb 2026'!AE20+'Summary Sheet - Mar 2026'!AE20</f>
        <v>1939135</v>
      </c>
      <c r="AF20" s="43"/>
      <c r="AG20" s="48">
        <f>'Summary Sheet - Jan 2026'!AG20+'Summary Sheet - Feb 2026'!AG20+'Summary Sheet - Mar 2026'!AG20</f>
        <v>1665309.596</v>
      </c>
      <c r="AH20" s="43"/>
      <c r="AI20" s="48">
        <f>'Summary Sheet - Jan 2026'!AI20+'Summary Sheet - Feb 2026'!AI20+'Summary Sheet - Mar 2026'!AI20</f>
        <v>0</v>
      </c>
      <c r="AJ20" s="43"/>
      <c r="AK20" s="48" t="str">
        <f>'Summary Sheet - Jan 2026'!AK20+'Summary Sheet - Feb 2026'!AK20+'Summary Sheet - Mar 2026'!AK20</f>
        <v>#REF!</v>
      </c>
      <c r="AL20" s="43"/>
      <c r="AM20" s="48">
        <f>'Summary Sheet - Jan 2026'!AM20+'Summary Sheet - Feb 2026'!AM20+'Summary Sheet - Mar 2026'!AM20</f>
        <v>85571.21</v>
      </c>
      <c r="AN20" s="43"/>
      <c r="AO20" s="48">
        <f>'Summary Sheet - Jan 2026'!AO20+'Summary Sheet - Feb 2026'!AO20+'Summary Sheet - Mar 2026'!AO20</f>
        <v>0</v>
      </c>
      <c r="AP20" s="43"/>
      <c r="AQ20" s="114">
        <f>'Summary Sheet - Jan 2026'!AQ20+'Summary Sheet - Feb 2026'!AQ20+'Summary Sheet - Mar 2026'!AQ20</f>
        <v>0</v>
      </c>
      <c r="AR20" s="43"/>
      <c r="AS20" s="114">
        <f>'Summary Sheet - Jan 2026'!AS20+'Summary Sheet - Feb 2026'!AS20+'Summary Sheet - Mar 2026'!AS20</f>
        <v>0</v>
      </c>
      <c r="AT20" s="43"/>
      <c r="AU20" s="114">
        <f>'Summary Sheet - Jan 2026'!AU19+'Summary Sheet - Feb 2026'!AU19+'Summary Sheet - Mar 2026'!AU20</f>
        <v>236247.4114</v>
      </c>
      <c r="AV20" s="43"/>
      <c r="AW20" s="114">
        <f>'Summary Sheet - Jan 2026'!AY19+'Summary Sheet - Feb 2026'!AY19+'Summary Sheet - Mar 2026'!AW20</f>
        <v>160224.6781</v>
      </c>
      <c r="AX20" s="43"/>
      <c r="AY20" s="114">
        <f>'Summary Sheet - Jan 2026'!BC20+'Summary Sheet - Feb 2026'!BC20+'Summary Sheet - Mar 2026'!AY20</f>
        <v>184460.52</v>
      </c>
      <c r="AZ20" s="43"/>
      <c r="BA20" s="114">
        <f>'Summary Sheet - Jan 2026'!BG20+'Summary Sheet - Feb 2026'!BG20+'Summary Sheet - Mar 2026'!BA20</f>
        <v>159630.99</v>
      </c>
      <c r="BB20" s="43"/>
    </row>
    <row r="21" ht="15.75" customHeight="1">
      <c r="A21" s="213"/>
      <c r="B21" s="38" t="s">
        <v>37</v>
      </c>
      <c r="C21" s="224">
        <f t="shared" si="9"/>
        <v>22626086.29</v>
      </c>
      <c r="D21" s="139"/>
      <c r="E21" s="225" t="str">
        <f t="shared" si="10"/>
        <v>#REF!</v>
      </c>
      <c r="F21" s="150"/>
      <c r="G21" s="138">
        <f>'Summary Sheet - Jan 2026'!G21+'Summary Sheet - Feb 2026'!G21+'Summary Sheet - Mar 2026'!G21</f>
        <v>1621359.16</v>
      </c>
      <c r="H21" s="43"/>
      <c r="I21" s="114">
        <f>'Summary Sheet - Jan 2026'!I21+'Summary Sheet - Feb 2026'!I21+'Summary Sheet - Mar 2026'!I21</f>
        <v>1142640</v>
      </c>
      <c r="J21" s="43"/>
      <c r="K21" s="222">
        <f t="shared" si="11"/>
        <v>21004727.13</v>
      </c>
      <c r="L21" s="139"/>
      <c r="M21" s="223" t="str">
        <f t="shared" si="12"/>
        <v>#REF!</v>
      </c>
      <c r="N21" s="139"/>
      <c r="O21" s="34">
        <f>'Summary Sheet - Jan 2026'!O21+'Summary Sheet - Feb 2026'!O21+'Summary Sheet - Mar 2026'!O21</f>
        <v>5607988</v>
      </c>
      <c r="P21" s="43"/>
      <c r="Q21" s="48">
        <f>'Summary Sheet - Jan 2026'!Q21+'Summary Sheet - Feb 2026'!Q21+'Summary Sheet - Mar 2026'!Q21</f>
        <v>5482200</v>
      </c>
      <c r="R21" s="43"/>
      <c r="S21" s="48">
        <f>'Summary Sheet - Jan 2026'!S21+'Summary Sheet - Feb 2026'!S21+'Summary Sheet - Mar 2026'!S21</f>
        <v>296179.2</v>
      </c>
      <c r="T21" s="43"/>
      <c r="U21" s="48" t="str">
        <f>'Summary Sheet - Jan 2026'!U21+'Summary Sheet - Feb 2026'!U21+'Summary Sheet - Mar 2026'!U21</f>
        <v>#REF!</v>
      </c>
      <c r="V21" s="43"/>
      <c r="W21" s="48">
        <f>'Summary Sheet - Jan 2026'!W21+'Summary Sheet - Feb 2026'!W21+'Summary Sheet - Mar 2026'!W21</f>
        <v>4441945</v>
      </c>
      <c r="X21" s="43"/>
      <c r="Y21" s="48">
        <f>'Summary Sheet - Jan 2026'!Y21+'Summary Sheet - Feb 2026'!Y21+'Summary Sheet - Mar 2026'!Y21</f>
        <v>4498531.5</v>
      </c>
      <c r="Z21" s="43"/>
      <c r="AA21" s="48">
        <f>'Summary Sheet - Jan 2026'!AA21+'Summary Sheet - Feb 2026'!AA21+'Summary Sheet - Mar 2026'!AA21</f>
        <v>3168127.36</v>
      </c>
      <c r="AB21" s="43"/>
      <c r="AC21" s="48">
        <f>'Summary Sheet - Jan 2026'!AC21+'Summary Sheet - Feb 2026'!AC21+'Summary Sheet - Mar 2026'!AC21</f>
        <v>3101311.8</v>
      </c>
      <c r="AD21" s="43"/>
      <c r="AE21" s="48">
        <f>'Summary Sheet - Jan 2026'!AE21+'Summary Sheet - Feb 2026'!AE21+'Summary Sheet - Mar 2026'!AE21</f>
        <v>4881703</v>
      </c>
      <c r="AF21" s="43"/>
      <c r="AG21" s="48">
        <f>'Summary Sheet - Jan 2026'!AG21+'Summary Sheet - Feb 2026'!AG21+'Summary Sheet - Mar 2026'!AG21</f>
        <v>4427100</v>
      </c>
      <c r="AH21" s="43"/>
      <c r="AI21" s="48">
        <f>'Summary Sheet - Jan 2026'!AI21+'Summary Sheet - Feb 2026'!AI21+'Summary Sheet - Mar 2026'!AI21</f>
        <v>430144</v>
      </c>
      <c r="AJ21" s="43"/>
      <c r="AK21" s="48" t="str">
        <f>'Summary Sheet - Jan 2026'!AK21+'Summary Sheet - Feb 2026'!AK21+'Summary Sheet - Mar 2026'!AK21</f>
        <v>#REF!</v>
      </c>
      <c r="AL21" s="43"/>
      <c r="AM21" s="48">
        <f>'Summary Sheet - Jan 2026'!AM21+'Summary Sheet - Feb 2026'!AM21+'Summary Sheet - Mar 2026'!AM21</f>
        <v>722837</v>
      </c>
      <c r="AN21" s="43"/>
      <c r="AO21" s="48">
        <f>'Summary Sheet - Jan 2026'!AO21+'Summary Sheet - Feb 2026'!AO21+'Summary Sheet - Mar 2026'!AO21</f>
        <v>0</v>
      </c>
      <c r="AP21" s="43"/>
      <c r="AQ21" s="114">
        <f>'Summary Sheet - Jan 2026'!AQ21+'Summary Sheet - Feb 2026'!AQ21+'Summary Sheet - Mar 2026'!AQ21</f>
        <v>1154058.25</v>
      </c>
      <c r="AR21" s="43"/>
      <c r="AS21" s="114">
        <f>'Summary Sheet - Jan 2026'!AS21+'Summary Sheet - Feb 2026'!AS21+'Summary Sheet - Mar 2026'!AS21</f>
        <v>1756900</v>
      </c>
      <c r="AT21" s="43"/>
      <c r="AU21" s="114">
        <f>'Summary Sheet - Jan 2026'!AU20+'Summary Sheet - Feb 2026'!AU20+'Summary Sheet - Mar 2026'!AU21</f>
        <v>190124.48</v>
      </c>
      <c r="AV21" s="43"/>
      <c r="AW21" s="114">
        <f>'Summary Sheet - Jan 2026'!AY20+'Summary Sheet - Feb 2026'!AY20+'Summary Sheet - Mar 2026'!AW21</f>
        <v>76220.84</v>
      </c>
      <c r="AX21" s="43"/>
      <c r="AY21" s="114">
        <f>'Summary Sheet - Jan 2026'!BC21+'Summary Sheet - Feb 2026'!BC21+'Summary Sheet - Mar 2026'!AY21</f>
        <v>0</v>
      </c>
      <c r="AZ21" s="43"/>
      <c r="BA21" s="114">
        <f>'Summary Sheet - Jan 2026'!BG21+'Summary Sheet - Feb 2026'!BG21+'Summary Sheet - Mar 2026'!BA21</f>
        <v>35400</v>
      </c>
      <c r="BB21" s="43"/>
    </row>
    <row r="22" ht="15.75" customHeight="1">
      <c r="A22" s="213"/>
      <c r="B22" s="38" t="s">
        <v>38</v>
      </c>
      <c r="C22" s="224">
        <f t="shared" si="9"/>
        <v>72473347.09</v>
      </c>
      <c r="D22" s="139"/>
      <c r="E22" s="225" t="str">
        <f t="shared" si="10"/>
        <v>#REF!</v>
      </c>
      <c r="F22" s="150"/>
      <c r="G22" s="138">
        <f>'Summary Sheet - Jan 2026'!G22+'Summary Sheet - Feb 2026'!G22+'Summary Sheet - Mar 2026'!G22</f>
        <v>14191529.61</v>
      </c>
      <c r="H22" s="43"/>
      <c r="I22" s="114">
        <f>'Summary Sheet - Jan 2026'!I22+'Summary Sheet - Feb 2026'!I22+'Summary Sheet - Mar 2026'!I22</f>
        <v>12131418</v>
      </c>
      <c r="J22" s="43"/>
      <c r="K22" s="222">
        <f t="shared" si="11"/>
        <v>58281817.48</v>
      </c>
      <c r="L22" s="139"/>
      <c r="M22" s="223" t="str">
        <f t="shared" si="12"/>
        <v>#REF!</v>
      </c>
      <c r="N22" s="139"/>
      <c r="O22" s="34">
        <f>'Summary Sheet - Jan 2026'!O22+'Summary Sheet - Feb 2026'!O22+'Summary Sheet - Mar 2026'!O22</f>
        <v>16315685.56</v>
      </c>
      <c r="P22" s="43"/>
      <c r="Q22" s="48">
        <f>'Summary Sheet - Jan 2026'!Q22+'Summary Sheet - Feb 2026'!Q22+'Summary Sheet - Mar 2026'!Q22</f>
        <v>13166051.33</v>
      </c>
      <c r="R22" s="43"/>
      <c r="S22" s="48">
        <f>'Summary Sheet - Jan 2026'!S22+'Summary Sheet - Feb 2026'!S22+'Summary Sheet - Mar 2026'!S22</f>
        <v>973870.55</v>
      </c>
      <c r="T22" s="43"/>
      <c r="U22" s="48" t="str">
        <f>'Summary Sheet - Jan 2026'!U22+'Summary Sheet - Feb 2026'!U22+'Summary Sheet - Mar 2026'!U22</f>
        <v>#REF!</v>
      </c>
      <c r="V22" s="43"/>
      <c r="W22" s="48">
        <f>'Summary Sheet - Jan 2026'!W22+'Summary Sheet - Feb 2026'!W22+'Summary Sheet - Mar 2026'!W22</f>
        <v>10499549.35</v>
      </c>
      <c r="X22" s="43"/>
      <c r="Y22" s="48">
        <f>'Summary Sheet - Jan 2026'!Y22+'Summary Sheet - Feb 2026'!Y22+'Summary Sheet - Mar 2026'!Y22</f>
        <v>9871988.112</v>
      </c>
      <c r="Z22" s="43"/>
      <c r="AA22" s="48">
        <f>'Summary Sheet - Jan 2026'!AA22+'Summary Sheet - Feb 2026'!AA22+'Summary Sheet - Mar 2026'!AA22</f>
        <v>4913461.83</v>
      </c>
      <c r="AB22" s="43"/>
      <c r="AC22" s="48">
        <f>'Summary Sheet - Jan 2026'!AC22+'Summary Sheet - Feb 2026'!AC22+'Summary Sheet - Mar 2026'!AC22</f>
        <v>4160212.375</v>
      </c>
      <c r="AD22" s="43"/>
      <c r="AE22" s="48">
        <f>'Summary Sheet - Jan 2026'!AE22+'Summary Sheet - Feb 2026'!AE22+'Summary Sheet - Mar 2026'!AE22</f>
        <v>11126057.23</v>
      </c>
      <c r="AF22" s="43"/>
      <c r="AG22" s="48">
        <f>'Summary Sheet - Jan 2026'!AG22+'Summary Sheet - Feb 2026'!AG22+'Summary Sheet - Mar 2026'!AG22</f>
        <v>11418251.25</v>
      </c>
      <c r="AH22" s="43"/>
      <c r="AI22" s="48">
        <f>'Summary Sheet - Jan 2026'!AI22+'Summary Sheet - Feb 2026'!AI22+'Summary Sheet - Mar 2026'!AI22</f>
        <v>40881.7</v>
      </c>
      <c r="AJ22" s="43"/>
      <c r="AK22" s="48" t="str">
        <f>'Summary Sheet - Jan 2026'!AK22+'Summary Sheet - Feb 2026'!AK22+'Summary Sheet - Mar 2026'!AK22</f>
        <v>#REF!</v>
      </c>
      <c r="AL22" s="43"/>
      <c r="AM22" s="48">
        <f>'Summary Sheet - Jan 2026'!AM22+'Summary Sheet - Feb 2026'!AM22+'Summary Sheet - Mar 2026'!AM22</f>
        <v>4141771.48</v>
      </c>
      <c r="AN22" s="43"/>
      <c r="AO22" s="48">
        <f>'Summary Sheet - Jan 2026'!AO22+'Summary Sheet - Feb 2026'!AO22+'Summary Sheet - Mar 2026'!AO22</f>
        <v>0</v>
      </c>
      <c r="AP22" s="43"/>
      <c r="AQ22" s="114">
        <f>'Summary Sheet - Jan 2026'!AQ22+'Summary Sheet - Feb 2026'!AQ22+'Summary Sheet - Mar 2026'!AQ22</f>
        <v>9487931.78</v>
      </c>
      <c r="AR22" s="43"/>
      <c r="AS22" s="114">
        <f>'Summary Sheet - Jan 2026'!AS22+'Summary Sheet - Feb 2026'!AS22+'Summary Sheet - Mar 2026'!AS22</f>
        <v>0</v>
      </c>
      <c r="AT22" s="43"/>
      <c r="AU22" s="114">
        <f>'Summary Sheet - Jan 2026'!AU21+'Summary Sheet - Feb 2026'!AU21+'Summary Sheet - Mar 2026'!AU22</f>
        <v>0</v>
      </c>
      <c r="AV22" s="43"/>
      <c r="AW22" s="114">
        <f>'Summary Sheet - Jan 2026'!AY21+'Summary Sheet - Feb 2026'!AY21+'Summary Sheet - Mar 2026'!AW22</f>
        <v>0</v>
      </c>
      <c r="AX22" s="43"/>
      <c r="AY22" s="114">
        <f>'Summary Sheet - Jan 2026'!BC22+'Summary Sheet - Feb 2026'!BC22+'Summary Sheet - Mar 2026'!AY22</f>
        <v>0</v>
      </c>
      <c r="AZ22" s="43"/>
      <c r="BA22" s="114">
        <f>'Summary Sheet - Jan 2026'!BG22+'Summary Sheet - Feb 2026'!BG22+'Summary Sheet - Mar 2026'!BA22</f>
        <v>782608</v>
      </c>
      <c r="BB22" s="43"/>
    </row>
    <row r="23" ht="15.75" customHeight="1">
      <c r="A23" s="213"/>
      <c r="B23" s="38" t="s">
        <v>39</v>
      </c>
      <c r="C23" s="224">
        <f t="shared" si="9"/>
        <v>3346310.73</v>
      </c>
      <c r="D23" s="139"/>
      <c r="E23" s="225" t="str">
        <f t="shared" si="10"/>
        <v>#REF!</v>
      </c>
      <c r="F23" s="150"/>
      <c r="G23" s="138">
        <f>'Summary Sheet - Jan 2026'!G23+'Summary Sheet - Feb 2026'!G23+'Summary Sheet - Mar 2026'!G23</f>
        <v>1380239.04</v>
      </c>
      <c r="H23" s="43"/>
      <c r="I23" s="114">
        <f>'Summary Sheet - Jan 2026'!I23+'Summary Sheet - Feb 2026'!I23+'Summary Sheet - Mar 2026'!I23</f>
        <v>37500</v>
      </c>
      <c r="J23" s="43"/>
      <c r="K23" s="222">
        <f t="shared" si="11"/>
        <v>1966071.69</v>
      </c>
      <c r="L23" s="139"/>
      <c r="M23" s="223" t="str">
        <f t="shared" si="12"/>
        <v>#REF!</v>
      </c>
      <c r="N23" s="139"/>
      <c r="O23" s="34">
        <f>'Summary Sheet - Jan 2026'!O23+'Summary Sheet - Feb 2026'!O23+'Summary Sheet - Mar 2026'!O23</f>
        <v>1373821.82</v>
      </c>
      <c r="P23" s="43"/>
      <c r="Q23" s="48">
        <f>'Summary Sheet - Jan 2026'!Q23+'Summary Sheet - Feb 2026'!Q23+'Summary Sheet - Mar 2026'!Q23</f>
        <v>786150.624</v>
      </c>
      <c r="R23" s="43"/>
      <c r="S23" s="48">
        <f>'Summary Sheet - Jan 2026'!S23+'Summary Sheet - Feb 2026'!S23+'Summary Sheet - Mar 2026'!S23</f>
        <v>0</v>
      </c>
      <c r="T23" s="43"/>
      <c r="U23" s="43" t="str">
        <f>'Summary Sheet - Jan 2026'!U23+'Summary Sheet - Feb 2026'!U23+'Summary Sheet - Mar 2026'!U23</f>
        <v>#REF!</v>
      </c>
      <c r="V23" s="43"/>
      <c r="W23" s="48">
        <f>'Summary Sheet - Jan 2026'!W23+'Summary Sheet - Feb 2026'!W23+'Summary Sheet - Mar 2026'!W23</f>
        <v>160205.08</v>
      </c>
      <c r="X23" s="43"/>
      <c r="Y23" s="48">
        <f>'Summary Sheet - Jan 2026'!Y23+'Summary Sheet - Feb 2026'!Y23+'Summary Sheet - Mar 2026'!Y23</f>
        <v>392450.9219</v>
      </c>
      <c r="Z23" s="43"/>
      <c r="AA23" s="48">
        <f>'Summary Sheet - Jan 2026'!AA23+'Summary Sheet - Feb 2026'!AA23+'Summary Sheet - Mar 2026'!AA23</f>
        <v>56750.28</v>
      </c>
      <c r="AB23" s="43"/>
      <c r="AC23" s="48">
        <f>'Summary Sheet - Jan 2026'!AC23+'Summary Sheet - Feb 2026'!AC23+'Summary Sheet - Mar 2026'!AC23</f>
        <v>119172.936</v>
      </c>
      <c r="AD23" s="43"/>
      <c r="AE23" s="48">
        <f>'Summary Sheet - Jan 2026'!AE23+'Summary Sheet - Feb 2026'!AE23+'Summary Sheet - Mar 2026'!AE23</f>
        <v>188798.5</v>
      </c>
      <c r="AF23" s="43"/>
      <c r="AG23" s="48">
        <f>'Summary Sheet - Jan 2026'!AG23+'Summary Sheet - Feb 2026'!AG23+'Summary Sheet - Mar 2026'!AG23</f>
        <v>370832.43</v>
      </c>
      <c r="AH23" s="43"/>
      <c r="AI23" s="48">
        <f>'Summary Sheet - Jan 2026'!AI23+'Summary Sheet - Feb 2026'!AI23+'Summary Sheet - Mar 2026'!AI23</f>
        <v>0</v>
      </c>
      <c r="AJ23" s="43"/>
      <c r="AK23" s="48" t="str">
        <f>'Summary Sheet - Jan 2026'!AK23+'Summary Sheet - Feb 2026'!AK23+'Summary Sheet - Mar 2026'!AK23</f>
        <v>#REF!</v>
      </c>
      <c r="AL23" s="43"/>
      <c r="AM23" s="48">
        <f>'Summary Sheet - Jan 2026'!AM23+'Summary Sheet - Feb 2026'!AM23+'Summary Sheet - Mar 2026'!AM23</f>
        <v>4017</v>
      </c>
      <c r="AN23" s="43"/>
      <c r="AO23" s="48">
        <f>'Summary Sheet - Jan 2026'!AO23+'Summary Sheet - Feb 2026'!AO23+'Summary Sheet - Mar 2026'!AO23</f>
        <v>0</v>
      </c>
      <c r="AP23" s="43"/>
      <c r="AQ23" s="114">
        <f>'Summary Sheet - Jan 2026'!AQ23+'Summary Sheet - Feb 2026'!AQ23+'Summary Sheet - Mar 2026'!AQ23</f>
        <v>182479.01</v>
      </c>
      <c r="AR23" s="43"/>
      <c r="AS23" s="114">
        <f>'Summary Sheet - Jan 2026'!AS23+'Summary Sheet - Feb 2026'!AS23+'Summary Sheet - Mar 2026'!AS23</f>
        <v>0</v>
      </c>
      <c r="AT23" s="43"/>
      <c r="AU23" s="114">
        <f>'Summary Sheet - Jan 2026'!AU22+'Summary Sheet - Feb 2026'!AU22+'Summary Sheet - Mar 2026'!AU23</f>
        <v>0</v>
      </c>
      <c r="AV23" s="43"/>
      <c r="AW23" s="114">
        <f>'Summary Sheet - Jan 2026'!AY22+'Summary Sheet - Feb 2026'!AY22+'Summary Sheet - Mar 2026'!AW23</f>
        <v>0</v>
      </c>
      <c r="AX23" s="43"/>
      <c r="AY23" s="114">
        <f>'Summary Sheet - Jan 2026'!BC23+'Summary Sheet - Feb 2026'!BC23+'Summary Sheet - Mar 2026'!AY23</f>
        <v>0</v>
      </c>
      <c r="AZ23" s="43"/>
      <c r="BA23" s="114">
        <f>'Summary Sheet - Jan 2026'!BG23+'Summary Sheet - Feb 2026'!BG23+'Summary Sheet - Mar 2026'!BA23</f>
        <v>0</v>
      </c>
      <c r="BB23" s="43"/>
    </row>
    <row r="24" ht="15.75" customHeight="1">
      <c r="A24" s="213"/>
      <c r="B24" s="38" t="s">
        <v>40</v>
      </c>
      <c r="C24" s="224">
        <f t="shared" si="9"/>
        <v>886664.75</v>
      </c>
      <c r="D24" s="139"/>
      <c r="E24" s="225" t="str">
        <f t="shared" si="10"/>
        <v>#REF!</v>
      </c>
      <c r="F24" s="150"/>
      <c r="G24" s="138">
        <f>'Summary Sheet - Jan 2026'!G24+'Summary Sheet - Feb 2026'!G24+'Summary Sheet - Mar 2026'!G24</f>
        <v>414694.75</v>
      </c>
      <c r="H24" s="43"/>
      <c r="I24" s="114">
        <f>'Summary Sheet - Jan 2026'!I24+'Summary Sheet - Feb 2026'!I24+'Summary Sheet - Mar 2026'!I24</f>
        <v>343790.5</v>
      </c>
      <c r="J24" s="43"/>
      <c r="K24" s="222">
        <f t="shared" si="11"/>
        <v>471970</v>
      </c>
      <c r="L24" s="139"/>
      <c r="M24" s="223" t="str">
        <f t="shared" si="12"/>
        <v>#REF!</v>
      </c>
      <c r="N24" s="139"/>
      <c r="O24" s="34">
        <f>'Summary Sheet - Jan 2026'!O24+'Summary Sheet - Feb 2026'!O24+'Summary Sheet - Mar 2026'!O24</f>
        <v>106200</v>
      </c>
      <c r="P24" s="43"/>
      <c r="Q24" s="48">
        <f>'Summary Sheet - Jan 2026'!Q24+'Summary Sheet - Feb 2026'!Q24+'Summary Sheet - Mar 2026'!Q24</f>
        <v>88500</v>
      </c>
      <c r="R24" s="43"/>
      <c r="S24" s="48">
        <f>'Summary Sheet - Jan 2026'!S24+'Summary Sheet - Feb 2026'!S24+'Summary Sheet - Mar 2026'!S24</f>
        <v>2064</v>
      </c>
      <c r="T24" s="43"/>
      <c r="U24" s="43" t="str">
        <f>'Summary Sheet - Jan 2026'!U24+'Summary Sheet - Feb 2026'!U24+'Summary Sheet - Mar 2026'!U24</f>
        <v>#REF!</v>
      </c>
      <c r="V24" s="43"/>
      <c r="W24" s="48">
        <f>'Summary Sheet - Jan 2026'!W24+'Summary Sheet - Feb 2026'!W24+'Summary Sheet - Mar 2026'!W24</f>
        <v>123578.6667</v>
      </c>
      <c r="X24" s="43"/>
      <c r="Y24" s="48">
        <f>'Summary Sheet - Jan 2026'!Y24+'Summary Sheet - Feb 2026'!Y24+'Summary Sheet - Mar 2026'!Y24</f>
        <v>90565</v>
      </c>
      <c r="Z24" s="43"/>
      <c r="AA24" s="48">
        <f>'Summary Sheet - Jan 2026'!AA24+'Summary Sheet - Feb 2026'!AA24+'Summary Sheet - Mar 2026'!AA24</f>
        <v>9617</v>
      </c>
      <c r="AB24" s="43"/>
      <c r="AC24" s="48">
        <f>'Summary Sheet - Jan 2026'!AC24+'Summary Sheet - Feb 2026'!AC24+'Summary Sheet - Mar 2026'!AC24</f>
        <v>4500</v>
      </c>
      <c r="AD24" s="43"/>
      <c r="AE24" s="48">
        <f>'Summary Sheet - Jan 2026'!AE24+'Summary Sheet - Feb 2026'!AE24+'Summary Sheet - Mar 2026'!AE24</f>
        <v>70364.25</v>
      </c>
      <c r="AF24" s="43"/>
      <c r="AG24" s="48">
        <f>'Summary Sheet - Jan 2026'!AG24+'Summary Sheet - Feb 2026'!AG24+'Summary Sheet - Mar 2026'!AG24</f>
        <v>69000</v>
      </c>
      <c r="AH24" s="43"/>
      <c r="AI24" s="48">
        <f>'Summary Sheet - Jan 2026'!AI24+'Summary Sheet - Feb 2026'!AI24+'Summary Sheet - Mar 2026'!AI24</f>
        <v>20418.75</v>
      </c>
      <c r="AJ24" s="43"/>
      <c r="AK24" s="48" t="str">
        <f>'Summary Sheet - Jan 2026'!AK24+'Summary Sheet - Feb 2026'!AK24+'Summary Sheet - Mar 2026'!AK24</f>
        <v>#REF!</v>
      </c>
      <c r="AL24" s="43"/>
      <c r="AM24" s="48">
        <f>'Summary Sheet - Jan 2026'!AM24+'Summary Sheet - Feb 2026'!AM24+'Summary Sheet - Mar 2026'!AM24</f>
        <v>52209.66667</v>
      </c>
      <c r="AN24" s="43"/>
      <c r="AO24" s="48">
        <f>'Summary Sheet - Jan 2026'!AO24+'Summary Sheet - Feb 2026'!AO24+'Summary Sheet - Mar 2026'!AO24</f>
        <v>0</v>
      </c>
      <c r="AP24" s="43"/>
      <c r="AQ24" s="114">
        <f>'Summary Sheet - Jan 2026'!AQ24+'Summary Sheet - Feb 2026'!AQ24+'Summary Sheet - Mar 2026'!AQ24</f>
        <v>83155.66667</v>
      </c>
      <c r="AR24" s="43"/>
      <c r="AS24" s="114">
        <f>'Summary Sheet - Jan 2026'!AS24+'Summary Sheet - Feb 2026'!AS24+'Summary Sheet - Mar 2026'!AS24</f>
        <v>0</v>
      </c>
      <c r="AT24" s="43"/>
      <c r="AU24" s="114">
        <f>'Summary Sheet - Jan 2026'!AU23+'Summary Sheet - Feb 2026'!AU23+'Summary Sheet - Mar 2026'!AU24</f>
        <v>0</v>
      </c>
      <c r="AV24" s="43"/>
      <c r="AW24" s="114">
        <f>'Summary Sheet - Jan 2026'!AY23+'Summary Sheet - Feb 2026'!AY23+'Summary Sheet - Mar 2026'!AW24</f>
        <v>0</v>
      </c>
      <c r="AX24" s="43"/>
      <c r="AY24" s="114">
        <f>'Summary Sheet - Jan 2026'!BC24+'Summary Sheet - Feb 2026'!BC24+'Summary Sheet - Mar 2026'!AY24</f>
        <v>0</v>
      </c>
      <c r="AZ24" s="43"/>
      <c r="BA24" s="114">
        <f>'Summary Sheet - Jan 2026'!BG24+'Summary Sheet - Feb 2026'!BG24+'Summary Sheet - Mar 2026'!BA24</f>
        <v>4362</v>
      </c>
      <c r="BB24" s="43"/>
    </row>
    <row r="25" ht="15.75" customHeight="1">
      <c r="A25" s="213"/>
      <c r="B25" s="38" t="s">
        <v>41</v>
      </c>
      <c r="C25" s="224">
        <f t="shared" si="9"/>
        <v>11993210.34</v>
      </c>
      <c r="D25" s="139"/>
      <c r="E25" s="225" t="str">
        <f t="shared" si="10"/>
        <v>#REF!</v>
      </c>
      <c r="F25" s="150"/>
      <c r="G25" s="138">
        <f>'Summary Sheet - Jan 2026'!G25+'Summary Sheet - Feb 2026'!G25+'Summary Sheet - Mar 2026'!G25</f>
        <v>1590967.07</v>
      </c>
      <c r="H25" s="43"/>
      <c r="I25" s="114">
        <f>'Summary Sheet - Jan 2026'!I25+'Summary Sheet - Feb 2026'!I25+'Summary Sheet - Mar 2026'!I25</f>
        <v>179500</v>
      </c>
      <c r="J25" s="43"/>
      <c r="K25" s="222">
        <f t="shared" si="11"/>
        <v>10402243.27</v>
      </c>
      <c r="L25" s="139"/>
      <c r="M25" s="223" t="str">
        <f t="shared" si="12"/>
        <v>#REF!</v>
      </c>
      <c r="N25" s="139"/>
      <c r="O25" s="34">
        <f>'Summary Sheet - Jan 2026'!O25+'Summary Sheet - Feb 2026'!O25+'Summary Sheet - Mar 2026'!O25</f>
        <v>1188936.05</v>
      </c>
      <c r="P25" s="43"/>
      <c r="Q25" s="48">
        <f>'Summary Sheet - Jan 2026'!Q25+'Summary Sheet - Feb 2026'!Q25+'Summary Sheet - Mar 2026'!Q25</f>
        <v>1163427</v>
      </c>
      <c r="R25" s="43"/>
      <c r="S25" s="48">
        <f>'Summary Sheet - Jan 2026'!S25+'Summary Sheet - Feb 2026'!S25+'Summary Sheet - Mar 2026'!S25</f>
        <v>374707</v>
      </c>
      <c r="T25" s="43"/>
      <c r="U25" s="43" t="str">
        <f>'Summary Sheet - Jan 2026'!U25+'Summary Sheet - Feb 2026'!U25+'Summary Sheet - Mar 2026'!U25</f>
        <v>#REF!</v>
      </c>
      <c r="V25" s="43"/>
      <c r="W25" s="48">
        <f>'Summary Sheet - Jan 2026'!W25+'Summary Sheet - Feb 2026'!W25+'Summary Sheet - Mar 2026'!W25</f>
        <v>1732821.81</v>
      </c>
      <c r="X25" s="43"/>
      <c r="Y25" s="48">
        <f>'Summary Sheet - Jan 2026'!Y25+'Summary Sheet - Feb 2026'!Y25+'Summary Sheet - Mar 2026'!Y25</f>
        <v>1250689.25</v>
      </c>
      <c r="Z25" s="43"/>
      <c r="AA25" s="48">
        <f>'Summary Sheet - Jan 2026'!AA25+'Summary Sheet - Feb 2026'!AA25+'Summary Sheet - Mar 2026'!AA25</f>
        <v>335641.6733</v>
      </c>
      <c r="AB25" s="43"/>
      <c r="AC25" s="48">
        <f>'Summary Sheet - Jan 2026'!AC25+'Summary Sheet - Feb 2026'!AC25+'Summary Sheet - Mar 2026'!AC25</f>
        <v>141000</v>
      </c>
      <c r="AD25" s="43"/>
      <c r="AE25" s="48">
        <f>'Summary Sheet - Jan 2026'!AE25+'Summary Sheet - Feb 2026'!AE25+'Summary Sheet - Mar 2026'!AE25</f>
        <v>1922110.66</v>
      </c>
      <c r="AF25" s="43"/>
      <c r="AG25" s="48">
        <f>'Summary Sheet - Jan 2026'!AG25+'Summary Sheet - Feb 2026'!AG25+'Summary Sheet - Mar 2026'!AG25</f>
        <v>1271391</v>
      </c>
      <c r="AH25" s="43"/>
      <c r="AI25" s="48">
        <f>'Summary Sheet - Jan 2026'!AI25+'Summary Sheet - Feb 2026'!AI25+'Summary Sheet - Mar 2026'!AI25</f>
        <v>2852826</v>
      </c>
      <c r="AJ25" s="43"/>
      <c r="AK25" s="48" t="str">
        <f>'Summary Sheet - Jan 2026'!AK25+'Summary Sheet - Feb 2026'!AK25+'Summary Sheet - Mar 2026'!AK25</f>
        <v>#REF!</v>
      </c>
      <c r="AL25" s="43"/>
      <c r="AM25" s="48">
        <f>'Summary Sheet - Jan 2026'!AM25+'Summary Sheet - Feb 2026'!AM25+'Summary Sheet - Mar 2026'!AM25</f>
        <v>757879.7</v>
      </c>
      <c r="AN25" s="43"/>
      <c r="AO25" s="48">
        <f>'Summary Sheet - Jan 2026'!AO25+'Summary Sheet - Feb 2026'!AO25+'Summary Sheet - Mar 2026'!AO25</f>
        <v>0</v>
      </c>
      <c r="AP25" s="43"/>
      <c r="AQ25" s="114">
        <f>'Summary Sheet - Jan 2026'!AQ25+'Summary Sheet - Feb 2026'!AQ25+'Summary Sheet - Mar 2026'!AQ25</f>
        <v>1046047.377</v>
      </c>
      <c r="AR25" s="43"/>
      <c r="AS25" s="236">
        <v>0.0</v>
      </c>
      <c r="AT25" s="43"/>
      <c r="AU25" s="114">
        <f>'Summary Sheet - Jan 2026'!AU24+'Summary Sheet - Feb 2026'!AU24+'Summary Sheet - Mar 2026'!AU25</f>
        <v>8100</v>
      </c>
      <c r="AV25" s="43"/>
      <c r="AW25" s="114">
        <f>'Summary Sheet - Jan 2026'!AY24+'Summary Sheet - Feb 2026'!AY24+'Summary Sheet - Mar 2026'!AW25</f>
        <v>8100</v>
      </c>
      <c r="AX25" s="43"/>
      <c r="AY25" s="114">
        <f>'Summary Sheet - Jan 2026'!BC25+'Summary Sheet - Feb 2026'!BC25+'Summary Sheet - Mar 2026'!AY25</f>
        <v>24300</v>
      </c>
      <c r="AZ25" s="43"/>
      <c r="BA25" s="114">
        <f>'Summary Sheet - Jan 2026'!BG25+'Summary Sheet - Feb 2026'!BG25+'Summary Sheet - Mar 2026'!BA25</f>
        <v>150773</v>
      </c>
      <c r="BB25" s="43"/>
    </row>
    <row r="26" ht="15.75" customHeight="1">
      <c r="A26" s="213"/>
      <c r="B26" s="38" t="s">
        <v>42</v>
      </c>
      <c r="C26" s="224">
        <f t="shared" si="9"/>
        <v>1416190.083</v>
      </c>
      <c r="D26" s="139"/>
      <c r="E26" s="225" t="str">
        <f t="shared" si="10"/>
        <v>#REF!</v>
      </c>
      <c r="F26" s="150"/>
      <c r="G26" s="138">
        <f>'Summary Sheet - Jan 2026'!G26+'Summary Sheet - Feb 2026'!G26+'Summary Sheet - Mar 2026'!G26</f>
        <v>1232107.083</v>
      </c>
      <c r="H26" s="43"/>
      <c r="I26" s="114">
        <f>'Summary Sheet - Jan 2026'!I26+'Summary Sheet - Feb 2026'!I26+'Summary Sheet - Mar 2026'!I26</f>
        <v>300000</v>
      </c>
      <c r="J26" s="43"/>
      <c r="K26" s="222">
        <f t="shared" si="11"/>
        <v>184083</v>
      </c>
      <c r="L26" s="139"/>
      <c r="M26" s="223" t="str">
        <f t="shared" si="12"/>
        <v>#REF!</v>
      </c>
      <c r="N26" s="139"/>
      <c r="O26" s="34">
        <f>'Summary Sheet - Jan 2026'!O26+'Summary Sheet - Feb 2026'!O26+'Summary Sheet - Mar 2026'!O26</f>
        <v>62163</v>
      </c>
      <c r="P26" s="43"/>
      <c r="Q26" s="48">
        <f>'Summary Sheet - Jan 2026'!Q26+'Summary Sheet - Feb 2026'!Q26+'Summary Sheet - Mar 2026'!Q26</f>
        <v>0</v>
      </c>
      <c r="R26" s="43"/>
      <c r="S26" s="48">
        <f>'Summary Sheet - Jan 2026'!S26+'Summary Sheet - Feb 2026'!S26+'Summary Sheet - Mar 2026'!S26</f>
        <v>6000</v>
      </c>
      <c r="T26" s="43"/>
      <c r="U26" s="43" t="str">
        <f>'Summary Sheet - Jan 2026'!U26+'Summary Sheet - Feb 2026'!U26+'Summary Sheet - Mar 2026'!U26</f>
        <v>#REF!</v>
      </c>
      <c r="V26" s="43"/>
      <c r="W26" s="48">
        <f>'Summary Sheet - Jan 2026'!W26+'Summary Sheet - Feb 2026'!W26+'Summary Sheet - Mar 2026'!W26</f>
        <v>0</v>
      </c>
      <c r="X26" s="43"/>
      <c r="Y26" s="48">
        <f>'Summary Sheet - Jan 2026'!Y26+'Summary Sheet - Feb 2026'!Y26+'Summary Sheet - Mar 2026'!Y26</f>
        <v>0</v>
      </c>
      <c r="Z26" s="43"/>
      <c r="AA26" s="48">
        <f>'Summary Sheet - Jan 2026'!AA26+'Summary Sheet - Feb 2026'!AA26+'Summary Sheet - Mar 2026'!AA26</f>
        <v>44000</v>
      </c>
      <c r="AB26" s="43"/>
      <c r="AC26" s="114">
        <f>'Summary Sheet - Jan 2026'!AC26+'Summary Sheet - Feb 2026'!AC26+'Summary Sheet - Mar 2026'!AC26</f>
        <v>0</v>
      </c>
      <c r="AD26" s="43"/>
      <c r="AE26" s="48">
        <f>'Summary Sheet - Jan 2026'!AE26+'Summary Sheet - Feb 2026'!AE26+'Summary Sheet - Mar 2026'!AE26</f>
        <v>11750</v>
      </c>
      <c r="AF26" s="43"/>
      <c r="AG26" s="48">
        <f>'Summary Sheet - Jan 2026'!AG26+'Summary Sheet - Feb 2026'!AG26+'Summary Sheet - Mar 2026'!AG26</f>
        <v>0</v>
      </c>
      <c r="AH26" s="43"/>
      <c r="AI26" s="48">
        <f>'Summary Sheet - Jan 2026'!AI26+'Summary Sheet - Feb 2026'!AI26+'Summary Sheet - Mar 2026'!AI26</f>
        <v>0</v>
      </c>
      <c r="AJ26" s="43"/>
      <c r="AK26" s="48" t="str">
        <f>'Summary Sheet - Jan 2026'!AK26+'Summary Sheet - Feb 2026'!AK26+'Summary Sheet - Mar 2026'!AK26</f>
        <v>#REF!</v>
      </c>
      <c r="AL26" s="43"/>
      <c r="AM26" s="48">
        <f>'Summary Sheet - Jan 2026'!AM26+'Summary Sheet - Feb 2026'!AM26+'Summary Sheet - Mar 2026'!AM26</f>
        <v>20270</v>
      </c>
      <c r="AN26" s="43"/>
      <c r="AO26" s="48">
        <f>'Summary Sheet - Jan 2026'!AO26+'Summary Sheet - Feb 2026'!AO26+'Summary Sheet - Mar 2026'!AO26</f>
        <v>0</v>
      </c>
      <c r="AP26" s="43"/>
      <c r="AQ26" s="114">
        <f>'Summary Sheet - Jan 2026'!AQ26+'Summary Sheet - Feb 2026'!AQ26+'Summary Sheet - Mar 2026'!AQ26</f>
        <v>0</v>
      </c>
      <c r="AR26" s="43"/>
      <c r="AS26" s="114">
        <f>'Summary Sheet - Jan 2026'!AS26+'Summary Sheet - Feb 2026'!AS26+'Summary Sheet - Mar 2026'!AS26</f>
        <v>0</v>
      </c>
      <c r="AT26" s="43"/>
      <c r="AU26" s="114">
        <f>'Summary Sheet - Jan 2026'!AU25+'Summary Sheet - Feb 2026'!AU25+'Summary Sheet - Mar 2026'!AU26</f>
        <v>16200</v>
      </c>
      <c r="AV26" s="43"/>
      <c r="AW26" s="114">
        <f>'Summary Sheet - Jan 2026'!AY25+'Summary Sheet - Feb 2026'!AY25+'Summary Sheet - Mar 2026'!AW26</f>
        <v>16200</v>
      </c>
      <c r="AX26" s="43"/>
      <c r="AY26" s="114">
        <f>'Summary Sheet - Jan 2026'!BC26+'Summary Sheet - Feb 2026'!BC26+'Summary Sheet - Mar 2026'!AY26</f>
        <v>0</v>
      </c>
      <c r="AZ26" s="43"/>
      <c r="BA26" s="114">
        <f>'Summary Sheet - Jan 2026'!BG26+'Summary Sheet - Feb 2026'!BG26+'Summary Sheet - Mar 2026'!BA26</f>
        <v>7500</v>
      </c>
      <c r="BB26" s="43"/>
    </row>
    <row r="27" ht="15.75" customHeight="1">
      <c r="A27" s="213"/>
      <c r="B27" s="38" t="s">
        <v>43</v>
      </c>
      <c r="C27" s="224">
        <f t="shared" si="9"/>
        <v>-1095366.36</v>
      </c>
      <c r="D27" s="139"/>
      <c r="E27" s="225" t="str">
        <f t="shared" si="10"/>
        <v>#REF!</v>
      </c>
      <c r="F27" s="150"/>
      <c r="G27" s="138">
        <f>'Summary Sheet - Jan 2026'!G27+'Summary Sheet - Feb 2026'!G27+'Summary Sheet - Mar 2026'!G27</f>
        <v>1794306.64</v>
      </c>
      <c r="H27" s="43"/>
      <c r="I27" s="114">
        <f>'Summary Sheet - Jan 2026'!I27+'Summary Sheet - Feb 2026'!I27+'Summary Sheet - Mar 2026'!I27</f>
        <v>156000</v>
      </c>
      <c r="J27" s="43"/>
      <c r="K27" s="222">
        <f t="shared" si="11"/>
        <v>-2889673</v>
      </c>
      <c r="L27" s="139"/>
      <c r="M27" s="223" t="str">
        <f t="shared" si="12"/>
        <v>#REF!</v>
      </c>
      <c r="N27" s="139"/>
      <c r="O27" s="34">
        <f>'Summary Sheet - Jan 2026'!O27+'Summary Sheet - Feb 2026'!O27+'Summary Sheet - Mar 2026'!O27</f>
        <v>0</v>
      </c>
      <c r="P27" s="43"/>
      <c r="Q27" s="48">
        <f>'Summary Sheet - Jan 2026'!Q27+'Summary Sheet - Feb 2026'!Q27+'Summary Sheet - Mar 2026'!Q27</f>
        <v>0</v>
      </c>
      <c r="R27" s="43"/>
      <c r="S27" s="48">
        <f>'Summary Sheet - Jan 2026'!S27+'Summary Sheet - Feb 2026'!S27+'Summary Sheet - Mar 2026'!S27</f>
        <v>0</v>
      </c>
      <c r="T27" s="43"/>
      <c r="U27" s="48" t="str">
        <f>'Summary Sheet - Jan 2026'!U27+'Summary Sheet - Feb 2026'!U27+'Summary Sheet - Mar 2026'!U27</f>
        <v>#REF!</v>
      </c>
      <c r="V27" s="43"/>
      <c r="W27" s="48">
        <f>'Summary Sheet - Jan 2026'!W27+'Summary Sheet - Feb 2026'!W27+'Summary Sheet - Mar 2026'!W27</f>
        <v>0</v>
      </c>
      <c r="X27" s="43"/>
      <c r="Y27" s="48">
        <f>'Summary Sheet - Jan 2026'!Y27+'Summary Sheet - Feb 2026'!Y27+'Summary Sheet - Mar 2026'!Y27</f>
        <v>0</v>
      </c>
      <c r="Z27" s="43"/>
      <c r="AA27" s="48">
        <f>'Summary Sheet - Jan 2026'!AA27+'Summary Sheet - Feb 2026'!AA27+'Summary Sheet - Mar 2026'!AA27</f>
        <v>0</v>
      </c>
      <c r="AB27" s="43"/>
      <c r="AC27" s="48">
        <f>'Summary Sheet - Jan 2026'!AC27+'Summary Sheet - Feb 2026'!AC27+'Summary Sheet - Mar 2026'!AC27</f>
        <v>0</v>
      </c>
      <c r="AD27" s="43"/>
      <c r="AE27" s="48">
        <f>'Summary Sheet - Jan 2026'!AE27+'Summary Sheet - Feb 2026'!AE27+'Summary Sheet - Mar 2026'!AE27</f>
        <v>0</v>
      </c>
      <c r="AF27" s="43"/>
      <c r="AG27" s="48">
        <f>'Summary Sheet - Jan 2026'!AG27+'Summary Sheet - Feb 2026'!AG27+'Summary Sheet - Mar 2026'!AG27</f>
        <v>0</v>
      </c>
      <c r="AH27" s="43"/>
      <c r="AI27" s="48">
        <f>'Summary Sheet - Jan 2026'!AI27+'Summary Sheet - Feb 2026'!AI27+'Summary Sheet - Mar 2026'!AI27</f>
        <v>0</v>
      </c>
      <c r="AJ27" s="43"/>
      <c r="AK27" s="48" t="str">
        <f>'Summary Sheet - Jan 2026'!AK27+'Summary Sheet - Feb 2026'!AK27+'Summary Sheet - Mar 2026'!AK27</f>
        <v>#REF!</v>
      </c>
      <c r="AL27" s="43"/>
      <c r="AM27" s="48">
        <f>'Summary Sheet - Jan 2026'!AM27+'Summary Sheet - Feb 2026'!AM27+'Summary Sheet - Mar 2026'!AM27</f>
        <v>-3917664</v>
      </c>
      <c r="AN27" s="43"/>
      <c r="AO27" s="48">
        <f>'Summary Sheet - Jan 2026'!AO27+'Summary Sheet - Feb 2026'!AO27+'Summary Sheet - Mar 2026'!AO27</f>
        <v>0</v>
      </c>
      <c r="AP27" s="43"/>
      <c r="AQ27" s="114">
        <f>'Summary Sheet - Jan 2026'!AQ27+'Summary Sheet - Feb 2026'!AQ27+'Summary Sheet - Mar 2026'!AQ27</f>
        <v>0</v>
      </c>
      <c r="AR27" s="43"/>
      <c r="AS27" s="114">
        <f>'Summary Sheet - Jan 2026'!AS27+'Summary Sheet - Feb 2026'!AS27+'Summary Sheet - Mar 2026'!AS27</f>
        <v>75000</v>
      </c>
      <c r="AT27" s="43"/>
      <c r="AU27" s="114">
        <f>'Summary Sheet - Jan 2026'!AU26+'Summary Sheet - Feb 2026'!AU26+'Summary Sheet - Mar 2026'!AU27</f>
        <v>0</v>
      </c>
      <c r="AV27" s="43"/>
      <c r="AW27" s="114">
        <f>'Summary Sheet - Jan 2026'!AY26+'Summary Sheet - Feb 2026'!AY26+'Summary Sheet - Mar 2026'!AW27</f>
        <v>0</v>
      </c>
      <c r="AX27" s="43"/>
      <c r="AY27" s="114">
        <f>'Summary Sheet - Jan 2026'!BC26+'Summary Sheet - Feb 2026'!BC26+'Summary Sheet - Mar 2026'!AY27</f>
        <v>0</v>
      </c>
      <c r="AZ27" s="43"/>
      <c r="BA27" s="114">
        <f>'Summary Sheet - Jan 2026'!BG27+'Summary Sheet - Feb 2026'!BG27+'Summary Sheet - Mar 2026'!BA27</f>
        <v>1027991</v>
      </c>
      <c r="BB27" s="43"/>
    </row>
    <row r="28" ht="15.75" customHeight="1">
      <c r="A28" s="213"/>
      <c r="B28" s="161" t="s">
        <v>44</v>
      </c>
      <c r="C28" s="162">
        <f>SUM(C18:C27)</f>
        <v>127167086.5</v>
      </c>
      <c r="D28" s="164"/>
      <c r="E28" s="164" t="str">
        <f t="shared" si="10"/>
        <v>#REF!</v>
      </c>
      <c r="F28" s="165"/>
      <c r="G28" s="166">
        <f>SUM(G18:G27)</f>
        <v>22641805.85</v>
      </c>
      <c r="H28" s="164"/>
      <c r="I28" s="166">
        <f>SUM(I18:I27)</f>
        <v>14329470.5</v>
      </c>
      <c r="J28" s="164"/>
      <c r="K28" s="164">
        <f>SUM(K18:K27)</f>
        <v>104525280.7</v>
      </c>
      <c r="L28" s="164"/>
      <c r="M28" s="164" t="str">
        <f>SUM(M18:M27)</f>
        <v>#REF!</v>
      </c>
      <c r="N28" s="164"/>
      <c r="O28" s="162">
        <f>SUM(O18:O27)</f>
        <v>26325886.25</v>
      </c>
      <c r="P28" s="164"/>
      <c r="Q28" s="162">
        <f>SUM(Q18:Q27)</f>
        <v>22765977.17</v>
      </c>
      <c r="R28" s="164"/>
      <c r="S28" s="162">
        <f>SUM(S18:S27)</f>
        <v>2519207.96</v>
      </c>
      <c r="T28" s="164"/>
      <c r="U28" s="162" t="str">
        <f>SUM(U18:U27)</f>
        <v>#REF!</v>
      </c>
      <c r="V28" s="164"/>
      <c r="W28" s="162">
        <f>SUM(W18:W27)</f>
        <v>20318082.15</v>
      </c>
      <c r="X28" s="164"/>
      <c r="Y28" s="162">
        <f>SUM(Y18:Y27)</f>
        <v>19235618.19</v>
      </c>
      <c r="Z28" s="164"/>
      <c r="AA28" s="162">
        <f>SUM(AA18:AA27)</f>
        <v>11366850.5</v>
      </c>
      <c r="AB28" s="164"/>
      <c r="AC28" s="162">
        <f>SUM(AC18:AC27)</f>
        <v>11545596.33</v>
      </c>
      <c r="AD28" s="164"/>
      <c r="AE28" s="162">
        <f>SUM(AE18:AE27)</f>
        <v>21617845.36</v>
      </c>
      <c r="AF28" s="164"/>
      <c r="AG28" s="162">
        <f>SUM(AG18:AG27)</f>
        <v>20862471.7</v>
      </c>
      <c r="AH28" s="164"/>
      <c r="AI28" s="162">
        <f>SUM(AI18:AI27)</f>
        <v>3385570.45</v>
      </c>
      <c r="AJ28" s="164"/>
      <c r="AK28" s="162" t="str">
        <f>SUM(AK18:AK27)</f>
        <v>#REF!</v>
      </c>
      <c r="AL28" s="164"/>
      <c r="AM28" s="162">
        <f>SUM(AM18:AM27)</f>
        <v>2194802.074</v>
      </c>
      <c r="AN28" s="164"/>
      <c r="AO28" s="162">
        <f>SUM(AO18:AO27)</f>
        <v>256154</v>
      </c>
      <c r="AP28" s="164"/>
      <c r="AQ28" s="162">
        <f>SUM(AQ18:AQ27)</f>
        <v>12515799.57</v>
      </c>
      <c r="AR28" s="164"/>
      <c r="AS28" s="162">
        <f>SUM(AS18:AS27)</f>
        <v>2158890</v>
      </c>
      <c r="AT28" s="164"/>
      <c r="AU28" s="162">
        <f>SUM(AU18:AU27)</f>
        <v>559419.1771</v>
      </c>
      <c r="AV28" s="164"/>
      <c r="AW28" s="162">
        <f>SUM(AW18:AW27)</f>
        <v>363320.1371</v>
      </c>
      <c r="AX28" s="164"/>
      <c r="AY28" s="162">
        <f>SUM(AY18:AY27)</f>
        <v>447759.3771</v>
      </c>
      <c r="AZ28" s="164"/>
      <c r="BA28" s="162">
        <f>SUM(BA18:BA27)</f>
        <v>2910737.66</v>
      </c>
      <c r="BB28" s="164"/>
    </row>
    <row r="29" ht="15.75" customHeight="1">
      <c r="A29" s="213"/>
      <c r="B29" s="50"/>
      <c r="C29" s="226"/>
      <c r="D29" s="142"/>
      <c r="E29" s="227"/>
      <c r="F29" s="151"/>
      <c r="G29" s="141"/>
      <c r="H29" s="55"/>
      <c r="I29" s="62"/>
      <c r="J29" s="55"/>
      <c r="K29" s="227"/>
      <c r="L29" s="142"/>
      <c r="M29" s="227"/>
      <c r="N29" s="142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62"/>
      <c r="AR29" s="55"/>
      <c r="AS29" s="62"/>
      <c r="AT29" s="55"/>
      <c r="AU29" s="62"/>
      <c r="AV29" s="55"/>
      <c r="AW29" s="62"/>
      <c r="AX29" s="55"/>
      <c r="AY29" s="62"/>
      <c r="AZ29" s="55"/>
      <c r="BA29" s="62"/>
      <c r="BB29" s="55"/>
    </row>
    <row r="30" ht="15.75" customHeight="1">
      <c r="A30" s="213"/>
      <c r="B30" s="16" t="s">
        <v>45</v>
      </c>
      <c r="C30" s="89">
        <f>C16-C28</f>
        <v>32740857.92</v>
      </c>
      <c r="D30" s="70"/>
      <c r="E30" s="231" t="str">
        <f>E16-E28</f>
        <v>#REF!</v>
      </c>
      <c r="F30" s="73"/>
      <c r="G30" s="146">
        <f>G16-G28</f>
        <v>-22641805.85</v>
      </c>
      <c r="H30" s="147"/>
      <c r="I30" s="146">
        <f>I16-I28</f>
        <v>-14329470.5</v>
      </c>
      <c r="J30" s="147"/>
      <c r="K30" s="231">
        <f>K16-K28</f>
        <v>55382663.78</v>
      </c>
      <c r="L30" s="70"/>
      <c r="M30" s="231" t="str">
        <f>M16-M28</f>
        <v>#REF!</v>
      </c>
      <c r="N30" s="70"/>
      <c r="O30" s="146">
        <f>O16-O28</f>
        <v>21882436.18</v>
      </c>
      <c r="P30" s="147"/>
      <c r="Q30" s="146">
        <f>Q16-Q28</f>
        <v>12145669.25</v>
      </c>
      <c r="R30" s="147"/>
      <c r="S30" s="146">
        <f>S16-S28</f>
        <v>340148.1001</v>
      </c>
      <c r="T30" s="147"/>
      <c r="U30" s="146" t="str">
        <f>U16-U28</f>
        <v>#REF!</v>
      </c>
      <c r="V30" s="147"/>
      <c r="W30" s="146">
        <f>W16-W28</f>
        <v>13884889.92</v>
      </c>
      <c r="X30" s="147"/>
      <c r="Y30" s="146">
        <f>Y16-Y28</f>
        <v>12773763.05</v>
      </c>
      <c r="Z30" s="147"/>
      <c r="AA30" s="146">
        <f>AA16-AA28</f>
        <v>8856027.06</v>
      </c>
      <c r="AB30" s="147"/>
      <c r="AC30" s="146">
        <f>AC16-AC28</f>
        <v>10749759.26</v>
      </c>
      <c r="AD30" s="147"/>
      <c r="AE30" s="146">
        <f>AE16-AE28</f>
        <v>16949323.38</v>
      </c>
      <c r="AF30" s="147"/>
      <c r="AG30" s="146">
        <f>AG16-AG28</f>
        <v>14064554.84</v>
      </c>
      <c r="AH30" s="147"/>
      <c r="AI30" s="146">
        <f>AI16-AI28</f>
        <v>-2863671.45</v>
      </c>
      <c r="AJ30" s="147"/>
      <c r="AK30" s="146" t="str">
        <f>AK16-AK28</f>
        <v>#REF!</v>
      </c>
      <c r="AL30" s="147"/>
      <c r="AM30" s="146">
        <f>AM16-AM28</f>
        <v>-2589890.736</v>
      </c>
      <c r="AN30" s="147"/>
      <c r="AO30" s="146">
        <f>AO16-AO28</f>
        <v>-22564</v>
      </c>
      <c r="AP30" s="147"/>
      <c r="AQ30" s="146">
        <f>AQ16-AQ28</f>
        <v>2351018.303</v>
      </c>
      <c r="AR30" s="147"/>
      <c r="AS30" s="146">
        <f>AS16-AS28</f>
        <v>6364110</v>
      </c>
      <c r="AT30" s="147"/>
      <c r="AU30" s="146">
        <f>AU16-AU28</f>
        <v>-253924.0065</v>
      </c>
      <c r="AV30" s="147"/>
      <c r="AW30" s="146">
        <f>AW16-AW28</f>
        <v>-498145.6442</v>
      </c>
      <c r="AX30" s="147"/>
      <c r="AY30" s="146">
        <f>AY16-AY28</f>
        <v>-514461.0874</v>
      </c>
      <c r="AZ30" s="147"/>
      <c r="BA30" s="146">
        <f>BA16-BA28</f>
        <v>-2161086.24</v>
      </c>
      <c r="BB30" s="147"/>
    </row>
    <row r="31" ht="15.75" customHeight="1">
      <c r="A31" s="213"/>
      <c r="B31" s="168"/>
      <c r="C31" s="169">
        <f>C30/C10</f>
        <v>0.1376029419</v>
      </c>
      <c r="D31" s="170"/>
      <c r="E31" s="159"/>
      <c r="F31" s="171"/>
      <c r="G31" s="172"/>
      <c r="H31" s="170"/>
      <c r="I31" s="173"/>
      <c r="J31" s="170"/>
      <c r="K31" s="159"/>
      <c r="L31" s="170"/>
      <c r="M31" s="159"/>
      <c r="N31" s="170"/>
      <c r="O31" s="155"/>
      <c r="P31" s="170"/>
      <c r="Q31" s="155"/>
      <c r="R31" s="170"/>
      <c r="S31" s="155"/>
      <c r="T31" s="170"/>
      <c r="U31" s="155"/>
      <c r="V31" s="170"/>
      <c r="W31" s="155"/>
      <c r="X31" s="170"/>
      <c r="Y31" s="155"/>
      <c r="Z31" s="170"/>
      <c r="AA31" s="155"/>
      <c r="AB31" s="170"/>
      <c r="AC31" s="155"/>
      <c r="AD31" s="170"/>
      <c r="AE31" s="155"/>
      <c r="AF31" s="170"/>
      <c r="AG31" s="155"/>
      <c r="AH31" s="170"/>
      <c r="AI31" s="155"/>
      <c r="AJ31" s="170"/>
      <c r="AK31" s="155"/>
      <c r="AL31" s="170"/>
      <c r="AM31" s="155"/>
      <c r="AN31" s="170"/>
      <c r="AO31" s="155"/>
      <c r="AP31" s="170"/>
      <c r="AQ31" s="170"/>
      <c r="AR31" s="170"/>
      <c r="AS31" s="173"/>
      <c r="AT31" s="170"/>
      <c r="AU31" s="170"/>
      <c r="AV31" s="170"/>
      <c r="AW31" s="170"/>
      <c r="AX31" s="170"/>
      <c r="AY31" s="170"/>
      <c r="AZ31" s="170"/>
      <c r="BA31" s="170"/>
      <c r="BB31" s="170"/>
    </row>
    <row r="32" ht="15.75" customHeight="1">
      <c r="A32" s="213"/>
      <c r="B32" s="213"/>
      <c r="C32" s="213"/>
      <c r="D32" s="213"/>
      <c r="E32" s="213"/>
      <c r="F32" s="213"/>
      <c r="G32" s="213"/>
      <c r="H32" s="213"/>
      <c r="I32" s="213"/>
      <c r="J32" s="213"/>
      <c r="K32" s="215"/>
      <c r="L32" s="213"/>
      <c r="M32" s="215"/>
      <c r="N32" s="213"/>
      <c r="O32" s="213"/>
      <c r="P32" s="213"/>
      <c r="Q32" s="213"/>
      <c r="R32" s="213"/>
      <c r="S32" s="213"/>
      <c r="T32" s="213"/>
      <c r="U32" s="213"/>
      <c r="V32" s="213"/>
      <c r="W32" s="213"/>
      <c r="X32" s="213"/>
      <c r="Y32" s="213"/>
      <c r="Z32" s="213"/>
      <c r="AA32" s="213"/>
      <c r="AB32" s="213"/>
      <c r="AC32" s="213"/>
      <c r="AD32" s="213"/>
      <c r="AE32" s="213"/>
      <c r="AF32" s="213"/>
      <c r="AG32" s="213"/>
      <c r="AH32" s="213"/>
      <c r="AI32" s="213"/>
      <c r="AJ32" s="213"/>
      <c r="AK32" s="213"/>
      <c r="AL32" s="213"/>
      <c r="AM32" s="213"/>
      <c r="AN32" s="213"/>
      <c r="AO32" s="213"/>
      <c r="AP32" s="213"/>
      <c r="AQ32" s="213"/>
      <c r="AR32" s="213"/>
      <c r="AS32" s="213"/>
      <c r="AT32" s="213"/>
      <c r="AU32" s="213"/>
      <c r="AV32" s="213"/>
      <c r="AW32" s="213"/>
      <c r="AX32" s="213"/>
      <c r="AY32" s="213"/>
      <c r="AZ32" s="213"/>
      <c r="BA32" s="213"/>
      <c r="BB32" s="213"/>
    </row>
    <row r="33" ht="15.75" customHeight="1">
      <c r="A33" s="213"/>
      <c r="B33" s="213"/>
      <c r="C33" s="213"/>
      <c r="D33" s="213"/>
      <c r="E33" s="213"/>
      <c r="F33" s="213"/>
      <c r="G33" s="213"/>
      <c r="H33" s="213"/>
      <c r="I33" s="213"/>
      <c r="J33" s="213"/>
      <c r="K33" s="215"/>
      <c r="L33" s="215"/>
      <c r="M33" s="215"/>
      <c r="N33" s="213"/>
      <c r="O33" s="237"/>
      <c r="P33" s="213"/>
      <c r="Q33" s="215"/>
      <c r="R33" s="213"/>
      <c r="S33" s="213"/>
      <c r="T33" s="213"/>
      <c r="U33" s="213"/>
      <c r="V33" s="213"/>
      <c r="W33" s="213"/>
      <c r="X33" s="213"/>
      <c r="Y33" s="213"/>
      <c r="Z33" s="213"/>
      <c r="AA33" s="213"/>
      <c r="AB33" s="213"/>
      <c r="AC33" s="213"/>
      <c r="AD33" s="213"/>
      <c r="AE33" s="213"/>
      <c r="AF33" s="213"/>
      <c r="AG33" s="213"/>
      <c r="AH33" s="213"/>
      <c r="AI33" s="213"/>
      <c r="AJ33" s="213"/>
      <c r="AK33" s="213"/>
      <c r="AL33" s="213"/>
      <c r="AM33" s="213"/>
      <c r="AN33" s="213"/>
      <c r="AO33" s="213"/>
      <c r="AP33" s="213"/>
      <c r="AQ33" s="213"/>
      <c r="AR33" s="213"/>
      <c r="AS33" s="213"/>
      <c r="AT33" s="213"/>
      <c r="AU33" s="213"/>
      <c r="AV33" s="213"/>
      <c r="AW33" s="213"/>
      <c r="AX33" s="213"/>
      <c r="AY33" s="213"/>
      <c r="AZ33" s="213"/>
      <c r="BA33" s="213"/>
      <c r="BB33" s="213"/>
    </row>
    <row r="34" ht="15.75" customHeight="1">
      <c r="A34" s="213"/>
      <c r="B34" s="213"/>
      <c r="C34" s="215"/>
      <c r="D34" s="213"/>
      <c r="E34" s="213"/>
      <c r="F34" s="213"/>
      <c r="G34" s="215"/>
      <c r="H34" s="213"/>
      <c r="I34" s="215"/>
      <c r="J34" s="213"/>
      <c r="K34" s="215"/>
      <c r="L34" s="215"/>
      <c r="M34" s="215"/>
      <c r="N34" s="213"/>
      <c r="O34" s="215"/>
      <c r="P34" s="213"/>
      <c r="Q34" s="215"/>
      <c r="R34" s="213"/>
      <c r="S34" s="215"/>
      <c r="T34" s="213"/>
      <c r="U34" s="215"/>
      <c r="V34" s="213"/>
      <c r="W34" s="215"/>
      <c r="X34" s="213"/>
      <c r="Y34" s="215"/>
      <c r="Z34" s="213"/>
      <c r="AA34" s="215"/>
      <c r="AB34" s="213"/>
      <c r="AC34" s="215"/>
      <c r="AD34" s="213"/>
      <c r="AE34" s="215"/>
      <c r="AF34" s="213"/>
      <c r="AG34" s="215"/>
      <c r="AH34" s="213"/>
      <c r="AI34" s="215"/>
      <c r="AJ34" s="213"/>
      <c r="AK34" s="215"/>
      <c r="AL34" s="213"/>
      <c r="AM34" s="215"/>
      <c r="AN34" s="213"/>
      <c r="AO34" s="215"/>
      <c r="AP34" s="213"/>
      <c r="AQ34" s="215"/>
      <c r="AR34" s="213"/>
      <c r="AS34" s="215"/>
      <c r="AT34" s="213"/>
      <c r="AU34" s="215"/>
      <c r="AV34" s="213"/>
      <c r="AW34" s="215"/>
      <c r="AX34" s="213"/>
      <c r="AY34" s="215"/>
      <c r="AZ34" s="213"/>
      <c r="BA34" s="215"/>
      <c r="BB34" s="213"/>
    </row>
    <row r="35" ht="15.75" customHeight="1">
      <c r="A35" s="213"/>
      <c r="B35" s="213"/>
      <c r="C35" s="213"/>
      <c r="D35" s="213"/>
      <c r="E35" s="213"/>
      <c r="F35" s="213"/>
      <c r="G35" s="213"/>
      <c r="H35" s="213"/>
      <c r="I35" s="213"/>
      <c r="J35" s="213"/>
      <c r="K35" s="215"/>
      <c r="L35" s="213"/>
      <c r="M35" s="215"/>
      <c r="N35" s="213"/>
      <c r="O35" s="213"/>
      <c r="P35" s="213"/>
      <c r="Q35" s="213"/>
      <c r="R35" s="213"/>
      <c r="S35" s="213"/>
      <c r="T35" s="213"/>
      <c r="U35" s="213"/>
      <c r="V35" s="213"/>
      <c r="W35" s="213"/>
      <c r="X35" s="213"/>
      <c r="Y35" s="213"/>
      <c r="Z35" s="213"/>
      <c r="AA35" s="213"/>
      <c r="AB35" s="213"/>
      <c r="AC35" s="213"/>
      <c r="AD35" s="213"/>
      <c r="AE35" s="213"/>
      <c r="AF35" s="213"/>
      <c r="AG35" s="213"/>
      <c r="AH35" s="213"/>
      <c r="AI35" s="213"/>
      <c r="AJ35" s="213"/>
      <c r="AK35" s="213"/>
      <c r="AL35" s="213"/>
      <c r="AM35" s="213"/>
      <c r="AN35" s="213"/>
      <c r="AO35" s="213"/>
      <c r="AP35" s="213"/>
      <c r="AQ35" s="213"/>
      <c r="AR35" s="213"/>
      <c r="AS35" s="213"/>
      <c r="AT35" s="213"/>
      <c r="AU35" s="213"/>
      <c r="AV35" s="213"/>
      <c r="AW35" s="213"/>
      <c r="AX35" s="213"/>
      <c r="AY35" s="213"/>
      <c r="AZ35" s="213"/>
      <c r="BA35" s="213"/>
      <c r="BB35" s="213"/>
    </row>
    <row r="36" ht="15.75" customHeight="1">
      <c r="A36" s="213"/>
      <c r="B36" s="213"/>
      <c r="C36" s="213"/>
      <c r="D36" s="213"/>
      <c r="E36" s="213"/>
      <c r="F36" s="213"/>
      <c r="G36" s="213"/>
      <c r="H36" s="213"/>
      <c r="I36" s="213"/>
      <c r="J36" s="213"/>
      <c r="K36" s="215"/>
      <c r="L36" s="213"/>
      <c r="M36" s="215"/>
      <c r="N36" s="213"/>
      <c r="O36" s="213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  <c r="AA36" s="213"/>
      <c r="AB36" s="213"/>
      <c r="AC36" s="213"/>
      <c r="AD36" s="213"/>
      <c r="AE36" s="213"/>
      <c r="AF36" s="213"/>
      <c r="AG36" s="213"/>
      <c r="AH36" s="213"/>
      <c r="AI36" s="213"/>
      <c r="AJ36" s="213"/>
      <c r="AK36" s="213"/>
      <c r="AL36" s="213"/>
      <c r="AM36" s="213"/>
      <c r="AN36" s="213"/>
      <c r="AO36" s="213"/>
      <c r="AP36" s="213"/>
      <c r="AQ36" s="213"/>
      <c r="AR36" s="213"/>
      <c r="AS36" s="213"/>
      <c r="AT36" s="213"/>
      <c r="AU36" s="213"/>
      <c r="AV36" s="213"/>
      <c r="AW36" s="213"/>
      <c r="AX36" s="213"/>
      <c r="AY36" s="213"/>
      <c r="AZ36" s="213"/>
      <c r="BA36" s="213"/>
      <c r="BB36" s="213"/>
    </row>
    <row r="37" ht="15.75" customHeight="1">
      <c r="A37" s="213"/>
      <c r="B37" s="213"/>
      <c r="C37" s="213"/>
      <c r="D37" s="213"/>
      <c r="E37" s="213"/>
      <c r="F37" s="213"/>
      <c r="G37" s="213"/>
      <c r="H37" s="213"/>
      <c r="I37" s="213"/>
      <c r="J37" s="213"/>
      <c r="K37" s="215"/>
      <c r="L37" s="213"/>
      <c r="M37" s="215"/>
      <c r="N37" s="213"/>
      <c r="O37" s="237"/>
      <c r="P37" s="213"/>
      <c r="Q37" s="213"/>
      <c r="R37" s="213"/>
      <c r="S37" s="213"/>
      <c r="T37" s="213"/>
      <c r="U37" s="213"/>
      <c r="V37" s="213"/>
      <c r="W37" s="213"/>
      <c r="X37" s="213"/>
      <c r="Y37" s="213"/>
      <c r="Z37" s="213"/>
      <c r="AA37" s="213"/>
      <c r="AB37" s="213"/>
      <c r="AC37" s="213"/>
      <c r="AD37" s="213"/>
      <c r="AE37" s="213"/>
      <c r="AF37" s="213"/>
      <c r="AG37" s="213"/>
      <c r="AH37" s="213"/>
      <c r="AI37" s="213"/>
      <c r="AJ37" s="213"/>
      <c r="AK37" s="213"/>
      <c r="AL37" s="213"/>
      <c r="AM37" s="213"/>
      <c r="AN37" s="213"/>
      <c r="AO37" s="213"/>
      <c r="AP37" s="213"/>
      <c r="AQ37" s="213"/>
      <c r="AR37" s="213"/>
      <c r="AS37" s="213"/>
      <c r="AT37" s="213"/>
      <c r="AU37" s="213"/>
      <c r="AV37" s="213"/>
      <c r="AW37" s="213"/>
      <c r="AX37" s="213"/>
      <c r="AY37" s="213"/>
      <c r="AZ37" s="213"/>
      <c r="BA37" s="213"/>
      <c r="BB37" s="213"/>
    </row>
    <row r="38" ht="15.75" customHeight="1">
      <c r="A38" s="213"/>
      <c r="B38" s="213"/>
      <c r="C38" s="213"/>
      <c r="D38" s="213"/>
      <c r="E38" s="213"/>
      <c r="F38" s="213"/>
      <c r="G38" s="213"/>
      <c r="H38" s="213"/>
      <c r="I38" s="213"/>
      <c r="J38" s="213"/>
      <c r="K38" s="215"/>
      <c r="L38" s="213"/>
      <c r="M38" s="215"/>
      <c r="N38" s="213"/>
      <c r="O38" s="237"/>
      <c r="P38" s="213"/>
      <c r="Q38" s="213"/>
      <c r="R38" s="213"/>
      <c r="S38" s="213"/>
      <c r="T38" s="213"/>
      <c r="U38" s="213"/>
      <c r="V38" s="213"/>
      <c r="W38" s="213"/>
      <c r="X38" s="213"/>
      <c r="Y38" s="213"/>
      <c r="Z38" s="213"/>
      <c r="AA38" s="213"/>
      <c r="AB38" s="213"/>
      <c r="AC38" s="213"/>
      <c r="AD38" s="213"/>
      <c r="AE38" s="213"/>
      <c r="AF38" s="213"/>
      <c r="AG38" s="213"/>
      <c r="AH38" s="213"/>
      <c r="AI38" s="213"/>
      <c r="AJ38" s="213"/>
      <c r="AK38" s="213"/>
      <c r="AL38" s="213"/>
      <c r="AM38" s="213"/>
      <c r="AN38" s="213"/>
      <c r="AO38" s="213"/>
      <c r="AP38" s="213"/>
      <c r="AQ38" s="213"/>
      <c r="AR38" s="213"/>
      <c r="AS38" s="213"/>
      <c r="AT38" s="213"/>
      <c r="AU38" s="213"/>
      <c r="AV38" s="213"/>
      <c r="AW38" s="213"/>
      <c r="AX38" s="213"/>
      <c r="AY38" s="213"/>
      <c r="AZ38" s="213"/>
      <c r="BA38" s="213"/>
      <c r="BB38" s="213"/>
    </row>
    <row r="39" ht="15.75" customHeight="1">
      <c r="A39" s="213"/>
      <c r="B39" s="213"/>
      <c r="C39" s="213"/>
      <c r="D39" s="213"/>
      <c r="E39" s="213"/>
      <c r="F39" s="213"/>
      <c r="G39" s="213"/>
      <c r="H39" s="213"/>
      <c r="I39" s="213"/>
      <c r="J39" s="213"/>
      <c r="K39" s="215"/>
      <c r="L39" s="213"/>
      <c r="M39" s="215"/>
      <c r="N39" s="213"/>
      <c r="O39" s="213"/>
      <c r="P39" s="213"/>
      <c r="Q39" s="213"/>
      <c r="R39" s="213"/>
      <c r="S39" s="213"/>
      <c r="T39" s="213"/>
      <c r="U39" s="213"/>
      <c r="V39" s="213"/>
      <c r="W39" s="213"/>
      <c r="X39" s="213"/>
      <c r="Y39" s="213"/>
      <c r="Z39" s="213"/>
      <c r="AA39" s="213"/>
      <c r="AB39" s="213"/>
      <c r="AC39" s="213"/>
      <c r="AD39" s="213"/>
      <c r="AE39" s="213"/>
      <c r="AF39" s="213"/>
      <c r="AG39" s="213"/>
      <c r="AH39" s="213"/>
      <c r="AI39" s="213"/>
      <c r="AJ39" s="213"/>
      <c r="AK39" s="213"/>
      <c r="AL39" s="213"/>
      <c r="AM39" s="213"/>
      <c r="AN39" s="213"/>
      <c r="AO39" s="213"/>
      <c r="AP39" s="213"/>
      <c r="AQ39" s="213"/>
      <c r="AR39" s="213"/>
      <c r="AS39" s="213"/>
      <c r="AT39" s="213"/>
      <c r="AU39" s="213"/>
      <c r="AV39" s="213"/>
      <c r="AW39" s="213"/>
      <c r="AX39" s="213"/>
      <c r="AY39" s="213"/>
      <c r="AZ39" s="213"/>
      <c r="BA39" s="213"/>
      <c r="BB39" s="213"/>
    </row>
    <row r="40" ht="15.75" customHeight="1">
      <c r="A40" s="213"/>
      <c r="B40" s="213"/>
      <c r="C40" s="213"/>
      <c r="D40" s="213"/>
      <c r="E40" s="213"/>
      <c r="F40" s="213"/>
      <c r="G40" s="213"/>
      <c r="H40" s="213"/>
      <c r="I40" s="213"/>
      <c r="J40" s="213"/>
      <c r="K40" s="215"/>
      <c r="L40" s="213"/>
      <c r="M40" s="215"/>
      <c r="N40" s="213"/>
      <c r="O40" s="213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</row>
    <row r="41" ht="15.75" customHeight="1">
      <c r="A41" s="213"/>
      <c r="B41" s="213"/>
      <c r="C41" s="213"/>
      <c r="D41" s="213"/>
      <c r="E41" s="213"/>
      <c r="F41" s="213"/>
      <c r="G41" s="213"/>
      <c r="H41" s="213"/>
      <c r="I41" s="213"/>
      <c r="J41" s="213"/>
      <c r="K41" s="215"/>
      <c r="L41" s="213"/>
      <c r="M41" s="215"/>
      <c r="N41" s="213"/>
      <c r="O41" s="213"/>
      <c r="P41" s="213"/>
      <c r="Q41" s="213"/>
      <c r="R41" s="213"/>
      <c r="S41" s="213"/>
      <c r="T41" s="213"/>
      <c r="U41" s="213"/>
      <c r="V41" s="213"/>
      <c r="W41" s="213"/>
      <c r="X41" s="213"/>
      <c r="Y41" s="213"/>
      <c r="Z41" s="213"/>
      <c r="AA41" s="213"/>
      <c r="AB41" s="213"/>
      <c r="AC41" s="213"/>
      <c r="AD41" s="213"/>
      <c r="AE41" s="213"/>
      <c r="AF41" s="213"/>
      <c r="AG41" s="213"/>
      <c r="AH41" s="213"/>
      <c r="AI41" s="213"/>
      <c r="AJ41" s="213"/>
      <c r="AK41" s="213"/>
      <c r="AL41" s="213"/>
      <c r="AM41" s="213"/>
      <c r="AN41" s="213"/>
      <c r="AO41" s="213"/>
      <c r="AP41" s="213"/>
      <c r="AQ41" s="213"/>
      <c r="AR41" s="213"/>
      <c r="AS41" s="213"/>
      <c r="AT41" s="213"/>
      <c r="AU41" s="213"/>
      <c r="AV41" s="213"/>
      <c r="AW41" s="213"/>
      <c r="AX41" s="213"/>
      <c r="AY41" s="213"/>
      <c r="AZ41" s="213"/>
      <c r="BA41" s="213"/>
      <c r="BB41" s="213"/>
    </row>
    <row r="42" ht="15.75" customHeight="1">
      <c r="A42" s="213"/>
      <c r="B42" s="213"/>
      <c r="C42" s="213"/>
      <c r="D42" s="213"/>
      <c r="E42" s="213"/>
      <c r="F42" s="213"/>
      <c r="G42" s="213"/>
      <c r="H42" s="213"/>
      <c r="I42" s="213"/>
      <c r="J42" s="213"/>
      <c r="K42" s="215"/>
      <c r="L42" s="213"/>
      <c r="M42" s="215"/>
      <c r="N42" s="213"/>
      <c r="O42" s="213"/>
      <c r="P42" s="213"/>
      <c r="Q42" s="213"/>
      <c r="R42" s="213"/>
      <c r="S42" s="213"/>
      <c r="T42" s="213"/>
      <c r="U42" s="213"/>
      <c r="V42" s="213"/>
      <c r="W42" s="213"/>
      <c r="X42" s="213"/>
      <c r="Y42" s="213"/>
      <c r="Z42" s="213"/>
      <c r="AA42" s="213"/>
      <c r="AB42" s="213"/>
      <c r="AC42" s="213"/>
      <c r="AD42" s="213"/>
      <c r="AE42" s="213"/>
      <c r="AF42" s="213"/>
      <c r="AG42" s="213"/>
      <c r="AH42" s="213"/>
      <c r="AI42" s="213"/>
      <c r="AJ42" s="213"/>
      <c r="AK42" s="213"/>
      <c r="AL42" s="213"/>
      <c r="AM42" s="213"/>
      <c r="AN42" s="213"/>
      <c r="AO42" s="213"/>
      <c r="AP42" s="213"/>
      <c r="AQ42" s="213"/>
      <c r="AR42" s="213"/>
      <c r="AS42" s="213"/>
      <c r="AT42" s="213"/>
      <c r="AU42" s="213"/>
      <c r="AV42" s="213"/>
      <c r="AW42" s="213"/>
      <c r="AX42" s="213"/>
      <c r="AY42" s="213"/>
      <c r="AZ42" s="213"/>
      <c r="BA42" s="213"/>
      <c r="BB42" s="213"/>
    </row>
    <row r="43" ht="15.75" customHeight="1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5"/>
      <c r="L43" s="213"/>
      <c r="M43" s="215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</row>
    <row r="44" ht="15.75" customHeight="1">
      <c r="A44" s="213"/>
      <c r="B44" s="213"/>
      <c r="C44" s="213"/>
      <c r="D44" s="213"/>
      <c r="E44" s="213"/>
      <c r="F44" s="213"/>
      <c r="G44" s="213"/>
      <c r="H44" s="213"/>
      <c r="I44" s="213"/>
      <c r="J44" s="213"/>
      <c r="K44" s="215"/>
      <c r="L44" s="213"/>
      <c r="M44" s="215"/>
      <c r="N44" s="213"/>
      <c r="O44" s="213"/>
      <c r="P44" s="213"/>
      <c r="Q44" s="213"/>
      <c r="R44" s="213"/>
      <c r="S44" s="213"/>
      <c r="T44" s="213"/>
      <c r="U44" s="213"/>
      <c r="V44" s="213"/>
      <c r="W44" s="213"/>
      <c r="X44" s="213"/>
      <c r="Y44" s="213"/>
      <c r="Z44" s="213"/>
      <c r="AA44" s="213"/>
      <c r="AB44" s="213"/>
      <c r="AC44" s="213"/>
      <c r="AD44" s="213"/>
      <c r="AE44" s="213"/>
      <c r="AF44" s="213"/>
      <c r="AG44" s="213"/>
      <c r="AH44" s="213"/>
      <c r="AI44" s="213"/>
      <c r="AJ44" s="213"/>
      <c r="AK44" s="213"/>
      <c r="AL44" s="213"/>
      <c r="AM44" s="213"/>
      <c r="AN44" s="213"/>
      <c r="AO44" s="213"/>
      <c r="AP44" s="213"/>
      <c r="AQ44" s="213"/>
      <c r="AR44" s="213"/>
      <c r="AS44" s="213"/>
      <c r="AT44" s="213"/>
      <c r="AU44" s="213"/>
      <c r="AV44" s="213"/>
      <c r="AW44" s="213"/>
      <c r="AX44" s="213"/>
      <c r="AY44" s="213"/>
      <c r="AZ44" s="213"/>
      <c r="BA44" s="213"/>
      <c r="BB44" s="213"/>
    </row>
    <row r="45" ht="15.75" customHeight="1">
      <c r="A45" s="213"/>
      <c r="B45" s="213"/>
      <c r="C45" s="213"/>
      <c r="D45" s="213"/>
      <c r="E45" s="213"/>
      <c r="F45" s="213"/>
      <c r="G45" s="213"/>
      <c r="H45" s="213"/>
      <c r="I45" s="213"/>
      <c r="J45" s="213"/>
      <c r="K45" s="215"/>
      <c r="L45" s="213"/>
      <c r="M45" s="215"/>
      <c r="N45" s="213"/>
      <c r="O45" s="213"/>
      <c r="P45" s="213"/>
      <c r="Q45" s="213"/>
      <c r="R45" s="213"/>
      <c r="S45" s="213"/>
      <c r="T45" s="213"/>
      <c r="U45" s="213"/>
      <c r="V45" s="213"/>
      <c r="W45" s="213"/>
      <c r="X45" s="213"/>
      <c r="Y45" s="213"/>
      <c r="Z45" s="213"/>
      <c r="AA45" s="213"/>
      <c r="AB45" s="213"/>
      <c r="AC45" s="213"/>
      <c r="AD45" s="213"/>
      <c r="AE45" s="213"/>
      <c r="AF45" s="213"/>
      <c r="AG45" s="213"/>
      <c r="AH45" s="213"/>
      <c r="AI45" s="213"/>
      <c r="AJ45" s="213"/>
      <c r="AK45" s="213"/>
      <c r="AL45" s="213"/>
      <c r="AM45" s="213"/>
      <c r="AN45" s="213"/>
      <c r="AO45" s="213"/>
      <c r="AP45" s="213"/>
      <c r="AQ45" s="213"/>
      <c r="AR45" s="213"/>
      <c r="AS45" s="213"/>
      <c r="AT45" s="213"/>
      <c r="AU45" s="213"/>
      <c r="AV45" s="213"/>
      <c r="AW45" s="213"/>
      <c r="AX45" s="213"/>
      <c r="AY45" s="213"/>
      <c r="AZ45" s="213"/>
      <c r="BA45" s="213"/>
      <c r="BB45" s="213"/>
    </row>
    <row r="46" ht="15.75" customHeight="1">
      <c r="A46" s="213"/>
      <c r="B46" s="213"/>
      <c r="C46" s="213"/>
      <c r="D46" s="213"/>
      <c r="E46" s="213"/>
      <c r="F46" s="213"/>
      <c r="G46" s="213"/>
      <c r="H46" s="213"/>
      <c r="I46" s="213"/>
      <c r="J46" s="213"/>
      <c r="K46" s="215"/>
      <c r="L46" s="213"/>
      <c r="M46" s="215"/>
      <c r="N46" s="213"/>
      <c r="O46" s="213"/>
      <c r="P46" s="213"/>
      <c r="Q46" s="213"/>
      <c r="R46" s="213"/>
      <c r="S46" s="213"/>
      <c r="T46" s="213"/>
      <c r="U46" s="213"/>
      <c r="V46" s="213"/>
      <c r="W46" s="213"/>
      <c r="X46" s="213"/>
      <c r="Y46" s="213"/>
      <c r="Z46" s="213"/>
      <c r="AA46" s="213"/>
      <c r="AB46" s="213"/>
      <c r="AC46" s="213"/>
      <c r="AD46" s="213"/>
      <c r="AE46" s="213"/>
      <c r="AF46" s="213"/>
      <c r="AG46" s="213"/>
      <c r="AH46" s="213"/>
      <c r="AI46" s="213"/>
      <c r="AJ46" s="213"/>
      <c r="AK46" s="213"/>
      <c r="AL46" s="213"/>
      <c r="AM46" s="213"/>
      <c r="AN46" s="213"/>
      <c r="AO46" s="213"/>
      <c r="AP46" s="213"/>
      <c r="AQ46" s="213"/>
      <c r="AR46" s="213"/>
      <c r="AS46" s="213"/>
      <c r="AT46" s="213"/>
      <c r="AU46" s="213"/>
      <c r="AV46" s="213"/>
      <c r="AW46" s="213"/>
      <c r="AX46" s="213"/>
      <c r="AY46" s="213"/>
      <c r="AZ46" s="213"/>
      <c r="BA46" s="213"/>
      <c r="BB46" s="213"/>
    </row>
    <row r="47" ht="15.75" customHeight="1">
      <c r="A47" s="213"/>
      <c r="B47" s="213"/>
      <c r="C47" s="213"/>
      <c r="D47" s="213"/>
      <c r="E47" s="213"/>
      <c r="F47" s="213"/>
      <c r="G47" s="213"/>
      <c r="H47" s="213"/>
      <c r="I47" s="213"/>
      <c r="J47" s="213"/>
      <c r="K47" s="215"/>
      <c r="L47" s="213"/>
      <c r="M47" s="215"/>
      <c r="N47" s="213"/>
      <c r="O47" s="213"/>
      <c r="P47" s="213"/>
      <c r="Q47" s="213"/>
      <c r="R47" s="213"/>
      <c r="S47" s="213"/>
      <c r="T47" s="213"/>
      <c r="U47" s="213"/>
      <c r="V47" s="213"/>
      <c r="W47" s="213"/>
      <c r="X47" s="213"/>
      <c r="Y47" s="213"/>
      <c r="Z47" s="213"/>
      <c r="AA47" s="213"/>
      <c r="AB47" s="213"/>
      <c r="AC47" s="213"/>
      <c r="AD47" s="213"/>
      <c r="AE47" s="213"/>
      <c r="AF47" s="213"/>
      <c r="AG47" s="213"/>
      <c r="AH47" s="213"/>
      <c r="AI47" s="213"/>
      <c r="AJ47" s="213"/>
      <c r="AK47" s="213"/>
      <c r="AL47" s="213"/>
      <c r="AM47" s="213"/>
      <c r="AN47" s="213"/>
      <c r="AO47" s="213"/>
      <c r="AP47" s="213"/>
      <c r="AQ47" s="213"/>
      <c r="AR47" s="213"/>
      <c r="AS47" s="213"/>
      <c r="AT47" s="213"/>
      <c r="AU47" s="213"/>
      <c r="AV47" s="213"/>
      <c r="AW47" s="213"/>
      <c r="AX47" s="213"/>
      <c r="AY47" s="213"/>
      <c r="AZ47" s="213"/>
      <c r="BA47" s="213"/>
      <c r="BB47" s="213"/>
    </row>
    <row r="48" ht="15.75" customHeight="1">
      <c r="A48" s="213"/>
      <c r="B48" s="213"/>
      <c r="C48" s="213"/>
      <c r="D48" s="213"/>
      <c r="E48" s="213"/>
      <c r="F48" s="213"/>
      <c r="G48" s="213"/>
      <c r="H48" s="213"/>
      <c r="I48" s="213"/>
      <c r="J48" s="213"/>
      <c r="K48" s="215"/>
      <c r="L48" s="213"/>
      <c r="M48" s="215"/>
      <c r="N48" s="213"/>
      <c r="O48" s="213"/>
      <c r="P48" s="213"/>
      <c r="Q48" s="213"/>
      <c r="R48" s="213"/>
      <c r="S48" s="213"/>
      <c r="T48" s="213"/>
      <c r="U48" s="213"/>
      <c r="V48" s="213"/>
      <c r="W48" s="213"/>
      <c r="X48" s="213"/>
      <c r="Y48" s="213"/>
      <c r="Z48" s="213"/>
      <c r="AA48" s="213"/>
      <c r="AB48" s="213"/>
      <c r="AC48" s="213"/>
      <c r="AD48" s="213"/>
      <c r="AE48" s="213"/>
      <c r="AF48" s="213"/>
      <c r="AG48" s="213"/>
      <c r="AH48" s="213"/>
      <c r="AI48" s="213"/>
      <c r="AJ48" s="213"/>
      <c r="AK48" s="213"/>
      <c r="AL48" s="213"/>
      <c r="AM48" s="213"/>
      <c r="AN48" s="213"/>
      <c r="AO48" s="213"/>
      <c r="AP48" s="213"/>
      <c r="AQ48" s="213"/>
      <c r="AR48" s="213"/>
      <c r="AS48" s="213"/>
      <c r="AT48" s="213"/>
      <c r="AU48" s="213"/>
      <c r="AV48" s="213"/>
      <c r="AW48" s="213"/>
      <c r="AX48" s="213"/>
      <c r="AY48" s="213"/>
      <c r="AZ48" s="213"/>
      <c r="BA48" s="213"/>
      <c r="BB48" s="213"/>
    </row>
    <row r="49" ht="15.75" customHeight="1">
      <c r="A49" s="213"/>
      <c r="B49" s="213"/>
      <c r="C49" s="213"/>
      <c r="D49" s="213"/>
      <c r="E49" s="213"/>
      <c r="F49" s="213"/>
      <c r="G49" s="213"/>
      <c r="H49" s="213"/>
      <c r="I49" s="213"/>
      <c r="J49" s="213"/>
      <c r="K49" s="215"/>
      <c r="L49" s="213"/>
      <c r="M49" s="215"/>
      <c r="N49" s="213"/>
      <c r="O49" s="213"/>
      <c r="P49" s="213"/>
      <c r="Q49" s="213"/>
      <c r="R49" s="213"/>
      <c r="S49" s="213"/>
      <c r="T49" s="213"/>
      <c r="U49" s="213"/>
      <c r="V49" s="213"/>
      <c r="W49" s="213"/>
      <c r="X49" s="213"/>
      <c r="Y49" s="213"/>
      <c r="Z49" s="213"/>
      <c r="AA49" s="213"/>
      <c r="AB49" s="213"/>
      <c r="AC49" s="213"/>
      <c r="AD49" s="213"/>
      <c r="AE49" s="213"/>
      <c r="AF49" s="213"/>
      <c r="AG49" s="213"/>
      <c r="AH49" s="213"/>
      <c r="AI49" s="213"/>
      <c r="AJ49" s="213"/>
      <c r="AK49" s="213"/>
      <c r="AL49" s="213"/>
      <c r="AM49" s="213"/>
      <c r="AN49" s="213"/>
      <c r="AO49" s="213"/>
      <c r="AP49" s="213"/>
      <c r="AQ49" s="213"/>
      <c r="AR49" s="213"/>
      <c r="AS49" s="213"/>
      <c r="AT49" s="213"/>
      <c r="AU49" s="213"/>
      <c r="AV49" s="213"/>
      <c r="AW49" s="213"/>
      <c r="AX49" s="213"/>
      <c r="AY49" s="213"/>
      <c r="AZ49" s="213"/>
      <c r="BA49" s="213"/>
      <c r="BB49" s="213"/>
    </row>
    <row r="50" ht="15.75" customHeight="1">
      <c r="A50" s="213"/>
      <c r="B50" s="213"/>
      <c r="C50" s="213"/>
      <c r="D50" s="213"/>
      <c r="E50" s="213"/>
      <c r="F50" s="213"/>
      <c r="G50" s="213"/>
      <c r="H50" s="213"/>
      <c r="I50" s="213"/>
      <c r="J50" s="213"/>
      <c r="K50" s="215"/>
      <c r="L50" s="213"/>
      <c r="M50" s="215"/>
      <c r="N50" s="213"/>
      <c r="O50" s="213"/>
      <c r="P50" s="213"/>
      <c r="Q50" s="213"/>
      <c r="R50" s="213"/>
      <c r="S50" s="213"/>
      <c r="T50" s="213"/>
      <c r="U50" s="213"/>
      <c r="V50" s="213"/>
      <c r="W50" s="213"/>
      <c r="X50" s="213"/>
      <c r="Y50" s="213"/>
      <c r="Z50" s="213"/>
      <c r="AA50" s="213"/>
      <c r="AB50" s="213"/>
      <c r="AC50" s="213"/>
      <c r="AD50" s="213"/>
      <c r="AE50" s="213"/>
      <c r="AF50" s="213"/>
      <c r="AG50" s="213"/>
      <c r="AH50" s="213"/>
      <c r="AI50" s="213"/>
      <c r="AJ50" s="213"/>
      <c r="AK50" s="213"/>
      <c r="AL50" s="213"/>
      <c r="AM50" s="213"/>
      <c r="AN50" s="213"/>
      <c r="AO50" s="213"/>
      <c r="AP50" s="213"/>
      <c r="AQ50" s="213"/>
      <c r="AR50" s="213"/>
      <c r="AS50" s="213"/>
      <c r="AT50" s="213"/>
      <c r="AU50" s="213"/>
      <c r="AV50" s="213"/>
      <c r="AW50" s="213"/>
      <c r="AX50" s="213"/>
      <c r="AY50" s="213"/>
      <c r="AZ50" s="213"/>
      <c r="BA50" s="213"/>
      <c r="BB50" s="213"/>
    </row>
    <row r="51" ht="15.75" customHeight="1">
      <c r="A51" s="213"/>
      <c r="B51" s="213"/>
      <c r="C51" s="213"/>
      <c r="D51" s="213"/>
      <c r="E51" s="213"/>
      <c r="F51" s="213"/>
      <c r="G51" s="213"/>
      <c r="H51" s="213"/>
      <c r="I51" s="213"/>
      <c r="J51" s="213"/>
      <c r="K51" s="215"/>
      <c r="L51" s="213"/>
      <c r="M51" s="215"/>
      <c r="N51" s="213"/>
      <c r="O51" s="213"/>
      <c r="P51" s="213"/>
      <c r="Q51" s="213"/>
      <c r="R51" s="213"/>
      <c r="S51" s="213"/>
      <c r="T51" s="213"/>
      <c r="U51" s="213"/>
      <c r="V51" s="213"/>
      <c r="W51" s="213"/>
      <c r="X51" s="213"/>
      <c r="Y51" s="213"/>
      <c r="Z51" s="213"/>
      <c r="AA51" s="213"/>
      <c r="AB51" s="213"/>
      <c r="AC51" s="213"/>
      <c r="AD51" s="213"/>
      <c r="AE51" s="213"/>
      <c r="AF51" s="213"/>
      <c r="AG51" s="213"/>
      <c r="AH51" s="213"/>
      <c r="AI51" s="213"/>
      <c r="AJ51" s="213"/>
      <c r="AK51" s="213"/>
      <c r="AL51" s="213"/>
      <c r="AM51" s="213"/>
      <c r="AN51" s="213"/>
      <c r="AO51" s="213"/>
      <c r="AP51" s="213"/>
      <c r="AQ51" s="213"/>
      <c r="AR51" s="213"/>
      <c r="AS51" s="213"/>
      <c r="AT51" s="213"/>
      <c r="AU51" s="213"/>
      <c r="AV51" s="213"/>
      <c r="AW51" s="213"/>
      <c r="AX51" s="213"/>
      <c r="AY51" s="213"/>
      <c r="AZ51" s="213"/>
      <c r="BA51" s="213"/>
      <c r="BB51" s="213"/>
    </row>
    <row r="52" ht="15.75" customHeight="1">
      <c r="A52" s="213"/>
      <c r="B52" s="213"/>
      <c r="C52" s="213"/>
      <c r="D52" s="213"/>
      <c r="E52" s="213"/>
      <c r="F52" s="213"/>
      <c r="G52" s="213"/>
      <c r="H52" s="213"/>
      <c r="I52" s="213"/>
      <c r="J52" s="213"/>
      <c r="K52" s="215"/>
      <c r="L52" s="213"/>
      <c r="M52" s="215"/>
      <c r="N52" s="213"/>
      <c r="O52" s="213"/>
      <c r="P52" s="213"/>
      <c r="Q52" s="213"/>
      <c r="R52" s="213"/>
      <c r="S52" s="213"/>
      <c r="T52" s="213"/>
      <c r="U52" s="213"/>
      <c r="V52" s="213"/>
      <c r="W52" s="213"/>
      <c r="X52" s="213"/>
      <c r="Y52" s="213"/>
      <c r="Z52" s="213"/>
      <c r="AA52" s="213"/>
      <c r="AB52" s="213"/>
      <c r="AC52" s="213"/>
      <c r="AD52" s="213"/>
      <c r="AE52" s="213"/>
      <c r="AF52" s="213"/>
      <c r="AG52" s="213"/>
      <c r="AH52" s="213"/>
      <c r="AI52" s="213"/>
      <c r="AJ52" s="213"/>
      <c r="AK52" s="213"/>
      <c r="AL52" s="213"/>
      <c r="AM52" s="213"/>
      <c r="AN52" s="213"/>
      <c r="AO52" s="213"/>
      <c r="AP52" s="213"/>
      <c r="AQ52" s="213"/>
      <c r="AR52" s="213"/>
      <c r="AS52" s="213"/>
      <c r="AT52" s="213"/>
      <c r="AU52" s="213"/>
      <c r="AV52" s="213"/>
      <c r="AW52" s="213"/>
      <c r="AX52" s="213"/>
      <c r="AY52" s="213"/>
      <c r="AZ52" s="213"/>
      <c r="BA52" s="213"/>
      <c r="BB52" s="213"/>
    </row>
    <row r="53" ht="15.75" customHeight="1">
      <c r="A53" s="213"/>
      <c r="B53" s="213"/>
      <c r="C53" s="213"/>
      <c r="D53" s="213"/>
      <c r="E53" s="213"/>
      <c r="F53" s="213"/>
      <c r="G53" s="213"/>
      <c r="H53" s="213"/>
      <c r="I53" s="213"/>
      <c r="J53" s="213"/>
      <c r="K53" s="215"/>
      <c r="L53" s="213"/>
      <c r="M53" s="215"/>
      <c r="N53" s="213"/>
      <c r="O53" s="213"/>
      <c r="P53" s="213"/>
      <c r="Q53" s="213"/>
      <c r="R53" s="213"/>
      <c r="S53" s="213"/>
      <c r="T53" s="213"/>
      <c r="U53" s="213"/>
      <c r="V53" s="213"/>
      <c r="W53" s="213"/>
      <c r="X53" s="213"/>
      <c r="Y53" s="213"/>
      <c r="Z53" s="213"/>
      <c r="AA53" s="213"/>
      <c r="AB53" s="213"/>
      <c r="AC53" s="213"/>
      <c r="AD53" s="213"/>
      <c r="AE53" s="213"/>
      <c r="AF53" s="213"/>
      <c r="AG53" s="213"/>
      <c r="AH53" s="213"/>
      <c r="AI53" s="213"/>
      <c r="AJ53" s="213"/>
      <c r="AK53" s="213"/>
      <c r="AL53" s="213"/>
      <c r="AM53" s="213"/>
      <c r="AN53" s="213"/>
      <c r="AO53" s="213"/>
      <c r="AP53" s="213"/>
      <c r="AQ53" s="213"/>
      <c r="AR53" s="213"/>
      <c r="AS53" s="213"/>
      <c r="AT53" s="213"/>
      <c r="AU53" s="213"/>
      <c r="AV53" s="213"/>
      <c r="AW53" s="213"/>
      <c r="AX53" s="213"/>
      <c r="AY53" s="213"/>
      <c r="AZ53" s="213"/>
      <c r="BA53" s="213"/>
      <c r="BB53" s="213"/>
    </row>
    <row r="54" ht="15.75" customHeight="1">
      <c r="A54" s="213"/>
      <c r="B54" s="213"/>
      <c r="C54" s="213"/>
      <c r="D54" s="213"/>
      <c r="E54" s="213"/>
      <c r="F54" s="213"/>
      <c r="G54" s="213"/>
      <c r="H54" s="213"/>
      <c r="I54" s="213"/>
      <c r="J54" s="213"/>
      <c r="K54" s="215"/>
      <c r="L54" s="213"/>
      <c r="M54" s="215"/>
      <c r="N54" s="213"/>
      <c r="O54" s="213"/>
      <c r="P54" s="213"/>
      <c r="Q54" s="213"/>
      <c r="R54" s="213"/>
      <c r="S54" s="213"/>
      <c r="T54" s="213"/>
      <c r="U54" s="213"/>
      <c r="V54" s="213"/>
      <c r="W54" s="213"/>
      <c r="X54" s="213"/>
      <c r="Y54" s="213"/>
      <c r="Z54" s="213"/>
      <c r="AA54" s="213"/>
      <c r="AB54" s="213"/>
      <c r="AC54" s="213"/>
      <c r="AD54" s="213"/>
      <c r="AE54" s="213"/>
      <c r="AF54" s="213"/>
      <c r="AG54" s="213"/>
      <c r="AH54" s="213"/>
      <c r="AI54" s="213"/>
      <c r="AJ54" s="213"/>
      <c r="AK54" s="213"/>
      <c r="AL54" s="213"/>
      <c r="AM54" s="213"/>
      <c r="AN54" s="213"/>
      <c r="AO54" s="213"/>
      <c r="AP54" s="213"/>
      <c r="AQ54" s="213"/>
      <c r="AR54" s="213"/>
      <c r="AS54" s="213"/>
      <c r="AT54" s="213"/>
      <c r="AU54" s="213"/>
      <c r="AV54" s="213"/>
      <c r="AW54" s="213"/>
      <c r="AX54" s="213"/>
      <c r="AY54" s="213"/>
      <c r="AZ54" s="213"/>
      <c r="BA54" s="213"/>
      <c r="BB54" s="213"/>
    </row>
    <row r="55" ht="15.75" customHeight="1">
      <c r="A55" s="213"/>
      <c r="B55" s="213"/>
      <c r="C55" s="213"/>
      <c r="D55" s="213"/>
      <c r="E55" s="213"/>
      <c r="F55" s="213"/>
      <c r="G55" s="213"/>
      <c r="H55" s="213"/>
      <c r="I55" s="213"/>
      <c r="J55" s="213"/>
      <c r="K55" s="215"/>
      <c r="L55" s="213"/>
      <c r="M55" s="215"/>
      <c r="N55" s="213"/>
      <c r="O55" s="213"/>
      <c r="P55" s="213"/>
      <c r="Q55" s="213"/>
      <c r="R55" s="213"/>
      <c r="S55" s="213"/>
      <c r="T55" s="213"/>
      <c r="U55" s="213"/>
      <c r="V55" s="213"/>
      <c r="W55" s="213"/>
      <c r="X55" s="213"/>
      <c r="Y55" s="213"/>
      <c r="Z55" s="213"/>
      <c r="AA55" s="213"/>
      <c r="AB55" s="213"/>
      <c r="AC55" s="213"/>
      <c r="AD55" s="213"/>
      <c r="AE55" s="213"/>
      <c r="AF55" s="213"/>
      <c r="AG55" s="213"/>
      <c r="AH55" s="213"/>
      <c r="AI55" s="213"/>
      <c r="AJ55" s="213"/>
      <c r="AK55" s="213"/>
      <c r="AL55" s="213"/>
      <c r="AM55" s="213"/>
      <c r="AN55" s="213"/>
      <c r="AO55" s="213"/>
      <c r="AP55" s="213"/>
      <c r="AQ55" s="213"/>
      <c r="AR55" s="213"/>
      <c r="AS55" s="213"/>
      <c r="AT55" s="213"/>
      <c r="AU55" s="213"/>
      <c r="AV55" s="213"/>
      <c r="AW55" s="213"/>
      <c r="AX55" s="213"/>
      <c r="AY55" s="213"/>
      <c r="AZ55" s="213"/>
      <c r="BA55" s="213"/>
      <c r="BB55" s="213"/>
    </row>
    <row r="56" ht="15.75" customHeight="1">
      <c r="A56" s="213"/>
      <c r="B56" s="213"/>
      <c r="C56" s="213"/>
      <c r="D56" s="213"/>
      <c r="E56" s="213"/>
      <c r="F56" s="213"/>
      <c r="G56" s="213"/>
      <c r="H56" s="213"/>
      <c r="I56" s="213"/>
      <c r="J56" s="213"/>
      <c r="K56" s="215"/>
      <c r="L56" s="213"/>
      <c r="M56" s="215"/>
      <c r="N56" s="213"/>
      <c r="O56" s="213"/>
      <c r="P56" s="213"/>
      <c r="Q56" s="213"/>
      <c r="R56" s="213"/>
      <c r="S56" s="213"/>
      <c r="T56" s="213"/>
      <c r="U56" s="213"/>
      <c r="V56" s="213"/>
      <c r="W56" s="213"/>
      <c r="X56" s="213"/>
      <c r="Y56" s="213"/>
      <c r="Z56" s="213"/>
      <c r="AA56" s="213"/>
      <c r="AB56" s="213"/>
      <c r="AC56" s="213"/>
      <c r="AD56" s="213"/>
      <c r="AE56" s="213"/>
      <c r="AF56" s="213"/>
      <c r="AG56" s="213"/>
      <c r="AH56" s="213"/>
      <c r="AI56" s="213"/>
      <c r="AJ56" s="213"/>
      <c r="AK56" s="213"/>
      <c r="AL56" s="213"/>
      <c r="AM56" s="213"/>
      <c r="AN56" s="213"/>
      <c r="AO56" s="213"/>
      <c r="AP56" s="213"/>
      <c r="AQ56" s="213"/>
      <c r="AR56" s="213"/>
      <c r="AS56" s="213"/>
      <c r="AT56" s="213"/>
      <c r="AU56" s="213"/>
      <c r="AV56" s="213"/>
      <c r="AW56" s="213"/>
      <c r="AX56" s="213"/>
      <c r="AY56" s="213"/>
      <c r="AZ56" s="213"/>
      <c r="BA56" s="213"/>
      <c r="BB56" s="213"/>
    </row>
    <row r="57" ht="15.75" customHeight="1">
      <c r="A57" s="213"/>
      <c r="B57" s="213"/>
      <c r="C57" s="213"/>
      <c r="D57" s="213"/>
      <c r="E57" s="213"/>
      <c r="F57" s="213"/>
      <c r="G57" s="213"/>
      <c r="H57" s="213"/>
      <c r="I57" s="213"/>
      <c r="J57" s="213"/>
      <c r="K57" s="215"/>
      <c r="L57" s="213"/>
      <c r="M57" s="215"/>
      <c r="N57" s="213"/>
      <c r="O57" s="213"/>
      <c r="P57" s="213"/>
      <c r="Q57" s="213"/>
      <c r="R57" s="213"/>
      <c r="S57" s="213"/>
      <c r="T57" s="213"/>
      <c r="U57" s="213"/>
      <c r="V57" s="213"/>
      <c r="W57" s="213"/>
      <c r="X57" s="213"/>
      <c r="Y57" s="213"/>
      <c r="Z57" s="213"/>
      <c r="AA57" s="213"/>
      <c r="AB57" s="213"/>
      <c r="AC57" s="213"/>
      <c r="AD57" s="213"/>
      <c r="AE57" s="213"/>
      <c r="AF57" s="213"/>
      <c r="AG57" s="213"/>
      <c r="AH57" s="213"/>
      <c r="AI57" s="213"/>
      <c r="AJ57" s="213"/>
      <c r="AK57" s="213"/>
      <c r="AL57" s="213"/>
      <c r="AM57" s="213"/>
      <c r="AN57" s="213"/>
      <c r="AO57" s="213"/>
      <c r="AP57" s="213"/>
      <c r="AQ57" s="213"/>
      <c r="AR57" s="213"/>
      <c r="AS57" s="213"/>
      <c r="AT57" s="213"/>
      <c r="AU57" s="213"/>
      <c r="AV57" s="213"/>
      <c r="AW57" s="213"/>
      <c r="AX57" s="213"/>
      <c r="AY57" s="213"/>
      <c r="AZ57" s="213"/>
      <c r="BA57" s="213"/>
      <c r="BB57" s="213"/>
    </row>
    <row r="58" ht="15.75" customHeight="1">
      <c r="A58" s="213"/>
      <c r="B58" s="213"/>
      <c r="C58" s="213"/>
      <c r="D58" s="213"/>
      <c r="E58" s="213"/>
      <c r="F58" s="213"/>
      <c r="G58" s="213"/>
      <c r="H58" s="213"/>
      <c r="I58" s="213"/>
      <c r="J58" s="213"/>
      <c r="K58" s="215"/>
      <c r="L58" s="213"/>
      <c r="M58" s="215"/>
      <c r="N58" s="213"/>
      <c r="O58" s="213"/>
      <c r="P58" s="213"/>
      <c r="Q58" s="213"/>
      <c r="R58" s="213"/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</row>
    <row r="59" ht="15.75" customHeight="1">
      <c r="A59" s="213"/>
      <c r="B59" s="213"/>
      <c r="C59" s="213"/>
      <c r="D59" s="213"/>
      <c r="E59" s="213"/>
      <c r="F59" s="213"/>
      <c r="G59" s="213"/>
      <c r="H59" s="213"/>
      <c r="I59" s="213"/>
      <c r="J59" s="213"/>
      <c r="K59" s="215"/>
      <c r="L59" s="213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3"/>
      <c r="X59" s="213"/>
      <c r="Y59" s="213"/>
      <c r="Z59" s="213"/>
      <c r="AA59" s="213"/>
      <c r="AB59" s="213"/>
      <c r="AC59" s="213"/>
      <c r="AD59" s="213"/>
      <c r="AE59" s="213"/>
      <c r="AF59" s="213"/>
      <c r="AG59" s="213"/>
      <c r="AH59" s="213"/>
      <c r="AI59" s="213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3"/>
      <c r="AU59" s="213"/>
      <c r="AV59" s="213"/>
      <c r="AW59" s="213"/>
      <c r="AX59" s="213"/>
      <c r="AY59" s="213"/>
      <c r="AZ59" s="213"/>
      <c r="BA59" s="213"/>
      <c r="BB59" s="213"/>
    </row>
    <row r="60" ht="15.75" customHeight="1">
      <c r="A60" s="213"/>
      <c r="B60" s="213"/>
      <c r="C60" s="213"/>
      <c r="D60" s="213"/>
      <c r="E60" s="213"/>
      <c r="F60" s="213"/>
      <c r="G60" s="213"/>
      <c r="H60" s="213"/>
      <c r="I60" s="213"/>
      <c r="J60" s="213"/>
      <c r="K60" s="215"/>
      <c r="L60" s="213"/>
      <c r="M60" s="215"/>
      <c r="N60" s="213"/>
      <c r="O60" s="213"/>
      <c r="P60" s="213"/>
      <c r="Q60" s="213"/>
      <c r="R60" s="213"/>
      <c r="S60" s="213"/>
      <c r="T60" s="213"/>
      <c r="U60" s="213"/>
      <c r="V60" s="213"/>
      <c r="W60" s="213"/>
      <c r="X60" s="213"/>
      <c r="Y60" s="213"/>
      <c r="Z60" s="213"/>
      <c r="AA60" s="213"/>
      <c r="AB60" s="213"/>
      <c r="AC60" s="213"/>
      <c r="AD60" s="213"/>
      <c r="AE60" s="213"/>
      <c r="AF60" s="213"/>
      <c r="AG60" s="213"/>
      <c r="AH60" s="213"/>
      <c r="AI60" s="213"/>
      <c r="AJ60" s="213"/>
      <c r="AK60" s="213"/>
      <c r="AL60" s="213"/>
      <c r="AM60" s="213"/>
      <c r="AN60" s="213"/>
      <c r="AO60" s="213"/>
      <c r="AP60" s="213"/>
      <c r="AQ60" s="213"/>
      <c r="AR60" s="213"/>
      <c r="AS60" s="213"/>
      <c r="AT60" s="213"/>
      <c r="AU60" s="213"/>
      <c r="AV60" s="213"/>
      <c r="AW60" s="213"/>
      <c r="AX60" s="213"/>
      <c r="AY60" s="213"/>
      <c r="AZ60" s="213"/>
      <c r="BA60" s="213"/>
      <c r="BB60" s="213"/>
    </row>
    <row r="61" ht="15.75" customHeight="1">
      <c r="A61" s="213"/>
      <c r="B61" s="213"/>
      <c r="C61" s="213"/>
      <c r="D61" s="213"/>
      <c r="E61" s="213"/>
      <c r="F61" s="213"/>
      <c r="G61" s="213"/>
      <c r="H61" s="213"/>
      <c r="I61" s="213"/>
      <c r="J61" s="213"/>
      <c r="K61" s="215"/>
      <c r="L61" s="213"/>
      <c r="M61" s="215"/>
      <c r="N61" s="213"/>
      <c r="O61" s="213"/>
      <c r="P61" s="213"/>
      <c r="Q61" s="213"/>
      <c r="R61" s="213"/>
      <c r="S61" s="213"/>
      <c r="T61" s="213"/>
      <c r="U61" s="213"/>
      <c r="V61" s="213"/>
      <c r="W61" s="213"/>
      <c r="X61" s="213"/>
      <c r="Y61" s="213"/>
      <c r="Z61" s="213"/>
      <c r="AA61" s="213"/>
      <c r="AB61" s="213"/>
      <c r="AC61" s="213"/>
      <c r="AD61" s="213"/>
      <c r="AE61" s="213"/>
      <c r="AF61" s="213"/>
      <c r="AG61" s="213"/>
      <c r="AH61" s="213"/>
      <c r="AI61" s="213"/>
      <c r="AJ61" s="213"/>
      <c r="AK61" s="213"/>
      <c r="AL61" s="213"/>
      <c r="AM61" s="213"/>
      <c r="AN61" s="213"/>
      <c r="AO61" s="213"/>
      <c r="AP61" s="213"/>
      <c r="AQ61" s="213"/>
      <c r="AR61" s="213"/>
      <c r="AS61" s="213"/>
      <c r="AT61" s="213"/>
      <c r="AU61" s="213"/>
      <c r="AV61" s="213"/>
      <c r="AW61" s="213"/>
      <c r="AX61" s="213"/>
      <c r="AY61" s="213"/>
      <c r="AZ61" s="213"/>
      <c r="BA61" s="213"/>
      <c r="BB61" s="213"/>
    </row>
    <row r="62" ht="15.75" customHeight="1">
      <c r="A62" s="213"/>
      <c r="B62" s="213"/>
      <c r="C62" s="213"/>
      <c r="D62" s="213"/>
      <c r="E62" s="213"/>
      <c r="F62" s="213"/>
      <c r="G62" s="213"/>
      <c r="H62" s="213"/>
      <c r="I62" s="213"/>
      <c r="J62" s="213"/>
      <c r="K62" s="215"/>
      <c r="L62" s="213"/>
      <c r="M62" s="215"/>
      <c r="N62" s="213"/>
      <c r="O62" s="213"/>
      <c r="P62" s="213"/>
      <c r="Q62" s="213"/>
      <c r="R62" s="213"/>
      <c r="S62" s="213"/>
      <c r="T62" s="213"/>
      <c r="U62" s="213"/>
      <c r="V62" s="213"/>
      <c r="W62" s="213"/>
      <c r="X62" s="213"/>
      <c r="Y62" s="213"/>
      <c r="Z62" s="213"/>
      <c r="AA62" s="213"/>
      <c r="AB62" s="213"/>
      <c r="AC62" s="213"/>
      <c r="AD62" s="213"/>
      <c r="AE62" s="213"/>
      <c r="AF62" s="213"/>
      <c r="AG62" s="213"/>
      <c r="AH62" s="213"/>
      <c r="AI62" s="213"/>
      <c r="AJ62" s="213"/>
      <c r="AK62" s="213"/>
      <c r="AL62" s="213"/>
      <c r="AM62" s="213"/>
      <c r="AN62" s="213"/>
      <c r="AO62" s="213"/>
      <c r="AP62" s="213"/>
      <c r="AQ62" s="213"/>
      <c r="AR62" s="213"/>
      <c r="AS62" s="213"/>
      <c r="AT62" s="213"/>
      <c r="AU62" s="213"/>
      <c r="AV62" s="213"/>
      <c r="AW62" s="213"/>
      <c r="AX62" s="213"/>
      <c r="AY62" s="213"/>
      <c r="AZ62" s="213"/>
      <c r="BA62" s="213"/>
      <c r="BB62" s="213"/>
    </row>
    <row r="63" ht="15.75" customHeight="1">
      <c r="A63" s="213"/>
      <c r="B63" s="213"/>
      <c r="C63" s="213"/>
      <c r="D63" s="213"/>
      <c r="E63" s="213"/>
      <c r="F63" s="213"/>
      <c r="G63" s="213"/>
      <c r="H63" s="213"/>
      <c r="I63" s="213"/>
      <c r="J63" s="213"/>
      <c r="K63" s="215"/>
      <c r="L63" s="213"/>
      <c r="M63" s="215"/>
      <c r="N63" s="213"/>
      <c r="O63" s="213"/>
      <c r="P63" s="213"/>
      <c r="Q63" s="213"/>
      <c r="R63" s="213"/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</row>
    <row r="64" ht="15.75" customHeight="1">
      <c r="A64" s="213"/>
      <c r="B64" s="213"/>
      <c r="C64" s="213"/>
      <c r="D64" s="213"/>
      <c r="E64" s="213"/>
      <c r="F64" s="213"/>
      <c r="G64" s="213"/>
      <c r="H64" s="213"/>
      <c r="I64" s="213"/>
      <c r="J64" s="213"/>
      <c r="K64" s="215"/>
      <c r="L64" s="213"/>
      <c r="M64" s="215"/>
      <c r="N64" s="213"/>
      <c r="O64" s="213"/>
      <c r="P64" s="213"/>
      <c r="Q64" s="213"/>
      <c r="R64" s="213"/>
      <c r="S64" s="213"/>
      <c r="T64" s="213"/>
      <c r="U64" s="213"/>
      <c r="V64" s="213"/>
      <c r="W64" s="213"/>
      <c r="X64" s="213"/>
      <c r="Y64" s="213"/>
      <c r="Z64" s="213"/>
      <c r="AA64" s="213"/>
      <c r="AB64" s="213"/>
      <c r="AC64" s="213"/>
      <c r="AD64" s="213"/>
      <c r="AE64" s="213"/>
      <c r="AF64" s="213"/>
      <c r="AG64" s="213"/>
      <c r="AH64" s="213"/>
      <c r="AI64" s="213"/>
      <c r="AJ64" s="213"/>
      <c r="AK64" s="213"/>
      <c r="AL64" s="213"/>
      <c r="AM64" s="213"/>
      <c r="AN64" s="213"/>
      <c r="AO64" s="213"/>
      <c r="AP64" s="213"/>
      <c r="AQ64" s="213"/>
      <c r="AR64" s="213"/>
      <c r="AS64" s="213"/>
      <c r="AT64" s="213"/>
      <c r="AU64" s="213"/>
      <c r="AV64" s="213"/>
      <c r="AW64" s="213"/>
      <c r="AX64" s="213"/>
      <c r="AY64" s="213"/>
      <c r="AZ64" s="213"/>
      <c r="BA64" s="213"/>
      <c r="BB64" s="213"/>
    </row>
    <row r="65" ht="15.75" customHeight="1">
      <c r="A65" s="213"/>
      <c r="B65" s="213"/>
      <c r="C65" s="213"/>
      <c r="D65" s="213"/>
      <c r="E65" s="213"/>
      <c r="F65" s="213"/>
      <c r="G65" s="213"/>
      <c r="H65" s="213"/>
      <c r="I65" s="213"/>
      <c r="J65" s="213"/>
      <c r="K65" s="215"/>
      <c r="L65" s="213"/>
      <c r="M65" s="215"/>
      <c r="N65" s="213"/>
      <c r="O65" s="213"/>
      <c r="P65" s="213"/>
      <c r="Q65" s="213"/>
      <c r="R65" s="213"/>
      <c r="S65" s="213"/>
      <c r="T65" s="213"/>
      <c r="U65" s="213"/>
      <c r="V65" s="213"/>
      <c r="W65" s="213"/>
      <c r="X65" s="213"/>
      <c r="Y65" s="213"/>
      <c r="Z65" s="213"/>
      <c r="AA65" s="213"/>
      <c r="AB65" s="213"/>
      <c r="AC65" s="213"/>
      <c r="AD65" s="213"/>
      <c r="AE65" s="213"/>
      <c r="AF65" s="213"/>
      <c r="AG65" s="213"/>
      <c r="AH65" s="213"/>
      <c r="AI65" s="213"/>
      <c r="AJ65" s="213"/>
      <c r="AK65" s="213"/>
      <c r="AL65" s="213"/>
      <c r="AM65" s="213"/>
      <c r="AN65" s="213"/>
      <c r="AO65" s="213"/>
      <c r="AP65" s="213"/>
      <c r="AQ65" s="213"/>
      <c r="AR65" s="213"/>
      <c r="AS65" s="213"/>
      <c r="AT65" s="213"/>
      <c r="AU65" s="213"/>
      <c r="AV65" s="213"/>
      <c r="AW65" s="213"/>
      <c r="AX65" s="213"/>
      <c r="AY65" s="213"/>
      <c r="AZ65" s="213"/>
      <c r="BA65" s="213"/>
      <c r="BB65" s="213"/>
    </row>
    <row r="66" ht="15.75" customHeight="1">
      <c r="A66" s="213"/>
      <c r="B66" s="213"/>
      <c r="C66" s="213"/>
      <c r="D66" s="213"/>
      <c r="E66" s="213"/>
      <c r="F66" s="213"/>
      <c r="G66" s="213"/>
      <c r="H66" s="213"/>
      <c r="I66" s="213"/>
      <c r="J66" s="213"/>
      <c r="K66" s="215"/>
      <c r="L66" s="213"/>
      <c r="M66" s="215"/>
      <c r="N66" s="213"/>
      <c r="O66" s="213"/>
      <c r="P66" s="213"/>
      <c r="Q66" s="213"/>
      <c r="R66" s="213"/>
      <c r="S66" s="213"/>
      <c r="T66" s="213"/>
      <c r="U66" s="213"/>
      <c r="V66" s="213"/>
      <c r="W66" s="213"/>
      <c r="X66" s="213"/>
      <c r="Y66" s="213"/>
      <c r="Z66" s="213"/>
      <c r="AA66" s="213"/>
      <c r="AB66" s="213"/>
      <c r="AC66" s="213"/>
      <c r="AD66" s="213"/>
      <c r="AE66" s="213"/>
      <c r="AF66" s="213"/>
      <c r="AG66" s="213"/>
      <c r="AH66" s="213"/>
      <c r="AI66" s="213"/>
      <c r="AJ66" s="213"/>
      <c r="AK66" s="213"/>
      <c r="AL66" s="213"/>
      <c r="AM66" s="213"/>
      <c r="AN66" s="213"/>
      <c r="AO66" s="213"/>
      <c r="AP66" s="213"/>
      <c r="AQ66" s="213"/>
      <c r="AR66" s="213"/>
      <c r="AS66" s="213"/>
      <c r="AT66" s="213"/>
      <c r="AU66" s="213"/>
      <c r="AV66" s="213"/>
      <c r="AW66" s="213"/>
      <c r="AX66" s="213"/>
      <c r="AY66" s="213"/>
      <c r="AZ66" s="213"/>
      <c r="BA66" s="213"/>
      <c r="BB66" s="213"/>
    </row>
    <row r="67" ht="15.75" customHeight="1">
      <c r="A67" s="213"/>
      <c r="B67" s="213"/>
      <c r="C67" s="213"/>
      <c r="D67" s="213"/>
      <c r="E67" s="213"/>
      <c r="F67" s="213"/>
      <c r="G67" s="213"/>
      <c r="H67" s="213"/>
      <c r="I67" s="213"/>
      <c r="J67" s="213"/>
      <c r="K67" s="215"/>
      <c r="L67" s="213"/>
      <c r="M67" s="215"/>
      <c r="N67" s="213"/>
      <c r="O67" s="213"/>
      <c r="P67" s="213"/>
      <c r="Q67" s="213"/>
      <c r="R67" s="213"/>
      <c r="S67" s="213"/>
      <c r="T67" s="213"/>
      <c r="U67" s="213"/>
      <c r="V67" s="213"/>
      <c r="W67" s="213"/>
      <c r="X67" s="213"/>
      <c r="Y67" s="213"/>
      <c r="Z67" s="213"/>
      <c r="AA67" s="213"/>
      <c r="AB67" s="213"/>
      <c r="AC67" s="213"/>
      <c r="AD67" s="213"/>
      <c r="AE67" s="213"/>
      <c r="AF67" s="213"/>
      <c r="AG67" s="213"/>
      <c r="AH67" s="213"/>
      <c r="AI67" s="213"/>
      <c r="AJ67" s="213"/>
      <c r="AK67" s="213"/>
      <c r="AL67" s="213"/>
      <c r="AM67" s="213"/>
      <c r="AN67" s="213"/>
      <c r="AO67" s="213"/>
      <c r="AP67" s="213"/>
      <c r="AQ67" s="213"/>
      <c r="AR67" s="213"/>
      <c r="AS67" s="213"/>
      <c r="AT67" s="213"/>
      <c r="AU67" s="213"/>
      <c r="AV67" s="213"/>
      <c r="AW67" s="213"/>
      <c r="AX67" s="213"/>
      <c r="AY67" s="213"/>
      <c r="AZ67" s="213"/>
      <c r="BA67" s="213"/>
      <c r="BB67" s="213"/>
    </row>
    <row r="68" ht="15.75" customHeight="1">
      <c r="A68" s="213"/>
      <c r="B68" s="213"/>
      <c r="C68" s="213"/>
      <c r="D68" s="213"/>
      <c r="E68" s="213"/>
      <c r="F68" s="213"/>
      <c r="G68" s="213"/>
      <c r="H68" s="213"/>
      <c r="I68" s="213"/>
      <c r="J68" s="213"/>
      <c r="K68" s="215"/>
      <c r="L68" s="213"/>
      <c r="M68" s="215"/>
      <c r="N68" s="213"/>
      <c r="O68" s="213"/>
      <c r="P68" s="213"/>
      <c r="Q68" s="213"/>
      <c r="R68" s="213"/>
      <c r="S68" s="213"/>
      <c r="T68" s="213"/>
      <c r="U68" s="213"/>
      <c r="V68" s="213"/>
      <c r="W68" s="213"/>
      <c r="X68" s="213"/>
      <c r="Y68" s="213"/>
      <c r="Z68" s="213"/>
      <c r="AA68" s="213"/>
      <c r="AB68" s="213"/>
      <c r="AC68" s="213"/>
      <c r="AD68" s="213"/>
      <c r="AE68" s="213"/>
      <c r="AF68" s="213"/>
      <c r="AG68" s="213"/>
      <c r="AH68" s="213"/>
      <c r="AI68" s="213"/>
      <c r="AJ68" s="213"/>
      <c r="AK68" s="213"/>
      <c r="AL68" s="213"/>
      <c r="AM68" s="213"/>
      <c r="AN68" s="213"/>
      <c r="AO68" s="213"/>
      <c r="AP68" s="213"/>
      <c r="AQ68" s="213"/>
      <c r="AR68" s="213"/>
      <c r="AS68" s="213"/>
      <c r="AT68" s="213"/>
      <c r="AU68" s="213"/>
      <c r="AV68" s="213"/>
      <c r="AW68" s="213"/>
      <c r="AX68" s="213"/>
      <c r="AY68" s="213"/>
      <c r="AZ68" s="213"/>
      <c r="BA68" s="213"/>
      <c r="BB68" s="213"/>
    </row>
    <row r="69" ht="15.75" customHeight="1">
      <c r="A69" s="213"/>
      <c r="B69" s="213"/>
      <c r="C69" s="213"/>
      <c r="D69" s="213"/>
      <c r="E69" s="213"/>
      <c r="F69" s="213"/>
      <c r="G69" s="213"/>
      <c r="H69" s="213"/>
      <c r="I69" s="213"/>
      <c r="J69" s="213"/>
      <c r="K69" s="215"/>
      <c r="L69" s="213"/>
      <c r="M69" s="215"/>
      <c r="N69" s="213"/>
      <c r="O69" s="213"/>
      <c r="P69" s="213"/>
      <c r="Q69" s="213"/>
      <c r="R69" s="213"/>
      <c r="S69" s="213"/>
      <c r="T69" s="213"/>
      <c r="U69" s="213"/>
      <c r="V69" s="213"/>
      <c r="W69" s="213"/>
      <c r="X69" s="213"/>
      <c r="Y69" s="213"/>
      <c r="Z69" s="213"/>
      <c r="AA69" s="213"/>
      <c r="AB69" s="213"/>
      <c r="AC69" s="213"/>
      <c r="AD69" s="213"/>
      <c r="AE69" s="213"/>
      <c r="AF69" s="213"/>
      <c r="AG69" s="213"/>
      <c r="AH69" s="213"/>
      <c r="AI69" s="213"/>
      <c r="AJ69" s="213"/>
      <c r="AK69" s="213"/>
      <c r="AL69" s="213"/>
      <c r="AM69" s="213"/>
      <c r="AN69" s="213"/>
      <c r="AO69" s="213"/>
      <c r="AP69" s="213"/>
      <c r="AQ69" s="213"/>
      <c r="AR69" s="213"/>
      <c r="AS69" s="213"/>
      <c r="AT69" s="213"/>
      <c r="AU69" s="213"/>
      <c r="AV69" s="213"/>
      <c r="AW69" s="213"/>
      <c r="AX69" s="213"/>
      <c r="AY69" s="213"/>
      <c r="AZ69" s="213"/>
      <c r="BA69" s="213"/>
      <c r="BB69" s="213"/>
    </row>
    <row r="70" ht="15.75" customHeight="1">
      <c r="A70" s="213"/>
      <c r="B70" s="213"/>
      <c r="C70" s="213"/>
      <c r="D70" s="213"/>
      <c r="E70" s="213"/>
      <c r="F70" s="213"/>
      <c r="G70" s="213"/>
      <c r="H70" s="213"/>
      <c r="I70" s="213"/>
      <c r="J70" s="213"/>
      <c r="K70" s="215"/>
      <c r="L70" s="213"/>
      <c r="M70" s="215"/>
      <c r="N70" s="213"/>
      <c r="O70" s="213"/>
      <c r="P70" s="213"/>
      <c r="Q70" s="213"/>
      <c r="R70" s="213"/>
      <c r="S70" s="213"/>
      <c r="T70" s="213"/>
      <c r="U70" s="213"/>
      <c r="V70" s="213"/>
      <c r="W70" s="213"/>
      <c r="X70" s="213"/>
      <c r="Y70" s="213"/>
      <c r="Z70" s="213"/>
      <c r="AA70" s="213"/>
      <c r="AB70" s="213"/>
      <c r="AC70" s="213"/>
      <c r="AD70" s="213"/>
      <c r="AE70" s="213"/>
      <c r="AF70" s="213"/>
      <c r="AG70" s="213"/>
      <c r="AH70" s="213"/>
      <c r="AI70" s="213"/>
      <c r="AJ70" s="213"/>
      <c r="AK70" s="213"/>
      <c r="AL70" s="213"/>
      <c r="AM70" s="213"/>
      <c r="AN70" s="213"/>
      <c r="AO70" s="213"/>
      <c r="AP70" s="213"/>
      <c r="AQ70" s="213"/>
      <c r="AR70" s="213"/>
      <c r="AS70" s="213"/>
      <c r="AT70" s="213"/>
      <c r="AU70" s="213"/>
      <c r="AV70" s="213"/>
      <c r="AW70" s="213"/>
      <c r="AX70" s="213"/>
      <c r="AY70" s="213"/>
      <c r="AZ70" s="213"/>
      <c r="BA70" s="213"/>
      <c r="BB70" s="213"/>
    </row>
    <row r="71" ht="15.75" customHeight="1">
      <c r="A71" s="213"/>
      <c r="B71" s="213"/>
      <c r="C71" s="213"/>
      <c r="D71" s="213"/>
      <c r="E71" s="213"/>
      <c r="F71" s="213"/>
      <c r="G71" s="213"/>
      <c r="H71" s="213"/>
      <c r="I71" s="213"/>
      <c r="J71" s="213"/>
      <c r="K71" s="215"/>
      <c r="L71" s="213"/>
      <c r="M71" s="215"/>
      <c r="N71" s="213"/>
      <c r="O71" s="213"/>
      <c r="P71" s="213"/>
      <c r="Q71" s="213"/>
      <c r="R71" s="213"/>
      <c r="S71" s="213"/>
      <c r="T71" s="213"/>
      <c r="U71" s="213"/>
      <c r="V71" s="213"/>
      <c r="W71" s="213"/>
      <c r="X71" s="213"/>
      <c r="Y71" s="213"/>
      <c r="Z71" s="213"/>
      <c r="AA71" s="213"/>
      <c r="AB71" s="213"/>
      <c r="AC71" s="213"/>
      <c r="AD71" s="213"/>
      <c r="AE71" s="213"/>
      <c r="AF71" s="213"/>
      <c r="AG71" s="213"/>
      <c r="AH71" s="213"/>
      <c r="AI71" s="213"/>
      <c r="AJ71" s="213"/>
      <c r="AK71" s="213"/>
      <c r="AL71" s="213"/>
      <c r="AM71" s="213"/>
      <c r="AN71" s="213"/>
      <c r="AO71" s="213"/>
      <c r="AP71" s="213"/>
      <c r="AQ71" s="213"/>
      <c r="AR71" s="213"/>
      <c r="AS71" s="213"/>
      <c r="AT71" s="213"/>
      <c r="AU71" s="213"/>
      <c r="AV71" s="213"/>
      <c r="AW71" s="213"/>
      <c r="AX71" s="213"/>
      <c r="AY71" s="213"/>
      <c r="AZ71" s="213"/>
      <c r="BA71" s="213"/>
      <c r="BB71" s="213"/>
    </row>
    <row r="72" ht="15.75" customHeight="1">
      <c r="A72" s="213"/>
      <c r="B72" s="213"/>
      <c r="C72" s="213"/>
      <c r="D72" s="213"/>
      <c r="E72" s="213"/>
      <c r="F72" s="213"/>
      <c r="G72" s="213"/>
      <c r="H72" s="213"/>
      <c r="I72" s="213"/>
      <c r="J72" s="213"/>
      <c r="K72" s="215"/>
      <c r="L72" s="213"/>
      <c r="M72" s="215"/>
      <c r="N72" s="213"/>
      <c r="O72" s="213"/>
      <c r="P72" s="213"/>
      <c r="Q72" s="213"/>
      <c r="R72" s="213"/>
      <c r="S72" s="213"/>
      <c r="T72" s="213"/>
      <c r="U72" s="213"/>
      <c r="V72" s="213"/>
      <c r="W72" s="213"/>
      <c r="X72" s="213"/>
      <c r="Y72" s="213"/>
      <c r="Z72" s="213"/>
      <c r="AA72" s="213"/>
      <c r="AB72" s="213"/>
      <c r="AC72" s="213"/>
      <c r="AD72" s="213"/>
      <c r="AE72" s="213"/>
      <c r="AF72" s="213"/>
      <c r="AG72" s="213"/>
      <c r="AH72" s="213"/>
      <c r="AI72" s="213"/>
      <c r="AJ72" s="213"/>
      <c r="AK72" s="213"/>
      <c r="AL72" s="213"/>
      <c r="AM72" s="213"/>
      <c r="AN72" s="213"/>
      <c r="AO72" s="213"/>
      <c r="AP72" s="213"/>
      <c r="AQ72" s="213"/>
      <c r="AR72" s="213"/>
      <c r="AS72" s="213"/>
      <c r="AT72" s="213"/>
      <c r="AU72" s="213"/>
      <c r="AV72" s="213"/>
      <c r="AW72" s="213"/>
      <c r="AX72" s="213"/>
      <c r="AY72" s="213"/>
      <c r="AZ72" s="213"/>
      <c r="BA72" s="213"/>
      <c r="BB72" s="213"/>
    </row>
    <row r="73" ht="15.75" customHeight="1">
      <c r="A73" s="213"/>
      <c r="B73" s="213"/>
      <c r="C73" s="213"/>
      <c r="D73" s="213"/>
      <c r="E73" s="213"/>
      <c r="F73" s="213"/>
      <c r="G73" s="213"/>
      <c r="H73" s="213"/>
      <c r="I73" s="213"/>
      <c r="J73" s="213"/>
      <c r="K73" s="215"/>
      <c r="L73" s="213"/>
      <c r="M73" s="215"/>
      <c r="N73" s="213"/>
      <c r="O73" s="213"/>
      <c r="P73" s="213"/>
      <c r="Q73" s="213"/>
      <c r="R73" s="213"/>
      <c r="S73" s="213"/>
      <c r="T73" s="213"/>
      <c r="U73" s="213"/>
      <c r="V73" s="213"/>
      <c r="W73" s="213"/>
      <c r="X73" s="213"/>
      <c r="Y73" s="213"/>
      <c r="Z73" s="213"/>
      <c r="AA73" s="213"/>
      <c r="AB73" s="213"/>
      <c r="AC73" s="213"/>
      <c r="AD73" s="213"/>
      <c r="AE73" s="213"/>
      <c r="AF73" s="213"/>
      <c r="AG73" s="213"/>
      <c r="AH73" s="213"/>
      <c r="AI73" s="213"/>
      <c r="AJ73" s="213"/>
      <c r="AK73" s="213"/>
      <c r="AL73" s="213"/>
      <c r="AM73" s="213"/>
      <c r="AN73" s="213"/>
      <c r="AO73" s="213"/>
      <c r="AP73" s="213"/>
      <c r="AQ73" s="213"/>
      <c r="AR73" s="213"/>
      <c r="AS73" s="213"/>
      <c r="AT73" s="213"/>
      <c r="AU73" s="213"/>
      <c r="AV73" s="213"/>
      <c r="AW73" s="213"/>
      <c r="AX73" s="213"/>
      <c r="AY73" s="213"/>
      <c r="AZ73" s="213"/>
      <c r="BA73" s="213"/>
      <c r="BB73" s="213"/>
    </row>
    <row r="74" ht="15.75" customHeight="1">
      <c r="A74" s="213"/>
      <c r="B74" s="213"/>
      <c r="C74" s="213"/>
      <c r="D74" s="213"/>
      <c r="E74" s="213"/>
      <c r="F74" s="213"/>
      <c r="G74" s="213"/>
      <c r="H74" s="213"/>
      <c r="I74" s="213"/>
      <c r="J74" s="213"/>
      <c r="K74" s="215"/>
      <c r="L74" s="213"/>
      <c r="M74" s="215"/>
      <c r="N74" s="213"/>
      <c r="O74" s="213"/>
      <c r="P74" s="213"/>
      <c r="Q74" s="213"/>
      <c r="R74" s="213"/>
      <c r="S74" s="213"/>
      <c r="T74" s="213"/>
      <c r="U74" s="213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13"/>
      <c r="AS74" s="213"/>
      <c r="AT74" s="213"/>
      <c r="AU74" s="213"/>
      <c r="AV74" s="213"/>
      <c r="AW74" s="213"/>
      <c r="AX74" s="213"/>
      <c r="AY74" s="213"/>
      <c r="AZ74" s="213"/>
      <c r="BA74" s="213"/>
      <c r="BB74" s="213"/>
    </row>
    <row r="75" ht="15.75" customHeight="1">
      <c r="A75" s="213"/>
      <c r="B75" s="213"/>
      <c r="C75" s="213"/>
      <c r="D75" s="213"/>
      <c r="E75" s="213"/>
      <c r="F75" s="213"/>
      <c r="G75" s="213"/>
      <c r="H75" s="213"/>
      <c r="I75" s="213"/>
      <c r="J75" s="213"/>
      <c r="K75" s="215"/>
      <c r="L75" s="213"/>
      <c r="M75" s="215"/>
      <c r="N75" s="213"/>
      <c r="O75" s="213"/>
      <c r="P75" s="213"/>
      <c r="Q75" s="213"/>
      <c r="R75" s="213"/>
      <c r="S75" s="213"/>
      <c r="T75" s="213"/>
      <c r="U75" s="213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13"/>
      <c r="AT75" s="213"/>
      <c r="AU75" s="213"/>
      <c r="AV75" s="213"/>
      <c r="AW75" s="213"/>
      <c r="AX75" s="213"/>
      <c r="AY75" s="213"/>
      <c r="AZ75" s="213"/>
      <c r="BA75" s="213"/>
      <c r="BB75" s="213"/>
    </row>
    <row r="76" ht="15.75" customHeight="1">
      <c r="A76" s="213"/>
      <c r="B76" s="213"/>
      <c r="C76" s="213"/>
      <c r="D76" s="213"/>
      <c r="E76" s="213"/>
      <c r="F76" s="213"/>
      <c r="G76" s="213"/>
      <c r="H76" s="213"/>
      <c r="I76" s="213"/>
      <c r="J76" s="213"/>
      <c r="K76" s="215"/>
      <c r="L76" s="213"/>
      <c r="M76" s="215"/>
      <c r="N76" s="213"/>
      <c r="O76" s="213"/>
      <c r="P76" s="213"/>
      <c r="Q76" s="213"/>
      <c r="R76" s="213"/>
      <c r="S76" s="213"/>
      <c r="T76" s="213"/>
      <c r="U76" s="213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13"/>
      <c r="AT76" s="213"/>
      <c r="AU76" s="213"/>
      <c r="AV76" s="213"/>
      <c r="AW76" s="213"/>
      <c r="AX76" s="213"/>
      <c r="AY76" s="213"/>
      <c r="AZ76" s="213"/>
      <c r="BA76" s="213"/>
      <c r="BB76" s="213"/>
    </row>
    <row r="77" ht="15.75" customHeight="1">
      <c r="A77" s="213"/>
      <c r="B77" s="213"/>
      <c r="C77" s="213"/>
      <c r="D77" s="213"/>
      <c r="E77" s="213"/>
      <c r="F77" s="213"/>
      <c r="G77" s="213"/>
      <c r="H77" s="213"/>
      <c r="I77" s="213"/>
      <c r="J77" s="213"/>
      <c r="K77" s="215"/>
      <c r="L77" s="213"/>
      <c r="M77" s="215"/>
      <c r="N77" s="213"/>
      <c r="O77" s="213"/>
      <c r="P77" s="213"/>
      <c r="Q77" s="213"/>
      <c r="R77" s="213"/>
      <c r="S77" s="213"/>
      <c r="T77" s="213"/>
      <c r="U77" s="213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13"/>
      <c r="AT77" s="213"/>
      <c r="AU77" s="213"/>
      <c r="AV77" s="213"/>
      <c r="AW77" s="213"/>
      <c r="AX77" s="213"/>
      <c r="AY77" s="213"/>
      <c r="AZ77" s="213"/>
      <c r="BA77" s="213"/>
      <c r="BB77" s="213"/>
    </row>
    <row r="78" ht="15.75" customHeight="1">
      <c r="A78" s="213"/>
      <c r="B78" s="213"/>
      <c r="C78" s="213"/>
      <c r="D78" s="213"/>
      <c r="E78" s="213"/>
      <c r="F78" s="213"/>
      <c r="G78" s="213"/>
      <c r="H78" s="213"/>
      <c r="I78" s="213"/>
      <c r="J78" s="213"/>
      <c r="K78" s="215"/>
      <c r="L78" s="213"/>
      <c r="M78" s="215"/>
      <c r="N78" s="213"/>
      <c r="O78" s="213"/>
      <c r="P78" s="213"/>
      <c r="Q78" s="213"/>
      <c r="R78" s="213"/>
      <c r="S78" s="213"/>
      <c r="T78" s="213"/>
      <c r="U78" s="213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13"/>
      <c r="AT78" s="213"/>
      <c r="AU78" s="213"/>
      <c r="AV78" s="213"/>
      <c r="AW78" s="213"/>
      <c r="AX78" s="213"/>
      <c r="AY78" s="213"/>
      <c r="AZ78" s="213"/>
      <c r="BA78" s="213"/>
      <c r="BB78" s="213"/>
    </row>
    <row r="79" ht="15.75" customHeight="1">
      <c r="A79" s="213"/>
      <c r="B79" s="213"/>
      <c r="C79" s="213"/>
      <c r="D79" s="213"/>
      <c r="E79" s="213"/>
      <c r="F79" s="213"/>
      <c r="G79" s="213"/>
      <c r="H79" s="213"/>
      <c r="I79" s="213"/>
      <c r="J79" s="213"/>
      <c r="K79" s="215"/>
      <c r="L79" s="213"/>
      <c r="M79" s="215"/>
      <c r="N79" s="213"/>
      <c r="O79" s="213"/>
      <c r="P79" s="213"/>
      <c r="Q79" s="213"/>
      <c r="R79" s="213"/>
      <c r="S79" s="213"/>
      <c r="T79" s="213"/>
      <c r="U79" s="213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13"/>
      <c r="AT79" s="213"/>
      <c r="AU79" s="213"/>
      <c r="AV79" s="213"/>
      <c r="AW79" s="213"/>
      <c r="AX79" s="213"/>
      <c r="AY79" s="213"/>
      <c r="AZ79" s="213"/>
      <c r="BA79" s="213"/>
      <c r="BB79" s="213"/>
    </row>
    <row r="80" ht="15.75" customHeight="1">
      <c r="A80" s="213"/>
      <c r="B80" s="213"/>
      <c r="C80" s="213"/>
      <c r="D80" s="213"/>
      <c r="E80" s="213"/>
      <c r="F80" s="213"/>
      <c r="G80" s="213"/>
      <c r="H80" s="213"/>
      <c r="I80" s="213"/>
      <c r="J80" s="213"/>
      <c r="K80" s="215"/>
      <c r="L80" s="213"/>
      <c r="M80" s="215"/>
      <c r="N80" s="213"/>
      <c r="O80" s="213"/>
      <c r="P80" s="213"/>
      <c r="Q80" s="213"/>
      <c r="R80" s="213"/>
      <c r="S80" s="213"/>
      <c r="T80" s="213"/>
      <c r="U80" s="213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13"/>
      <c r="AT80" s="213"/>
      <c r="AU80" s="213"/>
      <c r="AV80" s="213"/>
      <c r="AW80" s="213"/>
      <c r="AX80" s="213"/>
      <c r="AY80" s="213"/>
      <c r="AZ80" s="213"/>
      <c r="BA80" s="213"/>
      <c r="BB80" s="213"/>
    </row>
    <row r="81" ht="15.75" customHeight="1">
      <c r="A81" s="213"/>
      <c r="B81" s="213"/>
      <c r="C81" s="213"/>
      <c r="D81" s="213"/>
      <c r="E81" s="213"/>
      <c r="F81" s="213"/>
      <c r="G81" s="213"/>
      <c r="H81" s="213"/>
      <c r="I81" s="213"/>
      <c r="J81" s="213"/>
      <c r="K81" s="215"/>
      <c r="L81" s="213"/>
      <c r="M81" s="215"/>
      <c r="N81" s="213"/>
      <c r="O81" s="213"/>
      <c r="P81" s="213"/>
      <c r="Q81" s="213"/>
      <c r="R81" s="213"/>
      <c r="S81" s="213"/>
      <c r="T81" s="213"/>
      <c r="U81" s="213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13"/>
      <c r="AT81" s="213"/>
      <c r="AU81" s="213"/>
      <c r="AV81" s="213"/>
      <c r="AW81" s="213"/>
      <c r="AX81" s="213"/>
      <c r="AY81" s="213"/>
      <c r="AZ81" s="213"/>
      <c r="BA81" s="213"/>
      <c r="BB81" s="213"/>
    </row>
    <row r="82" ht="15.75" customHeight="1">
      <c r="A82" s="213"/>
      <c r="B82" s="213"/>
      <c r="C82" s="213"/>
      <c r="D82" s="213"/>
      <c r="E82" s="213"/>
      <c r="F82" s="213"/>
      <c r="G82" s="213"/>
      <c r="H82" s="213"/>
      <c r="I82" s="213"/>
      <c r="J82" s="213"/>
      <c r="K82" s="215"/>
      <c r="L82" s="213"/>
      <c r="M82" s="215"/>
      <c r="N82" s="213"/>
      <c r="O82" s="213"/>
      <c r="P82" s="213"/>
      <c r="Q82" s="213"/>
      <c r="R82" s="213"/>
      <c r="S82" s="213"/>
      <c r="T82" s="213"/>
      <c r="U82" s="213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13"/>
      <c r="AT82" s="213"/>
      <c r="AU82" s="213"/>
      <c r="AV82" s="213"/>
      <c r="AW82" s="213"/>
      <c r="AX82" s="213"/>
      <c r="AY82" s="213"/>
      <c r="AZ82" s="213"/>
      <c r="BA82" s="213"/>
      <c r="BB82" s="213"/>
    </row>
    <row r="83" ht="15.75" customHeight="1">
      <c r="A83" s="213"/>
      <c r="B83" s="213"/>
      <c r="C83" s="213"/>
      <c r="D83" s="213"/>
      <c r="E83" s="213"/>
      <c r="F83" s="213"/>
      <c r="G83" s="213"/>
      <c r="H83" s="213"/>
      <c r="I83" s="213"/>
      <c r="J83" s="213"/>
      <c r="K83" s="215"/>
      <c r="L83" s="213"/>
      <c r="M83" s="215"/>
      <c r="N83" s="213"/>
      <c r="O83" s="213"/>
      <c r="P83" s="213"/>
      <c r="Q83" s="213"/>
      <c r="R83" s="213"/>
      <c r="S83" s="213"/>
      <c r="T83" s="213"/>
      <c r="U83" s="213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13"/>
      <c r="AT83" s="213"/>
      <c r="AU83" s="213"/>
      <c r="AV83" s="213"/>
      <c r="AW83" s="213"/>
      <c r="AX83" s="213"/>
      <c r="AY83" s="213"/>
      <c r="AZ83" s="213"/>
      <c r="BA83" s="213"/>
      <c r="BB83" s="213"/>
    </row>
    <row r="84" ht="15.75" customHeight="1">
      <c r="A84" s="213"/>
      <c r="B84" s="213"/>
      <c r="C84" s="213"/>
      <c r="D84" s="213"/>
      <c r="E84" s="213"/>
      <c r="F84" s="213"/>
      <c r="G84" s="213"/>
      <c r="H84" s="213"/>
      <c r="I84" s="213"/>
      <c r="J84" s="213"/>
      <c r="K84" s="215"/>
      <c r="L84" s="213"/>
      <c r="M84" s="215"/>
      <c r="N84" s="213"/>
      <c r="O84" s="213"/>
      <c r="P84" s="213"/>
      <c r="Q84" s="213"/>
      <c r="R84" s="213"/>
      <c r="S84" s="213"/>
      <c r="T84" s="213"/>
      <c r="U84" s="213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13"/>
      <c r="AT84" s="213"/>
      <c r="AU84" s="213"/>
      <c r="AV84" s="213"/>
      <c r="AW84" s="213"/>
      <c r="AX84" s="213"/>
      <c r="AY84" s="213"/>
      <c r="AZ84" s="213"/>
      <c r="BA84" s="213"/>
      <c r="BB84" s="213"/>
    </row>
    <row r="85" ht="15.75" customHeight="1">
      <c r="A85" s="213"/>
      <c r="B85" s="213"/>
      <c r="C85" s="213"/>
      <c r="D85" s="213"/>
      <c r="E85" s="213"/>
      <c r="F85" s="213"/>
      <c r="G85" s="213"/>
      <c r="H85" s="213"/>
      <c r="I85" s="213"/>
      <c r="J85" s="213"/>
      <c r="K85" s="215"/>
      <c r="L85" s="213"/>
      <c r="M85" s="215"/>
      <c r="N85" s="213"/>
      <c r="O85" s="213"/>
      <c r="P85" s="213"/>
      <c r="Q85" s="213"/>
      <c r="R85" s="213"/>
      <c r="S85" s="213"/>
      <c r="T85" s="213"/>
      <c r="U85" s="213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13"/>
      <c r="AT85" s="213"/>
      <c r="AU85" s="213"/>
      <c r="AV85" s="213"/>
      <c r="AW85" s="213"/>
      <c r="AX85" s="213"/>
      <c r="AY85" s="213"/>
      <c r="AZ85" s="213"/>
      <c r="BA85" s="213"/>
      <c r="BB85" s="213"/>
    </row>
    <row r="86" ht="15.75" customHeight="1">
      <c r="A86" s="213"/>
      <c r="B86" s="213"/>
      <c r="C86" s="213"/>
      <c r="D86" s="213"/>
      <c r="E86" s="213"/>
      <c r="F86" s="213"/>
      <c r="G86" s="213"/>
      <c r="H86" s="213"/>
      <c r="I86" s="213"/>
      <c r="J86" s="213"/>
      <c r="K86" s="215"/>
      <c r="L86" s="213"/>
      <c r="M86" s="215"/>
      <c r="N86" s="213"/>
      <c r="O86" s="213"/>
      <c r="P86" s="213"/>
      <c r="Q86" s="213"/>
      <c r="R86" s="213"/>
      <c r="S86" s="213"/>
      <c r="T86" s="213"/>
      <c r="U86" s="213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13"/>
      <c r="AT86" s="213"/>
      <c r="AU86" s="213"/>
      <c r="AV86" s="213"/>
      <c r="AW86" s="213"/>
      <c r="AX86" s="213"/>
      <c r="AY86" s="213"/>
      <c r="AZ86" s="213"/>
      <c r="BA86" s="213"/>
      <c r="BB86" s="213"/>
    </row>
    <row r="87" ht="15.75" customHeight="1">
      <c r="A87" s="213"/>
      <c r="B87" s="213"/>
      <c r="C87" s="213"/>
      <c r="D87" s="213"/>
      <c r="E87" s="213"/>
      <c r="F87" s="213"/>
      <c r="G87" s="213"/>
      <c r="H87" s="213"/>
      <c r="I87" s="213"/>
      <c r="J87" s="213"/>
      <c r="K87" s="215"/>
      <c r="L87" s="213"/>
      <c r="M87" s="215"/>
      <c r="N87" s="213"/>
      <c r="O87" s="213"/>
      <c r="P87" s="213"/>
      <c r="Q87" s="213"/>
      <c r="R87" s="213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213"/>
      <c r="AX87" s="213"/>
      <c r="AY87" s="213"/>
      <c r="AZ87" s="213"/>
      <c r="BA87" s="213"/>
      <c r="BB87" s="213"/>
    </row>
    <row r="88" ht="15.75" customHeight="1">
      <c r="A88" s="213"/>
      <c r="B88" s="213"/>
      <c r="C88" s="213"/>
      <c r="D88" s="213"/>
      <c r="E88" s="213"/>
      <c r="F88" s="213"/>
      <c r="G88" s="213"/>
      <c r="H88" s="213"/>
      <c r="I88" s="213"/>
      <c r="J88" s="213"/>
      <c r="K88" s="215"/>
      <c r="L88" s="213"/>
      <c r="M88" s="215"/>
      <c r="N88" s="213"/>
      <c r="O88" s="213"/>
      <c r="P88" s="213"/>
      <c r="Q88" s="213"/>
      <c r="R88" s="213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13"/>
      <c r="AT88" s="213"/>
      <c r="AU88" s="213"/>
      <c r="AV88" s="213"/>
      <c r="AW88" s="213"/>
      <c r="AX88" s="213"/>
      <c r="AY88" s="213"/>
      <c r="AZ88" s="213"/>
      <c r="BA88" s="213"/>
      <c r="BB88" s="213"/>
    </row>
    <row r="89" ht="15.75" customHeight="1">
      <c r="A89" s="213"/>
      <c r="B89" s="213"/>
      <c r="C89" s="213"/>
      <c r="D89" s="213"/>
      <c r="E89" s="213"/>
      <c r="F89" s="213"/>
      <c r="G89" s="213"/>
      <c r="H89" s="213"/>
      <c r="I89" s="213"/>
      <c r="J89" s="213"/>
      <c r="K89" s="215"/>
      <c r="L89" s="213"/>
      <c r="M89" s="215"/>
      <c r="N89" s="213"/>
      <c r="O89" s="213"/>
      <c r="P89" s="213"/>
      <c r="Q89" s="213"/>
      <c r="R89" s="213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</row>
    <row r="90" ht="15.75" customHeight="1">
      <c r="A90" s="213"/>
      <c r="B90" s="213"/>
      <c r="C90" s="213"/>
      <c r="D90" s="213"/>
      <c r="E90" s="213"/>
      <c r="F90" s="213"/>
      <c r="G90" s="213"/>
      <c r="H90" s="213"/>
      <c r="I90" s="213"/>
      <c r="J90" s="213"/>
      <c r="K90" s="215"/>
      <c r="L90" s="213"/>
      <c r="M90" s="215"/>
      <c r="N90" s="213"/>
      <c r="O90" s="213"/>
      <c r="P90" s="213"/>
      <c r="Q90" s="213"/>
      <c r="R90" s="213"/>
      <c r="S90" s="213"/>
      <c r="T90" s="213"/>
      <c r="U90" s="213"/>
      <c r="V90" s="213"/>
      <c r="W90" s="213"/>
      <c r="X90" s="213"/>
      <c r="Y90" s="213"/>
      <c r="Z90" s="213"/>
      <c r="AA90" s="213"/>
      <c r="AB90" s="213"/>
      <c r="AC90" s="213"/>
      <c r="AD90" s="213"/>
      <c r="AE90" s="213"/>
      <c r="AF90" s="213"/>
      <c r="AG90" s="213"/>
      <c r="AH90" s="213"/>
      <c r="AI90" s="213"/>
      <c r="AJ90" s="213"/>
      <c r="AK90" s="213"/>
      <c r="AL90" s="213"/>
      <c r="AM90" s="213"/>
      <c r="AN90" s="213"/>
      <c r="AO90" s="213"/>
      <c r="AP90" s="213"/>
      <c r="AQ90" s="213"/>
      <c r="AR90" s="213"/>
      <c r="AS90" s="213"/>
      <c r="AT90" s="213"/>
      <c r="AU90" s="213"/>
      <c r="AV90" s="213"/>
      <c r="AW90" s="213"/>
      <c r="AX90" s="213"/>
      <c r="AY90" s="213"/>
      <c r="AZ90" s="213"/>
      <c r="BA90" s="213"/>
      <c r="BB90" s="213"/>
    </row>
    <row r="91" ht="15.75" customHeight="1">
      <c r="A91" s="213"/>
      <c r="B91" s="213"/>
      <c r="C91" s="213"/>
      <c r="D91" s="213"/>
      <c r="E91" s="213"/>
      <c r="F91" s="213"/>
      <c r="G91" s="213"/>
      <c r="H91" s="213"/>
      <c r="I91" s="213"/>
      <c r="J91" s="213"/>
      <c r="K91" s="215"/>
      <c r="L91" s="213"/>
      <c r="M91" s="215"/>
      <c r="N91" s="213"/>
      <c r="O91" s="213"/>
      <c r="P91" s="213"/>
      <c r="Q91" s="213"/>
      <c r="R91" s="213"/>
      <c r="S91" s="213"/>
      <c r="T91" s="213"/>
      <c r="U91" s="213"/>
      <c r="V91" s="213"/>
      <c r="W91" s="213"/>
      <c r="X91" s="213"/>
      <c r="Y91" s="213"/>
      <c r="Z91" s="213"/>
      <c r="AA91" s="213"/>
      <c r="AB91" s="213"/>
      <c r="AC91" s="213"/>
      <c r="AD91" s="213"/>
      <c r="AE91" s="213"/>
      <c r="AF91" s="213"/>
      <c r="AG91" s="213"/>
      <c r="AH91" s="213"/>
      <c r="AI91" s="213"/>
      <c r="AJ91" s="213"/>
      <c r="AK91" s="213"/>
      <c r="AL91" s="213"/>
      <c r="AM91" s="213"/>
      <c r="AN91" s="213"/>
      <c r="AO91" s="213"/>
      <c r="AP91" s="213"/>
      <c r="AQ91" s="213"/>
      <c r="AR91" s="213"/>
      <c r="AS91" s="213"/>
      <c r="AT91" s="213"/>
      <c r="AU91" s="213"/>
      <c r="AV91" s="213"/>
      <c r="AW91" s="213"/>
      <c r="AX91" s="213"/>
      <c r="AY91" s="213"/>
      <c r="AZ91" s="213"/>
      <c r="BA91" s="213"/>
      <c r="BB91" s="213"/>
    </row>
    <row r="92" ht="15.75" customHeight="1">
      <c r="A92" s="213"/>
      <c r="B92" s="213"/>
      <c r="C92" s="213"/>
      <c r="D92" s="213"/>
      <c r="E92" s="213"/>
      <c r="F92" s="213"/>
      <c r="G92" s="213"/>
      <c r="H92" s="213"/>
      <c r="I92" s="213"/>
      <c r="J92" s="213"/>
      <c r="K92" s="215"/>
      <c r="L92" s="213"/>
      <c r="M92" s="215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213"/>
      <c r="Y92" s="213"/>
      <c r="Z92" s="213"/>
      <c r="AA92" s="213"/>
      <c r="AB92" s="213"/>
      <c r="AC92" s="213"/>
      <c r="AD92" s="213"/>
      <c r="AE92" s="213"/>
      <c r="AF92" s="213"/>
      <c r="AG92" s="213"/>
      <c r="AH92" s="213"/>
      <c r="AI92" s="213"/>
      <c r="AJ92" s="213"/>
      <c r="AK92" s="213"/>
      <c r="AL92" s="213"/>
      <c r="AM92" s="213"/>
      <c r="AN92" s="213"/>
      <c r="AO92" s="213"/>
      <c r="AP92" s="213"/>
      <c r="AQ92" s="213"/>
      <c r="AR92" s="213"/>
      <c r="AS92" s="213"/>
      <c r="AT92" s="213"/>
      <c r="AU92" s="213"/>
      <c r="AV92" s="213"/>
      <c r="AW92" s="213"/>
      <c r="AX92" s="213"/>
      <c r="AY92" s="213"/>
      <c r="AZ92" s="213"/>
      <c r="BA92" s="213"/>
      <c r="BB92" s="213"/>
    </row>
    <row r="93" ht="15.75" customHeight="1">
      <c r="A93" s="213"/>
      <c r="B93" s="213"/>
      <c r="C93" s="213"/>
      <c r="D93" s="213"/>
      <c r="E93" s="213"/>
      <c r="F93" s="213"/>
      <c r="G93" s="213"/>
      <c r="H93" s="213"/>
      <c r="I93" s="213"/>
      <c r="J93" s="213"/>
      <c r="K93" s="215"/>
      <c r="L93" s="213"/>
      <c r="M93" s="215"/>
      <c r="N93" s="213"/>
      <c r="O93" s="213"/>
      <c r="P93" s="213"/>
      <c r="Q93" s="213"/>
      <c r="R93" s="213"/>
      <c r="S93" s="213"/>
      <c r="T93" s="213"/>
      <c r="U93" s="213"/>
      <c r="V93" s="213"/>
      <c r="W93" s="213"/>
      <c r="X93" s="213"/>
      <c r="Y93" s="213"/>
      <c r="Z93" s="213"/>
      <c r="AA93" s="213"/>
      <c r="AB93" s="213"/>
      <c r="AC93" s="213"/>
      <c r="AD93" s="213"/>
      <c r="AE93" s="213"/>
      <c r="AF93" s="213"/>
      <c r="AG93" s="213"/>
      <c r="AH93" s="213"/>
      <c r="AI93" s="213"/>
      <c r="AJ93" s="213"/>
      <c r="AK93" s="213"/>
      <c r="AL93" s="213"/>
      <c r="AM93" s="213"/>
      <c r="AN93" s="213"/>
      <c r="AO93" s="213"/>
      <c r="AP93" s="213"/>
      <c r="AQ93" s="213"/>
      <c r="AR93" s="213"/>
      <c r="AS93" s="213"/>
      <c r="AT93" s="213"/>
      <c r="AU93" s="213"/>
      <c r="AV93" s="213"/>
      <c r="AW93" s="213"/>
      <c r="AX93" s="213"/>
      <c r="AY93" s="213"/>
      <c r="AZ93" s="213"/>
      <c r="BA93" s="213"/>
      <c r="BB93" s="213"/>
    </row>
    <row r="94" ht="15.75" customHeight="1">
      <c r="A94" s="213"/>
      <c r="B94" s="213"/>
      <c r="C94" s="213"/>
      <c r="D94" s="213"/>
      <c r="E94" s="213"/>
      <c r="F94" s="213"/>
      <c r="G94" s="213"/>
      <c r="H94" s="213"/>
      <c r="I94" s="213"/>
      <c r="J94" s="213"/>
      <c r="K94" s="215"/>
      <c r="L94" s="213"/>
      <c r="M94" s="215"/>
      <c r="N94" s="213"/>
      <c r="O94" s="213"/>
      <c r="P94" s="213"/>
      <c r="Q94" s="213"/>
      <c r="R94" s="213"/>
      <c r="S94" s="213"/>
      <c r="T94" s="213"/>
      <c r="U94" s="213"/>
      <c r="V94" s="213"/>
      <c r="W94" s="213"/>
      <c r="X94" s="213"/>
      <c r="Y94" s="213"/>
      <c r="Z94" s="213"/>
      <c r="AA94" s="213"/>
      <c r="AB94" s="213"/>
      <c r="AC94" s="213"/>
      <c r="AD94" s="213"/>
      <c r="AE94" s="213"/>
      <c r="AF94" s="213"/>
      <c r="AG94" s="213"/>
      <c r="AH94" s="213"/>
      <c r="AI94" s="213"/>
      <c r="AJ94" s="213"/>
      <c r="AK94" s="213"/>
      <c r="AL94" s="213"/>
      <c r="AM94" s="213"/>
      <c r="AN94" s="213"/>
      <c r="AO94" s="213"/>
      <c r="AP94" s="213"/>
      <c r="AQ94" s="213"/>
      <c r="AR94" s="213"/>
      <c r="AS94" s="213"/>
      <c r="AT94" s="213"/>
      <c r="AU94" s="213"/>
      <c r="AV94" s="213"/>
      <c r="AW94" s="213"/>
      <c r="AX94" s="213"/>
      <c r="AY94" s="213"/>
      <c r="AZ94" s="213"/>
      <c r="BA94" s="213"/>
      <c r="BB94" s="213"/>
    </row>
    <row r="95" ht="15.75" customHeight="1">
      <c r="A95" s="213"/>
      <c r="B95" s="213"/>
      <c r="C95" s="213"/>
      <c r="D95" s="213"/>
      <c r="E95" s="213"/>
      <c r="F95" s="213"/>
      <c r="G95" s="213"/>
      <c r="H95" s="213"/>
      <c r="I95" s="213"/>
      <c r="J95" s="213"/>
      <c r="K95" s="215"/>
      <c r="L95" s="213"/>
      <c r="M95" s="215"/>
      <c r="N95" s="213"/>
      <c r="O95" s="213"/>
      <c r="P95" s="213"/>
      <c r="Q95" s="213"/>
      <c r="R95" s="213"/>
      <c r="S95" s="213"/>
      <c r="T95" s="213"/>
      <c r="U95" s="213"/>
      <c r="V95" s="213"/>
      <c r="W95" s="213"/>
      <c r="X95" s="213"/>
      <c r="Y95" s="213"/>
      <c r="Z95" s="213"/>
      <c r="AA95" s="213"/>
      <c r="AB95" s="213"/>
      <c r="AC95" s="213"/>
      <c r="AD95" s="213"/>
      <c r="AE95" s="213"/>
      <c r="AF95" s="213"/>
      <c r="AG95" s="213"/>
      <c r="AH95" s="213"/>
      <c r="AI95" s="213"/>
      <c r="AJ95" s="213"/>
      <c r="AK95" s="213"/>
      <c r="AL95" s="213"/>
      <c r="AM95" s="213"/>
      <c r="AN95" s="213"/>
      <c r="AO95" s="213"/>
      <c r="AP95" s="213"/>
      <c r="AQ95" s="213"/>
      <c r="AR95" s="213"/>
      <c r="AS95" s="213"/>
      <c r="AT95" s="213"/>
      <c r="AU95" s="213"/>
      <c r="AV95" s="213"/>
      <c r="AW95" s="213"/>
      <c r="AX95" s="213"/>
      <c r="AY95" s="213"/>
      <c r="AZ95" s="213"/>
      <c r="BA95" s="213"/>
      <c r="BB95" s="213"/>
    </row>
    <row r="96" ht="15.75" customHeight="1">
      <c r="A96" s="213"/>
      <c r="B96" s="213"/>
      <c r="C96" s="213"/>
      <c r="D96" s="213"/>
      <c r="E96" s="213"/>
      <c r="F96" s="213"/>
      <c r="G96" s="213"/>
      <c r="H96" s="213"/>
      <c r="I96" s="213"/>
      <c r="J96" s="213"/>
      <c r="K96" s="215"/>
      <c r="L96" s="213"/>
      <c r="M96" s="215"/>
      <c r="N96" s="213"/>
      <c r="O96" s="213"/>
      <c r="P96" s="213"/>
      <c r="Q96" s="213"/>
      <c r="R96" s="213"/>
      <c r="S96" s="213"/>
      <c r="T96" s="213"/>
      <c r="U96" s="213"/>
      <c r="V96" s="213"/>
      <c r="W96" s="213"/>
      <c r="X96" s="213"/>
      <c r="Y96" s="213"/>
      <c r="Z96" s="213"/>
      <c r="AA96" s="213"/>
      <c r="AB96" s="213"/>
      <c r="AC96" s="213"/>
      <c r="AD96" s="213"/>
      <c r="AE96" s="213"/>
      <c r="AF96" s="213"/>
      <c r="AG96" s="213"/>
      <c r="AH96" s="213"/>
      <c r="AI96" s="213"/>
      <c r="AJ96" s="213"/>
      <c r="AK96" s="213"/>
      <c r="AL96" s="213"/>
      <c r="AM96" s="213"/>
      <c r="AN96" s="213"/>
      <c r="AO96" s="213"/>
      <c r="AP96" s="213"/>
      <c r="AQ96" s="213"/>
      <c r="AR96" s="213"/>
      <c r="AS96" s="213"/>
      <c r="AT96" s="213"/>
      <c r="AU96" s="213"/>
      <c r="AV96" s="213"/>
      <c r="AW96" s="213"/>
      <c r="AX96" s="213"/>
      <c r="AY96" s="213"/>
      <c r="AZ96" s="213"/>
      <c r="BA96" s="213"/>
      <c r="BB96" s="213"/>
    </row>
    <row r="97" ht="15.75" customHeight="1">
      <c r="A97" s="213"/>
      <c r="B97" s="213"/>
      <c r="C97" s="213"/>
      <c r="D97" s="213"/>
      <c r="E97" s="213"/>
      <c r="F97" s="213"/>
      <c r="G97" s="213"/>
      <c r="H97" s="213"/>
      <c r="I97" s="213"/>
      <c r="J97" s="213"/>
      <c r="K97" s="215"/>
      <c r="L97" s="213"/>
      <c r="M97" s="215"/>
      <c r="N97" s="213"/>
      <c r="O97" s="213"/>
      <c r="P97" s="213"/>
      <c r="Q97" s="213"/>
      <c r="R97" s="213"/>
      <c r="S97" s="213"/>
      <c r="T97" s="213"/>
      <c r="U97" s="213"/>
      <c r="V97" s="213"/>
      <c r="W97" s="213"/>
      <c r="X97" s="213"/>
      <c r="Y97" s="213"/>
      <c r="Z97" s="213"/>
      <c r="AA97" s="213"/>
      <c r="AB97" s="213"/>
      <c r="AC97" s="213"/>
      <c r="AD97" s="213"/>
      <c r="AE97" s="213"/>
      <c r="AF97" s="213"/>
      <c r="AG97" s="213"/>
      <c r="AH97" s="213"/>
      <c r="AI97" s="213"/>
      <c r="AJ97" s="213"/>
      <c r="AK97" s="213"/>
      <c r="AL97" s="213"/>
      <c r="AM97" s="213"/>
      <c r="AN97" s="213"/>
      <c r="AO97" s="213"/>
      <c r="AP97" s="213"/>
      <c r="AQ97" s="213"/>
      <c r="AR97" s="213"/>
      <c r="AS97" s="213"/>
      <c r="AT97" s="213"/>
      <c r="AU97" s="213"/>
      <c r="AV97" s="213"/>
      <c r="AW97" s="213"/>
      <c r="AX97" s="213"/>
      <c r="AY97" s="213"/>
      <c r="AZ97" s="213"/>
      <c r="BA97" s="213"/>
      <c r="BB97" s="213"/>
    </row>
    <row r="98" ht="15.75" customHeight="1">
      <c r="A98" s="213"/>
      <c r="B98" s="213"/>
      <c r="C98" s="213"/>
      <c r="D98" s="213"/>
      <c r="E98" s="213"/>
      <c r="F98" s="213"/>
      <c r="G98" s="213"/>
      <c r="H98" s="213"/>
      <c r="I98" s="213"/>
      <c r="J98" s="213"/>
      <c r="K98" s="215"/>
      <c r="L98" s="213"/>
      <c r="M98" s="215"/>
      <c r="N98" s="213"/>
      <c r="O98" s="213"/>
      <c r="P98" s="213"/>
      <c r="Q98" s="213"/>
      <c r="R98" s="213"/>
      <c r="S98" s="213"/>
      <c r="T98" s="213"/>
      <c r="U98" s="213"/>
      <c r="V98" s="213"/>
      <c r="W98" s="213"/>
      <c r="X98" s="213"/>
      <c r="Y98" s="213"/>
      <c r="Z98" s="213"/>
      <c r="AA98" s="213"/>
      <c r="AB98" s="213"/>
      <c r="AC98" s="213"/>
      <c r="AD98" s="213"/>
      <c r="AE98" s="213"/>
      <c r="AF98" s="213"/>
      <c r="AG98" s="213"/>
      <c r="AH98" s="213"/>
      <c r="AI98" s="213"/>
      <c r="AJ98" s="213"/>
      <c r="AK98" s="213"/>
      <c r="AL98" s="213"/>
      <c r="AM98" s="213"/>
      <c r="AN98" s="213"/>
      <c r="AO98" s="213"/>
      <c r="AP98" s="213"/>
      <c r="AQ98" s="213"/>
      <c r="AR98" s="213"/>
      <c r="AS98" s="213"/>
      <c r="AT98" s="213"/>
      <c r="AU98" s="213"/>
      <c r="AV98" s="213"/>
      <c r="AW98" s="213"/>
      <c r="AX98" s="213"/>
      <c r="AY98" s="213"/>
      <c r="AZ98" s="213"/>
      <c r="BA98" s="213"/>
      <c r="BB98" s="213"/>
    </row>
    <row r="99" ht="15.75" customHeight="1">
      <c r="A99" s="213"/>
      <c r="B99" s="213"/>
      <c r="C99" s="213"/>
      <c r="D99" s="213"/>
      <c r="E99" s="213"/>
      <c r="F99" s="213"/>
      <c r="G99" s="213"/>
      <c r="H99" s="213"/>
      <c r="I99" s="213"/>
      <c r="J99" s="213"/>
      <c r="K99" s="215"/>
      <c r="L99" s="213"/>
      <c r="M99" s="215"/>
      <c r="N99" s="213"/>
      <c r="O99" s="213"/>
      <c r="P99" s="213"/>
      <c r="Q99" s="213"/>
      <c r="R99" s="213"/>
      <c r="S99" s="213"/>
      <c r="T99" s="213"/>
      <c r="U99" s="213"/>
      <c r="V99" s="213"/>
      <c r="W99" s="213"/>
      <c r="X99" s="213"/>
      <c r="Y99" s="213"/>
      <c r="Z99" s="213"/>
      <c r="AA99" s="213"/>
      <c r="AB99" s="213"/>
      <c r="AC99" s="213"/>
      <c r="AD99" s="213"/>
      <c r="AE99" s="213"/>
      <c r="AF99" s="213"/>
      <c r="AG99" s="213"/>
      <c r="AH99" s="213"/>
      <c r="AI99" s="213"/>
      <c r="AJ99" s="213"/>
      <c r="AK99" s="213"/>
      <c r="AL99" s="213"/>
      <c r="AM99" s="213"/>
      <c r="AN99" s="213"/>
      <c r="AO99" s="213"/>
      <c r="AP99" s="213"/>
      <c r="AQ99" s="213"/>
      <c r="AR99" s="213"/>
      <c r="AS99" s="213"/>
      <c r="AT99" s="213"/>
      <c r="AU99" s="213"/>
      <c r="AV99" s="213"/>
      <c r="AW99" s="213"/>
      <c r="AX99" s="213"/>
      <c r="AY99" s="213"/>
      <c r="AZ99" s="213"/>
      <c r="BA99" s="213"/>
      <c r="BB99" s="213"/>
    </row>
    <row r="100" ht="15.75" customHeight="1">
      <c r="A100" s="213"/>
      <c r="B100" s="213"/>
      <c r="C100" s="213"/>
      <c r="D100" s="213"/>
      <c r="E100" s="213"/>
      <c r="F100" s="213"/>
      <c r="G100" s="213"/>
      <c r="H100" s="213"/>
      <c r="I100" s="213"/>
      <c r="J100" s="213"/>
      <c r="K100" s="215"/>
      <c r="L100" s="213"/>
      <c r="M100" s="215"/>
      <c r="N100" s="213"/>
      <c r="O100" s="213"/>
      <c r="P100" s="213"/>
      <c r="Q100" s="213"/>
      <c r="R100" s="213"/>
      <c r="S100" s="213"/>
      <c r="T100" s="213"/>
      <c r="U100" s="213"/>
      <c r="V100" s="213"/>
      <c r="W100" s="213"/>
      <c r="X100" s="213"/>
      <c r="Y100" s="213"/>
      <c r="Z100" s="213"/>
      <c r="AA100" s="213"/>
      <c r="AB100" s="213"/>
      <c r="AC100" s="213"/>
      <c r="AD100" s="213"/>
      <c r="AE100" s="213"/>
      <c r="AF100" s="213"/>
      <c r="AG100" s="213"/>
      <c r="AH100" s="213"/>
      <c r="AI100" s="213"/>
      <c r="AJ100" s="213"/>
      <c r="AK100" s="213"/>
      <c r="AL100" s="213"/>
      <c r="AM100" s="213"/>
      <c r="AN100" s="213"/>
      <c r="AO100" s="213"/>
      <c r="AP100" s="213"/>
      <c r="AQ100" s="213"/>
      <c r="AR100" s="213"/>
      <c r="AS100" s="213"/>
      <c r="AT100" s="213"/>
      <c r="AU100" s="213"/>
      <c r="AV100" s="213"/>
      <c r="AW100" s="213"/>
      <c r="AX100" s="213"/>
      <c r="AY100" s="213"/>
      <c r="AZ100" s="213"/>
      <c r="BA100" s="213"/>
      <c r="BB100" s="213"/>
    </row>
    <row r="101" ht="15.75" customHeight="1">
      <c r="A101" s="213"/>
      <c r="B101" s="213"/>
      <c r="C101" s="213"/>
      <c r="D101" s="213"/>
      <c r="E101" s="213"/>
      <c r="F101" s="213"/>
      <c r="G101" s="213"/>
      <c r="H101" s="213"/>
      <c r="I101" s="213"/>
      <c r="J101" s="213"/>
      <c r="K101" s="215"/>
      <c r="L101" s="213"/>
      <c r="M101" s="215"/>
      <c r="N101" s="213"/>
      <c r="O101" s="213"/>
      <c r="P101" s="213"/>
      <c r="Q101" s="213"/>
      <c r="R101" s="213"/>
      <c r="S101" s="213"/>
      <c r="T101" s="213"/>
      <c r="U101" s="213"/>
      <c r="V101" s="213"/>
      <c r="W101" s="213"/>
      <c r="X101" s="213"/>
      <c r="Y101" s="213"/>
      <c r="Z101" s="213"/>
      <c r="AA101" s="213"/>
      <c r="AB101" s="213"/>
      <c r="AC101" s="213"/>
      <c r="AD101" s="213"/>
      <c r="AE101" s="213"/>
      <c r="AF101" s="213"/>
      <c r="AG101" s="213"/>
      <c r="AH101" s="213"/>
      <c r="AI101" s="213"/>
      <c r="AJ101" s="213"/>
      <c r="AK101" s="213"/>
      <c r="AL101" s="213"/>
      <c r="AM101" s="213"/>
      <c r="AN101" s="213"/>
      <c r="AO101" s="213"/>
      <c r="AP101" s="213"/>
      <c r="AQ101" s="213"/>
      <c r="AR101" s="213"/>
      <c r="AS101" s="213"/>
      <c r="AT101" s="213"/>
      <c r="AU101" s="213"/>
      <c r="AV101" s="213"/>
      <c r="AW101" s="213"/>
      <c r="AX101" s="213"/>
      <c r="AY101" s="213"/>
      <c r="AZ101" s="213"/>
      <c r="BA101" s="213"/>
      <c r="BB101" s="213"/>
    </row>
    <row r="102" ht="15.75" customHeight="1">
      <c r="A102" s="213"/>
      <c r="B102" s="213"/>
      <c r="C102" s="213"/>
      <c r="D102" s="213"/>
      <c r="E102" s="213"/>
      <c r="F102" s="213"/>
      <c r="G102" s="213"/>
      <c r="H102" s="213"/>
      <c r="I102" s="213"/>
      <c r="J102" s="213"/>
      <c r="K102" s="215"/>
      <c r="L102" s="213"/>
      <c r="M102" s="215"/>
      <c r="N102" s="213"/>
      <c r="O102" s="213"/>
      <c r="P102" s="213"/>
      <c r="Q102" s="213"/>
      <c r="R102" s="213"/>
      <c r="S102" s="213"/>
      <c r="T102" s="213"/>
      <c r="U102" s="213"/>
      <c r="V102" s="213"/>
      <c r="W102" s="213"/>
      <c r="X102" s="213"/>
      <c r="Y102" s="213"/>
      <c r="Z102" s="213"/>
      <c r="AA102" s="213"/>
      <c r="AB102" s="213"/>
      <c r="AC102" s="213"/>
      <c r="AD102" s="213"/>
      <c r="AE102" s="213"/>
      <c r="AF102" s="213"/>
      <c r="AG102" s="213"/>
      <c r="AH102" s="213"/>
      <c r="AI102" s="213"/>
      <c r="AJ102" s="213"/>
      <c r="AK102" s="213"/>
      <c r="AL102" s="213"/>
      <c r="AM102" s="213"/>
      <c r="AN102" s="213"/>
      <c r="AO102" s="213"/>
      <c r="AP102" s="213"/>
      <c r="AQ102" s="213"/>
      <c r="AR102" s="213"/>
      <c r="AS102" s="213"/>
      <c r="AT102" s="213"/>
      <c r="AU102" s="213"/>
      <c r="AV102" s="213"/>
      <c r="AW102" s="213"/>
      <c r="AX102" s="213"/>
      <c r="AY102" s="213"/>
      <c r="AZ102" s="213"/>
      <c r="BA102" s="213"/>
      <c r="BB102" s="213"/>
    </row>
    <row r="103" ht="15.75" customHeight="1">
      <c r="A103" s="213"/>
      <c r="B103" s="213"/>
      <c r="C103" s="213"/>
      <c r="D103" s="213"/>
      <c r="E103" s="213"/>
      <c r="F103" s="213"/>
      <c r="G103" s="213"/>
      <c r="H103" s="213"/>
      <c r="I103" s="213"/>
      <c r="J103" s="213"/>
      <c r="K103" s="215"/>
      <c r="L103" s="213"/>
      <c r="M103" s="215"/>
      <c r="N103" s="213"/>
      <c r="O103" s="213"/>
      <c r="P103" s="213"/>
      <c r="Q103" s="213"/>
      <c r="R103" s="213"/>
      <c r="S103" s="213"/>
      <c r="T103" s="213"/>
      <c r="U103" s="213"/>
      <c r="V103" s="213"/>
      <c r="W103" s="213"/>
      <c r="X103" s="213"/>
      <c r="Y103" s="213"/>
      <c r="Z103" s="213"/>
      <c r="AA103" s="213"/>
      <c r="AB103" s="213"/>
      <c r="AC103" s="213"/>
      <c r="AD103" s="213"/>
      <c r="AE103" s="213"/>
      <c r="AF103" s="213"/>
      <c r="AG103" s="213"/>
      <c r="AH103" s="213"/>
      <c r="AI103" s="213"/>
      <c r="AJ103" s="213"/>
      <c r="AK103" s="213"/>
      <c r="AL103" s="213"/>
      <c r="AM103" s="213"/>
      <c r="AN103" s="213"/>
      <c r="AO103" s="213"/>
      <c r="AP103" s="213"/>
      <c r="AQ103" s="213"/>
      <c r="AR103" s="213"/>
      <c r="AS103" s="213"/>
      <c r="AT103" s="213"/>
      <c r="AU103" s="213"/>
      <c r="AV103" s="213"/>
      <c r="AW103" s="213"/>
      <c r="AX103" s="213"/>
      <c r="AY103" s="213"/>
      <c r="AZ103" s="213"/>
      <c r="BA103" s="213"/>
      <c r="BB103" s="213"/>
    </row>
    <row r="104" ht="15.75" customHeight="1">
      <c r="A104" s="213"/>
      <c r="B104" s="213"/>
      <c r="C104" s="213"/>
      <c r="D104" s="213"/>
      <c r="E104" s="213"/>
      <c r="F104" s="213"/>
      <c r="G104" s="213"/>
      <c r="H104" s="213"/>
      <c r="I104" s="213"/>
      <c r="J104" s="213"/>
      <c r="K104" s="215"/>
      <c r="L104" s="213"/>
      <c r="M104" s="215"/>
      <c r="N104" s="213"/>
      <c r="O104" s="213"/>
      <c r="P104" s="213"/>
      <c r="Q104" s="213"/>
      <c r="R104" s="213"/>
      <c r="S104" s="213"/>
      <c r="T104" s="213"/>
      <c r="U104" s="213"/>
      <c r="V104" s="213"/>
      <c r="W104" s="213"/>
      <c r="X104" s="213"/>
      <c r="Y104" s="213"/>
      <c r="Z104" s="213"/>
      <c r="AA104" s="213"/>
      <c r="AB104" s="213"/>
      <c r="AC104" s="213"/>
      <c r="AD104" s="213"/>
      <c r="AE104" s="213"/>
      <c r="AF104" s="213"/>
      <c r="AG104" s="213"/>
      <c r="AH104" s="213"/>
      <c r="AI104" s="213"/>
      <c r="AJ104" s="213"/>
      <c r="AK104" s="213"/>
      <c r="AL104" s="213"/>
      <c r="AM104" s="213"/>
      <c r="AN104" s="213"/>
      <c r="AO104" s="213"/>
      <c r="AP104" s="213"/>
      <c r="AQ104" s="213"/>
      <c r="AR104" s="213"/>
      <c r="AS104" s="213"/>
      <c r="AT104" s="213"/>
      <c r="AU104" s="213"/>
      <c r="AV104" s="213"/>
      <c r="AW104" s="213"/>
      <c r="AX104" s="213"/>
      <c r="AY104" s="213"/>
      <c r="AZ104" s="213"/>
      <c r="BA104" s="213"/>
      <c r="BB104" s="213"/>
    </row>
    <row r="105" ht="15.75" customHeight="1">
      <c r="A105" s="213"/>
      <c r="B105" s="213"/>
      <c r="C105" s="213"/>
      <c r="D105" s="213"/>
      <c r="E105" s="213"/>
      <c r="F105" s="213"/>
      <c r="G105" s="213"/>
      <c r="H105" s="213"/>
      <c r="I105" s="213"/>
      <c r="J105" s="213"/>
      <c r="K105" s="215"/>
      <c r="L105" s="213"/>
      <c r="M105" s="215"/>
      <c r="N105" s="213"/>
      <c r="O105" s="213"/>
      <c r="P105" s="213"/>
      <c r="Q105" s="213"/>
      <c r="R105" s="213"/>
      <c r="S105" s="213"/>
      <c r="T105" s="213"/>
      <c r="U105" s="213"/>
      <c r="V105" s="213"/>
      <c r="W105" s="213"/>
      <c r="X105" s="213"/>
      <c r="Y105" s="213"/>
      <c r="Z105" s="213"/>
      <c r="AA105" s="213"/>
      <c r="AB105" s="213"/>
      <c r="AC105" s="213"/>
      <c r="AD105" s="213"/>
      <c r="AE105" s="213"/>
      <c r="AF105" s="213"/>
      <c r="AG105" s="213"/>
      <c r="AH105" s="213"/>
      <c r="AI105" s="213"/>
      <c r="AJ105" s="213"/>
      <c r="AK105" s="213"/>
      <c r="AL105" s="213"/>
      <c r="AM105" s="213"/>
      <c r="AN105" s="213"/>
      <c r="AO105" s="213"/>
      <c r="AP105" s="213"/>
      <c r="AQ105" s="213"/>
      <c r="AR105" s="213"/>
      <c r="AS105" s="213"/>
      <c r="AT105" s="213"/>
      <c r="AU105" s="213"/>
      <c r="AV105" s="213"/>
      <c r="AW105" s="213"/>
      <c r="AX105" s="213"/>
      <c r="AY105" s="213"/>
      <c r="AZ105" s="213"/>
      <c r="BA105" s="213"/>
      <c r="BB105" s="213"/>
    </row>
    <row r="106" ht="15.75" customHeight="1">
      <c r="A106" s="213"/>
      <c r="B106" s="213"/>
      <c r="C106" s="213"/>
      <c r="D106" s="213"/>
      <c r="E106" s="213"/>
      <c r="F106" s="213"/>
      <c r="G106" s="213"/>
      <c r="H106" s="213"/>
      <c r="I106" s="213"/>
      <c r="J106" s="213"/>
      <c r="K106" s="215"/>
      <c r="L106" s="213"/>
      <c r="M106" s="215"/>
      <c r="N106" s="213"/>
      <c r="O106" s="213"/>
      <c r="P106" s="213"/>
      <c r="Q106" s="213"/>
      <c r="R106" s="213"/>
      <c r="S106" s="213"/>
      <c r="T106" s="213"/>
      <c r="U106" s="213"/>
      <c r="V106" s="213"/>
      <c r="W106" s="213"/>
      <c r="X106" s="213"/>
      <c r="Y106" s="213"/>
      <c r="Z106" s="213"/>
      <c r="AA106" s="213"/>
      <c r="AB106" s="213"/>
      <c r="AC106" s="213"/>
      <c r="AD106" s="213"/>
      <c r="AE106" s="213"/>
      <c r="AF106" s="213"/>
      <c r="AG106" s="213"/>
      <c r="AH106" s="213"/>
      <c r="AI106" s="213"/>
      <c r="AJ106" s="213"/>
      <c r="AK106" s="213"/>
      <c r="AL106" s="213"/>
      <c r="AM106" s="213"/>
      <c r="AN106" s="213"/>
      <c r="AO106" s="213"/>
      <c r="AP106" s="213"/>
      <c r="AQ106" s="213"/>
      <c r="AR106" s="213"/>
      <c r="AS106" s="213"/>
      <c r="AT106" s="213"/>
      <c r="AU106" s="213"/>
      <c r="AV106" s="213"/>
      <c r="AW106" s="213"/>
      <c r="AX106" s="213"/>
      <c r="AY106" s="213"/>
      <c r="AZ106" s="213"/>
      <c r="BA106" s="213"/>
      <c r="BB106" s="213"/>
    </row>
    <row r="107" ht="15.75" customHeight="1">
      <c r="A107" s="213"/>
      <c r="B107" s="213"/>
      <c r="C107" s="213"/>
      <c r="D107" s="213"/>
      <c r="E107" s="213"/>
      <c r="F107" s="213"/>
      <c r="G107" s="213"/>
      <c r="H107" s="213"/>
      <c r="I107" s="213"/>
      <c r="J107" s="213"/>
      <c r="K107" s="215"/>
      <c r="L107" s="213"/>
      <c r="M107" s="215"/>
      <c r="N107" s="213"/>
      <c r="O107" s="213"/>
      <c r="P107" s="213"/>
      <c r="Q107" s="213"/>
      <c r="R107" s="213"/>
      <c r="S107" s="213"/>
      <c r="T107" s="213"/>
      <c r="U107" s="213"/>
      <c r="V107" s="213"/>
      <c r="W107" s="213"/>
      <c r="X107" s="213"/>
      <c r="Y107" s="213"/>
      <c r="Z107" s="213"/>
      <c r="AA107" s="213"/>
      <c r="AB107" s="213"/>
      <c r="AC107" s="213"/>
      <c r="AD107" s="213"/>
      <c r="AE107" s="213"/>
      <c r="AF107" s="213"/>
      <c r="AG107" s="213"/>
      <c r="AH107" s="213"/>
      <c r="AI107" s="213"/>
      <c r="AJ107" s="213"/>
      <c r="AK107" s="213"/>
      <c r="AL107" s="213"/>
      <c r="AM107" s="213"/>
      <c r="AN107" s="213"/>
      <c r="AO107" s="213"/>
      <c r="AP107" s="213"/>
      <c r="AQ107" s="213"/>
      <c r="AR107" s="213"/>
      <c r="AS107" s="213"/>
      <c r="AT107" s="213"/>
      <c r="AU107" s="213"/>
      <c r="AV107" s="213"/>
      <c r="AW107" s="213"/>
      <c r="AX107" s="213"/>
      <c r="AY107" s="213"/>
      <c r="AZ107" s="213"/>
      <c r="BA107" s="213"/>
      <c r="BB107" s="213"/>
    </row>
    <row r="108" ht="15.75" customHeight="1">
      <c r="A108" s="213"/>
      <c r="B108" s="213"/>
      <c r="C108" s="213"/>
      <c r="D108" s="213"/>
      <c r="E108" s="213"/>
      <c r="F108" s="213"/>
      <c r="G108" s="213"/>
      <c r="H108" s="213"/>
      <c r="I108" s="213"/>
      <c r="J108" s="213"/>
      <c r="K108" s="215"/>
      <c r="L108" s="213"/>
      <c r="M108" s="215"/>
      <c r="N108" s="213"/>
      <c r="O108" s="213"/>
      <c r="P108" s="213"/>
      <c r="Q108" s="213"/>
      <c r="R108" s="213"/>
      <c r="S108" s="213"/>
      <c r="T108" s="213"/>
      <c r="U108" s="213"/>
      <c r="V108" s="213"/>
      <c r="W108" s="213"/>
      <c r="X108" s="213"/>
      <c r="Y108" s="213"/>
      <c r="Z108" s="213"/>
      <c r="AA108" s="213"/>
      <c r="AB108" s="213"/>
      <c r="AC108" s="213"/>
      <c r="AD108" s="213"/>
      <c r="AE108" s="213"/>
      <c r="AF108" s="213"/>
      <c r="AG108" s="213"/>
      <c r="AH108" s="213"/>
      <c r="AI108" s="213"/>
      <c r="AJ108" s="213"/>
      <c r="AK108" s="213"/>
      <c r="AL108" s="213"/>
      <c r="AM108" s="213"/>
      <c r="AN108" s="213"/>
      <c r="AO108" s="213"/>
      <c r="AP108" s="213"/>
      <c r="AQ108" s="213"/>
      <c r="AR108" s="213"/>
      <c r="AS108" s="213"/>
      <c r="AT108" s="213"/>
      <c r="AU108" s="213"/>
      <c r="AV108" s="213"/>
      <c r="AW108" s="213"/>
      <c r="AX108" s="213"/>
      <c r="AY108" s="213"/>
      <c r="AZ108" s="213"/>
      <c r="BA108" s="213"/>
      <c r="BB108" s="213"/>
    </row>
    <row r="109" ht="15.75" customHeight="1">
      <c r="A109" s="213"/>
      <c r="B109" s="213"/>
      <c r="C109" s="213"/>
      <c r="D109" s="213"/>
      <c r="E109" s="213"/>
      <c r="F109" s="213"/>
      <c r="G109" s="213"/>
      <c r="H109" s="213"/>
      <c r="I109" s="213"/>
      <c r="J109" s="213"/>
      <c r="K109" s="215"/>
      <c r="L109" s="213"/>
      <c r="M109" s="215"/>
      <c r="N109" s="213"/>
      <c r="O109" s="213"/>
      <c r="P109" s="213"/>
      <c r="Q109" s="213"/>
      <c r="R109" s="213"/>
      <c r="S109" s="213"/>
      <c r="T109" s="213"/>
      <c r="U109" s="213"/>
      <c r="V109" s="213"/>
      <c r="W109" s="213"/>
      <c r="X109" s="213"/>
      <c r="Y109" s="213"/>
      <c r="Z109" s="213"/>
      <c r="AA109" s="213"/>
      <c r="AB109" s="213"/>
      <c r="AC109" s="213"/>
      <c r="AD109" s="213"/>
      <c r="AE109" s="213"/>
      <c r="AF109" s="213"/>
      <c r="AG109" s="213"/>
      <c r="AH109" s="213"/>
      <c r="AI109" s="213"/>
      <c r="AJ109" s="213"/>
      <c r="AK109" s="213"/>
      <c r="AL109" s="213"/>
      <c r="AM109" s="213"/>
      <c r="AN109" s="213"/>
      <c r="AO109" s="213"/>
      <c r="AP109" s="213"/>
      <c r="AQ109" s="213"/>
      <c r="AR109" s="213"/>
      <c r="AS109" s="213"/>
      <c r="AT109" s="213"/>
      <c r="AU109" s="213"/>
      <c r="AV109" s="213"/>
      <c r="AW109" s="213"/>
      <c r="AX109" s="213"/>
      <c r="AY109" s="213"/>
      <c r="AZ109" s="213"/>
      <c r="BA109" s="213"/>
      <c r="BB109" s="213"/>
    </row>
    <row r="110" ht="15.75" customHeight="1">
      <c r="A110" s="213"/>
      <c r="B110" s="213"/>
      <c r="C110" s="213"/>
      <c r="D110" s="213"/>
      <c r="E110" s="213"/>
      <c r="F110" s="213"/>
      <c r="G110" s="213"/>
      <c r="H110" s="213"/>
      <c r="I110" s="213"/>
      <c r="J110" s="213"/>
      <c r="K110" s="215"/>
      <c r="L110" s="213"/>
      <c r="M110" s="215"/>
      <c r="N110" s="213"/>
      <c r="O110" s="213"/>
      <c r="P110" s="213"/>
      <c r="Q110" s="213"/>
      <c r="R110" s="213"/>
      <c r="S110" s="213"/>
      <c r="T110" s="213"/>
      <c r="U110" s="213"/>
      <c r="V110" s="213"/>
      <c r="W110" s="213"/>
      <c r="X110" s="213"/>
      <c r="Y110" s="213"/>
      <c r="Z110" s="213"/>
      <c r="AA110" s="213"/>
      <c r="AB110" s="213"/>
      <c r="AC110" s="213"/>
      <c r="AD110" s="213"/>
      <c r="AE110" s="213"/>
      <c r="AF110" s="213"/>
      <c r="AG110" s="213"/>
      <c r="AH110" s="213"/>
      <c r="AI110" s="213"/>
      <c r="AJ110" s="213"/>
      <c r="AK110" s="213"/>
      <c r="AL110" s="213"/>
      <c r="AM110" s="213"/>
      <c r="AN110" s="213"/>
      <c r="AO110" s="213"/>
      <c r="AP110" s="213"/>
      <c r="AQ110" s="213"/>
      <c r="AR110" s="213"/>
      <c r="AS110" s="213"/>
      <c r="AT110" s="213"/>
      <c r="AU110" s="213"/>
      <c r="AV110" s="213"/>
      <c r="AW110" s="213"/>
      <c r="AX110" s="213"/>
      <c r="AY110" s="213"/>
      <c r="AZ110" s="213"/>
      <c r="BA110" s="213"/>
      <c r="BB110" s="213"/>
    </row>
    <row r="111" ht="15.75" customHeight="1">
      <c r="A111" s="213"/>
      <c r="B111" s="213"/>
      <c r="C111" s="213"/>
      <c r="D111" s="213"/>
      <c r="E111" s="213"/>
      <c r="F111" s="213"/>
      <c r="G111" s="213"/>
      <c r="H111" s="213"/>
      <c r="I111" s="213"/>
      <c r="J111" s="213"/>
      <c r="K111" s="215"/>
      <c r="L111" s="213"/>
      <c r="M111" s="215"/>
      <c r="N111" s="213"/>
      <c r="O111" s="213"/>
      <c r="P111" s="213"/>
      <c r="Q111" s="213"/>
      <c r="R111" s="213"/>
      <c r="S111" s="213"/>
      <c r="T111" s="213"/>
      <c r="U111" s="213"/>
      <c r="V111" s="213"/>
      <c r="W111" s="213"/>
      <c r="X111" s="213"/>
      <c r="Y111" s="213"/>
      <c r="Z111" s="213"/>
      <c r="AA111" s="213"/>
      <c r="AB111" s="213"/>
      <c r="AC111" s="213"/>
      <c r="AD111" s="213"/>
      <c r="AE111" s="213"/>
      <c r="AF111" s="213"/>
      <c r="AG111" s="213"/>
      <c r="AH111" s="213"/>
      <c r="AI111" s="213"/>
      <c r="AJ111" s="213"/>
      <c r="AK111" s="213"/>
      <c r="AL111" s="213"/>
      <c r="AM111" s="213"/>
      <c r="AN111" s="213"/>
      <c r="AO111" s="213"/>
      <c r="AP111" s="213"/>
      <c r="AQ111" s="213"/>
      <c r="AR111" s="213"/>
      <c r="AS111" s="213"/>
      <c r="AT111" s="213"/>
      <c r="AU111" s="213"/>
      <c r="AV111" s="213"/>
      <c r="AW111" s="213"/>
      <c r="AX111" s="213"/>
      <c r="AY111" s="213"/>
      <c r="AZ111" s="213"/>
      <c r="BA111" s="213"/>
      <c r="BB111" s="213"/>
    </row>
    <row r="112" ht="15.75" customHeight="1">
      <c r="A112" s="213"/>
      <c r="B112" s="213"/>
      <c r="C112" s="213"/>
      <c r="D112" s="213"/>
      <c r="E112" s="213"/>
      <c r="F112" s="213"/>
      <c r="G112" s="213"/>
      <c r="H112" s="213"/>
      <c r="I112" s="213"/>
      <c r="J112" s="213"/>
      <c r="K112" s="215"/>
      <c r="L112" s="213"/>
      <c r="M112" s="215"/>
      <c r="N112" s="213"/>
      <c r="O112" s="213"/>
      <c r="P112" s="213"/>
      <c r="Q112" s="213"/>
      <c r="R112" s="213"/>
      <c r="S112" s="213"/>
      <c r="T112" s="213"/>
      <c r="U112" s="213"/>
      <c r="V112" s="213"/>
      <c r="W112" s="213"/>
      <c r="X112" s="213"/>
      <c r="Y112" s="213"/>
      <c r="Z112" s="213"/>
      <c r="AA112" s="213"/>
      <c r="AB112" s="213"/>
      <c r="AC112" s="213"/>
      <c r="AD112" s="213"/>
      <c r="AE112" s="213"/>
      <c r="AF112" s="213"/>
      <c r="AG112" s="213"/>
      <c r="AH112" s="213"/>
      <c r="AI112" s="213"/>
      <c r="AJ112" s="213"/>
      <c r="AK112" s="213"/>
      <c r="AL112" s="213"/>
      <c r="AM112" s="213"/>
      <c r="AN112" s="213"/>
      <c r="AO112" s="213"/>
      <c r="AP112" s="213"/>
      <c r="AQ112" s="213"/>
      <c r="AR112" s="213"/>
      <c r="AS112" s="213"/>
      <c r="AT112" s="213"/>
      <c r="AU112" s="213"/>
      <c r="AV112" s="213"/>
      <c r="AW112" s="213"/>
      <c r="AX112" s="213"/>
      <c r="AY112" s="213"/>
      <c r="AZ112" s="213"/>
      <c r="BA112" s="213"/>
      <c r="BB112" s="213"/>
    </row>
    <row r="113" ht="15.75" customHeight="1">
      <c r="A113" s="213"/>
      <c r="B113" s="213"/>
      <c r="C113" s="213"/>
      <c r="D113" s="213"/>
      <c r="E113" s="213"/>
      <c r="F113" s="213"/>
      <c r="G113" s="213"/>
      <c r="H113" s="213"/>
      <c r="I113" s="213"/>
      <c r="J113" s="213"/>
      <c r="K113" s="215"/>
      <c r="L113" s="213"/>
      <c r="M113" s="215"/>
      <c r="N113" s="213"/>
      <c r="O113" s="213"/>
      <c r="P113" s="213"/>
      <c r="Q113" s="213"/>
      <c r="R113" s="213"/>
      <c r="S113" s="213"/>
      <c r="T113" s="213"/>
      <c r="U113" s="213"/>
      <c r="V113" s="213"/>
      <c r="W113" s="213"/>
      <c r="X113" s="213"/>
      <c r="Y113" s="213"/>
      <c r="Z113" s="213"/>
      <c r="AA113" s="213"/>
      <c r="AB113" s="213"/>
      <c r="AC113" s="213"/>
      <c r="AD113" s="213"/>
      <c r="AE113" s="213"/>
      <c r="AF113" s="213"/>
      <c r="AG113" s="213"/>
      <c r="AH113" s="213"/>
      <c r="AI113" s="213"/>
      <c r="AJ113" s="213"/>
      <c r="AK113" s="213"/>
      <c r="AL113" s="213"/>
      <c r="AM113" s="213"/>
      <c r="AN113" s="213"/>
      <c r="AO113" s="213"/>
      <c r="AP113" s="213"/>
      <c r="AQ113" s="213"/>
      <c r="AR113" s="213"/>
      <c r="AS113" s="213"/>
      <c r="AT113" s="213"/>
      <c r="AU113" s="213"/>
      <c r="AV113" s="213"/>
      <c r="AW113" s="213"/>
      <c r="AX113" s="213"/>
      <c r="AY113" s="213"/>
      <c r="AZ113" s="213"/>
      <c r="BA113" s="213"/>
      <c r="BB113" s="213"/>
    </row>
    <row r="114" ht="15.75" customHeight="1">
      <c r="A114" s="213"/>
      <c r="B114" s="213"/>
      <c r="C114" s="213"/>
      <c r="D114" s="213"/>
      <c r="E114" s="213"/>
      <c r="F114" s="213"/>
      <c r="G114" s="213"/>
      <c r="H114" s="213"/>
      <c r="I114" s="213"/>
      <c r="J114" s="213"/>
      <c r="K114" s="215"/>
      <c r="L114" s="213"/>
      <c r="M114" s="215"/>
      <c r="N114" s="213"/>
      <c r="O114" s="213"/>
      <c r="P114" s="213"/>
      <c r="Q114" s="213"/>
      <c r="R114" s="213"/>
      <c r="S114" s="213"/>
      <c r="T114" s="213"/>
      <c r="U114" s="213"/>
      <c r="V114" s="213"/>
      <c r="W114" s="213"/>
      <c r="X114" s="213"/>
      <c r="Y114" s="213"/>
      <c r="Z114" s="213"/>
      <c r="AA114" s="213"/>
      <c r="AB114" s="213"/>
      <c r="AC114" s="213"/>
      <c r="AD114" s="213"/>
      <c r="AE114" s="213"/>
      <c r="AF114" s="213"/>
      <c r="AG114" s="213"/>
      <c r="AH114" s="213"/>
      <c r="AI114" s="213"/>
      <c r="AJ114" s="213"/>
      <c r="AK114" s="213"/>
      <c r="AL114" s="213"/>
      <c r="AM114" s="213"/>
      <c r="AN114" s="213"/>
      <c r="AO114" s="213"/>
      <c r="AP114" s="213"/>
      <c r="AQ114" s="213"/>
      <c r="AR114" s="213"/>
      <c r="AS114" s="213"/>
      <c r="AT114" s="213"/>
      <c r="AU114" s="213"/>
      <c r="AV114" s="213"/>
      <c r="AW114" s="213"/>
      <c r="AX114" s="213"/>
      <c r="AY114" s="213"/>
      <c r="AZ114" s="213"/>
      <c r="BA114" s="213"/>
      <c r="BB114" s="213"/>
    </row>
    <row r="115" ht="15.75" customHeight="1">
      <c r="A115" s="213"/>
      <c r="B115" s="213"/>
      <c r="C115" s="213"/>
      <c r="D115" s="213"/>
      <c r="E115" s="213"/>
      <c r="F115" s="213"/>
      <c r="G115" s="213"/>
      <c r="H115" s="213"/>
      <c r="I115" s="213"/>
      <c r="J115" s="213"/>
      <c r="K115" s="215"/>
      <c r="L115" s="213"/>
      <c r="M115" s="215"/>
      <c r="N115" s="213"/>
      <c r="O115" s="213"/>
      <c r="P115" s="213"/>
      <c r="Q115" s="213"/>
      <c r="R115" s="213"/>
      <c r="S115" s="213"/>
      <c r="T115" s="213"/>
      <c r="U115" s="213"/>
      <c r="V115" s="213"/>
      <c r="W115" s="213"/>
      <c r="X115" s="213"/>
      <c r="Y115" s="213"/>
      <c r="Z115" s="213"/>
      <c r="AA115" s="213"/>
      <c r="AB115" s="213"/>
      <c r="AC115" s="213"/>
      <c r="AD115" s="213"/>
      <c r="AE115" s="213"/>
      <c r="AF115" s="213"/>
      <c r="AG115" s="213"/>
      <c r="AH115" s="213"/>
      <c r="AI115" s="213"/>
      <c r="AJ115" s="213"/>
      <c r="AK115" s="213"/>
      <c r="AL115" s="213"/>
      <c r="AM115" s="213"/>
      <c r="AN115" s="213"/>
      <c r="AO115" s="213"/>
      <c r="AP115" s="213"/>
      <c r="AQ115" s="213"/>
      <c r="AR115" s="213"/>
      <c r="AS115" s="213"/>
      <c r="AT115" s="213"/>
      <c r="AU115" s="213"/>
      <c r="AV115" s="213"/>
      <c r="AW115" s="213"/>
      <c r="AX115" s="213"/>
      <c r="AY115" s="213"/>
      <c r="AZ115" s="213"/>
      <c r="BA115" s="213"/>
      <c r="BB115" s="213"/>
    </row>
    <row r="116" ht="15.75" customHeight="1">
      <c r="A116" s="213"/>
      <c r="B116" s="213"/>
      <c r="C116" s="213"/>
      <c r="D116" s="213"/>
      <c r="E116" s="213"/>
      <c r="F116" s="213"/>
      <c r="G116" s="213"/>
      <c r="H116" s="213"/>
      <c r="I116" s="213"/>
      <c r="J116" s="213"/>
      <c r="K116" s="215"/>
      <c r="L116" s="213"/>
      <c r="M116" s="215"/>
      <c r="N116" s="213"/>
      <c r="O116" s="213"/>
      <c r="P116" s="213"/>
      <c r="Q116" s="213"/>
      <c r="R116" s="213"/>
      <c r="S116" s="213"/>
      <c r="T116" s="213"/>
      <c r="U116" s="213"/>
      <c r="V116" s="213"/>
      <c r="W116" s="213"/>
      <c r="X116" s="213"/>
      <c r="Y116" s="213"/>
      <c r="Z116" s="213"/>
      <c r="AA116" s="213"/>
      <c r="AB116" s="213"/>
      <c r="AC116" s="213"/>
      <c r="AD116" s="213"/>
      <c r="AE116" s="213"/>
      <c r="AF116" s="213"/>
      <c r="AG116" s="213"/>
      <c r="AH116" s="213"/>
      <c r="AI116" s="213"/>
      <c r="AJ116" s="213"/>
      <c r="AK116" s="213"/>
      <c r="AL116" s="213"/>
      <c r="AM116" s="213"/>
      <c r="AN116" s="213"/>
      <c r="AO116" s="213"/>
      <c r="AP116" s="213"/>
      <c r="AQ116" s="213"/>
      <c r="AR116" s="213"/>
      <c r="AS116" s="213"/>
      <c r="AT116" s="213"/>
      <c r="AU116" s="213"/>
      <c r="AV116" s="213"/>
      <c r="AW116" s="213"/>
      <c r="AX116" s="213"/>
      <c r="AY116" s="213"/>
      <c r="AZ116" s="213"/>
      <c r="BA116" s="213"/>
      <c r="BB116" s="213"/>
    </row>
    <row r="117" ht="15.75" customHeight="1">
      <c r="A117" s="213"/>
      <c r="B117" s="213"/>
      <c r="C117" s="213"/>
      <c r="D117" s="213"/>
      <c r="E117" s="213"/>
      <c r="F117" s="213"/>
      <c r="G117" s="213"/>
      <c r="H117" s="213"/>
      <c r="I117" s="213"/>
      <c r="J117" s="213"/>
      <c r="K117" s="215"/>
      <c r="L117" s="213"/>
      <c r="M117" s="215"/>
      <c r="N117" s="213"/>
      <c r="O117" s="213"/>
      <c r="P117" s="213"/>
      <c r="Q117" s="213"/>
      <c r="R117" s="213"/>
      <c r="S117" s="213"/>
      <c r="T117" s="213"/>
      <c r="U117" s="213"/>
      <c r="V117" s="213"/>
      <c r="W117" s="213"/>
      <c r="X117" s="213"/>
      <c r="Y117" s="213"/>
      <c r="Z117" s="213"/>
      <c r="AA117" s="213"/>
      <c r="AB117" s="213"/>
      <c r="AC117" s="213"/>
      <c r="AD117" s="213"/>
      <c r="AE117" s="213"/>
      <c r="AF117" s="213"/>
      <c r="AG117" s="213"/>
      <c r="AH117" s="213"/>
      <c r="AI117" s="213"/>
      <c r="AJ117" s="213"/>
      <c r="AK117" s="213"/>
      <c r="AL117" s="213"/>
      <c r="AM117" s="213"/>
      <c r="AN117" s="213"/>
      <c r="AO117" s="213"/>
      <c r="AP117" s="213"/>
      <c r="AQ117" s="213"/>
      <c r="AR117" s="213"/>
      <c r="AS117" s="213"/>
      <c r="AT117" s="213"/>
      <c r="AU117" s="213"/>
      <c r="AV117" s="213"/>
      <c r="AW117" s="213"/>
      <c r="AX117" s="213"/>
      <c r="AY117" s="213"/>
      <c r="AZ117" s="213"/>
      <c r="BA117" s="213"/>
      <c r="BB117" s="213"/>
    </row>
    <row r="118" ht="15.75" customHeight="1">
      <c r="A118" s="213"/>
      <c r="B118" s="213"/>
      <c r="C118" s="213"/>
      <c r="D118" s="213"/>
      <c r="E118" s="213"/>
      <c r="F118" s="213"/>
      <c r="G118" s="213"/>
      <c r="H118" s="213"/>
      <c r="I118" s="213"/>
      <c r="J118" s="213"/>
      <c r="K118" s="215"/>
      <c r="L118" s="213"/>
      <c r="M118" s="215"/>
      <c r="N118" s="213"/>
      <c r="O118" s="213"/>
      <c r="P118" s="213"/>
      <c r="Q118" s="213"/>
      <c r="R118" s="213"/>
      <c r="S118" s="213"/>
      <c r="T118" s="213"/>
      <c r="U118" s="213"/>
      <c r="V118" s="213"/>
      <c r="W118" s="213"/>
      <c r="X118" s="213"/>
      <c r="Y118" s="213"/>
      <c r="Z118" s="213"/>
      <c r="AA118" s="213"/>
      <c r="AB118" s="213"/>
      <c r="AC118" s="213"/>
      <c r="AD118" s="213"/>
      <c r="AE118" s="213"/>
      <c r="AF118" s="213"/>
      <c r="AG118" s="213"/>
      <c r="AH118" s="213"/>
      <c r="AI118" s="213"/>
      <c r="AJ118" s="213"/>
      <c r="AK118" s="213"/>
      <c r="AL118" s="213"/>
      <c r="AM118" s="213"/>
      <c r="AN118" s="213"/>
      <c r="AO118" s="213"/>
      <c r="AP118" s="213"/>
      <c r="AQ118" s="213"/>
      <c r="AR118" s="213"/>
      <c r="AS118" s="213"/>
      <c r="AT118" s="213"/>
      <c r="AU118" s="213"/>
      <c r="AV118" s="213"/>
      <c r="AW118" s="213"/>
      <c r="AX118" s="213"/>
      <c r="AY118" s="213"/>
      <c r="AZ118" s="213"/>
      <c r="BA118" s="213"/>
      <c r="BB118" s="213"/>
    </row>
    <row r="119" ht="15.75" customHeight="1">
      <c r="A119" s="213"/>
      <c r="B119" s="213"/>
      <c r="C119" s="213"/>
      <c r="D119" s="213"/>
      <c r="E119" s="213"/>
      <c r="F119" s="213"/>
      <c r="G119" s="213"/>
      <c r="H119" s="213"/>
      <c r="I119" s="213"/>
      <c r="J119" s="213"/>
      <c r="K119" s="215"/>
      <c r="L119" s="213"/>
      <c r="M119" s="215"/>
      <c r="N119" s="213"/>
      <c r="O119" s="213"/>
      <c r="P119" s="213"/>
      <c r="Q119" s="213"/>
      <c r="R119" s="213"/>
      <c r="S119" s="213"/>
      <c r="T119" s="213"/>
      <c r="U119" s="213"/>
      <c r="V119" s="213"/>
      <c r="W119" s="213"/>
      <c r="X119" s="213"/>
      <c r="Y119" s="213"/>
      <c r="Z119" s="213"/>
      <c r="AA119" s="213"/>
      <c r="AB119" s="213"/>
      <c r="AC119" s="213"/>
      <c r="AD119" s="213"/>
      <c r="AE119" s="213"/>
      <c r="AF119" s="213"/>
      <c r="AG119" s="213"/>
      <c r="AH119" s="213"/>
      <c r="AI119" s="213"/>
      <c r="AJ119" s="213"/>
      <c r="AK119" s="213"/>
      <c r="AL119" s="213"/>
      <c r="AM119" s="213"/>
      <c r="AN119" s="213"/>
      <c r="AO119" s="213"/>
      <c r="AP119" s="213"/>
      <c r="AQ119" s="213"/>
      <c r="AR119" s="213"/>
      <c r="AS119" s="213"/>
      <c r="AT119" s="213"/>
      <c r="AU119" s="213"/>
      <c r="AV119" s="213"/>
      <c r="AW119" s="213"/>
      <c r="AX119" s="213"/>
      <c r="AY119" s="213"/>
      <c r="AZ119" s="213"/>
      <c r="BA119" s="213"/>
      <c r="BB119" s="213"/>
    </row>
    <row r="120" ht="15.75" customHeight="1">
      <c r="A120" s="213"/>
      <c r="B120" s="213"/>
      <c r="C120" s="213"/>
      <c r="D120" s="213"/>
      <c r="E120" s="213"/>
      <c r="F120" s="213"/>
      <c r="G120" s="213"/>
      <c r="H120" s="213"/>
      <c r="I120" s="213"/>
      <c r="J120" s="213"/>
      <c r="K120" s="215"/>
      <c r="L120" s="213"/>
      <c r="M120" s="215"/>
      <c r="N120" s="213"/>
      <c r="O120" s="213"/>
      <c r="P120" s="213"/>
      <c r="Q120" s="213"/>
      <c r="R120" s="213"/>
      <c r="S120" s="213"/>
      <c r="T120" s="213"/>
      <c r="U120" s="213"/>
      <c r="V120" s="213"/>
      <c r="W120" s="213"/>
      <c r="X120" s="213"/>
      <c r="Y120" s="213"/>
      <c r="Z120" s="213"/>
      <c r="AA120" s="213"/>
      <c r="AB120" s="213"/>
      <c r="AC120" s="213"/>
      <c r="AD120" s="213"/>
      <c r="AE120" s="213"/>
      <c r="AF120" s="213"/>
      <c r="AG120" s="213"/>
      <c r="AH120" s="213"/>
      <c r="AI120" s="213"/>
      <c r="AJ120" s="213"/>
      <c r="AK120" s="213"/>
      <c r="AL120" s="213"/>
      <c r="AM120" s="213"/>
      <c r="AN120" s="213"/>
      <c r="AO120" s="213"/>
      <c r="AP120" s="213"/>
      <c r="AQ120" s="213"/>
      <c r="AR120" s="213"/>
      <c r="AS120" s="213"/>
      <c r="AT120" s="213"/>
      <c r="AU120" s="213"/>
      <c r="AV120" s="213"/>
      <c r="AW120" s="213"/>
      <c r="AX120" s="213"/>
      <c r="AY120" s="213"/>
      <c r="AZ120" s="213"/>
      <c r="BA120" s="213"/>
      <c r="BB120" s="213"/>
    </row>
    <row r="121" ht="15.75" customHeight="1">
      <c r="A121" s="213"/>
      <c r="B121" s="213"/>
      <c r="C121" s="213"/>
      <c r="D121" s="213"/>
      <c r="E121" s="213"/>
      <c r="F121" s="213"/>
      <c r="G121" s="213"/>
      <c r="H121" s="213"/>
      <c r="I121" s="213"/>
      <c r="J121" s="213"/>
      <c r="K121" s="215"/>
      <c r="L121" s="213"/>
      <c r="M121" s="215"/>
      <c r="N121" s="213"/>
      <c r="O121" s="213"/>
      <c r="P121" s="213"/>
      <c r="Q121" s="213"/>
      <c r="R121" s="213"/>
      <c r="S121" s="213"/>
      <c r="T121" s="213"/>
      <c r="U121" s="213"/>
      <c r="V121" s="213"/>
      <c r="W121" s="213"/>
      <c r="X121" s="213"/>
      <c r="Y121" s="213"/>
      <c r="Z121" s="213"/>
      <c r="AA121" s="213"/>
      <c r="AB121" s="213"/>
      <c r="AC121" s="213"/>
      <c r="AD121" s="213"/>
      <c r="AE121" s="213"/>
      <c r="AF121" s="213"/>
      <c r="AG121" s="213"/>
      <c r="AH121" s="213"/>
      <c r="AI121" s="213"/>
      <c r="AJ121" s="213"/>
      <c r="AK121" s="213"/>
      <c r="AL121" s="213"/>
      <c r="AM121" s="213"/>
      <c r="AN121" s="213"/>
      <c r="AO121" s="213"/>
      <c r="AP121" s="213"/>
      <c r="AQ121" s="213"/>
      <c r="AR121" s="213"/>
      <c r="AS121" s="213"/>
      <c r="AT121" s="213"/>
      <c r="AU121" s="213"/>
      <c r="AV121" s="213"/>
      <c r="AW121" s="213"/>
      <c r="AX121" s="213"/>
      <c r="AY121" s="213"/>
      <c r="AZ121" s="213"/>
      <c r="BA121" s="213"/>
      <c r="BB121" s="213"/>
    </row>
    <row r="122" ht="15.75" customHeight="1">
      <c r="A122" s="213"/>
      <c r="B122" s="213"/>
      <c r="C122" s="213"/>
      <c r="D122" s="213"/>
      <c r="E122" s="213"/>
      <c r="F122" s="213"/>
      <c r="G122" s="213"/>
      <c r="H122" s="213"/>
      <c r="I122" s="213"/>
      <c r="J122" s="213"/>
      <c r="K122" s="215"/>
      <c r="L122" s="213"/>
      <c r="M122" s="215"/>
      <c r="N122" s="213"/>
      <c r="O122" s="213"/>
      <c r="P122" s="213"/>
      <c r="Q122" s="213"/>
      <c r="R122" s="213"/>
      <c r="S122" s="213"/>
      <c r="T122" s="213"/>
      <c r="U122" s="213"/>
      <c r="V122" s="213"/>
      <c r="W122" s="213"/>
      <c r="X122" s="213"/>
      <c r="Y122" s="213"/>
      <c r="Z122" s="213"/>
      <c r="AA122" s="213"/>
      <c r="AB122" s="213"/>
      <c r="AC122" s="213"/>
      <c r="AD122" s="213"/>
      <c r="AE122" s="213"/>
      <c r="AF122" s="213"/>
      <c r="AG122" s="213"/>
      <c r="AH122" s="213"/>
      <c r="AI122" s="213"/>
      <c r="AJ122" s="213"/>
      <c r="AK122" s="213"/>
      <c r="AL122" s="213"/>
      <c r="AM122" s="213"/>
      <c r="AN122" s="213"/>
      <c r="AO122" s="213"/>
      <c r="AP122" s="213"/>
      <c r="AQ122" s="213"/>
      <c r="AR122" s="213"/>
      <c r="AS122" s="213"/>
      <c r="AT122" s="213"/>
      <c r="AU122" s="213"/>
      <c r="AV122" s="213"/>
      <c r="AW122" s="213"/>
      <c r="AX122" s="213"/>
      <c r="AY122" s="213"/>
      <c r="AZ122" s="213"/>
      <c r="BA122" s="213"/>
      <c r="BB122" s="213"/>
    </row>
    <row r="123" ht="15.75" customHeight="1">
      <c r="A123" s="213"/>
      <c r="B123" s="213"/>
      <c r="C123" s="213"/>
      <c r="D123" s="213"/>
      <c r="E123" s="213"/>
      <c r="F123" s="213"/>
      <c r="G123" s="213"/>
      <c r="H123" s="213"/>
      <c r="I123" s="213"/>
      <c r="J123" s="213"/>
      <c r="K123" s="215"/>
      <c r="L123" s="213"/>
      <c r="M123" s="215"/>
      <c r="N123" s="213"/>
      <c r="O123" s="213"/>
      <c r="P123" s="213"/>
      <c r="Q123" s="213"/>
      <c r="R123" s="213"/>
      <c r="S123" s="213"/>
      <c r="T123" s="213"/>
      <c r="U123" s="213"/>
      <c r="V123" s="213"/>
      <c r="W123" s="213"/>
      <c r="X123" s="213"/>
      <c r="Y123" s="213"/>
      <c r="Z123" s="213"/>
      <c r="AA123" s="213"/>
      <c r="AB123" s="213"/>
      <c r="AC123" s="213"/>
      <c r="AD123" s="213"/>
      <c r="AE123" s="213"/>
      <c r="AF123" s="213"/>
      <c r="AG123" s="213"/>
      <c r="AH123" s="213"/>
      <c r="AI123" s="213"/>
      <c r="AJ123" s="213"/>
      <c r="AK123" s="213"/>
      <c r="AL123" s="213"/>
      <c r="AM123" s="213"/>
      <c r="AN123" s="213"/>
      <c r="AO123" s="213"/>
      <c r="AP123" s="213"/>
      <c r="AQ123" s="213"/>
      <c r="AR123" s="213"/>
      <c r="AS123" s="213"/>
      <c r="AT123" s="213"/>
      <c r="AU123" s="213"/>
      <c r="AV123" s="213"/>
      <c r="AW123" s="213"/>
      <c r="AX123" s="213"/>
      <c r="AY123" s="213"/>
      <c r="AZ123" s="213"/>
      <c r="BA123" s="213"/>
      <c r="BB123" s="213"/>
    </row>
    <row r="124" ht="15.75" customHeight="1">
      <c r="A124" s="213"/>
      <c r="B124" s="213"/>
      <c r="C124" s="213"/>
      <c r="D124" s="213"/>
      <c r="E124" s="213"/>
      <c r="F124" s="213"/>
      <c r="G124" s="213"/>
      <c r="H124" s="213"/>
      <c r="I124" s="213"/>
      <c r="J124" s="213"/>
      <c r="K124" s="215"/>
      <c r="L124" s="213"/>
      <c r="M124" s="215"/>
      <c r="N124" s="213"/>
      <c r="O124" s="213"/>
      <c r="P124" s="213"/>
      <c r="Q124" s="213"/>
      <c r="R124" s="213"/>
      <c r="S124" s="213"/>
      <c r="T124" s="213"/>
      <c r="U124" s="213"/>
      <c r="V124" s="213"/>
      <c r="W124" s="213"/>
      <c r="X124" s="213"/>
      <c r="Y124" s="213"/>
      <c r="Z124" s="213"/>
      <c r="AA124" s="213"/>
      <c r="AB124" s="213"/>
      <c r="AC124" s="213"/>
      <c r="AD124" s="213"/>
      <c r="AE124" s="213"/>
      <c r="AF124" s="213"/>
      <c r="AG124" s="213"/>
      <c r="AH124" s="213"/>
      <c r="AI124" s="213"/>
      <c r="AJ124" s="213"/>
      <c r="AK124" s="213"/>
      <c r="AL124" s="213"/>
      <c r="AM124" s="213"/>
      <c r="AN124" s="213"/>
      <c r="AO124" s="213"/>
      <c r="AP124" s="213"/>
      <c r="AQ124" s="213"/>
      <c r="AR124" s="213"/>
      <c r="AS124" s="213"/>
      <c r="AT124" s="213"/>
      <c r="AU124" s="213"/>
      <c r="AV124" s="213"/>
      <c r="AW124" s="213"/>
      <c r="AX124" s="213"/>
      <c r="AY124" s="213"/>
      <c r="AZ124" s="213"/>
      <c r="BA124" s="213"/>
      <c r="BB124" s="213"/>
    </row>
    <row r="125" ht="15.75" customHeight="1">
      <c r="A125" s="213"/>
      <c r="B125" s="213"/>
      <c r="C125" s="213"/>
      <c r="D125" s="213"/>
      <c r="E125" s="213"/>
      <c r="F125" s="213"/>
      <c r="G125" s="213"/>
      <c r="H125" s="213"/>
      <c r="I125" s="213"/>
      <c r="J125" s="213"/>
      <c r="K125" s="215"/>
      <c r="L125" s="213"/>
      <c r="M125" s="215"/>
      <c r="N125" s="213"/>
      <c r="O125" s="213"/>
      <c r="P125" s="213"/>
      <c r="Q125" s="213"/>
      <c r="R125" s="213"/>
      <c r="S125" s="213"/>
      <c r="T125" s="213"/>
      <c r="U125" s="213"/>
      <c r="V125" s="213"/>
      <c r="W125" s="213"/>
      <c r="X125" s="213"/>
      <c r="Y125" s="213"/>
      <c r="Z125" s="213"/>
      <c r="AA125" s="213"/>
      <c r="AB125" s="213"/>
      <c r="AC125" s="213"/>
      <c r="AD125" s="213"/>
      <c r="AE125" s="213"/>
      <c r="AF125" s="213"/>
      <c r="AG125" s="213"/>
      <c r="AH125" s="213"/>
      <c r="AI125" s="213"/>
      <c r="AJ125" s="213"/>
      <c r="AK125" s="213"/>
      <c r="AL125" s="213"/>
      <c r="AM125" s="213"/>
      <c r="AN125" s="213"/>
      <c r="AO125" s="213"/>
      <c r="AP125" s="213"/>
      <c r="AQ125" s="213"/>
      <c r="AR125" s="213"/>
      <c r="AS125" s="213"/>
      <c r="AT125" s="213"/>
      <c r="AU125" s="213"/>
      <c r="AV125" s="213"/>
      <c r="AW125" s="213"/>
      <c r="AX125" s="213"/>
      <c r="AY125" s="213"/>
      <c r="AZ125" s="213"/>
      <c r="BA125" s="213"/>
      <c r="BB125" s="213"/>
    </row>
    <row r="126" ht="15.75" customHeight="1">
      <c r="A126" s="213"/>
      <c r="B126" s="213"/>
      <c r="C126" s="213"/>
      <c r="D126" s="213"/>
      <c r="E126" s="213"/>
      <c r="F126" s="213"/>
      <c r="G126" s="213"/>
      <c r="H126" s="213"/>
      <c r="I126" s="213"/>
      <c r="J126" s="213"/>
      <c r="K126" s="215"/>
      <c r="L126" s="213"/>
      <c r="M126" s="215"/>
      <c r="N126" s="213"/>
      <c r="O126" s="213"/>
      <c r="P126" s="213"/>
      <c r="Q126" s="213"/>
      <c r="R126" s="213"/>
      <c r="S126" s="213"/>
      <c r="T126" s="213"/>
      <c r="U126" s="213"/>
      <c r="V126" s="213"/>
      <c r="W126" s="213"/>
      <c r="X126" s="213"/>
      <c r="Y126" s="213"/>
      <c r="Z126" s="213"/>
      <c r="AA126" s="213"/>
      <c r="AB126" s="213"/>
      <c r="AC126" s="213"/>
      <c r="AD126" s="213"/>
      <c r="AE126" s="213"/>
      <c r="AF126" s="213"/>
      <c r="AG126" s="213"/>
      <c r="AH126" s="213"/>
      <c r="AI126" s="213"/>
      <c r="AJ126" s="213"/>
      <c r="AK126" s="213"/>
      <c r="AL126" s="213"/>
      <c r="AM126" s="213"/>
      <c r="AN126" s="213"/>
      <c r="AO126" s="213"/>
      <c r="AP126" s="213"/>
      <c r="AQ126" s="213"/>
      <c r="AR126" s="213"/>
      <c r="AS126" s="213"/>
      <c r="AT126" s="213"/>
      <c r="AU126" s="213"/>
      <c r="AV126" s="213"/>
      <c r="AW126" s="213"/>
      <c r="AX126" s="213"/>
      <c r="AY126" s="213"/>
      <c r="AZ126" s="213"/>
      <c r="BA126" s="213"/>
      <c r="BB126" s="213"/>
    </row>
    <row r="127" ht="15.75" customHeight="1">
      <c r="A127" s="213"/>
      <c r="B127" s="213"/>
      <c r="C127" s="213"/>
      <c r="D127" s="213"/>
      <c r="E127" s="213"/>
      <c r="F127" s="213"/>
      <c r="G127" s="213"/>
      <c r="H127" s="213"/>
      <c r="I127" s="213"/>
      <c r="J127" s="213"/>
      <c r="K127" s="215"/>
      <c r="L127" s="213"/>
      <c r="M127" s="215"/>
      <c r="N127" s="213"/>
      <c r="O127" s="213"/>
      <c r="P127" s="213"/>
      <c r="Q127" s="213"/>
      <c r="R127" s="213"/>
      <c r="S127" s="213"/>
      <c r="T127" s="213"/>
      <c r="U127" s="213"/>
      <c r="V127" s="213"/>
      <c r="W127" s="213"/>
      <c r="X127" s="213"/>
      <c r="Y127" s="213"/>
      <c r="Z127" s="213"/>
      <c r="AA127" s="213"/>
      <c r="AB127" s="213"/>
      <c r="AC127" s="213"/>
      <c r="AD127" s="213"/>
      <c r="AE127" s="213"/>
      <c r="AF127" s="213"/>
      <c r="AG127" s="213"/>
      <c r="AH127" s="213"/>
      <c r="AI127" s="213"/>
      <c r="AJ127" s="213"/>
      <c r="AK127" s="213"/>
      <c r="AL127" s="213"/>
      <c r="AM127" s="213"/>
      <c r="AN127" s="213"/>
      <c r="AO127" s="213"/>
      <c r="AP127" s="213"/>
      <c r="AQ127" s="213"/>
      <c r="AR127" s="213"/>
      <c r="AS127" s="213"/>
      <c r="AT127" s="213"/>
      <c r="AU127" s="213"/>
      <c r="AV127" s="213"/>
      <c r="AW127" s="213"/>
      <c r="AX127" s="213"/>
      <c r="AY127" s="213"/>
      <c r="AZ127" s="213"/>
      <c r="BA127" s="213"/>
      <c r="BB127" s="213"/>
    </row>
    <row r="128" ht="15.75" customHeight="1">
      <c r="A128" s="213"/>
      <c r="B128" s="213"/>
      <c r="C128" s="213"/>
      <c r="D128" s="213"/>
      <c r="E128" s="213"/>
      <c r="F128" s="213"/>
      <c r="G128" s="213"/>
      <c r="H128" s="213"/>
      <c r="I128" s="213"/>
      <c r="J128" s="213"/>
      <c r="K128" s="215"/>
      <c r="L128" s="213"/>
      <c r="M128" s="215"/>
      <c r="N128" s="213"/>
      <c r="O128" s="213"/>
      <c r="P128" s="213"/>
      <c r="Q128" s="213"/>
      <c r="R128" s="213"/>
      <c r="S128" s="213"/>
      <c r="T128" s="213"/>
      <c r="U128" s="213"/>
      <c r="V128" s="213"/>
      <c r="W128" s="213"/>
      <c r="X128" s="213"/>
      <c r="Y128" s="213"/>
      <c r="Z128" s="213"/>
      <c r="AA128" s="213"/>
      <c r="AB128" s="213"/>
      <c r="AC128" s="213"/>
      <c r="AD128" s="213"/>
      <c r="AE128" s="213"/>
      <c r="AF128" s="213"/>
      <c r="AG128" s="213"/>
      <c r="AH128" s="213"/>
      <c r="AI128" s="213"/>
      <c r="AJ128" s="213"/>
      <c r="AK128" s="213"/>
      <c r="AL128" s="213"/>
      <c r="AM128" s="213"/>
      <c r="AN128" s="213"/>
      <c r="AO128" s="213"/>
      <c r="AP128" s="213"/>
      <c r="AQ128" s="213"/>
      <c r="AR128" s="213"/>
      <c r="AS128" s="213"/>
      <c r="AT128" s="213"/>
      <c r="AU128" s="213"/>
      <c r="AV128" s="213"/>
      <c r="AW128" s="213"/>
      <c r="AX128" s="213"/>
      <c r="AY128" s="213"/>
      <c r="AZ128" s="213"/>
      <c r="BA128" s="213"/>
      <c r="BB128" s="213"/>
    </row>
    <row r="129" ht="15.75" customHeight="1">
      <c r="A129" s="213"/>
      <c r="B129" s="213"/>
      <c r="C129" s="213"/>
      <c r="D129" s="213"/>
      <c r="E129" s="213"/>
      <c r="F129" s="213"/>
      <c r="G129" s="213"/>
      <c r="H129" s="213"/>
      <c r="I129" s="213"/>
      <c r="J129" s="213"/>
      <c r="K129" s="215"/>
      <c r="L129" s="213"/>
      <c r="M129" s="215"/>
      <c r="N129" s="213"/>
      <c r="O129" s="213"/>
      <c r="P129" s="213"/>
      <c r="Q129" s="213"/>
      <c r="R129" s="213"/>
      <c r="S129" s="213"/>
      <c r="T129" s="213"/>
      <c r="U129" s="213"/>
      <c r="V129" s="213"/>
      <c r="W129" s="213"/>
      <c r="X129" s="213"/>
      <c r="Y129" s="213"/>
      <c r="Z129" s="213"/>
      <c r="AA129" s="213"/>
      <c r="AB129" s="213"/>
      <c r="AC129" s="213"/>
      <c r="AD129" s="213"/>
      <c r="AE129" s="213"/>
      <c r="AF129" s="213"/>
      <c r="AG129" s="213"/>
      <c r="AH129" s="213"/>
      <c r="AI129" s="213"/>
      <c r="AJ129" s="213"/>
      <c r="AK129" s="213"/>
      <c r="AL129" s="213"/>
      <c r="AM129" s="213"/>
      <c r="AN129" s="213"/>
      <c r="AO129" s="213"/>
      <c r="AP129" s="213"/>
      <c r="AQ129" s="213"/>
      <c r="AR129" s="213"/>
      <c r="AS129" s="213"/>
      <c r="AT129" s="213"/>
      <c r="AU129" s="213"/>
      <c r="AV129" s="213"/>
      <c r="AW129" s="213"/>
      <c r="AX129" s="213"/>
      <c r="AY129" s="213"/>
      <c r="AZ129" s="213"/>
      <c r="BA129" s="213"/>
      <c r="BB129" s="213"/>
    </row>
    <row r="130" ht="15.75" customHeight="1">
      <c r="A130" s="213"/>
      <c r="B130" s="213"/>
      <c r="C130" s="213"/>
      <c r="D130" s="213"/>
      <c r="E130" s="213"/>
      <c r="F130" s="213"/>
      <c r="G130" s="213"/>
      <c r="H130" s="213"/>
      <c r="I130" s="213"/>
      <c r="J130" s="213"/>
      <c r="K130" s="215"/>
      <c r="L130" s="213"/>
      <c r="M130" s="215"/>
      <c r="N130" s="213"/>
      <c r="O130" s="213"/>
      <c r="P130" s="213"/>
      <c r="Q130" s="213"/>
      <c r="R130" s="213"/>
      <c r="S130" s="213"/>
      <c r="T130" s="213"/>
      <c r="U130" s="213"/>
      <c r="V130" s="213"/>
      <c r="W130" s="213"/>
      <c r="X130" s="213"/>
      <c r="Y130" s="213"/>
      <c r="Z130" s="213"/>
      <c r="AA130" s="213"/>
      <c r="AB130" s="213"/>
      <c r="AC130" s="213"/>
      <c r="AD130" s="213"/>
      <c r="AE130" s="213"/>
      <c r="AF130" s="213"/>
      <c r="AG130" s="213"/>
      <c r="AH130" s="213"/>
      <c r="AI130" s="213"/>
      <c r="AJ130" s="213"/>
      <c r="AK130" s="213"/>
      <c r="AL130" s="213"/>
      <c r="AM130" s="213"/>
      <c r="AN130" s="213"/>
      <c r="AO130" s="213"/>
      <c r="AP130" s="213"/>
      <c r="AQ130" s="213"/>
      <c r="AR130" s="213"/>
      <c r="AS130" s="213"/>
      <c r="AT130" s="213"/>
      <c r="AU130" s="213"/>
      <c r="AV130" s="213"/>
      <c r="AW130" s="213"/>
      <c r="AX130" s="213"/>
      <c r="AY130" s="213"/>
      <c r="AZ130" s="213"/>
      <c r="BA130" s="213"/>
      <c r="BB130" s="213"/>
    </row>
    <row r="131" ht="15.75" customHeight="1">
      <c r="A131" s="213"/>
      <c r="B131" s="213"/>
      <c r="C131" s="213"/>
      <c r="D131" s="213"/>
      <c r="E131" s="213"/>
      <c r="F131" s="213"/>
      <c r="G131" s="213"/>
      <c r="H131" s="213"/>
      <c r="I131" s="213"/>
      <c r="J131" s="213"/>
      <c r="K131" s="215"/>
      <c r="L131" s="213"/>
      <c r="M131" s="215"/>
      <c r="N131" s="213"/>
      <c r="O131" s="213"/>
      <c r="P131" s="213"/>
      <c r="Q131" s="213"/>
      <c r="R131" s="213"/>
      <c r="S131" s="213"/>
      <c r="T131" s="213"/>
      <c r="U131" s="213"/>
      <c r="V131" s="213"/>
      <c r="W131" s="213"/>
      <c r="X131" s="213"/>
      <c r="Y131" s="213"/>
      <c r="Z131" s="213"/>
      <c r="AA131" s="213"/>
      <c r="AB131" s="213"/>
      <c r="AC131" s="213"/>
      <c r="AD131" s="213"/>
      <c r="AE131" s="213"/>
      <c r="AF131" s="213"/>
      <c r="AG131" s="213"/>
      <c r="AH131" s="213"/>
      <c r="AI131" s="213"/>
      <c r="AJ131" s="213"/>
      <c r="AK131" s="213"/>
      <c r="AL131" s="213"/>
      <c r="AM131" s="213"/>
      <c r="AN131" s="213"/>
      <c r="AO131" s="213"/>
      <c r="AP131" s="213"/>
      <c r="AQ131" s="213"/>
      <c r="AR131" s="213"/>
      <c r="AS131" s="213"/>
      <c r="AT131" s="213"/>
      <c r="AU131" s="213"/>
      <c r="AV131" s="213"/>
      <c r="AW131" s="213"/>
      <c r="AX131" s="213"/>
      <c r="AY131" s="213"/>
      <c r="AZ131" s="213"/>
      <c r="BA131" s="213"/>
      <c r="BB131" s="213"/>
    </row>
    <row r="132" ht="15.75" customHeight="1">
      <c r="A132" s="213"/>
      <c r="B132" s="213"/>
      <c r="C132" s="213"/>
      <c r="D132" s="213"/>
      <c r="E132" s="213"/>
      <c r="F132" s="213"/>
      <c r="G132" s="213"/>
      <c r="H132" s="213"/>
      <c r="I132" s="213"/>
      <c r="J132" s="213"/>
      <c r="K132" s="215"/>
      <c r="L132" s="213"/>
      <c r="M132" s="215"/>
      <c r="N132" s="213"/>
      <c r="O132" s="213"/>
      <c r="P132" s="213"/>
      <c r="Q132" s="213"/>
      <c r="R132" s="213"/>
      <c r="S132" s="213"/>
      <c r="T132" s="213"/>
      <c r="U132" s="213"/>
      <c r="V132" s="213"/>
      <c r="W132" s="213"/>
      <c r="X132" s="213"/>
      <c r="Y132" s="213"/>
      <c r="Z132" s="213"/>
      <c r="AA132" s="213"/>
      <c r="AB132" s="213"/>
      <c r="AC132" s="213"/>
      <c r="AD132" s="213"/>
      <c r="AE132" s="213"/>
      <c r="AF132" s="213"/>
      <c r="AG132" s="213"/>
      <c r="AH132" s="213"/>
      <c r="AI132" s="213"/>
      <c r="AJ132" s="213"/>
      <c r="AK132" s="213"/>
      <c r="AL132" s="213"/>
      <c r="AM132" s="213"/>
      <c r="AN132" s="213"/>
      <c r="AO132" s="213"/>
      <c r="AP132" s="213"/>
      <c r="AQ132" s="213"/>
      <c r="AR132" s="213"/>
      <c r="AS132" s="213"/>
      <c r="AT132" s="213"/>
      <c r="AU132" s="213"/>
      <c r="AV132" s="213"/>
      <c r="AW132" s="213"/>
      <c r="AX132" s="213"/>
      <c r="AY132" s="213"/>
      <c r="AZ132" s="213"/>
      <c r="BA132" s="213"/>
      <c r="BB132" s="213"/>
    </row>
    <row r="133" ht="15.75" customHeight="1">
      <c r="A133" s="213"/>
      <c r="B133" s="213"/>
      <c r="C133" s="213"/>
      <c r="D133" s="213"/>
      <c r="E133" s="213"/>
      <c r="F133" s="213"/>
      <c r="G133" s="213"/>
      <c r="H133" s="213"/>
      <c r="I133" s="213"/>
      <c r="J133" s="213"/>
      <c r="K133" s="215"/>
      <c r="L133" s="213"/>
      <c r="M133" s="215"/>
      <c r="N133" s="213"/>
      <c r="O133" s="213"/>
      <c r="P133" s="213"/>
      <c r="Q133" s="213"/>
      <c r="R133" s="213"/>
      <c r="S133" s="213"/>
      <c r="T133" s="213"/>
      <c r="U133" s="213"/>
      <c r="V133" s="213"/>
      <c r="W133" s="213"/>
      <c r="X133" s="213"/>
      <c r="Y133" s="213"/>
      <c r="Z133" s="213"/>
      <c r="AA133" s="213"/>
      <c r="AB133" s="213"/>
      <c r="AC133" s="213"/>
      <c r="AD133" s="213"/>
      <c r="AE133" s="213"/>
      <c r="AF133" s="213"/>
      <c r="AG133" s="213"/>
      <c r="AH133" s="213"/>
      <c r="AI133" s="213"/>
      <c r="AJ133" s="213"/>
      <c r="AK133" s="213"/>
      <c r="AL133" s="213"/>
      <c r="AM133" s="213"/>
      <c r="AN133" s="213"/>
      <c r="AO133" s="213"/>
      <c r="AP133" s="213"/>
      <c r="AQ133" s="213"/>
      <c r="AR133" s="213"/>
      <c r="AS133" s="213"/>
      <c r="AT133" s="213"/>
      <c r="AU133" s="213"/>
      <c r="AV133" s="213"/>
      <c r="AW133" s="213"/>
      <c r="AX133" s="213"/>
      <c r="AY133" s="213"/>
      <c r="AZ133" s="213"/>
      <c r="BA133" s="213"/>
      <c r="BB133" s="213"/>
    </row>
    <row r="134" ht="15.75" customHeight="1">
      <c r="A134" s="213"/>
      <c r="B134" s="213"/>
      <c r="C134" s="213"/>
      <c r="D134" s="213"/>
      <c r="E134" s="213"/>
      <c r="F134" s="213"/>
      <c r="G134" s="213"/>
      <c r="H134" s="213"/>
      <c r="I134" s="213"/>
      <c r="J134" s="213"/>
      <c r="K134" s="215"/>
      <c r="L134" s="213"/>
      <c r="M134" s="215"/>
      <c r="N134" s="213"/>
      <c r="O134" s="213"/>
      <c r="P134" s="213"/>
      <c r="Q134" s="213"/>
      <c r="R134" s="213"/>
      <c r="S134" s="213"/>
      <c r="T134" s="213"/>
      <c r="U134" s="213"/>
      <c r="V134" s="213"/>
      <c r="W134" s="213"/>
      <c r="X134" s="213"/>
      <c r="Y134" s="213"/>
      <c r="Z134" s="213"/>
      <c r="AA134" s="213"/>
      <c r="AB134" s="213"/>
      <c r="AC134" s="213"/>
      <c r="AD134" s="213"/>
      <c r="AE134" s="213"/>
      <c r="AF134" s="213"/>
      <c r="AG134" s="213"/>
      <c r="AH134" s="213"/>
      <c r="AI134" s="213"/>
      <c r="AJ134" s="213"/>
      <c r="AK134" s="213"/>
      <c r="AL134" s="213"/>
      <c r="AM134" s="213"/>
      <c r="AN134" s="213"/>
      <c r="AO134" s="213"/>
      <c r="AP134" s="213"/>
      <c r="AQ134" s="213"/>
      <c r="AR134" s="213"/>
      <c r="AS134" s="213"/>
      <c r="AT134" s="213"/>
      <c r="AU134" s="213"/>
      <c r="AV134" s="213"/>
      <c r="AW134" s="213"/>
      <c r="AX134" s="213"/>
      <c r="AY134" s="213"/>
      <c r="AZ134" s="213"/>
      <c r="BA134" s="213"/>
      <c r="BB134" s="213"/>
    </row>
    <row r="135" ht="15.75" customHeight="1">
      <c r="A135" s="213"/>
      <c r="B135" s="213"/>
      <c r="C135" s="213"/>
      <c r="D135" s="213"/>
      <c r="E135" s="213"/>
      <c r="F135" s="213"/>
      <c r="G135" s="213"/>
      <c r="H135" s="213"/>
      <c r="I135" s="213"/>
      <c r="J135" s="213"/>
      <c r="K135" s="215"/>
      <c r="L135" s="213"/>
      <c r="M135" s="215"/>
      <c r="N135" s="213"/>
      <c r="O135" s="213"/>
      <c r="P135" s="213"/>
      <c r="Q135" s="213"/>
      <c r="R135" s="213"/>
      <c r="S135" s="213"/>
      <c r="T135" s="213"/>
      <c r="U135" s="213"/>
      <c r="V135" s="213"/>
      <c r="W135" s="213"/>
      <c r="X135" s="213"/>
      <c r="Y135" s="213"/>
      <c r="Z135" s="213"/>
      <c r="AA135" s="213"/>
      <c r="AB135" s="213"/>
      <c r="AC135" s="213"/>
      <c r="AD135" s="213"/>
      <c r="AE135" s="213"/>
      <c r="AF135" s="213"/>
      <c r="AG135" s="213"/>
      <c r="AH135" s="213"/>
      <c r="AI135" s="213"/>
      <c r="AJ135" s="213"/>
      <c r="AK135" s="213"/>
      <c r="AL135" s="213"/>
      <c r="AM135" s="213"/>
      <c r="AN135" s="213"/>
      <c r="AO135" s="213"/>
      <c r="AP135" s="213"/>
      <c r="AQ135" s="213"/>
      <c r="AR135" s="213"/>
      <c r="AS135" s="213"/>
      <c r="AT135" s="213"/>
      <c r="AU135" s="213"/>
      <c r="AV135" s="213"/>
      <c r="AW135" s="213"/>
      <c r="AX135" s="213"/>
      <c r="AY135" s="213"/>
      <c r="AZ135" s="213"/>
      <c r="BA135" s="213"/>
      <c r="BB135" s="213"/>
    </row>
    <row r="136" ht="15.75" customHeight="1">
      <c r="A136" s="213"/>
      <c r="B136" s="213"/>
      <c r="C136" s="213"/>
      <c r="D136" s="213"/>
      <c r="E136" s="213"/>
      <c r="F136" s="213"/>
      <c r="G136" s="213"/>
      <c r="H136" s="213"/>
      <c r="I136" s="213"/>
      <c r="J136" s="213"/>
      <c r="K136" s="215"/>
      <c r="L136" s="213"/>
      <c r="M136" s="215"/>
      <c r="N136" s="213"/>
      <c r="O136" s="213"/>
      <c r="P136" s="213"/>
      <c r="Q136" s="213"/>
      <c r="R136" s="213"/>
      <c r="S136" s="213"/>
      <c r="T136" s="213"/>
      <c r="U136" s="213"/>
      <c r="V136" s="213"/>
      <c r="W136" s="213"/>
      <c r="X136" s="213"/>
      <c r="Y136" s="213"/>
      <c r="Z136" s="213"/>
      <c r="AA136" s="213"/>
      <c r="AB136" s="213"/>
      <c r="AC136" s="213"/>
      <c r="AD136" s="213"/>
      <c r="AE136" s="213"/>
      <c r="AF136" s="213"/>
      <c r="AG136" s="213"/>
      <c r="AH136" s="213"/>
      <c r="AI136" s="213"/>
      <c r="AJ136" s="213"/>
      <c r="AK136" s="213"/>
      <c r="AL136" s="213"/>
      <c r="AM136" s="213"/>
      <c r="AN136" s="213"/>
      <c r="AO136" s="213"/>
      <c r="AP136" s="213"/>
      <c r="AQ136" s="213"/>
      <c r="AR136" s="213"/>
      <c r="AS136" s="213"/>
      <c r="AT136" s="213"/>
      <c r="AU136" s="213"/>
      <c r="AV136" s="213"/>
      <c r="AW136" s="213"/>
      <c r="AX136" s="213"/>
      <c r="AY136" s="213"/>
      <c r="AZ136" s="213"/>
      <c r="BA136" s="213"/>
      <c r="BB136" s="213"/>
    </row>
    <row r="137" ht="15.75" customHeight="1">
      <c r="A137" s="213"/>
      <c r="B137" s="213"/>
      <c r="C137" s="213"/>
      <c r="D137" s="213"/>
      <c r="E137" s="213"/>
      <c r="F137" s="213"/>
      <c r="G137" s="213"/>
      <c r="H137" s="213"/>
      <c r="I137" s="213"/>
      <c r="J137" s="213"/>
      <c r="K137" s="215"/>
      <c r="L137" s="213"/>
      <c r="M137" s="215"/>
      <c r="N137" s="213"/>
      <c r="O137" s="213"/>
      <c r="P137" s="213"/>
      <c r="Q137" s="213"/>
      <c r="R137" s="213"/>
      <c r="S137" s="213"/>
      <c r="T137" s="213"/>
      <c r="U137" s="213"/>
      <c r="V137" s="213"/>
      <c r="W137" s="213"/>
      <c r="X137" s="213"/>
      <c r="Y137" s="213"/>
      <c r="Z137" s="213"/>
      <c r="AA137" s="213"/>
      <c r="AB137" s="213"/>
      <c r="AC137" s="213"/>
      <c r="AD137" s="213"/>
      <c r="AE137" s="213"/>
      <c r="AF137" s="213"/>
      <c r="AG137" s="213"/>
      <c r="AH137" s="213"/>
      <c r="AI137" s="213"/>
      <c r="AJ137" s="213"/>
      <c r="AK137" s="213"/>
      <c r="AL137" s="213"/>
      <c r="AM137" s="213"/>
      <c r="AN137" s="213"/>
      <c r="AO137" s="213"/>
      <c r="AP137" s="213"/>
      <c r="AQ137" s="213"/>
      <c r="AR137" s="213"/>
      <c r="AS137" s="213"/>
      <c r="AT137" s="213"/>
      <c r="AU137" s="213"/>
      <c r="AV137" s="213"/>
      <c r="AW137" s="213"/>
      <c r="AX137" s="213"/>
      <c r="AY137" s="213"/>
      <c r="AZ137" s="213"/>
      <c r="BA137" s="213"/>
      <c r="BB137" s="213"/>
    </row>
    <row r="138" ht="15.75" customHeight="1">
      <c r="A138" s="213"/>
      <c r="B138" s="213"/>
      <c r="C138" s="213"/>
      <c r="D138" s="213"/>
      <c r="E138" s="213"/>
      <c r="F138" s="213"/>
      <c r="G138" s="213"/>
      <c r="H138" s="213"/>
      <c r="I138" s="213"/>
      <c r="J138" s="213"/>
      <c r="K138" s="215"/>
      <c r="L138" s="213"/>
      <c r="M138" s="215"/>
      <c r="N138" s="213"/>
      <c r="O138" s="213"/>
      <c r="P138" s="213"/>
      <c r="Q138" s="213"/>
      <c r="R138" s="213"/>
      <c r="S138" s="213"/>
      <c r="T138" s="213"/>
      <c r="U138" s="213"/>
      <c r="V138" s="213"/>
      <c r="W138" s="213"/>
      <c r="X138" s="213"/>
      <c r="Y138" s="213"/>
      <c r="Z138" s="213"/>
      <c r="AA138" s="213"/>
      <c r="AB138" s="213"/>
      <c r="AC138" s="213"/>
      <c r="AD138" s="213"/>
      <c r="AE138" s="213"/>
      <c r="AF138" s="213"/>
      <c r="AG138" s="213"/>
      <c r="AH138" s="213"/>
      <c r="AI138" s="213"/>
      <c r="AJ138" s="213"/>
      <c r="AK138" s="213"/>
      <c r="AL138" s="213"/>
      <c r="AM138" s="213"/>
      <c r="AN138" s="213"/>
      <c r="AO138" s="213"/>
      <c r="AP138" s="213"/>
      <c r="AQ138" s="213"/>
      <c r="AR138" s="213"/>
      <c r="AS138" s="213"/>
      <c r="AT138" s="213"/>
      <c r="AU138" s="213"/>
      <c r="AV138" s="213"/>
      <c r="AW138" s="213"/>
      <c r="AX138" s="213"/>
      <c r="AY138" s="213"/>
      <c r="AZ138" s="213"/>
      <c r="BA138" s="213"/>
      <c r="BB138" s="213"/>
    </row>
    <row r="139" ht="15.75" customHeight="1">
      <c r="A139" s="213"/>
      <c r="B139" s="213"/>
      <c r="C139" s="213"/>
      <c r="D139" s="213"/>
      <c r="E139" s="213"/>
      <c r="F139" s="213"/>
      <c r="G139" s="213"/>
      <c r="H139" s="213"/>
      <c r="I139" s="213"/>
      <c r="J139" s="213"/>
      <c r="K139" s="215"/>
      <c r="L139" s="213"/>
      <c r="M139" s="215"/>
      <c r="N139" s="213"/>
      <c r="O139" s="213"/>
      <c r="P139" s="213"/>
      <c r="Q139" s="213"/>
      <c r="R139" s="213"/>
      <c r="S139" s="213"/>
      <c r="T139" s="213"/>
      <c r="U139" s="213"/>
      <c r="V139" s="213"/>
      <c r="W139" s="213"/>
      <c r="X139" s="213"/>
      <c r="Y139" s="213"/>
      <c r="Z139" s="213"/>
      <c r="AA139" s="213"/>
      <c r="AB139" s="213"/>
      <c r="AC139" s="213"/>
      <c r="AD139" s="213"/>
      <c r="AE139" s="213"/>
      <c r="AF139" s="213"/>
      <c r="AG139" s="213"/>
      <c r="AH139" s="213"/>
      <c r="AI139" s="213"/>
      <c r="AJ139" s="213"/>
      <c r="AK139" s="213"/>
      <c r="AL139" s="213"/>
      <c r="AM139" s="213"/>
      <c r="AN139" s="213"/>
      <c r="AO139" s="213"/>
      <c r="AP139" s="213"/>
      <c r="AQ139" s="213"/>
      <c r="AR139" s="213"/>
      <c r="AS139" s="213"/>
      <c r="AT139" s="213"/>
      <c r="AU139" s="213"/>
      <c r="AV139" s="213"/>
      <c r="AW139" s="213"/>
      <c r="AX139" s="213"/>
      <c r="AY139" s="213"/>
      <c r="AZ139" s="213"/>
      <c r="BA139" s="213"/>
      <c r="BB139" s="213"/>
    </row>
    <row r="140" ht="15.75" customHeight="1">
      <c r="A140" s="213"/>
      <c r="B140" s="213"/>
      <c r="C140" s="213"/>
      <c r="D140" s="213"/>
      <c r="E140" s="213"/>
      <c r="F140" s="213"/>
      <c r="G140" s="213"/>
      <c r="H140" s="213"/>
      <c r="I140" s="213"/>
      <c r="J140" s="213"/>
      <c r="K140" s="215"/>
      <c r="L140" s="213"/>
      <c r="M140" s="215"/>
      <c r="N140" s="213"/>
      <c r="O140" s="213"/>
      <c r="P140" s="213"/>
      <c r="Q140" s="213"/>
      <c r="R140" s="213"/>
      <c r="S140" s="213"/>
      <c r="T140" s="213"/>
      <c r="U140" s="213"/>
      <c r="V140" s="213"/>
      <c r="W140" s="213"/>
      <c r="X140" s="213"/>
      <c r="Y140" s="213"/>
      <c r="Z140" s="213"/>
      <c r="AA140" s="213"/>
      <c r="AB140" s="213"/>
      <c r="AC140" s="213"/>
      <c r="AD140" s="213"/>
      <c r="AE140" s="213"/>
      <c r="AF140" s="213"/>
      <c r="AG140" s="213"/>
      <c r="AH140" s="213"/>
      <c r="AI140" s="213"/>
      <c r="AJ140" s="213"/>
      <c r="AK140" s="213"/>
      <c r="AL140" s="213"/>
      <c r="AM140" s="213"/>
      <c r="AN140" s="213"/>
      <c r="AO140" s="213"/>
      <c r="AP140" s="213"/>
      <c r="AQ140" s="213"/>
      <c r="AR140" s="213"/>
      <c r="AS140" s="213"/>
      <c r="AT140" s="213"/>
      <c r="AU140" s="213"/>
      <c r="AV140" s="213"/>
      <c r="AW140" s="213"/>
      <c r="AX140" s="213"/>
      <c r="AY140" s="213"/>
      <c r="AZ140" s="213"/>
      <c r="BA140" s="213"/>
      <c r="BB140" s="213"/>
    </row>
    <row r="141" ht="15.75" customHeight="1">
      <c r="A141" s="213"/>
      <c r="B141" s="213"/>
      <c r="C141" s="213"/>
      <c r="D141" s="213"/>
      <c r="E141" s="213"/>
      <c r="F141" s="213"/>
      <c r="G141" s="213"/>
      <c r="H141" s="213"/>
      <c r="I141" s="213"/>
      <c r="J141" s="213"/>
      <c r="K141" s="215"/>
      <c r="L141" s="213"/>
      <c r="M141" s="215"/>
      <c r="N141" s="213"/>
      <c r="O141" s="213"/>
      <c r="P141" s="213"/>
      <c r="Q141" s="213"/>
      <c r="R141" s="213"/>
      <c r="S141" s="213"/>
      <c r="T141" s="213"/>
      <c r="U141" s="213"/>
      <c r="V141" s="213"/>
      <c r="W141" s="213"/>
      <c r="X141" s="213"/>
      <c r="Y141" s="213"/>
      <c r="Z141" s="213"/>
      <c r="AA141" s="213"/>
      <c r="AB141" s="213"/>
      <c r="AC141" s="213"/>
      <c r="AD141" s="213"/>
      <c r="AE141" s="213"/>
      <c r="AF141" s="213"/>
      <c r="AG141" s="213"/>
      <c r="AH141" s="213"/>
      <c r="AI141" s="213"/>
      <c r="AJ141" s="213"/>
      <c r="AK141" s="213"/>
      <c r="AL141" s="213"/>
      <c r="AM141" s="213"/>
      <c r="AN141" s="213"/>
      <c r="AO141" s="213"/>
      <c r="AP141" s="213"/>
      <c r="AQ141" s="213"/>
      <c r="AR141" s="213"/>
      <c r="AS141" s="213"/>
      <c r="AT141" s="213"/>
      <c r="AU141" s="213"/>
      <c r="AV141" s="213"/>
      <c r="AW141" s="213"/>
      <c r="AX141" s="213"/>
      <c r="AY141" s="213"/>
      <c r="AZ141" s="213"/>
      <c r="BA141" s="213"/>
      <c r="BB141" s="213"/>
    </row>
    <row r="142" ht="15.75" customHeight="1">
      <c r="A142" s="213"/>
      <c r="B142" s="213"/>
      <c r="C142" s="213"/>
      <c r="D142" s="213"/>
      <c r="E142" s="213"/>
      <c r="F142" s="213"/>
      <c r="G142" s="213"/>
      <c r="H142" s="213"/>
      <c r="I142" s="213"/>
      <c r="J142" s="213"/>
      <c r="K142" s="215"/>
      <c r="L142" s="213"/>
      <c r="M142" s="215"/>
      <c r="N142" s="213"/>
      <c r="O142" s="213"/>
      <c r="P142" s="213"/>
      <c r="Q142" s="213"/>
      <c r="R142" s="213"/>
      <c r="S142" s="213"/>
      <c r="T142" s="213"/>
      <c r="U142" s="213"/>
      <c r="V142" s="213"/>
      <c r="W142" s="213"/>
      <c r="X142" s="213"/>
      <c r="Y142" s="213"/>
      <c r="Z142" s="213"/>
      <c r="AA142" s="213"/>
      <c r="AB142" s="213"/>
      <c r="AC142" s="213"/>
      <c r="AD142" s="213"/>
      <c r="AE142" s="213"/>
      <c r="AF142" s="213"/>
      <c r="AG142" s="213"/>
      <c r="AH142" s="213"/>
      <c r="AI142" s="213"/>
      <c r="AJ142" s="213"/>
      <c r="AK142" s="213"/>
      <c r="AL142" s="213"/>
      <c r="AM142" s="213"/>
      <c r="AN142" s="213"/>
      <c r="AO142" s="213"/>
      <c r="AP142" s="213"/>
      <c r="AQ142" s="213"/>
      <c r="AR142" s="213"/>
      <c r="AS142" s="213"/>
      <c r="AT142" s="213"/>
      <c r="AU142" s="213"/>
      <c r="AV142" s="213"/>
      <c r="AW142" s="213"/>
      <c r="AX142" s="213"/>
      <c r="AY142" s="213"/>
      <c r="AZ142" s="213"/>
      <c r="BA142" s="213"/>
      <c r="BB142" s="213"/>
    </row>
    <row r="143" ht="15.75" customHeight="1">
      <c r="A143" s="213"/>
      <c r="B143" s="213"/>
      <c r="C143" s="213"/>
      <c r="D143" s="213"/>
      <c r="E143" s="213"/>
      <c r="F143" s="213"/>
      <c r="G143" s="213"/>
      <c r="H143" s="213"/>
      <c r="I143" s="213"/>
      <c r="J143" s="213"/>
      <c r="K143" s="215"/>
      <c r="L143" s="213"/>
      <c r="M143" s="215"/>
      <c r="N143" s="213"/>
      <c r="O143" s="213"/>
      <c r="P143" s="213"/>
      <c r="Q143" s="213"/>
      <c r="R143" s="213"/>
      <c r="S143" s="213"/>
      <c r="T143" s="213"/>
      <c r="U143" s="213"/>
      <c r="V143" s="213"/>
      <c r="W143" s="213"/>
      <c r="X143" s="213"/>
      <c r="Y143" s="213"/>
      <c r="Z143" s="213"/>
      <c r="AA143" s="213"/>
      <c r="AB143" s="213"/>
      <c r="AC143" s="213"/>
      <c r="AD143" s="213"/>
      <c r="AE143" s="213"/>
      <c r="AF143" s="213"/>
      <c r="AG143" s="213"/>
      <c r="AH143" s="213"/>
      <c r="AI143" s="213"/>
      <c r="AJ143" s="213"/>
      <c r="AK143" s="213"/>
      <c r="AL143" s="213"/>
      <c r="AM143" s="213"/>
      <c r="AN143" s="213"/>
      <c r="AO143" s="213"/>
      <c r="AP143" s="213"/>
      <c r="AQ143" s="213"/>
      <c r="AR143" s="213"/>
      <c r="AS143" s="213"/>
      <c r="AT143" s="213"/>
      <c r="AU143" s="213"/>
      <c r="AV143" s="213"/>
      <c r="AW143" s="213"/>
      <c r="AX143" s="213"/>
      <c r="AY143" s="213"/>
      <c r="AZ143" s="213"/>
      <c r="BA143" s="213"/>
      <c r="BB143" s="213"/>
    </row>
    <row r="144" ht="15.75" customHeight="1">
      <c r="A144" s="213"/>
      <c r="B144" s="213"/>
      <c r="C144" s="213"/>
      <c r="D144" s="213"/>
      <c r="E144" s="213"/>
      <c r="F144" s="213"/>
      <c r="G144" s="213"/>
      <c r="H144" s="213"/>
      <c r="I144" s="213"/>
      <c r="J144" s="213"/>
      <c r="K144" s="215"/>
      <c r="L144" s="213"/>
      <c r="M144" s="215"/>
      <c r="N144" s="213"/>
      <c r="O144" s="213"/>
      <c r="P144" s="213"/>
      <c r="Q144" s="213"/>
      <c r="R144" s="213"/>
      <c r="S144" s="213"/>
      <c r="T144" s="213"/>
      <c r="U144" s="213"/>
      <c r="V144" s="213"/>
      <c r="W144" s="213"/>
      <c r="X144" s="213"/>
      <c r="Y144" s="213"/>
      <c r="Z144" s="213"/>
      <c r="AA144" s="213"/>
      <c r="AB144" s="213"/>
      <c r="AC144" s="213"/>
      <c r="AD144" s="213"/>
      <c r="AE144" s="213"/>
      <c r="AF144" s="213"/>
      <c r="AG144" s="213"/>
      <c r="AH144" s="213"/>
      <c r="AI144" s="213"/>
      <c r="AJ144" s="213"/>
      <c r="AK144" s="213"/>
      <c r="AL144" s="213"/>
      <c r="AM144" s="213"/>
      <c r="AN144" s="213"/>
      <c r="AO144" s="213"/>
      <c r="AP144" s="213"/>
      <c r="AQ144" s="213"/>
      <c r="AR144" s="213"/>
      <c r="AS144" s="213"/>
      <c r="AT144" s="213"/>
      <c r="AU144" s="213"/>
      <c r="AV144" s="213"/>
      <c r="AW144" s="213"/>
      <c r="AX144" s="213"/>
      <c r="AY144" s="213"/>
      <c r="AZ144" s="213"/>
      <c r="BA144" s="213"/>
      <c r="BB144" s="213"/>
    </row>
    <row r="145" ht="15.75" customHeight="1">
      <c r="A145" s="213"/>
      <c r="B145" s="213"/>
      <c r="C145" s="213"/>
      <c r="D145" s="213"/>
      <c r="E145" s="213"/>
      <c r="F145" s="213"/>
      <c r="G145" s="213"/>
      <c r="H145" s="213"/>
      <c r="I145" s="213"/>
      <c r="J145" s="213"/>
      <c r="K145" s="215"/>
      <c r="L145" s="213"/>
      <c r="M145" s="215"/>
      <c r="N145" s="213"/>
      <c r="O145" s="213"/>
      <c r="P145" s="213"/>
      <c r="Q145" s="213"/>
      <c r="R145" s="213"/>
      <c r="S145" s="213"/>
      <c r="T145" s="213"/>
      <c r="U145" s="213"/>
      <c r="V145" s="213"/>
      <c r="W145" s="213"/>
      <c r="X145" s="213"/>
      <c r="Y145" s="213"/>
      <c r="Z145" s="213"/>
      <c r="AA145" s="213"/>
      <c r="AB145" s="213"/>
      <c r="AC145" s="213"/>
      <c r="AD145" s="213"/>
      <c r="AE145" s="213"/>
      <c r="AF145" s="213"/>
      <c r="AG145" s="213"/>
      <c r="AH145" s="213"/>
      <c r="AI145" s="213"/>
      <c r="AJ145" s="213"/>
      <c r="AK145" s="213"/>
      <c r="AL145" s="213"/>
      <c r="AM145" s="213"/>
      <c r="AN145" s="213"/>
      <c r="AO145" s="213"/>
      <c r="AP145" s="213"/>
      <c r="AQ145" s="213"/>
      <c r="AR145" s="213"/>
      <c r="AS145" s="213"/>
      <c r="AT145" s="213"/>
      <c r="AU145" s="213"/>
      <c r="AV145" s="213"/>
      <c r="AW145" s="213"/>
      <c r="AX145" s="213"/>
      <c r="AY145" s="213"/>
      <c r="AZ145" s="213"/>
      <c r="BA145" s="213"/>
      <c r="BB145" s="213"/>
    </row>
    <row r="146" ht="15.75" customHeight="1">
      <c r="A146" s="213"/>
      <c r="B146" s="213"/>
      <c r="C146" s="213"/>
      <c r="D146" s="213"/>
      <c r="E146" s="213"/>
      <c r="F146" s="213"/>
      <c r="G146" s="213"/>
      <c r="H146" s="213"/>
      <c r="I146" s="213"/>
      <c r="J146" s="213"/>
      <c r="K146" s="215"/>
      <c r="L146" s="213"/>
      <c r="M146" s="215"/>
      <c r="N146" s="213"/>
      <c r="O146" s="213"/>
      <c r="P146" s="213"/>
      <c r="Q146" s="213"/>
      <c r="R146" s="213"/>
      <c r="S146" s="213"/>
      <c r="T146" s="213"/>
      <c r="U146" s="213"/>
      <c r="V146" s="213"/>
      <c r="W146" s="213"/>
      <c r="X146" s="213"/>
      <c r="Y146" s="213"/>
      <c r="Z146" s="213"/>
      <c r="AA146" s="213"/>
      <c r="AB146" s="213"/>
      <c r="AC146" s="213"/>
      <c r="AD146" s="213"/>
      <c r="AE146" s="213"/>
      <c r="AF146" s="213"/>
      <c r="AG146" s="213"/>
      <c r="AH146" s="213"/>
      <c r="AI146" s="213"/>
      <c r="AJ146" s="213"/>
      <c r="AK146" s="213"/>
      <c r="AL146" s="213"/>
      <c r="AM146" s="213"/>
      <c r="AN146" s="213"/>
      <c r="AO146" s="213"/>
      <c r="AP146" s="213"/>
      <c r="AQ146" s="213"/>
      <c r="AR146" s="213"/>
      <c r="AS146" s="213"/>
      <c r="AT146" s="213"/>
      <c r="AU146" s="213"/>
      <c r="AV146" s="213"/>
      <c r="AW146" s="213"/>
      <c r="AX146" s="213"/>
      <c r="AY146" s="213"/>
      <c r="AZ146" s="213"/>
      <c r="BA146" s="213"/>
      <c r="BB146" s="213"/>
    </row>
    <row r="147" ht="15.75" customHeight="1">
      <c r="A147" s="213"/>
      <c r="B147" s="213"/>
      <c r="C147" s="213"/>
      <c r="D147" s="213"/>
      <c r="E147" s="213"/>
      <c r="F147" s="213"/>
      <c r="G147" s="213"/>
      <c r="H147" s="213"/>
      <c r="I147" s="213"/>
      <c r="J147" s="213"/>
      <c r="K147" s="215"/>
      <c r="L147" s="213"/>
      <c r="M147" s="215"/>
      <c r="N147" s="213"/>
      <c r="O147" s="213"/>
      <c r="P147" s="213"/>
      <c r="Q147" s="213"/>
      <c r="R147" s="213"/>
      <c r="S147" s="213"/>
      <c r="T147" s="213"/>
      <c r="U147" s="213"/>
      <c r="V147" s="213"/>
      <c r="W147" s="213"/>
      <c r="X147" s="213"/>
      <c r="Y147" s="213"/>
      <c r="Z147" s="213"/>
      <c r="AA147" s="213"/>
      <c r="AB147" s="213"/>
      <c r="AC147" s="213"/>
      <c r="AD147" s="213"/>
      <c r="AE147" s="213"/>
      <c r="AF147" s="213"/>
      <c r="AG147" s="213"/>
      <c r="AH147" s="213"/>
      <c r="AI147" s="213"/>
      <c r="AJ147" s="213"/>
      <c r="AK147" s="213"/>
      <c r="AL147" s="213"/>
      <c r="AM147" s="213"/>
      <c r="AN147" s="213"/>
      <c r="AO147" s="213"/>
      <c r="AP147" s="213"/>
      <c r="AQ147" s="213"/>
      <c r="AR147" s="213"/>
      <c r="AS147" s="213"/>
      <c r="AT147" s="213"/>
      <c r="AU147" s="213"/>
      <c r="AV147" s="213"/>
      <c r="AW147" s="213"/>
      <c r="AX147" s="213"/>
      <c r="AY147" s="213"/>
      <c r="AZ147" s="213"/>
      <c r="BA147" s="213"/>
      <c r="BB147" s="213"/>
    </row>
    <row r="148" ht="15.75" customHeight="1">
      <c r="A148" s="213"/>
      <c r="B148" s="213"/>
      <c r="C148" s="213"/>
      <c r="D148" s="213"/>
      <c r="E148" s="213"/>
      <c r="F148" s="213"/>
      <c r="G148" s="213"/>
      <c r="H148" s="213"/>
      <c r="I148" s="213"/>
      <c r="J148" s="213"/>
      <c r="K148" s="215"/>
      <c r="L148" s="213"/>
      <c r="M148" s="215"/>
      <c r="N148" s="213"/>
      <c r="O148" s="213"/>
      <c r="P148" s="213"/>
      <c r="Q148" s="213"/>
      <c r="R148" s="213"/>
      <c r="S148" s="213"/>
      <c r="T148" s="213"/>
      <c r="U148" s="213"/>
      <c r="V148" s="213"/>
      <c r="W148" s="213"/>
      <c r="X148" s="213"/>
      <c r="Y148" s="213"/>
      <c r="Z148" s="213"/>
      <c r="AA148" s="213"/>
      <c r="AB148" s="213"/>
      <c r="AC148" s="213"/>
      <c r="AD148" s="213"/>
      <c r="AE148" s="213"/>
      <c r="AF148" s="213"/>
      <c r="AG148" s="213"/>
      <c r="AH148" s="213"/>
      <c r="AI148" s="213"/>
      <c r="AJ148" s="213"/>
      <c r="AK148" s="213"/>
      <c r="AL148" s="213"/>
      <c r="AM148" s="213"/>
      <c r="AN148" s="213"/>
      <c r="AO148" s="213"/>
      <c r="AP148" s="213"/>
      <c r="AQ148" s="213"/>
      <c r="AR148" s="213"/>
      <c r="AS148" s="213"/>
      <c r="AT148" s="213"/>
      <c r="AU148" s="213"/>
      <c r="AV148" s="213"/>
      <c r="AW148" s="213"/>
      <c r="AX148" s="213"/>
      <c r="AY148" s="213"/>
      <c r="AZ148" s="213"/>
      <c r="BA148" s="213"/>
      <c r="BB148" s="213"/>
    </row>
    <row r="149" ht="15.75" customHeight="1">
      <c r="A149" s="213"/>
      <c r="B149" s="213"/>
      <c r="C149" s="213"/>
      <c r="D149" s="213"/>
      <c r="E149" s="213"/>
      <c r="F149" s="213"/>
      <c r="G149" s="213"/>
      <c r="H149" s="213"/>
      <c r="I149" s="213"/>
      <c r="J149" s="213"/>
      <c r="K149" s="215"/>
      <c r="L149" s="213"/>
      <c r="M149" s="215"/>
      <c r="N149" s="213"/>
      <c r="O149" s="213"/>
      <c r="P149" s="213"/>
      <c r="Q149" s="213"/>
      <c r="R149" s="213"/>
      <c r="S149" s="213"/>
      <c r="T149" s="213"/>
      <c r="U149" s="213"/>
      <c r="V149" s="213"/>
      <c r="W149" s="213"/>
      <c r="X149" s="213"/>
      <c r="Y149" s="213"/>
      <c r="Z149" s="213"/>
      <c r="AA149" s="213"/>
      <c r="AB149" s="213"/>
      <c r="AC149" s="213"/>
      <c r="AD149" s="213"/>
      <c r="AE149" s="213"/>
      <c r="AF149" s="213"/>
      <c r="AG149" s="213"/>
      <c r="AH149" s="213"/>
      <c r="AI149" s="213"/>
      <c r="AJ149" s="213"/>
      <c r="AK149" s="213"/>
      <c r="AL149" s="213"/>
      <c r="AM149" s="213"/>
      <c r="AN149" s="213"/>
      <c r="AO149" s="213"/>
      <c r="AP149" s="213"/>
      <c r="AQ149" s="213"/>
      <c r="AR149" s="213"/>
      <c r="AS149" s="213"/>
      <c r="AT149" s="213"/>
      <c r="AU149" s="213"/>
      <c r="AV149" s="213"/>
      <c r="AW149" s="213"/>
      <c r="AX149" s="213"/>
      <c r="AY149" s="213"/>
      <c r="AZ149" s="213"/>
      <c r="BA149" s="213"/>
      <c r="BB149" s="213"/>
    </row>
    <row r="150" ht="15.75" customHeight="1">
      <c r="A150" s="213"/>
      <c r="B150" s="213"/>
      <c r="C150" s="213"/>
      <c r="D150" s="213"/>
      <c r="E150" s="213"/>
      <c r="F150" s="213"/>
      <c r="G150" s="213"/>
      <c r="H150" s="213"/>
      <c r="I150" s="213"/>
      <c r="J150" s="213"/>
      <c r="K150" s="215"/>
      <c r="L150" s="213"/>
      <c r="M150" s="215"/>
      <c r="N150" s="213"/>
      <c r="O150" s="213"/>
      <c r="P150" s="213"/>
      <c r="Q150" s="213"/>
      <c r="R150" s="213"/>
      <c r="S150" s="213"/>
      <c r="T150" s="213"/>
      <c r="U150" s="213"/>
      <c r="V150" s="213"/>
      <c r="W150" s="213"/>
      <c r="X150" s="213"/>
      <c r="Y150" s="213"/>
      <c r="Z150" s="213"/>
      <c r="AA150" s="213"/>
      <c r="AB150" s="213"/>
      <c r="AC150" s="213"/>
      <c r="AD150" s="213"/>
      <c r="AE150" s="213"/>
      <c r="AF150" s="213"/>
      <c r="AG150" s="213"/>
      <c r="AH150" s="213"/>
      <c r="AI150" s="213"/>
      <c r="AJ150" s="213"/>
      <c r="AK150" s="213"/>
      <c r="AL150" s="213"/>
      <c r="AM150" s="213"/>
      <c r="AN150" s="213"/>
      <c r="AO150" s="213"/>
      <c r="AP150" s="213"/>
      <c r="AQ150" s="213"/>
      <c r="AR150" s="213"/>
      <c r="AS150" s="213"/>
      <c r="AT150" s="213"/>
      <c r="AU150" s="213"/>
      <c r="AV150" s="213"/>
      <c r="AW150" s="213"/>
      <c r="AX150" s="213"/>
      <c r="AY150" s="213"/>
      <c r="AZ150" s="213"/>
      <c r="BA150" s="213"/>
      <c r="BB150" s="213"/>
    </row>
    <row r="151" ht="15.75" customHeight="1">
      <c r="A151" s="213"/>
      <c r="B151" s="213"/>
      <c r="C151" s="213"/>
      <c r="D151" s="213"/>
      <c r="E151" s="213"/>
      <c r="F151" s="213"/>
      <c r="G151" s="213"/>
      <c r="H151" s="213"/>
      <c r="I151" s="213"/>
      <c r="J151" s="213"/>
      <c r="K151" s="215"/>
      <c r="L151" s="213"/>
      <c r="M151" s="215"/>
      <c r="N151" s="213"/>
      <c r="O151" s="213"/>
      <c r="P151" s="213"/>
      <c r="Q151" s="213"/>
      <c r="R151" s="213"/>
      <c r="S151" s="213"/>
      <c r="T151" s="213"/>
      <c r="U151" s="213"/>
      <c r="V151" s="213"/>
      <c r="W151" s="213"/>
      <c r="X151" s="213"/>
      <c r="Y151" s="213"/>
      <c r="Z151" s="213"/>
      <c r="AA151" s="213"/>
      <c r="AB151" s="213"/>
      <c r="AC151" s="213"/>
      <c r="AD151" s="213"/>
      <c r="AE151" s="213"/>
      <c r="AF151" s="213"/>
      <c r="AG151" s="213"/>
      <c r="AH151" s="213"/>
      <c r="AI151" s="213"/>
      <c r="AJ151" s="213"/>
      <c r="AK151" s="213"/>
      <c r="AL151" s="213"/>
      <c r="AM151" s="213"/>
      <c r="AN151" s="213"/>
      <c r="AO151" s="213"/>
      <c r="AP151" s="213"/>
      <c r="AQ151" s="213"/>
      <c r="AR151" s="213"/>
      <c r="AS151" s="213"/>
      <c r="AT151" s="213"/>
      <c r="AU151" s="213"/>
      <c r="AV151" s="213"/>
      <c r="AW151" s="213"/>
      <c r="AX151" s="213"/>
      <c r="AY151" s="213"/>
      <c r="AZ151" s="213"/>
      <c r="BA151" s="213"/>
      <c r="BB151" s="213"/>
    </row>
    <row r="152" ht="15.75" customHeight="1">
      <c r="A152" s="213"/>
      <c r="B152" s="213"/>
      <c r="C152" s="213"/>
      <c r="D152" s="213"/>
      <c r="E152" s="213"/>
      <c r="F152" s="213"/>
      <c r="G152" s="213"/>
      <c r="H152" s="213"/>
      <c r="I152" s="213"/>
      <c r="J152" s="213"/>
      <c r="K152" s="215"/>
      <c r="L152" s="213"/>
      <c r="M152" s="215"/>
      <c r="N152" s="213"/>
      <c r="O152" s="213"/>
      <c r="P152" s="213"/>
      <c r="Q152" s="213"/>
      <c r="R152" s="213"/>
      <c r="S152" s="213"/>
      <c r="T152" s="213"/>
      <c r="U152" s="213"/>
      <c r="V152" s="213"/>
      <c r="W152" s="213"/>
      <c r="X152" s="213"/>
      <c r="Y152" s="213"/>
      <c r="Z152" s="213"/>
      <c r="AA152" s="213"/>
      <c r="AB152" s="213"/>
      <c r="AC152" s="213"/>
      <c r="AD152" s="213"/>
      <c r="AE152" s="213"/>
      <c r="AF152" s="213"/>
      <c r="AG152" s="213"/>
      <c r="AH152" s="213"/>
      <c r="AI152" s="213"/>
      <c r="AJ152" s="213"/>
      <c r="AK152" s="213"/>
      <c r="AL152" s="213"/>
      <c r="AM152" s="213"/>
      <c r="AN152" s="213"/>
      <c r="AO152" s="213"/>
      <c r="AP152" s="213"/>
      <c r="AQ152" s="213"/>
      <c r="AR152" s="213"/>
      <c r="AS152" s="213"/>
      <c r="AT152" s="213"/>
      <c r="AU152" s="213"/>
      <c r="AV152" s="213"/>
      <c r="AW152" s="213"/>
      <c r="AX152" s="213"/>
      <c r="AY152" s="213"/>
      <c r="AZ152" s="213"/>
      <c r="BA152" s="213"/>
      <c r="BB152" s="213"/>
    </row>
    <row r="153" ht="15.75" customHeight="1">
      <c r="A153" s="213"/>
      <c r="B153" s="213"/>
      <c r="C153" s="213"/>
      <c r="D153" s="213"/>
      <c r="E153" s="213"/>
      <c r="F153" s="213"/>
      <c r="G153" s="213"/>
      <c r="H153" s="213"/>
      <c r="I153" s="213"/>
      <c r="J153" s="213"/>
      <c r="K153" s="215"/>
      <c r="L153" s="213"/>
      <c r="M153" s="215"/>
      <c r="N153" s="213"/>
      <c r="O153" s="213"/>
      <c r="P153" s="213"/>
      <c r="Q153" s="213"/>
      <c r="R153" s="213"/>
      <c r="S153" s="213"/>
      <c r="T153" s="213"/>
      <c r="U153" s="213"/>
      <c r="V153" s="213"/>
      <c r="W153" s="213"/>
      <c r="X153" s="213"/>
      <c r="Y153" s="213"/>
      <c r="Z153" s="213"/>
      <c r="AA153" s="213"/>
      <c r="AB153" s="213"/>
      <c r="AC153" s="213"/>
      <c r="AD153" s="213"/>
      <c r="AE153" s="213"/>
      <c r="AF153" s="213"/>
      <c r="AG153" s="213"/>
      <c r="AH153" s="213"/>
      <c r="AI153" s="213"/>
      <c r="AJ153" s="213"/>
      <c r="AK153" s="213"/>
      <c r="AL153" s="213"/>
      <c r="AM153" s="213"/>
      <c r="AN153" s="213"/>
      <c r="AO153" s="213"/>
      <c r="AP153" s="213"/>
      <c r="AQ153" s="213"/>
      <c r="AR153" s="213"/>
      <c r="AS153" s="213"/>
      <c r="AT153" s="213"/>
      <c r="AU153" s="213"/>
      <c r="AV153" s="213"/>
      <c r="AW153" s="213"/>
      <c r="AX153" s="213"/>
      <c r="AY153" s="213"/>
      <c r="AZ153" s="213"/>
      <c r="BA153" s="213"/>
      <c r="BB153" s="213"/>
    </row>
    <row r="154" ht="15.75" customHeight="1">
      <c r="A154" s="213"/>
      <c r="B154" s="213"/>
      <c r="C154" s="213"/>
      <c r="D154" s="213"/>
      <c r="E154" s="213"/>
      <c r="F154" s="213"/>
      <c r="G154" s="213"/>
      <c r="H154" s="213"/>
      <c r="I154" s="213"/>
      <c r="J154" s="213"/>
      <c r="K154" s="215"/>
      <c r="L154" s="213"/>
      <c r="M154" s="215"/>
      <c r="N154" s="213"/>
      <c r="O154" s="213"/>
      <c r="P154" s="213"/>
      <c r="Q154" s="213"/>
      <c r="R154" s="213"/>
      <c r="S154" s="213"/>
      <c r="T154" s="213"/>
      <c r="U154" s="213"/>
      <c r="V154" s="213"/>
      <c r="W154" s="213"/>
      <c r="X154" s="213"/>
      <c r="Y154" s="213"/>
      <c r="Z154" s="213"/>
      <c r="AA154" s="213"/>
      <c r="AB154" s="213"/>
      <c r="AC154" s="213"/>
      <c r="AD154" s="213"/>
      <c r="AE154" s="213"/>
      <c r="AF154" s="213"/>
      <c r="AG154" s="213"/>
      <c r="AH154" s="213"/>
      <c r="AI154" s="213"/>
      <c r="AJ154" s="213"/>
      <c r="AK154" s="213"/>
      <c r="AL154" s="213"/>
      <c r="AM154" s="213"/>
      <c r="AN154" s="213"/>
      <c r="AO154" s="213"/>
      <c r="AP154" s="213"/>
      <c r="AQ154" s="213"/>
      <c r="AR154" s="213"/>
      <c r="AS154" s="213"/>
      <c r="AT154" s="213"/>
      <c r="AU154" s="213"/>
      <c r="AV154" s="213"/>
      <c r="AW154" s="213"/>
      <c r="AX154" s="213"/>
      <c r="AY154" s="213"/>
      <c r="AZ154" s="213"/>
      <c r="BA154" s="213"/>
      <c r="BB154" s="213"/>
    </row>
    <row r="155" ht="15.75" customHeight="1">
      <c r="A155" s="213"/>
      <c r="B155" s="213"/>
      <c r="C155" s="213"/>
      <c r="D155" s="213"/>
      <c r="E155" s="213"/>
      <c r="F155" s="213"/>
      <c r="G155" s="213"/>
      <c r="H155" s="213"/>
      <c r="I155" s="213"/>
      <c r="J155" s="213"/>
      <c r="K155" s="215"/>
      <c r="L155" s="213"/>
      <c r="M155" s="215"/>
      <c r="N155" s="213"/>
      <c r="O155" s="213"/>
      <c r="P155" s="213"/>
      <c r="Q155" s="213"/>
      <c r="R155" s="213"/>
      <c r="S155" s="213"/>
      <c r="T155" s="213"/>
      <c r="U155" s="213"/>
      <c r="V155" s="213"/>
      <c r="W155" s="213"/>
      <c r="X155" s="213"/>
      <c r="Y155" s="213"/>
      <c r="Z155" s="213"/>
      <c r="AA155" s="213"/>
      <c r="AB155" s="213"/>
      <c r="AC155" s="213"/>
      <c r="AD155" s="213"/>
      <c r="AE155" s="213"/>
      <c r="AF155" s="213"/>
      <c r="AG155" s="213"/>
      <c r="AH155" s="213"/>
      <c r="AI155" s="213"/>
      <c r="AJ155" s="213"/>
      <c r="AK155" s="213"/>
      <c r="AL155" s="213"/>
      <c r="AM155" s="213"/>
      <c r="AN155" s="213"/>
      <c r="AO155" s="213"/>
      <c r="AP155" s="213"/>
      <c r="AQ155" s="213"/>
      <c r="AR155" s="213"/>
      <c r="AS155" s="213"/>
      <c r="AT155" s="213"/>
      <c r="AU155" s="213"/>
      <c r="AV155" s="213"/>
      <c r="AW155" s="213"/>
      <c r="AX155" s="213"/>
      <c r="AY155" s="213"/>
      <c r="AZ155" s="213"/>
      <c r="BA155" s="213"/>
      <c r="BB155" s="213"/>
    </row>
    <row r="156" ht="15.75" customHeight="1">
      <c r="A156" s="213"/>
      <c r="B156" s="213"/>
      <c r="C156" s="213"/>
      <c r="D156" s="213"/>
      <c r="E156" s="213"/>
      <c r="F156" s="213"/>
      <c r="G156" s="213"/>
      <c r="H156" s="213"/>
      <c r="I156" s="213"/>
      <c r="J156" s="213"/>
      <c r="K156" s="215"/>
      <c r="L156" s="213"/>
      <c r="M156" s="215"/>
      <c r="N156" s="213"/>
      <c r="O156" s="213"/>
      <c r="P156" s="213"/>
      <c r="Q156" s="213"/>
      <c r="R156" s="213"/>
      <c r="S156" s="213"/>
      <c r="T156" s="213"/>
      <c r="U156" s="213"/>
      <c r="V156" s="213"/>
      <c r="W156" s="213"/>
      <c r="X156" s="213"/>
      <c r="Y156" s="213"/>
      <c r="Z156" s="213"/>
      <c r="AA156" s="213"/>
      <c r="AB156" s="213"/>
      <c r="AC156" s="213"/>
      <c r="AD156" s="213"/>
      <c r="AE156" s="213"/>
      <c r="AF156" s="213"/>
      <c r="AG156" s="213"/>
      <c r="AH156" s="213"/>
      <c r="AI156" s="213"/>
      <c r="AJ156" s="213"/>
      <c r="AK156" s="213"/>
      <c r="AL156" s="213"/>
      <c r="AM156" s="213"/>
      <c r="AN156" s="213"/>
      <c r="AO156" s="213"/>
      <c r="AP156" s="213"/>
      <c r="AQ156" s="213"/>
      <c r="AR156" s="213"/>
      <c r="AS156" s="213"/>
      <c r="AT156" s="213"/>
      <c r="AU156" s="213"/>
      <c r="AV156" s="213"/>
      <c r="AW156" s="213"/>
      <c r="AX156" s="213"/>
      <c r="AY156" s="213"/>
      <c r="AZ156" s="213"/>
      <c r="BA156" s="213"/>
      <c r="BB156" s="213"/>
    </row>
    <row r="157" ht="15.75" customHeight="1">
      <c r="A157" s="213"/>
      <c r="B157" s="213"/>
      <c r="C157" s="213"/>
      <c r="D157" s="213"/>
      <c r="E157" s="213"/>
      <c r="F157" s="213"/>
      <c r="G157" s="213"/>
      <c r="H157" s="213"/>
      <c r="I157" s="213"/>
      <c r="J157" s="213"/>
      <c r="K157" s="215"/>
      <c r="L157" s="213"/>
      <c r="M157" s="215"/>
      <c r="N157" s="213"/>
      <c r="O157" s="213"/>
      <c r="P157" s="213"/>
      <c r="Q157" s="213"/>
      <c r="R157" s="213"/>
      <c r="S157" s="213"/>
      <c r="T157" s="213"/>
      <c r="U157" s="213"/>
      <c r="V157" s="213"/>
      <c r="W157" s="213"/>
      <c r="X157" s="213"/>
      <c r="Y157" s="213"/>
      <c r="Z157" s="213"/>
      <c r="AA157" s="213"/>
      <c r="AB157" s="213"/>
      <c r="AC157" s="213"/>
      <c r="AD157" s="213"/>
      <c r="AE157" s="213"/>
      <c r="AF157" s="213"/>
      <c r="AG157" s="213"/>
      <c r="AH157" s="213"/>
      <c r="AI157" s="213"/>
      <c r="AJ157" s="213"/>
      <c r="AK157" s="213"/>
      <c r="AL157" s="213"/>
      <c r="AM157" s="213"/>
      <c r="AN157" s="213"/>
      <c r="AO157" s="213"/>
      <c r="AP157" s="213"/>
      <c r="AQ157" s="213"/>
      <c r="AR157" s="213"/>
      <c r="AS157" s="213"/>
      <c r="AT157" s="213"/>
      <c r="AU157" s="213"/>
      <c r="AV157" s="213"/>
      <c r="AW157" s="213"/>
      <c r="AX157" s="213"/>
      <c r="AY157" s="213"/>
      <c r="AZ157" s="213"/>
      <c r="BA157" s="213"/>
      <c r="BB157" s="213"/>
    </row>
    <row r="158" ht="15.75" customHeight="1">
      <c r="A158" s="213"/>
      <c r="B158" s="213"/>
      <c r="C158" s="213"/>
      <c r="D158" s="213"/>
      <c r="E158" s="213"/>
      <c r="F158" s="213"/>
      <c r="G158" s="213"/>
      <c r="H158" s="213"/>
      <c r="I158" s="213"/>
      <c r="J158" s="213"/>
      <c r="K158" s="215"/>
      <c r="L158" s="213"/>
      <c r="M158" s="215"/>
      <c r="N158" s="213"/>
      <c r="O158" s="213"/>
      <c r="P158" s="213"/>
      <c r="Q158" s="213"/>
      <c r="R158" s="213"/>
      <c r="S158" s="213"/>
      <c r="T158" s="213"/>
      <c r="U158" s="213"/>
      <c r="V158" s="213"/>
      <c r="W158" s="213"/>
      <c r="X158" s="213"/>
      <c r="Y158" s="213"/>
      <c r="Z158" s="213"/>
      <c r="AA158" s="213"/>
      <c r="AB158" s="213"/>
      <c r="AC158" s="213"/>
      <c r="AD158" s="213"/>
      <c r="AE158" s="213"/>
      <c r="AF158" s="213"/>
      <c r="AG158" s="213"/>
      <c r="AH158" s="213"/>
      <c r="AI158" s="213"/>
      <c r="AJ158" s="213"/>
      <c r="AK158" s="213"/>
      <c r="AL158" s="213"/>
      <c r="AM158" s="213"/>
      <c r="AN158" s="213"/>
      <c r="AO158" s="213"/>
      <c r="AP158" s="213"/>
      <c r="AQ158" s="213"/>
      <c r="AR158" s="213"/>
      <c r="AS158" s="213"/>
      <c r="AT158" s="213"/>
      <c r="AU158" s="213"/>
      <c r="AV158" s="213"/>
      <c r="AW158" s="213"/>
      <c r="AX158" s="213"/>
      <c r="AY158" s="213"/>
      <c r="AZ158" s="213"/>
      <c r="BA158" s="213"/>
      <c r="BB158" s="213"/>
    </row>
    <row r="159" ht="15.75" customHeight="1">
      <c r="A159" s="213"/>
      <c r="B159" s="213"/>
      <c r="C159" s="213"/>
      <c r="D159" s="213"/>
      <c r="E159" s="213"/>
      <c r="F159" s="213"/>
      <c r="G159" s="213"/>
      <c r="H159" s="213"/>
      <c r="I159" s="213"/>
      <c r="J159" s="213"/>
      <c r="K159" s="215"/>
      <c r="L159" s="213"/>
      <c r="M159" s="215"/>
      <c r="N159" s="213"/>
      <c r="O159" s="213"/>
      <c r="P159" s="213"/>
      <c r="Q159" s="213"/>
      <c r="R159" s="213"/>
      <c r="S159" s="213"/>
      <c r="T159" s="213"/>
      <c r="U159" s="213"/>
      <c r="V159" s="213"/>
      <c r="W159" s="213"/>
      <c r="X159" s="213"/>
      <c r="Y159" s="213"/>
      <c r="Z159" s="213"/>
      <c r="AA159" s="213"/>
      <c r="AB159" s="213"/>
      <c r="AC159" s="213"/>
      <c r="AD159" s="213"/>
      <c r="AE159" s="213"/>
      <c r="AF159" s="213"/>
      <c r="AG159" s="213"/>
      <c r="AH159" s="213"/>
      <c r="AI159" s="213"/>
      <c r="AJ159" s="213"/>
      <c r="AK159" s="213"/>
      <c r="AL159" s="213"/>
      <c r="AM159" s="213"/>
      <c r="AN159" s="213"/>
      <c r="AO159" s="213"/>
      <c r="AP159" s="213"/>
      <c r="AQ159" s="213"/>
      <c r="AR159" s="213"/>
      <c r="AS159" s="213"/>
      <c r="AT159" s="213"/>
      <c r="AU159" s="213"/>
      <c r="AV159" s="213"/>
      <c r="AW159" s="213"/>
      <c r="AX159" s="213"/>
      <c r="AY159" s="213"/>
      <c r="AZ159" s="213"/>
      <c r="BA159" s="213"/>
      <c r="BB159" s="213"/>
    </row>
    <row r="160" ht="15.75" customHeight="1">
      <c r="A160" s="213"/>
      <c r="B160" s="213"/>
      <c r="C160" s="213"/>
      <c r="D160" s="213"/>
      <c r="E160" s="213"/>
      <c r="F160" s="213"/>
      <c r="G160" s="213"/>
      <c r="H160" s="213"/>
      <c r="I160" s="213"/>
      <c r="J160" s="213"/>
      <c r="K160" s="215"/>
      <c r="L160" s="213"/>
      <c r="M160" s="215"/>
      <c r="N160" s="213"/>
      <c r="O160" s="213"/>
      <c r="P160" s="213"/>
      <c r="Q160" s="213"/>
      <c r="R160" s="213"/>
      <c r="S160" s="213"/>
      <c r="T160" s="213"/>
      <c r="U160" s="213"/>
      <c r="V160" s="213"/>
      <c r="W160" s="213"/>
      <c r="X160" s="213"/>
      <c r="Y160" s="213"/>
      <c r="Z160" s="213"/>
      <c r="AA160" s="213"/>
      <c r="AB160" s="213"/>
      <c r="AC160" s="213"/>
      <c r="AD160" s="213"/>
      <c r="AE160" s="213"/>
      <c r="AF160" s="213"/>
      <c r="AG160" s="213"/>
      <c r="AH160" s="213"/>
      <c r="AI160" s="213"/>
      <c r="AJ160" s="213"/>
      <c r="AK160" s="213"/>
      <c r="AL160" s="213"/>
      <c r="AM160" s="213"/>
      <c r="AN160" s="213"/>
      <c r="AO160" s="213"/>
      <c r="AP160" s="213"/>
      <c r="AQ160" s="213"/>
      <c r="AR160" s="213"/>
      <c r="AS160" s="213"/>
      <c r="AT160" s="213"/>
      <c r="AU160" s="213"/>
      <c r="AV160" s="213"/>
      <c r="AW160" s="213"/>
      <c r="AX160" s="213"/>
      <c r="AY160" s="213"/>
      <c r="AZ160" s="213"/>
      <c r="BA160" s="213"/>
      <c r="BB160" s="213"/>
    </row>
    <row r="161" ht="15.75" customHeight="1">
      <c r="A161" s="213"/>
      <c r="B161" s="213"/>
      <c r="C161" s="213"/>
      <c r="D161" s="213"/>
      <c r="E161" s="213"/>
      <c r="F161" s="213"/>
      <c r="G161" s="213"/>
      <c r="H161" s="213"/>
      <c r="I161" s="213"/>
      <c r="J161" s="213"/>
      <c r="K161" s="215"/>
      <c r="L161" s="213"/>
      <c r="M161" s="215"/>
      <c r="N161" s="213"/>
      <c r="O161" s="213"/>
      <c r="P161" s="213"/>
      <c r="Q161" s="213"/>
      <c r="R161" s="213"/>
      <c r="S161" s="213"/>
      <c r="T161" s="213"/>
      <c r="U161" s="213"/>
      <c r="V161" s="213"/>
      <c r="W161" s="213"/>
      <c r="X161" s="213"/>
      <c r="Y161" s="213"/>
      <c r="Z161" s="213"/>
      <c r="AA161" s="213"/>
      <c r="AB161" s="213"/>
      <c r="AC161" s="213"/>
      <c r="AD161" s="213"/>
      <c r="AE161" s="213"/>
      <c r="AF161" s="213"/>
      <c r="AG161" s="213"/>
      <c r="AH161" s="213"/>
      <c r="AI161" s="213"/>
      <c r="AJ161" s="213"/>
      <c r="AK161" s="213"/>
      <c r="AL161" s="213"/>
      <c r="AM161" s="213"/>
      <c r="AN161" s="213"/>
      <c r="AO161" s="213"/>
      <c r="AP161" s="213"/>
      <c r="AQ161" s="213"/>
      <c r="AR161" s="213"/>
      <c r="AS161" s="213"/>
      <c r="AT161" s="213"/>
      <c r="AU161" s="213"/>
      <c r="AV161" s="213"/>
      <c r="AW161" s="213"/>
      <c r="AX161" s="213"/>
      <c r="AY161" s="213"/>
      <c r="AZ161" s="213"/>
      <c r="BA161" s="213"/>
      <c r="BB161" s="213"/>
    </row>
    <row r="162" ht="15.75" customHeight="1">
      <c r="A162" s="213"/>
      <c r="B162" s="213"/>
      <c r="C162" s="213"/>
      <c r="D162" s="213"/>
      <c r="E162" s="213"/>
      <c r="F162" s="213"/>
      <c r="G162" s="213"/>
      <c r="H162" s="213"/>
      <c r="I162" s="213"/>
      <c r="J162" s="213"/>
      <c r="K162" s="215"/>
      <c r="L162" s="213"/>
      <c r="M162" s="215"/>
      <c r="N162" s="213"/>
      <c r="O162" s="213"/>
      <c r="P162" s="213"/>
      <c r="Q162" s="213"/>
      <c r="R162" s="213"/>
      <c r="S162" s="213"/>
      <c r="T162" s="213"/>
      <c r="U162" s="213"/>
      <c r="V162" s="213"/>
      <c r="W162" s="213"/>
      <c r="X162" s="213"/>
      <c r="Y162" s="213"/>
      <c r="Z162" s="213"/>
      <c r="AA162" s="213"/>
      <c r="AB162" s="213"/>
      <c r="AC162" s="213"/>
      <c r="AD162" s="213"/>
      <c r="AE162" s="213"/>
      <c r="AF162" s="213"/>
      <c r="AG162" s="213"/>
      <c r="AH162" s="213"/>
      <c r="AI162" s="213"/>
      <c r="AJ162" s="213"/>
      <c r="AK162" s="213"/>
      <c r="AL162" s="213"/>
      <c r="AM162" s="213"/>
      <c r="AN162" s="213"/>
      <c r="AO162" s="213"/>
      <c r="AP162" s="213"/>
      <c r="AQ162" s="213"/>
      <c r="AR162" s="213"/>
      <c r="AS162" s="213"/>
      <c r="AT162" s="213"/>
      <c r="AU162" s="213"/>
      <c r="AV162" s="213"/>
      <c r="AW162" s="213"/>
      <c r="AX162" s="213"/>
      <c r="AY162" s="213"/>
      <c r="AZ162" s="213"/>
      <c r="BA162" s="213"/>
      <c r="BB162" s="213"/>
    </row>
    <row r="163" ht="15.75" customHeight="1">
      <c r="A163" s="213"/>
      <c r="B163" s="213"/>
      <c r="C163" s="213"/>
      <c r="D163" s="213"/>
      <c r="E163" s="213"/>
      <c r="F163" s="213"/>
      <c r="G163" s="213"/>
      <c r="H163" s="213"/>
      <c r="I163" s="213"/>
      <c r="J163" s="213"/>
      <c r="K163" s="215"/>
      <c r="L163" s="213"/>
      <c r="M163" s="215"/>
      <c r="N163" s="213"/>
      <c r="O163" s="213"/>
      <c r="P163" s="213"/>
      <c r="Q163" s="213"/>
      <c r="R163" s="213"/>
      <c r="S163" s="213"/>
      <c r="T163" s="213"/>
      <c r="U163" s="213"/>
      <c r="V163" s="213"/>
      <c r="W163" s="213"/>
      <c r="X163" s="213"/>
      <c r="Y163" s="213"/>
      <c r="Z163" s="213"/>
      <c r="AA163" s="213"/>
      <c r="AB163" s="213"/>
      <c r="AC163" s="213"/>
      <c r="AD163" s="213"/>
      <c r="AE163" s="213"/>
      <c r="AF163" s="213"/>
      <c r="AG163" s="213"/>
      <c r="AH163" s="213"/>
      <c r="AI163" s="213"/>
      <c r="AJ163" s="213"/>
      <c r="AK163" s="213"/>
      <c r="AL163" s="213"/>
      <c r="AM163" s="213"/>
      <c r="AN163" s="213"/>
      <c r="AO163" s="213"/>
      <c r="AP163" s="213"/>
      <c r="AQ163" s="213"/>
      <c r="AR163" s="213"/>
      <c r="AS163" s="213"/>
      <c r="AT163" s="213"/>
      <c r="AU163" s="213"/>
      <c r="AV163" s="213"/>
      <c r="AW163" s="213"/>
      <c r="AX163" s="213"/>
      <c r="AY163" s="213"/>
      <c r="AZ163" s="213"/>
      <c r="BA163" s="213"/>
      <c r="BB163" s="213"/>
    </row>
    <row r="164" ht="15.75" customHeight="1">
      <c r="A164" s="213"/>
      <c r="B164" s="213"/>
      <c r="C164" s="213"/>
      <c r="D164" s="213"/>
      <c r="E164" s="213"/>
      <c r="F164" s="213"/>
      <c r="G164" s="213"/>
      <c r="H164" s="213"/>
      <c r="I164" s="213"/>
      <c r="J164" s="213"/>
      <c r="K164" s="215"/>
      <c r="L164" s="213"/>
      <c r="M164" s="215"/>
      <c r="N164" s="213"/>
      <c r="O164" s="213"/>
      <c r="P164" s="213"/>
      <c r="Q164" s="213"/>
      <c r="R164" s="213"/>
      <c r="S164" s="213"/>
      <c r="T164" s="213"/>
      <c r="U164" s="213"/>
      <c r="V164" s="213"/>
      <c r="W164" s="213"/>
      <c r="X164" s="213"/>
      <c r="Y164" s="213"/>
      <c r="Z164" s="213"/>
      <c r="AA164" s="213"/>
      <c r="AB164" s="213"/>
      <c r="AC164" s="213"/>
      <c r="AD164" s="213"/>
      <c r="AE164" s="213"/>
      <c r="AF164" s="213"/>
      <c r="AG164" s="213"/>
      <c r="AH164" s="213"/>
      <c r="AI164" s="213"/>
      <c r="AJ164" s="213"/>
      <c r="AK164" s="213"/>
      <c r="AL164" s="213"/>
      <c r="AM164" s="213"/>
      <c r="AN164" s="213"/>
      <c r="AO164" s="213"/>
      <c r="AP164" s="213"/>
      <c r="AQ164" s="213"/>
      <c r="AR164" s="213"/>
      <c r="AS164" s="213"/>
      <c r="AT164" s="213"/>
      <c r="AU164" s="213"/>
      <c r="AV164" s="213"/>
      <c r="AW164" s="213"/>
      <c r="AX164" s="213"/>
      <c r="AY164" s="213"/>
      <c r="AZ164" s="213"/>
      <c r="BA164" s="213"/>
      <c r="BB164" s="213"/>
    </row>
    <row r="165" ht="15.75" customHeight="1">
      <c r="A165" s="213"/>
      <c r="B165" s="213"/>
      <c r="C165" s="213"/>
      <c r="D165" s="213"/>
      <c r="E165" s="213"/>
      <c r="F165" s="213"/>
      <c r="G165" s="213"/>
      <c r="H165" s="213"/>
      <c r="I165" s="213"/>
      <c r="J165" s="213"/>
      <c r="K165" s="215"/>
      <c r="L165" s="213"/>
      <c r="M165" s="215"/>
      <c r="N165" s="213"/>
      <c r="O165" s="213"/>
      <c r="P165" s="213"/>
      <c r="Q165" s="213"/>
      <c r="R165" s="213"/>
      <c r="S165" s="213"/>
      <c r="T165" s="213"/>
      <c r="U165" s="213"/>
      <c r="V165" s="213"/>
      <c r="W165" s="213"/>
      <c r="X165" s="213"/>
      <c r="Y165" s="213"/>
      <c r="Z165" s="213"/>
      <c r="AA165" s="213"/>
      <c r="AB165" s="213"/>
      <c r="AC165" s="213"/>
      <c r="AD165" s="213"/>
      <c r="AE165" s="213"/>
      <c r="AF165" s="213"/>
      <c r="AG165" s="213"/>
      <c r="AH165" s="213"/>
      <c r="AI165" s="213"/>
      <c r="AJ165" s="213"/>
      <c r="AK165" s="213"/>
      <c r="AL165" s="213"/>
      <c r="AM165" s="213"/>
      <c r="AN165" s="213"/>
      <c r="AO165" s="213"/>
      <c r="AP165" s="213"/>
      <c r="AQ165" s="213"/>
      <c r="AR165" s="213"/>
      <c r="AS165" s="213"/>
      <c r="AT165" s="213"/>
      <c r="AU165" s="213"/>
      <c r="AV165" s="213"/>
      <c r="AW165" s="213"/>
      <c r="AX165" s="213"/>
      <c r="AY165" s="213"/>
      <c r="AZ165" s="213"/>
      <c r="BA165" s="213"/>
      <c r="BB165" s="213"/>
    </row>
    <row r="166" ht="15.75" customHeight="1">
      <c r="A166" s="213"/>
      <c r="B166" s="213"/>
      <c r="C166" s="213"/>
      <c r="D166" s="213"/>
      <c r="E166" s="213"/>
      <c r="F166" s="213"/>
      <c r="G166" s="213"/>
      <c r="H166" s="213"/>
      <c r="I166" s="213"/>
      <c r="J166" s="213"/>
      <c r="K166" s="215"/>
      <c r="L166" s="213"/>
      <c r="M166" s="215"/>
      <c r="N166" s="213"/>
      <c r="O166" s="213"/>
      <c r="P166" s="213"/>
      <c r="Q166" s="213"/>
      <c r="R166" s="213"/>
      <c r="S166" s="213"/>
      <c r="T166" s="213"/>
      <c r="U166" s="213"/>
      <c r="V166" s="213"/>
      <c r="W166" s="213"/>
      <c r="X166" s="213"/>
      <c r="Y166" s="213"/>
      <c r="Z166" s="213"/>
      <c r="AA166" s="213"/>
      <c r="AB166" s="213"/>
      <c r="AC166" s="213"/>
      <c r="AD166" s="213"/>
      <c r="AE166" s="213"/>
      <c r="AF166" s="213"/>
      <c r="AG166" s="213"/>
      <c r="AH166" s="213"/>
      <c r="AI166" s="213"/>
      <c r="AJ166" s="213"/>
      <c r="AK166" s="213"/>
      <c r="AL166" s="213"/>
      <c r="AM166" s="213"/>
      <c r="AN166" s="213"/>
      <c r="AO166" s="213"/>
      <c r="AP166" s="213"/>
      <c r="AQ166" s="213"/>
      <c r="AR166" s="213"/>
      <c r="AS166" s="213"/>
      <c r="AT166" s="213"/>
      <c r="AU166" s="213"/>
      <c r="AV166" s="213"/>
      <c r="AW166" s="213"/>
      <c r="AX166" s="213"/>
      <c r="AY166" s="213"/>
      <c r="AZ166" s="213"/>
      <c r="BA166" s="213"/>
      <c r="BB166" s="213"/>
    </row>
    <row r="167" ht="15.75" customHeight="1">
      <c r="A167" s="213"/>
      <c r="B167" s="213"/>
      <c r="C167" s="213"/>
      <c r="D167" s="213"/>
      <c r="E167" s="213"/>
      <c r="F167" s="213"/>
      <c r="G167" s="213"/>
      <c r="H167" s="213"/>
      <c r="I167" s="213"/>
      <c r="J167" s="213"/>
      <c r="K167" s="215"/>
      <c r="L167" s="213"/>
      <c r="M167" s="215"/>
      <c r="N167" s="213"/>
      <c r="O167" s="213"/>
      <c r="P167" s="213"/>
      <c r="Q167" s="213"/>
      <c r="R167" s="213"/>
      <c r="S167" s="213"/>
      <c r="T167" s="213"/>
      <c r="U167" s="213"/>
      <c r="V167" s="213"/>
      <c r="W167" s="213"/>
      <c r="X167" s="213"/>
      <c r="Y167" s="213"/>
      <c r="Z167" s="213"/>
      <c r="AA167" s="213"/>
      <c r="AB167" s="213"/>
      <c r="AC167" s="213"/>
      <c r="AD167" s="213"/>
      <c r="AE167" s="213"/>
      <c r="AF167" s="213"/>
      <c r="AG167" s="213"/>
      <c r="AH167" s="213"/>
      <c r="AI167" s="213"/>
      <c r="AJ167" s="213"/>
      <c r="AK167" s="213"/>
      <c r="AL167" s="213"/>
      <c r="AM167" s="213"/>
      <c r="AN167" s="213"/>
      <c r="AO167" s="213"/>
      <c r="AP167" s="213"/>
      <c r="AQ167" s="213"/>
      <c r="AR167" s="213"/>
      <c r="AS167" s="213"/>
      <c r="AT167" s="213"/>
      <c r="AU167" s="213"/>
      <c r="AV167" s="213"/>
      <c r="AW167" s="213"/>
      <c r="AX167" s="213"/>
      <c r="AY167" s="213"/>
      <c r="AZ167" s="213"/>
      <c r="BA167" s="213"/>
      <c r="BB167" s="213"/>
    </row>
    <row r="168" ht="15.75" customHeight="1">
      <c r="A168" s="213"/>
      <c r="B168" s="213"/>
      <c r="C168" s="213"/>
      <c r="D168" s="213"/>
      <c r="E168" s="213"/>
      <c r="F168" s="213"/>
      <c r="G168" s="213"/>
      <c r="H168" s="213"/>
      <c r="I168" s="213"/>
      <c r="J168" s="213"/>
      <c r="K168" s="215"/>
      <c r="L168" s="213"/>
      <c r="M168" s="215"/>
      <c r="N168" s="213"/>
      <c r="O168" s="213"/>
      <c r="P168" s="213"/>
      <c r="Q168" s="213"/>
      <c r="R168" s="213"/>
      <c r="S168" s="213"/>
      <c r="T168" s="213"/>
      <c r="U168" s="213"/>
      <c r="V168" s="213"/>
      <c r="W168" s="213"/>
      <c r="X168" s="213"/>
      <c r="Y168" s="213"/>
      <c r="Z168" s="213"/>
      <c r="AA168" s="213"/>
      <c r="AB168" s="213"/>
      <c r="AC168" s="213"/>
      <c r="AD168" s="213"/>
      <c r="AE168" s="213"/>
      <c r="AF168" s="213"/>
      <c r="AG168" s="213"/>
      <c r="AH168" s="213"/>
      <c r="AI168" s="213"/>
      <c r="AJ168" s="213"/>
      <c r="AK168" s="213"/>
      <c r="AL168" s="213"/>
      <c r="AM168" s="213"/>
      <c r="AN168" s="213"/>
      <c r="AO168" s="213"/>
      <c r="AP168" s="213"/>
      <c r="AQ168" s="213"/>
      <c r="AR168" s="213"/>
      <c r="AS168" s="213"/>
      <c r="AT168" s="213"/>
      <c r="AU168" s="213"/>
      <c r="AV168" s="213"/>
      <c r="AW168" s="213"/>
      <c r="AX168" s="213"/>
      <c r="AY168" s="213"/>
      <c r="AZ168" s="213"/>
      <c r="BA168" s="213"/>
      <c r="BB168" s="213"/>
    </row>
    <row r="169" ht="15.75" customHeight="1">
      <c r="A169" s="213"/>
      <c r="B169" s="213"/>
      <c r="C169" s="213"/>
      <c r="D169" s="213"/>
      <c r="E169" s="213"/>
      <c r="F169" s="213"/>
      <c r="G169" s="213"/>
      <c r="H169" s="213"/>
      <c r="I169" s="213"/>
      <c r="J169" s="213"/>
      <c r="K169" s="215"/>
      <c r="L169" s="213"/>
      <c r="M169" s="215"/>
      <c r="N169" s="213"/>
      <c r="O169" s="213"/>
      <c r="P169" s="213"/>
      <c r="Q169" s="213"/>
      <c r="R169" s="213"/>
      <c r="S169" s="213"/>
      <c r="T169" s="213"/>
      <c r="U169" s="213"/>
      <c r="V169" s="213"/>
      <c r="W169" s="213"/>
      <c r="X169" s="213"/>
      <c r="Y169" s="213"/>
      <c r="Z169" s="213"/>
      <c r="AA169" s="213"/>
      <c r="AB169" s="213"/>
      <c r="AC169" s="213"/>
      <c r="AD169" s="213"/>
      <c r="AE169" s="213"/>
      <c r="AF169" s="213"/>
      <c r="AG169" s="213"/>
      <c r="AH169" s="213"/>
      <c r="AI169" s="213"/>
      <c r="AJ169" s="213"/>
      <c r="AK169" s="213"/>
      <c r="AL169" s="213"/>
      <c r="AM169" s="213"/>
      <c r="AN169" s="213"/>
      <c r="AO169" s="213"/>
      <c r="AP169" s="213"/>
      <c r="AQ169" s="213"/>
      <c r="AR169" s="213"/>
      <c r="AS169" s="213"/>
      <c r="AT169" s="213"/>
      <c r="AU169" s="213"/>
      <c r="AV169" s="213"/>
      <c r="AW169" s="213"/>
      <c r="AX169" s="213"/>
      <c r="AY169" s="213"/>
      <c r="AZ169" s="213"/>
      <c r="BA169" s="213"/>
      <c r="BB169" s="213"/>
    </row>
    <row r="170" ht="15.75" customHeight="1">
      <c r="A170" s="213"/>
      <c r="B170" s="213"/>
      <c r="C170" s="213"/>
      <c r="D170" s="213"/>
      <c r="E170" s="213"/>
      <c r="F170" s="213"/>
      <c r="G170" s="213"/>
      <c r="H170" s="213"/>
      <c r="I170" s="213"/>
      <c r="J170" s="213"/>
      <c r="K170" s="215"/>
      <c r="L170" s="213"/>
      <c r="M170" s="215"/>
      <c r="N170" s="213"/>
      <c r="O170" s="213"/>
      <c r="P170" s="213"/>
      <c r="Q170" s="213"/>
      <c r="R170" s="213"/>
      <c r="S170" s="213"/>
      <c r="T170" s="213"/>
      <c r="U170" s="213"/>
      <c r="V170" s="213"/>
      <c r="W170" s="213"/>
      <c r="X170" s="213"/>
      <c r="Y170" s="213"/>
      <c r="Z170" s="213"/>
      <c r="AA170" s="213"/>
      <c r="AB170" s="213"/>
      <c r="AC170" s="213"/>
      <c r="AD170" s="213"/>
      <c r="AE170" s="213"/>
      <c r="AF170" s="213"/>
      <c r="AG170" s="213"/>
      <c r="AH170" s="213"/>
      <c r="AI170" s="213"/>
      <c r="AJ170" s="213"/>
      <c r="AK170" s="213"/>
      <c r="AL170" s="213"/>
      <c r="AM170" s="213"/>
      <c r="AN170" s="213"/>
      <c r="AO170" s="213"/>
      <c r="AP170" s="213"/>
      <c r="AQ170" s="213"/>
      <c r="AR170" s="213"/>
      <c r="AS170" s="213"/>
      <c r="AT170" s="213"/>
      <c r="AU170" s="213"/>
      <c r="AV170" s="213"/>
      <c r="AW170" s="213"/>
      <c r="AX170" s="213"/>
      <c r="AY170" s="213"/>
      <c r="AZ170" s="213"/>
      <c r="BA170" s="213"/>
      <c r="BB170" s="213"/>
    </row>
    <row r="171" ht="15.75" customHeight="1">
      <c r="A171" s="213"/>
      <c r="B171" s="213"/>
      <c r="C171" s="213"/>
      <c r="D171" s="213"/>
      <c r="E171" s="213"/>
      <c r="F171" s="213"/>
      <c r="G171" s="213"/>
      <c r="H171" s="213"/>
      <c r="I171" s="213"/>
      <c r="J171" s="213"/>
      <c r="K171" s="215"/>
      <c r="L171" s="213"/>
      <c r="M171" s="215"/>
      <c r="N171" s="213"/>
      <c r="O171" s="213"/>
      <c r="P171" s="213"/>
      <c r="Q171" s="213"/>
      <c r="R171" s="213"/>
      <c r="S171" s="213"/>
      <c r="T171" s="213"/>
      <c r="U171" s="213"/>
      <c r="V171" s="213"/>
      <c r="W171" s="213"/>
      <c r="X171" s="213"/>
      <c r="Y171" s="213"/>
      <c r="Z171" s="213"/>
      <c r="AA171" s="213"/>
      <c r="AB171" s="213"/>
      <c r="AC171" s="213"/>
      <c r="AD171" s="213"/>
      <c r="AE171" s="213"/>
      <c r="AF171" s="213"/>
      <c r="AG171" s="213"/>
      <c r="AH171" s="213"/>
      <c r="AI171" s="213"/>
      <c r="AJ171" s="213"/>
      <c r="AK171" s="213"/>
      <c r="AL171" s="213"/>
      <c r="AM171" s="213"/>
      <c r="AN171" s="213"/>
      <c r="AO171" s="213"/>
      <c r="AP171" s="213"/>
      <c r="AQ171" s="213"/>
      <c r="AR171" s="213"/>
      <c r="AS171" s="213"/>
      <c r="AT171" s="213"/>
      <c r="AU171" s="213"/>
      <c r="AV171" s="213"/>
      <c r="AW171" s="213"/>
      <c r="AX171" s="213"/>
      <c r="AY171" s="213"/>
      <c r="AZ171" s="213"/>
      <c r="BA171" s="213"/>
      <c r="BB171" s="213"/>
    </row>
    <row r="172" ht="15.75" customHeight="1">
      <c r="A172" s="213"/>
      <c r="B172" s="213"/>
      <c r="C172" s="213"/>
      <c r="D172" s="213"/>
      <c r="E172" s="213"/>
      <c r="F172" s="213"/>
      <c r="G172" s="213"/>
      <c r="H172" s="213"/>
      <c r="I172" s="213"/>
      <c r="J172" s="213"/>
      <c r="K172" s="215"/>
      <c r="L172" s="213"/>
      <c r="M172" s="215"/>
      <c r="N172" s="213"/>
      <c r="O172" s="213"/>
      <c r="P172" s="213"/>
      <c r="Q172" s="213"/>
      <c r="R172" s="213"/>
      <c r="S172" s="213"/>
      <c r="T172" s="213"/>
      <c r="U172" s="213"/>
      <c r="V172" s="213"/>
      <c r="W172" s="213"/>
      <c r="X172" s="213"/>
      <c r="Y172" s="213"/>
      <c r="Z172" s="213"/>
      <c r="AA172" s="213"/>
      <c r="AB172" s="213"/>
      <c r="AC172" s="213"/>
      <c r="AD172" s="213"/>
      <c r="AE172" s="213"/>
      <c r="AF172" s="213"/>
      <c r="AG172" s="213"/>
      <c r="AH172" s="213"/>
      <c r="AI172" s="213"/>
      <c r="AJ172" s="213"/>
      <c r="AK172" s="213"/>
      <c r="AL172" s="213"/>
      <c r="AM172" s="213"/>
      <c r="AN172" s="213"/>
      <c r="AO172" s="213"/>
      <c r="AP172" s="213"/>
      <c r="AQ172" s="213"/>
      <c r="AR172" s="213"/>
      <c r="AS172" s="213"/>
      <c r="AT172" s="213"/>
      <c r="AU172" s="213"/>
      <c r="AV172" s="213"/>
      <c r="AW172" s="213"/>
      <c r="AX172" s="213"/>
      <c r="AY172" s="213"/>
      <c r="AZ172" s="213"/>
      <c r="BA172" s="213"/>
      <c r="BB172" s="213"/>
    </row>
    <row r="173" ht="15.75" customHeight="1">
      <c r="A173" s="213"/>
      <c r="B173" s="213"/>
      <c r="C173" s="213"/>
      <c r="D173" s="213"/>
      <c r="E173" s="213"/>
      <c r="F173" s="213"/>
      <c r="G173" s="213"/>
      <c r="H173" s="213"/>
      <c r="I173" s="213"/>
      <c r="J173" s="213"/>
      <c r="K173" s="215"/>
      <c r="L173" s="213"/>
      <c r="M173" s="215"/>
      <c r="N173" s="213"/>
      <c r="O173" s="213"/>
      <c r="P173" s="213"/>
      <c r="Q173" s="213"/>
      <c r="R173" s="213"/>
      <c r="S173" s="213"/>
      <c r="T173" s="213"/>
      <c r="U173" s="213"/>
      <c r="V173" s="213"/>
      <c r="W173" s="213"/>
      <c r="X173" s="213"/>
      <c r="Y173" s="213"/>
      <c r="Z173" s="213"/>
      <c r="AA173" s="213"/>
      <c r="AB173" s="213"/>
      <c r="AC173" s="213"/>
      <c r="AD173" s="213"/>
      <c r="AE173" s="213"/>
      <c r="AF173" s="213"/>
      <c r="AG173" s="213"/>
      <c r="AH173" s="213"/>
      <c r="AI173" s="213"/>
      <c r="AJ173" s="213"/>
      <c r="AK173" s="213"/>
      <c r="AL173" s="213"/>
      <c r="AM173" s="213"/>
      <c r="AN173" s="213"/>
      <c r="AO173" s="213"/>
      <c r="AP173" s="213"/>
      <c r="AQ173" s="213"/>
      <c r="AR173" s="213"/>
      <c r="AS173" s="213"/>
      <c r="AT173" s="213"/>
      <c r="AU173" s="213"/>
      <c r="AV173" s="213"/>
      <c r="AW173" s="213"/>
      <c r="AX173" s="213"/>
      <c r="AY173" s="213"/>
      <c r="AZ173" s="213"/>
      <c r="BA173" s="213"/>
      <c r="BB173" s="213"/>
    </row>
    <row r="174" ht="15.75" customHeight="1">
      <c r="A174" s="213"/>
      <c r="B174" s="213"/>
      <c r="C174" s="213"/>
      <c r="D174" s="213"/>
      <c r="E174" s="213"/>
      <c r="F174" s="213"/>
      <c r="G174" s="213"/>
      <c r="H174" s="213"/>
      <c r="I174" s="213"/>
      <c r="J174" s="213"/>
      <c r="K174" s="215"/>
      <c r="L174" s="213"/>
      <c r="M174" s="215"/>
      <c r="N174" s="213"/>
      <c r="O174" s="213"/>
      <c r="P174" s="213"/>
      <c r="Q174" s="213"/>
      <c r="R174" s="213"/>
      <c r="S174" s="213"/>
      <c r="T174" s="213"/>
      <c r="U174" s="213"/>
      <c r="V174" s="213"/>
      <c r="W174" s="213"/>
      <c r="X174" s="213"/>
      <c r="Y174" s="213"/>
      <c r="Z174" s="213"/>
      <c r="AA174" s="213"/>
      <c r="AB174" s="213"/>
      <c r="AC174" s="213"/>
      <c r="AD174" s="213"/>
      <c r="AE174" s="213"/>
      <c r="AF174" s="213"/>
      <c r="AG174" s="213"/>
      <c r="AH174" s="213"/>
      <c r="AI174" s="213"/>
      <c r="AJ174" s="213"/>
      <c r="AK174" s="213"/>
      <c r="AL174" s="213"/>
      <c r="AM174" s="213"/>
      <c r="AN174" s="213"/>
      <c r="AO174" s="213"/>
      <c r="AP174" s="213"/>
      <c r="AQ174" s="213"/>
      <c r="AR174" s="213"/>
      <c r="AS174" s="213"/>
      <c r="AT174" s="213"/>
      <c r="AU174" s="213"/>
      <c r="AV174" s="213"/>
      <c r="AW174" s="213"/>
      <c r="AX174" s="213"/>
      <c r="AY174" s="213"/>
      <c r="AZ174" s="213"/>
      <c r="BA174" s="213"/>
      <c r="BB174" s="213"/>
    </row>
    <row r="175" ht="15.75" customHeight="1">
      <c r="A175" s="213"/>
      <c r="B175" s="213"/>
      <c r="C175" s="213"/>
      <c r="D175" s="213"/>
      <c r="E175" s="213"/>
      <c r="F175" s="213"/>
      <c r="G175" s="213"/>
      <c r="H175" s="213"/>
      <c r="I175" s="213"/>
      <c r="J175" s="213"/>
      <c r="K175" s="215"/>
      <c r="L175" s="213"/>
      <c r="M175" s="215"/>
      <c r="N175" s="213"/>
      <c r="O175" s="213"/>
      <c r="P175" s="213"/>
      <c r="Q175" s="213"/>
      <c r="R175" s="213"/>
      <c r="S175" s="213"/>
      <c r="T175" s="213"/>
      <c r="U175" s="213"/>
      <c r="V175" s="213"/>
      <c r="W175" s="213"/>
      <c r="X175" s="213"/>
      <c r="Y175" s="213"/>
      <c r="Z175" s="213"/>
      <c r="AA175" s="213"/>
      <c r="AB175" s="213"/>
      <c r="AC175" s="213"/>
      <c r="AD175" s="213"/>
      <c r="AE175" s="213"/>
      <c r="AF175" s="213"/>
      <c r="AG175" s="213"/>
      <c r="AH175" s="213"/>
      <c r="AI175" s="213"/>
      <c r="AJ175" s="213"/>
      <c r="AK175" s="213"/>
      <c r="AL175" s="213"/>
      <c r="AM175" s="213"/>
      <c r="AN175" s="213"/>
      <c r="AO175" s="213"/>
      <c r="AP175" s="213"/>
      <c r="AQ175" s="213"/>
      <c r="AR175" s="213"/>
      <c r="AS175" s="213"/>
      <c r="AT175" s="213"/>
      <c r="AU175" s="213"/>
      <c r="AV175" s="213"/>
      <c r="AW175" s="213"/>
      <c r="AX175" s="213"/>
      <c r="AY175" s="213"/>
      <c r="AZ175" s="213"/>
      <c r="BA175" s="213"/>
      <c r="BB175" s="213"/>
    </row>
    <row r="176" ht="15.75" customHeight="1">
      <c r="A176" s="213"/>
      <c r="B176" s="213"/>
      <c r="C176" s="213"/>
      <c r="D176" s="213"/>
      <c r="E176" s="213"/>
      <c r="F176" s="213"/>
      <c r="G176" s="213"/>
      <c r="H176" s="213"/>
      <c r="I176" s="213"/>
      <c r="J176" s="213"/>
      <c r="K176" s="215"/>
      <c r="L176" s="213"/>
      <c r="M176" s="215"/>
      <c r="N176" s="213"/>
      <c r="O176" s="213"/>
      <c r="P176" s="213"/>
      <c r="Q176" s="213"/>
      <c r="R176" s="213"/>
      <c r="S176" s="213"/>
      <c r="T176" s="213"/>
      <c r="U176" s="213"/>
      <c r="V176" s="213"/>
      <c r="W176" s="213"/>
      <c r="X176" s="213"/>
      <c r="Y176" s="213"/>
      <c r="Z176" s="213"/>
      <c r="AA176" s="213"/>
      <c r="AB176" s="213"/>
      <c r="AC176" s="213"/>
      <c r="AD176" s="213"/>
      <c r="AE176" s="213"/>
      <c r="AF176" s="213"/>
      <c r="AG176" s="213"/>
      <c r="AH176" s="213"/>
      <c r="AI176" s="213"/>
      <c r="AJ176" s="213"/>
      <c r="AK176" s="213"/>
      <c r="AL176" s="213"/>
      <c r="AM176" s="213"/>
      <c r="AN176" s="213"/>
      <c r="AO176" s="213"/>
      <c r="AP176" s="213"/>
      <c r="AQ176" s="213"/>
      <c r="AR176" s="213"/>
      <c r="AS176" s="213"/>
      <c r="AT176" s="213"/>
      <c r="AU176" s="213"/>
      <c r="AV176" s="213"/>
      <c r="AW176" s="213"/>
      <c r="AX176" s="213"/>
      <c r="AY176" s="213"/>
      <c r="AZ176" s="213"/>
      <c r="BA176" s="213"/>
      <c r="BB176" s="213"/>
    </row>
    <row r="177" ht="15.75" customHeight="1">
      <c r="A177" s="213"/>
      <c r="B177" s="213"/>
      <c r="C177" s="213"/>
      <c r="D177" s="213"/>
      <c r="E177" s="213"/>
      <c r="F177" s="213"/>
      <c r="G177" s="213"/>
      <c r="H177" s="213"/>
      <c r="I177" s="213"/>
      <c r="J177" s="213"/>
      <c r="K177" s="215"/>
      <c r="L177" s="213"/>
      <c r="M177" s="215"/>
      <c r="N177" s="213"/>
      <c r="O177" s="213"/>
      <c r="P177" s="213"/>
      <c r="Q177" s="213"/>
      <c r="R177" s="213"/>
      <c r="S177" s="213"/>
      <c r="T177" s="213"/>
      <c r="U177" s="213"/>
      <c r="V177" s="213"/>
      <c r="W177" s="213"/>
      <c r="X177" s="213"/>
      <c r="Y177" s="213"/>
      <c r="Z177" s="213"/>
      <c r="AA177" s="213"/>
      <c r="AB177" s="213"/>
      <c r="AC177" s="213"/>
      <c r="AD177" s="213"/>
      <c r="AE177" s="213"/>
      <c r="AF177" s="213"/>
      <c r="AG177" s="213"/>
      <c r="AH177" s="213"/>
      <c r="AI177" s="213"/>
      <c r="AJ177" s="213"/>
      <c r="AK177" s="213"/>
      <c r="AL177" s="213"/>
      <c r="AM177" s="213"/>
      <c r="AN177" s="213"/>
      <c r="AO177" s="213"/>
      <c r="AP177" s="213"/>
      <c r="AQ177" s="213"/>
      <c r="AR177" s="213"/>
      <c r="AS177" s="213"/>
      <c r="AT177" s="213"/>
      <c r="AU177" s="213"/>
      <c r="AV177" s="213"/>
      <c r="AW177" s="213"/>
      <c r="AX177" s="213"/>
      <c r="AY177" s="213"/>
      <c r="AZ177" s="213"/>
      <c r="BA177" s="213"/>
      <c r="BB177" s="213"/>
    </row>
    <row r="178" ht="15.75" customHeight="1">
      <c r="A178" s="213"/>
      <c r="B178" s="213"/>
      <c r="C178" s="213"/>
      <c r="D178" s="213"/>
      <c r="E178" s="213"/>
      <c r="F178" s="213"/>
      <c r="G178" s="213"/>
      <c r="H178" s="213"/>
      <c r="I178" s="213"/>
      <c r="J178" s="213"/>
      <c r="K178" s="215"/>
      <c r="L178" s="213"/>
      <c r="M178" s="215"/>
      <c r="N178" s="213"/>
      <c r="O178" s="213"/>
      <c r="P178" s="213"/>
      <c r="Q178" s="213"/>
      <c r="R178" s="213"/>
      <c r="S178" s="213"/>
      <c r="T178" s="213"/>
      <c r="U178" s="213"/>
      <c r="V178" s="213"/>
      <c r="W178" s="213"/>
      <c r="X178" s="213"/>
      <c r="Y178" s="213"/>
      <c r="Z178" s="213"/>
      <c r="AA178" s="213"/>
      <c r="AB178" s="213"/>
      <c r="AC178" s="213"/>
      <c r="AD178" s="213"/>
      <c r="AE178" s="213"/>
      <c r="AF178" s="213"/>
      <c r="AG178" s="213"/>
      <c r="AH178" s="213"/>
      <c r="AI178" s="213"/>
      <c r="AJ178" s="213"/>
      <c r="AK178" s="213"/>
      <c r="AL178" s="213"/>
      <c r="AM178" s="213"/>
      <c r="AN178" s="213"/>
      <c r="AO178" s="213"/>
      <c r="AP178" s="213"/>
      <c r="AQ178" s="213"/>
      <c r="AR178" s="213"/>
      <c r="AS178" s="213"/>
      <c r="AT178" s="213"/>
      <c r="AU178" s="213"/>
      <c r="AV178" s="213"/>
      <c r="AW178" s="213"/>
      <c r="AX178" s="213"/>
      <c r="AY178" s="213"/>
      <c r="AZ178" s="213"/>
      <c r="BA178" s="213"/>
      <c r="BB178" s="213"/>
    </row>
    <row r="179" ht="15.75" customHeight="1">
      <c r="A179" s="213"/>
      <c r="B179" s="213"/>
      <c r="C179" s="213"/>
      <c r="D179" s="213"/>
      <c r="E179" s="213"/>
      <c r="F179" s="213"/>
      <c r="G179" s="213"/>
      <c r="H179" s="213"/>
      <c r="I179" s="213"/>
      <c r="J179" s="213"/>
      <c r="K179" s="215"/>
      <c r="L179" s="213"/>
      <c r="M179" s="215"/>
      <c r="N179" s="213"/>
      <c r="O179" s="213"/>
      <c r="P179" s="213"/>
      <c r="Q179" s="213"/>
      <c r="R179" s="213"/>
      <c r="S179" s="213"/>
      <c r="T179" s="213"/>
      <c r="U179" s="213"/>
      <c r="V179" s="213"/>
      <c r="W179" s="213"/>
      <c r="X179" s="213"/>
      <c r="Y179" s="213"/>
      <c r="Z179" s="213"/>
      <c r="AA179" s="213"/>
      <c r="AB179" s="213"/>
      <c r="AC179" s="213"/>
      <c r="AD179" s="213"/>
      <c r="AE179" s="213"/>
      <c r="AF179" s="213"/>
      <c r="AG179" s="213"/>
      <c r="AH179" s="213"/>
      <c r="AI179" s="213"/>
      <c r="AJ179" s="213"/>
      <c r="AK179" s="213"/>
      <c r="AL179" s="213"/>
      <c r="AM179" s="213"/>
      <c r="AN179" s="213"/>
      <c r="AO179" s="213"/>
      <c r="AP179" s="213"/>
      <c r="AQ179" s="213"/>
      <c r="AR179" s="213"/>
      <c r="AS179" s="213"/>
      <c r="AT179" s="213"/>
      <c r="AU179" s="213"/>
      <c r="AV179" s="213"/>
      <c r="AW179" s="213"/>
      <c r="AX179" s="213"/>
      <c r="AY179" s="213"/>
      <c r="AZ179" s="213"/>
      <c r="BA179" s="213"/>
      <c r="BB179" s="213"/>
    </row>
    <row r="180" ht="15.75" customHeight="1">
      <c r="A180" s="213"/>
      <c r="B180" s="213"/>
      <c r="C180" s="213"/>
      <c r="D180" s="213"/>
      <c r="E180" s="213"/>
      <c r="F180" s="213"/>
      <c r="G180" s="213"/>
      <c r="H180" s="213"/>
      <c r="I180" s="213"/>
      <c r="J180" s="213"/>
      <c r="K180" s="215"/>
      <c r="L180" s="213"/>
      <c r="M180" s="215"/>
      <c r="N180" s="213"/>
      <c r="O180" s="213"/>
      <c r="P180" s="213"/>
      <c r="Q180" s="213"/>
      <c r="R180" s="213"/>
      <c r="S180" s="213"/>
      <c r="T180" s="213"/>
      <c r="U180" s="213"/>
      <c r="V180" s="213"/>
      <c r="W180" s="213"/>
      <c r="X180" s="213"/>
      <c r="Y180" s="213"/>
      <c r="Z180" s="213"/>
      <c r="AA180" s="213"/>
      <c r="AB180" s="213"/>
      <c r="AC180" s="213"/>
      <c r="AD180" s="213"/>
      <c r="AE180" s="213"/>
      <c r="AF180" s="213"/>
      <c r="AG180" s="213"/>
      <c r="AH180" s="213"/>
      <c r="AI180" s="213"/>
      <c r="AJ180" s="213"/>
      <c r="AK180" s="213"/>
      <c r="AL180" s="213"/>
      <c r="AM180" s="213"/>
      <c r="AN180" s="213"/>
      <c r="AO180" s="213"/>
      <c r="AP180" s="213"/>
      <c r="AQ180" s="213"/>
      <c r="AR180" s="213"/>
      <c r="AS180" s="213"/>
      <c r="AT180" s="213"/>
      <c r="AU180" s="213"/>
      <c r="AV180" s="213"/>
      <c r="AW180" s="213"/>
      <c r="AX180" s="213"/>
      <c r="AY180" s="213"/>
      <c r="AZ180" s="213"/>
      <c r="BA180" s="213"/>
      <c r="BB180" s="213"/>
    </row>
    <row r="181" ht="15.75" customHeight="1">
      <c r="A181" s="213"/>
      <c r="B181" s="213"/>
      <c r="C181" s="213"/>
      <c r="D181" s="213"/>
      <c r="E181" s="213"/>
      <c r="F181" s="213"/>
      <c r="G181" s="213"/>
      <c r="H181" s="213"/>
      <c r="I181" s="213"/>
      <c r="J181" s="213"/>
      <c r="K181" s="215"/>
      <c r="L181" s="213"/>
      <c r="M181" s="215"/>
      <c r="N181" s="213"/>
      <c r="O181" s="213"/>
      <c r="P181" s="213"/>
      <c r="Q181" s="213"/>
      <c r="R181" s="213"/>
      <c r="S181" s="213"/>
      <c r="T181" s="213"/>
      <c r="U181" s="213"/>
      <c r="V181" s="213"/>
      <c r="W181" s="213"/>
      <c r="X181" s="213"/>
      <c r="Y181" s="213"/>
      <c r="Z181" s="213"/>
      <c r="AA181" s="213"/>
      <c r="AB181" s="213"/>
      <c r="AC181" s="213"/>
      <c r="AD181" s="213"/>
      <c r="AE181" s="213"/>
      <c r="AF181" s="213"/>
      <c r="AG181" s="213"/>
      <c r="AH181" s="213"/>
      <c r="AI181" s="213"/>
      <c r="AJ181" s="213"/>
      <c r="AK181" s="213"/>
      <c r="AL181" s="213"/>
      <c r="AM181" s="213"/>
      <c r="AN181" s="213"/>
      <c r="AO181" s="213"/>
      <c r="AP181" s="213"/>
      <c r="AQ181" s="213"/>
      <c r="AR181" s="213"/>
      <c r="AS181" s="213"/>
      <c r="AT181" s="213"/>
      <c r="AU181" s="213"/>
      <c r="AV181" s="213"/>
      <c r="AW181" s="213"/>
      <c r="AX181" s="213"/>
      <c r="AY181" s="213"/>
      <c r="AZ181" s="213"/>
      <c r="BA181" s="213"/>
      <c r="BB181" s="213"/>
    </row>
    <row r="182" ht="15.75" customHeight="1">
      <c r="A182" s="213"/>
      <c r="B182" s="213"/>
      <c r="C182" s="213"/>
      <c r="D182" s="213"/>
      <c r="E182" s="213"/>
      <c r="F182" s="213"/>
      <c r="G182" s="213"/>
      <c r="H182" s="213"/>
      <c r="I182" s="213"/>
      <c r="J182" s="213"/>
      <c r="K182" s="215"/>
      <c r="L182" s="213"/>
      <c r="M182" s="215"/>
      <c r="N182" s="213"/>
      <c r="O182" s="213"/>
      <c r="P182" s="213"/>
      <c r="Q182" s="213"/>
      <c r="R182" s="213"/>
      <c r="S182" s="213"/>
      <c r="T182" s="213"/>
      <c r="U182" s="213"/>
      <c r="V182" s="213"/>
      <c r="W182" s="213"/>
      <c r="X182" s="213"/>
      <c r="Y182" s="213"/>
      <c r="Z182" s="213"/>
      <c r="AA182" s="213"/>
      <c r="AB182" s="213"/>
      <c r="AC182" s="213"/>
      <c r="AD182" s="213"/>
      <c r="AE182" s="213"/>
      <c r="AF182" s="213"/>
      <c r="AG182" s="213"/>
      <c r="AH182" s="213"/>
      <c r="AI182" s="213"/>
      <c r="AJ182" s="213"/>
      <c r="AK182" s="213"/>
      <c r="AL182" s="213"/>
      <c r="AM182" s="213"/>
      <c r="AN182" s="213"/>
      <c r="AO182" s="213"/>
      <c r="AP182" s="213"/>
      <c r="AQ182" s="213"/>
      <c r="AR182" s="213"/>
      <c r="AS182" s="213"/>
      <c r="AT182" s="213"/>
      <c r="AU182" s="213"/>
      <c r="AV182" s="213"/>
      <c r="AW182" s="213"/>
      <c r="AX182" s="213"/>
      <c r="AY182" s="213"/>
      <c r="AZ182" s="213"/>
      <c r="BA182" s="213"/>
      <c r="BB182" s="213"/>
    </row>
    <row r="183" ht="15.75" customHeight="1">
      <c r="A183" s="213"/>
      <c r="B183" s="213"/>
      <c r="C183" s="213"/>
      <c r="D183" s="213"/>
      <c r="E183" s="213"/>
      <c r="F183" s="213"/>
      <c r="G183" s="213"/>
      <c r="H183" s="213"/>
      <c r="I183" s="213"/>
      <c r="J183" s="213"/>
      <c r="K183" s="215"/>
      <c r="L183" s="213"/>
      <c r="M183" s="215"/>
      <c r="N183" s="213"/>
      <c r="O183" s="213"/>
      <c r="P183" s="213"/>
      <c r="Q183" s="213"/>
      <c r="R183" s="213"/>
      <c r="S183" s="213"/>
      <c r="T183" s="213"/>
      <c r="U183" s="213"/>
      <c r="V183" s="213"/>
      <c r="W183" s="213"/>
      <c r="X183" s="213"/>
      <c r="Y183" s="213"/>
      <c r="Z183" s="213"/>
      <c r="AA183" s="213"/>
      <c r="AB183" s="213"/>
      <c r="AC183" s="213"/>
      <c r="AD183" s="213"/>
      <c r="AE183" s="213"/>
      <c r="AF183" s="213"/>
      <c r="AG183" s="213"/>
      <c r="AH183" s="213"/>
      <c r="AI183" s="213"/>
      <c r="AJ183" s="213"/>
      <c r="AK183" s="213"/>
      <c r="AL183" s="213"/>
      <c r="AM183" s="213"/>
      <c r="AN183" s="213"/>
      <c r="AO183" s="213"/>
      <c r="AP183" s="213"/>
      <c r="AQ183" s="213"/>
      <c r="AR183" s="213"/>
      <c r="AS183" s="213"/>
      <c r="AT183" s="213"/>
      <c r="AU183" s="213"/>
      <c r="AV183" s="213"/>
      <c r="AW183" s="213"/>
      <c r="AX183" s="213"/>
      <c r="AY183" s="213"/>
      <c r="AZ183" s="213"/>
      <c r="BA183" s="213"/>
      <c r="BB183" s="213"/>
    </row>
    <row r="184" ht="15.75" customHeight="1">
      <c r="A184" s="213"/>
      <c r="B184" s="213"/>
      <c r="C184" s="213"/>
      <c r="D184" s="213"/>
      <c r="E184" s="213"/>
      <c r="F184" s="213"/>
      <c r="G184" s="213"/>
      <c r="H184" s="213"/>
      <c r="I184" s="213"/>
      <c r="J184" s="213"/>
      <c r="K184" s="215"/>
      <c r="L184" s="213"/>
      <c r="M184" s="215"/>
      <c r="N184" s="213"/>
      <c r="O184" s="213"/>
      <c r="P184" s="213"/>
      <c r="Q184" s="213"/>
      <c r="R184" s="213"/>
      <c r="S184" s="213"/>
      <c r="T184" s="213"/>
      <c r="U184" s="213"/>
      <c r="V184" s="213"/>
      <c r="W184" s="213"/>
      <c r="X184" s="213"/>
      <c r="Y184" s="213"/>
      <c r="Z184" s="213"/>
      <c r="AA184" s="213"/>
      <c r="AB184" s="213"/>
      <c r="AC184" s="213"/>
      <c r="AD184" s="213"/>
      <c r="AE184" s="213"/>
      <c r="AF184" s="213"/>
      <c r="AG184" s="213"/>
      <c r="AH184" s="213"/>
      <c r="AI184" s="213"/>
      <c r="AJ184" s="213"/>
      <c r="AK184" s="213"/>
      <c r="AL184" s="213"/>
      <c r="AM184" s="213"/>
      <c r="AN184" s="213"/>
      <c r="AO184" s="213"/>
      <c r="AP184" s="213"/>
      <c r="AQ184" s="213"/>
      <c r="AR184" s="213"/>
      <c r="AS184" s="213"/>
      <c r="AT184" s="213"/>
      <c r="AU184" s="213"/>
      <c r="AV184" s="213"/>
      <c r="AW184" s="213"/>
      <c r="AX184" s="213"/>
      <c r="AY184" s="213"/>
      <c r="AZ184" s="213"/>
      <c r="BA184" s="213"/>
      <c r="BB184" s="213"/>
    </row>
    <row r="185" ht="15.75" customHeight="1">
      <c r="A185" s="213"/>
      <c r="B185" s="213"/>
      <c r="C185" s="213"/>
      <c r="D185" s="213"/>
      <c r="E185" s="213"/>
      <c r="F185" s="213"/>
      <c r="G185" s="213"/>
      <c r="H185" s="213"/>
      <c r="I185" s="213"/>
      <c r="J185" s="213"/>
      <c r="K185" s="215"/>
      <c r="L185" s="213"/>
      <c r="M185" s="215"/>
      <c r="N185" s="213"/>
      <c r="O185" s="213"/>
      <c r="P185" s="213"/>
      <c r="Q185" s="213"/>
      <c r="R185" s="213"/>
      <c r="S185" s="213"/>
      <c r="T185" s="213"/>
      <c r="U185" s="213"/>
      <c r="V185" s="213"/>
      <c r="W185" s="213"/>
      <c r="X185" s="213"/>
      <c r="Y185" s="213"/>
      <c r="Z185" s="213"/>
      <c r="AA185" s="213"/>
      <c r="AB185" s="213"/>
      <c r="AC185" s="213"/>
      <c r="AD185" s="213"/>
      <c r="AE185" s="213"/>
      <c r="AF185" s="213"/>
      <c r="AG185" s="213"/>
      <c r="AH185" s="213"/>
      <c r="AI185" s="213"/>
      <c r="AJ185" s="213"/>
      <c r="AK185" s="213"/>
      <c r="AL185" s="213"/>
      <c r="AM185" s="213"/>
      <c r="AN185" s="213"/>
      <c r="AO185" s="213"/>
      <c r="AP185" s="213"/>
      <c r="AQ185" s="213"/>
      <c r="AR185" s="213"/>
      <c r="AS185" s="213"/>
      <c r="AT185" s="213"/>
      <c r="AU185" s="213"/>
      <c r="AV185" s="213"/>
      <c r="AW185" s="213"/>
      <c r="AX185" s="213"/>
      <c r="AY185" s="213"/>
      <c r="AZ185" s="213"/>
      <c r="BA185" s="213"/>
      <c r="BB185" s="213"/>
    </row>
    <row r="186" ht="15.75" customHeight="1">
      <c r="A186" s="213"/>
      <c r="B186" s="213"/>
      <c r="C186" s="213"/>
      <c r="D186" s="213"/>
      <c r="E186" s="213"/>
      <c r="F186" s="213"/>
      <c r="G186" s="213"/>
      <c r="H186" s="213"/>
      <c r="I186" s="213"/>
      <c r="J186" s="213"/>
      <c r="K186" s="215"/>
      <c r="L186" s="213"/>
      <c r="M186" s="215"/>
      <c r="N186" s="213"/>
      <c r="O186" s="213"/>
      <c r="P186" s="213"/>
      <c r="Q186" s="213"/>
      <c r="R186" s="213"/>
      <c r="S186" s="213"/>
      <c r="T186" s="213"/>
      <c r="U186" s="213"/>
      <c r="V186" s="213"/>
      <c r="W186" s="213"/>
      <c r="X186" s="213"/>
      <c r="Y186" s="213"/>
      <c r="Z186" s="213"/>
      <c r="AA186" s="213"/>
      <c r="AB186" s="213"/>
      <c r="AC186" s="213"/>
      <c r="AD186" s="213"/>
      <c r="AE186" s="213"/>
      <c r="AF186" s="213"/>
      <c r="AG186" s="213"/>
      <c r="AH186" s="213"/>
      <c r="AI186" s="213"/>
      <c r="AJ186" s="213"/>
      <c r="AK186" s="213"/>
      <c r="AL186" s="213"/>
      <c r="AM186" s="213"/>
      <c r="AN186" s="213"/>
      <c r="AO186" s="213"/>
      <c r="AP186" s="213"/>
      <c r="AQ186" s="213"/>
      <c r="AR186" s="213"/>
      <c r="AS186" s="213"/>
      <c r="AT186" s="213"/>
      <c r="AU186" s="213"/>
      <c r="AV186" s="213"/>
      <c r="AW186" s="213"/>
      <c r="AX186" s="213"/>
      <c r="AY186" s="213"/>
      <c r="AZ186" s="213"/>
      <c r="BA186" s="213"/>
      <c r="BB186" s="213"/>
    </row>
    <row r="187" ht="15.75" customHeight="1">
      <c r="A187" s="213"/>
      <c r="B187" s="213"/>
      <c r="C187" s="213"/>
      <c r="D187" s="213"/>
      <c r="E187" s="213"/>
      <c r="F187" s="213"/>
      <c r="G187" s="213"/>
      <c r="H187" s="213"/>
      <c r="I187" s="213"/>
      <c r="J187" s="213"/>
      <c r="K187" s="215"/>
      <c r="L187" s="213"/>
      <c r="M187" s="215"/>
      <c r="N187" s="213"/>
      <c r="O187" s="213"/>
      <c r="P187" s="213"/>
      <c r="Q187" s="213"/>
      <c r="R187" s="213"/>
      <c r="S187" s="213"/>
      <c r="T187" s="213"/>
      <c r="U187" s="213"/>
      <c r="V187" s="213"/>
      <c r="W187" s="213"/>
      <c r="X187" s="213"/>
      <c r="Y187" s="213"/>
      <c r="Z187" s="213"/>
      <c r="AA187" s="213"/>
      <c r="AB187" s="213"/>
      <c r="AC187" s="213"/>
      <c r="AD187" s="213"/>
      <c r="AE187" s="213"/>
      <c r="AF187" s="213"/>
      <c r="AG187" s="213"/>
      <c r="AH187" s="213"/>
      <c r="AI187" s="213"/>
      <c r="AJ187" s="213"/>
      <c r="AK187" s="213"/>
      <c r="AL187" s="213"/>
      <c r="AM187" s="213"/>
      <c r="AN187" s="213"/>
      <c r="AO187" s="213"/>
      <c r="AP187" s="213"/>
      <c r="AQ187" s="213"/>
      <c r="AR187" s="213"/>
      <c r="AS187" s="213"/>
      <c r="AT187" s="213"/>
      <c r="AU187" s="213"/>
      <c r="AV187" s="213"/>
      <c r="AW187" s="213"/>
      <c r="AX187" s="213"/>
      <c r="AY187" s="213"/>
      <c r="AZ187" s="213"/>
      <c r="BA187" s="213"/>
      <c r="BB187" s="213"/>
    </row>
    <row r="188" ht="15.75" customHeight="1">
      <c r="A188" s="213"/>
      <c r="B188" s="213"/>
      <c r="C188" s="213"/>
      <c r="D188" s="213"/>
      <c r="E188" s="213"/>
      <c r="F188" s="213"/>
      <c r="G188" s="213"/>
      <c r="H188" s="213"/>
      <c r="I188" s="213"/>
      <c r="J188" s="213"/>
      <c r="K188" s="215"/>
      <c r="L188" s="213"/>
      <c r="M188" s="215"/>
      <c r="N188" s="213"/>
      <c r="O188" s="213"/>
      <c r="P188" s="213"/>
      <c r="Q188" s="213"/>
      <c r="R188" s="213"/>
      <c r="S188" s="213"/>
      <c r="T188" s="213"/>
      <c r="U188" s="213"/>
      <c r="V188" s="213"/>
      <c r="W188" s="213"/>
      <c r="X188" s="213"/>
      <c r="Y188" s="213"/>
      <c r="Z188" s="213"/>
      <c r="AA188" s="213"/>
      <c r="AB188" s="213"/>
      <c r="AC188" s="213"/>
      <c r="AD188" s="213"/>
      <c r="AE188" s="213"/>
      <c r="AF188" s="213"/>
      <c r="AG188" s="213"/>
      <c r="AH188" s="213"/>
      <c r="AI188" s="213"/>
      <c r="AJ188" s="213"/>
      <c r="AK188" s="213"/>
      <c r="AL188" s="213"/>
      <c r="AM188" s="213"/>
      <c r="AN188" s="213"/>
      <c r="AO188" s="213"/>
      <c r="AP188" s="213"/>
      <c r="AQ188" s="213"/>
      <c r="AR188" s="213"/>
      <c r="AS188" s="213"/>
      <c r="AT188" s="213"/>
      <c r="AU188" s="213"/>
      <c r="AV188" s="213"/>
      <c r="AW188" s="213"/>
      <c r="AX188" s="213"/>
      <c r="AY188" s="213"/>
      <c r="AZ188" s="213"/>
      <c r="BA188" s="213"/>
      <c r="BB188" s="213"/>
    </row>
    <row r="189" ht="15.75" customHeight="1">
      <c r="A189" s="213"/>
      <c r="B189" s="213"/>
      <c r="C189" s="213"/>
      <c r="D189" s="213"/>
      <c r="E189" s="213"/>
      <c r="F189" s="213"/>
      <c r="G189" s="213"/>
      <c r="H189" s="213"/>
      <c r="I189" s="213"/>
      <c r="J189" s="213"/>
      <c r="K189" s="215"/>
      <c r="L189" s="213"/>
      <c r="M189" s="215"/>
      <c r="N189" s="213"/>
      <c r="O189" s="213"/>
      <c r="P189" s="213"/>
      <c r="Q189" s="213"/>
      <c r="R189" s="213"/>
      <c r="S189" s="213"/>
      <c r="T189" s="213"/>
      <c r="U189" s="213"/>
      <c r="V189" s="213"/>
      <c r="W189" s="213"/>
      <c r="X189" s="213"/>
      <c r="Y189" s="213"/>
      <c r="Z189" s="213"/>
      <c r="AA189" s="213"/>
      <c r="AB189" s="213"/>
      <c r="AC189" s="213"/>
      <c r="AD189" s="213"/>
      <c r="AE189" s="213"/>
      <c r="AF189" s="213"/>
      <c r="AG189" s="213"/>
      <c r="AH189" s="213"/>
      <c r="AI189" s="213"/>
      <c r="AJ189" s="213"/>
      <c r="AK189" s="213"/>
      <c r="AL189" s="213"/>
      <c r="AM189" s="213"/>
      <c r="AN189" s="213"/>
      <c r="AO189" s="213"/>
      <c r="AP189" s="213"/>
      <c r="AQ189" s="213"/>
      <c r="AR189" s="213"/>
      <c r="AS189" s="213"/>
      <c r="AT189" s="213"/>
      <c r="AU189" s="213"/>
      <c r="AV189" s="213"/>
      <c r="AW189" s="213"/>
      <c r="AX189" s="213"/>
      <c r="AY189" s="213"/>
      <c r="AZ189" s="213"/>
      <c r="BA189" s="213"/>
      <c r="BB189" s="213"/>
    </row>
    <row r="190" ht="15.75" customHeight="1">
      <c r="A190" s="213"/>
      <c r="B190" s="213"/>
      <c r="C190" s="213"/>
      <c r="D190" s="213"/>
      <c r="E190" s="213"/>
      <c r="F190" s="213"/>
      <c r="G190" s="213"/>
      <c r="H190" s="213"/>
      <c r="I190" s="213"/>
      <c r="J190" s="213"/>
      <c r="K190" s="215"/>
      <c r="L190" s="213"/>
      <c r="M190" s="215"/>
      <c r="N190" s="213"/>
      <c r="O190" s="213"/>
      <c r="P190" s="213"/>
      <c r="Q190" s="213"/>
      <c r="R190" s="213"/>
      <c r="S190" s="213"/>
      <c r="T190" s="213"/>
      <c r="U190" s="213"/>
      <c r="V190" s="213"/>
      <c r="W190" s="213"/>
      <c r="X190" s="213"/>
      <c r="Y190" s="213"/>
      <c r="Z190" s="213"/>
      <c r="AA190" s="213"/>
      <c r="AB190" s="213"/>
      <c r="AC190" s="213"/>
      <c r="AD190" s="213"/>
      <c r="AE190" s="213"/>
      <c r="AF190" s="213"/>
      <c r="AG190" s="213"/>
      <c r="AH190" s="213"/>
      <c r="AI190" s="213"/>
      <c r="AJ190" s="213"/>
      <c r="AK190" s="213"/>
      <c r="AL190" s="213"/>
      <c r="AM190" s="213"/>
      <c r="AN190" s="213"/>
      <c r="AO190" s="213"/>
      <c r="AP190" s="213"/>
      <c r="AQ190" s="213"/>
      <c r="AR190" s="213"/>
      <c r="AS190" s="213"/>
      <c r="AT190" s="213"/>
      <c r="AU190" s="213"/>
      <c r="AV190" s="213"/>
      <c r="AW190" s="213"/>
      <c r="AX190" s="213"/>
      <c r="AY190" s="213"/>
      <c r="AZ190" s="213"/>
      <c r="BA190" s="213"/>
      <c r="BB190" s="213"/>
    </row>
    <row r="191" ht="15.75" customHeight="1">
      <c r="A191" s="213"/>
      <c r="B191" s="213"/>
      <c r="C191" s="213"/>
      <c r="D191" s="213"/>
      <c r="E191" s="213"/>
      <c r="F191" s="213"/>
      <c r="G191" s="213"/>
      <c r="H191" s="213"/>
      <c r="I191" s="213"/>
      <c r="J191" s="213"/>
      <c r="K191" s="215"/>
      <c r="L191" s="213"/>
      <c r="M191" s="215"/>
      <c r="N191" s="213"/>
      <c r="O191" s="213"/>
      <c r="P191" s="213"/>
      <c r="Q191" s="213"/>
      <c r="R191" s="213"/>
      <c r="S191" s="213"/>
      <c r="T191" s="213"/>
      <c r="U191" s="213"/>
      <c r="V191" s="213"/>
      <c r="W191" s="213"/>
      <c r="X191" s="213"/>
      <c r="Y191" s="213"/>
      <c r="Z191" s="213"/>
      <c r="AA191" s="213"/>
      <c r="AB191" s="213"/>
      <c r="AC191" s="213"/>
      <c r="AD191" s="213"/>
      <c r="AE191" s="213"/>
      <c r="AF191" s="213"/>
      <c r="AG191" s="213"/>
      <c r="AH191" s="213"/>
      <c r="AI191" s="213"/>
      <c r="AJ191" s="213"/>
      <c r="AK191" s="213"/>
      <c r="AL191" s="213"/>
      <c r="AM191" s="213"/>
      <c r="AN191" s="213"/>
      <c r="AO191" s="213"/>
      <c r="AP191" s="213"/>
      <c r="AQ191" s="213"/>
      <c r="AR191" s="213"/>
      <c r="AS191" s="213"/>
      <c r="AT191" s="213"/>
      <c r="AU191" s="213"/>
      <c r="AV191" s="213"/>
      <c r="AW191" s="213"/>
      <c r="AX191" s="213"/>
      <c r="AY191" s="213"/>
      <c r="AZ191" s="213"/>
      <c r="BA191" s="213"/>
      <c r="BB191" s="213"/>
    </row>
    <row r="192" ht="15.75" customHeight="1">
      <c r="A192" s="213"/>
      <c r="B192" s="213"/>
      <c r="C192" s="213"/>
      <c r="D192" s="213"/>
      <c r="E192" s="213"/>
      <c r="F192" s="213"/>
      <c r="G192" s="213"/>
      <c r="H192" s="213"/>
      <c r="I192" s="213"/>
      <c r="J192" s="213"/>
      <c r="K192" s="215"/>
      <c r="L192" s="213"/>
      <c r="M192" s="215"/>
      <c r="N192" s="213"/>
      <c r="O192" s="213"/>
      <c r="P192" s="213"/>
      <c r="Q192" s="213"/>
      <c r="R192" s="213"/>
      <c r="S192" s="213"/>
      <c r="T192" s="213"/>
      <c r="U192" s="213"/>
      <c r="V192" s="213"/>
      <c r="W192" s="213"/>
      <c r="X192" s="213"/>
      <c r="Y192" s="213"/>
      <c r="Z192" s="213"/>
      <c r="AA192" s="213"/>
      <c r="AB192" s="213"/>
      <c r="AC192" s="213"/>
      <c r="AD192" s="213"/>
      <c r="AE192" s="213"/>
      <c r="AF192" s="213"/>
      <c r="AG192" s="213"/>
      <c r="AH192" s="213"/>
      <c r="AI192" s="213"/>
      <c r="AJ192" s="213"/>
      <c r="AK192" s="213"/>
      <c r="AL192" s="213"/>
      <c r="AM192" s="213"/>
      <c r="AN192" s="213"/>
      <c r="AO192" s="213"/>
      <c r="AP192" s="213"/>
      <c r="AQ192" s="213"/>
      <c r="AR192" s="213"/>
      <c r="AS192" s="213"/>
      <c r="AT192" s="213"/>
      <c r="AU192" s="213"/>
      <c r="AV192" s="213"/>
      <c r="AW192" s="213"/>
      <c r="AX192" s="213"/>
      <c r="AY192" s="213"/>
      <c r="AZ192" s="213"/>
      <c r="BA192" s="213"/>
      <c r="BB192" s="213"/>
    </row>
    <row r="193" ht="15.75" customHeight="1">
      <c r="A193" s="213"/>
      <c r="B193" s="213"/>
      <c r="C193" s="213"/>
      <c r="D193" s="213"/>
      <c r="E193" s="213"/>
      <c r="F193" s="213"/>
      <c r="G193" s="213"/>
      <c r="H193" s="213"/>
      <c r="I193" s="213"/>
      <c r="J193" s="213"/>
      <c r="K193" s="215"/>
      <c r="L193" s="213"/>
      <c r="M193" s="215"/>
      <c r="N193" s="213"/>
      <c r="O193" s="213"/>
      <c r="P193" s="213"/>
      <c r="Q193" s="213"/>
      <c r="R193" s="213"/>
      <c r="S193" s="213"/>
      <c r="T193" s="213"/>
      <c r="U193" s="213"/>
      <c r="V193" s="213"/>
      <c r="W193" s="213"/>
      <c r="X193" s="213"/>
      <c r="Y193" s="213"/>
      <c r="Z193" s="213"/>
      <c r="AA193" s="213"/>
      <c r="AB193" s="213"/>
      <c r="AC193" s="213"/>
      <c r="AD193" s="213"/>
      <c r="AE193" s="213"/>
      <c r="AF193" s="213"/>
      <c r="AG193" s="213"/>
      <c r="AH193" s="213"/>
      <c r="AI193" s="213"/>
      <c r="AJ193" s="213"/>
      <c r="AK193" s="213"/>
      <c r="AL193" s="213"/>
      <c r="AM193" s="213"/>
      <c r="AN193" s="213"/>
      <c r="AO193" s="213"/>
      <c r="AP193" s="213"/>
      <c r="AQ193" s="213"/>
      <c r="AR193" s="213"/>
      <c r="AS193" s="213"/>
      <c r="AT193" s="213"/>
      <c r="AU193" s="213"/>
      <c r="AV193" s="213"/>
      <c r="AW193" s="213"/>
      <c r="AX193" s="213"/>
      <c r="AY193" s="213"/>
      <c r="AZ193" s="213"/>
      <c r="BA193" s="213"/>
      <c r="BB193" s="213"/>
    </row>
    <row r="194" ht="15.75" customHeight="1">
      <c r="A194" s="213"/>
      <c r="B194" s="213"/>
      <c r="C194" s="213"/>
      <c r="D194" s="213"/>
      <c r="E194" s="213"/>
      <c r="F194" s="213"/>
      <c r="G194" s="213"/>
      <c r="H194" s="213"/>
      <c r="I194" s="213"/>
      <c r="J194" s="213"/>
      <c r="K194" s="215"/>
      <c r="L194" s="213"/>
      <c r="M194" s="215"/>
      <c r="N194" s="213"/>
      <c r="O194" s="213"/>
      <c r="P194" s="213"/>
      <c r="Q194" s="213"/>
      <c r="R194" s="213"/>
      <c r="S194" s="213"/>
      <c r="T194" s="213"/>
      <c r="U194" s="213"/>
      <c r="V194" s="213"/>
      <c r="W194" s="213"/>
      <c r="X194" s="213"/>
      <c r="Y194" s="213"/>
      <c r="Z194" s="213"/>
      <c r="AA194" s="213"/>
      <c r="AB194" s="213"/>
      <c r="AC194" s="213"/>
      <c r="AD194" s="213"/>
      <c r="AE194" s="213"/>
      <c r="AF194" s="213"/>
      <c r="AG194" s="213"/>
      <c r="AH194" s="213"/>
      <c r="AI194" s="213"/>
      <c r="AJ194" s="213"/>
      <c r="AK194" s="213"/>
      <c r="AL194" s="213"/>
      <c r="AM194" s="213"/>
      <c r="AN194" s="213"/>
      <c r="AO194" s="213"/>
      <c r="AP194" s="213"/>
      <c r="AQ194" s="213"/>
      <c r="AR194" s="213"/>
      <c r="AS194" s="213"/>
      <c r="AT194" s="213"/>
      <c r="AU194" s="213"/>
      <c r="AV194" s="213"/>
      <c r="AW194" s="213"/>
      <c r="AX194" s="213"/>
      <c r="AY194" s="213"/>
      <c r="AZ194" s="213"/>
      <c r="BA194" s="213"/>
      <c r="BB194" s="213"/>
    </row>
    <row r="195" ht="15.75" customHeight="1">
      <c r="A195" s="213"/>
      <c r="B195" s="213"/>
      <c r="C195" s="213"/>
      <c r="D195" s="213"/>
      <c r="E195" s="213"/>
      <c r="F195" s="213"/>
      <c r="G195" s="213"/>
      <c r="H195" s="213"/>
      <c r="I195" s="213"/>
      <c r="J195" s="213"/>
      <c r="K195" s="215"/>
      <c r="L195" s="213"/>
      <c r="M195" s="215"/>
      <c r="N195" s="213"/>
      <c r="O195" s="213"/>
      <c r="P195" s="213"/>
      <c r="Q195" s="213"/>
      <c r="R195" s="213"/>
      <c r="S195" s="213"/>
      <c r="T195" s="213"/>
      <c r="U195" s="213"/>
      <c r="V195" s="213"/>
      <c r="W195" s="213"/>
      <c r="X195" s="213"/>
      <c r="Y195" s="213"/>
      <c r="Z195" s="213"/>
      <c r="AA195" s="213"/>
      <c r="AB195" s="213"/>
      <c r="AC195" s="213"/>
      <c r="AD195" s="213"/>
      <c r="AE195" s="213"/>
      <c r="AF195" s="213"/>
      <c r="AG195" s="213"/>
      <c r="AH195" s="213"/>
      <c r="AI195" s="213"/>
      <c r="AJ195" s="213"/>
      <c r="AK195" s="213"/>
      <c r="AL195" s="213"/>
      <c r="AM195" s="213"/>
      <c r="AN195" s="213"/>
      <c r="AO195" s="213"/>
      <c r="AP195" s="213"/>
      <c r="AQ195" s="213"/>
      <c r="AR195" s="213"/>
      <c r="AS195" s="213"/>
      <c r="AT195" s="213"/>
      <c r="AU195" s="213"/>
      <c r="AV195" s="213"/>
      <c r="AW195" s="213"/>
      <c r="AX195" s="213"/>
      <c r="AY195" s="213"/>
      <c r="AZ195" s="213"/>
      <c r="BA195" s="213"/>
      <c r="BB195" s="213"/>
    </row>
    <row r="196" ht="15.75" customHeight="1">
      <c r="A196" s="213"/>
      <c r="B196" s="213"/>
      <c r="C196" s="213"/>
      <c r="D196" s="213"/>
      <c r="E196" s="213"/>
      <c r="F196" s="213"/>
      <c r="G196" s="213"/>
      <c r="H196" s="213"/>
      <c r="I196" s="213"/>
      <c r="J196" s="213"/>
      <c r="K196" s="215"/>
      <c r="L196" s="213"/>
      <c r="M196" s="215"/>
      <c r="N196" s="213"/>
      <c r="O196" s="213"/>
      <c r="P196" s="213"/>
      <c r="Q196" s="213"/>
      <c r="R196" s="213"/>
      <c r="S196" s="213"/>
      <c r="T196" s="213"/>
      <c r="U196" s="213"/>
      <c r="V196" s="213"/>
      <c r="W196" s="213"/>
      <c r="X196" s="213"/>
      <c r="Y196" s="213"/>
      <c r="Z196" s="213"/>
      <c r="AA196" s="213"/>
      <c r="AB196" s="213"/>
      <c r="AC196" s="213"/>
      <c r="AD196" s="213"/>
      <c r="AE196" s="213"/>
      <c r="AF196" s="213"/>
      <c r="AG196" s="213"/>
      <c r="AH196" s="213"/>
      <c r="AI196" s="213"/>
      <c r="AJ196" s="213"/>
      <c r="AK196" s="213"/>
      <c r="AL196" s="213"/>
      <c r="AM196" s="213"/>
      <c r="AN196" s="213"/>
      <c r="AO196" s="213"/>
      <c r="AP196" s="213"/>
      <c r="AQ196" s="213"/>
      <c r="AR196" s="213"/>
      <c r="AS196" s="213"/>
      <c r="AT196" s="213"/>
      <c r="AU196" s="213"/>
      <c r="AV196" s="213"/>
      <c r="AW196" s="213"/>
      <c r="AX196" s="213"/>
      <c r="AY196" s="213"/>
      <c r="AZ196" s="213"/>
      <c r="BA196" s="213"/>
      <c r="BB196" s="213"/>
    </row>
    <row r="197" ht="15.75" customHeight="1">
      <c r="A197" s="213"/>
      <c r="B197" s="213"/>
      <c r="C197" s="213"/>
      <c r="D197" s="213"/>
      <c r="E197" s="213"/>
      <c r="F197" s="213"/>
      <c r="G197" s="213"/>
      <c r="H197" s="213"/>
      <c r="I197" s="213"/>
      <c r="J197" s="213"/>
      <c r="K197" s="215"/>
      <c r="L197" s="213"/>
      <c r="M197" s="215"/>
      <c r="N197" s="213"/>
      <c r="O197" s="213"/>
      <c r="P197" s="213"/>
      <c r="Q197" s="213"/>
      <c r="R197" s="213"/>
      <c r="S197" s="213"/>
      <c r="T197" s="213"/>
      <c r="U197" s="213"/>
      <c r="V197" s="213"/>
      <c r="W197" s="213"/>
      <c r="X197" s="213"/>
      <c r="Y197" s="213"/>
      <c r="Z197" s="213"/>
      <c r="AA197" s="213"/>
      <c r="AB197" s="213"/>
      <c r="AC197" s="213"/>
      <c r="AD197" s="213"/>
      <c r="AE197" s="213"/>
      <c r="AF197" s="213"/>
      <c r="AG197" s="213"/>
      <c r="AH197" s="213"/>
      <c r="AI197" s="213"/>
      <c r="AJ197" s="213"/>
      <c r="AK197" s="213"/>
      <c r="AL197" s="213"/>
      <c r="AM197" s="213"/>
      <c r="AN197" s="213"/>
      <c r="AO197" s="213"/>
      <c r="AP197" s="213"/>
      <c r="AQ197" s="213"/>
      <c r="AR197" s="213"/>
      <c r="AS197" s="213"/>
      <c r="AT197" s="213"/>
      <c r="AU197" s="213"/>
      <c r="AV197" s="213"/>
      <c r="AW197" s="213"/>
      <c r="AX197" s="213"/>
      <c r="AY197" s="213"/>
      <c r="AZ197" s="213"/>
      <c r="BA197" s="213"/>
      <c r="BB197" s="213"/>
    </row>
    <row r="198" ht="15.75" customHeight="1">
      <c r="A198" s="213"/>
      <c r="B198" s="213"/>
      <c r="C198" s="213"/>
      <c r="D198" s="213"/>
      <c r="E198" s="213"/>
      <c r="F198" s="213"/>
      <c r="G198" s="213"/>
      <c r="H198" s="213"/>
      <c r="I198" s="213"/>
      <c r="J198" s="213"/>
      <c r="K198" s="215"/>
      <c r="L198" s="213"/>
      <c r="M198" s="215"/>
      <c r="N198" s="213"/>
      <c r="O198" s="213"/>
      <c r="P198" s="213"/>
      <c r="Q198" s="213"/>
      <c r="R198" s="213"/>
      <c r="S198" s="213"/>
      <c r="T198" s="213"/>
      <c r="U198" s="213"/>
      <c r="V198" s="213"/>
      <c r="W198" s="213"/>
      <c r="X198" s="213"/>
      <c r="Y198" s="213"/>
      <c r="Z198" s="213"/>
      <c r="AA198" s="213"/>
      <c r="AB198" s="213"/>
      <c r="AC198" s="213"/>
      <c r="AD198" s="213"/>
      <c r="AE198" s="213"/>
      <c r="AF198" s="213"/>
      <c r="AG198" s="213"/>
      <c r="AH198" s="213"/>
      <c r="AI198" s="213"/>
      <c r="AJ198" s="213"/>
      <c r="AK198" s="213"/>
      <c r="AL198" s="213"/>
      <c r="AM198" s="213"/>
      <c r="AN198" s="213"/>
      <c r="AO198" s="213"/>
      <c r="AP198" s="213"/>
      <c r="AQ198" s="213"/>
      <c r="AR198" s="213"/>
      <c r="AS198" s="213"/>
      <c r="AT198" s="213"/>
      <c r="AU198" s="213"/>
      <c r="AV198" s="213"/>
      <c r="AW198" s="213"/>
      <c r="AX198" s="213"/>
      <c r="AY198" s="213"/>
      <c r="AZ198" s="213"/>
      <c r="BA198" s="213"/>
      <c r="BB198" s="213"/>
    </row>
    <row r="199" ht="15.75" customHeight="1">
      <c r="A199" s="213"/>
      <c r="B199" s="213"/>
      <c r="C199" s="213"/>
      <c r="D199" s="213"/>
      <c r="E199" s="213"/>
      <c r="F199" s="213"/>
      <c r="G199" s="213"/>
      <c r="H199" s="213"/>
      <c r="I199" s="213"/>
      <c r="J199" s="213"/>
      <c r="K199" s="215"/>
      <c r="L199" s="213"/>
      <c r="M199" s="215"/>
      <c r="N199" s="213"/>
      <c r="O199" s="213"/>
      <c r="P199" s="213"/>
      <c r="Q199" s="213"/>
      <c r="R199" s="213"/>
      <c r="S199" s="213"/>
      <c r="T199" s="213"/>
      <c r="U199" s="213"/>
      <c r="V199" s="213"/>
      <c r="W199" s="213"/>
      <c r="X199" s="213"/>
      <c r="Y199" s="213"/>
      <c r="Z199" s="213"/>
      <c r="AA199" s="213"/>
      <c r="AB199" s="213"/>
      <c r="AC199" s="213"/>
      <c r="AD199" s="213"/>
      <c r="AE199" s="213"/>
      <c r="AF199" s="213"/>
      <c r="AG199" s="213"/>
      <c r="AH199" s="213"/>
      <c r="AI199" s="213"/>
      <c r="AJ199" s="213"/>
      <c r="AK199" s="213"/>
      <c r="AL199" s="213"/>
      <c r="AM199" s="213"/>
      <c r="AN199" s="213"/>
      <c r="AO199" s="213"/>
      <c r="AP199" s="213"/>
      <c r="AQ199" s="213"/>
      <c r="AR199" s="213"/>
      <c r="AS199" s="213"/>
      <c r="AT199" s="213"/>
      <c r="AU199" s="213"/>
      <c r="AV199" s="213"/>
      <c r="AW199" s="213"/>
      <c r="AX199" s="213"/>
      <c r="AY199" s="213"/>
      <c r="AZ199" s="213"/>
      <c r="BA199" s="213"/>
      <c r="BB199" s="213"/>
    </row>
    <row r="200" ht="15.75" customHeight="1">
      <c r="A200" s="213"/>
      <c r="B200" s="213"/>
      <c r="C200" s="213"/>
      <c r="D200" s="213"/>
      <c r="E200" s="213"/>
      <c r="F200" s="213"/>
      <c r="G200" s="213"/>
      <c r="H200" s="213"/>
      <c r="I200" s="213"/>
      <c r="J200" s="213"/>
      <c r="K200" s="215"/>
      <c r="L200" s="213"/>
      <c r="M200" s="215"/>
      <c r="N200" s="213"/>
      <c r="O200" s="213"/>
      <c r="P200" s="213"/>
      <c r="Q200" s="213"/>
      <c r="R200" s="213"/>
      <c r="S200" s="213"/>
      <c r="T200" s="213"/>
      <c r="U200" s="213"/>
      <c r="V200" s="213"/>
      <c r="W200" s="213"/>
      <c r="X200" s="213"/>
      <c r="Y200" s="213"/>
      <c r="Z200" s="213"/>
      <c r="AA200" s="213"/>
      <c r="AB200" s="213"/>
      <c r="AC200" s="213"/>
      <c r="AD200" s="213"/>
      <c r="AE200" s="213"/>
      <c r="AF200" s="213"/>
      <c r="AG200" s="213"/>
      <c r="AH200" s="213"/>
      <c r="AI200" s="213"/>
      <c r="AJ200" s="213"/>
      <c r="AK200" s="213"/>
      <c r="AL200" s="213"/>
      <c r="AM200" s="213"/>
      <c r="AN200" s="213"/>
      <c r="AO200" s="213"/>
      <c r="AP200" s="213"/>
      <c r="AQ200" s="213"/>
      <c r="AR200" s="213"/>
      <c r="AS200" s="213"/>
      <c r="AT200" s="213"/>
      <c r="AU200" s="213"/>
      <c r="AV200" s="213"/>
      <c r="AW200" s="213"/>
      <c r="AX200" s="213"/>
      <c r="AY200" s="213"/>
      <c r="AZ200" s="213"/>
      <c r="BA200" s="213"/>
      <c r="BB200" s="213"/>
    </row>
    <row r="201" ht="15.75" customHeight="1">
      <c r="A201" s="213"/>
      <c r="B201" s="213"/>
      <c r="C201" s="213"/>
      <c r="D201" s="213"/>
      <c r="E201" s="213"/>
      <c r="F201" s="213"/>
      <c r="G201" s="213"/>
      <c r="H201" s="213"/>
      <c r="I201" s="213"/>
      <c r="J201" s="213"/>
      <c r="K201" s="215"/>
      <c r="L201" s="213"/>
      <c r="M201" s="215"/>
      <c r="N201" s="213"/>
      <c r="O201" s="213"/>
      <c r="P201" s="213"/>
      <c r="Q201" s="213"/>
      <c r="R201" s="213"/>
      <c r="S201" s="213"/>
      <c r="T201" s="213"/>
      <c r="U201" s="213"/>
      <c r="V201" s="213"/>
      <c r="W201" s="213"/>
      <c r="X201" s="213"/>
      <c r="Y201" s="213"/>
      <c r="Z201" s="213"/>
      <c r="AA201" s="213"/>
      <c r="AB201" s="213"/>
      <c r="AC201" s="213"/>
      <c r="AD201" s="213"/>
      <c r="AE201" s="213"/>
      <c r="AF201" s="213"/>
      <c r="AG201" s="213"/>
      <c r="AH201" s="213"/>
      <c r="AI201" s="213"/>
      <c r="AJ201" s="213"/>
      <c r="AK201" s="213"/>
      <c r="AL201" s="213"/>
      <c r="AM201" s="213"/>
      <c r="AN201" s="213"/>
      <c r="AO201" s="213"/>
      <c r="AP201" s="213"/>
      <c r="AQ201" s="213"/>
      <c r="AR201" s="213"/>
      <c r="AS201" s="213"/>
      <c r="AT201" s="213"/>
      <c r="AU201" s="213"/>
      <c r="AV201" s="213"/>
      <c r="AW201" s="213"/>
      <c r="AX201" s="213"/>
      <c r="AY201" s="213"/>
      <c r="AZ201" s="213"/>
      <c r="BA201" s="213"/>
      <c r="BB201" s="213"/>
    </row>
    <row r="202" ht="15.75" customHeight="1">
      <c r="A202" s="213"/>
      <c r="B202" s="213"/>
      <c r="C202" s="213"/>
      <c r="D202" s="213"/>
      <c r="E202" s="213"/>
      <c r="F202" s="213"/>
      <c r="G202" s="213"/>
      <c r="H202" s="213"/>
      <c r="I202" s="213"/>
      <c r="J202" s="213"/>
      <c r="K202" s="215"/>
      <c r="L202" s="213"/>
      <c r="M202" s="215"/>
      <c r="N202" s="213"/>
      <c r="O202" s="213"/>
      <c r="P202" s="213"/>
      <c r="Q202" s="213"/>
      <c r="R202" s="213"/>
      <c r="S202" s="213"/>
      <c r="T202" s="213"/>
      <c r="U202" s="213"/>
      <c r="V202" s="213"/>
      <c r="W202" s="213"/>
      <c r="X202" s="213"/>
      <c r="Y202" s="213"/>
      <c r="Z202" s="213"/>
      <c r="AA202" s="213"/>
      <c r="AB202" s="213"/>
      <c r="AC202" s="213"/>
      <c r="AD202" s="213"/>
      <c r="AE202" s="213"/>
      <c r="AF202" s="213"/>
      <c r="AG202" s="213"/>
      <c r="AH202" s="213"/>
      <c r="AI202" s="213"/>
      <c r="AJ202" s="213"/>
      <c r="AK202" s="213"/>
      <c r="AL202" s="213"/>
      <c r="AM202" s="213"/>
      <c r="AN202" s="213"/>
      <c r="AO202" s="213"/>
      <c r="AP202" s="213"/>
      <c r="AQ202" s="213"/>
      <c r="AR202" s="213"/>
      <c r="AS202" s="213"/>
      <c r="AT202" s="213"/>
      <c r="AU202" s="213"/>
      <c r="AV202" s="213"/>
      <c r="AW202" s="213"/>
      <c r="AX202" s="213"/>
      <c r="AY202" s="213"/>
      <c r="AZ202" s="213"/>
      <c r="BA202" s="213"/>
      <c r="BB202" s="213"/>
    </row>
    <row r="203" ht="15.75" customHeight="1">
      <c r="A203" s="213"/>
      <c r="B203" s="213"/>
      <c r="C203" s="213"/>
      <c r="D203" s="213"/>
      <c r="E203" s="213"/>
      <c r="F203" s="213"/>
      <c r="G203" s="213"/>
      <c r="H203" s="213"/>
      <c r="I203" s="213"/>
      <c r="J203" s="213"/>
      <c r="K203" s="215"/>
      <c r="L203" s="213"/>
      <c r="M203" s="215"/>
      <c r="N203" s="213"/>
      <c r="O203" s="213"/>
      <c r="P203" s="213"/>
      <c r="Q203" s="213"/>
      <c r="R203" s="213"/>
      <c r="S203" s="213"/>
      <c r="T203" s="213"/>
      <c r="U203" s="213"/>
      <c r="V203" s="213"/>
      <c r="W203" s="213"/>
      <c r="X203" s="213"/>
      <c r="Y203" s="213"/>
      <c r="Z203" s="213"/>
      <c r="AA203" s="213"/>
      <c r="AB203" s="213"/>
      <c r="AC203" s="213"/>
      <c r="AD203" s="213"/>
      <c r="AE203" s="213"/>
      <c r="AF203" s="213"/>
      <c r="AG203" s="213"/>
      <c r="AH203" s="213"/>
      <c r="AI203" s="213"/>
      <c r="AJ203" s="213"/>
      <c r="AK203" s="213"/>
      <c r="AL203" s="213"/>
      <c r="AM203" s="213"/>
      <c r="AN203" s="213"/>
      <c r="AO203" s="213"/>
      <c r="AP203" s="213"/>
      <c r="AQ203" s="213"/>
      <c r="AR203" s="213"/>
      <c r="AS203" s="213"/>
      <c r="AT203" s="213"/>
      <c r="AU203" s="213"/>
      <c r="AV203" s="213"/>
      <c r="AW203" s="213"/>
      <c r="AX203" s="213"/>
      <c r="AY203" s="213"/>
      <c r="AZ203" s="213"/>
      <c r="BA203" s="213"/>
      <c r="BB203" s="213"/>
    </row>
    <row r="204" ht="15.75" customHeight="1">
      <c r="A204" s="213"/>
      <c r="B204" s="213"/>
      <c r="C204" s="213"/>
      <c r="D204" s="213"/>
      <c r="E204" s="213"/>
      <c r="F204" s="213"/>
      <c r="G204" s="213"/>
      <c r="H204" s="213"/>
      <c r="I204" s="213"/>
      <c r="J204" s="213"/>
      <c r="K204" s="215"/>
      <c r="L204" s="213"/>
      <c r="M204" s="215"/>
      <c r="N204" s="213"/>
      <c r="O204" s="213"/>
      <c r="P204" s="213"/>
      <c r="Q204" s="213"/>
      <c r="R204" s="213"/>
      <c r="S204" s="213"/>
      <c r="T204" s="213"/>
      <c r="U204" s="213"/>
      <c r="V204" s="213"/>
      <c r="W204" s="213"/>
      <c r="X204" s="213"/>
      <c r="Y204" s="213"/>
      <c r="Z204" s="213"/>
      <c r="AA204" s="213"/>
      <c r="AB204" s="213"/>
      <c r="AC204" s="213"/>
      <c r="AD204" s="213"/>
      <c r="AE204" s="213"/>
      <c r="AF204" s="213"/>
      <c r="AG204" s="213"/>
      <c r="AH204" s="213"/>
      <c r="AI204" s="213"/>
      <c r="AJ204" s="213"/>
      <c r="AK204" s="213"/>
      <c r="AL204" s="213"/>
      <c r="AM204" s="213"/>
      <c r="AN204" s="213"/>
      <c r="AO204" s="213"/>
      <c r="AP204" s="213"/>
      <c r="AQ204" s="213"/>
      <c r="AR204" s="213"/>
      <c r="AS204" s="213"/>
      <c r="AT204" s="213"/>
      <c r="AU204" s="213"/>
      <c r="AV204" s="213"/>
      <c r="AW204" s="213"/>
      <c r="AX204" s="213"/>
      <c r="AY204" s="213"/>
      <c r="AZ204" s="213"/>
      <c r="BA204" s="213"/>
      <c r="BB204" s="213"/>
    </row>
    <row r="205" ht="15.75" customHeight="1">
      <c r="A205" s="213"/>
      <c r="B205" s="213"/>
      <c r="C205" s="213"/>
      <c r="D205" s="213"/>
      <c r="E205" s="213"/>
      <c r="F205" s="213"/>
      <c r="G205" s="213"/>
      <c r="H205" s="213"/>
      <c r="I205" s="213"/>
      <c r="J205" s="213"/>
      <c r="K205" s="215"/>
      <c r="L205" s="213"/>
      <c r="M205" s="215"/>
      <c r="N205" s="213"/>
      <c r="O205" s="213"/>
      <c r="P205" s="213"/>
      <c r="Q205" s="213"/>
      <c r="R205" s="213"/>
      <c r="S205" s="213"/>
      <c r="T205" s="213"/>
      <c r="U205" s="213"/>
      <c r="V205" s="213"/>
      <c r="W205" s="213"/>
      <c r="X205" s="213"/>
      <c r="Y205" s="213"/>
      <c r="Z205" s="213"/>
      <c r="AA205" s="213"/>
      <c r="AB205" s="213"/>
      <c r="AC205" s="213"/>
      <c r="AD205" s="213"/>
      <c r="AE205" s="213"/>
      <c r="AF205" s="213"/>
      <c r="AG205" s="213"/>
      <c r="AH205" s="213"/>
      <c r="AI205" s="213"/>
      <c r="AJ205" s="213"/>
      <c r="AK205" s="213"/>
      <c r="AL205" s="213"/>
      <c r="AM205" s="213"/>
      <c r="AN205" s="213"/>
      <c r="AO205" s="213"/>
      <c r="AP205" s="213"/>
      <c r="AQ205" s="213"/>
      <c r="AR205" s="213"/>
      <c r="AS205" s="213"/>
      <c r="AT205" s="213"/>
      <c r="AU205" s="213"/>
      <c r="AV205" s="213"/>
      <c r="AW205" s="213"/>
      <c r="AX205" s="213"/>
      <c r="AY205" s="213"/>
      <c r="AZ205" s="213"/>
      <c r="BA205" s="213"/>
      <c r="BB205" s="213"/>
    </row>
    <row r="206" ht="15.75" customHeight="1">
      <c r="A206" s="213"/>
      <c r="B206" s="213"/>
      <c r="C206" s="213"/>
      <c r="D206" s="213"/>
      <c r="E206" s="213"/>
      <c r="F206" s="213"/>
      <c r="G206" s="213"/>
      <c r="H206" s="213"/>
      <c r="I206" s="213"/>
      <c r="J206" s="213"/>
      <c r="K206" s="215"/>
      <c r="L206" s="213"/>
      <c r="M206" s="215"/>
      <c r="N206" s="213"/>
      <c r="O206" s="213"/>
      <c r="P206" s="213"/>
      <c r="Q206" s="213"/>
      <c r="R206" s="213"/>
      <c r="S206" s="213"/>
      <c r="T206" s="213"/>
      <c r="U206" s="213"/>
      <c r="V206" s="213"/>
      <c r="W206" s="213"/>
      <c r="X206" s="213"/>
      <c r="Y206" s="213"/>
      <c r="Z206" s="213"/>
      <c r="AA206" s="213"/>
      <c r="AB206" s="213"/>
      <c r="AC206" s="213"/>
      <c r="AD206" s="213"/>
      <c r="AE206" s="213"/>
      <c r="AF206" s="213"/>
      <c r="AG206" s="213"/>
      <c r="AH206" s="213"/>
      <c r="AI206" s="213"/>
      <c r="AJ206" s="213"/>
      <c r="AK206" s="213"/>
      <c r="AL206" s="213"/>
      <c r="AM206" s="213"/>
      <c r="AN206" s="213"/>
      <c r="AO206" s="213"/>
      <c r="AP206" s="213"/>
      <c r="AQ206" s="213"/>
      <c r="AR206" s="213"/>
      <c r="AS206" s="213"/>
      <c r="AT206" s="213"/>
      <c r="AU206" s="213"/>
      <c r="AV206" s="213"/>
      <c r="AW206" s="213"/>
      <c r="AX206" s="213"/>
      <c r="AY206" s="213"/>
      <c r="AZ206" s="213"/>
      <c r="BA206" s="213"/>
      <c r="BB206" s="213"/>
    </row>
    <row r="207" ht="15.75" customHeight="1">
      <c r="A207" s="213"/>
      <c r="B207" s="213"/>
      <c r="C207" s="213"/>
      <c r="D207" s="213"/>
      <c r="E207" s="213"/>
      <c r="F207" s="213"/>
      <c r="G207" s="213"/>
      <c r="H207" s="213"/>
      <c r="I207" s="213"/>
      <c r="J207" s="213"/>
      <c r="K207" s="215"/>
      <c r="L207" s="213"/>
      <c r="M207" s="215"/>
      <c r="N207" s="213"/>
      <c r="O207" s="213"/>
      <c r="P207" s="213"/>
      <c r="Q207" s="213"/>
      <c r="R207" s="213"/>
      <c r="S207" s="213"/>
      <c r="T207" s="213"/>
      <c r="U207" s="213"/>
      <c r="V207" s="213"/>
      <c r="W207" s="213"/>
      <c r="X207" s="213"/>
      <c r="Y207" s="213"/>
      <c r="Z207" s="213"/>
      <c r="AA207" s="213"/>
      <c r="AB207" s="213"/>
      <c r="AC207" s="213"/>
      <c r="AD207" s="213"/>
      <c r="AE207" s="213"/>
      <c r="AF207" s="213"/>
      <c r="AG207" s="213"/>
      <c r="AH207" s="213"/>
      <c r="AI207" s="213"/>
      <c r="AJ207" s="213"/>
      <c r="AK207" s="213"/>
      <c r="AL207" s="213"/>
      <c r="AM207" s="213"/>
      <c r="AN207" s="213"/>
      <c r="AO207" s="213"/>
      <c r="AP207" s="213"/>
      <c r="AQ207" s="213"/>
      <c r="AR207" s="213"/>
      <c r="AS207" s="213"/>
      <c r="AT207" s="213"/>
      <c r="AU207" s="213"/>
      <c r="AV207" s="213"/>
      <c r="AW207" s="213"/>
      <c r="AX207" s="213"/>
      <c r="AY207" s="213"/>
      <c r="AZ207" s="213"/>
      <c r="BA207" s="213"/>
      <c r="BB207" s="213"/>
    </row>
    <row r="208" ht="15.75" customHeight="1">
      <c r="A208" s="213"/>
      <c r="B208" s="213"/>
      <c r="C208" s="213"/>
      <c r="D208" s="213"/>
      <c r="E208" s="213"/>
      <c r="F208" s="213"/>
      <c r="G208" s="213"/>
      <c r="H208" s="213"/>
      <c r="I208" s="213"/>
      <c r="J208" s="213"/>
      <c r="K208" s="215"/>
      <c r="L208" s="213"/>
      <c r="M208" s="215"/>
      <c r="N208" s="213"/>
      <c r="O208" s="213"/>
      <c r="P208" s="213"/>
      <c r="Q208" s="213"/>
      <c r="R208" s="213"/>
      <c r="S208" s="213"/>
      <c r="T208" s="213"/>
      <c r="U208" s="213"/>
      <c r="V208" s="213"/>
      <c r="W208" s="213"/>
      <c r="X208" s="213"/>
      <c r="Y208" s="213"/>
      <c r="Z208" s="213"/>
      <c r="AA208" s="213"/>
      <c r="AB208" s="213"/>
      <c r="AC208" s="213"/>
      <c r="AD208" s="213"/>
      <c r="AE208" s="213"/>
      <c r="AF208" s="213"/>
      <c r="AG208" s="213"/>
      <c r="AH208" s="213"/>
      <c r="AI208" s="213"/>
      <c r="AJ208" s="213"/>
      <c r="AK208" s="213"/>
      <c r="AL208" s="213"/>
      <c r="AM208" s="213"/>
      <c r="AN208" s="213"/>
      <c r="AO208" s="213"/>
      <c r="AP208" s="213"/>
      <c r="AQ208" s="213"/>
      <c r="AR208" s="213"/>
      <c r="AS208" s="213"/>
      <c r="AT208" s="213"/>
      <c r="AU208" s="213"/>
      <c r="AV208" s="213"/>
      <c r="AW208" s="213"/>
      <c r="AX208" s="213"/>
      <c r="AY208" s="213"/>
      <c r="AZ208" s="213"/>
      <c r="BA208" s="213"/>
      <c r="BB208" s="213"/>
    </row>
    <row r="209" ht="15.75" customHeight="1">
      <c r="A209" s="213"/>
      <c r="B209" s="213"/>
      <c r="C209" s="213"/>
      <c r="D209" s="213"/>
      <c r="E209" s="213"/>
      <c r="F209" s="213"/>
      <c r="G209" s="213"/>
      <c r="H209" s="213"/>
      <c r="I209" s="213"/>
      <c r="J209" s="213"/>
      <c r="K209" s="215"/>
      <c r="L209" s="213"/>
      <c r="M209" s="215"/>
      <c r="N209" s="213"/>
      <c r="O209" s="213"/>
      <c r="P209" s="213"/>
      <c r="Q209" s="213"/>
      <c r="R209" s="213"/>
      <c r="S209" s="213"/>
      <c r="T209" s="213"/>
      <c r="U209" s="213"/>
      <c r="V209" s="213"/>
      <c r="W209" s="213"/>
      <c r="X209" s="213"/>
      <c r="Y209" s="213"/>
      <c r="Z209" s="213"/>
      <c r="AA209" s="213"/>
      <c r="AB209" s="213"/>
      <c r="AC209" s="213"/>
      <c r="AD209" s="213"/>
      <c r="AE209" s="213"/>
      <c r="AF209" s="213"/>
      <c r="AG209" s="213"/>
      <c r="AH209" s="213"/>
      <c r="AI209" s="213"/>
      <c r="AJ209" s="213"/>
      <c r="AK209" s="213"/>
      <c r="AL209" s="213"/>
      <c r="AM209" s="213"/>
      <c r="AN209" s="213"/>
      <c r="AO209" s="213"/>
      <c r="AP209" s="213"/>
      <c r="AQ209" s="213"/>
      <c r="AR209" s="213"/>
      <c r="AS209" s="213"/>
      <c r="AT209" s="213"/>
      <c r="AU209" s="213"/>
      <c r="AV209" s="213"/>
      <c r="AW209" s="213"/>
      <c r="AX209" s="213"/>
      <c r="AY209" s="213"/>
      <c r="AZ209" s="213"/>
      <c r="BA209" s="213"/>
      <c r="BB209" s="213"/>
    </row>
    <row r="210" ht="15.75" customHeight="1">
      <c r="A210" s="213"/>
      <c r="B210" s="213"/>
      <c r="C210" s="213"/>
      <c r="D210" s="213"/>
      <c r="E210" s="213"/>
      <c r="F210" s="213"/>
      <c r="G210" s="213"/>
      <c r="H210" s="213"/>
      <c r="I210" s="213"/>
      <c r="J210" s="213"/>
      <c r="K210" s="215"/>
      <c r="L210" s="213"/>
      <c r="M210" s="215"/>
      <c r="N210" s="213"/>
      <c r="O210" s="213"/>
      <c r="P210" s="213"/>
      <c r="Q210" s="213"/>
      <c r="R210" s="213"/>
      <c r="S210" s="213"/>
      <c r="T210" s="213"/>
      <c r="U210" s="213"/>
      <c r="V210" s="213"/>
      <c r="W210" s="213"/>
      <c r="X210" s="213"/>
      <c r="Y210" s="213"/>
      <c r="Z210" s="213"/>
      <c r="AA210" s="213"/>
      <c r="AB210" s="213"/>
      <c r="AC210" s="213"/>
      <c r="AD210" s="213"/>
      <c r="AE210" s="213"/>
      <c r="AF210" s="213"/>
      <c r="AG210" s="213"/>
      <c r="AH210" s="213"/>
      <c r="AI210" s="213"/>
      <c r="AJ210" s="213"/>
      <c r="AK210" s="213"/>
      <c r="AL210" s="213"/>
      <c r="AM210" s="213"/>
      <c r="AN210" s="213"/>
      <c r="AO210" s="213"/>
      <c r="AP210" s="213"/>
      <c r="AQ210" s="213"/>
      <c r="AR210" s="213"/>
      <c r="AS210" s="213"/>
      <c r="AT210" s="213"/>
      <c r="AU210" s="213"/>
      <c r="AV210" s="213"/>
      <c r="AW210" s="213"/>
      <c r="AX210" s="213"/>
      <c r="AY210" s="213"/>
      <c r="AZ210" s="213"/>
      <c r="BA210" s="213"/>
      <c r="BB210" s="213"/>
    </row>
    <row r="211" ht="15.75" customHeight="1">
      <c r="A211" s="213"/>
      <c r="B211" s="213"/>
      <c r="C211" s="213"/>
      <c r="D211" s="213"/>
      <c r="E211" s="213"/>
      <c r="F211" s="213"/>
      <c r="G211" s="213"/>
      <c r="H211" s="213"/>
      <c r="I211" s="213"/>
      <c r="J211" s="213"/>
      <c r="K211" s="215"/>
      <c r="L211" s="213"/>
      <c r="M211" s="215"/>
      <c r="N211" s="213"/>
      <c r="O211" s="213"/>
      <c r="P211" s="213"/>
      <c r="Q211" s="213"/>
      <c r="R211" s="213"/>
      <c r="S211" s="213"/>
      <c r="T211" s="213"/>
      <c r="U211" s="213"/>
      <c r="V211" s="213"/>
      <c r="W211" s="213"/>
      <c r="X211" s="213"/>
      <c r="Y211" s="213"/>
      <c r="Z211" s="213"/>
      <c r="AA211" s="213"/>
      <c r="AB211" s="213"/>
      <c r="AC211" s="213"/>
      <c r="AD211" s="213"/>
      <c r="AE211" s="213"/>
      <c r="AF211" s="213"/>
      <c r="AG211" s="213"/>
      <c r="AH211" s="213"/>
      <c r="AI211" s="213"/>
      <c r="AJ211" s="213"/>
      <c r="AK211" s="213"/>
      <c r="AL211" s="213"/>
      <c r="AM211" s="213"/>
      <c r="AN211" s="213"/>
      <c r="AO211" s="213"/>
      <c r="AP211" s="213"/>
      <c r="AQ211" s="213"/>
      <c r="AR211" s="213"/>
      <c r="AS211" s="213"/>
      <c r="AT211" s="213"/>
      <c r="AU211" s="213"/>
      <c r="AV211" s="213"/>
      <c r="AW211" s="213"/>
      <c r="AX211" s="213"/>
      <c r="AY211" s="213"/>
      <c r="AZ211" s="213"/>
      <c r="BA211" s="213"/>
      <c r="BB211" s="213"/>
    </row>
    <row r="212" ht="15.75" customHeight="1">
      <c r="A212" s="213"/>
      <c r="B212" s="213"/>
      <c r="C212" s="213"/>
      <c r="D212" s="213"/>
      <c r="E212" s="213"/>
      <c r="F212" s="213"/>
      <c r="G212" s="213"/>
      <c r="H212" s="213"/>
      <c r="I212" s="213"/>
      <c r="J212" s="213"/>
      <c r="K212" s="215"/>
      <c r="L212" s="213"/>
      <c r="M212" s="215"/>
      <c r="N212" s="213"/>
      <c r="O212" s="213"/>
      <c r="P212" s="213"/>
      <c r="Q212" s="213"/>
      <c r="R212" s="213"/>
      <c r="S212" s="213"/>
      <c r="T212" s="213"/>
      <c r="U212" s="213"/>
      <c r="V212" s="213"/>
      <c r="W212" s="213"/>
      <c r="X212" s="213"/>
      <c r="Y212" s="213"/>
      <c r="Z212" s="213"/>
      <c r="AA212" s="213"/>
      <c r="AB212" s="213"/>
      <c r="AC212" s="213"/>
      <c r="AD212" s="213"/>
      <c r="AE212" s="213"/>
      <c r="AF212" s="213"/>
      <c r="AG212" s="213"/>
      <c r="AH212" s="213"/>
      <c r="AI212" s="213"/>
      <c r="AJ212" s="213"/>
      <c r="AK212" s="213"/>
      <c r="AL212" s="213"/>
      <c r="AM212" s="213"/>
      <c r="AN212" s="213"/>
      <c r="AO212" s="213"/>
      <c r="AP212" s="213"/>
      <c r="AQ212" s="213"/>
      <c r="AR212" s="213"/>
      <c r="AS212" s="213"/>
      <c r="AT212" s="213"/>
      <c r="AU212" s="213"/>
      <c r="AV212" s="213"/>
      <c r="AW212" s="213"/>
      <c r="AX212" s="213"/>
      <c r="AY212" s="213"/>
      <c r="AZ212" s="213"/>
      <c r="BA212" s="213"/>
      <c r="BB212" s="213"/>
    </row>
    <row r="213" ht="15.75" customHeight="1">
      <c r="A213" s="213"/>
      <c r="B213" s="213"/>
      <c r="C213" s="213"/>
      <c r="D213" s="213"/>
      <c r="E213" s="213"/>
      <c r="F213" s="213"/>
      <c r="G213" s="213"/>
      <c r="H213" s="213"/>
      <c r="I213" s="213"/>
      <c r="J213" s="213"/>
      <c r="K213" s="215"/>
      <c r="L213" s="213"/>
      <c r="M213" s="215"/>
      <c r="N213" s="213"/>
      <c r="O213" s="213"/>
      <c r="P213" s="213"/>
      <c r="Q213" s="213"/>
      <c r="R213" s="213"/>
      <c r="S213" s="213"/>
      <c r="T213" s="213"/>
      <c r="U213" s="213"/>
      <c r="V213" s="213"/>
      <c r="W213" s="213"/>
      <c r="X213" s="213"/>
      <c r="Y213" s="213"/>
      <c r="Z213" s="213"/>
      <c r="AA213" s="213"/>
      <c r="AB213" s="213"/>
      <c r="AC213" s="213"/>
      <c r="AD213" s="213"/>
      <c r="AE213" s="213"/>
      <c r="AF213" s="213"/>
      <c r="AG213" s="213"/>
      <c r="AH213" s="213"/>
      <c r="AI213" s="213"/>
      <c r="AJ213" s="213"/>
      <c r="AK213" s="213"/>
      <c r="AL213" s="213"/>
      <c r="AM213" s="213"/>
      <c r="AN213" s="213"/>
      <c r="AO213" s="213"/>
      <c r="AP213" s="213"/>
      <c r="AQ213" s="213"/>
      <c r="AR213" s="213"/>
      <c r="AS213" s="213"/>
      <c r="AT213" s="213"/>
      <c r="AU213" s="213"/>
      <c r="AV213" s="213"/>
      <c r="AW213" s="213"/>
      <c r="AX213" s="213"/>
      <c r="AY213" s="213"/>
      <c r="AZ213" s="213"/>
      <c r="BA213" s="213"/>
      <c r="BB213" s="213"/>
    </row>
    <row r="214" ht="15.75" customHeight="1">
      <c r="A214" s="213"/>
      <c r="B214" s="213"/>
      <c r="C214" s="213"/>
      <c r="D214" s="213"/>
      <c r="E214" s="213"/>
      <c r="F214" s="213"/>
      <c r="G214" s="213"/>
      <c r="H214" s="213"/>
      <c r="I214" s="213"/>
      <c r="J214" s="213"/>
      <c r="K214" s="215"/>
      <c r="L214" s="213"/>
      <c r="M214" s="215"/>
      <c r="N214" s="213"/>
      <c r="O214" s="213"/>
      <c r="P214" s="213"/>
      <c r="Q214" s="213"/>
      <c r="R214" s="213"/>
      <c r="S214" s="213"/>
      <c r="T214" s="213"/>
      <c r="U214" s="213"/>
      <c r="V214" s="213"/>
      <c r="W214" s="213"/>
      <c r="X214" s="213"/>
      <c r="Y214" s="213"/>
      <c r="Z214" s="213"/>
      <c r="AA214" s="213"/>
      <c r="AB214" s="213"/>
      <c r="AC214" s="213"/>
      <c r="AD214" s="213"/>
      <c r="AE214" s="213"/>
      <c r="AF214" s="213"/>
      <c r="AG214" s="213"/>
      <c r="AH214" s="213"/>
      <c r="AI214" s="213"/>
      <c r="AJ214" s="213"/>
      <c r="AK214" s="213"/>
      <c r="AL214" s="213"/>
      <c r="AM214" s="213"/>
      <c r="AN214" s="213"/>
      <c r="AO214" s="213"/>
      <c r="AP214" s="213"/>
      <c r="AQ214" s="213"/>
      <c r="AR214" s="213"/>
      <c r="AS214" s="213"/>
      <c r="AT214" s="213"/>
      <c r="AU214" s="213"/>
      <c r="AV214" s="213"/>
      <c r="AW214" s="213"/>
      <c r="AX214" s="213"/>
      <c r="AY214" s="213"/>
      <c r="AZ214" s="213"/>
      <c r="BA214" s="213"/>
      <c r="BB214" s="213"/>
    </row>
    <row r="215" ht="15.75" customHeight="1">
      <c r="A215" s="213"/>
      <c r="B215" s="213"/>
      <c r="C215" s="213"/>
      <c r="D215" s="213"/>
      <c r="E215" s="213"/>
      <c r="F215" s="213"/>
      <c r="G215" s="213"/>
      <c r="H215" s="213"/>
      <c r="I215" s="213"/>
      <c r="J215" s="213"/>
      <c r="K215" s="215"/>
      <c r="L215" s="213"/>
      <c r="M215" s="215"/>
      <c r="N215" s="213"/>
      <c r="O215" s="213"/>
      <c r="P215" s="213"/>
      <c r="Q215" s="213"/>
      <c r="R215" s="213"/>
      <c r="S215" s="213"/>
      <c r="T215" s="213"/>
      <c r="U215" s="213"/>
      <c r="V215" s="213"/>
      <c r="W215" s="213"/>
      <c r="X215" s="213"/>
      <c r="Y215" s="213"/>
      <c r="Z215" s="213"/>
      <c r="AA215" s="213"/>
      <c r="AB215" s="213"/>
      <c r="AC215" s="213"/>
      <c r="AD215" s="213"/>
      <c r="AE215" s="213"/>
      <c r="AF215" s="213"/>
      <c r="AG215" s="213"/>
      <c r="AH215" s="213"/>
      <c r="AI215" s="213"/>
      <c r="AJ215" s="213"/>
      <c r="AK215" s="213"/>
      <c r="AL215" s="213"/>
      <c r="AM215" s="213"/>
      <c r="AN215" s="213"/>
      <c r="AO215" s="213"/>
      <c r="AP215" s="213"/>
      <c r="AQ215" s="213"/>
      <c r="AR215" s="213"/>
      <c r="AS215" s="213"/>
      <c r="AT215" s="213"/>
      <c r="AU215" s="213"/>
      <c r="AV215" s="213"/>
      <c r="AW215" s="213"/>
      <c r="AX215" s="213"/>
      <c r="AY215" s="213"/>
      <c r="AZ215" s="213"/>
      <c r="BA215" s="213"/>
      <c r="BB215" s="213"/>
    </row>
    <row r="216" ht="15.75" customHeight="1">
      <c r="A216" s="213"/>
      <c r="B216" s="213"/>
      <c r="C216" s="213"/>
      <c r="D216" s="213"/>
      <c r="E216" s="213"/>
      <c r="F216" s="213"/>
      <c r="G216" s="213"/>
      <c r="H216" s="213"/>
      <c r="I216" s="213"/>
      <c r="J216" s="213"/>
      <c r="K216" s="215"/>
      <c r="L216" s="213"/>
      <c r="M216" s="215"/>
      <c r="N216" s="213"/>
      <c r="O216" s="213"/>
      <c r="P216" s="213"/>
      <c r="Q216" s="213"/>
      <c r="R216" s="213"/>
      <c r="S216" s="213"/>
      <c r="T216" s="213"/>
      <c r="U216" s="213"/>
      <c r="V216" s="213"/>
      <c r="W216" s="213"/>
      <c r="X216" s="213"/>
      <c r="Y216" s="213"/>
      <c r="Z216" s="213"/>
      <c r="AA216" s="213"/>
      <c r="AB216" s="213"/>
      <c r="AC216" s="213"/>
      <c r="AD216" s="213"/>
      <c r="AE216" s="213"/>
      <c r="AF216" s="213"/>
      <c r="AG216" s="213"/>
      <c r="AH216" s="213"/>
      <c r="AI216" s="213"/>
      <c r="AJ216" s="213"/>
      <c r="AK216" s="213"/>
      <c r="AL216" s="213"/>
      <c r="AM216" s="213"/>
      <c r="AN216" s="213"/>
      <c r="AO216" s="213"/>
      <c r="AP216" s="213"/>
      <c r="AQ216" s="213"/>
      <c r="AR216" s="213"/>
      <c r="AS216" s="213"/>
      <c r="AT216" s="213"/>
      <c r="AU216" s="213"/>
      <c r="AV216" s="213"/>
      <c r="AW216" s="213"/>
      <c r="AX216" s="213"/>
      <c r="AY216" s="213"/>
      <c r="AZ216" s="213"/>
      <c r="BA216" s="213"/>
      <c r="BB216" s="213"/>
    </row>
    <row r="217" ht="15.75" customHeight="1">
      <c r="A217" s="213"/>
      <c r="B217" s="213"/>
      <c r="C217" s="213"/>
      <c r="D217" s="213"/>
      <c r="E217" s="213"/>
      <c r="F217" s="213"/>
      <c r="G217" s="213"/>
      <c r="H217" s="213"/>
      <c r="I217" s="213"/>
      <c r="J217" s="213"/>
      <c r="K217" s="215"/>
      <c r="L217" s="213"/>
      <c r="M217" s="215"/>
      <c r="N217" s="213"/>
      <c r="O217" s="213"/>
      <c r="P217" s="213"/>
      <c r="Q217" s="213"/>
      <c r="R217" s="213"/>
      <c r="S217" s="213"/>
      <c r="T217" s="213"/>
      <c r="U217" s="213"/>
      <c r="V217" s="213"/>
      <c r="W217" s="213"/>
      <c r="X217" s="213"/>
      <c r="Y217" s="213"/>
      <c r="Z217" s="213"/>
      <c r="AA217" s="213"/>
      <c r="AB217" s="213"/>
      <c r="AC217" s="213"/>
      <c r="AD217" s="213"/>
      <c r="AE217" s="213"/>
      <c r="AF217" s="213"/>
      <c r="AG217" s="213"/>
      <c r="AH217" s="213"/>
      <c r="AI217" s="213"/>
      <c r="AJ217" s="213"/>
      <c r="AK217" s="213"/>
      <c r="AL217" s="213"/>
      <c r="AM217" s="213"/>
      <c r="AN217" s="213"/>
      <c r="AO217" s="213"/>
      <c r="AP217" s="213"/>
      <c r="AQ217" s="213"/>
      <c r="AR217" s="213"/>
      <c r="AS217" s="213"/>
      <c r="AT217" s="213"/>
      <c r="AU217" s="213"/>
      <c r="AV217" s="213"/>
      <c r="AW217" s="213"/>
      <c r="AX217" s="213"/>
      <c r="AY217" s="213"/>
      <c r="AZ217" s="213"/>
      <c r="BA217" s="213"/>
      <c r="BB217" s="213"/>
    </row>
    <row r="218" ht="15.75" customHeight="1">
      <c r="A218" s="213"/>
      <c r="B218" s="213"/>
      <c r="C218" s="213"/>
      <c r="D218" s="213"/>
      <c r="E218" s="213"/>
      <c r="F218" s="213"/>
      <c r="G218" s="213"/>
      <c r="H218" s="213"/>
      <c r="I218" s="213"/>
      <c r="J218" s="213"/>
      <c r="K218" s="215"/>
      <c r="L218" s="213"/>
      <c r="M218" s="215"/>
      <c r="N218" s="213"/>
      <c r="O218" s="213"/>
      <c r="P218" s="213"/>
      <c r="Q218" s="213"/>
      <c r="R218" s="213"/>
      <c r="S218" s="213"/>
      <c r="T218" s="213"/>
      <c r="U218" s="213"/>
      <c r="V218" s="213"/>
      <c r="W218" s="213"/>
      <c r="X218" s="213"/>
      <c r="Y218" s="213"/>
      <c r="Z218" s="213"/>
      <c r="AA218" s="213"/>
      <c r="AB218" s="213"/>
      <c r="AC218" s="213"/>
      <c r="AD218" s="213"/>
      <c r="AE218" s="213"/>
      <c r="AF218" s="213"/>
      <c r="AG218" s="213"/>
      <c r="AH218" s="213"/>
      <c r="AI218" s="213"/>
      <c r="AJ218" s="213"/>
      <c r="AK218" s="213"/>
      <c r="AL218" s="213"/>
      <c r="AM218" s="213"/>
      <c r="AN218" s="213"/>
      <c r="AO218" s="213"/>
      <c r="AP218" s="213"/>
      <c r="AQ218" s="213"/>
      <c r="AR218" s="213"/>
      <c r="AS218" s="213"/>
      <c r="AT218" s="213"/>
      <c r="AU218" s="213"/>
      <c r="AV218" s="213"/>
      <c r="AW218" s="213"/>
      <c r="AX218" s="213"/>
      <c r="AY218" s="213"/>
      <c r="AZ218" s="213"/>
      <c r="BA218" s="213"/>
      <c r="BB218" s="213"/>
    </row>
    <row r="219" ht="15.75" customHeight="1">
      <c r="A219" s="213"/>
      <c r="B219" s="213"/>
      <c r="C219" s="213"/>
      <c r="D219" s="213"/>
      <c r="E219" s="213"/>
      <c r="F219" s="213"/>
      <c r="G219" s="213"/>
      <c r="H219" s="213"/>
      <c r="I219" s="213"/>
      <c r="J219" s="213"/>
      <c r="K219" s="215"/>
      <c r="L219" s="213"/>
      <c r="M219" s="215"/>
      <c r="N219" s="213"/>
      <c r="O219" s="213"/>
      <c r="P219" s="213"/>
      <c r="Q219" s="213"/>
      <c r="R219" s="213"/>
      <c r="S219" s="213"/>
      <c r="T219" s="213"/>
      <c r="U219" s="213"/>
      <c r="V219" s="213"/>
      <c r="W219" s="213"/>
      <c r="X219" s="213"/>
      <c r="Y219" s="213"/>
      <c r="Z219" s="213"/>
      <c r="AA219" s="213"/>
      <c r="AB219" s="213"/>
      <c r="AC219" s="213"/>
      <c r="AD219" s="213"/>
      <c r="AE219" s="213"/>
      <c r="AF219" s="213"/>
      <c r="AG219" s="213"/>
      <c r="AH219" s="213"/>
      <c r="AI219" s="213"/>
      <c r="AJ219" s="213"/>
      <c r="AK219" s="213"/>
      <c r="AL219" s="213"/>
      <c r="AM219" s="213"/>
      <c r="AN219" s="213"/>
      <c r="AO219" s="213"/>
      <c r="AP219" s="213"/>
      <c r="AQ219" s="213"/>
      <c r="AR219" s="213"/>
      <c r="AS219" s="213"/>
      <c r="AT219" s="213"/>
      <c r="AU219" s="213"/>
      <c r="AV219" s="213"/>
      <c r="AW219" s="213"/>
      <c r="AX219" s="213"/>
      <c r="AY219" s="213"/>
      <c r="AZ219" s="213"/>
      <c r="BA219" s="213"/>
      <c r="BB219" s="213"/>
    </row>
    <row r="220" ht="15.75" customHeight="1">
      <c r="A220" s="213"/>
      <c r="B220" s="213"/>
      <c r="C220" s="213"/>
      <c r="D220" s="213"/>
      <c r="E220" s="213"/>
      <c r="F220" s="213"/>
      <c r="G220" s="213"/>
      <c r="H220" s="213"/>
      <c r="I220" s="213"/>
      <c r="J220" s="213"/>
      <c r="K220" s="215"/>
      <c r="L220" s="213"/>
      <c r="M220" s="215"/>
      <c r="N220" s="213"/>
      <c r="O220" s="213"/>
      <c r="P220" s="213"/>
      <c r="Q220" s="213"/>
      <c r="R220" s="213"/>
      <c r="S220" s="213"/>
      <c r="T220" s="213"/>
      <c r="U220" s="213"/>
      <c r="V220" s="213"/>
      <c r="W220" s="213"/>
      <c r="X220" s="213"/>
      <c r="Y220" s="213"/>
      <c r="Z220" s="213"/>
      <c r="AA220" s="213"/>
      <c r="AB220" s="213"/>
      <c r="AC220" s="213"/>
      <c r="AD220" s="213"/>
      <c r="AE220" s="213"/>
      <c r="AF220" s="213"/>
      <c r="AG220" s="213"/>
      <c r="AH220" s="213"/>
      <c r="AI220" s="213"/>
      <c r="AJ220" s="213"/>
      <c r="AK220" s="213"/>
      <c r="AL220" s="213"/>
      <c r="AM220" s="213"/>
      <c r="AN220" s="213"/>
      <c r="AO220" s="213"/>
      <c r="AP220" s="213"/>
      <c r="AQ220" s="213"/>
      <c r="AR220" s="213"/>
      <c r="AS220" s="213"/>
      <c r="AT220" s="213"/>
      <c r="AU220" s="213"/>
      <c r="AV220" s="213"/>
      <c r="AW220" s="213"/>
      <c r="AX220" s="213"/>
      <c r="AY220" s="213"/>
      <c r="AZ220" s="213"/>
      <c r="BA220" s="213"/>
      <c r="BB220" s="213"/>
    </row>
    <row r="221" ht="15.75" customHeight="1">
      <c r="A221" s="213"/>
      <c r="B221" s="213"/>
      <c r="C221" s="213"/>
      <c r="D221" s="213"/>
      <c r="E221" s="213"/>
      <c r="F221" s="213"/>
      <c r="G221" s="213"/>
      <c r="H221" s="213"/>
      <c r="I221" s="213"/>
      <c r="J221" s="213"/>
      <c r="K221" s="215"/>
      <c r="L221" s="213"/>
      <c r="M221" s="215"/>
      <c r="N221" s="213"/>
      <c r="O221" s="213"/>
      <c r="P221" s="213"/>
      <c r="Q221" s="213"/>
      <c r="R221" s="213"/>
      <c r="S221" s="213"/>
      <c r="T221" s="213"/>
      <c r="U221" s="213"/>
      <c r="V221" s="213"/>
      <c r="W221" s="213"/>
      <c r="X221" s="213"/>
      <c r="Y221" s="213"/>
      <c r="Z221" s="213"/>
      <c r="AA221" s="213"/>
      <c r="AB221" s="213"/>
      <c r="AC221" s="213"/>
      <c r="AD221" s="213"/>
      <c r="AE221" s="213"/>
      <c r="AF221" s="213"/>
      <c r="AG221" s="213"/>
      <c r="AH221" s="213"/>
      <c r="AI221" s="213"/>
      <c r="AJ221" s="213"/>
      <c r="AK221" s="213"/>
      <c r="AL221" s="213"/>
      <c r="AM221" s="213"/>
      <c r="AN221" s="213"/>
      <c r="AO221" s="213"/>
      <c r="AP221" s="213"/>
      <c r="AQ221" s="213"/>
      <c r="AR221" s="213"/>
      <c r="AS221" s="213"/>
      <c r="AT221" s="213"/>
      <c r="AU221" s="213"/>
      <c r="AV221" s="213"/>
      <c r="AW221" s="213"/>
      <c r="AX221" s="213"/>
      <c r="AY221" s="213"/>
      <c r="AZ221" s="213"/>
      <c r="BA221" s="213"/>
      <c r="BB221" s="213"/>
    </row>
    <row r="222" ht="15.75" customHeight="1">
      <c r="A222" s="213"/>
      <c r="B222" s="213"/>
      <c r="C222" s="213"/>
      <c r="D222" s="213"/>
      <c r="E222" s="213"/>
      <c r="F222" s="213"/>
      <c r="G222" s="213"/>
      <c r="H222" s="213"/>
      <c r="I222" s="213"/>
      <c r="J222" s="213"/>
      <c r="K222" s="215"/>
      <c r="L222" s="213"/>
      <c r="M222" s="215"/>
      <c r="N222" s="213"/>
      <c r="O222" s="213"/>
      <c r="P222" s="213"/>
      <c r="Q222" s="213"/>
      <c r="R222" s="213"/>
      <c r="S222" s="213"/>
      <c r="T222" s="213"/>
      <c r="U222" s="213"/>
      <c r="V222" s="213"/>
      <c r="W222" s="213"/>
      <c r="X222" s="213"/>
      <c r="Y222" s="213"/>
      <c r="Z222" s="213"/>
      <c r="AA222" s="213"/>
      <c r="AB222" s="213"/>
      <c r="AC222" s="213"/>
      <c r="AD222" s="213"/>
      <c r="AE222" s="213"/>
      <c r="AF222" s="213"/>
      <c r="AG222" s="213"/>
      <c r="AH222" s="213"/>
      <c r="AI222" s="213"/>
      <c r="AJ222" s="213"/>
      <c r="AK222" s="213"/>
      <c r="AL222" s="213"/>
      <c r="AM222" s="213"/>
      <c r="AN222" s="213"/>
      <c r="AO222" s="213"/>
      <c r="AP222" s="213"/>
      <c r="AQ222" s="213"/>
      <c r="AR222" s="213"/>
      <c r="AS222" s="213"/>
      <c r="AT222" s="213"/>
      <c r="AU222" s="213"/>
      <c r="AV222" s="213"/>
      <c r="AW222" s="213"/>
      <c r="AX222" s="213"/>
      <c r="AY222" s="213"/>
      <c r="AZ222" s="213"/>
      <c r="BA222" s="213"/>
      <c r="BB222" s="213"/>
    </row>
    <row r="223" ht="15.75" customHeight="1">
      <c r="A223" s="213"/>
      <c r="B223" s="213"/>
      <c r="C223" s="213"/>
      <c r="D223" s="213"/>
      <c r="E223" s="213"/>
      <c r="F223" s="213"/>
      <c r="G223" s="213"/>
      <c r="H223" s="213"/>
      <c r="I223" s="213"/>
      <c r="J223" s="213"/>
      <c r="K223" s="215"/>
      <c r="L223" s="213"/>
      <c r="M223" s="215"/>
      <c r="N223" s="213"/>
      <c r="O223" s="213"/>
      <c r="P223" s="213"/>
      <c r="Q223" s="213"/>
      <c r="R223" s="213"/>
      <c r="S223" s="213"/>
      <c r="T223" s="213"/>
      <c r="U223" s="213"/>
      <c r="V223" s="213"/>
      <c r="W223" s="213"/>
      <c r="X223" s="213"/>
      <c r="Y223" s="213"/>
      <c r="Z223" s="213"/>
      <c r="AA223" s="213"/>
      <c r="AB223" s="213"/>
      <c r="AC223" s="213"/>
      <c r="AD223" s="213"/>
      <c r="AE223" s="213"/>
      <c r="AF223" s="213"/>
      <c r="AG223" s="213"/>
      <c r="AH223" s="213"/>
      <c r="AI223" s="213"/>
      <c r="AJ223" s="213"/>
      <c r="AK223" s="213"/>
      <c r="AL223" s="213"/>
      <c r="AM223" s="213"/>
      <c r="AN223" s="213"/>
      <c r="AO223" s="213"/>
      <c r="AP223" s="213"/>
      <c r="AQ223" s="213"/>
      <c r="AR223" s="213"/>
      <c r="AS223" s="213"/>
      <c r="AT223" s="213"/>
      <c r="AU223" s="213"/>
      <c r="AV223" s="213"/>
      <c r="AW223" s="213"/>
      <c r="AX223" s="213"/>
      <c r="AY223" s="213"/>
      <c r="AZ223" s="213"/>
      <c r="BA223" s="213"/>
      <c r="BB223" s="213"/>
    </row>
    <row r="224" ht="15.75" customHeight="1">
      <c r="A224" s="213"/>
      <c r="B224" s="213"/>
      <c r="C224" s="213"/>
      <c r="D224" s="213"/>
      <c r="E224" s="213"/>
      <c r="F224" s="213"/>
      <c r="G224" s="213"/>
      <c r="H224" s="213"/>
      <c r="I224" s="213"/>
      <c r="J224" s="213"/>
      <c r="K224" s="215"/>
      <c r="L224" s="213"/>
      <c r="M224" s="215"/>
      <c r="N224" s="213"/>
      <c r="O224" s="213"/>
      <c r="P224" s="213"/>
      <c r="Q224" s="213"/>
      <c r="R224" s="213"/>
      <c r="S224" s="213"/>
      <c r="T224" s="213"/>
      <c r="U224" s="213"/>
      <c r="V224" s="213"/>
      <c r="W224" s="213"/>
      <c r="X224" s="213"/>
      <c r="Y224" s="213"/>
      <c r="Z224" s="213"/>
      <c r="AA224" s="213"/>
      <c r="AB224" s="213"/>
      <c r="AC224" s="213"/>
      <c r="AD224" s="213"/>
      <c r="AE224" s="213"/>
      <c r="AF224" s="213"/>
      <c r="AG224" s="213"/>
      <c r="AH224" s="213"/>
      <c r="AI224" s="213"/>
      <c r="AJ224" s="213"/>
      <c r="AK224" s="213"/>
      <c r="AL224" s="213"/>
      <c r="AM224" s="213"/>
      <c r="AN224" s="213"/>
      <c r="AO224" s="213"/>
      <c r="AP224" s="213"/>
      <c r="AQ224" s="213"/>
      <c r="AR224" s="213"/>
      <c r="AS224" s="213"/>
      <c r="AT224" s="213"/>
      <c r="AU224" s="213"/>
      <c r="AV224" s="213"/>
      <c r="AW224" s="213"/>
      <c r="AX224" s="213"/>
      <c r="AY224" s="213"/>
      <c r="AZ224" s="213"/>
      <c r="BA224" s="213"/>
      <c r="BB224" s="213"/>
    </row>
    <row r="225" ht="15.75" customHeight="1">
      <c r="A225" s="213"/>
      <c r="B225" s="213"/>
      <c r="C225" s="213"/>
      <c r="D225" s="213"/>
      <c r="E225" s="213"/>
      <c r="F225" s="213"/>
      <c r="G225" s="213"/>
      <c r="H225" s="213"/>
      <c r="I225" s="213"/>
      <c r="J225" s="213"/>
      <c r="K225" s="215"/>
      <c r="L225" s="213"/>
      <c r="M225" s="215"/>
      <c r="N225" s="213"/>
      <c r="O225" s="213"/>
      <c r="P225" s="213"/>
      <c r="Q225" s="213"/>
      <c r="R225" s="213"/>
      <c r="S225" s="213"/>
      <c r="T225" s="213"/>
      <c r="U225" s="213"/>
      <c r="V225" s="213"/>
      <c r="W225" s="213"/>
      <c r="X225" s="213"/>
      <c r="Y225" s="213"/>
      <c r="Z225" s="213"/>
      <c r="AA225" s="213"/>
      <c r="AB225" s="213"/>
      <c r="AC225" s="213"/>
      <c r="AD225" s="213"/>
      <c r="AE225" s="213"/>
      <c r="AF225" s="213"/>
      <c r="AG225" s="213"/>
      <c r="AH225" s="213"/>
      <c r="AI225" s="213"/>
      <c r="AJ225" s="213"/>
      <c r="AK225" s="213"/>
      <c r="AL225" s="213"/>
      <c r="AM225" s="213"/>
      <c r="AN225" s="213"/>
      <c r="AO225" s="213"/>
      <c r="AP225" s="213"/>
      <c r="AQ225" s="213"/>
      <c r="AR225" s="213"/>
      <c r="AS225" s="213"/>
      <c r="AT225" s="213"/>
      <c r="AU225" s="213"/>
      <c r="AV225" s="213"/>
      <c r="AW225" s="213"/>
      <c r="AX225" s="213"/>
      <c r="AY225" s="213"/>
      <c r="AZ225" s="213"/>
      <c r="BA225" s="213"/>
      <c r="BB225" s="213"/>
    </row>
    <row r="226" ht="15.75" customHeight="1">
      <c r="A226" s="213"/>
      <c r="B226" s="213"/>
      <c r="C226" s="213"/>
      <c r="D226" s="213"/>
      <c r="E226" s="213"/>
      <c r="F226" s="213"/>
      <c r="G226" s="213"/>
      <c r="H226" s="213"/>
      <c r="I226" s="213"/>
      <c r="J226" s="213"/>
      <c r="K226" s="215"/>
      <c r="L226" s="213"/>
      <c r="M226" s="215"/>
      <c r="N226" s="213"/>
      <c r="O226" s="213"/>
      <c r="P226" s="213"/>
      <c r="Q226" s="213"/>
      <c r="R226" s="213"/>
      <c r="S226" s="213"/>
      <c r="T226" s="213"/>
      <c r="U226" s="213"/>
      <c r="V226" s="213"/>
      <c r="W226" s="213"/>
      <c r="X226" s="213"/>
      <c r="Y226" s="213"/>
      <c r="Z226" s="213"/>
      <c r="AA226" s="213"/>
      <c r="AB226" s="213"/>
      <c r="AC226" s="213"/>
      <c r="AD226" s="213"/>
      <c r="AE226" s="213"/>
      <c r="AF226" s="213"/>
      <c r="AG226" s="213"/>
      <c r="AH226" s="213"/>
      <c r="AI226" s="213"/>
      <c r="AJ226" s="213"/>
      <c r="AK226" s="213"/>
      <c r="AL226" s="213"/>
      <c r="AM226" s="213"/>
      <c r="AN226" s="213"/>
      <c r="AO226" s="213"/>
      <c r="AP226" s="213"/>
      <c r="AQ226" s="213"/>
      <c r="AR226" s="213"/>
      <c r="AS226" s="213"/>
      <c r="AT226" s="213"/>
      <c r="AU226" s="213"/>
      <c r="AV226" s="213"/>
      <c r="AW226" s="213"/>
      <c r="AX226" s="213"/>
      <c r="AY226" s="213"/>
      <c r="AZ226" s="213"/>
      <c r="BA226" s="213"/>
      <c r="BB226" s="213"/>
    </row>
    <row r="227" ht="15.75" customHeight="1">
      <c r="A227" s="213"/>
      <c r="B227" s="213"/>
      <c r="C227" s="213"/>
      <c r="D227" s="213"/>
      <c r="E227" s="213"/>
      <c r="F227" s="213"/>
      <c r="G227" s="213"/>
      <c r="H227" s="213"/>
      <c r="I227" s="213"/>
      <c r="J227" s="213"/>
      <c r="K227" s="215"/>
      <c r="L227" s="213"/>
      <c r="M227" s="215"/>
      <c r="N227" s="213"/>
      <c r="O227" s="213"/>
      <c r="P227" s="213"/>
      <c r="Q227" s="213"/>
      <c r="R227" s="213"/>
      <c r="S227" s="213"/>
      <c r="T227" s="213"/>
      <c r="U227" s="213"/>
      <c r="V227" s="213"/>
      <c r="W227" s="213"/>
      <c r="X227" s="213"/>
      <c r="Y227" s="213"/>
      <c r="Z227" s="213"/>
      <c r="AA227" s="213"/>
      <c r="AB227" s="213"/>
      <c r="AC227" s="213"/>
      <c r="AD227" s="213"/>
      <c r="AE227" s="213"/>
      <c r="AF227" s="213"/>
      <c r="AG227" s="213"/>
      <c r="AH227" s="213"/>
      <c r="AI227" s="213"/>
      <c r="AJ227" s="213"/>
      <c r="AK227" s="213"/>
      <c r="AL227" s="213"/>
      <c r="AM227" s="213"/>
      <c r="AN227" s="213"/>
      <c r="AO227" s="213"/>
      <c r="AP227" s="213"/>
      <c r="AQ227" s="213"/>
      <c r="AR227" s="213"/>
      <c r="AS227" s="213"/>
      <c r="AT227" s="213"/>
      <c r="AU227" s="213"/>
      <c r="AV227" s="213"/>
      <c r="AW227" s="213"/>
      <c r="AX227" s="213"/>
      <c r="AY227" s="213"/>
      <c r="AZ227" s="213"/>
      <c r="BA227" s="213"/>
      <c r="BB227" s="213"/>
    </row>
    <row r="228" ht="15.75" customHeight="1">
      <c r="A228" s="213"/>
      <c r="B228" s="213"/>
      <c r="C228" s="213"/>
      <c r="D228" s="213"/>
      <c r="E228" s="213"/>
      <c r="F228" s="213"/>
      <c r="G228" s="213"/>
      <c r="H228" s="213"/>
      <c r="I228" s="213"/>
      <c r="J228" s="213"/>
      <c r="K228" s="215"/>
      <c r="L228" s="213"/>
      <c r="M228" s="215"/>
      <c r="N228" s="213"/>
      <c r="O228" s="213"/>
      <c r="P228" s="213"/>
      <c r="Q228" s="213"/>
      <c r="R228" s="213"/>
      <c r="S228" s="213"/>
      <c r="T228" s="213"/>
      <c r="U228" s="213"/>
      <c r="V228" s="213"/>
      <c r="W228" s="213"/>
      <c r="X228" s="213"/>
      <c r="Y228" s="213"/>
      <c r="Z228" s="213"/>
      <c r="AA228" s="213"/>
      <c r="AB228" s="213"/>
      <c r="AC228" s="213"/>
      <c r="AD228" s="213"/>
      <c r="AE228" s="213"/>
      <c r="AF228" s="213"/>
      <c r="AG228" s="213"/>
      <c r="AH228" s="213"/>
      <c r="AI228" s="213"/>
      <c r="AJ228" s="213"/>
      <c r="AK228" s="213"/>
      <c r="AL228" s="213"/>
      <c r="AM228" s="213"/>
      <c r="AN228" s="213"/>
      <c r="AO228" s="213"/>
      <c r="AP228" s="213"/>
      <c r="AQ228" s="213"/>
      <c r="AR228" s="213"/>
      <c r="AS228" s="213"/>
      <c r="AT228" s="213"/>
      <c r="AU228" s="213"/>
      <c r="AV228" s="213"/>
      <c r="AW228" s="213"/>
      <c r="AX228" s="213"/>
      <c r="AY228" s="213"/>
      <c r="AZ228" s="213"/>
      <c r="BA228" s="213"/>
      <c r="BB228" s="213"/>
    </row>
    <row r="229" ht="15.75" customHeight="1">
      <c r="A229" s="213"/>
      <c r="B229" s="213"/>
      <c r="C229" s="213"/>
      <c r="D229" s="213"/>
      <c r="E229" s="213"/>
      <c r="F229" s="213"/>
      <c r="G229" s="213"/>
      <c r="H229" s="213"/>
      <c r="I229" s="213"/>
      <c r="J229" s="213"/>
      <c r="K229" s="215"/>
      <c r="L229" s="213"/>
      <c r="M229" s="215"/>
      <c r="N229" s="213"/>
      <c r="O229" s="213"/>
      <c r="P229" s="213"/>
      <c r="Q229" s="213"/>
      <c r="R229" s="213"/>
      <c r="S229" s="213"/>
      <c r="T229" s="213"/>
      <c r="U229" s="213"/>
      <c r="V229" s="213"/>
      <c r="W229" s="213"/>
      <c r="X229" s="213"/>
      <c r="Y229" s="213"/>
      <c r="Z229" s="213"/>
      <c r="AA229" s="213"/>
      <c r="AB229" s="213"/>
      <c r="AC229" s="213"/>
      <c r="AD229" s="213"/>
      <c r="AE229" s="213"/>
      <c r="AF229" s="213"/>
      <c r="AG229" s="213"/>
      <c r="AH229" s="213"/>
      <c r="AI229" s="213"/>
      <c r="AJ229" s="213"/>
      <c r="AK229" s="213"/>
      <c r="AL229" s="213"/>
      <c r="AM229" s="213"/>
      <c r="AN229" s="213"/>
      <c r="AO229" s="213"/>
      <c r="AP229" s="213"/>
      <c r="AQ229" s="213"/>
      <c r="AR229" s="213"/>
      <c r="AS229" s="213"/>
      <c r="AT229" s="213"/>
      <c r="AU229" s="213"/>
      <c r="AV229" s="213"/>
      <c r="AW229" s="213"/>
      <c r="AX229" s="213"/>
      <c r="AY229" s="213"/>
      <c r="AZ229" s="213"/>
      <c r="BA229" s="213"/>
      <c r="BB229" s="213"/>
    </row>
    <row r="230" ht="15.75" customHeight="1">
      <c r="A230" s="213"/>
      <c r="B230" s="213"/>
      <c r="C230" s="213"/>
      <c r="D230" s="213"/>
      <c r="E230" s="213"/>
      <c r="F230" s="213"/>
      <c r="G230" s="213"/>
      <c r="H230" s="213"/>
      <c r="I230" s="213"/>
      <c r="J230" s="213"/>
      <c r="K230" s="215"/>
      <c r="L230" s="213"/>
      <c r="M230" s="215"/>
      <c r="N230" s="213"/>
      <c r="O230" s="213"/>
      <c r="P230" s="213"/>
      <c r="Q230" s="213"/>
      <c r="R230" s="213"/>
      <c r="S230" s="213"/>
      <c r="T230" s="213"/>
      <c r="U230" s="213"/>
      <c r="V230" s="213"/>
      <c r="W230" s="213"/>
      <c r="X230" s="213"/>
      <c r="Y230" s="213"/>
      <c r="Z230" s="213"/>
      <c r="AA230" s="213"/>
      <c r="AB230" s="213"/>
      <c r="AC230" s="213"/>
      <c r="AD230" s="213"/>
      <c r="AE230" s="213"/>
      <c r="AF230" s="213"/>
      <c r="AG230" s="213"/>
      <c r="AH230" s="213"/>
      <c r="AI230" s="213"/>
      <c r="AJ230" s="213"/>
      <c r="AK230" s="213"/>
      <c r="AL230" s="213"/>
      <c r="AM230" s="213"/>
      <c r="AN230" s="213"/>
      <c r="AO230" s="213"/>
      <c r="AP230" s="213"/>
      <c r="AQ230" s="213"/>
      <c r="AR230" s="213"/>
      <c r="AS230" s="213"/>
      <c r="AT230" s="213"/>
      <c r="AU230" s="213"/>
      <c r="AV230" s="213"/>
      <c r="AW230" s="213"/>
      <c r="AX230" s="213"/>
      <c r="AY230" s="213"/>
      <c r="AZ230" s="213"/>
      <c r="BA230" s="213"/>
      <c r="BB230" s="213"/>
    </row>
    <row r="231" ht="15.75" customHeight="1">
      <c r="A231" s="213"/>
      <c r="B231" s="213"/>
      <c r="C231" s="213"/>
      <c r="D231" s="213"/>
      <c r="E231" s="213"/>
      <c r="F231" s="213"/>
      <c r="G231" s="213"/>
      <c r="H231" s="213"/>
      <c r="I231" s="213"/>
      <c r="J231" s="213"/>
      <c r="K231" s="215"/>
      <c r="L231" s="213"/>
      <c r="M231" s="215"/>
      <c r="N231" s="213"/>
      <c r="O231" s="213"/>
      <c r="P231" s="213"/>
      <c r="Q231" s="213"/>
      <c r="R231" s="213"/>
      <c r="S231" s="213"/>
      <c r="T231" s="213"/>
      <c r="U231" s="213"/>
      <c r="V231" s="213"/>
      <c r="W231" s="213"/>
      <c r="X231" s="213"/>
      <c r="Y231" s="213"/>
      <c r="Z231" s="213"/>
      <c r="AA231" s="213"/>
      <c r="AB231" s="213"/>
      <c r="AC231" s="213"/>
      <c r="AD231" s="213"/>
      <c r="AE231" s="213"/>
      <c r="AF231" s="213"/>
      <c r="AG231" s="213"/>
      <c r="AH231" s="213"/>
      <c r="AI231" s="213"/>
      <c r="AJ231" s="213"/>
      <c r="AK231" s="213"/>
      <c r="AL231" s="213"/>
      <c r="AM231" s="213"/>
      <c r="AN231" s="213"/>
      <c r="AO231" s="213"/>
      <c r="AP231" s="213"/>
      <c r="AQ231" s="213"/>
      <c r="AR231" s="213"/>
      <c r="AS231" s="213"/>
      <c r="AT231" s="213"/>
      <c r="AU231" s="213"/>
      <c r="AV231" s="213"/>
      <c r="AW231" s="213"/>
      <c r="AX231" s="213"/>
      <c r="AY231" s="213"/>
      <c r="AZ231" s="213"/>
      <c r="BA231" s="213"/>
      <c r="BB231" s="213"/>
    </row>
    <row r="232" ht="15.75" customHeight="1">
      <c r="A232" s="213"/>
      <c r="B232" s="213"/>
      <c r="C232" s="213"/>
      <c r="D232" s="213"/>
      <c r="E232" s="213"/>
      <c r="F232" s="213"/>
      <c r="G232" s="213"/>
      <c r="H232" s="213"/>
      <c r="I232" s="213"/>
      <c r="J232" s="213"/>
      <c r="K232" s="215"/>
      <c r="L232" s="213"/>
      <c r="M232" s="215"/>
      <c r="N232" s="213"/>
      <c r="O232" s="213"/>
      <c r="P232" s="213"/>
      <c r="Q232" s="213"/>
      <c r="R232" s="213"/>
      <c r="S232" s="213"/>
      <c r="T232" s="213"/>
      <c r="U232" s="213"/>
      <c r="V232" s="213"/>
      <c r="W232" s="213"/>
      <c r="X232" s="213"/>
      <c r="Y232" s="213"/>
      <c r="Z232" s="213"/>
      <c r="AA232" s="213"/>
      <c r="AB232" s="213"/>
      <c r="AC232" s="213"/>
      <c r="AD232" s="213"/>
      <c r="AE232" s="213"/>
      <c r="AF232" s="213"/>
      <c r="AG232" s="213"/>
      <c r="AH232" s="213"/>
      <c r="AI232" s="213"/>
      <c r="AJ232" s="213"/>
      <c r="AK232" s="213"/>
      <c r="AL232" s="213"/>
      <c r="AM232" s="213"/>
      <c r="AN232" s="213"/>
      <c r="AO232" s="213"/>
      <c r="AP232" s="213"/>
      <c r="AQ232" s="213"/>
      <c r="AR232" s="213"/>
      <c r="AS232" s="213"/>
      <c r="AT232" s="213"/>
      <c r="AU232" s="213"/>
      <c r="AV232" s="213"/>
      <c r="AW232" s="213"/>
      <c r="AX232" s="213"/>
      <c r="AY232" s="213"/>
      <c r="AZ232" s="213"/>
      <c r="BA232" s="213"/>
      <c r="BB232" s="213"/>
    </row>
    <row r="233" ht="15.75" customHeight="1">
      <c r="A233" s="213"/>
      <c r="B233" s="213"/>
      <c r="C233" s="213"/>
      <c r="D233" s="213"/>
      <c r="E233" s="213"/>
      <c r="F233" s="213"/>
      <c r="G233" s="213"/>
      <c r="H233" s="213"/>
      <c r="I233" s="213"/>
      <c r="J233" s="213"/>
      <c r="K233" s="215"/>
      <c r="L233" s="213"/>
      <c r="M233" s="215"/>
      <c r="N233" s="213"/>
      <c r="O233" s="213"/>
      <c r="P233" s="213"/>
      <c r="Q233" s="213"/>
      <c r="R233" s="213"/>
      <c r="S233" s="213"/>
      <c r="T233" s="213"/>
      <c r="U233" s="213"/>
      <c r="V233" s="213"/>
      <c r="W233" s="213"/>
      <c r="X233" s="213"/>
      <c r="Y233" s="213"/>
      <c r="Z233" s="213"/>
      <c r="AA233" s="213"/>
      <c r="AB233" s="213"/>
      <c r="AC233" s="213"/>
      <c r="AD233" s="213"/>
      <c r="AE233" s="213"/>
      <c r="AF233" s="213"/>
      <c r="AG233" s="213"/>
      <c r="AH233" s="213"/>
      <c r="AI233" s="213"/>
      <c r="AJ233" s="213"/>
      <c r="AK233" s="213"/>
      <c r="AL233" s="213"/>
      <c r="AM233" s="213"/>
      <c r="AN233" s="213"/>
      <c r="AO233" s="213"/>
      <c r="AP233" s="213"/>
      <c r="AQ233" s="213"/>
      <c r="AR233" s="213"/>
      <c r="AS233" s="213"/>
      <c r="AT233" s="213"/>
      <c r="AU233" s="213"/>
      <c r="AV233" s="213"/>
      <c r="AW233" s="213"/>
      <c r="AX233" s="213"/>
      <c r="AY233" s="213"/>
      <c r="AZ233" s="213"/>
      <c r="BA233" s="213"/>
      <c r="BB233" s="213"/>
    </row>
    <row r="234" ht="15.75" customHeight="1">
      <c r="A234" s="213"/>
      <c r="B234" s="213"/>
      <c r="C234" s="213"/>
      <c r="D234" s="213"/>
      <c r="E234" s="213"/>
      <c r="F234" s="213"/>
      <c r="G234" s="213"/>
      <c r="H234" s="213"/>
      <c r="I234" s="213"/>
      <c r="J234" s="213"/>
      <c r="K234" s="215"/>
      <c r="L234" s="213"/>
      <c r="M234" s="215"/>
      <c r="N234" s="213"/>
      <c r="O234" s="213"/>
      <c r="P234" s="213"/>
      <c r="Q234" s="213"/>
      <c r="R234" s="213"/>
      <c r="S234" s="213"/>
      <c r="T234" s="213"/>
      <c r="U234" s="213"/>
      <c r="V234" s="213"/>
      <c r="W234" s="213"/>
      <c r="X234" s="213"/>
      <c r="Y234" s="213"/>
      <c r="Z234" s="213"/>
      <c r="AA234" s="213"/>
      <c r="AB234" s="213"/>
      <c r="AC234" s="213"/>
      <c r="AD234" s="213"/>
      <c r="AE234" s="213"/>
      <c r="AF234" s="213"/>
      <c r="AG234" s="213"/>
      <c r="AH234" s="213"/>
      <c r="AI234" s="213"/>
      <c r="AJ234" s="213"/>
      <c r="AK234" s="213"/>
      <c r="AL234" s="213"/>
      <c r="AM234" s="213"/>
      <c r="AN234" s="213"/>
      <c r="AO234" s="213"/>
      <c r="AP234" s="213"/>
      <c r="AQ234" s="213"/>
      <c r="AR234" s="213"/>
      <c r="AS234" s="213"/>
      <c r="AT234" s="213"/>
      <c r="AU234" s="213"/>
      <c r="AV234" s="213"/>
      <c r="AW234" s="213"/>
      <c r="AX234" s="213"/>
      <c r="AY234" s="213"/>
      <c r="AZ234" s="213"/>
      <c r="BA234" s="213"/>
      <c r="BB234" s="213"/>
    </row>
    <row r="235" ht="15.75" customHeight="1">
      <c r="A235" s="213"/>
      <c r="B235" s="213"/>
      <c r="C235" s="213"/>
      <c r="D235" s="213"/>
      <c r="E235" s="213"/>
      <c r="F235" s="213"/>
      <c r="G235" s="213"/>
      <c r="H235" s="213"/>
      <c r="I235" s="213"/>
      <c r="J235" s="213"/>
      <c r="K235" s="215"/>
      <c r="L235" s="213"/>
      <c r="M235" s="215"/>
      <c r="N235" s="213"/>
      <c r="O235" s="213"/>
      <c r="P235" s="213"/>
      <c r="Q235" s="213"/>
      <c r="R235" s="213"/>
      <c r="S235" s="213"/>
      <c r="T235" s="213"/>
      <c r="U235" s="213"/>
      <c r="V235" s="213"/>
      <c r="W235" s="213"/>
      <c r="X235" s="213"/>
      <c r="Y235" s="213"/>
      <c r="Z235" s="213"/>
      <c r="AA235" s="213"/>
      <c r="AB235" s="213"/>
      <c r="AC235" s="213"/>
      <c r="AD235" s="213"/>
      <c r="AE235" s="213"/>
      <c r="AF235" s="213"/>
      <c r="AG235" s="213"/>
      <c r="AH235" s="213"/>
      <c r="AI235" s="213"/>
      <c r="AJ235" s="213"/>
      <c r="AK235" s="213"/>
      <c r="AL235" s="213"/>
      <c r="AM235" s="213"/>
      <c r="AN235" s="213"/>
      <c r="AO235" s="213"/>
      <c r="AP235" s="213"/>
      <c r="AQ235" s="213"/>
      <c r="AR235" s="213"/>
      <c r="AS235" s="213"/>
      <c r="AT235" s="213"/>
      <c r="AU235" s="213"/>
      <c r="AV235" s="213"/>
      <c r="AW235" s="213"/>
      <c r="AX235" s="213"/>
      <c r="AY235" s="213"/>
      <c r="AZ235" s="213"/>
      <c r="BA235" s="213"/>
      <c r="BB235" s="213"/>
    </row>
    <row r="236" ht="15.75" customHeight="1">
      <c r="A236" s="213"/>
      <c r="B236" s="213"/>
      <c r="C236" s="213"/>
      <c r="D236" s="213"/>
      <c r="E236" s="213"/>
      <c r="F236" s="213"/>
      <c r="G236" s="213"/>
      <c r="H236" s="213"/>
      <c r="I236" s="213"/>
      <c r="J236" s="213"/>
      <c r="K236" s="215"/>
      <c r="L236" s="213"/>
      <c r="M236" s="215"/>
      <c r="N236" s="213"/>
      <c r="O236" s="213"/>
      <c r="P236" s="213"/>
      <c r="Q236" s="213"/>
      <c r="R236" s="213"/>
      <c r="S236" s="213"/>
      <c r="T236" s="213"/>
      <c r="U236" s="213"/>
      <c r="V236" s="213"/>
      <c r="W236" s="213"/>
      <c r="X236" s="213"/>
      <c r="Y236" s="213"/>
      <c r="Z236" s="213"/>
      <c r="AA236" s="213"/>
      <c r="AB236" s="213"/>
      <c r="AC236" s="213"/>
      <c r="AD236" s="213"/>
      <c r="AE236" s="213"/>
      <c r="AF236" s="213"/>
      <c r="AG236" s="213"/>
      <c r="AH236" s="213"/>
      <c r="AI236" s="213"/>
      <c r="AJ236" s="213"/>
      <c r="AK236" s="213"/>
      <c r="AL236" s="213"/>
      <c r="AM236" s="213"/>
      <c r="AN236" s="213"/>
      <c r="AO236" s="213"/>
      <c r="AP236" s="213"/>
      <c r="AQ236" s="213"/>
      <c r="AR236" s="213"/>
      <c r="AS236" s="213"/>
      <c r="AT236" s="213"/>
      <c r="AU236" s="213"/>
      <c r="AV236" s="213"/>
      <c r="AW236" s="213"/>
      <c r="AX236" s="213"/>
      <c r="AY236" s="213"/>
      <c r="AZ236" s="213"/>
      <c r="BA236" s="213"/>
      <c r="BB236" s="213"/>
    </row>
    <row r="237" ht="15.75" customHeight="1">
      <c r="A237" s="213"/>
      <c r="B237" s="213"/>
      <c r="C237" s="213"/>
      <c r="D237" s="213"/>
      <c r="E237" s="213"/>
      <c r="F237" s="213"/>
      <c r="G237" s="213"/>
      <c r="H237" s="213"/>
      <c r="I237" s="213"/>
      <c r="J237" s="213"/>
      <c r="K237" s="215"/>
      <c r="L237" s="213"/>
      <c r="M237" s="215"/>
      <c r="N237" s="213"/>
      <c r="O237" s="213"/>
      <c r="P237" s="213"/>
      <c r="Q237" s="213"/>
      <c r="R237" s="213"/>
      <c r="S237" s="213"/>
      <c r="T237" s="213"/>
      <c r="U237" s="213"/>
      <c r="V237" s="213"/>
      <c r="W237" s="213"/>
      <c r="X237" s="213"/>
      <c r="Y237" s="213"/>
      <c r="Z237" s="213"/>
      <c r="AA237" s="213"/>
      <c r="AB237" s="213"/>
      <c r="AC237" s="213"/>
      <c r="AD237" s="213"/>
      <c r="AE237" s="213"/>
      <c r="AF237" s="213"/>
      <c r="AG237" s="213"/>
      <c r="AH237" s="213"/>
      <c r="AI237" s="213"/>
      <c r="AJ237" s="213"/>
      <c r="AK237" s="213"/>
      <c r="AL237" s="213"/>
      <c r="AM237" s="213"/>
      <c r="AN237" s="213"/>
      <c r="AO237" s="213"/>
      <c r="AP237" s="213"/>
      <c r="AQ237" s="213"/>
      <c r="AR237" s="213"/>
      <c r="AS237" s="213"/>
      <c r="AT237" s="213"/>
      <c r="AU237" s="213"/>
      <c r="AV237" s="213"/>
      <c r="AW237" s="213"/>
      <c r="AX237" s="213"/>
      <c r="AY237" s="213"/>
      <c r="AZ237" s="213"/>
      <c r="BA237" s="213"/>
      <c r="BB237" s="213"/>
    </row>
    <row r="238" ht="15.75" customHeight="1">
      <c r="A238" s="213"/>
      <c r="B238" s="213"/>
      <c r="C238" s="213"/>
      <c r="D238" s="213"/>
      <c r="E238" s="213"/>
      <c r="F238" s="213"/>
      <c r="G238" s="213"/>
      <c r="H238" s="213"/>
      <c r="I238" s="213"/>
      <c r="J238" s="213"/>
      <c r="K238" s="215"/>
      <c r="L238" s="213"/>
      <c r="M238" s="215"/>
      <c r="N238" s="213"/>
      <c r="O238" s="213"/>
      <c r="P238" s="213"/>
      <c r="Q238" s="213"/>
      <c r="R238" s="213"/>
      <c r="S238" s="213"/>
      <c r="T238" s="213"/>
      <c r="U238" s="213"/>
      <c r="V238" s="213"/>
      <c r="W238" s="213"/>
      <c r="X238" s="213"/>
      <c r="Y238" s="213"/>
      <c r="Z238" s="213"/>
      <c r="AA238" s="213"/>
      <c r="AB238" s="213"/>
      <c r="AC238" s="213"/>
      <c r="AD238" s="213"/>
      <c r="AE238" s="213"/>
      <c r="AF238" s="213"/>
      <c r="AG238" s="213"/>
      <c r="AH238" s="213"/>
      <c r="AI238" s="213"/>
      <c r="AJ238" s="213"/>
      <c r="AK238" s="213"/>
      <c r="AL238" s="213"/>
      <c r="AM238" s="213"/>
      <c r="AN238" s="213"/>
      <c r="AO238" s="213"/>
      <c r="AP238" s="213"/>
      <c r="AQ238" s="213"/>
      <c r="AR238" s="213"/>
      <c r="AS238" s="213"/>
      <c r="AT238" s="213"/>
      <c r="AU238" s="213"/>
      <c r="AV238" s="213"/>
      <c r="AW238" s="213"/>
      <c r="AX238" s="213"/>
      <c r="AY238" s="213"/>
      <c r="AZ238" s="213"/>
      <c r="BA238" s="213"/>
      <c r="BB238" s="213"/>
    </row>
    <row r="239" ht="15.75" customHeight="1">
      <c r="A239" s="213"/>
      <c r="B239" s="213"/>
      <c r="C239" s="213"/>
      <c r="D239" s="213"/>
      <c r="E239" s="213"/>
      <c r="F239" s="213"/>
      <c r="G239" s="213"/>
      <c r="H239" s="213"/>
      <c r="I239" s="213"/>
      <c r="J239" s="213"/>
      <c r="K239" s="215"/>
      <c r="L239" s="213"/>
      <c r="M239" s="215"/>
      <c r="N239" s="213"/>
      <c r="O239" s="213"/>
      <c r="P239" s="213"/>
      <c r="Q239" s="213"/>
      <c r="R239" s="213"/>
      <c r="S239" s="213"/>
      <c r="T239" s="213"/>
      <c r="U239" s="213"/>
      <c r="V239" s="213"/>
      <c r="W239" s="213"/>
      <c r="X239" s="213"/>
      <c r="Y239" s="213"/>
      <c r="Z239" s="213"/>
      <c r="AA239" s="213"/>
      <c r="AB239" s="213"/>
      <c r="AC239" s="213"/>
      <c r="AD239" s="213"/>
      <c r="AE239" s="213"/>
      <c r="AF239" s="213"/>
      <c r="AG239" s="213"/>
      <c r="AH239" s="213"/>
      <c r="AI239" s="213"/>
      <c r="AJ239" s="213"/>
      <c r="AK239" s="213"/>
      <c r="AL239" s="213"/>
      <c r="AM239" s="213"/>
      <c r="AN239" s="213"/>
      <c r="AO239" s="213"/>
      <c r="AP239" s="213"/>
      <c r="AQ239" s="213"/>
      <c r="AR239" s="213"/>
      <c r="AS239" s="213"/>
      <c r="AT239" s="213"/>
      <c r="AU239" s="213"/>
      <c r="AV239" s="213"/>
      <c r="AW239" s="213"/>
      <c r="AX239" s="213"/>
      <c r="AY239" s="213"/>
      <c r="AZ239" s="213"/>
      <c r="BA239" s="213"/>
      <c r="BB239" s="213"/>
    </row>
    <row r="240" ht="15.75" customHeight="1">
      <c r="A240" s="213"/>
      <c r="B240" s="213"/>
      <c r="C240" s="213"/>
      <c r="D240" s="213"/>
      <c r="E240" s="213"/>
      <c r="F240" s="213"/>
      <c r="G240" s="213"/>
      <c r="H240" s="213"/>
      <c r="I240" s="213"/>
      <c r="J240" s="213"/>
      <c r="K240" s="215"/>
      <c r="L240" s="213"/>
      <c r="M240" s="215"/>
      <c r="N240" s="213"/>
      <c r="O240" s="213"/>
      <c r="P240" s="213"/>
      <c r="Q240" s="213"/>
      <c r="R240" s="213"/>
      <c r="S240" s="213"/>
      <c r="T240" s="213"/>
      <c r="U240" s="213"/>
      <c r="V240" s="213"/>
      <c r="W240" s="213"/>
      <c r="X240" s="213"/>
      <c r="Y240" s="213"/>
      <c r="Z240" s="213"/>
      <c r="AA240" s="213"/>
      <c r="AB240" s="213"/>
      <c r="AC240" s="213"/>
      <c r="AD240" s="213"/>
      <c r="AE240" s="213"/>
      <c r="AF240" s="213"/>
      <c r="AG240" s="213"/>
      <c r="AH240" s="213"/>
      <c r="AI240" s="213"/>
      <c r="AJ240" s="213"/>
      <c r="AK240" s="213"/>
      <c r="AL240" s="213"/>
      <c r="AM240" s="213"/>
      <c r="AN240" s="213"/>
      <c r="AO240" s="213"/>
      <c r="AP240" s="213"/>
      <c r="AQ240" s="213"/>
      <c r="AR240" s="213"/>
      <c r="AS240" s="213"/>
      <c r="AT240" s="213"/>
      <c r="AU240" s="213"/>
      <c r="AV240" s="213"/>
      <c r="AW240" s="213"/>
      <c r="AX240" s="213"/>
      <c r="AY240" s="213"/>
      <c r="AZ240" s="213"/>
      <c r="BA240" s="213"/>
      <c r="BB240" s="213"/>
    </row>
    <row r="241" ht="15.75" customHeight="1">
      <c r="A241" s="213"/>
      <c r="B241" s="213"/>
      <c r="C241" s="213"/>
      <c r="D241" s="213"/>
      <c r="E241" s="213"/>
      <c r="F241" s="213"/>
      <c r="G241" s="213"/>
      <c r="H241" s="213"/>
      <c r="I241" s="213"/>
      <c r="J241" s="213"/>
      <c r="K241" s="215"/>
      <c r="L241" s="213"/>
      <c r="M241" s="215"/>
      <c r="N241" s="213"/>
      <c r="O241" s="213"/>
      <c r="P241" s="213"/>
      <c r="Q241" s="213"/>
      <c r="R241" s="213"/>
      <c r="S241" s="213"/>
      <c r="T241" s="213"/>
      <c r="U241" s="213"/>
      <c r="V241" s="213"/>
      <c r="W241" s="213"/>
      <c r="X241" s="213"/>
      <c r="Y241" s="213"/>
      <c r="Z241" s="213"/>
      <c r="AA241" s="213"/>
      <c r="AB241" s="213"/>
      <c r="AC241" s="213"/>
      <c r="AD241" s="213"/>
      <c r="AE241" s="213"/>
      <c r="AF241" s="213"/>
      <c r="AG241" s="213"/>
      <c r="AH241" s="213"/>
      <c r="AI241" s="213"/>
      <c r="AJ241" s="213"/>
      <c r="AK241" s="213"/>
      <c r="AL241" s="213"/>
      <c r="AM241" s="213"/>
      <c r="AN241" s="213"/>
      <c r="AO241" s="213"/>
      <c r="AP241" s="213"/>
      <c r="AQ241" s="213"/>
      <c r="AR241" s="213"/>
      <c r="AS241" s="213"/>
      <c r="AT241" s="213"/>
      <c r="AU241" s="213"/>
      <c r="AV241" s="213"/>
      <c r="AW241" s="213"/>
      <c r="AX241" s="213"/>
      <c r="AY241" s="213"/>
      <c r="AZ241" s="213"/>
      <c r="BA241" s="213"/>
      <c r="BB241" s="213"/>
    </row>
    <row r="242" ht="15.75" customHeight="1">
      <c r="A242" s="213"/>
      <c r="B242" s="213"/>
      <c r="C242" s="213"/>
      <c r="D242" s="213"/>
      <c r="E242" s="213"/>
      <c r="F242" s="213"/>
      <c r="G242" s="213"/>
      <c r="H242" s="213"/>
      <c r="I242" s="213"/>
      <c r="J242" s="213"/>
      <c r="K242" s="215"/>
      <c r="L242" s="213"/>
      <c r="M242" s="215"/>
      <c r="N242" s="213"/>
      <c r="O242" s="213"/>
      <c r="P242" s="213"/>
      <c r="Q242" s="213"/>
      <c r="R242" s="213"/>
      <c r="S242" s="213"/>
      <c r="T242" s="213"/>
      <c r="U242" s="213"/>
      <c r="V242" s="213"/>
      <c r="W242" s="213"/>
      <c r="X242" s="213"/>
      <c r="Y242" s="213"/>
      <c r="Z242" s="213"/>
      <c r="AA242" s="213"/>
      <c r="AB242" s="213"/>
      <c r="AC242" s="213"/>
      <c r="AD242" s="213"/>
      <c r="AE242" s="213"/>
      <c r="AF242" s="213"/>
      <c r="AG242" s="213"/>
      <c r="AH242" s="213"/>
      <c r="AI242" s="213"/>
      <c r="AJ242" s="213"/>
      <c r="AK242" s="213"/>
      <c r="AL242" s="213"/>
      <c r="AM242" s="213"/>
      <c r="AN242" s="213"/>
      <c r="AO242" s="213"/>
      <c r="AP242" s="213"/>
      <c r="AQ242" s="213"/>
      <c r="AR242" s="213"/>
      <c r="AS242" s="213"/>
      <c r="AT242" s="213"/>
      <c r="AU242" s="213"/>
      <c r="AV242" s="213"/>
      <c r="AW242" s="213"/>
      <c r="AX242" s="213"/>
      <c r="AY242" s="213"/>
      <c r="AZ242" s="213"/>
      <c r="BA242" s="213"/>
      <c r="BB242" s="213"/>
    </row>
    <row r="243" ht="15.75" customHeight="1">
      <c r="A243" s="213"/>
      <c r="B243" s="213"/>
      <c r="C243" s="213"/>
      <c r="D243" s="213"/>
      <c r="E243" s="213"/>
      <c r="F243" s="213"/>
      <c r="G243" s="213"/>
      <c r="H243" s="213"/>
      <c r="I243" s="213"/>
      <c r="J243" s="213"/>
      <c r="K243" s="215"/>
      <c r="L243" s="213"/>
      <c r="M243" s="215"/>
      <c r="N243" s="213"/>
      <c r="O243" s="213"/>
      <c r="P243" s="213"/>
      <c r="Q243" s="213"/>
      <c r="R243" s="213"/>
      <c r="S243" s="213"/>
      <c r="T243" s="213"/>
      <c r="U243" s="213"/>
      <c r="V243" s="213"/>
      <c r="W243" s="213"/>
      <c r="X243" s="213"/>
      <c r="Y243" s="213"/>
      <c r="Z243" s="213"/>
      <c r="AA243" s="213"/>
      <c r="AB243" s="213"/>
      <c r="AC243" s="213"/>
      <c r="AD243" s="213"/>
      <c r="AE243" s="213"/>
      <c r="AF243" s="213"/>
      <c r="AG243" s="213"/>
      <c r="AH243" s="213"/>
      <c r="AI243" s="213"/>
      <c r="AJ243" s="213"/>
      <c r="AK243" s="213"/>
      <c r="AL243" s="213"/>
      <c r="AM243" s="213"/>
      <c r="AN243" s="213"/>
      <c r="AO243" s="213"/>
      <c r="AP243" s="213"/>
      <c r="AQ243" s="213"/>
      <c r="AR243" s="213"/>
      <c r="AS243" s="213"/>
      <c r="AT243" s="213"/>
      <c r="AU243" s="213"/>
      <c r="AV243" s="213"/>
      <c r="AW243" s="213"/>
      <c r="AX243" s="213"/>
      <c r="AY243" s="213"/>
      <c r="AZ243" s="213"/>
      <c r="BA243" s="213"/>
      <c r="BB243" s="213"/>
    </row>
    <row r="244" ht="15.75" customHeight="1">
      <c r="A244" s="213"/>
      <c r="B244" s="213"/>
      <c r="C244" s="213"/>
      <c r="D244" s="213"/>
      <c r="E244" s="213"/>
      <c r="F244" s="213"/>
      <c r="G244" s="213"/>
      <c r="H244" s="213"/>
      <c r="I244" s="213"/>
      <c r="J244" s="213"/>
      <c r="K244" s="215"/>
      <c r="L244" s="213"/>
      <c r="M244" s="215"/>
      <c r="N244" s="213"/>
      <c r="O244" s="213"/>
      <c r="P244" s="213"/>
      <c r="Q244" s="213"/>
      <c r="R244" s="213"/>
      <c r="S244" s="213"/>
      <c r="T244" s="213"/>
      <c r="U244" s="213"/>
      <c r="V244" s="213"/>
      <c r="W244" s="213"/>
      <c r="X244" s="213"/>
      <c r="Y244" s="213"/>
      <c r="Z244" s="213"/>
      <c r="AA244" s="213"/>
      <c r="AB244" s="213"/>
      <c r="AC244" s="213"/>
      <c r="AD244" s="213"/>
      <c r="AE244" s="213"/>
      <c r="AF244" s="213"/>
      <c r="AG244" s="213"/>
      <c r="AH244" s="213"/>
      <c r="AI244" s="213"/>
      <c r="AJ244" s="213"/>
      <c r="AK244" s="213"/>
      <c r="AL244" s="213"/>
      <c r="AM244" s="213"/>
      <c r="AN244" s="213"/>
      <c r="AO244" s="213"/>
      <c r="AP244" s="213"/>
      <c r="AQ244" s="213"/>
      <c r="AR244" s="213"/>
      <c r="AS244" s="213"/>
      <c r="AT244" s="213"/>
      <c r="AU244" s="213"/>
      <c r="AV244" s="213"/>
      <c r="AW244" s="213"/>
      <c r="AX244" s="213"/>
      <c r="AY244" s="213"/>
      <c r="AZ244" s="213"/>
      <c r="BA244" s="213"/>
      <c r="BB244" s="213"/>
    </row>
    <row r="245" ht="15.75" customHeight="1">
      <c r="A245" s="213"/>
      <c r="B245" s="213"/>
      <c r="C245" s="213"/>
      <c r="D245" s="213"/>
      <c r="E245" s="213"/>
      <c r="F245" s="213"/>
      <c r="G245" s="213"/>
      <c r="H245" s="213"/>
      <c r="I245" s="213"/>
      <c r="J245" s="213"/>
      <c r="K245" s="215"/>
      <c r="L245" s="213"/>
      <c r="M245" s="215"/>
      <c r="N245" s="213"/>
      <c r="O245" s="213"/>
      <c r="P245" s="213"/>
      <c r="Q245" s="213"/>
      <c r="R245" s="213"/>
      <c r="S245" s="213"/>
      <c r="T245" s="213"/>
      <c r="U245" s="213"/>
      <c r="V245" s="213"/>
      <c r="W245" s="213"/>
      <c r="X245" s="213"/>
      <c r="Y245" s="213"/>
      <c r="Z245" s="213"/>
      <c r="AA245" s="213"/>
      <c r="AB245" s="213"/>
      <c r="AC245" s="213"/>
      <c r="AD245" s="213"/>
      <c r="AE245" s="213"/>
      <c r="AF245" s="213"/>
      <c r="AG245" s="213"/>
      <c r="AH245" s="213"/>
      <c r="AI245" s="213"/>
      <c r="AJ245" s="213"/>
      <c r="AK245" s="213"/>
      <c r="AL245" s="213"/>
      <c r="AM245" s="213"/>
      <c r="AN245" s="213"/>
      <c r="AO245" s="213"/>
      <c r="AP245" s="213"/>
      <c r="AQ245" s="213"/>
      <c r="AR245" s="213"/>
      <c r="AS245" s="213"/>
      <c r="AT245" s="213"/>
      <c r="AU245" s="213"/>
      <c r="AV245" s="213"/>
      <c r="AW245" s="213"/>
      <c r="AX245" s="213"/>
      <c r="AY245" s="213"/>
      <c r="AZ245" s="213"/>
      <c r="BA245" s="213"/>
      <c r="BB245" s="213"/>
    </row>
    <row r="246" ht="15.75" customHeight="1">
      <c r="A246" s="213"/>
      <c r="B246" s="213"/>
      <c r="C246" s="213"/>
      <c r="D246" s="213"/>
      <c r="E246" s="213"/>
      <c r="F246" s="213"/>
      <c r="G246" s="213"/>
      <c r="H246" s="213"/>
      <c r="I246" s="213"/>
      <c r="J246" s="213"/>
      <c r="K246" s="215"/>
      <c r="L246" s="213"/>
      <c r="M246" s="215"/>
      <c r="N246" s="213"/>
      <c r="O246" s="213"/>
      <c r="P246" s="213"/>
      <c r="Q246" s="213"/>
      <c r="R246" s="213"/>
      <c r="S246" s="213"/>
      <c r="T246" s="213"/>
      <c r="U246" s="213"/>
      <c r="V246" s="213"/>
      <c r="W246" s="213"/>
      <c r="X246" s="213"/>
      <c r="Y246" s="213"/>
      <c r="Z246" s="213"/>
      <c r="AA246" s="213"/>
      <c r="AB246" s="213"/>
      <c r="AC246" s="213"/>
      <c r="AD246" s="213"/>
      <c r="AE246" s="213"/>
      <c r="AF246" s="213"/>
      <c r="AG246" s="213"/>
      <c r="AH246" s="213"/>
      <c r="AI246" s="213"/>
      <c r="AJ246" s="213"/>
      <c r="AK246" s="213"/>
      <c r="AL246" s="213"/>
      <c r="AM246" s="213"/>
      <c r="AN246" s="213"/>
      <c r="AO246" s="213"/>
      <c r="AP246" s="213"/>
      <c r="AQ246" s="213"/>
      <c r="AR246" s="213"/>
      <c r="AS246" s="213"/>
      <c r="AT246" s="213"/>
      <c r="AU246" s="213"/>
      <c r="AV246" s="213"/>
      <c r="AW246" s="213"/>
      <c r="AX246" s="213"/>
      <c r="AY246" s="213"/>
      <c r="AZ246" s="213"/>
      <c r="BA246" s="213"/>
      <c r="BB246" s="213"/>
    </row>
    <row r="247" ht="15.75" customHeight="1">
      <c r="A247" s="213"/>
      <c r="B247" s="213"/>
      <c r="C247" s="213"/>
      <c r="D247" s="213"/>
      <c r="E247" s="213"/>
      <c r="F247" s="213"/>
      <c r="G247" s="213"/>
      <c r="H247" s="213"/>
      <c r="I247" s="213"/>
      <c r="J247" s="213"/>
      <c r="K247" s="215"/>
      <c r="L247" s="213"/>
      <c r="M247" s="215"/>
      <c r="N247" s="213"/>
      <c r="O247" s="213"/>
      <c r="P247" s="213"/>
      <c r="Q247" s="213"/>
      <c r="R247" s="213"/>
      <c r="S247" s="213"/>
      <c r="T247" s="213"/>
      <c r="U247" s="213"/>
      <c r="V247" s="213"/>
      <c r="W247" s="213"/>
      <c r="X247" s="213"/>
      <c r="Y247" s="213"/>
      <c r="Z247" s="213"/>
      <c r="AA247" s="213"/>
      <c r="AB247" s="213"/>
      <c r="AC247" s="213"/>
      <c r="AD247" s="213"/>
      <c r="AE247" s="213"/>
      <c r="AF247" s="213"/>
      <c r="AG247" s="213"/>
      <c r="AH247" s="213"/>
      <c r="AI247" s="213"/>
      <c r="AJ247" s="213"/>
      <c r="AK247" s="213"/>
      <c r="AL247" s="213"/>
      <c r="AM247" s="213"/>
      <c r="AN247" s="213"/>
      <c r="AO247" s="213"/>
      <c r="AP247" s="213"/>
      <c r="AQ247" s="213"/>
      <c r="AR247" s="213"/>
      <c r="AS247" s="213"/>
      <c r="AT247" s="213"/>
      <c r="AU247" s="213"/>
      <c r="AV247" s="213"/>
      <c r="AW247" s="213"/>
      <c r="AX247" s="213"/>
      <c r="AY247" s="213"/>
      <c r="AZ247" s="213"/>
      <c r="BA247" s="213"/>
      <c r="BB247" s="213"/>
    </row>
    <row r="248" ht="15.75" customHeight="1">
      <c r="A248" s="213"/>
      <c r="B248" s="213"/>
      <c r="C248" s="213"/>
      <c r="D248" s="213"/>
      <c r="E248" s="213"/>
      <c r="F248" s="213"/>
      <c r="G248" s="213"/>
      <c r="H248" s="213"/>
      <c r="I248" s="213"/>
      <c r="J248" s="213"/>
      <c r="K248" s="215"/>
      <c r="L248" s="213"/>
      <c r="M248" s="215"/>
      <c r="N248" s="213"/>
      <c r="O248" s="213"/>
      <c r="P248" s="213"/>
      <c r="Q248" s="213"/>
      <c r="R248" s="213"/>
      <c r="S248" s="213"/>
      <c r="T248" s="213"/>
      <c r="U248" s="213"/>
      <c r="V248" s="213"/>
      <c r="W248" s="213"/>
      <c r="X248" s="213"/>
      <c r="Y248" s="213"/>
      <c r="Z248" s="213"/>
      <c r="AA248" s="213"/>
      <c r="AB248" s="213"/>
      <c r="AC248" s="213"/>
      <c r="AD248" s="213"/>
      <c r="AE248" s="213"/>
      <c r="AF248" s="213"/>
      <c r="AG248" s="213"/>
      <c r="AH248" s="213"/>
      <c r="AI248" s="213"/>
      <c r="AJ248" s="213"/>
      <c r="AK248" s="213"/>
      <c r="AL248" s="213"/>
      <c r="AM248" s="213"/>
      <c r="AN248" s="213"/>
      <c r="AO248" s="213"/>
      <c r="AP248" s="213"/>
      <c r="AQ248" s="213"/>
      <c r="AR248" s="213"/>
      <c r="AS248" s="213"/>
      <c r="AT248" s="213"/>
      <c r="AU248" s="213"/>
      <c r="AV248" s="213"/>
      <c r="AW248" s="213"/>
      <c r="AX248" s="213"/>
      <c r="AY248" s="213"/>
      <c r="AZ248" s="213"/>
      <c r="BA248" s="213"/>
      <c r="BB248" s="213"/>
    </row>
    <row r="249" ht="15.75" customHeight="1">
      <c r="A249" s="213"/>
      <c r="B249" s="213"/>
      <c r="C249" s="213"/>
      <c r="D249" s="213"/>
      <c r="E249" s="213"/>
      <c r="F249" s="213"/>
      <c r="G249" s="213"/>
      <c r="H249" s="213"/>
      <c r="I249" s="213"/>
      <c r="J249" s="213"/>
      <c r="K249" s="215"/>
      <c r="L249" s="213"/>
      <c r="M249" s="215"/>
      <c r="N249" s="213"/>
      <c r="O249" s="213"/>
      <c r="P249" s="213"/>
      <c r="Q249" s="213"/>
      <c r="R249" s="213"/>
      <c r="S249" s="213"/>
      <c r="T249" s="213"/>
      <c r="U249" s="213"/>
      <c r="V249" s="213"/>
      <c r="W249" s="213"/>
      <c r="X249" s="213"/>
      <c r="Y249" s="213"/>
      <c r="Z249" s="213"/>
      <c r="AA249" s="213"/>
      <c r="AB249" s="213"/>
      <c r="AC249" s="213"/>
      <c r="AD249" s="213"/>
      <c r="AE249" s="213"/>
      <c r="AF249" s="213"/>
      <c r="AG249" s="213"/>
      <c r="AH249" s="213"/>
      <c r="AI249" s="213"/>
      <c r="AJ249" s="213"/>
      <c r="AK249" s="213"/>
      <c r="AL249" s="213"/>
      <c r="AM249" s="213"/>
      <c r="AN249" s="213"/>
      <c r="AO249" s="213"/>
      <c r="AP249" s="213"/>
      <c r="AQ249" s="213"/>
      <c r="AR249" s="213"/>
      <c r="AS249" s="213"/>
      <c r="AT249" s="213"/>
      <c r="AU249" s="213"/>
      <c r="AV249" s="213"/>
      <c r="AW249" s="213"/>
      <c r="AX249" s="213"/>
      <c r="AY249" s="213"/>
      <c r="AZ249" s="213"/>
      <c r="BA249" s="213"/>
      <c r="BB249" s="213"/>
    </row>
    <row r="250" ht="15.75" customHeight="1">
      <c r="A250" s="213"/>
      <c r="B250" s="213"/>
      <c r="C250" s="213"/>
      <c r="D250" s="213"/>
      <c r="E250" s="213"/>
      <c r="F250" s="213"/>
      <c r="G250" s="213"/>
      <c r="H250" s="213"/>
      <c r="I250" s="213"/>
      <c r="J250" s="213"/>
      <c r="K250" s="215"/>
      <c r="L250" s="213"/>
      <c r="M250" s="215"/>
      <c r="N250" s="213"/>
      <c r="O250" s="213"/>
      <c r="P250" s="213"/>
      <c r="Q250" s="213"/>
      <c r="R250" s="213"/>
      <c r="S250" s="213"/>
      <c r="T250" s="213"/>
      <c r="U250" s="213"/>
      <c r="V250" s="213"/>
      <c r="W250" s="213"/>
      <c r="X250" s="213"/>
      <c r="Y250" s="213"/>
      <c r="Z250" s="213"/>
      <c r="AA250" s="213"/>
      <c r="AB250" s="213"/>
      <c r="AC250" s="213"/>
      <c r="AD250" s="213"/>
      <c r="AE250" s="213"/>
      <c r="AF250" s="213"/>
      <c r="AG250" s="213"/>
      <c r="AH250" s="213"/>
      <c r="AI250" s="213"/>
      <c r="AJ250" s="213"/>
      <c r="AK250" s="213"/>
      <c r="AL250" s="213"/>
      <c r="AM250" s="213"/>
      <c r="AN250" s="213"/>
      <c r="AO250" s="213"/>
      <c r="AP250" s="213"/>
      <c r="AQ250" s="213"/>
      <c r="AR250" s="213"/>
      <c r="AS250" s="213"/>
      <c r="AT250" s="213"/>
      <c r="AU250" s="213"/>
      <c r="AV250" s="213"/>
      <c r="AW250" s="213"/>
      <c r="AX250" s="213"/>
      <c r="AY250" s="213"/>
      <c r="AZ250" s="213"/>
      <c r="BA250" s="213"/>
      <c r="BB250" s="213"/>
    </row>
    <row r="251" ht="15.75" customHeight="1">
      <c r="A251" s="213"/>
      <c r="B251" s="213"/>
      <c r="C251" s="213"/>
      <c r="D251" s="213"/>
      <c r="E251" s="213"/>
      <c r="F251" s="213"/>
      <c r="G251" s="213"/>
      <c r="H251" s="213"/>
      <c r="I251" s="213"/>
      <c r="J251" s="213"/>
      <c r="K251" s="215"/>
      <c r="L251" s="213"/>
      <c r="M251" s="215"/>
      <c r="N251" s="213"/>
      <c r="O251" s="213"/>
      <c r="P251" s="213"/>
      <c r="Q251" s="213"/>
      <c r="R251" s="213"/>
      <c r="S251" s="213"/>
      <c r="T251" s="213"/>
      <c r="U251" s="213"/>
      <c r="V251" s="213"/>
      <c r="W251" s="213"/>
      <c r="X251" s="213"/>
      <c r="Y251" s="213"/>
      <c r="Z251" s="213"/>
      <c r="AA251" s="213"/>
      <c r="AB251" s="213"/>
      <c r="AC251" s="213"/>
      <c r="AD251" s="213"/>
      <c r="AE251" s="213"/>
      <c r="AF251" s="213"/>
      <c r="AG251" s="213"/>
      <c r="AH251" s="213"/>
      <c r="AI251" s="213"/>
      <c r="AJ251" s="213"/>
      <c r="AK251" s="213"/>
      <c r="AL251" s="213"/>
      <c r="AM251" s="213"/>
      <c r="AN251" s="213"/>
      <c r="AO251" s="213"/>
      <c r="AP251" s="213"/>
      <c r="AQ251" s="213"/>
      <c r="AR251" s="213"/>
      <c r="AS251" s="213"/>
      <c r="AT251" s="213"/>
      <c r="AU251" s="213"/>
      <c r="AV251" s="213"/>
      <c r="AW251" s="213"/>
      <c r="AX251" s="213"/>
      <c r="AY251" s="213"/>
      <c r="AZ251" s="213"/>
      <c r="BA251" s="213"/>
      <c r="BB251" s="213"/>
    </row>
    <row r="252" ht="15.75" customHeight="1">
      <c r="A252" s="213"/>
      <c r="B252" s="213"/>
      <c r="C252" s="213"/>
      <c r="D252" s="213"/>
      <c r="E252" s="213"/>
      <c r="F252" s="213"/>
      <c r="G252" s="213"/>
      <c r="H252" s="213"/>
      <c r="I252" s="213"/>
      <c r="J252" s="213"/>
      <c r="K252" s="215"/>
      <c r="L252" s="213"/>
      <c r="M252" s="215"/>
      <c r="N252" s="213"/>
      <c r="O252" s="213"/>
      <c r="P252" s="213"/>
      <c r="Q252" s="213"/>
      <c r="R252" s="213"/>
      <c r="S252" s="213"/>
      <c r="T252" s="213"/>
      <c r="U252" s="213"/>
      <c r="V252" s="213"/>
      <c r="W252" s="213"/>
      <c r="X252" s="213"/>
      <c r="Y252" s="213"/>
      <c r="Z252" s="213"/>
      <c r="AA252" s="213"/>
      <c r="AB252" s="213"/>
      <c r="AC252" s="213"/>
      <c r="AD252" s="213"/>
      <c r="AE252" s="213"/>
      <c r="AF252" s="213"/>
      <c r="AG252" s="213"/>
      <c r="AH252" s="213"/>
      <c r="AI252" s="213"/>
      <c r="AJ252" s="213"/>
      <c r="AK252" s="213"/>
      <c r="AL252" s="213"/>
      <c r="AM252" s="213"/>
      <c r="AN252" s="213"/>
      <c r="AO252" s="213"/>
      <c r="AP252" s="213"/>
      <c r="AQ252" s="213"/>
      <c r="AR252" s="213"/>
      <c r="AS252" s="213"/>
      <c r="AT252" s="213"/>
      <c r="AU252" s="213"/>
      <c r="AV252" s="213"/>
      <c r="AW252" s="213"/>
      <c r="AX252" s="213"/>
      <c r="AY252" s="213"/>
      <c r="AZ252" s="213"/>
      <c r="BA252" s="213"/>
      <c r="BB252" s="213"/>
    </row>
    <row r="253" ht="15.75" customHeight="1">
      <c r="A253" s="213"/>
      <c r="B253" s="213"/>
      <c r="C253" s="213"/>
      <c r="D253" s="213"/>
      <c r="E253" s="213"/>
      <c r="F253" s="213"/>
      <c r="G253" s="213"/>
      <c r="H253" s="213"/>
      <c r="I253" s="213"/>
      <c r="J253" s="213"/>
      <c r="K253" s="215"/>
      <c r="L253" s="213"/>
      <c r="M253" s="215"/>
      <c r="N253" s="213"/>
      <c r="O253" s="213"/>
      <c r="P253" s="213"/>
      <c r="Q253" s="213"/>
      <c r="R253" s="213"/>
      <c r="S253" s="213"/>
      <c r="T253" s="213"/>
      <c r="U253" s="213"/>
      <c r="V253" s="213"/>
      <c r="W253" s="213"/>
      <c r="X253" s="213"/>
      <c r="Y253" s="213"/>
      <c r="Z253" s="213"/>
      <c r="AA253" s="213"/>
      <c r="AB253" s="213"/>
      <c r="AC253" s="213"/>
      <c r="AD253" s="213"/>
      <c r="AE253" s="213"/>
      <c r="AF253" s="213"/>
      <c r="AG253" s="213"/>
      <c r="AH253" s="213"/>
      <c r="AI253" s="213"/>
      <c r="AJ253" s="213"/>
      <c r="AK253" s="213"/>
      <c r="AL253" s="213"/>
      <c r="AM253" s="213"/>
      <c r="AN253" s="213"/>
      <c r="AO253" s="213"/>
      <c r="AP253" s="213"/>
      <c r="AQ253" s="213"/>
      <c r="AR253" s="213"/>
      <c r="AS253" s="213"/>
      <c r="AT253" s="213"/>
      <c r="AU253" s="213"/>
      <c r="AV253" s="213"/>
      <c r="AW253" s="213"/>
      <c r="AX253" s="213"/>
      <c r="AY253" s="213"/>
      <c r="AZ253" s="213"/>
      <c r="BA253" s="213"/>
      <c r="BB253" s="213"/>
    </row>
    <row r="254" ht="15.75" customHeight="1">
      <c r="A254" s="213"/>
      <c r="B254" s="213"/>
      <c r="C254" s="213"/>
      <c r="D254" s="213"/>
      <c r="E254" s="213"/>
      <c r="F254" s="213"/>
      <c r="G254" s="213"/>
      <c r="H254" s="213"/>
      <c r="I254" s="213"/>
      <c r="J254" s="213"/>
      <c r="K254" s="215"/>
      <c r="L254" s="213"/>
      <c r="M254" s="215"/>
      <c r="N254" s="213"/>
      <c r="O254" s="213"/>
      <c r="P254" s="213"/>
      <c r="Q254" s="213"/>
      <c r="R254" s="213"/>
      <c r="S254" s="213"/>
      <c r="T254" s="213"/>
      <c r="U254" s="213"/>
      <c r="V254" s="213"/>
      <c r="W254" s="213"/>
      <c r="X254" s="213"/>
      <c r="Y254" s="213"/>
      <c r="Z254" s="213"/>
      <c r="AA254" s="213"/>
      <c r="AB254" s="213"/>
      <c r="AC254" s="213"/>
      <c r="AD254" s="213"/>
      <c r="AE254" s="213"/>
      <c r="AF254" s="213"/>
      <c r="AG254" s="213"/>
      <c r="AH254" s="213"/>
      <c r="AI254" s="213"/>
      <c r="AJ254" s="213"/>
      <c r="AK254" s="213"/>
      <c r="AL254" s="213"/>
      <c r="AM254" s="213"/>
      <c r="AN254" s="213"/>
      <c r="AO254" s="213"/>
      <c r="AP254" s="213"/>
      <c r="AQ254" s="213"/>
      <c r="AR254" s="213"/>
      <c r="AS254" s="213"/>
      <c r="AT254" s="213"/>
      <c r="AU254" s="213"/>
      <c r="AV254" s="213"/>
      <c r="AW254" s="213"/>
      <c r="AX254" s="213"/>
      <c r="AY254" s="213"/>
      <c r="AZ254" s="213"/>
      <c r="BA254" s="213"/>
      <c r="BB254" s="213"/>
    </row>
    <row r="255" ht="15.75" customHeight="1">
      <c r="A255" s="213"/>
      <c r="B255" s="213"/>
      <c r="C255" s="213"/>
      <c r="D255" s="213"/>
      <c r="E255" s="213"/>
      <c r="F255" s="213"/>
      <c r="G255" s="213"/>
      <c r="H255" s="213"/>
      <c r="I255" s="213"/>
      <c r="J255" s="213"/>
      <c r="K255" s="215"/>
      <c r="L255" s="213"/>
      <c r="M255" s="215"/>
      <c r="N255" s="213"/>
      <c r="O255" s="213"/>
      <c r="P255" s="213"/>
      <c r="Q255" s="213"/>
      <c r="R255" s="213"/>
      <c r="S255" s="213"/>
      <c r="T255" s="213"/>
      <c r="U255" s="213"/>
      <c r="V255" s="213"/>
      <c r="W255" s="213"/>
      <c r="X255" s="213"/>
      <c r="Y255" s="213"/>
      <c r="Z255" s="213"/>
      <c r="AA255" s="213"/>
      <c r="AB255" s="213"/>
      <c r="AC255" s="213"/>
      <c r="AD255" s="213"/>
      <c r="AE255" s="213"/>
      <c r="AF255" s="213"/>
      <c r="AG255" s="213"/>
      <c r="AH255" s="213"/>
      <c r="AI255" s="213"/>
      <c r="AJ255" s="213"/>
      <c r="AK255" s="213"/>
      <c r="AL255" s="213"/>
      <c r="AM255" s="213"/>
      <c r="AN255" s="213"/>
      <c r="AO255" s="213"/>
      <c r="AP255" s="213"/>
      <c r="AQ255" s="213"/>
      <c r="AR255" s="213"/>
      <c r="AS255" s="213"/>
      <c r="AT255" s="213"/>
      <c r="AU255" s="213"/>
      <c r="AV255" s="213"/>
      <c r="AW255" s="213"/>
      <c r="AX255" s="213"/>
      <c r="AY255" s="213"/>
      <c r="AZ255" s="213"/>
      <c r="BA255" s="213"/>
      <c r="BB255" s="213"/>
    </row>
    <row r="256" ht="15.75" customHeight="1">
      <c r="A256" s="213"/>
      <c r="B256" s="213"/>
      <c r="C256" s="213"/>
      <c r="D256" s="213"/>
      <c r="E256" s="213"/>
      <c r="F256" s="213"/>
      <c r="G256" s="213"/>
      <c r="H256" s="213"/>
      <c r="I256" s="213"/>
      <c r="J256" s="213"/>
      <c r="K256" s="215"/>
      <c r="L256" s="213"/>
      <c r="M256" s="215"/>
      <c r="N256" s="213"/>
      <c r="O256" s="213"/>
      <c r="P256" s="213"/>
      <c r="Q256" s="213"/>
      <c r="R256" s="213"/>
      <c r="S256" s="213"/>
      <c r="T256" s="213"/>
      <c r="U256" s="213"/>
      <c r="V256" s="213"/>
      <c r="W256" s="213"/>
      <c r="X256" s="213"/>
      <c r="Y256" s="213"/>
      <c r="Z256" s="213"/>
      <c r="AA256" s="213"/>
      <c r="AB256" s="213"/>
      <c r="AC256" s="213"/>
      <c r="AD256" s="213"/>
      <c r="AE256" s="213"/>
      <c r="AF256" s="213"/>
      <c r="AG256" s="213"/>
      <c r="AH256" s="213"/>
      <c r="AI256" s="213"/>
      <c r="AJ256" s="213"/>
      <c r="AK256" s="213"/>
      <c r="AL256" s="213"/>
      <c r="AM256" s="213"/>
      <c r="AN256" s="213"/>
      <c r="AO256" s="213"/>
      <c r="AP256" s="213"/>
      <c r="AQ256" s="213"/>
      <c r="AR256" s="213"/>
      <c r="AS256" s="213"/>
      <c r="AT256" s="213"/>
      <c r="AU256" s="213"/>
      <c r="AV256" s="213"/>
      <c r="AW256" s="213"/>
      <c r="AX256" s="213"/>
      <c r="AY256" s="213"/>
      <c r="AZ256" s="213"/>
      <c r="BA256" s="213"/>
      <c r="BB256" s="213"/>
    </row>
    <row r="257" ht="15.75" customHeight="1">
      <c r="A257" s="213"/>
      <c r="B257" s="213"/>
      <c r="C257" s="213"/>
      <c r="D257" s="213"/>
      <c r="E257" s="213"/>
      <c r="F257" s="213"/>
      <c r="G257" s="213"/>
      <c r="H257" s="213"/>
      <c r="I257" s="213"/>
      <c r="J257" s="213"/>
      <c r="K257" s="215"/>
      <c r="L257" s="213"/>
      <c r="M257" s="215"/>
      <c r="N257" s="213"/>
      <c r="O257" s="213"/>
      <c r="P257" s="213"/>
      <c r="Q257" s="213"/>
      <c r="R257" s="213"/>
      <c r="S257" s="213"/>
      <c r="T257" s="213"/>
      <c r="U257" s="213"/>
      <c r="V257" s="213"/>
      <c r="W257" s="213"/>
      <c r="X257" s="213"/>
      <c r="Y257" s="213"/>
      <c r="Z257" s="213"/>
      <c r="AA257" s="213"/>
      <c r="AB257" s="213"/>
      <c r="AC257" s="213"/>
      <c r="AD257" s="213"/>
      <c r="AE257" s="213"/>
      <c r="AF257" s="213"/>
      <c r="AG257" s="213"/>
      <c r="AH257" s="213"/>
      <c r="AI257" s="213"/>
      <c r="AJ257" s="213"/>
      <c r="AK257" s="213"/>
      <c r="AL257" s="213"/>
      <c r="AM257" s="213"/>
      <c r="AN257" s="213"/>
      <c r="AO257" s="213"/>
      <c r="AP257" s="213"/>
      <c r="AQ257" s="213"/>
      <c r="AR257" s="213"/>
      <c r="AS257" s="213"/>
      <c r="AT257" s="213"/>
      <c r="AU257" s="213"/>
      <c r="AV257" s="213"/>
      <c r="AW257" s="213"/>
      <c r="AX257" s="213"/>
      <c r="AY257" s="213"/>
      <c r="AZ257" s="213"/>
      <c r="BA257" s="213"/>
      <c r="BB257" s="213"/>
    </row>
    <row r="258" ht="15.75" customHeight="1">
      <c r="A258" s="213"/>
      <c r="B258" s="213"/>
      <c r="C258" s="213"/>
      <c r="D258" s="213"/>
      <c r="E258" s="213"/>
      <c r="F258" s="213"/>
      <c r="G258" s="213"/>
      <c r="H258" s="213"/>
      <c r="I258" s="213"/>
      <c r="J258" s="213"/>
      <c r="K258" s="215"/>
      <c r="L258" s="213"/>
      <c r="M258" s="215"/>
      <c r="N258" s="213"/>
      <c r="O258" s="213"/>
      <c r="P258" s="213"/>
      <c r="Q258" s="213"/>
      <c r="R258" s="213"/>
      <c r="S258" s="213"/>
      <c r="T258" s="213"/>
      <c r="U258" s="213"/>
      <c r="V258" s="213"/>
      <c r="W258" s="213"/>
      <c r="X258" s="213"/>
      <c r="Y258" s="213"/>
      <c r="Z258" s="213"/>
      <c r="AA258" s="213"/>
      <c r="AB258" s="213"/>
      <c r="AC258" s="213"/>
      <c r="AD258" s="213"/>
      <c r="AE258" s="213"/>
      <c r="AF258" s="213"/>
      <c r="AG258" s="213"/>
      <c r="AH258" s="213"/>
      <c r="AI258" s="213"/>
      <c r="AJ258" s="213"/>
      <c r="AK258" s="213"/>
      <c r="AL258" s="213"/>
      <c r="AM258" s="213"/>
      <c r="AN258" s="213"/>
      <c r="AO258" s="213"/>
      <c r="AP258" s="213"/>
      <c r="AQ258" s="213"/>
      <c r="AR258" s="213"/>
      <c r="AS258" s="213"/>
      <c r="AT258" s="213"/>
      <c r="AU258" s="213"/>
      <c r="AV258" s="213"/>
      <c r="AW258" s="213"/>
      <c r="AX258" s="213"/>
      <c r="AY258" s="213"/>
      <c r="AZ258" s="213"/>
      <c r="BA258" s="213"/>
      <c r="BB258" s="213"/>
    </row>
    <row r="259" ht="15.75" customHeight="1">
      <c r="A259" s="213"/>
      <c r="B259" s="213"/>
      <c r="C259" s="213"/>
      <c r="D259" s="213"/>
      <c r="E259" s="213"/>
      <c r="F259" s="213"/>
      <c r="G259" s="213"/>
      <c r="H259" s="213"/>
      <c r="I259" s="213"/>
      <c r="J259" s="213"/>
      <c r="K259" s="215"/>
      <c r="L259" s="213"/>
      <c r="M259" s="215"/>
      <c r="N259" s="213"/>
      <c r="O259" s="213"/>
      <c r="P259" s="213"/>
      <c r="Q259" s="213"/>
      <c r="R259" s="213"/>
      <c r="S259" s="213"/>
      <c r="T259" s="213"/>
      <c r="U259" s="213"/>
      <c r="V259" s="213"/>
      <c r="W259" s="213"/>
      <c r="X259" s="213"/>
      <c r="Y259" s="213"/>
      <c r="Z259" s="213"/>
      <c r="AA259" s="213"/>
      <c r="AB259" s="213"/>
      <c r="AC259" s="213"/>
      <c r="AD259" s="213"/>
      <c r="AE259" s="213"/>
      <c r="AF259" s="213"/>
      <c r="AG259" s="213"/>
      <c r="AH259" s="213"/>
      <c r="AI259" s="213"/>
      <c r="AJ259" s="213"/>
      <c r="AK259" s="213"/>
      <c r="AL259" s="213"/>
      <c r="AM259" s="213"/>
      <c r="AN259" s="213"/>
      <c r="AO259" s="213"/>
      <c r="AP259" s="213"/>
      <c r="AQ259" s="213"/>
      <c r="AR259" s="213"/>
      <c r="AS259" s="213"/>
      <c r="AT259" s="213"/>
      <c r="AU259" s="213"/>
      <c r="AV259" s="213"/>
      <c r="AW259" s="213"/>
      <c r="AX259" s="213"/>
      <c r="AY259" s="213"/>
      <c r="AZ259" s="213"/>
      <c r="BA259" s="213"/>
      <c r="BB259" s="213"/>
    </row>
    <row r="260" ht="15.75" customHeight="1">
      <c r="A260" s="213"/>
      <c r="B260" s="213"/>
      <c r="C260" s="213"/>
      <c r="D260" s="213"/>
      <c r="E260" s="213"/>
      <c r="F260" s="213"/>
      <c r="G260" s="213"/>
      <c r="H260" s="213"/>
      <c r="I260" s="213"/>
      <c r="J260" s="213"/>
      <c r="K260" s="215"/>
      <c r="L260" s="213"/>
      <c r="M260" s="215"/>
      <c r="N260" s="213"/>
      <c r="O260" s="213"/>
      <c r="P260" s="213"/>
      <c r="Q260" s="213"/>
      <c r="R260" s="213"/>
      <c r="S260" s="213"/>
      <c r="T260" s="213"/>
      <c r="U260" s="213"/>
      <c r="V260" s="213"/>
      <c r="W260" s="213"/>
      <c r="X260" s="213"/>
      <c r="Y260" s="213"/>
      <c r="Z260" s="213"/>
      <c r="AA260" s="213"/>
      <c r="AB260" s="213"/>
      <c r="AC260" s="213"/>
      <c r="AD260" s="213"/>
      <c r="AE260" s="213"/>
      <c r="AF260" s="213"/>
      <c r="AG260" s="213"/>
      <c r="AH260" s="213"/>
      <c r="AI260" s="213"/>
      <c r="AJ260" s="213"/>
      <c r="AK260" s="213"/>
      <c r="AL260" s="213"/>
      <c r="AM260" s="213"/>
      <c r="AN260" s="213"/>
      <c r="AO260" s="213"/>
      <c r="AP260" s="213"/>
      <c r="AQ260" s="213"/>
      <c r="AR260" s="213"/>
      <c r="AS260" s="213"/>
      <c r="AT260" s="213"/>
      <c r="AU260" s="213"/>
      <c r="AV260" s="213"/>
      <c r="AW260" s="213"/>
      <c r="AX260" s="213"/>
      <c r="AY260" s="213"/>
      <c r="AZ260" s="213"/>
      <c r="BA260" s="213"/>
      <c r="BB260" s="213"/>
    </row>
    <row r="261" ht="15.75" customHeight="1">
      <c r="A261" s="213"/>
      <c r="B261" s="213"/>
      <c r="C261" s="213"/>
      <c r="D261" s="213"/>
      <c r="E261" s="213"/>
      <c r="F261" s="213"/>
      <c r="G261" s="213"/>
      <c r="H261" s="213"/>
      <c r="I261" s="213"/>
      <c r="J261" s="213"/>
      <c r="K261" s="215"/>
      <c r="L261" s="213"/>
      <c r="M261" s="215"/>
      <c r="N261" s="213"/>
      <c r="O261" s="213"/>
      <c r="P261" s="213"/>
      <c r="Q261" s="213"/>
      <c r="R261" s="213"/>
      <c r="S261" s="213"/>
      <c r="T261" s="213"/>
      <c r="U261" s="213"/>
      <c r="V261" s="213"/>
      <c r="W261" s="213"/>
      <c r="X261" s="213"/>
      <c r="Y261" s="213"/>
      <c r="Z261" s="213"/>
      <c r="AA261" s="213"/>
      <c r="AB261" s="213"/>
      <c r="AC261" s="213"/>
      <c r="AD261" s="213"/>
      <c r="AE261" s="213"/>
      <c r="AF261" s="213"/>
      <c r="AG261" s="213"/>
      <c r="AH261" s="213"/>
      <c r="AI261" s="213"/>
      <c r="AJ261" s="213"/>
      <c r="AK261" s="213"/>
      <c r="AL261" s="213"/>
      <c r="AM261" s="213"/>
      <c r="AN261" s="213"/>
      <c r="AO261" s="213"/>
      <c r="AP261" s="213"/>
      <c r="AQ261" s="213"/>
      <c r="AR261" s="213"/>
      <c r="AS261" s="213"/>
      <c r="AT261" s="213"/>
      <c r="AU261" s="213"/>
      <c r="AV261" s="213"/>
      <c r="AW261" s="213"/>
      <c r="AX261" s="213"/>
      <c r="AY261" s="213"/>
      <c r="AZ261" s="213"/>
      <c r="BA261" s="213"/>
      <c r="BB261" s="213"/>
    </row>
    <row r="262" ht="15.75" customHeight="1">
      <c r="A262" s="213"/>
      <c r="B262" s="213"/>
      <c r="C262" s="213"/>
      <c r="D262" s="213"/>
      <c r="E262" s="213"/>
      <c r="F262" s="213"/>
      <c r="G262" s="213"/>
      <c r="H262" s="213"/>
      <c r="I262" s="213"/>
      <c r="J262" s="213"/>
      <c r="K262" s="215"/>
      <c r="L262" s="213"/>
      <c r="M262" s="215"/>
      <c r="N262" s="213"/>
      <c r="O262" s="213"/>
      <c r="P262" s="213"/>
      <c r="Q262" s="213"/>
      <c r="R262" s="213"/>
      <c r="S262" s="213"/>
      <c r="T262" s="213"/>
      <c r="U262" s="213"/>
      <c r="V262" s="213"/>
      <c r="W262" s="213"/>
      <c r="X262" s="213"/>
      <c r="Y262" s="213"/>
      <c r="Z262" s="213"/>
      <c r="AA262" s="213"/>
      <c r="AB262" s="213"/>
      <c r="AC262" s="213"/>
      <c r="AD262" s="213"/>
      <c r="AE262" s="213"/>
      <c r="AF262" s="213"/>
      <c r="AG262" s="213"/>
      <c r="AH262" s="213"/>
      <c r="AI262" s="213"/>
      <c r="AJ262" s="213"/>
      <c r="AK262" s="213"/>
      <c r="AL262" s="213"/>
      <c r="AM262" s="213"/>
      <c r="AN262" s="213"/>
      <c r="AO262" s="213"/>
      <c r="AP262" s="213"/>
      <c r="AQ262" s="213"/>
      <c r="AR262" s="213"/>
      <c r="AS262" s="213"/>
      <c r="AT262" s="213"/>
      <c r="AU262" s="213"/>
      <c r="AV262" s="213"/>
      <c r="AW262" s="213"/>
      <c r="AX262" s="213"/>
      <c r="AY262" s="213"/>
      <c r="AZ262" s="213"/>
      <c r="BA262" s="213"/>
      <c r="BB262" s="213"/>
    </row>
    <row r="263" ht="15.75" customHeight="1">
      <c r="A263" s="213"/>
      <c r="B263" s="213"/>
      <c r="C263" s="213"/>
      <c r="D263" s="213"/>
      <c r="E263" s="213"/>
      <c r="F263" s="213"/>
      <c r="G263" s="213"/>
      <c r="H263" s="213"/>
      <c r="I263" s="213"/>
      <c r="J263" s="213"/>
      <c r="K263" s="215"/>
      <c r="L263" s="213"/>
      <c r="M263" s="215"/>
      <c r="N263" s="213"/>
      <c r="O263" s="213"/>
      <c r="P263" s="213"/>
      <c r="Q263" s="213"/>
      <c r="R263" s="213"/>
      <c r="S263" s="213"/>
      <c r="T263" s="213"/>
      <c r="U263" s="213"/>
      <c r="V263" s="213"/>
      <c r="W263" s="213"/>
      <c r="X263" s="213"/>
      <c r="Y263" s="213"/>
      <c r="Z263" s="213"/>
      <c r="AA263" s="213"/>
      <c r="AB263" s="213"/>
      <c r="AC263" s="213"/>
      <c r="AD263" s="213"/>
      <c r="AE263" s="213"/>
      <c r="AF263" s="213"/>
      <c r="AG263" s="213"/>
      <c r="AH263" s="213"/>
      <c r="AI263" s="213"/>
      <c r="AJ263" s="213"/>
      <c r="AK263" s="213"/>
      <c r="AL263" s="213"/>
      <c r="AM263" s="213"/>
      <c r="AN263" s="213"/>
      <c r="AO263" s="213"/>
      <c r="AP263" s="213"/>
      <c r="AQ263" s="213"/>
      <c r="AR263" s="213"/>
      <c r="AS263" s="213"/>
      <c r="AT263" s="213"/>
      <c r="AU263" s="213"/>
      <c r="AV263" s="213"/>
      <c r="AW263" s="213"/>
      <c r="AX263" s="213"/>
      <c r="AY263" s="213"/>
      <c r="AZ263" s="213"/>
      <c r="BA263" s="213"/>
      <c r="BB263" s="213"/>
    </row>
    <row r="264" ht="15.75" customHeight="1">
      <c r="A264" s="213"/>
      <c r="B264" s="213"/>
      <c r="C264" s="213"/>
      <c r="D264" s="213"/>
      <c r="E264" s="213"/>
      <c r="F264" s="213"/>
      <c r="G264" s="213"/>
      <c r="H264" s="213"/>
      <c r="I264" s="213"/>
      <c r="J264" s="213"/>
      <c r="K264" s="215"/>
      <c r="L264" s="213"/>
      <c r="M264" s="215"/>
      <c r="N264" s="213"/>
      <c r="O264" s="213"/>
      <c r="P264" s="213"/>
      <c r="Q264" s="213"/>
      <c r="R264" s="213"/>
      <c r="S264" s="213"/>
      <c r="T264" s="213"/>
      <c r="U264" s="213"/>
      <c r="V264" s="213"/>
      <c r="W264" s="213"/>
      <c r="X264" s="213"/>
      <c r="Y264" s="213"/>
      <c r="Z264" s="213"/>
      <c r="AA264" s="213"/>
      <c r="AB264" s="213"/>
      <c r="AC264" s="213"/>
      <c r="AD264" s="213"/>
      <c r="AE264" s="213"/>
      <c r="AF264" s="213"/>
      <c r="AG264" s="213"/>
      <c r="AH264" s="213"/>
      <c r="AI264" s="213"/>
      <c r="AJ264" s="213"/>
      <c r="AK264" s="213"/>
      <c r="AL264" s="213"/>
      <c r="AM264" s="213"/>
      <c r="AN264" s="213"/>
      <c r="AO264" s="213"/>
      <c r="AP264" s="213"/>
      <c r="AQ264" s="213"/>
      <c r="AR264" s="213"/>
      <c r="AS264" s="213"/>
      <c r="AT264" s="213"/>
      <c r="AU264" s="213"/>
      <c r="AV264" s="213"/>
      <c r="AW264" s="213"/>
      <c r="AX264" s="213"/>
      <c r="AY264" s="213"/>
      <c r="AZ264" s="213"/>
      <c r="BA264" s="213"/>
      <c r="BB264" s="213"/>
    </row>
    <row r="265" ht="15.75" customHeight="1">
      <c r="A265" s="213"/>
      <c r="B265" s="213"/>
      <c r="C265" s="213"/>
      <c r="D265" s="213"/>
      <c r="E265" s="213"/>
      <c r="F265" s="213"/>
      <c r="G265" s="213"/>
      <c r="H265" s="213"/>
      <c r="I265" s="213"/>
      <c r="J265" s="213"/>
      <c r="K265" s="215"/>
      <c r="L265" s="213"/>
      <c r="M265" s="215"/>
      <c r="N265" s="213"/>
      <c r="O265" s="213"/>
      <c r="P265" s="213"/>
      <c r="Q265" s="213"/>
      <c r="R265" s="213"/>
      <c r="S265" s="213"/>
      <c r="T265" s="213"/>
      <c r="U265" s="213"/>
      <c r="V265" s="213"/>
      <c r="W265" s="213"/>
      <c r="X265" s="213"/>
      <c r="Y265" s="213"/>
      <c r="Z265" s="213"/>
      <c r="AA265" s="213"/>
      <c r="AB265" s="213"/>
      <c r="AC265" s="213"/>
      <c r="AD265" s="213"/>
      <c r="AE265" s="213"/>
      <c r="AF265" s="213"/>
      <c r="AG265" s="213"/>
      <c r="AH265" s="213"/>
      <c r="AI265" s="213"/>
      <c r="AJ265" s="213"/>
      <c r="AK265" s="213"/>
      <c r="AL265" s="213"/>
      <c r="AM265" s="213"/>
      <c r="AN265" s="213"/>
      <c r="AO265" s="213"/>
      <c r="AP265" s="213"/>
      <c r="AQ265" s="213"/>
      <c r="AR265" s="213"/>
      <c r="AS265" s="213"/>
      <c r="AT265" s="213"/>
      <c r="AU265" s="213"/>
      <c r="AV265" s="213"/>
      <c r="AW265" s="213"/>
      <c r="AX265" s="213"/>
      <c r="AY265" s="213"/>
      <c r="AZ265" s="213"/>
      <c r="BA265" s="213"/>
      <c r="BB265" s="213"/>
    </row>
    <row r="266" ht="15.75" customHeight="1">
      <c r="A266" s="213"/>
      <c r="B266" s="213"/>
      <c r="C266" s="213"/>
      <c r="D266" s="213"/>
      <c r="E266" s="213"/>
      <c r="F266" s="213"/>
      <c r="G266" s="213"/>
      <c r="H266" s="213"/>
      <c r="I266" s="213"/>
      <c r="J266" s="213"/>
      <c r="K266" s="215"/>
      <c r="L266" s="213"/>
      <c r="M266" s="215"/>
      <c r="N266" s="213"/>
      <c r="O266" s="213"/>
      <c r="P266" s="213"/>
      <c r="Q266" s="213"/>
      <c r="R266" s="213"/>
      <c r="S266" s="213"/>
      <c r="T266" s="213"/>
      <c r="U266" s="213"/>
      <c r="V266" s="213"/>
      <c r="W266" s="213"/>
      <c r="X266" s="213"/>
      <c r="Y266" s="213"/>
      <c r="Z266" s="213"/>
      <c r="AA266" s="213"/>
      <c r="AB266" s="213"/>
      <c r="AC266" s="213"/>
      <c r="AD266" s="213"/>
      <c r="AE266" s="213"/>
      <c r="AF266" s="213"/>
      <c r="AG266" s="213"/>
      <c r="AH266" s="213"/>
      <c r="AI266" s="213"/>
      <c r="AJ266" s="213"/>
      <c r="AK266" s="213"/>
      <c r="AL266" s="213"/>
      <c r="AM266" s="213"/>
      <c r="AN266" s="213"/>
      <c r="AO266" s="213"/>
      <c r="AP266" s="213"/>
      <c r="AQ266" s="213"/>
      <c r="AR266" s="213"/>
      <c r="AS266" s="213"/>
      <c r="AT266" s="213"/>
      <c r="AU266" s="213"/>
      <c r="AV266" s="213"/>
      <c r="AW266" s="213"/>
      <c r="AX266" s="213"/>
      <c r="AY266" s="213"/>
      <c r="AZ266" s="213"/>
      <c r="BA266" s="213"/>
      <c r="BB266" s="213"/>
    </row>
    <row r="267" ht="15.75" customHeight="1">
      <c r="A267" s="213"/>
      <c r="B267" s="213"/>
      <c r="C267" s="213"/>
      <c r="D267" s="213"/>
      <c r="E267" s="213"/>
      <c r="F267" s="213"/>
      <c r="G267" s="213"/>
      <c r="H267" s="213"/>
      <c r="I267" s="213"/>
      <c r="J267" s="213"/>
      <c r="K267" s="215"/>
      <c r="L267" s="213"/>
      <c r="M267" s="215"/>
      <c r="N267" s="213"/>
      <c r="O267" s="213"/>
      <c r="P267" s="213"/>
      <c r="Q267" s="213"/>
      <c r="R267" s="213"/>
      <c r="S267" s="213"/>
      <c r="T267" s="213"/>
      <c r="U267" s="213"/>
      <c r="V267" s="213"/>
      <c r="W267" s="213"/>
      <c r="X267" s="213"/>
      <c r="Y267" s="213"/>
      <c r="Z267" s="213"/>
      <c r="AA267" s="213"/>
      <c r="AB267" s="213"/>
      <c r="AC267" s="213"/>
      <c r="AD267" s="213"/>
      <c r="AE267" s="213"/>
      <c r="AF267" s="213"/>
      <c r="AG267" s="213"/>
      <c r="AH267" s="213"/>
      <c r="AI267" s="213"/>
      <c r="AJ267" s="213"/>
      <c r="AK267" s="213"/>
      <c r="AL267" s="213"/>
      <c r="AM267" s="213"/>
      <c r="AN267" s="213"/>
      <c r="AO267" s="213"/>
      <c r="AP267" s="213"/>
      <c r="AQ267" s="213"/>
      <c r="AR267" s="213"/>
      <c r="AS267" s="213"/>
      <c r="AT267" s="213"/>
      <c r="AU267" s="213"/>
      <c r="AV267" s="213"/>
      <c r="AW267" s="213"/>
      <c r="AX267" s="213"/>
      <c r="AY267" s="213"/>
      <c r="AZ267" s="213"/>
      <c r="BA267" s="213"/>
      <c r="BB267" s="213"/>
    </row>
    <row r="268" ht="15.75" customHeight="1">
      <c r="A268" s="213"/>
      <c r="B268" s="213"/>
      <c r="C268" s="213"/>
      <c r="D268" s="213"/>
      <c r="E268" s="213"/>
      <c r="F268" s="213"/>
      <c r="G268" s="213"/>
      <c r="H268" s="213"/>
      <c r="I268" s="213"/>
      <c r="J268" s="213"/>
      <c r="K268" s="215"/>
      <c r="L268" s="213"/>
      <c r="M268" s="215"/>
      <c r="N268" s="213"/>
      <c r="O268" s="213"/>
      <c r="P268" s="213"/>
      <c r="Q268" s="213"/>
      <c r="R268" s="213"/>
      <c r="S268" s="213"/>
      <c r="T268" s="213"/>
      <c r="U268" s="213"/>
      <c r="V268" s="213"/>
      <c r="W268" s="213"/>
      <c r="X268" s="213"/>
      <c r="Y268" s="213"/>
      <c r="Z268" s="213"/>
      <c r="AA268" s="213"/>
      <c r="AB268" s="213"/>
      <c r="AC268" s="213"/>
      <c r="AD268" s="213"/>
      <c r="AE268" s="213"/>
      <c r="AF268" s="213"/>
      <c r="AG268" s="213"/>
      <c r="AH268" s="213"/>
      <c r="AI268" s="213"/>
      <c r="AJ268" s="213"/>
      <c r="AK268" s="213"/>
      <c r="AL268" s="213"/>
      <c r="AM268" s="213"/>
      <c r="AN268" s="213"/>
      <c r="AO268" s="213"/>
      <c r="AP268" s="213"/>
      <c r="AQ268" s="213"/>
      <c r="AR268" s="213"/>
      <c r="AS268" s="213"/>
      <c r="AT268" s="213"/>
      <c r="AU268" s="213"/>
      <c r="AV268" s="213"/>
      <c r="AW268" s="213"/>
      <c r="AX268" s="213"/>
      <c r="AY268" s="213"/>
      <c r="AZ268" s="213"/>
      <c r="BA268" s="213"/>
      <c r="BB268" s="213"/>
    </row>
    <row r="269" ht="15.75" customHeight="1">
      <c r="A269" s="213"/>
      <c r="B269" s="213"/>
      <c r="C269" s="213"/>
      <c r="D269" s="213"/>
      <c r="E269" s="213"/>
      <c r="F269" s="213"/>
      <c r="G269" s="213"/>
      <c r="H269" s="213"/>
      <c r="I269" s="213"/>
      <c r="J269" s="213"/>
      <c r="K269" s="215"/>
      <c r="L269" s="213"/>
      <c r="M269" s="215"/>
      <c r="N269" s="213"/>
      <c r="O269" s="213"/>
      <c r="P269" s="213"/>
      <c r="Q269" s="213"/>
      <c r="R269" s="213"/>
      <c r="S269" s="213"/>
      <c r="T269" s="213"/>
      <c r="U269" s="213"/>
      <c r="V269" s="213"/>
      <c r="W269" s="213"/>
      <c r="X269" s="213"/>
      <c r="Y269" s="213"/>
      <c r="Z269" s="213"/>
      <c r="AA269" s="213"/>
      <c r="AB269" s="213"/>
      <c r="AC269" s="213"/>
      <c r="AD269" s="213"/>
      <c r="AE269" s="213"/>
      <c r="AF269" s="213"/>
      <c r="AG269" s="213"/>
      <c r="AH269" s="213"/>
      <c r="AI269" s="213"/>
      <c r="AJ269" s="213"/>
      <c r="AK269" s="213"/>
      <c r="AL269" s="213"/>
      <c r="AM269" s="213"/>
      <c r="AN269" s="213"/>
      <c r="AO269" s="213"/>
      <c r="AP269" s="213"/>
      <c r="AQ269" s="213"/>
      <c r="AR269" s="213"/>
      <c r="AS269" s="213"/>
      <c r="AT269" s="213"/>
      <c r="AU269" s="213"/>
      <c r="AV269" s="213"/>
      <c r="AW269" s="213"/>
      <c r="AX269" s="213"/>
      <c r="AY269" s="213"/>
      <c r="AZ269" s="213"/>
      <c r="BA269" s="213"/>
      <c r="BB269" s="213"/>
    </row>
    <row r="270" ht="15.75" customHeight="1">
      <c r="A270" s="213"/>
      <c r="B270" s="213"/>
      <c r="C270" s="213"/>
      <c r="D270" s="213"/>
      <c r="E270" s="213"/>
      <c r="F270" s="213"/>
      <c r="G270" s="213"/>
      <c r="H270" s="213"/>
      <c r="I270" s="213"/>
      <c r="J270" s="213"/>
      <c r="K270" s="215"/>
      <c r="L270" s="213"/>
      <c r="M270" s="215"/>
      <c r="N270" s="213"/>
      <c r="O270" s="213"/>
      <c r="P270" s="213"/>
      <c r="Q270" s="213"/>
      <c r="R270" s="213"/>
      <c r="S270" s="213"/>
      <c r="T270" s="213"/>
      <c r="U270" s="213"/>
      <c r="V270" s="213"/>
      <c r="W270" s="213"/>
      <c r="X270" s="213"/>
      <c r="Y270" s="213"/>
      <c r="Z270" s="213"/>
      <c r="AA270" s="213"/>
      <c r="AB270" s="213"/>
      <c r="AC270" s="213"/>
      <c r="AD270" s="213"/>
      <c r="AE270" s="213"/>
      <c r="AF270" s="213"/>
      <c r="AG270" s="213"/>
      <c r="AH270" s="213"/>
      <c r="AI270" s="213"/>
      <c r="AJ270" s="213"/>
      <c r="AK270" s="213"/>
      <c r="AL270" s="213"/>
      <c r="AM270" s="213"/>
      <c r="AN270" s="213"/>
      <c r="AO270" s="213"/>
      <c r="AP270" s="213"/>
      <c r="AQ270" s="213"/>
      <c r="AR270" s="213"/>
      <c r="AS270" s="213"/>
      <c r="AT270" s="213"/>
      <c r="AU270" s="213"/>
      <c r="AV270" s="213"/>
      <c r="AW270" s="213"/>
      <c r="AX270" s="213"/>
      <c r="AY270" s="213"/>
      <c r="AZ270" s="213"/>
      <c r="BA270" s="213"/>
      <c r="BB270" s="213"/>
    </row>
    <row r="271" ht="15.75" customHeight="1">
      <c r="A271" s="213"/>
      <c r="B271" s="213"/>
      <c r="C271" s="213"/>
      <c r="D271" s="213"/>
      <c r="E271" s="213"/>
      <c r="F271" s="213"/>
      <c r="G271" s="213"/>
      <c r="H271" s="213"/>
      <c r="I271" s="213"/>
      <c r="J271" s="213"/>
      <c r="K271" s="215"/>
      <c r="L271" s="213"/>
      <c r="M271" s="215"/>
      <c r="N271" s="213"/>
      <c r="O271" s="213"/>
      <c r="P271" s="213"/>
      <c r="Q271" s="213"/>
      <c r="R271" s="213"/>
      <c r="S271" s="213"/>
      <c r="T271" s="213"/>
      <c r="U271" s="213"/>
      <c r="V271" s="213"/>
      <c r="W271" s="213"/>
      <c r="X271" s="213"/>
      <c r="Y271" s="213"/>
      <c r="Z271" s="213"/>
      <c r="AA271" s="213"/>
      <c r="AB271" s="213"/>
      <c r="AC271" s="213"/>
      <c r="AD271" s="213"/>
      <c r="AE271" s="213"/>
      <c r="AF271" s="213"/>
      <c r="AG271" s="213"/>
      <c r="AH271" s="213"/>
      <c r="AI271" s="213"/>
      <c r="AJ271" s="213"/>
      <c r="AK271" s="213"/>
      <c r="AL271" s="213"/>
      <c r="AM271" s="213"/>
      <c r="AN271" s="213"/>
      <c r="AO271" s="213"/>
      <c r="AP271" s="213"/>
      <c r="AQ271" s="213"/>
      <c r="AR271" s="213"/>
      <c r="AS271" s="213"/>
      <c r="AT271" s="213"/>
      <c r="AU271" s="213"/>
      <c r="AV271" s="213"/>
      <c r="AW271" s="213"/>
      <c r="AX271" s="213"/>
      <c r="AY271" s="213"/>
      <c r="AZ271" s="213"/>
      <c r="BA271" s="213"/>
      <c r="BB271" s="213"/>
    </row>
    <row r="272" ht="15.75" customHeight="1">
      <c r="A272" s="213"/>
      <c r="B272" s="213"/>
      <c r="C272" s="213"/>
      <c r="D272" s="213"/>
      <c r="E272" s="213"/>
      <c r="F272" s="213"/>
      <c r="G272" s="213"/>
      <c r="H272" s="213"/>
      <c r="I272" s="213"/>
      <c r="J272" s="213"/>
      <c r="K272" s="215"/>
      <c r="L272" s="213"/>
      <c r="M272" s="215"/>
      <c r="N272" s="213"/>
      <c r="O272" s="213"/>
      <c r="P272" s="213"/>
      <c r="Q272" s="213"/>
      <c r="R272" s="213"/>
      <c r="S272" s="213"/>
      <c r="T272" s="213"/>
      <c r="U272" s="213"/>
      <c r="V272" s="213"/>
      <c r="W272" s="213"/>
      <c r="X272" s="213"/>
      <c r="Y272" s="213"/>
      <c r="Z272" s="213"/>
      <c r="AA272" s="213"/>
      <c r="AB272" s="213"/>
      <c r="AC272" s="213"/>
      <c r="AD272" s="213"/>
      <c r="AE272" s="213"/>
      <c r="AF272" s="213"/>
      <c r="AG272" s="213"/>
      <c r="AH272" s="213"/>
      <c r="AI272" s="213"/>
      <c r="AJ272" s="213"/>
      <c r="AK272" s="213"/>
      <c r="AL272" s="213"/>
      <c r="AM272" s="213"/>
      <c r="AN272" s="213"/>
      <c r="AO272" s="213"/>
      <c r="AP272" s="213"/>
      <c r="AQ272" s="213"/>
      <c r="AR272" s="213"/>
      <c r="AS272" s="213"/>
      <c r="AT272" s="213"/>
      <c r="AU272" s="213"/>
      <c r="AV272" s="213"/>
      <c r="AW272" s="213"/>
      <c r="AX272" s="213"/>
      <c r="AY272" s="213"/>
      <c r="AZ272" s="213"/>
      <c r="BA272" s="213"/>
      <c r="BB272" s="213"/>
    </row>
    <row r="273" ht="15.75" customHeight="1">
      <c r="A273" s="213"/>
      <c r="B273" s="213"/>
      <c r="C273" s="213"/>
      <c r="D273" s="213"/>
      <c r="E273" s="213"/>
      <c r="F273" s="213"/>
      <c r="G273" s="213"/>
      <c r="H273" s="213"/>
      <c r="I273" s="213"/>
      <c r="J273" s="213"/>
      <c r="K273" s="215"/>
      <c r="L273" s="213"/>
      <c r="M273" s="215"/>
      <c r="N273" s="213"/>
      <c r="O273" s="213"/>
      <c r="P273" s="213"/>
      <c r="Q273" s="213"/>
      <c r="R273" s="213"/>
      <c r="S273" s="213"/>
      <c r="T273" s="213"/>
      <c r="U273" s="213"/>
      <c r="V273" s="213"/>
      <c r="W273" s="213"/>
      <c r="X273" s="213"/>
      <c r="Y273" s="213"/>
      <c r="Z273" s="213"/>
      <c r="AA273" s="213"/>
      <c r="AB273" s="213"/>
      <c r="AC273" s="213"/>
      <c r="AD273" s="213"/>
      <c r="AE273" s="213"/>
      <c r="AF273" s="213"/>
      <c r="AG273" s="213"/>
      <c r="AH273" s="213"/>
      <c r="AI273" s="213"/>
      <c r="AJ273" s="213"/>
      <c r="AK273" s="213"/>
      <c r="AL273" s="213"/>
      <c r="AM273" s="213"/>
      <c r="AN273" s="213"/>
      <c r="AO273" s="213"/>
      <c r="AP273" s="213"/>
      <c r="AQ273" s="213"/>
      <c r="AR273" s="213"/>
      <c r="AS273" s="213"/>
      <c r="AT273" s="213"/>
      <c r="AU273" s="213"/>
      <c r="AV273" s="213"/>
      <c r="AW273" s="213"/>
      <c r="AX273" s="213"/>
      <c r="AY273" s="213"/>
      <c r="AZ273" s="213"/>
      <c r="BA273" s="213"/>
      <c r="BB273" s="213"/>
    </row>
    <row r="274" ht="15.75" customHeight="1">
      <c r="A274" s="213"/>
      <c r="B274" s="213"/>
      <c r="C274" s="213"/>
      <c r="D274" s="213"/>
      <c r="E274" s="213"/>
      <c r="F274" s="213"/>
      <c r="G274" s="213"/>
      <c r="H274" s="213"/>
      <c r="I274" s="213"/>
      <c r="J274" s="213"/>
      <c r="K274" s="215"/>
      <c r="L274" s="213"/>
      <c r="M274" s="215"/>
      <c r="N274" s="213"/>
      <c r="O274" s="213"/>
      <c r="P274" s="213"/>
      <c r="Q274" s="213"/>
      <c r="R274" s="213"/>
      <c r="S274" s="213"/>
      <c r="T274" s="213"/>
      <c r="U274" s="213"/>
      <c r="V274" s="213"/>
      <c r="W274" s="213"/>
      <c r="X274" s="213"/>
      <c r="Y274" s="213"/>
      <c r="Z274" s="213"/>
      <c r="AA274" s="213"/>
      <c r="AB274" s="213"/>
      <c r="AC274" s="213"/>
      <c r="AD274" s="213"/>
      <c r="AE274" s="213"/>
      <c r="AF274" s="213"/>
      <c r="AG274" s="213"/>
      <c r="AH274" s="213"/>
      <c r="AI274" s="213"/>
      <c r="AJ274" s="213"/>
      <c r="AK274" s="213"/>
      <c r="AL274" s="213"/>
      <c r="AM274" s="213"/>
      <c r="AN274" s="213"/>
      <c r="AO274" s="213"/>
      <c r="AP274" s="213"/>
      <c r="AQ274" s="213"/>
      <c r="AR274" s="213"/>
      <c r="AS274" s="213"/>
      <c r="AT274" s="213"/>
      <c r="AU274" s="213"/>
      <c r="AV274" s="213"/>
      <c r="AW274" s="213"/>
      <c r="AX274" s="213"/>
      <c r="AY274" s="213"/>
      <c r="AZ274" s="213"/>
      <c r="BA274" s="213"/>
      <c r="BB274" s="213"/>
    </row>
    <row r="275" ht="15.75" customHeight="1">
      <c r="A275" s="213"/>
      <c r="B275" s="213"/>
      <c r="C275" s="213"/>
      <c r="D275" s="213"/>
      <c r="E275" s="213"/>
      <c r="F275" s="213"/>
      <c r="G275" s="213"/>
      <c r="H275" s="213"/>
      <c r="I275" s="213"/>
      <c r="J275" s="213"/>
      <c r="K275" s="215"/>
      <c r="L275" s="213"/>
      <c r="M275" s="215"/>
      <c r="N275" s="213"/>
      <c r="O275" s="213"/>
      <c r="P275" s="213"/>
      <c r="Q275" s="213"/>
      <c r="R275" s="213"/>
      <c r="S275" s="213"/>
      <c r="T275" s="213"/>
      <c r="U275" s="213"/>
      <c r="V275" s="213"/>
      <c r="W275" s="213"/>
      <c r="X275" s="213"/>
      <c r="Y275" s="213"/>
      <c r="Z275" s="213"/>
      <c r="AA275" s="213"/>
      <c r="AB275" s="213"/>
      <c r="AC275" s="213"/>
      <c r="AD275" s="213"/>
      <c r="AE275" s="213"/>
      <c r="AF275" s="213"/>
      <c r="AG275" s="213"/>
      <c r="AH275" s="213"/>
      <c r="AI275" s="213"/>
      <c r="AJ275" s="213"/>
      <c r="AK275" s="213"/>
      <c r="AL275" s="213"/>
      <c r="AM275" s="213"/>
      <c r="AN275" s="213"/>
      <c r="AO275" s="213"/>
      <c r="AP275" s="213"/>
      <c r="AQ275" s="213"/>
      <c r="AR275" s="213"/>
      <c r="AS275" s="213"/>
      <c r="AT275" s="213"/>
      <c r="AU275" s="213"/>
      <c r="AV275" s="213"/>
      <c r="AW275" s="213"/>
      <c r="AX275" s="213"/>
      <c r="AY275" s="213"/>
      <c r="AZ275" s="213"/>
      <c r="BA275" s="213"/>
      <c r="BB275" s="213"/>
    </row>
    <row r="276" ht="15.75" customHeight="1">
      <c r="A276" s="213"/>
      <c r="B276" s="213"/>
      <c r="C276" s="213"/>
      <c r="D276" s="213"/>
      <c r="E276" s="213"/>
      <c r="F276" s="213"/>
      <c r="G276" s="213"/>
      <c r="H276" s="213"/>
      <c r="I276" s="213"/>
      <c r="J276" s="213"/>
      <c r="K276" s="215"/>
      <c r="L276" s="213"/>
      <c r="M276" s="215"/>
      <c r="N276" s="213"/>
      <c r="O276" s="213"/>
      <c r="P276" s="213"/>
      <c r="Q276" s="213"/>
      <c r="R276" s="213"/>
      <c r="S276" s="213"/>
      <c r="T276" s="213"/>
      <c r="U276" s="213"/>
      <c r="V276" s="213"/>
      <c r="W276" s="213"/>
      <c r="X276" s="213"/>
      <c r="Y276" s="213"/>
      <c r="Z276" s="213"/>
      <c r="AA276" s="213"/>
      <c r="AB276" s="213"/>
      <c r="AC276" s="213"/>
      <c r="AD276" s="213"/>
      <c r="AE276" s="213"/>
      <c r="AF276" s="213"/>
      <c r="AG276" s="213"/>
      <c r="AH276" s="213"/>
      <c r="AI276" s="213"/>
      <c r="AJ276" s="213"/>
      <c r="AK276" s="213"/>
      <c r="AL276" s="213"/>
      <c r="AM276" s="213"/>
      <c r="AN276" s="213"/>
      <c r="AO276" s="213"/>
      <c r="AP276" s="213"/>
      <c r="AQ276" s="213"/>
      <c r="AR276" s="213"/>
      <c r="AS276" s="213"/>
      <c r="AT276" s="213"/>
      <c r="AU276" s="213"/>
      <c r="AV276" s="213"/>
      <c r="AW276" s="213"/>
      <c r="AX276" s="213"/>
      <c r="AY276" s="213"/>
      <c r="AZ276" s="213"/>
      <c r="BA276" s="213"/>
      <c r="BB276" s="213"/>
    </row>
    <row r="277" ht="15.75" customHeight="1">
      <c r="A277" s="213"/>
      <c r="B277" s="213"/>
      <c r="C277" s="213"/>
      <c r="D277" s="213"/>
      <c r="E277" s="213"/>
      <c r="F277" s="213"/>
      <c r="G277" s="213"/>
      <c r="H277" s="213"/>
      <c r="I277" s="213"/>
      <c r="J277" s="213"/>
      <c r="K277" s="215"/>
      <c r="L277" s="213"/>
      <c r="M277" s="215"/>
      <c r="N277" s="213"/>
      <c r="O277" s="213"/>
      <c r="P277" s="213"/>
      <c r="Q277" s="213"/>
      <c r="R277" s="213"/>
      <c r="S277" s="213"/>
      <c r="T277" s="213"/>
      <c r="U277" s="213"/>
      <c r="V277" s="213"/>
      <c r="W277" s="213"/>
      <c r="X277" s="213"/>
      <c r="Y277" s="213"/>
      <c r="Z277" s="213"/>
      <c r="AA277" s="213"/>
      <c r="AB277" s="213"/>
      <c r="AC277" s="213"/>
      <c r="AD277" s="213"/>
      <c r="AE277" s="213"/>
      <c r="AF277" s="213"/>
      <c r="AG277" s="213"/>
      <c r="AH277" s="213"/>
      <c r="AI277" s="213"/>
      <c r="AJ277" s="213"/>
      <c r="AK277" s="213"/>
      <c r="AL277" s="213"/>
      <c r="AM277" s="213"/>
      <c r="AN277" s="213"/>
      <c r="AO277" s="213"/>
      <c r="AP277" s="213"/>
      <c r="AQ277" s="213"/>
      <c r="AR277" s="213"/>
      <c r="AS277" s="213"/>
      <c r="AT277" s="213"/>
      <c r="AU277" s="213"/>
      <c r="AV277" s="213"/>
      <c r="AW277" s="213"/>
      <c r="AX277" s="213"/>
      <c r="AY277" s="213"/>
      <c r="AZ277" s="213"/>
      <c r="BA277" s="213"/>
      <c r="BB277" s="213"/>
    </row>
    <row r="278" ht="15.75" customHeight="1">
      <c r="A278" s="213"/>
      <c r="B278" s="213"/>
      <c r="C278" s="213"/>
      <c r="D278" s="213"/>
      <c r="E278" s="213"/>
      <c r="F278" s="213"/>
      <c r="G278" s="213"/>
      <c r="H278" s="213"/>
      <c r="I278" s="213"/>
      <c r="J278" s="213"/>
      <c r="K278" s="215"/>
      <c r="L278" s="213"/>
      <c r="M278" s="215"/>
      <c r="N278" s="213"/>
      <c r="O278" s="213"/>
      <c r="P278" s="213"/>
      <c r="Q278" s="213"/>
      <c r="R278" s="213"/>
      <c r="S278" s="213"/>
      <c r="T278" s="213"/>
      <c r="U278" s="213"/>
      <c r="V278" s="213"/>
      <c r="W278" s="213"/>
      <c r="X278" s="213"/>
      <c r="Y278" s="213"/>
      <c r="Z278" s="213"/>
      <c r="AA278" s="213"/>
      <c r="AB278" s="213"/>
      <c r="AC278" s="213"/>
      <c r="AD278" s="213"/>
      <c r="AE278" s="213"/>
      <c r="AF278" s="213"/>
      <c r="AG278" s="213"/>
      <c r="AH278" s="213"/>
      <c r="AI278" s="213"/>
      <c r="AJ278" s="213"/>
      <c r="AK278" s="213"/>
      <c r="AL278" s="213"/>
      <c r="AM278" s="213"/>
      <c r="AN278" s="213"/>
      <c r="AO278" s="213"/>
      <c r="AP278" s="213"/>
      <c r="AQ278" s="213"/>
      <c r="AR278" s="213"/>
      <c r="AS278" s="213"/>
      <c r="AT278" s="213"/>
      <c r="AU278" s="213"/>
      <c r="AV278" s="213"/>
      <c r="AW278" s="213"/>
      <c r="AX278" s="213"/>
      <c r="AY278" s="213"/>
      <c r="AZ278" s="213"/>
      <c r="BA278" s="213"/>
      <c r="BB278" s="213"/>
    </row>
    <row r="279" ht="15.75" customHeight="1">
      <c r="A279" s="213"/>
      <c r="B279" s="213"/>
      <c r="C279" s="213"/>
      <c r="D279" s="213"/>
      <c r="E279" s="213"/>
      <c r="F279" s="213"/>
      <c r="G279" s="213"/>
      <c r="H279" s="213"/>
      <c r="I279" s="213"/>
      <c r="J279" s="213"/>
      <c r="K279" s="215"/>
      <c r="L279" s="213"/>
      <c r="M279" s="215"/>
      <c r="N279" s="213"/>
      <c r="O279" s="213"/>
      <c r="P279" s="213"/>
      <c r="Q279" s="213"/>
      <c r="R279" s="213"/>
      <c r="S279" s="213"/>
      <c r="T279" s="213"/>
      <c r="U279" s="213"/>
      <c r="V279" s="213"/>
      <c r="W279" s="213"/>
      <c r="X279" s="213"/>
      <c r="Y279" s="213"/>
      <c r="Z279" s="213"/>
      <c r="AA279" s="213"/>
      <c r="AB279" s="213"/>
      <c r="AC279" s="213"/>
      <c r="AD279" s="213"/>
      <c r="AE279" s="213"/>
      <c r="AF279" s="213"/>
      <c r="AG279" s="213"/>
      <c r="AH279" s="213"/>
      <c r="AI279" s="213"/>
      <c r="AJ279" s="213"/>
      <c r="AK279" s="213"/>
      <c r="AL279" s="213"/>
      <c r="AM279" s="213"/>
      <c r="AN279" s="213"/>
      <c r="AO279" s="213"/>
      <c r="AP279" s="213"/>
      <c r="AQ279" s="213"/>
      <c r="AR279" s="213"/>
      <c r="AS279" s="213"/>
      <c r="AT279" s="213"/>
      <c r="AU279" s="213"/>
      <c r="AV279" s="213"/>
      <c r="AW279" s="213"/>
      <c r="AX279" s="213"/>
      <c r="AY279" s="213"/>
      <c r="AZ279" s="213"/>
      <c r="BA279" s="213"/>
      <c r="BB279" s="213"/>
    </row>
    <row r="280" ht="15.75" customHeight="1">
      <c r="A280" s="213"/>
      <c r="B280" s="213"/>
      <c r="C280" s="213"/>
      <c r="D280" s="213"/>
      <c r="E280" s="213"/>
      <c r="F280" s="213"/>
      <c r="G280" s="213"/>
      <c r="H280" s="213"/>
      <c r="I280" s="213"/>
      <c r="J280" s="213"/>
      <c r="K280" s="215"/>
      <c r="L280" s="213"/>
      <c r="M280" s="215"/>
      <c r="N280" s="213"/>
      <c r="O280" s="213"/>
      <c r="P280" s="213"/>
      <c r="Q280" s="213"/>
      <c r="R280" s="213"/>
      <c r="S280" s="213"/>
      <c r="T280" s="213"/>
      <c r="U280" s="213"/>
      <c r="V280" s="213"/>
      <c r="W280" s="213"/>
      <c r="X280" s="213"/>
      <c r="Y280" s="213"/>
      <c r="Z280" s="213"/>
      <c r="AA280" s="213"/>
      <c r="AB280" s="213"/>
      <c r="AC280" s="213"/>
      <c r="AD280" s="213"/>
      <c r="AE280" s="213"/>
      <c r="AF280" s="213"/>
      <c r="AG280" s="213"/>
      <c r="AH280" s="213"/>
      <c r="AI280" s="213"/>
      <c r="AJ280" s="213"/>
      <c r="AK280" s="213"/>
      <c r="AL280" s="213"/>
      <c r="AM280" s="213"/>
      <c r="AN280" s="213"/>
      <c r="AO280" s="213"/>
      <c r="AP280" s="213"/>
      <c r="AQ280" s="213"/>
      <c r="AR280" s="213"/>
      <c r="AS280" s="213"/>
      <c r="AT280" s="213"/>
      <c r="AU280" s="213"/>
      <c r="AV280" s="213"/>
      <c r="AW280" s="213"/>
      <c r="AX280" s="213"/>
      <c r="AY280" s="213"/>
      <c r="AZ280" s="213"/>
      <c r="BA280" s="213"/>
      <c r="BB280" s="213"/>
    </row>
    <row r="281" ht="15.75" customHeight="1">
      <c r="A281" s="213"/>
      <c r="B281" s="213"/>
      <c r="C281" s="213"/>
      <c r="D281" s="213"/>
      <c r="E281" s="213"/>
      <c r="F281" s="213"/>
      <c r="G281" s="213"/>
      <c r="H281" s="213"/>
      <c r="I281" s="213"/>
      <c r="J281" s="213"/>
      <c r="K281" s="215"/>
      <c r="L281" s="213"/>
      <c r="M281" s="215"/>
      <c r="N281" s="213"/>
      <c r="O281" s="213"/>
      <c r="P281" s="213"/>
      <c r="Q281" s="213"/>
      <c r="R281" s="213"/>
      <c r="S281" s="213"/>
      <c r="T281" s="213"/>
      <c r="U281" s="213"/>
      <c r="V281" s="213"/>
      <c r="W281" s="213"/>
      <c r="X281" s="213"/>
      <c r="Y281" s="213"/>
      <c r="Z281" s="213"/>
      <c r="AA281" s="213"/>
      <c r="AB281" s="213"/>
      <c r="AC281" s="213"/>
      <c r="AD281" s="213"/>
      <c r="AE281" s="213"/>
      <c r="AF281" s="213"/>
      <c r="AG281" s="213"/>
      <c r="AH281" s="213"/>
      <c r="AI281" s="213"/>
      <c r="AJ281" s="213"/>
      <c r="AK281" s="213"/>
      <c r="AL281" s="213"/>
      <c r="AM281" s="213"/>
      <c r="AN281" s="213"/>
      <c r="AO281" s="213"/>
      <c r="AP281" s="213"/>
      <c r="AQ281" s="213"/>
      <c r="AR281" s="213"/>
      <c r="AS281" s="213"/>
      <c r="AT281" s="213"/>
      <c r="AU281" s="213"/>
      <c r="AV281" s="213"/>
      <c r="AW281" s="213"/>
      <c r="AX281" s="213"/>
      <c r="AY281" s="213"/>
      <c r="AZ281" s="213"/>
      <c r="BA281" s="213"/>
      <c r="BB281" s="213"/>
    </row>
    <row r="282" ht="15.75" customHeight="1">
      <c r="A282" s="213"/>
      <c r="B282" s="213"/>
      <c r="C282" s="213"/>
      <c r="D282" s="213"/>
      <c r="E282" s="213"/>
      <c r="F282" s="213"/>
      <c r="G282" s="213"/>
      <c r="H282" s="213"/>
      <c r="I282" s="213"/>
      <c r="J282" s="213"/>
      <c r="K282" s="215"/>
      <c r="L282" s="213"/>
      <c r="M282" s="215"/>
      <c r="N282" s="213"/>
      <c r="O282" s="213"/>
      <c r="P282" s="213"/>
      <c r="Q282" s="213"/>
      <c r="R282" s="213"/>
      <c r="S282" s="213"/>
      <c r="T282" s="213"/>
      <c r="U282" s="213"/>
      <c r="V282" s="213"/>
      <c r="W282" s="213"/>
      <c r="X282" s="213"/>
      <c r="Y282" s="213"/>
      <c r="Z282" s="213"/>
      <c r="AA282" s="213"/>
      <c r="AB282" s="213"/>
      <c r="AC282" s="213"/>
      <c r="AD282" s="213"/>
      <c r="AE282" s="213"/>
      <c r="AF282" s="213"/>
      <c r="AG282" s="213"/>
      <c r="AH282" s="213"/>
      <c r="AI282" s="213"/>
      <c r="AJ282" s="213"/>
      <c r="AK282" s="213"/>
      <c r="AL282" s="213"/>
      <c r="AM282" s="213"/>
      <c r="AN282" s="213"/>
      <c r="AO282" s="213"/>
      <c r="AP282" s="213"/>
      <c r="AQ282" s="213"/>
      <c r="AR282" s="213"/>
      <c r="AS282" s="213"/>
      <c r="AT282" s="213"/>
      <c r="AU282" s="213"/>
      <c r="AV282" s="213"/>
      <c r="AW282" s="213"/>
      <c r="AX282" s="213"/>
      <c r="AY282" s="213"/>
      <c r="AZ282" s="213"/>
      <c r="BA282" s="213"/>
      <c r="BB282" s="213"/>
    </row>
    <row r="283" ht="15.75" customHeight="1">
      <c r="A283" s="213"/>
      <c r="B283" s="213"/>
      <c r="C283" s="213"/>
      <c r="D283" s="213"/>
      <c r="E283" s="213"/>
      <c r="F283" s="213"/>
      <c r="G283" s="213"/>
      <c r="H283" s="213"/>
      <c r="I283" s="213"/>
      <c r="J283" s="213"/>
      <c r="K283" s="215"/>
      <c r="L283" s="213"/>
      <c r="M283" s="215"/>
      <c r="N283" s="213"/>
      <c r="O283" s="213"/>
      <c r="P283" s="213"/>
      <c r="Q283" s="213"/>
      <c r="R283" s="213"/>
      <c r="S283" s="213"/>
      <c r="T283" s="213"/>
      <c r="U283" s="213"/>
      <c r="V283" s="213"/>
      <c r="W283" s="213"/>
      <c r="X283" s="213"/>
      <c r="Y283" s="213"/>
      <c r="Z283" s="213"/>
      <c r="AA283" s="213"/>
      <c r="AB283" s="213"/>
      <c r="AC283" s="213"/>
      <c r="AD283" s="213"/>
      <c r="AE283" s="213"/>
      <c r="AF283" s="213"/>
      <c r="AG283" s="213"/>
      <c r="AH283" s="213"/>
      <c r="AI283" s="213"/>
      <c r="AJ283" s="213"/>
      <c r="AK283" s="213"/>
      <c r="AL283" s="213"/>
      <c r="AM283" s="213"/>
      <c r="AN283" s="213"/>
      <c r="AO283" s="213"/>
      <c r="AP283" s="213"/>
      <c r="AQ283" s="213"/>
      <c r="AR283" s="213"/>
      <c r="AS283" s="213"/>
      <c r="AT283" s="213"/>
      <c r="AU283" s="213"/>
      <c r="AV283" s="213"/>
      <c r="AW283" s="213"/>
      <c r="AX283" s="213"/>
      <c r="AY283" s="213"/>
      <c r="AZ283" s="213"/>
      <c r="BA283" s="213"/>
      <c r="BB283" s="213"/>
    </row>
    <row r="284" ht="15.75" customHeight="1">
      <c r="A284" s="213"/>
      <c r="B284" s="213"/>
      <c r="C284" s="213"/>
      <c r="D284" s="213"/>
      <c r="E284" s="213"/>
      <c r="F284" s="213"/>
      <c r="G284" s="213"/>
      <c r="H284" s="213"/>
      <c r="I284" s="213"/>
      <c r="J284" s="213"/>
      <c r="K284" s="215"/>
      <c r="L284" s="213"/>
      <c r="M284" s="215"/>
      <c r="N284" s="213"/>
      <c r="O284" s="213"/>
      <c r="P284" s="213"/>
      <c r="Q284" s="213"/>
      <c r="R284" s="213"/>
      <c r="S284" s="213"/>
      <c r="T284" s="213"/>
      <c r="U284" s="213"/>
      <c r="V284" s="213"/>
      <c r="W284" s="213"/>
      <c r="X284" s="213"/>
      <c r="Y284" s="213"/>
      <c r="Z284" s="213"/>
      <c r="AA284" s="213"/>
      <c r="AB284" s="213"/>
      <c r="AC284" s="213"/>
      <c r="AD284" s="213"/>
      <c r="AE284" s="213"/>
      <c r="AF284" s="213"/>
      <c r="AG284" s="213"/>
      <c r="AH284" s="213"/>
      <c r="AI284" s="213"/>
      <c r="AJ284" s="213"/>
      <c r="AK284" s="213"/>
      <c r="AL284" s="213"/>
      <c r="AM284" s="213"/>
      <c r="AN284" s="213"/>
      <c r="AO284" s="213"/>
      <c r="AP284" s="213"/>
      <c r="AQ284" s="213"/>
      <c r="AR284" s="213"/>
      <c r="AS284" s="213"/>
      <c r="AT284" s="213"/>
      <c r="AU284" s="213"/>
      <c r="AV284" s="213"/>
      <c r="AW284" s="213"/>
      <c r="AX284" s="213"/>
      <c r="AY284" s="213"/>
      <c r="AZ284" s="213"/>
      <c r="BA284" s="213"/>
      <c r="BB284" s="213"/>
    </row>
    <row r="285" ht="15.75" customHeight="1">
      <c r="A285" s="213"/>
      <c r="B285" s="213"/>
      <c r="C285" s="213"/>
      <c r="D285" s="213"/>
      <c r="E285" s="213"/>
      <c r="F285" s="213"/>
      <c r="G285" s="213"/>
      <c r="H285" s="213"/>
      <c r="I285" s="213"/>
      <c r="J285" s="213"/>
      <c r="K285" s="215"/>
      <c r="L285" s="213"/>
      <c r="M285" s="215"/>
      <c r="N285" s="213"/>
      <c r="O285" s="213"/>
      <c r="P285" s="213"/>
      <c r="Q285" s="213"/>
      <c r="R285" s="213"/>
      <c r="S285" s="213"/>
      <c r="T285" s="213"/>
      <c r="U285" s="213"/>
      <c r="V285" s="213"/>
      <c r="W285" s="213"/>
      <c r="X285" s="213"/>
      <c r="Y285" s="213"/>
      <c r="Z285" s="213"/>
      <c r="AA285" s="213"/>
      <c r="AB285" s="213"/>
      <c r="AC285" s="213"/>
      <c r="AD285" s="213"/>
      <c r="AE285" s="213"/>
      <c r="AF285" s="213"/>
      <c r="AG285" s="213"/>
      <c r="AH285" s="213"/>
      <c r="AI285" s="213"/>
      <c r="AJ285" s="213"/>
      <c r="AK285" s="213"/>
      <c r="AL285" s="213"/>
      <c r="AM285" s="213"/>
      <c r="AN285" s="213"/>
      <c r="AO285" s="213"/>
      <c r="AP285" s="213"/>
      <c r="AQ285" s="213"/>
      <c r="AR285" s="213"/>
      <c r="AS285" s="213"/>
      <c r="AT285" s="213"/>
      <c r="AU285" s="213"/>
      <c r="AV285" s="213"/>
      <c r="AW285" s="213"/>
      <c r="AX285" s="213"/>
      <c r="AY285" s="213"/>
      <c r="AZ285" s="213"/>
      <c r="BA285" s="213"/>
      <c r="BB285" s="213"/>
    </row>
    <row r="286" ht="15.75" customHeight="1">
      <c r="A286" s="213"/>
      <c r="B286" s="213"/>
      <c r="C286" s="213"/>
      <c r="D286" s="213"/>
      <c r="E286" s="213"/>
      <c r="F286" s="213"/>
      <c r="G286" s="213"/>
      <c r="H286" s="213"/>
      <c r="I286" s="213"/>
      <c r="J286" s="213"/>
      <c r="K286" s="215"/>
      <c r="L286" s="213"/>
      <c r="M286" s="215"/>
      <c r="N286" s="213"/>
      <c r="O286" s="213"/>
      <c r="P286" s="213"/>
      <c r="Q286" s="213"/>
      <c r="R286" s="213"/>
      <c r="S286" s="213"/>
      <c r="T286" s="213"/>
      <c r="U286" s="213"/>
      <c r="V286" s="213"/>
      <c r="W286" s="213"/>
      <c r="X286" s="213"/>
      <c r="Y286" s="213"/>
      <c r="Z286" s="213"/>
      <c r="AA286" s="213"/>
      <c r="AB286" s="213"/>
      <c r="AC286" s="213"/>
      <c r="AD286" s="213"/>
      <c r="AE286" s="213"/>
      <c r="AF286" s="213"/>
      <c r="AG286" s="213"/>
      <c r="AH286" s="213"/>
      <c r="AI286" s="213"/>
      <c r="AJ286" s="213"/>
      <c r="AK286" s="213"/>
      <c r="AL286" s="213"/>
      <c r="AM286" s="213"/>
      <c r="AN286" s="213"/>
      <c r="AO286" s="213"/>
      <c r="AP286" s="213"/>
      <c r="AQ286" s="213"/>
      <c r="AR286" s="213"/>
      <c r="AS286" s="213"/>
      <c r="AT286" s="213"/>
      <c r="AU286" s="213"/>
      <c r="AV286" s="213"/>
      <c r="AW286" s="213"/>
      <c r="AX286" s="213"/>
      <c r="AY286" s="213"/>
      <c r="AZ286" s="213"/>
      <c r="BA286" s="213"/>
      <c r="BB286" s="213"/>
    </row>
    <row r="287" ht="15.75" customHeight="1">
      <c r="A287" s="213"/>
      <c r="B287" s="213"/>
      <c r="C287" s="213"/>
      <c r="D287" s="213"/>
      <c r="E287" s="213"/>
      <c r="F287" s="213"/>
      <c r="G287" s="213"/>
      <c r="H287" s="213"/>
      <c r="I287" s="213"/>
      <c r="J287" s="213"/>
      <c r="K287" s="215"/>
      <c r="L287" s="213"/>
      <c r="M287" s="215"/>
      <c r="N287" s="213"/>
      <c r="O287" s="213"/>
      <c r="P287" s="213"/>
      <c r="Q287" s="213"/>
      <c r="R287" s="213"/>
      <c r="S287" s="213"/>
      <c r="T287" s="213"/>
      <c r="U287" s="213"/>
      <c r="V287" s="213"/>
      <c r="W287" s="213"/>
      <c r="X287" s="213"/>
      <c r="Y287" s="213"/>
      <c r="Z287" s="213"/>
      <c r="AA287" s="213"/>
      <c r="AB287" s="213"/>
      <c r="AC287" s="213"/>
      <c r="AD287" s="213"/>
      <c r="AE287" s="213"/>
      <c r="AF287" s="213"/>
      <c r="AG287" s="213"/>
      <c r="AH287" s="213"/>
      <c r="AI287" s="213"/>
      <c r="AJ287" s="213"/>
      <c r="AK287" s="213"/>
      <c r="AL287" s="213"/>
      <c r="AM287" s="213"/>
      <c r="AN287" s="213"/>
      <c r="AO287" s="213"/>
      <c r="AP287" s="213"/>
      <c r="AQ287" s="213"/>
      <c r="AR287" s="213"/>
      <c r="AS287" s="213"/>
      <c r="AT287" s="213"/>
      <c r="AU287" s="213"/>
      <c r="AV287" s="213"/>
      <c r="AW287" s="213"/>
      <c r="AX287" s="213"/>
      <c r="AY287" s="213"/>
      <c r="AZ287" s="213"/>
      <c r="BA287" s="213"/>
      <c r="BB287" s="213"/>
    </row>
    <row r="288" ht="15.75" customHeight="1">
      <c r="A288" s="213"/>
      <c r="B288" s="213"/>
      <c r="C288" s="213"/>
      <c r="D288" s="213"/>
      <c r="E288" s="213"/>
      <c r="F288" s="213"/>
      <c r="G288" s="213"/>
      <c r="H288" s="213"/>
      <c r="I288" s="213"/>
      <c r="J288" s="213"/>
      <c r="K288" s="215"/>
      <c r="L288" s="213"/>
      <c r="M288" s="215"/>
      <c r="N288" s="213"/>
      <c r="O288" s="213"/>
      <c r="P288" s="213"/>
      <c r="Q288" s="213"/>
      <c r="R288" s="213"/>
      <c r="S288" s="213"/>
      <c r="T288" s="213"/>
      <c r="U288" s="213"/>
      <c r="V288" s="213"/>
      <c r="W288" s="213"/>
      <c r="X288" s="213"/>
      <c r="Y288" s="213"/>
      <c r="Z288" s="213"/>
      <c r="AA288" s="213"/>
      <c r="AB288" s="213"/>
      <c r="AC288" s="213"/>
      <c r="AD288" s="213"/>
      <c r="AE288" s="213"/>
      <c r="AF288" s="213"/>
      <c r="AG288" s="213"/>
      <c r="AH288" s="213"/>
      <c r="AI288" s="213"/>
      <c r="AJ288" s="213"/>
      <c r="AK288" s="213"/>
      <c r="AL288" s="213"/>
      <c r="AM288" s="213"/>
      <c r="AN288" s="213"/>
      <c r="AO288" s="213"/>
      <c r="AP288" s="213"/>
      <c r="AQ288" s="213"/>
      <c r="AR288" s="213"/>
      <c r="AS288" s="213"/>
      <c r="AT288" s="213"/>
      <c r="AU288" s="213"/>
      <c r="AV288" s="213"/>
      <c r="AW288" s="213"/>
      <c r="AX288" s="213"/>
      <c r="AY288" s="213"/>
      <c r="AZ288" s="213"/>
      <c r="BA288" s="213"/>
      <c r="BB288" s="213"/>
    </row>
    <row r="289" ht="15.75" customHeight="1">
      <c r="A289" s="213"/>
      <c r="B289" s="213"/>
      <c r="C289" s="213"/>
      <c r="D289" s="213"/>
      <c r="E289" s="213"/>
      <c r="F289" s="213"/>
      <c r="G289" s="213"/>
      <c r="H289" s="213"/>
      <c r="I289" s="213"/>
      <c r="J289" s="213"/>
      <c r="K289" s="215"/>
      <c r="L289" s="213"/>
      <c r="M289" s="215"/>
      <c r="N289" s="213"/>
      <c r="O289" s="213"/>
      <c r="P289" s="213"/>
      <c r="Q289" s="213"/>
      <c r="R289" s="213"/>
      <c r="S289" s="213"/>
      <c r="T289" s="213"/>
      <c r="U289" s="213"/>
      <c r="V289" s="213"/>
      <c r="W289" s="213"/>
      <c r="X289" s="213"/>
      <c r="Y289" s="213"/>
      <c r="Z289" s="213"/>
      <c r="AA289" s="213"/>
      <c r="AB289" s="213"/>
      <c r="AC289" s="213"/>
      <c r="AD289" s="213"/>
      <c r="AE289" s="213"/>
      <c r="AF289" s="213"/>
      <c r="AG289" s="213"/>
      <c r="AH289" s="213"/>
      <c r="AI289" s="213"/>
      <c r="AJ289" s="213"/>
      <c r="AK289" s="213"/>
      <c r="AL289" s="213"/>
      <c r="AM289" s="213"/>
      <c r="AN289" s="213"/>
      <c r="AO289" s="213"/>
      <c r="AP289" s="213"/>
      <c r="AQ289" s="213"/>
      <c r="AR289" s="213"/>
      <c r="AS289" s="213"/>
      <c r="AT289" s="213"/>
      <c r="AU289" s="213"/>
      <c r="AV289" s="213"/>
      <c r="AW289" s="213"/>
      <c r="AX289" s="213"/>
      <c r="AY289" s="213"/>
      <c r="AZ289" s="213"/>
      <c r="BA289" s="213"/>
      <c r="BB289" s="213"/>
    </row>
    <row r="290" ht="15.75" customHeight="1">
      <c r="A290" s="213"/>
      <c r="B290" s="213"/>
      <c r="C290" s="213"/>
      <c r="D290" s="213"/>
      <c r="E290" s="213"/>
      <c r="F290" s="213"/>
      <c r="G290" s="213"/>
      <c r="H290" s="213"/>
      <c r="I290" s="213"/>
      <c r="J290" s="213"/>
      <c r="K290" s="215"/>
      <c r="L290" s="213"/>
      <c r="M290" s="215"/>
      <c r="N290" s="213"/>
      <c r="O290" s="213"/>
      <c r="P290" s="213"/>
      <c r="Q290" s="213"/>
      <c r="R290" s="213"/>
      <c r="S290" s="213"/>
      <c r="T290" s="213"/>
      <c r="U290" s="213"/>
      <c r="V290" s="213"/>
      <c r="W290" s="213"/>
      <c r="X290" s="213"/>
      <c r="Y290" s="213"/>
      <c r="Z290" s="213"/>
      <c r="AA290" s="213"/>
      <c r="AB290" s="213"/>
      <c r="AC290" s="213"/>
      <c r="AD290" s="213"/>
      <c r="AE290" s="213"/>
      <c r="AF290" s="213"/>
      <c r="AG290" s="213"/>
      <c r="AH290" s="213"/>
      <c r="AI290" s="213"/>
      <c r="AJ290" s="213"/>
      <c r="AK290" s="213"/>
      <c r="AL290" s="213"/>
      <c r="AM290" s="213"/>
      <c r="AN290" s="213"/>
      <c r="AO290" s="213"/>
      <c r="AP290" s="213"/>
      <c r="AQ290" s="213"/>
      <c r="AR290" s="213"/>
      <c r="AS290" s="213"/>
      <c r="AT290" s="213"/>
      <c r="AU290" s="213"/>
      <c r="AV290" s="213"/>
      <c r="AW290" s="213"/>
      <c r="AX290" s="213"/>
      <c r="AY290" s="213"/>
      <c r="AZ290" s="213"/>
      <c r="BA290" s="213"/>
      <c r="BB290" s="213"/>
    </row>
    <row r="291" ht="15.75" customHeight="1">
      <c r="A291" s="213"/>
      <c r="B291" s="213"/>
      <c r="C291" s="213"/>
      <c r="D291" s="213"/>
      <c r="E291" s="213"/>
      <c r="F291" s="213"/>
      <c r="G291" s="213"/>
      <c r="H291" s="213"/>
      <c r="I291" s="213"/>
      <c r="J291" s="213"/>
      <c r="K291" s="215"/>
      <c r="L291" s="213"/>
      <c r="M291" s="215"/>
      <c r="N291" s="213"/>
      <c r="O291" s="213"/>
      <c r="P291" s="213"/>
      <c r="Q291" s="213"/>
      <c r="R291" s="213"/>
      <c r="S291" s="213"/>
      <c r="T291" s="213"/>
      <c r="U291" s="213"/>
      <c r="V291" s="213"/>
      <c r="W291" s="213"/>
      <c r="X291" s="213"/>
      <c r="Y291" s="213"/>
      <c r="Z291" s="213"/>
      <c r="AA291" s="213"/>
      <c r="AB291" s="213"/>
      <c r="AC291" s="213"/>
      <c r="AD291" s="213"/>
      <c r="AE291" s="213"/>
      <c r="AF291" s="213"/>
      <c r="AG291" s="213"/>
      <c r="AH291" s="213"/>
      <c r="AI291" s="213"/>
      <c r="AJ291" s="213"/>
      <c r="AK291" s="213"/>
      <c r="AL291" s="213"/>
      <c r="AM291" s="213"/>
      <c r="AN291" s="213"/>
      <c r="AO291" s="213"/>
      <c r="AP291" s="213"/>
      <c r="AQ291" s="213"/>
      <c r="AR291" s="213"/>
      <c r="AS291" s="213"/>
      <c r="AT291" s="213"/>
      <c r="AU291" s="213"/>
      <c r="AV291" s="213"/>
      <c r="AW291" s="213"/>
      <c r="AX291" s="213"/>
      <c r="AY291" s="213"/>
      <c r="AZ291" s="213"/>
      <c r="BA291" s="213"/>
      <c r="BB291" s="213"/>
    </row>
    <row r="292" ht="15.75" customHeight="1">
      <c r="A292" s="213"/>
      <c r="B292" s="213"/>
      <c r="C292" s="213"/>
      <c r="D292" s="213"/>
      <c r="E292" s="213"/>
      <c r="F292" s="213"/>
      <c r="G292" s="213"/>
      <c r="H292" s="213"/>
      <c r="I292" s="213"/>
      <c r="J292" s="213"/>
      <c r="K292" s="215"/>
      <c r="L292" s="213"/>
      <c r="M292" s="215"/>
      <c r="N292" s="213"/>
      <c r="O292" s="213"/>
      <c r="P292" s="213"/>
      <c r="Q292" s="213"/>
      <c r="R292" s="213"/>
      <c r="S292" s="213"/>
      <c r="T292" s="213"/>
      <c r="U292" s="213"/>
      <c r="V292" s="213"/>
      <c r="W292" s="213"/>
      <c r="X292" s="213"/>
      <c r="Y292" s="213"/>
      <c r="Z292" s="213"/>
      <c r="AA292" s="213"/>
      <c r="AB292" s="213"/>
      <c r="AC292" s="213"/>
      <c r="AD292" s="213"/>
      <c r="AE292" s="213"/>
      <c r="AF292" s="213"/>
      <c r="AG292" s="213"/>
      <c r="AH292" s="213"/>
      <c r="AI292" s="213"/>
      <c r="AJ292" s="213"/>
      <c r="AK292" s="213"/>
      <c r="AL292" s="213"/>
      <c r="AM292" s="213"/>
      <c r="AN292" s="213"/>
      <c r="AO292" s="213"/>
      <c r="AP292" s="213"/>
      <c r="AQ292" s="213"/>
      <c r="AR292" s="213"/>
      <c r="AS292" s="213"/>
      <c r="AT292" s="213"/>
      <c r="AU292" s="213"/>
      <c r="AV292" s="213"/>
      <c r="AW292" s="213"/>
      <c r="AX292" s="213"/>
      <c r="AY292" s="213"/>
      <c r="AZ292" s="213"/>
      <c r="BA292" s="213"/>
      <c r="BB292" s="213"/>
    </row>
    <row r="293" ht="15.75" customHeight="1">
      <c r="A293" s="213"/>
      <c r="B293" s="213"/>
      <c r="C293" s="213"/>
      <c r="D293" s="213"/>
      <c r="E293" s="213"/>
      <c r="F293" s="213"/>
      <c r="G293" s="213"/>
      <c r="H293" s="213"/>
      <c r="I293" s="213"/>
      <c r="J293" s="213"/>
      <c r="K293" s="215"/>
      <c r="L293" s="213"/>
      <c r="M293" s="215"/>
      <c r="N293" s="213"/>
      <c r="O293" s="213"/>
      <c r="P293" s="213"/>
      <c r="Q293" s="213"/>
      <c r="R293" s="213"/>
      <c r="S293" s="213"/>
      <c r="T293" s="213"/>
      <c r="U293" s="213"/>
      <c r="V293" s="213"/>
      <c r="W293" s="213"/>
      <c r="X293" s="213"/>
      <c r="Y293" s="213"/>
      <c r="Z293" s="213"/>
      <c r="AA293" s="213"/>
      <c r="AB293" s="213"/>
      <c r="AC293" s="213"/>
      <c r="AD293" s="213"/>
      <c r="AE293" s="213"/>
      <c r="AF293" s="213"/>
      <c r="AG293" s="213"/>
      <c r="AH293" s="213"/>
      <c r="AI293" s="213"/>
      <c r="AJ293" s="213"/>
      <c r="AK293" s="213"/>
      <c r="AL293" s="213"/>
      <c r="AM293" s="213"/>
      <c r="AN293" s="213"/>
      <c r="AO293" s="213"/>
      <c r="AP293" s="213"/>
      <c r="AQ293" s="213"/>
      <c r="AR293" s="213"/>
      <c r="AS293" s="213"/>
      <c r="AT293" s="213"/>
      <c r="AU293" s="213"/>
      <c r="AV293" s="213"/>
      <c r="AW293" s="213"/>
      <c r="AX293" s="213"/>
      <c r="AY293" s="213"/>
      <c r="AZ293" s="213"/>
      <c r="BA293" s="213"/>
      <c r="BB293" s="213"/>
    </row>
    <row r="294" ht="15.75" customHeight="1">
      <c r="A294" s="213"/>
      <c r="B294" s="213"/>
      <c r="C294" s="213"/>
      <c r="D294" s="213"/>
      <c r="E294" s="213"/>
      <c r="F294" s="213"/>
      <c r="G294" s="213"/>
      <c r="H294" s="213"/>
      <c r="I294" s="213"/>
      <c r="J294" s="213"/>
      <c r="K294" s="215"/>
      <c r="L294" s="213"/>
      <c r="M294" s="215"/>
      <c r="N294" s="213"/>
      <c r="O294" s="213"/>
      <c r="P294" s="213"/>
      <c r="Q294" s="213"/>
      <c r="R294" s="213"/>
      <c r="S294" s="213"/>
      <c r="T294" s="213"/>
      <c r="U294" s="213"/>
      <c r="V294" s="213"/>
      <c r="W294" s="213"/>
      <c r="X294" s="213"/>
      <c r="Y294" s="213"/>
      <c r="Z294" s="213"/>
      <c r="AA294" s="213"/>
      <c r="AB294" s="213"/>
      <c r="AC294" s="213"/>
      <c r="AD294" s="213"/>
      <c r="AE294" s="213"/>
      <c r="AF294" s="213"/>
      <c r="AG294" s="213"/>
      <c r="AH294" s="213"/>
      <c r="AI294" s="213"/>
      <c r="AJ294" s="213"/>
      <c r="AK294" s="213"/>
      <c r="AL294" s="213"/>
      <c r="AM294" s="213"/>
      <c r="AN294" s="213"/>
      <c r="AO294" s="213"/>
      <c r="AP294" s="213"/>
      <c r="AQ294" s="213"/>
      <c r="AR294" s="213"/>
      <c r="AS294" s="213"/>
      <c r="AT294" s="213"/>
      <c r="AU294" s="213"/>
      <c r="AV294" s="213"/>
      <c r="AW294" s="213"/>
      <c r="AX294" s="213"/>
      <c r="AY294" s="213"/>
      <c r="AZ294" s="213"/>
      <c r="BA294" s="213"/>
      <c r="BB294" s="213"/>
    </row>
    <row r="295" ht="15.75" customHeight="1">
      <c r="A295" s="213"/>
      <c r="B295" s="213"/>
      <c r="C295" s="213"/>
      <c r="D295" s="213"/>
      <c r="E295" s="213"/>
      <c r="F295" s="213"/>
      <c r="G295" s="213"/>
      <c r="H295" s="213"/>
      <c r="I295" s="213"/>
      <c r="J295" s="213"/>
      <c r="K295" s="215"/>
      <c r="L295" s="213"/>
      <c r="M295" s="215"/>
      <c r="N295" s="213"/>
      <c r="O295" s="213"/>
      <c r="P295" s="213"/>
      <c r="Q295" s="213"/>
      <c r="R295" s="213"/>
      <c r="S295" s="213"/>
      <c r="T295" s="213"/>
      <c r="U295" s="213"/>
      <c r="V295" s="213"/>
      <c r="W295" s="213"/>
      <c r="X295" s="213"/>
      <c r="Y295" s="213"/>
      <c r="Z295" s="213"/>
      <c r="AA295" s="213"/>
      <c r="AB295" s="213"/>
      <c r="AC295" s="213"/>
      <c r="AD295" s="213"/>
      <c r="AE295" s="213"/>
      <c r="AF295" s="213"/>
      <c r="AG295" s="213"/>
      <c r="AH295" s="213"/>
      <c r="AI295" s="213"/>
      <c r="AJ295" s="213"/>
      <c r="AK295" s="213"/>
      <c r="AL295" s="213"/>
      <c r="AM295" s="213"/>
      <c r="AN295" s="213"/>
      <c r="AO295" s="213"/>
      <c r="AP295" s="213"/>
      <c r="AQ295" s="213"/>
      <c r="AR295" s="213"/>
      <c r="AS295" s="213"/>
      <c r="AT295" s="213"/>
      <c r="AU295" s="213"/>
      <c r="AV295" s="213"/>
      <c r="AW295" s="213"/>
      <c r="AX295" s="213"/>
      <c r="AY295" s="213"/>
      <c r="AZ295" s="213"/>
      <c r="BA295" s="213"/>
      <c r="BB295" s="213"/>
    </row>
    <row r="296" ht="15.75" customHeight="1">
      <c r="A296" s="213"/>
      <c r="B296" s="213"/>
      <c r="C296" s="213"/>
      <c r="D296" s="213"/>
      <c r="E296" s="213"/>
      <c r="F296" s="213"/>
      <c r="G296" s="213"/>
      <c r="H296" s="213"/>
      <c r="I296" s="213"/>
      <c r="J296" s="213"/>
      <c r="K296" s="215"/>
      <c r="L296" s="213"/>
      <c r="M296" s="215"/>
      <c r="N296" s="213"/>
      <c r="O296" s="213"/>
      <c r="P296" s="213"/>
      <c r="Q296" s="213"/>
      <c r="R296" s="213"/>
      <c r="S296" s="213"/>
      <c r="T296" s="213"/>
      <c r="U296" s="213"/>
      <c r="V296" s="213"/>
      <c r="W296" s="213"/>
      <c r="X296" s="213"/>
      <c r="Y296" s="213"/>
      <c r="Z296" s="213"/>
      <c r="AA296" s="213"/>
      <c r="AB296" s="213"/>
      <c r="AC296" s="213"/>
      <c r="AD296" s="213"/>
      <c r="AE296" s="213"/>
      <c r="AF296" s="213"/>
      <c r="AG296" s="213"/>
      <c r="AH296" s="213"/>
      <c r="AI296" s="213"/>
      <c r="AJ296" s="213"/>
      <c r="AK296" s="213"/>
      <c r="AL296" s="213"/>
      <c r="AM296" s="213"/>
      <c r="AN296" s="213"/>
      <c r="AO296" s="213"/>
      <c r="AP296" s="213"/>
      <c r="AQ296" s="213"/>
      <c r="AR296" s="213"/>
      <c r="AS296" s="213"/>
      <c r="AT296" s="213"/>
      <c r="AU296" s="213"/>
      <c r="AV296" s="213"/>
      <c r="AW296" s="213"/>
      <c r="AX296" s="213"/>
      <c r="AY296" s="213"/>
      <c r="AZ296" s="213"/>
      <c r="BA296" s="213"/>
      <c r="BB296" s="213"/>
    </row>
    <row r="297" ht="15.75" customHeight="1">
      <c r="A297" s="213"/>
      <c r="B297" s="213"/>
      <c r="C297" s="213"/>
      <c r="D297" s="213"/>
      <c r="E297" s="213"/>
      <c r="F297" s="213"/>
      <c r="G297" s="213"/>
      <c r="H297" s="213"/>
      <c r="I297" s="213"/>
      <c r="J297" s="213"/>
      <c r="K297" s="215"/>
      <c r="L297" s="213"/>
      <c r="M297" s="215"/>
      <c r="N297" s="213"/>
      <c r="O297" s="213"/>
      <c r="P297" s="213"/>
      <c r="Q297" s="213"/>
      <c r="R297" s="213"/>
      <c r="S297" s="213"/>
      <c r="T297" s="213"/>
      <c r="U297" s="213"/>
      <c r="V297" s="213"/>
      <c r="W297" s="213"/>
      <c r="X297" s="213"/>
      <c r="Y297" s="213"/>
      <c r="Z297" s="213"/>
      <c r="AA297" s="213"/>
      <c r="AB297" s="213"/>
      <c r="AC297" s="213"/>
      <c r="AD297" s="213"/>
      <c r="AE297" s="213"/>
      <c r="AF297" s="213"/>
      <c r="AG297" s="213"/>
      <c r="AH297" s="213"/>
      <c r="AI297" s="213"/>
      <c r="AJ297" s="213"/>
      <c r="AK297" s="213"/>
      <c r="AL297" s="213"/>
      <c r="AM297" s="213"/>
      <c r="AN297" s="213"/>
      <c r="AO297" s="213"/>
      <c r="AP297" s="213"/>
      <c r="AQ297" s="213"/>
      <c r="AR297" s="213"/>
      <c r="AS297" s="213"/>
      <c r="AT297" s="213"/>
      <c r="AU297" s="213"/>
      <c r="AV297" s="213"/>
      <c r="AW297" s="213"/>
      <c r="AX297" s="213"/>
      <c r="AY297" s="213"/>
      <c r="AZ297" s="213"/>
      <c r="BA297" s="213"/>
      <c r="BB297" s="213"/>
    </row>
    <row r="298" ht="15.75" customHeight="1">
      <c r="A298" s="213"/>
      <c r="B298" s="213"/>
      <c r="C298" s="213"/>
      <c r="D298" s="213"/>
      <c r="E298" s="213"/>
      <c r="F298" s="213"/>
      <c r="G298" s="213"/>
      <c r="H298" s="213"/>
      <c r="I298" s="213"/>
      <c r="J298" s="213"/>
      <c r="K298" s="215"/>
      <c r="L298" s="213"/>
      <c r="M298" s="215"/>
      <c r="N298" s="213"/>
      <c r="O298" s="213"/>
      <c r="P298" s="213"/>
      <c r="Q298" s="213"/>
      <c r="R298" s="213"/>
      <c r="S298" s="213"/>
      <c r="T298" s="213"/>
      <c r="U298" s="213"/>
      <c r="V298" s="213"/>
      <c r="W298" s="213"/>
      <c r="X298" s="213"/>
      <c r="Y298" s="213"/>
      <c r="Z298" s="213"/>
      <c r="AA298" s="213"/>
      <c r="AB298" s="213"/>
      <c r="AC298" s="213"/>
      <c r="AD298" s="213"/>
      <c r="AE298" s="213"/>
      <c r="AF298" s="213"/>
      <c r="AG298" s="213"/>
      <c r="AH298" s="213"/>
      <c r="AI298" s="213"/>
      <c r="AJ298" s="213"/>
      <c r="AK298" s="213"/>
      <c r="AL298" s="213"/>
      <c r="AM298" s="213"/>
      <c r="AN298" s="213"/>
      <c r="AO298" s="213"/>
      <c r="AP298" s="213"/>
      <c r="AQ298" s="213"/>
      <c r="AR298" s="213"/>
      <c r="AS298" s="213"/>
      <c r="AT298" s="213"/>
      <c r="AU298" s="213"/>
      <c r="AV298" s="213"/>
      <c r="AW298" s="213"/>
      <c r="AX298" s="213"/>
      <c r="AY298" s="213"/>
      <c r="AZ298" s="213"/>
      <c r="BA298" s="213"/>
      <c r="BB298" s="213"/>
    </row>
    <row r="299" ht="15.75" customHeight="1">
      <c r="A299" s="213"/>
      <c r="B299" s="213"/>
      <c r="C299" s="213"/>
      <c r="D299" s="213"/>
      <c r="E299" s="213"/>
      <c r="F299" s="213"/>
      <c r="G299" s="213"/>
      <c r="H299" s="213"/>
      <c r="I299" s="213"/>
      <c r="J299" s="213"/>
      <c r="K299" s="215"/>
      <c r="L299" s="213"/>
      <c r="M299" s="215"/>
      <c r="N299" s="213"/>
      <c r="O299" s="213"/>
      <c r="P299" s="213"/>
      <c r="Q299" s="213"/>
      <c r="R299" s="213"/>
      <c r="S299" s="213"/>
      <c r="T299" s="213"/>
      <c r="U299" s="213"/>
      <c r="V299" s="213"/>
      <c r="W299" s="213"/>
      <c r="X299" s="213"/>
      <c r="Y299" s="213"/>
      <c r="Z299" s="213"/>
      <c r="AA299" s="213"/>
      <c r="AB299" s="213"/>
      <c r="AC299" s="213"/>
      <c r="AD299" s="213"/>
      <c r="AE299" s="213"/>
      <c r="AF299" s="213"/>
      <c r="AG299" s="213"/>
      <c r="AH299" s="213"/>
      <c r="AI299" s="213"/>
      <c r="AJ299" s="213"/>
      <c r="AK299" s="213"/>
      <c r="AL299" s="213"/>
      <c r="AM299" s="213"/>
      <c r="AN299" s="213"/>
      <c r="AO299" s="213"/>
      <c r="AP299" s="213"/>
      <c r="AQ299" s="213"/>
      <c r="AR299" s="213"/>
      <c r="AS299" s="213"/>
      <c r="AT299" s="213"/>
      <c r="AU299" s="213"/>
      <c r="AV299" s="213"/>
      <c r="AW299" s="213"/>
      <c r="AX299" s="213"/>
      <c r="AY299" s="213"/>
      <c r="AZ299" s="213"/>
      <c r="BA299" s="213"/>
      <c r="BB299" s="213"/>
    </row>
    <row r="300" ht="15.75" customHeight="1">
      <c r="A300" s="213"/>
      <c r="B300" s="213"/>
      <c r="C300" s="213"/>
      <c r="D300" s="213"/>
      <c r="E300" s="213"/>
      <c r="F300" s="213"/>
      <c r="G300" s="213"/>
      <c r="H300" s="213"/>
      <c r="I300" s="213"/>
      <c r="J300" s="213"/>
      <c r="K300" s="215"/>
      <c r="L300" s="213"/>
      <c r="M300" s="215"/>
      <c r="N300" s="213"/>
      <c r="O300" s="213"/>
      <c r="P300" s="213"/>
      <c r="Q300" s="213"/>
      <c r="R300" s="213"/>
      <c r="S300" s="213"/>
      <c r="T300" s="213"/>
      <c r="U300" s="213"/>
      <c r="V300" s="213"/>
      <c r="W300" s="213"/>
      <c r="X300" s="213"/>
      <c r="Y300" s="213"/>
      <c r="Z300" s="213"/>
      <c r="AA300" s="213"/>
      <c r="AB300" s="213"/>
      <c r="AC300" s="213"/>
      <c r="AD300" s="213"/>
      <c r="AE300" s="213"/>
      <c r="AF300" s="213"/>
      <c r="AG300" s="213"/>
      <c r="AH300" s="213"/>
      <c r="AI300" s="213"/>
      <c r="AJ300" s="213"/>
      <c r="AK300" s="213"/>
      <c r="AL300" s="213"/>
      <c r="AM300" s="213"/>
      <c r="AN300" s="213"/>
      <c r="AO300" s="213"/>
      <c r="AP300" s="213"/>
      <c r="AQ300" s="213"/>
      <c r="AR300" s="213"/>
      <c r="AS300" s="213"/>
      <c r="AT300" s="213"/>
      <c r="AU300" s="213"/>
      <c r="AV300" s="213"/>
      <c r="AW300" s="213"/>
      <c r="AX300" s="213"/>
      <c r="AY300" s="213"/>
      <c r="AZ300" s="213"/>
      <c r="BA300" s="213"/>
      <c r="BB300" s="213"/>
    </row>
    <row r="301" ht="15.75" customHeight="1">
      <c r="A301" s="213"/>
      <c r="B301" s="213"/>
      <c r="C301" s="213"/>
      <c r="D301" s="213"/>
      <c r="E301" s="213"/>
      <c r="F301" s="213"/>
      <c r="G301" s="213"/>
      <c r="H301" s="213"/>
      <c r="I301" s="213"/>
      <c r="J301" s="213"/>
      <c r="K301" s="215"/>
      <c r="L301" s="213"/>
      <c r="M301" s="215"/>
      <c r="N301" s="213"/>
      <c r="O301" s="213"/>
      <c r="P301" s="213"/>
      <c r="Q301" s="213"/>
      <c r="R301" s="213"/>
      <c r="S301" s="213"/>
      <c r="T301" s="213"/>
      <c r="U301" s="213"/>
      <c r="V301" s="213"/>
      <c r="W301" s="213"/>
      <c r="X301" s="213"/>
      <c r="Y301" s="213"/>
      <c r="Z301" s="213"/>
      <c r="AA301" s="213"/>
      <c r="AB301" s="213"/>
      <c r="AC301" s="213"/>
      <c r="AD301" s="213"/>
      <c r="AE301" s="213"/>
      <c r="AF301" s="213"/>
      <c r="AG301" s="213"/>
      <c r="AH301" s="213"/>
      <c r="AI301" s="213"/>
      <c r="AJ301" s="213"/>
      <c r="AK301" s="213"/>
      <c r="AL301" s="213"/>
      <c r="AM301" s="213"/>
      <c r="AN301" s="213"/>
      <c r="AO301" s="213"/>
      <c r="AP301" s="213"/>
      <c r="AQ301" s="213"/>
      <c r="AR301" s="213"/>
      <c r="AS301" s="213"/>
      <c r="AT301" s="213"/>
      <c r="AU301" s="213"/>
      <c r="AV301" s="213"/>
      <c r="AW301" s="213"/>
      <c r="AX301" s="213"/>
      <c r="AY301" s="213"/>
      <c r="AZ301" s="213"/>
      <c r="BA301" s="213"/>
      <c r="BB301" s="213"/>
    </row>
    <row r="302" ht="15.75" customHeight="1">
      <c r="A302" s="213"/>
      <c r="B302" s="213"/>
      <c r="C302" s="213"/>
      <c r="D302" s="213"/>
      <c r="E302" s="213"/>
      <c r="F302" s="213"/>
      <c r="G302" s="213"/>
      <c r="H302" s="213"/>
      <c r="I302" s="213"/>
      <c r="J302" s="213"/>
      <c r="K302" s="215"/>
      <c r="L302" s="213"/>
      <c r="M302" s="215"/>
      <c r="N302" s="213"/>
      <c r="O302" s="213"/>
      <c r="P302" s="213"/>
      <c r="Q302" s="213"/>
      <c r="R302" s="213"/>
      <c r="S302" s="213"/>
      <c r="T302" s="213"/>
      <c r="U302" s="213"/>
      <c r="V302" s="213"/>
      <c r="W302" s="213"/>
      <c r="X302" s="213"/>
      <c r="Y302" s="213"/>
      <c r="Z302" s="213"/>
      <c r="AA302" s="213"/>
      <c r="AB302" s="213"/>
      <c r="AC302" s="213"/>
      <c r="AD302" s="213"/>
      <c r="AE302" s="213"/>
      <c r="AF302" s="213"/>
      <c r="AG302" s="213"/>
      <c r="AH302" s="213"/>
      <c r="AI302" s="213"/>
      <c r="AJ302" s="213"/>
      <c r="AK302" s="213"/>
      <c r="AL302" s="213"/>
      <c r="AM302" s="213"/>
      <c r="AN302" s="213"/>
      <c r="AO302" s="213"/>
      <c r="AP302" s="213"/>
      <c r="AQ302" s="213"/>
      <c r="AR302" s="213"/>
      <c r="AS302" s="213"/>
      <c r="AT302" s="213"/>
      <c r="AU302" s="213"/>
      <c r="AV302" s="213"/>
      <c r="AW302" s="213"/>
      <c r="AX302" s="213"/>
      <c r="AY302" s="213"/>
      <c r="AZ302" s="213"/>
      <c r="BA302" s="213"/>
      <c r="BB302" s="213"/>
    </row>
    <row r="303" ht="15.75" customHeight="1">
      <c r="A303" s="213"/>
      <c r="B303" s="213"/>
      <c r="C303" s="213"/>
      <c r="D303" s="213"/>
      <c r="E303" s="213"/>
      <c r="F303" s="213"/>
      <c r="G303" s="213"/>
      <c r="H303" s="213"/>
      <c r="I303" s="213"/>
      <c r="J303" s="213"/>
      <c r="K303" s="215"/>
      <c r="L303" s="213"/>
      <c r="M303" s="215"/>
      <c r="N303" s="213"/>
      <c r="O303" s="213"/>
      <c r="P303" s="213"/>
      <c r="Q303" s="213"/>
      <c r="R303" s="213"/>
      <c r="S303" s="213"/>
      <c r="T303" s="213"/>
      <c r="U303" s="213"/>
      <c r="V303" s="213"/>
      <c r="W303" s="213"/>
      <c r="X303" s="213"/>
      <c r="Y303" s="213"/>
      <c r="Z303" s="213"/>
      <c r="AA303" s="213"/>
      <c r="AB303" s="213"/>
      <c r="AC303" s="213"/>
      <c r="AD303" s="213"/>
      <c r="AE303" s="213"/>
      <c r="AF303" s="213"/>
      <c r="AG303" s="213"/>
      <c r="AH303" s="213"/>
      <c r="AI303" s="213"/>
      <c r="AJ303" s="213"/>
      <c r="AK303" s="213"/>
      <c r="AL303" s="213"/>
      <c r="AM303" s="213"/>
      <c r="AN303" s="213"/>
      <c r="AO303" s="213"/>
      <c r="AP303" s="213"/>
      <c r="AQ303" s="213"/>
      <c r="AR303" s="213"/>
      <c r="AS303" s="213"/>
      <c r="AT303" s="213"/>
      <c r="AU303" s="213"/>
      <c r="AV303" s="213"/>
      <c r="AW303" s="213"/>
      <c r="AX303" s="213"/>
      <c r="AY303" s="213"/>
      <c r="AZ303" s="213"/>
      <c r="BA303" s="213"/>
      <c r="BB303" s="213"/>
    </row>
    <row r="304" ht="15.75" customHeight="1">
      <c r="A304" s="213"/>
      <c r="B304" s="213"/>
      <c r="C304" s="213"/>
      <c r="D304" s="213"/>
      <c r="E304" s="213"/>
      <c r="F304" s="213"/>
      <c r="G304" s="213"/>
      <c r="H304" s="213"/>
      <c r="I304" s="213"/>
      <c r="J304" s="213"/>
      <c r="K304" s="215"/>
      <c r="L304" s="213"/>
      <c r="M304" s="215"/>
      <c r="N304" s="213"/>
      <c r="O304" s="213"/>
      <c r="P304" s="213"/>
      <c r="Q304" s="213"/>
      <c r="R304" s="213"/>
      <c r="S304" s="213"/>
      <c r="T304" s="213"/>
      <c r="U304" s="213"/>
      <c r="V304" s="213"/>
      <c r="W304" s="213"/>
      <c r="X304" s="213"/>
      <c r="Y304" s="213"/>
      <c r="Z304" s="213"/>
      <c r="AA304" s="213"/>
      <c r="AB304" s="213"/>
      <c r="AC304" s="213"/>
      <c r="AD304" s="213"/>
      <c r="AE304" s="213"/>
      <c r="AF304" s="213"/>
      <c r="AG304" s="213"/>
      <c r="AH304" s="213"/>
      <c r="AI304" s="213"/>
      <c r="AJ304" s="213"/>
      <c r="AK304" s="213"/>
      <c r="AL304" s="213"/>
      <c r="AM304" s="213"/>
      <c r="AN304" s="213"/>
      <c r="AO304" s="213"/>
      <c r="AP304" s="213"/>
      <c r="AQ304" s="213"/>
      <c r="AR304" s="213"/>
      <c r="AS304" s="213"/>
      <c r="AT304" s="213"/>
      <c r="AU304" s="213"/>
      <c r="AV304" s="213"/>
      <c r="AW304" s="213"/>
      <c r="AX304" s="213"/>
      <c r="AY304" s="213"/>
      <c r="AZ304" s="213"/>
      <c r="BA304" s="213"/>
      <c r="BB304" s="213"/>
    </row>
    <row r="305" ht="15.75" customHeight="1">
      <c r="A305" s="213"/>
      <c r="B305" s="213"/>
      <c r="C305" s="213"/>
      <c r="D305" s="213"/>
      <c r="E305" s="213"/>
      <c r="F305" s="213"/>
      <c r="G305" s="213"/>
      <c r="H305" s="213"/>
      <c r="I305" s="213"/>
      <c r="J305" s="213"/>
      <c r="K305" s="215"/>
      <c r="L305" s="213"/>
      <c r="M305" s="215"/>
      <c r="N305" s="213"/>
      <c r="O305" s="213"/>
      <c r="P305" s="213"/>
      <c r="Q305" s="213"/>
      <c r="R305" s="213"/>
      <c r="S305" s="213"/>
      <c r="T305" s="213"/>
      <c r="U305" s="213"/>
      <c r="V305" s="213"/>
      <c r="W305" s="213"/>
      <c r="X305" s="213"/>
      <c r="Y305" s="213"/>
      <c r="Z305" s="213"/>
      <c r="AA305" s="213"/>
      <c r="AB305" s="213"/>
      <c r="AC305" s="213"/>
      <c r="AD305" s="213"/>
      <c r="AE305" s="213"/>
      <c r="AF305" s="213"/>
      <c r="AG305" s="213"/>
      <c r="AH305" s="213"/>
      <c r="AI305" s="213"/>
      <c r="AJ305" s="213"/>
      <c r="AK305" s="213"/>
      <c r="AL305" s="213"/>
      <c r="AM305" s="213"/>
      <c r="AN305" s="213"/>
      <c r="AO305" s="213"/>
      <c r="AP305" s="213"/>
      <c r="AQ305" s="213"/>
      <c r="AR305" s="213"/>
      <c r="AS305" s="213"/>
      <c r="AT305" s="213"/>
      <c r="AU305" s="213"/>
      <c r="AV305" s="213"/>
      <c r="AW305" s="213"/>
      <c r="AX305" s="213"/>
      <c r="AY305" s="213"/>
      <c r="AZ305" s="213"/>
      <c r="BA305" s="213"/>
      <c r="BB305" s="213"/>
    </row>
    <row r="306" ht="15.75" customHeight="1">
      <c r="A306" s="213"/>
      <c r="B306" s="213"/>
      <c r="C306" s="213"/>
      <c r="D306" s="213"/>
      <c r="E306" s="213"/>
      <c r="F306" s="213"/>
      <c r="G306" s="213"/>
      <c r="H306" s="213"/>
      <c r="I306" s="213"/>
      <c r="J306" s="213"/>
      <c r="K306" s="215"/>
      <c r="L306" s="213"/>
      <c r="M306" s="215"/>
      <c r="N306" s="213"/>
      <c r="O306" s="213"/>
      <c r="P306" s="213"/>
      <c r="Q306" s="213"/>
      <c r="R306" s="213"/>
      <c r="S306" s="213"/>
      <c r="T306" s="213"/>
      <c r="U306" s="213"/>
      <c r="V306" s="213"/>
      <c r="W306" s="213"/>
      <c r="X306" s="213"/>
      <c r="Y306" s="213"/>
      <c r="Z306" s="213"/>
      <c r="AA306" s="213"/>
      <c r="AB306" s="213"/>
      <c r="AC306" s="213"/>
      <c r="AD306" s="213"/>
      <c r="AE306" s="213"/>
      <c r="AF306" s="213"/>
      <c r="AG306" s="213"/>
      <c r="AH306" s="213"/>
      <c r="AI306" s="213"/>
      <c r="AJ306" s="213"/>
      <c r="AK306" s="213"/>
      <c r="AL306" s="213"/>
      <c r="AM306" s="213"/>
      <c r="AN306" s="213"/>
      <c r="AO306" s="213"/>
      <c r="AP306" s="213"/>
      <c r="AQ306" s="213"/>
      <c r="AR306" s="213"/>
      <c r="AS306" s="213"/>
      <c r="AT306" s="213"/>
      <c r="AU306" s="213"/>
      <c r="AV306" s="213"/>
      <c r="AW306" s="213"/>
      <c r="AX306" s="213"/>
      <c r="AY306" s="213"/>
      <c r="AZ306" s="213"/>
      <c r="BA306" s="213"/>
      <c r="BB306" s="213"/>
    </row>
    <row r="307" ht="15.75" customHeight="1">
      <c r="A307" s="213"/>
      <c r="B307" s="213"/>
      <c r="C307" s="213"/>
      <c r="D307" s="213"/>
      <c r="E307" s="213"/>
      <c r="F307" s="213"/>
      <c r="G307" s="213"/>
      <c r="H307" s="213"/>
      <c r="I307" s="213"/>
      <c r="J307" s="213"/>
      <c r="K307" s="215"/>
      <c r="L307" s="213"/>
      <c r="M307" s="215"/>
      <c r="N307" s="213"/>
      <c r="O307" s="213"/>
      <c r="P307" s="213"/>
      <c r="Q307" s="213"/>
      <c r="R307" s="213"/>
      <c r="S307" s="213"/>
      <c r="T307" s="213"/>
      <c r="U307" s="213"/>
      <c r="V307" s="213"/>
      <c r="W307" s="213"/>
      <c r="X307" s="213"/>
      <c r="Y307" s="213"/>
      <c r="Z307" s="213"/>
      <c r="AA307" s="213"/>
      <c r="AB307" s="213"/>
      <c r="AC307" s="213"/>
      <c r="AD307" s="213"/>
      <c r="AE307" s="213"/>
      <c r="AF307" s="213"/>
      <c r="AG307" s="213"/>
      <c r="AH307" s="213"/>
      <c r="AI307" s="213"/>
      <c r="AJ307" s="213"/>
      <c r="AK307" s="213"/>
      <c r="AL307" s="213"/>
      <c r="AM307" s="213"/>
      <c r="AN307" s="213"/>
      <c r="AO307" s="213"/>
      <c r="AP307" s="213"/>
      <c r="AQ307" s="213"/>
      <c r="AR307" s="213"/>
      <c r="AS307" s="213"/>
      <c r="AT307" s="213"/>
      <c r="AU307" s="213"/>
      <c r="AV307" s="213"/>
      <c r="AW307" s="213"/>
      <c r="AX307" s="213"/>
      <c r="AY307" s="213"/>
      <c r="AZ307" s="213"/>
      <c r="BA307" s="213"/>
      <c r="BB307" s="213"/>
    </row>
    <row r="308" ht="15.75" customHeight="1">
      <c r="A308" s="213"/>
      <c r="B308" s="213"/>
      <c r="C308" s="213"/>
      <c r="D308" s="213"/>
      <c r="E308" s="213"/>
      <c r="F308" s="213"/>
      <c r="G308" s="213"/>
      <c r="H308" s="213"/>
      <c r="I308" s="213"/>
      <c r="J308" s="213"/>
      <c r="K308" s="215"/>
      <c r="L308" s="213"/>
      <c r="M308" s="215"/>
      <c r="N308" s="213"/>
      <c r="O308" s="213"/>
      <c r="P308" s="213"/>
      <c r="Q308" s="213"/>
      <c r="R308" s="213"/>
      <c r="S308" s="213"/>
      <c r="T308" s="213"/>
      <c r="U308" s="213"/>
      <c r="V308" s="213"/>
      <c r="W308" s="213"/>
      <c r="X308" s="213"/>
      <c r="Y308" s="213"/>
      <c r="Z308" s="213"/>
      <c r="AA308" s="213"/>
      <c r="AB308" s="213"/>
      <c r="AC308" s="213"/>
      <c r="AD308" s="213"/>
      <c r="AE308" s="213"/>
      <c r="AF308" s="213"/>
      <c r="AG308" s="213"/>
      <c r="AH308" s="213"/>
      <c r="AI308" s="213"/>
      <c r="AJ308" s="213"/>
      <c r="AK308" s="213"/>
      <c r="AL308" s="213"/>
      <c r="AM308" s="213"/>
      <c r="AN308" s="213"/>
      <c r="AO308" s="213"/>
      <c r="AP308" s="213"/>
      <c r="AQ308" s="213"/>
      <c r="AR308" s="213"/>
      <c r="AS308" s="213"/>
      <c r="AT308" s="213"/>
      <c r="AU308" s="213"/>
      <c r="AV308" s="213"/>
      <c r="AW308" s="213"/>
      <c r="AX308" s="213"/>
      <c r="AY308" s="213"/>
      <c r="AZ308" s="213"/>
      <c r="BA308" s="213"/>
      <c r="BB308" s="213"/>
    </row>
    <row r="309" ht="15.75" customHeight="1">
      <c r="A309" s="213"/>
      <c r="B309" s="213"/>
      <c r="C309" s="213"/>
      <c r="D309" s="213"/>
      <c r="E309" s="213"/>
      <c r="F309" s="213"/>
      <c r="G309" s="213"/>
      <c r="H309" s="213"/>
      <c r="I309" s="213"/>
      <c r="J309" s="213"/>
      <c r="K309" s="215"/>
      <c r="L309" s="213"/>
      <c r="M309" s="215"/>
      <c r="N309" s="213"/>
      <c r="O309" s="213"/>
      <c r="P309" s="213"/>
      <c r="Q309" s="213"/>
      <c r="R309" s="213"/>
      <c r="S309" s="213"/>
      <c r="T309" s="213"/>
      <c r="U309" s="213"/>
      <c r="V309" s="213"/>
      <c r="W309" s="213"/>
      <c r="X309" s="213"/>
      <c r="Y309" s="213"/>
      <c r="Z309" s="213"/>
      <c r="AA309" s="213"/>
      <c r="AB309" s="213"/>
      <c r="AC309" s="213"/>
      <c r="AD309" s="213"/>
      <c r="AE309" s="213"/>
      <c r="AF309" s="213"/>
      <c r="AG309" s="213"/>
      <c r="AH309" s="213"/>
      <c r="AI309" s="213"/>
      <c r="AJ309" s="213"/>
      <c r="AK309" s="213"/>
      <c r="AL309" s="213"/>
      <c r="AM309" s="213"/>
      <c r="AN309" s="213"/>
      <c r="AO309" s="213"/>
      <c r="AP309" s="213"/>
      <c r="AQ309" s="213"/>
      <c r="AR309" s="213"/>
      <c r="AS309" s="213"/>
      <c r="AT309" s="213"/>
      <c r="AU309" s="213"/>
      <c r="AV309" s="213"/>
      <c r="AW309" s="213"/>
      <c r="AX309" s="213"/>
      <c r="AY309" s="213"/>
      <c r="AZ309" s="213"/>
      <c r="BA309" s="213"/>
      <c r="BB309" s="213"/>
    </row>
    <row r="310" ht="15.75" customHeight="1">
      <c r="A310" s="213"/>
      <c r="B310" s="213"/>
      <c r="C310" s="213"/>
      <c r="D310" s="213"/>
      <c r="E310" s="213"/>
      <c r="F310" s="213"/>
      <c r="G310" s="213"/>
      <c r="H310" s="213"/>
      <c r="I310" s="213"/>
      <c r="J310" s="213"/>
      <c r="K310" s="215"/>
      <c r="L310" s="213"/>
      <c r="M310" s="215"/>
      <c r="N310" s="213"/>
      <c r="O310" s="213"/>
      <c r="P310" s="213"/>
      <c r="Q310" s="213"/>
      <c r="R310" s="213"/>
      <c r="S310" s="213"/>
      <c r="T310" s="213"/>
      <c r="U310" s="213"/>
      <c r="V310" s="213"/>
      <c r="W310" s="213"/>
      <c r="X310" s="213"/>
      <c r="Y310" s="213"/>
      <c r="Z310" s="213"/>
      <c r="AA310" s="213"/>
      <c r="AB310" s="213"/>
      <c r="AC310" s="213"/>
      <c r="AD310" s="213"/>
      <c r="AE310" s="213"/>
      <c r="AF310" s="213"/>
      <c r="AG310" s="213"/>
      <c r="AH310" s="213"/>
      <c r="AI310" s="213"/>
      <c r="AJ310" s="213"/>
      <c r="AK310" s="213"/>
      <c r="AL310" s="213"/>
      <c r="AM310" s="213"/>
      <c r="AN310" s="213"/>
      <c r="AO310" s="213"/>
      <c r="AP310" s="213"/>
      <c r="AQ310" s="213"/>
      <c r="AR310" s="213"/>
      <c r="AS310" s="213"/>
      <c r="AT310" s="213"/>
      <c r="AU310" s="213"/>
      <c r="AV310" s="213"/>
      <c r="AW310" s="213"/>
      <c r="AX310" s="213"/>
      <c r="AY310" s="213"/>
      <c r="AZ310" s="213"/>
      <c r="BA310" s="213"/>
      <c r="BB310" s="213"/>
    </row>
    <row r="311" ht="15.75" customHeight="1">
      <c r="A311" s="213"/>
      <c r="B311" s="213"/>
      <c r="C311" s="213"/>
      <c r="D311" s="213"/>
      <c r="E311" s="213"/>
      <c r="F311" s="213"/>
      <c r="G311" s="213"/>
      <c r="H311" s="213"/>
      <c r="I311" s="213"/>
      <c r="J311" s="213"/>
      <c r="K311" s="215"/>
      <c r="L311" s="213"/>
      <c r="M311" s="215"/>
      <c r="N311" s="213"/>
      <c r="O311" s="213"/>
      <c r="P311" s="213"/>
      <c r="Q311" s="213"/>
      <c r="R311" s="213"/>
      <c r="S311" s="213"/>
      <c r="T311" s="213"/>
      <c r="U311" s="213"/>
      <c r="V311" s="213"/>
      <c r="W311" s="213"/>
      <c r="X311" s="213"/>
      <c r="Y311" s="213"/>
      <c r="Z311" s="213"/>
      <c r="AA311" s="213"/>
      <c r="AB311" s="213"/>
      <c r="AC311" s="213"/>
      <c r="AD311" s="213"/>
      <c r="AE311" s="213"/>
      <c r="AF311" s="213"/>
      <c r="AG311" s="213"/>
      <c r="AH311" s="213"/>
      <c r="AI311" s="213"/>
      <c r="AJ311" s="213"/>
      <c r="AK311" s="213"/>
      <c r="AL311" s="213"/>
      <c r="AM311" s="213"/>
      <c r="AN311" s="213"/>
      <c r="AO311" s="213"/>
      <c r="AP311" s="213"/>
      <c r="AQ311" s="213"/>
      <c r="AR311" s="213"/>
      <c r="AS311" s="213"/>
      <c r="AT311" s="213"/>
      <c r="AU311" s="213"/>
      <c r="AV311" s="213"/>
      <c r="AW311" s="213"/>
      <c r="AX311" s="213"/>
      <c r="AY311" s="213"/>
      <c r="AZ311" s="213"/>
      <c r="BA311" s="213"/>
      <c r="BB311" s="213"/>
    </row>
    <row r="312" ht="15.75" customHeight="1">
      <c r="A312" s="213"/>
      <c r="B312" s="213"/>
      <c r="C312" s="213"/>
      <c r="D312" s="213"/>
      <c r="E312" s="213"/>
      <c r="F312" s="213"/>
      <c r="G312" s="213"/>
      <c r="H312" s="213"/>
      <c r="I312" s="213"/>
      <c r="J312" s="213"/>
      <c r="K312" s="215"/>
      <c r="L312" s="213"/>
      <c r="M312" s="215"/>
      <c r="N312" s="213"/>
      <c r="O312" s="213"/>
      <c r="P312" s="213"/>
      <c r="Q312" s="213"/>
      <c r="R312" s="213"/>
      <c r="S312" s="213"/>
      <c r="T312" s="213"/>
      <c r="U312" s="213"/>
      <c r="V312" s="213"/>
      <c r="W312" s="213"/>
      <c r="X312" s="213"/>
      <c r="Y312" s="213"/>
      <c r="Z312" s="213"/>
      <c r="AA312" s="213"/>
      <c r="AB312" s="213"/>
      <c r="AC312" s="213"/>
      <c r="AD312" s="213"/>
      <c r="AE312" s="213"/>
      <c r="AF312" s="213"/>
      <c r="AG312" s="213"/>
      <c r="AH312" s="213"/>
      <c r="AI312" s="213"/>
      <c r="AJ312" s="213"/>
      <c r="AK312" s="213"/>
      <c r="AL312" s="213"/>
      <c r="AM312" s="213"/>
      <c r="AN312" s="213"/>
      <c r="AO312" s="213"/>
      <c r="AP312" s="213"/>
      <c r="AQ312" s="213"/>
      <c r="AR312" s="213"/>
      <c r="AS312" s="213"/>
      <c r="AT312" s="213"/>
      <c r="AU312" s="213"/>
      <c r="AV312" s="213"/>
      <c r="AW312" s="213"/>
      <c r="AX312" s="213"/>
      <c r="AY312" s="213"/>
      <c r="AZ312" s="213"/>
      <c r="BA312" s="213"/>
      <c r="BB312" s="213"/>
    </row>
    <row r="313" ht="15.75" customHeight="1">
      <c r="A313" s="213"/>
      <c r="B313" s="213"/>
      <c r="C313" s="213"/>
      <c r="D313" s="213"/>
      <c r="E313" s="213"/>
      <c r="F313" s="213"/>
      <c r="G313" s="213"/>
      <c r="H313" s="213"/>
      <c r="I313" s="213"/>
      <c r="J313" s="213"/>
      <c r="K313" s="215"/>
      <c r="L313" s="213"/>
      <c r="M313" s="215"/>
      <c r="N313" s="213"/>
      <c r="O313" s="213"/>
      <c r="P313" s="213"/>
      <c r="Q313" s="213"/>
      <c r="R313" s="213"/>
      <c r="S313" s="213"/>
      <c r="T313" s="213"/>
      <c r="U313" s="213"/>
      <c r="V313" s="213"/>
      <c r="W313" s="213"/>
      <c r="X313" s="213"/>
      <c r="Y313" s="213"/>
      <c r="Z313" s="213"/>
      <c r="AA313" s="213"/>
      <c r="AB313" s="213"/>
      <c r="AC313" s="213"/>
      <c r="AD313" s="213"/>
      <c r="AE313" s="213"/>
      <c r="AF313" s="213"/>
      <c r="AG313" s="213"/>
      <c r="AH313" s="213"/>
      <c r="AI313" s="213"/>
      <c r="AJ313" s="213"/>
      <c r="AK313" s="213"/>
      <c r="AL313" s="213"/>
      <c r="AM313" s="213"/>
      <c r="AN313" s="213"/>
      <c r="AO313" s="213"/>
      <c r="AP313" s="213"/>
      <c r="AQ313" s="213"/>
      <c r="AR313" s="213"/>
      <c r="AS313" s="213"/>
      <c r="AT313" s="213"/>
      <c r="AU313" s="213"/>
      <c r="AV313" s="213"/>
      <c r="AW313" s="213"/>
      <c r="AX313" s="213"/>
      <c r="AY313" s="213"/>
      <c r="AZ313" s="213"/>
      <c r="BA313" s="213"/>
      <c r="BB313" s="213"/>
    </row>
    <row r="314" ht="15.75" customHeight="1">
      <c r="A314" s="213"/>
      <c r="B314" s="213"/>
      <c r="C314" s="213"/>
      <c r="D314" s="213"/>
      <c r="E314" s="213"/>
      <c r="F314" s="213"/>
      <c r="G314" s="213"/>
      <c r="H314" s="213"/>
      <c r="I314" s="213"/>
      <c r="J314" s="213"/>
      <c r="K314" s="215"/>
      <c r="L314" s="213"/>
      <c r="M314" s="215"/>
      <c r="N314" s="213"/>
      <c r="O314" s="213"/>
      <c r="P314" s="213"/>
      <c r="Q314" s="213"/>
      <c r="R314" s="213"/>
      <c r="S314" s="213"/>
      <c r="T314" s="213"/>
      <c r="U314" s="213"/>
      <c r="V314" s="213"/>
      <c r="W314" s="213"/>
      <c r="X314" s="213"/>
      <c r="Y314" s="213"/>
      <c r="Z314" s="213"/>
      <c r="AA314" s="213"/>
      <c r="AB314" s="213"/>
      <c r="AC314" s="213"/>
      <c r="AD314" s="213"/>
      <c r="AE314" s="213"/>
      <c r="AF314" s="213"/>
      <c r="AG314" s="213"/>
      <c r="AH314" s="213"/>
      <c r="AI314" s="213"/>
      <c r="AJ314" s="213"/>
      <c r="AK314" s="213"/>
      <c r="AL314" s="213"/>
      <c r="AM314" s="213"/>
      <c r="AN314" s="213"/>
      <c r="AO314" s="213"/>
      <c r="AP314" s="213"/>
      <c r="AQ314" s="213"/>
      <c r="AR314" s="213"/>
      <c r="AS314" s="213"/>
      <c r="AT314" s="213"/>
      <c r="AU314" s="213"/>
      <c r="AV314" s="213"/>
      <c r="AW314" s="213"/>
      <c r="AX314" s="213"/>
      <c r="AY314" s="213"/>
      <c r="AZ314" s="213"/>
      <c r="BA314" s="213"/>
      <c r="BB314" s="213"/>
    </row>
    <row r="315" ht="15.75" customHeight="1">
      <c r="A315" s="213"/>
      <c r="B315" s="213"/>
      <c r="C315" s="213"/>
      <c r="D315" s="213"/>
      <c r="E315" s="213"/>
      <c r="F315" s="213"/>
      <c r="G315" s="213"/>
      <c r="H315" s="213"/>
      <c r="I315" s="213"/>
      <c r="J315" s="213"/>
      <c r="K315" s="215"/>
      <c r="L315" s="213"/>
      <c r="M315" s="215"/>
      <c r="N315" s="213"/>
      <c r="O315" s="213"/>
      <c r="P315" s="213"/>
      <c r="Q315" s="213"/>
      <c r="R315" s="213"/>
      <c r="S315" s="213"/>
      <c r="T315" s="213"/>
      <c r="U315" s="213"/>
      <c r="V315" s="213"/>
      <c r="W315" s="213"/>
      <c r="X315" s="213"/>
      <c r="Y315" s="213"/>
      <c r="Z315" s="213"/>
      <c r="AA315" s="213"/>
      <c r="AB315" s="213"/>
      <c r="AC315" s="213"/>
      <c r="AD315" s="213"/>
      <c r="AE315" s="213"/>
      <c r="AF315" s="213"/>
      <c r="AG315" s="213"/>
      <c r="AH315" s="213"/>
      <c r="AI315" s="213"/>
      <c r="AJ315" s="213"/>
      <c r="AK315" s="213"/>
      <c r="AL315" s="213"/>
      <c r="AM315" s="213"/>
      <c r="AN315" s="213"/>
      <c r="AO315" s="213"/>
      <c r="AP315" s="213"/>
      <c r="AQ315" s="213"/>
      <c r="AR315" s="213"/>
      <c r="AS315" s="213"/>
      <c r="AT315" s="213"/>
      <c r="AU315" s="213"/>
      <c r="AV315" s="213"/>
      <c r="AW315" s="213"/>
      <c r="AX315" s="213"/>
      <c r="AY315" s="213"/>
      <c r="AZ315" s="213"/>
      <c r="BA315" s="213"/>
      <c r="BB315" s="213"/>
    </row>
    <row r="316" ht="15.75" customHeight="1">
      <c r="A316" s="213"/>
      <c r="B316" s="213"/>
      <c r="C316" s="213"/>
      <c r="D316" s="213"/>
      <c r="E316" s="213"/>
      <c r="F316" s="213"/>
      <c r="G316" s="213"/>
      <c r="H316" s="213"/>
      <c r="I316" s="213"/>
      <c r="J316" s="213"/>
      <c r="K316" s="215"/>
      <c r="L316" s="213"/>
      <c r="M316" s="215"/>
      <c r="N316" s="213"/>
      <c r="O316" s="213"/>
      <c r="P316" s="213"/>
      <c r="Q316" s="213"/>
      <c r="R316" s="213"/>
      <c r="S316" s="213"/>
      <c r="T316" s="213"/>
      <c r="U316" s="213"/>
      <c r="V316" s="213"/>
      <c r="W316" s="213"/>
      <c r="X316" s="213"/>
      <c r="Y316" s="213"/>
      <c r="Z316" s="213"/>
      <c r="AA316" s="213"/>
      <c r="AB316" s="213"/>
      <c r="AC316" s="213"/>
      <c r="AD316" s="213"/>
      <c r="AE316" s="213"/>
      <c r="AF316" s="213"/>
      <c r="AG316" s="213"/>
      <c r="AH316" s="213"/>
      <c r="AI316" s="213"/>
      <c r="AJ316" s="213"/>
      <c r="AK316" s="213"/>
      <c r="AL316" s="213"/>
      <c r="AM316" s="213"/>
      <c r="AN316" s="213"/>
      <c r="AO316" s="213"/>
      <c r="AP316" s="213"/>
      <c r="AQ316" s="213"/>
      <c r="AR316" s="213"/>
      <c r="AS316" s="213"/>
      <c r="AT316" s="213"/>
      <c r="AU316" s="213"/>
      <c r="AV316" s="213"/>
      <c r="AW316" s="213"/>
      <c r="AX316" s="213"/>
      <c r="AY316" s="213"/>
      <c r="AZ316" s="213"/>
      <c r="BA316" s="213"/>
      <c r="BB316" s="213"/>
    </row>
    <row r="317" ht="15.75" customHeight="1">
      <c r="A317" s="213"/>
      <c r="B317" s="213"/>
      <c r="C317" s="213"/>
      <c r="D317" s="213"/>
      <c r="E317" s="213"/>
      <c r="F317" s="213"/>
      <c r="G317" s="213"/>
      <c r="H317" s="213"/>
      <c r="I317" s="213"/>
      <c r="J317" s="213"/>
      <c r="K317" s="215"/>
      <c r="L317" s="213"/>
      <c r="M317" s="215"/>
      <c r="N317" s="213"/>
      <c r="O317" s="213"/>
      <c r="P317" s="213"/>
      <c r="Q317" s="213"/>
      <c r="R317" s="213"/>
      <c r="S317" s="213"/>
      <c r="T317" s="213"/>
      <c r="U317" s="213"/>
      <c r="V317" s="213"/>
      <c r="W317" s="213"/>
      <c r="X317" s="213"/>
      <c r="Y317" s="213"/>
      <c r="Z317" s="213"/>
      <c r="AA317" s="213"/>
      <c r="AB317" s="213"/>
      <c r="AC317" s="213"/>
      <c r="AD317" s="213"/>
      <c r="AE317" s="213"/>
      <c r="AF317" s="213"/>
      <c r="AG317" s="213"/>
      <c r="AH317" s="213"/>
      <c r="AI317" s="213"/>
      <c r="AJ317" s="213"/>
      <c r="AK317" s="213"/>
      <c r="AL317" s="213"/>
      <c r="AM317" s="213"/>
      <c r="AN317" s="213"/>
      <c r="AO317" s="213"/>
      <c r="AP317" s="213"/>
      <c r="AQ317" s="213"/>
      <c r="AR317" s="213"/>
      <c r="AS317" s="213"/>
      <c r="AT317" s="213"/>
      <c r="AU317" s="213"/>
      <c r="AV317" s="213"/>
      <c r="AW317" s="213"/>
      <c r="AX317" s="213"/>
      <c r="AY317" s="213"/>
      <c r="AZ317" s="213"/>
      <c r="BA317" s="213"/>
      <c r="BB317" s="213"/>
    </row>
    <row r="318" ht="15.75" customHeight="1">
      <c r="A318" s="213"/>
      <c r="B318" s="213"/>
      <c r="C318" s="213"/>
      <c r="D318" s="213"/>
      <c r="E318" s="213"/>
      <c r="F318" s="213"/>
      <c r="G318" s="213"/>
      <c r="H318" s="213"/>
      <c r="I318" s="213"/>
      <c r="J318" s="213"/>
      <c r="K318" s="215"/>
      <c r="L318" s="213"/>
      <c r="M318" s="215"/>
      <c r="N318" s="213"/>
      <c r="O318" s="213"/>
      <c r="P318" s="213"/>
      <c r="Q318" s="213"/>
      <c r="R318" s="213"/>
      <c r="S318" s="213"/>
      <c r="T318" s="213"/>
      <c r="U318" s="213"/>
      <c r="V318" s="213"/>
      <c r="W318" s="213"/>
      <c r="X318" s="213"/>
      <c r="Y318" s="213"/>
      <c r="Z318" s="213"/>
      <c r="AA318" s="213"/>
      <c r="AB318" s="213"/>
      <c r="AC318" s="213"/>
      <c r="AD318" s="213"/>
      <c r="AE318" s="213"/>
      <c r="AF318" s="213"/>
      <c r="AG318" s="213"/>
      <c r="AH318" s="213"/>
      <c r="AI318" s="213"/>
      <c r="AJ318" s="213"/>
      <c r="AK318" s="213"/>
      <c r="AL318" s="213"/>
      <c r="AM318" s="213"/>
      <c r="AN318" s="213"/>
      <c r="AO318" s="213"/>
      <c r="AP318" s="213"/>
      <c r="AQ318" s="213"/>
      <c r="AR318" s="213"/>
      <c r="AS318" s="213"/>
      <c r="AT318" s="213"/>
      <c r="AU318" s="213"/>
      <c r="AV318" s="213"/>
      <c r="AW318" s="213"/>
      <c r="AX318" s="213"/>
      <c r="AY318" s="213"/>
      <c r="AZ318" s="213"/>
      <c r="BA318" s="213"/>
      <c r="BB318" s="213"/>
    </row>
    <row r="319" ht="15.75" customHeight="1">
      <c r="A319" s="213"/>
      <c r="B319" s="213"/>
      <c r="C319" s="213"/>
      <c r="D319" s="213"/>
      <c r="E319" s="213"/>
      <c r="F319" s="213"/>
      <c r="G319" s="213"/>
      <c r="H319" s="213"/>
      <c r="I319" s="213"/>
      <c r="J319" s="213"/>
      <c r="K319" s="215"/>
      <c r="L319" s="213"/>
      <c r="M319" s="215"/>
      <c r="N319" s="213"/>
      <c r="O319" s="213"/>
      <c r="P319" s="213"/>
      <c r="Q319" s="213"/>
      <c r="R319" s="213"/>
      <c r="S319" s="213"/>
      <c r="T319" s="213"/>
      <c r="U319" s="213"/>
      <c r="V319" s="213"/>
      <c r="W319" s="213"/>
      <c r="X319" s="213"/>
      <c r="Y319" s="213"/>
      <c r="Z319" s="213"/>
      <c r="AA319" s="213"/>
      <c r="AB319" s="213"/>
      <c r="AC319" s="213"/>
      <c r="AD319" s="213"/>
      <c r="AE319" s="213"/>
      <c r="AF319" s="213"/>
      <c r="AG319" s="213"/>
      <c r="AH319" s="213"/>
      <c r="AI319" s="213"/>
      <c r="AJ319" s="213"/>
      <c r="AK319" s="213"/>
      <c r="AL319" s="213"/>
      <c r="AM319" s="213"/>
      <c r="AN319" s="213"/>
      <c r="AO319" s="213"/>
      <c r="AP319" s="213"/>
      <c r="AQ319" s="213"/>
      <c r="AR319" s="213"/>
      <c r="AS319" s="213"/>
      <c r="AT319" s="213"/>
      <c r="AU319" s="213"/>
      <c r="AV319" s="213"/>
      <c r="AW319" s="213"/>
      <c r="AX319" s="213"/>
      <c r="AY319" s="213"/>
      <c r="AZ319" s="213"/>
      <c r="BA319" s="213"/>
      <c r="BB319" s="213"/>
    </row>
    <row r="320" ht="15.75" customHeight="1">
      <c r="A320" s="213"/>
      <c r="B320" s="213"/>
      <c r="C320" s="213"/>
      <c r="D320" s="213"/>
      <c r="E320" s="213"/>
      <c r="F320" s="213"/>
      <c r="G320" s="213"/>
      <c r="H320" s="213"/>
      <c r="I320" s="213"/>
      <c r="J320" s="213"/>
      <c r="K320" s="215"/>
      <c r="L320" s="213"/>
      <c r="M320" s="215"/>
      <c r="N320" s="213"/>
      <c r="O320" s="213"/>
      <c r="P320" s="213"/>
      <c r="Q320" s="213"/>
      <c r="R320" s="213"/>
      <c r="S320" s="213"/>
      <c r="T320" s="213"/>
      <c r="U320" s="213"/>
      <c r="V320" s="213"/>
      <c r="W320" s="213"/>
      <c r="X320" s="213"/>
      <c r="Y320" s="213"/>
      <c r="Z320" s="213"/>
      <c r="AA320" s="213"/>
      <c r="AB320" s="213"/>
      <c r="AC320" s="213"/>
      <c r="AD320" s="213"/>
      <c r="AE320" s="213"/>
      <c r="AF320" s="213"/>
      <c r="AG320" s="213"/>
      <c r="AH320" s="213"/>
      <c r="AI320" s="213"/>
      <c r="AJ320" s="213"/>
      <c r="AK320" s="213"/>
      <c r="AL320" s="213"/>
      <c r="AM320" s="213"/>
      <c r="AN320" s="213"/>
      <c r="AO320" s="213"/>
      <c r="AP320" s="213"/>
      <c r="AQ320" s="213"/>
      <c r="AR320" s="213"/>
      <c r="AS320" s="213"/>
      <c r="AT320" s="213"/>
      <c r="AU320" s="213"/>
      <c r="AV320" s="213"/>
      <c r="AW320" s="213"/>
      <c r="AX320" s="213"/>
      <c r="AY320" s="213"/>
      <c r="AZ320" s="213"/>
      <c r="BA320" s="213"/>
      <c r="BB320" s="213"/>
    </row>
    <row r="321" ht="15.75" customHeight="1">
      <c r="A321" s="213"/>
      <c r="B321" s="213"/>
      <c r="C321" s="213"/>
      <c r="D321" s="213"/>
      <c r="E321" s="213"/>
      <c r="F321" s="213"/>
      <c r="G321" s="213"/>
      <c r="H321" s="213"/>
      <c r="I321" s="213"/>
      <c r="J321" s="213"/>
      <c r="K321" s="215"/>
      <c r="L321" s="213"/>
      <c r="M321" s="215"/>
      <c r="N321" s="213"/>
      <c r="O321" s="213"/>
      <c r="P321" s="213"/>
      <c r="Q321" s="213"/>
      <c r="R321" s="213"/>
      <c r="S321" s="213"/>
      <c r="T321" s="213"/>
      <c r="U321" s="213"/>
      <c r="V321" s="213"/>
      <c r="W321" s="213"/>
      <c r="X321" s="213"/>
      <c r="Y321" s="213"/>
      <c r="Z321" s="213"/>
      <c r="AA321" s="213"/>
      <c r="AB321" s="213"/>
      <c r="AC321" s="213"/>
      <c r="AD321" s="213"/>
      <c r="AE321" s="213"/>
      <c r="AF321" s="213"/>
      <c r="AG321" s="213"/>
      <c r="AH321" s="213"/>
      <c r="AI321" s="213"/>
      <c r="AJ321" s="213"/>
      <c r="AK321" s="213"/>
      <c r="AL321" s="213"/>
      <c r="AM321" s="213"/>
      <c r="AN321" s="213"/>
      <c r="AO321" s="213"/>
      <c r="AP321" s="213"/>
      <c r="AQ321" s="213"/>
      <c r="AR321" s="213"/>
      <c r="AS321" s="213"/>
      <c r="AT321" s="213"/>
      <c r="AU321" s="213"/>
      <c r="AV321" s="213"/>
      <c r="AW321" s="213"/>
      <c r="AX321" s="213"/>
      <c r="AY321" s="213"/>
      <c r="AZ321" s="213"/>
      <c r="BA321" s="213"/>
      <c r="BB321" s="213"/>
    </row>
    <row r="322" ht="15.75" customHeight="1">
      <c r="A322" s="213"/>
      <c r="B322" s="213"/>
      <c r="C322" s="213"/>
      <c r="D322" s="213"/>
      <c r="E322" s="213"/>
      <c r="F322" s="213"/>
      <c r="G322" s="213"/>
      <c r="H322" s="213"/>
      <c r="I322" s="213"/>
      <c r="J322" s="213"/>
      <c r="K322" s="215"/>
      <c r="L322" s="213"/>
      <c r="M322" s="215"/>
      <c r="N322" s="213"/>
      <c r="O322" s="213"/>
      <c r="P322" s="213"/>
      <c r="Q322" s="213"/>
      <c r="R322" s="213"/>
      <c r="S322" s="213"/>
      <c r="T322" s="213"/>
      <c r="U322" s="213"/>
      <c r="V322" s="213"/>
      <c r="W322" s="213"/>
      <c r="X322" s="213"/>
      <c r="Y322" s="213"/>
      <c r="Z322" s="213"/>
      <c r="AA322" s="213"/>
      <c r="AB322" s="213"/>
      <c r="AC322" s="213"/>
      <c r="AD322" s="213"/>
      <c r="AE322" s="213"/>
      <c r="AF322" s="213"/>
      <c r="AG322" s="213"/>
      <c r="AH322" s="213"/>
      <c r="AI322" s="213"/>
      <c r="AJ322" s="213"/>
      <c r="AK322" s="213"/>
      <c r="AL322" s="213"/>
      <c r="AM322" s="213"/>
      <c r="AN322" s="213"/>
      <c r="AO322" s="213"/>
      <c r="AP322" s="213"/>
      <c r="AQ322" s="213"/>
      <c r="AR322" s="213"/>
      <c r="AS322" s="213"/>
      <c r="AT322" s="213"/>
      <c r="AU322" s="213"/>
      <c r="AV322" s="213"/>
      <c r="AW322" s="213"/>
      <c r="AX322" s="213"/>
      <c r="AY322" s="213"/>
      <c r="AZ322" s="213"/>
      <c r="BA322" s="213"/>
      <c r="BB322" s="213"/>
    </row>
    <row r="323" ht="15.75" customHeight="1">
      <c r="A323" s="213"/>
      <c r="B323" s="213"/>
      <c r="C323" s="213"/>
      <c r="D323" s="213"/>
      <c r="E323" s="213"/>
      <c r="F323" s="213"/>
      <c r="G323" s="213"/>
      <c r="H323" s="213"/>
      <c r="I323" s="213"/>
      <c r="J323" s="213"/>
      <c r="K323" s="215"/>
      <c r="L323" s="213"/>
      <c r="M323" s="215"/>
      <c r="N323" s="213"/>
      <c r="O323" s="213"/>
      <c r="P323" s="213"/>
      <c r="Q323" s="213"/>
      <c r="R323" s="213"/>
      <c r="S323" s="213"/>
      <c r="T323" s="213"/>
      <c r="U323" s="213"/>
      <c r="V323" s="213"/>
      <c r="W323" s="213"/>
      <c r="X323" s="213"/>
      <c r="Y323" s="213"/>
      <c r="Z323" s="213"/>
      <c r="AA323" s="213"/>
      <c r="AB323" s="213"/>
      <c r="AC323" s="213"/>
      <c r="AD323" s="213"/>
      <c r="AE323" s="213"/>
      <c r="AF323" s="213"/>
      <c r="AG323" s="213"/>
      <c r="AH323" s="213"/>
      <c r="AI323" s="213"/>
      <c r="AJ323" s="213"/>
      <c r="AK323" s="213"/>
      <c r="AL323" s="213"/>
      <c r="AM323" s="213"/>
      <c r="AN323" s="213"/>
      <c r="AO323" s="213"/>
      <c r="AP323" s="213"/>
      <c r="AQ323" s="213"/>
      <c r="AR323" s="213"/>
      <c r="AS323" s="213"/>
      <c r="AT323" s="213"/>
      <c r="AU323" s="213"/>
      <c r="AV323" s="213"/>
      <c r="AW323" s="213"/>
      <c r="AX323" s="213"/>
      <c r="AY323" s="213"/>
      <c r="AZ323" s="213"/>
      <c r="BA323" s="213"/>
      <c r="BB323" s="213"/>
    </row>
    <row r="324" ht="15.75" customHeight="1">
      <c r="A324" s="213"/>
      <c r="B324" s="213"/>
      <c r="C324" s="213"/>
      <c r="D324" s="213"/>
      <c r="E324" s="213"/>
      <c r="F324" s="213"/>
      <c r="G324" s="213"/>
      <c r="H324" s="213"/>
      <c r="I324" s="213"/>
      <c r="J324" s="213"/>
      <c r="K324" s="215"/>
      <c r="L324" s="213"/>
      <c r="M324" s="215"/>
      <c r="N324" s="213"/>
      <c r="O324" s="213"/>
      <c r="P324" s="213"/>
      <c r="Q324" s="213"/>
      <c r="R324" s="213"/>
      <c r="S324" s="213"/>
      <c r="T324" s="213"/>
      <c r="U324" s="213"/>
      <c r="V324" s="213"/>
      <c r="W324" s="213"/>
      <c r="X324" s="213"/>
      <c r="Y324" s="213"/>
      <c r="Z324" s="213"/>
      <c r="AA324" s="213"/>
      <c r="AB324" s="213"/>
      <c r="AC324" s="213"/>
      <c r="AD324" s="213"/>
      <c r="AE324" s="213"/>
      <c r="AF324" s="213"/>
      <c r="AG324" s="213"/>
      <c r="AH324" s="213"/>
      <c r="AI324" s="213"/>
      <c r="AJ324" s="213"/>
      <c r="AK324" s="213"/>
      <c r="AL324" s="213"/>
      <c r="AM324" s="213"/>
      <c r="AN324" s="213"/>
      <c r="AO324" s="213"/>
      <c r="AP324" s="213"/>
      <c r="AQ324" s="213"/>
      <c r="AR324" s="213"/>
      <c r="AS324" s="213"/>
      <c r="AT324" s="213"/>
      <c r="AU324" s="213"/>
      <c r="AV324" s="213"/>
      <c r="AW324" s="213"/>
      <c r="AX324" s="213"/>
      <c r="AY324" s="213"/>
      <c r="AZ324" s="213"/>
      <c r="BA324" s="213"/>
      <c r="BB324" s="213"/>
    </row>
    <row r="325" ht="15.75" customHeight="1">
      <c r="A325" s="213"/>
      <c r="B325" s="213"/>
      <c r="C325" s="213"/>
      <c r="D325" s="213"/>
      <c r="E325" s="213"/>
      <c r="F325" s="213"/>
      <c r="G325" s="213"/>
      <c r="H325" s="213"/>
      <c r="I325" s="213"/>
      <c r="J325" s="213"/>
      <c r="K325" s="215"/>
      <c r="L325" s="213"/>
      <c r="M325" s="215"/>
      <c r="N325" s="213"/>
      <c r="O325" s="213"/>
      <c r="P325" s="213"/>
      <c r="Q325" s="213"/>
      <c r="R325" s="213"/>
      <c r="S325" s="213"/>
      <c r="T325" s="213"/>
      <c r="U325" s="213"/>
      <c r="V325" s="213"/>
      <c r="W325" s="213"/>
      <c r="X325" s="213"/>
      <c r="Y325" s="213"/>
      <c r="Z325" s="213"/>
      <c r="AA325" s="213"/>
      <c r="AB325" s="213"/>
      <c r="AC325" s="213"/>
      <c r="AD325" s="213"/>
      <c r="AE325" s="213"/>
      <c r="AF325" s="213"/>
      <c r="AG325" s="213"/>
      <c r="AH325" s="213"/>
      <c r="AI325" s="213"/>
      <c r="AJ325" s="213"/>
      <c r="AK325" s="213"/>
      <c r="AL325" s="213"/>
      <c r="AM325" s="213"/>
      <c r="AN325" s="213"/>
      <c r="AO325" s="213"/>
      <c r="AP325" s="213"/>
      <c r="AQ325" s="213"/>
      <c r="AR325" s="213"/>
      <c r="AS325" s="213"/>
      <c r="AT325" s="213"/>
      <c r="AU325" s="213"/>
      <c r="AV325" s="213"/>
      <c r="AW325" s="213"/>
      <c r="AX325" s="213"/>
      <c r="AY325" s="213"/>
      <c r="AZ325" s="213"/>
      <c r="BA325" s="213"/>
      <c r="BB325" s="213"/>
    </row>
    <row r="326" ht="15.75" customHeight="1">
      <c r="A326" s="213"/>
      <c r="B326" s="213"/>
      <c r="C326" s="213"/>
      <c r="D326" s="213"/>
      <c r="E326" s="213"/>
      <c r="F326" s="213"/>
      <c r="G326" s="213"/>
      <c r="H326" s="213"/>
      <c r="I326" s="213"/>
      <c r="J326" s="213"/>
      <c r="K326" s="215"/>
      <c r="L326" s="213"/>
      <c r="M326" s="215"/>
      <c r="N326" s="213"/>
      <c r="O326" s="213"/>
      <c r="P326" s="213"/>
      <c r="Q326" s="213"/>
      <c r="R326" s="213"/>
      <c r="S326" s="213"/>
      <c r="T326" s="213"/>
      <c r="U326" s="213"/>
      <c r="V326" s="213"/>
      <c r="W326" s="213"/>
      <c r="X326" s="213"/>
      <c r="Y326" s="213"/>
      <c r="Z326" s="213"/>
      <c r="AA326" s="213"/>
      <c r="AB326" s="213"/>
      <c r="AC326" s="213"/>
      <c r="AD326" s="213"/>
      <c r="AE326" s="213"/>
      <c r="AF326" s="213"/>
      <c r="AG326" s="213"/>
      <c r="AH326" s="213"/>
      <c r="AI326" s="213"/>
      <c r="AJ326" s="213"/>
      <c r="AK326" s="213"/>
      <c r="AL326" s="213"/>
      <c r="AM326" s="213"/>
      <c r="AN326" s="213"/>
      <c r="AO326" s="213"/>
      <c r="AP326" s="213"/>
      <c r="AQ326" s="213"/>
      <c r="AR326" s="213"/>
      <c r="AS326" s="213"/>
      <c r="AT326" s="213"/>
      <c r="AU326" s="213"/>
      <c r="AV326" s="213"/>
      <c r="AW326" s="213"/>
      <c r="AX326" s="213"/>
      <c r="AY326" s="213"/>
      <c r="AZ326" s="213"/>
      <c r="BA326" s="213"/>
      <c r="BB326" s="213"/>
    </row>
    <row r="327" ht="15.75" customHeight="1">
      <c r="A327" s="213"/>
      <c r="B327" s="213"/>
      <c r="C327" s="213"/>
      <c r="D327" s="213"/>
      <c r="E327" s="213"/>
      <c r="F327" s="213"/>
      <c r="G327" s="213"/>
      <c r="H327" s="213"/>
      <c r="I327" s="213"/>
      <c r="J327" s="213"/>
      <c r="K327" s="215"/>
      <c r="L327" s="213"/>
      <c r="M327" s="215"/>
      <c r="N327" s="213"/>
      <c r="O327" s="213"/>
      <c r="P327" s="213"/>
      <c r="Q327" s="213"/>
      <c r="R327" s="213"/>
      <c r="S327" s="213"/>
      <c r="T327" s="213"/>
      <c r="U327" s="213"/>
      <c r="V327" s="213"/>
      <c r="W327" s="213"/>
      <c r="X327" s="213"/>
      <c r="Y327" s="213"/>
      <c r="Z327" s="213"/>
      <c r="AA327" s="213"/>
      <c r="AB327" s="213"/>
      <c r="AC327" s="213"/>
      <c r="AD327" s="213"/>
      <c r="AE327" s="213"/>
      <c r="AF327" s="213"/>
      <c r="AG327" s="213"/>
      <c r="AH327" s="213"/>
      <c r="AI327" s="213"/>
      <c r="AJ327" s="213"/>
      <c r="AK327" s="213"/>
      <c r="AL327" s="213"/>
      <c r="AM327" s="213"/>
      <c r="AN327" s="213"/>
      <c r="AO327" s="213"/>
      <c r="AP327" s="213"/>
      <c r="AQ327" s="213"/>
      <c r="AR327" s="213"/>
      <c r="AS327" s="213"/>
      <c r="AT327" s="213"/>
      <c r="AU327" s="213"/>
      <c r="AV327" s="213"/>
      <c r="AW327" s="213"/>
      <c r="AX327" s="213"/>
      <c r="AY327" s="213"/>
      <c r="AZ327" s="213"/>
      <c r="BA327" s="213"/>
      <c r="BB327" s="213"/>
    </row>
    <row r="328" ht="15.75" customHeight="1">
      <c r="A328" s="213"/>
      <c r="B328" s="213"/>
      <c r="C328" s="213"/>
      <c r="D328" s="213"/>
      <c r="E328" s="213"/>
      <c r="F328" s="213"/>
      <c r="G328" s="213"/>
      <c r="H328" s="213"/>
      <c r="I328" s="213"/>
      <c r="J328" s="213"/>
      <c r="K328" s="215"/>
      <c r="L328" s="213"/>
      <c r="M328" s="215"/>
      <c r="N328" s="213"/>
      <c r="O328" s="213"/>
      <c r="P328" s="213"/>
      <c r="Q328" s="213"/>
      <c r="R328" s="213"/>
      <c r="S328" s="213"/>
      <c r="T328" s="213"/>
      <c r="U328" s="213"/>
      <c r="V328" s="213"/>
      <c r="W328" s="213"/>
      <c r="X328" s="213"/>
      <c r="Y328" s="213"/>
      <c r="Z328" s="213"/>
      <c r="AA328" s="213"/>
      <c r="AB328" s="213"/>
      <c r="AC328" s="213"/>
      <c r="AD328" s="213"/>
      <c r="AE328" s="213"/>
      <c r="AF328" s="213"/>
      <c r="AG328" s="213"/>
      <c r="AH328" s="213"/>
      <c r="AI328" s="213"/>
      <c r="AJ328" s="213"/>
      <c r="AK328" s="213"/>
      <c r="AL328" s="213"/>
      <c r="AM328" s="213"/>
      <c r="AN328" s="213"/>
      <c r="AO328" s="213"/>
      <c r="AP328" s="213"/>
      <c r="AQ328" s="213"/>
      <c r="AR328" s="213"/>
      <c r="AS328" s="213"/>
      <c r="AT328" s="213"/>
      <c r="AU328" s="213"/>
      <c r="AV328" s="213"/>
      <c r="AW328" s="213"/>
      <c r="AX328" s="213"/>
      <c r="AY328" s="213"/>
      <c r="AZ328" s="213"/>
      <c r="BA328" s="213"/>
      <c r="BB328" s="213"/>
    </row>
    <row r="329" ht="15.75" customHeight="1">
      <c r="A329" s="213"/>
      <c r="B329" s="213"/>
      <c r="C329" s="213"/>
      <c r="D329" s="213"/>
      <c r="E329" s="213"/>
      <c r="F329" s="213"/>
      <c r="G329" s="213"/>
      <c r="H329" s="213"/>
      <c r="I329" s="213"/>
      <c r="J329" s="213"/>
      <c r="K329" s="215"/>
      <c r="L329" s="213"/>
      <c r="M329" s="215"/>
      <c r="N329" s="213"/>
      <c r="O329" s="213"/>
      <c r="P329" s="213"/>
      <c r="Q329" s="213"/>
      <c r="R329" s="213"/>
      <c r="S329" s="213"/>
      <c r="T329" s="213"/>
      <c r="U329" s="213"/>
      <c r="V329" s="213"/>
      <c r="W329" s="213"/>
      <c r="X329" s="213"/>
      <c r="Y329" s="213"/>
      <c r="Z329" s="213"/>
      <c r="AA329" s="213"/>
      <c r="AB329" s="213"/>
      <c r="AC329" s="213"/>
      <c r="AD329" s="213"/>
      <c r="AE329" s="213"/>
      <c r="AF329" s="213"/>
      <c r="AG329" s="213"/>
      <c r="AH329" s="213"/>
      <c r="AI329" s="213"/>
      <c r="AJ329" s="213"/>
      <c r="AK329" s="213"/>
      <c r="AL329" s="213"/>
      <c r="AM329" s="213"/>
      <c r="AN329" s="213"/>
      <c r="AO329" s="213"/>
      <c r="AP329" s="213"/>
      <c r="AQ329" s="213"/>
      <c r="AR329" s="213"/>
      <c r="AS329" s="213"/>
      <c r="AT329" s="213"/>
      <c r="AU329" s="213"/>
      <c r="AV329" s="213"/>
      <c r="AW329" s="213"/>
      <c r="AX329" s="213"/>
      <c r="AY329" s="213"/>
      <c r="AZ329" s="213"/>
      <c r="BA329" s="213"/>
      <c r="BB329" s="213"/>
    </row>
    <row r="330" ht="15.75" customHeight="1">
      <c r="A330" s="213"/>
      <c r="B330" s="213"/>
      <c r="C330" s="213"/>
      <c r="D330" s="213"/>
      <c r="E330" s="213"/>
      <c r="F330" s="213"/>
      <c r="G330" s="213"/>
      <c r="H330" s="213"/>
      <c r="I330" s="213"/>
      <c r="J330" s="213"/>
      <c r="K330" s="215"/>
      <c r="L330" s="213"/>
      <c r="M330" s="215"/>
      <c r="N330" s="213"/>
      <c r="O330" s="213"/>
      <c r="P330" s="213"/>
      <c r="Q330" s="213"/>
      <c r="R330" s="213"/>
      <c r="S330" s="213"/>
      <c r="T330" s="213"/>
      <c r="U330" s="213"/>
      <c r="V330" s="213"/>
      <c r="W330" s="213"/>
      <c r="X330" s="213"/>
      <c r="Y330" s="213"/>
      <c r="Z330" s="213"/>
      <c r="AA330" s="213"/>
      <c r="AB330" s="213"/>
      <c r="AC330" s="213"/>
      <c r="AD330" s="213"/>
      <c r="AE330" s="213"/>
      <c r="AF330" s="213"/>
      <c r="AG330" s="213"/>
      <c r="AH330" s="213"/>
      <c r="AI330" s="213"/>
      <c r="AJ330" s="213"/>
      <c r="AK330" s="213"/>
      <c r="AL330" s="213"/>
      <c r="AM330" s="213"/>
      <c r="AN330" s="213"/>
      <c r="AO330" s="213"/>
      <c r="AP330" s="213"/>
      <c r="AQ330" s="213"/>
      <c r="AR330" s="213"/>
      <c r="AS330" s="213"/>
      <c r="AT330" s="213"/>
      <c r="AU330" s="213"/>
      <c r="AV330" s="213"/>
      <c r="AW330" s="213"/>
      <c r="AX330" s="213"/>
      <c r="AY330" s="213"/>
      <c r="AZ330" s="213"/>
      <c r="BA330" s="213"/>
      <c r="BB330" s="213"/>
    </row>
    <row r="331" ht="15.75" customHeight="1">
      <c r="A331" s="213"/>
      <c r="B331" s="213"/>
      <c r="C331" s="213"/>
      <c r="D331" s="213"/>
      <c r="E331" s="213"/>
      <c r="F331" s="213"/>
      <c r="G331" s="213"/>
      <c r="H331" s="213"/>
      <c r="I331" s="213"/>
      <c r="J331" s="213"/>
      <c r="K331" s="215"/>
      <c r="L331" s="213"/>
      <c r="M331" s="215"/>
      <c r="N331" s="213"/>
      <c r="O331" s="213"/>
      <c r="P331" s="213"/>
      <c r="Q331" s="213"/>
      <c r="R331" s="213"/>
      <c r="S331" s="213"/>
      <c r="T331" s="213"/>
      <c r="U331" s="213"/>
      <c r="V331" s="213"/>
      <c r="W331" s="213"/>
      <c r="X331" s="213"/>
      <c r="Y331" s="213"/>
      <c r="Z331" s="213"/>
      <c r="AA331" s="213"/>
      <c r="AB331" s="213"/>
      <c r="AC331" s="213"/>
      <c r="AD331" s="213"/>
      <c r="AE331" s="213"/>
      <c r="AF331" s="213"/>
      <c r="AG331" s="213"/>
      <c r="AH331" s="213"/>
      <c r="AI331" s="213"/>
      <c r="AJ331" s="213"/>
      <c r="AK331" s="213"/>
      <c r="AL331" s="213"/>
      <c r="AM331" s="213"/>
      <c r="AN331" s="213"/>
      <c r="AO331" s="213"/>
      <c r="AP331" s="213"/>
      <c r="AQ331" s="213"/>
      <c r="AR331" s="213"/>
      <c r="AS331" s="213"/>
      <c r="AT331" s="213"/>
      <c r="AU331" s="213"/>
      <c r="AV331" s="213"/>
      <c r="AW331" s="213"/>
      <c r="AX331" s="213"/>
      <c r="AY331" s="213"/>
      <c r="AZ331" s="213"/>
      <c r="BA331" s="213"/>
      <c r="BB331" s="213"/>
    </row>
    <row r="332" ht="15.75" customHeight="1">
      <c r="A332" s="213"/>
      <c r="B332" s="213"/>
      <c r="C332" s="213"/>
      <c r="D332" s="213"/>
      <c r="E332" s="213"/>
      <c r="F332" s="213"/>
      <c r="G332" s="213"/>
      <c r="H332" s="213"/>
      <c r="I332" s="213"/>
      <c r="J332" s="213"/>
      <c r="K332" s="215"/>
      <c r="L332" s="213"/>
      <c r="M332" s="215"/>
      <c r="N332" s="213"/>
      <c r="O332" s="213"/>
      <c r="P332" s="213"/>
      <c r="Q332" s="213"/>
      <c r="R332" s="213"/>
      <c r="S332" s="213"/>
      <c r="T332" s="213"/>
      <c r="U332" s="213"/>
      <c r="V332" s="213"/>
      <c r="W332" s="213"/>
      <c r="X332" s="213"/>
      <c r="Y332" s="213"/>
      <c r="Z332" s="213"/>
      <c r="AA332" s="213"/>
      <c r="AB332" s="213"/>
      <c r="AC332" s="213"/>
      <c r="AD332" s="213"/>
      <c r="AE332" s="213"/>
      <c r="AF332" s="213"/>
      <c r="AG332" s="213"/>
      <c r="AH332" s="213"/>
      <c r="AI332" s="213"/>
      <c r="AJ332" s="213"/>
      <c r="AK332" s="213"/>
      <c r="AL332" s="213"/>
      <c r="AM332" s="213"/>
      <c r="AN332" s="213"/>
      <c r="AO332" s="213"/>
      <c r="AP332" s="213"/>
      <c r="AQ332" s="213"/>
      <c r="AR332" s="213"/>
      <c r="AS332" s="213"/>
      <c r="AT332" s="213"/>
      <c r="AU332" s="213"/>
      <c r="AV332" s="213"/>
      <c r="AW332" s="213"/>
      <c r="AX332" s="213"/>
      <c r="AY332" s="213"/>
      <c r="AZ332" s="213"/>
      <c r="BA332" s="213"/>
      <c r="BB332" s="213"/>
    </row>
    <row r="333" ht="15.75" customHeight="1">
      <c r="A333" s="213"/>
      <c r="B333" s="213"/>
      <c r="C333" s="213"/>
      <c r="D333" s="213"/>
      <c r="E333" s="213"/>
      <c r="F333" s="213"/>
      <c r="G333" s="213"/>
      <c r="H333" s="213"/>
      <c r="I333" s="213"/>
      <c r="J333" s="213"/>
      <c r="K333" s="215"/>
      <c r="L333" s="213"/>
      <c r="M333" s="215"/>
      <c r="N333" s="213"/>
      <c r="O333" s="213"/>
      <c r="P333" s="213"/>
      <c r="Q333" s="213"/>
      <c r="R333" s="213"/>
      <c r="S333" s="213"/>
      <c r="T333" s="213"/>
      <c r="U333" s="213"/>
      <c r="V333" s="213"/>
      <c r="W333" s="213"/>
      <c r="X333" s="213"/>
      <c r="Y333" s="213"/>
      <c r="Z333" s="213"/>
      <c r="AA333" s="213"/>
      <c r="AB333" s="213"/>
      <c r="AC333" s="213"/>
      <c r="AD333" s="213"/>
      <c r="AE333" s="213"/>
      <c r="AF333" s="213"/>
      <c r="AG333" s="213"/>
      <c r="AH333" s="213"/>
      <c r="AI333" s="213"/>
      <c r="AJ333" s="213"/>
      <c r="AK333" s="213"/>
      <c r="AL333" s="213"/>
      <c r="AM333" s="213"/>
      <c r="AN333" s="213"/>
      <c r="AO333" s="213"/>
      <c r="AP333" s="213"/>
      <c r="AQ333" s="213"/>
      <c r="AR333" s="213"/>
      <c r="AS333" s="213"/>
      <c r="AT333" s="213"/>
      <c r="AU333" s="213"/>
      <c r="AV333" s="213"/>
      <c r="AW333" s="213"/>
      <c r="AX333" s="213"/>
      <c r="AY333" s="213"/>
      <c r="AZ333" s="213"/>
      <c r="BA333" s="213"/>
      <c r="BB333" s="213"/>
    </row>
    <row r="334" ht="15.75" customHeight="1">
      <c r="A334" s="213"/>
      <c r="B334" s="213"/>
      <c r="C334" s="213"/>
      <c r="D334" s="213"/>
      <c r="E334" s="213"/>
      <c r="F334" s="213"/>
      <c r="G334" s="213"/>
      <c r="H334" s="213"/>
      <c r="I334" s="213"/>
      <c r="J334" s="213"/>
      <c r="K334" s="215"/>
      <c r="L334" s="213"/>
      <c r="M334" s="215"/>
      <c r="N334" s="213"/>
      <c r="O334" s="213"/>
      <c r="P334" s="213"/>
      <c r="Q334" s="213"/>
      <c r="R334" s="213"/>
      <c r="S334" s="213"/>
      <c r="T334" s="213"/>
      <c r="U334" s="213"/>
      <c r="V334" s="213"/>
      <c r="W334" s="213"/>
      <c r="X334" s="213"/>
      <c r="Y334" s="213"/>
      <c r="Z334" s="213"/>
      <c r="AA334" s="213"/>
      <c r="AB334" s="213"/>
      <c r="AC334" s="213"/>
      <c r="AD334" s="213"/>
      <c r="AE334" s="213"/>
      <c r="AF334" s="213"/>
      <c r="AG334" s="213"/>
      <c r="AH334" s="213"/>
      <c r="AI334" s="213"/>
      <c r="AJ334" s="213"/>
      <c r="AK334" s="213"/>
      <c r="AL334" s="213"/>
      <c r="AM334" s="213"/>
      <c r="AN334" s="213"/>
      <c r="AO334" s="213"/>
      <c r="AP334" s="213"/>
      <c r="AQ334" s="213"/>
      <c r="AR334" s="213"/>
      <c r="AS334" s="213"/>
      <c r="AT334" s="213"/>
      <c r="AU334" s="213"/>
      <c r="AV334" s="213"/>
      <c r="AW334" s="213"/>
      <c r="AX334" s="213"/>
      <c r="AY334" s="213"/>
      <c r="AZ334" s="213"/>
      <c r="BA334" s="213"/>
      <c r="BB334" s="213"/>
    </row>
    <row r="335" ht="15.75" customHeight="1">
      <c r="A335" s="213"/>
      <c r="B335" s="213"/>
      <c r="C335" s="213"/>
      <c r="D335" s="213"/>
      <c r="E335" s="213"/>
      <c r="F335" s="213"/>
      <c r="G335" s="213"/>
      <c r="H335" s="213"/>
      <c r="I335" s="213"/>
      <c r="J335" s="213"/>
      <c r="K335" s="215"/>
      <c r="L335" s="213"/>
      <c r="M335" s="215"/>
      <c r="N335" s="213"/>
      <c r="O335" s="213"/>
      <c r="P335" s="213"/>
      <c r="Q335" s="213"/>
      <c r="R335" s="213"/>
      <c r="S335" s="213"/>
      <c r="T335" s="213"/>
      <c r="U335" s="213"/>
      <c r="V335" s="213"/>
      <c r="W335" s="213"/>
      <c r="X335" s="213"/>
      <c r="Y335" s="213"/>
      <c r="Z335" s="213"/>
      <c r="AA335" s="213"/>
      <c r="AB335" s="213"/>
      <c r="AC335" s="213"/>
      <c r="AD335" s="213"/>
      <c r="AE335" s="213"/>
      <c r="AF335" s="213"/>
      <c r="AG335" s="213"/>
      <c r="AH335" s="213"/>
      <c r="AI335" s="213"/>
      <c r="AJ335" s="213"/>
      <c r="AK335" s="213"/>
      <c r="AL335" s="213"/>
      <c r="AM335" s="213"/>
      <c r="AN335" s="213"/>
      <c r="AO335" s="213"/>
      <c r="AP335" s="213"/>
      <c r="AQ335" s="213"/>
      <c r="AR335" s="213"/>
      <c r="AS335" s="213"/>
      <c r="AT335" s="213"/>
      <c r="AU335" s="213"/>
      <c r="AV335" s="213"/>
      <c r="AW335" s="213"/>
      <c r="AX335" s="213"/>
      <c r="AY335" s="213"/>
      <c r="AZ335" s="213"/>
      <c r="BA335" s="213"/>
      <c r="BB335" s="213"/>
    </row>
    <row r="336" ht="15.75" customHeight="1">
      <c r="A336" s="213"/>
      <c r="B336" s="213"/>
      <c r="C336" s="213"/>
      <c r="D336" s="213"/>
      <c r="E336" s="213"/>
      <c r="F336" s="213"/>
      <c r="G336" s="213"/>
      <c r="H336" s="213"/>
      <c r="I336" s="213"/>
      <c r="J336" s="213"/>
      <c r="K336" s="215"/>
      <c r="L336" s="213"/>
      <c r="M336" s="215"/>
      <c r="N336" s="213"/>
      <c r="O336" s="213"/>
      <c r="P336" s="213"/>
      <c r="Q336" s="213"/>
      <c r="R336" s="213"/>
      <c r="S336" s="213"/>
      <c r="T336" s="213"/>
      <c r="U336" s="213"/>
      <c r="V336" s="213"/>
      <c r="W336" s="213"/>
      <c r="X336" s="213"/>
      <c r="Y336" s="213"/>
      <c r="Z336" s="213"/>
      <c r="AA336" s="213"/>
      <c r="AB336" s="213"/>
      <c r="AC336" s="213"/>
      <c r="AD336" s="213"/>
      <c r="AE336" s="213"/>
      <c r="AF336" s="213"/>
      <c r="AG336" s="213"/>
      <c r="AH336" s="213"/>
      <c r="AI336" s="213"/>
      <c r="AJ336" s="213"/>
      <c r="AK336" s="213"/>
      <c r="AL336" s="213"/>
      <c r="AM336" s="213"/>
      <c r="AN336" s="213"/>
      <c r="AO336" s="213"/>
      <c r="AP336" s="213"/>
      <c r="AQ336" s="213"/>
      <c r="AR336" s="213"/>
      <c r="AS336" s="213"/>
      <c r="AT336" s="213"/>
      <c r="AU336" s="213"/>
      <c r="AV336" s="213"/>
      <c r="AW336" s="213"/>
      <c r="AX336" s="213"/>
      <c r="AY336" s="213"/>
      <c r="AZ336" s="213"/>
      <c r="BA336" s="213"/>
      <c r="BB336" s="213"/>
    </row>
    <row r="337" ht="15.75" customHeight="1">
      <c r="A337" s="213"/>
      <c r="B337" s="213"/>
      <c r="C337" s="213"/>
      <c r="D337" s="213"/>
      <c r="E337" s="213"/>
      <c r="F337" s="213"/>
      <c r="G337" s="213"/>
      <c r="H337" s="213"/>
      <c r="I337" s="213"/>
      <c r="J337" s="213"/>
      <c r="K337" s="215"/>
      <c r="L337" s="213"/>
      <c r="M337" s="215"/>
      <c r="N337" s="213"/>
      <c r="O337" s="213"/>
      <c r="P337" s="213"/>
      <c r="Q337" s="213"/>
      <c r="R337" s="213"/>
      <c r="S337" s="213"/>
      <c r="T337" s="213"/>
      <c r="U337" s="213"/>
      <c r="V337" s="213"/>
      <c r="W337" s="213"/>
      <c r="X337" s="213"/>
      <c r="Y337" s="213"/>
      <c r="Z337" s="213"/>
      <c r="AA337" s="213"/>
      <c r="AB337" s="213"/>
      <c r="AC337" s="213"/>
      <c r="AD337" s="213"/>
      <c r="AE337" s="213"/>
      <c r="AF337" s="213"/>
      <c r="AG337" s="213"/>
      <c r="AH337" s="213"/>
      <c r="AI337" s="213"/>
      <c r="AJ337" s="213"/>
      <c r="AK337" s="213"/>
      <c r="AL337" s="213"/>
      <c r="AM337" s="213"/>
      <c r="AN337" s="213"/>
      <c r="AO337" s="213"/>
      <c r="AP337" s="213"/>
      <c r="AQ337" s="213"/>
      <c r="AR337" s="213"/>
      <c r="AS337" s="213"/>
      <c r="AT337" s="213"/>
      <c r="AU337" s="213"/>
      <c r="AV337" s="213"/>
      <c r="AW337" s="213"/>
      <c r="AX337" s="213"/>
      <c r="AY337" s="213"/>
      <c r="AZ337" s="213"/>
      <c r="BA337" s="213"/>
      <c r="BB337" s="213"/>
    </row>
    <row r="338" ht="15.75" customHeight="1">
      <c r="A338" s="213"/>
      <c r="B338" s="213"/>
      <c r="C338" s="213"/>
      <c r="D338" s="213"/>
      <c r="E338" s="213"/>
      <c r="F338" s="213"/>
      <c r="G338" s="213"/>
      <c r="H338" s="213"/>
      <c r="I338" s="213"/>
      <c r="J338" s="213"/>
      <c r="K338" s="215"/>
      <c r="L338" s="213"/>
      <c r="M338" s="215"/>
      <c r="N338" s="213"/>
      <c r="O338" s="213"/>
      <c r="P338" s="213"/>
      <c r="Q338" s="213"/>
      <c r="R338" s="213"/>
      <c r="S338" s="213"/>
      <c r="T338" s="213"/>
      <c r="U338" s="213"/>
      <c r="V338" s="213"/>
      <c r="W338" s="213"/>
      <c r="X338" s="213"/>
      <c r="Y338" s="213"/>
      <c r="Z338" s="213"/>
      <c r="AA338" s="213"/>
      <c r="AB338" s="213"/>
      <c r="AC338" s="213"/>
      <c r="AD338" s="213"/>
      <c r="AE338" s="213"/>
      <c r="AF338" s="213"/>
      <c r="AG338" s="213"/>
      <c r="AH338" s="213"/>
      <c r="AI338" s="213"/>
      <c r="AJ338" s="213"/>
      <c r="AK338" s="213"/>
      <c r="AL338" s="213"/>
      <c r="AM338" s="213"/>
      <c r="AN338" s="213"/>
      <c r="AO338" s="213"/>
      <c r="AP338" s="213"/>
      <c r="AQ338" s="213"/>
      <c r="AR338" s="213"/>
      <c r="AS338" s="213"/>
      <c r="AT338" s="213"/>
      <c r="AU338" s="213"/>
      <c r="AV338" s="213"/>
      <c r="AW338" s="213"/>
      <c r="AX338" s="213"/>
      <c r="AY338" s="213"/>
      <c r="AZ338" s="213"/>
      <c r="BA338" s="213"/>
      <c r="BB338" s="213"/>
    </row>
    <row r="339" ht="15.75" customHeight="1">
      <c r="A339" s="213"/>
      <c r="B339" s="213"/>
      <c r="C339" s="213"/>
      <c r="D339" s="213"/>
      <c r="E339" s="213"/>
      <c r="F339" s="213"/>
      <c r="G339" s="213"/>
      <c r="H339" s="213"/>
      <c r="I339" s="213"/>
      <c r="J339" s="213"/>
      <c r="K339" s="215"/>
      <c r="L339" s="213"/>
      <c r="M339" s="215"/>
      <c r="N339" s="213"/>
      <c r="O339" s="213"/>
      <c r="P339" s="213"/>
      <c r="Q339" s="213"/>
      <c r="R339" s="213"/>
      <c r="S339" s="213"/>
      <c r="T339" s="213"/>
      <c r="U339" s="213"/>
      <c r="V339" s="213"/>
      <c r="W339" s="213"/>
      <c r="X339" s="213"/>
      <c r="Y339" s="213"/>
      <c r="Z339" s="213"/>
      <c r="AA339" s="213"/>
      <c r="AB339" s="213"/>
      <c r="AC339" s="213"/>
      <c r="AD339" s="213"/>
      <c r="AE339" s="213"/>
      <c r="AF339" s="213"/>
      <c r="AG339" s="213"/>
      <c r="AH339" s="213"/>
      <c r="AI339" s="213"/>
      <c r="AJ339" s="213"/>
      <c r="AK339" s="213"/>
      <c r="AL339" s="213"/>
      <c r="AM339" s="213"/>
      <c r="AN339" s="213"/>
      <c r="AO339" s="213"/>
      <c r="AP339" s="213"/>
      <c r="AQ339" s="213"/>
      <c r="AR339" s="213"/>
      <c r="AS339" s="213"/>
      <c r="AT339" s="213"/>
      <c r="AU339" s="213"/>
      <c r="AV339" s="213"/>
      <c r="AW339" s="213"/>
      <c r="AX339" s="213"/>
      <c r="AY339" s="213"/>
      <c r="AZ339" s="213"/>
      <c r="BA339" s="213"/>
      <c r="BB339" s="213"/>
    </row>
    <row r="340" ht="15.75" customHeight="1">
      <c r="A340" s="213"/>
      <c r="B340" s="213"/>
      <c r="C340" s="213"/>
      <c r="D340" s="213"/>
      <c r="E340" s="213"/>
      <c r="F340" s="213"/>
      <c r="G340" s="213"/>
      <c r="H340" s="213"/>
      <c r="I340" s="213"/>
      <c r="J340" s="213"/>
      <c r="K340" s="215"/>
      <c r="L340" s="213"/>
      <c r="M340" s="215"/>
      <c r="N340" s="213"/>
      <c r="O340" s="213"/>
      <c r="P340" s="213"/>
      <c r="Q340" s="213"/>
      <c r="R340" s="213"/>
      <c r="S340" s="213"/>
      <c r="T340" s="213"/>
      <c r="U340" s="213"/>
      <c r="V340" s="213"/>
      <c r="W340" s="213"/>
      <c r="X340" s="213"/>
      <c r="Y340" s="213"/>
      <c r="Z340" s="213"/>
      <c r="AA340" s="213"/>
      <c r="AB340" s="213"/>
      <c r="AC340" s="213"/>
      <c r="AD340" s="213"/>
      <c r="AE340" s="213"/>
      <c r="AF340" s="213"/>
      <c r="AG340" s="213"/>
      <c r="AH340" s="213"/>
      <c r="AI340" s="213"/>
      <c r="AJ340" s="213"/>
      <c r="AK340" s="213"/>
      <c r="AL340" s="213"/>
      <c r="AM340" s="213"/>
      <c r="AN340" s="213"/>
      <c r="AO340" s="213"/>
      <c r="AP340" s="213"/>
      <c r="AQ340" s="213"/>
      <c r="AR340" s="213"/>
      <c r="AS340" s="213"/>
      <c r="AT340" s="213"/>
      <c r="AU340" s="213"/>
      <c r="AV340" s="213"/>
      <c r="AW340" s="213"/>
      <c r="AX340" s="213"/>
      <c r="AY340" s="213"/>
      <c r="AZ340" s="213"/>
      <c r="BA340" s="213"/>
      <c r="BB340" s="213"/>
    </row>
    <row r="341" ht="15.75" customHeight="1">
      <c r="A341" s="213"/>
      <c r="B341" s="213"/>
      <c r="C341" s="213"/>
      <c r="D341" s="213"/>
      <c r="E341" s="213"/>
      <c r="F341" s="213"/>
      <c r="G341" s="213"/>
      <c r="H341" s="213"/>
      <c r="I341" s="213"/>
      <c r="J341" s="213"/>
      <c r="K341" s="215"/>
      <c r="L341" s="213"/>
      <c r="M341" s="215"/>
      <c r="N341" s="213"/>
      <c r="O341" s="213"/>
      <c r="P341" s="213"/>
      <c r="Q341" s="213"/>
      <c r="R341" s="213"/>
      <c r="S341" s="213"/>
      <c r="T341" s="213"/>
      <c r="U341" s="213"/>
      <c r="V341" s="213"/>
      <c r="W341" s="213"/>
      <c r="X341" s="213"/>
      <c r="Y341" s="213"/>
      <c r="Z341" s="213"/>
      <c r="AA341" s="213"/>
      <c r="AB341" s="213"/>
      <c r="AC341" s="213"/>
      <c r="AD341" s="213"/>
      <c r="AE341" s="213"/>
      <c r="AF341" s="213"/>
      <c r="AG341" s="213"/>
      <c r="AH341" s="213"/>
      <c r="AI341" s="213"/>
      <c r="AJ341" s="213"/>
      <c r="AK341" s="213"/>
      <c r="AL341" s="213"/>
      <c r="AM341" s="213"/>
      <c r="AN341" s="213"/>
      <c r="AO341" s="213"/>
      <c r="AP341" s="213"/>
      <c r="AQ341" s="213"/>
      <c r="AR341" s="213"/>
      <c r="AS341" s="213"/>
      <c r="AT341" s="213"/>
      <c r="AU341" s="213"/>
      <c r="AV341" s="213"/>
      <c r="AW341" s="213"/>
      <c r="AX341" s="213"/>
      <c r="AY341" s="213"/>
      <c r="AZ341" s="213"/>
      <c r="BA341" s="213"/>
      <c r="BB341" s="213"/>
    </row>
    <row r="342" ht="15.75" customHeight="1">
      <c r="A342" s="213"/>
      <c r="B342" s="213"/>
      <c r="C342" s="213"/>
      <c r="D342" s="213"/>
      <c r="E342" s="213"/>
      <c r="F342" s="213"/>
      <c r="G342" s="213"/>
      <c r="H342" s="213"/>
      <c r="I342" s="213"/>
      <c r="J342" s="213"/>
      <c r="K342" s="215"/>
      <c r="L342" s="213"/>
      <c r="M342" s="215"/>
      <c r="N342" s="213"/>
      <c r="O342" s="213"/>
      <c r="P342" s="213"/>
      <c r="Q342" s="213"/>
      <c r="R342" s="213"/>
      <c r="S342" s="213"/>
      <c r="T342" s="213"/>
      <c r="U342" s="213"/>
      <c r="V342" s="213"/>
      <c r="W342" s="213"/>
      <c r="X342" s="213"/>
      <c r="Y342" s="213"/>
      <c r="Z342" s="213"/>
      <c r="AA342" s="213"/>
      <c r="AB342" s="213"/>
      <c r="AC342" s="213"/>
      <c r="AD342" s="213"/>
      <c r="AE342" s="213"/>
      <c r="AF342" s="213"/>
      <c r="AG342" s="213"/>
      <c r="AH342" s="213"/>
      <c r="AI342" s="213"/>
      <c r="AJ342" s="213"/>
      <c r="AK342" s="213"/>
      <c r="AL342" s="213"/>
      <c r="AM342" s="213"/>
      <c r="AN342" s="213"/>
      <c r="AO342" s="213"/>
      <c r="AP342" s="213"/>
      <c r="AQ342" s="213"/>
      <c r="AR342" s="213"/>
      <c r="AS342" s="213"/>
      <c r="AT342" s="213"/>
      <c r="AU342" s="213"/>
      <c r="AV342" s="213"/>
      <c r="AW342" s="213"/>
      <c r="AX342" s="213"/>
      <c r="AY342" s="213"/>
      <c r="AZ342" s="213"/>
      <c r="BA342" s="213"/>
      <c r="BB342" s="213"/>
    </row>
    <row r="343" ht="15.75" customHeight="1">
      <c r="A343" s="213"/>
      <c r="B343" s="213"/>
      <c r="C343" s="213"/>
      <c r="D343" s="213"/>
      <c r="E343" s="213"/>
      <c r="F343" s="213"/>
      <c r="G343" s="213"/>
      <c r="H343" s="213"/>
      <c r="I343" s="213"/>
      <c r="J343" s="213"/>
      <c r="K343" s="215"/>
      <c r="L343" s="213"/>
      <c r="M343" s="215"/>
      <c r="N343" s="213"/>
      <c r="O343" s="213"/>
      <c r="P343" s="213"/>
      <c r="Q343" s="213"/>
      <c r="R343" s="213"/>
      <c r="S343" s="213"/>
      <c r="T343" s="213"/>
      <c r="U343" s="213"/>
      <c r="V343" s="213"/>
      <c r="W343" s="213"/>
      <c r="X343" s="213"/>
      <c r="Y343" s="213"/>
      <c r="Z343" s="213"/>
      <c r="AA343" s="213"/>
      <c r="AB343" s="213"/>
      <c r="AC343" s="213"/>
      <c r="AD343" s="213"/>
      <c r="AE343" s="213"/>
      <c r="AF343" s="213"/>
      <c r="AG343" s="213"/>
      <c r="AH343" s="213"/>
      <c r="AI343" s="213"/>
      <c r="AJ343" s="213"/>
      <c r="AK343" s="213"/>
      <c r="AL343" s="213"/>
      <c r="AM343" s="213"/>
      <c r="AN343" s="213"/>
      <c r="AO343" s="213"/>
      <c r="AP343" s="213"/>
      <c r="AQ343" s="213"/>
      <c r="AR343" s="213"/>
      <c r="AS343" s="213"/>
      <c r="AT343" s="213"/>
      <c r="AU343" s="213"/>
      <c r="AV343" s="213"/>
      <c r="AW343" s="213"/>
      <c r="AX343" s="213"/>
      <c r="AY343" s="213"/>
      <c r="AZ343" s="213"/>
      <c r="BA343" s="213"/>
      <c r="BB343" s="213"/>
    </row>
    <row r="344" ht="15.75" customHeight="1">
      <c r="A344" s="213"/>
      <c r="B344" s="213"/>
      <c r="C344" s="213"/>
      <c r="D344" s="213"/>
      <c r="E344" s="213"/>
      <c r="F344" s="213"/>
      <c r="G344" s="213"/>
      <c r="H344" s="213"/>
      <c r="I344" s="213"/>
      <c r="J344" s="213"/>
      <c r="K344" s="215"/>
      <c r="L344" s="213"/>
      <c r="M344" s="215"/>
      <c r="N344" s="213"/>
      <c r="O344" s="213"/>
      <c r="P344" s="213"/>
      <c r="Q344" s="213"/>
      <c r="R344" s="213"/>
      <c r="S344" s="213"/>
      <c r="T344" s="213"/>
      <c r="U344" s="213"/>
      <c r="V344" s="213"/>
      <c r="W344" s="213"/>
      <c r="X344" s="213"/>
      <c r="Y344" s="213"/>
      <c r="Z344" s="213"/>
      <c r="AA344" s="213"/>
      <c r="AB344" s="213"/>
      <c r="AC344" s="213"/>
      <c r="AD344" s="213"/>
      <c r="AE344" s="213"/>
      <c r="AF344" s="213"/>
      <c r="AG344" s="213"/>
      <c r="AH344" s="213"/>
      <c r="AI344" s="213"/>
      <c r="AJ344" s="213"/>
      <c r="AK344" s="213"/>
      <c r="AL344" s="213"/>
      <c r="AM344" s="213"/>
      <c r="AN344" s="213"/>
      <c r="AO344" s="213"/>
      <c r="AP344" s="213"/>
      <c r="AQ344" s="213"/>
      <c r="AR344" s="213"/>
      <c r="AS344" s="213"/>
      <c r="AT344" s="213"/>
      <c r="AU344" s="213"/>
      <c r="AV344" s="213"/>
      <c r="AW344" s="213"/>
      <c r="AX344" s="213"/>
      <c r="AY344" s="213"/>
      <c r="AZ344" s="213"/>
      <c r="BA344" s="213"/>
      <c r="BB344" s="213"/>
    </row>
    <row r="345" ht="15.75" customHeight="1">
      <c r="A345" s="213"/>
      <c r="B345" s="213"/>
      <c r="C345" s="213"/>
      <c r="D345" s="213"/>
      <c r="E345" s="213"/>
      <c r="F345" s="213"/>
      <c r="G345" s="213"/>
      <c r="H345" s="213"/>
      <c r="I345" s="213"/>
      <c r="J345" s="213"/>
      <c r="K345" s="215"/>
      <c r="L345" s="213"/>
      <c r="M345" s="215"/>
      <c r="N345" s="213"/>
      <c r="O345" s="213"/>
      <c r="P345" s="213"/>
      <c r="Q345" s="213"/>
      <c r="R345" s="213"/>
      <c r="S345" s="213"/>
      <c r="T345" s="213"/>
      <c r="U345" s="213"/>
      <c r="V345" s="213"/>
      <c r="W345" s="213"/>
      <c r="X345" s="213"/>
      <c r="Y345" s="213"/>
      <c r="Z345" s="213"/>
      <c r="AA345" s="213"/>
      <c r="AB345" s="213"/>
      <c r="AC345" s="213"/>
      <c r="AD345" s="213"/>
      <c r="AE345" s="213"/>
      <c r="AF345" s="213"/>
      <c r="AG345" s="213"/>
      <c r="AH345" s="213"/>
      <c r="AI345" s="213"/>
      <c r="AJ345" s="213"/>
      <c r="AK345" s="213"/>
      <c r="AL345" s="213"/>
      <c r="AM345" s="213"/>
      <c r="AN345" s="213"/>
      <c r="AO345" s="213"/>
      <c r="AP345" s="213"/>
      <c r="AQ345" s="213"/>
      <c r="AR345" s="213"/>
      <c r="AS345" s="213"/>
      <c r="AT345" s="213"/>
      <c r="AU345" s="213"/>
      <c r="AV345" s="213"/>
      <c r="AW345" s="213"/>
      <c r="AX345" s="213"/>
      <c r="AY345" s="213"/>
      <c r="AZ345" s="213"/>
      <c r="BA345" s="213"/>
      <c r="BB345" s="213"/>
    </row>
    <row r="346" ht="15.75" customHeight="1">
      <c r="A346" s="213"/>
      <c r="B346" s="213"/>
      <c r="C346" s="213"/>
      <c r="D346" s="213"/>
      <c r="E346" s="213"/>
      <c r="F346" s="213"/>
      <c r="G346" s="213"/>
      <c r="H346" s="213"/>
      <c r="I346" s="213"/>
      <c r="J346" s="213"/>
      <c r="K346" s="215"/>
      <c r="L346" s="213"/>
      <c r="M346" s="215"/>
      <c r="N346" s="213"/>
      <c r="O346" s="213"/>
      <c r="P346" s="213"/>
      <c r="Q346" s="213"/>
      <c r="R346" s="213"/>
      <c r="S346" s="213"/>
      <c r="T346" s="213"/>
      <c r="U346" s="213"/>
      <c r="V346" s="213"/>
      <c r="W346" s="213"/>
      <c r="X346" s="213"/>
      <c r="Y346" s="213"/>
      <c r="Z346" s="213"/>
      <c r="AA346" s="213"/>
      <c r="AB346" s="213"/>
      <c r="AC346" s="213"/>
      <c r="AD346" s="213"/>
      <c r="AE346" s="213"/>
      <c r="AF346" s="213"/>
      <c r="AG346" s="213"/>
      <c r="AH346" s="213"/>
      <c r="AI346" s="213"/>
      <c r="AJ346" s="213"/>
      <c r="AK346" s="213"/>
      <c r="AL346" s="213"/>
      <c r="AM346" s="213"/>
      <c r="AN346" s="213"/>
      <c r="AO346" s="213"/>
      <c r="AP346" s="213"/>
      <c r="AQ346" s="213"/>
      <c r="AR346" s="213"/>
      <c r="AS346" s="213"/>
      <c r="AT346" s="213"/>
      <c r="AU346" s="213"/>
      <c r="AV346" s="213"/>
      <c r="AW346" s="213"/>
      <c r="AX346" s="213"/>
      <c r="AY346" s="213"/>
      <c r="AZ346" s="213"/>
      <c r="BA346" s="213"/>
      <c r="BB346" s="213"/>
    </row>
    <row r="347" ht="15.75" customHeight="1">
      <c r="A347" s="213"/>
      <c r="B347" s="213"/>
      <c r="C347" s="213"/>
      <c r="D347" s="213"/>
      <c r="E347" s="213"/>
      <c r="F347" s="213"/>
      <c r="G347" s="213"/>
      <c r="H347" s="213"/>
      <c r="I347" s="213"/>
      <c r="J347" s="213"/>
      <c r="K347" s="215"/>
      <c r="L347" s="213"/>
      <c r="M347" s="215"/>
      <c r="N347" s="213"/>
      <c r="O347" s="213"/>
      <c r="P347" s="213"/>
      <c r="Q347" s="213"/>
      <c r="R347" s="213"/>
      <c r="S347" s="213"/>
      <c r="T347" s="213"/>
      <c r="U347" s="213"/>
      <c r="V347" s="213"/>
      <c r="W347" s="213"/>
      <c r="X347" s="213"/>
      <c r="Y347" s="213"/>
      <c r="Z347" s="213"/>
      <c r="AA347" s="213"/>
      <c r="AB347" s="213"/>
      <c r="AC347" s="213"/>
      <c r="AD347" s="213"/>
      <c r="AE347" s="213"/>
      <c r="AF347" s="213"/>
      <c r="AG347" s="213"/>
      <c r="AH347" s="213"/>
      <c r="AI347" s="213"/>
      <c r="AJ347" s="213"/>
      <c r="AK347" s="213"/>
      <c r="AL347" s="213"/>
      <c r="AM347" s="213"/>
      <c r="AN347" s="213"/>
      <c r="AO347" s="213"/>
      <c r="AP347" s="213"/>
      <c r="AQ347" s="213"/>
      <c r="AR347" s="213"/>
      <c r="AS347" s="213"/>
      <c r="AT347" s="213"/>
      <c r="AU347" s="213"/>
      <c r="AV347" s="213"/>
      <c r="AW347" s="213"/>
      <c r="AX347" s="213"/>
      <c r="AY347" s="213"/>
      <c r="AZ347" s="213"/>
      <c r="BA347" s="213"/>
      <c r="BB347" s="213"/>
    </row>
    <row r="348" ht="15.75" customHeight="1">
      <c r="A348" s="213"/>
      <c r="B348" s="213"/>
      <c r="C348" s="213"/>
      <c r="D348" s="213"/>
      <c r="E348" s="213"/>
      <c r="F348" s="213"/>
      <c r="G348" s="213"/>
      <c r="H348" s="213"/>
      <c r="I348" s="213"/>
      <c r="J348" s="213"/>
      <c r="K348" s="215"/>
      <c r="L348" s="213"/>
      <c r="M348" s="215"/>
      <c r="N348" s="213"/>
      <c r="O348" s="213"/>
      <c r="P348" s="213"/>
      <c r="Q348" s="213"/>
      <c r="R348" s="213"/>
      <c r="S348" s="213"/>
      <c r="T348" s="213"/>
      <c r="U348" s="213"/>
      <c r="V348" s="213"/>
      <c r="W348" s="213"/>
      <c r="X348" s="213"/>
      <c r="Y348" s="213"/>
      <c r="Z348" s="213"/>
      <c r="AA348" s="213"/>
      <c r="AB348" s="213"/>
      <c r="AC348" s="213"/>
      <c r="AD348" s="213"/>
      <c r="AE348" s="213"/>
      <c r="AF348" s="213"/>
      <c r="AG348" s="213"/>
      <c r="AH348" s="213"/>
      <c r="AI348" s="213"/>
      <c r="AJ348" s="213"/>
      <c r="AK348" s="213"/>
      <c r="AL348" s="213"/>
      <c r="AM348" s="213"/>
      <c r="AN348" s="213"/>
      <c r="AO348" s="213"/>
      <c r="AP348" s="213"/>
      <c r="AQ348" s="213"/>
      <c r="AR348" s="213"/>
      <c r="AS348" s="213"/>
      <c r="AT348" s="213"/>
      <c r="AU348" s="213"/>
      <c r="AV348" s="213"/>
      <c r="AW348" s="213"/>
      <c r="AX348" s="213"/>
      <c r="AY348" s="213"/>
      <c r="AZ348" s="213"/>
      <c r="BA348" s="213"/>
      <c r="BB348" s="213"/>
    </row>
    <row r="349" ht="15.75" customHeight="1">
      <c r="A349" s="213"/>
      <c r="B349" s="213"/>
      <c r="C349" s="213"/>
      <c r="D349" s="213"/>
      <c r="E349" s="213"/>
      <c r="F349" s="213"/>
      <c r="G349" s="213"/>
      <c r="H349" s="213"/>
      <c r="I349" s="213"/>
      <c r="J349" s="213"/>
      <c r="K349" s="215"/>
      <c r="L349" s="213"/>
      <c r="M349" s="215"/>
      <c r="N349" s="213"/>
      <c r="O349" s="213"/>
      <c r="P349" s="213"/>
      <c r="Q349" s="213"/>
      <c r="R349" s="213"/>
      <c r="S349" s="213"/>
      <c r="T349" s="213"/>
      <c r="U349" s="213"/>
      <c r="V349" s="213"/>
      <c r="W349" s="213"/>
      <c r="X349" s="213"/>
      <c r="Y349" s="213"/>
      <c r="Z349" s="213"/>
      <c r="AA349" s="213"/>
      <c r="AB349" s="213"/>
      <c r="AC349" s="213"/>
      <c r="AD349" s="213"/>
      <c r="AE349" s="213"/>
      <c r="AF349" s="213"/>
      <c r="AG349" s="213"/>
      <c r="AH349" s="213"/>
      <c r="AI349" s="213"/>
      <c r="AJ349" s="213"/>
      <c r="AK349" s="213"/>
      <c r="AL349" s="213"/>
      <c r="AM349" s="213"/>
      <c r="AN349" s="213"/>
      <c r="AO349" s="213"/>
      <c r="AP349" s="213"/>
      <c r="AQ349" s="213"/>
      <c r="AR349" s="213"/>
      <c r="AS349" s="213"/>
      <c r="AT349" s="213"/>
      <c r="AU349" s="213"/>
      <c r="AV349" s="213"/>
      <c r="AW349" s="213"/>
      <c r="AX349" s="213"/>
      <c r="AY349" s="213"/>
      <c r="AZ349" s="213"/>
      <c r="BA349" s="213"/>
      <c r="BB349" s="213"/>
    </row>
    <row r="350" ht="15.75" customHeight="1">
      <c r="A350" s="213"/>
      <c r="B350" s="213"/>
      <c r="C350" s="213"/>
      <c r="D350" s="213"/>
      <c r="E350" s="213"/>
      <c r="F350" s="213"/>
      <c r="G350" s="213"/>
      <c r="H350" s="213"/>
      <c r="I350" s="213"/>
      <c r="J350" s="213"/>
      <c r="K350" s="215"/>
      <c r="L350" s="213"/>
      <c r="M350" s="215"/>
      <c r="N350" s="213"/>
      <c r="O350" s="213"/>
      <c r="P350" s="213"/>
      <c r="Q350" s="213"/>
      <c r="R350" s="213"/>
      <c r="S350" s="213"/>
      <c r="T350" s="213"/>
      <c r="U350" s="213"/>
      <c r="V350" s="213"/>
      <c r="W350" s="213"/>
      <c r="X350" s="213"/>
      <c r="Y350" s="213"/>
      <c r="Z350" s="213"/>
      <c r="AA350" s="213"/>
      <c r="AB350" s="213"/>
      <c r="AC350" s="213"/>
      <c r="AD350" s="213"/>
      <c r="AE350" s="213"/>
      <c r="AF350" s="213"/>
      <c r="AG350" s="213"/>
      <c r="AH350" s="213"/>
      <c r="AI350" s="213"/>
      <c r="AJ350" s="213"/>
      <c r="AK350" s="213"/>
      <c r="AL350" s="213"/>
      <c r="AM350" s="213"/>
      <c r="AN350" s="213"/>
      <c r="AO350" s="213"/>
      <c r="AP350" s="213"/>
      <c r="AQ350" s="213"/>
      <c r="AR350" s="213"/>
      <c r="AS350" s="213"/>
      <c r="AT350" s="213"/>
      <c r="AU350" s="213"/>
      <c r="AV350" s="213"/>
      <c r="AW350" s="213"/>
      <c r="AX350" s="213"/>
      <c r="AY350" s="213"/>
      <c r="AZ350" s="213"/>
      <c r="BA350" s="213"/>
      <c r="BB350" s="213"/>
    </row>
    <row r="351" ht="15.75" customHeight="1">
      <c r="A351" s="213"/>
      <c r="B351" s="213"/>
      <c r="C351" s="213"/>
      <c r="D351" s="213"/>
      <c r="E351" s="213"/>
      <c r="F351" s="213"/>
      <c r="G351" s="213"/>
      <c r="H351" s="213"/>
      <c r="I351" s="213"/>
      <c r="J351" s="213"/>
      <c r="K351" s="215"/>
      <c r="L351" s="213"/>
      <c r="M351" s="215"/>
      <c r="N351" s="213"/>
      <c r="O351" s="213"/>
      <c r="P351" s="213"/>
      <c r="Q351" s="213"/>
      <c r="R351" s="213"/>
      <c r="S351" s="213"/>
      <c r="T351" s="213"/>
      <c r="U351" s="213"/>
      <c r="V351" s="213"/>
      <c r="W351" s="213"/>
      <c r="X351" s="213"/>
      <c r="Y351" s="213"/>
      <c r="Z351" s="213"/>
      <c r="AA351" s="213"/>
      <c r="AB351" s="213"/>
      <c r="AC351" s="213"/>
      <c r="AD351" s="213"/>
      <c r="AE351" s="213"/>
      <c r="AF351" s="213"/>
      <c r="AG351" s="213"/>
      <c r="AH351" s="213"/>
      <c r="AI351" s="213"/>
      <c r="AJ351" s="213"/>
      <c r="AK351" s="213"/>
      <c r="AL351" s="213"/>
      <c r="AM351" s="213"/>
      <c r="AN351" s="213"/>
      <c r="AO351" s="213"/>
      <c r="AP351" s="213"/>
      <c r="AQ351" s="213"/>
      <c r="AR351" s="213"/>
      <c r="AS351" s="213"/>
      <c r="AT351" s="213"/>
      <c r="AU351" s="213"/>
      <c r="AV351" s="213"/>
      <c r="AW351" s="213"/>
      <c r="AX351" s="213"/>
      <c r="AY351" s="213"/>
      <c r="AZ351" s="213"/>
      <c r="BA351" s="213"/>
      <c r="BB351" s="213"/>
    </row>
    <row r="352" ht="15.75" customHeight="1">
      <c r="A352" s="213"/>
      <c r="B352" s="213"/>
      <c r="C352" s="213"/>
      <c r="D352" s="213"/>
      <c r="E352" s="213"/>
      <c r="F352" s="213"/>
      <c r="G352" s="213"/>
      <c r="H352" s="213"/>
      <c r="I352" s="213"/>
      <c r="J352" s="213"/>
      <c r="K352" s="215"/>
      <c r="L352" s="213"/>
      <c r="M352" s="215"/>
      <c r="N352" s="213"/>
      <c r="O352" s="213"/>
      <c r="P352" s="213"/>
      <c r="Q352" s="213"/>
      <c r="R352" s="213"/>
      <c r="S352" s="213"/>
      <c r="T352" s="213"/>
      <c r="U352" s="213"/>
      <c r="V352" s="213"/>
      <c r="W352" s="213"/>
      <c r="X352" s="213"/>
      <c r="Y352" s="213"/>
      <c r="Z352" s="213"/>
      <c r="AA352" s="213"/>
      <c r="AB352" s="213"/>
      <c r="AC352" s="213"/>
      <c r="AD352" s="213"/>
      <c r="AE352" s="213"/>
      <c r="AF352" s="213"/>
      <c r="AG352" s="213"/>
      <c r="AH352" s="213"/>
      <c r="AI352" s="213"/>
      <c r="AJ352" s="213"/>
      <c r="AK352" s="213"/>
      <c r="AL352" s="213"/>
      <c r="AM352" s="213"/>
      <c r="AN352" s="213"/>
      <c r="AO352" s="213"/>
      <c r="AP352" s="213"/>
      <c r="AQ352" s="213"/>
      <c r="AR352" s="213"/>
      <c r="AS352" s="213"/>
      <c r="AT352" s="213"/>
      <c r="AU352" s="213"/>
      <c r="AV352" s="213"/>
      <c r="AW352" s="213"/>
      <c r="AX352" s="213"/>
      <c r="AY352" s="213"/>
      <c r="AZ352" s="213"/>
      <c r="BA352" s="213"/>
      <c r="BB352" s="213"/>
    </row>
    <row r="353" ht="15.75" customHeight="1">
      <c r="A353" s="213"/>
      <c r="B353" s="213"/>
      <c r="C353" s="213"/>
      <c r="D353" s="213"/>
      <c r="E353" s="213"/>
      <c r="F353" s="213"/>
      <c r="G353" s="213"/>
      <c r="H353" s="213"/>
      <c r="I353" s="213"/>
      <c r="J353" s="213"/>
      <c r="K353" s="215"/>
      <c r="L353" s="213"/>
      <c r="M353" s="215"/>
      <c r="N353" s="213"/>
      <c r="O353" s="213"/>
      <c r="P353" s="213"/>
      <c r="Q353" s="213"/>
      <c r="R353" s="213"/>
      <c r="S353" s="213"/>
      <c r="T353" s="213"/>
      <c r="U353" s="213"/>
      <c r="V353" s="213"/>
      <c r="W353" s="213"/>
      <c r="X353" s="213"/>
      <c r="Y353" s="213"/>
      <c r="Z353" s="213"/>
      <c r="AA353" s="213"/>
      <c r="AB353" s="213"/>
      <c r="AC353" s="213"/>
      <c r="AD353" s="213"/>
      <c r="AE353" s="213"/>
      <c r="AF353" s="213"/>
      <c r="AG353" s="213"/>
      <c r="AH353" s="213"/>
      <c r="AI353" s="213"/>
      <c r="AJ353" s="213"/>
      <c r="AK353" s="213"/>
      <c r="AL353" s="213"/>
      <c r="AM353" s="213"/>
      <c r="AN353" s="213"/>
      <c r="AO353" s="213"/>
      <c r="AP353" s="213"/>
      <c r="AQ353" s="213"/>
      <c r="AR353" s="213"/>
      <c r="AS353" s="213"/>
      <c r="AT353" s="213"/>
      <c r="AU353" s="213"/>
      <c r="AV353" s="213"/>
      <c r="AW353" s="213"/>
      <c r="AX353" s="213"/>
      <c r="AY353" s="213"/>
      <c r="AZ353" s="213"/>
      <c r="BA353" s="213"/>
      <c r="BB353" s="213"/>
    </row>
    <row r="354" ht="15.75" customHeight="1">
      <c r="A354" s="213"/>
      <c r="B354" s="213"/>
      <c r="C354" s="213"/>
      <c r="D354" s="213"/>
      <c r="E354" s="213"/>
      <c r="F354" s="213"/>
      <c r="G354" s="213"/>
      <c r="H354" s="213"/>
      <c r="I354" s="213"/>
      <c r="J354" s="213"/>
      <c r="K354" s="215"/>
      <c r="L354" s="213"/>
      <c r="M354" s="215"/>
      <c r="N354" s="213"/>
      <c r="O354" s="213"/>
      <c r="P354" s="213"/>
      <c r="Q354" s="213"/>
      <c r="R354" s="213"/>
      <c r="S354" s="213"/>
      <c r="T354" s="213"/>
      <c r="U354" s="213"/>
      <c r="V354" s="213"/>
      <c r="W354" s="213"/>
      <c r="X354" s="213"/>
      <c r="Y354" s="213"/>
      <c r="Z354" s="213"/>
      <c r="AA354" s="213"/>
      <c r="AB354" s="213"/>
      <c r="AC354" s="213"/>
      <c r="AD354" s="213"/>
      <c r="AE354" s="213"/>
      <c r="AF354" s="213"/>
      <c r="AG354" s="213"/>
      <c r="AH354" s="213"/>
      <c r="AI354" s="213"/>
      <c r="AJ354" s="213"/>
      <c r="AK354" s="213"/>
      <c r="AL354" s="213"/>
      <c r="AM354" s="213"/>
      <c r="AN354" s="213"/>
      <c r="AO354" s="213"/>
      <c r="AP354" s="213"/>
      <c r="AQ354" s="213"/>
      <c r="AR354" s="213"/>
      <c r="AS354" s="213"/>
      <c r="AT354" s="213"/>
      <c r="AU354" s="213"/>
      <c r="AV354" s="213"/>
      <c r="AW354" s="213"/>
      <c r="AX354" s="213"/>
      <c r="AY354" s="213"/>
      <c r="AZ354" s="213"/>
      <c r="BA354" s="213"/>
      <c r="BB354" s="213"/>
    </row>
    <row r="355" ht="15.75" customHeight="1">
      <c r="A355" s="213"/>
      <c r="B355" s="213"/>
      <c r="C355" s="213"/>
      <c r="D355" s="213"/>
      <c r="E355" s="213"/>
      <c r="F355" s="213"/>
      <c r="G355" s="213"/>
      <c r="H355" s="213"/>
      <c r="I355" s="213"/>
      <c r="J355" s="213"/>
      <c r="K355" s="215"/>
      <c r="L355" s="213"/>
      <c r="M355" s="215"/>
      <c r="N355" s="213"/>
      <c r="O355" s="213"/>
      <c r="P355" s="213"/>
      <c r="Q355" s="213"/>
      <c r="R355" s="213"/>
      <c r="S355" s="213"/>
      <c r="T355" s="213"/>
      <c r="U355" s="213"/>
      <c r="V355" s="213"/>
      <c r="W355" s="213"/>
      <c r="X355" s="213"/>
      <c r="Y355" s="213"/>
      <c r="Z355" s="213"/>
      <c r="AA355" s="213"/>
      <c r="AB355" s="213"/>
      <c r="AC355" s="213"/>
      <c r="AD355" s="213"/>
      <c r="AE355" s="213"/>
      <c r="AF355" s="213"/>
      <c r="AG355" s="213"/>
      <c r="AH355" s="213"/>
      <c r="AI355" s="213"/>
      <c r="AJ355" s="213"/>
      <c r="AK355" s="213"/>
      <c r="AL355" s="213"/>
      <c r="AM355" s="213"/>
      <c r="AN355" s="213"/>
      <c r="AO355" s="213"/>
      <c r="AP355" s="213"/>
      <c r="AQ355" s="213"/>
      <c r="AR355" s="213"/>
      <c r="AS355" s="213"/>
      <c r="AT355" s="213"/>
      <c r="AU355" s="213"/>
      <c r="AV355" s="213"/>
      <c r="AW355" s="213"/>
      <c r="AX355" s="213"/>
      <c r="AY355" s="213"/>
      <c r="AZ355" s="213"/>
      <c r="BA355" s="213"/>
      <c r="BB355" s="213"/>
    </row>
    <row r="356" ht="15.75" customHeight="1">
      <c r="A356" s="213"/>
      <c r="B356" s="213"/>
      <c r="C356" s="213"/>
      <c r="D356" s="213"/>
      <c r="E356" s="213"/>
      <c r="F356" s="213"/>
      <c r="G356" s="213"/>
      <c r="H356" s="213"/>
      <c r="I356" s="213"/>
      <c r="J356" s="213"/>
      <c r="K356" s="215"/>
      <c r="L356" s="213"/>
      <c r="M356" s="215"/>
      <c r="N356" s="213"/>
      <c r="O356" s="213"/>
      <c r="P356" s="213"/>
      <c r="Q356" s="213"/>
      <c r="R356" s="213"/>
      <c r="S356" s="213"/>
      <c r="T356" s="213"/>
      <c r="U356" s="213"/>
      <c r="V356" s="213"/>
      <c r="W356" s="213"/>
      <c r="X356" s="213"/>
      <c r="Y356" s="213"/>
      <c r="Z356" s="213"/>
      <c r="AA356" s="213"/>
      <c r="AB356" s="213"/>
      <c r="AC356" s="213"/>
      <c r="AD356" s="213"/>
      <c r="AE356" s="213"/>
      <c r="AF356" s="213"/>
      <c r="AG356" s="213"/>
      <c r="AH356" s="213"/>
      <c r="AI356" s="213"/>
      <c r="AJ356" s="213"/>
      <c r="AK356" s="213"/>
      <c r="AL356" s="213"/>
      <c r="AM356" s="213"/>
      <c r="AN356" s="213"/>
      <c r="AO356" s="213"/>
      <c r="AP356" s="213"/>
      <c r="AQ356" s="213"/>
      <c r="AR356" s="213"/>
      <c r="AS356" s="213"/>
      <c r="AT356" s="213"/>
      <c r="AU356" s="213"/>
      <c r="AV356" s="213"/>
      <c r="AW356" s="213"/>
      <c r="AX356" s="213"/>
      <c r="AY356" s="213"/>
      <c r="AZ356" s="213"/>
      <c r="BA356" s="213"/>
      <c r="BB356" s="213"/>
    </row>
    <row r="357" ht="15.75" customHeight="1">
      <c r="A357" s="213"/>
      <c r="B357" s="213"/>
      <c r="C357" s="213"/>
      <c r="D357" s="213"/>
      <c r="E357" s="213"/>
      <c r="F357" s="213"/>
      <c r="G357" s="213"/>
      <c r="H357" s="213"/>
      <c r="I357" s="213"/>
      <c r="J357" s="213"/>
      <c r="K357" s="215"/>
      <c r="L357" s="213"/>
      <c r="M357" s="215"/>
      <c r="N357" s="213"/>
      <c r="O357" s="213"/>
      <c r="P357" s="213"/>
      <c r="Q357" s="213"/>
      <c r="R357" s="213"/>
      <c r="S357" s="213"/>
      <c r="T357" s="213"/>
      <c r="U357" s="213"/>
      <c r="V357" s="213"/>
      <c r="W357" s="213"/>
      <c r="X357" s="213"/>
      <c r="Y357" s="213"/>
      <c r="Z357" s="213"/>
      <c r="AA357" s="213"/>
      <c r="AB357" s="213"/>
      <c r="AC357" s="213"/>
      <c r="AD357" s="213"/>
      <c r="AE357" s="213"/>
      <c r="AF357" s="213"/>
      <c r="AG357" s="213"/>
      <c r="AH357" s="213"/>
      <c r="AI357" s="213"/>
      <c r="AJ357" s="213"/>
      <c r="AK357" s="213"/>
      <c r="AL357" s="213"/>
      <c r="AM357" s="213"/>
      <c r="AN357" s="213"/>
      <c r="AO357" s="213"/>
      <c r="AP357" s="213"/>
      <c r="AQ357" s="213"/>
      <c r="AR357" s="213"/>
      <c r="AS357" s="213"/>
      <c r="AT357" s="213"/>
      <c r="AU357" s="213"/>
      <c r="AV357" s="213"/>
      <c r="AW357" s="213"/>
      <c r="AX357" s="213"/>
      <c r="AY357" s="213"/>
      <c r="AZ357" s="213"/>
      <c r="BA357" s="213"/>
      <c r="BB357" s="213"/>
    </row>
    <row r="358" ht="15.75" customHeight="1">
      <c r="A358" s="213"/>
      <c r="B358" s="213"/>
      <c r="C358" s="213"/>
      <c r="D358" s="213"/>
      <c r="E358" s="213"/>
      <c r="F358" s="213"/>
      <c r="G358" s="213"/>
      <c r="H358" s="213"/>
      <c r="I358" s="213"/>
      <c r="J358" s="213"/>
      <c r="K358" s="215"/>
      <c r="L358" s="213"/>
      <c r="M358" s="215"/>
      <c r="N358" s="213"/>
      <c r="O358" s="213"/>
      <c r="P358" s="213"/>
      <c r="Q358" s="213"/>
      <c r="R358" s="213"/>
      <c r="S358" s="213"/>
      <c r="T358" s="213"/>
      <c r="U358" s="213"/>
      <c r="V358" s="213"/>
      <c r="W358" s="213"/>
      <c r="X358" s="213"/>
      <c r="Y358" s="213"/>
      <c r="Z358" s="213"/>
      <c r="AA358" s="213"/>
      <c r="AB358" s="213"/>
      <c r="AC358" s="213"/>
      <c r="AD358" s="213"/>
      <c r="AE358" s="213"/>
      <c r="AF358" s="213"/>
      <c r="AG358" s="213"/>
      <c r="AH358" s="213"/>
      <c r="AI358" s="213"/>
      <c r="AJ358" s="213"/>
      <c r="AK358" s="213"/>
      <c r="AL358" s="213"/>
      <c r="AM358" s="213"/>
      <c r="AN358" s="213"/>
      <c r="AO358" s="213"/>
      <c r="AP358" s="213"/>
      <c r="AQ358" s="213"/>
      <c r="AR358" s="213"/>
      <c r="AS358" s="213"/>
      <c r="AT358" s="213"/>
      <c r="AU358" s="213"/>
      <c r="AV358" s="213"/>
      <c r="AW358" s="213"/>
      <c r="AX358" s="213"/>
      <c r="AY358" s="213"/>
      <c r="AZ358" s="213"/>
      <c r="BA358" s="213"/>
      <c r="BB358" s="213"/>
    </row>
    <row r="359" ht="15.75" customHeight="1">
      <c r="A359" s="213"/>
      <c r="B359" s="213"/>
      <c r="C359" s="213"/>
      <c r="D359" s="213"/>
      <c r="E359" s="213"/>
      <c r="F359" s="213"/>
      <c r="G359" s="213"/>
      <c r="H359" s="213"/>
      <c r="I359" s="213"/>
      <c r="J359" s="213"/>
      <c r="K359" s="215"/>
      <c r="L359" s="213"/>
      <c r="M359" s="215"/>
      <c r="N359" s="213"/>
      <c r="O359" s="213"/>
      <c r="P359" s="213"/>
      <c r="Q359" s="213"/>
      <c r="R359" s="213"/>
      <c r="S359" s="213"/>
      <c r="T359" s="213"/>
      <c r="U359" s="213"/>
      <c r="V359" s="213"/>
      <c r="W359" s="213"/>
      <c r="X359" s="213"/>
      <c r="Y359" s="213"/>
      <c r="Z359" s="213"/>
      <c r="AA359" s="213"/>
      <c r="AB359" s="213"/>
      <c r="AC359" s="213"/>
      <c r="AD359" s="213"/>
      <c r="AE359" s="213"/>
      <c r="AF359" s="213"/>
      <c r="AG359" s="213"/>
      <c r="AH359" s="213"/>
      <c r="AI359" s="213"/>
      <c r="AJ359" s="213"/>
      <c r="AK359" s="213"/>
      <c r="AL359" s="213"/>
      <c r="AM359" s="213"/>
      <c r="AN359" s="213"/>
      <c r="AO359" s="213"/>
      <c r="AP359" s="213"/>
      <c r="AQ359" s="213"/>
      <c r="AR359" s="213"/>
      <c r="AS359" s="213"/>
      <c r="AT359" s="213"/>
      <c r="AU359" s="213"/>
      <c r="AV359" s="213"/>
      <c r="AW359" s="213"/>
      <c r="AX359" s="213"/>
      <c r="AY359" s="213"/>
      <c r="AZ359" s="213"/>
      <c r="BA359" s="213"/>
      <c r="BB359" s="213"/>
    </row>
    <row r="360" ht="15.75" customHeight="1">
      <c r="A360" s="213"/>
      <c r="B360" s="213"/>
      <c r="C360" s="213"/>
      <c r="D360" s="213"/>
      <c r="E360" s="213"/>
      <c r="F360" s="213"/>
      <c r="G360" s="213"/>
      <c r="H360" s="213"/>
      <c r="I360" s="213"/>
      <c r="J360" s="213"/>
      <c r="K360" s="215"/>
      <c r="L360" s="213"/>
      <c r="M360" s="215"/>
      <c r="N360" s="213"/>
      <c r="O360" s="213"/>
      <c r="P360" s="213"/>
      <c r="Q360" s="213"/>
      <c r="R360" s="213"/>
      <c r="S360" s="213"/>
      <c r="T360" s="213"/>
      <c r="U360" s="213"/>
      <c r="V360" s="213"/>
      <c r="W360" s="213"/>
      <c r="X360" s="213"/>
      <c r="Y360" s="213"/>
      <c r="Z360" s="213"/>
      <c r="AA360" s="213"/>
      <c r="AB360" s="213"/>
      <c r="AC360" s="213"/>
      <c r="AD360" s="213"/>
      <c r="AE360" s="213"/>
      <c r="AF360" s="213"/>
      <c r="AG360" s="213"/>
      <c r="AH360" s="213"/>
      <c r="AI360" s="213"/>
      <c r="AJ360" s="213"/>
      <c r="AK360" s="213"/>
      <c r="AL360" s="213"/>
      <c r="AM360" s="213"/>
      <c r="AN360" s="213"/>
      <c r="AO360" s="213"/>
      <c r="AP360" s="213"/>
      <c r="AQ360" s="213"/>
      <c r="AR360" s="213"/>
      <c r="AS360" s="213"/>
      <c r="AT360" s="213"/>
      <c r="AU360" s="213"/>
      <c r="AV360" s="213"/>
      <c r="AW360" s="213"/>
      <c r="AX360" s="213"/>
      <c r="AY360" s="213"/>
      <c r="AZ360" s="213"/>
      <c r="BA360" s="213"/>
      <c r="BB360" s="213"/>
    </row>
    <row r="361" ht="15.75" customHeight="1">
      <c r="A361" s="213"/>
      <c r="B361" s="213"/>
      <c r="C361" s="213"/>
      <c r="D361" s="213"/>
      <c r="E361" s="213"/>
      <c r="F361" s="213"/>
      <c r="G361" s="213"/>
      <c r="H361" s="213"/>
      <c r="I361" s="213"/>
      <c r="J361" s="213"/>
      <c r="K361" s="215"/>
      <c r="L361" s="213"/>
      <c r="M361" s="215"/>
      <c r="N361" s="213"/>
      <c r="O361" s="213"/>
      <c r="P361" s="213"/>
      <c r="Q361" s="213"/>
      <c r="R361" s="213"/>
      <c r="S361" s="213"/>
      <c r="T361" s="213"/>
      <c r="U361" s="213"/>
      <c r="V361" s="213"/>
      <c r="W361" s="213"/>
      <c r="X361" s="213"/>
      <c r="Y361" s="213"/>
      <c r="Z361" s="213"/>
      <c r="AA361" s="213"/>
      <c r="AB361" s="213"/>
      <c r="AC361" s="213"/>
      <c r="AD361" s="213"/>
      <c r="AE361" s="213"/>
      <c r="AF361" s="213"/>
      <c r="AG361" s="213"/>
      <c r="AH361" s="213"/>
      <c r="AI361" s="213"/>
      <c r="AJ361" s="213"/>
      <c r="AK361" s="213"/>
      <c r="AL361" s="213"/>
      <c r="AM361" s="213"/>
      <c r="AN361" s="213"/>
      <c r="AO361" s="213"/>
      <c r="AP361" s="213"/>
      <c r="AQ361" s="213"/>
      <c r="AR361" s="213"/>
      <c r="AS361" s="213"/>
      <c r="AT361" s="213"/>
      <c r="AU361" s="213"/>
      <c r="AV361" s="213"/>
      <c r="AW361" s="213"/>
      <c r="AX361" s="213"/>
      <c r="AY361" s="213"/>
      <c r="AZ361" s="213"/>
      <c r="BA361" s="213"/>
      <c r="BB361" s="213"/>
    </row>
    <row r="362" ht="15.75" customHeight="1">
      <c r="A362" s="213"/>
      <c r="B362" s="213"/>
      <c r="C362" s="213"/>
      <c r="D362" s="213"/>
      <c r="E362" s="213"/>
      <c r="F362" s="213"/>
      <c r="G362" s="213"/>
      <c r="H362" s="213"/>
      <c r="I362" s="213"/>
      <c r="J362" s="213"/>
      <c r="K362" s="215"/>
      <c r="L362" s="213"/>
      <c r="M362" s="215"/>
      <c r="N362" s="213"/>
      <c r="O362" s="213"/>
      <c r="P362" s="213"/>
      <c r="Q362" s="213"/>
      <c r="R362" s="213"/>
      <c r="S362" s="213"/>
      <c r="T362" s="213"/>
      <c r="U362" s="213"/>
      <c r="V362" s="213"/>
      <c r="W362" s="213"/>
      <c r="X362" s="213"/>
      <c r="Y362" s="213"/>
      <c r="Z362" s="213"/>
      <c r="AA362" s="213"/>
      <c r="AB362" s="213"/>
      <c r="AC362" s="213"/>
      <c r="AD362" s="213"/>
      <c r="AE362" s="213"/>
      <c r="AF362" s="213"/>
      <c r="AG362" s="213"/>
      <c r="AH362" s="213"/>
      <c r="AI362" s="213"/>
      <c r="AJ362" s="213"/>
      <c r="AK362" s="213"/>
      <c r="AL362" s="213"/>
      <c r="AM362" s="213"/>
      <c r="AN362" s="213"/>
      <c r="AO362" s="213"/>
      <c r="AP362" s="213"/>
      <c r="AQ362" s="213"/>
      <c r="AR362" s="213"/>
      <c r="AS362" s="213"/>
      <c r="AT362" s="213"/>
      <c r="AU362" s="213"/>
      <c r="AV362" s="213"/>
      <c r="AW362" s="213"/>
      <c r="AX362" s="213"/>
      <c r="AY362" s="213"/>
      <c r="AZ362" s="213"/>
      <c r="BA362" s="213"/>
      <c r="BB362" s="213"/>
    </row>
    <row r="363" ht="15.75" customHeight="1">
      <c r="A363" s="213"/>
      <c r="B363" s="213"/>
      <c r="C363" s="213"/>
      <c r="D363" s="213"/>
      <c r="E363" s="213"/>
      <c r="F363" s="213"/>
      <c r="G363" s="213"/>
      <c r="H363" s="213"/>
      <c r="I363" s="213"/>
      <c r="J363" s="213"/>
      <c r="K363" s="215"/>
      <c r="L363" s="213"/>
      <c r="M363" s="215"/>
      <c r="N363" s="213"/>
      <c r="O363" s="213"/>
      <c r="P363" s="213"/>
      <c r="Q363" s="213"/>
      <c r="R363" s="213"/>
      <c r="S363" s="213"/>
      <c r="T363" s="213"/>
      <c r="U363" s="213"/>
      <c r="V363" s="213"/>
      <c r="W363" s="213"/>
      <c r="X363" s="213"/>
      <c r="Y363" s="213"/>
      <c r="Z363" s="213"/>
      <c r="AA363" s="213"/>
      <c r="AB363" s="213"/>
      <c r="AC363" s="213"/>
      <c r="AD363" s="213"/>
      <c r="AE363" s="213"/>
      <c r="AF363" s="213"/>
      <c r="AG363" s="213"/>
      <c r="AH363" s="213"/>
      <c r="AI363" s="213"/>
      <c r="AJ363" s="213"/>
      <c r="AK363" s="213"/>
      <c r="AL363" s="213"/>
      <c r="AM363" s="213"/>
      <c r="AN363" s="213"/>
      <c r="AO363" s="213"/>
      <c r="AP363" s="213"/>
      <c r="AQ363" s="213"/>
      <c r="AR363" s="213"/>
      <c r="AS363" s="213"/>
      <c r="AT363" s="213"/>
      <c r="AU363" s="213"/>
      <c r="AV363" s="213"/>
      <c r="AW363" s="213"/>
      <c r="AX363" s="213"/>
      <c r="AY363" s="213"/>
      <c r="AZ363" s="213"/>
      <c r="BA363" s="213"/>
      <c r="BB363" s="213"/>
    </row>
    <row r="364" ht="15.75" customHeight="1">
      <c r="A364" s="213"/>
      <c r="B364" s="213"/>
      <c r="C364" s="213"/>
      <c r="D364" s="213"/>
      <c r="E364" s="213"/>
      <c r="F364" s="213"/>
      <c r="G364" s="213"/>
      <c r="H364" s="213"/>
      <c r="I364" s="213"/>
      <c r="J364" s="213"/>
      <c r="K364" s="215"/>
      <c r="L364" s="213"/>
      <c r="M364" s="215"/>
      <c r="N364" s="213"/>
      <c r="O364" s="213"/>
      <c r="P364" s="213"/>
      <c r="Q364" s="213"/>
      <c r="R364" s="213"/>
      <c r="S364" s="213"/>
      <c r="T364" s="213"/>
      <c r="U364" s="213"/>
      <c r="V364" s="213"/>
      <c r="W364" s="213"/>
      <c r="X364" s="213"/>
      <c r="Y364" s="213"/>
      <c r="Z364" s="213"/>
      <c r="AA364" s="213"/>
      <c r="AB364" s="213"/>
      <c r="AC364" s="213"/>
      <c r="AD364" s="213"/>
      <c r="AE364" s="213"/>
      <c r="AF364" s="213"/>
      <c r="AG364" s="213"/>
      <c r="AH364" s="213"/>
      <c r="AI364" s="213"/>
      <c r="AJ364" s="213"/>
      <c r="AK364" s="213"/>
      <c r="AL364" s="213"/>
      <c r="AM364" s="213"/>
      <c r="AN364" s="213"/>
      <c r="AO364" s="213"/>
      <c r="AP364" s="213"/>
      <c r="AQ364" s="213"/>
      <c r="AR364" s="213"/>
      <c r="AS364" s="213"/>
      <c r="AT364" s="213"/>
      <c r="AU364" s="213"/>
      <c r="AV364" s="213"/>
      <c r="AW364" s="213"/>
      <c r="AX364" s="213"/>
      <c r="AY364" s="213"/>
      <c r="AZ364" s="213"/>
      <c r="BA364" s="213"/>
      <c r="BB364" s="213"/>
    </row>
    <row r="365" ht="15.75" customHeight="1">
      <c r="A365" s="213"/>
      <c r="B365" s="213"/>
      <c r="C365" s="213"/>
      <c r="D365" s="213"/>
      <c r="E365" s="213"/>
      <c r="F365" s="213"/>
      <c r="G365" s="213"/>
      <c r="H365" s="213"/>
      <c r="I365" s="213"/>
      <c r="J365" s="213"/>
      <c r="K365" s="215"/>
      <c r="L365" s="213"/>
      <c r="M365" s="215"/>
      <c r="N365" s="213"/>
      <c r="O365" s="213"/>
      <c r="P365" s="213"/>
      <c r="Q365" s="213"/>
      <c r="R365" s="213"/>
      <c r="S365" s="213"/>
      <c r="T365" s="213"/>
      <c r="U365" s="213"/>
      <c r="V365" s="213"/>
      <c r="W365" s="213"/>
      <c r="X365" s="213"/>
      <c r="Y365" s="213"/>
      <c r="Z365" s="213"/>
      <c r="AA365" s="213"/>
      <c r="AB365" s="213"/>
      <c r="AC365" s="213"/>
      <c r="AD365" s="213"/>
      <c r="AE365" s="213"/>
      <c r="AF365" s="213"/>
      <c r="AG365" s="213"/>
      <c r="AH365" s="213"/>
      <c r="AI365" s="213"/>
      <c r="AJ365" s="213"/>
      <c r="AK365" s="213"/>
      <c r="AL365" s="213"/>
      <c r="AM365" s="213"/>
      <c r="AN365" s="213"/>
      <c r="AO365" s="213"/>
      <c r="AP365" s="213"/>
      <c r="AQ365" s="213"/>
      <c r="AR365" s="213"/>
      <c r="AS365" s="213"/>
      <c r="AT365" s="213"/>
      <c r="AU365" s="213"/>
      <c r="AV365" s="213"/>
      <c r="AW365" s="213"/>
      <c r="AX365" s="213"/>
      <c r="AY365" s="213"/>
      <c r="AZ365" s="213"/>
      <c r="BA365" s="213"/>
      <c r="BB365" s="213"/>
    </row>
    <row r="366" ht="15.75" customHeight="1">
      <c r="A366" s="213"/>
      <c r="B366" s="213"/>
      <c r="C366" s="213"/>
      <c r="D366" s="213"/>
      <c r="E366" s="213"/>
      <c r="F366" s="213"/>
      <c r="G366" s="213"/>
      <c r="H366" s="213"/>
      <c r="I366" s="213"/>
      <c r="J366" s="213"/>
      <c r="K366" s="215"/>
      <c r="L366" s="213"/>
      <c r="M366" s="215"/>
      <c r="N366" s="213"/>
      <c r="O366" s="213"/>
      <c r="P366" s="213"/>
      <c r="Q366" s="213"/>
      <c r="R366" s="213"/>
      <c r="S366" s="213"/>
      <c r="T366" s="213"/>
      <c r="U366" s="213"/>
      <c r="V366" s="213"/>
      <c r="W366" s="213"/>
      <c r="X366" s="213"/>
      <c r="Y366" s="213"/>
      <c r="Z366" s="213"/>
      <c r="AA366" s="213"/>
      <c r="AB366" s="213"/>
      <c r="AC366" s="213"/>
      <c r="AD366" s="213"/>
      <c r="AE366" s="213"/>
      <c r="AF366" s="213"/>
      <c r="AG366" s="213"/>
      <c r="AH366" s="213"/>
      <c r="AI366" s="213"/>
      <c r="AJ366" s="213"/>
      <c r="AK366" s="213"/>
      <c r="AL366" s="213"/>
      <c r="AM366" s="213"/>
      <c r="AN366" s="213"/>
      <c r="AO366" s="213"/>
      <c r="AP366" s="213"/>
      <c r="AQ366" s="213"/>
      <c r="AR366" s="213"/>
      <c r="AS366" s="213"/>
      <c r="AT366" s="213"/>
      <c r="AU366" s="213"/>
      <c r="AV366" s="213"/>
      <c r="AW366" s="213"/>
      <c r="AX366" s="213"/>
      <c r="AY366" s="213"/>
      <c r="AZ366" s="213"/>
      <c r="BA366" s="213"/>
      <c r="BB366" s="213"/>
    </row>
    <row r="367" ht="15.75" customHeight="1">
      <c r="A367" s="213"/>
      <c r="B367" s="213"/>
      <c r="C367" s="213"/>
      <c r="D367" s="213"/>
      <c r="E367" s="213"/>
      <c r="F367" s="213"/>
      <c r="G367" s="213"/>
      <c r="H367" s="213"/>
      <c r="I367" s="213"/>
      <c r="J367" s="213"/>
      <c r="K367" s="215"/>
      <c r="L367" s="213"/>
      <c r="M367" s="215"/>
      <c r="N367" s="213"/>
      <c r="O367" s="213"/>
      <c r="P367" s="213"/>
      <c r="Q367" s="213"/>
      <c r="R367" s="213"/>
      <c r="S367" s="213"/>
      <c r="T367" s="213"/>
      <c r="U367" s="213"/>
      <c r="V367" s="213"/>
      <c r="W367" s="213"/>
      <c r="X367" s="213"/>
      <c r="Y367" s="213"/>
      <c r="Z367" s="213"/>
      <c r="AA367" s="213"/>
      <c r="AB367" s="213"/>
      <c r="AC367" s="213"/>
      <c r="AD367" s="213"/>
      <c r="AE367" s="213"/>
      <c r="AF367" s="213"/>
      <c r="AG367" s="213"/>
      <c r="AH367" s="213"/>
      <c r="AI367" s="213"/>
      <c r="AJ367" s="213"/>
      <c r="AK367" s="213"/>
      <c r="AL367" s="213"/>
      <c r="AM367" s="213"/>
      <c r="AN367" s="213"/>
      <c r="AO367" s="213"/>
      <c r="AP367" s="213"/>
      <c r="AQ367" s="213"/>
      <c r="AR367" s="213"/>
      <c r="AS367" s="213"/>
      <c r="AT367" s="213"/>
      <c r="AU367" s="213"/>
      <c r="AV367" s="213"/>
      <c r="AW367" s="213"/>
      <c r="AX367" s="213"/>
      <c r="AY367" s="213"/>
      <c r="AZ367" s="213"/>
      <c r="BA367" s="213"/>
      <c r="BB367" s="213"/>
    </row>
    <row r="368" ht="15.75" customHeight="1">
      <c r="A368" s="213"/>
      <c r="B368" s="213"/>
      <c r="C368" s="213"/>
      <c r="D368" s="213"/>
      <c r="E368" s="213"/>
      <c r="F368" s="213"/>
      <c r="G368" s="213"/>
      <c r="H368" s="213"/>
      <c r="I368" s="213"/>
      <c r="J368" s="213"/>
      <c r="K368" s="215"/>
      <c r="L368" s="213"/>
      <c r="M368" s="215"/>
      <c r="N368" s="213"/>
      <c r="O368" s="213"/>
      <c r="P368" s="213"/>
      <c r="Q368" s="213"/>
      <c r="R368" s="213"/>
      <c r="S368" s="213"/>
      <c r="T368" s="213"/>
      <c r="U368" s="213"/>
      <c r="V368" s="213"/>
      <c r="W368" s="213"/>
      <c r="X368" s="213"/>
      <c r="Y368" s="213"/>
      <c r="Z368" s="213"/>
      <c r="AA368" s="213"/>
      <c r="AB368" s="213"/>
      <c r="AC368" s="213"/>
      <c r="AD368" s="213"/>
      <c r="AE368" s="213"/>
      <c r="AF368" s="213"/>
      <c r="AG368" s="213"/>
      <c r="AH368" s="213"/>
      <c r="AI368" s="213"/>
      <c r="AJ368" s="213"/>
      <c r="AK368" s="213"/>
      <c r="AL368" s="213"/>
      <c r="AM368" s="213"/>
      <c r="AN368" s="213"/>
      <c r="AO368" s="213"/>
      <c r="AP368" s="213"/>
      <c r="AQ368" s="213"/>
      <c r="AR368" s="213"/>
      <c r="AS368" s="213"/>
      <c r="AT368" s="213"/>
      <c r="AU368" s="213"/>
      <c r="AV368" s="213"/>
      <c r="AW368" s="213"/>
      <c r="AX368" s="213"/>
      <c r="AY368" s="213"/>
      <c r="AZ368" s="213"/>
      <c r="BA368" s="213"/>
      <c r="BB368" s="213"/>
    </row>
    <row r="369" ht="15.75" customHeight="1">
      <c r="A369" s="213"/>
      <c r="B369" s="213"/>
      <c r="C369" s="213"/>
      <c r="D369" s="213"/>
      <c r="E369" s="213"/>
      <c r="F369" s="213"/>
      <c r="G369" s="213"/>
      <c r="H369" s="213"/>
      <c r="I369" s="213"/>
      <c r="J369" s="213"/>
      <c r="K369" s="215"/>
      <c r="L369" s="213"/>
      <c r="M369" s="215"/>
      <c r="N369" s="213"/>
      <c r="O369" s="213"/>
      <c r="P369" s="213"/>
      <c r="Q369" s="213"/>
      <c r="R369" s="213"/>
      <c r="S369" s="213"/>
      <c r="T369" s="213"/>
      <c r="U369" s="213"/>
      <c r="V369" s="213"/>
      <c r="W369" s="213"/>
      <c r="X369" s="213"/>
      <c r="Y369" s="213"/>
      <c r="Z369" s="213"/>
      <c r="AA369" s="213"/>
      <c r="AB369" s="213"/>
      <c r="AC369" s="213"/>
      <c r="AD369" s="213"/>
      <c r="AE369" s="213"/>
      <c r="AF369" s="213"/>
      <c r="AG369" s="213"/>
      <c r="AH369" s="213"/>
      <c r="AI369" s="213"/>
      <c r="AJ369" s="213"/>
      <c r="AK369" s="213"/>
      <c r="AL369" s="213"/>
      <c r="AM369" s="213"/>
      <c r="AN369" s="213"/>
      <c r="AO369" s="213"/>
      <c r="AP369" s="213"/>
      <c r="AQ369" s="213"/>
      <c r="AR369" s="213"/>
      <c r="AS369" s="213"/>
      <c r="AT369" s="213"/>
      <c r="AU369" s="213"/>
      <c r="AV369" s="213"/>
      <c r="AW369" s="213"/>
      <c r="AX369" s="213"/>
      <c r="AY369" s="213"/>
      <c r="AZ369" s="213"/>
      <c r="BA369" s="213"/>
      <c r="BB369" s="213"/>
    </row>
    <row r="370" ht="15.75" customHeight="1">
      <c r="A370" s="213"/>
      <c r="B370" s="213"/>
      <c r="C370" s="213"/>
      <c r="D370" s="213"/>
      <c r="E370" s="213"/>
      <c r="F370" s="213"/>
      <c r="G370" s="213"/>
      <c r="H370" s="213"/>
      <c r="I370" s="213"/>
      <c r="J370" s="213"/>
      <c r="K370" s="215"/>
      <c r="L370" s="213"/>
      <c r="M370" s="215"/>
      <c r="N370" s="213"/>
      <c r="O370" s="213"/>
      <c r="P370" s="213"/>
      <c r="Q370" s="213"/>
      <c r="R370" s="213"/>
      <c r="S370" s="213"/>
      <c r="T370" s="213"/>
      <c r="U370" s="213"/>
      <c r="V370" s="213"/>
      <c r="W370" s="213"/>
      <c r="X370" s="213"/>
      <c r="Y370" s="213"/>
      <c r="Z370" s="213"/>
      <c r="AA370" s="213"/>
      <c r="AB370" s="213"/>
      <c r="AC370" s="213"/>
      <c r="AD370" s="213"/>
      <c r="AE370" s="213"/>
      <c r="AF370" s="213"/>
      <c r="AG370" s="213"/>
      <c r="AH370" s="213"/>
      <c r="AI370" s="213"/>
      <c r="AJ370" s="213"/>
      <c r="AK370" s="213"/>
      <c r="AL370" s="213"/>
      <c r="AM370" s="213"/>
      <c r="AN370" s="213"/>
      <c r="AO370" s="213"/>
      <c r="AP370" s="213"/>
      <c r="AQ370" s="213"/>
      <c r="AR370" s="213"/>
      <c r="AS370" s="213"/>
      <c r="AT370" s="213"/>
      <c r="AU370" s="213"/>
      <c r="AV370" s="213"/>
      <c r="AW370" s="213"/>
      <c r="AX370" s="213"/>
      <c r="AY370" s="213"/>
      <c r="AZ370" s="213"/>
      <c r="BA370" s="213"/>
      <c r="BB370" s="213"/>
    </row>
    <row r="371" ht="15.75" customHeight="1">
      <c r="A371" s="213"/>
      <c r="B371" s="213"/>
      <c r="C371" s="213"/>
      <c r="D371" s="213"/>
      <c r="E371" s="213"/>
      <c r="F371" s="213"/>
      <c r="G371" s="213"/>
      <c r="H371" s="213"/>
      <c r="I371" s="213"/>
      <c r="J371" s="213"/>
      <c r="K371" s="215"/>
      <c r="L371" s="213"/>
      <c r="M371" s="215"/>
      <c r="N371" s="213"/>
      <c r="O371" s="213"/>
      <c r="P371" s="213"/>
      <c r="Q371" s="213"/>
      <c r="R371" s="213"/>
      <c r="S371" s="213"/>
      <c r="T371" s="213"/>
      <c r="U371" s="213"/>
      <c r="V371" s="213"/>
      <c r="W371" s="213"/>
      <c r="X371" s="213"/>
      <c r="Y371" s="213"/>
      <c r="Z371" s="213"/>
      <c r="AA371" s="213"/>
      <c r="AB371" s="213"/>
      <c r="AC371" s="213"/>
      <c r="AD371" s="213"/>
      <c r="AE371" s="213"/>
      <c r="AF371" s="213"/>
      <c r="AG371" s="213"/>
      <c r="AH371" s="213"/>
      <c r="AI371" s="213"/>
      <c r="AJ371" s="213"/>
      <c r="AK371" s="213"/>
      <c r="AL371" s="213"/>
      <c r="AM371" s="213"/>
      <c r="AN371" s="213"/>
      <c r="AO371" s="213"/>
      <c r="AP371" s="213"/>
      <c r="AQ371" s="213"/>
      <c r="AR371" s="213"/>
      <c r="AS371" s="213"/>
      <c r="AT371" s="213"/>
      <c r="AU371" s="213"/>
      <c r="AV371" s="213"/>
      <c r="AW371" s="213"/>
      <c r="AX371" s="213"/>
      <c r="AY371" s="213"/>
      <c r="AZ371" s="213"/>
      <c r="BA371" s="213"/>
      <c r="BB371" s="213"/>
    </row>
    <row r="372" ht="15.75" customHeight="1">
      <c r="A372" s="213"/>
      <c r="B372" s="213"/>
      <c r="C372" s="213"/>
      <c r="D372" s="213"/>
      <c r="E372" s="213"/>
      <c r="F372" s="213"/>
      <c r="G372" s="213"/>
      <c r="H372" s="213"/>
      <c r="I372" s="213"/>
      <c r="J372" s="213"/>
      <c r="K372" s="215"/>
      <c r="L372" s="213"/>
      <c r="M372" s="215"/>
      <c r="N372" s="213"/>
      <c r="O372" s="213"/>
      <c r="P372" s="213"/>
      <c r="Q372" s="213"/>
      <c r="R372" s="213"/>
      <c r="S372" s="213"/>
      <c r="T372" s="213"/>
      <c r="U372" s="213"/>
      <c r="V372" s="213"/>
      <c r="W372" s="213"/>
      <c r="X372" s="213"/>
      <c r="Y372" s="213"/>
      <c r="Z372" s="213"/>
      <c r="AA372" s="213"/>
      <c r="AB372" s="213"/>
      <c r="AC372" s="213"/>
      <c r="AD372" s="213"/>
      <c r="AE372" s="213"/>
      <c r="AF372" s="213"/>
      <c r="AG372" s="213"/>
      <c r="AH372" s="213"/>
      <c r="AI372" s="213"/>
      <c r="AJ372" s="213"/>
      <c r="AK372" s="213"/>
      <c r="AL372" s="213"/>
      <c r="AM372" s="213"/>
      <c r="AN372" s="213"/>
      <c r="AO372" s="213"/>
      <c r="AP372" s="213"/>
      <c r="AQ372" s="213"/>
      <c r="AR372" s="213"/>
      <c r="AS372" s="213"/>
      <c r="AT372" s="213"/>
      <c r="AU372" s="213"/>
      <c r="AV372" s="213"/>
      <c r="AW372" s="213"/>
      <c r="AX372" s="213"/>
      <c r="AY372" s="213"/>
      <c r="AZ372" s="213"/>
      <c r="BA372" s="213"/>
      <c r="BB372" s="213"/>
    </row>
    <row r="373" ht="15.75" customHeight="1">
      <c r="A373" s="213"/>
      <c r="B373" s="213"/>
      <c r="C373" s="213"/>
      <c r="D373" s="213"/>
      <c r="E373" s="213"/>
      <c r="F373" s="213"/>
      <c r="G373" s="213"/>
      <c r="H373" s="213"/>
      <c r="I373" s="213"/>
      <c r="J373" s="213"/>
      <c r="K373" s="215"/>
      <c r="L373" s="213"/>
      <c r="M373" s="215"/>
      <c r="N373" s="213"/>
      <c r="O373" s="213"/>
      <c r="P373" s="213"/>
      <c r="Q373" s="213"/>
      <c r="R373" s="213"/>
      <c r="S373" s="213"/>
      <c r="T373" s="213"/>
      <c r="U373" s="213"/>
      <c r="V373" s="213"/>
      <c r="W373" s="213"/>
      <c r="X373" s="213"/>
      <c r="Y373" s="213"/>
      <c r="Z373" s="213"/>
      <c r="AA373" s="213"/>
      <c r="AB373" s="213"/>
      <c r="AC373" s="213"/>
      <c r="AD373" s="213"/>
      <c r="AE373" s="213"/>
      <c r="AF373" s="213"/>
      <c r="AG373" s="213"/>
      <c r="AH373" s="213"/>
      <c r="AI373" s="213"/>
      <c r="AJ373" s="213"/>
      <c r="AK373" s="213"/>
      <c r="AL373" s="213"/>
      <c r="AM373" s="213"/>
      <c r="AN373" s="213"/>
      <c r="AO373" s="213"/>
      <c r="AP373" s="213"/>
      <c r="AQ373" s="213"/>
      <c r="AR373" s="213"/>
      <c r="AS373" s="213"/>
      <c r="AT373" s="213"/>
      <c r="AU373" s="213"/>
      <c r="AV373" s="213"/>
      <c r="AW373" s="213"/>
      <c r="AX373" s="213"/>
      <c r="AY373" s="213"/>
      <c r="AZ373" s="213"/>
      <c r="BA373" s="213"/>
      <c r="BB373" s="213"/>
    </row>
    <row r="374" ht="15.75" customHeight="1">
      <c r="A374" s="213"/>
      <c r="B374" s="213"/>
      <c r="C374" s="213"/>
      <c r="D374" s="213"/>
      <c r="E374" s="213"/>
      <c r="F374" s="213"/>
      <c r="G374" s="213"/>
      <c r="H374" s="213"/>
      <c r="I374" s="213"/>
      <c r="J374" s="213"/>
      <c r="K374" s="215"/>
      <c r="L374" s="213"/>
      <c r="M374" s="215"/>
      <c r="N374" s="213"/>
      <c r="O374" s="213"/>
      <c r="P374" s="213"/>
      <c r="Q374" s="213"/>
      <c r="R374" s="213"/>
      <c r="S374" s="213"/>
      <c r="T374" s="213"/>
      <c r="U374" s="213"/>
      <c r="V374" s="213"/>
      <c r="W374" s="213"/>
      <c r="X374" s="213"/>
      <c r="Y374" s="213"/>
      <c r="Z374" s="213"/>
      <c r="AA374" s="213"/>
      <c r="AB374" s="213"/>
      <c r="AC374" s="213"/>
      <c r="AD374" s="213"/>
      <c r="AE374" s="213"/>
      <c r="AF374" s="213"/>
      <c r="AG374" s="213"/>
      <c r="AH374" s="213"/>
      <c r="AI374" s="213"/>
      <c r="AJ374" s="213"/>
      <c r="AK374" s="213"/>
      <c r="AL374" s="213"/>
      <c r="AM374" s="213"/>
      <c r="AN374" s="213"/>
      <c r="AO374" s="213"/>
      <c r="AP374" s="213"/>
      <c r="AQ374" s="213"/>
      <c r="AR374" s="213"/>
      <c r="AS374" s="213"/>
      <c r="AT374" s="213"/>
      <c r="AU374" s="213"/>
      <c r="AV374" s="213"/>
      <c r="AW374" s="213"/>
      <c r="AX374" s="213"/>
      <c r="AY374" s="213"/>
      <c r="AZ374" s="213"/>
      <c r="BA374" s="213"/>
      <c r="BB374" s="213"/>
    </row>
    <row r="375" ht="15.75" customHeight="1">
      <c r="A375" s="213"/>
      <c r="B375" s="213"/>
      <c r="C375" s="213"/>
      <c r="D375" s="213"/>
      <c r="E375" s="213"/>
      <c r="F375" s="213"/>
      <c r="G375" s="213"/>
      <c r="H375" s="213"/>
      <c r="I375" s="213"/>
      <c r="J375" s="213"/>
      <c r="K375" s="215"/>
      <c r="L375" s="213"/>
      <c r="M375" s="215"/>
      <c r="N375" s="213"/>
      <c r="O375" s="213"/>
      <c r="P375" s="213"/>
      <c r="Q375" s="213"/>
      <c r="R375" s="213"/>
      <c r="S375" s="213"/>
      <c r="T375" s="213"/>
      <c r="U375" s="213"/>
      <c r="V375" s="213"/>
      <c r="W375" s="213"/>
      <c r="X375" s="213"/>
      <c r="Y375" s="213"/>
      <c r="Z375" s="213"/>
      <c r="AA375" s="213"/>
      <c r="AB375" s="213"/>
      <c r="AC375" s="213"/>
      <c r="AD375" s="213"/>
      <c r="AE375" s="213"/>
      <c r="AF375" s="213"/>
      <c r="AG375" s="213"/>
      <c r="AH375" s="213"/>
      <c r="AI375" s="213"/>
      <c r="AJ375" s="213"/>
      <c r="AK375" s="213"/>
      <c r="AL375" s="213"/>
      <c r="AM375" s="213"/>
      <c r="AN375" s="213"/>
      <c r="AO375" s="213"/>
      <c r="AP375" s="213"/>
      <c r="AQ375" s="213"/>
      <c r="AR375" s="213"/>
      <c r="AS375" s="213"/>
      <c r="AT375" s="213"/>
      <c r="AU375" s="213"/>
      <c r="AV375" s="213"/>
      <c r="AW375" s="213"/>
      <c r="AX375" s="213"/>
      <c r="AY375" s="213"/>
      <c r="AZ375" s="213"/>
      <c r="BA375" s="213"/>
      <c r="BB375" s="213"/>
    </row>
    <row r="376" ht="15.75" customHeight="1">
      <c r="A376" s="213"/>
      <c r="B376" s="213"/>
      <c r="C376" s="213"/>
      <c r="D376" s="213"/>
      <c r="E376" s="213"/>
      <c r="F376" s="213"/>
      <c r="G376" s="213"/>
      <c r="H376" s="213"/>
      <c r="I376" s="213"/>
      <c r="J376" s="213"/>
      <c r="K376" s="215"/>
      <c r="L376" s="213"/>
      <c r="M376" s="215"/>
      <c r="N376" s="213"/>
      <c r="O376" s="213"/>
      <c r="P376" s="213"/>
      <c r="Q376" s="213"/>
      <c r="R376" s="213"/>
      <c r="S376" s="213"/>
      <c r="T376" s="213"/>
      <c r="U376" s="213"/>
      <c r="V376" s="213"/>
      <c r="W376" s="213"/>
      <c r="X376" s="213"/>
      <c r="Y376" s="213"/>
      <c r="Z376" s="213"/>
      <c r="AA376" s="213"/>
      <c r="AB376" s="213"/>
      <c r="AC376" s="213"/>
      <c r="AD376" s="213"/>
      <c r="AE376" s="213"/>
      <c r="AF376" s="213"/>
      <c r="AG376" s="213"/>
      <c r="AH376" s="213"/>
      <c r="AI376" s="213"/>
      <c r="AJ376" s="213"/>
      <c r="AK376" s="213"/>
      <c r="AL376" s="213"/>
      <c r="AM376" s="213"/>
      <c r="AN376" s="213"/>
      <c r="AO376" s="213"/>
      <c r="AP376" s="213"/>
      <c r="AQ376" s="213"/>
      <c r="AR376" s="213"/>
      <c r="AS376" s="213"/>
      <c r="AT376" s="213"/>
      <c r="AU376" s="213"/>
      <c r="AV376" s="213"/>
      <c r="AW376" s="213"/>
      <c r="AX376" s="213"/>
      <c r="AY376" s="213"/>
      <c r="AZ376" s="213"/>
      <c r="BA376" s="213"/>
      <c r="BB376" s="213"/>
    </row>
    <row r="377" ht="15.75" customHeight="1">
      <c r="A377" s="213"/>
      <c r="B377" s="213"/>
      <c r="C377" s="213"/>
      <c r="D377" s="213"/>
      <c r="E377" s="213"/>
      <c r="F377" s="213"/>
      <c r="G377" s="213"/>
      <c r="H377" s="213"/>
      <c r="I377" s="213"/>
      <c r="J377" s="213"/>
      <c r="K377" s="215"/>
      <c r="L377" s="213"/>
      <c r="M377" s="215"/>
      <c r="N377" s="213"/>
      <c r="O377" s="213"/>
      <c r="P377" s="213"/>
      <c r="Q377" s="213"/>
      <c r="R377" s="213"/>
      <c r="S377" s="213"/>
      <c r="T377" s="213"/>
      <c r="U377" s="213"/>
      <c r="V377" s="213"/>
      <c r="W377" s="213"/>
      <c r="X377" s="213"/>
      <c r="Y377" s="213"/>
      <c r="Z377" s="213"/>
      <c r="AA377" s="213"/>
      <c r="AB377" s="213"/>
      <c r="AC377" s="213"/>
      <c r="AD377" s="213"/>
      <c r="AE377" s="213"/>
      <c r="AF377" s="213"/>
      <c r="AG377" s="213"/>
      <c r="AH377" s="213"/>
      <c r="AI377" s="213"/>
      <c r="AJ377" s="213"/>
      <c r="AK377" s="213"/>
      <c r="AL377" s="213"/>
      <c r="AM377" s="213"/>
      <c r="AN377" s="213"/>
      <c r="AO377" s="213"/>
      <c r="AP377" s="213"/>
      <c r="AQ377" s="213"/>
      <c r="AR377" s="213"/>
      <c r="AS377" s="213"/>
      <c r="AT377" s="213"/>
      <c r="AU377" s="213"/>
      <c r="AV377" s="213"/>
      <c r="AW377" s="213"/>
      <c r="AX377" s="213"/>
      <c r="AY377" s="213"/>
      <c r="AZ377" s="213"/>
      <c r="BA377" s="213"/>
      <c r="BB377" s="213"/>
    </row>
    <row r="378" ht="15.75" customHeight="1">
      <c r="A378" s="213"/>
      <c r="B378" s="213"/>
      <c r="C378" s="213"/>
      <c r="D378" s="213"/>
      <c r="E378" s="213"/>
      <c r="F378" s="213"/>
      <c r="G378" s="213"/>
      <c r="H378" s="213"/>
      <c r="I378" s="213"/>
      <c r="J378" s="213"/>
      <c r="K378" s="215"/>
      <c r="L378" s="213"/>
      <c r="M378" s="215"/>
      <c r="N378" s="213"/>
      <c r="O378" s="213"/>
      <c r="P378" s="213"/>
      <c r="Q378" s="213"/>
      <c r="R378" s="213"/>
      <c r="S378" s="213"/>
      <c r="T378" s="213"/>
      <c r="U378" s="213"/>
      <c r="V378" s="213"/>
      <c r="W378" s="213"/>
      <c r="X378" s="213"/>
      <c r="Y378" s="213"/>
      <c r="Z378" s="213"/>
      <c r="AA378" s="213"/>
      <c r="AB378" s="213"/>
      <c r="AC378" s="213"/>
      <c r="AD378" s="213"/>
      <c r="AE378" s="213"/>
      <c r="AF378" s="213"/>
      <c r="AG378" s="213"/>
      <c r="AH378" s="213"/>
      <c r="AI378" s="213"/>
      <c r="AJ378" s="213"/>
      <c r="AK378" s="213"/>
      <c r="AL378" s="213"/>
      <c r="AM378" s="213"/>
      <c r="AN378" s="213"/>
      <c r="AO378" s="213"/>
      <c r="AP378" s="213"/>
      <c r="AQ378" s="213"/>
      <c r="AR378" s="213"/>
      <c r="AS378" s="213"/>
      <c r="AT378" s="213"/>
      <c r="AU378" s="213"/>
      <c r="AV378" s="213"/>
      <c r="AW378" s="213"/>
      <c r="AX378" s="213"/>
      <c r="AY378" s="213"/>
      <c r="AZ378" s="213"/>
      <c r="BA378" s="213"/>
      <c r="BB378" s="213"/>
    </row>
    <row r="379" ht="15.75" customHeight="1">
      <c r="A379" s="213"/>
      <c r="B379" s="213"/>
      <c r="C379" s="213"/>
      <c r="D379" s="213"/>
      <c r="E379" s="213"/>
      <c r="F379" s="213"/>
      <c r="G379" s="213"/>
      <c r="H379" s="213"/>
      <c r="I379" s="213"/>
      <c r="J379" s="213"/>
      <c r="K379" s="215"/>
      <c r="L379" s="213"/>
      <c r="M379" s="215"/>
      <c r="N379" s="213"/>
      <c r="O379" s="213"/>
      <c r="P379" s="213"/>
      <c r="Q379" s="213"/>
      <c r="R379" s="213"/>
      <c r="S379" s="213"/>
      <c r="T379" s="213"/>
      <c r="U379" s="213"/>
      <c r="V379" s="213"/>
      <c r="W379" s="213"/>
      <c r="X379" s="213"/>
      <c r="Y379" s="213"/>
      <c r="Z379" s="213"/>
      <c r="AA379" s="213"/>
      <c r="AB379" s="213"/>
      <c r="AC379" s="213"/>
      <c r="AD379" s="213"/>
      <c r="AE379" s="213"/>
      <c r="AF379" s="213"/>
      <c r="AG379" s="213"/>
      <c r="AH379" s="213"/>
      <c r="AI379" s="213"/>
      <c r="AJ379" s="213"/>
      <c r="AK379" s="213"/>
      <c r="AL379" s="213"/>
      <c r="AM379" s="213"/>
      <c r="AN379" s="213"/>
      <c r="AO379" s="213"/>
      <c r="AP379" s="213"/>
      <c r="AQ379" s="213"/>
      <c r="AR379" s="213"/>
      <c r="AS379" s="213"/>
      <c r="AT379" s="213"/>
      <c r="AU379" s="213"/>
      <c r="AV379" s="213"/>
      <c r="AW379" s="213"/>
      <c r="AX379" s="213"/>
      <c r="AY379" s="213"/>
      <c r="AZ379" s="213"/>
      <c r="BA379" s="213"/>
      <c r="BB379" s="213"/>
    </row>
    <row r="380" ht="15.75" customHeight="1">
      <c r="A380" s="213"/>
      <c r="B380" s="213"/>
      <c r="C380" s="213"/>
      <c r="D380" s="213"/>
      <c r="E380" s="213"/>
      <c r="F380" s="213"/>
      <c r="G380" s="213"/>
      <c r="H380" s="213"/>
      <c r="I380" s="213"/>
      <c r="J380" s="213"/>
      <c r="K380" s="215"/>
      <c r="L380" s="213"/>
      <c r="M380" s="215"/>
      <c r="N380" s="213"/>
      <c r="O380" s="213"/>
      <c r="P380" s="213"/>
      <c r="Q380" s="213"/>
      <c r="R380" s="213"/>
      <c r="S380" s="213"/>
      <c r="T380" s="213"/>
      <c r="U380" s="213"/>
      <c r="V380" s="213"/>
      <c r="W380" s="213"/>
      <c r="X380" s="213"/>
      <c r="Y380" s="213"/>
      <c r="Z380" s="213"/>
      <c r="AA380" s="213"/>
      <c r="AB380" s="213"/>
      <c r="AC380" s="213"/>
      <c r="AD380" s="213"/>
      <c r="AE380" s="213"/>
      <c r="AF380" s="213"/>
      <c r="AG380" s="213"/>
      <c r="AH380" s="213"/>
      <c r="AI380" s="213"/>
      <c r="AJ380" s="213"/>
      <c r="AK380" s="213"/>
      <c r="AL380" s="213"/>
      <c r="AM380" s="213"/>
      <c r="AN380" s="213"/>
      <c r="AO380" s="213"/>
      <c r="AP380" s="213"/>
      <c r="AQ380" s="213"/>
      <c r="AR380" s="213"/>
      <c r="AS380" s="213"/>
      <c r="AT380" s="213"/>
      <c r="AU380" s="213"/>
      <c r="AV380" s="213"/>
      <c r="AW380" s="213"/>
      <c r="AX380" s="213"/>
      <c r="AY380" s="213"/>
      <c r="AZ380" s="213"/>
      <c r="BA380" s="213"/>
      <c r="BB380" s="213"/>
    </row>
    <row r="381" ht="15.75" customHeight="1">
      <c r="A381" s="213"/>
      <c r="B381" s="213"/>
      <c r="C381" s="213"/>
      <c r="D381" s="213"/>
      <c r="E381" s="213"/>
      <c r="F381" s="213"/>
      <c r="G381" s="213"/>
      <c r="H381" s="213"/>
      <c r="I381" s="213"/>
      <c r="J381" s="213"/>
      <c r="K381" s="215"/>
      <c r="L381" s="213"/>
      <c r="M381" s="215"/>
      <c r="N381" s="213"/>
      <c r="O381" s="213"/>
      <c r="P381" s="213"/>
      <c r="Q381" s="213"/>
      <c r="R381" s="213"/>
      <c r="S381" s="213"/>
      <c r="T381" s="213"/>
      <c r="U381" s="213"/>
      <c r="V381" s="213"/>
      <c r="W381" s="213"/>
      <c r="X381" s="213"/>
      <c r="Y381" s="213"/>
      <c r="Z381" s="213"/>
      <c r="AA381" s="213"/>
      <c r="AB381" s="213"/>
      <c r="AC381" s="213"/>
      <c r="AD381" s="213"/>
      <c r="AE381" s="213"/>
      <c r="AF381" s="213"/>
      <c r="AG381" s="213"/>
      <c r="AH381" s="213"/>
      <c r="AI381" s="213"/>
      <c r="AJ381" s="213"/>
      <c r="AK381" s="213"/>
      <c r="AL381" s="213"/>
      <c r="AM381" s="213"/>
      <c r="AN381" s="213"/>
      <c r="AO381" s="213"/>
      <c r="AP381" s="213"/>
      <c r="AQ381" s="213"/>
      <c r="AR381" s="213"/>
      <c r="AS381" s="213"/>
      <c r="AT381" s="213"/>
      <c r="AU381" s="213"/>
      <c r="AV381" s="213"/>
      <c r="AW381" s="213"/>
      <c r="AX381" s="213"/>
      <c r="AY381" s="213"/>
      <c r="AZ381" s="213"/>
      <c r="BA381" s="213"/>
      <c r="BB381" s="213"/>
    </row>
    <row r="382" ht="15.75" customHeight="1">
      <c r="A382" s="213"/>
      <c r="B382" s="213"/>
      <c r="C382" s="213"/>
      <c r="D382" s="213"/>
      <c r="E382" s="213"/>
      <c r="F382" s="213"/>
      <c r="G382" s="213"/>
      <c r="H382" s="213"/>
      <c r="I382" s="213"/>
      <c r="J382" s="213"/>
      <c r="K382" s="215"/>
      <c r="L382" s="213"/>
      <c r="M382" s="215"/>
      <c r="N382" s="213"/>
      <c r="O382" s="213"/>
      <c r="P382" s="213"/>
      <c r="Q382" s="213"/>
      <c r="R382" s="213"/>
      <c r="S382" s="213"/>
      <c r="T382" s="213"/>
      <c r="U382" s="213"/>
      <c r="V382" s="213"/>
      <c r="W382" s="213"/>
      <c r="X382" s="213"/>
      <c r="Y382" s="213"/>
      <c r="Z382" s="213"/>
      <c r="AA382" s="213"/>
      <c r="AB382" s="213"/>
      <c r="AC382" s="213"/>
      <c r="AD382" s="213"/>
      <c r="AE382" s="213"/>
      <c r="AF382" s="213"/>
      <c r="AG382" s="213"/>
      <c r="AH382" s="213"/>
      <c r="AI382" s="213"/>
      <c r="AJ382" s="213"/>
      <c r="AK382" s="213"/>
      <c r="AL382" s="213"/>
      <c r="AM382" s="213"/>
      <c r="AN382" s="213"/>
      <c r="AO382" s="213"/>
      <c r="AP382" s="213"/>
      <c r="AQ382" s="213"/>
      <c r="AR382" s="213"/>
      <c r="AS382" s="213"/>
      <c r="AT382" s="213"/>
      <c r="AU382" s="213"/>
      <c r="AV382" s="213"/>
      <c r="AW382" s="213"/>
      <c r="AX382" s="213"/>
      <c r="AY382" s="213"/>
      <c r="AZ382" s="213"/>
      <c r="BA382" s="213"/>
      <c r="BB382" s="213"/>
    </row>
    <row r="383" ht="15.75" customHeight="1">
      <c r="A383" s="213"/>
      <c r="B383" s="213"/>
      <c r="C383" s="213"/>
      <c r="D383" s="213"/>
      <c r="E383" s="213"/>
      <c r="F383" s="213"/>
      <c r="G383" s="213"/>
      <c r="H383" s="213"/>
      <c r="I383" s="213"/>
      <c r="J383" s="213"/>
      <c r="K383" s="215"/>
      <c r="L383" s="213"/>
      <c r="M383" s="215"/>
      <c r="N383" s="213"/>
      <c r="O383" s="213"/>
      <c r="P383" s="213"/>
      <c r="Q383" s="213"/>
      <c r="R383" s="213"/>
      <c r="S383" s="213"/>
      <c r="T383" s="213"/>
      <c r="U383" s="213"/>
      <c r="V383" s="213"/>
      <c r="W383" s="213"/>
      <c r="X383" s="213"/>
      <c r="Y383" s="213"/>
      <c r="Z383" s="213"/>
      <c r="AA383" s="213"/>
      <c r="AB383" s="213"/>
      <c r="AC383" s="213"/>
      <c r="AD383" s="213"/>
      <c r="AE383" s="213"/>
      <c r="AF383" s="213"/>
      <c r="AG383" s="213"/>
      <c r="AH383" s="213"/>
      <c r="AI383" s="213"/>
      <c r="AJ383" s="213"/>
      <c r="AK383" s="213"/>
      <c r="AL383" s="213"/>
      <c r="AM383" s="213"/>
      <c r="AN383" s="213"/>
      <c r="AO383" s="213"/>
      <c r="AP383" s="213"/>
      <c r="AQ383" s="213"/>
      <c r="AR383" s="213"/>
      <c r="AS383" s="213"/>
      <c r="AT383" s="213"/>
      <c r="AU383" s="213"/>
      <c r="AV383" s="213"/>
      <c r="AW383" s="213"/>
      <c r="AX383" s="213"/>
      <c r="AY383" s="213"/>
      <c r="AZ383" s="213"/>
      <c r="BA383" s="213"/>
      <c r="BB383" s="213"/>
    </row>
    <row r="384" ht="15.75" customHeight="1">
      <c r="A384" s="213"/>
      <c r="B384" s="213"/>
      <c r="C384" s="213"/>
      <c r="D384" s="213"/>
      <c r="E384" s="213"/>
      <c r="F384" s="213"/>
      <c r="G384" s="213"/>
      <c r="H384" s="213"/>
      <c r="I384" s="213"/>
      <c r="J384" s="213"/>
      <c r="K384" s="215"/>
      <c r="L384" s="213"/>
      <c r="M384" s="215"/>
      <c r="N384" s="213"/>
      <c r="O384" s="213"/>
      <c r="P384" s="213"/>
      <c r="Q384" s="213"/>
      <c r="R384" s="213"/>
      <c r="S384" s="213"/>
      <c r="T384" s="213"/>
      <c r="U384" s="213"/>
      <c r="V384" s="213"/>
      <c r="W384" s="213"/>
      <c r="X384" s="213"/>
      <c r="Y384" s="213"/>
      <c r="Z384" s="213"/>
      <c r="AA384" s="213"/>
      <c r="AB384" s="213"/>
      <c r="AC384" s="213"/>
      <c r="AD384" s="213"/>
      <c r="AE384" s="213"/>
      <c r="AF384" s="213"/>
      <c r="AG384" s="213"/>
      <c r="AH384" s="213"/>
      <c r="AI384" s="213"/>
      <c r="AJ384" s="213"/>
      <c r="AK384" s="213"/>
      <c r="AL384" s="213"/>
      <c r="AM384" s="213"/>
      <c r="AN384" s="213"/>
      <c r="AO384" s="213"/>
      <c r="AP384" s="213"/>
      <c r="AQ384" s="213"/>
      <c r="AR384" s="213"/>
      <c r="AS384" s="213"/>
      <c r="AT384" s="213"/>
      <c r="AU384" s="213"/>
      <c r="AV384" s="213"/>
      <c r="AW384" s="213"/>
      <c r="AX384" s="213"/>
      <c r="AY384" s="213"/>
      <c r="AZ384" s="213"/>
      <c r="BA384" s="213"/>
      <c r="BB384" s="213"/>
    </row>
    <row r="385" ht="15.75" customHeight="1">
      <c r="A385" s="213"/>
      <c r="B385" s="213"/>
      <c r="C385" s="213"/>
      <c r="D385" s="213"/>
      <c r="E385" s="213"/>
      <c r="F385" s="213"/>
      <c r="G385" s="213"/>
      <c r="H385" s="213"/>
      <c r="I385" s="213"/>
      <c r="J385" s="213"/>
      <c r="K385" s="215"/>
      <c r="L385" s="213"/>
      <c r="M385" s="215"/>
      <c r="N385" s="213"/>
      <c r="O385" s="213"/>
      <c r="P385" s="213"/>
      <c r="Q385" s="213"/>
      <c r="R385" s="213"/>
      <c r="S385" s="213"/>
      <c r="T385" s="213"/>
      <c r="U385" s="213"/>
      <c r="V385" s="213"/>
      <c r="W385" s="213"/>
      <c r="X385" s="213"/>
      <c r="Y385" s="213"/>
      <c r="Z385" s="213"/>
      <c r="AA385" s="213"/>
      <c r="AB385" s="213"/>
      <c r="AC385" s="213"/>
      <c r="AD385" s="213"/>
      <c r="AE385" s="213"/>
      <c r="AF385" s="213"/>
      <c r="AG385" s="213"/>
      <c r="AH385" s="213"/>
      <c r="AI385" s="213"/>
      <c r="AJ385" s="213"/>
      <c r="AK385" s="213"/>
      <c r="AL385" s="213"/>
      <c r="AM385" s="213"/>
      <c r="AN385" s="213"/>
      <c r="AO385" s="213"/>
      <c r="AP385" s="213"/>
      <c r="AQ385" s="213"/>
      <c r="AR385" s="213"/>
      <c r="AS385" s="213"/>
      <c r="AT385" s="213"/>
      <c r="AU385" s="213"/>
      <c r="AV385" s="213"/>
      <c r="AW385" s="213"/>
      <c r="AX385" s="213"/>
      <c r="AY385" s="213"/>
      <c r="AZ385" s="213"/>
      <c r="BA385" s="213"/>
      <c r="BB385" s="213"/>
    </row>
    <row r="386" ht="15.75" customHeight="1">
      <c r="A386" s="213"/>
      <c r="B386" s="213"/>
      <c r="C386" s="213"/>
      <c r="D386" s="213"/>
      <c r="E386" s="213"/>
      <c r="F386" s="213"/>
      <c r="G386" s="213"/>
      <c r="H386" s="213"/>
      <c r="I386" s="213"/>
      <c r="J386" s="213"/>
      <c r="K386" s="215"/>
      <c r="L386" s="213"/>
      <c r="M386" s="215"/>
      <c r="N386" s="213"/>
      <c r="O386" s="213"/>
      <c r="P386" s="213"/>
      <c r="Q386" s="213"/>
      <c r="R386" s="213"/>
      <c r="S386" s="213"/>
      <c r="T386" s="213"/>
      <c r="U386" s="213"/>
      <c r="V386" s="213"/>
      <c r="W386" s="213"/>
      <c r="X386" s="213"/>
      <c r="Y386" s="213"/>
      <c r="Z386" s="213"/>
      <c r="AA386" s="213"/>
      <c r="AB386" s="213"/>
      <c r="AC386" s="213"/>
      <c r="AD386" s="213"/>
      <c r="AE386" s="213"/>
      <c r="AF386" s="213"/>
      <c r="AG386" s="213"/>
      <c r="AH386" s="213"/>
      <c r="AI386" s="213"/>
      <c r="AJ386" s="213"/>
      <c r="AK386" s="213"/>
      <c r="AL386" s="213"/>
      <c r="AM386" s="213"/>
      <c r="AN386" s="213"/>
      <c r="AO386" s="213"/>
      <c r="AP386" s="213"/>
      <c r="AQ386" s="213"/>
      <c r="AR386" s="213"/>
      <c r="AS386" s="213"/>
      <c r="AT386" s="213"/>
      <c r="AU386" s="213"/>
      <c r="AV386" s="213"/>
      <c r="AW386" s="213"/>
      <c r="AX386" s="213"/>
      <c r="AY386" s="213"/>
      <c r="AZ386" s="213"/>
      <c r="BA386" s="213"/>
      <c r="BB386" s="213"/>
    </row>
    <row r="387" ht="15.75" customHeight="1">
      <c r="A387" s="213"/>
      <c r="B387" s="213"/>
      <c r="C387" s="213"/>
      <c r="D387" s="213"/>
      <c r="E387" s="213"/>
      <c r="F387" s="213"/>
      <c r="G387" s="213"/>
      <c r="H387" s="213"/>
      <c r="I387" s="213"/>
      <c r="J387" s="213"/>
      <c r="K387" s="215"/>
      <c r="L387" s="213"/>
      <c r="M387" s="215"/>
      <c r="N387" s="213"/>
      <c r="O387" s="213"/>
      <c r="P387" s="213"/>
      <c r="Q387" s="213"/>
      <c r="R387" s="213"/>
      <c r="S387" s="213"/>
      <c r="T387" s="213"/>
      <c r="U387" s="213"/>
      <c r="V387" s="213"/>
      <c r="W387" s="213"/>
      <c r="X387" s="213"/>
      <c r="Y387" s="213"/>
      <c r="Z387" s="213"/>
      <c r="AA387" s="213"/>
      <c r="AB387" s="213"/>
      <c r="AC387" s="213"/>
      <c r="AD387" s="213"/>
      <c r="AE387" s="213"/>
      <c r="AF387" s="213"/>
      <c r="AG387" s="213"/>
      <c r="AH387" s="213"/>
      <c r="AI387" s="213"/>
      <c r="AJ387" s="213"/>
      <c r="AK387" s="213"/>
      <c r="AL387" s="213"/>
      <c r="AM387" s="213"/>
      <c r="AN387" s="213"/>
      <c r="AO387" s="213"/>
      <c r="AP387" s="213"/>
      <c r="AQ387" s="213"/>
      <c r="AR387" s="213"/>
      <c r="AS387" s="213"/>
      <c r="AT387" s="213"/>
      <c r="AU387" s="213"/>
      <c r="AV387" s="213"/>
      <c r="AW387" s="213"/>
      <c r="AX387" s="213"/>
      <c r="AY387" s="213"/>
      <c r="AZ387" s="213"/>
      <c r="BA387" s="213"/>
      <c r="BB387" s="213"/>
    </row>
    <row r="388" ht="15.75" customHeight="1">
      <c r="A388" s="213"/>
      <c r="B388" s="213"/>
      <c r="C388" s="213"/>
      <c r="D388" s="213"/>
      <c r="E388" s="213"/>
      <c r="F388" s="213"/>
      <c r="G388" s="213"/>
      <c r="H388" s="213"/>
      <c r="I388" s="213"/>
      <c r="J388" s="213"/>
      <c r="K388" s="215"/>
      <c r="L388" s="213"/>
      <c r="M388" s="215"/>
      <c r="N388" s="213"/>
      <c r="O388" s="213"/>
      <c r="P388" s="213"/>
      <c r="Q388" s="213"/>
      <c r="R388" s="213"/>
      <c r="S388" s="213"/>
      <c r="T388" s="213"/>
      <c r="U388" s="213"/>
      <c r="V388" s="213"/>
      <c r="W388" s="213"/>
      <c r="X388" s="213"/>
      <c r="Y388" s="213"/>
      <c r="Z388" s="213"/>
      <c r="AA388" s="213"/>
      <c r="AB388" s="213"/>
      <c r="AC388" s="213"/>
      <c r="AD388" s="213"/>
      <c r="AE388" s="213"/>
      <c r="AF388" s="213"/>
      <c r="AG388" s="213"/>
      <c r="AH388" s="213"/>
      <c r="AI388" s="213"/>
      <c r="AJ388" s="213"/>
      <c r="AK388" s="213"/>
      <c r="AL388" s="213"/>
      <c r="AM388" s="213"/>
      <c r="AN388" s="213"/>
      <c r="AO388" s="213"/>
      <c r="AP388" s="213"/>
      <c r="AQ388" s="213"/>
      <c r="AR388" s="213"/>
      <c r="AS388" s="213"/>
      <c r="AT388" s="213"/>
      <c r="AU388" s="213"/>
      <c r="AV388" s="213"/>
      <c r="AW388" s="213"/>
      <c r="AX388" s="213"/>
      <c r="AY388" s="213"/>
      <c r="AZ388" s="213"/>
      <c r="BA388" s="213"/>
      <c r="BB388" s="213"/>
    </row>
    <row r="389" ht="15.75" customHeight="1">
      <c r="A389" s="213"/>
      <c r="B389" s="213"/>
      <c r="C389" s="213"/>
      <c r="D389" s="213"/>
      <c r="E389" s="213"/>
      <c r="F389" s="213"/>
      <c r="G389" s="213"/>
      <c r="H389" s="213"/>
      <c r="I389" s="213"/>
      <c r="J389" s="213"/>
      <c r="K389" s="215"/>
      <c r="L389" s="213"/>
      <c r="M389" s="215"/>
      <c r="N389" s="213"/>
      <c r="O389" s="213"/>
      <c r="P389" s="213"/>
      <c r="Q389" s="213"/>
      <c r="R389" s="213"/>
      <c r="S389" s="213"/>
      <c r="T389" s="213"/>
      <c r="U389" s="213"/>
      <c r="V389" s="213"/>
      <c r="W389" s="213"/>
      <c r="X389" s="213"/>
      <c r="Y389" s="213"/>
      <c r="Z389" s="213"/>
      <c r="AA389" s="213"/>
      <c r="AB389" s="213"/>
      <c r="AC389" s="213"/>
      <c r="AD389" s="213"/>
      <c r="AE389" s="213"/>
      <c r="AF389" s="213"/>
      <c r="AG389" s="213"/>
      <c r="AH389" s="213"/>
      <c r="AI389" s="213"/>
      <c r="AJ389" s="213"/>
      <c r="AK389" s="213"/>
      <c r="AL389" s="213"/>
      <c r="AM389" s="213"/>
      <c r="AN389" s="213"/>
      <c r="AO389" s="213"/>
      <c r="AP389" s="213"/>
      <c r="AQ389" s="213"/>
      <c r="AR389" s="213"/>
      <c r="AS389" s="213"/>
      <c r="AT389" s="213"/>
      <c r="AU389" s="213"/>
      <c r="AV389" s="213"/>
      <c r="AW389" s="213"/>
      <c r="AX389" s="213"/>
      <c r="AY389" s="213"/>
      <c r="AZ389" s="213"/>
      <c r="BA389" s="213"/>
      <c r="BB389" s="213"/>
    </row>
    <row r="390" ht="15.75" customHeight="1">
      <c r="A390" s="213"/>
      <c r="B390" s="213"/>
      <c r="C390" s="213"/>
      <c r="D390" s="213"/>
      <c r="E390" s="213"/>
      <c r="F390" s="213"/>
      <c r="G390" s="213"/>
      <c r="H390" s="213"/>
      <c r="I390" s="213"/>
      <c r="J390" s="213"/>
      <c r="K390" s="215"/>
      <c r="L390" s="213"/>
      <c r="M390" s="215"/>
      <c r="N390" s="213"/>
      <c r="O390" s="213"/>
      <c r="P390" s="213"/>
      <c r="Q390" s="213"/>
      <c r="R390" s="213"/>
      <c r="S390" s="213"/>
      <c r="T390" s="213"/>
      <c r="U390" s="213"/>
      <c r="V390" s="213"/>
      <c r="W390" s="213"/>
      <c r="X390" s="213"/>
      <c r="Y390" s="213"/>
      <c r="Z390" s="213"/>
      <c r="AA390" s="213"/>
      <c r="AB390" s="213"/>
      <c r="AC390" s="213"/>
      <c r="AD390" s="213"/>
      <c r="AE390" s="213"/>
      <c r="AF390" s="213"/>
      <c r="AG390" s="213"/>
      <c r="AH390" s="213"/>
      <c r="AI390" s="213"/>
      <c r="AJ390" s="213"/>
      <c r="AK390" s="213"/>
      <c r="AL390" s="213"/>
      <c r="AM390" s="213"/>
      <c r="AN390" s="213"/>
      <c r="AO390" s="213"/>
      <c r="AP390" s="213"/>
      <c r="AQ390" s="213"/>
      <c r="AR390" s="213"/>
      <c r="AS390" s="213"/>
      <c r="AT390" s="213"/>
      <c r="AU390" s="213"/>
      <c r="AV390" s="213"/>
      <c r="AW390" s="213"/>
      <c r="AX390" s="213"/>
      <c r="AY390" s="213"/>
      <c r="AZ390" s="213"/>
      <c r="BA390" s="213"/>
      <c r="BB390" s="213"/>
    </row>
    <row r="391" ht="15.75" customHeight="1">
      <c r="A391" s="213"/>
      <c r="B391" s="213"/>
      <c r="C391" s="213"/>
      <c r="D391" s="213"/>
      <c r="E391" s="213"/>
      <c r="F391" s="213"/>
      <c r="G391" s="213"/>
      <c r="H391" s="213"/>
      <c r="I391" s="213"/>
      <c r="J391" s="213"/>
      <c r="K391" s="215"/>
      <c r="L391" s="213"/>
      <c r="M391" s="215"/>
      <c r="N391" s="213"/>
      <c r="O391" s="213"/>
      <c r="P391" s="213"/>
      <c r="Q391" s="213"/>
      <c r="R391" s="213"/>
      <c r="S391" s="213"/>
      <c r="T391" s="213"/>
      <c r="U391" s="213"/>
      <c r="V391" s="213"/>
      <c r="W391" s="213"/>
      <c r="X391" s="213"/>
      <c r="Y391" s="213"/>
      <c r="Z391" s="213"/>
      <c r="AA391" s="213"/>
      <c r="AB391" s="213"/>
      <c r="AC391" s="213"/>
      <c r="AD391" s="213"/>
      <c r="AE391" s="213"/>
      <c r="AF391" s="213"/>
      <c r="AG391" s="213"/>
      <c r="AH391" s="213"/>
      <c r="AI391" s="213"/>
      <c r="AJ391" s="213"/>
      <c r="AK391" s="213"/>
      <c r="AL391" s="213"/>
      <c r="AM391" s="213"/>
      <c r="AN391" s="213"/>
      <c r="AO391" s="213"/>
      <c r="AP391" s="213"/>
      <c r="AQ391" s="213"/>
      <c r="AR391" s="213"/>
      <c r="AS391" s="213"/>
      <c r="AT391" s="213"/>
      <c r="AU391" s="213"/>
      <c r="AV391" s="213"/>
      <c r="AW391" s="213"/>
      <c r="AX391" s="213"/>
      <c r="AY391" s="213"/>
      <c r="AZ391" s="213"/>
      <c r="BA391" s="213"/>
      <c r="BB391" s="213"/>
    </row>
    <row r="392" ht="15.75" customHeight="1">
      <c r="A392" s="213"/>
      <c r="B392" s="213"/>
      <c r="C392" s="213"/>
      <c r="D392" s="213"/>
      <c r="E392" s="213"/>
      <c r="F392" s="213"/>
      <c r="G392" s="213"/>
      <c r="H392" s="213"/>
      <c r="I392" s="213"/>
      <c r="J392" s="213"/>
      <c r="K392" s="215"/>
      <c r="L392" s="213"/>
      <c r="M392" s="215"/>
      <c r="N392" s="213"/>
      <c r="O392" s="213"/>
      <c r="P392" s="213"/>
      <c r="Q392" s="213"/>
      <c r="R392" s="213"/>
      <c r="S392" s="213"/>
      <c r="T392" s="213"/>
      <c r="U392" s="213"/>
      <c r="V392" s="213"/>
      <c r="W392" s="213"/>
      <c r="X392" s="213"/>
      <c r="Y392" s="213"/>
      <c r="Z392" s="213"/>
      <c r="AA392" s="213"/>
      <c r="AB392" s="213"/>
      <c r="AC392" s="213"/>
      <c r="AD392" s="213"/>
      <c r="AE392" s="213"/>
      <c r="AF392" s="213"/>
      <c r="AG392" s="213"/>
      <c r="AH392" s="213"/>
      <c r="AI392" s="213"/>
      <c r="AJ392" s="213"/>
      <c r="AK392" s="213"/>
      <c r="AL392" s="213"/>
      <c r="AM392" s="213"/>
      <c r="AN392" s="213"/>
      <c r="AO392" s="213"/>
      <c r="AP392" s="213"/>
      <c r="AQ392" s="213"/>
      <c r="AR392" s="213"/>
      <c r="AS392" s="213"/>
      <c r="AT392" s="213"/>
      <c r="AU392" s="213"/>
      <c r="AV392" s="213"/>
      <c r="AW392" s="213"/>
      <c r="AX392" s="213"/>
      <c r="AY392" s="213"/>
      <c r="AZ392" s="213"/>
      <c r="BA392" s="213"/>
      <c r="BB392" s="213"/>
    </row>
    <row r="393" ht="15.75" customHeight="1">
      <c r="A393" s="213"/>
      <c r="B393" s="213"/>
      <c r="C393" s="213"/>
      <c r="D393" s="213"/>
      <c r="E393" s="213"/>
      <c r="F393" s="213"/>
      <c r="G393" s="213"/>
      <c r="H393" s="213"/>
      <c r="I393" s="213"/>
      <c r="J393" s="213"/>
      <c r="K393" s="215"/>
      <c r="L393" s="213"/>
      <c r="M393" s="215"/>
      <c r="N393" s="213"/>
      <c r="O393" s="213"/>
      <c r="P393" s="213"/>
      <c r="Q393" s="213"/>
      <c r="R393" s="213"/>
      <c r="S393" s="213"/>
      <c r="T393" s="213"/>
      <c r="U393" s="213"/>
      <c r="V393" s="213"/>
      <c r="W393" s="213"/>
      <c r="X393" s="213"/>
      <c r="Y393" s="213"/>
      <c r="Z393" s="213"/>
      <c r="AA393" s="213"/>
      <c r="AB393" s="213"/>
      <c r="AC393" s="213"/>
      <c r="AD393" s="213"/>
      <c r="AE393" s="213"/>
      <c r="AF393" s="213"/>
      <c r="AG393" s="213"/>
      <c r="AH393" s="213"/>
      <c r="AI393" s="213"/>
      <c r="AJ393" s="213"/>
      <c r="AK393" s="213"/>
      <c r="AL393" s="213"/>
      <c r="AM393" s="213"/>
      <c r="AN393" s="213"/>
      <c r="AO393" s="213"/>
      <c r="AP393" s="213"/>
      <c r="AQ393" s="213"/>
      <c r="AR393" s="213"/>
      <c r="AS393" s="213"/>
      <c r="AT393" s="213"/>
      <c r="AU393" s="213"/>
      <c r="AV393" s="213"/>
      <c r="AW393" s="213"/>
      <c r="AX393" s="213"/>
      <c r="AY393" s="213"/>
      <c r="AZ393" s="213"/>
      <c r="BA393" s="213"/>
      <c r="BB393" s="213"/>
    </row>
    <row r="394" ht="15.75" customHeight="1">
      <c r="A394" s="213"/>
      <c r="B394" s="213"/>
      <c r="C394" s="213"/>
      <c r="D394" s="213"/>
      <c r="E394" s="213"/>
      <c r="F394" s="213"/>
      <c r="G394" s="213"/>
      <c r="H394" s="213"/>
      <c r="I394" s="213"/>
      <c r="J394" s="213"/>
      <c r="K394" s="215"/>
      <c r="L394" s="213"/>
      <c r="M394" s="215"/>
      <c r="N394" s="213"/>
      <c r="O394" s="213"/>
      <c r="P394" s="213"/>
      <c r="Q394" s="213"/>
      <c r="R394" s="213"/>
      <c r="S394" s="213"/>
      <c r="T394" s="213"/>
      <c r="U394" s="213"/>
      <c r="V394" s="213"/>
      <c r="W394" s="213"/>
      <c r="X394" s="213"/>
      <c r="Y394" s="213"/>
      <c r="Z394" s="213"/>
      <c r="AA394" s="213"/>
      <c r="AB394" s="213"/>
      <c r="AC394" s="213"/>
      <c r="AD394" s="213"/>
      <c r="AE394" s="213"/>
      <c r="AF394" s="213"/>
      <c r="AG394" s="213"/>
      <c r="AH394" s="213"/>
      <c r="AI394" s="213"/>
      <c r="AJ394" s="213"/>
      <c r="AK394" s="213"/>
      <c r="AL394" s="213"/>
      <c r="AM394" s="213"/>
      <c r="AN394" s="213"/>
      <c r="AO394" s="213"/>
      <c r="AP394" s="213"/>
      <c r="AQ394" s="213"/>
      <c r="AR394" s="213"/>
      <c r="AS394" s="213"/>
      <c r="AT394" s="213"/>
      <c r="AU394" s="213"/>
      <c r="AV394" s="213"/>
      <c r="AW394" s="213"/>
      <c r="AX394" s="213"/>
      <c r="AY394" s="213"/>
      <c r="AZ394" s="213"/>
      <c r="BA394" s="213"/>
      <c r="BB394" s="213"/>
    </row>
    <row r="395" ht="15.75" customHeight="1">
      <c r="A395" s="213"/>
      <c r="B395" s="213"/>
      <c r="C395" s="213"/>
      <c r="D395" s="213"/>
      <c r="E395" s="213"/>
      <c r="F395" s="213"/>
      <c r="G395" s="213"/>
      <c r="H395" s="213"/>
      <c r="I395" s="213"/>
      <c r="J395" s="213"/>
      <c r="K395" s="215"/>
      <c r="L395" s="213"/>
      <c r="M395" s="215"/>
      <c r="N395" s="213"/>
      <c r="O395" s="213"/>
      <c r="P395" s="213"/>
      <c r="Q395" s="213"/>
      <c r="R395" s="213"/>
      <c r="S395" s="213"/>
      <c r="T395" s="213"/>
      <c r="U395" s="213"/>
      <c r="V395" s="213"/>
      <c r="W395" s="213"/>
      <c r="X395" s="213"/>
      <c r="Y395" s="213"/>
      <c r="Z395" s="213"/>
      <c r="AA395" s="213"/>
      <c r="AB395" s="213"/>
      <c r="AC395" s="213"/>
      <c r="AD395" s="213"/>
      <c r="AE395" s="213"/>
      <c r="AF395" s="213"/>
      <c r="AG395" s="213"/>
      <c r="AH395" s="213"/>
      <c r="AI395" s="213"/>
      <c r="AJ395" s="213"/>
      <c r="AK395" s="213"/>
      <c r="AL395" s="213"/>
      <c r="AM395" s="213"/>
      <c r="AN395" s="213"/>
      <c r="AO395" s="213"/>
      <c r="AP395" s="213"/>
      <c r="AQ395" s="213"/>
      <c r="AR395" s="213"/>
      <c r="AS395" s="213"/>
      <c r="AT395" s="213"/>
      <c r="AU395" s="213"/>
      <c r="AV395" s="213"/>
      <c r="AW395" s="213"/>
      <c r="AX395" s="213"/>
      <c r="AY395" s="213"/>
      <c r="AZ395" s="213"/>
      <c r="BA395" s="213"/>
      <c r="BB395" s="213"/>
    </row>
    <row r="396" ht="15.75" customHeight="1">
      <c r="A396" s="213"/>
      <c r="B396" s="213"/>
      <c r="C396" s="213"/>
      <c r="D396" s="213"/>
      <c r="E396" s="213"/>
      <c r="F396" s="213"/>
      <c r="G396" s="213"/>
      <c r="H396" s="213"/>
      <c r="I396" s="213"/>
      <c r="J396" s="213"/>
      <c r="K396" s="215"/>
      <c r="L396" s="213"/>
      <c r="M396" s="215"/>
      <c r="N396" s="213"/>
      <c r="O396" s="213"/>
      <c r="P396" s="213"/>
      <c r="Q396" s="213"/>
      <c r="R396" s="213"/>
      <c r="S396" s="213"/>
      <c r="T396" s="213"/>
      <c r="U396" s="213"/>
      <c r="V396" s="213"/>
      <c r="W396" s="213"/>
      <c r="X396" s="213"/>
      <c r="Y396" s="213"/>
      <c r="Z396" s="213"/>
      <c r="AA396" s="213"/>
      <c r="AB396" s="213"/>
      <c r="AC396" s="213"/>
      <c r="AD396" s="213"/>
      <c r="AE396" s="213"/>
      <c r="AF396" s="213"/>
      <c r="AG396" s="213"/>
      <c r="AH396" s="213"/>
      <c r="AI396" s="213"/>
      <c r="AJ396" s="213"/>
      <c r="AK396" s="213"/>
      <c r="AL396" s="213"/>
      <c r="AM396" s="213"/>
      <c r="AN396" s="213"/>
      <c r="AO396" s="213"/>
      <c r="AP396" s="213"/>
      <c r="AQ396" s="213"/>
      <c r="AR396" s="213"/>
      <c r="AS396" s="213"/>
      <c r="AT396" s="213"/>
      <c r="AU396" s="213"/>
      <c r="AV396" s="213"/>
      <c r="AW396" s="213"/>
      <c r="AX396" s="213"/>
      <c r="AY396" s="213"/>
      <c r="AZ396" s="213"/>
      <c r="BA396" s="213"/>
      <c r="BB396" s="213"/>
    </row>
    <row r="397" ht="15.75" customHeight="1">
      <c r="A397" s="213"/>
      <c r="B397" s="213"/>
      <c r="C397" s="213"/>
      <c r="D397" s="213"/>
      <c r="E397" s="213"/>
      <c r="F397" s="213"/>
      <c r="G397" s="213"/>
      <c r="H397" s="213"/>
      <c r="I397" s="213"/>
      <c r="J397" s="213"/>
      <c r="K397" s="215"/>
      <c r="L397" s="213"/>
      <c r="M397" s="215"/>
      <c r="N397" s="213"/>
      <c r="O397" s="213"/>
      <c r="P397" s="213"/>
      <c r="Q397" s="213"/>
      <c r="R397" s="213"/>
      <c r="S397" s="213"/>
      <c r="T397" s="213"/>
      <c r="U397" s="213"/>
      <c r="V397" s="213"/>
      <c r="W397" s="213"/>
      <c r="X397" s="213"/>
      <c r="Y397" s="213"/>
      <c r="Z397" s="213"/>
      <c r="AA397" s="213"/>
      <c r="AB397" s="213"/>
      <c r="AC397" s="213"/>
      <c r="AD397" s="213"/>
      <c r="AE397" s="213"/>
      <c r="AF397" s="213"/>
      <c r="AG397" s="213"/>
      <c r="AH397" s="213"/>
      <c r="AI397" s="213"/>
      <c r="AJ397" s="213"/>
      <c r="AK397" s="213"/>
      <c r="AL397" s="213"/>
      <c r="AM397" s="213"/>
      <c r="AN397" s="213"/>
      <c r="AO397" s="213"/>
      <c r="AP397" s="213"/>
      <c r="AQ397" s="213"/>
      <c r="AR397" s="213"/>
      <c r="AS397" s="213"/>
      <c r="AT397" s="213"/>
      <c r="AU397" s="213"/>
      <c r="AV397" s="213"/>
      <c r="AW397" s="213"/>
      <c r="AX397" s="213"/>
      <c r="AY397" s="213"/>
      <c r="AZ397" s="213"/>
      <c r="BA397" s="213"/>
      <c r="BB397" s="213"/>
    </row>
    <row r="398" ht="15.75" customHeight="1">
      <c r="A398" s="213"/>
      <c r="B398" s="213"/>
      <c r="C398" s="213"/>
      <c r="D398" s="213"/>
      <c r="E398" s="213"/>
      <c r="F398" s="213"/>
      <c r="G398" s="213"/>
      <c r="H398" s="213"/>
      <c r="I398" s="213"/>
      <c r="J398" s="213"/>
      <c r="K398" s="215"/>
      <c r="L398" s="213"/>
      <c r="M398" s="215"/>
      <c r="N398" s="213"/>
      <c r="O398" s="213"/>
      <c r="P398" s="213"/>
      <c r="Q398" s="213"/>
      <c r="R398" s="213"/>
      <c r="S398" s="213"/>
      <c r="T398" s="213"/>
      <c r="U398" s="213"/>
      <c r="V398" s="213"/>
      <c r="W398" s="213"/>
      <c r="X398" s="213"/>
      <c r="Y398" s="213"/>
      <c r="Z398" s="213"/>
      <c r="AA398" s="213"/>
      <c r="AB398" s="213"/>
      <c r="AC398" s="213"/>
      <c r="AD398" s="213"/>
      <c r="AE398" s="213"/>
      <c r="AF398" s="213"/>
      <c r="AG398" s="213"/>
      <c r="AH398" s="213"/>
      <c r="AI398" s="213"/>
      <c r="AJ398" s="213"/>
      <c r="AK398" s="213"/>
      <c r="AL398" s="213"/>
      <c r="AM398" s="213"/>
      <c r="AN398" s="213"/>
      <c r="AO398" s="213"/>
      <c r="AP398" s="213"/>
      <c r="AQ398" s="213"/>
      <c r="AR398" s="213"/>
      <c r="AS398" s="213"/>
      <c r="AT398" s="213"/>
      <c r="AU398" s="213"/>
      <c r="AV398" s="213"/>
      <c r="AW398" s="213"/>
      <c r="AX398" s="213"/>
      <c r="AY398" s="213"/>
      <c r="AZ398" s="213"/>
      <c r="BA398" s="213"/>
      <c r="BB398" s="213"/>
    </row>
    <row r="399" ht="15.75" customHeight="1">
      <c r="A399" s="213"/>
      <c r="B399" s="213"/>
      <c r="C399" s="213"/>
      <c r="D399" s="213"/>
      <c r="E399" s="213"/>
      <c r="F399" s="213"/>
      <c r="G399" s="213"/>
      <c r="H399" s="213"/>
      <c r="I399" s="213"/>
      <c r="J399" s="213"/>
      <c r="K399" s="215"/>
      <c r="L399" s="213"/>
      <c r="M399" s="215"/>
      <c r="N399" s="213"/>
      <c r="O399" s="213"/>
      <c r="P399" s="213"/>
      <c r="Q399" s="213"/>
      <c r="R399" s="213"/>
      <c r="S399" s="213"/>
      <c r="T399" s="213"/>
      <c r="U399" s="213"/>
      <c r="V399" s="213"/>
      <c r="W399" s="213"/>
      <c r="X399" s="213"/>
      <c r="Y399" s="213"/>
      <c r="Z399" s="213"/>
      <c r="AA399" s="213"/>
      <c r="AB399" s="213"/>
      <c r="AC399" s="213"/>
      <c r="AD399" s="213"/>
      <c r="AE399" s="213"/>
      <c r="AF399" s="213"/>
      <c r="AG399" s="213"/>
      <c r="AH399" s="213"/>
      <c r="AI399" s="213"/>
      <c r="AJ399" s="213"/>
      <c r="AK399" s="213"/>
      <c r="AL399" s="213"/>
      <c r="AM399" s="213"/>
      <c r="AN399" s="213"/>
      <c r="AO399" s="213"/>
      <c r="AP399" s="213"/>
      <c r="AQ399" s="213"/>
      <c r="AR399" s="213"/>
      <c r="AS399" s="213"/>
      <c r="AT399" s="213"/>
      <c r="AU399" s="213"/>
      <c r="AV399" s="213"/>
      <c r="AW399" s="213"/>
      <c r="AX399" s="213"/>
      <c r="AY399" s="213"/>
      <c r="AZ399" s="213"/>
      <c r="BA399" s="213"/>
      <c r="BB399" s="213"/>
    </row>
    <row r="400" ht="15.75" customHeight="1">
      <c r="A400" s="213"/>
      <c r="B400" s="213"/>
      <c r="C400" s="213"/>
      <c r="D400" s="213"/>
      <c r="E400" s="213"/>
      <c r="F400" s="213"/>
      <c r="G400" s="213"/>
      <c r="H400" s="213"/>
      <c r="I400" s="213"/>
      <c r="J400" s="213"/>
      <c r="K400" s="215"/>
      <c r="L400" s="213"/>
      <c r="M400" s="215"/>
      <c r="N400" s="213"/>
      <c r="O400" s="213"/>
      <c r="P400" s="213"/>
      <c r="Q400" s="213"/>
      <c r="R400" s="213"/>
      <c r="S400" s="213"/>
      <c r="T400" s="213"/>
      <c r="U400" s="213"/>
      <c r="V400" s="213"/>
      <c r="W400" s="213"/>
      <c r="X400" s="213"/>
      <c r="Y400" s="213"/>
      <c r="Z400" s="213"/>
      <c r="AA400" s="213"/>
      <c r="AB400" s="213"/>
      <c r="AC400" s="213"/>
      <c r="AD400" s="213"/>
      <c r="AE400" s="213"/>
      <c r="AF400" s="213"/>
      <c r="AG400" s="213"/>
      <c r="AH400" s="213"/>
      <c r="AI400" s="213"/>
      <c r="AJ400" s="213"/>
      <c r="AK400" s="213"/>
      <c r="AL400" s="213"/>
      <c r="AM400" s="213"/>
      <c r="AN400" s="213"/>
      <c r="AO400" s="213"/>
      <c r="AP400" s="213"/>
      <c r="AQ400" s="213"/>
      <c r="AR400" s="213"/>
      <c r="AS400" s="213"/>
      <c r="AT400" s="213"/>
      <c r="AU400" s="213"/>
      <c r="AV400" s="213"/>
      <c r="AW400" s="213"/>
      <c r="AX400" s="213"/>
      <c r="AY400" s="213"/>
      <c r="AZ400" s="213"/>
      <c r="BA400" s="213"/>
      <c r="BB400" s="213"/>
    </row>
    <row r="401" ht="15.75" customHeight="1">
      <c r="A401" s="213"/>
      <c r="B401" s="213"/>
      <c r="C401" s="213"/>
      <c r="D401" s="213"/>
      <c r="E401" s="213"/>
      <c r="F401" s="213"/>
      <c r="G401" s="213"/>
      <c r="H401" s="213"/>
      <c r="I401" s="213"/>
      <c r="J401" s="213"/>
      <c r="K401" s="215"/>
      <c r="L401" s="213"/>
      <c r="M401" s="215"/>
      <c r="N401" s="213"/>
      <c r="O401" s="213"/>
      <c r="P401" s="213"/>
      <c r="Q401" s="213"/>
      <c r="R401" s="213"/>
      <c r="S401" s="213"/>
      <c r="T401" s="213"/>
      <c r="U401" s="213"/>
      <c r="V401" s="213"/>
      <c r="W401" s="213"/>
      <c r="X401" s="213"/>
      <c r="Y401" s="213"/>
      <c r="Z401" s="213"/>
      <c r="AA401" s="213"/>
      <c r="AB401" s="213"/>
      <c r="AC401" s="213"/>
      <c r="AD401" s="213"/>
      <c r="AE401" s="213"/>
      <c r="AF401" s="213"/>
      <c r="AG401" s="213"/>
      <c r="AH401" s="213"/>
      <c r="AI401" s="213"/>
      <c r="AJ401" s="213"/>
      <c r="AK401" s="213"/>
      <c r="AL401" s="213"/>
      <c r="AM401" s="213"/>
      <c r="AN401" s="213"/>
      <c r="AO401" s="213"/>
      <c r="AP401" s="213"/>
      <c r="AQ401" s="213"/>
      <c r="AR401" s="213"/>
      <c r="AS401" s="213"/>
      <c r="AT401" s="213"/>
      <c r="AU401" s="213"/>
      <c r="AV401" s="213"/>
      <c r="AW401" s="213"/>
      <c r="AX401" s="213"/>
      <c r="AY401" s="213"/>
      <c r="AZ401" s="213"/>
      <c r="BA401" s="213"/>
      <c r="BB401" s="213"/>
    </row>
    <row r="402" ht="15.75" customHeight="1">
      <c r="A402" s="213"/>
      <c r="B402" s="213"/>
      <c r="C402" s="213"/>
      <c r="D402" s="213"/>
      <c r="E402" s="213"/>
      <c r="F402" s="213"/>
      <c r="G402" s="213"/>
      <c r="H402" s="213"/>
      <c r="I402" s="213"/>
      <c r="J402" s="213"/>
      <c r="K402" s="215"/>
      <c r="L402" s="213"/>
      <c r="M402" s="215"/>
      <c r="N402" s="213"/>
      <c r="O402" s="213"/>
      <c r="P402" s="213"/>
      <c r="Q402" s="213"/>
      <c r="R402" s="213"/>
      <c r="S402" s="213"/>
      <c r="T402" s="213"/>
      <c r="U402" s="213"/>
      <c r="V402" s="213"/>
      <c r="W402" s="213"/>
      <c r="X402" s="213"/>
      <c r="Y402" s="213"/>
      <c r="Z402" s="213"/>
      <c r="AA402" s="213"/>
      <c r="AB402" s="213"/>
      <c r="AC402" s="213"/>
      <c r="AD402" s="213"/>
      <c r="AE402" s="213"/>
      <c r="AF402" s="213"/>
      <c r="AG402" s="213"/>
      <c r="AH402" s="213"/>
      <c r="AI402" s="213"/>
      <c r="AJ402" s="213"/>
      <c r="AK402" s="213"/>
      <c r="AL402" s="213"/>
      <c r="AM402" s="213"/>
      <c r="AN402" s="213"/>
      <c r="AO402" s="213"/>
      <c r="AP402" s="213"/>
      <c r="AQ402" s="213"/>
      <c r="AR402" s="213"/>
      <c r="AS402" s="213"/>
      <c r="AT402" s="213"/>
      <c r="AU402" s="213"/>
      <c r="AV402" s="213"/>
      <c r="AW402" s="213"/>
      <c r="AX402" s="213"/>
      <c r="AY402" s="213"/>
      <c r="AZ402" s="213"/>
      <c r="BA402" s="213"/>
      <c r="BB402" s="213"/>
    </row>
    <row r="403" ht="15.75" customHeight="1">
      <c r="A403" s="213"/>
      <c r="B403" s="213"/>
      <c r="C403" s="213"/>
      <c r="D403" s="213"/>
      <c r="E403" s="213"/>
      <c r="F403" s="213"/>
      <c r="G403" s="213"/>
      <c r="H403" s="213"/>
      <c r="I403" s="213"/>
      <c r="J403" s="213"/>
      <c r="K403" s="215"/>
      <c r="L403" s="213"/>
      <c r="M403" s="215"/>
      <c r="N403" s="213"/>
      <c r="O403" s="213"/>
      <c r="P403" s="213"/>
      <c r="Q403" s="213"/>
      <c r="R403" s="213"/>
      <c r="S403" s="213"/>
      <c r="T403" s="213"/>
      <c r="U403" s="213"/>
      <c r="V403" s="213"/>
      <c r="W403" s="213"/>
      <c r="X403" s="213"/>
      <c r="Y403" s="213"/>
      <c r="Z403" s="213"/>
      <c r="AA403" s="213"/>
      <c r="AB403" s="213"/>
      <c r="AC403" s="213"/>
      <c r="AD403" s="213"/>
      <c r="AE403" s="213"/>
      <c r="AF403" s="213"/>
      <c r="AG403" s="213"/>
      <c r="AH403" s="213"/>
      <c r="AI403" s="213"/>
      <c r="AJ403" s="213"/>
      <c r="AK403" s="213"/>
      <c r="AL403" s="213"/>
      <c r="AM403" s="213"/>
      <c r="AN403" s="213"/>
      <c r="AO403" s="213"/>
      <c r="AP403" s="213"/>
      <c r="AQ403" s="213"/>
      <c r="AR403" s="213"/>
      <c r="AS403" s="213"/>
      <c r="AT403" s="213"/>
      <c r="AU403" s="213"/>
      <c r="AV403" s="213"/>
      <c r="AW403" s="213"/>
      <c r="AX403" s="213"/>
      <c r="AY403" s="213"/>
      <c r="AZ403" s="213"/>
      <c r="BA403" s="213"/>
      <c r="BB403" s="213"/>
    </row>
    <row r="404" ht="15.75" customHeight="1">
      <c r="A404" s="213"/>
      <c r="B404" s="213"/>
      <c r="C404" s="213"/>
      <c r="D404" s="213"/>
      <c r="E404" s="213"/>
      <c r="F404" s="213"/>
      <c r="G404" s="213"/>
      <c r="H404" s="213"/>
      <c r="I404" s="213"/>
      <c r="J404" s="213"/>
      <c r="K404" s="215"/>
      <c r="L404" s="213"/>
      <c r="M404" s="215"/>
      <c r="N404" s="213"/>
      <c r="O404" s="213"/>
      <c r="P404" s="213"/>
      <c r="Q404" s="213"/>
      <c r="R404" s="213"/>
      <c r="S404" s="213"/>
      <c r="T404" s="213"/>
      <c r="U404" s="213"/>
      <c r="V404" s="213"/>
      <c r="W404" s="213"/>
      <c r="X404" s="213"/>
      <c r="Y404" s="213"/>
      <c r="Z404" s="213"/>
      <c r="AA404" s="213"/>
      <c r="AB404" s="213"/>
      <c r="AC404" s="213"/>
      <c r="AD404" s="213"/>
      <c r="AE404" s="213"/>
      <c r="AF404" s="213"/>
      <c r="AG404" s="213"/>
      <c r="AH404" s="213"/>
      <c r="AI404" s="213"/>
      <c r="AJ404" s="213"/>
      <c r="AK404" s="213"/>
      <c r="AL404" s="213"/>
      <c r="AM404" s="213"/>
      <c r="AN404" s="213"/>
      <c r="AO404" s="213"/>
      <c r="AP404" s="213"/>
      <c r="AQ404" s="213"/>
      <c r="AR404" s="213"/>
      <c r="AS404" s="213"/>
      <c r="AT404" s="213"/>
      <c r="AU404" s="213"/>
      <c r="AV404" s="213"/>
      <c r="AW404" s="213"/>
      <c r="AX404" s="213"/>
      <c r="AY404" s="213"/>
      <c r="AZ404" s="213"/>
      <c r="BA404" s="213"/>
      <c r="BB404" s="213"/>
    </row>
    <row r="405" ht="15.75" customHeight="1">
      <c r="A405" s="213"/>
      <c r="B405" s="213"/>
      <c r="C405" s="213"/>
      <c r="D405" s="213"/>
      <c r="E405" s="213"/>
      <c r="F405" s="213"/>
      <c r="G405" s="213"/>
      <c r="H405" s="213"/>
      <c r="I405" s="213"/>
      <c r="J405" s="213"/>
      <c r="K405" s="215"/>
      <c r="L405" s="213"/>
      <c r="M405" s="215"/>
      <c r="N405" s="213"/>
      <c r="O405" s="213"/>
      <c r="P405" s="213"/>
      <c r="Q405" s="213"/>
      <c r="R405" s="213"/>
      <c r="S405" s="213"/>
      <c r="T405" s="213"/>
      <c r="U405" s="213"/>
      <c r="V405" s="213"/>
      <c r="W405" s="213"/>
      <c r="X405" s="213"/>
      <c r="Y405" s="213"/>
      <c r="Z405" s="213"/>
      <c r="AA405" s="213"/>
      <c r="AB405" s="213"/>
      <c r="AC405" s="213"/>
      <c r="AD405" s="213"/>
      <c r="AE405" s="213"/>
      <c r="AF405" s="213"/>
      <c r="AG405" s="213"/>
      <c r="AH405" s="213"/>
      <c r="AI405" s="213"/>
      <c r="AJ405" s="213"/>
      <c r="AK405" s="213"/>
      <c r="AL405" s="213"/>
      <c r="AM405" s="213"/>
      <c r="AN405" s="213"/>
      <c r="AO405" s="213"/>
      <c r="AP405" s="213"/>
      <c r="AQ405" s="213"/>
      <c r="AR405" s="213"/>
      <c r="AS405" s="213"/>
      <c r="AT405" s="213"/>
      <c r="AU405" s="213"/>
      <c r="AV405" s="213"/>
      <c r="AW405" s="213"/>
      <c r="AX405" s="213"/>
      <c r="AY405" s="213"/>
      <c r="AZ405" s="213"/>
      <c r="BA405" s="213"/>
      <c r="BB405" s="213"/>
    </row>
    <row r="406" ht="15.75" customHeight="1">
      <c r="A406" s="213"/>
      <c r="B406" s="213"/>
      <c r="C406" s="213"/>
      <c r="D406" s="213"/>
      <c r="E406" s="213"/>
      <c r="F406" s="213"/>
      <c r="G406" s="213"/>
      <c r="H406" s="213"/>
      <c r="I406" s="213"/>
      <c r="J406" s="213"/>
      <c r="K406" s="215"/>
      <c r="L406" s="213"/>
      <c r="M406" s="215"/>
      <c r="N406" s="213"/>
      <c r="O406" s="213"/>
      <c r="P406" s="213"/>
      <c r="Q406" s="213"/>
      <c r="R406" s="213"/>
      <c r="S406" s="213"/>
      <c r="T406" s="213"/>
      <c r="U406" s="213"/>
      <c r="V406" s="213"/>
      <c r="W406" s="213"/>
      <c r="X406" s="213"/>
      <c r="Y406" s="213"/>
      <c r="Z406" s="213"/>
      <c r="AA406" s="213"/>
      <c r="AB406" s="213"/>
      <c r="AC406" s="213"/>
      <c r="AD406" s="213"/>
      <c r="AE406" s="213"/>
      <c r="AF406" s="213"/>
      <c r="AG406" s="213"/>
      <c r="AH406" s="213"/>
      <c r="AI406" s="213"/>
      <c r="AJ406" s="213"/>
      <c r="AK406" s="213"/>
      <c r="AL406" s="213"/>
      <c r="AM406" s="213"/>
      <c r="AN406" s="213"/>
      <c r="AO406" s="213"/>
      <c r="AP406" s="213"/>
      <c r="AQ406" s="213"/>
      <c r="AR406" s="213"/>
      <c r="AS406" s="213"/>
      <c r="AT406" s="213"/>
      <c r="AU406" s="213"/>
      <c r="AV406" s="213"/>
      <c r="AW406" s="213"/>
      <c r="AX406" s="213"/>
      <c r="AY406" s="213"/>
      <c r="AZ406" s="213"/>
      <c r="BA406" s="213"/>
      <c r="BB406" s="213"/>
    </row>
    <row r="407" ht="15.75" customHeight="1">
      <c r="A407" s="213"/>
      <c r="B407" s="213"/>
      <c r="C407" s="213"/>
      <c r="D407" s="213"/>
      <c r="E407" s="213"/>
      <c r="F407" s="213"/>
      <c r="G407" s="213"/>
      <c r="H407" s="213"/>
      <c r="I407" s="213"/>
      <c r="J407" s="213"/>
      <c r="K407" s="215"/>
      <c r="L407" s="213"/>
      <c r="M407" s="215"/>
      <c r="N407" s="213"/>
      <c r="O407" s="213"/>
      <c r="P407" s="213"/>
      <c r="Q407" s="213"/>
      <c r="R407" s="213"/>
      <c r="S407" s="213"/>
      <c r="T407" s="213"/>
      <c r="U407" s="213"/>
      <c r="V407" s="213"/>
      <c r="W407" s="213"/>
      <c r="X407" s="213"/>
      <c r="Y407" s="213"/>
      <c r="Z407" s="213"/>
      <c r="AA407" s="213"/>
      <c r="AB407" s="213"/>
      <c r="AC407" s="213"/>
      <c r="AD407" s="213"/>
      <c r="AE407" s="213"/>
      <c r="AF407" s="213"/>
      <c r="AG407" s="213"/>
      <c r="AH407" s="213"/>
      <c r="AI407" s="213"/>
      <c r="AJ407" s="213"/>
      <c r="AK407" s="213"/>
      <c r="AL407" s="213"/>
      <c r="AM407" s="213"/>
      <c r="AN407" s="213"/>
      <c r="AO407" s="213"/>
      <c r="AP407" s="213"/>
      <c r="AQ407" s="213"/>
      <c r="AR407" s="213"/>
      <c r="AS407" s="213"/>
      <c r="AT407" s="213"/>
      <c r="AU407" s="213"/>
      <c r="AV407" s="213"/>
      <c r="AW407" s="213"/>
      <c r="AX407" s="213"/>
      <c r="AY407" s="213"/>
      <c r="AZ407" s="213"/>
      <c r="BA407" s="213"/>
      <c r="BB407" s="213"/>
    </row>
    <row r="408" ht="15.75" customHeight="1">
      <c r="A408" s="213"/>
      <c r="B408" s="213"/>
      <c r="C408" s="213"/>
      <c r="D408" s="213"/>
      <c r="E408" s="213"/>
      <c r="F408" s="213"/>
      <c r="G408" s="213"/>
      <c r="H408" s="213"/>
      <c r="I408" s="213"/>
      <c r="J408" s="213"/>
      <c r="K408" s="215"/>
      <c r="L408" s="213"/>
      <c r="M408" s="215"/>
      <c r="N408" s="213"/>
      <c r="O408" s="213"/>
      <c r="P408" s="213"/>
      <c r="Q408" s="213"/>
      <c r="R408" s="213"/>
      <c r="S408" s="213"/>
      <c r="T408" s="213"/>
      <c r="U408" s="213"/>
      <c r="V408" s="213"/>
      <c r="W408" s="213"/>
      <c r="X408" s="213"/>
      <c r="Y408" s="213"/>
      <c r="Z408" s="213"/>
      <c r="AA408" s="213"/>
      <c r="AB408" s="213"/>
      <c r="AC408" s="213"/>
      <c r="AD408" s="213"/>
      <c r="AE408" s="213"/>
      <c r="AF408" s="213"/>
      <c r="AG408" s="213"/>
      <c r="AH408" s="213"/>
      <c r="AI408" s="213"/>
      <c r="AJ408" s="213"/>
      <c r="AK408" s="213"/>
      <c r="AL408" s="213"/>
      <c r="AM408" s="213"/>
      <c r="AN408" s="213"/>
      <c r="AO408" s="213"/>
      <c r="AP408" s="213"/>
      <c r="AQ408" s="213"/>
      <c r="AR408" s="213"/>
      <c r="AS408" s="213"/>
      <c r="AT408" s="213"/>
      <c r="AU408" s="213"/>
      <c r="AV408" s="213"/>
      <c r="AW408" s="213"/>
      <c r="AX408" s="213"/>
      <c r="AY408" s="213"/>
      <c r="AZ408" s="213"/>
      <c r="BA408" s="213"/>
      <c r="BB408" s="213"/>
    </row>
    <row r="409" ht="15.75" customHeight="1">
      <c r="A409" s="213"/>
      <c r="B409" s="213"/>
      <c r="C409" s="213"/>
      <c r="D409" s="213"/>
      <c r="E409" s="213"/>
      <c r="F409" s="213"/>
      <c r="G409" s="213"/>
      <c r="H409" s="213"/>
      <c r="I409" s="213"/>
      <c r="J409" s="213"/>
      <c r="K409" s="215"/>
      <c r="L409" s="213"/>
      <c r="M409" s="215"/>
      <c r="N409" s="213"/>
      <c r="O409" s="213"/>
      <c r="P409" s="213"/>
      <c r="Q409" s="213"/>
      <c r="R409" s="213"/>
      <c r="S409" s="213"/>
      <c r="T409" s="213"/>
      <c r="U409" s="213"/>
      <c r="V409" s="213"/>
      <c r="W409" s="213"/>
      <c r="X409" s="213"/>
      <c r="Y409" s="213"/>
      <c r="Z409" s="213"/>
      <c r="AA409" s="213"/>
      <c r="AB409" s="213"/>
      <c r="AC409" s="213"/>
      <c r="AD409" s="213"/>
      <c r="AE409" s="213"/>
      <c r="AF409" s="213"/>
      <c r="AG409" s="213"/>
      <c r="AH409" s="213"/>
      <c r="AI409" s="213"/>
      <c r="AJ409" s="213"/>
      <c r="AK409" s="213"/>
      <c r="AL409" s="213"/>
      <c r="AM409" s="213"/>
      <c r="AN409" s="213"/>
      <c r="AO409" s="213"/>
      <c r="AP409" s="213"/>
      <c r="AQ409" s="213"/>
      <c r="AR409" s="213"/>
      <c r="AS409" s="213"/>
      <c r="AT409" s="213"/>
      <c r="AU409" s="213"/>
      <c r="AV409" s="213"/>
      <c r="AW409" s="213"/>
      <c r="AX409" s="213"/>
      <c r="AY409" s="213"/>
      <c r="AZ409" s="213"/>
      <c r="BA409" s="213"/>
      <c r="BB409" s="213"/>
    </row>
    <row r="410" ht="15.75" customHeight="1">
      <c r="A410" s="213"/>
      <c r="B410" s="213"/>
      <c r="C410" s="213"/>
      <c r="D410" s="213"/>
      <c r="E410" s="213"/>
      <c r="F410" s="213"/>
      <c r="G410" s="213"/>
      <c r="H410" s="213"/>
      <c r="I410" s="213"/>
      <c r="J410" s="213"/>
      <c r="K410" s="215"/>
      <c r="L410" s="213"/>
      <c r="M410" s="215"/>
      <c r="N410" s="213"/>
      <c r="O410" s="213"/>
      <c r="P410" s="213"/>
      <c r="Q410" s="213"/>
      <c r="R410" s="213"/>
      <c r="S410" s="213"/>
      <c r="T410" s="213"/>
      <c r="U410" s="213"/>
      <c r="V410" s="213"/>
      <c r="W410" s="213"/>
      <c r="X410" s="213"/>
      <c r="Y410" s="213"/>
      <c r="Z410" s="213"/>
      <c r="AA410" s="213"/>
      <c r="AB410" s="213"/>
      <c r="AC410" s="213"/>
      <c r="AD410" s="213"/>
      <c r="AE410" s="213"/>
      <c r="AF410" s="213"/>
      <c r="AG410" s="213"/>
      <c r="AH410" s="213"/>
      <c r="AI410" s="213"/>
      <c r="AJ410" s="213"/>
      <c r="AK410" s="213"/>
      <c r="AL410" s="213"/>
      <c r="AM410" s="213"/>
      <c r="AN410" s="213"/>
      <c r="AO410" s="213"/>
      <c r="AP410" s="213"/>
      <c r="AQ410" s="213"/>
      <c r="AR410" s="213"/>
      <c r="AS410" s="213"/>
      <c r="AT410" s="213"/>
      <c r="AU410" s="213"/>
      <c r="AV410" s="213"/>
      <c r="AW410" s="213"/>
      <c r="AX410" s="213"/>
      <c r="AY410" s="213"/>
      <c r="AZ410" s="213"/>
      <c r="BA410" s="213"/>
      <c r="BB410" s="213"/>
    </row>
    <row r="411" ht="15.75" customHeight="1">
      <c r="A411" s="213"/>
      <c r="B411" s="213"/>
      <c r="C411" s="213"/>
      <c r="D411" s="213"/>
      <c r="E411" s="213"/>
      <c r="F411" s="213"/>
      <c r="G411" s="213"/>
      <c r="H411" s="213"/>
      <c r="I411" s="213"/>
      <c r="J411" s="213"/>
      <c r="K411" s="215"/>
      <c r="L411" s="213"/>
      <c r="M411" s="215"/>
      <c r="N411" s="213"/>
      <c r="O411" s="213"/>
      <c r="P411" s="213"/>
      <c r="Q411" s="213"/>
      <c r="R411" s="213"/>
      <c r="S411" s="213"/>
      <c r="T411" s="213"/>
      <c r="U411" s="213"/>
      <c r="V411" s="213"/>
      <c r="W411" s="213"/>
      <c r="X411" s="213"/>
      <c r="Y411" s="213"/>
      <c r="Z411" s="213"/>
      <c r="AA411" s="213"/>
      <c r="AB411" s="213"/>
      <c r="AC411" s="213"/>
      <c r="AD411" s="213"/>
      <c r="AE411" s="213"/>
      <c r="AF411" s="213"/>
      <c r="AG411" s="213"/>
      <c r="AH411" s="213"/>
      <c r="AI411" s="213"/>
      <c r="AJ411" s="213"/>
      <c r="AK411" s="213"/>
      <c r="AL411" s="213"/>
      <c r="AM411" s="213"/>
      <c r="AN411" s="213"/>
      <c r="AO411" s="213"/>
      <c r="AP411" s="213"/>
      <c r="AQ411" s="213"/>
      <c r="AR411" s="213"/>
      <c r="AS411" s="213"/>
      <c r="AT411" s="213"/>
      <c r="AU411" s="213"/>
      <c r="AV411" s="213"/>
      <c r="AW411" s="213"/>
      <c r="AX411" s="213"/>
      <c r="AY411" s="213"/>
      <c r="AZ411" s="213"/>
      <c r="BA411" s="213"/>
      <c r="BB411" s="213"/>
    </row>
    <row r="412" ht="15.75" customHeight="1">
      <c r="A412" s="213"/>
      <c r="B412" s="213"/>
      <c r="C412" s="213"/>
      <c r="D412" s="213"/>
      <c r="E412" s="213"/>
      <c r="F412" s="213"/>
      <c r="G412" s="213"/>
      <c r="H412" s="213"/>
      <c r="I412" s="213"/>
      <c r="J412" s="213"/>
      <c r="K412" s="215"/>
      <c r="L412" s="213"/>
      <c r="M412" s="215"/>
      <c r="N412" s="213"/>
      <c r="O412" s="213"/>
      <c r="P412" s="213"/>
      <c r="Q412" s="213"/>
      <c r="R412" s="213"/>
      <c r="S412" s="213"/>
      <c r="T412" s="213"/>
      <c r="U412" s="213"/>
      <c r="V412" s="213"/>
      <c r="W412" s="213"/>
      <c r="X412" s="213"/>
      <c r="Y412" s="213"/>
      <c r="Z412" s="213"/>
      <c r="AA412" s="213"/>
      <c r="AB412" s="213"/>
      <c r="AC412" s="213"/>
      <c r="AD412" s="213"/>
      <c r="AE412" s="213"/>
      <c r="AF412" s="213"/>
      <c r="AG412" s="213"/>
      <c r="AH412" s="213"/>
      <c r="AI412" s="213"/>
      <c r="AJ412" s="213"/>
      <c r="AK412" s="213"/>
      <c r="AL412" s="213"/>
      <c r="AM412" s="213"/>
      <c r="AN412" s="213"/>
      <c r="AO412" s="213"/>
      <c r="AP412" s="213"/>
      <c r="AQ412" s="213"/>
      <c r="AR412" s="213"/>
      <c r="AS412" s="213"/>
      <c r="AT412" s="213"/>
      <c r="AU412" s="213"/>
      <c r="AV412" s="213"/>
      <c r="AW412" s="213"/>
      <c r="AX412" s="213"/>
      <c r="AY412" s="213"/>
      <c r="AZ412" s="213"/>
      <c r="BA412" s="213"/>
      <c r="BB412" s="213"/>
    </row>
    <row r="413" ht="15.75" customHeight="1">
      <c r="A413" s="213"/>
      <c r="B413" s="213"/>
      <c r="C413" s="213"/>
      <c r="D413" s="213"/>
      <c r="E413" s="213"/>
      <c r="F413" s="213"/>
      <c r="G413" s="213"/>
      <c r="H413" s="213"/>
      <c r="I413" s="213"/>
      <c r="J413" s="213"/>
      <c r="K413" s="215"/>
      <c r="L413" s="213"/>
      <c r="M413" s="215"/>
      <c r="N413" s="213"/>
      <c r="O413" s="213"/>
      <c r="P413" s="213"/>
      <c r="Q413" s="213"/>
      <c r="R413" s="213"/>
      <c r="S413" s="213"/>
      <c r="T413" s="213"/>
      <c r="U413" s="213"/>
      <c r="V413" s="213"/>
      <c r="W413" s="213"/>
      <c r="X413" s="213"/>
      <c r="Y413" s="213"/>
      <c r="Z413" s="213"/>
      <c r="AA413" s="213"/>
      <c r="AB413" s="213"/>
      <c r="AC413" s="213"/>
      <c r="AD413" s="213"/>
      <c r="AE413" s="213"/>
      <c r="AF413" s="213"/>
      <c r="AG413" s="213"/>
      <c r="AH413" s="213"/>
      <c r="AI413" s="213"/>
      <c r="AJ413" s="213"/>
      <c r="AK413" s="213"/>
      <c r="AL413" s="213"/>
      <c r="AM413" s="213"/>
      <c r="AN413" s="213"/>
      <c r="AO413" s="213"/>
      <c r="AP413" s="213"/>
      <c r="AQ413" s="213"/>
      <c r="AR413" s="213"/>
      <c r="AS413" s="213"/>
      <c r="AT413" s="213"/>
      <c r="AU413" s="213"/>
      <c r="AV413" s="213"/>
      <c r="AW413" s="213"/>
      <c r="AX413" s="213"/>
      <c r="AY413" s="213"/>
      <c r="AZ413" s="213"/>
      <c r="BA413" s="213"/>
      <c r="BB413" s="213"/>
    </row>
    <row r="414" ht="15.75" customHeight="1">
      <c r="A414" s="213"/>
      <c r="B414" s="213"/>
      <c r="C414" s="213"/>
      <c r="D414" s="213"/>
      <c r="E414" s="213"/>
      <c r="F414" s="213"/>
      <c r="G414" s="213"/>
      <c r="H414" s="213"/>
      <c r="I414" s="213"/>
      <c r="J414" s="213"/>
      <c r="K414" s="215"/>
      <c r="L414" s="213"/>
      <c r="M414" s="215"/>
      <c r="N414" s="213"/>
      <c r="O414" s="213"/>
      <c r="P414" s="213"/>
      <c r="Q414" s="213"/>
      <c r="R414" s="213"/>
      <c r="S414" s="213"/>
      <c r="T414" s="213"/>
      <c r="U414" s="213"/>
      <c r="V414" s="213"/>
      <c r="W414" s="213"/>
      <c r="X414" s="213"/>
      <c r="Y414" s="213"/>
      <c r="Z414" s="213"/>
      <c r="AA414" s="213"/>
      <c r="AB414" s="213"/>
      <c r="AC414" s="213"/>
      <c r="AD414" s="213"/>
      <c r="AE414" s="213"/>
      <c r="AF414" s="213"/>
      <c r="AG414" s="213"/>
      <c r="AH414" s="213"/>
      <c r="AI414" s="213"/>
      <c r="AJ414" s="213"/>
      <c r="AK414" s="213"/>
      <c r="AL414" s="213"/>
      <c r="AM414" s="213"/>
      <c r="AN414" s="213"/>
      <c r="AO414" s="213"/>
      <c r="AP414" s="213"/>
      <c r="AQ414" s="213"/>
      <c r="AR414" s="213"/>
      <c r="AS414" s="213"/>
      <c r="AT414" s="213"/>
      <c r="AU414" s="213"/>
      <c r="AV414" s="213"/>
      <c r="AW414" s="213"/>
      <c r="AX414" s="213"/>
      <c r="AY414" s="213"/>
      <c r="AZ414" s="213"/>
      <c r="BA414" s="213"/>
      <c r="BB414" s="213"/>
    </row>
    <row r="415" ht="15.75" customHeight="1">
      <c r="A415" s="213"/>
      <c r="B415" s="213"/>
      <c r="C415" s="213"/>
      <c r="D415" s="213"/>
      <c r="E415" s="213"/>
      <c r="F415" s="213"/>
      <c r="G415" s="213"/>
      <c r="H415" s="213"/>
      <c r="I415" s="213"/>
      <c r="J415" s="213"/>
      <c r="K415" s="215"/>
      <c r="L415" s="213"/>
      <c r="M415" s="215"/>
      <c r="N415" s="213"/>
      <c r="O415" s="213"/>
      <c r="P415" s="213"/>
      <c r="Q415" s="213"/>
      <c r="R415" s="213"/>
      <c r="S415" s="213"/>
      <c r="T415" s="213"/>
      <c r="U415" s="213"/>
      <c r="V415" s="213"/>
      <c r="W415" s="213"/>
      <c r="X415" s="213"/>
      <c r="Y415" s="213"/>
      <c r="Z415" s="213"/>
      <c r="AA415" s="213"/>
      <c r="AB415" s="213"/>
      <c r="AC415" s="213"/>
      <c r="AD415" s="213"/>
      <c r="AE415" s="213"/>
      <c r="AF415" s="213"/>
      <c r="AG415" s="213"/>
      <c r="AH415" s="213"/>
      <c r="AI415" s="213"/>
      <c r="AJ415" s="213"/>
      <c r="AK415" s="213"/>
      <c r="AL415" s="213"/>
      <c r="AM415" s="213"/>
      <c r="AN415" s="213"/>
      <c r="AO415" s="213"/>
      <c r="AP415" s="213"/>
      <c r="AQ415" s="213"/>
      <c r="AR415" s="213"/>
      <c r="AS415" s="213"/>
      <c r="AT415" s="213"/>
      <c r="AU415" s="213"/>
      <c r="AV415" s="213"/>
      <c r="AW415" s="213"/>
      <c r="AX415" s="213"/>
      <c r="AY415" s="213"/>
      <c r="AZ415" s="213"/>
      <c r="BA415" s="213"/>
      <c r="BB415" s="213"/>
    </row>
    <row r="416" ht="15.75" customHeight="1">
      <c r="A416" s="213"/>
      <c r="B416" s="213"/>
      <c r="C416" s="213"/>
      <c r="D416" s="213"/>
      <c r="E416" s="213"/>
      <c r="F416" s="213"/>
      <c r="G416" s="213"/>
      <c r="H416" s="213"/>
      <c r="I416" s="213"/>
      <c r="J416" s="213"/>
      <c r="K416" s="215"/>
      <c r="L416" s="213"/>
      <c r="M416" s="215"/>
      <c r="N416" s="213"/>
      <c r="O416" s="213"/>
      <c r="P416" s="213"/>
      <c r="Q416" s="213"/>
      <c r="R416" s="213"/>
      <c r="S416" s="213"/>
      <c r="T416" s="213"/>
      <c r="U416" s="213"/>
      <c r="V416" s="213"/>
      <c r="W416" s="213"/>
      <c r="X416" s="213"/>
      <c r="Y416" s="213"/>
      <c r="Z416" s="213"/>
      <c r="AA416" s="213"/>
      <c r="AB416" s="213"/>
      <c r="AC416" s="213"/>
      <c r="AD416" s="213"/>
      <c r="AE416" s="213"/>
      <c r="AF416" s="213"/>
      <c r="AG416" s="213"/>
      <c r="AH416" s="213"/>
      <c r="AI416" s="213"/>
      <c r="AJ416" s="213"/>
      <c r="AK416" s="213"/>
      <c r="AL416" s="213"/>
      <c r="AM416" s="213"/>
      <c r="AN416" s="213"/>
      <c r="AO416" s="213"/>
      <c r="AP416" s="213"/>
      <c r="AQ416" s="213"/>
      <c r="AR416" s="213"/>
      <c r="AS416" s="213"/>
      <c r="AT416" s="213"/>
      <c r="AU416" s="213"/>
      <c r="AV416" s="213"/>
      <c r="AW416" s="213"/>
      <c r="AX416" s="213"/>
      <c r="AY416" s="213"/>
      <c r="AZ416" s="213"/>
      <c r="BA416" s="213"/>
      <c r="BB416" s="213"/>
    </row>
    <row r="417" ht="15.75" customHeight="1">
      <c r="A417" s="213"/>
      <c r="B417" s="213"/>
      <c r="C417" s="213"/>
      <c r="D417" s="213"/>
      <c r="E417" s="213"/>
      <c r="F417" s="213"/>
      <c r="G417" s="213"/>
      <c r="H417" s="213"/>
      <c r="I417" s="213"/>
      <c r="J417" s="213"/>
      <c r="K417" s="215"/>
      <c r="L417" s="213"/>
      <c r="M417" s="215"/>
      <c r="N417" s="213"/>
      <c r="O417" s="213"/>
      <c r="P417" s="213"/>
      <c r="Q417" s="213"/>
      <c r="R417" s="213"/>
      <c r="S417" s="213"/>
      <c r="T417" s="213"/>
      <c r="U417" s="213"/>
      <c r="V417" s="213"/>
      <c r="W417" s="213"/>
      <c r="X417" s="213"/>
      <c r="Y417" s="213"/>
      <c r="Z417" s="213"/>
      <c r="AA417" s="213"/>
      <c r="AB417" s="213"/>
      <c r="AC417" s="213"/>
      <c r="AD417" s="213"/>
      <c r="AE417" s="213"/>
      <c r="AF417" s="213"/>
      <c r="AG417" s="213"/>
      <c r="AH417" s="213"/>
      <c r="AI417" s="213"/>
      <c r="AJ417" s="213"/>
      <c r="AK417" s="213"/>
      <c r="AL417" s="213"/>
      <c r="AM417" s="213"/>
      <c r="AN417" s="213"/>
      <c r="AO417" s="213"/>
      <c r="AP417" s="213"/>
      <c r="AQ417" s="213"/>
      <c r="AR417" s="213"/>
      <c r="AS417" s="213"/>
      <c r="AT417" s="213"/>
      <c r="AU417" s="213"/>
      <c r="AV417" s="213"/>
      <c r="AW417" s="213"/>
      <c r="AX417" s="213"/>
      <c r="AY417" s="213"/>
      <c r="AZ417" s="213"/>
      <c r="BA417" s="213"/>
      <c r="BB417" s="213"/>
    </row>
    <row r="418" ht="15.75" customHeight="1">
      <c r="A418" s="213"/>
      <c r="B418" s="213"/>
      <c r="C418" s="213"/>
      <c r="D418" s="213"/>
      <c r="E418" s="213"/>
      <c r="F418" s="213"/>
      <c r="G418" s="213"/>
      <c r="H418" s="213"/>
      <c r="I418" s="213"/>
      <c r="J418" s="213"/>
      <c r="K418" s="215"/>
      <c r="L418" s="213"/>
      <c r="M418" s="215"/>
      <c r="N418" s="213"/>
      <c r="O418" s="213"/>
      <c r="P418" s="213"/>
      <c r="Q418" s="213"/>
      <c r="R418" s="213"/>
      <c r="S418" s="213"/>
      <c r="T418" s="213"/>
      <c r="U418" s="213"/>
      <c r="V418" s="213"/>
      <c r="W418" s="213"/>
      <c r="X418" s="213"/>
      <c r="Y418" s="213"/>
      <c r="Z418" s="213"/>
      <c r="AA418" s="213"/>
      <c r="AB418" s="213"/>
      <c r="AC418" s="213"/>
      <c r="AD418" s="213"/>
      <c r="AE418" s="213"/>
      <c r="AF418" s="213"/>
      <c r="AG418" s="213"/>
      <c r="AH418" s="213"/>
      <c r="AI418" s="213"/>
      <c r="AJ418" s="213"/>
      <c r="AK418" s="213"/>
      <c r="AL418" s="213"/>
      <c r="AM418" s="213"/>
      <c r="AN418" s="213"/>
      <c r="AO418" s="213"/>
      <c r="AP418" s="213"/>
      <c r="AQ418" s="213"/>
      <c r="AR418" s="213"/>
      <c r="AS418" s="213"/>
      <c r="AT418" s="213"/>
      <c r="AU418" s="213"/>
      <c r="AV418" s="213"/>
      <c r="AW418" s="213"/>
      <c r="AX418" s="213"/>
      <c r="AY418" s="213"/>
      <c r="AZ418" s="213"/>
      <c r="BA418" s="213"/>
      <c r="BB418" s="213"/>
    </row>
    <row r="419" ht="15.75" customHeight="1">
      <c r="A419" s="213"/>
      <c r="B419" s="213"/>
      <c r="C419" s="213"/>
      <c r="D419" s="213"/>
      <c r="E419" s="213"/>
      <c r="F419" s="213"/>
      <c r="G419" s="213"/>
      <c r="H419" s="213"/>
      <c r="I419" s="213"/>
      <c r="J419" s="213"/>
      <c r="K419" s="215"/>
      <c r="L419" s="213"/>
      <c r="M419" s="215"/>
      <c r="N419" s="213"/>
      <c r="O419" s="213"/>
      <c r="P419" s="213"/>
      <c r="Q419" s="213"/>
      <c r="R419" s="213"/>
      <c r="S419" s="213"/>
      <c r="T419" s="213"/>
      <c r="U419" s="213"/>
      <c r="V419" s="213"/>
      <c r="W419" s="213"/>
      <c r="X419" s="213"/>
      <c r="Y419" s="213"/>
      <c r="Z419" s="213"/>
      <c r="AA419" s="213"/>
      <c r="AB419" s="213"/>
      <c r="AC419" s="213"/>
      <c r="AD419" s="213"/>
      <c r="AE419" s="213"/>
      <c r="AF419" s="213"/>
      <c r="AG419" s="213"/>
      <c r="AH419" s="213"/>
      <c r="AI419" s="213"/>
      <c r="AJ419" s="213"/>
      <c r="AK419" s="213"/>
      <c r="AL419" s="213"/>
      <c r="AM419" s="213"/>
      <c r="AN419" s="213"/>
      <c r="AO419" s="213"/>
      <c r="AP419" s="213"/>
      <c r="AQ419" s="213"/>
      <c r="AR419" s="213"/>
      <c r="AS419" s="213"/>
      <c r="AT419" s="213"/>
      <c r="AU419" s="213"/>
      <c r="AV419" s="213"/>
      <c r="AW419" s="213"/>
      <c r="AX419" s="213"/>
      <c r="AY419" s="213"/>
      <c r="AZ419" s="213"/>
      <c r="BA419" s="213"/>
      <c r="BB419" s="213"/>
    </row>
    <row r="420" ht="15.75" customHeight="1">
      <c r="A420" s="213"/>
      <c r="B420" s="213"/>
      <c r="C420" s="213"/>
      <c r="D420" s="213"/>
      <c r="E420" s="213"/>
      <c r="F420" s="213"/>
      <c r="G420" s="213"/>
      <c r="H420" s="213"/>
      <c r="I420" s="213"/>
      <c r="J420" s="213"/>
      <c r="K420" s="215"/>
      <c r="L420" s="213"/>
      <c r="M420" s="215"/>
      <c r="N420" s="213"/>
      <c r="O420" s="213"/>
      <c r="P420" s="213"/>
      <c r="Q420" s="213"/>
      <c r="R420" s="213"/>
      <c r="S420" s="213"/>
      <c r="T420" s="213"/>
      <c r="U420" s="213"/>
      <c r="V420" s="213"/>
      <c r="W420" s="213"/>
      <c r="X420" s="213"/>
      <c r="Y420" s="213"/>
      <c r="Z420" s="213"/>
      <c r="AA420" s="213"/>
      <c r="AB420" s="213"/>
      <c r="AC420" s="213"/>
      <c r="AD420" s="213"/>
      <c r="AE420" s="213"/>
      <c r="AF420" s="213"/>
      <c r="AG420" s="213"/>
      <c r="AH420" s="213"/>
      <c r="AI420" s="213"/>
      <c r="AJ420" s="213"/>
      <c r="AK420" s="213"/>
      <c r="AL420" s="213"/>
      <c r="AM420" s="213"/>
      <c r="AN420" s="213"/>
      <c r="AO420" s="213"/>
      <c r="AP420" s="213"/>
      <c r="AQ420" s="213"/>
      <c r="AR420" s="213"/>
      <c r="AS420" s="213"/>
      <c r="AT420" s="213"/>
      <c r="AU420" s="213"/>
      <c r="AV420" s="213"/>
      <c r="AW420" s="213"/>
      <c r="AX420" s="213"/>
      <c r="AY420" s="213"/>
      <c r="AZ420" s="213"/>
      <c r="BA420" s="213"/>
      <c r="BB420" s="213"/>
    </row>
    <row r="421" ht="15.75" customHeight="1">
      <c r="A421" s="213"/>
      <c r="B421" s="213"/>
      <c r="C421" s="213"/>
      <c r="D421" s="213"/>
      <c r="E421" s="213"/>
      <c r="F421" s="213"/>
      <c r="G421" s="213"/>
      <c r="H421" s="213"/>
      <c r="I421" s="213"/>
      <c r="J421" s="213"/>
      <c r="K421" s="215"/>
      <c r="L421" s="213"/>
      <c r="M421" s="215"/>
      <c r="N421" s="213"/>
      <c r="O421" s="213"/>
      <c r="P421" s="213"/>
      <c r="Q421" s="213"/>
      <c r="R421" s="213"/>
      <c r="S421" s="213"/>
      <c r="T421" s="213"/>
      <c r="U421" s="213"/>
      <c r="V421" s="213"/>
      <c r="W421" s="213"/>
      <c r="X421" s="213"/>
      <c r="Y421" s="213"/>
      <c r="Z421" s="213"/>
      <c r="AA421" s="213"/>
      <c r="AB421" s="213"/>
      <c r="AC421" s="213"/>
      <c r="AD421" s="213"/>
      <c r="AE421" s="213"/>
      <c r="AF421" s="213"/>
      <c r="AG421" s="213"/>
      <c r="AH421" s="213"/>
      <c r="AI421" s="213"/>
      <c r="AJ421" s="213"/>
      <c r="AK421" s="213"/>
      <c r="AL421" s="213"/>
      <c r="AM421" s="213"/>
      <c r="AN421" s="213"/>
      <c r="AO421" s="213"/>
      <c r="AP421" s="213"/>
      <c r="AQ421" s="213"/>
      <c r="AR421" s="213"/>
      <c r="AS421" s="213"/>
      <c r="AT421" s="213"/>
      <c r="AU421" s="213"/>
      <c r="AV421" s="213"/>
      <c r="AW421" s="213"/>
      <c r="AX421" s="213"/>
      <c r="AY421" s="213"/>
      <c r="AZ421" s="213"/>
      <c r="BA421" s="213"/>
      <c r="BB421" s="213"/>
    </row>
    <row r="422" ht="15.75" customHeight="1">
      <c r="A422" s="213"/>
      <c r="B422" s="213"/>
      <c r="C422" s="213"/>
      <c r="D422" s="213"/>
      <c r="E422" s="213"/>
      <c r="F422" s="213"/>
      <c r="G422" s="213"/>
      <c r="H422" s="213"/>
      <c r="I422" s="213"/>
      <c r="J422" s="213"/>
      <c r="K422" s="215"/>
      <c r="L422" s="213"/>
      <c r="M422" s="215"/>
      <c r="N422" s="213"/>
      <c r="O422" s="213"/>
      <c r="P422" s="213"/>
      <c r="Q422" s="213"/>
      <c r="R422" s="213"/>
      <c r="S422" s="213"/>
      <c r="T422" s="213"/>
      <c r="U422" s="213"/>
      <c r="V422" s="213"/>
      <c r="W422" s="213"/>
      <c r="X422" s="213"/>
      <c r="Y422" s="213"/>
      <c r="Z422" s="213"/>
      <c r="AA422" s="213"/>
      <c r="AB422" s="213"/>
      <c r="AC422" s="213"/>
      <c r="AD422" s="213"/>
      <c r="AE422" s="213"/>
      <c r="AF422" s="213"/>
      <c r="AG422" s="213"/>
      <c r="AH422" s="213"/>
      <c r="AI422" s="213"/>
      <c r="AJ422" s="213"/>
      <c r="AK422" s="213"/>
      <c r="AL422" s="213"/>
      <c r="AM422" s="213"/>
      <c r="AN422" s="213"/>
      <c r="AO422" s="213"/>
      <c r="AP422" s="213"/>
      <c r="AQ422" s="213"/>
      <c r="AR422" s="213"/>
      <c r="AS422" s="213"/>
      <c r="AT422" s="213"/>
      <c r="AU422" s="213"/>
      <c r="AV422" s="213"/>
      <c r="AW422" s="213"/>
      <c r="AX422" s="213"/>
      <c r="AY422" s="213"/>
      <c r="AZ422" s="213"/>
      <c r="BA422" s="213"/>
      <c r="BB422" s="213"/>
    </row>
    <row r="423" ht="15.75" customHeight="1">
      <c r="A423" s="213"/>
      <c r="B423" s="213"/>
      <c r="C423" s="213"/>
      <c r="D423" s="213"/>
      <c r="E423" s="213"/>
      <c r="F423" s="213"/>
      <c r="G423" s="213"/>
      <c r="H423" s="213"/>
      <c r="I423" s="213"/>
      <c r="J423" s="213"/>
      <c r="K423" s="215"/>
      <c r="L423" s="213"/>
      <c r="M423" s="215"/>
      <c r="N423" s="213"/>
      <c r="O423" s="213"/>
      <c r="P423" s="213"/>
      <c r="Q423" s="213"/>
      <c r="R423" s="213"/>
      <c r="S423" s="213"/>
      <c r="T423" s="213"/>
      <c r="U423" s="213"/>
      <c r="V423" s="213"/>
      <c r="W423" s="213"/>
      <c r="X423" s="213"/>
      <c r="Y423" s="213"/>
      <c r="Z423" s="213"/>
      <c r="AA423" s="213"/>
      <c r="AB423" s="213"/>
      <c r="AC423" s="213"/>
      <c r="AD423" s="213"/>
      <c r="AE423" s="213"/>
      <c r="AF423" s="213"/>
      <c r="AG423" s="213"/>
      <c r="AH423" s="213"/>
      <c r="AI423" s="213"/>
      <c r="AJ423" s="213"/>
      <c r="AK423" s="213"/>
      <c r="AL423" s="213"/>
      <c r="AM423" s="213"/>
      <c r="AN423" s="213"/>
      <c r="AO423" s="213"/>
      <c r="AP423" s="213"/>
      <c r="AQ423" s="213"/>
      <c r="AR423" s="213"/>
      <c r="AS423" s="213"/>
      <c r="AT423" s="213"/>
      <c r="AU423" s="213"/>
      <c r="AV423" s="213"/>
      <c r="AW423" s="213"/>
      <c r="AX423" s="213"/>
      <c r="AY423" s="213"/>
      <c r="AZ423" s="213"/>
      <c r="BA423" s="213"/>
      <c r="BB423" s="213"/>
    </row>
    <row r="424" ht="15.75" customHeight="1">
      <c r="A424" s="213"/>
      <c r="B424" s="213"/>
      <c r="C424" s="213"/>
      <c r="D424" s="213"/>
      <c r="E424" s="213"/>
      <c r="F424" s="213"/>
      <c r="G424" s="213"/>
      <c r="H424" s="213"/>
      <c r="I424" s="213"/>
      <c r="J424" s="213"/>
      <c r="K424" s="215"/>
      <c r="L424" s="213"/>
      <c r="M424" s="215"/>
      <c r="N424" s="213"/>
      <c r="O424" s="213"/>
      <c r="P424" s="213"/>
      <c r="Q424" s="213"/>
      <c r="R424" s="213"/>
      <c r="S424" s="213"/>
      <c r="T424" s="213"/>
      <c r="U424" s="213"/>
      <c r="V424" s="213"/>
      <c r="W424" s="213"/>
      <c r="X424" s="213"/>
      <c r="Y424" s="213"/>
      <c r="Z424" s="213"/>
      <c r="AA424" s="213"/>
      <c r="AB424" s="213"/>
      <c r="AC424" s="213"/>
      <c r="AD424" s="213"/>
      <c r="AE424" s="213"/>
      <c r="AF424" s="213"/>
      <c r="AG424" s="213"/>
      <c r="AH424" s="213"/>
      <c r="AI424" s="213"/>
      <c r="AJ424" s="213"/>
      <c r="AK424" s="213"/>
      <c r="AL424" s="213"/>
      <c r="AM424" s="213"/>
      <c r="AN424" s="213"/>
      <c r="AO424" s="213"/>
      <c r="AP424" s="213"/>
      <c r="AQ424" s="213"/>
      <c r="AR424" s="213"/>
      <c r="AS424" s="213"/>
      <c r="AT424" s="213"/>
      <c r="AU424" s="213"/>
      <c r="AV424" s="213"/>
      <c r="AW424" s="213"/>
      <c r="AX424" s="213"/>
      <c r="AY424" s="213"/>
      <c r="AZ424" s="213"/>
      <c r="BA424" s="213"/>
      <c r="BB424" s="213"/>
    </row>
    <row r="425" ht="15.75" customHeight="1">
      <c r="A425" s="213"/>
      <c r="B425" s="213"/>
      <c r="C425" s="213"/>
      <c r="D425" s="213"/>
      <c r="E425" s="213"/>
      <c r="F425" s="213"/>
      <c r="G425" s="213"/>
      <c r="H425" s="213"/>
      <c r="I425" s="213"/>
      <c r="J425" s="213"/>
      <c r="K425" s="215"/>
      <c r="L425" s="213"/>
      <c r="M425" s="215"/>
      <c r="N425" s="213"/>
      <c r="O425" s="213"/>
      <c r="P425" s="213"/>
      <c r="Q425" s="213"/>
      <c r="R425" s="213"/>
      <c r="S425" s="213"/>
      <c r="T425" s="213"/>
      <c r="U425" s="213"/>
      <c r="V425" s="213"/>
      <c r="W425" s="213"/>
      <c r="X425" s="213"/>
      <c r="Y425" s="213"/>
      <c r="Z425" s="213"/>
      <c r="AA425" s="213"/>
      <c r="AB425" s="213"/>
      <c r="AC425" s="213"/>
      <c r="AD425" s="213"/>
      <c r="AE425" s="213"/>
      <c r="AF425" s="213"/>
      <c r="AG425" s="213"/>
      <c r="AH425" s="213"/>
      <c r="AI425" s="213"/>
      <c r="AJ425" s="213"/>
      <c r="AK425" s="213"/>
      <c r="AL425" s="213"/>
      <c r="AM425" s="213"/>
      <c r="AN425" s="213"/>
      <c r="AO425" s="213"/>
      <c r="AP425" s="213"/>
      <c r="AQ425" s="213"/>
      <c r="AR425" s="213"/>
      <c r="AS425" s="213"/>
      <c r="AT425" s="213"/>
      <c r="AU425" s="213"/>
      <c r="AV425" s="213"/>
      <c r="AW425" s="213"/>
      <c r="AX425" s="213"/>
      <c r="AY425" s="213"/>
      <c r="AZ425" s="213"/>
      <c r="BA425" s="213"/>
      <c r="BB425" s="213"/>
    </row>
    <row r="426" ht="15.75" customHeight="1">
      <c r="A426" s="213"/>
      <c r="B426" s="213"/>
      <c r="C426" s="213"/>
      <c r="D426" s="213"/>
      <c r="E426" s="213"/>
      <c r="F426" s="213"/>
      <c r="G426" s="213"/>
      <c r="H426" s="213"/>
      <c r="I426" s="213"/>
      <c r="J426" s="213"/>
      <c r="K426" s="215"/>
      <c r="L426" s="213"/>
      <c r="M426" s="215"/>
      <c r="N426" s="213"/>
      <c r="O426" s="213"/>
      <c r="P426" s="213"/>
      <c r="Q426" s="213"/>
      <c r="R426" s="213"/>
      <c r="S426" s="213"/>
      <c r="T426" s="213"/>
      <c r="U426" s="213"/>
      <c r="V426" s="213"/>
      <c r="W426" s="213"/>
      <c r="X426" s="213"/>
      <c r="Y426" s="213"/>
      <c r="Z426" s="213"/>
      <c r="AA426" s="213"/>
      <c r="AB426" s="213"/>
      <c r="AC426" s="213"/>
      <c r="AD426" s="213"/>
      <c r="AE426" s="213"/>
      <c r="AF426" s="213"/>
      <c r="AG426" s="213"/>
      <c r="AH426" s="213"/>
      <c r="AI426" s="213"/>
      <c r="AJ426" s="213"/>
      <c r="AK426" s="213"/>
      <c r="AL426" s="213"/>
      <c r="AM426" s="213"/>
      <c r="AN426" s="213"/>
      <c r="AO426" s="213"/>
      <c r="AP426" s="213"/>
      <c r="AQ426" s="213"/>
      <c r="AR426" s="213"/>
      <c r="AS426" s="213"/>
      <c r="AT426" s="213"/>
      <c r="AU426" s="213"/>
      <c r="AV426" s="213"/>
      <c r="AW426" s="213"/>
      <c r="AX426" s="213"/>
      <c r="AY426" s="213"/>
      <c r="AZ426" s="213"/>
      <c r="BA426" s="213"/>
      <c r="BB426" s="213"/>
    </row>
    <row r="427" ht="15.75" customHeight="1">
      <c r="A427" s="213"/>
      <c r="B427" s="213"/>
      <c r="C427" s="213"/>
      <c r="D427" s="213"/>
      <c r="E427" s="213"/>
      <c r="F427" s="213"/>
      <c r="G427" s="213"/>
      <c r="H427" s="213"/>
      <c r="I427" s="213"/>
      <c r="J427" s="213"/>
      <c r="K427" s="215"/>
      <c r="L427" s="213"/>
      <c r="M427" s="215"/>
      <c r="N427" s="213"/>
      <c r="O427" s="213"/>
      <c r="P427" s="213"/>
      <c r="Q427" s="213"/>
      <c r="R427" s="213"/>
      <c r="S427" s="213"/>
      <c r="T427" s="213"/>
      <c r="U427" s="213"/>
      <c r="V427" s="213"/>
      <c r="W427" s="213"/>
      <c r="X427" s="213"/>
      <c r="Y427" s="213"/>
      <c r="Z427" s="213"/>
      <c r="AA427" s="213"/>
      <c r="AB427" s="213"/>
      <c r="AC427" s="213"/>
      <c r="AD427" s="213"/>
      <c r="AE427" s="213"/>
      <c r="AF427" s="213"/>
      <c r="AG427" s="213"/>
      <c r="AH427" s="213"/>
      <c r="AI427" s="213"/>
      <c r="AJ427" s="213"/>
      <c r="AK427" s="213"/>
      <c r="AL427" s="213"/>
      <c r="AM427" s="213"/>
      <c r="AN427" s="213"/>
      <c r="AO427" s="213"/>
      <c r="AP427" s="213"/>
      <c r="AQ427" s="213"/>
      <c r="AR427" s="213"/>
      <c r="AS427" s="213"/>
      <c r="AT427" s="213"/>
      <c r="AU427" s="213"/>
      <c r="AV427" s="213"/>
      <c r="AW427" s="213"/>
      <c r="AX427" s="213"/>
      <c r="AY427" s="213"/>
      <c r="AZ427" s="213"/>
      <c r="BA427" s="213"/>
      <c r="BB427" s="213"/>
    </row>
    <row r="428" ht="15.75" customHeight="1">
      <c r="A428" s="213"/>
      <c r="B428" s="213"/>
      <c r="C428" s="213"/>
      <c r="D428" s="213"/>
      <c r="E428" s="213"/>
      <c r="F428" s="213"/>
      <c r="G428" s="213"/>
      <c r="H428" s="213"/>
      <c r="I428" s="213"/>
      <c r="J428" s="213"/>
      <c r="K428" s="215"/>
      <c r="L428" s="213"/>
      <c r="M428" s="215"/>
      <c r="N428" s="213"/>
      <c r="O428" s="213"/>
      <c r="P428" s="213"/>
      <c r="Q428" s="213"/>
      <c r="R428" s="213"/>
      <c r="S428" s="213"/>
      <c r="T428" s="213"/>
      <c r="U428" s="213"/>
      <c r="V428" s="213"/>
      <c r="W428" s="213"/>
      <c r="X428" s="213"/>
      <c r="Y428" s="213"/>
      <c r="Z428" s="213"/>
      <c r="AA428" s="213"/>
      <c r="AB428" s="213"/>
      <c r="AC428" s="213"/>
      <c r="AD428" s="213"/>
      <c r="AE428" s="213"/>
      <c r="AF428" s="213"/>
      <c r="AG428" s="213"/>
      <c r="AH428" s="213"/>
      <c r="AI428" s="213"/>
      <c r="AJ428" s="213"/>
      <c r="AK428" s="213"/>
      <c r="AL428" s="213"/>
      <c r="AM428" s="213"/>
      <c r="AN428" s="213"/>
      <c r="AO428" s="213"/>
      <c r="AP428" s="213"/>
      <c r="AQ428" s="213"/>
      <c r="AR428" s="213"/>
      <c r="AS428" s="213"/>
      <c r="AT428" s="213"/>
      <c r="AU428" s="213"/>
      <c r="AV428" s="213"/>
      <c r="AW428" s="213"/>
      <c r="AX428" s="213"/>
      <c r="AY428" s="213"/>
      <c r="AZ428" s="213"/>
      <c r="BA428" s="213"/>
      <c r="BB428" s="213"/>
    </row>
    <row r="429" ht="15.75" customHeight="1">
      <c r="A429" s="213"/>
      <c r="B429" s="213"/>
      <c r="C429" s="213"/>
      <c r="D429" s="213"/>
      <c r="E429" s="213"/>
      <c r="F429" s="213"/>
      <c r="G429" s="213"/>
      <c r="H429" s="213"/>
      <c r="I429" s="213"/>
      <c r="J429" s="213"/>
      <c r="K429" s="215"/>
      <c r="L429" s="213"/>
      <c r="M429" s="215"/>
      <c r="N429" s="213"/>
      <c r="O429" s="213"/>
      <c r="P429" s="213"/>
      <c r="Q429" s="213"/>
      <c r="R429" s="213"/>
      <c r="S429" s="213"/>
      <c r="T429" s="213"/>
      <c r="U429" s="213"/>
      <c r="V429" s="213"/>
      <c r="W429" s="213"/>
      <c r="X429" s="213"/>
      <c r="Y429" s="213"/>
      <c r="Z429" s="213"/>
      <c r="AA429" s="213"/>
      <c r="AB429" s="213"/>
      <c r="AC429" s="213"/>
      <c r="AD429" s="213"/>
      <c r="AE429" s="213"/>
      <c r="AF429" s="213"/>
      <c r="AG429" s="213"/>
      <c r="AH429" s="213"/>
      <c r="AI429" s="213"/>
      <c r="AJ429" s="213"/>
      <c r="AK429" s="213"/>
      <c r="AL429" s="213"/>
      <c r="AM429" s="213"/>
      <c r="AN429" s="213"/>
      <c r="AO429" s="213"/>
      <c r="AP429" s="213"/>
      <c r="AQ429" s="213"/>
      <c r="AR429" s="213"/>
      <c r="AS429" s="213"/>
      <c r="AT429" s="213"/>
      <c r="AU429" s="213"/>
      <c r="AV429" s="213"/>
      <c r="AW429" s="213"/>
      <c r="AX429" s="213"/>
      <c r="AY429" s="213"/>
      <c r="AZ429" s="213"/>
      <c r="BA429" s="213"/>
      <c r="BB429" s="213"/>
    </row>
    <row r="430" ht="15.75" customHeight="1">
      <c r="A430" s="213"/>
      <c r="B430" s="213"/>
      <c r="C430" s="213"/>
      <c r="D430" s="213"/>
      <c r="E430" s="213"/>
      <c r="F430" s="213"/>
      <c r="G430" s="213"/>
      <c r="H430" s="213"/>
      <c r="I430" s="213"/>
      <c r="J430" s="213"/>
      <c r="K430" s="215"/>
      <c r="L430" s="213"/>
      <c r="M430" s="215"/>
      <c r="N430" s="213"/>
      <c r="O430" s="213"/>
      <c r="P430" s="213"/>
      <c r="Q430" s="213"/>
      <c r="R430" s="213"/>
      <c r="S430" s="213"/>
      <c r="T430" s="213"/>
      <c r="U430" s="213"/>
      <c r="V430" s="213"/>
      <c r="W430" s="213"/>
      <c r="X430" s="213"/>
      <c r="Y430" s="213"/>
      <c r="Z430" s="213"/>
      <c r="AA430" s="213"/>
      <c r="AB430" s="213"/>
      <c r="AC430" s="213"/>
      <c r="AD430" s="213"/>
      <c r="AE430" s="213"/>
      <c r="AF430" s="213"/>
      <c r="AG430" s="213"/>
      <c r="AH430" s="213"/>
      <c r="AI430" s="213"/>
      <c r="AJ430" s="213"/>
      <c r="AK430" s="213"/>
      <c r="AL430" s="213"/>
      <c r="AM430" s="213"/>
      <c r="AN430" s="213"/>
      <c r="AO430" s="213"/>
      <c r="AP430" s="213"/>
      <c r="AQ430" s="213"/>
      <c r="AR430" s="213"/>
      <c r="AS430" s="213"/>
      <c r="AT430" s="213"/>
      <c r="AU430" s="213"/>
      <c r="AV430" s="213"/>
      <c r="AW430" s="213"/>
      <c r="AX430" s="213"/>
      <c r="AY430" s="213"/>
      <c r="AZ430" s="213"/>
      <c r="BA430" s="213"/>
      <c r="BB430" s="213"/>
    </row>
    <row r="431" ht="15.75" customHeight="1">
      <c r="A431" s="213"/>
      <c r="B431" s="213"/>
      <c r="C431" s="213"/>
      <c r="D431" s="213"/>
      <c r="E431" s="213"/>
      <c r="F431" s="213"/>
      <c r="G431" s="213"/>
      <c r="H431" s="213"/>
      <c r="I431" s="213"/>
      <c r="J431" s="213"/>
      <c r="K431" s="215"/>
      <c r="L431" s="213"/>
      <c r="M431" s="215"/>
      <c r="N431" s="213"/>
      <c r="O431" s="213"/>
      <c r="P431" s="213"/>
      <c r="Q431" s="213"/>
      <c r="R431" s="213"/>
      <c r="S431" s="213"/>
      <c r="T431" s="213"/>
      <c r="U431" s="213"/>
      <c r="V431" s="213"/>
      <c r="W431" s="213"/>
      <c r="X431" s="213"/>
      <c r="Y431" s="213"/>
      <c r="Z431" s="213"/>
      <c r="AA431" s="213"/>
      <c r="AB431" s="213"/>
      <c r="AC431" s="213"/>
      <c r="AD431" s="213"/>
      <c r="AE431" s="213"/>
      <c r="AF431" s="213"/>
      <c r="AG431" s="213"/>
      <c r="AH431" s="213"/>
      <c r="AI431" s="213"/>
      <c r="AJ431" s="213"/>
      <c r="AK431" s="213"/>
      <c r="AL431" s="213"/>
      <c r="AM431" s="213"/>
      <c r="AN431" s="213"/>
      <c r="AO431" s="213"/>
      <c r="AP431" s="213"/>
      <c r="AQ431" s="213"/>
      <c r="AR431" s="213"/>
      <c r="AS431" s="213"/>
      <c r="AT431" s="213"/>
      <c r="AU431" s="213"/>
      <c r="AV431" s="213"/>
      <c r="AW431" s="213"/>
      <c r="AX431" s="213"/>
      <c r="AY431" s="213"/>
      <c r="AZ431" s="213"/>
      <c r="BA431" s="213"/>
      <c r="BB431" s="213"/>
    </row>
    <row r="432" ht="15.75" customHeight="1">
      <c r="A432" s="213"/>
      <c r="B432" s="213"/>
      <c r="C432" s="213"/>
      <c r="D432" s="213"/>
      <c r="E432" s="213"/>
      <c r="F432" s="213"/>
      <c r="G432" s="213"/>
      <c r="H432" s="213"/>
      <c r="I432" s="213"/>
      <c r="J432" s="213"/>
      <c r="K432" s="215"/>
      <c r="L432" s="213"/>
      <c r="M432" s="215"/>
      <c r="N432" s="213"/>
      <c r="O432" s="213"/>
      <c r="P432" s="213"/>
      <c r="Q432" s="213"/>
      <c r="R432" s="213"/>
      <c r="S432" s="213"/>
      <c r="T432" s="213"/>
      <c r="U432" s="213"/>
      <c r="V432" s="213"/>
      <c r="W432" s="213"/>
      <c r="X432" s="213"/>
      <c r="Y432" s="213"/>
      <c r="Z432" s="213"/>
      <c r="AA432" s="213"/>
      <c r="AB432" s="213"/>
      <c r="AC432" s="213"/>
      <c r="AD432" s="213"/>
      <c r="AE432" s="213"/>
      <c r="AF432" s="213"/>
      <c r="AG432" s="213"/>
      <c r="AH432" s="213"/>
      <c r="AI432" s="213"/>
      <c r="AJ432" s="213"/>
      <c r="AK432" s="213"/>
      <c r="AL432" s="213"/>
      <c r="AM432" s="213"/>
      <c r="AN432" s="213"/>
      <c r="AO432" s="213"/>
      <c r="AP432" s="213"/>
      <c r="AQ432" s="213"/>
      <c r="AR432" s="213"/>
      <c r="AS432" s="213"/>
      <c r="AT432" s="213"/>
      <c r="AU432" s="213"/>
      <c r="AV432" s="213"/>
      <c r="AW432" s="213"/>
      <c r="AX432" s="213"/>
      <c r="AY432" s="213"/>
      <c r="AZ432" s="213"/>
      <c r="BA432" s="213"/>
      <c r="BB432" s="213"/>
    </row>
    <row r="433" ht="15.75" customHeight="1">
      <c r="A433" s="213"/>
      <c r="B433" s="213"/>
      <c r="C433" s="213"/>
      <c r="D433" s="213"/>
      <c r="E433" s="213"/>
      <c r="F433" s="213"/>
      <c r="G433" s="213"/>
      <c r="H433" s="213"/>
      <c r="I433" s="213"/>
      <c r="J433" s="213"/>
      <c r="K433" s="215"/>
      <c r="L433" s="213"/>
      <c r="M433" s="215"/>
      <c r="N433" s="213"/>
      <c r="O433" s="213"/>
      <c r="P433" s="213"/>
      <c r="Q433" s="213"/>
      <c r="R433" s="213"/>
      <c r="S433" s="213"/>
      <c r="T433" s="213"/>
      <c r="U433" s="213"/>
      <c r="V433" s="213"/>
      <c r="W433" s="213"/>
      <c r="X433" s="213"/>
      <c r="Y433" s="213"/>
      <c r="Z433" s="213"/>
      <c r="AA433" s="213"/>
      <c r="AB433" s="213"/>
      <c r="AC433" s="213"/>
      <c r="AD433" s="213"/>
      <c r="AE433" s="213"/>
      <c r="AF433" s="213"/>
      <c r="AG433" s="213"/>
      <c r="AH433" s="213"/>
      <c r="AI433" s="213"/>
      <c r="AJ433" s="213"/>
      <c r="AK433" s="213"/>
      <c r="AL433" s="213"/>
      <c r="AM433" s="213"/>
      <c r="AN433" s="213"/>
      <c r="AO433" s="213"/>
      <c r="AP433" s="213"/>
      <c r="AQ433" s="213"/>
      <c r="AR433" s="213"/>
      <c r="AS433" s="213"/>
      <c r="AT433" s="213"/>
      <c r="AU433" s="213"/>
      <c r="AV433" s="213"/>
      <c r="AW433" s="213"/>
      <c r="AX433" s="213"/>
      <c r="AY433" s="213"/>
      <c r="AZ433" s="213"/>
      <c r="BA433" s="213"/>
      <c r="BB433" s="213"/>
    </row>
    <row r="434" ht="15.75" customHeight="1">
      <c r="A434" s="213"/>
      <c r="B434" s="213"/>
      <c r="C434" s="213"/>
      <c r="D434" s="213"/>
      <c r="E434" s="213"/>
      <c r="F434" s="213"/>
      <c r="G434" s="213"/>
      <c r="H434" s="213"/>
      <c r="I434" s="213"/>
      <c r="J434" s="213"/>
      <c r="K434" s="215"/>
      <c r="L434" s="213"/>
      <c r="M434" s="215"/>
      <c r="N434" s="213"/>
      <c r="O434" s="213"/>
      <c r="P434" s="213"/>
      <c r="Q434" s="213"/>
      <c r="R434" s="213"/>
      <c r="S434" s="213"/>
      <c r="T434" s="213"/>
      <c r="U434" s="213"/>
      <c r="V434" s="213"/>
      <c r="W434" s="213"/>
      <c r="X434" s="213"/>
      <c r="Y434" s="213"/>
      <c r="Z434" s="213"/>
      <c r="AA434" s="213"/>
      <c r="AB434" s="213"/>
      <c r="AC434" s="213"/>
      <c r="AD434" s="213"/>
      <c r="AE434" s="213"/>
      <c r="AF434" s="213"/>
      <c r="AG434" s="213"/>
      <c r="AH434" s="213"/>
      <c r="AI434" s="213"/>
      <c r="AJ434" s="213"/>
      <c r="AK434" s="213"/>
      <c r="AL434" s="213"/>
      <c r="AM434" s="213"/>
      <c r="AN434" s="213"/>
      <c r="AO434" s="213"/>
      <c r="AP434" s="213"/>
      <c r="AQ434" s="213"/>
      <c r="AR434" s="213"/>
      <c r="AS434" s="213"/>
      <c r="AT434" s="213"/>
      <c r="AU434" s="213"/>
      <c r="AV434" s="213"/>
      <c r="AW434" s="213"/>
      <c r="AX434" s="213"/>
      <c r="AY434" s="213"/>
      <c r="AZ434" s="213"/>
      <c r="BA434" s="213"/>
      <c r="BB434" s="213"/>
    </row>
    <row r="435" ht="15.75" customHeight="1">
      <c r="A435" s="213"/>
      <c r="B435" s="213"/>
      <c r="C435" s="213"/>
      <c r="D435" s="213"/>
      <c r="E435" s="213"/>
      <c r="F435" s="213"/>
      <c r="G435" s="213"/>
      <c r="H435" s="213"/>
      <c r="I435" s="213"/>
      <c r="J435" s="213"/>
      <c r="K435" s="215"/>
      <c r="L435" s="213"/>
      <c r="M435" s="215"/>
      <c r="N435" s="213"/>
      <c r="O435" s="213"/>
      <c r="P435" s="213"/>
      <c r="Q435" s="213"/>
      <c r="R435" s="213"/>
      <c r="S435" s="213"/>
      <c r="T435" s="213"/>
      <c r="U435" s="213"/>
      <c r="V435" s="213"/>
      <c r="W435" s="213"/>
      <c r="X435" s="213"/>
      <c r="Y435" s="213"/>
      <c r="Z435" s="213"/>
      <c r="AA435" s="213"/>
      <c r="AB435" s="213"/>
      <c r="AC435" s="213"/>
      <c r="AD435" s="213"/>
      <c r="AE435" s="213"/>
      <c r="AF435" s="213"/>
      <c r="AG435" s="213"/>
      <c r="AH435" s="213"/>
      <c r="AI435" s="213"/>
      <c r="AJ435" s="213"/>
      <c r="AK435" s="213"/>
      <c r="AL435" s="213"/>
      <c r="AM435" s="213"/>
      <c r="AN435" s="213"/>
      <c r="AO435" s="213"/>
      <c r="AP435" s="213"/>
      <c r="AQ435" s="213"/>
      <c r="AR435" s="213"/>
      <c r="AS435" s="213"/>
      <c r="AT435" s="213"/>
      <c r="AU435" s="213"/>
      <c r="AV435" s="213"/>
      <c r="AW435" s="213"/>
      <c r="AX435" s="213"/>
      <c r="AY435" s="213"/>
      <c r="AZ435" s="213"/>
      <c r="BA435" s="213"/>
      <c r="BB435" s="213"/>
    </row>
    <row r="436" ht="15.75" customHeight="1">
      <c r="A436" s="213"/>
      <c r="B436" s="213"/>
      <c r="C436" s="213"/>
      <c r="D436" s="213"/>
      <c r="E436" s="213"/>
      <c r="F436" s="213"/>
      <c r="G436" s="213"/>
      <c r="H436" s="213"/>
      <c r="I436" s="213"/>
      <c r="J436" s="213"/>
      <c r="K436" s="215"/>
      <c r="L436" s="213"/>
      <c r="M436" s="215"/>
      <c r="N436" s="213"/>
      <c r="O436" s="213"/>
      <c r="P436" s="213"/>
      <c r="Q436" s="213"/>
      <c r="R436" s="213"/>
      <c r="S436" s="213"/>
      <c r="T436" s="213"/>
      <c r="U436" s="213"/>
      <c r="V436" s="213"/>
      <c r="W436" s="213"/>
      <c r="X436" s="213"/>
      <c r="Y436" s="213"/>
      <c r="Z436" s="213"/>
      <c r="AA436" s="213"/>
      <c r="AB436" s="213"/>
      <c r="AC436" s="213"/>
      <c r="AD436" s="213"/>
      <c r="AE436" s="213"/>
      <c r="AF436" s="213"/>
      <c r="AG436" s="213"/>
      <c r="AH436" s="213"/>
      <c r="AI436" s="213"/>
      <c r="AJ436" s="213"/>
      <c r="AK436" s="213"/>
      <c r="AL436" s="213"/>
      <c r="AM436" s="213"/>
      <c r="AN436" s="213"/>
      <c r="AO436" s="213"/>
      <c r="AP436" s="213"/>
      <c r="AQ436" s="213"/>
      <c r="AR436" s="213"/>
      <c r="AS436" s="213"/>
      <c r="AT436" s="213"/>
      <c r="AU436" s="213"/>
      <c r="AV436" s="213"/>
      <c r="AW436" s="213"/>
      <c r="AX436" s="213"/>
      <c r="AY436" s="213"/>
      <c r="AZ436" s="213"/>
      <c r="BA436" s="213"/>
      <c r="BB436" s="213"/>
    </row>
    <row r="437" ht="15.75" customHeight="1">
      <c r="A437" s="213"/>
      <c r="B437" s="213"/>
      <c r="C437" s="213"/>
      <c r="D437" s="213"/>
      <c r="E437" s="213"/>
      <c r="F437" s="213"/>
      <c r="G437" s="213"/>
      <c r="H437" s="213"/>
      <c r="I437" s="213"/>
      <c r="J437" s="213"/>
      <c r="K437" s="215"/>
      <c r="L437" s="213"/>
      <c r="M437" s="215"/>
      <c r="N437" s="213"/>
      <c r="O437" s="213"/>
      <c r="P437" s="213"/>
      <c r="Q437" s="213"/>
      <c r="R437" s="213"/>
      <c r="S437" s="213"/>
      <c r="T437" s="213"/>
      <c r="U437" s="213"/>
      <c r="V437" s="213"/>
      <c r="W437" s="213"/>
      <c r="X437" s="213"/>
      <c r="Y437" s="213"/>
      <c r="Z437" s="213"/>
      <c r="AA437" s="213"/>
      <c r="AB437" s="213"/>
      <c r="AC437" s="213"/>
      <c r="AD437" s="213"/>
      <c r="AE437" s="213"/>
      <c r="AF437" s="213"/>
      <c r="AG437" s="213"/>
      <c r="AH437" s="213"/>
      <c r="AI437" s="213"/>
      <c r="AJ437" s="213"/>
      <c r="AK437" s="213"/>
      <c r="AL437" s="213"/>
      <c r="AM437" s="213"/>
      <c r="AN437" s="213"/>
      <c r="AO437" s="213"/>
      <c r="AP437" s="213"/>
      <c r="AQ437" s="213"/>
      <c r="AR437" s="213"/>
      <c r="AS437" s="213"/>
      <c r="AT437" s="213"/>
      <c r="AU437" s="213"/>
      <c r="AV437" s="213"/>
      <c r="AW437" s="213"/>
      <c r="AX437" s="213"/>
      <c r="AY437" s="213"/>
      <c r="AZ437" s="213"/>
      <c r="BA437" s="213"/>
      <c r="BB437" s="213"/>
    </row>
    <row r="438" ht="15.75" customHeight="1">
      <c r="A438" s="213"/>
      <c r="B438" s="213"/>
      <c r="C438" s="213"/>
      <c r="D438" s="213"/>
      <c r="E438" s="213"/>
      <c r="F438" s="213"/>
      <c r="G438" s="213"/>
      <c r="H438" s="213"/>
      <c r="I438" s="213"/>
      <c r="J438" s="213"/>
      <c r="K438" s="215"/>
      <c r="L438" s="213"/>
      <c r="M438" s="215"/>
      <c r="N438" s="213"/>
      <c r="O438" s="213"/>
      <c r="P438" s="213"/>
      <c r="Q438" s="213"/>
      <c r="R438" s="213"/>
      <c r="S438" s="213"/>
      <c r="T438" s="213"/>
      <c r="U438" s="213"/>
      <c r="V438" s="213"/>
      <c r="W438" s="213"/>
      <c r="X438" s="213"/>
      <c r="Y438" s="213"/>
      <c r="Z438" s="213"/>
      <c r="AA438" s="213"/>
      <c r="AB438" s="213"/>
      <c r="AC438" s="213"/>
      <c r="AD438" s="213"/>
      <c r="AE438" s="213"/>
      <c r="AF438" s="213"/>
      <c r="AG438" s="213"/>
      <c r="AH438" s="213"/>
      <c r="AI438" s="213"/>
      <c r="AJ438" s="213"/>
      <c r="AK438" s="213"/>
      <c r="AL438" s="213"/>
      <c r="AM438" s="213"/>
      <c r="AN438" s="213"/>
      <c r="AO438" s="213"/>
      <c r="AP438" s="213"/>
      <c r="AQ438" s="213"/>
      <c r="AR438" s="213"/>
      <c r="AS438" s="213"/>
      <c r="AT438" s="213"/>
      <c r="AU438" s="213"/>
      <c r="AV438" s="213"/>
      <c r="AW438" s="213"/>
      <c r="AX438" s="213"/>
      <c r="AY438" s="213"/>
      <c r="AZ438" s="213"/>
      <c r="BA438" s="213"/>
      <c r="BB438" s="213"/>
    </row>
    <row r="439" ht="15.75" customHeight="1">
      <c r="A439" s="213"/>
      <c r="B439" s="213"/>
      <c r="C439" s="213"/>
      <c r="D439" s="213"/>
      <c r="E439" s="213"/>
      <c r="F439" s="213"/>
      <c r="G439" s="213"/>
      <c r="H439" s="213"/>
      <c r="I439" s="213"/>
      <c r="J439" s="213"/>
      <c r="K439" s="215"/>
      <c r="L439" s="213"/>
      <c r="M439" s="215"/>
      <c r="N439" s="213"/>
      <c r="O439" s="213"/>
      <c r="P439" s="213"/>
      <c r="Q439" s="213"/>
      <c r="R439" s="213"/>
      <c r="S439" s="213"/>
      <c r="T439" s="213"/>
      <c r="U439" s="213"/>
      <c r="V439" s="213"/>
      <c r="W439" s="213"/>
      <c r="X439" s="213"/>
      <c r="Y439" s="213"/>
      <c r="Z439" s="213"/>
      <c r="AA439" s="213"/>
      <c r="AB439" s="213"/>
      <c r="AC439" s="213"/>
      <c r="AD439" s="213"/>
      <c r="AE439" s="213"/>
      <c r="AF439" s="213"/>
      <c r="AG439" s="213"/>
      <c r="AH439" s="213"/>
      <c r="AI439" s="213"/>
      <c r="AJ439" s="213"/>
      <c r="AK439" s="213"/>
      <c r="AL439" s="213"/>
      <c r="AM439" s="213"/>
      <c r="AN439" s="213"/>
      <c r="AO439" s="213"/>
      <c r="AP439" s="213"/>
      <c r="AQ439" s="213"/>
      <c r="AR439" s="213"/>
      <c r="AS439" s="213"/>
      <c r="AT439" s="213"/>
      <c r="AU439" s="213"/>
      <c r="AV439" s="213"/>
      <c r="AW439" s="213"/>
      <c r="AX439" s="213"/>
      <c r="AY439" s="213"/>
      <c r="AZ439" s="213"/>
      <c r="BA439" s="213"/>
      <c r="BB439" s="213"/>
    </row>
    <row r="440" ht="15.75" customHeight="1">
      <c r="A440" s="213"/>
      <c r="B440" s="213"/>
      <c r="C440" s="213"/>
      <c r="D440" s="213"/>
      <c r="E440" s="213"/>
      <c r="F440" s="213"/>
      <c r="G440" s="213"/>
      <c r="H440" s="213"/>
      <c r="I440" s="213"/>
      <c r="J440" s="213"/>
      <c r="K440" s="215"/>
      <c r="L440" s="213"/>
      <c r="M440" s="215"/>
      <c r="N440" s="213"/>
      <c r="O440" s="213"/>
      <c r="P440" s="213"/>
      <c r="Q440" s="213"/>
      <c r="R440" s="213"/>
      <c r="S440" s="213"/>
      <c r="T440" s="213"/>
      <c r="U440" s="213"/>
      <c r="V440" s="213"/>
      <c r="W440" s="213"/>
      <c r="X440" s="213"/>
      <c r="Y440" s="213"/>
      <c r="Z440" s="213"/>
      <c r="AA440" s="213"/>
      <c r="AB440" s="213"/>
      <c r="AC440" s="213"/>
      <c r="AD440" s="213"/>
      <c r="AE440" s="213"/>
      <c r="AF440" s="213"/>
      <c r="AG440" s="213"/>
      <c r="AH440" s="213"/>
      <c r="AI440" s="213"/>
      <c r="AJ440" s="213"/>
      <c r="AK440" s="213"/>
      <c r="AL440" s="213"/>
      <c r="AM440" s="213"/>
      <c r="AN440" s="213"/>
      <c r="AO440" s="213"/>
      <c r="AP440" s="213"/>
      <c r="AQ440" s="213"/>
      <c r="AR440" s="213"/>
      <c r="AS440" s="213"/>
      <c r="AT440" s="213"/>
      <c r="AU440" s="213"/>
      <c r="AV440" s="213"/>
      <c r="AW440" s="213"/>
      <c r="AX440" s="213"/>
      <c r="AY440" s="213"/>
      <c r="AZ440" s="213"/>
      <c r="BA440" s="213"/>
      <c r="BB440" s="213"/>
    </row>
    <row r="441" ht="15.75" customHeight="1">
      <c r="A441" s="213"/>
      <c r="B441" s="213"/>
      <c r="C441" s="213"/>
      <c r="D441" s="213"/>
      <c r="E441" s="213"/>
      <c r="F441" s="213"/>
      <c r="G441" s="213"/>
      <c r="H441" s="213"/>
      <c r="I441" s="213"/>
      <c r="J441" s="213"/>
      <c r="K441" s="215"/>
      <c r="L441" s="213"/>
      <c r="M441" s="215"/>
      <c r="N441" s="213"/>
      <c r="O441" s="213"/>
      <c r="P441" s="213"/>
      <c r="Q441" s="213"/>
      <c r="R441" s="213"/>
      <c r="S441" s="213"/>
      <c r="T441" s="213"/>
      <c r="U441" s="213"/>
      <c r="V441" s="213"/>
      <c r="W441" s="213"/>
      <c r="X441" s="213"/>
      <c r="Y441" s="213"/>
      <c r="Z441" s="213"/>
      <c r="AA441" s="213"/>
      <c r="AB441" s="213"/>
      <c r="AC441" s="213"/>
      <c r="AD441" s="213"/>
      <c r="AE441" s="213"/>
      <c r="AF441" s="213"/>
      <c r="AG441" s="213"/>
      <c r="AH441" s="213"/>
      <c r="AI441" s="213"/>
      <c r="AJ441" s="213"/>
      <c r="AK441" s="213"/>
      <c r="AL441" s="213"/>
      <c r="AM441" s="213"/>
      <c r="AN441" s="213"/>
      <c r="AO441" s="213"/>
      <c r="AP441" s="213"/>
      <c r="AQ441" s="213"/>
      <c r="AR441" s="213"/>
      <c r="AS441" s="213"/>
      <c r="AT441" s="213"/>
      <c r="AU441" s="213"/>
      <c r="AV441" s="213"/>
      <c r="AW441" s="213"/>
      <c r="AX441" s="213"/>
      <c r="AY441" s="213"/>
      <c r="AZ441" s="213"/>
      <c r="BA441" s="213"/>
      <c r="BB441" s="213"/>
    </row>
    <row r="442" ht="15.75" customHeight="1">
      <c r="A442" s="213"/>
      <c r="B442" s="213"/>
      <c r="C442" s="213"/>
      <c r="D442" s="213"/>
      <c r="E442" s="213"/>
      <c r="F442" s="213"/>
      <c r="G442" s="213"/>
      <c r="H442" s="213"/>
      <c r="I442" s="213"/>
      <c r="J442" s="213"/>
      <c r="K442" s="215"/>
      <c r="L442" s="213"/>
      <c r="M442" s="215"/>
      <c r="N442" s="213"/>
      <c r="O442" s="213"/>
      <c r="P442" s="213"/>
      <c r="Q442" s="213"/>
      <c r="R442" s="213"/>
      <c r="S442" s="213"/>
      <c r="T442" s="213"/>
      <c r="U442" s="213"/>
      <c r="V442" s="213"/>
      <c r="W442" s="213"/>
      <c r="X442" s="213"/>
      <c r="Y442" s="213"/>
      <c r="Z442" s="213"/>
      <c r="AA442" s="213"/>
      <c r="AB442" s="213"/>
      <c r="AC442" s="213"/>
      <c r="AD442" s="213"/>
      <c r="AE442" s="213"/>
      <c r="AF442" s="213"/>
      <c r="AG442" s="213"/>
      <c r="AH442" s="213"/>
      <c r="AI442" s="213"/>
      <c r="AJ442" s="213"/>
      <c r="AK442" s="213"/>
      <c r="AL442" s="213"/>
      <c r="AM442" s="213"/>
      <c r="AN442" s="213"/>
      <c r="AO442" s="213"/>
      <c r="AP442" s="213"/>
      <c r="AQ442" s="213"/>
      <c r="AR442" s="213"/>
      <c r="AS442" s="213"/>
      <c r="AT442" s="213"/>
      <c r="AU442" s="213"/>
      <c r="AV442" s="213"/>
      <c r="AW442" s="213"/>
      <c r="AX442" s="213"/>
      <c r="AY442" s="213"/>
      <c r="AZ442" s="213"/>
      <c r="BA442" s="213"/>
      <c r="BB442" s="213"/>
    </row>
    <row r="443" ht="15.75" customHeight="1">
      <c r="A443" s="213"/>
      <c r="B443" s="213"/>
      <c r="C443" s="213"/>
      <c r="D443" s="213"/>
      <c r="E443" s="213"/>
      <c r="F443" s="213"/>
      <c r="G443" s="213"/>
      <c r="H443" s="213"/>
      <c r="I443" s="213"/>
      <c r="J443" s="213"/>
      <c r="K443" s="215"/>
      <c r="L443" s="213"/>
      <c r="M443" s="215"/>
      <c r="N443" s="213"/>
      <c r="O443" s="213"/>
      <c r="P443" s="213"/>
      <c r="Q443" s="213"/>
      <c r="R443" s="213"/>
      <c r="S443" s="213"/>
      <c r="T443" s="213"/>
      <c r="U443" s="213"/>
      <c r="V443" s="213"/>
      <c r="W443" s="213"/>
      <c r="X443" s="213"/>
      <c r="Y443" s="213"/>
      <c r="Z443" s="213"/>
      <c r="AA443" s="213"/>
      <c r="AB443" s="213"/>
      <c r="AC443" s="213"/>
      <c r="AD443" s="213"/>
      <c r="AE443" s="213"/>
      <c r="AF443" s="213"/>
      <c r="AG443" s="213"/>
      <c r="AH443" s="213"/>
      <c r="AI443" s="213"/>
      <c r="AJ443" s="213"/>
      <c r="AK443" s="213"/>
      <c r="AL443" s="213"/>
      <c r="AM443" s="213"/>
      <c r="AN443" s="213"/>
      <c r="AO443" s="213"/>
      <c r="AP443" s="213"/>
      <c r="AQ443" s="213"/>
      <c r="AR443" s="213"/>
      <c r="AS443" s="213"/>
      <c r="AT443" s="213"/>
      <c r="AU443" s="213"/>
      <c r="AV443" s="213"/>
      <c r="AW443" s="213"/>
      <c r="AX443" s="213"/>
      <c r="AY443" s="213"/>
      <c r="AZ443" s="213"/>
      <c r="BA443" s="213"/>
      <c r="BB443" s="213"/>
    </row>
    <row r="444" ht="15.75" customHeight="1">
      <c r="A444" s="213"/>
      <c r="B444" s="213"/>
      <c r="C444" s="213"/>
      <c r="D444" s="213"/>
      <c r="E444" s="213"/>
      <c r="F444" s="213"/>
      <c r="G444" s="213"/>
      <c r="H444" s="213"/>
      <c r="I444" s="213"/>
      <c r="J444" s="213"/>
      <c r="K444" s="215"/>
      <c r="L444" s="213"/>
      <c r="M444" s="215"/>
      <c r="N444" s="213"/>
      <c r="O444" s="213"/>
      <c r="P444" s="213"/>
      <c r="Q444" s="213"/>
      <c r="R444" s="213"/>
      <c r="S444" s="213"/>
      <c r="T444" s="213"/>
      <c r="U444" s="213"/>
      <c r="V444" s="213"/>
      <c r="W444" s="213"/>
      <c r="X444" s="213"/>
      <c r="Y444" s="213"/>
      <c r="Z444" s="213"/>
      <c r="AA444" s="213"/>
      <c r="AB444" s="213"/>
      <c r="AC444" s="213"/>
      <c r="AD444" s="213"/>
      <c r="AE444" s="213"/>
      <c r="AF444" s="213"/>
      <c r="AG444" s="213"/>
      <c r="AH444" s="213"/>
      <c r="AI444" s="213"/>
      <c r="AJ444" s="213"/>
      <c r="AK444" s="213"/>
      <c r="AL444" s="213"/>
      <c r="AM444" s="213"/>
      <c r="AN444" s="213"/>
      <c r="AO444" s="213"/>
      <c r="AP444" s="213"/>
      <c r="AQ444" s="213"/>
      <c r="AR444" s="213"/>
      <c r="AS444" s="213"/>
      <c r="AT444" s="213"/>
      <c r="AU444" s="213"/>
      <c r="AV444" s="213"/>
      <c r="AW444" s="213"/>
      <c r="AX444" s="213"/>
      <c r="AY444" s="213"/>
      <c r="AZ444" s="213"/>
      <c r="BA444" s="213"/>
      <c r="BB444" s="213"/>
    </row>
    <row r="445" ht="15.75" customHeight="1">
      <c r="A445" s="213"/>
      <c r="B445" s="213"/>
      <c r="C445" s="213"/>
      <c r="D445" s="213"/>
      <c r="E445" s="213"/>
      <c r="F445" s="213"/>
      <c r="G445" s="213"/>
      <c r="H445" s="213"/>
      <c r="I445" s="213"/>
      <c r="J445" s="213"/>
      <c r="K445" s="215"/>
      <c r="L445" s="213"/>
      <c r="M445" s="215"/>
      <c r="N445" s="213"/>
      <c r="O445" s="213"/>
      <c r="P445" s="213"/>
      <c r="Q445" s="213"/>
      <c r="R445" s="213"/>
      <c r="S445" s="213"/>
      <c r="T445" s="213"/>
      <c r="U445" s="213"/>
      <c r="V445" s="213"/>
      <c r="W445" s="213"/>
      <c r="X445" s="213"/>
      <c r="Y445" s="213"/>
      <c r="Z445" s="213"/>
      <c r="AA445" s="213"/>
      <c r="AB445" s="213"/>
      <c r="AC445" s="213"/>
      <c r="AD445" s="213"/>
      <c r="AE445" s="213"/>
      <c r="AF445" s="213"/>
      <c r="AG445" s="213"/>
      <c r="AH445" s="213"/>
      <c r="AI445" s="213"/>
      <c r="AJ445" s="213"/>
      <c r="AK445" s="213"/>
      <c r="AL445" s="213"/>
      <c r="AM445" s="213"/>
      <c r="AN445" s="213"/>
      <c r="AO445" s="213"/>
      <c r="AP445" s="213"/>
      <c r="AQ445" s="213"/>
      <c r="AR445" s="213"/>
      <c r="AS445" s="213"/>
      <c r="AT445" s="213"/>
      <c r="AU445" s="213"/>
      <c r="AV445" s="213"/>
      <c r="AW445" s="213"/>
      <c r="AX445" s="213"/>
      <c r="AY445" s="213"/>
      <c r="AZ445" s="213"/>
      <c r="BA445" s="213"/>
      <c r="BB445" s="213"/>
    </row>
    <row r="446" ht="15.75" customHeight="1">
      <c r="A446" s="213"/>
      <c r="B446" s="213"/>
      <c r="C446" s="213"/>
      <c r="D446" s="213"/>
      <c r="E446" s="213"/>
      <c r="F446" s="213"/>
      <c r="G446" s="213"/>
      <c r="H446" s="213"/>
      <c r="I446" s="213"/>
      <c r="J446" s="213"/>
      <c r="K446" s="215"/>
      <c r="L446" s="213"/>
      <c r="M446" s="215"/>
      <c r="N446" s="213"/>
      <c r="O446" s="213"/>
      <c r="P446" s="213"/>
      <c r="Q446" s="213"/>
      <c r="R446" s="213"/>
      <c r="S446" s="213"/>
      <c r="T446" s="213"/>
      <c r="U446" s="213"/>
      <c r="V446" s="213"/>
      <c r="W446" s="213"/>
      <c r="X446" s="213"/>
      <c r="Y446" s="213"/>
      <c r="Z446" s="213"/>
      <c r="AA446" s="213"/>
      <c r="AB446" s="213"/>
      <c r="AC446" s="213"/>
      <c r="AD446" s="213"/>
      <c r="AE446" s="213"/>
      <c r="AF446" s="213"/>
      <c r="AG446" s="213"/>
      <c r="AH446" s="213"/>
      <c r="AI446" s="213"/>
      <c r="AJ446" s="213"/>
      <c r="AK446" s="213"/>
      <c r="AL446" s="213"/>
      <c r="AM446" s="213"/>
      <c r="AN446" s="213"/>
      <c r="AO446" s="213"/>
      <c r="AP446" s="213"/>
      <c r="AQ446" s="213"/>
      <c r="AR446" s="213"/>
      <c r="AS446" s="213"/>
      <c r="AT446" s="213"/>
      <c r="AU446" s="213"/>
      <c r="AV446" s="213"/>
      <c r="AW446" s="213"/>
      <c r="AX446" s="213"/>
      <c r="AY446" s="213"/>
      <c r="AZ446" s="213"/>
      <c r="BA446" s="213"/>
      <c r="BB446" s="213"/>
    </row>
    <row r="447" ht="15.75" customHeight="1">
      <c r="A447" s="213"/>
      <c r="B447" s="213"/>
      <c r="C447" s="213"/>
      <c r="D447" s="213"/>
      <c r="E447" s="213"/>
      <c r="F447" s="213"/>
      <c r="G447" s="213"/>
      <c r="H447" s="213"/>
      <c r="I447" s="213"/>
      <c r="J447" s="213"/>
      <c r="K447" s="215"/>
      <c r="L447" s="213"/>
      <c r="M447" s="215"/>
      <c r="N447" s="213"/>
      <c r="O447" s="213"/>
      <c r="P447" s="213"/>
      <c r="Q447" s="213"/>
      <c r="R447" s="213"/>
      <c r="S447" s="213"/>
      <c r="T447" s="213"/>
      <c r="U447" s="213"/>
      <c r="V447" s="213"/>
      <c r="W447" s="213"/>
      <c r="X447" s="213"/>
      <c r="Y447" s="213"/>
      <c r="Z447" s="213"/>
      <c r="AA447" s="213"/>
      <c r="AB447" s="213"/>
      <c r="AC447" s="213"/>
      <c r="AD447" s="213"/>
      <c r="AE447" s="213"/>
      <c r="AF447" s="213"/>
      <c r="AG447" s="213"/>
      <c r="AH447" s="213"/>
      <c r="AI447" s="213"/>
      <c r="AJ447" s="213"/>
      <c r="AK447" s="213"/>
      <c r="AL447" s="213"/>
      <c r="AM447" s="213"/>
      <c r="AN447" s="213"/>
      <c r="AO447" s="213"/>
      <c r="AP447" s="213"/>
      <c r="AQ447" s="213"/>
      <c r="AR447" s="213"/>
      <c r="AS447" s="213"/>
      <c r="AT447" s="213"/>
      <c r="AU447" s="213"/>
      <c r="AV447" s="213"/>
      <c r="AW447" s="213"/>
      <c r="AX447" s="213"/>
      <c r="AY447" s="213"/>
      <c r="AZ447" s="213"/>
      <c r="BA447" s="213"/>
      <c r="BB447" s="213"/>
    </row>
    <row r="448" ht="15.75" customHeight="1">
      <c r="A448" s="213"/>
      <c r="B448" s="213"/>
      <c r="C448" s="213"/>
      <c r="D448" s="213"/>
      <c r="E448" s="213"/>
      <c r="F448" s="213"/>
      <c r="G448" s="213"/>
      <c r="H448" s="213"/>
      <c r="I448" s="213"/>
      <c r="J448" s="213"/>
      <c r="K448" s="215"/>
      <c r="L448" s="213"/>
      <c r="M448" s="215"/>
      <c r="N448" s="213"/>
      <c r="O448" s="213"/>
      <c r="P448" s="213"/>
      <c r="Q448" s="213"/>
      <c r="R448" s="213"/>
      <c r="S448" s="213"/>
      <c r="T448" s="213"/>
      <c r="U448" s="213"/>
      <c r="V448" s="213"/>
      <c r="W448" s="213"/>
      <c r="X448" s="213"/>
      <c r="Y448" s="213"/>
      <c r="Z448" s="213"/>
      <c r="AA448" s="213"/>
      <c r="AB448" s="213"/>
      <c r="AC448" s="213"/>
      <c r="AD448" s="213"/>
      <c r="AE448" s="213"/>
      <c r="AF448" s="213"/>
      <c r="AG448" s="213"/>
      <c r="AH448" s="213"/>
      <c r="AI448" s="213"/>
      <c r="AJ448" s="213"/>
      <c r="AK448" s="213"/>
      <c r="AL448" s="213"/>
      <c r="AM448" s="213"/>
      <c r="AN448" s="213"/>
      <c r="AO448" s="213"/>
      <c r="AP448" s="213"/>
      <c r="AQ448" s="213"/>
      <c r="AR448" s="213"/>
      <c r="AS448" s="213"/>
      <c r="AT448" s="213"/>
      <c r="AU448" s="213"/>
      <c r="AV448" s="213"/>
      <c r="AW448" s="213"/>
      <c r="AX448" s="213"/>
      <c r="AY448" s="213"/>
      <c r="AZ448" s="213"/>
      <c r="BA448" s="213"/>
      <c r="BB448" s="213"/>
    </row>
    <row r="449" ht="15.75" customHeight="1">
      <c r="A449" s="213"/>
      <c r="B449" s="213"/>
      <c r="C449" s="213"/>
      <c r="D449" s="213"/>
      <c r="E449" s="213"/>
      <c r="F449" s="213"/>
      <c r="G449" s="213"/>
      <c r="H449" s="213"/>
      <c r="I449" s="213"/>
      <c r="J449" s="213"/>
      <c r="K449" s="215"/>
      <c r="L449" s="213"/>
      <c r="M449" s="215"/>
      <c r="N449" s="213"/>
      <c r="O449" s="213"/>
      <c r="P449" s="213"/>
      <c r="Q449" s="213"/>
      <c r="R449" s="213"/>
      <c r="S449" s="213"/>
      <c r="T449" s="213"/>
      <c r="U449" s="213"/>
      <c r="V449" s="213"/>
      <c r="W449" s="213"/>
      <c r="X449" s="213"/>
      <c r="Y449" s="213"/>
      <c r="Z449" s="213"/>
      <c r="AA449" s="213"/>
      <c r="AB449" s="213"/>
      <c r="AC449" s="213"/>
      <c r="AD449" s="213"/>
      <c r="AE449" s="213"/>
      <c r="AF449" s="213"/>
      <c r="AG449" s="213"/>
      <c r="AH449" s="213"/>
      <c r="AI449" s="213"/>
      <c r="AJ449" s="213"/>
      <c r="AK449" s="213"/>
      <c r="AL449" s="213"/>
      <c r="AM449" s="213"/>
      <c r="AN449" s="213"/>
      <c r="AO449" s="213"/>
      <c r="AP449" s="213"/>
      <c r="AQ449" s="213"/>
      <c r="AR449" s="213"/>
      <c r="AS449" s="213"/>
      <c r="AT449" s="213"/>
      <c r="AU449" s="213"/>
      <c r="AV449" s="213"/>
      <c r="AW449" s="213"/>
      <c r="AX449" s="213"/>
      <c r="AY449" s="213"/>
      <c r="AZ449" s="213"/>
      <c r="BA449" s="213"/>
      <c r="BB449" s="213"/>
    </row>
    <row r="450" ht="15.75" customHeight="1">
      <c r="A450" s="213"/>
      <c r="B450" s="213"/>
      <c r="C450" s="213"/>
      <c r="D450" s="213"/>
      <c r="E450" s="213"/>
      <c r="F450" s="213"/>
      <c r="G450" s="213"/>
      <c r="H450" s="213"/>
      <c r="I450" s="213"/>
      <c r="J450" s="213"/>
      <c r="K450" s="215"/>
      <c r="L450" s="213"/>
      <c r="M450" s="215"/>
      <c r="N450" s="213"/>
      <c r="O450" s="213"/>
      <c r="P450" s="213"/>
      <c r="Q450" s="213"/>
      <c r="R450" s="213"/>
      <c r="S450" s="213"/>
      <c r="T450" s="213"/>
      <c r="U450" s="213"/>
      <c r="V450" s="213"/>
      <c r="W450" s="213"/>
      <c r="X450" s="213"/>
      <c r="Y450" s="213"/>
      <c r="Z450" s="213"/>
      <c r="AA450" s="213"/>
      <c r="AB450" s="213"/>
      <c r="AC450" s="213"/>
      <c r="AD450" s="213"/>
      <c r="AE450" s="213"/>
      <c r="AF450" s="213"/>
      <c r="AG450" s="213"/>
      <c r="AH450" s="213"/>
      <c r="AI450" s="213"/>
      <c r="AJ450" s="213"/>
      <c r="AK450" s="213"/>
      <c r="AL450" s="213"/>
      <c r="AM450" s="213"/>
      <c r="AN450" s="213"/>
      <c r="AO450" s="213"/>
      <c r="AP450" s="213"/>
      <c r="AQ450" s="213"/>
      <c r="AR450" s="213"/>
      <c r="AS450" s="213"/>
      <c r="AT450" s="213"/>
      <c r="AU450" s="213"/>
      <c r="AV450" s="213"/>
      <c r="AW450" s="213"/>
      <c r="AX450" s="213"/>
      <c r="AY450" s="213"/>
      <c r="AZ450" s="213"/>
      <c r="BA450" s="213"/>
      <c r="BB450" s="213"/>
    </row>
    <row r="451" ht="15.75" customHeight="1">
      <c r="A451" s="213"/>
      <c r="B451" s="213"/>
      <c r="C451" s="213"/>
      <c r="D451" s="213"/>
      <c r="E451" s="213"/>
      <c r="F451" s="213"/>
      <c r="G451" s="213"/>
      <c r="H451" s="213"/>
      <c r="I451" s="213"/>
      <c r="J451" s="213"/>
      <c r="K451" s="215"/>
      <c r="L451" s="213"/>
      <c r="M451" s="215"/>
      <c r="N451" s="213"/>
      <c r="O451" s="213"/>
      <c r="P451" s="213"/>
      <c r="Q451" s="213"/>
      <c r="R451" s="213"/>
      <c r="S451" s="213"/>
      <c r="T451" s="213"/>
      <c r="U451" s="213"/>
      <c r="V451" s="213"/>
      <c r="W451" s="213"/>
      <c r="X451" s="213"/>
      <c r="Y451" s="213"/>
      <c r="Z451" s="213"/>
      <c r="AA451" s="213"/>
      <c r="AB451" s="213"/>
      <c r="AC451" s="213"/>
      <c r="AD451" s="213"/>
      <c r="AE451" s="213"/>
      <c r="AF451" s="213"/>
      <c r="AG451" s="213"/>
      <c r="AH451" s="213"/>
      <c r="AI451" s="213"/>
      <c r="AJ451" s="213"/>
      <c r="AK451" s="213"/>
      <c r="AL451" s="213"/>
      <c r="AM451" s="213"/>
      <c r="AN451" s="213"/>
      <c r="AO451" s="213"/>
      <c r="AP451" s="213"/>
      <c r="AQ451" s="213"/>
      <c r="AR451" s="213"/>
      <c r="AS451" s="213"/>
      <c r="AT451" s="213"/>
      <c r="AU451" s="213"/>
      <c r="AV451" s="213"/>
      <c r="AW451" s="213"/>
      <c r="AX451" s="213"/>
      <c r="AY451" s="213"/>
      <c r="AZ451" s="213"/>
      <c r="BA451" s="213"/>
      <c r="BB451" s="213"/>
    </row>
    <row r="452" ht="15.75" customHeight="1">
      <c r="A452" s="213"/>
      <c r="B452" s="213"/>
      <c r="C452" s="213"/>
      <c r="D452" s="213"/>
      <c r="E452" s="213"/>
      <c r="F452" s="213"/>
      <c r="G452" s="213"/>
      <c r="H452" s="213"/>
      <c r="I452" s="213"/>
      <c r="J452" s="213"/>
      <c r="K452" s="215"/>
      <c r="L452" s="213"/>
      <c r="M452" s="215"/>
      <c r="N452" s="213"/>
      <c r="O452" s="213"/>
      <c r="P452" s="213"/>
      <c r="Q452" s="213"/>
      <c r="R452" s="213"/>
      <c r="S452" s="213"/>
      <c r="T452" s="213"/>
      <c r="U452" s="213"/>
      <c r="V452" s="213"/>
      <c r="W452" s="213"/>
      <c r="X452" s="213"/>
      <c r="Y452" s="213"/>
      <c r="Z452" s="213"/>
      <c r="AA452" s="213"/>
      <c r="AB452" s="213"/>
      <c r="AC452" s="213"/>
      <c r="AD452" s="213"/>
      <c r="AE452" s="213"/>
      <c r="AF452" s="213"/>
      <c r="AG452" s="213"/>
      <c r="AH452" s="213"/>
      <c r="AI452" s="213"/>
      <c r="AJ452" s="213"/>
      <c r="AK452" s="213"/>
      <c r="AL452" s="213"/>
      <c r="AM452" s="213"/>
      <c r="AN452" s="213"/>
      <c r="AO452" s="213"/>
      <c r="AP452" s="213"/>
      <c r="AQ452" s="213"/>
      <c r="AR452" s="213"/>
      <c r="AS452" s="213"/>
      <c r="AT452" s="213"/>
      <c r="AU452" s="213"/>
      <c r="AV452" s="213"/>
      <c r="AW452" s="213"/>
      <c r="AX452" s="213"/>
      <c r="AY452" s="213"/>
      <c r="AZ452" s="213"/>
      <c r="BA452" s="213"/>
      <c r="BB452" s="213"/>
    </row>
    <row r="453" ht="15.75" customHeight="1">
      <c r="A453" s="213"/>
      <c r="B453" s="213"/>
      <c r="C453" s="213"/>
      <c r="D453" s="213"/>
      <c r="E453" s="213"/>
      <c r="F453" s="213"/>
      <c r="G453" s="213"/>
      <c r="H453" s="213"/>
      <c r="I453" s="213"/>
      <c r="J453" s="213"/>
      <c r="K453" s="215"/>
      <c r="L453" s="213"/>
      <c r="M453" s="215"/>
      <c r="N453" s="213"/>
      <c r="O453" s="213"/>
      <c r="P453" s="213"/>
      <c r="Q453" s="213"/>
      <c r="R453" s="213"/>
      <c r="S453" s="213"/>
      <c r="T453" s="213"/>
      <c r="U453" s="213"/>
      <c r="V453" s="213"/>
      <c r="W453" s="213"/>
      <c r="X453" s="213"/>
      <c r="Y453" s="213"/>
      <c r="Z453" s="213"/>
      <c r="AA453" s="213"/>
      <c r="AB453" s="213"/>
      <c r="AC453" s="213"/>
      <c r="AD453" s="213"/>
      <c r="AE453" s="213"/>
      <c r="AF453" s="213"/>
      <c r="AG453" s="213"/>
      <c r="AH453" s="213"/>
      <c r="AI453" s="213"/>
      <c r="AJ453" s="213"/>
      <c r="AK453" s="213"/>
      <c r="AL453" s="213"/>
      <c r="AM453" s="213"/>
      <c r="AN453" s="213"/>
      <c r="AO453" s="213"/>
      <c r="AP453" s="213"/>
      <c r="AQ453" s="213"/>
      <c r="AR453" s="213"/>
      <c r="AS453" s="213"/>
      <c r="AT453" s="213"/>
      <c r="AU453" s="213"/>
      <c r="AV453" s="213"/>
      <c r="AW453" s="213"/>
      <c r="AX453" s="213"/>
      <c r="AY453" s="213"/>
      <c r="AZ453" s="213"/>
      <c r="BA453" s="213"/>
      <c r="BB453" s="213"/>
    </row>
    <row r="454" ht="15.75" customHeight="1">
      <c r="A454" s="213"/>
      <c r="B454" s="213"/>
      <c r="C454" s="213"/>
      <c r="D454" s="213"/>
      <c r="E454" s="213"/>
      <c r="F454" s="213"/>
      <c r="G454" s="213"/>
      <c r="H454" s="213"/>
      <c r="I454" s="213"/>
      <c r="J454" s="213"/>
      <c r="K454" s="215"/>
      <c r="L454" s="213"/>
      <c r="M454" s="215"/>
      <c r="N454" s="213"/>
      <c r="O454" s="213"/>
      <c r="P454" s="213"/>
      <c r="Q454" s="213"/>
      <c r="R454" s="213"/>
      <c r="S454" s="213"/>
      <c r="T454" s="213"/>
      <c r="U454" s="213"/>
      <c r="V454" s="213"/>
      <c r="W454" s="213"/>
      <c r="X454" s="213"/>
      <c r="Y454" s="213"/>
      <c r="Z454" s="213"/>
      <c r="AA454" s="213"/>
      <c r="AB454" s="213"/>
      <c r="AC454" s="213"/>
      <c r="AD454" s="213"/>
      <c r="AE454" s="213"/>
      <c r="AF454" s="213"/>
      <c r="AG454" s="213"/>
      <c r="AH454" s="213"/>
      <c r="AI454" s="213"/>
      <c r="AJ454" s="213"/>
      <c r="AK454" s="213"/>
      <c r="AL454" s="213"/>
      <c r="AM454" s="213"/>
      <c r="AN454" s="213"/>
      <c r="AO454" s="213"/>
      <c r="AP454" s="213"/>
      <c r="AQ454" s="213"/>
      <c r="AR454" s="213"/>
      <c r="AS454" s="213"/>
      <c r="AT454" s="213"/>
      <c r="AU454" s="213"/>
      <c r="AV454" s="213"/>
      <c r="AW454" s="213"/>
      <c r="AX454" s="213"/>
      <c r="AY454" s="213"/>
      <c r="AZ454" s="213"/>
      <c r="BA454" s="213"/>
      <c r="BB454" s="213"/>
    </row>
    <row r="455" ht="15.75" customHeight="1">
      <c r="A455" s="213"/>
      <c r="B455" s="213"/>
      <c r="C455" s="213"/>
      <c r="D455" s="213"/>
      <c r="E455" s="213"/>
      <c r="F455" s="213"/>
      <c r="G455" s="213"/>
      <c r="H455" s="213"/>
      <c r="I455" s="213"/>
      <c r="J455" s="213"/>
      <c r="K455" s="215"/>
      <c r="L455" s="213"/>
      <c r="M455" s="215"/>
      <c r="N455" s="213"/>
      <c r="O455" s="213"/>
      <c r="P455" s="213"/>
      <c r="Q455" s="213"/>
      <c r="R455" s="213"/>
      <c r="S455" s="213"/>
      <c r="T455" s="213"/>
      <c r="U455" s="213"/>
      <c r="V455" s="213"/>
      <c r="W455" s="213"/>
      <c r="X455" s="213"/>
      <c r="Y455" s="213"/>
      <c r="Z455" s="213"/>
      <c r="AA455" s="213"/>
      <c r="AB455" s="213"/>
      <c r="AC455" s="213"/>
      <c r="AD455" s="213"/>
      <c r="AE455" s="213"/>
      <c r="AF455" s="213"/>
      <c r="AG455" s="213"/>
      <c r="AH455" s="213"/>
      <c r="AI455" s="213"/>
      <c r="AJ455" s="213"/>
      <c r="AK455" s="213"/>
      <c r="AL455" s="213"/>
      <c r="AM455" s="213"/>
      <c r="AN455" s="213"/>
      <c r="AO455" s="213"/>
      <c r="AP455" s="213"/>
      <c r="AQ455" s="213"/>
      <c r="AR455" s="213"/>
      <c r="AS455" s="213"/>
      <c r="AT455" s="213"/>
      <c r="AU455" s="213"/>
      <c r="AV455" s="213"/>
      <c r="AW455" s="213"/>
      <c r="AX455" s="213"/>
      <c r="AY455" s="213"/>
      <c r="AZ455" s="213"/>
      <c r="BA455" s="213"/>
      <c r="BB455" s="213"/>
    </row>
    <row r="456" ht="15.75" customHeight="1">
      <c r="A456" s="213"/>
      <c r="B456" s="213"/>
      <c r="C456" s="213"/>
      <c r="D456" s="213"/>
      <c r="E456" s="213"/>
      <c r="F456" s="213"/>
      <c r="G456" s="213"/>
      <c r="H456" s="213"/>
      <c r="I456" s="213"/>
      <c r="J456" s="213"/>
      <c r="K456" s="215"/>
      <c r="L456" s="213"/>
      <c r="M456" s="215"/>
      <c r="N456" s="213"/>
      <c r="O456" s="213"/>
      <c r="P456" s="213"/>
      <c r="Q456" s="213"/>
      <c r="R456" s="213"/>
      <c r="S456" s="213"/>
      <c r="T456" s="213"/>
      <c r="U456" s="213"/>
      <c r="V456" s="213"/>
      <c r="W456" s="213"/>
      <c r="X456" s="213"/>
      <c r="Y456" s="213"/>
      <c r="Z456" s="213"/>
      <c r="AA456" s="213"/>
      <c r="AB456" s="213"/>
      <c r="AC456" s="213"/>
      <c r="AD456" s="213"/>
      <c r="AE456" s="213"/>
      <c r="AF456" s="213"/>
      <c r="AG456" s="213"/>
      <c r="AH456" s="213"/>
      <c r="AI456" s="213"/>
      <c r="AJ456" s="213"/>
      <c r="AK456" s="213"/>
      <c r="AL456" s="213"/>
      <c r="AM456" s="213"/>
      <c r="AN456" s="213"/>
      <c r="AO456" s="213"/>
      <c r="AP456" s="213"/>
      <c r="AQ456" s="213"/>
      <c r="AR456" s="213"/>
      <c r="AS456" s="213"/>
      <c r="AT456" s="213"/>
      <c r="AU456" s="213"/>
      <c r="AV456" s="213"/>
      <c r="AW456" s="213"/>
      <c r="AX456" s="213"/>
      <c r="AY456" s="213"/>
      <c r="AZ456" s="213"/>
      <c r="BA456" s="213"/>
      <c r="BB456" s="213"/>
    </row>
    <row r="457" ht="15.75" customHeight="1">
      <c r="A457" s="213"/>
      <c r="B457" s="213"/>
      <c r="C457" s="213"/>
      <c r="D457" s="213"/>
      <c r="E457" s="213"/>
      <c r="F457" s="213"/>
      <c r="G457" s="213"/>
      <c r="H457" s="213"/>
      <c r="I457" s="213"/>
      <c r="J457" s="213"/>
      <c r="K457" s="215"/>
      <c r="L457" s="213"/>
      <c r="M457" s="215"/>
      <c r="N457" s="213"/>
      <c r="O457" s="213"/>
      <c r="P457" s="213"/>
      <c r="Q457" s="213"/>
      <c r="R457" s="213"/>
      <c r="S457" s="213"/>
      <c r="T457" s="213"/>
      <c r="U457" s="213"/>
      <c r="V457" s="213"/>
      <c r="W457" s="213"/>
      <c r="X457" s="213"/>
      <c r="Y457" s="213"/>
      <c r="Z457" s="213"/>
      <c r="AA457" s="213"/>
      <c r="AB457" s="213"/>
      <c r="AC457" s="213"/>
      <c r="AD457" s="213"/>
      <c r="AE457" s="213"/>
      <c r="AF457" s="213"/>
      <c r="AG457" s="213"/>
      <c r="AH457" s="213"/>
      <c r="AI457" s="213"/>
      <c r="AJ457" s="213"/>
      <c r="AK457" s="213"/>
      <c r="AL457" s="213"/>
      <c r="AM457" s="213"/>
      <c r="AN457" s="213"/>
      <c r="AO457" s="213"/>
      <c r="AP457" s="213"/>
      <c r="AQ457" s="213"/>
      <c r="AR457" s="213"/>
      <c r="AS457" s="213"/>
      <c r="AT457" s="213"/>
      <c r="AU457" s="213"/>
      <c r="AV457" s="213"/>
      <c r="AW457" s="213"/>
      <c r="AX457" s="213"/>
      <c r="AY457" s="213"/>
      <c r="AZ457" s="213"/>
      <c r="BA457" s="213"/>
      <c r="BB457" s="213"/>
    </row>
    <row r="458" ht="15.75" customHeight="1">
      <c r="A458" s="213"/>
      <c r="B458" s="213"/>
      <c r="C458" s="213"/>
      <c r="D458" s="213"/>
      <c r="E458" s="213"/>
      <c r="F458" s="213"/>
      <c r="G458" s="213"/>
      <c r="H458" s="213"/>
      <c r="I458" s="213"/>
      <c r="J458" s="213"/>
      <c r="K458" s="215"/>
      <c r="L458" s="213"/>
      <c r="M458" s="215"/>
      <c r="N458" s="213"/>
      <c r="O458" s="213"/>
      <c r="P458" s="213"/>
      <c r="Q458" s="213"/>
      <c r="R458" s="213"/>
      <c r="S458" s="213"/>
      <c r="T458" s="213"/>
      <c r="U458" s="213"/>
      <c r="V458" s="213"/>
      <c r="W458" s="213"/>
      <c r="X458" s="213"/>
      <c r="Y458" s="213"/>
      <c r="Z458" s="213"/>
      <c r="AA458" s="213"/>
      <c r="AB458" s="213"/>
      <c r="AC458" s="213"/>
      <c r="AD458" s="213"/>
      <c r="AE458" s="213"/>
      <c r="AF458" s="213"/>
      <c r="AG458" s="213"/>
      <c r="AH458" s="213"/>
      <c r="AI458" s="213"/>
      <c r="AJ458" s="213"/>
      <c r="AK458" s="213"/>
      <c r="AL458" s="213"/>
      <c r="AM458" s="213"/>
      <c r="AN458" s="213"/>
      <c r="AO458" s="213"/>
      <c r="AP458" s="213"/>
      <c r="AQ458" s="213"/>
      <c r="AR458" s="213"/>
      <c r="AS458" s="213"/>
      <c r="AT458" s="213"/>
      <c r="AU458" s="213"/>
      <c r="AV458" s="213"/>
      <c r="AW458" s="213"/>
      <c r="AX458" s="213"/>
      <c r="AY458" s="213"/>
      <c r="AZ458" s="213"/>
      <c r="BA458" s="213"/>
      <c r="BB458" s="213"/>
    </row>
    <row r="459" ht="15.75" customHeight="1">
      <c r="A459" s="213"/>
      <c r="B459" s="213"/>
      <c r="C459" s="213"/>
      <c r="D459" s="213"/>
      <c r="E459" s="213"/>
      <c r="F459" s="213"/>
      <c r="G459" s="213"/>
      <c r="H459" s="213"/>
      <c r="I459" s="213"/>
      <c r="J459" s="213"/>
      <c r="K459" s="215"/>
      <c r="L459" s="213"/>
      <c r="M459" s="215"/>
      <c r="N459" s="213"/>
      <c r="O459" s="213"/>
      <c r="P459" s="213"/>
      <c r="Q459" s="213"/>
      <c r="R459" s="213"/>
      <c r="S459" s="213"/>
      <c r="T459" s="213"/>
      <c r="U459" s="213"/>
      <c r="V459" s="213"/>
      <c r="W459" s="213"/>
      <c r="X459" s="213"/>
      <c r="Y459" s="213"/>
      <c r="Z459" s="213"/>
      <c r="AA459" s="213"/>
      <c r="AB459" s="213"/>
      <c r="AC459" s="213"/>
      <c r="AD459" s="213"/>
      <c r="AE459" s="213"/>
      <c r="AF459" s="213"/>
      <c r="AG459" s="213"/>
      <c r="AH459" s="213"/>
      <c r="AI459" s="213"/>
      <c r="AJ459" s="213"/>
      <c r="AK459" s="213"/>
      <c r="AL459" s="213"/>
      <c r="AM459" s="213"/>
      <c r="AN459" s="213"/>
      <c r="AO459" s="213"/>
      <c r="AP459" s="213"/>
      <c r="AQ459" s="213"/>
      <c r="AR459" s="213"/>
      <c r="AS459" s="213"/>
      <c r="AT459" s="213"/>
      <c r="AU459" s="213"/>
      <c r="AV459" s="213"/>
      <c r="AW459" s="213"/>
      <c r="AX459" s="213"/>
      <c r="AY459" s="213"/>
      <c r="AZ459" s="213"/>
      <c r="BA459" s="213"/>
      <c r="BB459" s="213"/>
    </row>
    <row r="460" ht="15.75" customHeight="1">
      <c r="A460" s="213"/>
      <c r="B460" s="213"/>
      <c r="C460" s="213"/>
      <c r="D460" s="213"/>
      <c r="E460" s="213"/>
      <c r="F460" s="213"/>
      <c r="G460" s="213"/>
      <c r="H460" s="213"/>
      <c r="I460" s="213"/>
      <c r="J460" s="213"/>
      <c r="K460" s="215"/>
      <c r="L460" s="213"/>
      <c r="M460" s="215"/>
      <c r="N460" s="213"/>
      <c r="O460" s="213"/>
      <c r="P460" s="213"/>
      <c r="Q460" s="213"/>
      <c r="R460" s="213"/>
      <c r="S460" s="213"/>
      <c r="T460" s="213"/>
      <c r="U460" s="213"/>
      <c r="V460" s="213"/>
      <c r="W460" s="213"/>
      <c r="X460" s="213"/>
      <c r="Y460" s="213"/>
      <c r="Z460" s="213"/>
      <c r="AA460" s="213"/>
      <c r="AB460" s="213"/>
      <c r="AC460" s="213"/>
      <c r="AD460" s="213"/>
      <c r="AE460" s="213"/>
      <c r="AF460" s="213"/>
      <c r="AG460" s="213"/>
      <c r="AH460" s="213"/>
      <c r="AI460" s="213"/>
      <c r="AJ460" s="213"/>
      <c r="AK460" s="213"/>
      <c r="AL460" s="213"/>
      <c r="AM460" s="213"/>
      <c r="AN460" s="213"/>
      <c r="AO460" s="213"/>
      <c r="AP460" s="213"/>
      <c r="AQ460" s="213"/>
      <c r="AR460" s="213"/>
      <c r="AS460" s="213"/>
      <c r="AT460" s="213"/>
      <c r="AU460" s="213"/>
      <c r="AV460" s="213"/>
      <c r="AW460" s="213"/>
      <c r="AX460" s="213"/>
      <c r="AY460" s="213"/>
      <c r="AZ460" s="213"/>
      <c r="BA460" s="213"/>
      <c r="BB460" s="213"/>
    </row>
    <row r="461" ht="15.75" customHeight="1">
      <c r="A461" s="213"/>
      <c r="B461" s="213"/>
      <c r="C461" s="213"/>
      <c r="D461" s="213"/>
      <c r="E461" s="213"/>
      <c r="F461" s="213"/>
      <c r="G461" s="213"/>
      <c r="H461" s="213"/>
      <c r="I461" s="213"/>
      <c r="J461" s="213"/>
      <c r="K461" s="215"/>
      <c r="L461" s="213"/>
      <c r="M461" s="215"/>
      <c r="N461" s="213"/>
      <c r="O461" s="213"/>
      <c r="P461" s="213"/>
      <c r="Q461" s="213"/>
      <c r="R461" s="213"/>
      <c r="S461" s="213"/>
      <c r="T461" s="213"/>
      <c r="U461" s="213"/>
      <c r="V461" s="213"/>
      <c r="W461" s="213"/>
      <c r="X461" s="213"/>
      <c r="Y461" s="213"/>
      <c r="Z461" s="213"/>
      <c r="AA461" s="213"/>
      <c r="AB461" s="213"/>
      <c r="AC461" s="213"/>
      <c r="AD461" s="213"/>
      <c r="AE461" s="213"/>
      <c r="AF461" s="213"/>
      <c r="AG461" s="213"/>
      <c r="AH461" s="213"/>
      <c r="AI461" s="213"/>
      <c r="AJ461" s="213"/>
      <c r="AK461" s="213"/>
      <c r="AL461" s="213"/>
      <c r="AM461" s="213"/>
      <c r="AN461" s="213"/>
      <c r="AO461" s="213"/>
      <c r="AP461" s="213"/>
      <c r="AQ461" s="213"/>
      <c r="AR461" s="213"/>
      <c r="AS461" s="213"/>
      <c r="AT461" s="213"/>
      <c r="AU461" s="213"/>
      <c r="AV461" s="213"/>
      <c r="AW461" s="213"/>
      <c r="AX461" s="213"/>
      <c r="AY461" s="213"/>
      <c r="AZ461" s="213"/>
      <c r="BA461" s="213"/>
      <c r="BB461" s="213"/>
    </row>
    <row r="462" ht="15.75" customHeight="1">
      <c r="A462" s="213"/>
      <c r="B462" s="213"/>
      <c r="C462" s="213"/>
      <c r="D462" s="213"/>
      <c r="E462" s="213"/>
      <c r="F462" s="213"/>
      <c r="G462" s="213"/>
      <c r="H462" s="213"/>
      <c r="I462" s="213"/>
      <c r="J462" s="213"/>
      <c r="K462" s="215"/>
      <c r="L462" s="213"/>
      <c r="M462" s="215"/>
      <c r="N462" s="213"/>
      <c r="O462" s="213"/>
      <c r="P462" s="213"/>
      <c r="Q462" s="213"/>
      <c r="R462" s="213"/>
      <c r="S462" s="213"/>
      <c r="T462" s="213"/>
      <c r="U462" s="213"/>
      <c r="V462" s="213"/>
      <c r="W462" s="213"/>
      <c r="X462" s="213"/>
      <c r="Y462" s="213"/>
      <c r="Z462" s="213"/>
      <c r="AA462" s="213"/>
      <c r="AB462" s="213"/>
      <c r="AC462" s="213"/>
      <c r="AD462" s="213"/>
      <c r="AE462" s="213"/>
      <c r="AF462" s="213"/>
      <c r="AG462" s="213"/>
      <c r="AH462" s="213"/>
      <c r="AI462" s="213"/>
      <c r="AJ462" s="213"/>
      <c r="AK462" s="213"/>
      <c r="AL462" s="213"/>
      <c r="AM462" s="213"/>
      <c r="AN462" s="213"/>
      <c r="AO462" s="213"/>
      <c r="AP462" s="213"/>
      <c r="AQ462" s="213"/>
      <c r="AR462" s="213"/>
      <c r="AS462" s="213"/>
      <c r="AT462" s="213"/>
      <c r="AU462" s="213"/>
      <c r="AV462" s="213"/>
      <c r="AW462" s="213"/>
      <c r="AX462" s="213"/>
      <c r="AY462" s="213"/>
      <c r="AZ462" s="213"/>
      <c r="BA462" s="213"/>
      <c r="BB462" s="213"/>
    </row>
    <row r="463" ht="15.75" customHeight="1">
      <c r="A463" s="213"/>
      <c r="B463" s="213"/>
      <c r="C463" s="213"/>
      <c r="D463" s="213"/>
      <c r="E463" s="213"/>
      <c r="F463" s="213"/>
      <c r="G463" s="213"/>
      <c r="H463" s="213"/>
      <c r="I463" s="213"/>
      <c r="J463" s="213"/>
      <c r="K463" s="215"/>
      <c r="L463" s="213"/>
      <c r="M463" s="215"/>
      <c r="N463" s="213"/>
      <c r="O463" s="213"/>
      <c r="P463" s="213"/>
      <c r="Q463" s="213"/>
      <c r="R463" s="213"/>
      <c r="S463" s="213"/>
      <c r="T463" s="213"/>
      <c r="U463" s="213"/>
      <c r="V463" s="213"/>
      <c r="W463" s="213"/>
      <c r="X463" s="213"/>
      <c r="Y463" s="213"/>
      <c r="Z463" s="213"/>
      <c r="AA463" s="213"/>
      <c r="AB463" s="213"/>
      <c r="AC463" s="213"/>
      <c r="AD463" s="213"/>
      <c r="AE463" s="213"/>
      <c r="AF463" s="213"/>
      <c r="AG463" s="213"/>
      <c r="AH463" s="213"/>
      <c r="AI463" s="213"/>
      <c r="AJ463" s="213"/>
      <c r="AK463" s="213"/>
      <c r="AL463" s="213"/>
      <c r="AM463" s="213"/>
      <c r="AN463" s="213"/>
      <c r="AO463" s="213"/>
      <c r="AP463" s="213"/>
      <c r="AQ463" s="213"/>
      <c r="AR463" s="213"/>
      <c r="AS463" s="213"/>
      <c r="AT463" s="213"/>
      <c r="AU463" s="213"/>
      <c r="AV463" s="213"/>
      <c r="AW463" s="213"/>
      <c r="AX463" s="213"/>
      <c r="AY463" s="213"/>
      <c r="AZ463" s="213"/>
      <c r="BA463" s="213"/>
      <c r="BB463" s="213"/>
    </row>
    <row r="464" ht="15.75" customHeight="1">
      <c r="A464" s="213"/>
      <c r="B464" s="213"/>
      <c r="C464" s="213"/>
      <c r="D464" s="213"/>
      <c r="E464" s="213"/>
      <c r="F464" s="213"/>
      <c r="G464" s="213"/>
      <c r="H464" s="213"/>
      <c r="I464" s="213"/>
      <c r="J464" s="213"/>
      <c r="K464" s="215"/>
      <c r="L464" s="213"/>
      <c r="M464" s="215"/>
      <c r="N464" s="213"/>
      <c r="O464" s="213"/>
      <c r="P464" s="213"/>
      <c r="Q464" s="213"/>
      <c r="R464" s="213"/>
      <c r="S464" s="213"/>
      <c r="T464" s="213"/>
      <c r="U464" s="213"/>
      <c r="V464" s="213"/>
      <c r="W464" s="213"/>
      <c r="X464" s="213"/>
      <c r="Y464" s="213"/>
      <c r="Z464" s="213"/>
      <c r="AA464" s="213"/>
      <c r="AB464" s="213"/>
      <c r="AC464" s="213"/>
      <c r="AD464" s="213"/>
      <c r="AE464" s="213"/>
      <c r="AF464" s="213"/>
      <c r="AG464" s="213"/>
      <c r="AH464" s="213"/>
      <c r="AI464" s="213"/>
      <c r="AJ464" s="213"/>
      <c r="AK464" s="213"/>
      <c r="AL464" s="213"/>
      <c r="AM464" s="213"/>
      <c r="AN464" s="213"/>
      <c r="AO464" s="213"/>
      <c r="AP464" s="213"/>
      <c r="AQ464" s="213"/>
      <c r="AR464" s="213"/>
      <c r="AS464" s="213"/>
      <c r="AT464" s="213"/>
      <c r="AU464" s="213"/>
      <c r="AV464" s="213"/>
      <c r="AW464" s="213"/>
      <c r="AX464" s="213"/>
      <c r="AY464" s="213"/>
      <c r="AZ464" s="213"/>
      <c r="BA464" s="213"/>
      <c r="BB464" s="213"/>
    </row>
    <row r="465" ht="15.75" customHeight="1">
      <c r="A465" s="213"/>
      <c r="B465" s="213"/>
      <c r="C465" s="213"/>
      <c r="D465" s="213"/>
      <c r="E465" s="213"/>
      <c r="F465" s="213"/>
      <c r="G465" s="213"/>
      <c r="H465" s="213"/>
      <c r="I465" s="213"/>
      <c r="J465" s="213"/>
      <c r="K465" s="215"/>
      <c r="L465" s="213"/>
      <c r="M465" s="215"/>
      <c r="N465" s="213"/>
      <c r="O465" s="213"/>
      <c r="P465" s="213"/>
      <c r="Q465" s="213"/>
      <c r="R465" s="213"/>
      <c r="S465" s="213"/>
      <c r="T465" s="213"/>
      <c r="U465" s="213"/>
      <c r="V465" s="213"/>
      <c r="W465" s="213"/>
      <c r="X465" s="213"/>
      <c r="Y465" s="213"/>
      <c r="Z465" s="213"/>
      <c r="AA465" s="213"/>
      <c r="AB465" s="213"/>
      <c r="AC465" s="213"/>
      <c r="AD465" s="213"/>
      <c r="AE465" s="213"/>
      <c r="AF465" s="213"/>
      <c r="AG465" s="213"/>
      <c r="AH465" s="213"/>
      <c r="AI465" s="213"/>
      <c r="AJ465" s="213"/>
      <c r="AK465" s="213"/>
      <c r="AL465" s="213"/>
      <c r="AM465" s="213"/>
      <c r="AN465" s="213"/>
      <c r="AO465" s="213"/>
      <c r="AP465" s="213"/>
      <c r="AQ465" s="213"/>
      <c r="AR465" s="213"/>
      <c r="AS465" s="213"/>
      <c r="AT465" s="213"/>
      <c r="AU465" s="213"/>
      <c r="AV465" s="213"/>
      <c r="AW465" s="213"/>
      <c r="AX465" s="213"/>
      <c r="AY465" s="213"/>
      <c r="AZ465" s="213"/>
      <c r="BA465" s="213"/>
      <c r="BB465" s="213"/>
    </row>
    <row r="466" ht="15.75" customHeight="1">
      <c r="A466" s="213"/>
      <c r="B466" s="213"/>
      <c r="C466" s="213"/>
      <c r="D466" s="213"/>
      <c r="E466" s="213"/>
      <c r="F466" s="213"/>
      <c r="G466" s="213"/>
      <c r="H466" s="213"/>
      <c r="I466" s="213"/>
      <c r="J466" s="213"/>
      <c r="K466" s="215"/>
      <c r="L466" s="213"/>
      <c r="M466" s="215"/>
      <c r="N466" s="213"/>
      <c r="O466" s="213"/>
      <c r="P466" s="213"/>
      <c r="Q466" s="213"/>
      <c r="R466" s="213"/>
      <c r="S466" s="213"/>
      <c r="T466" s="213"/>
      <c r="U466" s="213"/>
      <c r="V466" s="213"/>
      <c r="W466" s="213"/>
      <c r="X466" s="213"/>
      <c r="Y466" s="213"/>
      <c r="Z466" s="213"/>
      <c r="AA466" s="213"/>
      <c r="AB466" s="213"/>
      <c r="AC466" s="213"/>
      <c r="AD466" s="213"/>
      <c r="AE466" s="213"/>
      <c r="AF466" s="213"/>
      <c r="AG466" s="213"/>
      <c r="AH466" s="213"/>
      <c r="AI466" s="213"/>
      <c r="AJ466" s="213"/>
      <c r="AK466" s="213"/>
      <c r="AL466" s="213"/>
      <c r="AM466" s="213"/>
      <c r="AN466" s="213"/>
      <c r="AO466" s="213"/>
      <c r="AP466" s="213"/>
      <c r="AQ466" s="213"/>
      <c r="AR466" s="213"/>
      <c r="AS466" s="213"/>
      <c r="AT466" s="213"/>
      <c r="AU466" s="213"/>
      <c r="AV466" s="213"/>
      <c r="AW466" s="213"/>
      <c r="AX466" s="213"/>
      <c r="AY466" s="213"/>
      <c r="AZ466" s="213"/>
      <c r="BA466" s="213"/>
      <c r="BB466" s="213"/>
    </row>
    <row r="467" ht="15.75" customHeight="1">
      <c r="A467" s="213"/>
      <c r="B467" s="213"/>
      <c r="C467" s="213"/>
      <c r="D467" s="213"/>
      <c r="E467" s="213"/>
      <c r="F467" s="213"/>
      <c r="G467" s="213"/>
      <c r="H467" s="213"/>
      <c r="I467" s="213"/>
      <c r="J467" s="213"/>
      <c r="K467" s="215"/>
      <c r="L467" s="213"/>
      <c r="M467" s="215"/>
      <c r="N467" s="213"/>
      <c r="O467" s="213"/>
      <c r="P467" s="213"/>
      <c r="Q467" s="213"/>
      <c r="R467" s="213"/>
      <c r="S467" s="213"/>
      <c r="T467" s="213"/>
      <c r="U467" s="213"/>
      <c r="V467" s="213"/>
      <c r="W467" s="213"/>
      <c r="X467" s="213"/>
      <c r="Y467" s="213"/>
      <c r="Z467" s="213"/>
      <c r="AA467" s="213"/>
      <c r="AB467" s="213"/>
      <c r="AC467" s="213"/>
      <c r="AD467" s="213"/>
      <c r="AE467" s="213"/>
      <c r="AF467" s="213"/>
      <c r="AG467" s="213"/>
      <c r="AH467" s="213"/>
      <c r="AI467" s="213"/>
      <c r="AJ467" s="213"/>
      <c r="AK467" s="213"/>
      <c r="AL467" s="213"/>
      <c r="AM467" s="213"/>
      <c r="AN467" s="213"/>
      <c r="AO467" s="213"/>
      <c r="AP467" s="213"/>
      <c r="AQ467" s="213"/>
      <c r="AR467" s="213"/>
      <c r="AS467" s="213"/>
      <c r="AT467" s="213"/>
      <c r="AU467" s="213"/>
      <c r="AV467" s="213"/>
      <c r="AW467" s="213"/>
      <c r="AX467" s="213"/>
      <c r="AY467" s="213"/>
      <c r="AZ467" s="213"/>
      <c r="BA467" s="213"/>
      <c r="BB467" s="213"/>
    </row>
    <row r="468" ht="15.75" customHeight="1">
      <c r="A468" s="213"/>
      <c r="B468" s="213"/>
      <c r="C468" s="213"/>
      <c r="D468" s="213"/>
      <c r="E468" s="213"/>
      <c r="F468" s="213"/>
      <c r="G468" s="213"/>
      <c r="H468" s="213"/>
      <c r="I468" s="213"/>
      <c r="J468" s="213"/>
      <c r="K468" s="215"/>
      <c r="L468" s="213"/>
      <c r="M468" s="215"/>
      <c r="N468" s="213"/>
      <c r="O468" s="213"/>
      <c r="P468" s="213"/>
      <c r="Q468" s="213"/>
      <c r="R468" s="213"/>
      <c r="S468" s="213"/>
      <c r="T468" s="213"/>
      <c r="U468" s="213"/>
      <c r="V468" s="213"/>
      <c r="W468" s="213"/>
      <c r="X468" s="213"/>
      <c r="Y468" s="213"/>
      <c r="Z468" s="213"/>
      <c r="AA468" s="213"/>
      <c r="AB468" s="213"/>
      <c r="AC468" s="213"/>
      <c r="AD468" s="213"/>
      <c r="AE468" s="213"/>
      <c r="AF468" s="213"/>
      <c r="AG468" s="213"/>
      <c r="AH468" s="213"/>
      <c r="AI468" s="213"/>
      <c r="AJ468" s="213"/>
      <c r="AK468" s="213"/>
      <c r="AL468" s="213"/>
      <c r="AM468" s="213"/>
      <c r="AN468" s="213"/>
      <c r="AO468" s="213"/>
      <c r="AP468" s="213"/>
      <c r="AQ468" s="213"/>
      <c r="AR468" s="213"/>
      <c r="AS468" s="213"/>
      <c r="AT468" s="213"/>
      <c r="AU468" s="213"/>
      <c r="AV468" s="213"/>
      <c r="AW468" s="213"/>
      <c r="AX468" s="213"/>
      <c r="AY468" s="213"/>
      <c r="AZ468" s="213"/>
      <c r="BA468" s="213"/>
      <c r="BB468" s="213"/>
    </row>
    <row r="469" ht="15.75" customHeight="1">
      <c r="A469" s="213"/>
      <c r="B469" s="213"/>
      <c r="C469" s="213"/>
      <c r="D469" s="213"/>
      <c r="E469" s="213"/>
      <c r="F469" s="213"/>
      <c r="G469" s="213"/>
      <c r="H469" s="213"/>
      <c r="I469" s="213"/>
      <c r="J469" s="213"/>
      <c r="K469" s="215"/>
      <c r="L469" s="213"/>
      <c r="M469" s="215"/>
      <c r="N469" s="213"/>
      <c r="O469" s="213"/>
      <c r="P469" s="213"/>
      <c r="Q469" s="213"/>
      <c r="R469" s="213"/>
      <c r="S469" s="213"/>
      <c r="T469" s="213"/>
      <c r="U469" s="213"/>
      <c r="V469" s="213"/>
      <c r="W469" s="213"/>
      <c r="X469" s="213"/>
      <c r="Y469" s="213"/>
      <c r="Z469" s="213"/>
      <c r="AA469" s="213"/>
      <c r="AB469" s="213"/>
      <c r="AC469" s="213"/>
      <c r="AD469" s="213"/>
      <c r="AE469" s="213"/>
      <c r="AF469" s="213"/>
      <c r="AG469" s="213"/>
      <c r="AH469" s="213"/>
      <c r="AI469" s="213"/>
      <c r="AJ469" s="213"/>
      <c r="AK469" s="213"/>
      <c r="AL469" s="213"/>
      <c r="AM469" s="213"/>
      <c r="AN469" s="213"/>
      <c r="AO469" s="213"/>
      <c r="AP469" s="213"/>
      <c r="AQ469" s="213"/>
      <c r="AR469" s="213"/>
      <c r="AS469" s="213"/>
      <c r="AT469" s="213"/>
      <c r="AU469" s="213"/>
      <c r="AV469" s="213"/>
      <c r="AW469" s="213"/>
      <c r="AX469" s="213"/>
      <c r="AY469" s="213"/>
      <c r="AZ469" s="213"/>
      <c r="BA469" s="213"/>
      <c r="BB469" s="213"/>
    </row>
    <row r="470" ht="15.75" customHeight="1">
      <c r="A470" s="213"/>
      <c r="B470" s="213"/>
      <c r="C470" s="213"/>
      <c r="D470" s="213"/>
      <c r="E470" s="213"/>
      <c r="F470" s="213"/>
      <c r="G470" s="213"/>
      <c r="H470" s="213"/>
      <c r="I470" s="213"/>
      <c r="J470" s="213"/>
      <c r="K470" s="215"/>
      <c r="L470" s="213"/>
      <c r="M470" s="215"/>
      <c r="N470" s="213"/>
      <c r="O470" s="213"/>
      <c r="P470" s="213"/>
      <c r="Q470" s="213"/>
      <c r="R470" s="213"/>
      <c r="S470" s="213"/>
      <c r="T470" s="213"/>
      <c r="U470" s="213"/>
      <c r="V470" s="213"/>
      <c r="W470" s="213"/>
      <c r="X470" s="213"/>
      <c r="Y470" s="213"/>
      <c r="Z470" s="213"/>
      <c r="AA470" s="213"/>
      <c r="AB470" s="213"/>
      <c r="AC470" s="213"/>
      <c r="AD470" s="213"/>
      <c r="AE470" s="213"/>
      <c r="AF470" s="213"/>
      <c r="AG470" s="213"/>
      <c r="AH470" s="213"/>
      <c r="AI470" s="213"/>
      <c r="AJ470" s="213"/>
      <c r="AK470" s="213"/>
      <c r="AL470" s="213"/>
      <c r="AM470" s="213"/>
      <c r="AN470" s="213"/>
      <c r="AO470" s="213"/>
      <c r="AP470" s="213"/>
      <c r="AQ470" s="213"/>
      <c r="AR470" s="213"/>
      <c r="AS470" s="213"/>
      <c r="AT470" s="213"/>
      <c r="AU470" s="213"/>
      <c r="AV470" s="213"/>
      <c r="AW470" s="213"/>
      <c r="AX470" s="213"/>
      <c r="AY470" s="213"/>
      <c r="AZ470" s="213"/>
      <c r="BA470" s="213"/>
      <c r="BB470" s="213"/>
    </row>
    <row r="471" ht="15.75" customHeight="1">
      <c r="A471" s="213"/>
      <c r="B471" s="213"/>
      <c r="C471" s="213"/>
      <c r="D471" s="213"/>
      <c r="E471" s="213"/>
      <c r="F471" s="213"/>
      <c r="G471" s="213"/>
      <c r="H471" s="213"/>
      <c r="I471" s="213"/>
      <c r="J471" s="213"/>
      <c r="K471" s="215"/>
      <c r="L471" s="213"/>
      <c r="M471" s="215"/>
      <c r="N471" s="213"/>
      <c r="O471" s="213"/>
      <c r="P471" s="213"/>
      <c r="Q471" s="213"/>
      <c r="R471" s="213"/>
      <c r="S471" s="213"/>
      <c r="T471" s="213"/>
      <c r="U471" s="213"/>
      <c r="V471" s="213"/>
      <c r="W471" s="213"/>
      <c r="X471" s="213"/>
      <c r="Y471" s="213"/>
      <c r="Z471" s="213"/>
      <c r="AA471" s="213"/>
      <c r="AB471" s="213"/>
      <c r="AC471" s="213"/>
      <c r="AD471" s="213"/>
      <c r="AE471" s="213"/>
      <c r="AF471" s="213"/>
      <c r="AG471" s="213"/>
      <c r="AH471" s="213"/>
      <c r="AI471" s="213"/>
      <c r="AJ471" s="213"/>
      <c r="AK471" s="213"/>
      <c r="AL471" s="213"/>
      <c r="AM471" s="213"/>
      <c r="AN471" s="213"/>
      <c r="AO471" s="213"/>
      <c r="AP471" s="213"/>
      <c r="AQ471" s="213"/>
      <c r="AR471" s="213"/>
      <c r="AS471" s="213"/>
      <c r="AT471" s="213"/>
      <c r="AU471" s="213"/>
      <c r="AV471" s="213"/>
      <c r="AW471" s="213"/>
      <c r="AX471" s="213"/>
      <c r="AY471" s="213"/>
      <c r="AZ471" s="213"/>
      <c r="BA471" s="213"/>
      <c r="BB471" s="213"/>
    </row>
    <row r="472" ht="15.75" customHeight="1">
      <c r="A472" s="213"/>
      <c r="B472" s="213"/>
      <c r="C472" s="213"/>
      <c r="D472" s="213"/>
      <c r="E472" s="213"/>
      <c r="F472" s="213"/>
      <c r="G472" s="213"/>
      <c r="H472" s="213"/>
      <c r="I472" s="213"/>
      <c r="J472" s="213"/>
      <c r="K472" s="215"/>
      <c r="L472" s="213"/>
      <c r="M472" s="215"/>
      <c r="N472" s="213"/>
      <c r="O472" s="213"/>
      <c r="P472" s="213"/>
      <c r="Q472" s="213"/>
      <c r="R472" s="213"/>
      <c r="S472" s="213"/>
      <c r="T472" s="213"/>
      <c r="U472" s="213"/>
      <c r="V472" s="213"/>
      <c r="W472" s="213"/>
      <c r="X472" s="213"/>
      <c r="Y472" s="213"/>
      <c r="Z472" s="213"/>
      <c r="AA472" s="213"/>
      <c r="AB472" s="213"/>
      <c r="AC472" s="213"/>
      <c r="AD472" s="213"/>
      <c r="AE472" s="213"/>
      <c r="AF472" s="213"/>
      <c r="AG472" s="213"/>
      <c r="AH472" s="213"/>
      <c r="AI472" s="213"/>
      <c r="AJ472" s="213"/>
      <c r="AK472" s="213"/>
      <c r="AL472" s="213"/>
      <c r="AM472" s="213"/>
      <c r="AN472" s="213"/>
      <c r="AO472" s="213"/>
      <c r="AP472" s="213"/>
      <c r="AQ472" s="213"/>
      <c r="AR472" s="213"/>
      <c r="AS472" s="213"/>
      <c r="AT472" s="213"/>
      <c r="AU472" s="213"/>
      <c r="AV472" s="213"/>
      <c r="AW472" s="213"/>
      <c r="AX472" s="213"/>
      <c r="AY472" s="213"/>
      <c r="AZ472" s="213"/>
      <c r="BA472" s="213"/>
      <c r="BB472" s="213"/>
    </row>
    <row r="473" ht="15.75" customHeight="1">
      <c r="A473" s="213"/>
      <c r="B473" s="213"/>
      <c r="C473" s="213"/>
      <c r="D473" s="213"/>
      <c r="E473" s="213"/>
      <c r="F473" s="213"/>
      <c r="G473" s="213"/>
      <c r="H473" s="213"/>
      <c r="I473" s="213"/>
      <c r="J473" s="213"/>
      <c r="K473" s="215"/>
      <c r="L473" s="213"/>
      <c r="M473" s="215"/>
      <c r="N473" s="213"/>
      <c r="O473" s="213"/>
      <c r="P473" s="213"/>
      <c r="Q473" s="213"/>
      <c r="R473" s="213"/>
      <c r="S473" s="213"/>
      <c r="T473" s="213"/>
      <c r="U473" s="213"/>
      <c r="V473" s="213"/>
      <c r="W473" s="213"/>
      <c r="X473" s="213"/>
      <c r="Y473" s="213"/>
      <c r="Z473" s="213"/>
      <c r="AA473" s="213"/>
      <c r="AB473" s="213"/>
      <c r="AC473" s="213"/>
      <c r="AD473" s="213"/>
      <c r="AE473" s="213"/>
      <c r="AF473" s="213"/>
      <c r="AG473" s="213"/>
      <c r="AH473" s="213"/>
      <c r="AI473" s="213"/>
      <c r="AJ473" s="213"/>
      <c r="AK473" s="213"/>
      <c r="AL473" s="213"/>
      <c r="AM473" s="213"/>
      <c r="AN473" s="213"/>
      <c r="AO473" s="213"/>
      <c r="AP473" s="213"/>
      <c r="AQ473" s="213"/>
      <c r="AR473" s="213"/>
      <c r="AS473" s="213"/>
      <c r="AT473" s="213"/>
      <c r="AU473" s="213"/>
      <c r="AV473" s="213"/>
      <c r="AW473" s="213"/>
      <c r="AX473" s="213"/>
      <c r="AY473" s="213"/>
      <c r="AZ473" s="213"/>
      <c r="BA473" s="213"/>
      <c r="BB473" s="213"/>
    </row>
    <row r="474" ht="15.75" customHeight="1">
      <c r="A474" s="213"/>
      <c r="B474" s="213"/>
      <c r="C474" s="213"/>
      <c r="D474" s="213"/>
      <c r="E474" s="213"/>
      <c r="F474" s="213"/>
      <c r="G474" s="213"/>
      <c r="H474" s="213"/>
      <c r="I474" s="213"/>
      <c r="J474" s="213"/>
      <c r="K474" s="215"/>
      <c r="L474" s="213"/>
      <c r="M474" s="215"/>
      <c r="N474" s="213"/>
      <c r="O474" s="213"/>
      <c r="P474" s="213"/>
      <c r="Q474" s="213"/>
      <c r="R474" s="213"/>
      <c r="S474" s="213"/>
      <c r="T474" s="213"/>
      <c r="U474" s="213"/>
      <c r="V474" s="213"/>
      <c r="W474" s="213"/>
      <c r="X474" s="213"/>
      <c r="Y474" s="213"/>
      <c r="Z474" s="213"/>
      <c r="AA474" s="213"/>
      <c r="AB474" s="213"/>
      <c r="AC474" s="213"/>
      <c r="AD474" s="213"/>
      <c r="AE474" s="213"/>
      <c r="AF474" s="213"/>
      <c r="AG474" s="213"/>
      <c r="AH474" s="213"/>
      <c r="AI474" s="213"/>
      <c r="AJ474" s="213"/>
      <c r="AK474" s="213"/>
      <c r="AL474" s="213"/>
      <c r="AM474" s="213"/>
      <c r="AN474" s="213"/>
      <c r="AO474" s="213"/>
      <c r="AP474" s="213"/>
      <c r="AQ474" s="213"/>
      <c r="AR474" s="213"/>
      <c r="AS474" s="213"/>
      <c r="AT474" s="213"/>
      <c r="AU474" s="213"/>
      <c r="AV474" s="213"/>
      <c r="AW474" s="213"/>
      <c r="AX474" s="213"/>
      <c r="AY474" s="213"/>
      <c r="AZ474" s="213"/>
      <c r="BA474" s="213"/>
      <c r="BB474" s="213"/>
    </row>
    <row r="475" ht="15.75" customHeight="1">
      <c r="A475" s="213"/>
      <c r="B475" s="213"/>
      <c r="C475" s="213"/>
      <c r="D475" s="213"/>
      <c r="E475" s="213"/>
      <c r="F475" s="213"/>
      <c r="G475" s="213"/>
      <c r="H475" s="213"/>
      <c r="I475" s="213"/>
      <c r="J475" s="213"/>
      <c r="K475" s="215"/>
      <c r="L475" s="213"/>
      <c r="M475" s="215"/>
      <c r="N475" s="213"/>
      <c r="O475" s="213"/>
      <c r="P475" s="213"/>
      <c r="Q475" s="213"/>
      <c r="R475" s="213"/>
      <c r="S475" s="213"/>
      <c r="T475" s="213"/>
      <c r="U475" s="213"/>
      <c r="V475" s="213"/>
      <c r="W475" s="213"/>
      <c r="X475" s="213"/>
      <c r="Y475" s="213"/>
      <c r="Z475" s="213"/>
      <c r="AA475" s="213"/>
      <c r="AB475" s="213"/>
      <c r="AC475" s="213"/>
      <c r="AD475" s="213"/>
      <c r="AE475" s="213"/>
      <c r="AF475" s="213"/>
      <c r="AG475" s="213"/>
      <c r="AH475" s="213"/>
      <c r="AI475" s="213"/>
      <c r="AJ475" s="213"/>
      <c r="AK475" s="213"/>
      <c r="AL475" s="213"/>
      <c r="AM475" s="213"/>
      <c r="AN475" s="213"/>
      <c r="AO475" s="213"/>
      <c r="AP475" s="213"/>
      <c r="AQ475" s="213"/>
      <c r="AR475" s="213"/>
      <c r="AS475" s="213"/>
      <c r="AT475" s="213"/>
      <c r="AU475" s="213"/>
      <c r="AV475" s="213"/>
      <c r="AW475" s="213"/>
      <c r="AX475" s="213"/>
      <c r="AY475" s="213"/>
      <c r="AZ475" s="213"/>
      <c r="BA475" s="213"/>
      <c r="BB475" s="213"/>
    </row>
    <row r="476" ht="15.75" customHeight="1">
      <c r="A476" s="213"/>
      <c r="B476" s="213"/>
      <c r="C476" s="213"/>
      <c r="D476" s="213"/>
      <c r="E476" s="213"/>
      <c r="F476" s="213"/>
      <c r="G476" s="213"/>
      <c r="H476" s="213"/>
      <c r="I476" s="213"/>
      <c r="J476" s="213"/>
      <c r="K476" s="215"/>
      <c r="L476" s="213"/>
      <c r="M476" s="215"/>
      <c r="N476" s="213"/>
      <c r="O476" s="213"/>
      <c r="P476" s="213"/>
      <c r="Q476" s="213"/>
      <c r="R476" s="213"/>
      <c r="S476" s="213"/>
      <c r="T476" s="213"/>
      <c r="U476" s="213"/>
      <c r="V476" s="213"/>
      <c r="W476" s="213"/>
      <c r="X476" s="213"/>
      <c r="Y476" s="213"/>
      <c r="Z476" s="213"/>
      <c r="AA476" s="213"/>
      <c r="AB476" s="213"/>
      <c r="AC476" s="213"/>
      <c r="AD476" s="213"/>
      <c r="AE476" s="213"/>
      <c r="AF476" s="213"/>
      <c r="AG476" s="213"/>
      <c r="AH476" s="213"/>
      <c r="AI476" s="213"/>
      <c r="AJ476" s="213"/>
      <c r="AK476" s="213"/>
      <c r="AL476" s="213"/>
      <c r="AM476" s="213"/>
      <c r="AN476" s="213"/>
      <c r="AO476" s="213"/>
      <c r="AP476" s="213"/>
      <c r="AQ476" s="213"/>
      <c r="AR476" s="213"/>
      <c r="AS476" s="213"/>
      <c r="AT476" s="213"/>
      <c r="AU476" s="213"/>
      <c r="AV476" s="213"/>
      <c r="AW476" s="213"/>
      <c r="AX476" s="213"/>
      <c r="AY476" s="213"/>
      <c r="AZ476" s="213"/>
      <c r="BA476" s="213"/>
      <c r="BB476" s="213"/>
    </row>
    <row r="477" ht="15.75" customHeight="1">
      <c r="A477" s="213"/>
      <c r="B477" s="213"/>
      <c r="C477" s="213"/>
      <c r="D477" s="213"/>
      <c r="E477" s="213"/>
      <c r="F477" s="213"/>
      <c r="G477" s="213"/>
      <c r="H477" s="213"/>
      <c r="I477" s="213"/>
      <c r="J477" s="213"/>
      <c r="K477" s="215"/>
      <c r="L477" s="213"/>
      <c r="M477" s="215"/>
      <c r="N477" s="213"/>
      <c r="O477" s="213"/>
      <c r="P477" s="213"/>
      <c r="Q477" s="213"/>
      <c r="R477" s="213"/>
      <c r="S477" s="213"/>
      <c r="T477" s="213"/>
      <c r="U477" s="213"/>
      <c r="V477" s="213"/>
      <c r="W477" s="213"/>
      <c r="X477" s="213"/>
      <c r="Y477" s="213"/>
      <c r="Z477" s="213"/>
      <c r="AA477" s="213"/>
      <c r="AB477" s="213"/>
      <c r="AC477" s="213"/>
      <c r="AD477" s="213"/>
      <c r="AE477" s="213"/>
      <c r="AF477" s="213"/>
      <c r="AG477" s="213"/>
      <c r="AH477" s="213"/>
      <c r="AI477" s="213"/>
      <c r="AJ477" s="213"/>
      <c r="AK477" s="213"/>
      <c r="AL477" s="213"/>
      <c r="AM477" s="213"/>
      <c r="AN477" s="213"/>
      <c r="AO477" s="213"/>
      <c r="AP477" s="213"/>
      <c r="AQ477" s="213"/>
      <c r="AR477" s="213"/>
      <c r="AS477" s="213"/>
      <c r="AT477" s="213"/>
      <c r="AU477" s="213"/>
      <c r="AV477" s="213"/>
      <c r="AW477" s="213"/>
      <c r="AX477" s="213"/>
      <c r="AY477" s="213"/>
      <c r="AZ477" s="213"/>
      <c r="BA477" s="213"/>
      <c r="BB477" s="213"/>
    </row>
    <row r="478" ht="15.75" customHeight="1">
      <c r="A478" s="213"/>
      <c r="B478" s="213"/>
      <c r="C478" s="213"/>
      <c r="D478" s="213"/>
      <c r="E478" s="213"/>
      <c r="F478" s="213"/>
      <c r="G478" s="213"/>
      <c r="H478" s="213"/>
      <c r="I478" s="213"/>
      <c r="J478" s="213"/>
      <c r="K478" s="215"/>
      <c r="L478" s="213"/>
      <c r="M478" s="215"/>
      <c r="N478" s="213"/>
      <c r="O478" s="213"/>
      <c r="P478" s="213"/>
      <c r="Q478" s="213"/>
      <c r="R478" s="213"/>
      <c r="S478" s="213"/>
      <c r="T478" s="213"/>
      <c r="U478" s="213"/>
      <c r="V478" s="213"/>
      <c r="W478" s="213"/>
      <c r="X478" s="213"/>
      <c r="Y478" s="213"/>
      <c r="Z478" s="213"/>
      <c r="AA478" s="213"/>
      <c r="AB478" s="213"/>
      <c r="AC478" s="213"/>
      <c r="AD478" s="213"/>
      <c r="AE478" s="213"/>
      <c r="AF478" s="213"/>
      <c r="AG478" s="213"/>
      <c r="AH478" s="213"/>
      <c r="AI478" s="213"/>
      <c r="AJ478" s="213"/>
      <c r="AK478" s="213"/>
      <c r="AL478" s="213"/>
      <c r="AM478" s="213"/>
      <c r="AN478" s="213"/>
      <c r="AO478" s="213"/>
      <c r="AP478" s="213"/>
      <c r="AQ478" s="213"/>
      <c r="AR478" s="213"/>
      <c r="AS478" s="213"/>
      <c r="AT478" s="213"/>
      <c r="AU478" s="213"/>
      <c r="AV478" s="213"/>
      <c r="AW478" s="213"/>
      <c r="AX478" s="213"/>
      <c r="AY478" s="213"/>
      <c r="AZ478" s="213"/>
      <c r="BA478" s="213"/>
      <c r="BB478" s="213"/>
    </row>
    <row r="479" ht="15.75" customHeight="1">
      <c r="A479" s="213"/>
      <c r="B479" s="213"/>
      <c r="C479" s="213"/>
      <c r="D479" s="213"/>
      <c r="E479" s="213"/>
      <c r="F479" s="213"/>
      <c r="G479" s="213"/>
      <c r="H479" s="213"/>
      <c r="I479" s="213"/>
      <c r="J479" s="213"/>
      <c r="K479" s="215"/>
      <c r="L479" s="213"/>
      <c r="M479" s="215"/>
      <c r="N479" s="213"/>
      <c r="O479" s="213"/>
      <c r="P479" s="213"/>
      <c r="Q479" s="213"/>
      <c r="R479" s="213"/>
      <c r="S479" s="213"/>
      <c r="T479" s="213"/>
      <c r="U479" s="213"/>
      <c r="V479" s="213"/>
      <c r="W479" s="213"/>
      <c r="X479" s="213"/>
      <c r="Y479" s="213"/>
      <c r="Z479" s="213"/>
      <c r="AA479" s="213"/>
      <c r="AB479" s="213"/>
      <c r="AC479" s="213"/>
      <c r="AD479" s="213"/>
      <c r="AE479" s="213"/>
      <c r="AF479" s="213"/>
      <c r="AG479" s="213"/>
      <c r="AH479" s="213"/>
      <c r="AI479" s="213"/>
      <c r="AJ479" s="213"/>
      <c r="AK479" s="213"/>
      <c r="AL479" s="213"/>
      <c r="AM479" s="213"/>
      <c r="AN479" s="213"/>
      <c r="AO479" s="213"/>
      <c r="AP479" s="213"/>
      <c r="AQ479" s="213"/>
      <c r="AR479" s="213"/>
      <c r="AS479" s="213"/>
      <c r="AT479" s="213"/>
      <c r="AU479" s="213"/>
      <c r="AV479" s="213"/>
      <c r="AW479" s="213"/>
      <c r="AX479" s="213"/>
      <c r="AY479" s="213"/>
      <c r="AZ479" s="213"/>
      <c r="BA479" s="213"/>
      <c r="BB479" s="213"/>
    </row>
    <row r="480" ht="15.75" customHeight="1">
      <c r="A480" s="213"/>
      <c r="B480" s="213"/>
      <c r="C480" s="213"/>
      <c r="D480" s="213"/>
      <c r="E480" s="213"/>
      <c r="F480" s="213"/>
      <c r="G480" s="213"/>
      <c r="H480" s="213"/>
      <c r="I480" s="213"/>
      <c r="J480" s="213"/>
      <c r="K480" s="215"/>
      <c r="L480" s="213"/>
      <c r="M480" s="215"/>
      <c r="N480" s="213"/>
      <c r="O480" s="213"/>
      <c r="P480" s="213"/>
      <c r="Q480" s="213"/>
      <c r="R480" s="213"/>
      <c r="S480" s="213"/>
      <c r="T480" s="213"/>
      <c r="U480" s="213"/>
      <c r="V480" s="213"/>
      <c r="W480" s="213"/>
      <c r="X480" s="213"/>
      <c r="Y480" s="213"/>
      <c r="Z480" s="213"/>
      <c r="AA480" s="213"/>
      <c r="AB480" s="213"/>
      <c r="AC480" s="213"/>
      <c r="AD480" s="213"/>
      <c r="AE480" s="213"/>
      <c r="AF480" s="213"/>
      <c r="AG480" s="213"/>
      <c r="AH480" s="213"/>
      <c r="AI480" s="213"/>
      <c r="AJ480" s="213"/>
      <c r="AK480" s="213"/>
      <c r="AL480" s="213"/>
      <c r="AM480" s="213"/>
      <c r="AN480" s="213"/>
      <c r="AO480" s="213"/>
      <c r="AP480" s="213"/>
      <c r="AQ480" s="213"/>
      <c r="AR480" s="213"/>
      <c r="AS480" s="213"/>
      <c r="AT480" s="213"/>
      <c r="AU480" s="213"/>
      <c r="AV480" s="213"/>
      <c r="AW480" s="213"/>
      <c r="AX480" s="213"/>
      <c r="AY480" s="213"/>
      <c r="AZ480" s="213"/>
      <c r="BA480" s="213"/>
      <c r="BB480" s="213"/>
    </row>
    <row r="481" ht="15.75" customHeight="1">
      <c r="A481" s="213"/>
      <c r="B481" s="213"/>
      <c r="C481" s="213"/>
      <c r="D481" s="213"/>
      <c r="E481" s="213"/>
      <c r="F481" s="213"/>
      <c r="G481" s="213"/>
      <c r="H481" s="213"/>
      <c r="I481" s="213"/>
      <c r="J481" s="213"/>
      <c r="K481" s="215"/>
      <c r="L481" s="213"/>
      <c r="M481" s="215"/>
      <c r="N481" s="213"/>
      <c r="O481" s="213"/>
      <c r="P481" s="213"/>
      <c r="Q481" s="213"/>
      <c r="R481" s="213"/>
      <c r="S481" s="213"/>
      <c r="T481" s="213"/>
      <c r="U481" s="213"/>
      <c r="V481" s="213"/>
      <c r="W481" s="213"/>
      <c r="X481" s="213"/>
      <c r="Y481" s="213"/>
      <c r="Z481" s="213"/>
      <c r="AA481" s="213"/>
      <c r="AB481" s="213"/>
      <c r="AC481" s="213"/>
      <c r="AD481" s="213"/>
      <c r="AE481" s="213"/>
      <c r="AF481" s="213"/>
      <c r="AG481" s="213"/>
      <c r="AH481" s="213"/>
      <c r="AI481" s="213"/>
      <c r="AJ481" s="213"/>
      <c r="AK481" s="213"/>
      <c r="AL481" s="213"/>
      <c r="AM481" s="213"/>
      <c r="AN481" s="213"/>
      <c r="AO481" s="213"/>
      <c r="AP481" s="213"/>
      <c r="AQ481" s="213"/>
      <c r="AR481" s="213"/>
      <c r="AS481" s="213"/>
      <c r="AT481" s="213"/>
      <c r="AU481" s="213"/>
      <c r="AV481" s="213"/>
      <c r="AW481" s="213"/>
      <c r="AX481" s="213"/>
      <c r="AY481" s="213"/>
      <c r="AZ481" s="213"/>
      <c r="BA481" s="213"/>
      <c r="BB481" s="213"/>
    </row>
    <row r="482" ht="15.75" customHeight="1">
      <c r="A482" s="213"/>
      <c r="B482" s="213"/>
      <c r="C482" s="213"/>
      <c r="D482" s="213"/>
      <c r="E482" s="213"/>
      <c r="F482" s="213"/>
      <c r="G482" s="213"/>
      <c r="H482" s="213"/>
      <c r="I482" s="213"/>
      <c r="J482" s="213"/>
      <c r="K482" s="215"/>
      <c r="L482" s="213"/>
      <c r="M482" s="215"/>
      <c r="N482" s="213"/>
      <c r="O482" s="213"/>
      <c r="P482" s="213"/>
      <c r="Q482" s="213"/>
      <c r="R482" s="213"/>
      <c r="S482" s="213"/>
      <c r="T482" s="213"/>
      <c r="U482" s="213"/>
      <c r="V482" s="213"/>
      <c r="W482" s="213"/>
      <c r="X482" s="213"/>
      <c r="Y482" s="213"/>
      <c r="Z482" s="213"/>
      <c r="AA482" s="213"/>
      <c r="AB482" s="213"/>
      <c r="AC482" s="213"/>
      <c r="AD482" s="213"/>
      <c r="AE482" s="213"/>
      <c r="AF482" s="213"/>
      <c r="AG482" s="213"/>
      <c r="AH482" s="213"/>
      <c r="AI482" s="213"/>
      <c r="AJ482" s="213"/>
      <c r="AK482" s="213"/>
      <c r="AL482" s="213"/>
      <c r="AM482" s="213"/>
      <c r="AN482" s="213"/>
      <c r="AO482" s="213"/>
      <c r="AP482" s="213"/>
      <c r="AQ482" s="213"/>
      <c r="AR482" s="213"/>
      <c r="AS482" s="213"/>
      <c r="AT482" s="213"/>
      <c r="AU482" s="213"/>
      <c r="AV482" s="213"/>
      <c r="AW482" s="213"/>
      <c r="AX482" s="213"/>
      <c r="AY482" s="213"/>
      <c r="AZ482" s="213"/>
      <c r="BA482" s="213"/>
      <c r="BB482" s="213"/>
    </row>
    <row r="483" ht="15.75" customHeight="1">
      <c r="A483" s="213"/>
      <c r="B483" s="213"/>
      <c r="C483" s="213"/>
      <c r="D483" s="213"/>
      <c r="E483" s="213"/>
      <c r="F483" s="213"/>
      <c r="G483" s="213"/>
      <c r="H483" s="213"/>
      <c r="I483" s="213"/>
      <c r="J483" s="213"/>
      <c r="K483" s="215"/>
      <c r="L483" s="213"/>
      <c r="M483" s="215"/>
      <c r="N483" s="213"/>
      <c r="O483" s="213"/>
      <c r="P483" s="213"/>
      <c r="Q483" s="213"/>
      <c r="R483" s="213"/>
      <c r="S483" s="213"/>
      <c r="T483" s="213"/>
      <c r="U483" s="213"/>
      <c r="V483" s="213"/>
      <c r="W483" s="213"/>
      <c r="X483" s="213"/>
      <c r="Y483" s="213"/>
      <c r="Z483" s="213"/>
      <c r="AA483" s="213"/>
      <c r="AB483" s="213"/>
      <c r="AC483" s="213"/>
      <c r="AD483" s="213"/>
      <c r="AE483" s="213"/>
      <c r="AF483" s="213"/>
      <c r="AG483" s="213"/>
      <c r="AH483" s="213"/>
      <c r="AI483" s="213"/>
      <c r="AJ483" s="213"/>
      <c r="AK483" s="213"/>
      <c r="AL483" s="213"/>
      <c r="AM483" s="213"/>
      <c r="AN483" s="213"/>
      <c r="AO483" s="213"/>
      <c r="AP483" s="213"/>
      <c r="AQ483" s="213"/>
      <c r="AR483" s="213"/>
      <c r="AS483" s="213"/>
      <c r="AT483" s="213"/>
      <c r="AU483" s="213"/>
      <c r="AV483" s="213"/>
      <c r="AW483" s="213"/>
      <c r="AX483" s="213"/>
      <c r="AY483" s="213"/>
      <c r="AZ483" s="213"/>
      <c r="BA483" s="213"/>
      <c r="BB483" s="213"/>
    </row>
    <row r="484" ht="15.75" customHeight="1">
      <c r="A484" s="213"/>
      <c r="B484" s="213"/>
      <c r="C484" s="213"/>
      <c r="D484" s="213"/>
      <c r="E484" s="213"/>
      <c r="F484" s="213"/>
      <c r="G484" s="213"/>
      <c r="H484" s="213"/>
      <c r="I484" s="213"/>
      <c r="J484" s="213"/>
      <c r="K484" s="215"/>
      <c r="L484" s="213"/>
      <c r="M484" s="215"/>
      <c r="N484" s="213"/>
      <c r="O484" s="213"/>
      <c r="P484" s="213"/>
      <c r="Q484" s="213"/>
      <c r="R484" s="213"/>
      <c r="S484" s="213"/>
      <c r="T484" s="213"/>
      <c r="U484" s="213"/>
      <c r="V484" s="213"/>
      <c r="W484" s="213"/>
      <c r="X484" s="213"/>
      <c r="Y484" s="213"/>
      <c r="Z484" s="213"/>
      <c r="AA484" s="213"/>
      <c r="AB484" s="213"/>
      <c r="AC484" s="213"/>
      <c r="AD484" s="213"/>
      <c r="AE484" s="213"/>
      <c r="AF484" s="213"/>
      <c r="AG484" s="213"/>
      <c r="AH484" s="213"/>
      <c r="AI484" s="213"/>
      <c r="AJ484" s="213"/>
      <c r="AK484" s="213"/>
      <c r="AL484" s="213"/>
      <c r="AM484" s="213"/>
      <c r="AN484" s="213"/>
      <c r="AO484" s="213"/>
      <c r="AP484" s="213"/>
      <c r="AQ484" s="213"/>
      <c r="AR484" s="213"/>
      <c r="AS484" s="213"/>
      <c r="AT484" s="213"/>
      <c r="AU484" s="213"/>
      <c r="AV484" s="213"/>
      <c r="AW484" s="213"/>
      <c r="AX484" s="213"/>
      <c r="AY484" s="213"/>
      <c r="AZ484" s="213"/>
      <c r="BA484" s="213"/>
      <c r="BB484" s="213"/>
    </row>
    <row r="485" ht="15.75" customHeight="1">
      <c r="A485" s="213"/>
      <c r="B485" s="213"/>
      <c r="C485" s="213"/>
      <c r="D485" s="213"/>
      <c r="E485" s="213"/>
      <c r="F485" s="213"/>
      <c r="G485" s="213"/>
      <c r="H485" s="213"/>
      <c r="I485" s="213"/>
      <c r="J485" s="213"/>
      <c r="K485" s="215"/>
      <c r="L485" s="213"/>
      <c r="M485" s="215"/>
      <c r="N485" s="213"/>
      <c r="O485" s="213"/>
      <c r="P485" s="213"/>
      <c r="Q485" s="213"/>
      <c r="R485" s="213"/>
      <c r="S485" s="213"/>
      <c r="T485" s="213"/>
      <c r="U485" s="213"/>
      <c r="V485" s="213"/>
      <c r="W485" s="213"/>
      <c r="X485" s="213"/>
      <c r="Y485" s="213"/>
      <c r="Z485" s="213"/>
      <c r="AA485" s="213"/>
      <c r="AB485" s="213"/>
      <c r="AC485" s="213"/>
      <c r="AD485" s="213"/>
      <c r="AE485" s="213"/>
      <c r="AF485" s="213"/>
      <c r="AG485" s="213"/>
      <c r="AH485" s="213"/>
      <c r="AI485" s="213"/>
      <c r="AJ485" s="213"/>
      <c r="AK485" s="213"/>
      <c r="AL485" s="213"/>
      <c r="AM485" s="213"/>
      <c r="AN485" s="213"/>
      <c r="AO485" s="213"/>
      <c r="AP485" s="213"/>
      <c r="AQ485" s="213"/>
      <c r="AR485" s="213"/>
      <c r="AS485" s="213"/>
      <c r="AT485" s="213"/>
      <c r="AU485" s="213"/>
      <c r="AV485" s="213"/>
      <c r="AW485" s="213"/>
      <c r="AX485" s="213"/>
      <c r="AY485" s="213"/>
      <c r="AZ485" s="213"/>
      <c r="BA485" s="213"/>
      <c r="BB485" s="213"/>
    </row>
    <row r="486" ht="15.75" customHeight="1">
      <c r="A486" s="213"/>
      <c r="B486" s="213"/>
      <c r="C486" s="213"/>
      <c r="D486" s="213"/>
      <c r="E486" s="213"/>
      <c r="F486" s="213"/>
      <c r="G486" s="213"/>
      <c r="H486" s="213"/>
      <c r="I486" s="213"/>
      <c r="J486" s="213"/>
      <c r="K486" s="215"/>
      <c r="L486" s="213"/>
      <c r="M486" s="215"/>
      <c r="N486" s="213"/>
      <c r="O486" s="213"/>
      <c r="P486" s="213"/>
      <c r="Q486" s="213"/>
      <c r="R486" s="213"/>
      <c r="S486" s="213"/>
      <c r="T486" s="213"/>
      <c r="U486" s="213"/>
      <c r="V486" s="213"/>
      <c r="W486" s="213"/>
      <c r="X486" s="213"/>
      <c r="Y486" s="213"/>
      <c r="Z486" s="213"/>
      <c r="AA486" s="213"/>
      <c r="AB486" s="213"/>
      <c r="AC486" s="213"/>
      <c r="AD486" s="213"/>
      <c r="AE486" s="213"/>
      <c r="AF486" s="213"/>
      <c r="AG486" s="213"/>
      <c r="AH486" s="213"/>
      <c r="AI486" s="213"/>
      <c r="AJ486" s="213"/>
      <c r="AK486" s="213"/>
      <c r="AL486" s="213"/>
      <c r="AM486" s="213"/>
      <c r="AN486" s="213"/>
      <c r="AO486" s="213"/>
      <c r="AP486" s="213"/>
      <c r="AQ486" s="213"/>
      <c r="AR486" s="213"/>
      <c r="AS486" s="213"/>
      <c r="AT486" s="213"/>
      <c r="AU486" s="213"/>
      <c r="AV486" s="213"/>
      <c r="AW486" s="213"/>
      <c r="AX486" s="213"/>
      <c r="AY486" s="213"/>
      <c r="AZ486" s="213"/>
      <c r="BA486" s="213"/>
      <c r="BB486" s="213"/>
    </row>
    <row r="487" ht="15.75" customHeight="1">
      <c r="A487" s="213"/>
      <c r="B487" s="213"/>
      <c r="C487" s="213"/>
      <c r="D487" s="213"/>
      <c r="E487" s="213"/>
      <c r="F487" s="213"/>
      <c r="G487" s="213"/>
      <c r="H487" s="213"/>
      <c r="I487" s="213"/>
      <c r="J487" s="213"/>
      <c r="K487" s="215"/>
      <c r="L487" s="213"/>
      <c r="M487" s="215"/>
      <c r="N487" s="213"/>
      <c r="O487" s="213"/>
      <c r="P487" s="213"/>
      <c r="Q487" s="213"/>
      <c r="R487" s="213"/>
      <c r="S487" s="213"/>
      <c r="T487" s="213"/>
      <c r="U487" s="213"/>
      <c r="V487" s="213"/>
      <c r="W487" s="213"/>
      <c r="X487" s="213"/>
      <c r="Y487" s="213"/>
      <c r="Z487" s="213"/>
      <c r="AA487" s="213"/>
      <c r="AB487" s="213"/>
      <c r="AC487" s="213"/>
      <c r="AD487" s="213"/>
      <c r="AE487" s="213"/>
      <c r="AF487" s="213"/>
      <c r="AG487" s="213"/>
      <c r="AH487" s="213"/>
      <c r="AI487" s="213"/>
      <c r="AJ487" s="213"/>
      <c r="AK487" s="213"/>
      <c r="AL487" s="213"/>
      <c r="AM487" s="213"/>
      <c r="AN487" s="213"/>
      <c r="AO487" s="213"/>
      <c r="AP487" s="213"/>
      <c r="AQ487" s="213"/>
      <c r="AR487" s="213"/>
      <c r="AS487" s="213"/>
      <c r="AT487" s="213"/>
      <c r="AU487" s="213"/>
      <c r="AV487" s="213"/>
      <c r="AW487" s="213"/>
      <c r="AX487" s="213"/>
      <c r="AY487" s="213"/>
      <c r="AZ487" s="213"/>
      <c r="BA487" s="213"/>
      <c r="BB487" s="213"/>
    </row>
    <row r="488" ht="15.75" customHeight="1">
      <c r="A488" s="213"/>
      <c r="B488" s="213"/>
      <c r="C488" s="213"/>
      <c r="D488" s="213"/>
      <c r="E488" s="213"/>
      <c r="F488" s="213"/>
      <c r="G488" s="213"/>
      <c r="H488" s="213"/>
      <c r="I488" s="213"/>
      <c r="J488" s="213"/>
      <c r="K488" s="215"/>
      <c r="L488" s="213"/>
      <c r="M488" s="215"/>
      <c r="N488" s="213"/>
      <c r="O488" s="213"/>
      <c r="P488" s="213"/>
      <c r="Q488" s="213"/>
      <c r="R488" s="213"/>
      <c r="S488" s="213"/>
      <c r="T488" s="213"/>
      <c r="U488" s="213"/>
      <c r="V488" s="213"/>
      <c r="W488" s="213"/>
      <c r="X488" s="213"/>
      <c r="Y488" s="213"/>
      <c r="Z488" s="213"/>
      <c r="AA488" s="213"/>
      <c r="AB488" s="213"/>
      <c r="AC488" s="213"/>
      <c r="AD488" s="213"/>
      <c r="AE488" s="213"/>
      <c r="AF488" s="213"/>
      <c r="AG488" s="213"/>
      <c r="AH488" s="213"/>
      <c r="AI488" s="213"/>
      <c r="AJ488" s="213"/>
      <c r="AK488" s="213"/>
      <c r="AL488" s="213"/>
      <c r="AM488" s="213"/>
      <c r="AN488" s="213"/>
      <c r="AO488" s="213"/>
      <c r="AP488" s="213"/>
      <c r="AQ488" s="213"/>
      <c r="AR488" s="213"/>
      <c r="AS488" s="213"/>
      <c r="AT488" s="213"/>
      <c r="AU488" s="213"/>
      <c r="AV488" s="213"/>
      <c r="AW488" s="213"/>
      <c r="AX488" s="213"/>
      <c r="AY488" s="213"/>
      <c r="AZ488" s="213"/>
      <c r="BA488" s="213"/>
      <c r="BB488" s="213"/>
    </row>
    <row r="489" ht="15.75" customHeight="1">
      <c r="A489" s="213"/>
      <c r="B489" s="213"/>
      <c r="C489" s="213"/>
      <c r="D489" s="213"/>
      <c r="E489" s="213"/>
      <c r="F489" s="213"/>
      <c r="G489" s="213"/>
      <c r="H489" s="213"/>
      <c r="I489" s="213"/>
      <c r="J489" s="213"/>
      <c r="K489" s="215"/>
      <c r="L489" s="213"/>
      <c r="M489" s="215"/>
      <c r="N489" s="213"/>
      <c r="O489" s="213"/>
      <c r="P489" s="213"/>
      <c r="Q489" s="213"/>
      <c r="R489" s="213"/>
      <c r="S489" s="213"/>
      <c r="T489" s="213"/>
      <c r="U489" s="213"/>
      <c r="V489" s="213"/>
      <c r="W489" s="213"/>
      <c r="X489" s="213"/>
      <c r="Y489" s="213"/>
      <c r="Z489" s="213"/>
      <c r="AA489" s="213"/>
      <c r="AB489" s="213"/>
      <c r="AC489" s="213"/>
      <c r="AD489" s="213"/>
      <c r="AE489" s="213"/>
      <c r="AF489" s="213"/>
      <c r="AG489" s="213"/>
      <c r="AH489" s="213"/>
      <c r="AI489" s="213"/>
      <c r="AJ489" s="213"/>
      <c r="AK489" s="213"/>
      <c r="AL489" s="213"/>
      <c r="AM489" s="213"/>
      <c r="AN489" s="213"/>
      <c r="AO489" s="213"/>
      <c r="AP489" s="213"/>
      <c r="AQ489" s="213"/>
      <c r="AR489" s="213"/>
      <c r="AS489" s="213"/>
      <c r="AT489" s="213"/>
      <c r="AU489" s="213"/>
      <c r="AV489" s="213"/>
      <c r="AW489" s="213"/>
      <c r="AX489" s="213"/>
      <c r="AY489" s="213"/>
      <c r="AZ489" s="213"/>
      <c r="BA489" s="213"/>
      <c r="BB489" s="213"/>
    </row>
    <row r="490" ht="15.75" customHeight="1">
      <c r="A490" s="213"/>
      <c r="B490" s="213"/>
      <c r="C490" s="213"/>
      <c r="D490" s="213"/>
      <c r="E490" s="213"/>
      <c r="F490" s="213"/>
      <c r="G490" s="213"/>
      <c r="H490" s="213"/>
      <c r="I490" s="213"/>
      <c r="J490" s="213"/>
      <c r="K490" s="215"/>
      <c r="L490" s="213"/>
      <c r="M490" s="215"/>
      <c r="N490" s="213"/>
      <c r="O490" s="213"/>
      <c r="P490" s="213"/>
      <c r="Q490" s="213"/>
      <c r="R490" s="213"/>
      <c r="S490" s="213"/>
      <c r="T490" s="213"/>
      <c r="U490" s="213"/>
      <c r="V490" s="213"/>
      <c r="W490" s="213"/>
      <c r="X490" s="213"/>
      <c r="Y490" s="213"/>
      <c r="Z490" s="213"/>
      <c r="AA490" s="213"/>
      <c r="AB490" s="213"/>
      <c r="AC490" s="213"/>
      <c r="AD490" s="213"/>
      <c r="AE490" s="213"/>
      <c r="AF490" s="213"/>
      <c r="AG490" s="213"/>
      <c r="AH490" s="213"/>
      <c r="AI490" s="213"/>
      <c r="AJ490" s="213"/>
      <c r="AK490" s="213"/>
      <c r="AL490" s="213"/>
      <c r="AM490" s="213"/>
      <c r="AN490" s="213"/>
      <c r="AO490" s="213"/>
      <c r="AP490" s="213"/>
      <c r="AQ490" s="213"/>
      <c r="AR490" s="213"/>
      <c r="AS490" s="213"/>
      <c r="AT490" s="213"/>
      <c r="AU490" s="213"/>
      <c r="AV490" s="213"/>
      <c r="AW490" s="213"/>
      <c r="AX490" s="213"/>
      <c r="AY490" s="213"/>
      <c r="AZ490" s="213"/>
      <c r="BA490" s="213"/>
      <c r="BB490" s="213"/>
    </row>
    <row r="491" ht="15.75" customHeight="1">
      <c r="A491" s="213"/>
      <c r="B491" s="213"/>
      <c r="C491" s="213"/>
      <c r="D491" s="213"/>
      <c r="E491" s="213"/>
      <c r="F491" s="213"/>
      <c r="G491" s="213"/>
      <c r="H491" s="213"/>
      <c r="I491" s="213"/>
      <c r="J491" s="213"/>
      <c r="K491" s="215"/>
      <c r="L491" s="213"/>
      <c r="M491" s="215"/>
      <c r="N491" s="213"/>
      <c r="O491" s="213"/>
      <c r="P491" s="213"/>
      <c r="Q491" s="213"/>
      <c r="R491" s="213"/>
      <c r="S491" s="213"/>
      <c r="T491" s="213"/>
      <c r="U491" s="213"/>
      <c r="V491" s="213"/>
      <c r="W491" s="213"/>
      <c r="X491" s="213"/>
      <c r="Y491" s="213"/>
      <c r="Z491" s="213"/>
      <c r="AA491" s="213"/>
      <c r="AB491" s="213"/>
      <c r="AC491" s="213"/>
      <c r="AD491" s="213"/>
      <c r="AE491" s="213"/>
      <c r="AF491" s="213"/>
      <c r="AG491" s="213"/>
      <c r="AH491" s="213"/>
      <c r="AI491" s="213"/>
      <c r="AJ491" s="213"/>
      <c r="AK491" s="213"/>
      <c r="AL491" s="213"/>
      <c r="AM491" s="213"/>
      <c r="AN491" s="213"/>
      <c r="AO491" s="213"/>
      <c r="AP491" s="213"/>
      <c r="AQ491" s="213"/>
      <c r="AR491" s="213"/>
      <c r="AS491" s="213"/>
      <c r="AT491" s="213"/>
      <c r="AU491" s="213"/>
      <c r="AV491" s="213"/>
      <c r="AW491" s="213"/>
      <c r="AX491" s="213"/>
      <c r="AY491" s="213"/>
      <c r="AZ491" s="213"/>
      <c r="BA491" s="213"/>
      <c r="BB491" s="213"/>
    </row>
    <row r="492" ht="15.75" customHeight="1">
      <c r="A492" s="213"/>
      <c r="B492" s="213"/>
      <c r="C492" s="213"/>
      <c r="D492" s="213"/>
      <c r="E492" s="213"/>
      <c r="F492" s="213"/>
      <c r="G492" s="213"/>
      <c r="H492" s="213"/>
      <c r="I492" s="213"/>
      <c r="J492" s="213"/>
      <c r="K492" s="215"/>
      <c r="L492" s="213"/>
      <c r="M492" s="215"/>
      <c r="N492" s="213"/>
      <c r="O492" s="213"/>
      <c r="P492" s="213"/>
      <c r="Q492" s="213"/>
      <c r="R492" s="213"/>
      <c r="S492" s="213"/>
      <c r="T492" s="213"/>
      <c r="U492" s="213"/>
      <c r="V492" s="213"/>
      <c r="W492" s="213"/>
      <c r="X492" s="213"/>
      <c r="Y492" s="213"/>
      <c r="Z492" s="213"/>
      <c r="AA492" s="213"/>
      <c r="AB492" s="213"/>
      <c r="AC492" s="213"/>
      <c r="AD492" s="213"/>
      <c r="AE492" s="213"/>
      <c r="AF492" s="213"/>
      <c r="AG492" s="213"/>
      <c r="AH492" s="213"/>
      <c r="AI492" s="213"/>
      <c r="AJ492" s="213"/>
      <c r="AK492" s="213"/>
      <c r="AL492" s="213"/>
      <c r="AM492" s="213"/>
      <c r="AN492" s="213"/>
      <c r="AO492" s="213"/>
      <c r="AP492" s="213"/>
      <c r="AQ492" s="213"/>
      <c r="AR492" s="213"/>
      <c r="AS492" s="213"/>
      <c r="AT492" s="213"/>
      <c r="AU492" s="213"/>
      <c r="AV492" s="213"/>
      <c r="AW492" s="213"/>
      <c r="AX492" s="213"/>
      <c r="AY492" s="213"/>
      <c r="AZ492" s="213"/>
      <c r="BA492" s="213"/>
      <c r="BB492" s="213"/>
    </row>
    <row r="493" ht="15.75" customHeight="1">
      <c r="A493" s="213"/>
      <c r="B493" s="213"/>
      <c r="C493" s="213"/>
      <c r="D493" s="213"/>
      <c r="E493" s="213"/>
      <c r="F493" s="213"/>
      <c r="G493" s="213"/>
      <c r="H493" s="213"/>
      <c r="I493" s="213"/>
      <c r="J493" s="213"/>
      <c r="K493" s="215"/>
      <c r="L493" s="213"/>
      <c r="M493" s="215"/>
      <c r="N493" s="213"/>
      <c r="O493" s="213"/>
      <c r="P493" s="213"/>
      <c r="Q493" s="213"/>
      <c r="R493" s="213"/>
      <c r="S493" s="213"/>
      <c r="T493" s="213"/>
      <c r="U493" s="213"/>
      <c r="V493" s="213"/>
      <c r="W493" s="213"/>
      <c r="X493" s="213"/>
      <c r="Y493" s="213"/>
      <c r="Z493" s="213"/>
      <c r="AA493" s="213"/>
      <c r="AB493" s="213"/>
      <c r="AC493" s="213"/>
      <c r="AD493" s="213"/>
      <c r="AE493" s="213"/>
      <c r="AF493" s="213"/>
      <c r="AG493" s="213"/>
      <c r="AH493" s="213"/>
      <c r="AI493" s="213"/>
      <c r="AJ493" s="213"/>
      <c r="AK493" s="213"/>
      <c r="AL493" s="213"/>
      <c r="AM493" s="213"/>
      <c r="AN493" s="213"/>
      <c r="AO493" s="213"/>
      <c r="AP493" s="213"/>
      <c r="AQ493" s="213"/>
      <c r="AR493" s="213"/>
      <c r="AS493" s="213"/>
      <c r="AT493" s="213"/>
      <c r="AU493" s="213"/>
      <c r="AV493" s="213"/>
      <c r="AW493" s="213"/>
      <c r="AX493" s="213"/>
      <c r="AY493" s="213"/>
      <c r="AZ493" s="213"/>
      <c r="BA493" s="213"/>
      <c r="BB493" s="213"/>
    </row>
    <row r="494" ht="15.75" customHeight="1">
      <c r="A494" s="213"/>
      <c r="B494" s="213"/>
      <c r="C494" s="213"/>
      <c r="D494" s="213"/>
      <c r="E494" s="213"/>
      <c r="F494" s="213"/>
      <c r="G494" s="213"/>
      <c r="H494" s="213"/>
      <c r="I494" s="213"/>
      <c r="J494" s="213"/>
      <c r="K494" s="215"/>
      <c r="L494" s="213"/>
      <c r="M494" s="215"/>
      <c r="N494" s="213"/>
      <c r="O494" s="213"/>
      <c r="P494" s="213"/>
      <c r="Q494" s="213"/>
      <c r="R494" s="213"/>
      <c r="S494" s="213"/>
      <c r="T494" s="213"/>
      <c r="U494" s="213"/>
      <c r="V494" s="213"/>
      <c r="W494" s="213"/>
      <c r="X494" s="213"/>
      <c r="Y494" s="213"/>
      <c r="Z494" s="213"/>
      <c r="AA494" s="213"/>
      <c r="AB494" s="213"/>
      <c r="AC494" s="213"/>
      <c r="AD494" s="213"/>
      <c r="AE494" s="213"/>
      <c r="AF494" s="213"/>
      <c r="AG494" s="213"/>
      <c r="AH494" s="213"/>
      <c r="AI494" s="213"/>
      <c r="AJ494" s="213"/>
      <c r="AK494" s="213"/>
      <c r="AL494" s="213"/>
      <c r="AM494" s="213"/>
      <c r="AN494" s="213"/>
      <c r="AO494" s="213"/>
      <c r="AP494" s="213"/>
      <c r="AQ494" s="213"/>
      <c r="AR494" s="213"/>
      <c r="AS494" s="213"/>
      <c r="AT494" s="213"/>
      <c r="AU494" s="213"/>
      <c r="AV494" s="213"/>
      <c r="AW494" s="213"/>
      <c r="AX494" s="213"/>
      <c r="AY494" s="213"/>
      <c r="AZ494" s="213"/>
      <c r="BA494" s="213"/>
      <c r="BB494" s="213"/>
    </row>
    <row r="495" ht="15.75" customHeight="1">
      <c r="A495" s="213"/>
      <c r="B495" s="213"/>
      <c r="C495" s="213"/>
      <c r="D495" s="213"/>
      <c r="E495" s="213"/>
      <c r="F495" s="213"/>
      <c r="G495" s="213"/>
      <c r="H495" s="213"/>
      <c r="I495" s="213"/>
      <c r="J495" s="213"/>
      <c r="K495" s="215"/>
      <c r="L495" s="213"/>
      <c r="M495" s="215"/>
      <c r="N495" s="213"/>
      <c r="O495" s="213"/>
      <c r="P495" s="213"/>
      <c r="Q495" s="213"/>
      <c r="R495" s="213"/>
      <c r="S495" s="213"/>
      <c r="T495" s="213"/>
      <c r="U495" s="213"/>
      <c r="V495" s="213"/>
      <c r="W495" s="213"/>
      <c r="X495" s="213"/>
      <c r="Y495" s="213"/>
      <c r="Z495" s="213"/>
      <c r="AA495" s="213"/>
      <c r="AB495" s="213"/>
      <c r="AC495" s="213"/>
      <c r="AD495" s="213"/>
      <c r="AE495" s="213"/>
      <c r="AF495" s="213"/>
      <c r="AG495" s="213"/>
      <c r="AH495" s="213"/>
      <c r="AI495" s="213"/>
      <c r="AJ495" s="213"/>
      <c r="AK495" s="213"/>
      <c r="AL495" s="213"/>
      <c r="AM495" s="213"/>
      <c r="AN495" s="213"/>
      <c r="AO495" s="213"/>
      <c r="AP495" s="213"/>
      <c r="AQ495" s="213"/>
      <c r="AR495" s="213"/>
      <c r="AS495" s="213"/>
      <c r="AT495" s="213"/>
      <c r="AU495" s="213"/>
      <c r="AV495" s="213"/>
      <c r="AW495" s="213"/>
      <c r="AX495" s="213"/>
      <c r="AY495" s="213"/>
      <c r="AZ495" s="213"/>
      <c r="BA495" s="213"/>
      <c r="BB495" s="213"/>
    </row>
    <row r="496" ht="15.75" customHeight="1">
      <c r="A496" s="213"/>
      <c r="B496" s="213"/>
      <c r="C496" s="213"/>
      <c r="D496" s="213"/>
      <c r="E496" s="213"/>
      <c r="F496" s="213"/>
      <c r="G496" s="213"/>
      <c r="H496" s="213"/>
      <c r="I496" s="213"/>
      <c r="J496" s="213"/>
      <c r="K496" s="215"/>
      <c r="L496" s="213"/>
      <c r="M496" s="215"/>
      <c r="N496" s="213"/>
      <c r="O496" s="213"/>
      <c r="P496" s="213"/>
      <c r="Q496" s="213"/>
      <c r="R496" s="213"/>
      <c r="S496" s="213"/>
      <c r="T496" s="213"/>
      <c r="U496" s="213"/>
      <c r="V496" s="213"/>
      <c r="W496" s="213"/>
      <c r="X496" s="213"/>
      <c r="Y496" s="213"/>
      <c r="Z496" s="213"/>
      <c r="AA496" s="213"/>
      <c r="AB496" s="213"/>
      <c r="AC496" s="213"/>
      <c r="AD496" s="213"/>
      <c r="AE496" s="213"/>
      <c r="AF496" s="213"/>
      <c r="AG496" s="213"/>
      <c r="AH496" s="213"/>
      <c r="AI496" s="213"/>
      <c r="AJ496" s="213"/>
      <c r="AK496" s="213"/>
      <c r="AL496" s="213"/>
      <c r="AM496" s="213"/>
      <c r="AN496" s="213"/>
      <c r="AO496" s="213"/>
      <c r="AP496" s="213"/>
      <c r="AQ496" s="213"/>
      <c r="AR496" s="213"/>
      <c r="AS496" s="213"/>
      <c r="AT496" s="213"/>
      <c r="AU496" s="213"/>
      <c r="AV496" s="213"/>
      <c r="AW496" s="213"/>
      <c r="AX496" s="213"/>
      <c r="AY496" s="213"/>
      <c r="AZ496" s="213"/>
      <c r="BA496" s="213"/>
      <c r="BB496" s="213"/>
    </row>
    <row r="497" ht="15.75" customHeight="1">
      <c r="A497" s="213"/>
      <c r="B497" s="213"/>
      <c r="C497" s="213"/>
      <c r="D497" s="213"/>
      <c r="E497" s="213"/>
      <c r="F497" s="213"/>
      <c r="G497" s="213"/>
      <c r="H497" s="213"/>
      <c r="I497" s="213"/>
      <c r="J497" s="213"/>
      <c r="K497" s="215"/>
      <c r="L497" s="213"/>
      <c r="M497" s="215"/>
      <c r="N497" s="213"/>
      <c r="O497" s="213"/>
      <c r="P497" s="213"/>
      <c r="Q497" s="213"/>
      <c r="R497" s="213"/>
      <c r="S497" s="213"/>
      <c r="T497" s="213"/>
      <c r="U497" s="213"/>
      <c r="V497" s="213"/>
      <c r="W497" s="213"/>
      <c r="X497" s="213"/>
      <c r="Y497" s="213"/>
      <c r="Z497" s="213"/>
      <c r="AA497" s="213"/>
      <c r="AB497" s="213"/>
      <c r="AC497" s="213"/>
      <c r="AD497" s="213"/>
      <c r="AE497" s="213"/>
      <c r="AF497" s="213"/>
      <c r="AG497" s="213"/>
      <c r="AH497" s="213"/>
      <c r="AI497" s="213"/>
      <c r="AJ497" s="213"/>
      <c r="AK497" s="213"/>
      <c r="AL497" s="213"/>
      <c r="AM497" s="213"/>
      <c r="AN497" s="213"/>
      <c r="AO497" s="213"/>
      <c r="AP497" s="213"/>
      <c r="AQ497" s="213"/>
      <c r="AR497" s="213"/>
      <c r="AS497" s="213"/>
      <c r="AT497" s="213"/>
      <c r="AU497" s="213"/>
      <c r="AV497" s="213"/>
      <c r="AW497" s="213"/>
      <c r="AX497" s="213"/>
      <c r="AY497" s="213"/>
      <c r="AZ497" s="213"/>
      <c r="BA497" s="213"/>
      <c r="BB497" s="213"/>
    </row>
    <row r="498" ht="15.75" customHeight="1">
      <c r="A498" s="213"/>
      <c r="B498" s="213"/>
      <c r="C498" s="213"/>
      <c r="D498" s="213"/>
      <c r="E498" s="213"/>
      <c r="F498" s="213"/>
      <c r="G498" s="213"/>
      <c r="H498" s="213"/>
      <c r="I498" s="213"/>
      <c r="J498" s="213"/>
      <c r="K498" s="215"/>
      <c r="L498" s="213"/>
      <c r="M498" s="215"/>
      <c r="N498" s="213"/>
      <c r="O498" s="213"/>
      <c r="P498" s="213"/>
      <c r="Q498" s="213"/>
      <c r="R498" s="213"/>
      <c r="S498" s="213"/>
      <c r="T498" s="213"/>
      <c r="U498" s="213"/>
      <c r="V498" s="213"/>
      <c r="W498" s="213"/>
      <c r="X498" s="213"/>
      <c r="Y498" s="213"/>
      <c r="Z498" s="213"/>
      <c r="AA498" s="213"/>
      <c r="AB498" s="213"/>
      <c r="AC498" s="213"/>
      <c r="AD498" s="213"/>
      <c r="AE498" s="213"/>
      <c r="AF498" s="213"/>
      <c r="AG498" s="213"/>
      <c r="AH498" s="213"/>
      <c r="AI498" s="213"/>
      <c r="AJ498" s="213"/>
      <c r="AK498" s="213"/>
      <c r="AL498" s="213"/>
      <c r="AM498" s="213"/>
      <c r="AN498" s="213"/>
      <c r="AO498" s="213"/>
      <c r="AP498" s="213"/>
      <c r="AQ498" s="213"/>
      <c r="AR498" s="213"/>
      <c r="AS498" s="213"/>
      <c r="AT498" s="213"/>
      <c r="AU498" s="213"/>
      <c r="AV498" s="213"/>
      <c r="AW498" s="213"/>
      <c r="AX498" s="213"/>
      <c r="AY498" s="213"/>
      <c r="AZ498" s="213"/>
      <c r="BA498" s="213"/>
      <c r="BB498" s="213"/>
    </row>
    <row r="499" ht="15.75" customHeight="1">
      <c r="A499" s="213"/>
      <c r="B499" s="213"/>
      <c r="C499" s="213"/>
      <c r="D499" s="213"/>
      <c r="E499" s="213"/>
      <c r="F499" s="213"/>
      <c r="G499" s="213"/>
      <c r="H499" s="213"/>
      <c r="I499" s="213"/>
      <c r="J499" s="213"/>
      <c r="K499" s="215"/>
      <c r="L499" s="213"/>
      <c r="M499" s="215"/>
      <c r="N499" s="213"/>
      <c r="O499" s="213"/>
      <c r="P499" s="213"/>
      <c r="Q499" s="213"/>
      <c r="R499" s="213"/>
      <c r="S499" s="213"/>
      <c r="T499" s="213"/>
      <c r="U499" s="213"/>
      <c r="V499" s="213"/>
      <c r="W499" s="213"/>
      <c r="X499" s="213"/>
      <c r="Y499" s="213"/>
      <c r="Z499" s="213"/>
      <c r="AA499" s="213"/>
      <c r="AB499" s="213"/>
      <c r="AC499" s="213"/>
      <c r="AD499" s="213"/>
      <c r="AE499" s="213"/>
      <c r="AF499" s="213"/>
      <c r="AG499" s="213"/>
      <c r="AH499" s="213"/>
      <c r="AI499" s="213"/>
      <c r="AJ499" s="213"/>
      <c r="AK499" s="213"/>
      <c r="AL499" s="213"/>
      <c r="AM499" s="213"/>
      <c r="AN499" s="213"/>
      <c r="AO499" s="213"/>
      <c r="AP499" s="213"/>
      <c r="AQ499" s="213"/>
      <c r="AR499" s="213"/>
      <c r="AS499" s="213"/>
      <c r="AT499" s="213"/>
      <c r="AU499" s="213"/>
      <c r="AV499" s="213"/>
      <c r="AW499" s="213"/>
      <c r="AX499" s="213"/>
      <c r="AY499" s="213"/>
      <c r="AZ499" s="213"/>
      <c r="BA499" s="213"/>
      <c r="BB499" s="213"/>
    </row>
    <row r="500" ht="15.75" customHeight="1">
      <c r="A500" s="213"/>
      <c r="B500" s="213"/>
      <c r="C500" s="213"/>
      <c r="D500" s="213"/>
      <c r="E500" s="213"/>
      <c r="F500" s="213"/>
      <c r="G500" s="213"/>
      <c r="H500" s="213"/>
      <c r="I500" s="213"/>
      <c r="J500" s="213"/>
      <c r="K500" s="215"/>
      <c r="L500" s="213"/>
      <c r="M500" s="215"/>
      <c r="N500" s="213"/>
      <c r="O500" s="213"/>
      <c r="P500" s="213"/>
      <c r="Q500" s="213"/>
      <c r="R500" s="213"/>
      <c r="S500" s="213"/>
      <c r="T500" s="213"/>
      <c r="U500" s="213"/>
      <c r="V500" s="213"/>
      <c r="W500" s="213"/>
      <c r="X500" s="213"/>
      <c r="Y500" s="213"/>
      <c r="Z500" s="213"/>
      <c r="AA500" s="213"/>
      <c r="AB500" s="213"/>
      <c r="AC500" s="213"/>
      <c r="AD500" s="213"/>
      <c r="AE500" s="213"/>
      <c r="AF500" s="213"/>
      <c r="AG500" s="213"/>
      <c r="AH500" s="213"/>
      <c r="AI500" s="213"/>
      <c r="AJ500" s="213"/>
      <c r="AK500" s="213"/>
      <c r="AL500" s="213"/>
      <c r="AM500" s="213"/>
      <c r="AN500" s="213"/>
      <c r="AO500" s="213"/>
      <c r="AP500" s="213"/>
      <c r="AQ500" s="213"/>
      <c r="AR500" s="213"/>
      <c r="AS500" s="213"/>
      <c r="AT500" s="213"/>
      <c r="AU500" s="213"/>
      <c r="AV500" s="213"/>
      <c r="AW500" s="213"/>
      <c r="AX500" s="213"/>
      <c r="AY500" s="213"/>
      <c r="AZ500" s="213"/>
      <c r="BA500" s="213"/>
      <c r="BB500" s="213"/>
    </row>
    <row r="501" ht="15.75" customHeight="1">
      <c r="A501" s="213"/>
      <c r="B501" s="213"/>
      <c r="C501" s="213"/>
      <c r="D501" s="213"/>
      <c r="E501" s="213"/>
      <c r="F501" s="213"/>
      <c r="G501" s="213"/>
      <c r="H501" s="213"/>
      <c r="I501" s="213"/>
      <c r="J501" s="213"/>
      <c r="K501" s="215"/>
      <c r="L501" s="213"/>
      <c r="M501" s="215"/>
      <c r="N501" s="213"/>
      <c r="O501" s="213"/>
      <c r="P501" s="213"/>
      <c r="Q501" s="213"/>
      <c r="R501" s="213"/>
      <c r="S501" s="213"/>
      <c r="T501" s="213"/>
      <c r="U501" s="213"/>
      <c r="V501" s="213"/>
      <c r="W501" s="213"/>
      <c r="X501" s="213"/>
      <c r="Y501" s="213"/>
      <c r="Z501" s="213"/>
      <c r="AA501" s="213"/>
      <c r="AB501" s="213"/>
      <c r="AC501" s="213"/>
      <c r="AD501" s="213"/>
      <c r="AE501" s="213"/>
      <c r="AF501" s="213"/>
      <c r="AG501" s="213"/>
      <c r="AH501" s="213"/>
      <c r="AI501" s="213"/>
      <c r="AJ501" s="213"/>
      <c r="AK501" s="213"/>
      <c r="AL501" s="213"/>
      <c r="AM501" s="213"/>
      <c r="AN501" s="213"/>
      <c r="AO501" s="213"/>
      <c r="AP501" s="213"/>
      <c r="AQ501" s="213"/>
      <c r="AR501" s="213"/>
      <c r="AS501" s="213"/>
      <c r="AT501" s="213"/>
      <c r="AU501" s="213"/>
      <c r="AV501" s="213"/>
      <c r="AW501" s="213"/>
      <c r="AX501" s="213"/>
      <c r="AY501" s="213"/>
      <c r="AZ501" s="213"/>
      <c r="BA501" s="213"/>
      <c r="BB501" s="213"/>
    </row>
    <row r="502" ht="15.75" customHeight="1">
      <c r="A502" s="213"/>
      <c r="B502" s="213"/>
      <c r="C502" s="213"/>
      <c r="D502" s="213"/>
      <c r="E502" s="213"/>
      <c r="F502" s="213"/>
      <c r="G502" s="213"/>
      <c r="H502" s="213"/>
      <c r="I502" s="213"/>
      <c r="J502" s="213"/>
      <c r="K502" s="215"/>
      <c r="L502" s="213"/>
      <c r="M502" s="215"/>
      <c r="N502" s="213"/>
      <c r="O502" s="213"/>
      <c r="P502" s="213"/>
      <c r="Q502" s="213"/>
      <c r="R502" s="213"/>
      <c r="S502" s="213"/>
      <c r="T502" s="213"/>
      <c r="U502" s="213"/>
      <c r="V502" s="213"/>
      <c r="W502" s="213"/>
      <c r="X502" s="213"/>
      <c r="Y502" s="213"/>
      <c r="Z502" s="213"/>
      <c r="AA502" s="213"/>
      <c r="AB502" s="213"/>
      <c r="AC502" s="213"/>
      <c r="AD502" s="213"/>
      <c r="AE502" s="213"/>
      <c r="AF502" s="213"/>
      <c r="AG502" s="213"/>
      <c r="AH502" s="213"/>
      <c r="AI502" s="213"/>
      <c r="AJ502" s="213"/>
      <c r="AK502" s="213"/>
      <c r="AL502" s="213"/>
      <c r="AM502" s="213"/>
      <c r="AN502" s="213"/>
      <c r="AO502" s="213"/>
      <c r="AP502" s="213"/>
      <c r="AQ502" s="213"/>
      <c r="AR502" s="213"/>
      <c r="AS502" s="213"/>
      <c r="AT502" s="213"/>
      <c r="AU502" s="213"/>
      <c r="AV502" s="213"/>
      <c r="AW502" s="213"/>
      <c r="AX502" s="213"/>
      <c r="AY502" s="213"/>
      <c r="AZ502" s="213"/>
      <c r="BA502" s="213"/>
      <c r="BB502" s="213"/>
    </row>
    <row r="503" ht="15.75" customHeight="1">
      <c r="A503" s="213"/>
      <c r="B503" s="213"/>
      <c r="C503" s="213"/>
      <c r="D503" s="213"/>
      <c r="E503" s="213"/>
      <c r="F503" s="213"/>
      <c r="G503" s="213"/>
      <c r="H503" s="213"/>
      <c r="I503" s="213"/>
      <c r="J503" s="213"/>
      <c r="K503" s="215"/>
      <c r="L503" s="213"/>
      <c r="M503" s="215"/>
      <c r="N503" s="213"/>
      <c r="O503" s="213"/>
      <c r="P503" s="213"/>
      <c r="Q503" s="213"/>
      <c r="R503" s="213"/>
      <c r="S503" s="213"/>
      <c r="T503" s="213"/>
      <c r="U503" s="213"/>
      <c r="V503" s="213"/>
      <c r="W503" s="213"/>
      <c r="X503" s="213"/>
      <c r="Y503" s="213"/>
      <c r="Z503" s="213"/>
      <c r="AA503" s="213"/>
      <c r="AB503" s="213"/>
      <c r="AC503" s="213"/>
      <c r="AD503" s="213"/>
      <c r="AE503" s="213"/>
      <c r="AF503" s="213"/>
      <c r="AG503" s="213"/>
      <c r="AH503" s="213"/>
      <c r="AI503" s="213"/>
      <c r="AJ503" s="213"/>
      <c r="AK503" s="213"/>
      <c r="AL503" s="213"/>
      <c r="AM503" s="213"/>
      <c r="AN503" s="213"/>
      <c r="AO503" s="213"/>
      <c r="AP503" s="213"/>
      <c r="AQ503" s="213"/>
      <c r="AR503" s="213"/>
      <c r="AS503" s="213"/>
      <c r="AT503" s="213"/>
      <c r="AU503" s="213"/>
      <c r="AV503" s="213"/>
      <c r="AW503" s="213"/>
      <c r="AX503" s="213"/>
      <c r="AY503" s="213"/>
      <c r="AZ503" s="213"/>
      <c r="BA503" s="213"/>
      <c r="BB503" s="213"/>
    </row>
    <row r="504" ht="15.75" customHeight="1">
      <c r="A504" s="213"/>
      <c r="B504" s="213"/>
      <c r="C504" s="213"/>
      <c r="D504" s="213"/>
      <c r="E504" s="213"/>
      <c r="F504" s="213"/>
      <c r="G504" s="213"/>
      <c r="H504" s="213"/>
      <c r="I504" s="213"/>
      <c r="J504" s="213"/>
      <c r="K504" s="215"/>
      <c r="L504" s="213"/>
      <c r="M504" s="215"/>
      <c r="N504" s="213"/>
      <c r="O504" s="213"/>
      <c r="P504" s="213"/>
      <c r="Q504" s="213"/>
      <c r="R504" s="213"/>
      <c r="S504" s="213"/>
      <c r="T504" s="213"/>
      <c r="U504" s="213"/>
      <c r="V504" s="213"/>
      <c r="W504" s="213"/>
      <c r="X504" s="213"/>
      <c r="Y504" s="213"/>
      <c r="Z504" s="213"/>
      <c r="AA504" s="213"/>
      <c r="AB504" s="213"/>
      <c r="AC504" s="213"/>
      <c r="AD504" s="213"/>
      <c r="AE504" s="213"/>
      <c r="AF504" s="213"/>
      <c r="AG504" s="213"/>
      <c r="AH504" s="213"/>
      <c r="AI504" s="213"/>
      <c r="AJ504" s="213"/>
      <c r="AK504" s="213"/>
      <c r="AL504" s="213"/>
      <c r="AM504" s="213"/>
      <c r="AN504" s="213"/>
      <c r="AO504" s="213"/>
      <c r="AP504" s="213"/>
      <c r="AQ504" s="213"/>
      <c r="AR504" s="213"/>
      <c r="AS504" s="213"/>
      <c r="AT504" s="213"/>
      <c r="AU504" s="213"/>
      <c r="AV504" s="213"/>
      <c r="AW504" s="213"/>
      <c r="AX504" s="213"/>
      <c r="AY504" s="213"/>
      <c r="AZ504" s="213"/>
      <c r="BA504" s="213"/>
      <c r="BB504" s="213"/>
    </row>
    <row r="505" ht="15.75" customHeight="1">
      <c r="A505" s="213"/>
      <c r="B505" s="213"/>
      <c r="C505" s="213"/>
      <c r="D505" s="213"/>
      <c r="E505" s="213"/>
      <c r="F505" s="213"/>
      <c r="G505" s="213"/>
      <c r="H505" s="213"/>
      <c r="I505" s="213"/>
      <c r="J505" s="213"/>
      <c r="K505" s="215"/>
      <c r="L505" s="213"/>
      <c r="M505" s="215"/>
      <c r="N505" s="213"/>
      <c r="O505" s="213"/>
      <c r="P505" s="213"/>
      <c r="Q505" s="213"/>
      <c r="R505" s="213"/>
      <c r="S505" s="213"/>
      <c r="T505" s="213"/>
      <c r="U505" s="213"/>
      <c r="V505" s="213"/>
      <c r="W505" s="213"/>
      <c r="X505" s="213"/>
      <c r="Y505" s="213"/>
      <c r="Z505" s="213"/>
      <c r="AA505" s="213"/>
      <c r="AB505" s="213"/>
      <c r="AC505" s="213"/>
      <c r="AD505" s="213"/>
      <c r="AE505" s="213"/>
      <c r="AF505" s="213"/>
      <c r="AG505" s="213"/>
      <c r="AH505" s="213"/>
      <c r="AI505" s="213"/>
      <c r="AJ505" s="213"/>
      <c r="AK505" s="213"/>
      <c r="AL505" s="213"/>
      <c r="AM505" s="213"/>
      <c r="AN505" s="213"/>
      <c r="AO505" s="213"/>
      <c r="AP505" s="213"/>
      <c r="AQ505" s="213"/>
      <c r="AR505" s="213"/>
      <c r="AS505" s="213"/>
      <c r="AT505" s="213"/>
      <c r="AU505" s="213"/>
      <c r="AV505" s="213"/>
      <c r="AW505" s="213"/>
      <c r="AX505" s="213"/>
      <c r="AY505" s="213"/>
      <c r="AZ505" s="213"/>
      <c r="BA505" s="213"/>
      <c r="BB505" s="213"/>
    </row>
    <row r="506" ht="15.75" customHeight="1">
      <c r="A506" s="213"/>
      <c r="B506" s="213"/>
      <c r="C506" s="213"/>
      <c r="D506" s="213"/>
      <c r="E506" s="213"/>
      <c r="F506" s="213"/>
      <c r="G506" s="213"/>
      <c r="H506" s="213"/>
      <c r="I506" s="213"/>
      <c r="J506" s="213"/>
      <c r="K506" s="215"/>
      <c r="L506" s="213"/>
      <c r="M506" s="215"/>
      <c r="N506" s="213"/>
      <c r="O506" s="213"/>
      <c r="P506" s="213"/>
      <c r="Q506" s="213"/>
      <c r="R506" s="213"/>
      <c r="S506" s="213"/>
      <c r="T506" s="213"/>
      <c r="U506" s="213"/>
      <c r="V506" s="213"/>
      <c r="W506" s="213"/>
      <c r="X506" s="213"/>
      <c r="Y506" s="213"/>
      <c r="Z506" s="213"/>
      <c r="AA506" s="213"/>
      <c r="AB506" s="213"/>
      <c r="AC506" s="213"/>
      <c r="AD506" s="213"/>
      <c r="AE506" s="213"/>
      <c r="AF506" s="213"/>
      <c r="AG506" s="213"/>
      <c r="AH506" s="213"/>
      <c r="AI506" s="213"/>
      <c r="AJ506" s="213"/>
      <c r="AK506" s="213"/>
      <c r="AL506" s="213"/>
      <c r="AM506" s="213"/>
      <c r="AN506" s="213"/>
      <c r="AO506" s="213"/>
      <c r="AP506" s="213"/>
      <c r="AQ506" s="213"/>
      <c r="AR506" s="213"/>
      <c r="AS506" s="213"/>
      <c r="AT506" s="213"/>
      <c r="AU506" s="213"/>
      <c r="AV506" s="213"/>
      <c r="AW506" s="213"/>
      <c r="AX506" s="213"/>
      <c r="AY506" s="213"/>
      <c r="AZ506" s="213"/>
      <c r="BA506" s="213"/>
      <c r="BB506" s="213"/>
    </row>
    <row r="507" ht="15.75" customHeight="1">
      <c r="A507" s="213"/>
      <c r="B507" s="213"/>
      <c r="C507" s="213"/>
      <c r="D507" s="213"/>
      <c r="E507" s="213"/>
      <c r="F507" s="213"/>
      <c r="G507" s="213"/>
      <c r="H507" s="213"/>
      <c r="I507" s="213"/>
      <c r="J507" s="213"/>
      <c r="K507" s="215"/>
      <c r="L507" s="213"/>
      <c r="M507" s="215"/>
      <c r="N507" s="213"/>
      <c r="O507" s="213"/>
      <c r="P507" s="213"/>
      <c r="Q507" s="213"/>
      <c r="R507" s="213"/>
      <c r="S507" s="213"/>
      <c r="T507" s="213"/>
      <c r="U507" s="213"/>
      <c r="V507" s="213"/>
      <c r="W507" s="213"/>
      <c r="X507" s="213"/>
      <c r="Y507" s="213"/>
      <c r="Z507" s="213"/>
      <c r="AA507" s="213"/>
      <c r="AB507" s="213"/>
      <c r="AC507" s="213"/>
      <c r="AD507" s="213"/>
      <c r="AE507" s="213"/>
      <c r="AF507" s="213"/>
      <c r="AG507" s="213"/>
      <c r="AH507" s="213"/>
      <c r="AI507" s="213"/>
      <c r="AJ507" s="213"/>
      <c r="AK507" s="213"/>
      <c r="AL507" s="213"/>
      <c r="AM507" s="213"/>
      <c r="AN507" s="213"/>
      <c r="AO507" s="213"/>
      <c r="AP507" s="213"/>
      <c r="AQ507" s="213"/>
      <c r="AR507" s="213"/>
      <c r="AS507" s="213"/>
      <c r="AT507" s="213"/>
      <c r="AU507" s="213"/>
      <c r="AV507" s="213"/>
      <c r="AW507" s="213"/>
      <c r="AX507" s="213"/>
      <c r="AY507" s="213"/>
      <c r="AZ507" s="213"/>
      <c r="BA507" s="213"/>
      <c r="BB507" s="213"/>
    </row>
    <row r="508" ht="15.75" customHeight="1">
      <c r="A508" s="213"/>
      <c r="B508" s="213"/>
      <c r="C508" s="213"/>
      <c r="D508" s="213"/>
      <c r="E508" s="213"/>
      <c r="F508" s="213"/>
      <c r="G508" s="213"/>
      <c r="H508" s="213"/>
      <c r="I508" s="213"/>
      <c r="J508" s="213"/>
      <c r="K508" s="215"/>
      <c r="L508" s="213"/>
      <c r="M508" s="215"/>
      <c r="N508" s="213"/>
      <c r="O508" s="213"/>
      <c r="P508" s="213"/>
      <c r="Q508" s="213"/>
      <c r="R508" s="213"/>
      <c r="S508" s="213"/>
      <c r="T508" s="213"/>
      <c r="U508" s="213"/>
      <c r="V508" s="213"/>
      <c r="W508" s="213"/>
      <c r="X508" s="213"/>
      <c r="Y508" s="213"/>
      <c r="Z508" s="213"/>
      <c r="AA508" s="213"/>
      <c r="AB508" s="213"/>
      <c r="AC508" s="213"/>
      <c r="AD508" s="213"/>
      <c r="AE508" s="213"/>
      <c r="AF508" s="213"/>
      <c r="AG508" s="213"/>
      <c r="AH508" s="213"/>
      <c r="AI508" s="213"/>
      <c r="AJ508" s="213"/>
      <c r="AK508" s="213"/>
      <c r="AL508" s="213"/>
      <c r="AM508" s="213"/>
      <c r="AN508" s="213"/>
      <c r="AO508" s="213"/>
      <c r="AP508" s="213"/>
      <c r="AQ508" s="213"/>
      <c r="AR508" s="213"/>
      <c r="AS508" s="213"/>
      <c r="AT508" s="213"/>
      <c r="AU508" s="213"/>
      <c r="AV508" s="213"/>
      <c r="AW508" s="213"/>
      <c r="AX508" s="213"/>
      <c r="AY508" s="213"/>
      <c r="AZ508" s="213"/>
      <c r="BA508" s="213"/>
      <c r="BB508" s="213"/>
    </row>
    <row r="509" ht="15.75" customHeight="1">
      <c r="A509" s="213"/>
      <c r="B509" s="213"/>
      <c r="C509" s="213"/>
      <c r="D509" s="213"/>
      <c r="E509" s="213"/>
      <c r="F509" s="213"/>
      <c r="G509" s="213"/>
      <c r="H509" s="213"/>
      <c r="I509" s="213"/>
      <c r="J509" s="213"/>
      <c r="K509" s="215"/>
      <c r="L509" s="213"/>
      <c r="M509" s="215"/>
      <c r="N509" s="213"/>
      <c r="O509" s="213"/>
      <c r="P509" s="213"/>
      <c r="Q509" s="213"/>
      <c r="R509" s="213"/>
      <c r="S509" s="213"/>
      <c r="T509" s="213"/>
      <c r="U509" s="213"/>
      <c r="V509" s="213"/>
      <c r="W509" s="213"/>
      <c r="X509" s="213"/>
      <c r="Y509" s="213"/>
      <c r="Z509" s="213"/>
      <c r="AA509" s="213"/>
      <c r="AB509" s="213"/>
      <c r="AC509" s="213"/>
      <c r="AD509" s="213"/>
      <c r="AE509" s="213"/>
      <c r="AF509" s="213"/>
      <c r="AG509" s="213"/>
      <c r="AH509" s="213"/>
      <c r="AI509" s="213"/>
      <c r="AJ509" s="213"/>
      <c r="AK509" s="213"/>
      <c r="AL509" s="213"/>
      <c r="AM509" s="213"/>
      <c r="AN509" s="213"/>
      <c r="AO509" s="213"/>
      <c r="AP509" s="213"/>
      <c r="AQ509" s="213"/>
      <c r="AR509" s="213"/>
      <c r="AS509" s="213"/>
      <c r="AT509" s="213"/>
      <c r="AU509" s="213"/>
      <c r="AV509" s="213"/>
      <c r="AW509" s="213"/>
      <c r="AX509" s="213"/>
      <c r="AY509" s="213"/>
      <c r="AZ509" s="213"/>
      <c r="BA509" s="213"/>
      <c r="BB509" s="213"/>
    </row>
    <row r="510" ht="15.75" customHeight="1">
      <c r="A510" s="213"/>
      <c r="B510" s="213"/>
      <c r="C510" s="213"/>
      <c r="D510" s="213"/>
      <c r="E510" s="213"/>
      <c r="F510" s="213"/>
      <c r="G510" s="213"/>
      <c r="H510" s="213"/>
      <c r="I510" s="213"/>
      <c r="J510" s="213"/>
      <c r="K510" s="215"/>
      <c r="L510" s="213"/>
      <c r="M510" s="215"/>
      <c r="N510" s="213"/>
      <c r="O510" s="213"/>
      <c r="P510" s="213"/>
      <c r="Q510" s="213"/>
      <c r="R510" s="213"/>
      <c r="S510" s="213"/>
      <c r="T510" s="213"/>
      <c r="U510" s="213"/>
      <c r="V510" s="213"/>
      <c r="W510" s="213"/>
      <c r="X510" s="213"/>
      <c r="Y510" s="213"/>
      <c r="Z510" s="213"/>
      <c r="AA510" s="213"/>
      <c r="AB510" s="213"/>
      <c r="AC510" s="213"/>
      <c r="AD510" s="213"/>
      <c r="AE510" s="213"/>
      <c r="AF510" s="213"/>
      <c r="AG510" s="213"/>
      <c r="AH510" s="213"/>
      <c r="AI510" s="213"/>
      <c r="AJ510" s="213"/>
      <c r="AK510" s="213"/>
      <c r="AL510" s="213"/>
      <c r="AM510" s="213"/>
      <c r="AN510" s="213"/>
      <c r="AO510" s="213"/>
      <c r="AP510" s="213"/>
      <c r="AQ510" s="213"/>
      <c r="AR510" s="213"/>
      <c r="AS510" s="213"/>
      <c r="AT510" s="213"/>
      <c r="AU510" s="213"/>
      <c r="AV510" s="213"/>
      <c r="AW510" s="213"/>
      <c r="AX510" s="213"/>
      <c r="AY510" s="213"/>
      <c r="AZ510" s="213"/>
      <c r="BA510" s="213"/>
      <c r="BB510" s="213"/>
    </row>
    <row r="511" ht="15.75" customHeight="1">
      <c r="A511" s="213"/>
      <c r="B511" s="213"/>
      <c r="C511" s="213"/>
      <c r="D511" s="213"/>
      <c r="E511" s="213"/>
      <c r="F511" s="213"/>
      <c r="G511" s="213"/>
      <c r="H511" s="213"/>
      <c r="I511" s="213"/>
      <c r="J511" s="213"/>
      <c r="K511" s="215"/>
      <c r="L511" s="213"/>
      <c r="M511" s="215"/>
      <c r="N511" s="213"/>
      <c r="O511" s="213"/>
      <c r="P511" s="213"/>
      <c r="Q511" s="213"/>
      <c r="R511" s="213"/>
      <c r="S511" s="213"/>
      <c r="T511" s="213"/>
      <c r="U511" s="213"/>
      <c r="V511" s="213"/>
      <c r="W511" s="213"/>
      <c r="X511" s="213"/>
      <c r="Y511" s="213"/>
      <c r="Z511" s="213"/>
      <c r="AA511" s="213"/>
      <c r="AB511" s="213"/>
      <c r="AC511" s="213"/>
      <c r="AD511" s="213"/>
      <c r="AE511" s="213"/>
      <c r="AF511" s="213"/>
      <c r="AG511" s="213"/>
      <c r="AH511" s="213"/>
      <c r="AI511" s="213"/>
      <c r="AJ511" s="213"/>
      <c r="AK511" s="213"/>
      <c r="AL511" s="213"/>
      <c r="AM511" s="213"/>
      <c r="AN511" s="213"/>
      <c r="AO511" s="213"/>
      <c r="AP511" s="213"/>
      <c r="AQ511" s="213"/>
      <c r="AR511" s="213"/>
      <c r="AS511" s="213"/>
      <c r="AT511" s="213"/>
      <c r="AU511" s="213"/>
      <c r="AV511" s="213"/>
      <c r="AW511" s="213"/>
      <c r="AX511" s="213"/>
      <c r="AY511" s="213"/>
      <c r="AZ511" s="213"/>
      <c r="BA511" s="213"/>
      <c r="BB511" s="213"/>
    </row>
    <row r="512" ht="15.75" customHeight="1">
      <c r="A512" s="213"/>
      <c r="B512" s="213"/>
      <c r="C512" s="213"/>
      <c r="D512" s="213"/>
      <c r="E512" s="213"/>
      <c r="F512" s="213"/>
      <c r="G512" s="213"/>
      <c r="H512" s="213"/>
      <c r="I512" s="213"/>
      <c r="J512" s="213"/>
      <c r="K512" s="215"/>
      <c r="L512" s="213"/>
      <c r="M512" s="215"/>
      <c r="N512" s="213"/>
      <c r="O512" s="213"/>
      <c r="P512" s="213"/>
      <c r="Q512" s="213"/>
      <c r="R512" s="213"/>
      <c r="S512" s="213"/>
      <c r="T512" s="213"/>
      <c r="U512" s="213"/>
      <c r="V512" s="213"/>
      <c r="W512" s="213"/>
      <c r="X512" s="213"/>
      <c r="Y512" s="213"/>
      <c r="Z512" s="213"/>
      <c r="AA512" s="213"/>
      <c r="AB512" s="213"/>
      <c r="AC512" s="213"/>
      <c r="AD512" s="213"/>
      <c r="AE512" s="213"/>
      <c r="AF512" s="213"/>
      <c r="AG512" s="213"/>
      <c r="AH512" s="213"/>
      <c r="AI512" s="213"/>
      <c r="AJ512" s="213"/>
      <c r="AK512" s="213"/>
      <c r="AL512" s="213"/>
      <c r="AM512" s="213"/>
      <c r="AN512" s="213"/>
      <c r="AO512" s="213"/>
      <c r="AP512" s="213"/>
      <c r="AQ512" s="213"/>
      <c r="AR512" s="213"/>
      <c r="AS512" s="213"/>
      <c r="AT512" s="213"/>
      <c r="AU512" s="213"/>
      <c r="AV512" s="213"/>
      <c r="AW512" s="213"/>
      <c r="AX512" s="213"/>
      <c r="AY512" s="213"/>
      <c r="AZ512" s="213"/>
      <c r="BA512" s="213"/>
      <c r="BB512" s="213"/>
    </row>
    <row r="513" ht="15.75" customHeight="1">
      <c r="A513" s="213"/>
      <c r="B513" s="213"/>
      <c r="C513" s="213"/>
      <c r="D513" s="213"/>
      <c r="E513" s="213"/>
      <c r="F513" s="213"/>
      <c r="G513" s="213"/>
      <c r="H513" s="213"/>
      <c r="I513" s="213"/>
      <c r="J513" s="213"/>
      <c r="K513" s="215"/>
      <c r="L513" s="213"/>
      <c r="M513" s="215"/>
      <c r="N513" s="213"/>
      <c r="O513" s="213"/>
      <c r="P513" s="213"/>
      <c r="Q513" s="213"/>
      <c r="R513" s="213"/>
      <c r="S513" s="213"/>
      <c r="T513" s="213"/>
      <c r="U513" s="213"/>
      <c r="V513" s="213"/>
      <c r="W513" s="213"/>
      <c r="X513" s="213"/>
      <c r="Y513" s="213"/>
      <c r="Z513" s="213"/>
      <c r="AA513" s="213"/>
      <c r="AB513" s="213"/>
      <c r="AC513" s="213"/>
      <c r="AD513" s="213"/>
      <c r="AE513" s="213"/>
      <c r="AF513" s="213"/>
      <c r="AG513" s="213"/>
      <c r="AH513" s="213"/>
      <c r="AI513" s="213"/>
      <c r="AJ513" s="213"/>
      <c r="AK513" s="213"/>
      <c r="AL513" s="213"/>
      <c r="AM513" s="213"/>
      <c r="AN513" s="213"/>
      <c r="AO513" s="213"/>
      <c r="AP513" s="213"/>
      <c r="AQ513" s="213"/>
      <c r="AR513" s="213"/>
      <c r="AS513" s="213"/>
      <c r="AT513" s="213"/>
      <c r="AU513" s="213"/>
      <c r="AV513" s="213"/>
      <c r="AW513" s="213"/>
      <c r="AX513" s="213"/>
      <c r="AY513" s="213"/>
      <c r="AZ513" s="213"/>
      <c r="BA513" s="213"/>
      <c r="BB513" s="213"/>
    </row>
    <row r="514" ht="15.75" customHeight="1">
      <c r="A514" s="213"/>
      <c r="B514" s="213"/>
      <c r="C514" s="213"/>
      <c r="D514" s="213"/>
      <c r="E514" s="213"/>
      <c r="F514" s="213"/>
      <c r="G514" s="213"/>
      <c r="H514" s="213"/>
      <c r="I514" s="213"/>
      <c r="J514" s="213"/>
      <c r="K514" s="215"/>
      <c r="L514" s="213"/>
      <c r="M514" s="215"/>
      <c r="N514" s="213"/>
      <c r="O514" s="213"/>
      <c r="P514" s="213"/>
      <c r="Q514" s="213"/>
      <c r="R514" s="213"/>
      <c r="S514" s="213"/>
      <c r="T514" s="213"/>
      <c r="U514" s="213"/>
      <c r="V514" s="213"/>
      <c r="W514" s="213"/>
      <c r="X514" s="213"/>
      <c r="Y514" s="213"/>
      <c r="Z514" s="213"/>
      <c r="AA514" s="213"/>
      <c r="AB514" s="213"/>
      <c r="AC514" s="213"/>
      <c r="AD514" s="213"/>
      <c r="AE514" s="213"/>
      <c r="AF514" s="213"/>
      <c r="AG514" s="213"/>
      <c r="AH514" s="213"/>
      <c r="AI514" s="213"/>
      <c r="AJ514" s="213"/>
      <c r="AK514" s="213"/>
      <c r="AL514" s="213"/>
      <c r="AM514" s="213"/>
      <c r="AN514" s="213"/>
      <c r="AO514" s="213"/>
      <c r="AP514" s="213"/>
      <c r="AQ514" s="213"/>
      <c r="AR514" s="213"/>
      <c r="AS514" s="213"/>
      <c r="AT514" s="213"/>
      <c r="AU514" s="213"/>
      <c r="AV514" s="213"/>
      <c r="AW514" s="213"/>
      <c r="AX514" s="213"/>
      <c r="AY514" s="213"/>
      <c r="AZ514" s="213"/>
      <c r="BA514" s="213"/>
      <c r="BB514" s="213"/>
    </row>
    <row r="515" ht="15.75" customHeight="1">
      <c r="A515" s="213"/>
      <c r="B515" s="213"/>
      <c r="C515" s="213"/>
      <c r="D515" s="213"/>
      <c r="E515" s="213"/>
      <c r="F515" s="213"/>
      <c r="G515" s="213"/>
      <c r="H515" s="213"/>
      <c r="I515" s="213"/>
      <c r="J515" s="213"/>
      <c r="K515" s="215"/>
      <c r="L515" s="213"/>
      <c r="M515" s="215"/>
      <c r="N515" s="213"/>
      <c r="O515" s="213"/>
      <c r="P515" s="213"/>
      <c r="Q515" s="213"/>
      <c r="R515" s="213"/>
      <c r="S515" s="213"/>
      <c r="T515" s="213"/>
      <c r="U515" s="213"/>
      <c r="V515" s="213"/>
      <c r="W515" s="213"/>
      <c r="X515" s="213"/>
      <c r="Y515" s="213"/>
      <c r="Z515" s="213"/>
      <c r="AA515" s="213"/>
      <c r="AB515" s="213"/>
      <c r="AC515" s="213"/>
      <c r="AD515" s="213"/>
      <c r="AE515" s="213"/>
      <c r="AF515" s="213"/>
      <c r="AG515" s="213"/>
      <c r="AH515" s="213"/>
      <c r="AI515" s="213"/>
      <c r="AJ515" s="213"/>
      <c r="AK515" s="213"/>
      <c r="AL515" s="213"/>
      <c r="AM515" s="213"/>
      <c r="AN515" s="213"/>
      <c r="AO515" s="213"/>
      <c r="AP515" s="213"/>
      <c r="AQ515" s="213"/>
      <c r="AR515" s="213"/>
      <c r="AS515" s="213"/>
      <c r="AT515" s="213"/>
      <c r="AU515" s="213"/>
      <c r="AV515" s="213"/>
      <c r="AW515" s="213"/>
      <c r="AX515" s="213"/>
      <c r="AY515" s="213"/>
      <c r="AZ515" s="213"/>
      <c r="BA515" s="213"/>
      <c r="BB515" s="213"/>
    </row>
    <row r="516" ht="15.75" customHeight="1">
      <c r="A516" s="213"/>
      <c r="B516" s="213"/>
      <c r="C516" s="213"/>
      <c r="D516" s="213"/>
      <c r="E516" s="213"/>
      <c r="F516" s="213"/>
      <c r="G516" s="213"/>
      <c r="H516" s="213"/>
      <c r="I516" s="213"/>
      <c r="J516" s="213"/>
      <c r="K516" s="215"/>
      <c r="L516" s="213"/>
      <c r="M516" s="215"/>
      <c r="N516" s="213"/>
      <c r="O516" s="213"/>
      <c r="P516" s="213"/>
      <c r="Q516" s="213"/>
      <c r="R516" s="213"/>
      <c r="S516" s="213"/>
      <c r="T516" s="213"/>
      <c r="U516" s="213"/>
      <c r="V516" s="213"/>
      <c r="W516" s="213"/>
      <c r="X516" s="213"/>
      <c r="Y516" s="213"/>
      <c r="Z516" s="213"/>
      <c r="AA516" s="213"/>
      <c r="AB516" s="213"/>
      <c r="AC516" s="213"/>
      <c r="AD516" s="213"/>
      <c r="AE516" s="213"/>
      <c r="AF516" s="213"/>
      <c r="AG516" s="213"/>
      <c r="AH516" s="213"/>
      <c r="AI516" s="213"/>
      <c r="AJ516" s="213"/>
      <c r="AK516" s="213"/>
      <c r="AL516" s="213"/>
      <c r="AM516" s="213"/>
      <c r="AN516" s="213"/>
      <c r="AO516" s="213"/>
      <c r="AP516" s="213"/>
      <c r="AQ516" s="213"/>
      <c r="AR516" s="213"/>
      <c r="AS516" s="213"/>
      <c r="AT516" s="213"/>
      <c r="AU516" s="213"/>
      <c r="AV516" s="213"/>
      <c r="AW516" s="213"/>
      <c r="AX516" s="213"/>
      <c r="AY516" s="213"/>
      <c r="AZ516" s="213"/>
      <c r="BA516" s="213"/>
      <c r="BB516" s="213"/>
    </row>
    <row r="517" ht="15.75" customHeight="1">
      <c r="A517" s="213"/>
      <c r="B517" s="213"/>
      <c r="C517" s="213"/>
      <c r="D517" s="213"/>
      <c r="E517" s="213"/>
      <c r="F517" s="213"/>
      <c r="G517" s="213"/>
      <c r="H517" s="213"/>
      <c r="I517" s="213"/>
      <c r="J517" s="213"/>
      <c r="K517" s="215"/>
      <c r="L517" s="213"/>
      <c r="M517" s="215"/>
      <c r="N517" s="213"/>
      <c r="O517" s="213"/>
      <c r="P517" s="213"/>
      <c r="Q517" s="213"/>
      <c r="R517" s="213"/>
      <c r="S517" s="213"/>
      <c r="T517" s="213"/>
      <c r="U517" s="213"/>
      <c r="V517" s="213"/>
      <c r="W517" s="213"/>
      <c r="X517" s="213"/>
      <c r="Y517" s="213"/>
      <c r="Z517" s="213"/>
      <c r="AA517" s="213"/>
      <c r="AB517" s="213"/>
      <c r="AC517" s="213"/>
      <c r="AD517" s="213"/>
      <c r="AE517" s="213"/>
      <c r="AF517" s="213"/>
      <c r="AG517" s="213"/>
      <c r="AH517" s="213"/>
      <c r="AI517" s="213"/>
      <c r="AJ517" s="213"/>
      <c r="AK517" s="213"/>
      <c r="AL517" s="213"/>
      <c r="AM517" s="213"/>
      <c r="AN517" s="213"/>
      <c r="AO517" s="213"/>
      <c r="AP517" s="213"/>
      <c r="AQ517" s="213"/>
      <c r="AR517" s="213"/>
      <c r="AS517" s="213"/>
      <c r="AT517" s="213"/>
      <c r="AU517" s="213"/>
      <c r="AV517" s="213"/>
      <c r="AW517" s="213"/>
      <c r="AX517" s="213"/>
      <c r="AY517" s="213"/>
      <c r="AZ517" s="213"/>
      <c r="BA517" s="213"/>
      <c r="BB517" s="213"/>
    </row>
    <row r="518" ht="15.75" customHeight="1">
      <c r="A518" s="213"/>
      <c r="B518" s="213"/>
      <c r="C518" s="213"/>
      <c r="D518" s="213"/>
      <c r="E518" s="213"/>
      <c r="F518" s="213"/>
      <c r="G518" s="213"/>
      <c r="H518" s="213"/>
      <c r="I518" s="213"/>
      <c r="J518" s="213"/>
      <c r="K518" s="215"/>
      <c r="L518" s="213"/>
      <c r="M518" s="215"/>
      <c r="N518" s="213"/>
      <c r="O518" s="213"/>
      <c r="P518" s="213"/>
      <c r="Q518" s="213"/>
      <c r="R518" s="213"/>
      <c r="S518" s="213"/>
      <c r="T518" s="213"/>
      <c r="U518" s="213"/>
      <c r="V518" s="213"/>
      <c r="W518" s="213"/>
      <c r="X518" s="213"/>
      <c r="Y518" s="213"/>
      <c r="Z518" s="213"/>
      <c r="AA518" s="213"/>
      <c r="AB518" s="213"/>
      <c r="AC518" s="213"/>
      <c r="AD518" s="213"/>
      <c r="AE518" s="213"/>
      <c r="AF518" s="213"/>
      <c r="AG518" s="213"/>
      <c r="AH518" s="213"/>
      <c r="AI518" s="213"/>
      <c r="AJ518" s="213"/>
      <c r="AK518" s="213"/>
      <c r="AL518" s="213"/>
      <c r="AM518" s="213"/>
      <c r="AN518" s="213"/>
      <c r="AO518" s="213"/>
      <c r="AP518" s="213"/>
      <c r="AQ518" s="213"/>
      <c r="AR518" s="213"/>
      <c r="AS518" s="213"/>
      <c r="AT518" s="213"/>
      <c r="AU518" s="213"/>
      <c r="AV518" s="213"/>
      <c r="AW518" s="213"/>
      <c r="AX518" s="213"/>
      <c r="AY518" s="213"/>
      <c r="AZ518" s="213"/>
      <c r="BA518" s="213"/>
      <c r="BB518" s="213"/>
    </row>
    <row r="519" ht="15.75" customHeight="1">
      <c r="A519" s="213"/>
      <c r="B519" s="213"/>
      <c r="C519" s="213"/>
      <c r="D519" s="213"/>
      <c r="E519" s="213"/>
      <c r="F519" s="213"/>
      <c r="G519" s="213"/>
      <c r="H519" s="213"/>
      <c r="I519" s="213"/>
      <c r="J519" s="213"/>
      <c r="K519" s="215"/>
      <c r="L519" s="213"/>
      <c r="M519" s="215"/>
      <c r="N519" s="213"/>
      <c r="O519" s="213"/>
      <c r="P519" s="213"/>
      <c r="Q519" s="213"/>
      <c r="R519" s="213"/>
      <c r="S519" s="213"/>
      <c r="T519" s="213"/>
      <c r="U519" s="213"/>
      <c r="V519" s="213"/>
      <c r="W519" s="213"/>
      <c r="X519" s="213"/>
      <c r="Y519" s="213"/>
      <c r="Z519" s="213"/>
      <c r="AA519" s="213"/>
      <c r="AB519" s="213"/>
      <c r="AC519" s="213"/>
      <c r="AD519" s="213"/>
      <c r="AE519" s="213"/>
      <c r="AF519" s="213"/>
      <c r="AG519" s="213"/>
      <c r="AH519" s="213"/>
      <c r="AI519" s="213"/>
      <c r="AJ519" s="213"/>
      <c r="AK519" s="213"/>
      <c r="AL519" s="213"/>
      <c r="AM519" s="213"/>
      <c r="AN519" s="213"/>
      <c r="AO519" s="213"/>
      <c r="AP519" s="213"/>
      <c r="AQ519" s="213"/>
      <c r="AR519" s="213"/>
      <c r="AS519" s="213"/>
      <c r="AT519" s="213"/>
      <c r="AU519" s="213"/>
      <c r="AV519" s="213"/>
      <c r="AW519" s="213"/>
      <c r="AX519" s="213"/>
      <c r="AY519" s="213"/>
      <c r="AZ519" s="213"/>
      <c r="BA519" s="213"/>
      <c r="BB519" s="213"/>
    </row>
    <row r="520" ht="15.75" customHeight="1">
      <c r="A520" s="213"/>
      <c r="B520" s="213"/>
      <c r="C520" s="213"/>
      <c r="D520" s="213"/>
      <c r="E520" s="213"/>
      <c r="F520" s="213"/>
      <c r="G520" s="213"/>
      <c r="H520" s="213"/>
      <c r="I520" s="213"/>
      <c r="J520" s="213"/>
      <c r="K520" s="215"/>
      <c r="L520" s="213"/>
      <c r="M520" s="215"/>
      <c r="N520" s="213"/>
      <c r="O520" s="213"/>
      <c r="P520" s="213"/>
      <c r="Q520" s="213"/>
      <c r="R520" s="213"/>
      <c r="S520" s="213"/>
      <c r="T520" s="213"/>
      <c r="U520" s="213"/>
      <c r="V520" s="213"/>
      <c r="W520" s="213"/>
      <c r="X520" s="213"/>
      <c r="Y520" s="213"/>
      <c r="Z520" s="213"/>
      <c r="AA520" s="213"/>
      <c r="AB520" s="213"/>
      <c r="AC520" s="213"/>
      <c r="AD520" s="213"/>
      <c r="AE520" s="213"/>
      <c r="AF520" s="213"/>
      <c r="AG520" s="213"/>
      <c r="AH520" s="213"/>
      <c r="AI520" s="213"/>
      <c r="AJ520" s="213"/>
      <c r="AK520" s="213"/>
      <c r="AL520" s="213"/>
      <c r="AM520" s="213"/>
      <c r="AN520" s="213"/>
      <c r="AO520" s="213"/>
      <c r="AP520" s="213"/>
      <c r="AQ520" s="213"/>
      <c r="AR520" s="213"/>
      <c r="AS520" s="213"/>
      <c r="AT520" s="213"/>
      <c r="AU520" s="213"/>
      <c r="AV520" s="213"/>
      <c r="AW520" s="213"/>
      <c r="AX520" s="213"/>
      <c r="AY520" s="213"/>
      <c r="AZ520" s="213"/>
      <c r="BA520" s="213"/>
      <c r="BB520" s="213"/>
    </row>
    <row r="521" ht="15.75" customHeight="1">
      <c r="A521" s="213"/>
      <c r="B521" s="213"/>
      <c r="C521" s="213"/>
      <c r="D521" s="213"/>
      <c r="E521" s="213"/>
      <c r="F521" s="213"/>
      <c r="G521" s="213"/>
      <c r="H521" s="213"/>
      <c r="I521" s="213"/>
      <c r="J521" s="213"/>
      <c r="K521" s="215"/>
      <c r="L521" s="213"/>
      <c r="M521" s="215"/>
      <c r="N521" s="213"/>
      <c r="O521" s="213"/>
      <c r="P521" s="213"/>
      <c r="Q521" s="213"/>
      <c r="R521" s="213"/>
      <c r="S521" s="213"/>
      <c r="T521" s="213"/>
      <c r="U521" s="213"/>
      <c r="V521" s="213"/>
      <c r="W521" s="213"/>
      <c r="X521" s="213"/>
      <c r="Y521" s="213"/>
      <c r="Z521" s="213"/>
      <c r="AA521" s="213"/>
      <c r="AB521" s="213"/>
      <c r="AC521" s="213"/>
      <c r="AD521" s="213"/>
      <c r="AE521" s="213"/>
      <c r="AF521" s="213"/>
      <c r="AG521" s="213"/>
      <c r="AH521" s="213"/>
      <c r="AI521" s="213"/>
      <c r="AJ521" s="213"/>
      <c r="AK521" s="213"/>
      <c r="AL521" s="213"/>
      <c r="AM521" s="213"/>
      <c r="AN521" s="213"/>
      <c r="AO521" s="213"/>
      <c r="AP521" s="213"/>
      <c r="AQ521" s="213"/>
      <c r="AR521" s="213"/>
      <c r="AS521" s="213"/>
      <c r="AT521" s="213"/>
      <c r="AU521" s="213"/>
      <c r="AV521" s="213"/>
      <c r="AW521" s="213"/>
      <c r="AX521" s="213"/>
      <c r="AY521" s="213"/>
      <c r="AZ521" s="213"/>
      <c r="BA521" s="213"/>
      <c r="BB521" s="213"/>
    </row>
    <row r="522" ht="15.75" customHeight="1">
      <c r="A522" s="213"/>
      <c r="B522" s="213"/>
      <c r="C522" s="213"/>
      <c r="D522" s="213"/>
      <c r="E522" s="213"/>
      <c r="F522" s="213"/>
      <c r="G522" s="213"/>
      <c r="H522" s="213"/>
      <c r="I522" s="213"/>
      <c r="J522" s="213"/>
      <c r="K522" s="215"/>
      <c r="L522" s="213"/>
      <c r="M522" s="215"/>
      <c r="N522" s="213"/>
      <c r="O522" s="213"/>
      <c r="P522" s="213"/>
      <c r="Q522" s="213"/>
      <c r="R522" s="213"/>
      <c r="S522" s="213"/>
      <c r="T522" s="213"/>
      <c r="U522" s="213"/>
      <c r="V522" s="213"/>
      <c r="W522" s="213"/>
      <c r="X522" s="213"/>
      <c r="Y522" s="213"/>
      <c r="Z522" s="213"/>
      <c r="AA522" s="213"/>
      <c r="AB522" s="213"/>
      <c r="AC522" s="213"/>
      <c r="AD522" s="213"/>
      <c r="AE522" s="213"/>
      <c r="AF522" s="213"/>
      <c r="AG522" s="213"/>
      <c r="AH522" s="213"/>
      <c r="AI522" s="213"/>
      <c r="AJ522" s="213"/>
      <c r="AK522" s="213"/>
      <c r="AL522" s="213"/>
      <c r="AM522" s="213"/>
      <c r="AN522" s="213"/>
      <c r="AO522" s="213"/>
      <c r="AP522" s="213"/>
      <c r="AQ522" s="213"/>
      <c r="AR522" s="213"/>
      <c r="AS522" s="213"/>
      <c r="AT522" s="213"/>
      <c r="AU522" s="213"/>
      <c r="AV522" s="213"/>
      <c r="AW522" s="213"/>
      <c r="AX522" s="213"/>
      <c r="AY522" s="213"/>
      <c r="AZ522" s="213"/>
      <c r="BA522" s="213"/>
      <c r="BB522" s="213"/>
    </row>
    <row r="523" ht="15.75" customHeight="1">
      <c r="A523" s="213"/>
      <c r="B523" s="213"/>
      <c r="C523" s="213"/>
      <c r="D523" s="213"/>
      <c r="E523" s="213"/>
      <c r="F523" s="213"/>
      <c r="G523" s="213"/>
      <c r="H523" s="213"/>
      <c r="I523" s="213"/>
      <c r="J523" s="213"/>
      <c r="K523" s="215"/>
      <c r="L523" s="213"/>
      <c r="M523" s="215"/>
      <c r="N523" s="213"/>
      <c r="O523" s="213"/>
      <c r="P523" s="213"/>
      <c r="Q523" s="213"/>
      <c r="R523" s="213"/>
      <c r="S523" s="213"/>
      <c r="T523" s="213"/>
      <c r="U523" s="213"/>
      <c r="V523" s="213"/>
      <c r="W523" s="213"/>
      <c r="X523" s="213"/>
      <c r="Y523" s="213"/>
      <c r="Z523" s="213"/>
      <c r="AA523" s="213"/>
      <c r="AB523" s="213"/>
      <c r="AC523" s="213"/>
      <c r="AD523" s="213"/>
      <c r="AE523" s="213"/>
      <c r="AF523" s="213"/>
      <c r="AG523" s="213"/>
      <c r="AH523" s="213"/>
      <c r="AI523" s="213"/>
      <c r="AJ523" s="213"/>
      <c r="AK523" s="213"/>
      <c r="AL523" s="213"/>
      <c r="AM523" s="213"/>
      <c r="AN523" s="213"/>
      <c r="AO523" s="213"/>
      <c r="AP523" s="213"/>
      <c r="AQ523" s="213"/>
      <c r="AR523" s="213"/>
      <c r="AS523" s="213"/>
      <c r="AT523" s="213"/>
      <c r="AU523" s="213"/>
      <c r="AV523" s="213"/>
      <c r="AW523" s="213"/>
      <c r="AX523" s="213"/>
      <c r="AY523" s="213"/>
      <c r="AZ523" s="213"/>
      <c r="BA523" s="213"/>
      <c r="BB523" s="213"/>
    </row>
    <row r="524" ht="15.75" customHeight="1">
      <c r="A524" s="213"/>
      <c r="B524" s="213"/>
      <c r="C524" s="213"/>
      <c r="D524" s="213"/>
      <c r="E524" s="213"/>
      <c r="F524" s="213"/>
      <c r="G524" s="213"/>
      <c r="H524" s="213"/>
      <c r="I524" s="213"/>
      <c r="J524" s="213"/>
      <c r="K524" s="215"/>
      <c r="L524" s="213"/>
      <c r="M524" s="215"/>
      <c r="N524" s="213"/>
      <c r="O524" s="213"/>
      <c r="P524" s="213"/>
      <c r="Q524" s="213"/>
      <c r="R524" s="213"/>
      <c r="S524" s="213"/>
      <c r="T524" s="213"/>
      <c r="U524" s="213"/>
      <c r="V524" s="213"/>
      <c r="W524" s="213"/>
      <c r="X524" s="213"/>
      <c r="Y524" s="213"/>
      <c r="Z524" s="213"/>
      <c r="AA524" s="213"/>
      <c r="AB524" s="213"/>
      <c r="AC524" s="213"/>
      <c r="AD524" s="213"/>
      <c r="AE524" s="213"/>
      <c r="AF524" s="213"/>
      <c r="AG524" s="213"/>
      <c r="AH524" s="213"/>
      <c r="AI524" s="213"/>
      <c r="AJ524" s="213"/>
      <c r="AK524" s="213"/>
      <c r="AL524" s="213"/>
      <c r="AM524" s="213"/>
      <c r="AN524" s="213"/>
      <c r="AO524" s="213"/>
      <c r="AP524" s="213"/>
      <c r="AQ524" s="213"/>
      <c r="AR524" s="213"/>
      <c r="AS524" s="213"/>
      <c r="AT524" s="213"/>
      <c r="AU524" s="213"/>
      <c r="AV524" s="213"/>
      <c r="AW524" s="213"/>
      <c r="AX524" s="213"/>
      <c r="AY524" s="213"/>
      <c r="AZ524" s="213"/>
      <c r="BA524" s="213"/>
      <c r="BB524" s="213"/>
    </row>
    <row r="525" ht="15.75" customHeight="1">
      <c r="A525" s="213"/>
      <c r="B525" s="213"/>
      <c r="C525" s="213"/>
      <c r="D525" s="213"/>
      <c r="E525" s="213"/>
      <c r="F525" s="213"/>
      <c r="G525" s="213"/>
      <c r="H525" s="213"/>
      <c r="I525" s="213"/>
      <c r="J525" s="213"/>
      <c r="K525" s="215"/>
      <c r="L525" s="213"/>
      <c r="M525" s="215"/>
      <c r="N525" s="213"/>
      <c r="O525" s="213"/>
      <c r="P525" s="213"/>
      <c r="Q525" s="213"/>
      <c r="R525" s="213"/>
      <c r="S525" s="213"/>
      <c r="T525" s="213"/>
      <c r="U525" s="213"/>
      <c r="V525" s="213"/>
      <c r="W525" s="213"/>
      <c r="X525" s="213"/>
      <c r="Y525" s="213"/>
      <c r="Z525" s="213"/>
      <c r="AA525" s="213"/>
      <c r="AB525" s="213"/>
      <c r="AC525" s="213"/>
      <c r="AD525" s="213"/>
      <c r="AE525" s="213"/>
      <c r="AF525" s="213"/>
      <c r="AG525" s="213"/>
      <c r="AH525" s="213"/>
      <c r="AI525" s="213"/>
      <c r="AJ525" s="213"/>
      <c r="AK525" s="213"/>
      <c r="AL525" s="213"/>
      <c r="AM525" s="213"/>
      <c r="AN525" s="213"/>
      <c r="AO525" s="213"/>
      <c r="AP525" s="213"/>
      <c r="AQ525" s="213"/>
      <c r="AR525" s="213"/>
      <c r="AS525" s="213"/>
      <c r="AT525" s="213"/>
      <c r="AU525" s="213"/>
      <c r="AV525" s="213"/>
      <c r="AW525" s="213"/>
      <c r="AX525" s="213"/>
      <c r="AY525" s="213"/>
      <c r="AZ525" s="213"/>
      <c r="BA525" s="213"/>
      <c r="BB525" s="213"/>
    </row>
    <row r="526" ht="15.75" customHeight="1">
      <c r="A526" s="213"/>
      <c r="B526" s="213"/>
      <c r="C526" s="213"/>
      <c r="D526" s="213"/>
      <c r="E526" s="213"/>
      <c r="F526" s="213"/>
      <c r="G526" s="213"/>
      <c r="H526" s="213"/>
      <c r="I526" s="213"/>
      <c r="J526" s="213"/>
      <c r="K526" s="215"/>
      <c r="L526" s="213"/>
      <c r="M526" s="215"/>
      <c r="N526" s="213"/>
      <c r="O526" s="213"/>
      <c r="P526" s="213"/>
      <c r="Q526" s="213"/>
      <c r="R526" s="213"/>
      <c r="S526" s="213"/>
      <c r="T526" s="213"/>
      <c r="U526" s="213"/>
      <c r="V526" s="213"/>
      <c r="W526" s="213"/>
      <c r="X526" s="213"/>
      <c r="Y526" s="213"/>
      <c r="Z526" s="213"/>
      <c r="AA526" s="213"/>
      <c r="AB526" s="213"/>
      <c r="AC526" s="213"/>
      <c r="AD526" s="213"/>
      <c r="AE526" s="213"/>
      <c r="AF526" s="213"/>
      <c r="AG526" s="213"/>
      <c r="AH526" s="213"/>
      <c r="AI526" s="213"/>
      <c r="AJ526" s="213"/>
      <c r="AK526" s="213"/>
      <c r="AL526" s="213"/>
      <c r="AM526" s="213"/>
      <c r="AN526" s="213"/>
      <c r="AO526" s="213"/>
      <c r="AP526" s="213"/>
      <c r="AQ526" s="213"/>
      <c r="AR526" s="213"/>
      <c r="AS526" s="213"/>
      <c r="AT526" s="213"/>
      <c r="AU526" s="213"/>
      <c r="AV526" s="213"/>
      <c r="AW526" s="213"/>
      <c r="AX526" s="213"/>
      <c r="AY526" s="213"/>
      <c r="AZ526" s="213"/>
      <c r="BA526" s="213"/>
      <c r="BB526" s="213"/>
    </row>
    <row r="527" ht="15.75" customHeight="1">
      <c r="A527" s="213"/>
      <c r="B527" s="213"/>
      <c r="C527" s="213"/>
      <c r="D527" s="213"/>
      <c r="E527" s="213"/>
      <c r="F527" s="213"/>
      <c r="G527" s="213"/>
      <c r="H527" s="213"/>
      <c r="I527" s="213"/>
      <c r="J527" s="213"/>
      <c r="K527" s="215"/>
      <c r="L527" s="213"/>
      <c r="M527" s="215"/>
      <c r="N527" s="213"/>
      <c r="O527" s="213"/>
      <c r="P527" s="213"/>
      <c r="Q527" s="213"/>
      <c r="R527" s="213"/>
      <c r="S527" s="213"/>
      <c r="T527" s="213"/>
      <c r="U527" s="213"/>
      <c r="V527" s="213"/>
      <c r="W527" s="213"/>
      <c r="X527" s="213"/>
      <c r="Y527" s="213"/>
      <c r="Z527" s="213"/>
      <c r="AA527" s="213"/>
      <c r="AB527" s="213"/>
      <c r="AC527" s="213"/>
      <c r="AD527" s="213"/>
      <c r="AE527" s="213"/>
      <c r="AF527" s="213"/>
      <c r="AG527" s="213"/>
      <c r="AH527" s="213"/>
      <c r="AI527" s="213"/>
      <c r="AJ527" s="213"/>
      <c r="AK527" s="213"/>
      <c r="AL527" s="213"/>
      <c r="AM527" s="213"/>
      <c r="AN527" s="213"/>
      <c r="AO527" s="213"/>
      <c r="AP527" s="213"/>
      <c r="AQ527" s="213"/>
      <c r="AR527" s="213"/>
      <c r="AS527" s="213"/>
      <c r="AT527" s="213"/>
      <c r="AU527" s="213"/>
      <c r="AV527" s="213"/>
      <c r="AW527" s="213"/>
      <c r="AX527" s="213"/>
      <c r="AY527" s="213"/>
      <c r="AZ527" s="213"/>
      <c r="BA527" s="213"/>
      <c r="BB527" s="213"/>
    </row>
    <row r="528" ht="15.75" customHeight="1">
      <c r="A528" s="213"/>
      <c r="B528" s="213"/>
      <c r="C528" s="213"/>
      <c r="D528" s="213"/>
      <c r="E528" s="213"/>
      <c r="F528" s="213"/>
      <c r="G528" s="213"/>
      <c r="H528" s="213"/>
      <c r="I528" s="213"/>
      <c r="J528" s="213"/>
      <c r="K528" s="215"/>
      <c r="L528" s="213"/>
      <c r="M528" s="215"/>
      <c r="N528" s="213"/>
      <c r="O528" s="213"/>
      <c r="P528" s="213"/>
      <c r="Q528" s="213"/>
      <c r="R528" s="213"/>
      <c r="S528" s="213"/>
      <c r="T528" s="213"/>
      <c r="U528" s="213"/>
      <c r="V528" s="213"/>
      <c r="W528" s="213"/>
      <c r="X528" s="213"/>
      <c r="Y528" s="213"/>
      <c r="Z528" s="213"/>
      <c r="AA528" s="213"/>
      <c r="AB528" s="213"/>
      <c r="AC528" s="213"/>
      <c r="AD528" s="213"/>
      <c r="AE528" s="213"/>
      <c r="AF528" s="213"/>
      <c r="AG528" s="213"/>
      <c r="AH528" s="213"/>
      <c r="AI528" s="213"/>
      <c r="AJ528" s="213"/>
      <c r="AK528" s="213"/>
      <c r="AL528" s="213"/>
      <c r="AM528" s="213"/>
      <c r="AN528" s="213"/>
      <c r="AO528" s="213"/>
      <c r="AP528" s="213"/>
      <c r="AQ528" s="213"/>
      <c r="AR528" s="213"/>
      <c r="AS528" s="213"/>
      <c r="AT528" s="213"/>
      <c r="AU528" s="213"/>
      <c r="AV528" s="213"/>
      <c r="AW528" s="213"/>
      <c r="AX528" s="213"/>
      <c r="AY528" s="213"/>
      <c r="AZ528" s="213"/>
      <c r="BA528" s="213"/>
      <c r="BB528" s="213"/>
    </row>
    <row r="529" ht="15.75" customHeight="1">
      <c r="A529" s="213"/>
      <c r="B529" s="213"/>
      <c r="C529" s="213"/>
      <c r="D529" s="213"/>
      <c r="E529" s="213"/>
      <c r="F529" s="213"/>
      <c r="G529" s="213"/>
      <c r="H529" s="213"/>
      <c r="I529" s="213"/>
      <c r="J529" s="213"/>
      <c r="K529" s="215"/>
      <c r="L529" s="213"/>
      <c r="M529" s="215"/>
      <c r="N529" s="213"/>
      <c r="O529" s="213"/>
      <c r="P529" s="213"/>
      <c r="Q529" s="213"/>
      <c r="R529" s="213"/>
      <c r="S529" s="213"/>
      <c r="T529" s="213"/>
      <c r="U529" s="213"/>
      <c r="V529" s="213"/>
      <c r="W529" s="213"/>
      <c r="X529" s="213"/>
      <c r="Y529" s="213"/>
      <c r="Z529" s="213"/>
      <c r="AA529" s="213"/>
      <c r="AB529" s="213"/>
      <c r="AC529" s="213"/>
      <c r="AD529" s="213"/>
      <c r="AE529" s="213"/>
      <c r="AF529" s="213"/>
      <c r="AG529" s="213"/>
      <c r="AH529" s="213"/>
      <c r="AI529" s="213"/>
      <c r="AJ529" s="213"/>
      <c r="AK529" s="213"/>
      <c r="AL529" s="213"/>
      <c r="AM529" s="213"/>
      <c r="AN529" s="213"/>
      <c r="AO529" s="213"/>
      <c r="AP529" s="213"/>
      <c r="AQ529" s="213"/>
      <c r="AR529" s="213"/>
      <c r="AS529" s="213"/>
      <c r="AT529" s="213"/>
      <c r="AU529" s="213"/>
      <c r="AV529" s="213"/>
      <c r="AW529" s="213"/>
      <c r="AX529" s="213"/>
      <c r="AY529" s="213"/>
      <c r="AZ529" s="213"/>
      <c r="BA529" s="213"/>
      <c r="BB529" s="213"/>
    </row>
    <row r="530" ht="15.75" customHeight="1">
      <c r="A530" s="213"/>
      <c r="B530" s="213"/>
      <c r="C530" s="213"/>
      <c r="D530" s="213"/>
      <c r="E530" s="213"/>
      <c r="F530" s="213"/>
      <c r="G530" s="213"/>
      <c r="H530" s="213"/>
      <c r="I530" s="213"/>
      <c r="J530" s="213"/>
      <c r="K530" s="215"/>
      <c r="L530" s="213"/>
      <c r="M530" s="215"/>
      <c r="N530" s="213"/>
      <c r="O530" s="213"/>
      <c r="P530" s="213"/>
      <c r="Q530" s="213"/>
      <c r="R530" s="213"/>
      <c r="S530" s="213"/>
      <c r="T530" s="213"/>
      <c r="U530" s="213"/>
      <c r="V530" s="213"/>
      <c r="W530" s="213"/>
      <c r="X530" s="213"/>
      <c r="Y530" s="213"/>
      <c r="Z530" s="213"/>
      <c r="AA530" s="213"/>
      <c r="AB530" s="213"/>
      <c r="AC530" s="213"/>
      <c r="AD530" s="213"/>
      <c r="AE530" s="213"/>
      <c r="AF530" s="213"/>
      <c r="AG530" s="213"/>
      <c r="AH530" s="213"/>
      <c r="AI530" s="213"/>
      <c r="AJ530" s="213"/>
      <c r="AK530" s="213"/>
      <c r="AL530" s="213"/>
      <c r="AM530" s="213"/>
      <c r="AN530" s="213"/>
      <c r="AO530" s="213"/>
      <c r="AP530" s="213"/>
      <c r="AQ530" s="213"/>
      <c r="AR530" s="213"/>
      <c r="AS530" s="213"/>
      <c r="AT530" s="213"/>
      <c r="AU530" s="213"/>
      <c r="AV530" s="213"/>
      <c r="AW530" s="213"/>
      <c r="AX530" s="213"/>
      <c r="AY530" s="213"/>
      <c r="AZ530" s="213"/>
      <c r="BA530" s="213"/>
      <c r="BB530" s="213"/>
    </row>
    <row r="531" ht="15.75" customHeight="1">
      <c r="A531" s="213"/>
      <c r="B531" s="213"/>
      <c r="C531" s="213"/>
      <c r="D531" s="213"/>
      <c r="E531" s="213"/>
      <c r="F531" s="213"/>
      <c r="G531" s="213"/>
      <c r="H531" s="213"/>
      <c r="I531" s="213"/>
      <c r="J531" s="213"/>
      <c r="K531" s="215"/>
      <c r="L531" s="213"/>
      <c r="M531" s="215"/>
      <c r="N531" s="213"/>
      <c r="O531" s="213"/>
      <c r="P531" s="213"/>
      <c r="Q531" s="213"/>
      <c r="R531" s="213"/>
      <c r="S531" s="213"/>
      <c r="T531" s="213"/>
      <c r="U531" s="213"/>
      <c r="V531" s="213"/>
      <c r="W531" s="213"/>
      <c r="X531" s="213"/>
      <c r="Y531" s="213"/>
      <c r="Z531" s="213"/>
      <c r="AA531" s="213"/>
      <c r="AB531" s="213"/>
      <c r="AC531" s="213"/>
      <c r="AD531" s="213"/>
      <c r="AE531" s="213"/>
      <c r="AF531" s="213"/>
      <c r="AG531" s="213"/>
      <c r="AH531" s="213"/>
      <c r="AI531" s="213"/>
      <c r="AJ531" s="213"/>
      <c r="AK531" s="213"/>
      <c r="AL531" s="213"/>
      <c r="AM531" s="213"/>
      <c r="AN531" s="213"/>
      <c r="AO531" s="213"/>
      <c r="AP531" s="213"/>
      <c r="AQ531" s="213"/>
      <c r="AR531" s="213"/>
      <c r="AS531" s="213"/>
      <c r="AT531" s="213"/>
      <c r="AU531" s="213"/>
      <c r="AV531" s="213"/>
      <c r="AW531" s="213"/>
      <c r="AX531" s="213"/>
      <c r="AY531" s="213"/>
      <c r="AZ531" s="213"/>
      <c r="BA531" s="213"/>
      <c r="BB531" s="213"/>
    </row>
    <row r="532" ht="15.75" customHeight="1">
      <c r="A532" s="213"/>
      <c r="B532" s="213"/>
      <c r="C532" s="213"/>
      <c r="D532" s="213"/>
      <c r="E532" s="213"/>
      <c r="F532" s="213"/>
      <c r="G532" s="213"/>
      <c r="H532" s="213"/>
      <c r="I532" s="213"/>
      <c r="J532" s="213"/>
      <c r="K532" s="215"/>
      <c r="L532" s="213"/>
      <c r="M532" s="215"/>
      <c r="N532" s="213"/>
      <c r="O532" s="213"/>
      <c r="P532" s="213"/>
      <c r="Q532" s="213"/>
      <c r="R532" s="213"/>
      <c r="S532" s="213"/>
      <c r="T532" s="213"/>
      <c r="U532" s="213"/>
      <c r="V532" s="213"/>
      <c r="W532" s="213"/>
      <c r="X532" s="213"/>
      <c r="Y532" s="213"/>
      <c r="Z532" s="213"/>
      <c r="AA532" s="213"/>
      <c r="AB532" s="213"/>
      <c r="AC532" s="213"/>
      <c r="AD532" s="213"/>
      <c r="AE532" s="213"/>
      <c r="AF532" s="213"/>
      <c r="AG532" s="213"/>
      <c r="AH532" s="213"/>
      <c r="AI532" s="213"/>
      <c r="AJ532" s="213"/>
      <c r="AK532" s="213"/>
      <c r="AL532" s="213"/>
      <c r="AM532" s="213"/>
      <c r="AN532" s="213"/>
      <c r="AO532" s="213"/>
      <c r="AP532" s="213"/>
      <c r="AQ532" s="213"/>
      <c r="AR532" s="213"/>
      <c r="AS532" s="213"/>
      <c r="AT532" s="213"/>
      <c r="AU532" s="213"/>
      <c r="AV532" s="213"/>
      <c r="AW532" s="213"/>
      <c r="AX532" s="213"/>
      <c r="AY532" s="213"/>
      <c r="AZ532" s="213"/>
      <c r="BA532" s="213"/>
      <c r="BB532" s="213"/>
    </row>
    <row r="533" ht="15.75" customHeight="1">
      <c r="A533" s="213"/>
      <c r="B533" s="213"/>
      <c r="C533" s="213"/>
      <c r="D533" s="213"/>
      <c r="E533" s="213"/>
      <c r="F533" s="213"/>
      <c r="G533" s="213"/>
      <c r="H533" s="213"/>
      <c r="I533" s="213"/>
      <c r="J533" s="213"/>
      <c r="K533" s="215"/>
      <c r="L533" s="213"/>
      <c r="M533" s="215"/>
      <c r="N533" s="213"/>
      <c r="O533" s="213"/>
      <c r="P533" s="213"/>
      <c r="Q533" s="213"/>
      <c r="R533" s="213"/>
      <c r="S533" s="213"/>
      <c r="T533" s="213"/>
      <c r="U533" s="213"/>
      <c r="V533" s="213"/>
      <c r="W533" s="213"/>
      <c r="X533" s="213"/>
      <c r="Y533" s="213"/>
      <c r="Z533" s="213"/>
      <c r="AA533" s="213"/>
      <c r="AB533" s="213"/>
      <c r="AC533" s="213"/>
      <c r="AD533" s="213"/>
      <c r="AE533" s="213"/>
      <c r="AF533" s="213"/>
      <c r="AG533" s="213"/>
      <c r="AH533" s="213"/>
      <c r="AI533" s="213"/>
      <c r="AJ533" s="213"/>
      <c r="AK533" s="213"/>
      <c r="AL533" s="213"/>
      <c r="AM533" s="213"/>
      <c r="AN533" s="213"/>
      <c r="AO533" s="213"/>
      <c r="AP533" s="213"/>
      <c r="AQ533" s="213"/>
      <c r="AR533" s="213"/>
      <c r="AS533" s="213"/>
      <c r="AT533" s="213"/>
      <c r="AU533" s="213"/>
      <c r="AV533" s="213"/>
      <c r="AW533" s="213"/>
      <c r="AX533" s="213"/>
      <c r="AY533" s="213"/>
      <c r="AZ533" s="213"/>
      <c r="BA533" s="213"/>
      <c r="BB533" s="213"/>
    </row>
    <row r="534" ht="15.75" customHeight="1">
      <c r="A534" s="213"/>
      <c r="B534" s="213"/>
      <c r="C534" s="213"/>
      <c r="D534" s="213"/>
      <c r="E534" s="213"/>
      <c r="F534" s="213"/>
      <c r="G534" s="213"/>
      <c r="H534" s="213"/>
      <c r="I534" s="213"/>
      <c r="J534" s="213"/>
      <c r="K534" s="215"/>
      <c r="L534" s="213"/>
      <c r="M534" s="215"/>
      <c r="N534" s="213"/>
      <c r="O534" s="213"/>
      <c r="P534" s="213"/>
      <c r="Q534" s="213"/>
      <c r="R534" s="213"/>
      <c r="S534" s="213"/>
      <c r="T534" s="213"/>
      <c r="U534" s="213"/>
      <c r="V534" s="213"/>
      <c r="W534" s="213"/>
      <c r="X534" s="213"/>
      <c r="Y534" s="213"/>
      <c r="Z534" s="213"/>
      <c r="AA534" s="213"/>
      <c r="AB534" s="213"/>
      <c r="AC534" s="213"/>
      <c r="AD534" s="213"/>
      <c r="AE534" s="213"/>
      <c r="AF534" s="213"/>
      <c r="AG534" s="213"/>
      <c r="AH534" s="213"/>
      <c r="AI534" s="213"/>
      <c r="AJ534" s="213"/>
      <c r="AK534" s="213"/>
      <c r="AL534" s="213"/>
      <c r="AM534" s="213"/>
      <c r="AN534" s="213"/>
      <c r="AO534" s="213"/>
      <c r="AP534" s="213"/>
      <c r="AQ534" s="213"/>
      <c r="AR534" s="213"/>
      <c r="AS534" s="213"/>
      <c r="AT534" s="213"/>
      <c r="AU534" s="213"/>
      <c r="AV534" s="213"/>
      <c r="AW534" s="213"/>
      <c r="AX534" s="213"/>
      <c r="AY534" s="213"/>
      <c r="AZ534" s="213"/>
      <c r="BA534" s="213"/>
      <c r="BB534" s="213"/>
    </row>
    <row r="535" ht="15.75" customHeight="1">
      <c r="A535" s="213"/>
      <c r="B535" s="213"/>
      <c r="C535" s="213"/>
      <c r="D535" s="213"/>
      <c r="E535" s="213"/>
      <c r="F535" s="213"/>
      <c r="G535" s="213"/>
      <c r="H535" s="213"/>
      <c r="I535" s="213"/>
      <c r="J535" s="213"/>
      <c r="K535" s="215"/>
      <c r="L535" s="213"/>
      <c r="M535" s="215"/>
      <c r="N535" s="213"/>
      <c r="O535" s="213"/>
      <c r="P535" s="213"/>
      <c r="Q535" s="213"/>
      <c r="R535" s="213"/>
      <c r="S535" s="213"/>
      <c r="T535" s="213"/>
      <c r="U535" s="213"/>
      <c r="V535" s="213"/>
      <c r="W535" s="213"/>
      <c r="X535" s="213"/>
      <c r="Y535" s="213"/>
      <c r="Z535" s="213"/>
      <c r="AA535" s="213"/>
      <c r="AB535" s="213"/>
      <c r="AC535" s="213"/>
      <c r="AD535" s="213"/>
      <c r="AE535" s="213"/>
      <c r="AF535" s="213"/>
      <c r="AG535" s="213"/>
      <c r="AH535" s="213"/>
      <c r="AI535" s="213"/>
      <c r="AJ535" s="213"/>
      <c r="AK535" s="213"/>
      <c r="AL535" s="213"/>
      <c r="AM535" s="213"/>
      <c r="AN535" s="213"/>
      <c r="AO535" s="213"/>
      <c r="AP535" s="213"/>
      <c r="AQ535" s="213"/>
      <c r="AR535" s="213"/>
      <c r="AS535" s="213"/>
      <c r="AT535" s="213"/>
      <c r="AU535" s="213"/>
      <c r="AV535" s="213"/>
      <c r="AW535" s="213"/>
      <c r="AX535" s="213"/>
      <c r="AY535" s="213"/>
      <c r="AZ535" s="213"/>
      <c r="BA535" s="213"/>
      <c r="BB535" s="213"/>
    </row>
    <row r="536" ht="15.75" customHeight="1">
      <c r="A536" s="213"/>
      <c r="B536" s="213"/>
      <c r="C536" s="213"/>
      <c r="D536" s="213"/>
      <c r="E536" s="213"/>
      <c r="F536" s="213"/>
      <c r="G536" s="213"/>
      <c r="H536" s="213"/>
      <c r="I536" s="213"/>
      <c r="J536" s="213"/>
      <c r="K536" s="215"/>
      <c r="L536" s="213"/>
      <c r="M536" s="215"/>
      <c r="N536" s="213"/>
      <c r="O536" s="213"/>
      <c r="P536" s="213"/>
      <c r="Q536" s="213"/>
      <c r="R536" s="213"/>
      <c r="S536" s="213"/>
      <c r="T536" s="213"/>
      <c r="U536" s="213"/>
      <c r="V536" s="213"/>
      <c r="W536" s="213"/>
      <c r="X536" s="213"/>
      <c r="Y536" s="213"/>
      <c r="Z536" s="213"/>
      <c r="AA536" s="213"/>
      <c r="AB536" s="213"/>
      <c r="AC536" s="213"/>
      <c r="AD536" s="213"/>
      <c r="AE536" s="213"/>
      <c r="AF536" s="213"/>
      <c r="AG536" s="213"/>
      <c r="AH536" s="213"/>
      <c r="AI536" s="213"/>
      <c r="AJ536" s="213"/>
      <c r="AK536" s="213"/>
      <c r="AL536" s="213"/>
      <c r="AM536" s="213"/>
      <c r="AN536" s="213"/>
      <c r="AO536" s="213"/>
      <c r="AP536" s="213"/>
      <c r="AQ536" s="213"/>
      <c r="AR536" s="213"/>
      <c r="AS536" s="213"/>
      <c r="AT536" s="213"/>
      <c r="AU536" s="213"/>
      <c r="AV536" s="213"/>
      <c r="AW536" s="213"/>
      <c r="AX536" s="213"/>
      <c r="AY536" s="213"/>
      <c r="AZ536" s="213"/>
      <c r="BA536" s="213"/>
      <c r="BB536" s="213"/>
    </row>
    <row r="537" ht="15.75" customHeight="1">
      <c r="A537" s="213"/>
      <c r="B537" s="213"/>
      <c r="C537" s="213"/>
      <c r="D537" s="213"/>
      <c r="E537" s="213"/>
      <c r="F537" s="213"/>
      <c r="G537" s="213"/>
      <c r="H537" s="213"/>
      <c r="I537" s="213"/>
      <c r="J537" s="213"/>
      <c r="K537" s="215"/>
      <c r="L537" s="213"/>
      <c r="M537" s="215"/>
      <c r="N537" s="213"/>
      <c r="O537" s="213"/>
      <c r="P537" s="213"/>
      <c r="Q537" s="213"/>
      <c r="R537" s="213"/>
      <c r="S537" s="213"/>
      <c r="T537" s="213"/>
      <c r="U537" s="213"/>
      <c r="V537" s="213"/>
      <c r="W537" s="213"/>
      <c r="X537" s="213"/>
      <c r="Y537" s="213"/>
      <c r="Z537" s="213"/>
      <c r="AA537" s="213"/>
      <c r="AB537" s="213"/>
      <c r="AC537" s="213"/>
      <c r="AD537" s="213"/>
      <c r="AE537" s="213"/>
      <c r="AF537" s="213"/>
      <c r="AG537" s="213"/>
      <c r="AH537" s="213"/>
      <c r="AI537" s="213"/>
      <c r="AJ537" s="213"/>
      <c r="AK537" s="213"/>
      <c r="AL537" s="213"/>
      <c r="AM537" s="213"/>
      <c r="AN537" s="213"/>
      <c r="AO537" s="213"/>
      <c r="AP537" s="213"/>
      <c r="AQ537" s="213"/>
      <c r="AR537" s="213"/>
      <c r="AS537" s="213"/>
      <c r="AT537" s="213"/>
      <c r="AU537" s="213"/>
      <c r="AV537" s="213"/>
      <c r="AW537" s="213"/>
      <c r="AX537" s="213"/>
      <c r="AY537" s="213"/>
      <c r="AZ537" s="213"/>
      <c r="BA537" s="213"/>
      <c r="BB537" s="213"/>
    </row>
    <row r="538" ht="15.75" customHeight="1">
      <c r="A538" s="213"/>
      <c r="B538" s="213"/>
      <c r="C538" s="213"/>
      <c r="D538" s="213"/>
      <c r="E538" s="213"/>
      <c r="F538" s="213"/>
      <c r="G538" s="213"/>
      <c r="H538" s="213"/>
      <c r="I538" s="213"/>
      <c r="J538" s="213"/>
      <c r="K538" s="215"/>
      <c r="L538" s="213"/>
      <c r="M538" s="215"/>
      <c r="N538" s="213"/>
      <c r="O538" s="213"/>
      <c r="P538" s="213"/>
      <c r="Q538" s="213"/>
      <c r="R538" s="213"/>
      <c r="S538" s="213"/>
      <c r="T538" s="213"/>
      <c r="U538" s="213"/>
      <c r="V538" s="213"/>
      <c r="W538" s="213"/>
      <c r="X538" s="213"/>
      <c r="Y538" s="213"/>
      <c r="Z538" s="213"/>
      <c r="AA538" s="213"/>
      <c r="AB538" s="213"/>
      <c r="AC538" s="213"/>
      <c r="AD538" s="213"/>
      <c r="AE538" s="213"/>
      <c r="AF538" s="213"/>
      <c r="AG538" s="213"/>
      <c r="AH538" s="213"/>
      <c r="AI538" s="213"/>
      <c r="AJ538" s="213"/>
      <c r="AK538" s="213"/>
      <c r="AL538" s="213"/>
      <c r="AM538" s="213"/>
      <c r="AN538" s="213"/>
      <c r="AO538" s="213"/>
      <c r="AP538" s="213"/>
      <c r="AQ538" s="213"/>
      <c r="AR538" s="213"/>
      <c r="AS538" s="213"/>
      <c r="AT538" s="213"/>
      <c r="AU538" s="213"/>
      <c r="AV538" s="213"/>
      <c r="AW538" s="213"/>
      <c r="AX538" s="213"/>
      <c r="AY538" s="213"/>
      <c r="AZ538" s="213"/>
      <c r="BA538" s="213"/>
      <c r="BB538" s="213"/>
    </row>
    <row r="539" ht="15.75" customHeight="1">
      <c r="A539" s="213"/>
      <c r="B539" s="213"/>
      <c r="C539" s="213"/>
      <c r="D539" s="213"/>
      <c r="E539" s="213"/>
      <c r="F539" s="213"/>
      <c r="G539" s="213"/>
      <c r="H539" s="213"/>
      <c r="I539" s="213"/>
      <c r="J539" s="213"/>
      <c r="K539" s="215"/>
      <c r="L539" s="213"/>
      <c r="M539" s="215"/>
      <c r="N539" s="213"/>
      <c r="O539" s="213"/>
      <c r="P539" s="213"/>
      <c r="Q539" s="213"/>
      <c r="R539" s="213"/>
      <c r="S539" s="213"/>
      <c r="T539" s="213"/>
      <c r="U539" s="213"/>
      <c r="V539" s="213"/>
      <c r="W539" s="213"/>
      <c r="X539" s="213"/>
      <c r="Y539" s="213"/>
      <c r="Z539" s="213"/>
      <c r="AA539" s="213"/>
      <c r="AB539" s="213"/>
      <c r="AC539" s="213"/>
      <c r="AD539" s="213"/>
      <c r="AE539" s="213"/>
      <c r="AF539" s="213"/>
      <c r="AG539" s="213"/>
      <c r="AH539" s="213"/>
      <c r="AI539" s="213"/>
      <c r="AJ539" s="213"/>
      <c r="AK539" s="213"/>
      <c r="AL539" s="213"/>
      <c r="AM539" s="213"/>
      <c r="AN539" s="213"/>
      <c r="AO539" s="213"/>
      <c r="AP539" s="213"/>
      <c r="AQ539" s="213"/>
      <c r="AR539" s="213"/>
      <c r="AS539" s="213"/>
      <c r="AT539" s="213"/>
      <c r="AU539" s="213"/>
      <c r="AV539" s="213"/>
      <c r="AW539" s="213"/>
      <c r="AX539" s="213"/>
      <c r="AY539" s="213"/>
      <c r="AZ539" s="213"/>
      <c r="BA539" s="213"/>
      <c r="BB539" s="213"/>
    </row>
    <row r="540" ht="15.75" customHeight="1">
      <c r="A540" s="213"/>
      <c r="B540" s="213"/>
      <c r="C540" s="213"/>
      <c r="D540" s="213"/>
      <c r="E540" s="213"/>
      <c r="F540" s="213"/>
      <c r="G540" s="213"/>
      <c r="H540" s="213"/>
      <c r="I540" s="213"/>
      <c r="J540" s="213"/>
      <c r="K540" s="215"/>
      <c r="L540" s="213"/>
      <c r="M540" s="215"/>
      <c r="N540" s="213"/>
      <c r="O540" s="213"/>
      <c r="P540" s="213"/>
      <c r="Q540" s="213"/>
      <c r="R540" s="213"/>
      <c r="S540" s="213"/>
      <c r="T540" s="213"/>
      <c r="U540" s="213"/>
      <c r="V540" s="213"/>
      <c r="W540" s="213"/>
      <c r="X540" s="213"/>
      <c r="Y540" s="213"/>
      <c r="Z540" s="213"/>
      <c r="AA540" s="213"/>
      <c r="AB540" s="213"/>
      <c r="AC540" s="213"/>
      <c r="AD540" s="213"/>
      <c r="AE540" s="213"/>
      <c r="AF540" s="213"/>
      <c r="AG540" s="213"/>
      <c r="AH540" s="213"/>
      <c r="AI540" s="213"/>
      <c r="AJ540" s="213"/>
      <c r="AK540" s="213"/>
      <c r="AL540" s="213"/>
      <c r="AM540" s="213"/>
      <c r="AN540" s="213"/>
      <c r="AO540" s="213"/>
      <c r="AP540" s="213"/>
      <c r="AQ540" s="213"/>
      <c r="AR540" s="213"/>
      <c r="AS540" s="213"/>
      <c r="AT540" s="213"/>
      <c r="AU540" s="213"/>
      <c r="AV540" s="213"/>
      <c r="AW540" s="213"/>
      <c r="AX540" s="213"/>
      <c r="AY540" s="213"/>
      <c r="AZ540" s="213"/>
      <c r="BA540" s="213"/>
      <c r="BB540" s="213"/>
    </row>
    <row r="541" ht="15.75" customHeight="1">
      <c r="A541" s="213"/>
      <c r="B541" s="213"/>
      <c r="C541" s="213"/>
      <c r="D541" s="213"/>
      <c r="E541" s="213"/>
      <c r="F541" s="213"/>
      <c r="G541" s="213"/>
      <c r="H541" s="213"/>
      <c r="I541" s="213"/>
      <c r="J541" s="213"/>
      <c r="K541" s="215"/>
      <c r="L541" s="213"/>
      <c r="M541" s="215"/>
      <c r="N541" s="213"/>
      <c r="O541" s="213"/>
      <c r="P541" s="213"/>
      <c r="Q541" s="213"/>
      <c r="R541" s="213"/>
      <c r="S541" s="213"/>
      <c r="T541" s="213"/>
      <c r="U541" s="213"/>
      <c r="V541" s="213"/>
      <c r="W541" s="213"/>
      <c r="X541" s="213"/>
      <c r="Y541" s="213"/>
      <c r="Z541" s="213"/>
      <c r="AA541" s="213"/>
      <c r="AB541" s="213"/>
      <c r="AC541" s="213"/>
      <c r="AD541" s="213"/>
      <c r="AE541" s="213"/>
      <c r="AF541" s="213"/>
      <c r="AG541" s="213"/>
      <c r="AH541" s="213"/>
      <c r="AI541" s="213"/>
      <c r="AJ541" s="213"/>
      <c r="AK541" s="213"/>
      <c r="AL541" s="213"/>
      <c r="AM541" s="213"/>
      <c r="AN541" s="213"/>
      <c r="AO541" s="213"/>
      <c r="AP541" s="213"/>
      <c r="AQ541" s="213"/>
      <c r="AR541" s="213"/>
      <c r="AS541" s="213"/>
      <c r="AT541" s="213"/>
      <c r="AU541" s="213"/>
      <c r="AV541" s="213"/>
      <c r="AW541" s="213"/>
      <c r="AX541" s="213"/>
      <c r="AY541" s="213"/>
      <c r="AZ541" s="213"/>
      <c r="BA541" s="213"/>
      <c r="BB541" s="213"/>
    </row>
    <row r="542" ht="15.75" customHeight="1">
      <c r="A542" s="213"/>
      <c r="B542" s="213"/>
      <c r="C542" s="213"/>
      <c r="D542" s="213"/>
      <c r="E542" s="213"/>
      <c r="F542" s="213"/>
      <c r="G542" s="213"/>
      <c r="H542" s="213"/>
      <c r="I542" s="213"/>
      <c r="J542" s="213"/>
      <c r="K542" s="215"/>
      <c r="L542" s="213"/>
      <c r="M542" s="215"/>
      <c r="N542" s="213"/>
      <c r="O542" s="213"/>
      <c r="P542" s="213"/>
      <c r="Q542" s="213"/>
      <c r="R542" s="213"/>
      <c r="S542" s="213"/>
      <c r="T542" s="213"/>
      <c r="U542" s="213"/>
      <c r="V542" s="213"/>
      <c r="W542" s="213"/>
      <c r="X542" s="213"/>
      <c r="Y542" s="213"/>
      <c r="Z542" s="213"/>
      <c r="AA542" s="213"/>
      <c r="AB542" s="213"/>
      <c r="AC542" s="213"/>
      <c r="AD542" s="213"/>
      <c r="AE542" s="213"/>
      <c r="AF542" s="213"/>
      <c r="AG542" s="213"/>
      <c r="AH542" s="213"/>
      <c r="AI542" s="213"/>
      <c r="AJ542" s="213"/>
      <c r="AK542" s="213"/>
      <c r="AL542" s="213"/>
      <c r="AM542" s="213"/>
      <c r="AN542" s="213"/>
      <c r="AO542" s="213"/>
      <c r="AP542" s="213"/>
      <c r="AQ542" s="213"/>
      <c r="AR542" s="213"/>
      <c r="AS542" s="213"/>
      <c r="AT542" s="213"/>
      <c r="AU542" s="213"/>
      <c r="AV542" s="213"/>
      <c r="AW542" s="213"/>
      <c r="AX542" s="213"/>
      <c r="AY542" s="213"/>
      <c r="AZ542" s="213"/>
      <c r="BA542" s="213"/>
      <c r="BB542" s="213"/>
    </row>
    <row r="543" ht="15.75" customHeight="1">
      <c r="A543" s="213"/>
      <c r="B543" s="213"/>
      <c r="C543" s="213"/>
      <c r="D543" s="213"/>
      <c r="E543" s="213"/>
      <c r="F543" s="213"/>
      <c r="G543" s="213"/>
      <c r="H543" s="213"/>
      <c r="I543" s="213"/>
      <c r="J543" s="213"/>
      <c r="K543" s="215"/>
      <c r="L543" s="213"/>
      <c r="M543" s="215"/>
      <c r="N543" s="213"/>
      <c r="O543" s="213"/>
      <c r="P543" s="213"/>
      <c r="Q543" s="213"/>
      <c r="R543" s="213"/>
      <c r="S543" s="213"/>
      <c r="T543" s="213"/>
      <c r="U543" s="213"/>
      <c r="V543" s="213"/>
      <c r="W543" s="213"/>
      <c r="X543" s="213"/>
      <c r="Y543" s="213"/>
      <c r="Z543" s="213"/>
      <c r="AA543" s="213"/>
      <c r="AB543" s="213"/>
      <c r="AC543" s="213"/>
      <c r="AD543" s="213"/>
      <c r="AE543" s="213"/>
      <c r="AF543" s="213"/>
      <c r="AG543" s="213"/>
      <c r="AH543" s="213"/>
      <c r="AI543" s="213"/>
      <c r="AJ543" s="213"/>
      <c r="AK543" s="213"/>
      <c r="AL543" s="213"/>
      <c r="AM543" s="213"/>
      <c r="AN543" s="213"/>
      <c r="AO543" s="213"/>
      <c r="AP543" s="213"/>
      <c r="AQ543" s="213"/>
      <c r="AR543" s="213"/>
      <c r="AS543" s="213"/>
      <c r="AT543" s="213"/>
      <c r="AU543" s="213"/>
      <c r="AV543" s="213"/>
      <c r="AW543" s="213"/>
      <c r="AX543" s="213"/>
      <c r="AY543" s="213"/>
      <c r="AZ543" s="213"/>
      <c r="BA543" s="213"/>
      <c r="BB543" s="213"/>
    </row>
    <row r="544" ht="15.75" customHeight="1">
      <c r="A544" s="213"/>
      <c r="B544" s="213"/>
      <c r="C544" s="213"/>
      <c r="D544" s="213"/>
      <c r="E544" s="213"/>
      <c r="F544" s="213"/>
      <c r="G544" s="213"/>
      <c r="H544" s="213"/>
      <c r="I544" s="213"/>
      <c r="J544" s="213"/>
      <c r="K544" s="215"/>
      <c r="L544" s="213"/>
      <c r="M544" s="215"/>
      <c r="N544" s="213"/>
      <c r="O544" s="213"/>
      <c r="P544" s="213"/>
      <c r="Q544" s="213"/>
      <c r="R544" s="213"/>
      <c r="S544" s="213"/>
      <c r="T544" s="213"/>
      <c r="U544" s="213"/>
      <c r="V544" s="213"/>
      <c r="W544" s="213"/>
      <c r="X544" s="213"/>
      <c r="Y544" s="213"/>
      <c r="Z544" s="213"/>
      <c r="AA544" s="213"/>
      <c r="AB544" s="213"/>
      <c r="AC544" s="213"/>
      <c r="AD544" s="213"/>
      <c r="AE544" s="213"/>
      <c r="AF544" s="213"/>
      <c r="AG544" s="213"/>
      <c r="AH544" s="213"/>
      <c r="AI544" s="213"/>
      <c r="AJ544" s="213"/>
      <c r="AK544" s="213"/>
      <c r="AL544" s="213"/>
      <c r="AM544" s="213"/>
      <c r="AN544" s="213"/>
      <c r="AO544" s="213"/>
      <c r="AP544" s="213"/>
      <c r="AQ544" s="213"/>
      <c r="AR544" s="213"/>
      <c r="AS544" s="213"/>
      <c r="AT544" s="213"/>
      <c r="AU544" s="213"/>
      <c r="AV544" s="213"/>
      <c r="AW544" s="213"/>
      <c r="AX544" s="213"/>
      <c r="AY544" s="213"/>
      <c r="AZ544" s="213"/>
      <c r="BA544" s="213"/>
      <c r="BB544" s="213"/>
    </row>
    <row r="545" ht="15.75" customHeight="1">
      <c r="A545" s="213"/>
      <c r="B545" s="213"/>
      <c r="C545" s="213"/>
      <c r="D545" s="213"/>
      <c r="E545" s="213"/>
      <c r="F545" s="213"/>
      <c r="G545" s="213"/>
      <c r="H545" s="213"/>
      <c r="I545" s="213"/>
      <c r="J545" s="213"/>
      <c r="K545" s="215"/>
      <c r="L545" s="213"/>
      <c r="M545" s="215"/>
      <c r="N545" s="213"/>
      <c r="O545" s="213"/>
      <c r="P545" s="213"/>
      <c r="Q545" s="213"/>
      <c r="R545" s="213"/>
      <c r="S545" s="213"/>
      <c r="T545" s="213"/>
      <c r="U545" s="213"/>
      <c r="V545" s="213"/>
      <c r="W545" s="213"/>
      <c r="X545" s="213"/>
      <c r="Y545" s="213"/>
      <c r="Z545" s="213"/>
      <c r="AA545" s="213"/>
      <c r="AB545" s="213"/>
      <c r="AC545" s="213"/>
      <c r="AD545" s="213"/>
      <c r="AE545" s="213"/>
      <c r="AF545" s="213"/>
      <c r="AG545" s="213"/>
      <c r="AH545" s="213"/>
      <c r="AI545" s="213"/>
      <c r="AJ545" s="213"/>
      <c r="AK545" s="213"/>
      <c r="AL545" s="213"/>
      <c r="AM545" s="213"/>
      <c r="AN545" s="213"/>
      <c r="AO545" s="213"/>
      <c r="AP545" s="213"/>
      <c r="AQ545" s="213"/>
      <c r="AR545" s="213"/>
      <c r="AS545" s="213"/>
      <c r="AT545" s="213"/>
      <c r="AU545" s="213"/>
      <c r="AV545" s="213"/>
      <c r="AW545" s="213"/>
      <c r="AX545" s="213"/>
      <c r="AY545" s="213"/>
      <c r="AZ545" s="213"/>
      <c r="BA545" s="213"/>
      <c r="BB545" s="213"/>
    </row>
    <row r="546" ht="15.75" customHeight="1">
      <c r="A546" s="213"/>
      <c r="B546" s="213"/>
      <c r="C546" s="213"/>
      <c r="D546" s="213"/>
      <c r="E546" s="213"/>
      <c r="F546" s="213"/>
      <c r="G546" s="213"/>
      <c r="H546" s="213"/>
      <c r="I546" s="213"/>
      <c r="J546" s="213"/>
      <c r="K546" s="215"/>
      <c r="L546" s="213"/>
      <c r="M546" s="215"/>
      <c r="N546" s="213"/>
      <c r="O546" s="213"/>
      <c r="P546" s="213"/>
      <c r="Q546" s="213"/>
      <c r="R546" s="213"/>
      <c r="S546" s="213"/>
      <c r="T546" s="213"/>
      <c r="U546" s="213"/>
      <c r="V546" s="213"/>
      <c r="W546" s="213"/>
      <c r="X546" s="213"/>
      <c r="Y546" s="213"/>
      <c r="Z546" s="213"/>
      <c r="AA546" s="213"/>
      <c r="AB546" s="213"/>
      <c r="AC546" s="213"/>
      <c r="AD546" s="213"/>
      <c r="AE546" s="213"/>
      <c r="AF546" s="213"/>
      <c r="AG546" s="213"/>
      <c r="AH546" s="213"/>
      <c r="AI546" s="213"/>
      <c r="AJ546" s="213"/>
      <c r="AK546" s="213"/>
      <c r="AL546" s="213"/>
      <c r="AM546" s="213"/>
      <c r="AN546" s="213"/>
      <c r="AO546" s="213"/>
      <c r="AP546" s="213"/>
      <c r="AQ546" s="213"/>
      <c r="AR546" s="213"/>
      <c r="AS546" s="213"/>
      <c r="AT546" s="213"/>
      <c r="AU546" s="213"/>
      <c r="AV546" s="213"/>
      <c r="AW546" s="213"/>
      <c r="AX546" s="213"/>
      <c r="AY546" s="213"/>
      <c r="AZ546" s="213"/>
      <c r="BA546" s="213"/>
      <c r="BB546" s="213"/>
    </row>
    <row r="547" ht="15.75" customHeight="1">
      <c r="A547" s="213"/>
      <c r="B547" s="213"/>
      <c r="C547" s="213"/>
      <c r="D547" s="213"/>
      <c r="E547" s="213"/>
      <c r="F547" s="213"/>
      <c r="G547" s="213"/>
      <c r="H547" s="213"/>
      <c r="I547" s="213"/>
      <c r="J547" s="213"/>
      <c r="K547" s="215"/>
      <c r="L547" s="213"/>
      <c r="M547" s="215"/>
      <c r="N547" s="213"/>
      <c r="O547" s="213"/>
      <c r="P547" s="213"/>
      <c r="Q547" s="213"/>
      <c r="R547" s="213"/>
      <c r="S547" s="213"/>
      <c r="T547" s="213"/>
      <c r="U547" s="213"/>
      <c r="V547" s="213"/>
      <c r="W547" s="213"/>
      <c r="X547" s="213"/>
      <c r="Y547" s="213"/>
      <c r="Z547" s="213"/>
      <c r="AA547" s="213"/>
      <c r="AB547" s="213"/>
      <c r="AC547" s="213"/>
      <c r="AD547" s="213"/>
      <c r="AE547" s="213"/>
      <c r="AF547" s="213"/>
      <c r="AG547" s="213"/>
      <c r="AH547" s="213"/>
      <c r="AI547" s="213"/>
      <c r="AJ547" s="213"/>
      <c r="AK547" s="213"/>
      <c r="AL547" s="213"/>
      <c r="AM547" s="213"/>
      <c r="AN547" s="213"/>
      <c r="AO547" s="213"/>
      <c r="AP547" s="213"/>
      <c r="AQ547" s="213"/>
      <c r="AR547" s="213"/>
      <c r="AS547" s="213"/>
      <c r="AT547" s="213"/>
      <c r="AU547" s="213"/>
      <c r="AV547" s="213"/>
      <c r="AW547" s="213"/>
      <c r="AX547" s="213"/>
      <c r="AY547" s="213"/>
      <c r="AZ547" s="213"/>
      <c r="BA547" s="213"/>
      <c r="BB547" s="213"/>
    </row>
    <row r="548" ht="15.75" customHeight="1">
      <c r="A548" s="213"/>
      <c r="B548" s="213"/>
      <c r="C548" s="213"/>
      <c r="D548" s="213"/>
      <c r="E548" s="213"/>
      <c r="F548" s="213"/>
      <c r="G548" s="213"/>
      <c r="H548" s="213"/>
      <c r="I548" s="213"/>
      <c r="J548" s="213"/>
      <c r="K548" s="215"/>
      <c r="L548" s="213"/>
      <c r="M548" s="215"/>
      <c r="N548" s="213"/>
      <c r="O548" s="213"/>
      <c r="P548" s="213"/>
      <c r="Q548" s="213"/>
      <c r="R548" s="213"/>
      <c r="S548" s="213"/>
      <c r="T548" s="213"/>
      <c r="U548" s="213"/>
      <c r="V548" s="213"/>
      <c r="W548" s="213"/>
      <c r="X548" s="213"/>
      <c r="Y548" s="213"/>
      <c r="Z548" s="213"/>
      <c r="AA548" s="213"/>
      <c r="AB548" s="213"/>
      <c r="AC548" s="213"/>
      <c r="AD548" s="213"/>
      <c r="AE548" s="213"/>
      <c r="AF548" s="213"/>
      <c r="AG548" s="213"/>
      <c r="AH548" s="213"/>
      <c r="AI548" s="213"/>
      <c r="AJ548" s="213"/>
      <c r="AK548" s="213"/>
      <c r="AL548" s="213"/>
      <c r="AM548" s="213"/>
      <c r="AN548" s="213"/>
      <c r="AO548" s="213"/>
      <c r="AP548" s="213"/>
      <c r="AQ548" s="213"/>
      <c r="AR548" s="213"/>
      <c r="AS548" s="213"/>
      <c r="AT548" s="213"/>
      <c r="AU548" s="213"/>
      <c r="AV548" s="213"/>
      <c r="AW548" s="213"/>
      <c r="AX548" s="213"/>
      <c r="AY548" s="213"/>
      <c r="AZ548" s="213"/>
      <c r="BA548" s="213"/>
      <c r="BB548" s="213"/>
    </row>
    <row r="549" ht="15.75" customHeight="1">
      <c r="A549" s="213"/>
      <c r="B549" s="213"/>
      <c r="C549" s="213"/>
      <c r="D549" s="213"/>
      <c r="E549" s="213"/>
      <c r="F549" s="213"/>
      <c r="G549" s="213"/>
      <c r="H549" s="213"/>
      <c r="I549" s="213"/>
      <c r="J549" s="213"/>
      <c r="K549" s="215"/>
      <c r="L549" s="213"/>
      <c r="M549" s="215"/>
      <c r="N549" s="213"/>
      <c r="O549" s="213"/>
      <c r="P549" s="213"/>
      <c r="Q549" s="213"/>
      <c r="R549" s="213"/>
      <c r="S549" s="213"/>
      <c r="T549" s="213"/>
      <c r="U549" s="213"/>
      <c r="V549" s="213"/>
      <c r="W549" s="213"/>
      <c r="X549" s="213"/>
      <c r="Y549" s="213"/>
      <c r="Z549" s="213"/>
      <c r="AA549" s="213"/>
      <c r="AB549" s="213"/>
      <c r="AC549" s="213"/>
      <c r="AD549" s="213"/>
      <c r="AE549" s="213"/>
      <c r="AF549" s="213"/>
      <c r="AG549" s="213"/>
      <c r="AH549" s="213"/>
      <c r="AI549" s="213"/>
      <c r="AJ549" s="213"/>
      <c r="AK549" s="213"/>
      <c r="AL549" s="213"/>
      <c r="AM549" s="213"/>
      <c r="AN549" s="213"/>
      <c r="AO549" s="213"/>
      <c r="AP549" s="213"/>
      <c r="AQ549" s="213"/>
      <c r="AR549" s="213"/>
      <c r="AS549" s="213"/>
      <c r="AT549" s="213"/>
      <c r="AU549" s="213"/>
      <c r="AV549" s="213"/>
      <c r="AW549" s="213"/>
      <c r="AX549" s="213"/>
      <c r="AY549" s="213"/>
      <c r="AZ549" s="213"/>
      <c r="BA549" s="213"/>
      <c r="BB549" s="213"/>
    </row>
    <row r="550" ht="15.75" customHeight="1">
      <c r="A550" s="213"/>
      <c r="B550" s="213"/>
      <c r="C550" s="213"/>
      <c r="D550" s="213"/>
      <c r="E550" s="213"/>
      <c r="F550" s="213"/>
      <c r="G550" s="213"/>
      <c r="H550" s="213"/>
      <c r="I550" s="213"/>
      <c r="J550" s="213"/>
      <c r="K550" s="215"/>
      <c r="L550" s="213"/>
      <c r="M550" s="215"/>
      <c r="N550" s="213"/>
      <c r="O550" s="213"/>
      <c r="P550" s="213"/>
      <c r="Q550" s="213"/>
      <c r="R550" s="213"/>
      <c r="S550" s="213"/>
      <c r="T550" s="213"/>
      <c r="U550" s="213"/>
      <c r="V550" s="213"/>
      <c r="W550" s="213"/>
      <c r="X550" s="213"/>
      <c r="Y550" s="213"/>
      <c r="Z550" s="213"/>
      <c r="AA550" s="213"/>
      <c r="AB550" s="213"/>
      <c r="AC550" s="213"/>
      <c r="AD550" s="213"/>
      <c r="AE550" s="213"/>
      <c r="AF550" s="213"/>
      <c r="AG550" s="213"/>
      <c r="AH550" s="213"/>
      <c r="AI550" s="213"/>
      <c r="AJ550" s="213"/>
      <c r="AK550" s="213"/>
      <c r="AL550" s="213"/>
      <c r="AM550" s="213"/>
      <c r="AN550" s="213"/>
      <c r="AO550" s="213"/>
      <c r="AP550" s="213"/>
      <c r="AQ550" s="213"/>
      <c r="AR550" s="213"/>
      <c r="AS550" s="213"/>
      <c r="AT550" s="213"/>
      <c r="AU550" s="213"/>
      <c r="AV550" s="213"/>
      <c r="AW550" s="213"/>
      <c r="AX550" s="213"/>
      <c r="AY550" s="213"/>
      <c r="AZ550" s="213"/>
      <c r="BA550" s="213"/>
      <c r="BB550" s="213"/>
    </row>
    <row r="551" ht="15.75" customHeight="1">
      <c r="A551" s="213"/>
      <c r="B551" s="213"/>
      <c r="C551" s="213"/>
      <c r="D551" s="213"/>
      <c r="E551" s="213"/>
      <c r="F551" s="213"/>
      <c r="G551" s="213"/>
      <c r="H551" s="213"/>
      <c r="I551" s="213"/>
      <c r="J551" s="213"/>
      <c r="K551" s="215"/>
      <c r="L551" s="213"/>
      <c r="M551" s="215"/>
      <c r="N551" s="213"/>
      <c r="O551" s="213"/>
      <c r="P551" s="213"/>
      <c r="Q551" s="213"/>
      <c r="R551" s="213"/>
      <c r="S551" s="213"/>
      <c r="T551" s="213"/>
      <c r="U551" s="213"/>
      <c r="V551" s="213"/>
      <c r="W551" s="213"/>
      <c r="X551" s="213"/>
      <c r="Y551" s="213"/>
      <c r="Z551" s="213"/>
      <c r="AA551" s="213"/>
      <c r="AB551" s="213"/>
      <c r="AC551" s="213"/>
      <c r="AD551" s="213"/>
      <c r="AE551" s="213"/>
      <c r="AF551" s="213"/>
      <c r="AG551" s="213"/>
      <c r="AH551" s="213"/>
      <c r="AI551" s="213"/>
      <c r="AJ551" s="213"/>
      <c r="AK551" s="213"/>
      <c r="AL551" s="213"/>
      <c r="AM551" s="213"/>
      <c r="AN551" s="213"/>
      <c r="AO551" s="213"/>
      <c r="AP551" s="213"/>
      <c r="AQ551" s="213"/>
      <c r="AR551" s="213"/>
      <c r="AS551" s="213"/>
      <c r="AT551" s="213"/>
      <c r="AU551" s="213"/>
      <c r="AV551" s="213"/>
      <c r="AW551" s="213"/>
      <c r="AX551" s="213"/>
      <c r="AY551" s="213"/>
      <c r="AZ551" s="213"/>
      <c r="BA551" s="213"/>
      <c r="BB551" s="213"/>
    </row>
    <row r="552" ht="15.75" customHeight="1">
      <c r="A552" s="213"/>
      <c r="B552" s="213"/>
      <c r="C552" s="213"/>
      <c r="D552" s="213"/>
      <c r="E552" s="213"/>
      <c r="F552" s="213"/>
      <c r="G552" s="213"/>
      <c r="H552" s="213"/>
      <c r="I552" s="213"/>
      <c r="J552" s="213"/>
      <c r="K552" s="215"/>
      <c r="L552" s="213"/>
      <c r="M552" s="215"/>
      <c r="N552" s="213"/>
      <c r="O552" s="213"/>
      <c r="P552" s="213"/>
      <c r="Q552" s="213"/>
      <c r="R552" s="213"/>
      <c r="S552" s="213"/>
      <c r="T552" s="213"/>
      <c r="U552" s="213"/>
      <c r="V552" s="213"/>
      <c r="W552" s="213"/>
      <c r="X552" s="213"/>
      <c r="Y552" s="213"/>
      <c r="Z552" s="213"/>
      <c r="AA552" s="213"/>
      <c r="AB552" s="213"/>
      <c r="AC552" s="213"/>
      <c r="AD552" s="213"/>
      <c r="AE552" s="213"/>
      <c r="AF552" s="213"/>
      <c r="AG552" s="213"/>
      <c r="AH552" s="213"/>
      <c r="AI552" s="213"/>
      <c r="AJ552" s="213"/>
      <c r="AK552" s="213"/>
      <c r="AL552" s="213"/>
      <c r="AM552" s="213"/>
      <c r="AN552" s="213"/>
      <c r="AO552" s="213"/>
      <c r="AP552" s="213"/>
      <c r="AQ552" s="213"/>
      <c r="AR552" s="213"/>
      <c r="AS552" s="213"/>
      <c r="AT552" s="213"/>
      <c r="AU552" s="213"/>
      <c r="AV552" s="213"/>
      <c r="AW552" s="213"/>
      <c r="AX552" s="213"/>
      <c r="AY552" s="213"/>
      <c r="AZ552" s="213"/>
      <c r="BA552" s="213"/>
      <c r="BB552" s="213"/>
    </row>
    <row r="553" ht="15.75" customHeight="1">
      <c r="A553" s="213"/>
      <c r="B553" s="213"/>
      <c r="C553" s="213"/>
      <c r="D553" s="213"/>
      <c r="E553" s="213"/>
      <c r="F553" s="213"/>
      <c r="G553" s="213"/>
      <c r="H553" s="213"/>
      <c r="I553" s="213"/>
      <c r="J553" s="213"/>
      <c r="K553" s="215"/>
      <c r="L553" s="213"/>
      <c r="M553" s="215"/>
      <c r="N553" s="213"/>
      <c r="O553" s="213"/>
      <c r="P553" s="213"/>
      <c r="Q553" s="213"/>
      <c r="R553" s="213"/>
      <c r="S553" s="213"/>
      <c r="T553" s="213"/>
      <c r="U553" s="213"/>
      <c r="V553" s="213"/>
      <c r="W553" s="213"/>
      <c r="X553" s="213"/>
      <c r="Y553" s="213"/>
      <c r="Z553" s="213"/>
      <c r="AA553" s="213"/>
      <c r="AB553" s="213"/>
      <c r="AC553" s="213"/>
      <c r="AD553" s="213"/>
      <c r="AE553" s="213"/>
      <c r="AF553" s="213"/>
      <c r="AG553" s="213"/>
      <c r="AH553" s="213"/>
      <c r="AI553" s="213"/>
      <c r="AJ553" s="213"/>
      <c r="AK553" s="213"/>
      <c r="AL553" s="213"/>
      <c r="AM553" s="213"/>
      <c r="AN553" s="213"/>
      <c r="AO553" s="213"/>
      <c r="AP553" s="213"/>
      <c r="AQ553" s="213"/>
      <c r="AR553" s="213"/>
      <c r="AS553" s="213"/>
      <c r="AT553" s="213"/>
      <c r="AU553" s="213"/>
      <c r="AV553" s="213"/>
      <c r="AW553" s="213"/>
      <c r="AX553" s="213"/>
      <c r="AY553" s="213"/>
      <c r="AZ553" s="213"/>
      <c r="BA553" s="213"/>
      <c r="BB553" s="213"/>
    </row>
    <row r="554" ht="15.75" customHeight="1">
      <c r="A554" s="213"/>
      <c r="B554" s="213"/>
      <c r="C554" s="213"/>
      <c r="D554" s="213"/>
      <c r="E554" s="213"/>
      <c r="F554" s="213"/>
      <c r="G554" s="213"/>
      <c r="H554" s="213"/>
      <c r="I554" s="213"/>
      <c r="J554" s="213"/>
      <c r="K554" s="215"/>
      <c r="L554" s="213"/>
      <c r="M554" s="215"/>
      <c r="N554" s="213"/>
      <c r="O554" s="213"/>
      <c r="P554" s="213"/>
      <c r="Q554" s="213"/>
      <c r="R554" s="213"/>
      <c r="S554" s="213"/>
      <c r="T554" s="213"/>
      <c r="U554" s="213"/>
      <c r="V554" s="213"/>
      <c r="W554" s="213"/>
      <c r="X554" s="213"/>
      <c r="Y554" s="213"/>
      <c r="Z554" s="213"/>
      <c r="AA554" s="213"/>
      <c r="AB554" s="213"/>
      <c r="AC554" s="213"/>
      <c r="AD554" s="213"/>
      <c r="AE554" s="213"/>
      <c r="AF554" s="213"/>
      <c r="AG554" s="213"/>
      <c r="AH554" s="213"/>
      <c r="AI554" s="213"/>
      <c r="AJ554" s="213"/>
      <c r="AK554" s="213"/>
      <c r="AL554" s="213"/>
      <c r="AM554" s="213"/>
      <c r="AN554" s="213"/>
      <c r="AO554" s="213"/>
      <c r="AP554" s="213"/>
      <c r="AQ554" s="213"/>
      <c r="AR554" s="213"/>
      <c r="AS554" s="213"/>
      <c r="AT554" s="213"/>
      <c r="AU554" s="213"/>
      <c r="AV554" s="213"/>
      <c r="AW554" s="213"/>
      <c r="AX554" s="213"/>
      <c r="AY554" s="213"/>
      <c r="AZ554" s="213"/>
      <c r="BA554" s="213"/>
      <c r="BB554" s="213"/>
    </row>
    <row r="555" ht="15.75" customHeight="1">
      <c r="A555" s="213"/>
      <c r="B555" s="213"/>
      <c r="C555" s="213"/>
      <c r="D555" s="213"/>
      <c r="E555" s="213"/>
      <c r="F555" s="213"/>
      <c r="G555" s="213"/>
      <c r="H555" s="213"/>
      <c r="I555" s="213"/>
      <c r="J555" s="213"/>
      <c r="K555" s="215"/>
      <c r="L555" s="213"/>
      <c r="M555" s="215"/>
      <c r="N555" s="213"/>
      <c r="O555" s="213"/>
      <c r="P555" s="213"/>
      <c r="Q555" s="213"/>
      <c r="R555" s="213"/>
      <c r="S555" s="213"/>
      <c r="T555" s="213"/>
      <c r="U555" s="213"/>
      <c r="V555" s="213"/>
      <c r="W555" s="213"/>
      <c r="X555" s="213"/>
      <c r="Y555" s="213"/>
      <c r="Z555" s="213"/>
      <c r="AA555" s="213"/>
      <c r="AB555" s="213"/>
      <c r="AC555" s="213"/>
      <c r="AD555" s="213"/>
      <c r="AE555" s="213"/>
      <c r="AF555" s="213"/>
      <c r="AG555" s="213"/>
      <c r="AH555" s="213"/>
      <c r="AI555" s="213"/>
      <c r="AJ555" s="213"/>
      <c r="AK555" s="213"/>
      <c r="AL555" s="213"/>
      <c r="AM555" s="213"/>
      <c r="AN555" s="213"/>
      <c r="AO555" s="213"/>
      <c r="AP555" s="213"/>
      <c r="AQ555" s="213"/>
      <c r="AR555" s="213"/>
      <c r="AS555" s="213"/>
      <c r="AT555" s="213"/>
      <c r="AU555" s="213"/>
      <c r="AV555" s="213"/>
      <c r="AW555" s="213"/>
      <c r="AX555" s="213"/>
      <c r="AY555" s="213"/>
      <c r="AZ555" s="213"/>
      <c r="BA555" s="213"/>
      <c r="BB555" s="213"/>
    </row>
    <row r="556" ht="15.75" customHeight="1">
      <c r="A556" s="213"/>
      <c r="B556" s="213"/>
      <c r="C556" s="213"/>
      <c r="D556" s="213"/>
      <c r="E556" s="213"/>
      <c r="F556" s="213"/>
      <c r="G556" s="213"/>
      <c r="H556" s="213"/>
      <c r="I556" s="213"/>
      <c r="J556" s="213"/>
      <c r="K556" s="215"/>
      <c r="L556" s="213"/>
      <c r="M556" s="215"/>
      <c r="N556" s="213"/>
      <c r="O556" s="213"/>
      <c r="P556" s="213"/>
      <c r="Q556" s="213"/>
      <c r="R556" s="213"/>
      <c r="S556" s="213"/>
      <c r="T556" s="213"/>
      <c r="U556" s="213"/>
      <c r="V556" s="213"/>
      <c r="W556" s="213"/>
      <c r="X556" s="213"/>
      <c r="Y556" s="213"/>
      <c r="Z556" s="213"/>
      <c r="AA556" s="213"/>
      <c r="AB556" s="213"/>
      <c r="AC556" s="213"/>
      <c r="AD556" s="213"/>
      <c r="AE556" s="213"/>
      <c r="AF556" s="213"/>
      <c r="AG556" s="213"/>
      <c r="AH556" s="213"/>
      <c r="AI556" s="213"/>
      <c r="AJ556" s="213"/>
      <c r="AK556" s="213"/>
      <c r="AL556" s="213"/>
      <c r="AM556" s="213"/>
      <c r="AN556" s="213"/>
      <c r="AO556" s="213"/>
      <c r="AP556" s="213"/>
      <c r="AQ556" s="213"/>
      <c r="AR556" s="213"/>
      <c r="AS556" s="213"/>
      <c r="AT556" s="213"/>
      <c r="AU556" s="213"/>
      <c r="AV556" s="213"/>
      <c r="AW556" s="213"/>
      <c r="AX556" s="213"/>
      <c r="AY556" s="213"/>
      <c r="AZ556" s="213"/>
      <c r="BA556" s="213"/>
      <c r="BB556" s="213"/>
    </row>
    <row r="557" ht="15.75" customHeight="1">
      <c r="A557" s="213"/>
      <c r="B557" s="213"/>
      <c r="C557" s="213"/>
      <c r="D557" s="213"/>
      <c r="E557" s="213"/>
      <c r="F557" s="213"/>
      <c r="G557" s="213"/>
      <c r="H557" s="213"/>
      <c r="I557" s="213"/>
      <c r="J557" s="213"/>
      <c r="K557" s="215"/>
      <c r="L557" s="213"/>
      <c r="M557" s="215"/>
      <c r="N557" s="213"/>
      <c r="O557" s="213"/>
      <c r="P557" s="213"/>
      <c r="Q557" s="213"/>
      <c r="R557" s="213"/>
      <c r="S557" s="213"/>
      <c r="T557" s="213"/>
      <c r="U557" s="213"/>
      <c r="V557" s="213"/>
      <c r="W557" s="213"/>
      <c r="X557" s="213"/>
      <c r="Y557" s="213"/>
      <c r="Z557" s="213"/>
      <c r="AA557" s="213"/>
      <c r="AB557" s="213"/>
      <c r="AC557" s="213"/>
      <c r="AD557" s="213"/>
      <c r="AE557" s="213"/>
      <c r="AF557" s="213"/>
      <c r="AG557" s="213"/>
      <c r="AH557" s="213"/>
      <c r="AI557" s="213"/>
      <c r="AJ557" s="213"/>
      <c r="AK557" s="213"/>
      <c r="AL557" s="213"/>
      <c r="AM557" s="213"/>
      <c r="AN557" s="213"/>
      <c r="AO557" s="213"/>
      <c r="AP557" s="213"/>
      <c r="AQ557" s="213"/>
      <c r="AR557" s="213"/>
      <c r="AS557" s="213"/>
      <c r="AT557" s="213"/>
      <c r="AU557" s="213"/>
      <c r="AV557" s="213"/>
      <c r="AW557" s="213"/>
      <c r="AX557" s="213"/>
      <c r="AY557" s="213"/>
      <c r="AZ557" s="213"/>
      <c r="BA557" s="213"/>
      <c r="BB557" s="213"/>
    </row>
    <row r="558" ht="15.75" customHeight="1">
      <c r="A558" s="213"/>
      <c r="B558" s="213"/>
      <c r="C558" s="213"/>
      <c r="D558" s="213"/>
      <c r="E558" s="213"/>
      <c r="F558" s="213"/>
      <c r="G558" s="213"/>
      <c r="H558" s="213"/>
      <c r="I558" s="213"/>
      <c r="J558" s="213"/>
      <c r="K558" s="215"/>
      <c r="L558" s="213"/>
      <c r="M558" s="215"/>
      <c r="N558" s="213"/>
      <c r="O558" s="213"/>
      <c r="P558" s="213"/>
      <c r="Q558" s="213"/>
      <c r="R558" s="213"/>
      <c r="S558" s="213"/>
      <c r="T558" s="213"/>
      <c r="U558" s="213"/>
      <c r="V558" s="213"/>
      <c r="W558" s="213"/>
      <c r="X558" s="213"/>
      <c r="Y558" s="213"/>
      <c r="Z558" s="213"/>
      <c r="AA558" s="213"/>
      <c r="AB558" s="213"/>
      <c r="AC558" s="213"/>
      <c r="AD558" s="213"/>
      <c r="AE558" s="213"/>
      <c r="AF558" s="213"/>
      <c r="AG558" s="213"/>
      <c r="AH558" s="213"/>
      <c r="AI558" s="213"/>
      <c r="AJ558" s="213"/>
      <c r="AK558" s="213"/>
      <c r="AL558" s="213"/>
      <c r="AM558" s="213"/>
      <c r="AN558" s="213"/>
      <c r="AO558" s="213"/>
      <c r="AP558" s="213"/>
      <c r="AQ558" s="213"/>
      <c r="AR558" s="213"/>
      <c r="AS558" s="213"/>
      <c r="AT558" s="213"/>
      <c r="AU558" s="213"/>
      <c r="AV558" s="213"/>
      <c r="AW558" s="213"/>
      <c r="AX558" s="213"/>
      <c r="AY558" s="213"/>
      <c r="AZ558" s="213"/>
      <c r="BA558" s="213"/>
      <c r="BB558" s="213"/>
    </row>
    <row r="559" ht="15.75" customHeight="1">
      <c r="A559" s="213"/>
      <c r="B559" s="213"/>
      <c r="C559" s="213"/>
      <c r="D559" s="213"/>
      <c r="E559" s="213"/>
      <c r="F559" s="213"/>
      <c r="G559" s="213"/>
      <c r="H559" s="213"/>
      <c r="I559" s="213"/>
      <c r="J559" s="213"/>
      <c r="K559" s="215"/>
      <c r="L559" s="213"/>
      <c r="M559" s="215"/>
      <c r="N559" s="213"/>
      <c r="O559" s="213"/>
      <c r="P559" s="213"/>
      <c r="Q559" s="213"/>
      <c r="R559" s="213"/>
      <c r="S559" s="213"/>
      <c r="T559" s="213"/>
      <c r="U559" s="213"/>
      <c r="V559" s="213"/>
      <c r="W559" s="213"/>
      <c r="X559" s="213"/>
      <c r="Y559" s="213"/>
      <c r="Z559" s="213"/>
      <c r="AA559" s="213"/>
      <c r="AB559" s="213"/>
      <c r="AC559" s="213"/>
      <c r="AD559" s="213"/>
      <c r="AE559" s="213"/>
      <c r="AF559" s="213"/>
      <c r="AG559" s="213"/>
      <c r="AH559" s="213"/>
      <c r="AI559" s="213"/>
      <c r="AJ559" s="213"/>
      <c r="AK559" s="213"/>
      <c r="AL559" s="213"/>
      <c r="AM559" s="213"/>
      <c r="AN559" s="213"/>
      <c r="AO559" s="213"/>
      <c r="AP559" s="213"/>
      <c r="AQ559" s="213"/>
      <c r="AR559" s="213"/>
      <c r="AS559" s="213"/>
      <c r="AT559" s="213"/>
      <c r="AU559" s="213"/>
      <c r="AV559" s="213"/>
      <c r="AW559" s="213"/>
      <c r="AX559" s="213"/>
      <c r="AY559" s="213"/>
      <c r="AZ559" s="213"/>
      <c r="BA559" s="213"/>
      <c r="BB559" s="213"/>
    </row>
    <row r="560" ht="15.75" customHeight="1">
      <c r="A560" s="213"/>
      <c r="B560" s="213"/>
      <c r="C560" s="213"/>
      <c r="D560" s="213"/>
      <c r="E560" s="213"/>
      <c r="F560" s="213"/>
      <c r="G560" s="213"/>
      <c r="H560" s="213"/>
      <c r="I560" s="213"/>
      <c r="J560" s="213"/>
      <c r="K560" s="215"/>
      <c r="L560" s="213"/>
      <c r="M560" s="215"/>
      <c r="N560" s="213"/>
      <c r="O560" s="213"/>
      <c r="P560" s="213"/>
      <c r="Q560" s="213"/>
      <c r="R560" s="213"/>
      <c r="S560" s="213"/>
      <c r="T560" s="213"/>
      <c r="U560" s="213"/>
      <c r="V560" s="213"/>
      <c r="W560" s="213"/>
      <c r="X560" s="213"/>
      <c r="Y560" s="213"/>
      <c r="Z560" s="213"/>
      <c r="AA560" s="213"/>
      <c r="AB560" s="213"/>
      <c r="AC560" s="213"/>
      <c r="AD560" s="213"/>
      <c r="AE560" s="213"/>
      <c r="AF560" s="213"/>
      <c r="AG560" s="213"/>
      <c r="AH560" s="213"/>
      <c r="AI560" s="213"/>
      <c r="AJ560" s="213"/>
      <c r="AK560" s="213"/>
      <c r="AL560" s="213"/>
      <c r="AM560" s="213"/>
      <c r="AN560" s="213"/>
      <c r="AO560" s="213"/>
      <c r="AP560" s="213"/>
      <c r="AQ560" s="213"/>
      <c r="AR560" s="213"/>
      <c r="AS560" s="213"/>
      <c r="AT560" s="213"/>
      <c r="AU560" s="213"/>
      <c r="AV560" s="213"/>
      <c r="AW560" s="213"/>
      <c r="AX560" s="213"/>
      <c r="AY560" s="213"/>
      <c r="AZ560" s="213"/>
      <c r="BA560" s="213"/>
      <c r="BB560" s="213"/>
    </row>
    <row r="561" ht="15.75" customHeight="1">
      <c r="A561" s="213"/>
      <c r="B561" s="213"/>
      <c r="C561" s="213"/>
      <c r="D561" s="213"/>
      <c r="E561" s="213"/>
      <c r="F561" s="213"/>
      <c r="G561" s="213"/>
      <c r="H561" s="213"/>
      <c r="I561" s="213"/>
      <c r="J561" s="213"/>
      <c r="K561" s="215"/>
      <c r="L561" s="213"/>
      <c r="M561" s="215"/>
      <c r="N561" s="213"/>
      <c r="O561" s="213"/>
      <c r="P561" s="213"/>
      <c r="Q561" s="213"/>
      <c r="R561" s="213"/>
      <c r="S561" s="213"/>
      <c r="T561" s="213"/>
      <c r="U561" s="213"/>
      <c r="V561" s="213"/>
      <c r="W561" s="213"/>
      <c r="X561" s="213"/>
      <c r="Y561" s="213"/>
      <c r="Z561" s="213"/>
      <c r="AA561" s="213"/>
      <c r="AB561" s="213"/>
      <c r="AC561" s="213"/>
      <c r="AD561" s="213"/>
      <c r="AE561" s="213"/>
      <c r="AF561" s="213"/>
      <c r="AG561" s="213"/>
      <c r="AH561" s="213"/>
      <c r="AI561" s="213"/>
      <c r="AJ561" s="213"/>
      <c r="AK561" s="213"/>
      <c r="AL561" s="213"/>
      <c r="AM561" s="213"/>
      <c r="AN561" s="213"/>
      <c r="AO561" s="213"/>
      <c r="AP561" s="213"/>
      <c r="AQ561" s="213"/>
      <c r="AR561" s="213"/>
      <c r="AS561" s="213"/>
      <c r="AT561" s="213"/>
      <c r="AU561" s="213"/>
      <c r="AV561" s="213"/>
      <c r="AW561" s="213"/>
      <c r="AX561" s="213"/>
      <c r="AY561" s="213"/>
      <c r="AZ561" s="213"/>
      <c r="BA561" s="213"/>
      <c r="BB561" s="213"/>
    </row>
    <row r="562" ht="15.75" customHeight="1">
      <c r="A562" s="213"/>
      <c r="B562" s="213"/>
      <c r="C562" s="213"/>
      <c r="D562" s="213"/>
      <c r="E562" s="213"/>
      <c r="F562" s="213"/>
      <c r="G562" s="213"/>
      <c r="H562" s="213"/>
      <c r="I562" s="213"/>
      <c r="J562" s="213"/>
      <c r="K562" s="215"/>
      <c r="L562" s="213"/>
      <c r="M562" s="215"/>
      <c r="N562" s="213"/>
      <c r="O562" s="213"/>
      <c r="P562" s="213"/>
      <c r="Q562" s="213"/>
      <c r="R562" s="213"/>
      <c r="S562" s="213"/>
      <c r="T562" s="213"/>
      <c r="U562" s="213"/>
      <c r="V562" s="213"/>
      <c r="W562" s="213"/>
      <c r="X562" s="213"/>
      <c r="Y562" s="213"/>
      <c r="Z562" s="213"/>
      <c r="AA562" s="213"/>
      <c r="AB562" s="213"/>
      <c r="AC562" s="213"/>
      <c r="AD562" s="213"/>
      <c r="AE562" s="213"/>
      <c r="AF562" s="213"/>
      <c r="AG562" s="213"/>
      <c r="AH562" s="213"/>
      <c r="AI562" s="213"/>
      <c r="AJ562" s="213"/>
      <c r="AK562" s="213"/>
      <c r="AL562" s="213"/>
      <c r="AM562" s="213"/>
      <c r="AN562" s="213"/>
      <c r="AO562" s="213"/>
      <c r="AP562" s="213"/>
      <c r="AQ562" s="213"/>
      <c r="AR562" s="213"/>
      <c r="AS562" s="213"/>
      <c r="AT562" s="213"/>
      <c r="AU562" s="213"/>
      <c r="AV562" s="213"/>
      <c r="AW562" s="213"/>
      <c r="AX562" s="213"/>
      <c r="AY562" s="213"/>
      <c r="AZ562" s="213"/>
      <c r="BA562" s="213"/>
      <c r="BB562" s="213"/>
    </row>
    <row r="563" ht="15.75" customHeight="1">
      <c r="A563" s="213"/>
      <c r="B563" s="213"/>
      <c r="C563" s="213"/>
      <c r="D563" s="213"/>
      <c r="E563" s="213"/>
      <c r="F563" s="213"/>
      <c r="G563" s="213"/>
      <c r="H563" s="213"/>
      <c r="I563" s="213"/>
      <c r="J563" s="213"/>
      <c r="K563" s="215"/>
      <c r="L563" s="213"/>
      <c r="M563" s="215"/>
      <c r="N563" s="213"/>
      <c r="O563" s="213"/>
      <c r="P563" s="213"/>
      <c r="Q563" s="213"/>
      <c r="R563" s="213"/>
      <c r="S563" s="213"/>
      <c r="T563" s="213"/>
      <c r="U563" s="213"/>
      <c r="V563" s="213"/>
      <c r="W563" s="213"/>
      <c r="X563" s="213"/>
      <c r="Y563" s="213"/>
      <c r="Z563" s="213"/>
      <c r="AA563" s="213"/>
      <c r="AB563" s="213"/>
      <c r="AC563" s="213"/>
      <c r="AD563" s="213"/>
      <c r="AE563" s="213"/>
      <c r="AF563" s="213"/>
      <c r="AG563" s="213"/>
      <c r="AH563" s="213"/>
      <c r="AI563" s="213"/>
      <c r="AJ563" s="213"/>
      <c r="AK563" s="213"/>
      <c r="AL563" s="213"/>
      <c r="AM563" s="213"/>
      <c r="AN563" s="213"/>
      <c r="AO563" s="213"/>
      <c r="AP563" s="213"/>
      <c r="AQ563" s="213"/>
      <c r="AR563" s="213"/>
      <c r="AS563" s="213"/>
      <c r="AT563" s="213"/>
      <c r="AU563" s="213"/>
      <c r="AV563" s="213"/>
      <c r="AW563" s="213"/>
      <c r="AX563" s="213"/>
      <c r="AY563" s="213"/>
      <c r="AZ563" s="213"/>
      <c r="BA563" s="213"/>
      <c r="BB563" s="213"/>
    </row>
    <row r="564" ht="15.75" customHeight="1">
      <c r="A564" s="213"/>
      <c r="B564" s="213"/>
      <c r="C564" s="213"/>
      <c r="D564" s="213"/>
      <c r="E564" s="213"/>
      <c r="F564" s="213"/>
      <c r="G564" s="213"/>
      <c r="H564" s="213"/>
      <c r="I564" s="213"/>
      <c r="J564" s="213"/>
      <c r="K564" s="215"/>
      <c r="L564" s="213"/>
      <c r="M564" s="215"/>
      <c r="N564" s="213"/>
      <c r="O564" s="213"/>
      <c r="P564" s="213"/>
      <c r="Q564" s="213"/>
      <c r="R564" s="213"/>
      <c r="S564" s="213"/>
      <c r="T564" s="213"/>
      <c r="U564" s="213"/>
      <c r="V564" s="213"/>
      <c r="W564" s="213"/>
      <c r="X564" s="213"/>
      <c r="Y564" s="213"/>
      <c r="Z564" s="213"/>
      <c r="AA564" s="213"/>
      <c r="AB564" s="213"/>
      <c r="AC564" s="213"/>
      <c r="AD564" s="213"/>
      <c r="AE564" s="213"/>
      <c r="AF564" s="213"/>
      <c r="AG564" s="213"/>
      <c r="AH564" s="213"/>
      <c r="AI564" s="213"/>
      <c r="AJ564" s="213"/>
      <c r="AK564" s="213"/>
      <c r="AL564" s="213"/>
      <c r="AM564" s="213"/>
      <c r="AN564" s="213"/>
      <c r="AO564" s="213"/>
      <c r="AP564" s="213"/>
      <c r="AQ564" s="213"/>
      <c r="AR564" s="213"/>
      <c r="AS564" s="213"/>
      <c r="AT564" s="213"/>
      <c r="AU564" s="213"/>
      <c r="AV564" s="213"/>
      <c r="AW564" s="213"/>
      <c r="AX564" s="213"/>
      <c r="AY564" s="213"/>
      <c r="AZ564" s="213"/>
      <c r="BA564" s="213"/>
      <c r="BB564" s="213"/>
    </row>
    <row r="565" ht="15.75" customHeight="1">
      <c r="A565" s="213"/>
      <c r="B565" s="213"/>
      <c r="C565" s="213"/>
      <c r="D565" s="213"/>
      <c r="E565" s="213"/>
      <c r="F565" s="213"/>
      <c r="G565" s="213"/>
      <c r="H565" s="213"/>
      <c r="I565" s="213"/>
      <c r="J565" s="213"/>
      <c r="K565" s="215"/>
      <c r="L565" s="213"/>
      <c r="M565" s="215"/>
      <c r="N565" s="213"/>
      <c r="O565" s="213"/>
      <c r="P565" s="213"/>
      <c r="Q565" s="213"/>
      <c r="R565" s="213"/>
      <c r="S565" s="213"/>
      <c r="T565" s="213"/>
      <c r="U565" s="213"/>
      <c r="V565" s="213"/>
      <c r="W565" s="213"/>
      <c r="X565" s="213"/>
      <c r="Y565" s="213"/>
      <c r="Z565" s="213"/>
      <c r="AA565" s="213"/>
      <c r="AB565" s="213"/>
      <c r="AC565" s="213"/>
      <c r="AD565" s="213"/>
      <c r="AE565" s="213"/>
      <c r="AF565" s="213"/>
      <c r="AG565" s="213"/>
      <c r="AH565" s="213"/>
      <c r="AI565" s="213"/>
      <c r="AJ565" s="213"/>
      <c r="AK565" s="213"/>
      <c r="AL565" s="213"/>
      <c r="AM565" s="213"/>
      <c r="AN565" s="213"/>
      <c r="AO565" s="213"/>
      <c r="AP565" s="213"/>
      <c r="AQ565" s="213"/>
      <c r="AR565" s="213"/>
      <c r="AS565" s="213"/>
      <c r="AT565" s="213"/>
      <c r="AU565" s="213"/>
      <c r="AV565" s="213"/>
      <c r="AW565" s="213"/>
      <c r="AX565" s="213"/>
      <c r="AY565" s="213"/>
      <c r="AZ565" s="213"/>
      <c r="BA565" s="213"/>
      <c r="BB565" s="213"/>
    </row>
    <row r="566" ht="15.75" customHeight="1">
      <c r="A566" s="213"/>
      <c r="B566" s="213"/>
      <c r="C566" s="213"/>
      <c r="D566" s="213"/>
      <c r="E566" s="213"/>
      <c r="F566" s="213"/>
      <c r="G566" s="213"/>
      <c r="H566" s="213"/>
      <c r="I566" s="213"/>
      <c r="J566" s="213"/>
      <c r="K566" s="215"/>
      <c r="L566" s="213"/>
      <c r="M566" s="215"/>
      <c r="N566" s="213"/>
      <c r="O566" s="213"/>
      <c r="P566" s="213"/>
      <c r="Q566" s="213"/>
      <c r="R566" s="213"/>
      <c r="S566" s="213"/>
      <c r="T566" s="213"/>
      <c r="U566" s="213"/>
      <c r="V566" s="213"/>
      <c r="W566" s="213"/>
      <c r="X566" s="213"/>
      <c r="Y566" s="213"/>
      <c r="Z566" s="213"/>
      <c r="AA566" s="213"/>
      <c r="AB566" s="213"/>
      <c r="AC566" s="213"/>
      <c r="AD566" s="213"/>
      <c r="AE566" s="213"/>
      <c r="AF566" s="213"/>
      <c r="AG566" s="213"/>
      <c r="AH566" s="213"/>
      <c r="AI566" s="213"/>
      <c r="AJ566" s="213"/>
      <c r="AK566" s="213"/>
      <c r="AL566" s="213"/>
      <c r="AM566" s="213"/>
      <c r="AN566" s="213"/>
      <c r="AO566" s="213"/>
      <c r="AP566" s="213"/>
      <c r="AQ566" s="213"/>
      <c r="AR566" s="213"/>
      <c r="AS566" s="213"/>
      <c r="AT566" s="213"/>
      <c r="AU566" s="213"/>
      <c r="AV566" s="213"/>
      <c r="AW566" s="213"/>
      <c r="AX566" s="213"/>
      <c r="AY566" s="213"/>
      <c r="AZ566" s="213"/>
      <c r="BA566" s="213"/>
      <c r="BB566" s="213"/>
    </row>
    <row r="567" ht="15.75" customHeight="1">
      <c r="A567" s="213"/>
      <c r="B567" s="213"/>
      <c r="C567" s="213"/>
      <c r="D567" s="213"/>
      <c r="E567" s="213"/>
      <c r="F567" s="213"/>
      <c r="G567" s="213"/>
      <c r="H567" s="213"/>
      <c r="I567" s="213"/>
      <c r="J567" s="213"/>
      <c r="K567" s="215"/>
      <c r="L567" s="213"/>
      <c r="M567" s="215"/>
      <c r="N567" s="213"/>
      <c r="O567" s="213"/>
      <c r="P567" s="213"/>
      <c r="Q567" s="213"/>
      <c r="R567" s="213"/>
      <c r="S567" s="213"/>
      <c r="T567" s="213"/>
      <c r="U567" s="213"/>
      <c r="V567" s="213"/>
      <c r="W567" s="213"/>
      <c r="X567" s="213"/>
      <c r="Y567" s="213"/>
      <c r="Z567" s="213"/>
      <c r="AA567" s="213"/>
      <c r="AB567" s="213"/>
      <c r="AC567" s="213"/>
      <c r="AD567" s="213"/>
      <c r="AE567" s="213"/>
      <c r="AF567" s="213"/>
      <c r="AG567" s="213"/>
      <c r="AH567" s="213"/>
      <c r="AI567" s="213"/>
      <c r="AJ567" s="213"/>
      <c r="AK567" s="213"/>
      <c r="AL567" s="213"/>
      <c r="AM567" s="213"/>
      <c r="AN567" s="213"/>
      <c r="AO567" s="213"/>
      <c r="AP567" s="213"/>
      <c r="AQ567" s="213"/>
      <c r="AR567" s="213"/>
      <c r="AS567" s="213"/>
      <c r="AT567" s="213"/>
      <c r="AU567" s="213"/>
      <c r="AV567" s="213"/>
      <c r="AW567" s="213"/>
      <c r="AX567" s="213"/>
      <c r="AY567" s="213"/>
      <c r="AZ567" s="213"/>
      <c r="BA567" s="213"/>
      <c r="BB567" s="213"/>
    </row>
    <row r="568" ht="15.75" customHeight="1">
      <c r="A568" s="213"/>
      <c r="B568" s="213"/>
      <c r="C568" s="213"/>
      <c r="D568" s="213"/>
      <c r="E568" s="213"/>
      <c r="F568" s="213"/>
      <c r="G568" s="213"/>
      <c r="H568" s="213"/>
      <c r="I568" s="213"/>
      <c r="J568" s="213"/>
      <c r="K568" s="215"/>
      <c r="L568" s="213"/>
      <c r="M568" s="215"/>
      <c r="N568" s="213"/>
      <c r="O568" s="213"/>
      <c r="P568" s="213"/>
      <c r="Q568" s="213"/>
      <c r="R568" s="213"/>
      <c r="S568" s="213"/>
      <c r="T568" s="213"/>
      <c r="U568" s="213"/>
      <c r="V568" s="213"/>
      <c r="W568" s="213"/>
      <c r="X568" s="213"/>
      <c r="Y568" s="213"/>
      <c r="Z568" s="213"/>
      <c r="AA568" s="213"/>
      <c r="AB568" s="213"/>
      <c r="AC568" s="213"/>
      <c r="AD568" s="213"/>
      <c r="AE568" s="213"/>
      <c r="AF568" s="213"/>
      <c r="AG568" s="213"/>
      <c r="AH568" s="213"/>
      <c r="AI568" s="213"/>
      <c r="AJ568" s="213"/>
      <c r="AK568" s="213"/>
      <c r="AL568" s="213"/>
      <c r="AM568" s="213"/>
      <c r="AN568" s="213"/>
      <c r="AO568" s="213"/>
      <c r="AP568" s="213"/>
      <c r="AQ568" s="213"/>
      <c r="AR568" s="213"/>
      <c r="AS568" s="213"/>
      <c r="AT568" s="213"/>
      <c r="AU568" s="213"/>
      <c r="AV568" s="213"/>
      <c r="AW568" s="213"/>
      <c r="AX568" s="213"/>
      <c r="AY568" s="213"/>
      <c r="AZ568" s="213"/>
      <c r="BA568" s="213"/>
      <c r="BB568" s="213"/>
    </row>
    <row r="569" ht="15.75" customHeight="1">
      <c r="A569" s="213"/>
      <c r="B569" s="213"/>
      <c r="C569" s="213"/>
      <c r="D569" s="213"/>
      <c r="E569" s="213"/>
      <c r="F569" s="213"/>
      <c r="G569" s="213"/>
      <c r="H569" s="213"/>
      <c r="I569" s="213"/>
      <c r="J569" s="213"/>
      <c r="K569" s="215"/>
      <c r="L569" s="213"/>
      <c r="M569" s="215"/>
      <c r="N569" s="213"/>
      <c r="O569" s="213"/>
      <c r="P569" s="213"/>
      <c r="Q569" s="213"/>
      <c r="R569" s="213"/>
      <c r="S569" s="213"/>
      <c r="T569" s="213"/>
      <c r="U569" s="213"/>
      <c r="V569" s="213"/>
      <c r="W569" s="213"/>
      <c r="X569" s="213"/>
      <c r="Y569" s="213"/>
      <c r="Z569" s="213"/>
      <c r="AA569" s="213"/>
      <c r="AB569" s="213"/>
      <c r="AC569" s="213"/>
      <c r="AD569" s="213"/>
      <c r="AE569" s="213"/>
      <c r="AF569" s="213"/>
      <c r="AG569" s="213"/>
      <c r="AH569" s="213"/>
      <c r="AI569" s="213"/>
      <c r="AJ569" s="213"/>
      <c r="AK569" s="213"/>
      <c r="AL569" s="213"/>
      <c r="AM569" s="213"/>
      <c r="AN569" s="213"/>
      <c r="AO569" s="213"/>
      <c r="AP569" s="213"/>
      <c r="AQ569" s="213"/>
      <c r="AR569" s="213"/>
      <c r="AS569" s="213"/>
      <c r="AT569" s="213"/>
      <c r="AU569" s="213"/>
      <c r="AV569" s="213"/>
      <c r="AW569" s="213"/>
      <c r="AX569" s="213"/>
      <c r="AY569" s="213"/>
      <c r="AZ569" s="213"/>
      <c r="BA569" s="213"/>
      <c r="BB569" s="213"/>
    </row>
    <row r="570" ht="15.75" customHeight="1">
      <c r="A570" s="213"/>
      <c r="B570" s="213"/>
      <c r="C570" s="213"/>
      <c r="D570" s="213"/>
      <c r="E570" s="213"/>
      <c r="F570" s="213"/>
      <c r="G570" s="213"/>
      <c r="H570" s="213"/>
      <c r="I570" s="213"/>
      <c r="J570" s="213"/>
      <c r="K570" s="215"/>
      <c r="L570" s="213"/>
      <c r="M570" s="215"/>
      <c r="N570" s="213"/>
      <c r="O570" s="213"/>
      <c r="P570" s="213"/>
      <c r="Q570" s="213"/>
      <c r="R570" s="213"/>
      <c r="S570" s="213"/>
      <c r="T570" s="213"/>
      <c r="U570" s="213"/>
      <c r="V570" s="213"/>
      <c r="W570" s="213"/>
      <c r="X570" s="213"/>
      <c r="Y570" s="213"/>
      <c r="Z570" s="213"/>
      <c r="AA570" s="213"/>
      <c r="AB570" s="213"/>
      <c r="AC570" s="213"/>
      <c r="AD570" s="213"/>
      <c r="AE570" s="213"/>
      <c r="AF570" s="213"/>
      <c r="AG570" s="213"/>
      <c r="AH570" s="213"/>
      <c r="AI570" s="213"/>
      <c r="AJ570" s="213"/>
      <c r="AK570" s="213"/>
      <c r="AL570" s="213"/>
      <c r="AM570" s="213"/>
      <c r="AN570" s="213"/>
      <c r="AO570" s="213"/>
      <c r="AP570" s="213"/>
      <c r="AQ570" s="213"/>
      <c r="AR570" s="213"/>
      <c r="AS570" s="213"/>
      <c r="AT570" s="213"/>
      <c r="AU570" s="213"/>
      <c r="AV570" s="213"/>
      <c r="AW570" s="213"/>
      <c r="AX570" s="213"/>
      <c r="AY570" s="213"/>
      <c r="AZ570" s="213"/>
      <c r="BA570" s="213"/>
      <c r="BB570" s="213"/>
    </row>
    <row r="571" ht="15.75" customHeight="1">
      <c r="A571" s="213"/>
      <c r="B571" s="213"/>
      <c r="C571" s="213"/>
      <c r="D571" s="213"/>
      <c r="E571" s="213"/>
      <c r="F571" s="213"/>
      <c r="G571" s="213"/>
      <c r="H571" s="213"/>
      <c r="I571" s="213"/>
      <c r="J571" s="213"/>
      <c r="K571" s="215"/>
      <c r="L571" s="213"/>
      <c r="M571" s="215"/>
      <c r="N571" s="213"/>
      <c r="O571" s="213"/>
      <c r="P571" s="213"/>
      <c r="Q571" s="213"/>
      <c r="R571" s="213"/>
      <c r="S571" s="213"/>
      <c r="T571" s="213"/>
      <c r="U571" s="213"/>
      <c r="V571" s="213"/>
      <c r="W571" s="213"/>
      <c r="X571" s="213"/>
      <c r="Y571" s="213"/>
      <c r="Z571" s="213"/>
      <c r="AA571" s="213"/>
      <c r="AB571" s="213"/>
      <c r="AC571" s="213"/>
      <c r="AD571" s="213"/>
      <c r="AE571" s="213"/>
      <c r="AF571" s="213"/>
      <c r="AG571" s="213"/>
      <c r="AH571" s="213"/>
      <c r="AI571" s="213"/>
      <c r="AJ571" s="213"/>
      <c r="AK571" s="213"/>
      <c r="AL571" s="213"/>
      <c r="AM571" s="213"/>
      <c r="AN571" s="213"/>
      <c r="AO571" s="213"/>
      <c r="AP571" s="213"/>
      <c r="AQ571" s="213"/>
      <c r="AR571" s="213"/>
      <c r="AS571" s="213"/>
      <c r="AT571" s="213"/>
      <c r="AU571" s="213"/>
      <c r="AV571" s="213"/>
      <c r="AW571" s="213"/>
      <c r="AX571" s="213"/>
      <c r="AY571" s="213"/>
      <c r="AZ571" s="213"/>
      <c r="BA571" s="213"/>
      <c r="BB571" s="213"/>
    </row>
    <row r="572" ht="15.75" customHeight="1">
      <c r="A572" s="213"/>
      <c r="B572" s="213"/>
      <c r="C572" s="213"/>
      <c r="D572" s="213"/>
      <c r="E572" s="213"/>
      <c r="F572" s="213"/>
      <c r="G572" s="213"/>
      <c r="H572" s="213"/>
      <c r="I572" s="213"/>
      <c r="J572" s="213"/>
      <c r="K572" s="215"/>
      <c r="L572" s="213"/>
      <c r="M572" s="215"/>
      <c r="N572" s="213"/>
      <c r="O572" s="213"/>
      <c r="P572" s="213"/>
      <c r="Q572" s="213"/>
      <c r="R572" s="213"/>
      <c r="S572" s="213"/>
      <c r="T572" s="213"/>
      <c r="U572" s="213"/>
      <c r="V572" s="213"/>
      <c r="W572" s="213"/>
      <c r="X572" s="213"/>
      <c r="Y572" s="213"/>
      <c r="Z572" s="213"/>
      <c r="AA572" s="213"/>
      <c r="AB572" s="213"/>
      <c r="AC572" s="213"/>
      <c r="AD572" s="213"/>
      <c r="AE572" s="213"/>
      <c r="AF572" s="213"/>
      <c r="AG572" s="213"/>
      <c r="AH572" s="213"/>
      <c r="AI572" s="213"/>
      <c r="AJ572" s="213"/>
      <c r="AK572" s="213"/>
      <c r="AL572" s="213"/>
      <c r="AM572" s="213"/>
      <c r="AN572" s="213"/>
      <c r="AO572" s="213"/>
      <c r="AP572" s="213"/>
      <c r="AQ572" s="213"/>
      <c r="AR572" s="213"/>
      <c r="AS572" s="213"/>
      <c r="AT572" s="213"/>
      <c r="AU572" s="213"/>
      <c r="AV572" s="213"/>
      <c r="AW572" s="213"/>
      <c r="AX572" s="213"/>
      <c r="AY572" s="213"/>
      <c r="AZ572" s="213"/>
      <c r="BA572" s="213"/>
      <c r="BB572" s="213"/>
    </row>
    <row r="573" ht="15.75" customHeight="1">
      <c r="A573" s="213"/>
      <c r="B573" s="213"/>
      <c r="C573" s="213"/>
      <c r="D573" s="213"/>
      <c r="E573" s="213"/>
      <c r="F573" s="213"/>
      <c r="G573" s="213"/>
      <c r="H573" s="213"/>
      <c r="I573" s="213"/>
      <c r="J573" s="213"/>
      <c r="K573" s="215"/>
      <c r="L573" s="213"/>
      <c r="M573" s="215"/>
      <c r="N573" s="213"/>
      <c r="O573" s="213"/>
      <c r="P573" s="213"/>
      <c r="Q573" s="213"/>
      <c r="R573" s="213"/>
      <c r="S573" s="213"/>
      <c r="T573" s="213"/>
      <c r="U573" s="213"/>
      <c r="V573" s="213"/>
      <c r="W573" s="213"/>
      <c r="X573" s="213"/>
      <c r="Y573" s="213"/>
      <c r="Z573" s="213"/>
      <c r="AA573" s="213"/>
      <c r="AB573" s="213"/>
      <c r="AC573" s="213"/>
      <c r="AD573" s="213"/>
      <c r="AE573" s="213"/>
      <c r="AF573" s="213"/>
      <c r="AG573" s="213"/>
      <c r="AH573" s="213"/>
      <c r="AI573" s="213"/>
      <c r="AJ573" s="213"/>
      <c r="AK573" s="213"/>
      <c r="AL573" s="213"/>
      <c r="AM573" s="213"/>
      <c r="AN573" s="213"/>
      <c r="AO573" s="213"/>
      <c r="AP573" s="213"/>
      <c r="AQ573" s="213"/>
      <c r="AR573" s="213"/>
      <c r="AS573" s="213"/>
      <c r="AT573" s="213"/>
      <c r="AU573" s="213"/>
      <c r="AV573" s="213"/>
      <c r="AW573" s="213"/>
      <c r="AX573" s="213"/>
      <c r="AY573" s="213"/>
      <c r="AZ573" s="213"/>
      <c r="BA573" s="213"/>
      <c r="BB573" s="213"/>
    </row>
    <row r="574" ht="15.75" customHeight="1">
      <c r="A574" s="213"/>
      <c r="B574" s="213"/>
      <c r="C574" s="213"/>
      <c r="D574" s="213"/>
      <c r="E574" s="213"/>
      <c r="F574" s="213"/>
      <c r="G574" s="213"/>
      <c r="H574" s="213"/>
      <c r="I574" s="213"/>
      <c r="J574" s="213"/>
      <c r="K574" s="215"/>
      <c r="L574" s="213"/>
      <c r="M574" s="215"/>
      <c r="N574" s="213"/>
      <c r="O574" s="213"/>
      <c r="P574" s="213"/>
      <c r="Q574" s="213"/>
      <c r="R574" s="213"/>
      <c r="S574" s="213"/>
      <c r="T574" s="213"/>
      <c r="U574" s="213"/>
      <c r="V574" s="213"/>
      <c r="W574" s="213"/>
      <c r="X574" s="213"/>
      <c r="Y574" s="213"/>
      <c r="Z574" s="213"/>
      <c r="AA574" s="213"/>
      <c r="AB574" s="213"/>
      <c r="AC574" s="213"/>
      <c r="AD574" s="213"/>
      <c r="AE574" s="213"/>
      <c r="AF574" s="213"/>
      <c r="AG574" s="213"/>
      <c r="AH574" s="213"/>
      <c r="AI574" s="213"/>
      <c r="AJ574" s="213"/>
      <c r="AK574" s="213"/>
      <c r="AL574" s="213"/>
      <c r="AM574" s="213"/>
      <c r="AN574" s="213"/>
      <c r="AO574" s="213"/>
      <c r="AP574" s="213"/>
      <c r="AQ574" s="213"/>
      <c r="AR574" s="213"/>
      <c r="AS574" s="213"/>
      <c r="AT574" s="213"/>
      <c r="AU574" s="213"/>
      <c r="AV574" s="213"/>
      <c r="AW574" s="213"/>
      <c r="AX574" s="213"/>
      <c r="AY574" s="213"/>
      <c r="AZ574" s="213"/>
      <c r="BA574" s="213"/>
      <c r="BB574" s="213"/>
    </row>
    <row r="575" ht="15.75" customHeight="1">
      <c r="A575" s="213"/>
      <c r="B575" s="213"/>
      <c r="C575" s="213"/>
      <c r="D575" s="213"/>
      <c r="E575" s="213"/>
      <c r="F575" s="213"/>
      <c r="G575" s="213"/>
      <c r="H575" s="213"/>
      <c r="I575" s="213"/>
      <c r="J575" s="213"/>
      <c r="K575" s="215"/>
      <c r="L575" s="213"/>
      <c r="M575" s="215"/>
      <c r="N575" s="213"/>
      <c r="O575" s="213"/>
      <c r="P575" s="213"/>
      <c r="Q575" s="213"/>
      <c r="R575" s="213"/>
      <c r="S575" s="213"/>
      <c r="T575" s="213"/>
      <c r="U575" s="213"/>
      <c r="V575" s="213"/>
      <c r="W575" s="213"/>
      <c r="X575" s="213"/>
      <c r="Y575" s="213"/>
      <c r="Z575" s="213"/>
      <c r="AA575" s="213"/>
      <c r="AB575" s="213"/>
      <c r="AC575" s="213"/>
      <c r="AD575" s="213"/>
      <c r="AE575" s="213"/>
      <c r="AF575" s="213"/>
      <c r="AG575" s="213"/>
      <c r="AH575" s="213"/>
      <c r="AI575" s="213"/>
      <c r="AJ575" s="213"/>
      <c r="AK575" s="213"/>
      <c r="AL575" s="213"/>
      <c r="AM575" s="213"/>
      <c r="AN575" s="213"/>
      <c r="AO575" s="213"/>
      <c r="AP575" s="213"/>
      <c r="AQ575" s="213"/>
      <c r="AR575" s="213"/>
      <c r="AS575" s="213"/>
      <c r="AT575" s="213"/>
      <c r="AU575" s="213"/>
      <c r="AV575" s="213"/>
      <c r="AW575" s="213"/>
      <c r="AX575" s="213"/>
      <c r="AY575" s="213"/>
      <c r="AZ575" s="213"/>
      <c r="BA575" s="213"/>
      <c r="BB575" s="213"/>
    </row>
    <row r="576" ht="15.75" customHeight="1">
      <c r="A576" s="213"/>
      <c r="B576" s="213"/>
      <c r="C576" s="213"/>
      <c r="D576" s="213"/>
      <c r="E576" s="213"/>
      <c r="F576" s="213"/>
      <c r="G576" s="213"/>
      <c r="H576" s="213"/>
      <c r="I576" s="213"/>
      <c r="J576" s="213"/>
      <c r="K576" s="215"/>
      <c r="L576" s="213"/>
      <c r="M576" s="215"/>
      <c r="N576" s="213"/>
      <c r="O576" s="213"/>
      <c r="P576" s="213"/>
      <c r="Q576" s="213"/>
      <c r="R576" s="213"/>
      <c r="S576" s="213"/>
      <c r="T576" s="213"/>
      <c r="U576" s="213"/>
      <c r="V576" s="213"/>
      <c r="W576" s="213"/>
      <c r="X576" s="213"/>
      <c r="Y576" s="213"/>
      <c r="Z576" s="213"/>
      <c r="AA576" s="213"/>
      <c r="AB576" s="213"/>
      <c r="AC576" s="213"/>
      <c r="AD576" s="213"/>
      <c r="AE576" s="213"/>
      <c r="AF576" s="213"/>
      <c r="AG576" s="213"/>
      <c r="AH576" s="213"/>
      <c r="AI576" s="213"/>
      <c r="AJ576" s="213"/>
      <c r="AK576" s="213"/>
      <c r="AL576" s="213"/>
      <c r="AM576" s="213"/>
      <c r="AN576" s="213"/>
      <c r="AO576" s="213"/>
      <c r="AP576" s="213"/>
      <c r="AQ576" s="213"/>
      <c r="AR576" s="213"/>
      <c r="AS576" s="213"/>
      <c r="AT576" s="213"/>
      <c r="AU576" s="213"/>
      <c r="AV576" s="213"/>
      <c r="AW576" s="213"/>
      <c r="AX576" s="213"/>
      <c r="AY576" s="213"/>
      <c r="AZ576" s="213"/>
      <c r="BA576" s="213"/>
      <c r="BB576" s="213"/>
    </row>
    <row r="577" ht="15.75" customHeight="1">
      <c r="A577" s="213"/>
      <c r="B577" s="213"/>
      <c r="C577" s="213"/>
      <c r="D577" s="213"/>
      <c r="E577" s="213"/>
      <c r="F577" s="213"/>
      <c r="G577" s="213"/>
      <c r="H577" s="213"/>
      <c r="I577" s="213"/>
      <c r="J577" s="213"/>
      <c r="K577" s="215"/>
      <c r="L577" s="213"/>
      <c r="M577" s="215"/>
      <c r="N577" s="213"/>
      <c r="O577" s="213"/>
      <c r="P577" s="213"/>
      <c r="Q577" s="213"/>
      <c r="R577" s="213"/>
      <c r="S577" s="213"/>
      <c r="T577" s="213"/>
      <c r="U577" s="213"/>
      <c r="V577" s="213"/>
      <c r="W577" s="213"/>
      <c r="X577" s="213"/>
      <c r="Y577" s="213"/>
      <c r="Z577" s="213"/>
      <c r="AA577" s="213"/>
      <c r="AB577" s="213"/>
      <c r="AC577" s="213"/>
      <c r="AD577" s="213"/>
      <c r="AE577" s="213"/>
      <c r="AF577" s="213"/>
      <c r="AG577" s="213"/>
      <c r="AH577" s="213"/>
      <c r="AI577" s="213"/>
      <c r="AJ577" s="213"/>
      <c r="AK577" s="213"/>
      <c r="AL577" s="213"/>
      <c r="AM577" s="213"/>
      <c r="AN577" s="213"/>
      <c r="AO577" s="213"/>
      <c r="AP577" s="213"/>
      <c r="AQ577" s="213"/>
      <c r="AR577" s="213"/>
      <c r="AS577" s="213"/>
      <c r="AT577" s="213"/>
      <c r="AU577" s="213"/>
      <c r="AV577" s="213"/>
      <c r="AW577" s="213"/>
      <c r="AX577" s="213"/>
      <c r="AY577" s="213"/>
      <c r="AZ577" s="213"/>
      <c r="BA577" s="213"/>
      <c r="BB577" s="213"/>
    </row>
    <row r="578" ht="15.75" customHeight="1">
      <c r="A578" s="213"/>
      <c r="B578" s="213"/>
      <c r="C578" s="213"/>
      <c r="D578" s="213"/>
      <c r="E578" s="213"/>
      <c r="F578" s="213"/>
      <c r="G578" s="213"/>
      <c r="H578" s="213"/>
      <c r="I578" s="213"/>
      <c r="J578" s="213"/>
      <c r="K578" s="215"/>
      <c r="L578" s="213"/>
      <c r="M578" s="215"/>
      <c r="N578" s="213"/>
      <c r="O578" s="213"/>
      <c r="P578" s="213"/>
      <c r="Q578" s="213"/>
      <c r="R578" s="213"/>
      <c r="S578" s="213"/>
      <c r="T578" s="213"/>
      <c r="U578" s="213"/>
      <c r="V578" s="213"/>
      <c r="W578" s="213"/>
      <c r="X578" s="213"/>
      <c r="Y578" s="213"/>
      <c r="Z578" s="213"/>
      <c r="AA578" s="213"/>
      <c r="AB578" s="213"/>
      <c r="AC578" s="213"/>
      <c r="AD578" s="213"/>
      <c r="AE578" s="213"/>
      <c r="AF578" s="213"/>
      <c r="AG578" s="213"/>
      <c r="AH578" s="213"/>
      <c r="AI578" s="213"/>
      <c r="AJ578" s="213"/>
      <c r="AK578" s="213"/>
      <c r="AL578" s="213"/>
      <c r="AM578" s="213"/>
      <c r="AN578" s="213"/>
      <c r="AO578" s="213"/>
      <c r="AP578" s="213"/>
      <c r="AQ578" s="213"/>
      <c r="AR578" s="213"/>
      <c r="AS578" s="213"/>
      <c r="AT578" s="213"/>
      <c r="AU578" s="213"/>
      <c r="AV578" s="213"/>
      <c r="AW578" s="213"/>
      <c r="AX578" s="213"/>
      <c r="AY578" s="213"/>
      <c r="AZ578" s="213"/>
      <c r="BA578" s="213"/>
      <c r="BB578" s="213"/>
    </row>
    <row r="579" ht="15.75" customHeight="1">
      <c r="A579" s="213"/>
      <c r="B579" s="213"/>
      <c r="C579" s="213"/>
      <c r="D579" s="213"/>
      <c r="E579" s="213"/>
      <c r="F579" s="213"/>
      <c r="G579" s="213"/>
      <c r="H579" s="213"/>
      <c r="I579" s="213"/>
      <c r="J579" s="213"/>
      <c r="K579" s="215"/>
      <c r="L579" s="213"/>
      <c r="M579" s="215"/>
      <c r="N579" s="213"/>
      <c r="O579" s="213"/>
      <c r="P579" s="213"/>
      <c r="Q579" s="213"/>
      <c r="R579" s="213"/>
      <c r="S579" s="213"/>
      <c r="T579" s="213"/>
      <c r="U579" s="213"/>
      <c r="V579" s="213"/>
      <c r="W579" s="213"/>
      <c r="X579" s="213"/>
      <c r="Y579" s="213"/>
      <c r="Z579" s="213"/>
      <c r="AA579" s="213"/>
      <c r="AB579" s="213"/>
      <c r="AC579" s="213"/>
      <c r="AD579" s="213"/>
      <c r="AE579" s="213"/>
      <c r="AF579" s="213"/>
      <c r="AG579" s="213"/>
      <c r="AH579" s="213"/>
      <c r="AI579" s="213"/>
      <c r="AJ579" s="213"/>
      <c r="AK579" s="213"/>
      <c r="AL579" s="213"/>
      <c r="AM579" s="213"/>
      <c r="AN579" s="213"/>
      <c r="AO579" s="213"/>
      <c r="AP579" s="213"/>
      <c r="AQ579" s="213"/>
      <c r="AR579" s="213"/>
      <c r="AS579" s="213"/>
      <c r="AT579" s="213"/>
      <c r="AU579" s="213"/>
      <c r="AV579" s="213"/>
      <c r="AW579" s="213"/>
      <c r="AX579" s="213"/>
      <c r="AY579" s="213"/>
      <c r="AZ579" s="213"/>
      <c r="BA579" s="213"/>
      <c r="BB579" s="213"/>
    </row>
    <row r="580" ht="15.75" customHeight="1">
      <c r="A580" s="213"/>
      <c r="B580" s="213"/>
      <c r="C580" s="213"/>
      <c r="D580" s="213"/>
      <c r="E580" s="213"/>
      <c r="F580" s="213"/>
      <c r="G580" s="213"/>
      <c r="H580" s="213"/>
      <c r="I580" s="213"/>
      <c r="J580" s="213"/>
      <c r="K580" s="215"/>
      <c r="L580" s="213"/>
      <c r="M580" s="215"/>
      <c r="N580" s="213"/>
      <c r="O580" s="213"/>
      <c r="P580" s="213"/>
      <c r="Q580" s="213"/>
      <c r="R580" s="213"/>
      <c r="S580" s="213"/>
      <c r="T580" s="213"/>
      <c r="U580" s="213"/>
      <c r="V580" s="213"/>
      <c r="W580" s="213"/>
      <c r="X580" s="213"/>
      <c r="Y580" s="213"/>
      <c r="Z580" s="213"/>
      <c r="AA580" s="213"/>
      <c r="AB580" s="213"/>
      <c r="AC580" s="213"/>
      <c r="AD580" s="213"/>
      <c r="AE580" s="213"/>
      <c r="AF580" s="213"/>
      <c r="AG580" s="213"/>
      <c r="AH580" s="213"/>
      <c r="AI580" s="213"/>
      <c r="AJ580" s="213"/>
      <c r="AK580" s="213"/>
      <c r="AL580" s="213"/>
      <c r="AM580" s="213"/>
      <c r="AN580" s="213"/>
      <c r="AO580" s="213"/>
      <c r="AP580" s="213"/>
      <c r="AQ580" s="213"/>
      <c r="AR580" s="213"/>
      <c r="AS580" s="213"/>
      <c r="AT580" s="213"/>
      <c r="AU580" s="213"/>
      <c r="AV580" s="213"/>
      <c r="AW580" s="213"/>
      <c r="AX580" s="213"/>
      <c r="AY580" s="213"/>
      <c r="AZ580" s="213"/>
      <c r="BA580" s="213"/>
      <c r="BB580" s="213"/>
    </row>
    <row r="581" ht="15.75" customHeight="1">
      <c r="A581" s="213"/>
      <c r="B581" s="213"/>
      <c r="C581" s="213"/>
      <c r="D581" s="213"/>
      <c r="E581" s="213"/>
      <c r="F581" s="213"/>
      <c r="G581" s="213"/>
      <c r="H581" s="213"/>
      <c r="I581" s="213"/>
      <c r="J581" s="213"/>
      <c r="K581" s="215"/>
      <c r="L581" s="213"/>
      <c r="M581" s="215"/>
      <c r="N581" s="213"/>
      <c r="O581" s="213"/>
      <c r="P581" s="213"/>
      <c r="Q581" s="213"/>
      <c r="R581" s="213"/>
      <c r="S581" s="213"/>
      <c r="T581" s="213"/>
      <c r="U581" s="213"/>
      <c r="V581" s="213"/>
      <c r="W581" s="213"/>
      <c r="X581" s="213"/>
      <c r="Y581" s="213"/>
      <c r="Z581" s="213"/>
      <c r="AA581" s="213"/>
      <c r="AB581" s="213"/>
      <c r="AC581" s="213"/>
      <c r="AD581" s="213"/>
      <c r="AE581" s="213"/>
      <c r="AF581" s="213"/>
      <c r="AG581" s="213"/>
      <c r="AH581" s="213"/>
      <c r="AI581" s="213"/>
      <c r="AJ581" s="213"/>
      <c r="AK581" s="213"/>
      <c r="AL581" s="213"/>
      <c r="AM581" s="213"/>
      <c r="AN581" s="213"/>
      <c r="AO581" s="213"/>
      <c r="AP581" s="213"/>
      <c r="AQ581" s="213"/>
      <c r="AR581" s="213"/>
      <c r="AS581" s="213"/>
      <c r="AT581" s="213"/>
      <c r="AU581" s="213"/>
      <c r="AV581" s="213"/>
      <c r="AW581" s="213"/>
      <c r="AX581" s="213"/>
      <c r="AY581" s="213"/>
      <c r="AZ581" s="213"/>
      <c r="BA581" s="213"/>
      <c r="BB581" s="213"/>
    </row>
    <row r="582" ht="15.75" customHeight="1">
      <c r="A582" s="213"/>
      <c r="B582" s="213"/>
      <c r="C582" s="213"/>
      <c r="D582" s="213"/>
      <c r="E582" s="213"/>
      <c r="F582" s="213"/>
      <c r="G582" s="213"/>
      <c r="H582" s="213"/>
      <c r="I582" s="213"/>
      <c r="J582" s="213"/>
      <c r="K582" s="215"/>
      <c r="L582" s="213"/>
      <c r="M582" s="215"/>
      <c r="N582" s="213"/>
      <c r="O582" s="213"/>
      <c r="P582" s="213"/>
      <c r="Q582" s="213"/>
      <c r="R582" s="213"/>
      <c r="S582" s="213"/>
      <c r="T582" s="213"/>
      <c r="U582" s="213"/>
      <c r="V582" s="213"/>
      <c r="W582" s="213"/>
      <c r="X582" s="213"/>
      <c r="Y582" s="213"/>
      <c r="Z582" s="213"/>
      <c r="AA582" s="213"/>
      <c r="AB582" s="213"/>
      <c r="AC582" s="213"/>
      <c r="AD582" s="213"/>
      <c r="AE582" s="213"/>
      <c r="AF582" s="213"/>
      <c r="AG582" s="213"/>
      <c r="AH582" s="213"/>
      <c r="AI582" s="213"/>
      <c r="AJ582" s="213"/>
      <c r="AK582" s="213"/>
      <c r="AL582" s="213"/>
      <c r="AM582" s="213"/>
      <c r="AN582" s="213"/>
      <c r="AO582" s="213"/>
      <c r="AP582" s="213"/>
      <c r="AQ582" s="213"/>
      <c r="AR582" s="213"/>
      <c r="AS582" s="213"/>
      <c r="AT582" s="213"/>
      <c r="AU582" s="213"/>
      <c r="AV582" s="213"/>
      <c r="AW582" s="213"/>
      <c r="AX582" s="213"/>
      <c r="AY582" s="213"/>
      <c r="AZ582" s="213"/>
      <c r="BA582" s="213"/>
      <c r="BB582" s="213"/>
    </row>
    <row r="583" ht="15.75" customHeight="1">
      <c r="A583" s="213"/>
      <c r="B583" s="213"/>
      <c r="C583" s="213"/>
      <c r="D583" s="213"/>
      <c r="E583" s="213"/>
      <c r="F583" s="213"/>
      <c r="G583" s="213"/>
      <c r="H583" s="213"/>
      <c r="I583" s="213"/>
      <c r="J583" s="213"/>
      <c r="K583" s="215"/>
      <c r="L583" s="213"/>
      <c r="M583" s="215"/>
      <c r="N583" s="213"/>
      <c r="O583" s="213"/>
      <c r="P583" s="213"/>
      <c r="Q583" s="213"/>
      <c r="R583" s="213"/>
      <c r="S583" s="213"/>
      <c r="T583" s="213"/>
      <c r="U583" s="213"/>
      <c r="V583" s="213"/>
      <c r="W583" s="213"/>
      <c r="X583" s="213"/>
      <c r="Y583" s="213"/>
      <c r="Z583" s="213"/>
      <c r="AA583" s="213"/>
      <c r="AB583" s="213"/>
      <c r="AC583" s="213"/>
      <c r="AD583" s="213"/>
      <c r="AE583" s="213"/>
      <c r="AF583" s="213"/>
      <c r="AG583" s="213"/>
      <c r="AH583" s="213"/>
      <c r="AI583" s="213"/>
      <c r="AJ583" s="213"/>
      <c r="AK583" s="213"/>
      <c r="AL583" s="213"/>
      <c r="AM583" s="213"/>
      <c r="AN583" s="213"/>
      <c r="AO583" s="213"/>
      <c r="AP583" s="213"/>
      <c r="AQ583" s="213"/>
      <c r="AR583" s="213"/>
      <c r="AS583" s="213"/>
      <c r="AT583" s="213"/>
      <c r="AU583" s="213"/>
      <c r="AV583" s="213"/>
      <c r="AW583" s="213"/>
      <c r="AX583" s="213"/>
      <c r="AY583" s="213"/>
      <c r="AZ583" s="213"/>
      <c r="BA583" s="213"/>
      <c r="BB583" s="213"/>
    </row>
    <row r="584" ht="15.75" customHeight="1">
      <c r="A584" s="213"/>
      <c r="B584" s="213"/>
      <c r="C584" s="213"/>
      <c r="D584" s="213"/>
      <c r="E584" s="213"/>
      <c r="F584" s="213"/>
      <c r="G584" s="213"/>
      <c r="H584" s="213"/>
      <c r="I584" s="213"/>
      <c r="J584" s="213"/>
      <c r="K584" s="215"/>
      <c r="L584" s="213"/>
      <c r="M584" s="215"/>
      <c r="N584" s="213"/>
      <c r="O584" s="213"/>
      <c r="P584" s="213"/>
      <c r="Q584" s="213"/>
      <c r="R584" s="213"/>
      <c r="S584" s="213"/>
      <c r="T584" s="213"/>
      <c r="U584" s="213"/>
      <c r="V584" s="213"/>
      <c r="W584" s="213"/>
      <c r="X584" s="213"/>
      <c r="Y584" s="213"/>
      <c r="Z584" s="213"/>
      <c r="AA584" s="213"/>
      <c r="AB584" s="213"/>
      <c r="AC584" s="213"/>
      <c r="AD584" s="213"/>
      <c r="AE584" s="213"/>
      <c r="AF584" s="213"/>
      <c r="AG584" s="213"/>
      <c r="AH584" s="213"/>
      <c r="AI584" s="213"/>
      <c r="AJ584" s="213"/>
      <c r="AK584" s="213"/>
      <c r="AL584" s="213"/>
      <c r="AM584" s="213"/>
      <c r="AN584" s="213"/>
      <c r="AO584" s="213"/>
      <c r="AP584" s="213"/>
      <c r="AQ584" s="213"/>
      <c r="AR584" s="213"/>
      <c r="AS584" s="213"/>
      <c r="AT584" s="213"/>
      <c r="AU584" s="213"/>
      <c r="AV584" s="213"/>
      <c r="AW584" s="213"/>
      <c r="AX584" s="213"/>
      <c r="AY584" s="213"/>
      <c r="AZ584" s="213"/>
      <c r="BA584" s="213"/>
      <c r="BB584" s="213"/>
    </row>
    <row r="585" ht="15.75" customHeight="1">
      <c r="A585" s="213"/>
      <c r="B585" s="213"/>
      <c r="C585" s="213"/>
      <c r="D585" s="213"/>
      <c r="E585" s="213"/>
      <c r="F585" s="213"/>
      <c r="G585" s="213"/>
      <c r="H585" s="213"/>
      <c r="I585" s="213"/>
      <c r="J585" s="213"/>
      <c r="K585" s="215"/>
      <c r="L585" s="213"/>
      <c r="M585" s="215"/>
      <c r="N585" s="213"/>
      <c r="O585" s="213"/>
      <c r="P585" s="213"/>
      <c r="Q585" s="213"/>
      <c r="R585" s="213"/>
      <c r="S585" s="213"/>
      <c r="T585" s="213"/>
      <c r="U585" s="213"/>
      <c r="V585" s="213"/>
      <c r="W585" s="213"/>
      <c r="X585" s="213"/>
      <c r="Y585" s="213"/>
      <c r="Z585" s="213"/>
      <c r="AA585" s="213"/>
      <c r="AB585" s="213"/>
      <c r="AC585" s="213"/>
      <c r="AD585" s="213"/>
      <c r="AE585" s="213"/>
      <c r="AF585" s="213"/>
      <c r="AG585" s="213"/>
      <c r="AH585" s="213"/>
      <c r="AI585" s="213"/>
      <c r="AJ585" s="213"/>
      <c r="AK585" s="213"/>
      <c r="AL585" s="213"/>
      <c r="AM585" s="213"/>
      <c r="AN585" s="213"/>
      <c r="AO585" s="213"/>
      <c r="AP585" s="213"/>
      <c r="AQ585" s="213"/>
      <c r="AR585" s="213"/>
      <c r="AS585" s="213"/>
      <c r="AT585" s="213"/>
      <c r="AU585" s="213"/>
      <c r="AV585" s="213"/>
      <c r="AW585" s="213"/>
      <c r="AX585" s="213"/>
      <c r="AY585" s="213"/>
      <c r="AZ585" s="213"/>
      <c r="BA585" s="213"/>
      <c r="BB585" s="213"/>
    </row>
    <row r="586" ht="15.75" customHeight="1">
      <c r="A586" s="213"/>
      <c r="B586" s="213"/>
      <c r="C586" s="213"/>
      <c r="D586" s="213"/>
      <c r="E586" s="213"/>
      <c r="F586" s="213"/>
      <c r="G586" s="213"/>
      <c r="H586" s="213"/>
      <c r="I586" s="213"/>
      <c r="J586" s="213"/>
      <c r="K586" s="215"/>
      <c r="L586" s="213"/>
      <c r="M586" s="215"/>
      <c r="N586" s="213"/>
      <c r="O586" s="213"/>
      <c r="P586" s="213"/>
      <c r="Q586" s="213"/>
      <c r="R586" s="213"/>
      <c r="S586" s="213"/>
      <c r="T586" s="213"/>
      <c r="U586" s="213"/>
      <c r="V586" s="213"/>
      <c r="W586" s="213"/>
      <c r="X586" s="213"/>
      <c r="Y586" s="213"/>
      <c r="Z586" s="213"/>
      <c r="AA586" s="213"/>
      <c r="AB586" s="213"/>
      <c r="AC586" s="213"/>
      <c r="AD586" s="213"/>
      <c r="AE586" s="213"/>
      <c r="AF586" s="213"/>
      <c r="AG586" s="213"/>
      <c r="AH586" s="213"/>
      <c r="AI586" s="213"/>
      <c r="AJ586" s="213"/>
      <c r="AK586" s="213"/>
      <c r="AL586" s="213"/>
      <c r="AM586" s="213"/>
      <c r="AN586" s="213"/>
      <c r="AO586" s="213"/>
      <c r="AP586" s="213"/>
      <c r="AQ586" s="213"/>
      <c r="AR586" s="213"/>
      <c r="AS586" s="213"/>
      <c r="AT586" s="213"/>
      <c r="AU586" s="213"/>
      <c r="AV586" s="213"/>
      <c r="AW586" s="213"/>
      <c r="AX586" s="213"/>
      <c r="AY586" s="213"/>
      <c r="AZ586" s="213"/>
      <c r="BA586" s="213"/>
      <c r="BB586" s="213"/>
    </row>
    <row r="587" ht="15.75" customHeight="1">
      <c r="A587" s="213"/>
      <c r="B587" s="213"/>
      <c r="C587" s="213"/>
      <c r="D587" s="213"/>
      <c r="E587" s="213"/>
      <c r="F587" s="213"/>
      <c r="G587" s="213"/>
      <c r="H587" s="213"/>
      <c r="I587" s="213"/>
      <c r="J587" s="213"/>
      <c r="K587" s="215"/>
      <c r="L587" s="213"/>
      <c r="M587" s="215"/>
      <c r="N587" s="213"/>
      <c r="O587" s="213"/>
      <c r="P587" s="213"/>
      <c r="Q587" s="213"/>
      <c r="R587" s="213"/>
      <c r="S587" s="213"/>
      <c r="T587" s="213"/>
      <c r="U587" s="213"/>
      <c r="V587" s="213"/>
      <c r="W587" s="213"/>
      <c r="X587" s="213"/>
      <c r="Y587" s="213"/>
      <c r="Z587" s="213"/>
      <c r="AA587" s="213"/>
      <c r="AB587" s="213"/>
      <c r="AC587" s="213"/>
      <c r="AD587" s="213"/>
      <c r="AE587" s="213"/>
      <c r="AF587" s="213"/>
      <c r="AG587" s="213"/>
      <c r="AH587" s="213"/>
      <c r="AI587" s="213"/>
      <c r="AJ587" s="213"/>
      <c r="AK587" s="213"/>
      <c r="AL587" s="213"/>
      <c r="AM587" s="213"/>
      <c r="AN587" s="213"/>
      <c r="AO587" s="213"/>
      <c r="AP587" s="213"/>
      <c r="AQ587" s="213"/>
      <c r="AR587" s="213"/>
      <c r="AS587" s="213"/>
      <c r="AT587" s="213"/>
      <c r="AU587" s="213"/>
      <c r="AV587" s="213"/>
      <c r="AW587" s="213"/>
      <c r="AX587" s="213"/>
      <c r="AY587" s="213"/>
      <c r="AZ587" s="213"/>
      <c r="BA587" s="213"/>
      <c r="BB587" s="213"/>
    </row>
    <row r="588" ht="15.75" customHeight="1">
      <c r="A588" s="213"/>
      <c r="B588" s="213"/>
      <c r="C588" s="213"/>
      <c r="D588" s="213"/>
      <c r="E588" s="213"/>
      <c r="F588" s="213"/>
      <c r="G588" s="213"/>
      <c r="H588" s="213"/>
      <c r="I588" s="213"/>
      <c r="J588" s="213"/>
      <c r="K588" s="215"/>
      <c r="L588" s="213"/>
      <c r="M588" s="215"/>
      <c r="N588" s="213"/>
      <c r="O588" s="213"/>
      <c r="P588" s="213"/>
      <c r="Q588" s="213"/>
      <c r="R588" s="213"/>
      <c r="S588" s="213"/>
      <c r="T588" s="213"/>
      <c r="U588" s="213"/>
      <c r="V588" s="213"/>
      <c r="W588" s="213"/>
      <c r="X588" s="213"/>
      <c r="Y588" s="213"/>
      <c r="Z588" s="213"/>
      <c r="AA588" s="213"/>
      <c r="AB588" s="213"/>
      <c r="AC588" s="213"/>
      <c r="AD588" s="213"/>
      <c r="AE588" s="213"/>
      <c r="AF588" s="213"/>
      <c r="AG588" s="213"/>
      <c r="AH588" s="213"/>
      <c r="AI588" s="213"/>
      <c r="AJ588" s="213"/>
      <c r="AK588" s="213"/>
      <c r="AL588" s="213"/>
      <c r="AM588" s="213"/>
      <c r="AN588" s="213"/>
      <c r="AO588" s="213"/>
      <c r="AP588" s="213"/>
      <c r="AQ588" s="213"/>
      <c r="AR588" s="213"/>
      <c r="AS588" s="213"/>
      <c r="AT588" s="213"/>
      <c r="AU588" s="213"/>
      <c r="AV588" s="213"/>
      <c r="AW588" s="213"/>
      <c r="AX588" s="213"/>
      <c r="AY588" s="213"/>
      <c r="AZ588" s="213"/>
      <c r="BA588" s="213"/>
      <c r="BB588" s="213"/>
    </row>
    <row r="589" ht="15.75" customHeight="1">
      <c r="A589" s="213"/>
      <c r="B589" s="213"/>
      <c r="C589" s="213"/>
      <c r="D589" s="213"/>
      <c r="E589" s="213"/>
      <c r="F589" s="213"/>
      <c r="G589" s="213"/>
      <c r="H589" s="213"/>
      <c r="I589" s="213"/>
      <c r="J589" s="213"/>
      <c r="K589" s="215"/>
      <c r="L589" s="213"/>
      <c r="M589" s="215"/>
      <c r="N589" s="213"/>
      <c r="O589" s="213"/>
      <c r="P589" s="213"/>
      <c r="Q589" s="213"/>
      <c r="R589" s="213"/>
      <c r="S589" s="213"/>
      <c r="T589" s="213"/>
      <c r="U589" s="213"/>
      <c r="V589" s="213"/>
      <c r="W589" s="213"/>
      <c r="X589" s="213"/>
      <c r="Y589" s="213"/>
      <c r="Z589" s="213"/>
      <c r="AA589" s="213"/>
      <c r="AB589" s="213"/>
      <c r="AC589" s="213"/>
      <c r="AD589" s="213"/>
      <c r="AE589" s="213"/>
      <c r="AF589" s="213"/>
      <c r="AG589" s="213"/>
      <c r="AH589" s="213"/>
      <c r="AI589" s="213"/>
      <c r="AJ589" s="213"/>
      <c r="AK589" s="213"/>
      <c r="AL589" s="213"/>
      <c r="AM589" s="213"/>
      <c r="AN589" s="213"/>
      <c r="AO589" s="213"/>
      <c r="AP589" s="213"/>
      <c r="AQ589" s="213"/>
      <c r="AR589" s="213"/>
      <c r="AS589" s="213"/>
      <c r="AT589" s="213"/>
      <c r="AU589" s="213"/>
      <c r="AV589" s="213"/>
      <c r="AW589" s="213"/>
      <c r="AX589" s="213"/>
      <c r="AY589" s="213"/>
      <c r="AZ589" s="213"/>
      <c r="BA589" s="213"/>
      <c r="BB589" s="213"/>
    </row>
    <row r="590" ht="15.75" customHeight="1">
      <c r="A590" s="213"/>
      <c r="B590" s="213"/>
      <c r="C590" s="213"/>
      <c r="D590" s="213"/>
      <c r="E590" s="213"/>
      <c r="F590" s="213"/>
      <c r="G590" s="213"/>
      <c r="H590" s="213"/>
      <c r="I590" s="213"/>
      <c r="J590" s="213"/>
      <c r="K590" s="215"/>
      <c r="L590" s="213"/>
      <c r="M590" s="215"/>
      <c r="N590" s="213"/>
      <c r="O590" s="213"/>
      <c r="P590" s="213"/>
      <c r="Q590" s="213"/>
      <c r="R590" s="213"/>
      <c r="S590" s="213"/>
      <c r="T590" s="213"/>
      <c r="U590" s="213"/>
      <c r="V590" s="213"/>
      <c r="W590" s="213"/>
      <c r="X590" s="213"/>
      <c r="Y590" s="213"/>
      <c r="Z590" s="213"/>
      <c r="AA590" s="213"/>
      <c r="AB590" s="213"/>
      <c r="AC590" s="213"/>
      <c r="AD590" s="213"/>
      <c r="AE590" s="213"/>
      <c r="AF590" s="213"/>
      <c r="AG590" s="213"/>
      <c r="AH590" s="213"/>
      <c r="AI590" s="213"/>
      <c r="AJ590" s="213"/>
      <c r="AK590" s="213"/>
      <c r="AL590" s="213"/>
      <c r="AM590" s="213"/>
      <c r="AN590" s="213"/>
      <c r="AO590" s="213"/>
      <c r="AP590" s="213"/>
      <c r="AQ590" s="213"/>
      <c r="AR590" s="213"/>
      <c r="AS590" s="213"/>
      <c r="AT590" s="213"/>
      <c r="AU590" s="213"/>
      <c r="AV590" s="213"/>
      <c r="AW590" s="213"/>
      <c r="AX590" s="213"/>
      <c r="AY590" s="213"/>
      <c r="AZ590" s="213"/>
      <c r="BA590" s="213"/>
      <c r="BB590" s="213"/>
    </row>
    <row r="591" ht="15.75" customHeight="1">
      <c r="A591" s="213"/>
      <c r="B591" s="213"/>
      <c r="C591" s="213"/>
      <c r="D591" s="213"/>
      <c r="E591" s="213"/>
      <c r="F591" s="213"/>
      <c r="G591" s="213"/>
      <c r="H591" s="213"/>
      <c r="I591" s="213"/>
      <c r="J591" s="213"/>
      <c r="K591" s="215"/>
      <c r="L591" s="213"/>
      <c r="M591" s="215"/>
      <c r="N591" s="213"/>
      <c r="O591" s="213"/>
      <c r="P591" s="213"/>
      <c r="Q591" s="213"/>
      <c r="R591" s="213"/>
      <c r="S591" s="213"/>
      <c r="T591" s="213"/>
      <c r="U591" s="213"/>
      <c r="V591" s="213"/>
      <c r="W591" s="213"/>
      <c r="X591" s="213"/>
      <c r="Y591" s="213"/>
      <c r="Z591" s="213"/>
      <c r="AA591" s="213"/>
      <c r="AB591" s="213"/>
      <c r="AC591" s="213"/>
      <c r="AD591" s="213"/>
      <c r="AE591" s="213"/>
      <c r="AF591" s="213"/>
      <c r="AG591" s="213"/>
      <c r="AH591" s="213"/>
      <c r="AI591" s="213"/>
      <c r="AJ591" s="213"/>
      <c r="AK591" s="213"/>
      <c r="AL591" s="213"/>
      <c r="AM591" s="213"/>
      <c r="AN591" s="213"/>
      <c r="AO591" s="213"/>
      <c r="AP591" s="213"/>
      <c r="AQ591" s="213"/>
      <c r="AR591" s="213"/>
      <c r="AS591" s="213"/>
      <c r="AT591" s="213"/>
      <c r="AU591" s="213"/>
      <c r="AV591" s="213"/>
      <c r="AW591" s="213"/>
      <c r="AX591" s="213"/>
      <c r="AY591" s="213"/>
      <c r="AZ591" s="213"/>
      <c r="BA591" s="213"/>
      <c r="BB591" s="213"/>
    </row>
    <row r="592" ht="15.75" customHeight="1">
      <c r="A592" s="213"/>
      <c r="B592" s="213"/>
      <c r="C592" s="213"/>
      <c r="D592" s="213"/>
      <c r="E592" s="213"/>
      <c r="F592" s="213"/>
      <c r="G592" s="213"/>
      <c r="H592" s="213"/>
      <c r="I592" s="213"/>
      <c r="J592" s="213"/>
      <c r="K592" s="215"/>
      <c r="L592" s="213"/>
      <c r="M592" s="215"/>
      <c r="N592" s="213"/>
      <c r="O592" s="213"/>
      <c r="P592" s="213"/>
      <c r="Q592" s="213"/>
      <c r="R592" s="213"/>
      <c r="S592" s="213"/>
      <c r="T592" s="213"/>
      <c r="U592" s="213"/>
      <c r="V592" s="213"/>
      <c r="W592" s="213"/>
      <c r="X592" s="213"/>
      <c r="Y592" s="213"/>
      <c r="Z592" s="213"/>
      <c r="AA592" s="213"/>
      <c r="AB592" s="213"/>
      <c r="AC592" s="213"/>
      <c r="AD592" s="213"/>
      <c r="AE592" s="213"/>
      <c r="AF592" s="213"/>
      <c r="AG592" s="213"/>
      <c r="AH592" s="213"/>
      <c r="AI592" s="213"/>
      <c r="AJ592" s="213"/>
      <c r="AK592" s="213"/>
      <c r="AL592" s="213"/>
      <c r="AM592" s="213"/>
      <c r="AN592" s="213"/>
      <c r="AO592" s="213"/>
      <c r="AP592" s="213"/>
      <c r="AQ592" s="213"/>
      <c r="AR592" s="213"/>
      <c r="AS592" s="213"/>
      <c r="AT592" s="213"/>
      <c r="AU592" s="213"/>
      <c r="AV592" s="213"/>
      <c r="AW592" s="213"/>
      <c r="AX592" s="213"/>
      <c r="AY592" s="213"/>
      <c r="AZ592" s="213"/>
      <c r="BA592" s="213"/>
      <c r="BB592" s="213"/>
    </row>
    <row r="593" ht="15.75" customHeight="1">
      <c r="A593" s="213"/>
      <c r="B593" s="213"/>
      <c r="C593" s="213"/>
      <c r="D593" s="213"/>
      <c r="E593" s="213"/>
      <c r="F593" s="213"/>
      <c r="G593" s="213"/>
      <c r="H593" s="213"/>
      <c r="I593" s="213"/>
      <c r="J593" s="213"/>
      <c r="K593" s="215"/>
      <c r="L593" s="213"/>
      <c r="M593" s="215"/>
      <c r="N593" s="213"/>
      <c r="O593" s="213"/>
      <c r="P593" s="213"/>
      <c r="Q593" s="213"/>
      <c r="R593" s="213"/>
      <c r="S593" s="213"/>
      <c r="T593" s="213"/>
      <c r="U593" s="213"/>
      <c r="V593" s="213"/>
      <c r="W593" s="213"/>
      <c r="X593" s="213"/>
      <c r="Y593" s="213"/>
      <c r="Z593" s="213"/>
      <c r="AA593" s="213"/>
      <c r="AB593" s="213"/>
      <c r="AC593" s="213"/>
      <c r="AD593" s="213"/>
      <c r="AE593" s="213"/>
      <c r="AF593" s="213"/>
      <c r="AG593" s="213"/>
      <c r="AH593" s="213"/>
      <c r="AI593" s="213"/>
      <c r="AJ593" s="213"/>
      <c r="AK593" s="213"/>
      <c r="AL593" s="213"/>
      <c r="AM593" s="213"/>
      <c r="AN593" s="213"/>
      <c r="AO593" s="213"/>
      <c r="AP593" s="213"/>
      <c r="AQ593" s="213"/>
      <c r="AR593" s="213"/>
      <c r="AS593" s="213"/>
      <c r="AT593" s="213"/>
      <c r="AU593" s="213"/>
      <c r="AV593" s="213"/>
      <c r="AW593" s="213"/>
      <c r="AX593" s="213"/>
      <c r="AY593" s="213"/>
      <c r="AZ593" s="213"/>
      <c r="BA593" s="213"/>
      <c r="BB593" s="213"/>
    </row>
    <row r="594" ht="15.75" customHeight="1">
      <c r="A594" s="213"/>
      <c r="B594" s="213"/>
      <c r="C594" s="213"/>
      <c r="D594" s="213"/>
      <c r="E594" s="213"/>
      <c r="F594" s="213"/>
      <c r="G594" s="213"/>
      <c r="H594" s="213"/>
      <c r="I594" s="213"/>
      <c r="J594" s="213"/>
      <c r="K594" s="215"/>
      <c r="L594" s="213"/>
      <c r="M594" s="215"/>
      <c r="N594" s="213"/>
      <c r="O594" s="213"/>
      <c r="P594" s="213"/>
      <c r="Q594" s="213"/>
      <c r="R594" s="213"/>
      <c r="S594" s="213"/>
      <c r="T594" s="213"/>
      <c r="U594" s="213"/>
      <c r="V594" s="213"/>
      <c r="W594" s="213"/>
      <c r="X594" s="213"/>
      <c r="Y594" s="213"/>
      <c r="Z594" s="213"/>
      <c r="AA594" s="213"/>
      <c r="AB594" s="213"/>
      <c r="AC594" s="213"/>
      <c r="AD594" s="213"/>
      <c r="AE594" s="213"/>
      <c r="AF594" s="213"/>
      <c r="AG594" s="213"/>
      <c r="AH594" s="213"/>
      <c r="AI594" s="213"/>
      <c r="AJ594" s="213"/>
      <c r="AK594" s="213"/>
      <c r="AL594" s="213"/>
      <c r="AM594" s="213"/>
      <c r="AN594" s="213"/>
      <c r="AO594" s="213"/>
      <c r="AP594" s="213"/>
      <c r="AQ594" s="213"/>
      <c r="AR594" s="213"/>
      <c r="AS594" s="213"/>
      <c r="AT594" s="213"/>
      <c r="AU594" s="213"/>
      <c r="AV594" s="213"/>
      <c r="AW594" s="213"/>
      <c r="AX594" s="213"/>
      <c r="AY594" s="213"/>
      <c r="AZ594" s="213"/>
      <c r="BA594" s="213"/>
      <c r="BB594" s="213"/>
    </row>
    <row r="595" ht="15.75" customHeight="1">
      <c r="A595" s="213"/>
      <c r="B595" s="213"/>
      <c r="C595" s="213"/>
      <c r="D595" s="213"/>
      <c r="E595" s="213"/>
      <c r="F595" s="213"/>
      <c r="G595" s="213"/>
      <c r="H595" s="213"/>
      <c r="I595" s="213"/>
      <c r="J595" s="213"/>
      <c r="K595" s="215"/>
      <c r="L595" s="213"/>
      <c r="M595" s="215"/>
      <c r="N595" s="213"/>
      <c r="O595" s="213"/>
      <c r="P595" s="213"/>
      <c r="Q595" s="213"/>
      <c r="R595" s="213"/>
      <c r="S595" s="213"/>
      <c r="T595" s="213"/>
      <c r="U595" s="213"/>
      <c r="V595" s="213"/>
      <c r="W595" s="213"/>
      <c r="X595" s="213"/>
      <c r="Y595" s="213"/>
      <c r="Z595" s="213"/>
      <c r="AA595" s="213"/>
      <c r="AB595" s="213"/>
      <c r="AC595" s="213"/>
      <c r="AD595" s="213"/>
      <c r="AE595" s="213"/>
      <c r="AF595" s="213"/>
      <c r="AG595" s="213"/>
      <c r="AH595" s="213"/>
      <c r="AI595" s="213"/>
      <c r="AJ595" s="213"/>
      <c r="AK595" s="213"/>
      <c r="AL595" s="213"/>
      <c r="AM595" s="213"/>
      <c r="AN595" s="213"/>
      <c r="AO595" s="213"/>
      <c r="AP595" s="213"/>
      <c r="AQ595" s="213"/>
      <c r="AR595" s="213"/>
      <c r="AS595" s="213"/>
      <c r="AT595" s="213"/>
      <c r="AU595" s="213"/>
      <c r="AV595" s="213"/>
      <c r="AW595" s="213"/>
      <c r="AX595" s="213"/>
      <c r="AY595" s="213"/>
      <c r="AZ595" s="213"/>
      <c r="BA595" s="213"/>
      <c r="BB595" s="213"/>
    </row>
    <row r="596" ht="15.75" customHeight="1">
      <c r="A596" s="213"/>
      <c r="B596" s="213"/>
      <c r="C596" s="213"/>
      <c r="D596" s="213"/>
      <c r="E596" s="213"/>
      <c r="F596" s="213"/>
      <c r="G596" s="213"/>
      <c r="H596" s="213"/>
      <c r="I596" s="213"/>
      <c r="J596" s="213"/>
      <c r="K596" s="215"/>
      <c r="L596" s="213"/>
      <c r="M596" s="215"/>
      <c r="N596" s="213"/>
      <c r="O596" s="213"/>
      <c r="P596" s="213"/>
      <c r="Q596" s="213"/>
      <c r="R596" s="213"/>
      <c r="S596" s="213"/>
      <c r="T596" s="213"/>
      <c r="U596" s="213"/>
      <c r="V596" s="213"/>
      <c r="W596" s="213"/>
      <c r="X596" s="213"/>
      <c r="Y596" s="213"/>
      <c r="Z596" s="213"/>
      <c r="AA596" s="213"/>
      <c r="AB596" s="213"/>
      <c r="AC596" s="213"/>
      <c r="AD596" s="213"/>
      <c r="AE596" s="213"/>
      <c r="AF596" s="213"/>
      <c r="AG596" s="213"/>
      <c r="AH596" s="213"/>
      <c r="AI596" s="213"/>
      <c r="AJ596" s="213"/>
      <c r="AK596" s="213"/>
      <c r="AL596" s="213"/>
      <c r="AM596" s="213"/>
      <c r="AN596" s="213"/>
      <c r="AO596" s="213"/>
      <c r="AP596" s="213"/>
      <c r="AQ596" s="213"/>
      <c r="AR596" s="213"/>
      <c r="AS596" s="213"/>
      <c r="AT596" s="213"/>
      <c r="AU596" s="213"/>
      <c r="AV596" s="213"/>
      <c r="AW596" s="213"/>
      <c r="AX596" s="213"/>
      <c r="AY596" s="213"/>
      <c r="AZ596" s="213"/>
      <c r="BA596" s="213"/>
      <c r="BB596" s="213"/>
    </row>
    <row r="597" ht="15.75" customHeight="1">
      <c r="A597" s="213"/>
      <c r="B597" s="213"/>
      <c r="C597" s="213"/>
      <c r="D597" s="213"/>
      <c r="E597" s="213"/>
      <c r="F597" s="213"/>
      <c r="G597" s="213"/>
      <c r="H597" s="213"/>
      <c r="I597" s="213"/>
      <c r="J597" s="213"/>
      <c r="K597" s="215"/>
      <c r="L597" s="213"/>
      <c r="M597" s="215"/>
      <c r="N597" s="213"/>
      <c r="O597" s="213"/>
      <c r="P597" s="213"/>
      <c r="Q597" s="213"/>
      <c r="R597" s="213"/>
      <c r="S597" s="213"/>
      <c r="T597" s="213"/>
      <c r="U597" s="213"/>
      <c r="V597" s="213"/>
      <c r="W597" s="213"/>
      <c r="X597" s="213"/>
      <c r="Y597" s="213"/>
      <c r="Z597" s="213"/>
      <c r="AA597" s="213"/>
      <c r="AB597" s="213"/>
      <c r="AC597" s="213"/>
      <c r="AD597" s="213"/>
      <c r="AE597" s="213"/>
      <c r="AF597" s="213"/>
      <c r="AG597" s="213"/>
      <c r="AH597" s="213"/>
      <c r="AI597" s="213"/>
      <c r="AJ597" s="213"/>
      <c r="AK597" s="213"/>
      <c r="AL597" s="213"/>
      <c r="AM597" s="213"/>
      <c r="AN597" s="213"/>
      <c r="AO597" s="213"/>
      <c r="AP597" s="213"/>
      <c r="AQ597" s="213"/>
      <c r="AR597" s="213"/>
      <c r="AS597" s="213"/>
      <c r="AT597" s="213"/>
      <c r="AU597" s="213"/>
      <c r="AV597" s="213"/>
      <c r="AW597" s="213"/>
      <c r="AX597" s="213"/>
      <c r="AY597" s="213"/>
      <c r="AZ597" s="213"/>
      <c r="BA597" s="213"/>
      <c r="BB597" s="213"/>
    </row>
    <row r="598" ht="15.75" customHeight="1">
      <c r="A598" s="213"/>
      <c r="B598" s="213"/>
      <c r="C598" s="213"/>
      <c r="D598" s="213"/>
      <c r="E598" s="213"/>
      <c r="F598" s="213"/>
      <c r="G598" s="213"/>
      <c r="H598" s="213"/>
      <c r="I598" s="213"/>
      <c r="J598" s="213"/>
      <c r="K598" s="215"/>
      <c r="L598" s="213"/>
      <c r="M598" s="215"/>
      <c r="N598" s="213"/>
      <c r="O598" s="213"/>
      <c r="P598" s="213"/>
      <c r="Q598" s="213"/>
      <c r="R598" s="213"/>
      <c r="S598" s="213"/>
      <c r="T598" s="213"/>
      <c r="U598" s="213"/>
      <c r="V598" s="213"/>
      <c r="W598" s="213"/>
      <c r="X598" s="213"/>
      <c r="Y598" s="213"/>
      <c r="Z598" s="213"/>
      <c r="AA598" s="213"/>
      <c r="AB598" s="213"/>
      <c r="AC598" s="213"/>
      <c r="AD598" s="213"/>
      <c r="AE598" s="213"/>
      <c r="AF598" s="213"/>
      <c r="AG598" s="213"/>
      <c r="AH598" s="213"/>
      <c r="AI598" s="213"/>
      <c r="AJ598" s="213"/>
      <c r="AK598" s="213"/>
      <c r="AL598" s="213"/>
      <c r="AM598" s="213"/>
      <c r="AN598" s="213"/>
      <c r="AO598" s="213"/>
      <c r="AP598" s="213"/>
      <c r="AQ598" s="213"/>
      <c r="AR598" s="213"/>
      <c r="AS598" s="213"/>
      <c r="AT598" s="213"/>
      <c r="AU598" s="213"/>
      <c r="AV598" s="213"/>
      <c r="AW598" s="213"/>
      <c r="AX598" s="213"/>
      <c r="AY598" s="213"/>
      <c r="AZ598" s="213"/>
      <c r="BA598" s="213"/>
      <c r="BB598" s="213"/>
    </row>
    <row r="599" ht="15.75" customHeight="1">
      <c r="A599" s="213"/>
      <c r="B599" s="213"/>
      <c r="C599" s="213"/>
      <c r="D599" s="213"/>
      <c r="E599" s="213"/>
      <c r="F599" s="213"/>
      <c r="G599" s="213"/>
      <c r="H599" s="213"/>
      <c r="I599" s="213"/>
      <c r="J599" s="213"/>
      <c r="K599" s="215"/>
      <c r="L599" s="213"/>
      <c r="M599" s="215"/>
      <c r="N599" s="213"/>
      <c r="O599" s="213"/>
      <c r="P599" s="213"/>
      <c r="Q599" s="213"/>
      <c r="R599" s="213"/>
      <c r="S599" s="213"/>
      <c r="T599" s="213"/>
      <c r="U599" s="213"/>
      <c r="V599" s="213"/>
      <c r="W599" s="213"/>
      <c r="X599" s="213"/>
      <c r="Y599" s="213"/>
      <c r="Z599" s="213"/>
      <c r="AA599" s="213"/>
      <c r="AB599" s="213"/>
      <c r="AC599" s="213"/>
      <c r="AD599" s="213"/>
      <c r="AE599" s="213"/>
      <c r="AF599" s="213"/>
      <c r="AG599" s="213"/>
      <c r="AH599" s="213"/>
      <c r="AI599" s="213"/>
      <c r="AJ599" s="213"/>
      <c r="AK599" s="213"/>
      <c r="AL599" s="213"/>
      <c r="AM599" s="213"/>
      <c r="AN599" s="213"/>
      <c r="AO599" s="213"/>
      <c r="AP599" s="213"/>
      <c r="AQ599" s="213"/>
      <c r="AR599" s="213"/>
      <c r="AS599" s="213"/>
      <c r="AT599" s="213"/>
      <c r="AU599" s="213"/>
      <c r="AV599" s="213"/>
      <c r="AW599" s="213"/>
      <c r="AX599" s="213"/>
      <c r="AY599" s="213"/>
      <c r="AZ599" s="213"/>
      <c r="BA599" s="213"/>
      <c r="BB599" s="213"/>
    </row>
    <row r="600" ht="15.75" customHeight="1">
      <c r="A600" s="213"/>
      <c r="B600" s="213"/>
      <c r="C600" s="213"/>
      <c r="D600" s="213"/>
      <c r="E600" s="213"/>
      <c r="F600" s="213"/>
      <c r="G600" s="213"/>
      <c r="H600" s="213"/>
      <c r="I600" s="213"/>
      <c r="J600" s="213"/>
      <c r="K600" s="215"/>
      <c r="L600" s="213"/>
      <c r="M600" s="215"/>
      <c r="N600" s="213"/>
      <c r="O600" s="213"/>
      <c r="P600" s="213"/>
      <c r="Q600" s="213"/>
      <c r="R600" s="213"/>
      <c r="S600" s="213"/>
      <c r="T600" s="213"/>
      <c r="U600" s="213"/>
      <c r="V600" s="213"/>
      <c r="W600" s="213"/>
      <c r="X600" s="213"/>
      <c r="Y600" s="213"/>
      <c r="Z600" s="213"/>
      <c r="AA600" s="213"/>
      <c r="AB600" s="213"/>
      <c r="AC600" s="213"/>
      <c r="AD600" s="213"/>
      <c r="AE600" s="213"/>
      <c r="AF600" s="213"/>
      <c r="AG600" s="213"/>
      <c r="AH600" s="213"/>
      <c r="AI600" s="213"/>
      <c r="AJ600" s="213"/>
      <c r="AK600" s="213"/>
      <c r="AL600" s="213"/>
      <c r="AM600" s="213"/>
      <c r="AN600" s="213"/>
      <c r="AO600" s="213"/>
      <c r="AP600" s="213"/>
      <c r="AQ600" s="213"/>
      <c r="AR600" s="213"/>
      <c r="AS600" s="213"/>
      <c r="AT600" s="213"/>
      <c r="AU600" s="213"/>
      <c r="AV600" s="213"/>
      <c r="AW600" s="213"/>
      <c r="AX600" s="213"/>
      <c r="AY600" s="213"/>
      <c r="AZ600" s="213"/>
      <c r="BA600" s="213"/>
      <c r="BB600" s="213"/>
    </row>
    <row r="601" ht="15.75" customHeight="1">
      <c r="A601" s="213"/>
      <c r="B601" s="213"/>
      <c r="C601" s="213"/>
      <c r="D601" s="213"/>
      <c r="E601" s="213"/>
      <c r="F601" s="213"/>
      <c r="G601" s="213"/>
      <c r="H601" s="213"/>
      <c r="I601" s="213"/>
      <c r="J601" s="213"/>
      <c r="K601" s="215"/>
      <c r="L601" s="213"/>
      <c r="M601" s="215"/>
      <c r="N601" s="213"/>
      <c r="O601" s="213"/>
      <c r="P601" s="213"/>
      <c r="Q601" s="213"/>
      <c r="R601" s="213"/>
      <c r="S601" s="213"/>
      <c r="T601" s="213"/>
      <c r="U601" s="213"/>
      <c r="V601" s="213"/>
      <c r="W601" s="213"/>
      <c r="X601" s="213"/>
      <c r="Y601" s="213"/>
      <c r="Z601" s="213"/>
      <c r="AA601" s="213"/>
      <c r="AB601" s="213"/>
      <c r="AC601" s="213"/>
      <c r="AD601" s="213"/>
      <c r="AE601" s="213"/>
      <c r="AF601" s="213"/>
      <c r="AG601" s="213"/>
      <c r="AH601" s="213"/>
      <c r="AI601" s="213"/>
      <c r="AJ601" s="213"/>
      <c r="AK601" s="213"/>
      <c r="AL601" s="213"/>
      <c r="AM601" s="213"/>
      <c r="AN601" s="213"/>
      <c r="AO601" s="213"/>
      <c r="AP601" s="213"/>
      <c r="AQ601" s="213"/>
      <c r="AR601" s="213"/>
      <c r="AS601" s="213"/>
      <c r="AT601" s="213"/>
      <c r="AU601" s="213"/>
      <c r="AV601" s="213"/>
      <c r="AW601" s="213"/>
      <c r="AX601" s="213"/>
      <c r="AY601" s="213"/>
      <c r="AZ601" s="213"/>
      <c r="BA601" s="213"/>
      <c r="BB601" s="213"/>
    </row>
    <row r="602" ht="15.75" customHeight="1">
      <c r="A602" s="213"/>
      <c r="B602" s="213"/>
      <c r="C602" s="213"/>
      <c r="D602" s="213"/>
      <c r="E602" s="213"/>
      <c r="F602" s="213"/>
      <c r="G602" s="213"/>
      <c r="H602" s="213"/>
      <c r="I602" s="213"/>
      <c r="J602" s="213"/>
      <c r="K602" s="215"/>
      <c r="L602" s="213"/>
      <c r="M602" s="215"/>
      <c r="N602" s="213"/>
      <c r="O602" s="213"/>
      <c r="P602" s="213"/>
      <c r="Q602" s="213"/>
      <c r="R602" s="213"/>
      <c r="S602" s="213"/>
      <c r="T602" s="213"/>
      <c r="U602" s="213"/>
      <c r="V602" s="213"/>
      <c r="W602" s="213"/>
      <c r="X602" s="213"/>
      <c r="Y602" s="213"/>
      <c r="Z602" s="213"/>
      <c r="AA602" s="213"/>
      <c r="AB602" s="213"/>
      <c r="AC602" s="213"/>
      <c r="AD602" s="213"/>
      <c r="AE602" s="213"/>
      <c r="AF602" s="213"/>
      <c r="AG602" s="213"/>
      <c r="AH602" s="213"/>
      <c r="AI602" s="213"/>
      <c r="AJ602" s="213"/>
      <c r="AK602" s="213"/>
      <c r="AL602" s="213"/>
      <c r="AM602" s="213"/>
      <c r="AN602" s="213"/>
      <c r="AO602" s="213"/>
      <c r="AP602" s="213"/>
      <c r="AQ602" s="213"/>
      <c r="AR602" s="213"/>
      <c r="AS602" s="213"/>
      <c r="AT602" s="213"/>
      <c r="AU602" s="213"/>
      <c r="AV602" s="213"/>
      <c r="AW602" s="213"/>
      <c r="AX602" s="213"/>
      <c r="AY602" s="213"/>
      <c r="AZ602" s="213"/>
      <c r="BA602" s="213"/>
      <c r="BB602" s="213"/>
    </row>
    <row r="603" ht="15.75" customHeight="1">
      <c r="A603" s="213"/>
      <c r="B603" s="213"/>
      <c r="C603" s="213"/>
      <c r="D603" s="213"/>
      <c r="E603" s="213"/>
      <c r="F603" s="213"/>
      <c r="G603" s="213"/>
      <c r="H603" s="213"/>
      <c r="I603" s="213"/>
      <c r="J603" s="213"/>
      <c r="K603" s="215"/>
      <c r="L603" s="213"/>
      <c r="M603" s="215"/>
      <c r="N603" s="213"/>
      <c r="O603" s="213"/>
      <c r="P603" s="213"/>
      <c r="Q603" s="213"/>
      <c r="R603" s="213"/>
      <c r="S603" s="213"/>
      <c r="T603" s="213"/>
      <c r="U603" s="213"/>
      <c r="V603" s="213"/>
      <c r="W603" s="213"/>
      <c r="X603" s="213"/>
      <c r="Y603" s="213"/>
      <c r="Z603" s="213"/>
      <c r="AA603" s="213"/>
      <c r="AB603" s="213"/>
      <c r="AC603" s="213"/>
      <c r="AD603" s="213"/>
      <c r="AE603" s="213"/>
      <c r="AF603" s="213"/>
      <c r="AG603" s="213"/>
      <c r="AH603" s="213"/>
      <c r="AI603" s="213"/>
      <c r="AJ603" s="213"/>
      <c r="AK603" s="213"/>
      <c r="AL603" s="213"/>
      <c r="AM603" s="213"/>
      <c r="AN603" s="213"/>
      <c r="AO603" s="213"/>
      <c r="AP603" s="213"/>
      <c r="AQ603" s="213"/>
      <c r="AR603" s="213"/>
      <c r="AS603" s="213"/>
      <c r="AT603" s="213"/>
      <c r="AU603" s="213"/>
      <c r="AV603" s="213"/>
      <c r="AW603" s="213"/>
      <c r="AX603" s="213"/>
      <c r="AY603" s="213"/>
      <c r="AZ603" s="213"/>
      <c r="BA603" s="213"/>
      <c r="BB603" s="213"/>
    </row>
    <row r="604" ht="15.75" customHeight="1">
      <c r="A604" s="213"/>
      <c r="B604" s="213"/>
      <c r="C604" s="213"/>
      <c r="D604" s="213"/>
      <c r="E604" s="213"/>
      <c r="F604" s="213"/>
      <c r="G604" s="213"/>
      <c r="H604" s="213"/>
      <c r="I604" s="213"/>
      <c r="J604" s="213"/>
      <c r="K604" s="215"/>
      <c r="L604" s="213"/>
      <c r="M604" s="215"/>
      <c r="N604" s="213"/>
      <c r="O604" s="213"/>
      <c r="P604" s="213"/>
      <c r="Q604" s="213"/>
      <c r="R604" s="213"/>
      <c r="S604" s="213"/>
      <c r="T604" s="213"/>
      <c r="U604" s="213"/>
      <c r="V604" s="213"/>
      <c r="W604" s="213"/>
      <c r="X604" s="213"/>
      <c r="Y604" s="213"/>
      <c r="Z604" s="213"/>
      <c r="AA604" s="213"/>
      <c r="AB604" s="213"/>
      <c r="AC604" s="213"/>
      <c r="AD604" s="213"/>
      <c r="AE604" s="213"/>
      <c r="AF604" s="213"/>
      <c r="AG604" s="213"/>
      <c r="AH604" s="213"/>
      <c r="AI604" s="213"/>
      <c r="AJ604" s="213"/>
      <c r="AK604" s="213"/>
      <c r="AL604" s="213"/>
      <c r="AM604" s="213"/>
      <c r="AN604" s="213"/>
      <c r="AO604" s="213"/>
      <c r="AP604" s="213"/>
      <c r="AQ604" s="213"/>
      <c r="AR604" s="213"/>
      <c r="AS604" s="213"/>
      <c r="AT604" s="213"/>
      <c r="AU604" s="213"/>
      <c r="AV604" s="213"/>
      <c r="AW604" s="213"/>
      <c r="AX604" s="213"/>
      <c r="AY604" s="213"/>
      <c r="AZ604" s="213"/>
      <c r="BA604" s="213"/>
      <c r="BB604" s="213"/>
    </row>
    <row r="605" ht="15.75" customHeight="1">
      <c r="A605" s="213"/>
      <c r="B605" s="213"/>
      <c r="C605" s="213"/>
      <c r="D605" s="213"/>
      <c r="E605" s="213"/>
      <c r="F605" s="213"/>
      <c r="G605" s="213"/>
      <c r="H605" s="213"/>
      <c r="I605" s="213"/>
      <c r="J605" s="213"/>
      <c r="K605" s="215"/>
      <c r="L605" s="213"/>
      <c r="M605" s="215"/>
      <c r="N605" s="213"/>
      <c r="O605" s="213"/>
      <c r="P605" s="213"/>
      <c r="Q605" s="213"/>
      <c r="R605" s="213"/>
      <c r="S605" s="213"/>
      <c r="T605" s="213"/>
      <c r="U605" s="213"/>
      <c r="V605" s="213"/>
      <c r="W605" s="213"/>
      <c r="X605" s="213"/>
      <c r="Y605" s="213"/>
      <c r="Z605" s="213"/>
      <c r="AA605" s="213"/>
      <c r="AB605" s="213"/>
      <c r="AC605" s="213"/>
      <c r="AD605" s="213"/>
      <c r="AE605" s="213"/>
      <c r="AF605" s="213"/>
      <c r="AG605" s="213"/>
      <c r="AH605" s="213"/>
      <c r="AI605" s="213"/>
      <c r="AJ605" s="213"/>
      <c r="AK605" s="213"/>
      <c r="AL605" s="213"/>
      <c r="AM605" s="213"/>
      <c r="AN605" s="213"/>
      <c r="AO605" s="213"/>
      <c r="AP605" s="213"/>
      <c r="AQ605" s="213"/>
      <c r="AR605" s="213"/>
      <c r="AS605" s="213"/>
      <c r="AT605" s="213"/>
      <c r="AU605" s="213"/>
      <c r="AV605" s="213"/>
      <c r="AW605" s="213"/>
      <c r="AX605" s="213"/>
      <c r="AY605" s="213"/>
      <c r="AZ605" s="213"/>
      <c r="BA605" s="213"/>
      <c r="BB605" s="213"/>
    </row>
    <row r="606" ht="15.75" customHeight="1">
      <c r="A606" s="213"/>
      <c r="B606" s="213"/>
      <c r="C606" s="213"/>
      <c r="D606" s="213"/>
      <c r="E606" s="213"/>
      <c r="F606" s="213"/>
      <c r="G606" s="213"/>
      <c r="H606" s="213"/>
      <c r="I606" s="213"/>
      <c r="J606" s="213"/>
      <c r="K606" s="215"/>
      <c r="L606" s="213"/>
      <c r="M606" s="215"/>
      <c r="N606" s="213"/>
      <c r="O606" s="213"/>
      <c r="P606" s="213"/>
      <c r="Q606" s="213"/>
      <c r="R606" s="213"/>
      <c r="S606" s="213"/>
      <c r="T606" s="213"/>
      <c r="U606" s="213"/>
      <c r="V606" s="213"/>
      <c r="W606" s="213"/>
      <c r="X606" s="213"/>
      <c r="Y606" s="213"/>
      <c r="Z606" s="213"/>
      <c r="AA606" s="213"/>
      <c r="AB606" s="213"/>
      <c r="AC606" s="213"/>
      <c r="AD606" s="213"/>
      <c r="AE606" s="213"/>
      <c r="AF606" s="213"/>
      <c r="AG606" s="213"/>
      <c r="AH606" s="213"/>
      <c r="AI606" s="213"/>
      <c r="AJ606" s="213"/>
      <c r="AK606" s="213"/>
      <c r="AL606" s="213"/>
      <c r="AM606" s="213"/>
      <c r="AN606" s="213"/>
      <c r="AO606" s="213"/>
      <c r="AP606" s="213"/>
      <c r="AQ606" s="213"/>
      <c r="AR606" s="213"/>
      <c r="AS606" s="213"/>
      <c r="AT606" s="213"/>
      <c r="AU606" s="213"/>
      <c r="AV606" s="213"/>
      <c r="AW606" s="213"/>
      <c r="AX606" s="213"/>
      <c r="AY606" s="213"/>
      <c r="AZ606" s="213"/>
      <c r="BA606" s="213"/>
      <c r="BB606" s="213"/>
    </row>
    <row r="607" ht="15.75" customHeight="1">
      <c r="A607" s="213"/>
      <c r="B607" s="213"/>
      <c r="C607" s="213"/>
      <c r="D607" s="213"/>
      <c r="E607" s="213"/>
      <c r="F607" s="213"/>
      <c r="G607" s="213"/>
      <c r="H607" s="213"/>
      <c r="I607" s="213"/>
      <c r="J607" s="213"/>
      <c r="K607" s="215"/>
      <c r="L607" s="213"/>
      <c r="M607" s="215"/>
      <c r="N607" s="213"/>
      <c r="O607" s="213"/>
      <c r="P607" s="213"/>
      <c r="Q607" s="213"/>
      <c r="R607" s="213"/>
      <c r="S607" s="213"/>
      <c r="T607" s="213"/>
      <c r="U607" s="213"/>
      <c r="V607" s="213"/>
      <c r="W607" s="213"/>
      <c r="X607" s="213"/>
      <c r="Y607" s="213"/>
      <c r="Z607" s="213"/>
      <c r="AA607" s="213"/>
      <c r="AB607" s="213"/>
      <c r="AC607" s="213"/>
      <c r="AD607" s="213"/>
      <c r="AE607" s="213"/>
      <c r="AF607" s="213"/>
      <c r="AG607" s="213"/>
      <c r="AH607" s="213"/>
      <c r="AI607" s="213"/>
      <c r="AJ607" s="213"/>
      <c r="AK607" s="213"/>
      <c r="AL607" s="213"/>
      <c r="AM607" s="213"/>
      <c r="AN607" s="213"/>
      <c r="AO607" s="213"/>
      <c r="AP607" s="213"/>
      <c r="AQ607" s="213"/>
      <c r="AR607" s="213"/>
      <c r="AS607" s="213"/>
      <c r="AT607" s="213"/>
      <c r="AU607" s="213"/>
      <c r="AV607" s="213"/>
      <c r="AW607" s="213"/>
      <c r="AX607" s="213"/>
      <c r="AY607" s="213"/>
      <c r="AZ607" s="213"/>
      <c r="BA607" s="213"/>
      <c r="BB607" s="213"/>
    </row>
    <row r="608" ht="15.75" customHeight="1">
      <c r="A608" s="213"/>
      <c r="B608" s="213"/>
      <c r="C608" s="213"/>
      <c r="D608" s="213"/>
      <c r="E608" s="213"/>
      <c r="F608" s="213"/>
      <c r="G608" s="213"/>
      <c r="H608" s="213"/>
      <c r="I608" s="213"/>
      <c r="J608" s="213"/>
      <c r="K608" s="215"/>
      <c r="L608" s="213"/>
      <c r="M608" s="215"/>
      <c r="N608" s="213"/>
      <c r="O608" s="213"/>
      <c r="P608" s="213"/>
      <c r="Q608" s="213"/>
      <c r="R608" s="213"/>
      <c r="S608" s="213"/>
      <c r="T608" s="213"/>
      <c r="U608" s="213"/>
      <c r="V608" s="213"/>
      <c r="W608" s="213"/>
      <c r="X608" s="213"/>
      <c r="Y608" s="213"/>
      <c r="Z608" s="213"/>
      <c r="AA608" s="213"/>
      <c r="AB608" s="213"/>
      <c r="AC608" s="213"/>
      <c r="AD608" s="213"/>
      <c r="AE608" s="213"/>
      <c r="AF608" s="213"/>
      <c r="AG608" s="213"/>
      <c r="AH608" s="213"/>
      <c r="AI608" s="213"/>
      <c r="AJ608" s="213"/>
      <c r="AK608" s="213"/>
      <c r="AL608" s="213"/>
      <c r="AM608" s="213"/>
      <c r="AN608" s="213"/>
      <c r="AO608" s="213"/>
      <c r="AP608" s="213"/>
      <c r="AQ608" s="213"/>
      <c r="AR608" s="213"/>
      <c r="AS608" s="213"/>
      <c r="AT608" s="213"/>
      <c r="AU608" s="213"/>
      <c r="AV608" s="213"/>
      <c r="AW608" s="213"/>
      <c r="AX608" s="213"/>
      <c r="AY608" s="213"/>
      <c r="AZ608" s="213"/>
      <c r="BA608" s="213"/>
      <c r="BB608" s="213"/>
    </row>
    <row r="609" ht="15.75" customHeight="1">
      <c r="A609" s="213"/>
      <c r="B609" s="213"/>
      <c r="C609" s="213"/>
      <c r="D609" s="213"/>
      <c r="E609" s="213"/>
      <c r="F609" s="213"/>
      <c r="G609" s="213"/>
      <c r="H609" s="213"/>
      <c r="I609" s="213"/>
      <c r="J609" s="213"/>
      <c r="K609" s="215"/>
      <c r="L609" s="213"/>
      <c r="M609" s="215"/>
      <c r="N609" s="213"/>
      <c r="O609" s="213"/>
      <c r="P609" s="213"/>
      <c r="Q609" s="213"/>
      <c r="R609" s="213"/>
      <c r="S609" s="213"/>
      <c r="T609" s="213"/>
      <c r="U609" s="213"/>
      <c r="V609" s="213"/>
      <c r="W609" s="213"/>
      <c r="X609" s="213"/>
      <c r="Y609" s="213"/>
      <c r="Z609" s="213"/>
      <c r="AA609" s="213"/>
      <c r="AB609" s="213"/>
      <c r="AC609" s="213"/>
      <c r="AD609" s="213"/>
      <c r="AE609" s="213"/>
      <c r="AF609" s="213"/>
      <c r="AG609" s="213"/>
      <c r="AH609" s="213"/>
      <c r="AI609" s="213"/>
      <c r="AJ609" s="213"/>
      <c r="AK609" s="213"/>
      <c r="AL609" s="213"/>
      <c r="AM609" s="213"/>
      <c r="AN609" s="213"/>
      <c r="AO609" s="213"/>
      <c r="AP609" s="213"/>
      <c r="AQ609" s="213"/>
      <c r="AR609" s="213"/>
      <c r="AS609" s="213"/>
      <c r="AT609" s="213"/>
      <c r="AU609" s="213"/>
      <c r="AV609" s="213"/>
      <c r="AW609" s="213"/>
      <c r="AX609" s="213"/>
      <c r="AY609" s="213"/>
      <c r="AZ609" s="213"/>
      <c r="BA609" s="213"/>
      <c r="BB609" s="213"/>
    </row>
    <row r="610" ht="15.75" customHeight="1">
      <c r="A610" s="213"/>
      <c r="B610" s="213"/>
      <c r="C610" s="213"/>
      <c r="D610" s="213"/>
      <c r="E610" s="213"/>
      <c r="F610" s="213"/>
      <c r="G610" s="213"/>
      <c r="H610" s="213"/>
      <c r="I610" s="213"/>
      <c r="J610" s="213"/>
      <c r="K610" s="215"/>
      <c r="L610" s="213"/>
      <c r="M610" s="215"/>
      <c r="N610" s="213"/>
      <c r="O610" s="213"/>
      <c r="P610" s="213"/>
      <c r="Q610" s="213"/>
      <c r="R610" s="213"/>
      <c r="S610" s="213"/>
      <c r="T610" s="213"/>
      <c r="U610" s="213"/>
      <c r="V610" s="213"/>
      <c r="W610" s="213"/>
      <c r="X610" s="213"/>
      <c r="Y610" s="213"/>
      <c r="Z610" s="213"/>
      <c r="AA610" s="213"/>
      <c r="AB610" s="213"/>
      <c r="AC610" s="213"/>
      <c r="AD610" s="213"/>
      <c r="AE610" s="213"/>
      <c r="AF610" s="213"/>
      <c r="AG610" s="213"/>
      <c r="AH610" s="213"/>
      <c r="AI610" s="213"/>
      <c r="AJ610" s="213"/>
      <c r="AK610" s="213"/>
      <c r="AL610" s="213"/>
      <c r="AM610" s="213"/>
      <c r="AN610" s="213"/>
      <c r="AO610" s="213"/>
      <c r="AP610" s="213"/>
      <c r="AQ610" s="213"/>
      <c r="AR610" s="213"/>
      <c r="AS610" s="213"/>
      <c r="AT610" s="213"/>
      <c r="AU610" s="213"/>
      <c r="AV610" s="213"/>
      <c r="AW610" s="213"/>
      <c r="AX610" s="213"/>
      <c r="AY610" s="213"/>
      <c r="AZ610" s="213"/>
      <c r="BA610" s="213"/>
      <c r="BB610" s="213"/>
    </row>
    <row r="611" ht="15.75" customHeight="1">
      <c r="A611" s="213"/>
      <c r="B611" s="213"/>
      <c r="C611" s="213"/>
      <c r="D611" s="213"/>
      <c r="E611" s="213"/>
      <c r="F611" s="213"/>
      <c r="G611" s="213"/>
      <c r="H611" s="213"/>
      <c r="I611" s="213"/>
      <c r="J611" s="213"/>
      <c r="K611" s="215"/>
      <c r="L611" s="213"/>
      <c r="M611" s="215"/>
      <c r="N611" s="213"/>
      <c r="O611" s="213"/>
      <c r="P611" s="213"/>
      <c r="Q611" s="213"/>
      <c r="R611" s="213"/>
      <c r="S611" s="213"/>
      <c r="T611" s="213"/>
      <c r="U611" s="213"/>
      <c r="V611" s="213"/>
      <c r="W611" s="213"/>
      <c r="X611" s="213"/>
      <c r="Y611" s="213"/>
      <c r="Z611" s="213"/>
      <c r="AA611" s="213"/>
      <c r="AB611" s="213"/>
      <c r="AC611" s="213"/>
      <c r="AD611" s="213"/>
      <c r="AE611" s="213"/>
      <c r="AF611" s="213"/>
      <c r="AG611" s="213"/>
      <c r="AH611" s="213"/>
      <c r="AI611" s="213"/>
      <c r="AJ611" s="213"/>
      <c r="AK611" s="213"/>
      <c r="AL611" s="213"/>
      <c r="AM611" s="213"/>
      <c r="AN611" s="213"/>
      <c r="AO611" s="213"/>
      <c r="AP611" s="213"/>
      <c r="AQ611" s="213"/>
      <c r="AR611" s="213"/>
      <c r="AS611" s="213"/>
      <c r="AT611" s="213"/>
      <c r="AU611" s="213"/>
      <c r="AV611" s="213"/>
      <c r="AW611" s="213"/>
      <c r="AX611" s="213"/>
      <c r="AY611" s="213"/>
      <c r="AZ611" s="213"/>
      <c r="BA611" s="213"/>
      <c r="BB611" s="213"/>
    </row>
    <row r="612" ht="15.75" customHeight="1">
      <c r="A612" s="213"/>
      <c r="B612" s="213"/>
      <c r="C612" s="213"/>
      <c r="D612" s="213"/>
      <c r="E612" s="213"/>
      <c r="F612" s="213"/>
      <c r="G612" s="213"/>
      <c r="H612" s="213"/>
      <c r="I612" s="213"/>
      <c r="J612" s="213"/>
      <c r="K612" s="215"/>
      <c r="L612" s="213"/>
      <c r="M612" s="215"/>
      <c r="N612" s="213"/>
      <c r="O612" s="213"/>
      <c r="P612" s="213"/>
      <c r="Q612" s="213"/>
      <c r="R612" s="213"/>
      <c r="S612" s="213"/>
      <c r="T612" s="213"/>
      <c r="U612" s="213"/>
      <c r="V612" s="213"/>
      <c r="W612" s="213"/>
      <c r="X612" s="213"/>
      <c r="Y612" s="213"/>
      <c r="Z612" s="213"/>
      <c r="AA612" s="213"/>
      <c r="AB612" s="213"/>
      <c r="AC612" s="213"/>
      <c r="AD612" s="213"/>
      <c r="AE612" s="213"/>
      <c r="AF612" s="213"/>
      <c r="AG612" s="213"/>
      <c r="AH612" s="213"/>
      <c r="AI612" s="213"/>
      <c r="AJ612" s="213"/>
      <c r="AK612" s="213"/>
      <c r="AL612" s="213"/>
      <c r="AM612" s="213"/>
      <c r="AN612" s="213"/>
      <c r="AO612" s="213"/>
      <c r="AP612" s="213"/>
      <c r="AQ612" s="213"/>
      <c r="AR612" s="213"/>
      <c r="AS612" s="213"/>
      <c r="AT612" s="213"/>
      <c r="AU612" s="213"/>
      <c r="AV612" s="213"/>
      <c r="AW612" s="213"/>
      <c r="AX612" s="213"/>
      <c r="AY612" s="213"/>
      <c r="AZ612" s="213"/>
      <c r="BA612" s="213"/>
      <c r="BB612" s="213"/>
    </row>
    <row r="613" ht="15.75" customHeight="1">
      <c r="A613" s="213"/>
      <c r="B613" s="213"/>
      <c r="C613" s="213"/>
      <c r="D613" s="213"/>
      <c r="E613" s="213"/>
      <c r="F613" s="213"/>
      <c r="G613" s="213"/>
      <c r="H613" s="213"/>
      <c r="I613" s="213"/>
      <c r="J613" s="213"/>
      <c r="K613" s="215"/>
      <c r="L613" s="213"/>
      <c r="M613" s="215"/>
      <c r="N613" s="213"/>
      <c r="O613" s="213"/>
      <c r="P613" s="213"/>
      <c r="Q613" s="213"/>
      <c r="R613" s="213"/>
      <c r="S613" s="213"/>
      <c r="T613" s="213"/>
      <c r="U613" s="213"/>
      <c r="V613" s="213"/>
      <c r="W613" s="213"/>
      <c r="X613" s="213"/>
      <c r="Y613" s="213"/>
      <c r="Z613" s="213"/>
      <c r="AA613" s="213"/>
      <c r="AB613" s="213"/>
      <c r="AC613" s="213"/>
      <c r="AD613" s="213"/>
      <c r="AE613" s="213"/>
      <c r="AF613" s="213"/>
      <c r="AG613" s="213"/>
      <c r="AH613" s="213"/>
      <c r="AI613" s="213"/>
      <c r="AJ613" s="213"/>
      <c r="AK613" s="213"/>
      <c r="AL613" s="213"/>
      <c r="AM613" s="213"/>
      <c r="AN613" s="213"/>
      <c r="AO613" s="213"/>
      <c r="AP613" s="213"/>
      <c r="AQ613" s="213"/>
      <c r="AR613" s="213"/>
      <c r="AS613" s="213"/>
      <c r="AT613" s="213"/>
      <c r="AU613" s="213"/>
      <c r="AV613" s="213"/>
      <c r="AW613" s="213"/>
      <c r="AX613" s="213"/>
      <c r="AY613" s="213"/>
      <c r="AZ613" s="213"/>
      <c r="BA613" s="213"/>
      <c r="BB613" s="213"/>
    </row>
    <row r="614" ht="15.75" customHeight="1">
      <c r="A614" s="213"/>
      <c r="B614" s="213"/>
      <c r="C614" s="213"/>
      <c r="D614" s="213"/>
      <c r="E614" s="213"/>
      <c r="F614" s="213"/>
      <c r="G614" s="213"/>
      <c r="H614" s="213"/>
      <c r="I614" s="213"/>
      <c r="J614" s="213"/>
      <c r="K614" s="215"/>
      <c r="L614" s="213"/>
      <c r="M614" s="215"/>
      <c r="N614" s="213"/>
      <c r="O614" s="213"/>
      <c r="P614" s="213"/>
      <c r="Q614" s="213"/>
      <c r="R614" s="213"/>
      <c r="S614" s="213"/>
      <c r="T614" s="213"/>
      <c r="U614" s="213"/>
      <c r="V614" s="213"/>
      <c r="W614" s="213"/>
      <c r="X614" s="213"/>
      <c r="Y614" s="213"/>
      <c r="Z614" s="213"/>
      <c r="AA614" s="213"/>
      <c r="AB614" s="213"/>
      <c r="AC614" s="213"/>
      <c r="AD614" s="213"/>
      <c r="AE614" s="213"/>
      <c r="AF614" s="213"/>
      <c r="AG614" s="213"/>
      <c r="AH614" s="213"/>
      <c r="AI614" s="213"/>
      <c r="AJ614" s="213"/>
      <c r="AK614" s="213"/>
      <c r="AL614" s="213"/>
      <c r="AM614" s="213"/>
      <c r="AN614" s="213"/>
      <c r="AO614" s="213"/>
      <c r="AP614" s="213"/>
      <c r="AQ614" s="213"/>
      <c r="AR614" s="213"/>
      <c r="AS614" s="213"/>
      <c r="AT614" s="213"/>
      <c r="AU614" s="213"/>
      <c r="AV614" s="213"/>
      <c r="AW614" s="213"/>
      <c r="AX614" s="213"/>
      <c r="AY614" s="213"/>
      <c r="AZ614" s="213"/>
      <c r="BA614" s="213"/>
      <c r="BB614" s="213"/>
    </row>
    <row r="615" ht="15.75" customHeight="1">
      <c r="A615" s="213"/>
      <c r="B615" s="213"/>
      <c r="C615" s="213"/>
      <c r="D615" s="213"/>
      <c r="E615" s="213"/>
      <c r="F615" s="213"/>
      <c r="G615" s="213"/>
      <c r="H615" s="213"/>
      <c r="I615" s="213"/>
      <c r="J615" s="213"/>
      <c r="K615" s="215"/>
      <c r="L615" s="213"/>
      <c r="M615" s="215"/>
      <c r="N615" s="213"/>
      <c r="O615" s="213"/>
      <c r="P615" s="213"/>
      <c r="Q615" s="213"/>
      <c r="R615" s="213"/>
      <c r="S615" s="213"/>
      <c r="T615" s="213"/>
      <c r="U615" s="213"/>
      <c r="V615" s="213"/>
      <c r="W615" s="213"/>
      <c r="X615" s="213"/>
      <c r="Y615" s="213"/>
      <c r="Z615" s="213"/>
      <c r="AA615" s="213"/>
      <c r="AB615" s="213"/>
      <c r="AC615" s="213"/>
      <c r="AD615" s="213"/>
      <c r="AE615" s="213"/>
      <c r="AF615" s="213"/>
      <c r="AG615" s="213"/>
      <c r="AH615" s="213"/>
      <c r="AI615" s="213"/>
      <c r="AJ615" s="213"/>
      <c r="AK615" s="213"/>
      <c r="AL615" s="213"/>
      <c r="AM615" s="213"/>
      <c r="AN615" s="213"/>
      <c r="AO615" s="213"/>
      <c r="AP615" s="213"/>
      <c r="AQ615" s="213"/>
      <c r="AR615" s="213"/>
      <c r="AS615" s="213"/>
      <c r="AT615" s="213"/>
      <c r="AU615" s="213"/>
      <c r="AV615" s="213"/>
      <c r="AW615" s="213"/>
      <c r="AX615" s="213"/>
      <c r="AY615" s="213"/>
      <c r="AZ615" s="213"/>
      <c r="BA615" s="213"/>
      <c r="BB615" s="213"/>
    </row>
    <row r="616" ht="15.75" customHeight="1">
      <c r="A616" s="213"/>
      <c r="B616" s="213"/>
      <c r="C616" s="213"/>
      <c r="D616" s="213"/>
      <c r="E616" s="213"/>
      <c r="F616" s="213"/>
      <c r="G616" s="213"/>
      <c r="H616" s="213"/>
      <c r="I616" s="213"/>
      <c r="J616" s="213"/>
      <c r="K616" s="215"/>
      <c r="L616" s="213"/>
      <c r="M616" s="215"/>
      <c r="N616" s="213"/>
      <c r="O616" s="213"/>
      <c r="P616" s="213"/>
      <c r="Q616" s="213"/>
      <c r="R616" s="213"/>
      <c r="S616" s="213"/>
      <c r="T616" s="213"/>
      <c r="U616" s="213"/>
      <c r="V616" s="213"/>
      <c r="W616" s="213"/>
      <c r="X616" s="213"/>
      <c r="Y616" s="213"/>
      <c r="Z616" s="213"/>
      <c r="AA616" s="213"/>
      <c r="AB616" s="213"/>
      <c r="AC616" s="213"/>
      <c r="AD616" s="213"/>
      <c r="AE616" s="213"/>
      <c r="AF616" s="213"/>
      <c r="AG616" s="213"/>
      <c r="AH616" s="213"/>
      <c r="AI616" s="213"/>
      <c r="AJ616" s="213"/>
      <c r="AK616" s="213"/>
      <c r="AL616" s="213"/>
      <c r="AM616" s="213"/>
      <c r="AN616" s="213"/>
      <c r="AO616" s="213"/>
      <c r="AP616" s="213"/>
      <c r="AQ616" s="213"/>
      <c r="AR616" s="213"/>
      <c r="AS616" s="213"/>
      <c r="AT616" s="213"/>
      <c r="AU616" s="213"/>
      <c r="AV616" s="213"/>
      <c r="AW616" s="213"/>
      <c r="AX616" s="213"/>
      <c r="AY616" s="213"/>
      <c r="AZ616" s="213"/>
      <c r="BA616" s="213"/>
      <c r="BB616" s="213"/>
    </row>
    <row r="617" ht="15.75" customHeight="1">
      <c r="A617" s="213"/>
      <c r="B617" s="213"/>
      <c r="C617" s="213"/>
      <c r="D617" s="213"/>
      <c r="E617" s="213"/>
      <c r="F617" s="213"/>
      <c r="G617" s="213"/>
      <c r="H617" s="213"/>
      <c r="I617" s="213"/>
      <c r="J617" s="213"/>
      <c r="K617" s="215"/>
      <c r="L617" s="213"/>
      <c r="M617" s="215"/>
      <c r="N617" s="213"/>
      <c r="O617" s="213"/>
      <c r="P617" s="213"/>
      <c r="Q617" s="213"/>
      <c r="R617" s="213"/>
      <c r="S617" s="213"/>
      <c r="T617" s="213"/>
      <c r="U617" s="213"/>
      <c r="V617" s="213"/>
      <c r="W617" s="213"/>
      <c r="X617" s="213"/>
      <c r="Y617" s="213"/>
      <c r="Z617" s="213"/>
      <c r="AA617" s="213"/>
      <c r="AB617" s="213"/>
      <c r="AC617" s="213"/>
      <c r="AD617" s="213"/>
      <c r="AE617" s="213"/>
      <c r="AF617" s="213"/>
      <c r="AG617" s="213"/>
      <c r="AH617" s="213"/>
      <c r="AI617" s="213"/>
      <c r="AJ617" s="213"/>
      <c r="AK617" s="213"/>
      <c r="AL617" s="213"/>
      <c r="AM617" s="213"/>
      <c r="AN617" s="213"/>
      <c r="AO617" s="213"/>
      <c r="AP617" s="213"/>
      <c r="AQ617" s="213"/>
      <c r="AR617" s="213"/>
      <c r="AS617" s="213"/>
      <c r="AT617" s="213"/>
      <c r="AU617" s="213"/>
      <c r="AV617" s="213"/>
      <c r="AW617" s="213"/>
      <c r="AX617" s="213"/>
      <c r="AY617" s="213"/>
      <c r="AZ617" s="213"/>
      <c r="BA617" s="213"/>
      <c r="BB617" s="213"/>
    </row>
    <row r="618" ht="15.75" customHeight="1">
      <c r="A618" s="213"/>
      <c r="B618" s="213"/>
      <c r="C618" s="213"/>
      <c r="D618" s="213"/>
      <c r="E618" s="213"/>
      <c r="F618" s="213"/>
      <c r="G618" s="213"/>
      <c r="H618" s="213"/>
      <c r="I618" s="213"/>
      <c r="J618" s="213"/>
      <c r="K618" s="215"/>
      <c r="L618" s="213"/>
      <c r="M618" s="215"/>
      <c r="N618" s="213"/>
      <c r="O618" s="213"/>
      <c r="P618" s="213"/>
      <c r="Q618" s="213"/>
      <c r="R618" s="213"/>
      <c r="S618" s="213"/>
      <c r="T618" s="213"/>
      <c r="U618" s="213"/>
      <c r="V618" s="213"/>
      <c r="W618" s="213"/>
      <c r="X618" s="213"/>
      <c r="Y618" s="213"/>
      <c r="Z618" s="213"/>
      <c r="AA618" s="213"/>
      <c r="AB618" s="213"/>
      <c r="AC618" s="213"/>
      <c r="AD618" s="213"/>
      <c r="AE618" s="213"/>
      <c r="AF618" s="213"/>
      <c r="AG618" s="213"/>
      <c r="AH618" s="213"/>
      <c r="AI618" s="213"/>
      <c r="AJ618" s="213"/>
      <c r="AK618" s="213"/>
      <c r="AL618" s="213"/>
      <c r="AM618" s="213"/>
      <c r="AN618" s="213"/>
      <c r="AO618" s="213"/>
      <c r="AP618" s="213"/>
      <c r="AQ618" s="213"/>
      <c r="AR618" s="213"/>
      <c r="AS618" s="213"/>
      <c r="AT618" s="213"/>
      <c r="AU618" s="213"/>
      <c r="AV618" s="213"/>
      <c r="AW618" s="213"/>
      <c r="AX618" s="213"/>
      <c r="AY618" s="213"/>
      <c r="AZ618" s="213"/>
      <c r="BA618" s="213"/>
      <c r="BB618" s="213"/>
    </row>
    <row r="619" ht="15.75" customHeight="1">
      <c r="A619" s="213"/>
      <c r="B619" s="213"/>
      <c r="C619" s="213"/>
      <c r="D619" s="213"/>
      <c r="E619" s="213"/>
      <c r="F619" s="213"/>
      <c r="G619" s="213"/>
      <c r="H619" s="213"/>
      <c r="I619" s="213"/>
      <c r="J619" s="213"/>
      <c r="K619" s="215"/>
      <c r="L619" s="213"/>
      <c r="M619" s="215"/>
      <c r="N619" s="213"/>
      <c r="O619" s="213"/>
      <c r="P619" s="213"/>
      <c r="Q619" s="213"/>
      <c r="R619" s="213"/>
      <c r="S619" s="213"/>
      <c r="T619" s="213"/>
      <c r="U619" s="213"/>
      <c r="V619" s="213"/>
      <c r="W619" s="213"/>
      <c r="X619" s="213"/>
      <c r="Y619" s="213"/>
      <c r="Z619" s="213"/>
      <c r="AA619" s="213"/>
      <c r="AB619" s="213"/>
      <c r="AC619" s="213"/>
      <c r="AD619" s="213"/>
      <c r="AE619" s="213"/>
      <c r="AF619" s="213"/>
      <c r="AG619" s="213"/>
      <c r="AH619" s="213"/>
      <c r="AI619" s="213"/>
      <c r="AJ619" s="213"/>
      <c r="AK619" s="213"/>
      <c r="AL619" s="213"/>
      <c r="AM619" s="213"/>
      <c r="AN619" s="213"/>
      <c r="AO619" s="213"/>
      <c r="AP619" s="213"/>
      <c r="AQ619" s="213"/>
      <c r="AR619" s="213"/>
      <c r="AS619" s="213"/>
      <c r="AT619" s="213"/>
      <c r="AU619" s="213"/>
      <c r="AV619" s="213"/>
      <c r="AW619" s="213"/>
      <c r="AX619" s="213"/>
      <c r="AY619" s="213"/>
      <c r="AZ619" s="213"/>
      <c r="BA619" s="213"/>
      <c r="BB619" s="213"/>
    </row>
    <row r="620" ht="15.75" customHeight="1">
      <c r="A620" s="213"/>
      <c r="B620" s="213"/>
      <c r="C620" s="213"/>
      <c r="D620" s="213"/>
      <c r="E620" s="213"/>
      <c r="F620" s="213"/>
      <c r="G620" s="213"/>
      <c r="H620" s="213"/>
      <c r="I620" s="213"/>
      <c r="J620" s="213"/>
      <c r="K620" s="215"/>
      <c r="L620" s="213"/>
      <c r="M620" s="215"/>
      <c r="N620" s="213"/>
      <c r="O620" s="213"/>
      <c r="P620" s="213"/>
      <c r="Q620" s="213"/>
      <c r="R620" s="213"/>
      <c r="S620" s="213"/>
      <c r="T620" s="213"/>
      <c r="U620" s="213"/>
      <c r="V620" s="213"/>
      <c r="W620" s="213"/>
      <c r="X620" s="213"/>
      <c r="Y620" s="213"/>
      <c r="Z620" s="213"/>
      <c r="AA620" s="213"/>
      <c r="AB620" s="213"/>
      <c r="AC620" s="213"/>
      <c r="AD620" s="213"/>
      <c r="AE620" s="213"/>
      <c r="AF620" s="213"/>
      <c r="AG620" s="213"/>
      <c r="AH620" s="213"/>
      <c r="AI620" s="213"/>
      <c r="AJ620" s="213"/>
      <c r="AK620" s="213"/>
      <c r="AL620" s="213"/>
      <c r="AM620" s="213"/>
      <c r="AN620" s="213"/>
      <c r="AO620" s="213"/>
      <c r="AP620" s="213"/>
      <c r="AQ620" s="213"/>
      <c r="AR620" s="213"/>
      <c r="AS620" s="213"/>
      <c r="AT620" s="213"/>
      <c r="AU620" s="213"/>
      <c r="AV620" s="213"/>
      <c r="AW620" s="213"/>
      <c r="AX620" s="213"/>
      <c r="AY620" s="213"/>
      <c r="AZ620" s="213"/>
      <c r="BA620" s="213"/>
      <c r="BB620" s="213"/>
    </row>
    <row r="621" ht="15.75" customHeight="1">
      <c r="A621" s="213"/>
      <c r="B621" s="213"/>
      <c r="C621" s="213"/>
      <c r="D621" s="213"/>
      <c r="E621" s="213"/>
      <c r="F621" s="213"/>
      <c r="G621" s="213"/>
      <c r="H621" s="213"/>
      <c r="I621" s="213"/>
      <c r="J621" s="213"/>
      <c r="K621" s="215"/>
      <c r="L621" s="213"/>
      <c r="M621" s="215"/>
      <c r="N621" s="213"/>
      <c r="O621" s="213"/>
      <c r="P621" s="213"/>
      <c r="Q621" s="213"/>
      <c r="R621" s="213"/>
      <c r="S621" s="213"/>
      <c r="T621" s="213"/>
      <c r="U621" s="213"/>
      <c r="V621" s="213"/>
      <c r="W621" s="213"/>
      <c r="X621" s="213"/>
      <c r="Y621" s="213"/>
      <c r="Z621" s="213"/>
      <c r="AA621" s="213"/>
      <c r="AB621" s="213"/>
      <c r="AC621" s="213"/>
      <c r="AD621" s="213"/>
      <c r="AE621" s="213"/>
      <c r="AF621" s="213"/>
      <c r="AG621" s="213"/>
      <c r="AH621" s="213"/>
      <c r="AI621" s="213"/>
      <c r="AJ621" s="213"/>
      <c r="AK621" s="213"/>
      <c r="AL621" s="213"/>
      <c r="AM621" s="213"/>
      <c r="AN621" s="213"/>
      <c r="AO621" s="213"/>
      <c r="AP621" s="213"/>
      <c r="AQ621" s="213"/>
      <c r="AR621" s="213"/>
      <c r="AS621" s="213"/>
      <c r="AT621" s="213"/>
      <c r="AU621" s="213"/>
      <c r="AV621" s="213"/>
      <c r="AW621" s="213"/>
      <c r="AX621" s="213"/>
      <c r="AY621" s="213"/>
      <c r="AZ621" s="213"/>
      <c r="BA621" s="213"/>
      <c r="BB621" s="213"/>
    </row>
    <row r="622" ht="15.75" customHeight="1">
      <c r="A622" s="213"/>
      <c r="B622" s="213"/>
      <c r="C622" s="213"/>
      <c r="D622" s="213"/>
      <c r="E622" s="213"/>
      <c r="F622" s="213"/>
      <c r="G622" s="213"/>
      <c r="H622" s="213"/>
      <c r="I622" s="213"/>
      <c r="J622" s="213"/>
      <c r="K622" s="215"/>
      <c r="L622" s="213"/>
      <c r="M622" s="215"/>
      <c r="N622" s="213"/>
      <c r="O622" s="213"/>
      <c r="P622" s="213"/>
      <c r="Q622" s="213"/>
      <c r="R622" s="213"/>
      <c r="S622" s="213"/>
      <c r="T622" s="213"/>
      <c r="U622" s="213"/>
      <c r="V622" s="213"/>
      <c r="W622" s="213"/>
      <c r="X622" s="213"/>
      <c r="Y622" s="213"/>
      <c r="Z622" s="213"/>
      <c r="AA622" s="213"/>
      <c r="AB622" s="213"/>
      <c r="AC622" s="213"/>
      <c r="AD622" s="213"/>
      <c r="AE622" s="213"/>
      <c r="AF622" s="213"/>
      <c r="AG622" s="213"/>
      <c r="AH622" s="213"/>
      <c r="AI622" s="213"/>
      <c r="AJ622" s="213"/>
      <c r="AK622" s="213"/>
      <c r="AL622" s="213"/>
      <c r="AM622" s="213"/>
      <c r="AN622" s="213"/>
      <c r="AO622" s="213"/>
      <c r="AP622" s="213"/>
      <c r="AQ622" s="213"/>
      <c r="AR622" s="213"/>
      <c r="AS622" s="213"/>
      <c r="AT622" s="213"/>
      <c r="AU622" s="213"/>
      <c r="AV622" s="213"/>
      <c r="AW622" s="213"/>
      <c r="AX622" s="213"/>
      <c r="AY622" s="213"/>
      <c r="AZ622" s="213"/>
      <c r="BA622" s="213"/>
      <c r="BB622" s="213"/>
    </row>
    <row r="623" ht="15.75" customHeight="1">
      <c r="A623" s="213"/>
      <c r="B623" s="213"/>
      <c r="C623" s="213"/>
      <c r="D623" s="213"/>
      <c r="E623" s="213"/>
      <c r="F623" s="213"/>
      <c r="G623" s="213"/>
      <c r="H623" s="213"/>
      <c r="I623" s="213"/>
      <c r="J623" s="213"/>
      <c r="K623" s="215"/>
      <c r="L623" s="213"/>
      <c r="M623" s="215"/>
      <c r="N623" s="213"/>
      <c r="O623" s="213"/>
      <c r="P623" s="213"/>
      <c r="Q623" s="213"/>
      <c r="R623" s="213"/>
      <c r="S623" s="213"/>
      <c r="T623" s="213"/>
      <c r="U623" s="213"/>
      <c r="V623" s="213"/>
      <c r="W623" s="213"/>
      <c r="X623" s="213"/>
      <c r="Y623" s="213"/>
      <c r="Z623" s="213"/>
      <c r="AA623" s="213"/>
      <c r="AB623" s="213"/>
      <c r="AC623" s="213"/>
      <c r="AD623" s="213"/>
      <c r="AE623" s="213"/>
      <c r="AF623" s="213"/>
      <c r="AG623" s="213"/>
      <c r="AH623" s="213"/>
      <c r="AI623" s="213"/>
      <c r="AJ623" s="213"/>
      <c r="AK623" s="213"/>
      <c r="AL623" s="213"/>
      <c r="AM623" s="213"/>
      <c r="AN623" s="213"/>
      <c r="AO623" s="213"/>
      <c r="AP623" s="213"/>
      <c r="AQ623" s="213"/>
      <c r="AR623" s="213"/>
      <c r="AS623" s="213"/>
      <c r="AT623" s="213"/>
      <c r="AU623" s="213"/>
      <c r="AV623" s="213"/>
      <c r="AW623" s="213"/>
      <c r="AX623" s="213"/>
      <c r="AY623" s="213"/>
      <c r="AZ623" s="213"/>
      <c r="BA623" s="213"/>
      <c r="BB623" s="213"/>
    </row>
    <row r="624" ht="15.75" customHeight="1">
      <c r="A624" s="213"/>
      <c r="B624" s="213"/>
      <c r="C624" s="213"/>
      <c r="D624" s="213"/>
      <c r="E624" s="213"/>
      <c r="F624" s="213"/>
      <c r="G624" s="213"/>
      <c r="H624" s="213"/>
      <c r="I624" s="213"/>
      <c r="J624" s="213"/>
      <c r="K624" s="215"/>
      <c r="L624" s="213"/>
      <c r="M624" s="215"/>
      <c r="N624" s="213"/>
      <c r="O624" s="213"/>
      <c r="P624" s="213"/>
      <c r="Q624" s="213"/>
      <c r="R624" s="213"/>
      <c r="S624" s="213"/>
      <c r="T624" s="213"/>
      <c r="U624" s="213"/>
      <c r="V624" s="213"/>
      <c r="W624" s="213"/>
      <c r="X624" s="213"/>
      <c r="Y624" s="213"/>
      <c r="Z624" s="213"/>
      <c r="AA624" s="213"/>
      <c r="AB624" s="213"/>
      <c r="AC624" s="213"/>
      <c r="AD624" s="213"/>
      <c r="AE624" s="213"/>
      <c r="AF624" s="213"/>
      <c r="AG624" s="213"/>
      <c r="AH624" s="213"/>
      <c r="AI624" s="213"/>
      <c r="AJ624" s="213"/>
      <c r="AK624" s="213"/>
      <c r="AL624" s="213"/>
      <c r="AM624" s="213"/>
      <c r="AN624" s="213"/>
      <c r="AO624" s="213"/>
      <c r="AP624" s="213"/>
      <c r="AQ624" s="213"/>
      <c r="AR624" s="213"/>
      <c r="AS624" s="213"/>
      <c r="AT624" s="213"/>
      <c r="AU624" s="213"/>
      <c r="AV624" s="213"/>
      <c r="AW624" s="213"/>
      <c r="AX624" s="213"/>
      <c r="AY624" s="213"/>
      <c r="AZ624" s="213"/>
      <c r="BA624" s="213"/>
      <c r="BB624" s="213"/>
    </row>
    <row r="625" ht="15.75" customHeight="1">
      <c r="A625" s="213"/>
      <c r="B625" s="213"/>
      <c r="C625" s="213"/>
      <c r="D625" s="213"/>
      <c r="E625" s="213"/>
      <c r="F625" s="213"/>
      <c r="G625" s="213"/>
      <c r="H625" s="213"/>
      <c r="I625" s="213"/>
      <c r="J625" s="213"/>
      <c r="K625" s="215"/>
      <c r="L625" s="213"/>
      <c r="M625" s="215"/>
      <c r="N625" s="213"/>
      <c r="O625" s="213"/>
      <c r="P625" s="213"/>
      <c r="Q625" s="213"/>
      <c r="R625" s="213"/>
      <c r="S625" s="213"/>
      <c r="T625" s="213"/>
      <c r="U625" s="213"/>
      <c r="V625" s="213"/>
      <c r="W625" s="213"/>
      <c r="X625" s="213"/>
      <c r="Y625" s="213"/>
      <c r="Z625" s="213"/>
      <c r="AA625" s="213"/>
      <c r="AB625" s="213"/>
      <c r="AC625" s="213"/>
      <c r="AD625" s="213"/>
      <c r="AE625" s="213"/>
      <c r="AF625" s="213"/>
      <c r="AG625" s="213"/>
      <c r="AH625" s="213"/>
      <c r="AI625" s="213"/>
      <c r="AJ625" s="213"/>
      <c r="AK625" s="213"/>
      <c r="AL625" s="213"/>
      <c r="AM625" s="213"/>
      <c r="AN625" s="213"/>
      <c r="AO625" s="213"/>
      <c r="AP625" s="213"/>
      <c r="AQ625" s="213"/>
      <c r="AR625" s="213"/>
      <c r="AS625" s="213"/>
      <c r="AT625" s="213"/>
      <c r="AU625" s="213"/>
      <c r="AV625" s="213"/>
      <c r="AW625" s="213"/>
      <c r="AX625" s="213"/>
      <c r="AY625" s="213"/>
      <c r="AZ625" s="213"/>
      <c r="BA625" s="213"/>
      <c r="BB625" s="213"/>
    </row>
    <row r="626" ht="15.75" customHeight="1">
      <c r="A626" s="213"/>
      <c r="B626" s="213"/>
      <c r="C626" s="213"/>
      <c r="D626" s="213"/>
      <c r="E626" s="213"/>
      <c r="F626" s="213"/>
      <c r="G626" s="213"/>
      <c r="H626" s="213"/>
      <c r="I626" s="213"/>
      <c r="J626" s="213"/>
      <c r="K626" s="215"/>
      <c r="L626" s="213"/>
      <c r="M626" s="215"/>
      <c r="N626" s="213"/>
      <c r="O626" s="213"/>
      <c r="P626" s="213"/>
      <c r="Q626" s="213"/>
      <c r="R626" s="213"/>
      <c r="S626" s="213"/>
      <c r="T626" s="213"/>
      <c r="U626" s="213"/>
      <c r="V626" s="213"/>
      <c r="W626" s="213"/>
      <c r="X626" s="213"/>
      <c r="Y626" s="213"/>
      <c r="Z626" s="213"/>
      <c r="AA626" s="213"/>
      <c r="AB626" s="213"/>
      <c r="AC626" s="213"/>
      <c r="AD626" s="213"/>
      <c r="AE626" s="213"/>
      <c r="AF626" s="213"/>
      <c r="AG626" s="213"/>
      <c r="AH626" s="213"/>
      <c r="AI626" s="213"/>
      <c r="AJ626" s="213"/>
      <c r="AK626" s="213"/>
      <c r="AL626" s="213"/>
      <c r="AM626" s="213"/>
      <c r="AN626" s="213"/>
      <c r="AO626" s="213"/>
      <c r="AP626" s="213"/>
      <c r="AQ626" s="213"/>
      <c r="AR626" s="213"/>
      <c r="AS626" s="213"/>
      <c r="AT626" s="213"/>
      <c r="AU626" s="213"/>
      <c r="AV626" s="213"/>
      <c r="AW626" s="213"/>
      <c r="AX626" s="213"/>
      <c r="AY626" s="213"/>
      <c r="AZ626" s="213"/>
      <c r="BA626" s="213"/>
      <c r="BB626" s="213"/>
    </row>
    <row r="627" ht="15.75" customHeight="1">
      <c r="A627" s="213"/>
      <c r="B627" s="213"/>
      <c r="C627" s="213"/>
      <c r="D627" s="213"/>
      <c r="E627" s="213"/>
      <c r="F627" s="213"/>
      <c r="G627" s="213"/>
      <c r="H627" s="213"/>
      <c r="I627" s="213"/>
      <c r="J627" s="213"/>
      <c r="K627" s="215"/>
      <c r="L627" s="213"/>
      <c r="M627" s="215"/>
      <c r="N627" s="213"/>
      <c r="O627" s="213"/>
      <c r="P627" s="213"/>
      <c r="Q627" s="213"/>
      <c r="R627" s="213"/>
      <c r="S627" s="213"/>
      <c r="T627" s="213"/>
      <c r="U627" s="213"/>
      <c r="V627" s="213"/>
      <c r="W627" s="213"/>
      <c r="X627" s="213"/>
      <c r="Y627" s="213"/>
      <c r="Z627" s="213"/>
      <c r="AA627" s="213"/>
      <c r="AB627" s="213"/>
      <c r="AC627" s="213"/>
      <c r="AD627" s="213"/>
      <c r="AE627" s="213"/>
      <c r="AF627" s="213"/>
      <c r="AG627" s="213"/>
      <c r="AH627" s="213"/>
      <c r="AI627" s="213"/>
      <c r="AJ627" s="213"/>
      <c r="AK627" s="213"/>
      <c r="AL627" s="213"/>
      <c r="AM627" s="213"/>
      <c r="AN627" s="213"/>
      <c r="AO627" s="213"/>
      <c r="AP627" s="213"/>
      <c r="AQ627" s="213"/>
      <c r="AR627" s="213"/>
      <c r="AS627" s="213"/>
      <c r="AT627" s="213"/>
      <c r="AU627" s="213"/>
      <c r="AV627" s="213"/>
      <c r="AW627" s="213"/>
      <c r="AX627" s="213"/>
      <c r="AY627" s="213"/>
      <c r="AZ627" s="213"/>
      <c r="BA627" s="213"/>
      <c r="BB627" s="213"/>
    </row>
    <row r="628" ht="15.75" customHeight="1">
      <c r="A628" s="213"/>
      <c r="B628" s="213"/>
      <c r="C628" s="213"/>
      <c r="D628" s="213"/>
      <c r="E628" s="213"/>
      <c r="F628" s="213"/>
      <c r="G628" s="213"/>
      <c r="H628" s="213"/>
      <c r="I628" s="213"/>
      <c r="J628" s="213"/>
      <c r="K628" s="215"/>
      <c r="L628" s="213"/>
      <c r="M628" s="215"/>
      <c r="N628" s="213"/>
      <c r="O628" s="213"/>
      <c r="P628" s="213"/>
      <c r="Q628" s="213"/>
      <c r="R628" s="213"/>
      <c r="S628" s="213"/>
      <c r="T628" s="213"/>
      <c r="U628" s="213"/>
      <c r="V628" s="213"/>
      <c r="W628" s="213"/>
      <c r="X628" s="213"/>
      <c r="Y628" s="213"/>
      <c r="Z628" s="213"/>
      <c r="AA628" s="213"/>
      <c r="AB628" s="213"/>
      <c r="AC628" s="213"/>
      <c r="AD628" s="213"/>
      <c r="AE628" s="213"/>
      <c r="AF628" s="213"/>
      <c r="AG628" s="213"/>
      <c r="AH628" s="213"/>
      <c r="AI628" s="213"/>
      <c r="AJ628" s="213"/>
      <c r="AK628" s="213"/>
      <c r="AL628" s="213"/>
      <c r="AM628" s="213"/>
      <c r="AN628" s="213"/>
      <c r="AO628" s="213"/>
      <c r="AP628" s="213"/>
      <c r="AQ628" s="213"/>
      <c r="AR628" s="213"/>
      <c r="AS628" s="213"/>
      <c r="AT628" s="213"/>
      <c r="AU628" s="213"/>
      <c r="AV628" s="213"/>
      <c r="AW628" s="213"/>
      <c r="AX628" s="213"/>
      <c r="AY628" s="213"/>
      <c r="AZ628" s="213"/>
      <c r="BA628" s="213"/>
      <c r="BB628" s="213"/>
    </row>
    <row r="629" ht="15.75" customHeight="1">
      <c r="A629" s="213"/>
      <c r="B629" s="213"/>
      <c r="C629" s="213"/>
      <c r="D629" s="213"/>
      <c r="E629" s="213"/>
      <c r="F629" s="213"/>
      <c r="G629" s="213"/>
      <c r="H629" s="213"/>
      <c r="I629" s="213"/>
      <c r="J629" s="213"/>
      <c r="K629" s="215"/>
      <c r="L629" s="213"/>
      <c r="M629" s="215"/>
      <c r="N629" s="213"/>
      <c r="O629" s="213"/>
      <c r="P629" s="213"/>
      <c r="Q629" s="213"/>
      <c r="R629" s="213"/>
      <c r="S629" s="213"/>
      <c r="T629" s="213"/>
      <c r="U629" s="213"/>
      <c r="V629" s="213"/>
      <c r="W629" s="213"/>
      <c r="X629" s="213"/>
      <c r="Y629" s="213"/>
      <c r="Z629" s="213"/>
      <c r="AA629" s="213"/>
      <c r="AB629" s="213"/>
      <c r="AC629" s="213"/>
      <c r="AD629" s="213"/>
      <c r="AE629" s="213"/>
      <c r="AF629" s="213"/>
      <c r="AG629" s="213"/>
      <c r="AH629" s="213"/>
      <c r="AI629" s="213"/>
      <c r="AJ629" s="213"/>
      <c r="AK629" s="213"/>
      <c r="AL629" s="213"/>
      <c r="AM629" s="213"/>
      <c r="AN629" s="213"/>
      <c r="AO629" s="213"/>
      <c r="AP629" s="213"/>
      <c r="AQ629" s="213"/>
      <c r="AR629" s="213"/>
      <c r="AS629" s="213"/>
      <c r="AT629" s="213"/>
      <c r="AU629" s="213"/>
      <c r="AV629" s="213"/>
      <c r="AW629" s="213"/>
      <c r="AX629" s="213"/>
      <c r="AY629" s="213"/>
      <c r="AZ629" s="213"/>
      <c r="BA629" s="213"/>
      <c r="BB629" s="213"/>
    </row>
    <row r="630" ht="15.75" customHeight="1">
      <c r="A630" s="213"/>
      <c r="B630" s="213"/>
      <c r="C630" s="213"/>
      <c r="D630" s="213"/>
      <c r="E630" s="213"/>
      <c r="F630" s="213"/>
      <c r="G630" s="213"/>
      <c r="H630" s="213"/>
      <c r="I630" s="213"/>
      <c r="J630" s="213"/>
      <c r="K630" s="215"/>
      <c r="L630" s="213"/>
      <c r="M630" s="215"/>
      <c r="N630" s="213"/>
      <c r="O630" s="213"/>
      <c r="P630" s="213"/>
      <c r="Q630" s="213"/>
      <c r="R630" s="213"/>
      <c r="S630" s="213"/>
      <c r="T630" s="213"/>
      <c r="U630" s="213"/>
      <c r="V630" s="213"/>
      <c r="W630" s="213"/>
      <c r="X630" s="213"/>
      <c r="Y630" s="213"/>
      <c r="Z630" s="213"/>
      <c r="AA630" s="213"/>
      <c r="AB630" s="213"/>
      <c r="AC630" s="213"/>
      <c r="AD630" s="213"/>
      <c r="AE630" s="213"/>
      <c r="AF630" s="213"/>
      <c r="AG630" s="213"/>
      <c r="AH630" s="213"/>
      <c r="AI630" s="213"/>
      <c r="AJ630" s="213"/>
      <c r="AK630" s="213"/>
      <c r="AL630" s="213"/>
      <c r="AM630" s="213"/>
      <c r="AN630" s="213"/>
      <c r="AO630" s="213"/>
      <c r="AP630" s="213"/>
      <c r="AQ630" s="213"/>
      <c r="AR630" s="213"/>
      <c r="AS630" s="213"/>
      <c r="AT630" s="213"/>
      <c r="AU630" s="213"/>
      <c r="AV630" s="213"/>
      <c r="AW630" s="213"/>
      <c r="AX630" s="213"/>
      <c r="AY630" s="213"/>
      <c r="AZ630" s="213"/>
      <c r="BA630" s="213"/>
      <c r="BB630" s="213"/>
    </row>
    <row r="631" ht="15.75" customHeight="1">
      <c r="A631" s="213"/>
      <c r="B631" s="213"/>
      <c r="C631" s="213"/>
      <c r="D631" s="213"/>
      <c r="E631" s="213"/>
      <c r="F631" s="213"/>
      <c r="G631" s="213"/>
      <c r="H631" s="213"/>
      <c r="I631" s="213"/>
      <c r="J631" s="213"/>
      <c r="K631" s="215"/>
      <c r="L631" s="213"/>
      <c r="M631" s="215"/>
      <c r="N631" s="213"/>
      <c r="O631" s="213"/>
      <c r="P631" s="213"/>
      <c r="Q631" s="213"/>
      <c r="R631" s="213"/>
      <c r="S631" s="213"/>
      <c r="T631" s="213"/>
      <c r="U631" s="213"/>
      <c r="V631" s="213"/>
      <c r="W631" s="213"/>
      <c r="X631" s="213"/>
      <c r="Y631" s="213"/>
      <c r="Z631" s="213"/>
      <c r="AA631" s="213"/>
      <c r="AB631" s="213"/>
      <c r="AC631" s="213"/>
      <c r="AD631" s="213"/>
      <c r="AE631" s="213"/>
      <c r="AF631" s="213"/>
      <c r="AG631" s="213"/>
      <c r="AH631" s="213"/>
      <c r="AI631" s="213"/>
      <c r="AJ631" s="213"/>
      <c r="AK631" s="213"/>
      <c r="AL631" s="213"/>
      <c r="AM631" s="213"/>
      <c r="AN631" s="213"/>
      <c r="AO631" s="213"/>
      <c r="AP631" s="213"/>
      <c r="AQ631" s="213"/>
      <c r="AR631" s="213"/>
      <c r="AS631" s="213"/>
      <c r="AT631" s="213"/>
      <c r="AU631" s="213"/>
      <c r="AV631" s="213"/>
      <c r="AW631" s="213"/>
      <c r="AX631" s="213"/>
      <c r="AY631" s="213"/>
      <c r="AZ631" s="213"/>
      <c r="BA631" s="213"/>
      <c r="BB631" s="213"/>
    </row>
    <row r="632" ht="15.75" customHeight="1">
      <c r="A632" s="213"/>
      <c r="B632" s="213"/>
      <c r="C632" s="213"/>
      <c r="D632" s="213"/>
      <c r="E632" s="213"/>
      <c r="F632" s="213"/>
      <c r="G632" s="213"/>
      <c r="H632" s="213"/>
      <c r="I632" s="213"/>
      <c r="J632" s="213"/>
      <c r="K632" s="215"/>
      <c r="L632" s="213"/>
      <c r="M632" s="215"/>
      <c r="N632" s="213"/>
      <c r="O632" s="213"/>
      <c r="P632" s="213"/>
      <c r="Q632" s="213"/>
      <c r="R632" s="213"/>
      <c r="S632" s="213"/>
      <c r="T632" s="213"/>
      <c r="U632" s="213"/>
      <c r="V632" s="213"/>
      <c r="W632" s="213"/>
      <c r="X632" s="213"/>
      <c r="Y632" s="213"/>
      <c r="Z632" s="213"/>
      <c r="AA632" s="213"/>
      <c r="AB632" s="213"/>
      <c r="AC632" s="213"/>
      <c r="AD632" s="213"/>
      <c r="AE632" s="213"/>
      <c r="AF632" s="213"/>
      <c r="AG632" s="213"/>
      <c r="AH632" s="213"/>
      <c r="AI632" s="213"/>
      <c r="AJ632" s="213"/>
      <c r="AK632" s="213"/>
      <c r="AL632" s="213"/>
      <c r="AM632" s="213"/>
      <c r="AN632" s="213"/>
      <c r="AO632" s="213"/>
      <c r="AP632" s="213"/>
      <c r="AQ632" s="213"/>
      <c r="AR632" s="213"/>
      <c r="AS632" s="213"/>
      <c r="AT632" s="213"/>
      <c r="AU632" s="213"/>
      <c r="AV632" s="213"/>
      <c r="AW632" s="213"/>
      <c r="AX632" s="213"/>
      <c r="AY632" s="213"/>
      <c r="AZ632" s="213"/>
      <c r="BA632" s="213"/>
      <c r="BB632" s="213"/>
    </row>
    <row r="633" ht="15.75" customHeight="1">
      <c r="A633" s="213"/>
      <c r="B633" s="213"/>
      <c r="C633" s="213"/>
      <c r="D633" s="213"/>
      <c r="E633" s="213"/>
      <c r="F633" s="213"/>
      <c r="G633" s="213"/>
      <c r="H633" s="213"/>
      <c r="I633" s="213"/>
      <c r="J633" s="213"/>
      <c r="K633" s="215"/>
      <c r="L633" s="213"/>
      <c r="M633" s="215"/>
      <c r="N633" s="213"/>
      <c r="O633" s="213"/>
      <c r="P633" s="213"/>
      <c r="Q633" s="213"/>
      <c r="R633" s="213"/>
      <c r="S633" s="213"/>
      <c r="T633" s="213"/>
      <c r="U633" s="213"/>
      <c r="V633" s="213"/>
      <c r="W633" s="213"/>
      <c r="X633" s="213"/>
      <c r="Y633" s="213"/>
      <c r="Z633" s="213"/>
      <c r="AA633" s="213"/>
      <c r="AB633" s="213"/>
      <c r="AC633" s="213"/>
      <c r="AD633" s="213"/>
      <c r="AE633" s="213"/>
      <c r="AF633" s="213"/>
      <c r="AG633" s="213"/>
      <c r="AH633" s="213"/>
      <c r="AI633" s="213"/>
      <c r="AJ633" s="213"/>
      <c r="AK633" s="213"/>
      <c r="AL633" s="213"/>
      <c r="AM633" s="213"/>
      <c r="AN633" s="213"/>
      <c r="AO633" s="213"/>
      <c r="AP633" s="213"/>
      <c r="AQ633" s="213"/>
      <c r="AR633" s="213"/>
      <c r="AS633" s="213"/>
      <c r="AT633" s="213"/>
      <c r="AU633" s="213"/>
      <c r="AV633" s="213"/>
      <c r="AW633" s="213"/>
      <c r="AX633" s="213"/>
      <c r="AY633" s="213"/>
      <c r="AZ633" s="213"/>
      <c r="BA633" s="213"/>
      <c r="BB633" s="213"/>
    </row>
    <row r="634" ht="15.75" customHeight="1">
      <c r="A634" s="213"/>
      <c r="B634" s="213"/>
      <c r="C634" s="213"/>
      <c r="D634" s="213"/>
      <c r="E634" s="213"/>
      <c r="F634" s="213"/>
      <c r="G634" s="213"/>
      <c r="H634" s="213"/>
      <c r="I634" s="213"/>
      <c r="J634" s="213"/>
      <c r="K634" s="215"/>
      <c r="L634" s="213"/>
      <c r="M634" s="215"/>
      <c r="N634" s="213"/>
      <c r="O634" s="213"/>
      <c r="P634" s="213"/>
      <c r="Q634" s="213"/>
      <c r="R634" s="213"/>
      <c r="S634" s="213"/>
      <c r="T634" s="213"/>
      <c r="U634" s="213"/>
      <c r="V634" s="213"/>
      <c r="W634" s="213"/>
      <c r="X634" s="213"/>
      <c r="Y634" s="213"/>
      <c r="Z634" s="213"/>
      <c r="AA634" s="213"/>
      <c r="AB634" s="213"/>
      <c r="AC634" s="213"/>
      <c r="AD634" s="213"/>
      <c r="AE634" s="213"/>
      <c r="AF634" s="213"/>
      <c r="AG634" s="213"/>
      <c r="AH634" s="213"/>
      <c r="AI634" s="213"/>
      <c r="AJ634" s="213"/>
      <c r="AK634" s="213"/>
      <c r="AL634" s="213"/>
      <c r="AM634" s="213"/>
      <c r="AN634" s="213"/>
      <c r="AO634" s="213"/>
      <c r="AP634" s="213"/>
      <c r="AQ634" s="213"/>
      <c r="AR634" s="213"/>
      <c r="AS634" s="213"/>
      <c r="AT634" s="213"/>
      <c r="AU634" s="213"/>
      <c r="AV634" s="213"/>
      <c r="AW634" s="213"/>
      <c r="AX634" s="213"/>
      <c r="AY634" s="213"/>
      <c r="AZ634" s="213"/>
      <c r="BA634" s="213"/>
      <c r="BB634" s="213"/>
    </row>
    <row r="635" ht="15.75" customHeight="1">
      <c r="A635" s="213"/>
      <c r="B635" s="213"/>
      <c r="C635" s="213"/>
      <c r="D635" s="213"/>
      <c r="E635" s="213"/>
      <c r="F635" s="213"/>
      <c r="G635" s="213"/>
      <c r="H635" s="213"/>
      <c r="I635" s="213"/>
      <c r="J635" s="213"/>
      <c r="K635" s="215"/>
      <c r="L635" s="213"/>
      <c r="M635" s="215"/>
      <c r="N635" s="213"/>
      <c r="O635" s="213"/>
      <c r="P635" s="213"/>
      <c r="Q635" s="213"/>
      <c r="R635" s="213"/>
      <c r="S635" s="213"/>
      <c r="T635" s="213"/>
      <c r="U635" s="213"/>
      <c r="V635" s="213"/>
      <c r="W635" s="213"/>
      <c r="X635" s="213"/>
      <c r="Y635" s="213"/>
      <c r="Z635" s="213"/>
      <c r="AA635" s="213"/>
      <c r="AB635" s="213"/>
      <c r="AC635" s="213"/>
      <c r="AD635" s="213"/>
      <c r="AE635" s="213"/>
      <c r="AF635" s="213"/>
      <c r="AG635" s="213"/>
      <c r="AH635" s="213"/>
      <c r="AI635" s="213"/>
      <c r="AJ635" s="213"/>
      <c r="AK635" s="213"/>
      <c r="AL635" s="213"/>
      <c r="AM635" s="213"/>
      <c r="AN635" s="213"/>
      <c r="AO635" s="213"/>
      <c r="AP635" s="213"/>
      <c r="AQ635" s="213"/>
      <c r="AR635" s="213"/>
      <c r="AS635" s="213"/>
      <c r="AT635" s="213"/>
      <c r="AU635" s="213"/>
      <c r="AV635" s="213"/>
      <c r="AW635" s="213"/>
      <c r="AX635" s="213"/>
      <c r="AY635" s="213"/>
      <c r="AZ635" s="213"/>
      <c r="BA635" s="213"/>
      <c r="BB635" s="213"/>
    </row>
    <row r="636" ht="15.75" customHeight="1">
      <c r="A636" s="213"/>
      <c r="B636" s="213"/>
      <c r="C636" s="213"/>
      <c r="D636" s="213"/>
      <c r="E636" s="213"/>
      <c r="F636" s="213"/>
      <c r="G636" s="213"/>
      <c r="H636" s="213"/>
      <c r="I636" s="213"/>
      <c r="J636" s="213"/>
      <c r="K636" s="215"/>
      <c r="L636" s="213"/>
      <c r="M636" s="215"/>
      <c r="N636" s="213"/>
      <c r="O636" s="213"/>
      <c r="P636" s="213"/>
      <c r="Q636" s="213"/>
      <c r="R636" s="213"/>
      <c r="S636" s="213"/>
      <c r="T636" s="213"/>
      <c r="U636" s="213"/>
      <c r="V636" s="213"/>
      <c r="W636" s="213"/>
      <c r="X636" s="213"/>
      <c r="Y636" s="213"/>
      <c r="Z636" s="213"/>
      <c r="AA636" s="213"/>
      <c r="AB636" s="213"/>
      <c r="AC636" s="213"/>
      <c r="AD636" s="213"/>
      <c r="AE636" s="213"/>
      <c r="AF636" s="213"/>
      <c r="AG636" s="213"/>
      <c r="AH636" s="213"/>
      <c r="AI636" s="213"/>
      <c r="AJ636" s="213"/>
      <c r="AK636" s="213"/>
      <c r="AL636" s="213"/>
      <c r="AM636" s="213"/>
      <c r="AN636" s="213"/>
      <c r="AO636" s="213"/>
      <c r="AP636" s="213"/>
      <c r="AQ636" s="213"/>
      <c r="AR636" s="213"/>
      <c r="AS636" s="213"/>
      <c r="AT636" s="213"/>
      <c r="AU636" s="213"/>
      <c r="AV636" s="213"/>
      <c r="AW636" s="213"/>
      <c r="AX636" s="213"/>
      <c r="AY636" s="213"/>
      <c r="AZ636" s="213"/>
      <c r="BA636" s="213"/>
      <c r="BB636" s="213"/>
    </row>
    <row r="637" ht="15.75" customHeight="1">
      <c r="A637" s="213"/>
      <c r="B637" s="213"/>
      <c r="C637" s="213"/>
      <c r="D637" s="213"/>
      <c r="E637" s="213"/>
      <c r="F637" s="213"/>
      <c r="G637" s="213"/>
      <c r="H637" s="213"/>
      <c r="I637" s="213"/>
      <c r="J637" s="213"/>
      <c r="K637" s="215"/>
      <c r="L637" s="213"/>
      <c r="M637" s="215"/>
      <c r="N637" s="213"/>
      <c r="O637" s="213"/>
      <c r="P637" s="213"/>
      <c r="Q637" s="213"/>
      <c r="R637" s="213"/>
      <c r="S637" s="213"/>
      <c r="T637" s="213"/>
      <c r="U637" s="213"/>
      <c r="V637" s="213"/>
      <c r="W637" s="213"/>
      <c r="X637" s="213"/>
      <c r="Y637" s="213"/>
      <c r="Z637" s="213"/>
      <c r="AA637" s="213"/>
      <c r="AB637" s="213"/>
      <c r="AC637" s="213"/>
      <c r="AD637" s="213"/>
      <c r="AE637" s="213"/>
      <c r="AF637" s="213"/>
      <c r="AG637" s="213"/>
      <c r="AH637" s="213"/>
      <c r="AI637" s="213"/>
      <c r="AJ637" s="213"/>
      <c r="AK637" s="213"/>
      <c r="AL637" s="213"/>
      <c r="AM637" s="213"/>
      <c r="AN637" s="213"/>
      <c r="AO637" s="213"/>
      <c r="AP637" s="213"/>
      <c r="AQ637" s="213"/>
      <c r="AR637" s="213"/>
      <c r="AS637" s="213"/>
      <c r="AT637" s="213"/>
      <c r="AU637" s="213"/>
      <c r="AV637" s="213"/>
      <c r="AW637" s="213"/>
      <c r="AX637" s="213"/>
      <c r="AY637" s="213"/>
      <c r="AZ637" s="213"/>
      <c r="BA637" s="213"/>
      <c r="BB637" s="213"/>
    </row>
    <row r="638" ht="15.75" customHeight="1">
      <c r="A638" s="213"/>
      <c r="B638" s="213"/>
      <c r="C638" s="213"/>
      <c r="D638" s="213"/>
      <c r="E638" s="213"/>
      <c r="F638" s="213"/>
      <c r="G638" s="213"/>
      <c r="H638" s="213"/>
      <c r="I638" s="213"/>
      <c r="J638" s="213"/>
      <c r="K638" s="215"/>
      <c r="L638" s="213"/>
      <c r="M638" s="215"/>
      <c r="N638" s="213"/>
      <c r="O638" s="213"/>
      <c r="P638" s="213"/>
      <c r="Q638" s="213"/>
      <c r="R638" s="213"/>
      <c r="S638" s="213"/>
      <c r="T638" s="213"/>
      <c r="U638" s="213"/>
      <c r="V638" s="213"/>
      <c r="W638" s="213"/>
      <c r="X638" s="213"/>
      <c r="Y638" s="213"/>
      <c r="Z638" s="213"/>
      <c r="AA638" s="213"/>
      <c r="AB638" s="213"/>
      <c r="AC638" s="213"/>
      <c r="AD638" s="213"/>
      <c r="AE638" s="213"/>
      <c r="AF638" s="213"/>
      <c r="AG638" s="213"/>
      <c r="AH638" s="213"/>
      <c r="AI638" s="213"/>
      <c r="AJ638" s="213"/>
      <c r="AK638" s="213"/>
      <c r="AL638" s="213"/>
      <c r="AM638" s="213"/>
      <c r="AN638" s="213"/>
      <c r="AO638" s="213"/>
      <c r="AP638" s="213"/>
      <c r="AQ638" s="213"/>
      <c r="AR638" s="213"/>
      <c r="AS638" s="213"/>
      <c r="AT638" s="213"/>
      <c r="AU638" s="213"/>
      <c r="AV638" s="213"/>
      <c r="AW638" s="213"/>
      <c r="AX638" s="213"/>
      <c r="AY638" s="213"/>
      <c r="AZ638" s="213"/>
      <c r="BA638" s="213"/>
      <c r="BB638" s="213"/>
    </row>
    <row r="639" ht="15.75" customHeight="1">
      <c r="A639" s="213"/>
      <c r="B639" s="213"/>
      <c r="C639" s="213"/>
      <c r="D639" s="213"/>
      <c r="E639" s="213"/>
      <c r="F639" s="213"/>
      <c r="G639" s="213"/>
      <c r="H639" s="213"/>
      <c r="I639" s="213"/>
      <c r="J639" s="213"/>
      <c r="K639" s="215"/>
      <c r="L639" s="213"/>
      <c r="M639" s="215"/>
      <c r="N639" s="213"/>
      <c r="O639" s="213"/>
      <c r="P639" s="213"/>
      <c r="Q639" s="213"/>
      <c r="R639" s="213"/>
      <c r="S639" s="213"/>
      <c r="T639" s="213"/>
      <c r="U639" s="213"/>
      <c r="V639" s="213"/>
      <c r="W639" s="213"/>
      <c r="X639" s="213"/>
      <c r="Y639" s="213"/>
      <c r="Z639" s="213"/>
      <c r="AA639" s="213"/>
      <c r="AB639" s="213"/>
      <c r="AC639" s="213"/>
      <c r="AD639" s="213"/>
      <c r="AE639" s="213"/>
      <c r="AF639" s="213"/>
      <c r="AG639" s="213"/>
      <c r="AH639" s="213"/>
      <c r="AI639" s="213"/>
      <c r="AJ639" s="213"/>
      <c r="AK639" s="213"/>
      <c r="AL639" s="213"/>
      <c r="AM639" s="213"/>
      <c r="AN639" s="213"/>
      <c r="AO639" s="213"/>
      <c r="AP639" s="213"/>
      <c r="AQ639" s="213"/>
      <c r="AR639" s="213"/>
      <c r="AS639" s="213"/>
      <c r="AT639" s="213"/>
      <c r="AU639" s="213"/>
      <c r="AV639" s="213"/>
      <c r="AW639" s="213"/>
      <c r="AX639" s="213"/>
      <c r="AY639" s="213"/>
      <c r="AZ639" s="213"/>
      <c r="BA639" s="213"/>
      <c r="BB639" s="213"/>
    </row>
    <row r="640" ht="15.75" customHeight="1">
      <c r="A640" s="213"/>
      <c r="B640" s="213"/>
      <c r="C640" s="213"/>
      <c r="D640" s="213"/>
      <c r="E640" s="213"/>
      <c r="F640" s="213"/>
      <c r="G640" s="213"/>
      <c r="H640" s="213"/>
      <c r="I640" s="213"/>
      <c r="J640" s="213"/>
      <c r="K640" s="215"/>
      <c r="L640" s="213"/>
      <c r="M640" s="215"/>
      <c r="N640" s="213"/>
      <c r="O640" s="213"/>
      <c r="P640" s="213"/>
      <c r="Q640" s="213"/>
      <c r="R640" s="213"/>
      <c r="S640" s="213"/>
      <c r="T640" s="213"/>
      <c r="U640" s="213"/>
      <c r="V640" s="213"/>
      <c r="W640" s="213"/>
      <c r="X640" s="213"/>
      <c r="Y640" s="213"/>
      <c r="Z640" s="213"/>
      <c r="AA640" s="213"/>
      <c r="AB640" s="213"/>
      <c r="AC640" s="213"/>
      <c r="AD640" s="213"/>
      <c r="AE640" s="213"/>
      <c r="AF640" s="213"/>
      <c r="AG640" s="213"/>
      <c r="AH640" s="213"/>
      <c r="AI640" s="213"/>
      <c r="AJ640" s="213"/>
      <c r="AK640" s="213"/>
      <c r="AL640" s="213"/>
      <c r="AM640" s="213"/>
      <c r="AN640" s="213"/>
      <c r="AO640" s="213"/>
      <c r="AP640" s="213"/>
      <c r="AQ640" s="213"/>
      <c r="AR640" s="213"/>
      <c r="AS640" s="213"/>
      <c r="AT640" s="213"/>
      <c r="AU640" s="213"/>
      <c r="AV640" s="213"/>
      <c r="AW640" s="213"/>
      <c r="AX640" s="213"/>
      <c r="AY640" s="213"/>
      <c r="AZ640" s="213"/>
      <c r="BA640" s="213"/>
      <c r="BB640" s="213"/>
    </row>
    <row r="641" ht="15.75" customHeight="1">
      <c r="A641" s="213"/>
      <c r="B641" s="213"/>
      <c r="C641" s="213"/>
      <c r="D641" s="213"/>
      <c r="E641" s="213"/>
      <c r="F641" s="213"/>
      <c r="G641" s="213"/>
      <c r="H641" s="213"/>
      <c r="I641" s="213"/>
      <c r="J641" s="213"/>
      <c r="K641" s="215"/>
      <c r="L641" s="213"/>
      <c r="M641" s="215"/>
      <c r="N641" s="213"/>
      <c r="O641" s="213"/>
      <c r="P641" s="213"/>
      <c r="Q641" s="213"/>
      <c r="R641" s="213"/>
      <c r="S641" s="213"/>
      <c r="T641" s="213"/>
      <c r="U641" s="213"/>
      <c r="V641" s="213"/>
      <c r="W641" s="213"/>
      <c r="X641" s="213"/>
      <c r="Y641" s="213"/>
      <c r="Z641" s="213"/>
      <c r="AA641" s="213"/>
      <c r="AB641" s="213"/>
      <c r="AC641" s="213"/>
      <c r="AD641" s="213"/>
      <c r="AE641" s="213"/>
      <c r="AF641" s="213"/>
      <c r="AG641" s="213"/>
      <c r="AH641" s="213"/>
      <c r="AI641" s="213"/>
      <c r="AJ641" s="213"/>
      <c r="AK641" s="213"/>
      <c r="AL641" s="213"/>
      <c r="AM641" s="213"/>
      <c r="AN641" s="213"/>
      <c r="AO641" s="213"/>
      <c r="AP641" s="213"/>
      <c r="AQ641" s="213"/>
      <c r="AR641" s="213"/>
      <c r="AS641" s="213"/>
      <c r="AT641" s="213"/>
      <c r="AU641" s="213"/>
      <c r="AV641" s="213"/>
      <c r="AW641" s="213"/>
      <c r="AX641" s="213"/>
      <c r="AY641" s="213"/>
      <c r="AZ641" s="213"/>
      <c r="BA641" s="213"/>
      <c r="BB641" s="213"/>
    </row>
    <row r="642" ht="15.75" customHeight="1">
      <c r="A642" s="213"/>
      <c r="B642" s="213"/>
      <c r="C642" s="213"/>
      <c r="D642" s="213"/>
      <c r="E642" s="213"/>
      <c r="F642" s="213"/>
      <c r="G642" s="213"/>
      <c r="H642" s="213"/>
      <c r="I642" s="213"/>
      <c r="J642" s="213"/>
      <c r="K642" s="215"/>
      <c r="L642" s="213"/>
      <c r="M642" s="215"/>
      <c r="N642" s="213"/>
      <c r="O642" s="213"/>
      <c r="P642" s="213"/>
      <c r="Q642" s="213"/>
      <c r="R642" s="213"/>
      <c r="S642" s="213"/>
      <c r="T642" s="213"/>
      <c r="U642" s="213"/>
      <c r="V642" s="213"/>
      <c r="W642" s="213"/>
      <c r="X642" s="213"/>
      <c r="Y642" s="213"/>
      <c r="Z642" s="213"/>
      <c r="AA642" s="213"/>
      <c r="AB642" s="213"/>
      <c r="AC642" s="213"/>
      <c r="AD642" s="213"/>
      <c r="AE642" s="213"/>
      <c r="AF642" s="213"/>
      <c r="AG642" s="213"/>
      <c r="AH642" s="213"/>
      <c r="AI642" s="213"/>
      <c r="AJ642" s="213"/>
      <c r="AK642" s="213"/>
      <c r="AL642" s="213"/>
      <c r="AM642" s="213"/>
      <c r="AN642" s="213"/>
      <c r="AO642" s="213"/>
      <c r="AP642" s="213"/>
      <c r="AQ642" s="213"/>
      <c r="AR642" s="213"/>
      <c r="AS642" s="213"/>
      <c r="AT642" s="213"/>
      <c r="AU642" s="213"/>
      <c r="AV642" s="213"/>
      <c r="AW642" s="213"/>
      <c r="AX642" s="213"/>
      <c r="AY642" s="213"/>
      <c r="AZ642" s="213"/>
      <c r="BA642" s="213"/>
      <c r="BB642" s="213"/>
    </row>
    <row r="643" ht="15.75" customHeight="1">
      <c r="A643" s="213"/>
      <c r="B643" s="213"/>
      <c r="C643" s="213"/>
      <c r="D643" s="213"/>
      <c r="E643" s="213"/>
      <c r="F643" s="213"/>
      <c r="G643" s="213"/>
      <c r="H643" s="213"/>
      <c r="I643" s="213"/>
      <c r="J643" s="213"/>
      <c r="K643" s="215"/>
      <c r="L643" s="213"/>
      <c r="M643" s="215"/>
      <c r="N643" s="213"/>
      <c r="O643" s="213"/>
      <c r="P643" s="213"/>
      <c r="Q643" s="213"/>
      <c r="R643" s="213"/>
      <c r="S643" s="213"/>
      <c r="T643" s="213"/>
      <c r="U643" s="213"/>
      <c r="V643" s="213"/>
      <c r="W643" s="213"/>
      <c r="X643" s="213"/>
      <c r="Y643" s="213"/>
      <c r="Z643" s="213"/>
      <c r="AA643" s="213"/>
      <c r="AB643" s="213"/>
      <c r="AC643" s="213"/>
      <c r="AD643" s="213"/>
      <c r="AE643" s="213"/>
      <c r="AF643" s="213"/>
      <c r="AG643" s="213"/>
      <c r="AH643" s="213"/>
      <c r="AI643" s="213"/>
      <c r="AJ643" s="213"/>
      <c r="AK643" s="213"/>
      <c r="AL643" s="213"/>
      <c r="AM643" s="213"/>
      <c r="AN643" s="213"/>
      <c r="AO643" s="213"/>
      <c r="AP643" s="213"/>
      <c r="AQ643" s="213"/>
      <c r="AR643" s="213"/>
      <c r="AS643" s="213"/>
      <c r="AT643" s="213"/>
      <c r="AU643" s="213"/>
      <c r="AV643" s="213"/>
      <c r="AW643" s="213"/>
      <c r="AX643" s="213"/>
      <c r="AY643" s="213"/>
      <c r="AZ643" s="213"/>
      <c r="BA643" s="213"/>
      <c r="BB643" s="213"/>
    </row>
    <row r="644" ht="15.75" customHeight="1">
      <c r="A644" s="213"/>
      <c r="B644" s="213"/>
      <c r="C644" s="213"/>
      <c r="D644" s="213"/>
      <c r="E644" s="213"/>
      <c r="F644" s="213"/>
      <c r="G644" s="213"/>
      <c r="H644" s="213"/>
      <c r="I644" s="213"/>
      <c r="J644" s="213"/>
      <c r="K644" s="215"/>
      <c r="L644" s="213"/>
      <c r="M644" s="215"/>
      <c r="N644" s="213"/>
      <c r="O644" s="213"/>
      <c r="P644" s="213"/>
      <c r="Q644" s="213"/>
      <c r="R644" s="213"/>
      <c r="S644" s="213"/>
      <c r="T644" s="213"/>
      <c r="U644" s="213"/>
      <c r="V644" s="213"/>
      <c r="W644" s="213"/>
      <c r="X644" s="213"/>
      <c r="Y644" s="213"/>
      <c r="Z644" s="213"/>
      <c r="AA644" s="213"/>
      <c r="AB644" s="213"/>
      <c r="AC644" s="213"/>
      <c r="AD644" s="213"/>
      <c r="AE644" s="213"/>
      <c r="AF644" s="213"/>
      <c r="AG644" s="213"/>
      <c r="AH644" s="213"/>
      <c r="AI644" s="213"/>
      <c r="AJ644" s="213"/>
      <c r="AK644" s="213"/>
      <c r="AL644" s="213"/>
      <c r="AM644" s="213"/>
      <c r="AN644" s="213"/>
      <c r="AO644" s="213"/>
      <c r="AP644" s="213"/>
      <c r="AQ644" s="213"/>
      <c r="AR644" s="213"/>
      <c r="AS644" s="213"/>
      <c r="AT644" s="213"/>
      <c r="AU644" s="213"/>
      <c r="AV644" s="213"/>
      <c r="AW644" s="213"/>
      <c r="AX644" s="213"/>
      <c r="AY644" s="213"/>
      <c r="AZ644" s="213"/>
      <c r="BA644" s="213"/>
      <c r="BB644" s="213"/>
    </row>
    <row r="645" ht="15.75" customHeight="1">
      <c r="A645" s="213"/>
      <c r="B645" s="213"/>
      <c r="C645" s="213"/>
      <c r="D645" s="213"/>
      <c r="E645" s="213"/>
      <c r="F645" s="213"/>
      <c r="G645" s="213"/>
      <c r="H645" s="213"/>
      <c r="I645" s="213"/>
      <c r="J645" s="213"/>
      <c r="K645" s="215"/>
      <c r="L645" s="213"/>
      <c r="M645" s="215"/>
      <c r="N645" s="213"/>
      <c r="O645" s="213"/>
      <c r="P645" s="213"/>
      <c r="Q645" s="213"/>
      <c r="R645" s="213"/>
      <c r="S645" s="213"/>
      <c r="T645" s="213"/>
      <c r="U645" s="213"/>
      <c r="V645" s="213"/>
      <c r="W645" s="213"/>
      <c r="X645" s="213"/>
      <c r="Y645" s="213"/>
      <c r="Z645" s="213"/>
      <c r="AA645" s="213"/>
      <c r="AB645" s="213"/>
      <c r="AC645" s="213"/>
      <c r="AD645" s="213"/>
      <c r="AE645" s="213"/>
      <c r="AF645" s="213"/>
      <c r="AG645" s="213"/>
      <c r="AH645" s="213"/>
      <c r="AI645" s="213"/>
      <c r="AJ645" s="213"/>
      <c r="AK645" s="213"/>
      <c r="AL645" s="213"/>
      <c r="AM645" s="213"/>
      <c r="AN645" s="213"/>
      <c r="AO645" s="213"/>
      <c r="AP645" s="213"/>
      <c r="AQ645" s="213"/>
      <c r="AR645" s="213"/>
      <c r="AS645" s="213"/>
      <c r="AT645" s="213"/>
      <c r="AU645" s="213"/>
      <c r="AV645" s="213"/>
      <c r="AW645" s="213"/>
      <c r="AX645" s="213"/>
      <c r="AY645" s="213"/>
      <c r="AZ645" s="213"/>
      <c r="BA645" s="213"/>
      <c r="BB645" s="213"/>
    </row>
    <row r="646" ht="15.75" customHeight="1">
      <c r="A646" s="213"/>
      <c r="B646" s="213"/>
      <c r="C646" s="213"/>
      <c r="D646" s="213"/>
      <c r="E646" s="213"/>
      <c r="F646" s="213"/>
      <c r="G646" s="213"/>
      <c r="H646" s="213"/>
      <c r="I646" s="213"/>
      <c r="J646" s="213"/>
      <c r="K646" s="215"/>
      <c r="L646" s="213"/>
      <c r="M646" s="215"/>
      <c r="N646" s="213"/>
      <c r="O646" s="213"/>
      <c r="P646" s="213"/>
      <c r="Q646" s="213"/>
      <c r="R646" s="213"/>
      <c r="S646" s="213"/>
      <c r="T646" s="213"/>
      <c r="U646" s="213"/>
      <c r="V646" s="213"/>
      <c r="W646" s="213"/>
      <c r="X646" s="213"/>
      <c r="Y646" s="213"/>
      <c r="Z646" s="213"/>
      <c r="AA646" s="213"/>
      <c r="AB646" s="213"/>
      <c r="AC646" s="213"/>
      <c r="AD646" s="213"/>
      <c r="AE646" s="213"/>
      <c r="AF646" s="213"/>
      <c r="AG646" s="213"/>
      <c r="AH646" s="213"/>
      <c r="AI646" s="213"/>
      <c r="AJ646" s="213"/>
      <c r="AK646" s="213"/>
      <c r="AL646" s="213"/>
      <c r="AM646" s="213"/>
      <c r="AN646" s="213"/>
      <c r="AO646" s="213"/>
      <c r="AP646" s="213"/>
      <c r="AQ646" s="213"/>
      <c r="AR646" s="213"/>
      <c r="AS646" s="213"/>
      <c r="AT646" s="213"/>
      <c r="AU646" s="213"/>
      <c r="AV646" s="213"/>
      <c r="AW646" s="213"/>
      <c r="AX646" s="213"/>
      <c r="AY646" s="213"/>
      <c r="AZ646" s="213"/>
      <c r="BA646" s="213"/>
      <c r="BB646" s="213"/>
    </row>
    <row r="647" ht="15.75" customHeight="1">
      <c r="A647" s="213"/>
      <c r="B647" s="213"/>
      <c r="C647" s="213"/>
      <c r="D647" s="213"/>
      <c r="E647" s="213"/>
      <c r="F647" s="213"/>
      <c r="G647" s="213"/>
      <c r="H647" s="213"/>
      <c r="I647" s="213"/>
      <c r="J647" s="213"/>
      <c r="K647" s="215"/>
      <c r="L647" s="213"/>
      <c r="M647" s="215"/>
      <c r="N647" s="213"/>
      <c r="O647" s="213"/>
      <c r="P647" s="213"/>
      <c r="Q647" s="213"/>
      <c r="R647" s="213"/>
      <c r="S647" s="213"/>
      <c r="T647" s="213"/>
      <c r="U647" s="213"/>
      <c r="V647" s="213"/>
      <c r="W647" s="213"/>
      <c r="X647" s="213"/>
      <c r="Y647" s="213"/>
      <c r="Z647" s="213"/>
      <c r="AA647" s="213"/>
      <c r="AB647" s="213"/>
      <c r="AC647" s="213"/>
      <c r="AD647" s="213"/>
      <c r="AE647" s="213"/>
      <c r="AF647" s="213"/>
      <c r="AG647" s="213"/>
      <c r="AH647" s="213"/>
      <c r="AI647" s="213"/>
      <c r="AJ647" s="213"/>
      <c r="AK647" s="213"/>
      <c r="AL647" s="213"/>
      <c r="AM647" s="213"/>
      <c r="AN647" s="213"/>
      <c r="AO647" s="213"/>
      <c r="AP647" s="213"/>
      <c r="AQ647" s="213"/>
      <c r="AR647" s="213"/>
      <c r="AS647" s="213"/>
      <c r="AT647" s="213"/>
      <c r="AU647" s="213"/>
      <c r="AV647" s="213"/>
      <c r="AW647" s="213"/>
      <c r="AX647" s="213"/>
      <c r="AY647" s="213"/>
      <c r="AZ647" s="213"/>
      <c r="BA647" s="213"/>
      <c r="BB647" s="213"/>
    </row>
    <row r="648" ht="15.75" customHeight="1">
      <c r="A648" s="213"/>
      <c r="B648" s="213"/>
      <c r="C648" s="213"/>
      <c r="D648" s="213"/>
      <c r="E648" s="213"/>
      <c r="F648" s="213"/>
      <c r="G648" s="213"/>
      <c r="H648" s="213"/>
      <c r="I648" s="213"/>
      <c r="J648" s="213"/>
      <c r="K648" s="215"/>
      <c r="L648" s="213"/>
      <c r="M648" s="215"/>
      <c r="N648" s="213"/>
      <c r="O648" s="213"/>
      <c r="P648" s="213"/>
      <c r="Q648" s="213"/>
      <c r="R648" s="213"/>
      <c r="S648" s="213"/>
      <c r="T648" s="213"/>
      <c r="U648" s="213"/>
      <c r="V648" s="213"/>
      <c r="W648" s="213"/>
      <c r="X648" s="213"/>
      <c r="Y648" s="213"/>
      <c r="Z648" s="213"/>
      <c r="AA648" s="213"/>
      <c r="AB648" s="213"/>
      <c r="AC648" s="213"/>
      <c r="AD648" s="213"/>
      <c r="AE648" s="213"/>
      <c r="AF648" s="213"/>
      <c r="AG648" s="213"/>
      <c r="AH648" s="213"/>
      <c r="AI648" s="213"/>
      <c r="AJ648" s="213"/>
      <c r="AK648" s="213"/>
      <c r="AL648" s="213"/>
      <c r="AM648" s="213"/>
      <c r="AN648" s="213"/>
      <c r="AO648" s="213"/>
      <c r="AP648" s="213"/>
      <c r="AQ648" s="213"/>
      <c r="AR648" s="213"/>
      <c r="AS648" s="213"/>
      <c r="AT648" s="213"/>
      <c r="AU648" s="213"/>
      <c r="AV648" s="213"/>
      <c r="AW648" s="213"/>
      <c r="AX648" s="213"/>
      <c r="AY648" s="213"/>
      <c r="AZ648" s="213"/>
      <c r="BA648" s="213"/>
      <c r="BB648" s="213"/>
    </row>
    <row r="649" ht="15.75" customHeight="1">
      <c r="A649" s="213"/>
      <c r="B649" s="213"/>
      <c r="C649" s="213"/>
      <c r="D649" s="213"/>
      <c r="E649" s="213"/>
      <c r="F649" s="213"/>
      <c r="G649" s="213"/>
      <c r="H649" s="213"/>
      <c r="I649" s="213"/>
      <c r="J649" s="213"/>
      <c r="K649" s="215"/>
      <c r="L649" s="213"/>
      <c r="M649" s="215"/>
      <c r="N649" s="213"/>
      <c r="O649" s="213"/>
      <c r="P649" s="213"/>
      <c r="Q649" s="213"/>
      <c r="R649" s="213"/>
      <c r="S649" s="213"/>
      <c r="T649" s="213"/>
      <c r="U649" s="213"/>
      <c r="V649" s="213"/>
      <c r="W649" s="213"/>
      <c r="X649" s="213"/>
      <c r="Y649" s="213"/>
      <c r="Z649" s="213"/>
      <c r="AA649" s="213"/>
      <c r="AB649" s="213"/>
      <c r="AC649" s="213"/>
      <c r="AD649" s="213"/>
      <c r="AE649" s="213"/>
      <c r="AF649" s="213"/>
      <c r="AG649" s="213"/>
      <c r="AH649" s="213"/>
      <c r="AI649" s="213"/>
      <c r="AJ649" s="213"/>
      <c r="AK649" s="213"/>
      <c r="AL649" s="213"/>
      <c r="AM649" s="213"/>
      <c r="AN649" s="213"/>
      <c r="AO649" s="213"/>
      <c r="AP649" s="213"/>
      <c r="AQ649" s="213"/>
      <c r="AR649" s="213"/>
      <c r="AS649" s="213"/>
      <c r="AT649" s="213"/>
      <c r="AU649" s="213"/>
      <c r="AV649" s="213"/>
      <c r="AW649" s="213"/>
      <c r="AX649" s="213"/>
      <c r="AY649" s="213"/>
      <c r="AZ649" s="213"/>
      <c r="BA649" s="213"/>
      <c r="BB649" s="213"/>
    </row>
    <row r="650" ht="15.75" customHeight="1">
      <c r="A650" s="213"/>
      <c r="B650" s="213"/>
      <c r="C650" s="213"/>
      <c r="D650" s="213"/>
      <c r="E650" s="213"/>
      <c r="F650" s="213"/>
      <c r="G650" s="213"/>
      <c r="H650" s="213"/>
      <c r="I650" s="213"/>
      <c r="J650" s="213"/>
      <c r="K650" s="215"/>
      <c r="L650" s="213"/>
      <c r="M650" s="215"/>
      <c r="N650" s="213"/>
      <c r="O650" s="213"/>
      <c r="P650" s="213"/>
      <c r="Q650" s="213"/>
      <c r="R650" s="213"/>
      <c r="S650" s="213"/>
      <c r="T650" s="213"/>
      <c r="U650" s="213"/>
      <c r="V650" s="213"/>
      <c r="W650" s="213"/>
      <c r="X650" s="213"/>
      <c r="Y650" s="213"/>
      <c r="Z650" s="213"/>
      <c r="AA650" s="213"/>
      <c r="AB650" s="213"/>
      <c r="AC650" s="213"/>
      <c r="AD650" s="213"/>
      <c r="AE650" s="213"/>
      <c r="AF650" s="213"/>
      <c r="AG650" s="213"/>
      <c r="AH650" s="213"/>
      <c r="AI650" s="213"/>
      <c r="AJ650" s="213"/>
      <c r="AK650" s="213"/>
      <c r="AL650" s="213"/>
      <c r="AM650" s="213"/>
      <c r="AN650" s="213"/>
      <c r="AO650" s="213"/>
      <c r="AP650" s="213"/>
      <c r="AQ650" s="213"/>
      <c r="AR650" s="213"/>
      <c r="AS650" s="213"/>
      <c r="AT650" s="213"/>
      <c r="AU650" s="213"/>
      <c r="AV650" s="213"/>
      <c r="AW650" s="213"/>
      <c r="AX650" s="213"/>
      <c r="AY650" s="213"/>
      <c r="AZ650" s="213"/>
      <c r="BA650" s="213"/>
      <c r="BB650" s="213"/>
    </row>
    <row r="651" ht="15.75" customHeight="1">
      <c r="A651" s="213"/>
      <c r="B651" s="213"/>
      <c r="C651" s="213"/>
      <c r="D651" s="213"/>
      <c r="E651" s="213"/>
      <c r="F651" s="213"/>
      <c r="G651" s="213"/>
      <c r="H651" s="213"/>
      <c r="I651" s="213"/>
      <c r="J651" s="213"/>
      <c r="K651" s="215"/>
      <c r="L651" s="213"/>
      <c r="M651" s="215"/>
      <c r="N651" s="213"/>
      <c r="O651" s="213"/>
      <c r="P651" s="213"/>
      <c r="Q651" s="213"/>
      <c r="R651" s="213"/>
      <c r="S651" s="213"/>
      <c r="T651" s="213"/>
      <c r="U651" s="213"/>
      <c r="V651" s="213"/>
      <c r="W651" s="213"/>
      <c r="X651" s="213"/>
      <c r="Y651" s="213"/>
      <c r="Z651" s="213"/>
      <c r="AA651" s="213"/>
      <c r="AB651" s="213"/>
      <c r="AC651" s="213"/>
      <c r="AD651" s="213"/>
      <c r="AE651" s="213"/>
      <c r="AF651" s="213"/>
      <c r="AG651" s="213"/>
      <c r="AH651" s="213"/>
      <c r="AI651" s="213"/>
      <c r="AJ651" s="213"/>
      <c r="AK651" s="213"/>
      <c r="AL651" s="213"/>
      <c r="AM651" s="213"/>
      <c r="AN651" s="213"/>
      <c r="AO651" s="213"/>
      <c r="AP651" s="213"/>
      <c r="AQ651" s="213"/>
      <c r="AR651" s="213"/>
      <c r="AS651" s="213"/>
      <c r="AT651" s="213"/>
      <c r="AU651" s="213"/>
      <c r="AV651" s="213"/>
      <c r="AW651" s="213"/>
      <c r="AX651" s="213"/>
      <c r="AY651" s="213"/>
      <c r="AZ651" s="213"/>
      <c r="BA651" s="213"/>
      <c r="BB651" s="213"/>
    </row>
    <row r="652" ht="15.75" customHeight="1">
      <c r="A652" s="213"/>
      <c r="B652" s="213"/>
      <c r="C652" s="213"/>
      <c r="D652" s="213"/>
      <c r="E652" s="213"/>
      <c r="F652" s="213"/>
      <c r="G652" s="213"/>
      <c r="H652" s="213"/>
      <c r="I652" s="213"/>
      <c r="J652" s="213"/>
      <c r="K652" s="215"/>
      <c r="L652" s="213"/>
      <c r="M652" s="215"/>
      <c r="N652" s="213"/>
      <c r="O652" s="213"/>
      <c r="P652" s="213"/>
      <c r="Q652" s="213"/>
      <c r="R652" s="213"/>
      <c r="S652" s="213"/>
      <c r="T652" s="213"/>
      <c r="U652" s="213"/>
      <c r="V652" s="213"/>
      <c r="W652" s="213"/>
      <c r="X652" s="213"/>
      <c r="Y652" s="213"/>
      <c r="Z652" s="213"/>
      <c r="AA652" s="213"/>
      <c r="AB652" s="213"/>
      <c r="AC652" s="213"/>
      <c r="AD652" s="213"/>
      <c r="AE652" s="213"/>
      <c r="AF652" s="213"/>
      <c r="AG652" s="213"/>
      <c r="AH652" s="213"/>
      <c r="AI652" s="213"/>
      <c r="AJ652" s="213"/>
      <c r="AK652" s="213"/>
      <c r="AL652" s="213"/>
      <c r="AM652" s="213"/>
      <c r="AN652" s="213"/>
      <c r="AO652" s="213"/>
      <c r="AP652" s="213"/>
      <c r="AQ652" s="213"/>
      <c r="AR652" s="213"/>
      <c r="AS652" s="213"/>
      <c r="AT652" s="213"/>
      <c r="AU652" s="213"/>
      <c r="AV652" s="213"/>
      <c r="AW652" s="213"/>
      <c r="AX652" s="213"/>
      <c r="AY652" s="213"/>
      <c r="AZ652" s="213"/>
      <c r="BA652" s="213"/>
      <c r="BB652" s="213"/>
    </row>
    <row r="653" ht="15.75" customHeight="1">
      <c r="A653" s="213"/>
      <c r="B653" s="213"/>
      <c r="C653" s="213"/>
      <c r="D653" s="213"/>
      <c r="E653" s="213"/>
      <c r="F653" s="213"/>
      <c r="G653" s="213"/>
      <c r="H653" s="213"/>
      <c r="I653" s="213"/>
      <c r="J653" s="213"/>
      <c r="K653" s="215"/>
      <c r="L653" s="213"/>
      <c r="M653" s="215"/>
      <c r="N653" s="213"/>
      <c r="O653" s="213"/>
      <c r="P653" s="213"/>
      <c r="Q653" s="213"/>
      <c r="R653" s="213"/>
      <c r="S653" s="213"/>
      <c r="T653" s="213"/>
      <c r="U653" s="213"/>
      <c r="V653" s="213"/>
      <c r="W653" s="213"/>
      <c r="X653" s="213"/>
      <c r="Y653" s="213"/>
      <c r="Z653" s="213"/>
      <c r="AA653" s="213"/>
      <c r="AB653" s="213"/>
      <c r="AC653" s="213"/>
      <c r="AD653" s="213"/>
      <c r="AE653" s="213"/>
      <c r="AF653" s="213"/>
      <c r="AG653" s="213"/>
      <c r="AH653" s="213"/>
      <c r="AI653" s="213"/>
      <c r="AJ653" s="213"/>
      <c r="AK653" s="213"/>
      <c r="AL653" s="213"/>
      <c r="AM653" s="213"/>
      <c r="AN653" s="213"/>
      <c r="AO653" s="213"/>
      <c r="AP653" s="213"/>
      <c r="AQ653" s="213"/>
      <c r="AR653" s="213"/>
      <c r="AS653" s="213"/>
      <c r="AT653" s="213"/>
      <c r="AU653" s="213"/>
      <c r="AV653" s="213"/>
      <c r="AW653" s="213"/>
      <c r="AX653" s="213"/>
      <c r="AY653" s="213"/>
      <c r="AZ653" s="213"/>
      <c r="BA653" s="213"/>
      <c r="BB653" s="213"/>
    </row>
    <row r="654" ht="15.75" customHeight="1">
      <c r="A654" s="213"/>
      <c r="B654" s="213"/>
      <c r="C654" s="213"/>
      <c r="D654" s="213"/>
      <c r="E654" s="213"/>
      <c r="F654" s="213"/>
      <c r="G654" s="213"/>
      <c r="H654" s="213"/>
      <c r="I654" s="213"/>
      <c r="J654" s="213"/>
      <c r="K654" s="215"/>
      <c r="L654" s="213"/>
      <c r="M654" s="215"/>
      <c r="N654" s="213"/>
      <c r="O654" s="213"/>
      <c r="P654" s="213"/>
      <c r="Q654" s="213"/>
      <c r="R654" s="213"/>
      <c r="S654" s="213"/>
      <c r="T654" s="213"/>
      <c r="U654" s="213"/>
      <c r="V654" s="213"/>
      <c r="W654" s="213"/>
      <c r="X654" s="213"/>
      <c r="Y654" s="213"/>
      <c r="Z654" s="213"/>
      <c r="AA654" s="213"/>
      <c r="AB654" s="213"/>
      <c r="AC654" s="213"/>
      <c r="AD654" s="213"/>
      <c r="AE654" s="213"/>
      <c r="AF654" s="213"/>
      <c r="AG654" s="213"/>
      <c r="AH654" s="213"/>
      <c r="AI654" s="213"/>
      <c r="AJ654" s="213"/>
      <c r="AK654" s="213"/>
      <c r="AL654" s="213"/>
      <c r="AM654" s="213"/>
      <c r="AN654" s="213"/>
      <c r="AO654" s="213"/>
      <c r="AP654" s="213"/>
      <c r="AQ654" s="213"/>
      <c r="AR654" s="213"/>
      <c r="AS654" s="213"/>
      <c r="AT654" s="213"/>
      <c r="AU654" s="213"/>
      <c r="AV654" s="213"/>
      <c r="AW654" s="213"/>
      <c r="AX654" s="213"/>
      <c r="AY654" s="213"/>
      <c r="AZ654" s="213"/>
      <c r="BA654" s="213"/>
      <c r="BB654" s="213"/>
    </row>
    <row r="655" ht="15.75" customHeight="1">
      <c r="A655" s="213"/>
      <c r="B655" s="213"/>
      <c r="C655" s="213"/>
      <c r="D655" s="213"/>
      <c r="E655" s="213"/>
      <c r="F655" s="213"/>
      <c r="G655" s="213"/>
      <c r="H655" s="213"/>
      <c r="I655" s="213"/>
      <c r="J655" s="213"/>
      <c r="K655" s="215"/>
      <c r="L655" s="213"/>
      <c r="M655" s="215"/>
      <c r="N655" s="213"/>
      <c r="O655" s="213"/>
      <c r="P655" s="213"/>
      <c r="Q655" s="213"/>
      <c r="R655" s="213"/>
      <c r="S655" s="213"/>
      <c r="T655" s="213"/>
      <c r="U655" s="213"/>
      <c r="V655" s="213"/>
      <c r="W655" s="213"/>
      <c r="X655" s="213"/>
      <c r="Y655" s="213"/>
      <c r="Z655" s="213"/>
      <c r="AA655" s="213"/>
      <c r="AB655" s="213"/>
      <c r="AC655" s="213"/>
      <c r="AD655" s="213"/>
      <c r="AE655" s="213"/>
      <c r="AF655" s="213"/>
      <c r="AG655" s="213"/>
      <c r="AH655" s="213"/>
      <c r="AI655" s="213"/>
      <c r="AJ655" s="213"/>
      <c r="AK655" s="213"/>
      <c r="AL655" s="213"/>
      <c r="AM655" s="213"/>
      <c r="AN655" s="213"/>
      <c r="AO655" s="213"/>
      <c r="AP655" s="213"/>
      <c r="AQ655" s="213"/>
      <c r="AR655" s="213"/>
      <c r="AS655" s="213"/>
      <c r="AT655" s="213"/>
      <c r="AU655" s="213"/>
      <c r="AV655" s="213"/>
      <c r="AW655" s="213"/>
      <c r="AX655" s="213"/>
      <c r="AY655" s="213"/>
      <c r="AZ655" s="213"/>
      <c r="BA655" s="213"/>
      <c r="BB655" s="213"/>
    </row>
    <row r="656" ht="15.75" customHeight="1">
      <c r="A656" s="213"/>
      <c r="B656" s="213"/>
      <c r="C656" s="213"/>
      <c r="D656" s="213"/>
      <c r="E656" s="213"/>
      <c r="F656" s="213"/>
      <c r="G656" s="213"/>
      <c r="H656" s="213"/>
      <c r="I656" s="213"/>
      <c r="J656" s="213"/>
      <c r="K656" s="215"/>
      <c r="L656" s="213"/>
      <c r="M656" s="215"/>
      <c r="N656" s="213"/>
      <c r="O656" s="213"/>
      <c r="P656" s="213"/>
      <c r="Q656" s="213"/>
      <c r="R656" s="213"/>
      <c r="S656" s="213"/>
      <c r="T656" s="213"/>
      <c r="U656" s="213"/>
      <c r="V656" s="213"/>
      <c r="W656" s="213"/>
      <c r="X656" s="213"/>
      <c r="Y656" s="213"/>
      <c r="Z656" s="213"/>
      <c r="AA656" s="213"/>
      <c r="AB656" s="213"/>
      <c r="AC656" s="213"/>
      <c r="AD656" s="213"/>
      <c r="AE656" s="213"/>
      <c r="AF656" s="213"/>
      <c r="AG656" s="213"/>
      <c r="AH656" s="213"/>
      <c r="AI656" s="213"/>
      <c r="AJ656" s="213"/>
      <c r="AK656" s="213"/>
      <c r="AL656" s="213"/>
      <c r="AM656" s="213"/>
      <c r="AN656" s="213"/>
      <c r="AO656" s="213"/>
      <c r="AP656" s="213"/>
      <c r="AQ656" s="213"/>
      <c r="AR656" s="213"/>
      <c r="AS656" s="213"/>
      <c r="AT656" s="213"/>
      <c r="AU656" s="213"/>
      <c r="AV656" s="213"/>
      <c r="AW656" s="213"/>
      <c r="AX656" s="213"/>
      <c r="AY656" s="213"/>
      <c r="AZ656" s="213"/>
      <c r="BA656" s="213"/>
      <c r="BB656" s="213"/>
    </row>
    <row r="657" ht="15.75" customHeight="1">
      <c r="A657" s="213"/>
      <c r="B657" s="213"/>
      <c r="C657" s="213"/>
      <c r="D657" s="213"/>
      <c r="E657" s="213"/>
      <c r="F657" s="213"/>
      <c r="G657" s="213"/>
      <c r="H657" s="213"/>
      <c r="I657" s="213"/>
      <c r="J657" s="213"/>
      <c r="K657" s="215"/>
      <c r="L657" s="213"/>
      <c r="M657" s="215"/>
      <c r="N657" s="213"/>
      <c r="O657" s="213"/>
      <c r="P657" s="213"/>
      <c r="Q657" s="213"/>
      <c r="R657" s="213"/>
      <c r="S657" s="213"/>
      <c r="T657" s="213"/>
      <c r="U657" s="213"/>
      <c r="V657" s="213"/>
      <c r="W657" s="213"/>
      <c r="X657" s="213"/>
      <c r="Y657" s="213"/>
      <c r="Z657" s="213"/>
      <c r="AA657" s="213"/>
      <c r="AB657" s="213"/>
      <c r="AC657" s="213"/>
      <c r="AD657" s="213"/>
      <c r="AE657" s="213"/>
      <c r="AF657" s="213"/>
      <c r="AG657" s="213"/>
      <c r="AH657" s="213"/>
      <c r="AI657" s="213"/>
      <c r="AJ657" s="213"/>
      <c r="AK657" s="213"/>
      <c r="AL657" s="213"/>
      <c r="AM657" s="213"/>
      <c r="AN657" s="213"/>
      <c r="AO657" s="213"/>
      <c r="AP657" s="213"/>
      <c r="AQ657" s="213"/>
      <c r="AR657" s="213"/>
      <c r="AS657" s="213"/>
      <c r="AT657" s="213"/>
      <c r="AU657" s="213"/>
      <c r="AV657" s="213"/>
      <c r="AW657" s="213"/>
      <c r="AX657" s="213"/>
      <c r="AY657" s="213"/>
      <c r="AZ657" s="213"/>
      <c r="BA657" s="213"/>
      <c r="BB657" s="213"/>
    </row>
    <row r="658" ht="15.75" customHeight="1">
      <c r="A658" s="213"/>
      <c r="B658" s="213"/>
      <c r="C658" s="213"/>
      <c r="D658" s="213"/>
      <c r="E658" s="213"/>
      <c r="F658" s="213"/>
      <c r="G658" s="213"/>
      <c r="H658" s="213"/>
      <c r="I658" s="213"/>
      <c r="J658" s="213"/>
      <c r="K658" s="215"/>
      <c r="L658" s="213"/>
      <c r="M658" s="215"/>
      <c r="N658" s="213"/>
      <c r="O658" s="213"/>
      <c r="P658" s="213"/>
      <c r="Q658" s="213"/>
      <c r="R658" s="213"/>
      <c r="S658" s="213"/>
      <c r="T658" s="213"/>
      <c r="U658" s="213"/>
      <c r="V658" s="213"/>
      <c r="W658" s="213"/>
      <c r="X658" s="213"/>
      <c r="Y658" s="213"/>
      <c r="Z658" s="213"/>
      <c r="AA658" s="213"/>
      <c r="AB658" s="213"/>
      <c r="AC658" s="213"/>
      <c r="AD658" s="213"/>
      <c r="AE658" s="213"/>
      <c r="AF658" s="213"/>
      <c r="AG658" s="213"/>
      <c r="AH658" s="213"/>
      <c r="AI658" s="213"/>
      <c r="AJ658" s="213"/>
      <c r="AK658" s="213"/>
      <c r="AL658" s="213"/>
      <c r="AM658" s="213"/>
      <c r="AN658" s="213"/>
      <c r="AO658" s="213"/>
      <c r="AP658" s="213"/>
      <c r="AQ658" s="213"/>
      <c r="AR658" s="213"/>
      <c r="AS658" s="213"/>
      <c r="AT658" s="213"/>
      <c r="AU658" s="213"/>
      <c r="AV658" s="213"/>
      <c r="AW658" s="213"/>
      <c r="AX658" s="213"/>
      <c r="AY658" s="213"/>
      <c r="AZ658" s="213"/>
      <c r="BA658" s="213"/>
      <c r="BB658" s="213"/>
    </row>
    <row r="659" ht="15.75" customHeight="1">
      <c r="A659" s="213"/>
      <c r="B659" s="213"/>
      <c r="C659" s="213"/>
      <c r="D659" s="213"/>
      <c r="E659" s="213"/>
      <c r="F659" s="213"/>
      <c r="G659" s="213"/>
      <c r="H659" s="213"/>
      <c r="I659" s="213"/>
      <c r="J659" s="213"/>
      <c r="K659" s="215"/>
      <c r="L659" s="213"/>
      <c r="M659" s="215"/>
      <c r="N659" s="213"/>
      <c r="O659" s="213"/>
      <c r="P659" s="213"/>
      <c r="Q659" s="213"/>
      <c r="R659" s="213"/>
      <c r="S659" s="213"/>
      <c r="T659" s="213"/>
      <c r="U659" s="213"/>
      <c r="V659" s="213"/>
      <c r="W659" s="213"/>
      <c r="X659" s="213"/>
      <c r="Y659" s="213"/>
      <c r="Z659" s="213"/>
      <c r="AA659" s="213"/>
      <c r="AB659" s="213"/>
      <c r="AC659" s="213"/>
      <c r="AD659" s="213"/>
      <c r="AE659" s="213"/>
      <c r="AF659" s="213"/>
      <c r="AG659" s="213"/>
      <c r="AH659" s="213"/>
      <c r="AI659" s="213"/>
      <c r="AJ659" s="213"/>
      <c r="AK659" s="213"/>
      <c r="AL659" s="213"/>
      <c r="AM659" s="213"/>
      <c r="AN659" s="213"/>
      <c r="AO659" s="213"/>
      <c r="AP659" s="213"/>
      <c r="AQ659" s="213"/>
      <c r="AR659" s="213"/>
      <c r="AS659" s="213"/>
      <c r="AT659" s="213"/>
      <c r="AU659" s="213"/>
      <c r="AV659" s="213"/>
      <c r="AW659" s="213"/>
      <c r="AX659" s="213"/>
      <c r="AY659" s="213"/>
      <c r="AZ659" s="213"/>
      <c r="BA659" s="213"/>
      <c r="BB659" s="213"/>
    </row>
    <row r="660" ht="15.75" customHeight="1">
      <c r="A660" s="213"/>
      <c r="B660" s="213"/>
      <c r="C660" s="213"/>
      <c r="D660" s="213"/>
      <c r="E660" s="213"/>
      <c r="F660" s="213"/>
      <c r="G660" s="213"/>
      <c r="H660" s="213"/>
      <c r="I660" s="213"/>
      <c r="J660" s="213"/>
      <c r="K660" s="215"/>
      <c r="L660" s="213"/>
      <c r="M660" s="215"/>
      <c r="N660" s="213"/>
      <c r="O660" s="213"/>
      <c r="P660" s="213"/>
      <c r="Q660" s="213"/>
      <c r="R660" s="213"/>
      <c r="S660" s="213"/>
      <c r="T660" s="213"/>
      <c r="U660" s="213"/>
      <c r="V660" s="213"/>
      <c r="W660" s="213"/>
      <c r="X660" s="213"/>
      <c r="Y660" s="213"/>
      <c r="Z660" s="213"/>
      <c r="AA660" s="213"/>
      <c r="AB660" s="213"/>
      <c r="AC660" s="213"/>
      <c r="AD660" s="213"/>
      <c r="AE660" s="213"/>
      <c r="AF660" s="213"/>
      <c r="AG660" s="213"/>
      <c r="AH660" s="213"/>
      <c r="AI660" s="213"/>
      <c r="AJ660" s="213"/>
      <c r="AK660" s="213"/>
      <c r="AL660" s="213"/>
      <c r="AM660" s="213"/>
      <c r="AN660" s="213"/>
      <c r="AO660" s="213"/>
      <c r="AP660" s="213"/>
      <c r="AQ660" s="213"/>
      <c r="AR660" s="213"/>
      <c r="AS660" s="213"/>
      <c r="AT660" s="213"/>
      <c r="AU660" s="213"/>
      <c r="AV660" s="213"/>
      <c r="AW660" s="213"/>
      <c r="AX660" s="213"/>
      <c r="AY660" s="213"/>
      <c r="AZ660" s="213"/>
      <c r="BA660" s="213"/>
      <c r="BB660" s="213"/>
    </row>
    <row r="661" ht="15.75" customHeight="1">
      <c r="A661" s="213"/>
      <c r="B661" s="213"/>
      <c r="C661" s="213"/>
      <c r="D661" s="213"/>
      <c r="E661" s="213"/>
      <c r="F661" s="213"/>
      <c r="G661" s="213"/>
      <c r="H661" s="213"/>
      <c r="I661" s="213"/>
      <c r="J661" s="213"/>
      <c r="K661" s="215"/>
      <c r="L661" s="213"/>
      <c r="M661" s="215"/>
      <c r="N661" s="213"/>
      <c r="O661" s="213"/>
      <c r="P661" s="213"/>
      <c r="Q661" s="213"/>
      <c r="R661" s="213"/>
      <c r="S661" s="213"/>
      <c r="T661" s="213"/>
      <c r="U661" s="213"/>
      <c r="V661" s="213"/>
      <c r="W661" s="213"/>
      <c r="X661" s="213"/>
      <c r="Y661" s="213"/>
      <c r="Z661" s="213"/>
      <c r="AA661" s="213"/>
      <c r="AB661" s="213"/>
      <c r="AC661" s="213"/>
      <c r="AD661" s="213"/>
      <c r="AE661" s="213"/>
      <c r="AF661" s="213"/>
      <c r="AG661" s="213"/>
      <c r="AH661" s="213"/>
      <c r="AI661" s="213"/>
      <c r="AJ661" s="213"/>
      <c r="AK661" s="213"/>
      <c r="AL661" s="213"/>
      <c r="AM661" s="213"/>
      <c r="AN661" s="213"/>
      <c r="AO661" s="213"/>
      <c r="AP661" s="213"/>
      <c r="AQ661" s="213"/>
      <c r="AR661" s="213"/>
      <c r="AS661" s="213"/>
      <c r="AT661" s="213"/>
      <c r="AU661" s="213"/>
      <c r="AV661" s="213"/>
      <c r="AW661" s="213"/>
      <c r="AX661" s="213"/>
      <c r="AY661" s="213"/>
      <c r="AZ661" s="213"/>
      <c r="BA661" s="213"/>
      <c r="BB661" s="213"/>
    </row>
    <row r="662" ht="15.75" customHeight="1">
      <c r="A662" s="213"/>
      <c r="B662" s="213"/>
      <c r="C662" s="213"/>
      <c r="D662" s="213"/>
      <c r="E662" s="213"/>
      <c r="F662" s="213"/>
      <c r="G662" s="213"/>
      <c r="H662" s="213"/>
      <c r="I662" s="213"/>
      <c r="J662" s="213"/>
      <c r="K662" s="215"/>
      <c r="L662" s="213"/>
      <c r="M662" s="215"/>
      <c r="N662" s="213"/>
      <c r="O662" s="213"/>
      <c r="P662" s="213"/>
      <c r="Q662" s="213"/>
      <c r="R662" s="213"/>
      <c r="S662" s="213"/>
      <c r="T662" s="213"/>
      <c r="U662" s="213"/>
      <c r="V662" s="213"/>
      <c r="W662" s="213"/>
      <c r="X662" s="213"/>
      <c r="Y662" s="213"/>
      <c r="Z662" s="213"/>
      <c r="AA662" s="213"/>
      <c r="AB662" s="213"/>
      <c r="AC662" s="213"/>
      <c r="AD662" s="213"/>
      <c r="AE662" s="213"/>
      <c r="AF662" s="213"/>
      <c r="AG662" s="213"/>
      <c r="AH662" s="213"/>
      <c r="AI662" s="213"/>
      <c r="AJ662" s="213"/>
      <c r="AK662" s="213"/>
      <c r="AL662" s="213"/>
      <c r="AM662" s="213"/>
      <c r="AN662" s="213"/>
      <c r="AO662" s="213"/>
      <c r="AP662" s="213"/>
      <c r="AQ662" s="213"/>
      <c r="AR662" s="213"/>
      <c r="AS662" s="213"/>
      <c r="AT662" s="213"/>
      <c r="AU662" s="213"/>
      <c r="AV662" s="213"/>
      <c r="AW662" s="213"/>
      <c r="AX662" s="213"/>
      <c r="AY662" s="213"/>
      <c r="AZ662" s="213"/>
      <c r="BA662" s="213"/>
      <c r="BB662" s="213"/>
    </row>
    <row r="663" ht="15.75" customHeight="1">
      <c r="A663" s="213"/>
      <c r="B663" s="213"/>
      <c r="C663" s="213"/>
      <c r="D663" s="213"/>
      <c r="E663" s="213"/>
      <c r="F663" s="213"/>
      <c r="G663" s="213"/>
      <c r="H663" s="213"/>
      <c r="I663" s="213"/>
      <c r="J663" s="213"/>
      <c r="K663" s="215"/>
      <c r="L663" s="213"/>
      <c r="M663" s="215"/>
      <c r="N663" s="213"/>
      <c r="O663" s="213"/>
      <c r="P663" s="213"/>
      <c r="Q663" s="213"/>
      <c r="R663" s="213"/>
      <c r="S663" s="213"/>
      <c r="T663" s="213"/>
      <c r="U663" s="213"/>
      <c r="V663" s="213"/>
      <c r="W663" s="213"/>
      <c r="X663" s="213"/>
      <c r="Y663" s="213"/>
      <c r="Z663" s="213"/>
      <c r="AA663" s="213"/>
      <c r="AB663" s="213"/>
      <c r="AC663" s="213"/>
      <c r="AD663" s="213"/>
      <c r="AE663" s="213"/>
      <c r="AF663" s="213"/>
      <c r="AG663" s="213"/>
      <c r="AH663" s="213"/>
      <c r="AI663" s="213"/>
      <c r="AJ663" s="213"/>
      <c r="AK663" s="213"/>
      <c r="AL663" s="213"/>
      <c r="AM663" s="213"/>
      <c r="AN663" s="213"/>
      <c r="AO663" s="213"/>
      <c r="AP663" s="213"/>
      <c r="AQ663" s="213"/>
      <c r="AR663" s="213"/>
      <c r="AS663" s="213"/>
      <c r="AT663" s="213"/>
      <c r="AU663" s="213"/>
      <c r="AV663" s="213"/>
      <c r="AW663" s="213"/>
      <c r="AX663" s="213"/>
      <c r="AY663" s="213"/>
      <c r="AZ663" s="213"/>
      <c r="BA663" s="213"/>
      <c r="BB663" s="213"/>
    </row>
    <row r="664" ht="15.75" customHeight="1">
      <c r="A664" s="213"/>
      <c r="B664" s="213"/>
      <c r="C664" s="213"/>
      <c r="D664" s="213"/>
      <c r="E664" s="213"/>
      <c r="F664" s="213"/>
      <c r="G664" s="213"/>
      <c r="H664" s="213"/>
      <c r="I664" s="213"/>
      <c r="J664" s="213"/>
      <c r="K664" s="215"/>
      <c r="L664" s="213"/>
      <c r="M664" s="215"/>
      <c r="N664" s="213"/>
      <c r="O664" s="213"/>
      <c r="P664" s="213"/>
      <c r="Q664" s="213"/>
      <c r="R664" s="213"/>
      <c r="S664" s="213"/>
      <c r="T664" s="213"/>
      <c r="U664" s="213"/>
      <c r="V664" s="213"/>
      <c r="W664" s="213"/>
      <c r="X664" s="213"/>
      <c r="Y664" s="213"/>
      <c r="Z664" s="213"/>
      <c r="AA664" s="213"/>
      <c r="AB664" s="213"/>
      <c r="AC664" s="213"/>
      <c r="AD664" s="213"/>
      <c r="AE664" s="213"/>
      <c r="AF664" s="213"/>
      <c r="AG664" s="213"/>
      <c r="AH664" s="213"/>
      <c r="AI664" s="213"/>
      <c r="AJ664" s="213"/>
      <c r="AK664" s="213"/>
      <c r="AL664" s="213"/>
      <c r="AM664" s="213"/>
      <c r="AN664" s="213"/>
      <c r="AO664" s="213"/>
      <c r="AP664" s="213"/>
      <c r="AQ664" s="213"/>
      <c r="AR664" s="213"/>
      <c r="AS664" s="213"/>
      <c r="AT664" s="213"/>
      <c r="AU664" s="213"/>
      <c r="AV664" s="213"/>
      <c r="AW664" s="213"/>
      <c r="AX664" s="213"/>
      <c r="AY664" s="213"/>
      <c r="AZ664" s="213"/>
      <c r="BA664" s="213"/>
      <c r="BB664" s="213"/>
    </row>
    <row r="665" ht="15.75" customHeight="1">
      <c r="A665" s="213"/>
      <c r="B665" s="213"/>
      <c r="C665" s="213"/>
      <c r="D665" s="213"/>
      <c r="E665" s="213"/>
      <c r="F665" s="213"/>
      <c r="G665" s="213"/>
      <c r="H665" s="213"/>
      <c r="I665" s="213"/>
      <c r="J665" s="213"/>
      <c r="K665" s="215"/>
      <c r="L665" s="213"/>
      <c r="M665" s="215"/>
      <c r="N665" s="213"/>
      <c r="O665" s="213"/>
      <c r="P665" s="213"/>
      <c r="Q665" s="213"/>
      <c r="R665" s="213"/>
      <c r="S665" s="213"/>
      <c r="T665" s="213"/>
      <c r="U665" s="213"/>
      <c r="V665" s="213"/>
      <c r="W665" s="213"/>
      <c r="X665" s="213"/>
      <c r="Y665" s="213"/>
      <c r="Z665" s="213"/>
      <c r="AA665" s="213"/>
      <c r="AB665" s="213"/>
      <c r="AC665" s="213"/>
      <c r="AD665" s="213"/>
      <c r="AE665" s="213"/>
      <c r="AF665" s="213"/>
      <c r="AG665" s="213"/>
      <c r="AH665" s="213"/>
      <c r="AI665" s="213"/>
      <c r="AJ665" s="213"/>
      <c r="AK665" s="213"/>
      <c r="AL665" s="213"/>
      <c r="AM665" s="213"/>
      <c r="AN665" s="213"/>
      <c r="AO665" s="213"/>
      <c r="AP665" s="213"/>
      <c r="AQ665" s="213"/>
      <c r="AR665" s="213"/>
      <c r="AS665" s="213"/>
      <c r="AT665" s="213"/>
      <c r="AU665" s="213"/>
      <c r="AV665" s="213"/>
      <c r="AW665" s="213"/>
      <c r="AX665" s="213"/>
      <c r="AY665" s="213"/>
      <c r="AZ665" s="213"/>
      <c r="BA665" s="213"/>
      <c r="BB665" s="213"/>
    </row>
    <row r="666" ht="15.75" customHeight="1">
      <c r="A666" s="213"/>
      <c r="B666" s="213"/>
      <c r="C666" s="213"/>
      <c r="D666" s="213"/>
      <c r="E666" s="213"/>
      <c r="F666" s="213"/>
      <c r="G666" s="213"/>
      <c r="H666" s="213"/>
      <c r="I666" s="213"/>
      <c r="J666" s="213"/>
      <c r="K666" s="215"/>
      <c r="L666" s="213"/>
      <c r="M666" s="215"/>
      <c r="N666" s="213"/>
      <c r="O666" s="213"/>
      <c r="P666" s="213"/>
      <c r="Q666" s="213"/>
      <c r="R666" s="213"/>
      <c r="S666" s="213"/>
      <c r="T666" s="213"/>
      <c r="U666" s="213"/>
      <c r="V666" s="213"/>
      <c r="W666" s="213"/>
      <c r="X666" s="213"/>
      <c r="Y666" s="213"/>
      <c r="Z666" s="213"/>
      <c r="AA666" s="213"/>
      <c r="AB666" s="213"/>
      <c r="AC666" s="213"/>
      <c r="AD666" s="213"/>
      <c r="AE666" s="213"/>
      <c r="AF666" s="213"/>
      <c r="AG666" s="213"/>
      <c r="AH666" s="213"/>
      <c r="AI666" s="213"/>
      <c r="AJ666" s="213"/>
      <c r="AK666" s="213"/>
      <c r="AL666" s="213"/>
      <c r="AM666" s="213"/>
      <c r="AN666" s="213"/>
      <c r="AO666" s="213"/>
      <c r="AP666" s="213"/>
      <c r="AQ666" s="213"/>
      <c r="AR666" s="213"/>
      <c r="AS666" s="213"/>
      <c r="AT666" s="213"/>
      <c r="AU666" s="213"/>
      <c r="AV666" s="213"/>
      <c r="AW666" s="213"/>
      <c r="AX666" s="213"/>
      <c r="AY666" s="213"/>
      <c r="AZ666" s="213"/>
      <c r="BA666" s="213"/>
      <c r="BB666" s="213"/>
    </row>
    <row r="667" ht="15.75" customHeight="1">
      <c r="A667" s="213"/>
      <c r="B667" s="213"/>
      <c r="C667" s="213"/>
      <c r="D667" s="213"/>
      <c r="E667" s="213"/>
      <c r="F667" s="213"/>
      <c r="G667" s="213"/>
      <c r="H667" s="213"/>
      <c r="I667" s="213"/>
      <c r="J667" s="213"/>
      <c r="K667" s="215"/>
      <c r="L667" s="213"/>
      <c r="M667" s="215"/>
      <c r="N667" s="213"/>
      <c r="O667" s="213"/>
      <c r="P667" s="213"/>
      <c r="Q667" s="213"/>
      <c r="R667" s="213"/>
      <c r="S667" s="213"/>
      <c r="T667" s="213"/>
      <c r="U667" s="213"/>
      <c r="V667" s="213"/>
      <c r="W667" s="213"/>
      <c r="X667" s="213"/>
      <c r="Y667" s="213"/>
      <c r="Z667" s="213"/>
      <c r="AA667" s="213"/>
      <c r="AB667" s="213"/>
      <c r="AC667" s="213"/>
      <c r="AD667" s="213"/>
      <c r="AE667" s="213"/>
      <c r="AF667" s="213"/>
      <c r="AG667" s="213"/>
      <c r="AH667" s="213"/>
      <c r="AI667" s="213"/>
      <c r="AJ667" s="213"/>
      <c r="AK667" s="213"/>
      <c r="AL667" s="213"/>
      <c r="AM667" s="213"/>
      <c r="AN667" s="213"/>
      <c r="AO667" s="213"/>
      <c r="AP667" s="213"/>
      <c r="AQ667" s="213"/>
      <c r="AR667" s="213"/>
      <c r="AS667" s="213"/>
      <c r="AT667" s="213"/>
      <c r="AU667" s="213"/>
      <c r="AV667" s="213"/>
      <c r="AW667" s="213"/>
      <c r="AX667" s="213"/>
      <c r="AY667" s="213"/>
      <c r="AZ667" s="213"/>
      <c r="BA667" s="213"/>
      <c r="BB667" s="213"/>
    </row>
    <row r="668" ht="15.75" customHeight="1">
      <c r="A668" s="213"/>
      <c r="B668" s="213"/>
      <c r="C668" s="213"/>
      <c r="D668" s="213"/>
      <c r="E668" s="213"/>
      <c r="F668" s="213"/>
      <c r="G668" s="213"/>
      <c r="H668" s="213"/>
      <c r="I668" s="213"/>
      <c r="J668" s="213"/>
      <c r="K668" s="215"/>
      <c r="L668" s="213"/>
      <c r="M668" s="215"/>
      <c r="N668" s="213"/>
      <c r="O668" s="213"/>
      <c r="P668" s="213"/>
      <c r="Q668" s="213"/>
      <c r="R668" s="213"/>
      <c r="S668" s="213"/>
      <c r="T668" s="213"/>
      <c r="U668" s="213"/>
      <c r="V668" s="213"/>
      <c r="W668" s="213"/>
      <c r="X668" s="213"/>
      <c r="Y668" s="213"/>
      <c r="Z668" s="213"/>
      <c r="AA668" s="213"/>
      <c r="AB668" s="213"/>
      <c r="AC668" s="213"/>
      <c r="AD668" s="213"/>
      <c r="AE668" s="213"/>
      <c r="AF668" s="213"/>
      <c r="AG668" s="213"/>
      <c r="AH668" s="213"/>
      <c r="AI668" s="213"/>
      <c r="AJ668" s="213"/>
      <c r="AK668" s="213"/>
      <c r="AL668" s="213"/>
      <c r="AM668" s="213"/>
      <c r="AN668" s="213"/>
      <c r="AO668" s="213"/>
      <c r="AP668" s="213"/>
      <c r="AQ668" s="213"/>
      <c r="AR668" s="213"/>
      <c r="AS668" s="213"/>
      <c r="AT668" s="213"/>
      <c r="AU668" s="213"/>
      <c r="AV668" s="213"/>
      <c r="AW668" s="213"/>
      <c r="AX668" s="213"/>
      <c r="AY668" s="213"/>
      <c r="AZ668" s="213"/>
      <c r="BA668" s="213"/>
      <c r="BB668" s="213"/>
    </row>
    <row r="669" ht="15.75" customHeight="1">
      <c r="A669" s="213"/>
      <c r="B669" s="213"/>
      <c r="C669" s="213"/>
      <c r="D669" s="213"/>
      <c r="E669" s="213"/>
      <c r="F669" s="213"/>
      <c r="G669" s="213"/>
      <c r="H669" s="213"/>
      <c r="I669" s="213"/>
      <c r="J669" s="213"/>
      <c r="K669" s="215"/>
      <c r="L669" s="213"/>
      <c r="M669" s="215"/>
      <c r="N669" s="213"/>
      <c r="O669" s="213"/>
      <c r="P669" s="213"/>
      <c r="Q669" s="213"/>
      <c r="R669" s="213"/>
      <c r="S669" s="213"/>
      <c r="T669" s="213"/>
      <c r="U669" s="213"/>
      <c r="V669" s="213"/>
      <c r="W669" s="213"/>
      <c r="X669" s="213"/>
      <c r="Y669" s="213"/>
      <c r="Z669" s="213"/>
      <c r="AA669" s="213"/>
      <c r="AB669" s="213"/>
      <c r="AC669" s="213"/>
      <c r="AD669" s="213"/>
      <c r="AE669" s="213"/>
      <c r="AF669" s="213"/>
      <c r="AG669" s="213"/>
      <c r="AH669" s="213"/>
      <c r="AI669" s="213"/>
      <c r="AJ669" s="213"/>
      <c r="AK669" s="213"/>
      <c r="AL669" s="213"/>
      <c r="AM669" s="213"/>
      <c r="AN669" s="213"/>
      <c r="AO669" s="213"/>
      <c r="AP669" s="213"/>
      <c r="AQ669" s="213"/>
      <c r="AR669" s="213"/>
      <c r="AS669" s="213"/>
      <c r="AT669" s="213"/>
      <c r="AU669" s="213"/>
      <c r="AV669" s="213"/>
      <c r="AW669" s="213"/>
      <c r="AX669" s="213"/>
      <c r="AY669" s="213"/>
      <c r="AZ669" s="213"/>
      <c r="BA669" s="213"/>
      <c r="BB669" s="213"/>
    </row>
    <row r="670" ht="15.75" customHeight="1">
      <c r="A670" s="213"/>
      <c r="B670" s="213"/>
      <c r="C670" s="213"/>
      <c r="D670" s="213"/>
      <c r="E670" s="213"/>
      <c r="F670" s="213"/>
      <c r="G670" s="213"/>
      <c r="H670" s="213"/>
      <c r="I670" s="213"/>
      <c r="J670" s="213"/>
      <c r="K670" s="215"/>
      <c r="L670" s="213"/>
      <c r="M670" s="215"/>
      <c r="N670" s="213"/>
      <c r="O670" s="213"/>
      <c r="P670" s="213"/>
      <c r="Q670" s="213"/>
      <c r="R670" s="213"/>
      <c r="S670" s="213"/>
      <c r="T670" s="213"/>
      <c r="U670" s="213"/>
      <c r="V670" s="213"/>
      <c r="W670" s="213"/>
      <c r="X670" s="213"/>
      <c r="Y670" s="213"/>
      <c r="Z670" s="213"/>
      <c r="AA670" s="213"/>
      <c r="AB670" s="213"/>
      <c r="AC670" s="213"/>
      <c r="AD670" s="213"/>
      <c r="AE670" s="213"/>
      <c r="AF670" s="213"/>
      <c r="AG670" s="213"/>
      <c r="AH670" s="213"/>
      <c r="AI670" s="213"/>
      <c r="AJ670" s="213"/>
      <c r="AK670" s="213"/>
      <c r="AL670" s="213"/>
      <c r="AM670" s="213"/>
      <c r="AN670" s="213"/>
      <c r="AO670" s="213"/>
      <c r="AP670" s="213"/>
      <c r="AQ670" s="213"/>
      <c r="AR670" s="213"/>
      <c r="AS670" s="213"/>
      <c r="AT670" s="213"/>
      <c r="AU670" s="213"/>
      <c r="AV670" s="213"/>
      <c r="AW670" s="213"/>
      <c r="AX670" s="213"/>
      <c r="AY670" s="213"/>
      <c r="AZ670" s="213"/>
      <c r="BA670" s="213"/>
      <c r="BB670" s="213"/>
    </row>
    <row r="671" ht="15.75" customHeight="1">
      <c r="A671" s="213"/>
      <c r="B671" s="213"/>
      <c r="C671" s="213"/>
      <c r="D671" s="213"/>
      <c r="E671" s="213"/>
      <c r="F671" s="213"/>
      <c r="G671" s="213"/>
      <c r="H671" s="213"/>
      <c r="I671" s="213"/>
      <c r="J671" s="213"/>
      <c r="K671" s="215"/>
      <c r="L671" s="213"/>
      <c r="M671" s="215"/>
      <c r="N671" s="213"/>
      <c r="O671" s="213"/>
      <c r="P671" s="213"/>
      <c r="Q671" s="213"/>
      <c r="R671" s="213"/>
      <c r="S671" s="213"/>
      <c r="T671" s="213"/>
      <c r="U671" s="213"/>
      <c r="V671" s="213"/>
      <c r="W671" s="213"/>
      <c r="X671" s="213"/>
      <c r="Y671" s="213"/>
      <c r="Z671" s="213"/>
      <c r="AA671" s="213"/>
      <c r="AB671" s="213"/>
      <c r="AC671" s="213"/>
      <c r="AD671" s="213"/>
      <c r="AE671" s="213"/>
      <c r="AF671" s="213"/>
      <c r="AG671" s="213"/>
      <c r="AH671" s="213"/>
      <c r="AI671" s="213"/>
      <c r="AJ671" s="213"/>
      <c r="AK671" s="213"/>
      <c r="AL671" s="213"/>
      <c r="AM671" s="213"/>
      <c r="AN671" s="213"/>
      <c r="AO671" s="213"/>
      <c r="AP671" s="213"/>
      <c r="AQ671" s="213"/>
      <c r="AR671" s="213"/>
      <c r="AS671" s="213"/>
      <c r="AT671" s="213"/>
      <c r="AU671" s="213"/>
      <c r="AV671" s="213"/>
      <c r="AW671" s="213"/>
      <c r="AX671" s="213"/>
      <c r="AY671" s="213"/>
      <c r="AZ671" s="213"/>
      <c r="BA671" s="213"/>
      <c r="BB671" s="213"/>
    </row>
    <row r="672" ht="15.75" customHeight="1">
      <c r="A672" s="213"/>
      <c r="B672" s="213"/>
      <c r="C672" s="213"/>
      <c r="D672" s="213"/>
      <c r="E672" s="213"/>
      <c r="F672" s="213"/>
      <c r="G672" s="213"/>
      <c r="H672" s="213"/>
      <c r="I672" s="213"/>
      <c r="J672" s="213"/>
      <c r="K672" s="215"/>
      <c r="L672" s="213"/>
      <c r="M672" s="215"/>
      <c r="N672" s="213"/>
      <c r="O672" s="213"/>
      <c r="P672" s="213"/>
      <c r="Q672" s="213"/>
      <c r="R672" s="213"/>
      <c r="S672" s="213"/>
      <c r="T672" s="213"/>
      <c r="U672" s="213"/>
      <c r="V672" s="213"/>
      <c r="W672" s="213"/>
      <c r="X672" s="213"/>
      <c r="Y672" s="213"/>
      <c r="Z672" s="213"/>
      <c r="AA672" s="213"/>
      <c r="AB672" s="213"/>
      <c r="AC672" s="213"/>
      <c r="AD672" s="213"/>
      <c r="AE672" s="213"/>
      <c r="AF672" s="213"/>
      <c r="AG672" s="213"/>
      <c r="AH672" s="213"/>
      <c r="AI672" s="213"/>
      <c r="AJ672" s="213"/>
      <c r="AK672" s="213"/>
      <c r="AL672" s="213"/>
      <c r="AM672" s="213"/>
      <c r="AN672" s="213"/>
      <c r="AO672" s="213"/>
      <c r="AP672" s="213"/>
      <c r="AQ672" s="213"/>
      <c r="AR672" s="213"/>
      <c r="AS672" s="213"/>
      <c r="AT672" s="213"/>
      <c r="AU672" s="213"/>
      <c r="AV672" s="213"/>
      <c r="AW672" s="213"/>
      <c r="AX672" s="213"/>
      <c r="AY672" s="213"/>
      <c r="AZ672" s="213"/>
      <c r="BA672" s="213"/>
      <c r="BB672" s="213"/>
    </row>
    <row r="673" ht="15.75" customHeight="1">
      <c r="A673" s="213"/>
      <c r="B673" s="213"/>
      <c r="C673" s="213"/>
      <c r="D673" s="213"/>
      <c r="E673" s="213"/>
      <c r="F673" s="213"/>
      <c r="G673" s="213"/>
      <c r="H673" s="213"/>
      <c r="I673" s="213"/>
      <c r="J673" s="213"/>
      <c r="K673" s="215"/>
      <c r="L673" s="213"/>
      <c r="M673" s="215"/>
      <c r="N673" s="213"/>
      <c r="O673" s="213"/>
      <c r="P673" s="213"/>
      <c r="Q673" s="213"/>
      <c r="R673" s="213"/>
      <c r="S673" s="213"/>
      <c r="T673" s="213"/>
      <c r="U673" s="213"/>
      <c r="V673" s="213"/>
      <c r="W673" s="213"/>
      <c r="X673" s="213"/>
      <c r="Y673" s="213"/>
      <c r="Z673" s="213"/>
      <c r="AA673" s="213"/>
      <c r="AB673" s="213"/>
      <c r="AC673" s="213"/>
      <c r="AD673" s="213"/>
      <c r="AE673" s="213"/>
      <c r="AF673" s="213"/>
      <c r="AG673" s="213"/>
      <c r="AH673" s="213"/>
      <c r="AI673" s="213"/>
      <c r="AJ673" s="213"/>
      <c r="AK673" s="213"/>
      <c r="AL673" s="213"/>
      <c r="AM673" s="213"/>
      <c r="AN673" s="213"/>
      <c r="AO673" s="213"/>
      <c r="AP673" s="213"/>
      <c r="AQ673" s="213"/>
      <c r="AR673" s="213"/>
      <c r="AS673" s="213"/>
      <c r="AT673" s="213"/>
      <c r="AU673" s="213"/>
      <c r="AV673" s="213"/>
      <c r="AW673" s="213"/>
      <c r="AX673" s="213"/>
      <c r="AY673" s="213"/>
      <c r="AZ673" s="213"/>
      <c r="BA673" s="213"/>
      <c r="BB673" s="213"/>
    </row>
    <row r="674" ht="15.75" customHeight="1">
      <c r="A674" s="213"/>
      <c r="B674" s="213"/>
      <c r="C674" s="213"/>
      <c r="D674" s="213"/>
      <c r="E674" s="213"/>
      <c r="F674" s="213"/>
      <c r="G674" s="213"/>
      <c r="H674" s="213"/>
      <c r="I674" s="213"/>
      <c r="J674" s="213"/>
      <c r="K674" s="215"/>
      <c r="L674" s="213"/>
      <c r="M674" s="215"/>
      <c r="N674" s="213"/>
      <c r="O674" s="213"/>
      <c r="P674" s="213"/>
      <c r="Q674" s="213"/>
      <c r="R674" s="213"/>
      <c r="S674" s="213"/>
      <c r="T674" s="213"/>
      <c r="U674" s="213"/>
      <c r="V674" s="213"/>
      <c r="W674" s="213"/>
      <c r="X674" s="213"/>
      <c r="Y674" s="213"/>
      <c r="Z674" s="213"/>
      <c r="AA674" s="213"/>
      <c r="AB674" s="213"/>
      <c r="AC674" s="213"/>
      <c r="AD674" s="213"/>
      <c r="AE674" s="213"/>
      <c r="AF674" s="213"/>
      <c r="AG674" s="213"/>
      <c r="AH674" s="213"/>
      <c r="AI674" s="213"/>
      <c r="AJ674" s="213"/>
      <c r="AK674" s="213"/>
      <c r="AL674" s="213"/>
      <c r="AM674" s="213"/>
      <c r="AN674" s="213"/>
      <c r="AO674" s="213"/>
      <c r="AP674" s="213"/>
      <c r="AQ674" s="213"/>
      <c r="AR674" s="213"/>
      <c r="AS674" s="213"/>
      <c r="AT674" s="213"/>
      <c r="AU674" s="213"/>
      <c r="AV674" s="213"/>
      <c r="AW674" s="213"/>
      <c r="AX674" s="213"/>
      <c r="AY674" s="213"/>
      <c r="AZ674" s="213"/>
      <c r="BA674" s="213"/>
      <c r="BB674" s="213"/>
    </row>
    <row r="675" ht="15.75" customHeight="1">
      <c r="A675" s="213"/>
      <c r="B675" s="213"/>
      <c r="C675" s="213"/>
      <c r="D675" s="213"/>
      <c r="E675" s="213"/>
      <c r="F675" s="213"/>
      <c r="G675" s="213"/>
      <c r="H675" s="213"/>
      <c r="I675" s="213"/>
      <c r="J675" s="213"/>
      <c r="K675" s="215"/>
      <c r="L675" s="213"/>
      <c r="M675" s="215"/>
      <c r="N675" s="213"/>
      <c r="O675" s="213"/>
      <c r="P675" s="213"/>
      <c r="Q675" s="213"/>
      <c r="R675" s="213"/>
      <c r="S675" s="213"/>
      <c r="T675" s="213"/>
      <c r="U675" s="213"/>
      <c r="V675" s="213"/>
      <c r="W675" s="213"/>
      <c r="X675" s="213"/>
      <c r="Y675" s="213"/>
      <c r="Z675" s="213"/>
      <c r="AA675" s="213"/>
      <c r="AB675" s="213"/>
      <c r="AC675" s="213"/>
      <c r="AD675" s="213"/>
      <c r="AE675" s="213"/>
      <c r="AF675" s="213"/>
      <c r="AG675" s="213"/>
      <c r="AH675" s="213"/>
      <c r="AI675" s="213"/>
      <c r="AJ675" s="213"/>
      <c r="AK675" s="213"/>
      <c r="AL675" s="213"/>
      <c r="AM675" s="213"/>
      <c r="AN675" s="213"/>
      <c r="AO675" s="213"/>
      <c r="AP675" s="213"/>
      <c r="AQ675" s="213"/>
      <c r="AR675" s="213"/>
      <c r="AS675" s="213"/>
      <c r="AT675" s="213"/>
      <c r="AU675" s="213"/>
      <c r="AV675" s="213"/>
      <c r="AW675" s="213"/>
      <c r="AX675" s="213"/>
      <c r="AY675" s="213"/>
      <c r="AZ675" s="213"/>
      <c r="BA675" s="213"/>
      <c r="BB675" s="213"/>
    </row>
    <row r="676" ht="15.75" customHeight="1">
      <c r="A676" s="213"/>
      <c r="B676" s="213"/>
      <c r="C676" s="213"/>
      <c r="D676" s="213"/>
      <c r="E676" s="213"/>
      <c r="F676" s="213"/>
      <c r="G676" s="213"/>
      <c r="H676" s="213"/>
      <c r="I676" s="213"/>
      <c r="J676" s="213"/>
      <c r="K676" s="215"/>
      <c r="L676" s="213"/>
      <c r="M676" s="215"/>
      <c r="N676" s="213"/>
      <c r="O676" s="213"/>
      <c r="P676" s="213"/>
      <c r="Q676" s="213"/>
      <c r="R676" s="213"/>
      <c r="S676" s="213"/>
      <c r="T676" s="213"/>
      <c r="U676" s="213"/>
      <c r="V676" s="213"/>
      <c r="W676" s="213"/>
      <c r="X676" s="213"/>
      <c r="Y676" s="213"/>
      <c r="Z676" s="213"/>
      <c r="AA676" s="213"/>
      <c r="AB676" s="213"/>
      <c r="AC676" s="213"/>
      <c r="AD676" s="213"/>
      <c r="AE676" s="213"/>
      <c r="AF676" s="213"/>
      <c r="AG676" s="213"/>
      <c r="AH676" s="213"/>
      <c r="AI676" s="213"/>
      <c r="AJ676" s="213"/>
      <c r="AK676" s="213"/>
      <c r="AL676" s="213"/>
      <c r="AM676" s="213"/>
      <c r="AN676" s="213"/>
      <c r="AO676" s="213"/>
      <c r="AP676" s="213"/>
      <c r="AQ676" s="213"/>
      <c r="AR676" s="213"/>
      <c r="AS676" s="213"/>
      <c r="AT676" s="213"/>
      <c r="AU676" s="213"/>
      <c r="AV676" s="213"/>
      <c r="AW676" s="213"/>
      <c r="AX676" s="213"/>
      <c r="AY676" s="213"/>
      <c r="AZ676" s="213"/>
      <c r="BA676" s="213"/>
      <c r="BB676" s="213"/>
    </row>
    <row r="677" ht="15.75" customHeight="1">
      <c r="A677" s="213"/>
      <c r="B677" s="213"/>
      <c r="C677" s="213"/>
      <c r="D677" s="213"/>
      <c r="E677" s="213"/>
      <c r="F677" s="213"/>
      <c r="G677" s="213"/>
      <c r="H677" s="213"/>
      <c r="I677" s="213"/>
      <c r="J677" s="213"/>
      <c r="K677" s="215"/>
      <c r="L677" s="213"/>
      <c r="M677" s="215"/>
      <c r="N677" s="213"/>
      <c r="O677" s="213"/>
      <c r="P677" s="213"/>
      <c r="Q677" s="213"/>
      <c r="R677" s="213"/>
      <c r="S677" s="213"/>
      <c r="T677" s="213"/>
      <c r="U677" s="213"/>
      <c r="V677" s="213"/>
      <c r="W677" s="213"/>
      <c r="X677" s="213"/>
      <c r="Y677" s="213"/>
      <c r="Z677" s="213"/>
      <c r="AA677" s="213"/>
      <c r="AB677" s="213"/>
      <c r="AC677" s="213"/>
      <c r="AD677" s="213"/>
      <c r="AE677" s="213"/>
      <c r="AF677" s="213"/>
      <c r="AG677" s="213"/>
      <c r="AH677" s="213"/>
      <c r="AI677" s="213"/>
      <c r="AJ677" s="213"/>
      <c r="AK677" s="213"/>
      <c r="AL677" s="213"/>
      <c r="AM677" s="213"/>
      <c r="AN677" s="213"/>
      <c r="AO677" s="213"/>
      <c r="AP677" s="213"/>
      <c r="AQ677" s="213"/>
      <c r="AR677" s="213"/>
      <c r="AS677" s="213"/>
      <c r="AT677" s="213"/>
      <c r="AU677" s="213"/>
      <c r="AV677" s="213"/>
      <c r="AW677" s="213"/>
      <c r="AX677" s="213"/>
      <c r="AY677" s="213"/>
      <c r="AZ677" s="213"/>
      <c r="BA677" s="213"/>
      <c r="BB677" s="213"/>
    </row>
    <row r="678" ht="15.75" customHeight="1">
      <c r="A678" s="213"/>
      <c r="B678" s="213"/>
      <c r="C678" s="213"/>
      <c r="D678" s="213"/>
      <c r="E678" s="213"/>
      <c r="F678" s="213"/>
      <c r="G678" s="213"/>
      <c r="H678" s="213"/>
      <c r="I678" s="213"/>
      <c r="J678" s="213"/>
      <c r="K678" s="215"/>
      <c r="L678" s="213"/>
      <c r="M678" s="215"/>
      <c r="N678" s="213"/>
      <c r="O678" s="213"/>
      <c r="P678" s="213"/>
      <c r="Q678" s="213"/>
      <c r="R678" s="213"/>
      <c r="S678" s="213"/>
      <c r="T678" s="213"/>
      <c r="U678" s="213"/>
      <c r="V678" s="213"/>
      <c r="W678" s="213"/>
      <c r="X678" s="213"/>
      <c r="Y678" s="213"/>
      <c r="Z678" s="213"/>
      <c r="AA678" s="213"/>
      <c r="AB678" s="213"/>
      <c r="AC678" s="213"/>
      <c r="AD678" s="213"/>
      <c r="AE678" s="213"/>
      <c r="AF678" s="213"/>
      <c r="AG678" s="213"/>
      <c r="AH678" s="213"/>
      <c r="AI678" s="213"/>
      <c r="AJ678" s="213"/>
      <c r="AK678" s="213"/>
      <c r="AL678" s="213"/>
      <c r="AM678" s="213"/>
      <c r="AN678" s="213"/>
      <c r="AO678" s="213"/>
      <c r="AP678" s="213"/>
      <c r="AQ678" s="213"/>
      <c r="AR678" s="213"/>
      <c r="AS678" s="213"/>
      <c r="AT678" s="213"/>
      <c r="AU678" s="213"/>
      <c r="AV678" s="213"/>
      <c r="AW678" s="213"/>
      <c r="AX678" s="213"/>
      <c r="AY678" s="213"/>
      <c r="AZ678" s="213"/>
      <c r="BA678" s="213"/>
      <c r="BB678" s="213"/>
    </row>
    <row r="679" ht="15.75" customHeight="1">
      <c r="A679" s="213"/>
      <c r="B679" s="213"/>
      <c r="C679" s="213"/>
      <c r="D679" s="213"/>
      <c r="E679" s="213"/>
      <c r="F679" s="213"/>
      <c r="G679" s="213"/>
      <c r="H679" s="213"/>
      <c r="I679" s="213"/>
      <c r="J679" s="213"/>
      <c r="K679" s="215"/>
      <c r="L679" s="213"/>
      <c r="M679" s="215"/>
      <c r="N679" s="213"/>
      <c r="O679" s="213"/>
      <c r="P679" s="213"/>
      <c r="Q679" s="213"/>
      <c r="R679" s="213"/>
      <c r="S679" s="213"/>
      <c r="T679" s="213"/>
      <c r="U679" s="213"/>
      <c r="V679" s="213"/>
      <c r="W679" s="213"/>
      <c r="X679" s="213"/>
      <c r="Y679" s="213"/>
      <c r="Z679" s="213"/>
      <c r="AA679" s="213"/>
      <c r="AB679" s="213"/>
      <c r="AC679" s="213"/>
      <c r="AD679" s="213"/>
      <c r="AE679" s="213"/>
      <c r="AF679" s="213"/>
      <c r="AG679" s="213"/>
      <c r="AH679" s="213"/>
      <c r="AI679" s="213"/>
      <c r="AJ679" s="213"/>
      <c r="AK679" s="213"/>
      <c r="AL679" s="213"/>
      <c r="AM679" s="213"/>
      <c r="AN679" s="213"/>
      <c r="AO679" s="213"/>
      <c r="AP679" s="213"/>
      <c r="AQ679" s="213"/>
      <c r="AR679" s="213"/>
      <c r="AS679" s="213"/>
      <c r="AT679" s="213"/>
      <c r="AU679" s="213"/>
      <c r="AV679" s="213"/>
      <c r="AW679" s="213"/>
      <c r="AX679" s="213"/>
      <c r="AY679" s="213"/>
      <c r="AZ679" s="213"/>
      <c r="BA679" s="213"/>
      <c r="BB679" s="213"/>
    </row>
    <row r="680" ht="15.75" customHeight="1">
      <c r="A680" s="213"/>
      <c r="B680" s="213"/>
      <c r="C680" s="213"/>
      <c r="D680" s="213"/>
      <c r="E680" s="213"/>
      <c r="F680" s="213"/>
      <c r="G680" s="213"/>
      <c r="H680" s="213"/>
      <c r="I680" s="213"/>
      <c r="J680" s="213"/>
      <c r="K680" s="215"/>
      <c r="L680" s="213"/>
      <c r="M680" s="215"/>
      <c r="N680" s="213"/>
      <c r="O680" s="213"/>
      <c r="P680" s="213"/>
      <c r="Q680" s="213"/>
      <c r="R680" s="213"/>
      <c r="S680" s="213"/>
      <c r="T680" s="213"/>
      <c r="U680" s="213"/>
      <c r="V680" s="213"/>
      <c r="W680" s="213"/>
      <c r="X680" s="213"/>
      <c r="Y680" s="213"/>
      <c r="Z680" s="213"/>
      <c r="AA680" s="213"/>
      <c r="AB680" s="213"/>
      <c r="AC680" s="213"/>
      <c r="AD680" s="213"/>
      <c r="AE680" s="213"/>
      <c r="AF680" s="213"/>
      <c r="AG680" s="213"/>
      <c r="AH680" s="213"/>
      <c r="AI680" s="213"/>
      <c r="AJ680" s="213"/>
      <c r="AK680" s="213"/>
      <c r="AL680" s="213"/>
      <c r="AM680" s="213"/>
      <c r="AN680" s="213"/>
      <c r="AO680" s="213"/>
      <c r="AP680" s="213"/>
      <c r="AQ680" s="213"/>
      <c r="AR680" s="213"/>
      <c r="AS680" s="213"/>
      <c r="AT680" s="213"/>
      <c r="AU680" s="213"/>
      <c r="AV680" s="213"/>
      <c r="AW680" s="213"/>
      <c r="AX680" s="213"/>
      <c r="AY680" s="213"/>
      <c r="AZ680" s="213"/>
      <c r="BA680" s="213"/>
      <c r="BB680" s="213"/>
    </row>
    <row r="681" ht="15.75" customHeight="1">
      <c r="A681" s="213"/>
      <c r="B681" s="213"/>
      <c r="C681" s="213"/>
      <c r="D681" s="213"/>
      <c r="E681" s="213"/>
      <c r="F681" s="213"/>
      <c r="G681" s="213"/>
      <c r="H681" s="213"/>
      <c r="I681" s="213"/>
      <c r="J681" s="213"/>
      <c r="K681" s="215"/>
      <c r="L681" s="213"/>
      <c r="M681" s="215"/>
      <c r="N681" s="213"/>
      <c r="O681" s="213"/>
      <c r="P681" s="213"/>
      <c r="Q681" s="213"/>
      <c r="R681" s="213"/>
      <c r="S681" s="213"/>
      <c r="T681" s="213"/>
      <c r="U681" s="213"/>
      <c r="V681" s="213"/>
      <c r="W681" s="213"/>
      <c r="X681" s="213"/>
      <c r="Y681" s="213"/>
      <c r="Z681" s="213"/>
      <c r="AA681" s="213"/>
      <c r="AB681" s="213"/>
      <c r="AC681" s="213"/>
      <c r="AD681" s="213"/>
      <c r="AE681" s="213"/>
      <c r="AF681" s="213"/>
      <c r="AG681" s="213"/>
      <c r="AH681" s="213"/>
      <c r="AI681" s="213"/>
      <c r="AJ681" s="213"/>
      <c r="AK681" s="213"/>
      <c r="AL681" s="213"/>
      <c r="AM681" s="213"/>
      <c r="AN681" s="213"/>
      <c r="AO681" s="213"/>
      <c r="AP681" s="213"/>
      <c r="AQ681" s="213"/>
      <c r="AR681" s="213"/>
      <c r="AS681" s="213"/>
      <c r="AT681" s="213"/>
      <c r="AU681" s="213"/>
      <c r="AV681" s="213"/>
      <c r="AW681" s="213"/>
      <c r="AX681" s="213"/>
      <c r="AY681" s="213"/>
      <c r="AZ681" s="213"/>
      <c r="BA681" s="213"/>
      <c r="BB681" s="213"/>
    </row>
    <row r="682" ht="15.75" customHeight="1">
      <c r="A682" s="213"/>
      <c r="B682" s="213"/>
      <c r="C682" s="213"/>
      <c r="D682" s="213"/>
      <c r="E682" s="213"/>
      <c r="F682" s="213"/>
      <c r="G682" s="213"/>
      <c r="H682" s="213"/>
      <c r="I682" s="213"/>
      <c r="J682" s="213"/>
      <c r="K682" s="215"/>
      <c r="L682" s="213"/>
      <c r="M682" s="215"/>
      <c r="N682" s="213"/>
      <c r="O682" s="213"/>
      <c r="P682" s="213"/>
      <c r="Q682" s="213"/>
      <c r="R682" s="213"/>
      <c r="S682" s="213"/>
      <c r="T682" s="213"/>
      <c r="U682" s="213"/>
      <c r="V682" s="213"/>
      <c r="W682" s="213"/>
      <c r="X682" s="213"/>
      <c r="Y682" s="213"/>
      <c r="Z682" s="213"/>
      <c r="AA682" s="213"/>
      <c r="AB682" s="213"/>
      <c r="AC682" s="213"/>
      <c r="AD682" s="213"/>
      <c r="AE682" s="213"/>
      <c r="AF682" s="213"/>
      <c r="AG682" s="213"/>
      <c r="AH682" s="213"/>
      <c r="AI682" s="213"/>
      <c r="AJ682" s="213"/>
      <c r="AK682" s="213"/>
      <c r="AL682" s="213"/>
      <c r="AM682" s="213"/>
      <c r="AN682" s="213"/>
      <c r="AO682" s="213"/>
      <c r="AP682" s="213"/>
      <c r="AQ682" s="213"/>
      <c r="AR682" s="213"/>
      <c r="AS682" s="213"/>
      <c r="AT682" s="213"/>
      <c r="AU682" s="213"/>
      <c r="AV682" s="213"/>
      <c r="AW682" s="213"/>
      <c r="AX682" s="213"/>
      <c r="AY682" s="213"/>
      <c r="AZ682" s="213"/>
      <c r="BA682" s="213"/>
      <c r="BB682" s="213"/>
    </row>
    <row r="683" ht="15.75" customHeight="1">
      <c r="A683" s="213"/>
      <c r="B683" s="213"/>
      <c r="C683" s="213"/>
      <c r="D683" s="213"/>
      <c r="E683" s="213"/>
      <c r="F683" s="213"/>
      <c r="G683" s="213"/>
      <c r="H683" s="213"/>
      <c r="I683" s="213"/>
      <c r="J683" s="213"/>
      <c r="K683" s="215"/>
      <c r="L683" s="213"/>
      <c r="M683" s="215"/>
      <c r="N683" s="213"/>
      <c r="O683" s="213"/>
      <c r="P683" s="213"/>
      <c r="Q683" s="213"/>
      <c r="R683" s="213"/>
      <c r="S683" s="213"/>
      <c r="T683" s="213"/>
      <c r="U683" s="213"/>
      <c r="V683" s="213"/>
      <c r="W683" s="213"/>
      <c r="X683" s="213"/>
      <c r="Y683" s="213"/>
      <c r="Z683" s="213"/>
      <c r="AA683" s="213"/>
      <c r="AB683" s="213"/>
      <c r="AC683" s="213"/>
      <c r="AD683" s="213"/>
      <c r="AE683" s="213"/>
      <c r="AF683" s="213"/>
      <c r="AG683" s="213"/>
      <c r="AH683" s="213"/>
      <c r="AI683" s="213"/>
      <c r="AJ683" s="213"/>
      <c r="AK683" s="213"/>
      <c r="AL683" s="213"/>
      <c r="AM683" s="213"/>
      <c r="AN683" s="213"/>
      <c r="AO683" s="213"/>
      <c r="AP683" s="213"/>
      <c r="AQ683" s="213"/>
      <c r="AR683" s="213"/>
      <c r="AS683" s="213"/>
      <c r="AT683" s="213"/>
      <c r="AU683" s="213"/>
      <c r="AV683" s="213"/>
      <c r="AW683" s="213"/>
      <c r="AX683" s="213"/>
      <c r="AY683" s="213"/>
      <c r="AZ683" s="213"/>
      <c r="BA683" s="213"/>
      <c r="BB683" s="213"/>
    </row>
    <row r="684" ht="15.75" customHeight="1">
      <c r="A684" s="213"/>
      <c r="B684" s="213"/>
      <c r="C684" s="213"/>
      <c r="D684" s="213"/>
      <c r="E684" s="213"/>
      <c r="F684" s="213"/>
      <c r="G684" s="213"/>
      <c r="H684" s="213"/>
      <c r="I684" s="213"/>
      <c r="J684" s="213"/>
      <c r="K684" s="215"/>
      <c r="L684" s="213"/>
      <c r="M684" s="215"/>
      <c r="N684" s="213"/>
      <c r="O684" s="213"/>
      <c r="P684" s="213"/>
      <c r="Q684" s="213"/>
      <c r="R684" s="213"/>
      <c r="S684" s="213"/>
      <c r="T684" s="213"/>
      <c r="U684" s="213"/>
      <c r="V684" s="213"/>
      <c r="W684" s="213"/>
      <c r="X684" s="213"/>
      <c r="Y684" s="213"/>
      <c r="Z684" s="213"/>
      <c r="AA684" s="213"/>
      <c r="AB684" s="213"/>
      <c r="AC684" s="213"/>
      <c r="AD684" s="213"/>
      <c r="AE684" s="213"/>
      <c r="AF684" s="213"/>
      <c r="AG684" s="213"/>
      <c r="AH684" s="213"/>
      <c r="AI684" s="213"/>
      <c r="AJ684" s="213"/>
      <c r="AK684" s="213"/>
      <c r="AL684" s="213"/>
      <c r="AM684" s="213"/>
      <c r="AN684" s="213"/>
      <c r="AO684" s="213"/>
      <c r="AP684" s="213"/>
      <c r="AQ684" s="213"/>
      <c r="AR684" s="213"/>
      <c r="AS684" s="213"/>
      <c r="AT684" s="213"/>
      <c r="AU684" s="213"/>
      <c r="AV684" s="213"/>
      <c r="AW684" s="213"/>
      <c r="AX684" s="213"/>
      <c r="AY684" s="213"/>
      <c r="AZ684" s="213"/>
      <c r="BA684" s="213"/>
      <c r="BB684" s="213"/>
    </row>
    <row r="685" ht="15.75" customHeight="1">
      <c r="A685" s="213"/>
      <c r="B685" s="213"/>
      <c r="C685" s="213"/>
      <c r="D685" s="213"/>
      <c r="E685" s="213"/>
      <c r="F685" s="213"/>
      <c r="G685" s="213"/>
      <c r="H685" s="213"/>
      <c r="I685" s="213"/>
      <c r="J685" s="213"/>
      <c r="K685" s="215"/>
      <c r="L685" s="213"/>
      <c r="M685" s="215"/>
      <c r="N685" s="213"/>
      <c r="O685" s="213"/>
      <c r="P685" s="213"/>
      <c r="Q685" s="213"/>
      <c r="R685" s="213"/>
      <c r="S685" s="213"/>
      <c r="T685" s="213"/>
      <c r="U685" s="213"/>
      <c r="V685" s="213"/>
      <c r="W685" s="213"/>
      <c r="X685" s="213"/>
      <c r="Y685" s="213"/>
      <c r="Z685" s="213"/>
      <c r="AA685" s="213"/>
      <c r="AB685" s="213"/>
      <c r="AC685" s="213"/>
      <c r="AD685" s="213"/>
      <c r="AE685" s="213"/>
      <c r="AF685" s="213"/>
      <c r="AG685" s="213"/>
      <c r="AH685" s="213"/>
      <c r="AI685" s="213"/>
      <c r="AJ685" s="213"/>
      <c r="AK685" s="213"/>
      <c r="AL685" s="213"/>
      <c r="AM685" s="213"/>
      <c r="AN685" s="213"/>
      <c r="AO685" s="213"/>
      <c r="AP685" s="213"/>
      <c r="AQ685" s="213"/>
      <c r="AR685" s="213"/>
      <c r="AS685" s="213"/>
      <c r="AT685" s="213"/>
      <c r="AU685" s="213"/>
      <c r="AV685" s="213"/>
      <c r="AW685" s="213"/>
      <c r="AX685" s="213"/>
      <c r="AY685" s="213"/>
      <c r="AZ685" s="213"/>
      <c r="BA685" s="213"/>
      <c r="BB685" s="213"/>
    </row>
    <row r="686" ht="15.75" customHeight="1">
      <c r="A686" s="213"/>
      <c r="B686" s="213"/>
      <c r="C686" s="213"/>
      <c r="D686" s="213"/>
      <c r="E686" s="213"/>
      <c r="F686" s="213"/>
      <c r="G686" s="213"/>
      <c r="H686" s="213"/>
      <c r="I686" s="213"/>
      <c r="J686" s="213"/>
      <c r="K686" s="215"/>
      <c r="L686" s="213"/>
      <c r="M686" s="215"/>
      <c r="N686" s="213"/>
      <c r="O686" s="213"/>
      <c r="P686" s="213"/>
      <c r="Q686" s="213"/>
      <c r="R686" s="213"/>
      <c r="S686" s="213"/>
      <c r="T686" s="213"/>
      <c r="U686" s="213"/>
      <c r="V686" s="213"/>
      <c r="W686" s="213"/>
      <c r="X686" s="213"/>
      <c r="Y686" s="213"/>
      <c r="Z686" s="213"/>
      <c r="AA686" s="213"/>
      <c r="AB686" s="213"/>
      <c r="AC686" s="213"/>
      <c r="AD686" s="213"/>
      <c r="AE686" s="213"/>
      <c r="AF686" s="213"/>
      <c r="AG686" s="213"/>
      <c r="AH686" s="213"/>
      <c r="AI686" s="213"/>
      <c r="AJ686" s="213"/>
      <c r="AK686" s="213"/>
      <c r="AL686" s="213"/>
      <c r="AM686" s="213"/>
      <c r="AN686" s="213"/>
      <c r="AO686" s="213"/>
      <c r="AP686" s="213"/>
      <c r="AQ686" s="213"/>
      <c r="AR686" s="213"/>
      <c r="AS686" s="213"/>
      <c r="AT686" s="213"/>
      <c r="AU686" s="213"/>
      <c r="AV686" s="213"/>
      <c r="AW686" s="213"/>
      <c r="AX686" s="213"/>
      <c r="AY686" s="213"/>
      <c r="AZ686" s="213"/>
      <c r="BA686" s="213"/>
      <c r="BB686" s="213"/>
    </row>
    <row r="687" ht="15.75" customHeight="1">
      <c r="A687" s="213"/>
      <c r="B687" s="213"/>
      <c r="C687" s="213"/>
      <c r="D687" s="213"/>
      <c r="E687" s="213"/>
      <c r="F687" s="213"/>
      <c r="G687" s="213"/>
      <c r="H687" s="213"/>
      <c r="I687" s="213"/>
      <c r="J687" s="213"/>
      <c r="K687" s="215"/>
      <c r="L687" s="213"/>
      <c r="M687" s="215"/>
      <c r="N687" s="213"/>
      <c r="O687" s="213"/>
      <c r="P687" s="213"/>
      <c r="Q687" s="213"/>
      <c r="R687" s="213"/>
      <c r="S687" s="213"/>
      <c r="T687" s="213"/>
      <c r="U687" s="213"/>
      <c r="V687" s="213"/>
      <c r="W687" s="213"/>
      <c r="X687" s="213"/>
      <c r="Y687" s="213"/>
      <c r="Z687" s="213"/>
      <c r="AA687" s="213"/>
      <c r="AB687" s="213"/>
      <c r="AC687" s="213"/>
      <c r="AD687" s="213"/>
      <c r="AE687" s="213"/>
      <c r="AF687" s="213"/>
      <c r="AG687" s="213"/>
      <c r="AH687" s="213"/>
      <c r="AI687" s="213"/>
      <c r="AJ687" s="213"/>
      <c r="AK687" s="213"/>
      <c r="AL687" s="213"/>
      <c r="AM687" s="213"/>
      <c r="AN687" s="213"/>
      <c r="AO687" s="213"/>
      <c r="AP687" s="213"/>
      <c r="AQ687" s="213"/>
      <c r="AR687" s="213"/>
      <c r="AS687" s="213"/>
      <c r="AT687" s="213"/>
      <c r="AU687" s="213"/>
      <c r="AV687" s="213"/>
      <c r="AW687" s="213"/>
      <c r="AX687" s="213"/>
      <c r="AY687" s="213"/>
      <c r="AZ687" s="213"/>
      <c r="BA687" s="213"/>
      <c r="BB687" s="213"/>
    </row>
    <row r="688" ht="15.75" customHeight="1">
      <c r="A688" s="213"/>
      <c r="B688" s="213"/>
      <c r="C688" s="213"/>
      <c r="D688" s="213"/>
      <c r="E688" s="213"/>
      <c r="F688" s="213"/>
      <c r="G688" s="213"/>
      <c r="H688" s="213"/>
      <c r="I688" s="213"/>
      <c r="J688" s="213"/>
      <c r="K688" s="215"/>
      <c r="L688" s="213"/>
      <c r="M688" s="215"/>
      <c r="N688" s="213"/>
      <c r="O688" s="213"/>
      <c r="P688" s="213"/>
      <c r="Q688" s="213"/>
      <c r="R688" s="213"/>
      <c r="S688" s="213"/>
      <c r="T688" s="213"/>
      <c r="U688" s="213"/>
      <c r="V688" s="213"/>
      <c r="W688" s="213"/>
      <c r="X688" s="213"/>
      <c r="Y688" s="213"/>
      <c r="Z688" s="213"/>
      <c r="AA688" s="213"/>
      <c r="AB688" s="213"/>
      <c r="AC688" s="213"/>
      <c r="AD688" s="213"/>
      <c r="AE688" s="213"/>
      <c r="AF688" s="213"/>
      <c r="AG688" s="213"/>
      <c r="AH688" s="213"/>
      <c r="AI688" s="213"/>
      <c r="AJ688" s="213"/>
      <c r="AK688" s="213"/>
      <c r="AL688" s="213"/>
      <c r="AM688" s="213"/>
      <c r="AN688" s="213"/>
      <c r="AO688" s="213"/>
      <c r="AP688" s="213"/>
      <c r="AQ688" s="213"/>
      <c r="AR688" s="213"/>
      <c r="AS688" s="213"/>
      <c r="AT688" s="213"/>
      <c r="AU688" s="213"/>
      <c r="AV688" s="213"/>
      <c r="AW688" s="213"/>
      <c r="AX688" s="213"/>
      <c r="AY688" s="213"/>
      <c r="AZ688" s="213"/>
      <c r="BA688" s="213"/>
      <c r="BB688" s="213"/>
    </row>
    <row r="689" ht="15.75" customHeight="1">
      <c r="A689" s="213"/>
      <c r="B689" s="213"/>
      <c r="C689" s="213"/>
      <c r="D689" s="213"/>
      <c r="E689" s="213"/>
      <c r="F689" s="213"/>
      <c r="G689" s="213"/>
      <c r="H689" s="213"/>
      <c r="I689" s="213"/>
      <c r="J689" s="213"/>
      <c r="K689" s="215"/>
      <c r="L689" s="213"/>
      <c r="M689" s="215"/>
      <c r="N689" s="213"/>
      <c r="O689" s="213"/>
      <c r="P689" s="213"/>
      <c r="Q689" s="213"/>
      <c r="R689" s="213"/>
      <c r="S689" s="213"/>
      <c r="T689" s="213"/>
      <c r="U689" s="213"/>
      <c r="V689" s="213"/>
      <c r="W689" s="213"/>
      <c r="X689" s="213"/>
      <c r="Y689" s="213"/>
      <c r="Z689" s="213"/>
      <c r="AA689" s="213"/>
      <c r="AB689" s="213"/>
      <c r="AC689" s="213"/>
      <c r="AD689" s="213"/>
      <c r="AE689" s="213"/>
      <c r="AF689" s="213"/>
      <c r="AG689" s="213"/>
      <c r="AH689" s="213"/>
      <c r="AI689" s="213"/>
      <c r="AJ689" s="213"/>
      <c r="AK689" s="213"/>
      <c r="AL689" s="213"/>
      <c r="AM689" s="213"/>
      <c r="AN689" s="213"/>
      <c r="AO689" s="213"/>
      <c r="AP689" s="213"/>
      <c r="AQ689" s="213"/>
      <c r="AR689" s="213"/>
      <c r="AS689" s="213"/>
      <c r="AT689" s="213"/>
      <c r="AU689" s="213"/>
      <c r="AV689" s="213"/>
      <c r="AW689" s="213"/>
      <c r="AX689" s="213"/>
      <c r="AY689" s="213"/>
      <c r="AZ689" s="213"/>
      <c r="BA689" s="213"/>
      <c r="BB689" s="213"/>
    </row>
    <row r="690" ht="15.75" customHeight="1">
      <c r="A690" s="213"/>
      <c r="B690" s="213"/>
      <c r="C690" s="213"/>
      <c r="D690" s="213"/>
      <c r="E690" s="213"/>
      <c r="F690" s="213"/>
      <c r="G690" s="213"/>
      <c r="H690" s="213"/>
      <c r="I690" s="213"/>
      <c r="J690" s="213"/>
      <c r="K690" s="215"/>
      <c r="L690" s="213"/>
      <c r="M690" s="215"/>
      <c r="N690" s="213"/>
      <c r="O690" s="213"/>
      <c r="P690" s="213"/>
      <c r="Q690" s="213"/>
      <c r="R690" s="213"/>
      <c r="S690" s="213"/>
      <c r="T690" s="213"/>
      <c r="U690" s="213"/>
      <c r="V690" s="213"/>
      <c r="W690" s="213"/>
      <c r="X690" s="213"/>
      <c r="Y690" s="213"/>
      <c r="Z690" s="213"/>
      <c r="AA690" s="213"/>
      <c r="AB690" s="213"/>
      <c r="AC690" s="213"/>
      <c r="AD690" s="213"/>
      <c r="AE690" s="213"/>
      <c r="AF690" s="213"/>
      <c r="AG690" s="213"/>
      <c r="AH690" s="213"/>
      <c r="AI690" s="213"/>
      <c r="AJ690" s="213"/>
      <c r="AK690" s="213"/>
      <c r="AL690" s="213"/>
      <c r="AM690" s="213"/>
      <c r="AN690" s="213"/>
      <c r="AO690" s="213"/>
      <c r="AP690" s="213"/>
      <c r="AQ690" s="213"/>
      <c r="AR690" s="213"/>
      <c r="AS690" s="213"/>
      <c r="AT690" s="213"/>
      <c r="AU690" s="213"/>
      <c r="AV690" s="213"/>
      <c r="AW690" s="213"/>
      <c r="AX690" s="213"/>
      <c r="AY690" s="213"/>
      <c r="AZ690" s="213"/>
      <c r="BA690" s="213"/>
      <c r="BB690" s="213"/>
    </row>
    <row r="691" ht="15.75" customHeight="1">
      <c r="A691" s="213"/>
      <c r="B691" s="213"/>
      <c r="C691" s="213"/>
      <c r="D691" s="213"/>
      <c r="E691" s="213"/>
      <c r="F691" s="213"/>
      <c r="G691" s="213"/>
      <c r="H691" s="213"/>
      <c r="I691" s="213"/>
      <c r="J691" s="213"/>
      <c r="K691" s="215"/>
      <c r="L691" s="213"/>
      <c r="M691" s="215"/>
      <c r="N691" s="213"/>
      <c r="O691" s="213"/>
      <c r="P691" s="213"/>
      <c r="Q691" s="213"/>
      <c r="R691" s="213"/>
      <c r="S691" s="213"/>
      <c r="T691" s="213"/>
      <c r="U691" s="213"/>
      <c r="V691" s="213"/>
      <c r="W691" s="213"/>
      <c r="X691" s="213"/>
      <c r="Y691" s="213"/>
      <c r="Z691" s="213"/>
      <c r="AA691" s="213"/>
      <c r="AB691" s="213"/>
      <c r="AC691" s="213"/>
      <c r="AD691" s="213"/>
      <c r="AE691" s="213"/>
      <c r="AF691" s="213"/>
      <c r="AG691" s="213"/>
      <c r="AH691" s="213"/>
      <c r="AI691" s="213"/>
      <c r="AJ691" s="213"/>
      <c r="AK691" s="213"/>
      <c r="AL691" s="213"/>
      <c r="AM691" s="213"/>
      <c r="AN691" s="213"/>
      <c r="AO691" s="213"/>
      <c r="AP691" s="213"/>
      <c r="AQ691" s="213"/>
      <c r="AR691" s="213"/>
      <c r="AS691" s="213"/>
      <c r="AT691" s="213"/>
      <c r="AU691" s="213"/>
      <c r="AV691" s="213"/>
      <c r="AW691" s="213"/>
      <c r="AX691" s="213"/>
      <c r="AY691" s="213"/>
      <c r="AZ691" s="213"/>
      <c r="BA691" s="213"/>
      <c r="BB691" s="213"/>
    </row>
    <row r="692" ht="15.75" customHeight="1">
      <c r="A692" s="213"/>
      <c r="B692" s="213"/>
      <c r="C692" s="213"/>
      <c r="D692" s="213"/>
      <c r="E692" s="213"/>
      <c r="F692" s="213"/>
      <c r="G692" s="213"/>
      <c r="H692" s="213"/>
      <c r="I692" s="213"/>
      <c r="J692" s="213"/>
      <c r="K692" s="215"/>
      <c r="L692" s="213"/>
      <c r="M692" s="215"/>
      <c r="N692" s="213"/>
      <c r="O692" s="213"/>
      <c r="P692" s="213"/>
      <c r="Q692" s="213"/>
      <c r="R692" s="213"/>
      <c r="S692" s="213"/>
      <c r="T692" s="213"/>
      <c r="U692" s="213"/>
      <c r="V692" s="213"/>
      <c r="W692" s="213"/>
      <c r="X692" s="213"/>
      <c r="Y692" s="213"/>
      <c r="Z692" s="213"/>
      <c r="AA692" s="213"/>
      <c r="AB692" s="213"/>
      <c r="AC692" s="213"/>
      <c r="AD692" s="213"/>
      <c r="AE692" s="213"/>
      <c r="AF692" s="213"/>
      <c r="AG692" s="213"/>
      <c r="AH692" s="213"/>
      <c r="AI692" s="213"/>
      <c r="AJ692" s="213"/>
      <c r="AK692" s="213"/>
      <c r="AL692" s="213"/>
      <c r="AM692" s="213"/>
      <c r="AN692" s="213"/>
      <c r="AO692" s="213"/>
      <c r="AP692" s="213"/>
      <c r="AQ692" s="213"/>
      <c r="AR692" s="213"/>
      <c r="AS692" s="213"/>
      <c r="AT692" s="213"/>
      <c r="AU692" s="213"/>
      <c r="AV692" s="213"/>
      <c r="AW692" s="213"/>
      <c r="AX692" s="213"/>
      <c r="AY692" s="213"/>
      <c r="AZ692" s="213"/>
      <c r="BA692" s="213"/>
      <c r="BB692" s="213"/>
    </row>
    <row r="693" ht="15.75" customHeight="1">
      <c r="A693" s="213"/>
      <c r="B693" s="213"/>
      <c r="C693" s="213"/>
      <c r="D693" s="213"/>
      <c r="E693" s="213"/>
      <c r="F693" s="213"/>
      <c r="G693" s="213"/>
      <c r="H693" s="213"/>
      <c r="I693" s="213"/>
      <c r="J693" s="213"/>
      <c r="K693" s="215"/>
      <c r="L693" s="213"/>
      <c r="M693" s="215"/>
      <c r="N693" s="213"/>
      <c r="O693" s="213"/>
      <c r="P693" s="213"/>
      <c r="Q693" s="213"/>
      <c r="R693" s="213"/>
      <c r="S693" s="213"/>
      <c r="T693" s="213"/>
      <c r="U693" s="213"/>
      <c r="V693" s="213"/>
      <c r="W693" s="213"/>
      <c r="X693" s="213"/>
      <c r="Y693" s="213"/>
      <c r="Z693" s="213"/>
      <c r="AA693" s="213"/>
      <c r="AB693" s="213"/>
      <c r="AC693" s="213"/>
      <c r="AD693" s="213"/>
      <c r="AE693" s="213"/>
      <c r="AF693" s="213"/>
      <c r="AG693" s="213"/>
      <c r="AH693" s="213"/>
      <c r="AI693" s="213"/>
      <c r="AJ693" s="213"/>
      <c r="AK693" s="213"/>
      <c r="AL693" s="213"/>
      <c r="AM693" s="213"/>
      <c r="AN693" s="213"/>
      <c r="AO693" s="213"/>
      <c r="AP693" s="213"/>
      <c r="AQ693" s="213"/>
      <c r="AR693" s="213"/>
      <c r="AS693" s="213"/>
      <c r="AT693" s="213"/>
      <c r="AU693" s="213"/>
      <c r="AV693" s="213"/>
      <c r="AW693" s="213"/>
      <c r="AX693" s="213"/>
      <c r="AY693" s="213"/>
      <c r="AZ693" s="213"/>
      <c r="BA693" s="213"/>
      <c r="BB693" s="213"/>
    </row>
    <row r="694" ht="15.75" customHeight="1">
      <c r="A694" s="213"/>
      <c r="B694" s="213"/>
      <c r="C694" s="213"/>
      <c r="D694" s="213"/>
      <c r="E694" s="213"/>
      <c r="F694" s="213"/>
      <c r="G694" s="213"/>
      <c r="H694" s="213"/>
      <c r="I694" s="213"/>
      <c r="J694" s="213"/>
      <c r="K694" s="215"/>
      <c r="L694" s="213"/>
      <c r="M694" s="215"/>
      <c r="N694" s="213"/>
      <c r="O694" s="213"/>
      <c r="P694" s="213"/>
      <c r="Q694" s="213"/>
      <c r="R694" s="213"/>
      <c r="S694" s="213"/>
      <c r="T694" s="213"/>
      <c r="U694" s="213"/>
      <c r="V694" s="213"/>
      <c r="W694" s="213"/>
      <c r="X694" s="213"/>
      <c r="Y694" s="213"/>
      <c r="Z694" s="213"/>
      <c r="AA694" s="213"/>
      <c r="AB694" s="213"/>
      <c r="AC694" s="213"/>
      <c r="AD694" s="213"/>
      <c r="AE694" s="213"/>
      <c r="AF694" s="213"/>
      <c r="AG694" s="213"/>
      <c r="AH694" s="213"/>
      <c r="AI694" s="213"/>
      <c r="AJ694" s="213"/>
      <c r="AK694" s="213"/>
      <c r="AL694" s="213"/>
      <c r="AM694" s="213"/>
      <c r="AN694" s="213"/>
      <c r="AO694" s="213"/>
      <c r="AP694" s="213"/>
      <c r="AQ694" s="213"/>
      <c r="AR694" s="213"/>
      <c r="AS694" s="213"/>
      <c r="AT694" s="213"/>
      <c r="AU694" s="213"/>
      <c r="AV694" s="213"/>
      <c r="AW694" s="213"/>
      <c r="AX694" s="213"/>
      <c r="AY694" s="213"/>
      <c r="AZ694" s="213"/>
      <c r="BA694" s="213"/>
      <c r="BB694" s="213"/>
    </row>
    <row r="695" ht="15.75" customHeight="1">
      <c r="A695" s="213"/>
      <c r="B695" s="213"/>
      <c r="C695" s="213"/>
      <c r="D695" s="213"/>
      <c r="E695" s="213"/>
      <c r="F695" s="213"/>
      <c r="G695" s="213"/>
      <c r="H695" s="213"/>
      <c r="I695" s="213"/>
      <c r="J695" s="213"/>
      <c r="K695" s="215"/>
      <c r="L695" s="213"/>
      <c r="M695" s="215"/>
      <c r="N695" s="213"/>
      <c r="O695" s="213"/>
      <c r="P695" s="213"/>
      <c r="Q695" s="213"/>
      <c r="R695" s="213"/>
      <c r="S695" s="213"/>
      <c r="T695" s="213"/>
      <c r="U695" s="213"/>
      <c r="V695" s="213"/>
      <c r="W695" s="213"/>
      <c r="X695" s="213"/>
      <c r="Y695" s="213"/>
      <c r="Z695" s="213"/>
      <c r="AA695" s="213"/>
      <c r="AB695" s="213"/>
      <c r="AC695" s="213"/>
      <c r="AD695" s="213"/>
      <c r="AE695" s="213"/>
      <c r="AF695" s="213"/>
      <c r="AG695" s="213"/>
      <c r="AH695" s="213"/>
      <c r="AI695" s="213"/>
      <c r="AJ695" s="213"/>
      <c r="AK695" s="213"/>
      <c r="AL695" s="213"/>
      <c r="AM695" s="213"/>
      <c r="AN695" s="213"/>
      <c r="AO695" s="213"/>
      <c r="AP695" s="213"/>
      <c r="AQ695" s="213"/>
      <c r="AR695" s="213"/>
      <c r="AS695" s="213"/>
      <c r="AT695" s="213"/>
      <c r="AU695" s="213"/>
      <c r="AV695" s="213"/>
      <c r="AW695" s="213"/>
      <c r="AX695" s="213"/>
      <c r="AY695" s="213"/>
      <c r="AZ695" s="213"/>
      <c r="BA695" s="213"/>
      <c r="BB695" s="213"/>
    </row>
    <row r="696" ht="15.75" customHeight="1">
      <c r="A696" s="213"/>
      <c r="B696" s="213"/>
      <c r="C696" s="213"/>
      <c r="D696" s="213"/>
      <c r="E696" s="213"/>
      <c r="F696" s="213"/>
      <c r="G696" s="213"/>
      <c r="H696" s="213"/>
      <c r="I696" s="213"/>
      <c r="J696" s="213"/>
      <c r="K696" s="215"/>
      <c r="L696" s="213"/>
      <c r="M696" s="215"/>
      <c r="N696" s="213"/>
      <c r="O696" s="213"/>
      <c r="P696" s="213"/>
      <c r="Q696" s="213"/>
      <c r="R696" s="213"/>
      <c r="S696" s="213"/>
      <c r="T696" s="213"/>
      <c r="U696" s="213"/>
      <c r="V696" s="213"/>
      <c r="W696" s="213"/>
      <c r="X696" s="213"/>
      <c r="Y696" s="213"/>
      <c r="Z696" s="213"/>
      <c r="AA696" s="213"/>
      <c r="AB696" s="213"/>
      <c r="AC696" s="213"/>
      <c r="AD696" s="213"/>
      <c r="AE696" s="213"/>
      <c r="AF696" s="213"/>
      <c r="AG696" s="213"/>
      <c r="AH696" s="213"/>
      <c r="AI696" s="213"/>
      <c r="AJ696" s="213"/>
      <c r="AK696" s="213"/>
      <c r="AL696" s="213"/>
      <c r="AM696" s="213"/>
      <c r="AN696" s="213"/>
      <c r="AO696" s="213"/>
      <c r="AP696" s="213"/>
      <c r="AQ696" s="213"/>
      <c r="AR696" s="213"/>
      <c r="AS696" s="213"/>
      <c r="AT696" s="213"/>
      <c r="AU696" s="213"/>
      <c r="AV696" s="213"/>
      <c r="AW696" s="213"/>
      <c r="AX696" s="213"/>
      <c r="AY696" s="213"/>
      <c r="AZ696" s="213"/>
      <c r="BA696" s="213"/>
      <c r="BB696" s="213"/>
    </row>
    <row r="697" ht="15.75" customHeight="1">
      <c r="A697" s="213"/>
      <c r="B697" s="213"/>
      <c r="C697" s="213"/>
      <c r="D697" s="213"/>
      <c r="E697" s="213"/>
      <c r="F697" s="213"/>
      <c r="G697" s="213"/>
      <c r="H697" s="213"/>
      <c r="I697" s="213"/>
      <c r="J697" s="213"/>
      <c r="K697" s="215"/>
      <c r="L697" s="213"/>
      <c r="M697" s="215"/>
      <c r="N697" s="213"/>
      <c r="O697" s="213"/>
      <c r="P697" s="213"/>
      <c r="Q697" s="213"/>
      <c r="R697" s="213"/>
      <c r="S697" s="213"/>
      <c r="T697" s="213"/>
      <c r="U697" s="213"/>
      <c r="V697" s="213"/>
      <c r="W697" s="213"/>
      <c r="X697" s="213"/>
      <c r="Y697" s="213"/>
      <c r="Z697" s="213"/>
      <c r="AA697" s="213"/>
      <c r="AB697" s="213"/>
      <c r="AC697" s="213"/>
      <c r="AD697" s="213"/>
      <c r="AE697" s="213"/>
      <c r="AF697" s="213"/>
      <c r="AG697" s="213"/>
      <c r="AH697" s="213"/>
      <c r="AI697" s="213"/>
      <c r="AJ697" s="213"/>
      <c r="AK697" s="213"/>
      <c r="AL697" s="213"/>
      <c r="AM697" s="213"/>
      <c r="AN697" s="213"/>
      <c r="AO697" s="213"/>
      <c r="AP697" s="213"/>
      <c r="AQ697" s="213"/>
      <c r="AR697" s="213"/>
      <c r="AS697" s="213"/>
      <c r="AT697" s="213"/>
      <c r="AU697" s="213"/>
      <c r="AV697" s="213"/>
      <c r="AW697" s="213"/>
      <c r="AX697" s="213"/>
      <c r="AY697" s="213"/>
      <c r="AZ697" s="213"/>
      <c r="BA697" s="213"/>
      <c r="BB697" s="213"/>
    </row>
    <row r="698" ht="15.75" customHeight="1">
      <c r="A698" s="213"/>
      <c r="B698" s="213"/>
      <c r="C698" s="213"/>
      <c r="D698" s="213"/>
      <c r="E698" s="213"/>
      <c r="F698" s="213"/>
      <c r="G698" s="213"/>
      <c r="H698" s="213"/>
      <c r="I698" s="213"/>
      <c r="J698" s="213"/>
      <c r="K698" s="215"/>
      <c r="L698" s="213"/>
      <c r="M698" s="215"/>
      <c r="N698" s="213"/>
      <c r="O698" s="213"/>
      <c r="P698" s="213"/>
      <c r="Q698" s="213"/>
      <c r="R698" s="213"/>
      <c r="S698" s="213"/>
      <c r="T698" s="213"/>
      <c r="U698" s="213"/>
      <c r="V698" s="213"/>
      <c r="W698" s="213"/>
      <c r="X698" s="213"/>
      <c r="Y698" s="213"/>
      <c r="Z698" s="213"/>
      <c r="AA698" s="213"/>
      <c r="AB698" s="213"/>
      <c r="AC698" s="213"/>
      <c r="AD698" s="213"/>
      <c r="AE698" s="213"/>
      <c r="AF698" s="213"/>
      <c r="AG698" s="213"/>
      <c r="AH698" s="213"/>
      <c r="AI698" s="213"/>
      <c r="AJ698" s="213"/>
      <c r="AK698" s="213"/>
      <c r="AL698" s="213"/>
      <c r="AM698" s="213"/>
      <c r="AN698" s="213"/>
      <c r="AO698" s="213"/>
      <c r="AP698" s="213"/>
      <c r="AQ698" s="213"/>
      <c r="AR698" s="213"/>
      <c r="AS698" s="213"/>
      <c r="AT698" s="213"/>
      <c r="AU698" s="213"/>
      <c r="AV698" s="213"/>
      <c r="AW698" s="213"/>
      <c r="AX698" s="213"/>
      <c r="AY698" s="213"/>
      <c r="AZ698" s="213"/>
      <c r="BA698" s="213"/>
      <c r="BB698" s="213"/>
    </row>
    <row r="699" ht="15.75" customHeight="1">
      <c r="A699" s="213"/>
      <c r="B699" s="213"/>
      <c r="C699" s="213"/>
      <c r="D699" s="213"/>
      <c r="E699" s="213"/>
      <c r="F699" s="213"/>
      <c r="G699" s="213"/>
      <c r="H699" s="213"/>
      <c r="I699" s="213"/>
      <c r="J699" s="213"/>
      <c r="K699" s="215"/>
      <c r="L699" s="213"/>
      <c r="M699" s="215"/>
      <c r="N699" s="213"/>
      <c r="O699" s="213"/>
      <c r="P699" s="213"/>
      <c r="Q699" s="213"/>
      <c r="R699" s="213"/>
      <c r="S699" s="213"/>
      <c r="T699" s="213"/>
      <c r="U699" s="213"/>
      <c r="V699" s="213"/>
      <c r="W699" s="213"/>
      <c r="X699" s="213"/>
      <c r="Y699" s="213"/>
      <c r="Z699" s="213"/>
      <c r="AA699" s="213"/>
      <c r="AB699" s="213"/>
      <c r="AC699" s="213"/>
      <c r="AD699" s="213"/>
      <c r="AE699" s="213"/>
      <c r="AF699" s="213"/>
      <c r="AG699" s="213"/>
      <c r="AH699" s="213"/>
      <c r="AI699" s="213"/>
      <c r="AJ699" s="213"/>
      <c r="AK699" s="213"/>
      <c r="AL699" s="213"/>
      <c r="AM699" s="213"/>
      <c r="AN699" s="213"/>
      <c r="AO699" s="213"/>
      <c r="AP699" s="213"/>
      <c r="AQ699" s="213"/>
      <c r="AR699" s="213"/>
      <c r="AS699" s="213"/>
      <c r="AT699" s="213"/>
      <c r="AU699" s="213"/>
      <c r="AV699" s="213"/>
      <c r="AW699" s="213"/>
      <c r="AX699" s="213"/>
      <c r="AY699" s="213"/>
      <c r="AZ699" s="213"/>
      <c r="BA699" s="213"/>
      <c r="BB699" s="213"/>
    </row>
    <row r="700" ht="15.75" customHeight="1">
      <c r="A700" s="213"/>
      <c r="B700" s="213"/>
      <c r="C700" s="213"/>
      <c r="D700" s="213"/>
      <c r="E700" s="213"/>
      <c r="F700" s="213"/>
      <c r="G700" s="213"/>
      <c r="H700" s="213"/>
      <c r="I700" s="213"/>
      <c r="J700" s="213"/>
      <c r="K700" s="215"/>
      <c r="L700" s="213"/>
      <c r="M700" s="215"/>
      <c r="N700" s="213"/>
      <c r="O700" s="213"/>
      <c r="P700" s="213"/>
      <c r="Q700" s="213"/>
      <c r="R700" s="213"/>
      <c r="S700" s="213"/>
      <c r="T700" s="213"/>
      <c r="U700" s="213"/>
      <c r="V700" s="213"/>
      <c r="W700" s="213"/>
      <c r="X700" s="213"/>
      <c r="Y700" s="213"/>
      <c r="Z700" s="213"/>
      <c r="AA700" s="213"/>
      <c r="AB700" s="213"/>
      <c r="AC700" s="213"/>
      <c r="AD700" s="213"/>
      <c r="AE700" s="213"/>
      <c r="AF700" s="213"/>
      <c r="AG700" s="213"/>
      <c r="AH700" s="213"/>
      <c r="AI700" s="213"/>
      <c r="AJ700" s="213"/>
      <c r="AK700" s="213"/>
      <c r="AL700" s="213"/>
      <c r="AM700" s="213"/>
      <c r="AN700" s="213"/>
      <c r="AO700" s="213"/>
      <c r="AP700" s="213"/>
      <c r="AQ700" s="213"/>
      <c r="AR700" s="213"/>
      <c r="AS700" s="213"/>
      <c r="AT700" s="213"/>
      <c r="AU700" s="213"/>
      <c r="AV700" s="213"/>
      <c r="AW700" s="213"/>
      <c r="AX700" s="213"/>
      <c r="AY700" s="213"/>
      <c r="AZ700" s="213"/>
      <c r="BA700" s="213"/>
      <c r="BB700" s="213"/>
    </row>
    <row r="701" ht="15.75" customHeight="1">
      <c r="A701" s="213"/>
      <c r="B701" s="213"/>
      <c r="C701" s="213"/>
      <c r="D701" s="213"/>
      <c r="E701" s="213"/>
      <c r="F701" s="213"/>
      <c r="G701" s="213"/>
      <c r="H701" s="213"/>
      <c r="I701" s="213"/>
      <c r="J701" s="213"/>
      <c r="K701" s="215"/>
      <c r="L701" s="213"/>
      <c r="M701" s="215"/>
      <c r="N701" s="213"/>
      <c r="O701" s="213"/>
      <c r="P701" s="213"/>
      <c r="Q701" s="213"/>
      <c r="R701" s="213"/>
      <c r="S701" s="213"/>
      <c r="T701" s="213"/>
      <c r="U701" s="213"/>
      <c r="V701" s="213"/>
      <c r="W701" s="213"/>
      <c r="X701" s="213"/>
      <c r="Y701" s="213"/>
      <c r="Z701" s="213"/>
      <c r="AA701" s="213"/>
      <c r="AB701" s="213"/>
      <c r="AC701" s="213"/>
      <c r="AD701" s="213"/>
      <c r="AE701" s="213"/>
      <c r="AF701" s="213"/>
      <c r="AG701" s="213"/>
      <c r="AH701" s="213"/>
      <c r="AI701" s="213"/>
      <c r="AJ701" s="213"/>
      <c r="AK701" s="213"/>
      <c r="AL701" s="213"/>
      <c r="AM701" s="213"/>
      <c r="AN701" s="213"/>
      <c r="AO701" s="213"/>
      <c r="AP701" s="213"/>
      <c r="AQ701" s="213"/>
      <c r="AR701" s="213"/>
      <c r="AS701" s="213"/>
      <c r="AT701" s="213"/>
      <c r="AU701" s="213"/>
      <c r="AV701" s="213"/>
      <c r="AW701" s="213"/>
      <c r="AX701" s="213"/>
      <c r="AY701" s="213"/>
      <c r="AZ701" s="213"/>
      <c r="BA701" s="213"/>
      <c r="BB701" s="213"/>
    </row>
    <row r="702" ht="15.75" customHeight="1">
      <c r="A702" s="213"/>
      <c r="B702" s="213"/>
      <c r="C702" s="213"/>
      <c r="D702" s="213"/>
      <c r="E702" s="213"/>
      <c r="F702" s="213"/>
      <c r="G702" s="213"/>
      <c r="H702" s="213"/>
      <c r="I702" s="213"/>
      <c r="J702" s="213"/>
      <c r="K702" s="215"/>
      <c r="L702" s="213"/>
      <c r="M702" s="215"/>
      <c r="N702" s="213"/>
      <c r="O702" s="213"/>
      <c r="P702" s="213"/>
      <c r="Q702" s="213"/>
      <c r="R702" s="213"/>
      <c r="S702" s="213"/>
      <c r="T702" s="213"/>
      <c r="U702" s="213"/>
      <c r="V702" s="213"/>
      <c r="W702" s="213"/>
      <c r="X702" s="213"/>
      <c r="Y702" s="213"/>
      <c r="Z702" s="213"/>
      <c r="AA702" s="213"/>
      <c r="AB702" s="213"/>
      <c r="AC702" s="213"/>
      <c r="AD702" s="213"/>
      <c r="AE702" s="213"/>
      <c r="AF702" s="213"/>
      <c r="AG702" s="213"/>
      <c r="AH702" s="213"/>
      <c r="AI702" s="213"/>
      <c r="AJ702" s="213"/>
      <c r="AK702" s="213"/>
      <c r="AL702" s="213"/>
      <c r="AM702" s="213"/>
      <c r="AN702" s="213"/>
      <c r="AO702" s="213"/>
      <c r="AP702" s="213"/>
      <c r="AQ702" s="213"/>
      <c r="AR702" s="213"/>
      <c r="AS702" s="213"/>
      <c r="AT702" s="213"/>
      <c r="AU702" s="213"/>
      <c r="AV702" s="213"/>
      <c r="AW702" s="213"/>
      <c r="AX702" s="213"/>
      <c r="AY702" s="213"/>
      <c r="AZ702" s="213"/>
      <c r="BA702" s="213"/>
      <c r="BB702" s="213"/>
    </row>
    <row r="703" ht="15.75" customHeight="1">
      <c r="A703" s="213"/>
      <c r="B703" s="213"/>
      <c r="C703" s="213"/>
      <c r="D703" s="213"/>
      <c r="E703" s="213"/>
      <c r="F703" s="213"/>
      <c r="G703" s="213"/>
      <c r="H703" s="213"/>
      <c r="I703" s="213"/>
      <c r="J703" s="213"/>
      <c r="K703" s="215"/>
      <c r="L703" s="213"/>
      <c r="M703" s="215"/>
      <c r="N703" s="213"/>
      <c r="O703" s="213"/>
      <c r="P703" s="213"/>
      <c r="Q703" s="213"/>
      <c r="R703" s="213"/>
      <c r="S703" s="213"/>
      <c r="T703" s="213"/>
      <c r="U703" s="213"/>
      <c r="V703" s="213"/>
      <c r="W703" s="213"/>
      <c r="X703" s="213"/>
      <c r="Y703" s="213"/>
      <c r="Z703" s="213"/>
      <c r="AA703" s="213"/>
      <c r="AB703" s="213"/>
      <c r="AC703" s="213"/>
      <c r="AD703" s="213"/>
      <c r="AE703" s="213"/>
      <c r="AF703" s="213"/>
      <c r="AG703" s="213"/>
      <c r="AH703" s="213"/>
      <c r="AI703" s="213"/>
      <c r="AJ703" s="213"/>
      <c r="AK703" s="213"/>
      <c r="AL703" s="213"/>
      <c r="AM703" s="213"/>
      <c r="AN703" s="213"/>
      <c r="AO703" s="213"/>
      <c r="AP703" s="213"/>
      <c r="AQ703" s="213"/>
      <c r="AR703" s="213"/>
      <c r="AS703" s="213"/>
      <c r="AT703" s="213"/>
      <c r="AU703" s="213"/>
      <c r="AV703" s="213"/>
      <c r="AW703" s="213"/>
      <c r="AX703" s="213"/>
      <c r="AY703" s="213"/>
      <c r="AZ703" s="213"/>
      <c r="BA703" s="213"/>
      <c r="BB703" s="213"/>
    </row>
    <row r="704" ht="15.75" customHeight="1">
      <c r="A704" s="213"/>
      <c r="B704" s="213"/>
      <c r="C704" s="213"/>
      <c r="D704" s="213"/>
      <c r="E704" s="213"/>
      <c r="F704" s="213"/>
      <c r="G704" s="213"/>
      <c r="H704" s="213"/>
      <c r="I704" s="213"/>
      <c r="J704" s="213"/>
      <c r="K704" s="215"/>
      <c r="L704" s="213"/>
      <c r="M704" s="215"/>
      <c r="N704" s="213"/>
      <c r="O704" s="213"/>
      <c r="P704" s="213"/>
      <c r="Q704" s="213"/>
      <c r="R704" s="213"/>
      <c r="S704" s="213"/>
      <c r="T704" s="213"/>
      <c r="U704" s="213"/>
      <c r="V704" s="213"/>
      <c r="W704" s="213"/>
      <c r="X704" s="213"/>
      <c r="Y704" s="213"/>
      <c r="Z704" s="213"/>
      <c r="AA704" s="213"/>
      <c r="AB704" s="213"/>
      <c r="AC704" s="213"/>
      <c r="AD704" s="213"/>
      <c r="AE704" s="213"/>
      <c r="AF704" s="213"/>
      <c r="AG704" s="213"/>
      <c r="AH704" s="213"/>
      <c r="AI704" s="213"/>
      <c r="AJ704" s="213"/>
      <c r="AK704" s="213"/>
      <c r="AL704" s="213"/>
      <c r="AM704" s="213"/>
      <c r="AN704" s="213"/>
      <c r="AO704" s="213"/>
      <c r="AP704" s="213"/>
      <c r="AQ704" s="213"/>
      <c r="AR704" s="213"/>
      <c r="AS704" s="213"/>
      <c r="AT704" s="213"/>
      <c r="AU704" s="213"/>
      <c r="AV704" s="213"/>
      <c r="AW704" s="213"/>
      <c r="AX704" s="213"/>
      <c r="AY704" s="213"/>
      <c r="AZ704" s="213"/>
      <c r="BA704" s="213"/>
      <c r="BB704" s="213"/>
    </row>
    <row r="705" ht="15.75" customHeight="1">
      <c r="A705" s="213"/>
      <c r="B705" s="213"/>
      <c r="C705" s="213"/>
      <c r="D705" s="213"/>
      <c r="E705" s="213"/>
      <c r="F705" s="213"/>
      <c r="G705" s="213"/>
      <c r="H705" s="213"/>
      <c r="I705" s="213"/>
      <c r="J705" s="213"/>
      <c r="K705" s="215"/>
      <c r="L705" s="213"/>
      <c r="M705" s="215"/>
      <c r="N705" s="213"/>
      <c r="O705" s="213"/>
      <c r="P705" s="213"/>
      <c r="Q705" s="213"/>
      <c r="R705" s="213"/>
      <c r="S705" s="213"/>
      <c r="T705" s="213"/>
      <c r="U705" s="213"/>
      <c r="V705" s="213"/>
      <c r="W705" s="213"/>
      <c r="X705" s="213"/>
      <c r="Y705" s="213"/>
      <c r="Z705" s="213"/>
      <c r="AA705" s="213"/>
      <c r="AB705" s="213"/>
      <c r="AC705" s="213"/>
      <c r="AD705" s="213"/>
      <c r="AE705" s="213"/>
      <c r="AF705" s="213"/>
      <c r="AG705" s="213"/>
      <c r="AH705" s="213"/>
      <c r="AI705" s="213"/>
      <c r="AJ705" s="213"/>
      <c r="AK705" s="213"/>
      <c r="AL705" s="213"/>
      <c r="AM705" s="213"/>
      <c r="AN705" s="213"/>
      <c r="AO705" s="213"/>
      <c r="AP705" s="213"/>
      <c r="AQ705" s="213"/>
      <c r="AR705" s="213"/>
      <c r="AS705" s="213"/>
      <c r="AT705" s="213"/>
      <c r="AU705" s="213"/>
      <c r="AV705" s="213"/>
      <c r="AW705" s="213"/>
      <c r="AX705" s="213"/>
      <c r="AY705" s="213"/>
      <c r="AZ705" s="213"/>
      <c r="BA705" s="213"/>
      <c r="BB705" s="213"/>
    </row>
    <row r="706" ht="15.75" customHeight="1">
      <c r="A706" s="213"/>
      <c r="B706" s="213"/>
      <c r="C706" s="213"/>
      <c r="D706" s="213"/>
      <c r="E706" s="213"/>
      <c r="F706" s="213"/>
      <c r="G706" s="213"/>
      <c r="H706" s="213"/>
      <c r="I706" s="213"/>
      <c r="J706" s="213"/>
      <c r="K706" s="215"/>
      <c r="L706" s="213"/>
      <c r="M706" s="215"/>
      <c r="N706" s="213"/>
      <c r="O706" s="213"/>
      <c r="P706" s="213"/>
      <c r="Q706" s="213"/>
      <c r="R706" s="213"/>
      <c r="S706" s="213"/>
      <c r="T706" s="213"/>
      <c r="U706" s="213"/>
      <c r="V706" s="213"/>
      <c r="W706" s="213"/>
      <c r="X706" s="213"/>
      <c r="Y706" s="213"/>
      <c r="Z706" s="213"/>
      <c r="AA706" s="213"/>
      <c r="AB706" s="213"/>
      <c r="AC706" s="213"/>
      <c r="AD706" s="213"/>
      <c r="AE706" s="213"/>
      <c r="AF706" s="213"/>
      <c r="AG706" s="213"/>
      <c r="AH706" s="213"/>
      <c r="AI706" s="213"/>
      <c r="AJ706" s="213"/>
      <c r="AK706" s="213"/>
      <c r="AL706" s="213"/>
      <c r="AM706" s="213"/>
      <c r="AN706" s="213"/>
      <c r="AO706" s="213"/>
      <c r="AP706" s="213"/>
      <c r="AQ706" s="213"/>
      <c r="AR706" s="213"/>
      <c r="AS706" s="213"/>
      <c r="AT706" s="213"/>
      <c r="AU706" s="213"/>
      <c r="AV706" s="213"/>
      <c r="AW706" s="213"/>
      <c r="AX706" s="213"/>
      <c r="AY706" s="213"/>
      <c r="AZ706" s="213"/>
      <c r="BA706" s="213"/>
      <c r="BB706" s="213"/>
    </row>
    <row r="707" ht="15.75" customHeight="1">
      <c r="A707" s="213"/>
      <c r="B707" s="213"/>
      <c r="C707" s="213"/>
      <c r="D707" s="213"/>
      <c r="E707" s="213"/>
      <c r="F707" s="213"/>
      <c r="G707" s="213"/>
      <c r="H707" s="213"/>
      <c r="I707" s="213"/>
      <c r="J707" s="213"/>
      <c r="K707" s="215"/>
      <c r="L707" s="213"/>
      <c r="M707" s="215"/>
      <c r="N707" s="213"/>
      <c r="O707" s="213"/>
      <c r="P707" s="213"/>
      <c r="Q707" s="213"/>
      <c r="R707" s="213"/>
      <c r="S707" s="213"/>
      <c r="T707" s="213"/>
      <c r="U707" s="213"/>
      <c r="V707" s="213"/>
      <c r="W707" s="213"/>
      <c r="X707" s="213"/>
      <c r="Y707" s="213"/>
      <c r="Z707" s="213"/>
      <c r="AA707" s="213"/>
      <c r="AB707" s="213"/>
      <c r="AC707" s="213"/>
      <c r="AD707" s="213"/>
      <c r="AE707" s="213"/>
      <c r="AF707" s="213"/>
      <c r="AG707" s="213"/>
      <c r="AH707" s="213"/>
      <c r="AI707" s="213"/>
      <c r="AJ707" s="213"/>
      <c r="AK707" s="213"/>
      <c r="AL707" s="213"/>
      <c r="AM707" s="213"/>
      <c r="AN707" s="213"/>
      <c r="AO707" s="213"/>
      <c r="AP707" s="213"/>
      <c r="AQ707" s="213"/>
      <c r="AR707" s="213"/>
      <c r="AS707" s="213"/>
      <c r="AT707" s="213"/>
      <c r="AU707" s="213"/>
      <c r="AV707" s="213"/>
      <c r="AW707" s="213"/>
      <c r="AX707" s="213"/>
      <c r="AY707" s="213"/>
      <c r="AZ707" s="213"/>
      <c r="BA707" s="213"/>
      <c r="BB707" s="213"/>
    </row>
    <row r="708" ht="15.75" customHeight="1">
      <c r="A708" s="213"/>
      <c r="B708" s="213"/>
      <c r="C708" s="213"/>
      <c r="D708" s="213"/>
      <c r="E708" s="213"/>
      <c r="F708" s="213"/>
      <c r="G708" s="213"/>
      <c r="H708" s="213"/>
      <c r="I708" s="213"/>
      <c r="J708" s="213"/>
      <c r="K708" s="215"/>
      <c r="L708" s="213"/>
      <c r="M708" s="215"/>
      <c r="N708" s="213"/>
      <c r="O708" s="213"/>
      <c r="P708" s="213"/>
      <c r="Q708" s="213"/>
      <c r="R708" s="213"/>
      <c r="S708" s="213"/>
      <c r="T708" s="213"/>
      <c r="U708" s="213"/>
      <c r="V708" s="213"/>
      <c r="W708" s="213"/>
      <c r="X708" s="213"/>
      <c r="Y708" s="213"/>
      <c r="Z708" s="213"/>
      <c r="AA708" s="213"/>
      <c r="AB708" s="213"/>
      <c r="AC708" s="213"/>
      <c r="AD708" s="213"/>
      <c r="AE708" s="213"/>
      <c r="AF708" s="213"/>
      <c r="AG708" s="213"/>
      <c r="AH708" s="213"/>
      <c r="AI708" s="213"/>
      <c r="AJ708" s="213"/>
      <c r="AK708" s="213"/>
      <c r="AL708" s="213"/>
      <c r="AM708" s="213"/>
      <c r="AN708" s="213"/>
      <c r="AO708" s="213"/>
      <c r="AP708" s="213"/>
      <c r="AQ708" s="213"/>
      <c r="AR708" s="213"/>
      <c r="AS708" s="213"/>
      <c r="AT708" s="213"/>
      <c r="AU708" s="213"/>
      <c r="AV708" s="213"/>
      <c r="AW708" s="213"/>
      <c r="AX708" s="213"/>
      <c r="AY708" s="213"/>
      <c r="AZ708" s="213"/>
      <c r="BA708" s="213"/>
      <c r="BB708" s="213"/>
    </row>
    <row r="709" ht="15.75" customHeight="1">
      <c r="A709" s="213"/>
      <c r="B709" s="213"/>
      <c r="C709" s="213"/>
      <c r="D709" s="213"/>
      <c r="E709" s="213"/>
      <c r="F709" s="213"/>
      <c r="G709" s="213"/>
      <c r="H709" s="213"/>
      <c r="I709" s="213"/>
      <c r="J709" s="213"/>
      <c r="K709" s="215"/>
      <c r="L709" s="213"/>
      <c r="M709" s="215"/>
      <c r="N709" s="213"/>
      <c r="O709" s="213"/>
      <c r="P709" s="213"/>
      <c r="Q709" s="213"/>
      <c r="R709" s="213"/>
      <c r="S709" s="213"/>
      <c r="T709" s="213"/>
      <c r="U709" s="213"/>
      <c r="V709" s="213"/>
      <c r="W709" s="213"/>
      <c r="X709" s="213"/>
      <c r="Y709" s="213"/>
      <c r="Z709" s="213"/>
      <c r="AA709" s="213"/>
      <c r="AB709" s="213"/>
      <c r="AC709" s="213"/>
      <c r="AD709" s="213"/>
      <c r="AE709" s="213"/>
      <c r="AF709" s="213"/>
      <c r="AG709" s="213"/>
      <c r="AH709" s="213"/>
      <c r="AI709" s="213"/>
      <c r="AJ709" s="213"/>
      <c r="AK709" s="213"/>
      <c r="AL709" s="213"/>
      <c r="AM709" s="213"/>
      <c r="AN709" s="213"/>
      <c r="AO709" s="213"/>
      <c r="AP709" s="213"/>
      <c r="AQ709" s="213"/>
      <c r="AR709" s="213"/>
      <c r="AS709" s="213"/>
      <c r="AT709" s="213"/>
      <c r="AU709" s="213"/>
      <c r="AV709" s="213"/>
      <c r="AW709" s="213"/>
      <c r="AX709" s="213"/>
      <c r="AY709" s="213"/>
      <c r="AZ709" s="213"/>
      <c r="BA709" s="213"/>
      <c r="BB709" s="213"/>
    </row>
    <row r="710" ht="15.75" customHeight="1">
      <c r="A710" s="213"/>
      <c r="B710" s="213"/>
      <c r="C710" s="213"/>
      <c r="D710" s="213"/>
      <c r="E710" s="213"/>
      <c r="F710" s="213"/>
      <c r="G710" s="213"/>
      <c r="H710" s="213"/>
      <c r="I710" s="213"/>
      <c r="J710" s="213"/>
      <c r="K710" s="215"/>
      <c r="L710" s="213"/>
      <c r="M710" s="215"/>
      <c r="N710" s="213"/>
      <c r="O710" s="213"/>
      <c r="P710" s="213"/>
      <c r="Q710" s="213"/>
      <c r="R710" s="213"/>
      <c r="S710" s="213"/>
      <c r="T710" s="213"/>
      <c r="U710" s="213"/>
      <c r="V710" s="213"/>
      <c r="W710" s="213"/>
      <c r="X710" s="213"/>
      <c r="Y710" s="213"/>
      <c r="Z710" s="213"/>
      <c r="AA710" s="213"/>
      <c r="AB710" s="213"/>
      <c r="AC710" s="213"/>
      <c r="AD710" s="213"/>
      <c r="AE710" s="213"/>
      <c r="AF710" s="213"/>
      <c r="AG710" s="213"/>
      <c r="AH710" s="213"/>
      <c r="AI710" s="213"/>
      <c r="AJ710" s="213"/>
      <c r="AK710" s="213"/>
      <c r="AL710" s="213"/>
      <c r="AM710" s="213"/>
      <c r="AN710" s="213"/>
      <c r="AO710" s="213"/>
      <c r="AP710" s="213"/>
      <c r="AQ710" s="213"/>
      <c r="AR710" s="213"/>
      <c r="AS710" s="213"/>
      <c r="AT710" s="213"/>
      <c r="AU710" s="213"/>
      <c r="AV710" s="213"/>
      <c r="AW710" s="213"/>
      <c r="AX710" s="213"/>
      <c r="AY710" s="213"/>
      <c r="AZ710" s="213"/>
      <c r="BA710" s="213"/>
      <c r="BB710" s="213"/>
    </row>
    <row r="711" ht="15.75" customHeight="1">
      <c r="A711" s="213"/>
      <c r="B711" s="213"/>
      <c r="C711" s="213"/>
      <c r="D711" s="213"/>
      <c r="E711" s="213"/>
      <c r="F711" s="213"/>
      <c r="G711" s="213"/>
      <c r="H711" s="213"/>
      <c r="I711" s="213"/>
      <c r="J711" s="213"/>
      <c r="K711" s="215"/>
      <c r="L711" s="213"/>
      <c r="M711" s="215"/>
      <c r="N711" s="213"/>
      <c r="O711" s="213"/>
      <c r="P711" s="213"/>
      <c r="Q711" s="213"/>
      <c r="R711" s="213"/>
      <c r="S711" s="213"/>
      <c r="T711" s="213"/>
      <c r="U711" s="213"/>
      <c r="V711" s="213"/>
      <c r="W711" s="213"/>
      <c r="X711" s="213"/>
      <c r="Y711" s="213"/>
      <c r="Z711" s="213"/>
      <c r="AA711" s="213"/>
      <c r="AB711" s="213"/>
      <c r="AC711" s="213"/>
      <c r="AD711" s="213"/>
      <c r="AE711" s="213"/>
      <c r="AF711" s="213"/>
      <c r="AG711" s="213"/>
      <c r="AH711" s="213"/>
      <c r="AI711" s="213"/>
      <c r="AJ711" s="213"/>
      <c r="AK711" s="213"/>
      <c r="AL711" s="213"/>
      <c r="AM711" s="213"/>
      <c r="AN711" s="213"/>
      <c r="AO711" s="213"/>
      <c r="AP711" s="213"/>
      <c r="AQ711" s="213"/>
      <c r="AR711" s="213"/>
      <c r="AS711" s="213"/>
      <c r="AT711" s="213"/>
      <c r="AU711" s="213"/>
      <c r="AV711" s="213"/>
      <c r="AW711" s="213"/>
      <c r="AX711" s="213"/>
      <c r="AY711" s="213"/>
      <c r="AZ711" s="213"/>
      <c r="BA711" s="213"/>
      <c r="BB711" s="213"/>
    </row>
    <row r="712" ht="15.75" customHeight="1">
      <c r="A712" s="213"/>
      <c r="B712" s="213"/>
      <c r="C712" s="213"/>
      <c r="D712" s="213"/>
      <c r="E712" s="213"/>
      <c r="F712" s="213"/>
      <c r="G712" s="213"/>
      <c r="H712" s="213"/>
      <c r="I712" s="213"/>
      <c r="J712" s="213"/>
      <c r="K712" s="215"/>
      <c r="L712" s="213"/>
      <c r="M712" s="215"/>
      <c r="N712" s="213"/>
      <c r="O712" s="213"/>
      <c r="P712" s="213"/>
      <c r="Q712" s="213"/>
      <c r="R712" s="213"/>
      <c r="S712" s="213"/>
      <c r="T712" s="213"/>
      <c r="U712" s="213"/>
      <c r="V712" s="213"/>
      <c r="W712" s="213"/>
      <c r="X712" s="213"/>
      <c r="Y712" s="213"/>
      <c r="Z712" s="213"/>
      <c r="AA712" s="213"/>
      <c r="AB712" s="213"/>
      <c r="AC712" s="213"/>
      <c r="AD712" s="213"/>
      <c r="AE712" s="213"/>
      <c r="AF712" s="213"/>
      <c r="AG712" s="213"/>
      <c r="AH712" s="213"/>
      <c r="AI712" s="213"/>
      <c r="AJ712" s="213"/>
      <c r="AK712" s="213"/>
      <c r="AL712" s="213"/>
      <c r="AM712" s="213"/>
      <c r="AN712" s="213"/>
      <c r="AO712" s="213"/>
      <c r="AP712" s="213"/>
      <c r="AQ712" s="213"/>
      <c r="AR712" s="213"/>
      <c r="AS712" s="213"/>
      <c r="AT712" s="213"/>
      <c r="AU712" s="213"/>
      <c r="AV712" s="213"/>
      <c r="AW712" s="213"/>
      <c r="AX712" s="213"/>
      <c r="AY712" s="213"/>
      <c r="AZ712" s="213"/>
      <c r="BA712" s="213"/>
      <c r="BB712" s="213"/>
    </row>
    <row r="713" ht="15.75" customHeight="1">
      <c r="A713" s="213"/>
      <c r="B713" s="213"/>
      <c r="C713" s="213"/>
      <c r="D713" s="213"/>
      <c r="E713" s="213"/>
      <c r="F713" s="213"/>
      <c r="G713" s="213"/>
      <c r="H713" s="213"/>
      <c r="I713" s="213"/>
      <c r="J713" s="213"/>
      <c r="K713" s="215"/>
      <c r="L713" s="213"/>
      <c r="M713" s="215"/>
      <c r="N713" s="213"/>
      <c r="O713" s="213"/>
      <c r="P713" s="213"/>
      <c r="Q713" s="213"/>
      <c r="R713" s="213"/>
      <c r="S713" s="213"/>
      <c r="T713" s="213"/>
      <c r="U713" s="213"/>
      <c r="V713" s="213"/>
      <c r="W713" s="213"/>
      <c r="X713" s="213"/>
      <c r="Y713" s="213"/>
      <c r="Z713" s="213"/>
      <c r="AA713" s="213"/>
      <c r="AB713" s="213"/>
      <c r="AC713" s="213"/>
      <c r="AD713" s="213"/>
      <c r="AE713" s="213"/>
      <c r="AF713" s="213"/>
      <c r="AG713" s="213"/>
      <c r="AH713" s="213"/>
      <c r="AI713" s="213"/>
      <c r="AJ713" s="213"/>
      <c r="AK713" s="213"/>
      <c r="AL713" s="213"/>
      <c r="AM713" s="213"/>
      <c r="AN713" s="213"/>
      <c r="AO713" s="213"/>
      <c r="AP713" s="213"/>
      <c r="AQ713" s="213"/>
      <c r="AR713" s="213"/>
      <c r="AS713" s="213"/>
      <c r="AT713" s="213"/>
      <c r="AU713" s="213"/>
      <c r="AV713" s="213"/>
      <c r="AW713" s="213"/>
      <c r="AX713" s="213"/>
      <c r="AY713" s="213"/>
      <c r="AZ713" s="213"/>
      <c r="BA713" s="213"/>
      <c r="BB713" s="213"/>
    </row>
    <row r="714" ht="15.75" customHeight="1">
      <c r="A714" s="213"/>
      <c r="B714" s="213"/>
      <c r="C714" s="213"/>
      <c r="D714" s="213"/>
      <c r="E714" s="213"/>
      <c r="F714" s="213"/>
      <c r="G714" s="213"/>
      <c r="H714" s="213"/>
      <c r="I714" s="213"/>
      <c r="J714" s="213"/>
      <c r="K714" s="215"/>
      <c r="L714" s="213"/>
      <c r="M714" s="215"/>
      <c r="N714" s="213"/>
      <c r="O714" s="213"/>
      <c r="P714" s="213"/>
      <c r="Q714" s="213"/>
      <c r="R714" s="213"/>
      <c r="S714" s="213"/>
      <c r="T714" s="213"/>
      <c r="U714" s="213"/>
      <c r="V714" s="213"/>
      <c r="W714" s="213"/>
      <c r="X714" s="213"/>
      <c r="Y714" s="213"/>
      <c r="Z714" s="213"/>
      <c r="AA714" s="213"/>
      <c r="AB714" s="213"/>
      <c r="AC714" s="213"/>
      <c r="AD714" s="213"/>
      <c r="AE714" s="213"/>
      <c r="AF714" s="213"/>
      <c r="AG714" s="213"/>
      <c r="AH714" s="213"/>
      <c r="AI714" s="213"/>
      <c r="AJ714" s="213"/>
      <c r="AK714" s="213"/>
      <c r="AL714" s="213"/>
      <c r="AM714" s="213"/>
      <c r="AN714" s="213"/>
      <c r="AO714" s="213"/>
      <c r="AP714" s="213"/>
      <c r="AQ714" s="213"/>
      <c r="AR714" s="213"/>
      <c r="AS714" s="213"/>
      <c r="AT714" s="213"/>
      <c r="AU714" s="213"/>
      <c r="AV714" s="213"/>
      <c r="AW714" s="213"/>
      <c r="AX714" s="213"/>
      <c r="AY714" s="213"/>
      <c r="AZ714" s="213"/>
      <c r="BA714" s="213"/>
      <c r="BB714" s="213"/>
    </row>
    <row r="715" ht="15.75" customHeight="1">
      <c r="A715" s="213"/>
      <c r="B715" s="213"/>
      <c r="C715" s="213"/>
      <c r="D715" s="213"/>
      <c r="E715" s="213"/>
      <c r="F715" s="213"/>
      <c r="G715" s="213"/>
      <c r="H715" s="213"/>
      <c r="I715" s="213"/>
      <c r="J715" s="213"/>
      <c r="K715" s="215"/>
      <c r="L715" s="213"/>
      <c r="M715" s="215"/>
      <c r="N715" s="213"/>
      <c r="O715" s="213"/>
      <c r="P715" s="213"/>
      <c r="Q715" s="213"/>
      <c r="R715" s="213"/>
      <c r="S715" s="213"/>
      <c r="T715" s="213"/>
      <c r="U715" s="213"/>
      <c r="V715" s="213"/>
      <c r="W715" s="213"/>
      <c r="X715" s="213"/>
      <c r="Y715" s="213"/>
      <c r="Z715" s="213"/>
      <c r="AA715" s="213"/>
      <c r="AB715" s="213"/>
      <c r="AC715" s="213"/>
      <c r="AD715" s="213"/>
      <c r="AE715" s="213"/>
      <c r="AF715" s="213"/>
      <c r="AG715" s="213"/>
      <c r="AH715" s="213"/>
      <c r="AI715" s="213"/>
      <c r="AJ715" s="213"/>
      <c r="AK715" s="213"/>
      <c r="AL715" s="213"/>
      <c r="AM715" s="213"/>
      <c r="AN715" s="213"/>
      <c r="AO715" s="213"/>
      <c r="AP715" s="213"/>
      <c r="AQ715" s="213"/>
      <c r="AR715" s="213"/>
      <c r="AS715" s="213"/>
      <c r="AT715" s="213"/>
      <c r="AU715" s="213"/>
      <c r="AV715" s="213"/>
      <c r="AW715" s="213"/>
      <c r="AX715" s="213"/>
      <c r="AY715" s="213"/>
      <c r="AZ715" s="213"/>
      <c r="BA715" s="213"/>
      <c r="BB715" s="213"/>
    </row>
    <row r="716" ht="15.75" customHeight="1">
      <c r="A716" s="213"/>
      <c r="B716" s="213"/>
      <c r="C716" s="213"/>
      <c r="D716" s="213"/>
      <c r="E716" s="213"/>
      <c r="F716" s="213"/>
      <c r="G716" s="213"/>
      <c r="H716" s="213"/>
      <c r="I716" s="213"/>
      <c r="J716" s="213"/>
      <c r="K716" s="215"/>
      <c r="L716" s="213"/>
      <c r="M716" s="215"/>
      <c r="N716" s="213"/>
      <c r="O716" s="213"/>
      <c r="P716" s="213"/>
      <c r="Q716" s="213"/>
      <c r="R716" s="213"/>
      <c r="S716" s="213"/>
      <c r="T716" s="213"/>
      <c r="U716" s="213"/>
      <c r="V716" s="213"/>
      <c r="W716" s="213"/>
      <c r="X716" s="213"/>
      <c r="Y716" s="213"/>
      <c r="Z716" s="213"/>
      <c r="AA716" s="213"/>
      <c r="AB716" s="213"/>
      <c r="AC716" s="213"/>
      <c r="AD716" s="213"/>
      <c r="AE716" s="213"/>
      <c r="AF716" s="213"/>
      <c r="AG716" s="213"/>
      <c r="AH716" s="213"/>
      <c r="AI716" s="213"/>
      <c r="AJ716" s="213"/>
      <c r="AK716" s="213"/>
      <c r="AL716" s="213"/>
      <c r="AM716" s="213"/>
      <c r="AN716" s="213"/>
      <c r="AO716" s="213"/>
      <c r="AP716" s="213"/>
      <c r="AQ716" s="213"/>
      <c r="AR716" s="213"/>
      <c r="AS716" s="213"/>
      <c r="AT716" s="213"/>
      <c r="AU716" s="213"/>
      <c r="AV716" s="213"/>
      <c r="AW716" s="213"/>
      <c r="AX716" s="213"/>
      <c r="AY716" s="213"/>
      <c r="AZ716" s="213"/>
      <c r="BA716" s="213"/>
      <c r="BB716" s="213"/>
    </row>
    <row r="717" ht="15.75" customHeight="1">
      <c r="A717" s="213"/>
      <c r="B717" s="213"/>
      <c r="C717" s="213"/>
      <c r="D717" s="213"/>
      <c r="E717" s="213"/>
      <c r="F717" s="213"/>
      <c r="G717" s="213"/>
      <c r="H717" s="213"/>
      <c r="I717" s="213"/>
      <c r="J717" s="213"/>
      <c r="K717" s="215"/>
      <c r="L717" s="213"/>
      <c r="M717" s="215"/>
      <c r="N717" s="213"/>
      <c r="O717" s="213"/>
      <c r="P717" s="213"/>
      <c r="Q717" s="213"/>
      <c r="R717" s="213"/>
      <c r="S717" s="213"/>
      <c r="T717" s="213"/>
      <c r="U717" s="213"/>
      <c r="V717" s="213"/>
      <c r="W717" s="213"/>
      <c r="X717" s="213"/>
      <c r="Y717" s="213"/>
      <c r="Z717" s="213"/>
      <c r="AA717" s="213"/>
      <c r="AB717" s="213"/>
      <c r="AC717" s="213"/>
      <c r="AD717" s="213"/>
      <c r="AE717" s="213"/>
      <c r="AF717" s="213"/>
      <c r="AG717" s="213"/>
      <c r="AH717" s="213"/>
      <c r="AI717" s="213"/>
      <c r="AJ717" s="213"/>
      <c r="AK717" s="213"/>
      <c r="AL717" s="213"/>
      <c r="AM717" s="213"/>
      <c r="AN717" s="213"/>
      <c r="AO717" s="213"/>
      <c r="AP717" s="213"/>
      <c r="AQ717" s="213"/>
      <c r="AR717" s="213"/>
      <c r="AS717" s="213"/>
      <c r="AT717" s="213"/>
      <c r="AU717" s="213"/>
      <c r="AV717" s="213"/>
      <c r="AW717" s="213"/>
      <c r="AX717" s="213"/>
      <c r="AY717" s="213"/>
      <c r="AZ717" s="213"/>
      <c r="BA717" s="213"/>
      <c r="BB717" s="213"/>
    </row>
    <row r="718" ht="15.75" customHeight="1">
      <c r="A718" s="213"/>
      <c r="B718" s="213"/>
      <c r="C718" s="213"/>
      <c r="D718" s="213"/>
      <c r="E718" s="213"/>
      <c r="F718" s="213"/>
      <c r="G718" s="213"/>
      <c r="H718" s="213"/>
      <c r="I718" s="213"/>
      <c r="J718" s="213"/>
      <c r="K718" s="215"/>
      <c r="L718" s="213"/>
      <c r="M718" s="215"/>
      <c r="N718" s="213"/>
      <c r="O718" s="213"/>
      <c r="P718" s="213"/>
      <c r="Q718" s="213"/>
      <c r="R718" s="213"/>
      <c r="S718" s="213"/>
      <c r="T718" s="213"/>
      <c r="U718" s="213"/>
      <c r="V718" s="213"/>
      <c r="W718" s="213"/>
      <c r="X718" s="213"/>
      <c r="Y718" s="213"/>
      <c r="Z718" s="213"/>
      <c r="AA718" s="213"/>
      <c r="AB718" s="213"/>
      <c r="AC718" s="213"/>
      <c r="AD718" s="213"/>
      <c r="AE718" s="213"/>
      <c r="AF718" s="213"/>
      <c r="AG718" s="213"/>
      <c r="AH718" s="213"/>
      <c r="AI718" s="213"/>
      <c r="AJ718" s="213"/>
      <c r="AK718" s="213"/>
      <c r="AL718" s="213"/>
      <c r="AM718" s="213"/>
      <c r="AN718" s="213"/>
      <c r="AO718" s="213"/>
      <c r="AP718" s="213"/>
      <c r="AQ718" s="213"/>
      <c r="AR718" s="213"/>
      <c r="AS718" s="213"/>
      <c r="AT718" s="213"/>
      <c r="AU718" s="213"/>
      <c r="AV718" s="213"/>
      <c r="AW718" s="213"/>
      <c r="AX718" s="213"/>
      <c r="AY718" s="213"/>
      <c r="AZ718" s="213"/>
      <c r="BA718" s="213"/>
      <c r="BB718" s="213"/>
    </row>
    <row r="719" ht="15.75" customHeight="1">
      <c r="A719" s="213"/>
      <c r="B719" s="213"/>
      <c r="C719" s="213"/>
      <c r="D719" s="213"/>
      <c r="E719" s="213"/>
      <c r="F719" s="213"/>
      <c r="G719" s="213"/>
      <c r="H719" s="213"/>
      <c r="I719" s="213"/>
      <c r="J719" s="213"/>
      <c r="K719" s="215"/>
      <c r="L719" s="213"/>
      <c r="M719" s="215"/>
      <c r="N719" s="213"/>
      <c r="O719" s="213"/>
      <c r="P719" s="213"/>
      <c r="Q719" s="213"/>
      <c r="R719" s="213"/>
      <c r="S719" s="213"/>
      <c r="T719" s="213"/>
      <c r="U719" s="213"/>
      <c r="V719" s="213"/>
      <c r="W719" s="213"/>
      <c r="X719" s="213"/>
      <c r="Y719" s="213"/>
      <c r="Z719" s="213"/>
      <c r="AA719" s="213"/>
      <c r="AB719" s="213"/>
      <c r="AC719" s="213"/>
      <c r="AD719" s="213"/>
      <c r="AE719" s="213"/>
      <c r="AF719" s="213"/>
      <c r="AG719" s="213"/>
      <c r="AH719" s="213"/>
      <c r="AI719" s="213"/>
      <c r="AJ719" s="213"/>
      <c r="AK719" s="213"/>
      <c r="AL719" s="213"/>
      <c r="AM719" s="213"/>
      <c r="AN719" s="213"/>
      <c r="AO719" s="213"/>
      <c r="AP719" s="213"/>
      <c r="AQ719" s="213"/>
      <c r="AR719" s="213"/>
      <c r="AS719" s="213"/>
      <c r="AT719" s="213"/>
      <c r="AU719" s="213"/>
      <c r="AV719" s="213"/>
      <c r="AW719" s="213"/>
      <c r="AX719" s="213"/>
      <c r="AY719" s="213"/>
      <c r="AZ719" s="213"/>
      <c r="BA719" s="213"/>
      <c r="BB719" s="213"/>
    </row>
    <row r="720" ht="15.75" customHeight="1">
      <c r="A720" s="213"/>
      <c r="B720" s="213"/>
      <c r="C720" s="213"/>
      <c r="D720" s="213"/>
      <c r="E720" s="213"/>
      <c r="F720" s="213"/>
      <c r="G720" s="213"/>
      <c r="H720" s="213"/>
      <c r="I720" s="213"/>
      <c r="J720" s="213"/>
      <c r="K720" s="215"/>
      <c r="L720" s="213"/>
      <c r="M720" s="215"/>
      <c r="N720" s="213"/>
      <c r="O720" s="213"/>
      <c r="P720" s="213"/>
      <c r="Q720" s="213"/>
      <c r="R720" s="213"/>
      <c r="S720" s="213"/>
      <c r="T720" s="213"/>
      <c r="U720" s="213"/>
      <c r="V720" s="213"/>
      <c r="W720" s="213"/>
      <c r="X720" s="213"/>
      <c r="Y720" s="213"/>
      <c r="Z720" s="213"/>
      <c r="AA720" s="213"/>
      <c r="AB720" s="213"/>
      <c r="AC720" s="213"/>
      <c r="AD720" s="213"/>
      <c r="AE720" s="213"/>
      <c r="AF720" s="213"/>
      <c r="AG720" s="213"/>
      <c r="AH720" s="213"/>
      <c r="AI720" s="213"/>
      <c r="AJ720" s="213"/>
      <c r="AK720" s="213"/>
      <c r="AL720" s="213"/>
      <c r="AM720" s="213"/>
      <c r="AN720" s="213"/>
      <c r="AO720" s="213"/>
      <c r="AP720" s="213"/>
      <c r="AQ720" s="213"/>
      <c r="AR720" s="213"/>
      <c r="AS720" s="213"/>
      <c r="AT720" s="213"/>
      <c r="AU720" s="213"/>
      <c r="AV720" s="213"/>
      <c r="AW720" s="213"/>
      <c r="AX720" s="213"/>
      <c r="AY720" s="213"/>
      <c r="AZ720" s="213"/>
      <c r="BA720" s="213"/>
      <c r="BB720" s="213"/>
    </row>
    <row r="721" ht="15.75" customHeight="1">
      <c r="A721" s="213"/>
      <c r="B721" s="213"/>
      <c r="C721" s="213"/>
      <c r="D721" s="213"/>
      <c r="E721" s="213"/>
      <c r="F721" s="213"/>
      <c r="G721" s="213"/>
      <c r="H721" s="213"/>
      <c r="I721" s="213"/>
      <c r="J721" s="213"/>
      <c r="K721" s="215"/>
      <c r="L721" s="213"/>
      <c r="M721" s="215"/>
      <c r="N721" s="213"/>
      <c r="O721" s="213"/>
      <c r="P721" s="213"/>
      <c r="Q721" s="213"/>
      <c r="R721" s="213"/>
      <c r="S721" s="213"/>
      <c r="T721" s="213"/>
      <c r="U721" s="213"/>
      <c r="V721" s="213"/>
      <c r="W721" s="213"/>
      <c r="X721" s="213"/>
      <c r="Y721" s="213"/>
      <c r="Z721" s="213"/>
      <c r="AA721" s="213"/>
      <c r="AB721" s="213"/>
      <c r="AC721" s="213"/>
      <c r="AD721" s="213"/>
      <c r="AE721" s="213"/>
      <c r="AF721" s="213"/>
      <c r="AG721" s="213"/>
      <c r="AH721" s="213"/>
      <c r="AI721" s="213"/>
      <c r="AJ721" s="213"/>
      <c r="AK721" s="213"/>
      <c r="AL721" s="213"/>
      <c r="AM721" s="213"/>
      <c r="AN721" s="213"/>
      <c r="AO721" s="213"/>
      <c r="AP721" s="213"/>
      <c r="AQ721" s="213"/>
      <c r="AR721" s="213"/>
      <c r="AS721" s="213"/>
      <c r="AT721" s="213"/>
      <c r="AU721" s="213"/>
      <c r="AV721" s="213"/>
      <c r="AW721" s="213"/>
      <c r="AX721" s="213"/>
      <c r="AY721" s="213"/>
      <c r="AZ721" s="213"/>
      <c r="BA721" s="213"/>
      <c r="BB721" s="213"/>
    </row>
    <row r="722" ht="15.75" customHeight="1">
      <c r="A722" s="213"/>
      <c r="B722" s="213"/>
      <c r="C722" s="213"/>
      <c r="D722" s="213"/>
      <c r="E722" s="213"/>
      <c r="F722" s="213"/>
      <c r="G722" s="213"/>
      <c r="H722" s="213"/>
      <c r="I722" s="213"/>
      <c r="J722" s="213"/>
      <c r="K722" s="215"/>
      <c r="L722" s="213"/>
      <c r="M722" s="215"/>
      <c r="N722" s="213"/>
      <c r="O722" s="213"/>
      <c r="P722" s="213"/>
      <c r="Q722" s="213"/>
      <c r="R722" s="213"/>
      <c r="S722" s="213"/>
      <c r="T722" s="213"/>
      <c r="U722" s="213"/>
      <c r="V722" s="213"/>
      <c r="W722" s="213"/>
      <c r="X722" s="213"/>
      <c r="Y722" s="213"/>
      <c r="Z722" s="213"/>
      <c r="AA722" s="213"/>
      <c r="AB722" s="213"/>
      <c r="AC722" s="213"/>
      <c r="AD722" s="213"/>
      <c r="AE722" s="213"/>
      <c r="AF722" s="213"/>
      <c r="AG722" s="213"/>
      <c r="AH722" s="213"/>
      <c r="AI722" s="213"/>
      <c r="AJ722" s="213"/>
      <c r="AK722" s="213"/>
      <c r="AL722" s="213"/>
      <c r="AM722" s="213"/>
      <c r="AN722" s="213"/>
      <c r="AO722" s="213"/>
      <c r="AP722" s="213"/>
      <c r="AQ722" s="213"/>
      <c r="AR722" s="213"/>
      <c r="AS722" s="213"/>
      <c r="AT722" s="213"/>
      <c r="AU722" s="213"/>
      <c r="AV722" s="213"/>
      <c r="AW722" s="213"/>
      <c r="AX722" s="213"/>
      <c r="AY722" s="213"/>
      <c r="AZ722" s="213"/>
      <c r="BA722" s="213"/>
      <c r="BB722" s="213"/>
    </row>
    <row r="723" ht="15.75" customHeight="1">
      <c r="A723" s="213"/>
      <c r="B723" s="213"/>
      <c r="C723" s="213"/>
      <c r="D723" s="213"/>
      <c r="E723" s="213"/>
      <c r="F723" s="213"/>
      <c r="G723" s="213"/>
      <c r="H723" s="213"/>
      <c r="I723" s="213"/>
      <c r="J723" s="213"/>
      <c r="K723" s="215"/>
      <c r="L723" s="213"/>
      <c r="M723" s="215"/>
      <c r="N723" s="213"/>
      <c r="O723" s="213"/>
      <c r="P723" s="213"/>
      <c r="Q723" s="213"/>
      <c r="R723" s="213"/>
      <c r="S723" s="213"/>
      <c r="T723" s="213"/>
      <c r="U723" s="213"/>
      <c r="V723" s="213"/>
      <c r="W723" s="213"/>
      <c r="X723" s="213"/>
      <c r="Y723" s="213"/>
      <c r="Z723" s="213"/>
      <c r="AA723" s="213"/>
      <c r="AB723" s="213"/>
      <c r="AC723" s="213"/>
      <c r="AD723" s="213"/>
      <c r="AE723" s="213"/>
      <c r="AF723" s="213"/>
      <c r="AG723" s="213"/>
      <c r="AH723" s="213"/>
      <c r="AI723" s="213"/>
      <c r="AJ723" s="213"/>
      <c r="AK723" s="213"/>
      <c r="AL723" s="213"/>
      <c r="AM723" s="213"/>
      <c r="AN723" s="213"/>
      <c r="AO723" s="213"/>
      <c r="AP723" s="213"/>
      <c r="AQ723" s="213"/>
      <c r="AR723" s="213"/>
      <c r="AS723" s="213"/>
      <c r="AT723" s="213"/>
      <c r="AU723" s="213"/>
      <c r="AV723" s="213"/>
      <c r="AW723" s="213"/>
      <c r="AX723" s="213"/>
      <c r="AY723" s="213"/>
      <c r="AZ723" s="213"/>
      <c r="BA723" s="213"/>
      <c r="BB723" s="213"/>
    </row>
    <row r="724" ht="15.75" customHeight="1">
      <c r="A724" s="213"/>
      <c r="B724" s="213"/>
      <c r="C724" s="213"/>
      <c r="D724" s="213"/>
      <c r="E724" s="213"/>
      <c r="F724" s="213"/>
      <c r="G724" s="213"/>
      <c r="H724" s="213"/>
      <c r="I724" s="213"/>
      <c r="J724" s="213"/>
      <c r="K724" s="215"/>
      <c r="L724" s="213"/>
      <c r="M724" s="215"/>
      <c r="N724" s="213"/>
      <c r="O724" s="213"/>
      <c r="P724" s="213"/>
      <c r="Q724" s="213"/>
      <c r="R724" s="213"/>
      <c r="S724" s="213"/>
      <c r="T724" s="213"/>
      <c r="U724" s="213"/>
      <c r="V724" s="213"/>
      <c r="W724" s="213"/>
      <c r="X724" s="213"/>
      <c r="Y724" s="213"/>
      <c r="Z724" s="213"/>
      <c r="AA724" s="213"/>
      <c r="AB724" s="213"/>
      <c r="AC724" s="213"/>
      <c r="AD724" s="213"/>
      <c r="AE724" s="213"/>
      <c r="AF724" s="213"/>
      <c r="AG724" s="213"/>
      <c r="AH724" s="213"/>
      <c r="AI724" s="213"/>
      <c r="AJ724" s="213"/>
      <c r="AK724" s="213"/>
      <c r="AL724" s="213"/>
      <c r="AM724" s="213"/>
      <c r="AN724" s="213"/>
      <c r="AO724" s="213"/>
      <c r="AP724" s="213"/>
      <c r="AQ724" s="213"/>
      <c r="AR724" s="213"/>
      <c r="AS724" s="213"/>
      <c r="AT724" s="213"/>
      <c r="AU724" s="213"/>
      <c r="AV724" s="213"/>
      <c r="AW724" s="213"/>
      <c r="AX724" s="213"/>
      <c r="AY724" s="213"/>
      <c r="AZ724" s="213"/>
      <c r="BA724" s="213"/>
      <c r="BB724" s="213"/>
    </row>
    <row r="725" ht="15.75" customHeight="1">
      <c r="A725" s="213"/>
      <c r="B725" s="213"/>
      <c r="C725" s="213"/>
      <c r="D725" s="213"/>
      <c r="E725" s="213"/>
      <c r="F725" s="213"/>
      <c r="G725" s="213"/>
      <c r="H725" s="213"/>
      <c r="I725" s="213"/>
      <c r="J725" s="213"/>
      <c r="K725" s="215"/>
      <c r="L725" s="213"/>
      <c r="M725" s="215"/>
      <c r="N725" s="213"/>
      <c r="O725" s="213"/>
      <c r="P725" s="213"/>
      <c r="Q725" s="213"/>
      <c r="R725" s="213"/>
      <c r="S725" s="213"/>
      <c r="T725" s="213"/>
      <c r="U725" s="213"/>
      <c r="V725" s="213"/>
      <c r="W725" s="213"/>
      <c r="X725" s="213"/>
      <c r="Y725" s="213"/>
      <c r="Z725" s="213"/>
      <c r="AA725" s="213"/>
      <c r="AB725" s="213"/>
      <c r="AC725" s="213"/>
      <c r="AD725" s="213"/>
      <c r="AE725" s="213"/>
      <c r="AF725" s="213"/>
      <c r="AG725" s="213"/>
      <c r="AH725" s="213"/>
      <c r="AI725" s="213"/>
      <c r="AJ725" s="213"/>
      <c r="AK725" s="213"/>
      <c r="AL725" s="213"/>
      <c r="AM725" s="213"/>
      <c r="AN725" s="213"/>
      <c r="AO725" s="213"/>
      <c r="AP725" s="213"/>
      <c r="AQ725" s="213"/>
      <c r="AR725" s="213"/>
      <c r="AS725" s="213"/>
      <c r="AT725" s="213"/>
      <c r="AU725" s="213"/>
      <c r="AV725" s="213"/>
      <c r="AW725" s="213"/>
      <c r="AX725" s="213"/>
      <c r="AY725" s="213"/>
      <c r="AZ725" s="213"/>
      <c r="BA725" s="213"/>
      <c r="BB725" s="213"/>
    </row>
    <row r="726" ht="15.75" customHeight="1">
      <c r="A726" s="213"/>
      <c r="B726" s="213"/>
      <c r="C726" s="213"/>
      <c r="D726" s="213"/>
      <c r="E726" s="213"/>
      <c r="F726" s="213"/>
      <c r="G726" s="213"/>
      <c r="H726" s="213"/>
      <c r="I726" s="213"/>
      <c r="J726" s="213"/>
      <c r="K726" s="215"/>
      <c r="L726" s="213"/>
      <c r="M726" s="215"/>
      <c r="N726" s="213"/>
      <c r="O726" s="213"/>
      <c r="P726" s="213"/>
      <c r="Q726" s="213"/>
      <c r="R726" s="213"/>
      <c r="S726" s="213"/>
      <c r="T726" s="213"/>
      <c r="U726" s="213"/>
      <c r="V726" s="213"/>
      <c r="W726" s="213"/>
      <c r="X726" s="213"/>
      <c r="Y726" s="213"/>
      <c r="Z726" s="213"/>
      <c r="AA726" s="213"/>
      <c r="AB726" s="213"/>
      <c r="AC726" s="213"/>
      <c r="AD726" s="213"/>
      <c r="AE726" s="213"/>
      <c r="AF726" s="213"/>
      <c r="AG726" s="213"/>
      <c r="AH726" s="213"/>
      <c r="AI726" s="213"/>
      <c r="AJ726" s="213"/>
      <c r="AK726" s="213"/>
      <c r="AL726" s="213"/>
      <c r="AM726" s="213"/>
      <c r="AN726" s="213"/>
      <c r="AO726" s="213"/>
      <c r="AP726" s="213"/>
      <c r="AQ726" s="213"/>
      <c r="AR726" s="213"/>
      <c r="AS726" s="213"/>
      <c r="AT726" s="213"/>
      <c r="AU726" s="213"/>
      <c r="AV726" s="213"/>
      <c r="AW726" s="213"/>
      <c r="AX726" s="213"/>
      <c r="AY726" s="213"/>
      <c r="AZ726" s="213"/>
      <c r="BA726" s="213"/>
      <c r="BB726" s="213"/>
    </row>
    <row r="727" ht="15.75" customHeight="1">
      <c r="A727" s="213"/>
      <c r="B727" s="213"/>
      <c r="C727" s="213"/>
      <c r="D727" s="213"/>
      <c r="E727" s="213"/>
      <c r="F727" s="213"/>
      <c r="G727" s="213"/>
      <c r="H727" s="213"/>
      <c r="I727" s="213"/>
      <c r="J727" s="213"/>
      <c r="K727" s="215"/>
      <c r="L727" s="213"/>
      <c r="M727" s="215"/>
      <c r="N727" s="213"/>
      <c r="O727" s="213"/>
      <c r="P727" s="213"/>
      <c r="Q727" s="213"/>
      <c r="R727" s="213"/>
      <c r="S727" s="213"/>
      <c r="T727" s="213"/>
      <c r="U727" s="213"/>
      <c r="V727" s="213"/>
      <c r="W727" s="213"/>
      <c r="X727" s="213"/>
      <c r="Y727" s="213"/>
      <c r="Z727" s="213"/>
      <c r="AA727" s="213"/>
      <c r="AB727" s="213"/>
      <c r="AC727" s="213"/>
      <c r="AD727" s="213"/>
      <c r="AE727" s="213"/>
      <c r="AF727" s="213"/>
      <c r="AG727" s="213"/>
      <c r="AH727" s="213"/>
      <c r="AI727" s="213"/>
      <c r="AJ727" s="213"/>
      <c r="AK727" s="213"/>
      <c r="AL727" s="213"/>
      <c r="AM727" s="213"/>
      <c r="AN727" s="213"/>
      <c r="AO727" s="213"/>
      <c r="AP727" s="213"/>
      <c r="AQ727" s="213"/>
      <c r="AR727" s="213"/>
      <c r="AS727" s="213"/>
      <c r="AT727" s="213"/>
      <c r="AU727" s="213"/>
      <c r="AV727" s="213"/>
      <c r="AW727" s="213"/>
      <c r="AX727" s="213"/>
      <c r="AY727" s="213"/>
      <c r="AZ727" s="213"/>
      <c r="BA727" s="213"/>
      <c r="BB727" s="213"/>
    </row>
    <row r="728" ht="15.75" customHeight="1">
      <c r="A728" s="213"/>
      <c r="B728" s="213"/>
      <c r="C728" s="213"/>
      <c r="D728" s="213"/>
      <c r="E728" s="213"/>
      <c r="F728" s="213"/>
      <c r="G728" s="213"/>
      <c r="H728" s="213"/>
      <c r="I728" s="213"/>
      <c r="J728" s="213"/>
      <c r="K728" s="215"/>
      <c r="L728" s="213"/>
      <c r="M728" s="215"/>
      <c r="N728" s="213"/>
      <c r="O728" s="213"/>
      <c r="P728" s="213"/>
      <c r="Q728" s="213"/>
      <c r="R728" s="213"/>
      <c r="S728" s="213"/>
      <c r="T728" s="213"/>
      <c r="U728" s="213"/>
      <c r="V728" s="213"/>
      <c r="W728" s="213"/>
      <c r="X728" s="213"/>
      <c r="Y728" s="213"/>
      <c r="Z728" s="213"/>
      <c r="AA728" s="213"/>
      <c r="AB728" s="213"/>
      <c r="AC728" s="213"/>
      <c r="AD728" s="213"/>
      <c r="AE728" s="213"/>
      <c r="AF728" s="213"/>
      <c r="AG728" s="213"/>
      <c r="AH728" s="213"/>
      <c r="AI728" s="213"/>
      <c r="AJ728" s="213"/>
      <c r="AK728" s="213"/>
      <c r="AL728" s="213"/>
      <c r="AM728" s="213"/>
      <c r="AN728" s="213"/>
      <c r="AO728" s="213"/>
      <c r="AP728" s="213"/>
      <c r="AQ728" s="213"/>
      <c r="AR728" s="213"/>
      <c r="AS728" s="213"/>
      <c r="AT728" s="213"/>
      <c r="AU728" s="213"/>
      <c r="AV728" s="213"/>
      <c r="AW728" s="213"/>
      <c r="AX728" s="213"/>
      <c r="AY728" s="213"/>
      <c r="AZ728" s="213"/>
      <c r="BA728" s="213"/>
      <c r="BB728" s="213"/>
    </row>
    <row r="729" ht="15.75" customHeight="1">
      <c r="A729" s="213"/>
      <c r="B729" s="213"/>
      <c r="C729" s="213"/>
      <c r="D729" s="213"/>
      <c r="E729" s="213"/>
      <c r="F729" s="213"/>
      <c r="G729" s="213"/>
      <c r="H729" s="213"/>
      <c r="I729" s="213"/>
      <c r="J729" s="213"/>
      <c r="K729" s="215"/>
      <c r="L729" s="213"/>
      <c r="M729" s="215"/>
      <c r="N729" s="213"/>
      <c r="O729" s="213"/>
      <c r="P729" s="213"/>
      <c r="Q729" s="213"/>
      <c r="R729" s="213"/>
      <c r="S729" s="213"/>
      <c r="T729" s="213"/>
      <c r="U729" s="213"/>
      <c r="V729" s="213"/>
      <c r="W729" s="213"/>
      <c r="X729" s="213"/>
      <c r="Y729" s="213"/>
      <c r="Z729" s="213"/>
      <c r="AA729" s="213"/>
      <c r="AB729" s="213"/>
      <c r="AC729" s="213"/>
      <c r="AD729" s="213"/>
      <c r="AE729" s="213"/>
      <c r="AF729" s="213"/>
      <c r="AG729" s="213"/>
      <c r="AH729" s="213"/>
      <c r="AI729" s="213"/>
      <c r="AJ729" s="213"/>
      <c r="AK729" s="213"/>
      <c r="AL729" s="213"/>
      <c r="AM729" s="213"/>
      <c r="AN729" s="213"/>
      <c r="AO729" s="213"/>
      <c r="AP729" s="213"/>
      <c r="AQ729" s="213"/>
      <c r="AR729" s="213"/>
      <c r="AS729" s="213"/>
      <c r="AT729" s="213"/>
      <c r="AU729" s="213"/>
      <c r="AV729" s="213"/>
      <c r="AW729" s="213"/>
      <c r="AX729" s="213"/>
      <c r="AY729" s="213"/>
      <c r="AZ729" s="213"/>
      <c r="BA729" s="213"/>
      <c r="BB729" s="213"/>
    </row>
    <row r="730" ht="15.75" customHeight="1">
      <c r="A730" s="213"/>
      <c r="B730" s="213"/>
      <c r="C730" s="213"/>
      <c r="D730" s="213"/>
      <c r="E730" s="213"/>
      <c r="F730" s="213"/>
      <c r="G730" s="213"/>
      <c r="H730" s="213"/>
      <c r="I730" s="213"/>
      <c r="J730" s="213"/>
      <c r="K730" s="215"/>
      <c r="L730" s="213"/>
      <c r="M730" s="215"/>
      <c r="N730" s="213"/>
      <c r="O730" s="213"/>
      <c r="P730" s="213"/>
      <c r="Q730" s="213"/>
      <c r="R730" s="213"/>
      <c r="S730" s="213"/>
      <c r="T730" s="213"/>
      <c r="U730" s="213"/>
      <c r="V730" s="213"/>
      <c r="W730" s="213"/>
      <c r="X730" s="213"/>
      <c r="Y730" s="213"/>
      <c r="Z730" s="213"/>
      <c r="AA730" s="213"/>
      <c r="AB730" s="213"/>
      <c r="AC730" s="213"/>
      <c r="AD730" s="213"/>
      <c r="AE730" s="213"/>
      <c r="AF730" s="213"/>
      <c r="AG730" s="213"/>
      <c r="AH730" s="213"/>
      <c r="AI730" s="213"/>
      <c r="AJ730" s="213"/>
      <c r="AK730" s="213"/>
      <c r="AL730" s="213"/>
      <c r="AM730" s="213"/>
      <c r="AN730" s="213"/>
      <c r="AO730" s="213"/>
      <c r="AP730" s="213"/>
      <c r="AQ730" s="213"/>
      <c r="AR730" s="213"/>
      <c r="AS730" s="213"/>
      <c r="AT730" s="213"/>
      <c r="AU730" s="213"/>
      <c r="AV730" s="213"/>
      <c r="AW730" s="213"/>
      <c r="AX730" s="213"/>
      <c r="AY730" s="213"/>
      <c r="AZ730" s="213"/>
      <c r="BA730" s="213"/>
      <c r="BB730" s="213"/>
    </row>
    <row r="731" ht="15.75" customHeight="1">
      <c r="A731" s="213"/>
      <c r="B731" s="213"/>
      <c r="C731" s="213"/>
      <c r="D731" s="213"/>
      <c r="E731" s="213"/>
      <c r="F731" s="213"/>
      <c r="G731" s="213"/>
      <c r="H731" s="213"/>
      <c r="I731" s="213"/>
      <c r="J731" s="213"/>
      <c r="K731" s="215"/>
      <c r="L731" s="213"/>
      <c r="M731" s="215"/>
      <c r="N731" s="213"/>
      <c r="O731" s="213"/>
      <c r="P731" s="213"/>
      <c r="Q731" s="213"/>
      <c r="R731" s="213"/>
      <c r="S731" s="213"/>
      <c r="T731" s="213"/>
      <c r="U731" s="213"/>
      <c r="V731" s="213"/>
      <c r="W731" s="213"/>
      <c r="X731" s="213"/>
      <c r="Y731" s="213"/>
      <c r="Z731" s="213"/>
      <c r="AA731" s="213"/>
      <c r="AB731" s="213"/>
      <c r="AC731" s="213"/>
      <c r="AD731" s="213"/>
      <c r="AE731" s="213"/>
      <c r="AF731" s="213"/>
      <c r="AG731" s="213"/>
      <c r="AH731" s="213"/>
      <c r="AI731" s="213"/>
      <c r="AJ731" s="213"/>
      <c r="AK731" s="213"/>
      <c r="AL731" s="213"/>
      <c r="AM731" s="213"/>
      <c r="AN731" s="213"/>
      <c r="AO731" s="213"/>
      <c r="AP731" s="213"/>
      <c r="AQ731" s="213"/>
      <c r="AR731" s="213"/>
      <c r="AS731" s="213"/>
      <c r="AT731" s="213"/>
      <c r="AU731" s="213"/>
      <c r="AV731" s="213"/>
      <c r="AW731" s="213"/>
      <c r="AX731" s="213"/>
      <c r="AY731" s="213"/>
      <c r="AZ731" s="213"/>
      <c r="BA731" s="213"/>
      <c r="BB731" s="213"/>
    </row>
    <row r="732" ht="15.75" customHeight="1">
      <c r="A732" s="213"/>
      <c r="B732" s="213"/>
      <c r="C732" s="213"/>
      <c r="D732" s="213"/>
      <c r="E732" s="213"/>
      <c r="F732" s="213"/>
      <c r="G732" s="213"/>
      <c r="H732" s="213"/>
      <c r="I732" s="213"/>
      <c r="J732" s="213"/>
      <c r="K732" s="215"/>
      <c r="L732" s="213"/>
      <c r="M732" s="215"/>
      <c r="N732" s="213"/>
      <c r="O732" s="213"/>
      <c r="P732" s="213"/>
      <c r="Q732" s="213"/>
      <c r="R732" s="213"/>
      <c r="S732" s="213"/>
      <c r="T732" s="213"/>
      <c r="U732" s="213"/>
      <c r="V732" s="213"/>
      <c r="W732" s="213"/>
      <c r="X732" s="213"/>
      <c r="Y732" s="213"/>
      <c r="Z732" s="213"/>
      <c r="AA732" s="213"/>
      <c r="AB732" s="213"/>
      <c r="AC732" s="213"/>
      <c r="AD732" s="213"/>
      <c r="AE732" s="213"/>
      <c r="AF732" s="213"/>
      <c r="AG732" s="213"/>
      <c r="AH732" s="213"/>
      <c r="AI732" s="213"/>
      <c r="AJ732" s="213"/>
      <c r="AK732" s="213"/>
      <c r="AL732" s="213"/>
      <c r="AM732" s="213"/>
      <c r="AN732" s="213"/>
      <c r="AO732" s="213"/>
      <c r="AP732" s="213"/>
      <c r="AQ732" s="213"/>
      <c r="AR732" s="213"/>
      <c r="AS732" s="213"/>
      <c r="AT732" s="213"/>
      <c r="AU732" s="213"/>
      <c r="AV732" s="213"/>
      <c r="AW732" s="213"/>
      <c r="AX732" s="213"/>
      <c r="AY732" s="213"/>
      <c r="AZ732" s="213"/>
      <c r="BA732" s="213"/>
      <c r="BB732" s="213"/>
    </row>
    <row r="733" ht="15.75" customHeight="1">
      <c r="A733" s="213"/>
      <c r="B733" s="213"/>
      <c r="C733" s="213"/>
      <c r="D733" s="213"/>
      <c r="E733" s="213"/>
      <c r="F733" s="213"/>
      <c r="G733" s="213"/>
      <c r="H733" s="213"/>
      <c r="I733" s="213"/>
      <c r="J733" s="213"/>
      <c r="K733" s="215"/>
      <c r="L733" s="213"/>
      <c r="M733" s="215"/>
      <c r="N733" s="213"/>
      <c r="O733" s="213"/>
      <c r="P733" s="213"/>
      <c r="Q733" s="213"/>
      <c r="R733" s="213"/>
      <c r="S733" s="213"/>
      <c r="T733" s="213"/>
      <c r="U733" s="213"/>
      <c r="V733" s="213"/>
      <c r="W733" s="213"/>
      <c r="X733" s="213"/>
      <c r="Y733" s="213"/>
      <c r="Z733" s="213"/>
      <c r="AA733" s="213"/>
      <c r="AB733" s="213"/>
      <c r="AC733" s="213"/>
      <c r="AD733" s="213"/>
      <c r="AE733" s="213"/>
      <c r="AF733" s="213"/>
      <c r="AG733" s="213"/>
      <c r="AH733" s="213"/>
      <c r="AI733" s="213"/>
      <c r="AJ733" s="213"/>
      <c r="AK733" s="213"/>
      <c r="AL733" s="213"/>
      <c r="AM733" s="213"/>
      <c r="AN733" s="213"/>
      <c r="AO733" s="213"/>
      <c r="AP733" s="213"/>
      <c r="AQ733" s="213"/>
      <c r="AR733" s="213"/>
      <c r="AS733" s="213"/>
      <c r="AT733" s="213"/>
      <c r="AU733" s="213"/>
      <c r="AV733" s="213"/>
      <c r="AW733" s="213"/>
      <c r="AX733" s="213"/>
      <c r="AY733" s="213"/>
      <c r="AZ733" s="213"/>
      <c r="BA733" s="213"/>
      <c r="BB733" s="213"/>
    </row>
    <row r="734" ht="15.75" customHeight="1">
      <c r="A734" s="213"/>
      <c r="B734" s="213"/>
      <c r="C734" s="213"/>
      <c r="D734" s="213"/>
      <c r="E734" s="213"/>
      <c r="F734" s="213"/>
      <c r="G734" s="213"/>
      <c r="H734" s="213"/>
      <c r="I734" s="213"/>
      <c r="J734" s="213"/>
      <c r="K734" s="215"/>
      <c r="L734" s="213"/>
      <c r="M734" s="215"/>
      <c r="N734" s="213"/>
      <c r="O734" s="213"/>
      <c r="P734" s="213"/>
      <c r="Q734" s="213"/>
      <c r="R734" s="213"/>
      <c r="S734" s="213"/>
      <c r="T734" s="213"/>
      <c r="U734" s="213"/>
      <c r="V734" s="213"/>
      <c r="W734" s="213"/>
      <c r="X734" s="213"/>
      <c r="Y734" s="213"/>
      <c r="Z734" s="213"/>
      <c r="AA734" s="213"/>
      <c r="AB734" s="213"/>
      <c r="AC734" s="213"/>
      <c r="AD734" s="213"/>
      <c r="AE734" s="213"/>
      <c r="AF734" s="213"/>
      <c r="AG734" s="213"/>
      <c r="AH734" s="213"/>
      <c r="AI734" s="213"/>
      <c r="AJ734" s="213"/>
      <c r="AK734" s="213"/>
      <c r="AL734" s="213"/>
      <c r="AM734" s="213"/>
      <c r="AN734" s="213"/>
      <c r="AO734" s="213"/>
      <c r="AP734" s="213"/>
      <c r="AQ734" s="213"/>
      <c r="AR734" s="213"/>
      <c r="AS734" s="213"/>
      <c r="AT734" s="213"/>
      <c r="AU734" s="213"/>
      <c r="AV734" s="213"/>
      <c r="AW734" s="213"/>
      <c r="AX734" s="213"/>
      <c r="AY734" s="213"/>
      <c r="AZ734" s="213"/>
      <c r="BA734" s="213"/>
      <c r="BB734" s="213"/>
    </row>
    <row r="735" ht="15.75" customHeight="1">
      <c r="A735" s="213"/>
      <c r="B735" s="213"/>
      <c r="C735" s="213"/>
      <c r="D735" s="213"/>
      <c r="E735" s="213"/>
      <c r="F735" s="213"/>
      <c r="G735" s="213"/>
      <c r="H735" s="213"/>
      <c r="I735" s="213"/>
      <c r="J735" s="213"/>
      <c r="K735" s="215"/>
      <c r="L735" s="213"/>
      <c r="M735" s="215"/>
      <c r="N735" s="213"/>
      <c r="O735" s="213"/>
      <c r="P735" s="213"/>
      <c r="Q735" s="213"/>
      <c r="R735" s="213"/>
      <c r="S735" s="213"/>
      <c r="T735" s="213"/>
      <c r="U735" s="213"/>
      <c r="V735" s="213"/>
      <c r="W735" s="213"/>
      <c r="X735" s="213"/>
      <c r="Y735" s="213"/>
      <c r="Z735" s="213"/>
      <c r="AA735" s="213"/>
      <c r="AB735" s="213"/>
      <c r="AC735" s="213"/>
      <c r="AD735" s="213"/>
      <c r="AE735" s="213"/>
      <c r="AF735" s="213"/>
      <c r="AG735" s="213"/>
      <c r="AH735" s="213"/>
      <c r="AI735" s="213"/>
      <c r="AJ735" s="213"/>
      <c r="AK735" s="213"/>
      <c r="AL735" s="213"/>
      <c r="AM735" s="213"/>
      <c r="AN735" s="213"/>
      <c r="AO735" s="213"/>
      <c r="AP735" s="213"/>
      <c r="AQ735" s="213"/>
      <c r="AR735" s="213"/>
      <c r="AS735" s="213"/>
      <c r="AT735" s="213"/>
      <c r="AU735" s="213"/>
      <c r="AV735" s="213"/>
      <c r="AW735" s="213"/>
      <c r="AX735" s="213"/>
      <c r="AY735" s="213"/>
      <c r="AZ735" s="213"/>
      <c r="BA735" s="213"/>
      <c r="BB735" s="213"/>
    </row>
    <row r="736" ht="15.75" customHeight="1">
      <c r="A736" s="213"/>
      <c r="B736" s="213"/>
      <c r="C736" s="213"/>
      <c r="D736" s="213"/>
      <c r="E736" s="213"/>
      <c r="F736" s="213"/>
      <c r="G736" s="213"/>
      <c r="H736" s="213"/>
      <c r="I736" s="213"/>
      <c r="J736" s="213"/>
      <c r="K736" s="215"/>
      <c r="L736" s="213"/>
      <c r="M736" s="215"/>
      <c r="N736" s="213"/>
      <c r="O736" s="213"/>
      <c r="P736" s="213"/>
      <c r="Q736" s="213"/>
      <c r="R736" s="213"/>
      <c r="S736" s="213"/>
      <c r="T736" s="213"/>
      <c r="U736" s="213"/>
      <c r="V736" s="213"/>
      <c r="W736" s="213"/>
      <c r="X736" s="213"/>
      <c r="Y736" s="213"/>
      <c r="Z736" s="213"/>
      <c r="AA736" s="213"/>
      <c r="AB736" s="213"/>
      <c r="AC736" s="213"/>
      <c r="AD736" s="213"/>
      <c r="AE736" s="213"/>
      <c r="AF736" s="213"/>
      <c r="AG736" s="213"/>
      <c r="AH736" s="213"/>
      <c r="AI736" s="213"/>
      <c r="AJ736" s="213"/>
      <c r="AK736" s="213"/>
      <c r="AL736" s="213"/>
      <c r="AM736" s="213"/>
      <c r="AN736" s="213"/>
      <c r="AO736" s="213"/>
      <c r="AP736" s="213"/>
      <c r="AQ736" s="213"/>
      <c r="AR736" s="213"/>
      <c r="AS736" s="213"/>
      <c r="AT736" s="213"/>
      <c r="AU736" s="213"/>
      <c r="AV736" s="213"/>
      <c r="AW736" s="213"/>
      <c r="AX736" s="213"/>
      <c r="AY736" s="213"/>
      <c r="AZ736" s="213"/>
      <c r="BA736" s="213"/>
      <c r="BB736" s="213"/>
    </row>
    <row r="737" ht="15.75" customHeight="1">
      <c r="A737" s="213"/>
      <c r="B737" s="213"/>
      <c r="C737" s="213"/>
      <c r="D737" s="213"/>
      <c r="E737" s="213"/>
      <c r="F737" s="213"/>
      <c r="G737" s="213"/>
      <c r="H737" s="213"/>
      <c r="I737" s="213"/>
      <c r="J737" s="213"/>
      <c r="K737" s="215"/>
      <c r="L737" s="213"/>
      <c r="M737" s="215"/>
      <c r="N737" s="213"/>
      <c r="O737" s="213"/>
      <c r="P737" s="213"/>
      <c r="Q737" s="213"/>
      <c r="R737" s="213"/>
      <c r="S737" s="213"/>
      <c r="T737" s="213"/>
      <c r="U737" s="213"/>
      <c r="V737" s="213"/>
      <c r="W737" s="213"/>
      <c r="X737" s="213"/>
      <c r="Y737" s="213"/>
      <c r="Z737" s="213"/>
      <c r="AA737" s="213"/>
      <c r="AB737" s="213"/>
      <c r="AC737" s="213"/>
      <c r="AD737" s="213"/>
      <c r="AE737" s="213"/>
      <c r="AF737" s="213"/>
      <c r="AG737" s="213"/>
      <c r="AH737" s="213"/>
      <c r="AI737" s="213"/>
      <c r="AJ737" s="213"/>
      <c r="AK737" s="213"/>
      <c r="AL737" s="213"/>
      <c r="AM737" s="213"/>
      <c r="AN737" s="213"/>
      <c r="AO737" s="213"/>
      <c r="AP737" s="213"/>
      <c r="AQ737" s="213"/>
      <c r="AR737" s="213"/>
      <c r="AS737" s="213"/>
      <c r="AT737" s="213"/>
      <c r="AU737" s="213"/>
      <c r="AV737" s="213"/>
      <c r="AW737" s="213"/>
      <c r="AX737" s="213"/>
      <c r="AY737" s="213"/>
      <c r="AZ737" s="213"/>
      <c r="BA737" s="213"/>
      <c r="BB737" s="213"/>
    </row>
    <row r="738" ht="15.75" customHeight="1">
      <c r="A738" s="213"/>
      <c r="B738" s="213"/>
      <c r="C738" s="213"/>
      <c r="D738" s="213"/>
      <c r="E738" s="213"/>
      <c r="F738" s="213"/>
      <c r="G738" s="213"/>
      <c r="H738" s="213"/>
      <c r="I738" s="213"/>
      <c r="J738" s="213"/>
      <c r="K738" s="215"/>
      <c r="L738" s="213"/>
      <c r="M738" s="215"/>
      <c r="N738" s="213"/>
      <c r="O738" s="213"/>
      <c r="P738" s="213"/>
      <c r="Q738" s="213"/>
      <c r="R738" s="213"/>
      <c r="S738" s="213"/>
      <c r="T738" s="213"/>
      <c r="U738" s="213"/>
      <c r="V738" s="213"/>
      <c r="W738" s="213"/>
      <c r="X738" s="213"/>
      <c r="Y738" s="213"/>
      <c r="Z738" s="213"/>
      <c r="AA738" s="213"/>
      <c r="AB738" s="213"/>
      <c r="AC738" s="213"/>
      <c r="AD738" s="213"/>
      <c r="AE738" s="213"/>
      <c r="AF738" s="213"/>
      <c r="AG738" s="213"/>
      <c r="AH738" s="213"/>
      <c r="AI738" s="213"/>
      <c r="AJ738" s="213"/>
      <c r="AK738" s="213"/>
      <c r="AL738" s="213"/>
      <c r="AM738" s="213"/>
      <c r="AN738" s="213"/>
      <c r="AO738" s="213"/>
      <c r="AP738" s="213"/>
      <c r="AQ738" s="213"/>
      <c r="AR738" s="213"/>
      <c r="AS738" s="213"/>
      <c r="AT738" s="213"/>
      <c r="AU738" s="213"/>
      <c r="AV738" s="213"/>
      <c r="AW738" s="213"/>
      <c r="AX738" s="213"/>
      <c r="AY738" s="213"/>
      <c r="AZ738" s="213"/>
      <c r="BA738" s="213"/>
      <c r="BB738" s="213"/>
    </row>
    <row r="739" ht="15.75" customHeight="1">
      <c r="A739" s="213"/>
      <c r="B739" s="213"/>
      <c r="C739" s="213"/>
      <c r="D739" s="213"/>
      <c r="E739" s="213"/>
      <c r="F739" s="213"/>
      <c r="G739" s="213"/>
      <c r="H739" s="213"/>
      <c r="I739" s="213"/>
      <c r="J739" s="213"/>
      <c r="K739" s="215"/>
      <c r="L739" s="213"/>
      <c r="M739" s="215"/>
      <c r="N739" s="213"/>
      <c r="O739" s="213"/>
      <c r="P739" s="213"/>
      <c r="Q739" s="213"/>
      <c r="R739" s="213"/>
      <c r="S739" s="213"/>
      <c r="T739" s="213"/>
      <c r="U739" s="213"/>
      <c r="V739" s="213"/>
      <c r="W739" s="213"/>
      <c r="X739" s="213"/>
      <c r="Y739" s="213"/>
      <c r="Z739" s="213"/>
      <c r="AA739" s="213"/>
      <c r="AB739" s="213"/>
      <c r="AC739" s="213"/>
      <c r="AD739" s="213"/>
      <c r="AE739" s="213"/>
      <c r="AF739" s="213"/>
      <c r="AG739" s="213"/>
      <c r="AH739" s="213"/>
      <c r="AI739" s="213"/>
      <c r="AJ739" s="213"/>
      <c r="AK739" s="213"/>
      <c r="AL739" s="213"/>
      <c r="AM739" s="213"/>
      <c r="AN739" s="213"/>
      <c r="AO739" s="213"/>
      <c r="AP739" s="213"/>
      <c r="AQ739" s="213"/>
      <c r="AR739" s="213"/>
      <c r="AS739" s="213"/>
      <c r="AT739" s="213"/>
      <c r="AU739" s="213"/>
      <c r="AV739" s="213"/>
      <c r="AW739" s="213"/>
      <c r="AX739" s="213"/>
      <c r="AY739" s="213"/>
      <c r="AZ739" s="213"/>
      <c r="BA739" s="213"/>
      <c r="BB739" s="213"/>
    </row>
    <row r="740" ht="15.75" customHeight="1">
      <c r="A740" s="213"/>
      <c r="B740" s="213"/>
      <c r="C740" s="213"/>
      <c r="D740" s="213"/>
      <c r="E740" s="213"/>
      <c r="F740" s="213"/>
      <c r="G740" s="213"/>
      <c r="H740" s="213"/>
      <c r="I740" s="213"/>
      <c r="J740" s="213"/>
      <c r="K740" s="215"/>
      <c r="L740" s="213"/>
      <c r="M740" s="215"/>
      <c r="N740" s="213"/>
      <c r="O740" s="213"/>
      <c r="P740" s="213"/>
      <c r="Q740" s="213"/>
      <c r="R740" s="213"/>
      <c r="S740" s="213"/>
      <c r="T740" s="213"/>
      <c r="U740" s="213"/>
      <c r="V740" s="213"/>
      <c r="W740" s="213"/>
      <c r="X740" s="213"/>
      <c r="Y740" s="213"/>
      <c r="Z740" s="213"/>
      <c r="AA740" s="213"/>
      <c r="AB740" s="213"/>
      <c r="AC740" s="213"/>
      <c r="AD740" s="213"/>
      <c r="AE740" s="213"/>
      <c r="AF740" s="213"/>
      <c r="AG740" s="213"/>
      <c r="AH740" s="213"/>
      <c r="AI740" s="213"/>
      <c r="AJ740" s="213"/>
      <c r="AK740" s="213"/>
      <c r="AL740" s="213"/>
      <c r="AM740" s="213"/>
      <c r="AN740" s="213"/>
      <c r="AO740" s="213"/>
      <c r="AP740" s="213"/>
      <c r="AQ740" s="213"/>
      <c r="AR740" s="213"/>
      <c r="AS740" s="213"/>
      <c r="AT740" s="213"/>
      <c r="AU740" s="213"/>
      <c r="AV740" s="213"/>
      <c r="AW740" s="213"/>
      <c r="AX740" s="213"/>
      <c r="AY740" s="213"/>
      <c r="AZ740" s="213"/>
      <c r="BA740" s="213"/>
      <c r="BB740" s="213"/>
    </row>
    <row r="741" ht="15.75" customHeight="1">
      <c r="A741" s="213"/>
      <c r="B741" s="213"/>
      <c r="C741" s="213"/>
      <c r="D741" s="213"/>
      <c r="E741" s="213"/>
      <c r="F741" s="213"/>
      <c r="G741" s="213"/>
      <c r="H741" s="213"/>
      <c r="I741" s="213"/>
      <c r="J741" s="213"/>
      <c r="K741" s="215"/>
      <c r="L741" s="213"/>
      <c r="M741" s="215"/>
      <c r="N741" s="213"/>
      <c r="O741" s="213"/>
      <c r="P741" s="213"/>
      <c r="Q741" s="213"/>
      <c r="R741" s="213"/>
      <c r="S741" s="213"/>
      <c r="T741" s="213"/>
      <c r="U741" s="213"/>
      <c r="V741" s="213"/>
      <c r="W741" s="213"/>
      <c r="X741" s="213"/>
      <c r="Y741" s="213"/>
      <c r="Z741" s="213"/>
      <c r="AA741" s="213"/>
      <c r="AB741" s="213"/>
      <c r="AC741" s="213"/>
      <c r="AD741" s="213"/>
      <c r="AE741" s="213"/>
      <c r="AF741" s="213"/>
      <c r="AG741" s="213"/>
      <c r="AH741" s="213"/>
      <c r="AI741" s="213"/>
      <c r="AJ741" s="213"/>
      <c r="AK741" s="213"/>
      <c r="AL741" s="213"/>
      <c r="AM741" s="213"/>
      <c r="AN741" s="213"/>
      <c r="AO741" s="213"/>
      <c r="AP741" s="213"/>
      <c r="AQ741" s="213"/>
      <c r="AR741" s="213"/>
      <c r="AS741" s="213"/>
      <c r="AT741" s="213"/>
      <c r="AU741" s="213"/>
      <c r="AV741" s="213"/>
      <c r="AW741" s="213"/>
      <c r="AX741" s="213"/>
      <c r="AY741" s="213"/>
      <c r="AZ741" s="213"/>
      <c r="BA741" s="213"/>
      <c r="BB741" s="213"/>
    </row>
    <row r="742" ht="15.75" customHeight="1">
      <c r="A742" s="213"/>
      <c r="B742" s="213"/>
      <c r="C742" s="213"/>
      <c r="D742" s="213"/>
      <c r="E742" s="213"/>
      <c r="F742" s="213"/>
      <c r="G742" s="213"/>
      <c r="H742" s="213"/>
      <c r="I742" s="213"/>
      <c r="J742" s="213"/>
      <c r="K742" s="215"/>
      <c r="L742" s="213"/>
      <c r="M742" s="215"/>
      <c r="N742" s="213"/>
      <c r="O742" s="213"/>
      <c r="P742" s="213"/>
      <c r="Q742" s="213"/>
      <c r="R742" s="213"/>
      <c r="S742" s="213"/>
      <c r="T742" s="213"/>
      <c r="U742" s="213"/>
      <c r="V742" s="213"/>
      <c r="W742" s="213"/>
      <c r="X742" s="213"/>
      <c r="Y742" s="213"/>
      <c r="Z742" s="213"/>
      <c r="AA742" s="213"/>
      <c r="AB742" s="213"/>
      <c r="AC742" s="213"/>
      <c r="AD742" s="213"/>
      <c r="AE742" s="213"/>
      <c r="AF742" s="213"/>
      <c r="AG742" s="213"/>
      <c r="AH742" s="213"/>
      <c r="AI742" s="213"/>
      <c r="AJ742" s="213"/>
      <c r="AK742" s="213"/>
      <c r="AL742" s="213"/>
      <c r="AM742" s="213"/>
      <c r="AN742" s="213"/>
      <c r="AO742" s="213"/>
      <c r="AP742" s="213"/>
      <c r="AQ742" s="213"/>
      <c r="AR742" s="213"/>
      <c r="AS742" s="213"/>
      <c r="AT742" s="213"/>
      <c r="AU742" s="213"/>
      <c r="AV742" s="213"/>
      <c r="AW742" s="213"/>
      <c r="AX742" s="213"/>
      <c r="AY742" s="213"/>
      <c r="AZ742" s="213"/>
      <c r="BA742" s="213"/>
      <c r="BB742" s="213"/>
    </row>
    <row r="743" ht="15.75" customHeight="1">
      <c r="A743" s="213"/>
      <c r="B743" s="213"/>
      <c r="C743" s="213"/>
      <c r="D743" s="213"/>
      <c r="E743" s="213"/>
      <c r="F743" s="213"/>
      <c r="G743" s="213"/>
      <c r="H743" s="213"/>
      <c r="I743" s="213"/>
      <c r="J743" s="213"/>
      <c r="K743" s="215"/>
      <c r="L743" s="213"/>
      <c r="M743" s="215"/>
      <c r="N743" s="213"/>
      <c r="O743" s="213"/>
      <c r="P743" s="213"/>
      <c r="Q743" s="213"/>
      <c r="R743" s="213"/>
      <c r="S743" s="213"/>
      <c r="T743" s="213"/>
      <c r="U743" s="213"/>
      <c r="V743" s="213"/>
      <c r="W743" s="213"/>
      <c r="X743" s="213"/>
      <c r="Y743" s="213"/>
      <c r="Z743" s="213"/>
      <c r="AA743" s="213"/>
      <c r="AB743" s="213"/>
      <c r="AC743" s="213"/>
      <c r="AD743" s="213"/>
      <c r="AE743" s="213"/>
      <c r="AF743" s="213"/>
      <c r="AG743" s="213"/>
      <c r="AH743" s="213"/>
      <c r="AI743" s="213"/>
      <c r="AJ743" s="213"/>
      <c r="AK743" s="213"/>
      <c r="AL743" s="213"/>
      <c r="AM743" s="213"/>
      <c r="AN743" s="213"/>
      <c r="AO743" s="213"/>
      <c r="AP743" s="213"/>
      <c r="AQ743" s="213"/>
      <c r="AR743" s="213"/>
      <c r="AS743" s="213"/>
      <c r="AT743" s="213"/>
      <c r="AU743" s="213"/>
      <c r="AV743" s="213"/>
      <c r="AW743" s="213"/>
      <c r="AX743" s="213"/>
      <c r="AY743" s="213"/>
      <c r="AZ743" s="213"/>
      <c r="BA743" s="213"/>
      <c r="BB743" s="213"/>
    </row>
    <row r="744" ht="15.75" customHeight="1">
      <c r="A744" s="213"/>
      <c r="B744" s="213"/>
      <c r="C744" s="213"/>
      <c r="D744" s="213"/>
      <c r="E744" s="213"/>
      <c r="F744" s="213"/>
      <c r="G744" s="213"/>
      <c r="H744" s="213"/>
      <c r="I744" s="213"/>
      <c r="J744" s="213"/>
      <c r="K744" s="215"/>
      <c r="L744" s="213"/>
      <c r="M744" s="215"/>
      <c r="N744" s="213"/>
      <c r="O744" s="213"/>
      <c r="P744" s="213"/>
      <c r="Q744" s="213"/>
      <c r="R744" s="213"/>
      <c r="S744" s="213"/>
      <c r="T744" s="213"/>
      <c r="U744" s="213"/>
      <c r="V744" s="213"/>
      <c r="W744" s="213"/>
      <c r="X744" s="213"/>
      <c r="Y744" s="213"/>
      <c r="Z744" s="213"/>
      <c r="AA744" s="213"/>
      <c r="AB744" s="213"/>
      <c r="AC744" s="213"/>
      <c r="AD744" s="213"/>
      <c r="AE744" s="213"/>
      <c r="AF744" s="213"/>
      <c r="AG744" s="213"/>
      <c r="AH744" s="213"/>
      <c r="AI744" s="213"/>
      <c r="AJ744" s="213"/>
      <c r="AK744" s="213"/>
      <c r="AL744" s="213"/>
      <c r="AM744" s="213"/>
      <c r="AN744" s="213"/>
      <c r="AO744" s="213"/>
      <c r="AP744" s="213"/>
      <c r="AQ744" s="213"/>
      <c r="AR744" s="213"/>
      <c r="AS744" s="213"/>
      <c r="AT744" s="213"/>
      <c r="AU744" s="213"/>
      <c r="AV744" s="213"/>
      <c r="AW744" s="213"/>
      <c r="AX744" s="213"/>
      <c r="AY744" s="213"/>
      <c r="AZ744" s="213"/>
      <c r="BA744" s="213"/>
      <c r="BB744" s="213"/>
    </row>
    <row r="745" ht="15.75" customHeight="1">
      <c r="A745" s="213"/>
      <c r="B745" s="213"/>
      <c r="C745" s="213"/>
      <c r="D745" s="213"/>
      <c r="E745" s="213"/>
      <c r="F745" s="213"/>
      <c r="G745" s="213"/>
      <c r="H745" s="213"/>
      <c r="I745" s="213"/>
      <c r="J745" s="213"/>
      <c r="K745" s="215"/>
      <c r="L745" s="213"/>
      <c r="M745" s="215"/>
      <c r="N745" s="213"/>
      <c r="O745" s="213"/>
      <c r="P745" s="213"/>
      <c r="Q745" s="213"/>
      <c r="R745" s="213"/>
      <c r="S745" s="213"/>
      <c r="T745" s="213"/>
      <c r="U745" s="213"/>
      <c r="V745" s="213"/>
      <c r="W745" s="213"/>
      <c r="X745" s="213"/>
      <c r="Y745" s="213"/>
      <c r="Z745" s="213"/>
      <c r="AA745" s="213"/>
      <c r="AB745" s="213"/>
      <c r="AC745" s="213"/>
      <c r="AD745" s="213"/>
      <c r="AE745" s="213"/>
      <c r="AF745" s="213"/>
      <c r="AG745" s="213"/>
      <c r="AH745" s="213"/>
      <c r="AI745" s="213"/>
      <c r="AJ745" s="213"/>
      <c r="AK745" s="213"/>
      <c r="AL745" s="213"/>
      <c r="AM745" s="213"/>
      <c r="AN745" s="213"/>
      <c r="AO745" s="213"/>
      <c r="AP745" s="213"/>
      <c r="AQ745" s="213"/>
      <c r="AR745" s="213"/>
      <c r="AS745" s="213"/>
      <c r="AT745" s="213"/>
      <c r="AU745" s="213"/>
      <c r="AV745" s="213"/>
      <c r="AW745" s="213"/>
      <c r="AX745" s="213"/>
      <c r="AY745" s="213"/>
      <c r="AZ745" s="213"/>
      <c r="BA745" s="213"/>
      <c r="BB745" s="213"/>
    </row>
    <row r="746" ht="15.75" customHeight="1">
      <c r="A746" s="213"/>
      <c r="B746" s="213"/>
      <c r="C746" s="213"/>
      <c r="D746" s="213"/>
      <c r="E746" s="213"/>
      <c r="F746" s="213"/>
      <c r="G746" s="213"/>
      <c r="H746" s="213"/>
      <c r="I746" s="213"/>
      <c r="J746" s="213"/>
      <c r="K746" s="215"/>
      <c r="L746" s="213"/>
      <c r="M746" s="215"/>
      <c r="N746" s="213"/>
      <c r="O746" s="213"/>
      <c r="P746" s="213"/>
      <c r="Q746" s="213"/>
      <c r="R746" s="213"/>
      <c r="S746" s="213"/>
      <c r="T746" s="213"/>
      <c r="U746" s="213"/>
      <c r="V746" s="213"/>
      <c r="W746" s="213"/>
      <c r="X746" s="213"/>
      <c r="Y746" s="213"/>
      <c r="Z746" s="213"/>
      <c r="AA746" s="213"/>
      <c r="AB746" s="213"/>
      <c r="AC746" s="213"/>
      <c r="AD746" s="213"/>
      <c r="AE746" s="213"/>
      <c r="AF746" s="213"/>
      <c r="AG746" s="213"/>
      <c r="AH746" s="213"/>
      <c r="AI746" s="213"/>
      <c r="AJ746" s="213"/>
      <c r="AK746" s="213"/>
      <c r="AL746" s="213"/>
      <c r="AM746" s="213"/>
      <c r="AN746" s="213"/>
      <c r="AO746" s="213"/>
      <c r="AP746" s="213"/>
      <c r="AQ746" s="213"/>
      <c r="AR746" s="213"/>
      <c r="AS746" s="213"/>
      <c r="AT746" s="213"/>
      <c r="AU746" s="213"/>
      <c r="AV746" s="213"/>
      <c r="AW746" s="213"/>
      <c r="AX746" s="213"/>
      <c r="AY746" s="213"/>
      <c r="AZ746" s="213"/>
      <c r="BA746" s="213"/>
      <c r="BB746" s="213"/>
    </row>
    <row r="747" ht="15.75" customHeight="1">
      <c r="A747" s="213"/>
      <c r="B747" s="213"/>
      <c r="C747" s="213"/>
      <c r="D747" s="213"/>
      <c r="E747" s="213"/>
      <c r="F747" s="213"/>
      <c r="G747" s="213"/>
      <c r="H747" s="213"/>
      <c r="I747" s="213"/>
      <c r="J747" s="213"/>
      <c r="K747" s="215"/>
      <c r="L747" s="213"/>
      <c r="M747" s="215"/>
      <c r="N747" s="213"/>
      <c r="O747" s="213"/>
      <c r="P747" s="213"/>
      <c r="Q747" s="213"/>
      <c r="R747" s="213"/>
      <c r="S747" s="213"/>
      <c r="T747" s="213"/>
      <c r="U747" s="213"/>
      <c r="V747" s="213"/>
      <c r="W747" s="213"/>
      <c r="X747" s="213"/>
      <c r="Y747" s="213"/>
      <c r="Z747" s="213"/>
      <c r="AA747" s="213"/>
      <c r="AB747" s="213"/>
      <c r="AC747" s="213"/>
      <c r="AD747" s="213"/>
      <c r="AE747" s="213"/>
      <c r="AF747" s="213"/>
      <c r="AG747" s="213"/>
      <c r="AH747" s="213"/>
      <c r="AI747" s="213"/>
      <c r="AJ747" s="213"/>
      <c r="AK747" s="213"/>
      <c r="AL747" s="213"/>
      <c r="AM747" s="213"/>
      <c r="AN747" s="213"/>
      <c r="AO747" s="213"/>
      <c r="AP747" s="213"/>
      <c r="AQ747" s="213"/>
      <c r="AR747" s="213"/>
      <c r="AS747" s="213"/>
      <c r="AT747" s="213"/>
      <c r="AU747" s="213"/>
      <c r="AV747" s="213"/>
      <c r="AW747" s="213"/>
      <c r="AX747" s="213"/>
      <c r="AY747" s="213"/>
      <c r="AZ747" s="213"/>
      <c r="BA747" s="213"/>
      <c r="BB747" s="213"/>
    </row>
    <row r="748" ht="15.75" customHeight="1">
      <c r="A748" s="213"/>
      <c r="B748" s="213"/>
      <c r="C748" s="213"/>
      <c r="D748" s="213"/>
      <c r="E748" s="213"/>
      <c r="F748" s="213"/>
      <c r="G748" s="213"/>
      <c r="H748" s="213"/>
      <c r="I748" s="213"/>
      <c r="J748" s="213"/>
      <c r="K748" s="215"/>
      <c r="L748" s="213"/>
      <c r="M748" s="215"/>
      <c r="N748" s="213"/>
      <c r="O748" s="213"/>
      <c r="P748" s="213"/>
      <c r="Q748" s="213"/>
      <c r="R748" s="213"/>
      <c r="S748" s="213"/>
      <c r="T748" s="213"/>
      <c r="U748" s="213"/>
      <c r="V748" s="213"/>
      <c r="W748" s="213"/>
      <c r="X748" s="213"/>
      <c r="Y748" s="213"/>
      <c r="Z748" s="213"/>
      <c r="AA748" s="213"/>
      <c r="AB748" s="213"/>
      <c r="AC748" s="213"/>
      <c r="AD748" s="213"/>
      <c r="AE748" s="213"/>
      <c r="AF748" s="213"/>
      <c r="AG748" s="213"/>
      <c r="AH748" s="213"/>
      <c r="AI748" s="213"/>
      <c r="AJ748" s="213"/>
      <c r="AK748" s="213"/>
      <c r="AL748" s="213"/>
      <c r="AM748" s="213"/>
      <c r="AN748" s="213"/>
      <c r="AO748" s="213"/>
      <c r="AP748" s="213"/>
      <c r="AQ748" s="213"/>
      <c r="AR748" s="213"/>
      <c r="AS748" s="213"/>
      <c r="AT748" s="213"/>
      <c r="AU748" s="213"/>
      <c r="AV748" s="213"/>
      <c r="AW748" s="213"/>
      <c r="AX748" s="213"/>
      <c r="AY748" s="213"/>
      <c r="AZ748" s="213"/>
      <c r="BA748" s="213"/>
      <c r="BB748" s="213"/>
    </row>
    <row r="749" ht="15.75" customHeight="1">
      <c r="A749" s="213"/>
      <c r="B749" s="213"/>
      <c r="C749" s="213"/>
      <c r="D749" s="213"/>
      <c r="E749" s="213"/>
      <c r="F749" s="213"/>
      <c r="G749" s="213"/>
      <c r="H749" s="213"/>
      <c r="I749" s="213"/>
      <c r="J749" s="213"/>
      <c r="K749" s="215"/>
      <c r="L749" s="213"/>
      <c r="M749" s="215"/>
      <c r="N749" s="213"/>
      <c r="O749" s="213"/>
      <c r="P749" s="213"/>
      <c r="Q749" s="213"/>
      <c r="R749" s="213"/>
      <c r="S749" s="213"/>
      <c r="T749" s="213"/>
      <c r="U749" s="213"/>
      <c r="V749" s="213"/>
      <c r="W749" s="213"/>
      <c r="X749" s="213"/>
      <c r="Y749" s="213"/>
      <c r="Z749" s="213"/>
      <c r="AA749" s="213"/>
      <c r="AB749" s="213"/>
      <c r="AC749" s="213"/>
      <c r="AD749" s="213"/>
      <c r="AE749" s="213"/>
      <c r="AF749" s="213"/>
      <c r="AG749" s="213"/>
      <c r="AH749" s="213"/>
      <c r="AI749" s="213"/>
      <c r="AJ749" s="213"/>
      <c r="AK749" s="213"/>
      <c r="AL749" s="213"/>
      <c r="AM749" s="213"/>
      <c r="AN749" s="213"/>
      <c r="AO749" s="213"/>
      <c r="AP749" s="213"/>
      <c r="AQ749" s="213"/>
      <c r="AR749" s="213"/>
      <c r="AS749" s="213"/>
      <c r="AT749" s="213"/>
      <c r="AU749" s="213"/>
      <c r="AV749" s="213"/>
      <c r="AW749" s="213"/>
      <c r="AX749" s="213"/>
      <c r="AY749" s="213"/>
      <c r="AZ749" s="213"/>
      <c r="BA749" s="213"/>
      <c r="BB749" s="213"/>
    </row>
    <row r="750" ht="15.75" customHeight="1">
      <c r="A750" s="213"/>
      <c r="B750" s="213"/>
      <c r="C750" s="213"/>
      <c r="D750" s="213"/>
      <c r="E750" s="213"/>
      <c r="F750" s="213"/>
      <c r="G750" s="213"/>
      <c r="H750" s="213"/>
      <c r="I750" s="213"/>
      <c r="J750" s="213"/>
      <c r="K750" s="215"/>
      <c r="L750" s="213"/>
      <c r="M750" s="215"/>
      <c r="N750" s="213"/>
      <c r="O750" s="213"/>
      <c r="P750" s="213"/>
      <c r="Q750" s="213"/>
      <c r="R750" s="213"/>
      <c r="S750" s="213"/>
      <c r="T750" s="213"/>
      <c r="U750" s="213"/>
      <c r="V750" s="213"/>
      <c r="W750" s="213"/>
      <c r="X750" s="213"/>
      <c r="Y750" s="213"/>
      <c r="Z750" s="213"/>
      <c r="AA750" s="213"/>
      <c r="AB750" s="213"/>
      <c r="AC750" s="213"/>
      <c r="AD750" s="213"/>
      <c r="AE750" s="213"/>
      <c r="AF750" s="213"/>
      <c r="AG750" s="213"/>
      <c r="AH750" s="213"/>
      <c r="AI750" s="213"/>
      <c r="AJ750" s="213"/>
      <c r="AK750" s="213"/>
      <c r="AL750" s="213"/>
      <c r="AM750" s="213"/>
      <c r="AN750" s="213"/>
      <c r="AO750" s="213"/>
      <c r="AP750" s="213"/>
      <c r="AQ750" s="213"/>
      <c r="AR750" s="213"/>
      <c r="AS750" s="213"/>
      <c r="AT750" s="213"/>
      <c r="AU750" s="213"/>
      <c r="AV750" s="213"/>
      <c r="AW750" s="213"/>
      <c r="AX750" s="213"/>
      <c r="AY750" s="213"/>
      <c r="AZ750" s="213"/>
      <c r="BA750" s="213"/>
      <c r="BB750" s="213"/>
    </row>
    <row r="751" ht="15.75" customHeight="1">
      <c r="A751" s="213"/>
      <c r="B751" s="213"/>
      <c r="C751" s="213"/>
      <c r="D751" s="213"/>
      <c r="E751" s="213"/>
      <c r="F751" s="213"/>
      <c r="G751" s="213"/>
      <c r="H751" s="213"/>
      <c r="I751" s="213"/>
      <c r="J751" s="213"/>
      <c r="K751" s="215"/>
      <c r="L751" s="213"/>
      <c r="M751" s="215"/>
      <c r="N751" s="213"/>
      <c r="O751" s="213"/>
      <c r="P751" s="213"/>
      <c r="Q751" s="213"/>
      <c r="R751" s="213"/>
      <c r="S751" s="213"/>
      <c r="T751" s="213"/>
      <c r="U751" s="213"/>
      <c r="V751" s="213"/>
      <c r="W751" s="213"/>
      <c r="X751" s="213"/>
      <c r="Y751" s="213"/>
      <c r="Z751" s="213"/>
      <c r="AA751" s="213"/>
      <c r="AB751" s="213"/>
      <c r="AC751" s="213"/>
      <c r="AD751" s="213"/>
      <c r="AE751" s="213"/>
      <c r="AF751" s="213"/>
      <c r="AG751" s="213"/>
      <c r="AH751" s="213"/>
      <c r="AI751" s="213"/>
      <c r="AJ751" s="213"/>
      <c r="AK751" s="213"/>
      <c r="AL751" s="213"/>
      <c r="AM751" s="213"/>
      <c r="AN751" s="213"/>
      <c r="AO751" s="213"/>
      <c r="AP751" s="213"/>
      <c r="AQ751" s="213"/>
      <c r="AR751" s="213"/>
      <c r="AS751" s="213"/>
      <c r="AT751" s="213"/>
      <c r="AU751" s="213"/>
      <c r="AV751" s="213"/>
      <c r="AW751" s="213"/>
      <c r="AX751" s="213"/>
      <c r="AY751" s="213"/>
      <c r="AZ751" s="213"/>
      <c r="BA751" s="213"/>
      <c r="BB751" s="213"/>
    </row>
    <row r="752" ht="15.75" customHeight="1">
      <c r="A752" s="213"/>
      <c r="B752" s="213"/>
      <c r="C752" s="213"/>
      <c r="D752" s="213"/>
      <c r="E752" s="213"/>
      <c r="F752" s="213"/>
      <c r="G752" s="213"/>
      <c r="H752" s="213"/>
      <c r="I752" s="213"/>
      <c r="J752" s="213"/>
      <c r="K752" s="215"/>
      <c r="L752" s="213"/>
      <c r="M752" s="215"/>
      <c r="N752" s="213"/>
      <c r="O752" s="213"/>
      <c r="P752" s="213"/>
      <c r="Q752" s="213"/>
      <c r="R752" s="213"/>
      <c r="S752" s="213"/>
      <c r="T752" s="213"/>
      <c r="U752" s="213"/>
      <c r="V752" s="213"/>
      <c r="W752" s="213"/>
      <c r="X752" s="213"/>
      <c r="Y752" s="213"/>
      <c r="Z752" s="213"/>
      <c r="AA752" s="213"/>
      <c r="AB752" s="213"/>
      <c r="AC752" s="213"/>
      <c r="AD752" s="213"/>
      <c r="AE752" s="213"/>
      <c r="AF752" s="213"/>
      <c r="AG752" s="213"/>
      <c r="AH752" s="213"/>
      <c r="AI752" s="213"/>
      <c r="AJ752" s="213"/>
      <c r="AK752" s="213"/>
      <c r="AL752" s="213"/>
      <c r="AM752" s="213"/>
      <c r="AN752" s="213"/>
      <c r="AO752" s="213"/>
      <c r="AP752" s="213"/>
      <c r="AQ752" s="213"/>
      <c r="AR752" s="213"/>
      <c r="AS752" s="213"/>
      <c r="AT752" s="213"/>
      <c r="AU752" s="213"/>
      <c r="AV752" s="213"/>
      <c r="AW752" s="213"/>
      <c r="AX752" s="213"/>
      <c r="AY752" s="213"/>
      <c r="AZ752" s="213"/>
      <c r="BA752" s="213"/>
      <c r="BB752" s="213"/>
    </row>
    <row r="753" ht="15.75" customHeight="1">
      <c r="A753" s="213"/>
      <c r="B753" s="213"/>
      <c r="C753" s="213"/>
      <c r="D753" s="213"/>
      <c r="E753" s="213"/>
      <c r="F753" s="213"/>
      <c r="G753" s="213"/>
      <c r="H753" s="213"/>
      <c r="I753" s="213"/>
      <c r="J753" s="213"/>
      <c r="K753" s="215"/>
      <c r="L753" s="213"/>
      <c r="M753" s="215"/>
      <c r="N753" s="213"/>
      <c r="O753" s="213"/>
      <c r="P753" s="213"/>
      <c r="Q753" s="213"/>
      <c r="R753" s="213"/>
      <c r="S753" s="213"/>
      <c r="T753" s="213"/>
      <c r="U753" s="213"/>
      <c r="V753" s="213"/>
      <c r="W753" s="213"/>
      <c r="X753" s="213"/>
      <c r="Y753" s="213"/>
      <c r="Z753" s="213"/>
      <c r="AA753" s="213"/>
      <c r="AB753" s="213"/>
      <c r="AC753" s="213"/>
      <c r="AD753" s="213"/>
      <c r="AE753" s="213"/>
      <c r="AF753" s="213"/>
      <c r="AG753" s="213"/>
      <c r="AH753" s="213"/>
      <c r="AI753" s="213"/>
      <c r="AJ753" s="213"/>
      <c r="AK753" s="213"/>
      <c r="AL753" s="213"/>
      <c r="AM753" s="213"/>
      <c r="AN753" s="213"/>
      <c r="AO753" s="213"/>
      <c r="AP753" s="213"/>
      <c r="AQ753" s="213"/>
      <c r="AR753" s="213"/>
      <c r="AS753" s="213"/>
      <c r="AT753" s="213"/>
      <c r="AU753" s="213"/>
      <c r="AV753" s="213"/>
      <c r="AW753" s="213"/>
      <c r="AX753" s="213"/>
      <c r="AY753" s="213"/>
      <c r="AZ753" s="213"/>
      <c r="BA753" s="213"/>
      <c r="BB753" s="213"/>
    </row>
    <row r="754" ht="15.75" customHeight="1">
      <c r="A754" s="213"/>
      <c r="B754" s="213"/>
      <c r="C754" s="213"/>
      <c r="D754" s="213"/>
      <c r="E754" s="213"/>
      <c r="F754" s="213"/>
      <c r="G754" s="213"/>
      <c r="H754" s="213"/>
      <c r="I754" s="213"/>
      <c r="J754" s="213"/>
      <c r="K754" s="215"/>
      <c r="L754" s="213"/>
      <c r="M754" s="215"/>
      <c r="N754" s="213"/>
      <c r="O754" s="213"/>
      <c r="P754" s="213"/>
      <c r="Q754" s="213"/>
      <c r="R754" s="213"/>
      <c r="S754" s="213"/>
      <c r="T754" s="213"/>
      <c r="U754" s="213"/>
      <c r="V754" s="213"/>
      <c r="W754" s="213"/>
      <c r="X754" s="213"/>
      <c r="Y754" s="213"/>
      <c r="Z754" s="213"/>
      <c r="AA754" s="213"/>
      <c r="AB754" s="213"/>
      <c r="AC754" s="213"/>
      <c r="AD754" s="213"/>
      <c r="AE754" s="213"/>
      <c r="AF754" s="213"/>
      <c r="AG754" s="213"/>
      <c r="AH754" s="213"/>
      <c r="AI754" s="213"/>
      <c r="AJ754" s="213"/>
      <c r="AK754" s="213"/>
      <c r="AL754" s="213"/>
      <c r="AM754" s="213"/>
      <c r="AN754" s="213"/>
      <c r="AO754" s="213"/>
      <c r="AP754" s="213"/>
      <c r="AQ754" s="213"/>
      <c r="AR754" s="213"/>
      <c r="AS754" s="213"/>
      <c r="AT754" s="213"/>
      <c r="AU754" s="213"/>
      <c r="AV754" s="213"/>
      <c r="AW754" s="213"/>
      <c r="AX754" s="213"/>
      <c r="AY754" s="213"/>
      <c r="AZ754" s="213"/>
      <c r="BA754" s="213"/>
      <c r="BB754" s="213"/>
    </row>
    <row r="755" ht="15.75" customHeight="1">
      <c r="A755" s="213"/>
      <c r="B755" s="213"/>
      <c r="C755" s="213"/>
      <c r="D755" s="213"/>
      <c r="E755" s="213"/>
      <c r="F755" s="213"/>
      <c r="G755" s="213"/>
      <c r="H755" s="213"/>
      <c r="I755" s="213"/>
      <c r="J755" s="213"/>
      <c r="K755" s="215"/>
      <c r="L755" s="213"/>
      <c r="M755" s="215"/>
      <c r="N755" s="213"/>
      <c r="O755" s="213"/>
      <c r="P755" s="213"/>
      <c r="Q755" s="213"/>
      <c r="R755" s="213"/>
      <c r="S755" s="213"/>
      <c r="T755" s="213"/>
      <c r="U755" s="213"/>
      <c r="V755" s="213"/>
      <c r="W755" s="213"/>
      <c r="X755" s="213"/>
      <c r="Y755" s="213"/>
      <c r="Z755" s="213"/>
      <c r="AA755" s="213"/>
      <c r="AB755" s="213"/>
      <c r="AC755" s="213"/>
      <c r="AD755" s="213"/>
      <c r="AE755" s="213"/>
      <c r="AF755" s="213"/>
      <c r="AG755" s="213"/>
      <c r="AH755" s="213"/>
      <c r="AI755" s="213"/>
      <c r="AJ755" s="213"/>
      <c r="AK755" s="213"/>
      <c r="AL755" s="213"/>
      <c r="AM755" s="213"/>
      <c r="AN755" s="213"/>
      <c r="AO755" s="213"/>
      <c r="AP755" s="213"/>
      <c r="AQ755" s="213"/>
      <c r="AR755" s="213"/>
      <c r="AS755" s="213"/>
      <c r="AT755" s="213"/>
      <c r="AU755" s="213"/>
      <c r="AV755" s="213"/>
      <c r="AW755" s="213"/>
      <c r="AX755" s="213"/>
      <c r="AY755" s="213"/>
      <c r="AZ755" s="213"/>
      <c r="BA755" s="213"/>
      <c r="BB755" s="213"/>
    </row>
    <row r="756" ht="15.75" customHeight="1">
      <c r="A756" s="213"/>
      <c r="B756" s="213"/>
      <c r="C756" s="213"/>
      <c r="D756" s="213"/>
      <c r="E756" s="213"/>
      <c r="F756" s="213"/>
      <c r="G756" s="213"/>
      <c r="H756" s="213"/>
      <c r="I756" s="213"/>
      <c r="J756" s="213"/>
      <c r="K756" s="215"/>
      <c r="L756" s="213"/>
      <c r="M756" s="215"/>
      <c r="N756" s="213"/>
      <c r="O756" s="213"/>
      <c r="P756" s="213"/>
      <c r="Q756" s="213"/>
      <c r="R756" s="213"/>
      <c r="S756" s="213"/>
      <c r="T756" s="213"/>
      <c r="U756" s="213"/>
      <c r="V756" s="213"/>
      <c r="W756" s="213"/>
      <c r="X756" s="213"/>
      <c r="Y756" s="213"/>
      <c r="Z756" s="213"/>
      <c r="AA756" s="213"/>
      <c r="AB756" s="213"/>
      <c r="AC756" s="213"/>
      <c r="AD756" s="213"/>
      <c r="AE756" s="213"/>
      <c r="AF756" s="213"/>
      <c r="AG756" s="213"/>
      <c r="AH756" s="213"/>
      <c r="AI756" s="213"/>
      <c r="AJ756" s="213"/>
      <c r="AK756" s="213"/>
      <c r="AL756" s="213"/>
      <c r="AM756" s="213"/>
      <c r="AN756" s="213"/>
      <c r="AO756" s="213"/>
      <c r="AP756" s="213"/>
      <c r="AQ756" s="213"/>
      <c r="AR756" s="213"/>
      <c r="AS756" s="213"/>
      <c r="AT756" s="213"/>
      <c r="AU756" s="213"/>
      <c r="AV756" s="213"/>
      <c r="AW756" s="213"/>
      <c r="AX756" s="213"/>
      <c r="AY756" s="213"/>
      <c r="AZ756" s="213"/>
      <c r="BA756" s="213"/>
      <c r="BB756" s="213"/>
    </row>
    <row r="757" ht="15.75" customHeight="1">
      <c r="A757" s="213"/>
      <c r="B757" s="213"/>
      <c r="C757" s="213"/>
      <c r="D757" s="213"/>
      <c r="E757" s="213"/>
      <c r="F757" s="213"/>
      <c r="G757" s="213"/>
      <c r="H757" s="213"/>
      <c r="I757" s="213"/>
      <c r="J757" s="213"/>
      <c r="K757" s="215"/>
      <c r="L757" s="213"/>
      <c r="M757" s="215"/>
      <c r="N757" s="213"/>
      <c r="O757" s="213"/>
      <c r="P757" s="213"/>
      <c r="Q757" s="213"/>
      <c r="R757" s="213"/>
      <c r="S757" s="213"/>
      <c r="T757" s="213"/>
      <c r="U757" s="213"/>
      <c r="V757" s="213"/>
      <c r="W757" s="213"/>
      <c r="X757" s="213"/>
      <c r="Y757" s="213"/>
      <c r="Z757" s="213"/>
      <c r="AA757" s="213"/>
      <c r="AB757" s="213"/>
      <c r="AC757" s="213"/>
      <c r="AD757" s="213"/>
      <c r="AE757" s="213"/>
      <c r="AF757" s="213"/>
      <c r="AG757" s="213"/>
      <c r="AH757" s="213"/>
      <c r="AI757" s="213"/>
      <c r="AJ757" s="213"/>
      <c r="AK757" s="213"/>
      <c r="AL757" s="213"/>
      <c r="AM757" s="213"/>
      <c r="AN757" s="213"/>
      <c r="AO757" s="213"/>
      <c r="AP757" s="213"/>
      <c r="AQ757" s="213"/>
      <c r="AR757" s="213"/>
      <c r="AS757" s="213"/>
      <c r="AT757" s="213"/>
      <c r="AU757" s="213"/>
      <c r="AV757" s="213"/>
      <c r="AW757" s="213"/>
      <c r="AX757" s="213"/>
      <c r="AY757" s="213"/>
      <c r="AZ757" s="213"/>
      <c r="BA757" s="213"/>
      <c r="BB757" s="213"/>
    </row>
    <row r="758" ht="15.75" customHeight="1">
      <c r="A758" s="213"/>
      <c r="B758" s="213"/>
      <c r="C758" s="213"/>
      <c r="D758" s="213"/>
      <c r="E758" s="213"/>
      <c r="F758" s="213"/>
      <c r="G758" s="213"/>
      <c r="H758" s="213"/>
      <c r="I758" s="213"/>
      <c r="J758" s="213"/>
      <c r="K758" s="215"/>
      <c r="L758" s="213"/>
      <c r="M758" s="215"/>
      <c r="N758" s="213"/>
      <c r="O758" s="213"/>
      <c r="P758" s="213"/>
      <c r="Q758" s="213"/>
      <c r="R758" s="213"/>
      <c r="S758" s="213"/>
      <c r="T758" s="213"/>
      <c r="U758" s="213"/>
      <c r="V758" s="213"/>
      <c r="W758" s="213"/>
      <c r="X758" s="213"/>
      <c r="Y758" s="213"/>
      <c r="Z758" s="213"/>
      <c r="AA758" s="213"/>
      <c r="AB758" s="213"/>
      <c r="AC758" s="213"/>
      <c r="AD758" s="213"/>
      <c r="AE758" s="213"/>
      <c r="AF758" s="213"/>
      <c r="AG758" s="213"/>
      <c r="AH758" s="213"/>
      <c r="AI758" s="213"/>
      <c r="AJ758" s="213"/>
      <c r="AK758" s="213"/>
      <c r="AL758" s="213"/>
      <c r="AM758" s="213"/>
      <c r="AN758" s="213"/>
      <c r="AO758" s="213"/>
      <c r="AP758" s="213"/>
      <c r="AQ758" s="213"/>
      <c r="AR758" s="213"/>
      <c r="AS758" s="213"/>
      <c r="AT758" s="213"/>
      <c r="AU758" s="213"/>
      <c r="AV758" s="213"/>
      <c r="AW758" s="213"/>
      <c r="AX758" s="213"/>
      <c r="AY758" s="213"/>
      <c r="AZ758" s="213"/>
      <c r="BA758" s="213"/>
      <c r="BB758" s="213"/>
    </row>
    <row r="759" ht="15.75" customHeight="1">
      <c r="A759" s="213"/>
      <c r="B759" s="213"/>
      <c r="C759" s="213"/>
      <c r="D759" s="213"/>
      <c r="E759" s="213"/>
      <c r="F759" s="213"/>
      <c r="G759" s="213"/>
      <c r="H759" s="213"/>
      <c r="I759" s="213"/>
      <c r="J759" s="213"/>
      <c r="K759" s="215"/>
      <c r="L759" s="213"/>
      <c r="M759" s="215"/>
      <c r="N759" s="213"/>
      <c r="O759" s="213"/>
      <c r="P759" s="213"/>
      <c r="Q759" s="213"/>
      <c r="R759" s="213"/>
      <c r="S759" s="213"/>
      <c r="T759" s="213"/>
      <c r="U759" s="213"/>
      <c r="V759" s="213"/>
      <c r="W759" s="213"/>
      <c r="X759" s="213"/>
      <c r="Y759" s="213"/>
      <c r="Z759" s="213"/>
      <c r="AA759" s="213"/>
      <c r="AB759" s="213"/>
      <c r="AC759" s="213"/>
      <c r="AD759" s="213"/>
      <c r="AE759" s="213"/>
      <c r="AF759" s="213"/>
      <c r="AG759" s="213"/>
      <c r="AH759" s="213"/>
      <c r="AI759" s="213"/>
      <c r="AJ759" s="213"/>
      <c r="AK759" s="213"/>
      <c r="AL759" s="213"/>
      <c r="AM759" s="213"/>
      <c r="AN759" s="213"/>
      <c r="AO759" s="213"/>
      <c r="AP759" s="213"/>
      <c r="AQ759" s="213"/>
      <c r="AR759" s="213"/>
      <c r="AS759" s="213"/>
      <c r="AT759" s="213"/>
      <c r="AU759" s="213"/>
      <c r="AV759" s="213"/>
      <c r="AW759" s="213"/>
      <c r="AX759" s="213"/>
      <c r="AY759" s="213"/>
      <c r="AZ759" s="213"/>
      <c r="BA759" s="213"/>
      <c r="BB759" s="213"/>
    </row>
    <row r="760" ht="15.75" customHeight="1">
      <c r="A760" s="213"/>
      <c r="B760" s="213"/>
      <c r="C760" s="213"/>
      <c r="D760" s="213"/>
      <c r="E760" s="213"/>
      <c r="F760" s="213"/>
      <c r="G760" s="213"/>
      <c r="H760" s="213"/>
      <c r="I760" s="213"/>
      <c r="J760" s="213"/>
      <c r="K760" s="215"/>
      <c r="L760" s="213"/>
      <c r="M760" s="215"/>
      <c r="N760" s="213"/>
      <c r="O760" s="213"/>
      <c r="P760" s="213"/>
      <c r="Q760" s="213"/>
      <c r="R760" s="213"/>
      <c r="S760" s="213"/>
      <c r="T760" s="213"/>
      <c r="U760" s="213"/>
      <c r="V760" s="213"/>
      <c r="W760" s="213"/>
      <c r="X760" s="213"/>
      <c r="Y760" s="213"/>
      <c r="Z760" s="213"/>
      <c r="AA760" s="213"/>
      <c r="AB760" s="213"/>
      <c r="AC760" s="213"/>
      <c r="AD760" s="213"/>
      <c r="AE760" s="213"/>
      <c r="AF760" s="213"/>
      <c r="AG760" s="213"/>
      <c r="AH760" s="213"/>
      <c r="AI760" s="213"/>
      <c r="AJ760" s="213"/>
      <c r="AK760" s="213"/>
      <c r="AL760" s="213"/>
      <c r="AM760" s="213"/>
      <c r="AN760" s="213"/>
      <c r="AO760" s="213"/>
      <c r="AP760" s="213"/>
      <c r="AQ760" s="213"/>
      <c r="AR760" s="213"/>
      <c r="AS760" s="213"/>
      <c r="AT760" s="213"/>
      <c r="AU760" s="213"/>
      <c r="AV760" s="213"/>
      <c r="AW760" s="213"/>
      <c r="AX760" s="213"/>
      <c r="AY760" s="213"/>
      <c r="AZ760" s="213"/>
      <c r="BA760" s="213"/>
      <c r="BB760" s="213"/>
    </row>
    <row r="761" ht="15.75" customHeight="1">
      <c r="A761" s="213"/>
      <c r="B761" s="213"/>
      <c r="C761" s="213"/>
      <c r="D761" s="213"/>
      <c r="E761" s="213"/>
      <c r="F761" s="213"/>
      <c r="G761" s="213"/>
      <c r="H761" s="213"/>
      <c r="I761" s="213"/>
      <c r="J761" s="213"/>
      <c r="K761" s="215"/>
      <c r="L761" s="213"/>
      <c r="M761" s="215"/>
      <c r="N761" s="213"/>
      <c r="O761" s="213"/>
      <c r="P761" s="213"/>
      <c r="Q761" s="213"/>
      <c r="R761" s="213"/>
      <c r="S761" s="213"/>
      <c r="T761" s="213"/>
      <c r="U761" s="213"/>
      <c r="V761" s="213"/>
      <c r="W761" s="213"/>
      <c r="X761" s="213"/>
      <c r="Y761" s="213"/>
      <c r="Z761" s="213"/>
      <c r="AA761" s="213"/>
      <c r="AB761" s="213"/>
      <c r="AC761" s="213"/>
      <c r="AD761" s="213"/>
      <c r="AE761" s="213"/>
      <c r="AF761" s="213"/>
      <c r="AG761" s="213"/>
      <c r="AH761" s="213"/>
      <c r="AI761" s="213"/>
      <c r="AJ761" s="213"/>
      <c r="AK761" s="213"/>
      <c r="AL761" s="213"/>
      <c r="AM761" s="213"/>
      <c r="AN761" s="213"/>
      <c r="AO761" s="213"/>
      <c r="AP761" s="213"/>
      <c r="AQ761" s="213"/>
      <c r="AR761" s="213"/>
      <c r="AS761" s="213"/>
      <c r="AT761" s="213"/>
      <c r="AU761" s="213"/>
      <c r="AV761" s="213"/>
      <c r="AW761" s="213"/>
      <c r="AX761" s="213"/>
      <c r="AY761" s="213"/>
      <c r="AZ761" s="213"/>
      <c r="BA761" s="213"/>
      <c r="BB761" s="213"/>
    </row>
    <row r="762" ht="15.75" customHeight="1">
      <c r="A762" s="213"/>
      <c r="B762" s="213"/>
      <c r="C762" s="213"/>
      <c r="D762" s="213"/>
      <c r="E762" s="213"/>
      <c r="F762" s="213"/>
      <c r="G762" s="213"/>
      <c r="H762" s="213"/>
      <c r="I762" s="213"/>
      <c r="J762" s="213"/>
      <c r="K762" s="215"/>
      <c r="L762" s="213"/>
      <c r="M762" s="215"/>
      <c r="N762" s="213"/>
      <c r="O762" s="213"/>
      <c r="P762" s="213"/>
      <c r="Q762" s="213"/>
      <c r="R762" s="213"/>
      <c r="S762" s="213"/>
      <c r="T762" s="213"/>
      <c r="U762" s="213"/>
      <c r="V762" s="213"/>
      <c r="W762" s="213"/>
      <c r="X762" s="213"/>
      <c r="Y762" s="213"/>
      <c r="Z762" s="213"/>
      <c r="AA762" s="213"/>
      <c r="AB762" s="213"/>
      <c r="AC762" s="213"/>
      <c r="AD762" s="213"/>
      <c r="AE762" s="213"/>
      <c r="AF762" s="213"/>
      <c r="AG762" s="213"/>
      <c r="AH762" s="213"/>
      <c r="AI762" s="213"/>
      <c r="AJ762" s="213"/>
      <c r="AK762" s="213"/>
      <c r="AL762" s="213"/>
      <c r="AM762" s="213"/>
      <c r="AN762" s="213"/>
      <c r="AO762" s="213"/>
      <c r="AP762" s="213"/>
      <c r="AQ762" s="213"/>
      <c r="AR762" s="213"/>
      <c r="AS762" s="213"/>
      <c r="AT762" s="213"/>
      <c r="AU762" s="213"/>
      <c r="AV762" s="213"/>
      <c r="AW762" s="213"/>
      <c r="AX762" s="213"/>
      <c r="AY762" s="213"/>
      <c r="AZ762" s="213"/>
      <c r="BA762" s="213"/>
      <c r="BB762" s="213"/>
    </row>
    <row r="763" ht="15.75" customHeight="1">
      <c r="A763" s="213"/>
      <c r="B763" s="213"/>
      <c r="C763" s="213"/>
      <c r="D763" s="213"/>
      <c r="E763" s="213"/>
      <c r="F763" s="213"/>
      <c r="G763" s="213"/>
      <c r="H763" s="213"/>
      <c r="I763" s="213"/>
      <c r="J763" s="213"/>
      <c r="K763" s="215"/>
      <c r="L763" s="213"/>
      <c r="M763" s="215"/>
      <c r="N763" s="213"/>
      <c r="O763" s="213"/>
      <c r="P763" s="213"/>
      <c r="Q763" s="213"/>
      <c r="R763" s="213"/>
      <c r="S763" s="213"/>
      <c r="T763" s="213"/>
      <c r="U763" s="213"/>
      <c r="V763" s="213"/>
      <c r="W763" s="213"/>
      <c r="X763" s="213"/>
      <c r="Y763" s="213"/>
      <c r="Z763" s="213"/>
      <c r="AA763" s="213"/>
      <c r="AB763" s="213"/>
      <c r="AC763" s="213"/>
      <c r="AD763" s="213"/>
      <c r="AE763" s="213"/>
      <c r="AF763" s="213"/>
      <c r="AG763" s="213"/>
      <c r="AH763" s="213"/>
      <c r="AI763" s="213"/>
      <c r="AJ763" s="213"/>
      <c r="AK763" s="213"/>
      <c r="AL763" s="213"/>
      <c r="AM763" s="213"/>
      <c r="AN763" s="213"/>
      <c r="AO763" s="213"/>
      <c r="AP763" s="213"/>
      <c r="AQ763" s="213"/>
      <c r="AR763" s="213"/>
      <c r="AS763" s="213"/>
      <c r="AT763" s="213"/>
      <c r="AU763" s="213"/>
      <c r="AV763" s="213"/>
      <c r="AW763" s="213"/>
      <c r="AX763" s="213"/>
      <c r="AY763" s="213"/>
      <c r="AZ763" s="213"/>
      <c r="BA763" s="213"/>
      <c r="BB763" s="213"/>
    </row>
    <row r="764" ht="15.75" customHeight="1">
      <c r="A764" s="213"/>
      <c r="B764" s="213"/>
      <c r="C764" s="213"/>
      <c r="D764" s="213"/>
      <c r="E764" s="213"/>
      <c r="F764" s="213"/>
      <c r="G764" s="213"/>
      <c r="H764" s="213"/>
      <c r="I764" s="213"/>
      <c r="J764" s="213"/>
      <c r="K764" s="215"/>
      <c r="L764" s="213"/>
      <c r="M764" s="215"/>
      <c r="N764" s="213"/>
      <c r="O764" s="213"/>
      <c r="P764" s="213"/>
      <c r="Q764" s="213"/>
      <c r="R764" s="213"/>
      <c r="S764" s="213"/>
      <c r="T764" s="213"/>
      <c r="U764" s="213"/>
      <c r="V764" s="213"/>
      <c r="W764" s="213"/>
      <c r="X764" s="213"/>
      <c r="Y764" s="213"/>
      <c r="Z764" s="213"/>
      <c r="AA764" s="213"/>
      <c r="AB764" s="213"/>
      <c r="AC764" s="213"/>
      <c r="AD764" s="213"/>
      <c r="AE764" s="213"/>
      <c r="AF764" s="213"/>
      <c r="AG764" s="213"/>
      <c r="AH764" s="213"/>
      <c r="AI764" s="213"/>
      <c r="AJ764" s="213"/>
      <c r="AK764" s="213"/>
      <c r="AL764" s="213"/>
      <c r="AM764" s="213"/>
      <c r="AN764" s="213"/>
      <c r="AO764" s="213"/>
      <c r="AP764" s="213"/>
      <c r="AQ764" s="213"/>
      <c r="AR764" s="213"/>
      <c r="AS764" s="213"/>
      <c r="AT764" s="213"/>
      <c r="AU764" s="213"/>
      <c r="AV764" s="213"/>
      <c r="AW764" s="213"/>
      <c r="AX764" s="213"/>
      <c r="AY764" s="213"/>
      <c r="AZ764" s="213"/>
      <c r="BA764" s="213"/>
      <c r="BB764" s="213"/>
    </row>
    <row r="765" ht="15.75" customHeight="1">
      <c r="A765" s="213"/>
      <c r="B765" s="213"/>
      <c r="C765" s="213"/>
      <c r="D765" s="213"/>
      <c r="E765" s="213"/>
      <c r="F765" s="213"/>
      <c r="G765" s="213"/>
      <c r="H765" s="213"/>
      <c r="I765" s="213"/>
      <c r="J765" s="213"/>
      <c r="K765" s="215"/>
      <c r="L765" s="213"/>
      <c r="M765" s="215"/>
      <c r="N765" s="213"/>
      <c r="O765" s="213"/>
      <c r="P765" s="213"/>
      <c r="Q765" s="213"/>
      <c r="R765" s="213"/>
      <c r="S765" s="213"/>
      <c r="T765" s="213"/>
      <c r="U765" s="213"/>
      <c r="V765" s="213"/>
      <c r="W765" s="213"/>
      <c r="X765" s="213"/>
      <c r="Y765" s="213"/>
      <c r="Z765" s="213"/>
      <c r="AA765" s="213"/>
      <c r="AB765" s="213"/>
      <c r="AC765" s="213"/>
      <c r="AD765" s="213"/>
      <c r="AE765" s="213"/>
      <c r="AF765" s="213"/>
      <c r="AG765" s="213"/>
      <c r="AH765" s="213"/>
      <c r="AI765" s="213"/>
      <c r="AJ765" s="213"/>
      <c r="AK765" s="213"/>
      <c r="AL765" s="213"/>
      <c r="AM765" s="213"/>
      <c r="AN765" s="213"/>
      <c r="AO765" s="213"/>
      <c r="AP765" s="213"/>
      <c r="AQ765" s="213"/>
      <c r="AR765" s="213"/>
      <c r="AS765" s="213"/>
      <c r="AT765" s="213"/>
      <c r="AU765" s="213"/>
      <c r="AV765" s="213"/>
      <c r="AW765" s="213"/>
      <c r="AX765" s="213"/>
      <c r="AY765" s="213"/>
      <c r="AZ765" s="213"/>
      <c r="BA765" s="213"/>
      <c r="BB765" s="213"/>
    </row>
    <row r="766" ht="15.75" customHeight="1">
      <c r="A766" s="213"/>
      <c r="B766" s="213"/>
      <c r="C766" s="213"/>
      <c r="D766" s="213"/>
      <c r="E766" s="213"/>
      <c r="F766" s="213"/>
      <c r="G766" s="213"/>
      <c r="H766" s="213"/>
      <c r="I766" s="213"/>
      <c r="J766" s="213"/>
      <c r="K766" s="215"/>
      <c r="L766" s="213"/>
      <c r="M766" s="215"/>
      <c r="N766" s="213"/>
      <c r="O766" s="213"/>
      <c r="P766" s="213"/>
      <c r="Q766" s="213"/>
      <c r="R766" s="213"/>
      <c r="S766" s="213"/>
      <c r="T766" s="213"/>
      <c r="U766" s="213"/>
      <c r="V766" s="213"/>
      <c r="W766" s="213"/>
      <c r="X766" s="213"/>
      <c r="Y766" s="213"/>
      <c r="Z766" s="213"/>
      <c r="AA766" s="213"/>
      <c r="AB766" s="213"/>
      <c r="AC766" s="213"/>
      <c r="AD766" s="213"/>
      <c r="AE766" s="213"/>
      <c r="AF766" s="213"/>
      <c r="AG766" s="213"/>
      <c r="AH766" s="213"/>
      <c r="AI766" s="213"/>
      <c r="AJ766" s="213"/>
      <c r="AK766" s="213"/>
      <c r="AL766" s="213"/>
      <c r="AM766" s="213"/>
      <c r="AN766" s="213"/>
      <c r="AO766" s="213"/>
      <c r="AP766" s="213"/>
      <c r="AQ766" s="213"/>
      <c r="AR766" s="213"/>
      <c r="AS766" s="213"/>
      <c r="AT766" s="213"/>
      <c r="AU766" s="213"/>
      <c r="AV766" s="213"/>
      <c r="AW766" s="213"/>
      <c r="AX766" s="213"/>
      <c r="AY766" s="213"/>
      <c r="AZ766" s="213"/>
      <c r="BA766" s="213"/>
      <c r="BB766" s="213"/>
    </row>
    <row r="767" ht="15.75" customHeight="1">
      <c r="A767" s="213"/>
      <c r="B767" s="213"/>
      <c r="C767" s="213"/>
      <c r="D767" s="213"/>
      <c r="E767" s="213"/>
      <c r="F767" s="213"/>
      <c r="G767" s="213"/>
      <c r="H767" s="213"/>
      <c r="I767" s="213"/>
      <c r="J767" s="213"/>
      <c r="K767" s="215"/>
      <c r="L767" s="213"/>
      <c r="M767" s="215"/>
      <c r="N767" s="213"/>
      <c r="O767" s="213"/>
      <c r="P767" s="213"/>
      <c r="Q767" s="213"/>
      <c r="R767" s="213"/>
      <c r="S767" s="213"/>
      <c r="T767" s="213"/>
      <c r="U767" s="213"/>
      <c r="V767" s="213"/>
      <c r="W767" s="213"/>
      <c r="X767" s="213"/>
      <c r="Y767" s="213"/>
      <c r="Z767" s="213"/>
      <c r="AA767" s="213"/>
      <c r="AB767" s="213"/>
      <c r="AC767" s="213"/>
      <c r="AD767" s="213"/>
      <c r="AE767" s="213"/>
      <c r="AF767" s="213"/>
      <c r="AG767" s="213"/>
      <c r="AH767" s="213"/>
      <c r="AI767" s="213"/>
      <c r="AJ767" s="213"/>
      <c r="AK767" s="213"/>
      <c r="AL767" s="213"/>
      <c r="AM767" s="213"/>
      <c r="AN767" s="213"/>
      <c r="AO767" s="213"/>
      <c r="AP767" s="213"/>
      <c r="AQ767" s="213"/>
      <c r="AR767" s="213"/>
      <c r="AS767" s="213"/>
      <c r="AT767" s="213"/>
      <c r="AU767" s="213"/>
      <c r="AV767" s="213"/>
      <c r="AW767" s="213"/>
      <c r="AX767" s="213"/>
      <c r="AY767" s="213"/>
      <c r="AZ767" s="213"/>
      <c r="BA767" s="213"/>
      <c r="BB767" s="213"/>
    </row>
    <row r="768" ht="15.75" customHeight="1">
      <c r="A768" s="213"/>
      <c r="B768" s="213"/>
      <c r="C768" s="213"/>
      <c r="D768" s="213"/>
      <c r="E768" s="213"/>
      <c r="F768" s="213"/>
      <c r="G768" s="213"/>
      <c r="H768" s="213"/>
      <c r="I768" s="213"/>
      <c r="J768" s="213"/>
      <c r="K768" s="215"/>
      <c r="L768" s="213"/>
      <c r="M768" s="215"/>
      <c r="N768" s="213"/>
      <c r="O768" s="213"/>
      <c r="P768" s="213"/>
      <c r="Q768" s="213"/>
      <c r="R768" s="213"/>
      <c r="S768" s="213"/>
      <c r="T768" s="213"/>
      <c r="U768" s="213"/>
      <c r="V768" s="213"/>
      <c r="W768" s="213"/>
      <c r="X768" s="213"/>
      <c r="Y768" s="213"/>
      <c r="Z768" s="213"/>
      <c r="AA768" s="213"/>
      <c r="AB768" s="213"/>
      <c r="AC768" s="213"/>
      <c r="AD768" s="213"/>
      <c r="AE768" s="213"/>
      <c r="AF768" s="213"/>
      <c r="AG768" s="213"/>
      <c r="AH768" s="213"/>
      <c r="AI768" s="213"/>
      <c r="AJ768" s="213"/>
      <c r="AK768" s="213"/>
      <c r="AL768" s="213"/>
      <c r="AM768" s="213"/>
      <c r="AN768" s="213"/>
      <c r="AO768" s="213"/>
      <c r="AP768" s="213"/>
      <c r="AQ768" s="213"/>
      <c r="AR768" s="213"/>
      <c r="AS768" s="213"/>
      <c r="AT768" s="213"/>
      <c r="AU768" s="213"/>
      <c r="AV768" s="213"/>
      <c r="AW768" s="213"/>
      <c r="AX768" s="213"/>
      <c r="AY768" s="213"/>
      <c r="AZ768" s="213"/>
      <c r="BA768" s="213"/>
      <c r="BB768" s="213"/>
    </row>
    <row r="769" ht="15.75" customHeight="1">
      <c r="A769" s="213"/>
      <c r="B769" s="213"/>
      <c r="C769" s="213"/>
      <c r="D769" s="213"/>
      <c r="E769" s="213"/>
      <c r="F769" s="213"/>
      <c r="G769" s="213"/>
      <c r="H769" s="213"/>
      <c r="I769" s="213"/>
      <c r="J769" s="213"/>
      <c r="K769" s="215"/>
      <c r="L769" s="213"/>
      <c r="M769" s="215"/>
      <c r="N769" s="213"/>
      <c r="O769" s="213"/>
      <c r="P769" s="213"/>
      <c r="Q769" s="213"/>
      <c r="R769" s="213"/>
      <c r="S769" s="213"/>
      <c r="T769" s="213"/>
      <c r="U769" s="213"/>
      <c r="V769" s="213"/>
      <c r="W769" s="213"/>
      <c r="X769" s="213"/>
      <c r="Y769" s="213"/>
      <c r="Z769" s="213"/>
      <c r="AA769" s="213"/>
      <c r="AB769" s="213"/>
      <c r="AC769" s="213"/>
      <c r="AD769" s="213"/>
      <c r="AE769" s="213"/>
      <c r="AF769" s="213"/>
      <c r="AG769" s="213"/>
      <c r="AH769" s="213"/>
      <c r="AI769" s="213"/>
      <c r="AJ769" s="213"/>
      <c r="AK769" s="213"/>
      <c r="AL769" s="213"/>
      <c r="AM769" s="213"/>
      <c r="AN769" s="213"/>
      <c r="AO769" s="213"/>
      <c r="AP769" s="213"/>
      <c r="AQ769" s="213"/>
      <c r="AR769" s="213"/>
      <c r="AS769" s="213"/>
      <c r="AT769" s="213"/>
      <c r="AU769" s="213"/>
      <c r="AV769" s="213"/>
      <c r="AW769" s="213"/>
      <c r="AX769" s="213"/>
      <c r="AY769" s="213"/>
      <c r="AZ769" s="213"/>
      <c r="BA769" s="213"/>
      <c r="BB769" s="213"/>
    </row>
    <row r="770" ht="15.75" customHeight="1">
      <c r="A770" s="213"/>
      <c r="B770" s="213"/>
      <c r="C770" s="213"/>
      <c r="D770" s="213"/>
      <c r="E770" s="213"/>
      <c r="F770" s="213"/>
      <c r="G770" s="213"/>
      <c r="H770" s="213"/>
      <c r="I770" s="213"/>
      <c r="J770" s="213"/>
      <c r="K770" s="215"/>
      <c r="L770" s="213"/>
      <c r="M770" s="215"/>
      <c r="N770" s="213"/>
      <c r="O770" s="213"/>
      <c r="P770" s="213"/>
      <c r="Q770" s="213"/>
      <c r="R770" s="213"/>
      <c r="S770" s="213"/>
      <c r="T770" s="213"/>
      <c r="U770" s="213"/>
      <c r="V770" s="213"/>
      <c r="W770" s="213"/>
      <c r="X770" s="213"/>
      <c r="Y770" s="213"/>
      <c r="Z770" s="213"/>
      <c r="AA770" s="213"/>
      <c r="AB770" s="213"/>
      <c r="AC770" s="213"/>
      <c r="AD770" s="213"/>
      <c r="AE770" s="213"/>
      <c r="AF770" s="213"/>
      <c r="AG770" s="213"/>
      <c r="AH770" s="213"/>
      <c r="AI770" s="213"/>
      <c r="AJ770" s="213"/>
      <c r="AK770" s="213"/>
      <c r="AL770" s="213"/>
      <c r="AM770" s="213"/>
      <c r="AN770" s="213"/>
      <c r="AO770" s="213"/>
      <c r="AP770" s="213"/>
      <c r="AQ770" s="213"/>
      <c r="AR770" s="213"/>
      <c r="AS770" s="213"/>
      <c r="AT770" s="213"/>
      <c r="AU770" s="213"/>
      <c r="AV770" s="213"/>
      <c r="AW770" s="213"/>
      <c r="AX770" s="213"/>
      <c r="AY770" s="213"/>
      <c r="AZ770" s="213"/>
      <c r="BA770" s="213"/>
      <c r="BB770" s="213"/>
    </row>
    <row r="771" ht="15.75" customHeight="1">
      <c r="A771" s="213"/>
      <c r="B771" s="213"/>
      <c r="C771" s="213"/>
      <c r="D771" s="213"/>
      <c r="E771" s="213"/>
      <c r="F771" s="213"/>
      <c r="G771" s="213"/>
      <c r="H771" s="213"/>
      <c r="I771" s="213"/>
      <c r="J771" s="213"/>
      <c r="K771" s="215"/>
      <c r="L771" s="213"/>
      <c r="M771" s="215"/>
      <c r="N771" s="213"/>
      <c r="O771" s="213"/>
      <c r="P771" s="213"/>
      <c r="Q771" s="213"/>
      <c r="R771" s="213"/>
      <c r="S771" s="213"/>
      <c r="T771" s="213"/>
      <c r="U771" s="213"/>
      <c r="V771" s="213"/>
      <c r="W771" s="213"/>
      <c r="X771" s="213"/>
      <c r="Y771" s="213"/>
      <c r="Z771" s="213"/>
      <c r="AA771" s="213"/>
      <c r="AB771" s="213"/>
      <c r="AC771" s="213"/>
      <c r="AD771" s="213"/>
      <c r="AE771" s="213"/>
      <c r="AF771" s="213"/>
      <c r="AG771" s="213"/>
      <c r="AH771" s="213"/>
      <c r="AI771" s="213"/>
      <c r="AJ771" s="213"/>
      <c r="AK771" s="213"/>
      <c r="AL771" s="213"/>
      <c r="AM771" s="213"/>
      <c r="AN771" s="213"/>
      <c r="AO771" s="213"/>
      <c r="AP771" s="213"/>
      <c r="AQ771" s="213"/>
      <c r="AR771" s="213"/>
      <c r="AS771" s="213"/>
      <c r="AT771" s="213"/>
      <c r="AU771" s="213"/>
      <c r="AV771" s="213"/>
      <c r="AW771" s="213"/>
      <c r="AX771" s="213"/>
      <c r="AY771" s="213"/>
      <c r="AZ771" s="213"/>
      <c r="BA771" s="213"/>
      <c r="BB771" s="213"/>
    </row>
    <row r="772" ht="15.75" customHeight="1">
      <c r="A772" s="213"/>
      <c r="B772" s="213"/>
      <c r="C772" s="213"/>
      <c r="D772" s="213"/>
      <c r="E772" s="213"/>
      <c r="F772" s="213"/>
      <c r="G772" s="213"/>
      <c r="H772" s="213"/>
      <c r="I772" s="213"/>
      <c r="J772" s="213"/>
      <c r="K772" s="215"/>
      <c r="L772" s="213"/>
      <c r="M772" s="215"/>
      <c r="N772" s="213"/>
      <c r="O772" s="213"/>
      <c r="P772" s="213"/>
      <c r="Q772" s="213"/>
      <c r="R772" s="213"/>
      <c r="S772" s="213"/>
      <c r="T772" s="213"/>
      <c r="U772" s="213"/>
      <c r="V772" s="213"/>
      <c r="W772" s="213"/>
      <c r="X772" s="213"/>
      <c r="Y772" s="213"/>
      <c r="Z772" s="213"/>
      <c r="AA772" s="213"/>
      <c r="AB772" s="213"/>
      <c r="AC772" s="213"/>
      <c r="AD772" s="213"/>
      <c r="AE772" s="213"/>
      <c r="AF772" s="213"/>
      <c r="AG772" s="213"/>
      <c r="AH772" s="213"/>
      <c r="AI772" s="213"/>
      <c r="AJ772" s="213"/>
      <c r="AK772" s="213"/>
      <c r="AL772" s="213"/>
      <c r="AM772" s="213"/>
      <c r="AN772" s="213"/>
      <c r="AO772" s="213"/>
      <c r="AP772" s="213"/>
      <c r="AQ772" s="213"/>
      <c r="AR772" s="213"/>
      <c r="AS772" s="213"/>
      <c r="AT772" s="213"/>
      <c r="AU772" s="213"/>
      <c r="AV772" s="213"/>
      <c r="AW772" s="213"/>
      <c r="AX772" s="213"/>
      <c r="AY772" s="213"/>
      <c r="AZ772" s="213"/>
      <c r="BA772" s="213"/>
      <c r="BB772" s="213"/>
    </row>
    <row r="773" ht="15.75" customHeight="1">
      <c r="A773" s="213"/>
      <c r="B773" s="213"/>
      <c r="C773" s="213"/>
      <c r="D773" s="213"/>
      <c r="E773" s="213"/>
      <c r="F773" s="213"/>
      <c r="G773" s="213"/>
      <c r="H773" s="213"/>
      <c r="I773" s="213"/>
      <c r="J773" s="213"/>
      <c r="K773" s="215"/>
      <c r="L773" s="213"/>
      <c r="M773" s="215"/>
      <c r="N773" s="213"/>
      <c r="O773" s="213"/>
      <c r="P773" s="213"/>
      <c r="Q773" s="213"/>
      <c r="R773" s="213"/>
      <c r="S773" s="213"/>
      <c r="T773" s="213"/>
      <c r="U773" s="213"/>
      <c r="V773" s="213"/>
      <c r="W773" s="213"/>
      <c r="X773" s="213"/>
      <c r="Y773" s="213"/>
      <c r="Z773" s="213"/>
      <c r="AA773" s="213"/>
      <c r="AB773" s="213"/>
      <c r="AC773" s="213"/>
      <c r="AD773" s="213"/>
      <c r="AE773" s="213"/>
      <c r="AF773" s="213"/>
      <c r="AG773" s="213"/>
      <c r="AH773" s="213"/>
      <c r="AI773" s="213"/>
      <c r="AJ773" s="213"/>
      <c r="AK773" s="213"/>
      <c r="AL773" s="213"/>
      <c r="AM773" s="213"/>
      <c r="AN773" s="213"/>
      <c r="AO773" s="213"/>
      <c r="AP773" s="213"/>
      <c r="AQ773" s="213"/>
      <c r="AR773" s="213"/>
      <c r="AS773" s="213"/>
      <c r="AT773" s="213"/>
      <c r="AU773" s="213"/>
      <c r="AV773" s="213"/>
      <c r="AW773" s="213"/>
      <c r="AX773" s="213"/>
      <c r="AY773" s="213"/>
      <c r="AZ773" s="213"/>
      <c r="BA773" s="213"/>
      <c r="BB773" s="213"/>
    </row>
    <row r="774" ht="15.75" customHeight="1">
      <c r="A774" s="213"/>
      <c r="B774" s="213"/>
      <c r="C774" s="213"/>
      <c r="D774" s="213"/>
      <c r="E774" s="213"/>
      <c r="F774" s="213"/>
      <c r="G774" s="213"/>
      <c r="H774" s="213"/>
      <c r="I774" s="213"/>
      <c r="J774" s="213"/>
      <c r="K774" s="215"/>
      <c r="L774" s="213"/>
      <c r="M774" s="215"/>
      <c r="N774" s="213"/>
      <c r="O774" s="213"/>
      <c r="P774" s="213"/>
      <c r="Q774" s="213"/>
      <c r="R774" s="213"/>
      <c r="S774" s="213"/>
      <c r="T774" s="213"/>
      <c r="U774" s="213"/>
      <c r="V774" s="213"/>
      <c r="W774" s="213"/>
      <c r="X774" s="213"/>
      <c r="Y774" s="213"/>
      <c r="Z774" s="213"/>
      <c r="AA774" s="213"/>
      <c r="AB774" s="213"/>
      <c r="AC774" s="213"/>
      <c r="AD774" s="213"/>
      <c r="AE774" s="213"/>
      <c r="AF774" s="213"/>
      <c r="AG774" s="213"/>
      <c r="AH774" s="213"/>
      <c r="AI774" s="213"/>
      <c r="AJ774" s="213"/>
      <c r="AK774" s="213"/>
      <c r="AL774" s="213"/>
      <c r="AM774" s="213"/>
      <c r="AN774" s="213"/>
      <c r="AO774" s="213"/>
      <c r="AP774" s="213"/>
      <c r="AQ774" s="213"/>
      <c r="AR774" s="213"/>
      <c r="AS774" s="213"/>
      <c r="AT774" s="213"/>
      <c r="AU774" s="213"/>
      <c r="AV774" s="213"/>
      <c r="AW774" s="213"/>
      <c r="AX774" s="213"/>
      <c r="AY774" s="213"/>
      <c r="AZ774" s="213"/>
      <c r="BA774" s="213"/>
      <c r="BB774" s="213"/>
    </row>
    <row r="775" ht="15.75" customHeight="1">
      <c r="A775" s="213"/>
      <c r="B775" s="213"/>
      <c r="C775" s="213"/>
      <c r="D775" s="213"/>
      <c r="E775" s="213"/>
      <c r="F775" s="213"/>
      <c r="G775" s="213"/>
      <c r="H775" s="213"/>
      <c r="I775" s="213"/>
      <c r="J775" s="213"/>
      <c r="K775" s="215"/>
      <c r="L775" s="213"/>
      <c r="M775" s="215"/>
      <c r="N775" s="213"/>
      <c r="O775" s="213"/>
      <c r="P775" s="213"/>
      <c r="Q775" s="213"/>
      <c r="R775" s="213"/>
      <c r="S775" s="213"/>
      <c r="T775" s="213"/>
      <c r="U775" s="213"/>
      <c r="V775" s="213"/>
      <c r="W775" s="213"/>
      <c r="X775" s="213"/>
      <c r="Y775" s="213"/>
      <c r="Z775" s="213"/>
      <c r="AA775" s="213"/>
      <c r="AB775" s="213"/>
      <c r="AC775" s="213"/>
      <c r="AD775" s="213"/>
      <c r="AE775" s="213"/>
      <c r="AF775" s="213"/>
      <c r="AG775" s="213"/>
      <c r="AH775" s="213"/>
      <c r="AI775" s="213"/>
      <c r="AJ775" s="213"/>
      <c r="AK775" s="213"/>
      <c r="AL775" s="213"/>
      <c r="AM775" s="213"/>
      <c r="AN775" s="213"/>
      <c r="AO775" s="213"/>
      <c r="AP775" s="213"/>
      <c r="AQ775" s="213"/>
      <c r="AR775" s="213"/>
      <c r="AS775" s="213"/>
      <c r="AT775" s="213"/>
      <c r="AU775" s="213"/>
      <c r="AV775" s="213"/>
      <c r="AW775" s="213"/>
      <c r="AX775" s="213"/>
      <c r="AY775" s="213"/>
      <c r="AZ775" s="213"/>
      <c r="BA775" s="213"/>
      <c r="BB775" s="213"/>
    </row>
    <row r="776" ht="15.75" customHeight="1">
      <c r="A776" s="213"/>
      <c r="B776" s="213"/>
      <c r="C776" s="213"/>
      <c r="D776" s="213"/>
      <c r="E776" s="213"/>
      <c r="F776" s="213"/>
      <c r="G776" s="213"/>
      <c r="H776" s="213"/>
      <c r="I776" s="213"/>
      <c r="J776" s="213"/>
      <c r="K776" s="215"/>
      <c r="L776" s="213"/>
      <c r="M776" s="215"/>
      <c r="N776" s="213"/>
      <c r="O776" s="213"/>
      <c r="P776" s="213"/>
      <c r="Q776" s="213"/>
      <c r="R776" s="213"/>
      <c r="S776" s="213"/>
      <c r="T776" s="213"/>
      <c r="U776" s="213"/>
      <c r="V776" s="213"/>
      <c r="W776" s="213"/>
      <c r="X776" s="213"/>
      <c r="Y776" s="213"/>
      <c r="Z776" s="213"/>
      <c r="AA776" s="213"/>
      <c r="AB776" s="213"/>
      <c r="AC776" s="213"/>
      <c r="AD776" s="213"/>
      <c r="AE776" s="213"/>
      <c r="AF776" s="213"/>
      <c r="AG776" s="213"/>
      <c r="AH776" s="213"/>
      <c r="AI776" s="213"/>
      <c r="AJ776" s="213"/>
      <c r="AK776" s="213"/>
      <c r="AL776" s="213"/>
      <c r="AM776" s="213"/>
      <c r="AN776" s="213"/>
      <c r="AO776" s="213"/>
      <c r="AP776" s="213"/>
      <c r="AQ776" s="213"/>
      <c r="AR776" s="213"/>
      <c r="AS776" s="213"/>
      <c r="AT776" s="213"/>
      <c r="AU776" s="213"/>
      <c r="AV776" s="213"/>
      <c r="AW776" s="213"/>
      <c r="AX776" s="213"/>
      <c r="AY776" s="213"/>
      <c r="AZ776" s="213"/>
      <c r="BA776" s="213"/>
      <c r="BB776" s="213"/>
    </row>
    <row r="777" ht="15.75" customHeight="1">
      <c r="A777" s="213"/>
      <c r="B777" s="213"/>
      <c r="C777" s="213"/>
      <c r="D777" s="213"/>
      <c r="E777" s="213"/>
      <c r="F777" s="213"/>
      <c r="G777" s="213"/>
      <c r="H777" s="213"/>
      <c r="I777" s="213"/>
      <c r="J777" s="213"/>
      <c r="K777" s="215"/>
      <c r="L777" s="213"/>
      <c r="M777" s="215"/>
      <c r="N777" s="213"/>
      <c r="O777" s="213"/>
      <c r="P777" s="213"/>
      <c r="Q777" s="213"/>
      <c r="R777" s="213"/>
      <c r="S777" s="213"/>
      <c r="T777" s="213"/>
      <c r="U777" s="213"/>
      <c r="V777" s="213"/>
      <c r="W777" s="213"/>
      <c r="X777" s="213"/>
      <c r="Y777" s="213"/>
      <c r="Z777" s="213"/>
      <c r="AA777" s="213"/>
      <c r="AB777" s="213"/>
      <c r="AC777" s="213"/>
      <c r="AD777" s="213"/>
      <c r="AE777" s="213"/>
      <c r="AF777" s="213"/>
      <c r="AG777" s="213"/>
      <c r="AH777" s="213"/>
      <c r="AI777" s="213"/>
      <c r="AJ777" s="213"/>
      <c r="AK777" s="213"/>
      <c r="AL777" s="213"/>
      <c r="AM777" s="213"/>
      <c r="AN777" s="213"/>
      <c r="AO777" s="213"/>
      <c r="AP777" s="213"/>
      <c r="AQ777" s="213"/>
      <c r="AR777" s="213"/>
      <c r="AS777" s="213"/>
      <c r="AT777" s="213"/>
      <c r="AU777" s="213"/>
      <c r="AV777" s="213"/>
      <c r="AW777" s="213"/>
      <c r="AX777" s="213"/>
      <c r="AY777" s="213"/>
      <c r="AZ777" s="213"/>
      <c r="BA777" s="213"/>
      <c r="BB777" s="213"/>
    </row>
    <row r="778" ht="15.75" customHeight="1">
      <c r="A778" s="213"/>
      <c r="B778" s="213"/>
      <c r="C778" s="213"/>
      <c r="D778" s="213"/>
      <c r="E778" s="213"/>
      <c r="F778" s="213"/>
      <c r="G778" s="213"/>
      <c r="H778" s="213"/>
      <c r="I778" s="213"/>
      <c r="J778" s="213"/>
      <c r="K778" s="215"/>
      <c r="L778" s="213"/>
      <c r="M778" s="215"/>
      <c r="N778" s="213"/>
      <c r="O778" s="213"/>
      <c r="P778" s="213"/>
      <c r="Q778" s="213"/>
      <c r="R778" s="213"/>
      <c r="S778" s="213"/>
      <c r="T778" s="213"/>
      <c r="U778" s="213"/>
      <c r="V778" s="213"/>
      <c r="W778" s="213"/>
      <c r="X778" s="213"/>
      <c r="Y778" s="213"/>
      <c r="Z778" s="213"/>
      <c r="AA778" s="213"/>
      <c r="AB778" s="213"/>
      <c r="AC778" s="213"/>
      <c r="AD778" s="213"/>
      <c r="AE778" s="213"/>
      <c r="AF778" s="213"/>
      <c r="AG778" s="213"/>
      <c r="AH778" s="213"/>
      <c r="AI778" s="213"/>
      <c r="AJ778" s="213"/>
      <c r="AK778" s="213"/>
      <c r="AL778" s="213"/>
      <c r="AM778" s="213"/>
      <c r="AN778" s="213"/>
      <c r="AO778" s="213"/>
      <c r="AP778" s="213"/>
      <c r="AQ778" s="213"/>
      <c r="AR778" s="213"/>
      <c r="AS778" s="213"/>
      <c r="AT778" s="213"/>
      <c r="AU778" s="213"/>
      <c r="AV778" s="213"/>
      <c r="AW778" s="213"/>
      <c r="AX778" s="213"/>
      <c r="AY778" s="213"/>
      <c r="AZ778" s="213"/>
      <c r="BA778" s="213"/>
      <c r="BB778" s="213"/>
    </row>
    <row r="779" ht="15.75" customHeight="1">
      <c r="A779" s="213"/>
      <c r="B779" s="213"/>
      <c r="C779" s="213"/>
      <c r="D779" s="213"/>
      <c r="E779" s="213"/>
      <c r="F779" s="213"/>
      <c r="G779" s="213"/>
      <c r="H779" s="213"/>
      <c r="I779" s="213"/>
      <c r="J779" s="213"/>
      <c r="K779" s="215"/>
      <c r="L779" s="213"/>
      <c r="M779" s="215"/>
      <c r="N779" s="213"/>
      <c r="O779" s="213"/>
      <c r="P779" s="213"/>
      <c r="Q779" s="213"/>
      <c r="R779" s="213"/>
      <c r="S779" s="213"/>
      <c r="T779" s="213"/>
      <c r="U779" s="213"/>
      <c r="V779" s="213"/>
      <c r="W779" s="213"/>
      <c r="X779" s="213"/>
      <c r="Y779" s="213"/>
      <c r="Z779" s="213"/>
      <c r="AA779" s="213"/>
      <c r="AB779" s="213"/>
      <c r="AC779" s="213"/>
      <c r="AD779" s="213"/>
      <c r="AE779" s="213"/>
      <c r="AF779" s="213"/>
      <c r="AG779" s="213"/>
      <c r="AH779" s="213"/>
      <c r="AI779" s="213"/>
      <c r="AJ779" s="213"/>
      <c r="AK779" s="213"/>
      <c r="AL779" s="213"/>
      <c r="AM779" s="213"/>
      <c r="AN779" s="213"/>
      <c r="AO779" s="213"/>
      <c r="AP779" s="213"/>
      <c r="AQ779" s="213"/>
      <c r="AR779" s="213"/>
      <c r="AS779" s="213"/>
      <c r="AT779" s="213"/>
      <c r="AU779" s="213"/>
      <c r="AV779" s="213"/>
      <c r="AW779" s="213"/>
      <c r="AX779" s="213"/>
      <c r="AY779" s="213"/>
      <c r="AZ779" s="213"/>
      <c r="BA779" s="213"/>
      <c r="BB779" s="213"/>
    </row>
    <row r="780" ht="15.75" customHeight="1">
      <c r="A780" s="213"/>
      <c r="B780" s="213"/>
      <c r="C780" s="213"/>
      <c r="D780" s="213"/>
      <c r="E780" s="213"/>
      <c r="F780" s="213"/>
      <c r="G780" s="213"/>
      <c r="H780" s="213"/>
      <c r="I780" s="213"/>
      <c r="J780" s="213"/>
      <c r="K780" s="215"/>
      <c r="L780" s="213"/>
      <c r="M780" s="215"/>
      <c r="N780" s="213"/>
      <c r="O780" s="213"/>
      <c r="P780" s="213"/>
      <c r="Q780" s="213"/>
      <c r="R780" s="213"/>
      <c r="S780" s="213"/>
      <c r="T780" s="213"/>
      <c r="U780" s="213"/>
      <c r="V780" s="213"/>
      <c r="W780" s="213"/>
      <c r="X780" s="213"/>
      <c r="Y780" s="213"/>
      <c r="Z780" s="213"/>
      <c r="AA780" s="213"/>
      <c r="AB780" s="213"/>
      <c r="AC780" s="213"/>
      <c r="AD780" s="213"/>
      <c r="AE780" s="213"/>
      <c r="AF780" s="213"/>
      <c r="AG780" s="213"/>
      <c r="AH780" s="213"/>
      <c r="AI780" s="213"/>
      <c r="AJ780" s="213"/>
      <c r="AK780" s="213"/>
      <c r="AL780" s="213"/>
      <c r="AM780" s="213"/>
      <c r="AN780" s="213"/>
      <c r="AO780" s="213"/>
      <c r="AP780" s="213"/>
      <c r="AQ780" s="213"/>
      <c r="AR780" s="213"/>
      <c r="AS780" s="213"/>
      <c r="AT780" s="213"/>
      <c r="AU780" s="213"/>
      <c r="AV780" s="213"/>
      <c r="AW780" s="213"/>
      <c r="AX780" s="213"/>
      <c r="AY780" s="213"/>
      <c r="AZ780" s="213"/>
      <c r="BA780" s="213"/>
      <c r="BB780" s="213"/>
    </row>
    <row r="781" ht="15.75" customHeight="1">
      <c r="A781" s="213"/>
      <c r="B781" s="213"/>
      <c r="C781" s="213"/>
      <c r="D781" s="213"/>
      <c r="E781" s="213"/>
      <c r="F781" s="213"/>
      <c r="G781" s="213"/>
      <c r="H781" s="213"/>
      <c r="I781" s="213"/>
      <c r="J781" s="213"/>
      <c r="K781" s="215"/>
      <c r="L781" s="213"/>
      <c r="M781" s="215"/>
      <c r="N781" s="213"/>
      <c r="O781" s="213"/>
      <c r="P781" s="213"/>
      <c r="Q781" s="213"/>
      <c r="R781" s="213"/>
      <c r="S781" s="213"/>
      <c r="T781" s="213"/>
      <c r="U781" s="213"/>
      <c r="V781" s="213"/>
      <c r="W781" s="213"/>
      <c r="X781" s="213"/>
      <c r="Y781" s="213"/>
      <c r="Z781" s="213"/>
      <c r="AA781" s="213"/>
      <c r="AB781" s="213"/>
      <c r="AC781" s="213"/>
      <c r="AD781" s="213"/>
      <c r="AE781" s="213"/>
      <c r="AF781" s="213"/>
      <c r="AG781" s="213"/>
      <c r="AH781" s="213"/>
      <c r="AI781" s="213"/>
      <c r="AJ781" s="213"/>
      <c r="AK781" s="213"/>
      <c r="AL781" s="213"/>
      <c r="AM781" s="213"/>
      <c r="AN781" s="213"/>
      <c r="AO781" s="213"/>
      <c r="AP781" s="213"/>
      <c r="AQ781" s="213"/>
      <c r="AR781" s="213"/>
      <c r="AS781" s="213"/>
      <c r="AT781" s="213"/>
      <c r="AU781" s="213"/>
      <c r="AV781" s="213"/>
      <c r="AW781" s="213"/>
      <c r="AX781" s="213"/>
      <c r="AY781" s="213"/>
      <c r="AZ781" s="213"/>
      <c r="BA781" s="213"/>
      <c r="BB781" s="213"/>
    </row>
    <row r="782" ht="15.75" customHeight="1">
      <c r="A782" s="213"/>
      <c r="B782" s="213"/>
      <c r="C782" s="213"/>
      <c r="D782" s="213"/>
      <c r="E782" s="213"/>
      <c r="F782" s="213"/>
      <c r="G782" s="213"/>
      <c r="H782" s="213"/>
      <c r="I782" s="213"/>
      <c r="J782" s="213"/>
      <c r="K782" s="215"/>
      <c r="L782" s="213"/>
      <c r="M782" s="215"/>
      <c r="N782" s="213"/>
      <c r="O782" s="213"/>
      <c r="P782" s="213"/>
      <c r="Q782" s="213"/>
      <c r="R782" s="213"/>
      <c r="S782" s="213"/>
      <c r="T782" s="213"/>
      <c r="U782" s="213"/>
      <c r="V782" s="213"/>
      <c r="W782" s="213"/>
      <c r="X782" s="213"/>
      <c r="Y782" s="213"/>
      <c r="Z782" s="213"/>
      <c r="AA782" s="213"/>
      <c r="AB782" s="213"/>
      <c r="AC782" s="213"/>
      <c r="AD782" s="213"/>
      <c r="AE782" s="213"/>
      <c r="AF782" s="213"/>
      <c r="AG782" s="213"/>
      <c r="AH782" s="213"/>
      <c r="AI782" s="213"/>
      <c r="AJ782" s="213"/>
      <c r="AK782" s="213"/>
      <c r="AL782" s="213"/>
      <c r="AM782" s="213"/>
      <c r="AN782" s="213"/>
      <c r="AO782" s="213"/>
      <c r="AP782" s="213"/>
      <c r="AQ782" s="213"/>
      <c r="AR782" s="213"/>
      <c r="AS782" s="213"/>
      <c r="AT782" s="213"/>
      <c r="AU782" s="213"/>
      <c r="AV782" s="213"/>
      <c r="AW782" s="213"/>
      <c r="AX782" s="213"/>
      <c r="AY782" s="213"/>
      <c r="AZ782" s="213"/>
      <c r="BA782" s="213"/>
      <c r="BB782" s="213"/>
    </row>
    <row r="783" ht="15.75" customHeight="1">
      <c r="A783" s="213"/>
      <c r="B783" s="213"/>
      <c r="C783" s="213"/>
      <c r="D783" s="213"/>
      <c r="E783" s="213"/>
      <c r="F783" s="213"/>
      <c r="G783" s="213"/>
      <c r="H783" s="213"/>
      <c r="I783" s="213"/>
      <c r="J783" s="213"/>
      <c r="K783" s="215"/>
      <c r="L783" s="213"/>
      <c r="M783" s="215"/>
      <c r="N783" s="213"/>
      <c r="O783" s="213"/>
      <c r="P783" s="213"/>
      <c r="Q783" s="213"/>
      <c r="R783" s="213"/>
      <c r="S783" s="213"/>
      <c r="T783" s="213"/>
      <c r="U783" s="213"/>
      <c r="V783" s="213"/>
      <c r="W783" s="213"/>
      <c r="X783" s="213"/>
      <c r="Y783" s="213"/>
      <c r="Z783" s="213"/>
      <c r="AA783" s="213"/>
      <c r="AB783" s="213"/>
      <c r="AC783" s="213"/>
      <c r="AD783" s="213"/>
      <c r="AE783" s="213"/>
      <c r="AF783" s="213"/>
      <c r="AG783" s="213"/>
      <c r="AH783" s="213"/>
      <c r="AI783" s="213"/>
      <c r="AJ783" s="213"/>
      <c r="AK783" s="213"/>
      <c r="AL783" s="213"/>
      <c r="AM783" s="213"/>
      <c r="AN783" s="213"/>
      <c r="AO783" s="213"/>
      <c r="AP783" s="213"/>
      <c r="AQ783" s="213"/>
      <c r="AR783" s="213"/>
      <c r="AS783" s="213"/>
      <c r="AT783" s="213"/>
      <c r="AU783" s="213"/>
      <c r="AV783" s="213"/>
      <c r="AW783" s="213"/>
      <c r="AX783" s="213"/>
      <c r="AY783" s="213"/>
      <c r="AZ783" s="213"/>
      <c r="BA783" s="213"/>
      <c r="BB783" s="213"/>
    </row>
    <row r="784" ht="15.75" customHeight="1">
      <c r="A784" s="213"/>
      <c r="B784" s="213"/>
      <c r="C784" s="213"/>
      <c r="D784" s="213"/>
      <c r="E784" s="213"/>
      <c r="F784" s="213"/>
      <c r="G784" s="213"/>
      <c r="H784" s="213"/>
      <c r="I784" s="213"/>
      <c r="J784" s="213"/>
      <c r="K784" s="215"/>
      <c r="L784" s="213"/>
      <c r="M784" s="215"/>
      <c r="N784" s="213"/>
      <c r="O784" s="213"/>
      <c r="P784" s="213"/>
      <c r="Q784" s="213"/>
      <c r="R784" s="213"/>
      <c r="S784" s="213"/>
      <c r="T784" s="213"/>
      <c r="U784" s="213"/>
      <c r="V784" s="213"/>
      <c r="W784" s="213"/>
      <c r="X784" s="213"/>
      <c r="Y784" s="213"/>
      <c r="Z784" s="213"/>
      <c r="AA784" s="213"/>
      <c r="AB784" s="213"/>
      <c r="AC784" s="213"/>
      <c r="AD784" s="213"/>
      <c r="AE784" s="213"/>
      <c r="AF784" s="213"/>
      <c r="AG784" s="213"/>
      <c r="AH784" s="213"/>
      <c r="AI784" s="213"/>
      <c r="AJ784" s="213"/>
      <c r="AK784" s="213"/>
      <c r="AL784" s="213"/>
      <c r="AM784" s="213"/>
      <c r="AN784" s="213"/>
      <c r="AO784" s="213"/>
      <c r="AP784" s="213"/>
      <c r="AQ784" s="213"/>
      <c r="AR784" s="213"/>
      <c r="AS784" s="213"/>
      <c r="AT784" s="213"/>
      <c r="AU784" s="213"/>
      <c r="AV784" s="213"/>
      <c r="AW784" s="213"/>
      <c r="AX784" s="213"/>
      <c r="AY784" s="213"/>
      <c r="AZ784" s="213"/>
      <c r="BA784" s="213"/>
      <c r="BB784" s="213"/>
    </row>
    <row r="785" ht="15.75" customHeight="1">
      <c r="A785" s="213"/>
      <c r="B785" s="213"/>
      <c r="C785" s="213"/>
      <c r="D785" s="213"/>
      <c r="E785" s="213"/>
      <c r="F785" s="213"/>
      <c r="G785" s="213"/>
      <c r="H785" s="213"/>
      <c r="I785" s="213"/>
      <c r="J785" s="213"/>
      <c r="K785" s="215"/>
      <c r="L785" s="213"/>
      <c r="M785" s="215"/>
      <c r="N785" s="213"/>
      <c r="O785" s="213"/>
      <c r="P785" s="213"/>
      <c r="Q785" s="213"/>
      <c r="R785" s="213"/>
      <c r="S785" s="213"/>
      <c r="T785" s="213"/>
      <c r="U785" s="213"/>
      <c r="V785" s="213"/>
      <c r="W785" s="213"/>
      <c r="X785" s="213"/>
      <c r="Y785" s="213"/>
      <c r="Z785" s="213"/>
      <c r="AA785" s="213"/>
      <c r="AB785" s="213"/>
      <c r="AC785" s="213"/>
      <c r="AD785" s="213"/>
      <c r="AE785" s="213"/>
      <c r="AF785" s="213"/>
      <c r="AG785" s="213"/>
      <c r="AH785" s="213"/>
      <c r="AI785" s="213"/>
      <c r="AJ785" s="213"/>
      <c r="AK785" s="213"/>
      <c r="AL785" s="213"/>
      <c r="AM785" s="213"/>
      <c r="AN785" s="213"/>
      <c r="AO785" s="213"/>
      <c r="AP785" s="213"/>
      <c r="AQ785" s="213"/>
      <c r="AR785" s="213"/>
      <c r="AS785" s="213"/>
      <c r="AT785" s="213"/>
      <c r="AU785" s="213"/>
      <c r="AV785" s="213"/>
      <c r="AW785" s="213"/>
      <c r="AX785" s="213"/>
      <c r="AY785" s="213"/>
      <c r="AZ785" s="213"/>
      <c r="BA785" s="213"/>
      <c r="BB785" s="213"/>
    </row>
    <row r="786" ht="15.75" customHeight="1">
      <c r="A786" s="213"/>
      <c r="B786" s="213"/>
      <c r="C786" s="213"/>
      <c r="D786" s="213"/>
      <c r="E786" s="213"/>
      <c r="F786" s="213"/>
      <c r="G786" s="213"/>
      <c r="H786" s="213"/>
      <c r="I786" s="213"/>
      <c r="J786" s="213"/>
      <c r="K786" s="215"/>
      <c r="L786" s="213"/>
      <c r="M786" s="215"/>
      <c r="N786" s="213"/>
      <c r="O786" s="213"/>
      <c r="P786" s="213"/>
      <c r="Q786" s="213"/>
      <c r="R786" s="213"/>
      <c r="S786" s="213"/>
      <c r="T786" s="213"/>
      <c r="U786" s="213"/>
      <c r="V786" s="213"/>
      <c r="W786" s="213"/>
      <c r="X786" s="213"/>
      <c r="Y786" s="213"/>
      <c r="Z786" s="213"/>
      <c r="AA786" s="213"/>
      <c r="AB786" s="213"/>
      <c r="AC786" s="213"/>
      <c r="AD786" s="213"/>
      <c r="AE786" s="213"/>
      <c r="AF786" s="213"/>
      <c r="AG786" s="213"/>
      <c r="AH786" s="213"/>
      <c r="AI786" s="213"/>
      <c r="AJ786" s="213"/>
      <c r="AK786" s="213"/>
      <c r="AL786" s="213"/>
      <c r="AM786" s="213"/>
      <c r="AN786" s="213"/>
      <c r="AO786" s="213"/>
      <c r="AP786" s="213"/>
      <c r="AQ786" s="213"/>
      <c r="AR786" s="213"/>
      <c r="AS786" s="213"/>
      <c r="AT786" s="213"/>
      <c r="AU786" s="213"/>
      <c r="AV786" s="213"/>
      <c r="AW786" s="213"/>
      <c r="AX786" s="213"/>
      <c r="AY786" s="213"/>
      <c r="AZ786" s="213"/>
      <c r="BA786" s="213"/>
      <c r="BB786" s="213"/>
    </row>
    <row r="787" ht="15.75" customHeight="1">
      <c r="A787" s="213"/>
      <c r="B787" s="213"/>
      <c r="C787" s="213"/>
      <c r="D787" s="213"/>
      <c r="E787" s="213"/>
      <c r="F787" s="213"/>
      <c r="G787" s="213"/>
      <c r="H787" s="213"/>
      <c r="I787" s="213"/>
      <c r="J787" s="213"/>
      <c r="K787" s="215"/>
      <c r="L787" s="213"/>
      <c r="M787" s="215"/>
      <c r="N787" s="213"/>
      <c r="O787" s="213"/>
      <c r="P787" s="213"/>
      <c r="Q787" s="213"/>
      <c r="R787" s="213"/>
      <c r="S787" s="213"/>
      <c r="T787" s="213"/>
      <c r="U787" s="213"/>
      <c r="V787" s="213"/>
      <c r="W787" s="213"/>
      <c r="X787" s="213"/>
      <c r="Y787" s="213"/>
      <c r="Z787" s="213"/>
      <c r="AA787" s="213"/>
      <c r="AB787" s="213"/>
      <c r="AC787" s="213"/>
      <c r="AD787" s="213"/>
      <c r="AE787" s="213"/>
      <c r="AF787" s="213"/>
      <c r="AG787" s="213"/>
      <c r="AH787" s="213"/>
      <c r="AI787" s="213"/>
      <c r="AJ787" s="213"/>
      <c r="AK787" s="213"/>
      <c r="AL787" s="213"/>
      <c r="AM787" s="213"/>
      <c r="AN787" s="213"/>
      <c r="AO787" s="213"/>
      <c r="AP787" s="213"/>
      <c r="AQ787" s="213"/>
      <c r="AR787" s="213"/>
      <c r="AS787" s="213"/>
      <c r="AT787" s="213"/>
      <c r="AU787" s="213"/>
      <c r="AV787" s="213"/>
      <c r="AW787" s="213"/>
      <c r="AX787" s="213"/>
      <c r="AY787" s="213"/>
      <c r="AZ787" s="213"/>
      <c r="BA787" s="213"/>
      <c r="BB787" s="213"/>
    </row>
    <row r="788" ht="15.75" customHeight="1">
      <c r="A788" s="213"/>
      <c r="B788" s="213"/>
      <c r="C788" s="213"/>
      <c r="D788" s="213"/>
      <c r="E788" s="213"/>
      <c r="F788" s="213"/>
      <c r="G788" s="213"/>
      <c r="H788" s="213"/>
      <c r="I788" s="213"/>
      <c r="J788" s="213"/>
      <c r="K788" s="215"/>
      <c r="L788" s="213"/>
      <c r="M788" s="215"/>
      <c r="N788" s="213"/>
      <c r="O788" s="213"/>
      <c r="P788" s="213"/>
      <c r="Q788" s="213"/>
      <c r="R788" s="213"/>
      <c r="S788" s="213"/>
      <c r="T788" s="213"/>
      <c r="U788" s="213"/>
      <c r="V788" s="213"/>
      <c r="W788" s="213"/>
      <c r="X788" s="213"/>
      <c r="Y788" s="213"/>
      <c r="Z788" s="213"/>
      <c r="AA788" s="213"/>
      <c r="AB788" s="213"/>
      <c r="AC788" s="213"/>
      <c r="AD788" s="213"/>
      <c r="AE788" s="213"/>
      <c r="AF788" s="213"/>
      <c r="AG788" s="213"/>
      <c r="AH788" s="213"/>
      <c r="AI788" s="213"/>
      <c r="AJ788" s="213"/>
      <c r="AK788" s="213"/>
      <c r="AL788" s="213"/>
      <c r="AM788" s="213"/>
      <c r="AN788" s="213"/>
      <c r="AO788" s="213"/>
      <c r="AP788" s="213"/>
      <c r="AQ788" s="213"/>
      <c r="AR788" s="213"/>
      <c r="AS788" s="213"/>
      <c r="AT788" s="213"/>
      <c r="AU788" s="213"/>
      <c r="AV788" s="213"/>
      <c r="AW788" s="213"/>
      <c r="AX788" s="213"/>
      <c r="AY788" s="213"/>
      <c r="AZ788" s="213"/>
      <c r="BA788" s="213"/>
      <c r="BB788" s="213"/>
    </row>
    <row r="789" ht="15.75" customHeight="1">
      <c r="A789" s="213"/>
      <c r="B789" s="213"/>
      <c r="C789" s="213"/>
      <c r="D789" s="213"/>
      <c r="E789" s="213"/>
      <c r="F789" s="213"/>
      <c r="G789" s="213"/>
      <c r="H789" s="213"/>
      <c r="I789" s="213"/>
      <c r="J789" s="213"/>
      <c r="K789" s="215"/>
      <c r="L789" s="213"/>
      <c r="M789" s="215"/>
      <c r="N789" s="213"/>
      <c r="O789" s="213"/>
      <c r="P789" s="213"/>
      <c r="Q789" s="213"/>
      <c r="R789" s="213"/>
      <c r="S789" s="213"/>
      <c r="T789" s="213"/>
      <c r="U789" s="213"/>
      <c r="V789" s="213"/>
      <c r="W789" s="213"/>
      <c r="X789" s="213"/>
      <c r="Y789" s="213"/>
      <c r="Z789" s="213"/>
      <c r="AA789" s="213"/>
      <c r="AB789" s="213"/>
      <c r="AC789" s="213"/>
      <c r="AD789" s="213"/>
      <c r="AE789" s="213"/>
      <c r="AF789" s="213"/>
      <c r="AG789" s="213"/>
      <c r="AH789" s="213"/>
      <c r="AI789" s="213"/>
      <c r="AJ789" s="213"/>
      <c r="AK789" s="213"/>
      <c r="AL789" s="213"/>
      <c r="AM789" s="213"/>
      <c r="AN789" s="213"/>
      <c r="AO789" s="213"/>
      <c r="AP789" s="213"/>
      <c r="AQ789" s="213"/>
      <c r="AR789" s="213"/>
      <c r="AS789" s="213"/>
      <c r="AT789" s="213"/>
      <c r="AU789" s="213"/>
      <c r="AV789" s="213"/>
      <c r="AW789" s="213"/>
      <c r="AX789" s="213"/>
      <c r="AY789" s="213"/>
      <c r="AZ789" s="213"/>
      <c r="BA789" s="213"/>
      <c r="BB789" s="213"/>
    </row>
    <row r="790" ht="15.75" customHeight="1">
      <c r="A790" s="213"/>
      <c r="B790" s="213"/>
      <c r="C790" s="213"/>
      <c r="D790" s="213"/>
      <c r="E790" s="213"/>
      <c r="F790" s="213"/>
      <c r="G790" s="213"/>
      <c r="H790" s="213"/>
      <c r="I790" s="213"/>
      <c r="J790" s="213"/>
      <c r="K790" s="215"/>
      <c r="L790" s="213"/>
      <c r="M790" s="215"/>
      <c r="N790" s="213"/>
      <c r="O790" s="213"/>
      <c r="P790" s="213"/>
      <c r="Q790" s="213"/>
      <c r="R790" s="213"/>
      <c r="S790" s="213"/>
      <c r="T790" s="213"/>
      <c r="U790" s="213"/>
      <c r="V790" s="213"/>
      <c r="W790" s="213"/>
      <c r="X790" s="213"/>
      <c r="Y790" s="213"/>
      <c r="Z790" s="213"/>
      <c r="AA790" s="213"/>
      <c r="AB790" s="213"/>
      <c r="AC790" s="213"/>
      <c r="AD790" s="213"/>
      <c r="AE790" s="213"/>
      <c r="AF790" s="213"/>
      <c r="AG790" s="213"/>
      <c r="AH790" s="213"/>
      <c r="AI790" s="213"/>
      <c r="AJ790" s="213"/>
      <c r="AK790" s="213"/>
      <c r="AL790" s="213"/>
      <c r="AM790" s="213"/>
      <c r="AN790" s="213"/>
      <c r="AO790" s="213"/>
      <c r="AP790" s="213"/>
      <c r="AQ790" s="213"/>
      <c r="AR790" s="213"/>
      <c r="AS790" s="213"/>
      <c r="AT790" s="213"/>
      <c r="AU790" s="213"/>
      <c r="AV790" s="213"/>
      <c r="AW790" s="213"/>
      <c r="AX790" s="213"/>
      <c r="AY790" s="213"/>
      <c r="AZ790" s="213"/>
      <c r="BA790" s="213"/>
      <c r="BB790" s="213"/>
    </row>
    <row r="791" ht="15.75" customHeight="1">
      <c r="A791" s="213"/>
      <c r="B791" s="213"/>
      <c r="C791" s="213"/>
      <c r="D791" s="213"/>
      <c r="E791" s="213"/>
      <c r="F791" s="213"/>
      <c r="G791" s="213"/>
      <c r="H791" s="213"/>
      <c r="I791" s="213"/>
      <c r="J791" s="213"/>
      <c r="K791" s="215"/>
      <c r="L791" s="213"/>
      <c r="M791" s="215"/>
      <c r="N791" s="213"/>
      <c r="O791" s="213"/>
      <c r="P791" s="213"/>
      <c r="Q791" s="213"/>
      <c r="R791" s="213"/>
      <c r="S791" s="213"/>
      <c r="T791" s="213"/>
      <c r="U791" s="213"/>
      <c r="V791" s="213"/>
      <c r="W791" s="213"/>
      <c r="X791" s="213"/>
      <c r="Y791" s="213"/>
      <c r="Z791" s="213"/>
      <c r="AA791" s="213"/>
      <c r="AB791" s="213"/>
      <c r="AC791" s="213"/>
      <c r="AD791" s="213"/>
      <c r="AE791" s="213"/>
      <c r="AF791" s="213"/>
      <c r="AG791" s="213"/>
      <c r="AH791" s="213"/>
      <c r="AI791" s="213"/>
      <c r="AJ791" s="213"/>
      <c r="AK791" s="213"/>
      <c r="AL791" s="213"/>
      <c r="AM791" s="213"/>
      <c r="AN791" s="213"/>
      <c r="AO791" s="213"/>
      <c r="AP791" s="213"/>
      <c r="AQ791" s="213"/>
      <c r="AR791" s="213"/>
      <c r="AS791" s="213"/>
      <c r="AT791" s="213"/>
      <c r="AU791" s="213"/>
      <c r="AV791" s="213"/>
      <c r="AW791" s="213"/>
      <c r="AX791" s="213"/>
      <c r="AY791" s="213"/>
      <c r="AZ791" s="213"/>
      <c r="BA791" s="213"/>
      <c r="BB791" s="213"/>
    </row>
    <row r="792" ht="15.75" customHeight="1">
      <c r="A792" s="213"/>
      <c r="B792" s="213"/>
      <c r="C792" s="213"/>
      <c r="D792" s="213"/>
      <c r="E792" s="213"/>
      <c r="F792" s="213"/>
      <c r="G792" s="213"/>
      <c r="H792" s="213"/>
      <c r="I792" s="213"/>
      <c r="J792" s="213"/>
      <c r="K792" s="215"/>
      <c r="L792" s="213"/>
      <c r="M792" s="215"/>
      <c r="N792" s="213"/>
      <c r="O792" s="213"/>
      <c r="P792" s="213"/>
      <c r="Q792" s="213"/>
      <c r="R792" s="213"/>
      <c r="S792" s="213"/>
      <c r="T792" s="213"/>
      <c r="U792" s="213"/>
      <c r="V792" s="213"/>
      <c r="W792" s="213"/>
      <c r="X792" s="213"/>
      <c r="Y792" s="213"/>
      <c r="Z792" s="213"/>
      <c r="AA792" s="213"/>
      <c r="AB792" s="213"/>
      <c r="AC792" s="213"/>
      <c r="AD792" s="213"/>
      <c r="AE792" s="213"/>
      <c r="AF792" s="213"/>
      <c r="AG792" s="213"/>
      <c r="AH792" s="213"/>
      <c r="AI792" s="213"/>
      <c r="AJ792" s="213"/>
      <c r="AK792" s="213"/>
      <c r="AL792" s="213"/>
      <c r="AM792" s="213"/>
      <c r="AN792" s="213"/>
      <c r="AO792" s="213"/>
      <c r="AP792" s="213"/>
      <c r="AQ792" s="213"/>
      <c r="AR792" s="213"/>
      <c r="AS792" s="213"/>
      <c r="AT792" s="213"/>
      <c r="AU792" s="213"/>
      <c r="AV792" s="213"/>
      <c r="AW792" s="213"/>
      <c r="AX792" s="213"/>
      <c r="AY792" s="213"/>
      <c r="AZ792" s="213"/>
      <c r="BA792" s="213"/>
      <c r="BB792" s="213"/>
    </row>
    <row r="793" ht="15.75" customHeight="1">
      <c r="A793" s="213"/>
      <c r="B793" s="213"/>
      <c r="C793" s="213"/>
      <c r="D793" s="213"/>
      <c r="E793" s="213"/>
      <c r="F793" s="213"/>
      <c r="G793" s="213"/>
      <c r="H793" s="213"/>
      <c r="I793" s="213"/>
      <c r="J793" s="213"/>
      <c r="K793" s="215"/>
      <c r="L793" s="213"/>
      <c r="M793" s="215"/>
      <c r="N793" s="213"/>
      <c r="O793" s="213"/>
      <c r="P793" s="213"/>
      <c r="Q793" s="213"/>
      <c r="R793" s="213"/>
      <c r="S793" s="213"/>
      <c r="T793" s="213"/>
      <c r="U793" s="213"/>
      <c r="V793" s="213"/>
      <c r="W793" s="213"/>
      <c r="X793" s="213"/>
      <c r="Y793" s="213"/>
      <c r="Z793" s="213"/>
      <c r="AA793" s="213"/>
      <c r="AB793" s="213"/>
      <c r="AC793" s="213"/>
      <c r="AD793" s="213"/>
      <c r="AE793" s="213"/>
      <c r="AF793" s="213"/>
      <c r="AG793" s="213"/>
      <c r="AH793" s="213"/>
      <c r="AI793" s="213"/>
      <c r="AJ793" s="213"/>
      <c r="AK793" s="213"/>
      <c r="AL793" s="213"/>
      <c r="AM793" s="213"/>
      <c r="AN793" s="213"/>
      <c r="AO793" s="213"/>
      <c r="AP793" s="213"/>
      <c r="AQ793" s="213"/>
      <c r="AR793" s="213"/>
      <c r="AS793" s="213"/>
      <c r="AT793" s="213"/>
      <c r="AU793" s="213"/>
      <c r="AV793" s="213"/>
      <c r="AW793" s="213"/>
      <c r="AX793" s="213"/>
      <c r="AY793" s="213"/>
      <c r="AZ793" s="213"/>
      <c r="BA793" s="213"/>
      <c r="BB793" s="213"/>
    </row>
    <row r="794" ht="15.75" customHeight="1">
      <c r="A794" s="213"/>
      <c r="B794" s="213"/>
      <c r="C794" s="213"/>
      <c r="D794" s="213"/>
      <c r="E794" s="213"/>
      <c r="F794" s="213"/>
      <c r="G794" s="213"/>
      <c r="H794" s="213"/>
      <c r="I794" s="213"/>
      <c r="J794" s="213"/>
      <c r="K794" s="215"/>
      <c r="L794" s="213"/>
      <c r="M794" s="215"/>
      <c r="N794" s="213"/>
      <c r="O794" s="213"/>
      <c r="P794" s="213"/>
      <c r="Q794" s="213"/>
      <c r="R794" s="213"/>
      <c r="S794" s="213"/>
      <c r="T794" s="213"/>
      <c r="U794" s="213"/>
      <c r="V794" s="213"/>
      <c r="W794" s="213"/>
      <c r="X794" s="213"/>
      <c r="Y794" s="213"/>
      <c r="Z794" s="213"/>
      <c r="AA794" s="213"/>
      <c r="AB794" s="213"/>
      <c r="AC794" s="213"/>
      <c r="AD794" s="213"/>
      <c r="AE794" s="213"/>
      <c r="AF794" s="213"/>
      <c r="AG794" s="213"/>
      <c r="AH794" s="213"/>
      <c r="AI794" s="213"/>
      <c r="AJ794" s="213"/>
      <c r="AK794" s="213"/>
      <c r="AL794" s="213"/>
      <c r="AM794" s="213"/>
      <c r="AN794" s="213"/>
      <c r="AO794" s="213"/>
      <c r="AP794" s="213"/>
      <c r="AQ794" s="213"/>
      <c r="AR794" s="213"/>
      <c r="AS794" s="213"/>
      <c r="AT794" s="213"/>
      <c r="AU794" s="213"/>
      <c r="AV794" s="213"/>
      <c r="AW794" s="213"/>
      <c r="AX794" s="213"/>
      <c r="AY794" s="213"/>
      <c r="AZ794" s="213"/>
      <c r="BA794" s="213"/>
      <c r="BB794" s="213"/>
    </row>
    <row r="795" ht="15.75" customHeight="1">
      <c r="A795" s="213"/>
      <c r="B795" s="213"/>
      <c r="C795" s="213"/>
      <c r="D795" s="213"/>
      <c r="E795" s="213"/>
      <c r="F795" s="213"/>
      <c r="G795" s="213"/>
      <c r="H795" s="213"/>
      <c r="I795" s="213"/>
      <c r="J795" s="213"/>
      <c r="K795" s="215"/>
      <c r="L795" s="213"/>
      <c r="M795" s="215"/>
      <c r="N795" s="213"/>
      <c r="O795" s="213"/>
      <c r="P795" s="213"/>
      <c r="Q795" s="213"/>
      <c r="R795" s="213"/>
      <c r="S795" s="213"/>
      <c r="T795" s="213"/>
      <c r="U795" s="213"/>
      <c r="V795" s="213"/>
      <c r="W795" s="213"/>
      <c r="X795" s="213"/>
      <c r="Y795" s="213"/>
      <c r="Z795" s="213"/>
      <c r="AA795" s="213"/>
      <c r="AB795" s="213"/>
      <c r="AC795" s="213"/>
      <c r="AD795" s="213"/>
      <c r="AE795" s="213"/>
      <c r="AF795" s="213"/>
      <c r="AG795" s="213"/>
      <c r="AH795" s="213"/>
      <c r="AI795" s="213"/>
      <c r="AJ795" s="213"/>
      <c r="AK795" s="213"/>
      <c r="AL795" s="213"/>
      <c r="AM795" s="213"/>
      <c r="AN795" s="213"/>
      <c r="AO795" s="213"/>
      <c r="AP795" s="213"/>
      <c r="AQ795" s="213"/>
      <c r="AR795" s="213"/>
      <c r="AS795" s="213"/>
      <c r="AT795" s="213"/>
      <c r="AU795" s="213"/>
      <c r="AV795" s="213"/>
      <c r="AW795" s="213"/>
      <c r="AX795" s="213"/>
      <c r="AY795" s="213"/>
      <c r="AZ795" s="213"/>
      <c r="BA795" s="213"/>
      <c r="BB795" s="213"/>
    </row>
    <row r="796" ht="15.75" customHeight="1">
      <c r="A796" s="213"/>
      <c r="B796" s="213"/>
      <c r="C796" s="213"/>
      <c r="D796" s="213"/>
      <c r="E796" s="213"/>
      <c r="F796" s="213"/>
      <c r="G796" s="213"/>
      <c r="H796" s="213"/>
      <c r="I796" s="213"/>
      <c r="J796" s="213"/>
      <c r="K796" s="215"/>
      <c r="L796" s="213"/>
      <c r="M796" s="215"/>
      <c r="N796" s="213"/>
      <c r="O796" s="213"/>
      <c r="P796" s="213"/>
      <c r="Q796" s="213"/>
      <c r="R796" s="213"/>
      <c r="S796" s="213"/>
      <c r="T796" s="213"/>
      <c r="U796" s="213"/>
      <c r="V796" s="213"/>
      <c r="W796" s="213"/>
      <c r="X796" s="213"/>
      <c r="Y796" s="213"/>
      <c r="Z796" s="213"/>
      <c r="AA796" s="213"/>
      <c r="AB796" s="213"/>
      <c r="AC796" s="213"/>
      <c r="AD796" s="213"/>
      <c r="AE796" s="213"/>
      <c r="AF796" s="213"/>
      <c r="AG796" s="213"/>
      <c r="AH796" s="213"/>
      <c r="AI796" s="213"/>
      <c r="AJ796" s="213"/>
      <c r="AK796" s="213"/>
      <c r="AL796" s="213"/>
      <c r="AM796" s="213"/>
      <c r="AN796" s="213"/>
      <c r="AO796" s="213"/>
      <c r="AP796" s="213"/>
      <c r="AQ796" s="213"/>
      <c r="AR796" s="213"/>
      <c r="AS796" s="213"/>
      <c r="AT796" s="213"/>
      <c r="AU796" s="213"/>
      <c r="AV796" s="213"/>
      <c r="AW796" s="213"/>
      <c r="AX796" s="213"/>
      <c r="AY796" s="213"/>
      <c r="AZ796" s="213"/>
      <c r="BA796" s="213"/>
      <c r="BB796" s="213"/>
    </row>
    <row r="797" ht="15.75" customHeight="1">
      <c r="A797" s="213"/>
      <c r="B797" s="213"/>
      <c r="C797" s="213"/>
      <c r="D797" s="213"/>
      <c r="E797" s="213"/>
      <c r="F797" s="213"/>
      <c r="G797" s="213"/>
      <c r="H797" s="213"/>
      <c r="I797" s="213"/>
      <c r="J797" s="213"/>
      <c r="K797" s="215"/>
      <c r="L797" s="213"/>
      <c r="M797" s="215"/>
      <c r="N797" s="213"/>
      <c r="O797" s="213"/>
      <c r="P797" s="213"/>
      <c r="Q797" s="213"/>
      <c r="R797" s="213"/>
      <c r="S797" s="213"/>
      <c r="T797" s="213"/>
      <c r="U797" s="213"/>
      <c r="V797" s="213"/>
      <c r="W797" s="213"/>
      <c r="X797" s="213"/>
      <c r="Y797" s="213"/>
      <c r="Z797" s="213"/>
      <c r="AA797" s="213"/>
      <c r="AB797" s="213"/>
      <c r="AC797" s="213"/>
      <c r="AD797" s="213"/>
      <c r="AE797" s="213"/>
      <c r="AF797" s="213"/>
      <c r="AG797" s="213"/>
      <c r="AH797" s="213"/>
      <c r="AI797" s="213"/>
      <c r="AJ797" s="213"/>
      <c r="AK797" s="213"/>
      <c r="AL797" s="213"/>
      <c r="AM797" s="213"/>
      <c r="AN797" s="213"/>
      <c r="AO797" s="213"/>
      <c r="AP797" s="213"/>
      <c r="AQ797" s="213"/>
      <c r="AR797" s="213"/>
      <c r="AS797" s="213"/>
      <c r="AT797" s="213"/>
      <c r="AU797" s="213"/>
      <c r="AV797" s="213"/>
      <c r="AW797" s="213"/>
      <c r="AX797" s="213"/>
      <c r="AY797" s="213"/>
      <c r="AZ797" s="213"/>
      <c r="BA797" s="213"/>
      <c r="BB797" s="213"/>
    </row>
    <row r="798" ht="15.75" customHeight="1">
      <c r="A798" s="213"/>
      <c r="B798" s="213"/>
      <c r="C798" s="213"/>
      <c r="D798" s="213"/>
      <c r="E798" s="213"/>
      <c r="F798" s="213"/>
      <c r="G798" s="213"/>
      <c r="H798" s="213"/>
      <c r="I798" s="213"/>
      <c r="J798" s="213"/>
      <c r="K798" s="215"/>
      <c r="L798" s="213"/>
      <c r="M798" s="215"/>
      <c r="N798" s="213"/>
      <c r="O798" s="213"/>
      <c r="P798" s="213"/>
      <c r="Q798" s="213"/>
      <c r="R798" s="213"/>
      <c r="S798" s="213"/>
      <c r="T798" s="213"/>
      <c r="U798" s="213"/>
      <c r="V798" s="213"/>
      <c r="W798" s="213"/>
      <c r="X798" s="213"/>
      <c r="Y798" s="213"/>
      <c r="Z798" s="213"/>
      <c r="AA798" s="213"/>
      <c r="AB798" s="213"/>
      <c r="AC798" s="213"/>
      <c r="AD798" s="213"/>
      <c r="AE798" s="213"/>
      <c r="AF798" s="213"/>
      <c r="AG798" s="213"/>
      <c r="AH798" s="213"/>
      <c r="AI798" s="213"/>
      <c r="AJ798" s="213"/>
      <c r="AK798" s="213"/>
      <c r="AL798" s="213"/>
      <c r="AM798" s="213"/>
      <c r="AN798" s="213"/>
      <c r="AO798" s="213"/>
      <c r="AP798" s="213"/>
      <c r="AQ798" s="213"/>
      <c r="AR798" s="213"/>
      <c r="AS798" s="213"/>
      <c r="AT798" s="213"/>
      <c r="AU798" s="213"/>
      <c r="AV798" s="213"/>
      <c r="AW798" s="213"/>
      <c r="AX798" s="213"/>
      <c r="AY798" s="213"/>
      <c r="AZ798" s="213"/>
      <c r="BA798" s="213"/>
      <c r="BB798" s="213"/>
    </row>
    <row r="799" ht="15.75" customHeight="1">
      <c r="A799" s="213"/>
      <c r="B799" s="213"/>
      <c r="C799" s="213"/>
      <c r="D799" s="213"/>
      <c r="E799" s="213"/>
      <c r="F799" s="213"/>
      <c r="G799" s="213"/>
      <c r="H799" s="213"/>
      <c r="I799" s="213"/>
      <c r="J799" s="213"/>
      <c r="K799" s="215"/>
      <c r="L799" s="213"/>
      <c r="M799" s="215"/>
      <c r="N799" s="213"/>
      <c r="O799" s="213"/>
      <c r="P799" s="213"/>
      <c r="Q799" s="213"/>
      <c r="R799" s="213"/>
      <c r="S799" s="213"/>
      <c r="T799" s="213"/>
      <c r="U799" s="213"/>
      <c r="V799" s="213"/>
      <c r="W799" s="213"/>
      <c r="X799" s="213"/>
      <c r="Y799" s="213"/>
      <c r="Z799" s="213"/>
      <c r="AA799" s="213"/>
      <c r="AB799" s="213"/>
      <c r="AC799" s="213"/>
      <c r="AD799" s="213"/>
      <c r="AE799" s="213"/>
      <c r="AF799" s="213"/>
      <c r="AG799" s="213"/>
      <c r="AH799" s="213"/>
      <c r="AI799" s="213"/>
      <c r="AJ799" s="213"/>
      <c r="AK799" s="213"/>
      <c r="AL799" s="213"/>
      <c r="AM799" s="213"/>
      <c r="AN799" s="213"/>
      <c r="AO799" s="213"/>
      <c r="AP799" s="213"/>
      <c r="AQ799" s="213"/>
      <c r="AR799" s="213"/>
      <c r="AS799" s="213"/>
      <c r="AT799" s="213"/>
      <c r="AU799" s="213"/>
      <c r="AV799" s="213"/>
      <c r="AW799" s="213"/>
      <c r="AX799" s="213"/>
      <c r="AY799" s="213"/>
      <c r="AZ799" s="213"/>
      <c r="BA799" s="213"/>
      <c r="BB799" s="213"/>
    </row>
    <row r="800" ht="15.75" customHeight="1">
      <c r="A800" s="213"/>
      <c r="B800" s="213"/>
      <c r="C800" s="213"/>
      <c r="D800" s="213"/>
      <c r="E800" s="213"/>
      <c r="F800" s="213"/>
      <c r="G800" s="213"/>
      <c r="H800" s="213"/>
      <c r="I800" s="213"/>
      <c r="J800" s="213"/>
      <c r="K800" s="215"/>
      <c r="L800" s="213"/>
      <c r="M800" s="215"/>
      <c r="N800" s="213"/>
      <c r="O800" s="213"/>
      <c r="P800" s="213"/>
      <c r="Q800" s="213"/>
      <c r="R800" s="213"/>
      <c r="S800" s="213"/>
      <c r="T800" s="213"/>
      <c r="U800" s="213"/>
      <c r="V800" s="213"/>
      <c r="W800" s="213"/>
      <c r="X800" s="213"/>
      <c r="Y800" s="213"/>
      <c r="Z800" s="213"/>
      <c r="AA800" s="213"/>
      <c r="AB800" s="213"/>
      <c r="AC800" s="213"/>
      <c r="AD800" s="213"/>
      <c r="AE800" s="213"/>
      <c r="AF800" s="213"/>
      <c r="AG800" s="213"/>
      <c r="AH800" s="213"/>
      <c r="AI800" s="213"/>
      <c r="AJ800" s="213"/>
      <c r="AK800" s="213"/>
      <c r="AL800" s="213"/>
      <c r="AM800" s="213"/>
      <c r="AN800" s="213"/>
      <c r="AO800" s="213"/>
      <c r="AP800" s="213"/>
      <c r="AQ800" s="213"/>
      <c r="AR800" s="213"/>
      <c r="AS800" s="213"/>
      <c r="AT800" s="213"/>
      <c r="AU800" s="213"/>
      <c r="AV800" s="213"/>
      <c r="AW800" s="213"/>
      <c r="AX800" s="213"/>
      <c r="AY800" s="213"/>
      <c r="AZ800" s="213"/>
      <c r="BA800" s="213"/>
      <c r="BB800" s="213"/>
    </row>
    <row r="801" ht="15.75" customHeight="1">
      <c r="A801" s="213"/>
      <c r="B801" s="213"/>
      <c r="C801" s="213"/>
      <c r="D801" s="213"/>
      <c r="E801" s="213"/>
      <c r="F801" s="213"/>
      <c r="G801" s="213"/>
      <c r="H801" s="213"/>
      <c r="I801" s="213"/>
      <c r="J801" s="213"/>
      <c r="K801" s="215"/>
      <c r="L801" s="213"/>
      <c r="M801" s="215"/>
      <c r="N801" s="213"/>
      <c r="O801" s="213"/>
      <c r="P801" s="213"/>
      <c r="Q801" s="213"/>
      <c r="R801" s="213"/>
      <c r="S801" s="213"/>
      <c r="T801" s="213"/>
      <c r="U801" s="213"/>
      <c r="V801" s="213"/>
      <c r="W801" s="213"/>
      <c r="X801" s="213"/>
      <c r="Y801" s="213"/>
      <c r="Z801" s="213"/>
      <c r="AA801" s="213"/>
      <c r="AB801" s="213"/>
      <c r="AC801" s="213"/>
      <c r="AD801" s="213"/>
      <c r="AE801" s="213"/>
      <c r="AF801" s="213"/>
      <c r="AG801" s="213"/>
      <c r="AH801" s="213"/>
      <c r="AI801" s="213"/>
      <c r="AJ801" s="213"/>
      <c r="AK801" s="213"/>
      <c r="AL801" s="213"/>
      <c r="AM801" s="213"/>
      <c r="AN801" s="213"/>
      <c r="AO801" s="213"/>
      <c r="AP801" s="213"/>
      <c r="AQ801" s="213"/>
      <c r="AR801" s="213"/>
      <c r="AS801" s="213"/>
      <c r="AT801" s="213"/>
      <c r="AU801" s="213"/>
      <c r="AV801" s="213"/>
      <c r="AW801" s="213"/>
      <c r="AX801" s="213"/>
      <c r="AY801" s="213"/>
      <c r="AZ801" s="213"/>
      <c r="BA801" s="213"/>
      <c r="BB801" s="213"/>
    </row>
    <row r="802" ht="15.75" customHeight="1">
      <c r="A802" s="213"/>
      <c r="B802" s="213"/>
      <c r="C802" s="213"/>
      <c r="D802" s="213"/>
      <c r="E802" s="213"/>
      <c r="F802" s="213"/>
      <c r="G802" s="213"/>
      <c r="H802" s="213"/>
      <c r="I802" s="213"/>
      <c r="J802" s="213"/>
      <c r="K802" s="215"/>
      <c r="L802" s="213"/>
      <c r="M802" s="215"/>
      <c r="N802" s="213"/>
      <c r="O802" s="213"/>
      <c r="P802" s="213"/>
      <c r="Q802" s="213"/>
      <c r="R802" s="213"/>
      <c r="S802" s="213"/>
      <c r="T802" s="213"/>
      <c r="U802" s="213"/>
      <c r="V802" s="213"/>
      <c r="W802" s="213"/>
      <c r="X802" s="213"/>
      <c r="Y802" s="213"/>
      <c r="Z802" s="213"/>
      <c r="AA802" s="213"/>
      <c r="AB802" s="213"/>
      <c r="AC802" s="213"/>
      <c r="AD802" s="213"/>
      <c r="AE802" s="213"/>
      <c r="AF802" s="213"/>
      <c r="AG802" s="213"/>
      <c r="AH802" s="213"/>
      <c r="AI802" s="213"/>
      <c r="AJ802" s="213"/>
      <c r="AK802" s="213"/>
      <c r="AL802" s="213"/>
      <c r="AM802" s="213"/>
      <c r="AN802" s="213"/>
      <c r="AO802" s="213"/>
      <c r="AP802" s="213"/>
      <c r="AQ802" s="213"/>
      <c r="AR802" s="213"/>
      <c r="AS802" s="213"/>
      <c r="AT802" s="213"/>
      <c r="AU802" s="213"/>
      <c r="AV802" s="213"/>
      <c r="AW802" s="213"/>
      <c r="AX802" s="213"/>
      <c r="AY802" s="213"/>
      <c r="AZ802" s="213"/>
      <c r="BA802" s="213"/>
      <c r="BB802" s="213"/>
    </row>
    <row r="803" ht="15.75" customHeight="1">
      <c r="A803" s="213"/>
      <c r="B803" s="213"/>
      <c r="C803" s="213"/>
      <c r="D803" s="213"/>
      <c r="E803" s="213"/>
      <c r="F803" s="213"/>
      <c r="G803" s="213"/>
      <c r="H803" s="213"/>
      <c r="I803" s="213"/>
      <c r="J803" s="213"/>
      <c r="K803" s="215"/>
      <c r="L803" s="213"/>
      <c r="M803" s="215"/>
      <c r="N803" s="213"/>
      <c r="O803" s="213"/>
      <c r="P803" s="213"/>
      <c r="Q803" s="213"/>
      <c r="R803" s="213"/>
      <c r="S803" s="213"/>
      <c r="T803" s="213"/>
      <c r="U803" s="213"/>
      <c r="V803" s="213"/>
      <c r="W803" s="213"/>
      <c r="X803" s="213"/>
      <c r="Y803" s="213"/>
      <c r="Z803" s="213"/>
      <c r="AA803" s="213"/>
      <c r="AB803" s="213"/>
      <c r="AC803" s="213"/>
      <c r="AD803" s="213"/>
      <c r="AE803" s="213"/>
      <c r="AF803" s="213"/>
      <c r="AG803" s="213"/>
      <c r="AH803" s="213"/>
      <c r="AI803" s="213"/>
      <c r="AJ803" s="213"/>
      <c r="AK803" s="213"/>
      <c r="AL803" s="213"/>
      <c r="AM803" s="213"/>
      <c r="AN803" s="213"/>
      <c r="AO803" s="213"/>
      <c r="AP803" s="213"/>
      <c r="AQ803" s="213"/>
      <c r="AR803" s="213"/>
      <c r="AS803" s="213"/>
      <c r="AT803" s="213"/>
      <c r="AU803" s="213"/>
      <c r="AV803" s="213"/>
      <c r="AW803" s="213"/>
      <c r="AX803" s="213"/>
      <c r="AY803" s="213"/>
      <c r="AZ803" s="213"/>
      <c r="BA803" s="213"/>
      <c r="BB803" s="213"/>
    </row>
    <row r="804" ht="15.75" customHeight="1">
      <c r="A804" s="213"/>
      <c r="B804" s="213"/>
      <c r="C804" s="213"/>
      <c r="D804" s="213"/>
      <c r="E804" s="213"/>
      <c r="F804" s="213"/>
      <c r="G804" s="213"/>
      <c r="H804" s="213"/>
      <c r="I804" s="213"/>
      <c r="J804" s="213"/>
      <c r="K804" s="215"/>
      <c r="L804" s="213"/>
      <c r="M804" s="215"/>
      <c r="N804" s="213"/>
      <c r="O804" s="213"/>
      <c r="P804" s="213"/>
      <c r="Q804" s="213"/>
      <c r="R804" s="213"/>
      <c r="S804" s="213"/>
      <c r="T804" s="213"/>
      <c r="U804" s="213"/>
      <c r="V804" s="213"/>
      <c r="W804" s="213"/>
      <c r="X804" s="213"/>
      <c r="Y804" s="213"/>
      <c r="Z804" s="213"/>
      <c r="AA804" s="213"/>
      <c r="AB804" s="213"/>
      <c r="AC804" s="213"/>
      <c r="AD804" s="213"/>
      <c r="AE804" s="213"/>
      <c r="AF804" s="213"/>
      <c r="AG804" s="213"/>
      <c r="AH804" s="213"/>
      <c r="AI804" s="213"/>
      <c r="AJ804" s="213"/>
      <c r="AK804" s="213"/>
      <c r="AL804" s="213"/>
      <c r="AM804" s="213"/>
      <c r="AN804" s="213"/>
      <c r="AO804" s="213"/>
      <c r="AP804" s="213"/>
      <c r="AQ804" s="213"/>
      <c r="AR804" s="213"/>
      <c r="AS804" s="213"/>
      <c r="AT804" s="213"/>
      <c r="AU804" s="213"/>
      <c r="AV804" s="213"/>
      <c r="AW804" s="213"/>
      <c r="AX804" s="213"/>
      <c r="AY804" s="213"/>
      <c r="AZ804" s="213"/>
      <c r="BA804" s="213"/>
      <c r="BB804" s="213"/>
    </row>
    <row r="805" ht="15.75" customHeight="1">
      <c r="A805" s="213"/>
      <c r="B805" s="213"/>
      <c r="C805" s="213"/>
      <c r="D805" s="213"/>
      <c r="E805" s="213"/>
      <c r="F805" s="213"/>
      <c r="G805" s="213"/>
      <c r="H805" s="213"/>
      <c r="I805" s="213"/>
      <c r="J805" s="213"/>
      <c r="K805" s="215"/>
      <c r="L805" s="213"/>
      <c r="M805" s="215"/>
      <c r="N805" s="213"/>
      <c r="O805" s="213"/>
      <c r="P805" s="213"/>
      <c r="Q805" s="213"/>
      <c r="R805" s="213"/>
      <c r="S805" s="213"/>
      <c r="T805" s="213"/>
      <c r="U805" s="213"/>
      <c r="V805" s="213"/>
      <c r="W805" s="213"/>
      <c r="X805" s="213"/>
      <c r="Y805" s="213"/>
      <c r="Z805" s="213"/>
      <c r="AA805" s="213"/>
      <c r="AB805" s="213"/>
      <c r="AC805" s="213"/>
      <c r="AD805" s="213"/>
      <c r="AE805" s="213"/>
      <c r="AF805" s="213"/>
      <c r="AG805" s="213"/>
      <c r="AH805" s="213"/>
      <c r="AI805" s="213"/>
      <c r="AJ805" s="213"/>
      <c r="AK805" s="213"/>
      <c r="AL805" s="213"/>
      <c r="AM805" s="213"/>
      <c r="AN805" s="213"/>
      <c r="AO805" s="213"/>
      <c r="AP805" s="213"/>
      <c r="AQ805" s="213"/>
      <c r="AR805" s="213"/>
      <c r="AS805" s="213"/>
      <c r="AT805" s="213"/>
      <c r="AU805" s="213"/>
      <c r="AV805" s="213"/>
      <c r="AW805" s="213"/>
      <c r="AX805" s="213"/>
      <c r="AY805" s="213"/>
      <c r="AZ805" s="213"/>
      <c r="BA805" s="213"/>
      <c r="BB805" s="213"/>
    </row>
    <row r="806" ht="15.75" customHeight="1">
      <c r="A806" s="213"/>
      <c r="B806" s="213"/>
      <c r="C806" s="213"/>
      <c r="D806" s="213"/>
      <c r="E806" s="213"/>
      <c r="F806" s="213"/>
      <c r="G806" s="213"/>
      <c r="H806" s="213"/>
      <c r="I806" s="213"/>
      <c r="J806" s="213"/>
      <c r="K806" s="215"/>
      <c r="L806" s="213"/>
      <c r="M806" s="215"/>
      <c r="N806" s="213"/>
      <c r="O806" s="213"/>
      <c r="P806" s="213"/>
      <c r="Q806" s="213"/>
      <c r="R806" s="213"/>
      <c r="S806" s="213"/>
      <c r="T806" s="213"/>
      <c r="U806" s="213"/>
      <c r="V806" s="213"/>
      <c r="W806" s="213"/>
      <c r="X806" s="213"/>
      <c r="Y806" s="213"/>
      <c r="Z806" s="213"/>
      <c r="AA806" s="213"/>
      <c r="AB806" s="213"/>
      <c r="AC806" s="213"/>
      <c r="AD806" s="213"/>
      <c r="AE806" s="213"/>
      <c r="AF806" s="213"/>
      <c r="AG806" s="213"/>
      <c r="AH806" s="213"/>
      <c r="AI806" s="213"/>
      <c r="AJ806" s="213"/>
      <c r="AK806" s="213"/>
      <c r="AL806" s="213"/>
      <c r="AM806" s="213"/>
      <c r="AN806" s="213"/>
      <c r="AO806" s="213"/>
      <c r="AP806" s="213"/>
      <c r="AQ806" s="213"/>
      <c r="AR806" s="213"/>
      <c r="AS806" s="213"/>
      <c r="AT806" s="213"/>
      <c r="AU806" s="213"/>
      <c r="AV806" s="213"/>
      <c r="AW806" s="213"/>
      <c r="AX806" s="213"/>
      <c r="AY806" s="213"/>
      <c r="AZ806" s="213"/>
      <c r="BA806" s="213"/>
      <c r="BB806" s="213"/>
    </row>
    <row r="807" ht="15.75" customHeight="1">
      <c r="A807" s="213"/>
      <c r="B807" s="213"/>
      <c r="C807" s="213"/>
      <c r="D807" s="213"/>
      <c r="E807" s="213"/>
      <c r="F807" s="213"/>
      <c r="G807" s="213"/>
      <c r="H807" s="213"/>
      <c r="I807" s="213"/>
      <c r="J807" s="213"/>
      <c r="K807" s="215"/>
      <c r="L807" s="213"/>
      <c r="M807" s="215"/>
      <c r="N807" s="213"/>
      <c r="O807" s="213"/>
      <c r="P807" s="213"/>
      <c r="Q807" s="213"/>
      <c r="R807" s="213"/>
      <c r="S807" s="213"/>
      <c r="T807" s="213"/>
      <c r="U807" s="213"/>
      <c r="V807" s="213"/>
      <c r="W807" s="213"/>
      <c r="X807" s="213"/>
      <c r="Y807" s="213"/>
      <c r="Z807" s="213"/>
      <c r="AA807" s="213"/>
      <c r="AB807" s="213"/>
      <c r="AC807" s="213"/>
      <c r="AD807" s="213"/>
      <c r="AE807" s="213"/>
      <c r="AF807" s="213"/>
      <c r="AG807" s="213"/>
      <c r="AH807" s="213"/>
      <c r="AI807" s="213"/>
      <c r="AJ807" s="213"/>
      <c r="AK807" s="213"/>
      <c r="AL807" s="213"/>
      <c r="AM807" s="213"/>
      <c r="AN807" s="213"/>
      <c r="AO807" s="213"/>
      <c r="AP807" s="213"/>
      <c r="AQ807" s="213"/>
      <c r="AR807" s="213"/>
      <c r="AS807" s="213"/>
      <c r="AT807" s="213"/>
      <c r="AU807" s="213"/>
      <c r="AV807" s="213"/>
      <c r="AW807" s="213"/>
      <c r="AX807" s="213"/>
      <c r="AY807" s="213"/>
      <c r="AZ807" s="213"/>
      <c r="BA807" s="213"/>
      <c r="BB807" s="213"/>
    </row>
    <row r="808" ht="15.75" customHeight="1">
      <c r="A808" s="213"/>
      <c r="B808" s="213"/>
      <c r="C808" s="213"/>
      <c r="D808" s="213"/>
      <c r="E808" s="213"/>
      <c r="F808" s="213"/>
      <c r="G808" s="213"/>
      <c r="H808" s="213"/>
      <c r="I808" s="213"/>
      <c r="J808" s="213"/>
      <c r="K808" s="215"/>
      <c r="L808" s="213"/>
      <c r="M808" s="215"/>
      <c r="N808" s="213"/>
      <c r="O808" s="213"/>
      <c r="P808" s="213"/>
      <c r="Q808" s="213"/>
      <c r="R808" s="213"/>
      <c r="S808" s="213"/>
      <c r="T808" s="213"/>
      <c r="U808" s="213"/>
      <c r="V808" s="213"/>
      <c r="W808" s="213"/>
      <c r="X808" s="213"/>
      <c r="Y808" s="213"/>
      <c r="Z808" s="213"/>
      <c r="AA808" s="213"/>
      <c r="AB808" s="213"/>
      <c r="AC808" s="213"/>
      <c r="AD808" s="213"/>
      <c r="AE808" s="213"/>
      <c r="AF808" s="213"/>
      <c r="AG808" s="213"/>
      <c r="AH808" s="213"/>
      <c r="AI808" s="213"/>
      <c r="AJ808" s="213"/>
      <c r="AK808" s="213"/>
      <c r="AL808" s="213"/>
      <c r="AM808" s="213"/>
      <c r="AN808" s="213"/>
      <c r="AO808" s="213"/>
      <c r="AP808" s="213"/>
      <c r="AQ808" s="213"/>
      <c r="AR808" s="213"/>
      <c r="AS808" s="213"/>
      <c r="AT808" s="213"/>
      <c r="AU808" s="213"/>
      <c r="AV808" s="213"/>
      <c r="AW808" s="213"/>
      <c r="AX808" s="213"/>
      <c r="AY808" s="213"/>
      <c r="AZ808" s="213"/>
      <c r="BA808" s="213"/>
      <c r="BB808" s="213"/>
    </row>
    <row r="809" ht="15.75" customHeight="1">
      <c r="A809" s="213"/>
      <c r="B809" s="213"/>
      <c r="C809" s="213"/>
      <c r="D809" s="213"/>
      <c r="E809" s="213"/>
      <c r="F809" s="213"/>
      <c r="G809" s="213"/>
      <c r="H809" s="213"/>
      <c r="I809" s="213"/>
      <c r="J809" s="213"/>
      <c r="K809" s="215"/>
      <c r="L809" s="213"/>
      <c r="M809" s="215"/>
      <c r="N809" s="213"/>
      <c r="O809" s="213"/>
      <c r="P809" s="213"/>
      <c r="Q809" s="213"/>
      <c r="R809" s="213"/>
      <c r="S809" s="213"/>
      <c r="T809" s="213"/>
      <c r="U809" s="213"/>
      <c r="V809" s="213"/>
      <c r="W809" s="213"/>
      <c r="X809" s="213"/>
      <c r="Y809" s="213"/>
      <c r="Z809" s="213"/>
      <c r="AA809" s="213"/>
      <c r="AB809" s="213"/>
      <c r="AC809" s="213"/>
      <c r="AD809" s="213"/>
      <c r="AE809" s="213"/>
      <c r="AF809" s="213"/>
      <c r="AG809" s="213"/>
      <c r="AH809" s="213"/>
      <c r="AI809" s="213"/>
      <c r="AJ809" s="213"/>
      <c r="AK809" s="213"/>
      <c r="AL809" s="213"/>
      <c r="AM809" s="213"/>
      <c r="AN809" s="213"/>
      <c r="AO809" s="213"/>
      <c r="AP809" s="213"/>
      <c r="AQ809" s="213"/>
      <c r="AR809" s="213"/>
      <c r="AS809" s="213"/>
      <c r="AT809" s="213"/>
      <c r="AU809" s="213"/>
      <c r="AV809" s="213"/>
      <c r="AW809" s="213"/>
      <c r="AX809" s="213"/>
      <c r="AY809" s="213"/>
      <c r="AZ809" s="213"/>
      <c r="BA809" s="213"/>
      <c r="BB809" s="213"/>
    </row>
    <row r="810" ht="15.75" customHeight="1">
      <c r="A810" s="213"/>
      <c r="B810" s="213"/>
      <c r="C810" s="213"/>
      <c r="D810" s="213"/>
      <c r="E810" s="213"/>
      <c r="F810" s="213"/>
      <c r="G810" s="213"/>
      <c r="H810" s="213"/>
      <c r="I810" s="213"/>
      <c r="J810" s="213"/>
      <c r="K810" s="215"/>
      <c r="L810" s="213"/>
      <c r="M810" s="215"/>
      <c r="N810" s="213"/>
      <c r="O810" s="213"/>
      <c r="P810" s="213"/>
      <c r="Q810" s="213"/>
      <c r="R810" s="213"/>
      <c r="S810" s="213"/>
      <c r="T810" s="213"/>
      <c r="U810" s="213"/>
      <c r="V810" s="213"/>
      <c r="W810" s="213"/>
      <c r="X810" s="213"/>
      <c r="Y810" s="213"/>
      <c r="Z810" s="213"/>
      <c r="AA810" s="213"/>
      <c r="AB810" s="213"/>
      <c r="AC810" s="213"/>
      <c r="AD810" s="213"/>
      <c r="AE810" s="213"/>
      <c r="AF810" s="213"/>
      <c r="AG810" s="213"/>
      <c r="AH810" s="213"/>
      <c r="AI810" s="213"/>
      <c r="AJ810" s="213"/>
      <c r="AK810" s="213"/>
      <c r="AL810" s="213"/>
      <c r="AM810" s="213"/>
      <c r="AN810" s="213"/>
      <c r="AO810" s="213"/>
      <c r="AP810" s="213"/>
      <c r="AQ810" s="213"/>
      <c r="AR810" s="213"/>
      <c r="AS810" s="213"/>
      <c r="AT810" s="213"/>
      <c r="AU810" s="213"/>
      <c r="AV810" s="213"/>
      <c r="AW810" s="213"/>
      <c r="AX810" s="213"/>
      <c r="AY810" s="213"/>
      <c r="AZ810" s="213"/>
      <c r="BA810" s="213"/>
      <c r="BB810" s="213"/>
    </row>
    <row r="811" ht="15.75" customHeight="1">
      <c r="A811" s="213"/>
      <c r="B811" s="213"/>
      <c r="C811" s="213"/>
      <c r="D811" s="213"/>
      <c r="E811" s="213"/>
      <c r="F811" s="213"/>
      <c r="G811" s="213"/>
      <c r="H811" s="213"/>
      <c r="I811" s="213"/>
      <c r="J811" s="213"/>
      <c r="K811" s="215"/>
      <c r="L811" s="213"/>
      <c r="M811" s="215"/>
      <c r="N811" s="213"/>
      <c r="O811" s="213"/>
      <c r="P811" s="213"/>
      <c r="Q811" s="213"/>
      <c r="R811" s="213"/>
      <c r="S811" s="213"/>
      <c r="T811" s="213"/>
      <c r="U811" s="213"/>
      <c r="V811" s="213"/>
      <c r="W811" s="213"/>
      <c r="X811" s="213"/>
      <c r="Y811" s="213"/>
      <c r="Z811" s="213"/>
      <c r="AA811" s="213"/>
      <c r="AB811" s="213"/>
      <c r="AC811" s="213"/>
      <c r="AD811" s="213"/>
      <c r="AE811" s="213"/>
      <c r="AF811" s="213"/>
      <c r="AG811" s="213"/>
      <c r="AH811" s="213"/>
      <c r="AI811" s="213"/>
      <c r="AJ811" s="213"/>
      <c r="AK811" s="213"/>
      <c r="AL811" s="213"/>
      <c r="AM811" s="213"/>
      <c r="AN811" s="213"/>
      <c r="AO811" s="213"/>
      <c r="AP811" s="213"/>
      <c r="AQ811" s="213"/>
      <c r="AR811" s="213"/>
      <c r="AS811" s="213"/>
      <c r="AT811" s="213"/>
      <c r="AU811" s="213"/>
      <c r="AV811" s="213"/>
      <c r="AW811" s="213"/>
      <c r="AX811" s="213"/>
      <c r="AY811" s="213"/>
      <c r="AZ811" s="213"/>
      <c r="BA811" s="213"/>
      <c r="BB811" s="213"/>
    </row>
    <row r="812" ht="15.75" customHeight="1">
      <c r="A812" s="213"/>
      <c r="B812" s="213"/>
      <c r="C812" s="213"/>
      <c r="D812" s="213"/>
      <c r="E812" s="213"/>
      <c r="F812" s="213"/>
      <c r="G812" s="213"/>
      <c r="H812" s="213"/>
      <c r="I812" s="213"/>
      <c r="J812" s="213"/>
      <c r="K812" s="215"/>
      <c r="L812" s="213"/>
      <c r="M812" s="215"/>
      <c r="N812" s="213"/>
      <c r="O812" s="213"/>
      <c r="P812" s="213"/>
      <c r="Q812" s="213"/>
      <c r="R812" s="213"/>
      <c r="S812" s="213"/>
      <c r="T812" s="213"/>
      <c r="U812" s="213"/>
      <c r="V812" s="213"/>
      <c r="W812" s="213"/>
      <c r="X812" s="213"/>
      <c r="Y812" s="213"/>
      <c r="Z812" s="213"/>
      <c r="AA812" s="213"/>
      <c r="AB812" s="213"/>
      <c r="AC812" s="213"/>
      <c r="AD812" s="213"/>
      <c r="AE812" s="213"/>
      <c r="AF812" s="213"/>
      <c r="AG812" s="213"/>
      <c r="AH812" s="213"/>
      <c r="AI812" s="213"/>
      <c r="AJ812" s="213"/>
      <c r="AK812" s="213"/>
      <c r="AL812" s="213"/>
      <c r="AM812" s="213"/>
      <c r="AN812" s="213"/>
      <c r="AO812" s="213"/>
      <c r="AP812" s="213"/>
      <c r="AQ812" s="213"/>
      <c r="AR812" s="213"/>
      <c r="AS812" s="213"/>
      <c r="AT812" s="213"/>
      <c r="AU812" s="213"/>
      <c r="AV812" s="213"/>
      <c r="AW812" s="213"/>
      <c r="AX812" s="213"/>
      <c r="AY812" s="213"/>
      <c r="AZ812" s="213"/>
      <c r="BA812" s="213"/>
      <c r="BB812" s="213"/>
    </row>
    <row r="813" ht="15.75" customHeight="1">
      <c r="A813" s="213"/>
      <c r="B813" s="213"/>
      <c r="C813" s="213"/>
      <c r="D813" s="213"/>
      <c r="E813" s="213"/>
      <c r="F813" s="213"/>
      <c r="G813" s="213"/>
      <c r="H813" s="213"/>
      <c r="I813" s="213"/>
      <c r="J813" s="213"/>
      <c r="K813" s="215"/>
      <c r="L813" s="213"/>
      <c r="M813" s="215"/>
      <c r="N813" s="213"/>
      <c r="O813" s="213"/>
      <c r="P813" s="213"/>
      <c r="Q813" s="213"/>
      <c r="R813" s="213"/>
      <c r="S813" s="213"/>
      <c r="T813" s="213"/>
      <c r="U813" s="213"/>
      <c r="V813" s="213"/>
      <c r="W813" s="213"/>
      <c r="X813" s="213"/>
      <c r="Y813" s="213"/>
      <c r="Z813" s="213"/>
      <c r="AA813" s="213"/>
      <c r="AB813" s="213"/>
      <c r="AC813" s="213"/>
      <c r="AD813" s="213"/>
      <c r="AE813" s="213"/>
      <c r="AF813" s="213"/>
      <c r="AG813" s="213"/>
      <c r="AH813" s="213"/>
      <c r="AI813" s="213"/>
      <c r="AJ813" s="213"/>
      <c r="AK813" s="213"/>
      <c r="AL813" s="213"/>
      <c r="AM813" s="213"/>
      <c r="AN813" s="213"/>
      <c r="AO813" s="213"/>
      <c r="AP813" s="213"/>
      <c r="AQ813" s="213"/>
      <c r="AR813" s="213"/>
      <c r="AS813" s="213"/>
      <c r="AT813" s="213"/>
      <c r="AU813" s="213"/>
      <c r="AV813" s="213"/>
      <c r="AW813" s="213"/>
      <c r="AX813" s="213"/>
      <c r="AY813" s="213"/>
      <c r="AZ813" s="213"/>
      <c r="BA813" s="213"/>
      <c r="BB813" s="213"/>
    </row>
    <row r="814" ht="15.75" customHeight="1">
      <c r="A814" s="213"/>
      <c r="B814" s="213"/>
      <c r="C814" s="213"/>
      <c r="D814" s="213"/>
      <c r="E814" s="213"/>
      <c r="F814" s="213"/>
      <c r="G814" s="213"/>
      <c r="H814" s="213"/>
      <c r="I814" s="213"/>
      <c r="J814" s="213"/>
      <c r="K814" s="215"/>
      <c r="L814" s="213"/>
      <c r="M814" s="215"/>
      <c r="N814" s="213"/>
      <c r="O814" s="213"/>
      <c r="P814" s="213"/>
      <c r="Q814" s="213"/>
      <c r="R814" s="213"/>
      <c r="S814" s="213"/>
      <c r="T814" s="213"/>
      <c r="U814" s="213"/>
      <c r="V814" s="213"/>
      <c r="W814" s="213"/>
      <c r="X814" s="213"/>
      <c r="Y814" s="213"/>
      <c r="Z814" s="213"/>
      <c r="AA814" s="213"/>
      <c r="AB814" s="213"/>
      <c r="AC814" s="213"/>
      <c r="AD814" s="213"/>
      <c r="AE814" s="213"/>
      <c r="AF814" s="213"/>
      <c r="AG814" s="213"/>
      <c r="AH814" s="213"/>
      <c r="AI814" s="213"/>
      <c r="AJ814" s="213"/>
      <c r="AK814" s="213"/>
      <c r="AL814" s="213"/>
      <c r="AM814" s="213"/>
      <c r="AN814" s="213"/>
      <c r="AO814" s="213"/>
      <c r="AP814" s="213"/>
      <c r="AQ814" s="213"/>
      <c r="AR814" s="213"/>
      <c r="AS814" s="213"/>
      <c r="AT814" s="213"/>
      <c r="AU814" s="213"/>
      <c r="AV814" s="213"/>
      <c r="AW814" s="213"/>
      <c r="AX814" s="213"/>
      <c r="AY814" s="213"/>
      <c r="AZ814" s="213"/>
      <c r="BA814" s="213"/>
      <c r="BB814" s="213"/>
    </row>
    <row r="815" ht="15.75" customHeight="1">
      <c r="A815" s="213"/>
      <c r="B815" s="213"/>
      <c r="C815" s="213"/>
      <c r="D815" s="213"/>
      <c r="E815" s="213"/>
      <c r="F815" s="213"/>
      <c r="G815" s="213"/>
      <c r="H815" s="213"/>
      <c r="I815" s="213"/>
      <c r="J815" s="213"/>
      <c r="K815" s="215"/>
      <c r="L815" s="213"/>
      <c r="M815" s="215"/>
      <c r="N815" s="213"/>
      <c r="O815" s="213"/>
      <c r="P815" s="213"/>
      <c r="Q815" s="213"/>
      <c r="R815" s="213"/>
      <c r="S815" s="213"/>
      <c r="T815" s="213"/>
      <c r="U815" s="213"/>
      <c r="V815" s="213"/>
      <c r="W815" s="213"/>
      <c r="X815" s="213"/>
      <c r="Y815" s="213"/>
      <c r="Z815" s="213"/>
      <c r="AA815" s="213"/>
      <c r="AB815" s="213"/>
      <c r="AC815" s="213"/>
      <c r="AD815" s="213"/>
      <c r="AE815" s="213"/>
      <c r="AF815" s="213"/>
      <c r="AG815" s="213"/>
      <c r="AH815" s="213"/>
      <c r="AI815" s="213"/>
      <c r="AJ815" s="213"/>
      <c r="AK815" s="213"/>
      <c r="AL815" s="213"/>
      <c r="AM815" s="213"/>
      <c r="AN815" s="213"/>
      <c r="AO815" s="213"/>
      <c r="AP815" s="213"/>
      <c r="AQ815" s="213"/>
      <c r="AR815" s="213"/>
      <c r="AS815" s="213"/>
      <c r="AT815" s="213"/>
      <c r="AU815" s="213"/>
      <c r="AV815" s="213"/>
      <c r="AW815" s="213"/>
      <c r="AX815" s="213"/>
      <c r="AY815" s="213"/>
      <c r="AZ815" s="213"/>
      <c r="BA815" s="213"/>
      <c r="BB815" s="213"/>
    </row>
    <row r="816" ht="15.75" customHeight="1">
      <c r="A816" s="213"/>
      <c r="B816" s="213"/>
      <c r="C816" s="213"/>
      <c r="D816" s="213"/>
      <c r="E816" s="213"/>
      <c r="F816" s="213"/>
      <c r="G816" s="213"/>
      <c r="H816" s="213"/>
      <c r="I816" s="213"/>
      <c r="J816" s="213"/>
      <c r="K816" s="215"/>
      <c r="L816" s="213"/>
      <c r="M816" s="215"/>
      <c r="N816" s="213"/>
      <c r="O816" s="213"/>
      <c r="P816" s="213"/>
      <c r="Q816" s="213"/>
      <c r="R816" s="213"/>
      <c r="S816" s="213"/>
      <c r="T816" s="213"/>
      <c r="U816" s="213"/>
      <c r="V816" s="213"/>
      <c r="W816" s="213"/>
      <c r="X816" s="213"/>
      <c r="Y816" s="213"/>
      <c r="Z816" s="213"/>
      <c r="AA816" s="213"/>
      <c r="AB816" s="213"/>
      <c r="AC816" s="213"/>
      <c r="AD816" s="213"/>
      <c r="AE816" s="213"/>
      <c r="AF816" s="213"/>
      <c r="AG816" s="213"/>
      <c r="AH816" s="213"/>
      <c r="AI816" s="213"/>
      <c r="AJ816" s="213"/>
      <c r="AK816" s="213"/>
      <c r="AL816" s="213"/>
      <c r="AM816" s="213"/>
      <c r="AN816" s="213"/>
      <c r="AO816" s="213"/>
      <c r="AP816" s="213"/>
      <c r="AQ816" s="213"/>
      <c r="AR816" s="213"/>
      <c r="AS816" s="213"/>
      <c r="AT816" s="213"/>
      <c r="AU816" s="213"/>
      <c r="AV816" s="213"/>
      <c r="AW816" s="213"/>
      <c r="AX816" s="213"/>
      <c r="AY816" s="213"/>
      <c r="AZ816" s="213"/>
      <c r="BA816" s="213"/>
      <c r="BB816" s="213"/>
    </row>
    <row r="817" ht="15.75" customHeight="1">
      <c r="A817" s="213"/>
      <c r="B817" s="213"/>
      <c r="C817" s="213"/>
      <c r="D817" s="213"/>
      <c r="E817" s="213"/>
      <c r="F817" s="213"/>
      <c r="G817" s="213"/>
      <c r="H817" s="213"/>
      <c r="I817" s="213"/>
      <c r="J817" s="213"/>
      <c r="K817" s="215"/>
      <c r="L817" s="213"/>
      <c r="M817" s="215"/>
      <c r="N817" s="213"/>
      <c r="O817" s="213"/>
      <c r="P817" s="213"/>
      <c r="Q817" s="213"/>
      <c r="R817" s="213"/>
      <c r="S817" s="213"/>
      <c r="T817" s="213"/>
      <c r="U817" s="213"/>
      <c r="V817" s="213"/>
      <c r="W817" s="213"/>
      <c r="X817" s="213"/>
      <c r="Y817" s="213"/>
      <c r="Z817" s="213"/>
      <c r="AA817" s="213"/>
      <c r="AB817" s="213"/>
      <c r="AC817" s="213"/>
      <c r="AD817" s="213"/>
      <c r="AE817" s="213"/>
      <c r="AF817" s="213"/>
      <c r="AG817" s="213"/>
      <c r="AH817" s="213"/>
      <c r="AI817" s="213"/>
      <c r="AJ817" s="213"/>
      <c r="AK817" s="213"/>
      <c r="AL817" s="213"/>
      <c r="AM817" s="213"/>
      <c r="AN817" s="213"/>
      <c r="AO817" s="213"/>
      <c r="AP817" s="213"/>
      <c r="AQ817" s="213"/>
      <c r="AR817" s="213"/>
      <c r="AS817" s="213"/>
      <c r="AT817" s="213"/>
      <c r="AU817" s="213"/>
      <c r="AV817" s="213"/>
      <c r="AW817" s="213"/>
      <c r="AX817" s="213"/>
      <c r="AY817" s="213"/>
      <c r="AZ817" s="213"/>
      <c r="BA817" s="213"/>
      <c r="BB817" s="213"/>
    </row>
    <row r="818" ht="15.75" customHeight="1">
      <c r="A818" s="213"/>
      <c r="B818" s="213"/>
      <c r="C818" s="213"/>
      <c r="D818" s="213"/>
      <c r="E818" s="213"/>
      <c r="F818" s="213"/>
      <c r="G818" s="213"/>
      <c r="H818" s="213"/>
      <c r="I818" s="213"/>
      <c r="J818" s="213"/>
      <c r="K818" s="215"/>
      <c r="L818" s="213"/>
      <c r="M818" s="215"/>
      <c r="N818" s="213"/>
      <c r="O818" s="213"/>
      <c r="P818" s="213"/>
      <c r="Q818" s="213"/>
      <c r="R818" s="213"/>
      <c r="S818" s="213"/>
      <c r="T818" s="213"/>
      <c r="U818" s="213"/>
      <c r="V818" s="213"/>
      <c r="W818" s="213"/>
      <c r="X818" s="213"/>
      <c r="Y818" s="213"/>
      <c r="Z818" s="213"/>
      <c r="AA818" s="213"/>
      <c r="AB818" s="213"/>
      <c r="AC818" s="213"/>
      <c r="AD818" s="213"/>
      <c r="AE818" s="213"/>
      <c r="AF818" s="213"/>
      <c r="AG818" s="213"/>
      <c r="AH818" s="213"/>
      <c r="AI818" s="213"/>
      <c r="AJ818" s="213"/>
      <c r="AK818" s="213"/>
      <c r="AL818" s="213"/>
      <c r="AM818" s="213"/>
      <c r="AN818" s="213"/>
      <c r="AO818" s="213"/>
      <c r="AP818" s="213"/>
      <c r="AQ818" s="213"/>
      <c r="AR818" s="213"/>
      <c r="AS818" s="213"/>
      <c r="AT818" s="213"/>
      <c r="AU818" s="213"/>
      <c r="AV818" s="213"/>
      <c r="AW818" s="213"/>
      <c r="AX818" s="213"/>
      <c r="AY818" s="213"/>
      <c r="AZ818" s="213"/>
      <c r="BA818" s="213"/>
      <c r="BB818" s="213"/>
    </row>
    <row r="819" ht="15.75" customHeight="1">
      <c r="A819" s="213"/>
      <c r="B819" s="213"/>
      <c r="C819" s="213"/>
      <c r="D819" s="213"/>
      <c r="E819" s="213"/>
      <c r="F819" s="213"/>
      <c r="G819" s="213"/>
      <c r="H819" s="213"/>
      <c r="I819" s="213"/>
      <c r="J819" s="213"/>
      <c r="K819" s="215"/>
      <c r="L819" s="213"/>
      <c r="M819" s="215"/>
      <c r="N819" s="213"/>
      <c r="O819" s="213"/>
      <c r="P819" s="213"/>
      <c r="Q819" s="213"/>
      <c r="R819" s="213"/>
      <c r="S819" s="213"/>
      <c r="T819" s="213"/>
      <c r="U819" s="213"/>
      <c r="V819" s="213"/>
      <c r="W819" s="213"/>
      <c r="X819" s="213"/>
      <c r="Y819" s="213"/>
      <c r="Z819" s="213"/>
      <c r="AA819" s="213"/>
      <c r="AB819" s="213"/>
      <c r="AC819" s="213"/>
      <c r="AD819" s="213"/>
      <c r="AE819" s="213"/>
      <c r="AF819" s="213"/>
      <c r="AG819" s="213"/>
      <c r="AH819" s="213"/>
      <c r="AI819" s="213"/>
      <c r="AJ819" s="213"/>
      <c r="AK819" s="213"/>
      <c r="AL819" s="213"/>
      <c r="AM819" s="213"/>
      <c r="AN819" s="213"/>
      <c r="AO819" s="213"/>
      <c r="AP819" s="213"/>
      <c r="AQ819" s="213"/>
      <c r="AR819" s="213"/>
      <c r="AS819" s="213"/>
      <c r="AT819" s="213"/>
      <c r="AU819" s="213"/>
      <c r="AV819" s="213"/>
      <c r="AW819" s="213"/>
      <c r="AX819" s="213"/>
      <c r="AY819" s="213"/>
      <c r="AZ819" s="213"/>
      <c r="BA819" s="213"/>
      <c r="BB819" s="213"/>
    </row>
    <row r="820" ht="15.75" customHeight="1">
      <c r="A820" s="213"/>
      <c r="B820" s="213"/>
      <c r="C820" s="213"/>
      <c r="D820" s="213"/>
      <c r="E820" s="213"/>
      <c r="F820" s="213"/>
      <c r="G820" s="213"/>
      <c r="H820" s="213"/>
      <c r="I820" s="213"/>
      <c r="J820" s="213"/>
      <c r="K820" s="215"/>
      <c r="L820" s="213"/>
      <c r="M820" s="215"/>
      <c r="N820" s="213"/>
      <c r="O820" s="213"/>
      <c r="P820" s="213"/>
      <c r="Q820" s="213"/>
      <c r="R820" s="213"/>
      <c r="S820" s="213"/>
      <c r="T820" s="213"/>
      <c r="U820" s="213"/>
      <c r="V820" s="213"/>
      <c r="W820" s="213"/>
      <c r="X820" s="213"/>
      <c r="Y820" s="213"/>
      <c r="Z820" s="213"/>
      <c r="AA820" s="213"/>
      <c r="AB820" s="213"/>
      <c r="AC820" s="213"/>
      <c r="AD820" s="213"/>
      <c r="AE820" s="213"/>
      <c r="AF820" s="213"/>
      <c r="AG820" s="213"/>
      <c r="AH820" s="213"/>
      <c r="AI820" s="213"/>
      <c r="AJ820" s="213"/>
      <c r="AK820" s="213"/>
      <c r="AL820" s="213"/>
      <c r="AM820" s="213"/>
      <c r="AN820" s="213"/>
      <c r="AO820" s="213"/>
      <c r="AP820" s="213"/>
      <c r="AQ820" s="213"/>
      <c r="AR820" s="213"/>
      <c r="AS820" s="213"/>
      <c r="AT820" s="213"/>
      <c r="AU820" s="213"/>
      <c r="AV820" s="213"/>
      <c r="AW820" s="213"/>
      <c r="AX820" s="213"/>
      <c r="AY820" s="213"/>
      <c r="AZ820" s="213"/>
      <c r="BA820" s="213"/>
      <c r="BB820" s="213"/>
    </row>
    <row r="821" ht="15.75" customHeight="1">
      <c r="A821" s="213"/>
      <c r="B821" s="213"/>
      <c r="C821" s="213"/>
      <c r="D821" s="213"/>
      <c r="E821" s="213"/>
      <c r="F821" s="213"/>
      <c r="G821" s="213"/>
      <c r="H821" s="213"/>
      <c r="I821" s="213"/>
      <c r="J821" s="213"/>
      <c r="K821" s="215"/>
      <c r="L821" s="213"/>
      <c r="M821" s="215"/>
      <c r="N821" s="213"/>
      <c r="O821" s="213"/>
      <c r="P821" s="213"/>
      <c r="Q821" s="213"/>
      <c r="R821" s="213"/>
      <c r="S821" s="213"/>
      <c r="T821" s="213"/>
      <c r="U821" s="213"/>
      <c r="V821" s="213"/>
      <c r="W821" s="213"/>
      <c r="X821" s="213"/>
      <c r="Y821" s="213"/>
      <c r="Z821" s="213"/>
      <c r="AA821" s="213"/>
      <c r="AB821" s="213"/>
      <c r="AC821" s="213"/>
      <c r="AD821" s="213"/>
      <c r="AE821" s="213"/>
      <c r="AF821" s="213"/>
      <c r="AG821" s="213"/>
      <c r="AH821" s="213"/>
      <c r="AI821" s="213"/>
      <c r="AJ821" s="213"/>
      <c r="AK821" s="213"/>
      <c r="AL821" s="213"/>
      <c r="AM821" s="213"/>
      <c r="AN821" s="213"/>
      <c r="AO821" s="213"/>
      <c r="AP821" s="213"/>
      <c r="AQ821" s="213"/>
      <c r="AR821" s="213"/>
      <c r="AS821" s="213"/>
      <c r="AT821" s="213"/>
      <c r="AU821" s="213"/>
      <c r="AV821" s="213"/>
      <c r="AW821" s="213"/>
      <c r="AX821" s="213"/>
      <c r="AY821" s="213"/>
      <c r="AZ821" s="213"/>
      <c r="BA821" s="213"/>
      <c r="BB821" s="213"/>
    </row>
    <row r="822" ht="15.75" customHeight="1">
      <c r="A822" s="213"/>
      <c r="B822" s="213"/>
      <c r="C822" s="213"/>
      <c r="D822" s="213"/>
      <c r="E822" s="213"/>
      <c r="F822" s="213"/>
      <c r="G822" s="213"/>
      <c r="H822" s="213"/>
      <c r="I822" s="213"/>
      <c r="J822" s="213"/>
      <c r="K822" s="215"/>
      <c r="L822" s="213"/>
      <c r="M822" s="215"/>
      <c r="N822" s="213"/>
      <c r="O822" s="213"/>
      <c r="P822" s="213"/>
      <c r="Q822" s="213"/>
      <c r="R822" s="213"/>
      <c r="S822" s="213"/>
      <c r="T822" s="213"/>
      <c r="U822" s="213"/>
      <c r="V822" s="213"/>
      <c r="W822" s="213"/>
      <c r="X822" s="213"/>
      <c r="Y822" s="213"/>
      <c r="Z822" s="213"/>
      <c r="AA822" s="213"/>
      <c r="AB822" s="213"/>
      <c r="AC822" s="213"/>
      <c r="AD822" s="213"/>
      <c r="AE822" s="213"/>
      <c r="AF822" s="213"/>
      <c r="AG822" s="213"/>
      <c r="AH822" s="213"/>
      <c r="AI822" s="213"/>
      <c r="AJ822" s="213"/>
      <c r="AK822" s="213"/>
      <c r="AL822" s="213"/>
      <c r="AM822" s="213"/>
      <c r="AN822" s="213"/>
      <c r="AO822" s="213"/>
      <c r="AP822" s="213"/>
      <c r="AQ822" s="213"/>
      <c r="AR822" s="213"/>
      <c r="AS822" s="213"/>
      <c r="AT822" s="213"/>
      <c r="AU822" s="213"/>
      <c r="AV822" s="213"/>
      <c r="AW822" s="213"/>
      <c r="AX822" s="213"/>
      <c r="AY822" s="213"/>
      <c r="AZ822" s="213"/>
      <c r="BA822" s="213"/>
      <c r="BB822" s="213"/>
    </row>
    <row r="823" ht="15.75" customHeight="1">
      <c r="A823" s="213"/>
      <c r="B823" s="213"/>
      <c r="C823" s="213"/>
      <c r="D823" s="213"/>
      <c r="E823" s="213"/>
      <c r="F823" s="213"/>
      <c r="G823" s="213"/>
      <c r="H823" s="213"/>
      <c r="I823" s="213"/>
      <c r="J823" s="213"/>
      <c r="K823" s="215"/>
      <c r="L823" s="213"/>
      <c r="M823" s="215"/>
      <c r="N823" s="213"/>
      <c r="O823" s="213"/>
      <c r="P823" s="213"/>
      <c r="Q823" s="213"/>
      <c r="R823" s="213"/>
      <c r="S823" s="213"/>
      <c r="T823" s="213"/>
      <c r="U823" s="213"/>
      <c r="V823" s="213"/>
      <c r="W823" s="213"/>
      <c r="X823" s="213"/>
      <c r="Y823" s="213"/>
      <c r="Z823" s="213"/>
      <c r="AA823" s="213"/>
      <c r="AB823" s="213"/>
      <c r="AC823" s="213"/>
      <c r="AD823" s="213"/>
      <c r="AE823" s="213"/>
      <c r="AF823" s="213"/>
      <c r="AG823" s="213"/>
      <c r="AH823" s="213"/>
      <c r="AI823" s="213"/>
      <c r="AJ823" s="213"/>
      <c r="AK823" s="213"/>
      <c r="AL823" s="213"/>
      <c r="AM823" s="213"/>
      <c r="AN823" s="213"/>
      <c r="AO823" s="213"/>
      <c r="AP823" s="213"/>
      <c r="AQ823" s="213"/>
      <c r="AR823" s="213"/>
      <c r="AS823" s="213"/>
      <c r="AT823" s="213"/>
      <c r="AU823" s="213"/>
      <c r="AV823" s="213"/>
      <c r="AW823" s="213"/>
      <c r="AX823" s="213"/>
      <c r="AY823" s="213"/>
      <c r="AZ823" s="213"/>
      <c r="BA823" s="213"/>
      <c r="BB823" s="213"/>
    </row>
    <row r="824" ht="15.75" customHeight="1">
      <c r="A824" s="213"/>
      <c r="B824" s="213"/>
      <c r="C824" s="213"/>
      <c r="D824" s="213"/>
      <c r="E824" s="213"/>
      <c r="F824" s="213"/>
      <c r="G824" s="213"/>
      <c r="H824" s="213"/>
      <c r="I824" s="213"/>
      <c r="J824" s="213"/>
      <c r="K824" s="215"/>
      <c r="L824" s="213"/>
      <c r="M824" s="215"/>
      <c r="N824" s="213"/>
      <c r="O824" s="213"/>
      <c r="P824" s="213"/>
      <c r="Q824" s="213"/>
      <c r="R824" s="213"/>
      <c r="S824" s="213"/>
      <c r="T824" s="213"/>
      <c r="U824" s="213"/>
      <c r="V824" s="213"/>
      <c r="W824" s="213"/>
      <c r="X824" s="213"/>
      <c r="Y824" s="213"/>
      <c r="Z824" s="213"/>
      <c r="AA824" s="213"/>
      <c r="AB824" s="213"/>
      <c r="AC824" s="213"/>
      <c r="AD824" s="213"/>
      <c r="AE824" s="213"/>
      <c r="AF824" s="213"/>
      <c r="AG824" s="213"/>
      <c r="AH824" s="213"/>
      <c r="AI824" s="213"/>
      <c r="AJ824" s="213"/>
      <c r="AK824" s="213"/>
      <c r="AL824" s="213"/>
      <c r="AM824" s="213"/>
      <c r="AN824" s="213"/>
      <c r="AO824" s="213"/>
      <c r="AP824" s="213"/>
      <c r="AQ824" s="213"/>
      <c r="AR824" s="213"/>
      <c r="AS824" s="213"/>
      <c r="AT824" s="213"/>
      <c r="AU824" s="213"/>
      <c r="AV824" s="213"/>
      <c r="AW824" s="213"/>
      <c r="AX824" s="213"/>
      <c r="AY824" s="213"/>
      <c r="AZ824" s="213"/>
      <c r="BA824" s="213"/>
      <c r="BB824" s="213"/>
    </row>
    <row r="825" ht="15.75" customHeight="1">
      <c r="A825" s="213"/>
      <c r="B825" s="213"/>
      <c r="C825" s="213"/>
      <c r="D825" s="213"/>
      <c r="E825" s="213"/>
      <c r="F825" s="213"/>
      <c r="G825" s="213"/>
      <c r="H825" s="213"/>
      <c r="I825" s="213"/>
      <c r="J825" s="213"/>
      <c r="K825" s="215"/>
      <c r="L825" s="213"/>
      <c r="M825" s="215"/>
      <c r="N825" s="213"/>
      <c r="O825" s="213"/>
      <c r="P825" s="213"/>
      <c r="Q825" s="213"/>
      <c r="R825" s="213"/>
      <c r="S825" s="213"/>
      <c r="T825" s="213"/>
      <c r="U825" s="213"/>
      <c r="V825" s="213"/>
      <c r="W825" s="213"/>
      <c r="X825" s="213"/>
      <c r="Y825" s="213"/>
      <c r="Z825" s="213"/>
      <c r="AA825" s="213"/>
      <c r="AB825" s="213"/>
      <c r="AC825" s="213"/>
      <c r="AD825" s="213"/>
      <c r="AE825" s="213"/>
      <c r="AF825" s="213"/>
      <c r="AG825" s="213"/>
      <c r="AH825" s="213"/>
      <c r="AI825" s="213"/>
      <c r="AJ825" s="213"/>
      <c r="AK825" s="213"/>
      <c r="AL825" s="213"/>
      <c r="AM825" s="213"/>
      <c r="AN825" s="213"/>
      <c r="AO825" s="213"/>
      <c r="AP825" s="213"/>
      <c r="AQ825" s="213"/>
      <c r="AR825" s="213"/>
      <c r="AS825" s="213"/>
      <c r="AT825" s="213"/>
      <c r="AU825" s="213"/>
      <c r="AV825" s="213"/>
      <c r="AW825" s="213"/>
      <c r="AX825" s="213"/>
      <c r="AY825" s="213"/>
      <c r="AZ825" s="213"/>
      <c r="BA825" s="213"/>
      <c r="BB825" s="213"/>
    </row>
    <row r="826" ht="15.75" customHeight="1">
      <c r="A826" s="213"/>
      <c r="B826" s="213"/>
      <c r="C826" s="213"/>
      <c r="D826" s="213"/>
      <c r="E826" s="213"/>
      <c r="F826" s="213"/>
      <c r="G826" s="213"/>
      <c r="H826" s="213"/>
      <c r="I826" s="213"/>
      <c r="J826" s="213"/>
      <c r="K826" s="215"/>
      <c r="L826" s="213"/>
      <c r="M826" s="215"/>
      <c r="N826" s="213"/>
      <c r="O826" s="213"/>
      <c r="P826" s="213"/>
      <c r="Q826" s="213"/>
      <c r="R826" s="213"/>
      <c r="S826" s="213"/>
      <c r="T826" s="213"/>
      <c r="U826" s="213"/>
      <c r="V826" s="213"/>
      <c r="W826" s="213"/>
      <c r="X826" s="213"/>
      <c r="Y826" s="213"/>
      <c r="Z826" s="213"/>
      <c r="AA826" s="213"/>
      <c r="AB826" s="213"/>
      <c r="AC826" s="213"/>
      <c r="AD826" s="213"/>
      <c r="AE826" s="213"/>
      <c r="AF826" s="213"/>
      <c r="AG826" s="213"/>
      <c r="AH826" s="213"/>
      <c r="AI826" s="213"/>
      <c r="AJ826" s="213"/>
      <c r="AK826" s="213"/>
      <c r="AL826" s="213"/>
      <c r="AM826" s="213"/>
      <c r="AN826" s="213"/>
      <c r="AO826" s="213"/>
      <c r="AP826" s="213"/>
      <c r="AQ826" s="213"/>
      <c r="AR826" s="213"/>
      <c r="AS826" s="213"/>
      <c r="AT826" s="213"/>
      <c r="AU826" s="213"/>
      <c r="AV826" s="213"/>
      <c r="AW826" s="213"/>
      <c r="AX826" s="213"/>
      <c r="AY826" s="213"/>
      <c r="AZ826" s="213"/>
      <c r="BA826" s="213"/>
      <c r="BB826" s="213"/>
    </row>
    <row r="827" ht="15.75" customHeight="1">
      <c r="A827" s="213"/>
      <c r="B827" s="213"/>
      <c r="C827" s="213"/>
      <c r="D827" s="213"/>
      <c r="E827" s="213"/>
      <c r="F827" s="213"/>
      <c r="G827" s="213"/>
      <c r="H827" s="213"/>
      <c r="I827" s="213"/>
      <c r="J827" s="213"/>
      <c r="K827" s="215"/>
      <c r="L827" s="213"/>
      <c r="M827" s="215"/>
      <c r="N827" s="213"/>
      <c r="O827" s="213"/>
      <c r="P827" s="213"/>
      <c r="Q827" s="213"/>
      <c r="R827" s="213"/>
      <c r="S827" s="213"/>
      <c r="T827" s="213"/>
      <c r="U827" s="213"/>
      <c r="V827" s="213"/>
      <c r="W827" s="213"/>
      <c r="X827" s="213"/>
      <c r="Y827" s="213"/>
      <c r="Z827" s="213"/>
      <c r="AA827" s="213"/>
      <c r="AB827" s="213"/>
      <c r="AC827" s="213"/>
      <c r="AD827" s="213"/>
      <c r="AE827" s="213"/>
      <c r="AF827" s="213"/>
      <c r="AG827" s="213"/>
      <c r="AH827" s="213"/>
      <c r="AI827" s="213"/>
      <c r="AJ827" s="213"/>
      <c r="AK827" s="213"/>
      <c r="AL827" s="213"/>
      <c r="AM827" s="213"/>
      <c r="AN827" s="213"/>
      <c r="AO827" s="213"/>
      <c r="AP827" s="213"/>
      <c r="AQ827" s="213"/>
      <c r="AR827" s="213"/>
      <c r="AS827" s="213"/>
      <c r="AT827" s="213"/>
      <c r="AU827" s="213"/>
      <c r="AV827" s="213"/>
      <c r="AW827" s="213"/>
      <c r="AX827" s="213"/>
      <c r="AY827" s="213"/>
      <c r="AZ827" s="213"/>
      <c r="BA827" s="213"/>
      <c r="BB827" s="213"/>
    </row>
    <row r="828" ht="15.75" customHeight="1">
      <c r="A828" s="213"/>
      <c r="B828" s="213"/>
      <c r="C828" s="213"/>
      <c r="D828" s="213"/>
      <c r="E828" s="213"/>
      <c r="F828" s="213"/>
      <c r="G828" s="213"/>
      <c r="H828" s="213"/>
      <c r="I828" s="213"/>
      <c r="J828" s="213"/>
      <c r="K828" s="215"/>
      <c r="L828" s="213"/>
      <c r="M828" s="215"/>
      <c r="N828" s="213"/>
      <c r="O828" s="213"/>
      <c r="P828" s="213"/>
      <c r="Q828" s="213"/>
      <c r="R828" s="213"/>
      <c r="S828" s="213"/>
      <c r="T828" s="213"/>
      <c r="U828" s="213"/>
      <c r="V828" s="213"/>
      <c r="W828" s="213"/>
      <c r="X828" s="213"/>
      <c r="Y828" s="213"/>
      <c r="Z828" s="213"/>
      <c r="AA828" s="213"/>
      <c r="AB828" s="213"/>
      <c r="AC828" s="213"/>
      <c r="AD828" s="213"/>
      <c r="AE828" s="213"/>
      <c r="AF828" s="213"/>
      <c r="AG828" s="213"/>
      <c r="AH828" s="213"/>
      <c r="AI828" s="213"/>
      <c r="AJ828" s="213"/>
      <c r="AK828" s="213"/>
      <c r="AL828" s="213"/>
      <c r="AM828" s="213"/>
      <c r="AN828" s="213"/>
      <c r="AO828" s="213"/>
      <c r="AP828" s="213"/>
      <c r="AQ828" s="213"/>
      <c r="AR828" s="213"/>
      <c r="AS828" s="213"/>
      <c r="AT828" s="213"/>
      <c r="AU828" s="213"/>
      <c r="AV828" s="213"/>
      <c r="AW828" s="213"/>
      <c r="AX828" s="213"/>
      <c r="AY828" s="213"/>
      <c r="AZ828" s="213"/>
      <c r="BA828" s="213"/>
      <c r="BB828" s="213"/>
    </row>
    <row r="829" ht="15.75" customHeight="1">
      <c r="A829" s="213"/>
      <c r="B829" s="213"/>
      <c r="C829" s="213"/>
      <c r="D829" s="213"/>
      <c r="E829" s="213"/>
      <c r="F829" s="213"/>
      <c r="G829" s="213"/>
      <c r="H829" s="213"/>
      <c r="I829" s="213"/>
      <c r="J829" s="213"/>
      <c r="K829" s="215"/>
      <c r="L829" s="213"/>
      <c r="M829" s="215"/>
      <c r="N829" s="213"/>
      <c r="O829" s="213"/>
      <c r="P829" s="213"/>
      <c r="Q829" s="213"/>
      <c r="R829" s="213"/>
      <c r="S829" s="213"/>
      <c r="T829" s="213"/>
      <c r="U829" s="213"/>
      <c r="V829" s="213"/>
      <c r="W829" s="213"/>
      <c r="X829" s="213"/>
      <c r="Y829" s="213"/>
      <c r="Z829" s="213"/>
      <c r="AA829" s="213"/>
      <c r="AB829" s="213"/>
      <c r="AC829" s="213"/>
      <c r="AD829" s="213"/>
      <c r="AE829" s="213"/>
      <c r="AF829" s="213"/>
      <c r="AG829" s="213"/>
      <c r="AH829" s="213"/>
      <c r="AI829" s="213"/>
      <c r="AJ829" s="213"/>
      <c r="AK829" s="213"/>
      <c r="AL829" s="213"/>
      <c r="AM829" s="213"/>
      <c r="AN829" s="213"/>
      <c r="AO829" s="213"/>
      <c r="AP829" s="213"/>
      <c r="AQ829" s="213"/>
      <c r="AR829" s="213"/>
      <c r="AS829" s="213"/>
      <c r="AT829" s="213"/>
      <c r="AU829" s="213"/>
      <c r="AV829" s="213"/>
      <c r="AW829" s="213"/>
      <c r="AX829" s="213"/>
      <c r="AY829" s="213"/>
      <c r="AZ829" s="213"/>
      <c r="BA829" s="213"/>
      <c r="BB829" s="213"/>
    </row>
    <row r="830" ht="15.75" customHeight="1">
      <c r="A830" s="213"/>
      <c r="B830" s="213"/>
      <c r="C830" s="213"/>
      <c r="D830" s="213"/>
      <c r="E830" s="213"/>
      <c r="F830" s="213"/>
      <c r="G830" s="213"/>
      <c r="H830" s="213"/>
      <c r="I830" s="213"/>
      <c r="J830" s="213"/>
      <c r="K830" s="215"/>
      <c r="L830" s="213"/>
      <c r="M830" s="215"/>
      <c r="N830" s="213"/>
      <c r="O830" s="213"/>
      <c r="P830" s="213"/>
      <c r="Q830" s="213"/>
      <c r="R830" s="213"/>
      <c r="S830" s="213"/>
      <c r="T830" s="213"/>
      <c r="U830" s="213"/>
      <c r="V830" s="213"/>
      <c r="W830" s="213"/>
      <c r="X830" s="213"/>
      <c r="Y830" s="213"/>
      <c r="Z830" s="213"/>
      <c r="AA830" s="213"/>
      <c r="AB830" s="213"/>
      <c r="AC830" s="213"/>
      <c r="AD830" s="213"/>
      <c r="AE830" s="213"/>
      <c r="AF830" s="213"/>
      <c r="AG830" s="213"/>
      <c r="AH830" s="213"/>
      <c r="AI830" s="213"/>
      <c r="AJ830" s="213"/>
      <c r="AK830" s="213"/>
      <c r="AL830" s="213"/>
      <c r="AM830" s="213"/>
      <c r="AN830" s="213"/>
      <c r="AO830" s="213"/>
      <c r="AP830" s="213"/>
      <c r="AQ830" s="213"/>
      <c r="AR830" s="213"/>
      <c r="AS830" s="213"/>
      <c r="AT830" s="213"/>
      <c r="AU830" s="213"/>
      <c r="AV830" s="213"/>
      <c r="AW830" s="213"/>
      <c r="AX830" s="213"/>
      <c r="AY830" s="213"/>
      <c r="AZ830" s="213"/>
      <c r="BA830" s="213"/>
      <c r="BB830" s="213"/>
    </row>
    <row r="831" ht="15.75" customHeight="1">
      <c r="A831" s="213"/>
      <c r="B831" s="213"/>
      <c r="C831" s="213"/>
      <c r="D831" s="213"/>
      <c r="E831" s="213"/>
      <c r="F831" s="213"/>
      <c r="G831" s="213"/>
      <c r="H831" s="213"/>
      <c r="I831" s="213"/>
      <c r="J831" s="213"/>
      <c r="K831" s="215"/>
      <c r="L831" s="213"/>
      <c r="M831" s="215"/>
      <c r="N831" s="213"/>
      <c r="O831" s="213"/>
      <c r="P831" s="213"/>
      <c r="Q831" s="213"/>
      <c r="R831" s="213"/>
      <c r="S831" s="213"/>
      <c r="T831" s="213"/>
      <c r="U831" s="213"/>
      <c r="V831" s="213"/>
      <c r="W831" s="213"/>
      <c r="X831" s="213"/>
      <c r="Y831" s="213"/>
      <c r="Z831" s="213"/>
      <c r="AA831" s="213"/>
      <c r="AB831" s="213"/>
      <c r="AC831" s="213"/>
      <c r="AD831" s="213"/>
      <c r="AE831" s="213"/>
      <c r="AF831" s="213"/>
      <c r="AG831" s="213"/>
      <c r="AH831" s="213"/>
      <c r="AI831" s="213"/>
      <c r="AJ831" s="213"/>
      <c r="AK831" s="213"/>
      <c r="AL831" s="213"/>
      <c r="AM831" s="213"/>
      <c r="AN831" s="213"/>
      <c r="AO831" s="213"/>
      <c r="AP831" s="213"/>
      <c r="AQ831" s="213"/>
      <c r="AR831" s="213"/>
      <c r="AS831" s="213"/>
      <c r="AT831" s="213"/>
      <c r="AU831" s="213"/>
      <c r="AV831" s="213"/>
      <c r="AW831" s="213"/>
      <c r="AX831" s="213"/>
      <c r="AY831" s="213"/>
      <c r="AZ831" s="213"/>
      <c r="BA831" s="213"/>
      <c r="BB831" s="213"/>
    </row>
    <row r="832" ht="15.75" customHeight="1">
      <c r="A832" s="213"/>
      <c r="B832" s="213"/>
      <c r="C832" s="213"/>
      <c r="D832" s="213"/>
      <c r="E832" s="213"/>
      <c r="F832" s="213"/>
      <c r="G832" s="213"/>
      <c r="H832" s="213"/>
      <c r="I832" s="213"/>
      <c r="J832" s="213"/>
      <c r="K832" s="215"/>
      <c r="L832" s="213"/>
      <c r="M832" s="215"/>
      <c r="N832" s="213"/>
      <c r="O832" s="213"/>
      <c r="P832" s="213"/>
      <c r="Q832" s="213"/>
      <c r="R832" s="213"/>
      <c r="S832" s="213"/>
      <c r="T832" s="213"/>
      <c r="U832" s="213"/>
      <c r="V832" s="213"/>
      <c r="W832" s="213"/>
      <c r="X832" s="213"/>
      <c r="Y832" s="213"/>
      <c r="Z832" s="213"/>
      <c r="AA832" s="213"/>
      <c r="AB832" s="213"/>
      <c r="AC832" s="213"/>
      <c r="AD832" s="213"/>
      <c r="AE832" s="213"/>
      <c r="AF832" s="213"/>
      <c r="AG832" s="213"/>
      <c r="AH832" s="213"/>
      <c r="AI832" s="213"/>
      <c r="AJ832" s="213"/>
      <c r="AK832" s="213"/>
      <c r="AL832" s="213"/>
      <c r="AM832" s="213"/>
      <c r="AN832" s="213"/>
      <c r="AO832" s="213"/>
      <c r="AP832" s="213"/>
      <c r="AQ832" s="213"/>
      <c r="AR832" s="213"/>
      <c r="AS832" s="213"/>
      <c r="AT832" s="213"/>
      <c r="AU832" s="213"/>
      <c r="AV832" s="213"/>
      <c r="AW832" s="213"/>
      <c r="AX832" s="213"/>
      <c r="AY832" s="213"/>
      <c r="AZ832" s="213"/>
      <c r="BA832" s="213"/>
      <c r="BB832" s="213"/>
    </row>
    <row r="833" ht="15.75" customHeight="1">
      <c r="A833" s="213"/>
      <c r="B833" s="213"/>
      <c r="C833" s="213"/>
      <c r="D833" s="213"/>
      <c r="E833" s="213"/>
      <c r="F833" s="213"/>
      <c r="G833" s="213"/>
      <c r="H833" s="213"/>
      <c r="I833" s="213"/>
      <c r="J833" s="213"/>
      <c r="K833" s="215"/>
      <c r="L833" s="213"/>
      <c r="M833" s="215"/>
      <c r="N833" s="213"/>
      <c r="O833" s="213"/>
      <c r="P833" s="213"/>
      <c r="Q833" s="213"/>
      <c r="R833" s="213"/>
      <c r="S833" s="213"/>
      <c r="T833" s="213"/>
      <c r="U833" s="213"/>
      <c r="V833" s="213"/>
      <c r="W833" s="213"/>
      <c r="X833" s="213"/>
      <c r="Y833" s="213"/>
      <c r="Z833" s="213"/>
      <c r="AA833" s="213"/>
      <c r="AB833" s="213"/>
      <c r="AC833" s="213"/>
      <c r="AD833" s="213"/>
      <c r="AE833" s="213"/>
      <c r="AF833" s="213"/>
      <c r="AG833" s="213"/>
      <c r="AH833" s="213"/>
      <c r="AI833" s="213"/>
      <c r="AJ833" s="213"/>
      <c r="AK833" s="213"/>
      <c r="AL833" s="213"/>
      <c r="AM833" s="213"/>
      <c r="AN833" s="213"/>
      <c r="AO833" s="213"/>
      <c r="AP833" s="213"/>
      <c r="AQ833" s="213"/>
      <c r="AR833" s="213"/>
      <c r="AS833" s="213"/>
      <c r="AT833" s="213"/>
      <c r="AU833" s="213"/>
      <c r="AV833" s="213"/>
      <c r="AW833" s="213"/>
      <c r="AX833" s="213"/>
      <c r="AY833" s="213"/>
      <c r="AZ833" s="213"/>
      <c r="BA833" s="213"/>
      <c r="BB833" s="213"/>
    </row>
    <row r="834" ht="15.75" customHeight="1">
      <c r="A834" s="213"/>
      <c r="B834" s="213"/>
      <c r="C834" s="213"/>
      <c r="D834" s="213"/>
      <c r="E834" s="213"/>
      <c r="F834" s="213"/>
      <c r="G834" s="213"/>
      <c r="H834" s="213"/>
      <c r="I834" s="213"/>
      <c r="J834" s="213"/>
      <c r="K834" s="215"/>
      <c r="L834" s="213"/>
      <c r="M834" s="215"/>
      <c r="N834" s="213"/>
      <c r="O834" s="213"/>
      <c r="P834" s="213"/>
      <c r="Q834" s="213"/>
      <c r="R834" s="213"/>
      <c r="S834" s="213"/>
      <c r="T834" s="213"/>
      <c r="U834" s="213"/>
      <c r="V834" s="213"/>
      <c r="W834" s="213"/>
      <c r="X834" s="213"/>
      <c r="Y834" s="213"/>
      <c r="Z834" s="213"/>
      <c r="AA834" s="213"/>
      <c r="AB834" s="213"/>
      <c r="AC834" s="213"/>
      <c r="AD834" s="213"/>
      <c r="AE834" s="213"/>
      <c r="AF834" s="213"/>
      <c r="AG834" s="213"/>
      <c r="AH834" s="213"/>
      <c r="AI834" s="213"/>
      <c r="AJ834" s="213"/>
      <c r="AK834" s="213"/>
      <c r="AL834" s="213"/>
      <c r="AM834" s="213"/>
      <c r="AN834" s="213"/>
      <c r="AO834" s="213"/>
      <c r="AP834" s="213"/>
      <c r="AQ834" s="213"/>
      <c r="AR834" s="213"/>
      <c r="AS834" s="213"/>
      <c r="AT834" s="213"/>
      <c r="AU834" s="213"/>
      <c r="AV834" s="213"/>
      <c r="AW834" s="213"/>
      <c r="AX834" s="213"/>
      <c r="AY834" s="213"/>
      <c r="AZ834" s="213"/>
      <c r="BA834" s="213"/>
      <c r="BB834" s="213"/>
    </row>
    <row r="835" ht="15.75" customHeight="1">
      <c r="A835" s="213"/>
      <c r="B835" s="213"/>
      <c r="C835" s="213"/>
      <c r="D835" s="213"/>
      <c r="E835" s="213"/>
      <c r="F835" s="213"/>
      <c r="G835" s="213"/>
      <c r="H835" s="213"/>
      <c r="I835" s="213"/>
      <c r="J835" s="213"/>
      <c r="K835" s="215"/>
      <c r="L835" s="213"/>
      <c r="M835" s="215"/>
      <c r="N835" s="213"/>
      <c r="O835" s="213"/>
      <c r="P835" s="213"/>
      <c r="Q835" s="213"/>
      <c r="R835" s="213"/>
      <c r="S835" s="213"/>
      <c r="T835" s="213"/>
      <c r="U835" s="213"/>
      <c r="V835" s="213"/>
      <c r="W835" s="213"/>
      <c r="X835" s="213"/>
      <c r="Y835" s="213"/>
      <c r="Z835" s="213"/>
      <c r="AA835" s="213"/>
      <c r="AB835" s="213"/>
      <c r="AC835" s="213"/>
      <c r="AD835" s="213"/>
      <c r="AE835" s="213"/>
      <c r="AF835" s="213"/>
      <c r="AG835" s="213"/>
      <c r="AH835" s="213"/>
      <c r="AI835" s="213"/>
      <c r="AJ835" s="213"/>
      <c r="AK835" s="213"/>
      <c r="AL835" s="213"/>
      <c r="AM835" s="213"/>
      <c r="AN835" s="213"/>
      <c r="AO835" s="213"/>
      <c r="AP835" s="213"/>
      <c r="AQ835" s="213"/>
      <c r="AR835" s="213"/>
      <c r="AS835" s="213"/>
      <c r="AT835" s="213"/>
      <c r="AU835" s="213"/>
      <c r="AV835" s="213"/>
      <c r="AW835" s="213"/>
      <c r="AX835" s="213"/>
      <c r="AY835" s="213"/>
      <c r="AZ835" s="213"/>
      <c r="BA835" s="213"/>
      <c r="BB835" s="213"/>
    </row>
    <row r="836" ht="15.75" customHeight="1">
      <c r="A836" s="213"/>
      <c r="B836" s="213"/>
      <c r="C836" s="213"/>
      <c r="D836" s="213"/>
      <c r="E836" s="213"/>
      <c r="F836" s="213"/>
      <c r="G836" s="213"/>
      <c r="H836" s="213"/>
      <c r="I836" s="213"/>
      <c r="J836" s="213"/>
      <c r="K836" s="215"/>
      <c r="L836" s="213"/>
      <c r="M836" s="215"/>
      <c r="N836" s="213"/>
      <c r="O836" s="213"/>
      <c r="P836" s="213"/>
      <c r="Q836" s="213"/>
      <c r="R836" s="213"/>
      <c r="S836" s="213"/>
      <c r="T836" s="213"/>
      <c r="U836" s="213"/>
      <c r="V836" s="213"/>
      <c r="W836" s="213"/>
      <c r="X836" s="213"/>
      <c r="Y836" s="213"/>
      <c r="Z836" s="213"/>
      <c r="AA836" s="213"/>
      <c r="AB836" s="213"/>
      <c r="AC836" s="213"/>
      <c r="AD836" s="213"/>
      <c r="AE836" s="213"/>
      <c r="AF836" s="213"/>
      <c r="AG836" s="213"/>
      <c r="AH836" s="213"/>
      <c r="AI836" s="213"/>
      <c r="AJ836" s="213"/>
      <c r="AK836" s="213"/>
      <c r="AL836" s="213"/>
      <c r="AM836" s="213"/>
      <c r="AN836" s="213"/>
      <c r="AO836" s="213"/>
      <c r="AP836" s="213"/>
      <c r="AQ836" s="213"/>
      <c r="AR836" s="213"/>
      <c r="AS836" s="213"/>
      <c r="AT836" s="213"/>
      <c r="AU836" s="213"/>
      <c r="AV836" s="213"/>
      <c r="AW836" s="213"/>
      <c r="AX836" s="213"/>
      <c r="AY836" s="213"/>
      <c r="AZ836" s="213"/>
      <c r="BA836" s="213"/>
      <c r="BB836" s="213"/>
    </row>
    <row r="837" ht="15.75" customHeight="1">
      <c r="A837" s="213"/>
      <c r="B837" s="213"/>
      <c r="C837" s="213"/>
      <c r="D837" s="213"/>
      <c r="E837" s="213"/>
      <c r="F837" s="213"/>
      <c r="G837" s="213"/>
      <c r="H837" s="213"/>
      <c r="I837" s="213"/>
      <c r="J837" s="213"/>
      <c r="K837" s="215"/>
      <c r="L837" s="213"/>
      <c r="M837" s="215"/>
      <c r="N837" s="213"/>
      <c r="O837" s="213"/>
      <c r="P837" s="213"/>
      <c r="Q837" s="213"/>
      <c r="R837" s="213"/>
      <c r="S837" s="213"/>
      <c r="T837" s="213"/>
      <c r="U837" s="213"/>
      <c r="V837" s="213"/>
      <c r="W837" s="213"/>
      <c r="X837" s="213"/>
      <c r="Y837" s="213"/>
      <c r="Z837" s="213"/>
      <c r="AA837" s="213"/>
      <c r="AB837" s="213"/>
      <c r="AC837" s="213"/>
      <c r="AD837" s="213"/>
      <c r="AE837" s="213"/>
      <c r="AF837" s="213"/>
      <c r="AG837" s="213"/>
      <c r="AH837" s="213"/>
      <c r="AI837" s="213"/>
      <c r="AJ837" s="213"/>
      <c r="AK837" s="213"/>
      <c r="AL837" s="213"/>
      <c r="AM837" s="213"/>
      <c r="AN837" s="213"/>
      <c r="AO837" s="213"/>
      <c r="AP837" s="213"/>
      <c r="AQ837" s="213"/>
      <c r="AR837" s="213"/>
      <c r="AS837" s="213"/>
      <c r="AT837" s="213"/>
      <c r="AU837" s="213"/>
      <c r="AV837" s="213"/>
      <c r="AW837" s="213"/>
      <c r="AX837" s="213"/>
      <c r="AY837" s="213"/>
      <c r="AZ837" s="213"/>
      <c r="BA837" s="213"/>
      <c r="BB837" s="213"/>
    </row>
    <row r="838" ht="15.75" customHeight="1">
      <c r="A838" s="213"/>
      <c r="B838" s="213"/>
      <c r="C838" s="213"/>
      <c r="D838" s="213"/>
      <c r="E838" s="213"/>
      <c r="F838" s="213"/>
      <c r="G838" s="213"/>
      <c r="H838" s="213"/>
      <c r="I838" s="213"/>
      <c r="J838" s="213"/>
      <c r="K838" s="215"/>
      <c r="L838" s="213"/>
      <c r="M838" s="215"/>
      <c r="N838" s="213"/>
      <c r="O838" s="213"/>
      <c r="P838" s="213"/>
      <c r="Q838" s="213"/>
      <c r="R838" s="213"/>
      <c r="S838" s="213"/>
      <c r="T838" s="213"/>
      <c r="U838" s="213"/>
      <c r="V838" s="213"/>
      <c r="W838" s="213"/>
      <c r="X838" s="213"/>
      <c r="Y838" s="213"/>
      <c r="Z838" s="213"/>
      <c r="AA838" s="213"/>
      <c r="AB838" s="213"/>
      <c r="AC838" s="213"/>
      <c r="AD838" s="213"/>
      <c r="AE838" s="213"/>
      <c r="AF838" s="213"/>
      <c r="AG838" s="213"/>
      <c r="AH838" s="213"/>
      <c r="AI838" s="213"/>
      <c r="AJ838" s="213"/>
      <c r="AK838" s="213"/>
      <c r="AL838" s="213"/>
      <c r="AM838" s="213"/>
      <c r="AN838" s="213"/>
      <c r="AO838" s="213"/>
      <c r="AP838" s="213"/>
      <c r="AQ838" s="213"/>
      <c r="AR838" s="213"/>
      <c r="AS838" s="213"/>
      <c r="AT838" s="213"/>
      <c r="AU838" s="213"/>
      <c r="AV838" s="213"/>
      <c r="AW838" s="213"/>
      <c r="AX838" s="213"/>
      <c r="AY838" s="213"/>
      <c r="AZ838" s="213"/>
      <c r="BA838" s="213"/>
      <c r="BB838" s="213"/>
    </row>
    <row r="839" ht="15.75" customHeight="1">
      <c r="A839" s="213"/>
      <c r="B839" s="213"/>
      <c r="C839" s="213"/>
      <c r="D839" s="213"/>
      <c r="E839" s="213"/>
      <c r="F839" s="213"/>
      <c r="G839" s="213"/>
      <c r="H839" s="213"/>
      <c r="I839" s="213"/>
      <c r="J839" s="213"/>
      <c r="K839" s="215"/>
      <c r="L839" s="213"/>
      <c r="M839" s="215"/>
      <c r="N839" s="213"/>
      <c r="O839" s="213"/>
      <c r="P839" s="213"/>
      <c r="Q839" s="213"/>
      <c r="R839" s="213"/>
      <c r="S839" s="213"/>
      <c r="T839" s="213"/>
      <c r="U839" s="213"/>
      <c r="V839" s="213"/>
      <c r="W839" s="213"/>
      <c r="X839" s="213"/>
      <c r="Y839" s="213"/>
      <c r="Z839" s="213"/>
      <c r="AA839" s="213"/>
      <c r="AB839" s="213"/>
      <c r="AC839" s="213"/>
      <c r="AD839" s="213"/>
      <c r="AE839" s="213"/>
      <c r="AF839" s="213"/>
      <c r="AG839" s="213"/>
      <c r="AH839" s="213"/>
      <c r="AI839" s="213"/>
      <c r="AJ839" s="213"/>
      <c r="AK839" s="213"/>
      <c r="AL839" s="213"/>
      <c r="AM839" s="213"/>
      <c r="AN839" s="213"/>
      <c r="AO839" s="213"/>
      <c r="AP839" s="213"/>
      <c r="AQ839" s="213"/>
      <c r="AR839" s="213"/>
      <c r="AS839" s="213"/>
      <c r="AT839" s="213"/>
      <c r="AU839" s="213"/>
      <c r="AV839" s="213"/>
      <c r="AW839" s="213"/>
      <c r="AX839" s="213"/>
      <c r="AY839" s="213"/>
      <c r="AZ839" s="213"/>
      <c r="BA839" s="213"/>
      <c r="BB839" s="213"/>
    </row>
    <row r="840" ht="15.75" customHeight="1">
      <c r="A840" s="213"/>
      <c r="B840" s="213"/>
      <c r="C840" s="213"/>
      <c r="D840" s="213"/>
      <c r="E840" s="213"/>
      <c r="F840" s="213"/>
      <c r="G840" s="213"/>
      <c r="H840" s="213"/>
      <c r="I840" s="213"/>
      <c r="J840" s="213"/>
      <c r="K840" s="215"/>
      <c r="L840" s="213"/>
      <c r="M840" s="215"/>
      <c r="N840" s="213"/>
      <c r="O840" s="213"/>
      <c r="P840" s="213"/>
      <c r="Q840" s="213"/>
      <c r="R840" s="213"/>
      <c r="S840" s="213"/>
      <c r="T840" s="213"/>
      <c r="U840" s="213"/>
      <c r="V840" s="213"/>
      <c r="W840" s="213"/>
      <c r="X840" s="213"/>
      <c r="Y840" s="213"/>
      <c r="Z840" s="213"/>
      <c r="AA840" s="213"/>
      <c r="AB840" s="213"/>
      <c r="AC840" s="213"/>
      <c r="AD840" s="213"/>
      <c r="AE840" s="213"/>
      <c r="AF840" s="213"/>
      <c r="AG840" s="213"/>
      <c r="AH840" s="213"/>
      <c r="AI840" s="213"/>
      <c r="AJ840" s="213"/>
      <c r="AK840" s="213"/>
      <c r="AL840" s="213"/>
      <c r="AM840" s="213"/>
      <c r="AN840" s="213"/>
      <c r="AO840" s="213"/>
      <c r="AP840" s="213"/>
      <c r="AQ840" s="213"/>
      <c r="AR840" s="213"/>
      <c r="AS840" s="213"/>
      <c r="AT840" s="213"/>
      <c r="AU840" s="213"/>
      <c r="AV840" s="213"/>
      <c r="AW840" s="213"/>
      <c r="AX840" s="213"/>
      <c r="AY840" s="213"/>
      <c r="AZ840" s="213"/>
      <c r="BA840" s="213"/>
      <c r="BB840" s="213"/>
    </row>
    <row r="841" ht="15.75" customHeight="1">
      <c r="A841" s="213"/>
      <c r="B841" s="213"/>
      <c r="C841" s="213"/>
      <c r="D841" s="213"/>
      <c r="E841" s="213"/>
      <c r="F841" s="213"/>
      <c r="G841" s="213"/>
      <c r="H841" s="213"/>
      <c r="I841" s="213"/>
      <c r="J841" s="213"/>
      <c r="K841" s="215"/>
      <c r="L841" s="213"/>
      <c r="M841" s="215"/>
      <c r="N841" s="213"/>
      <c r="O841" s="213"/>
      <c r="P841" s="213"/>
      <c r="Q841" s="213"/>
      <c r="R841" s="213"/>
      <c r="S841" s="213"/>
      <c r="T841" s="213"/>
      <c r="U841" s="213"/>
      <c r="V841" s="213"/>
      <c r="W841" s="213"/>
      <c r="X841" s="213"/>
      <c r="Y841" s="213"/>
      <c r="Z841" s="213"/>
      <c r="AA841" s="213"/>
      <c r="AB841" s="213"/>
      <c r="AC841" s="213"/>
      <c r="AD841" s="213"/>
      <c r="AE841" s="213"/>
      <c r="AF841" s="213"/>
      <c r="AG841" s="213"/>
      <c r="AH841" s="213"/>
      <c r="AI841" s="213"/>
      <c r="AJ841" s="213"/>
      <c r="AK841" s="213"/>
      <c r="AL841" s="213"/>
      <c r="AM841" s="213"/>
      <c r="AN841" s="213"/>
      <c r="AO841" s="213"/>
      <c r="AP841" s="213"/>
      <c r="AQ841" s="213"/>
      <c r="AR841" s="213"/>
      <c r="AS841" s="213"/>
      <c r="AT841" s="213"/>
      <c r="AU841" s="213"/>
      <c r="AV841" s="213"/>
      <c r="AW841" s="213"/>
      <c r="AX841" s="213"/>
      <c r="AY841" s="213"/>
      <c r="AZ841" s="213"/>
      <c r="BA841" s="213"/>
      <c r="BB841" s="213"/>
    </row>
    <row r="842" ht="15.75" customHeight="1">
      <c r="A842" s="213"/>
      <c r="B842" s="213"/>
      <c r="C842" s="213"/>
      <c r="D842" s="213"/>
      <c r="E842" s="213"/>
      <c r="F842" s="213"/>
      <c r="G842" s="213"/>
      <c r="H842" s="213"/>
      <c r="I842" s="213"/>
      <c r="J842" s="213"/>
      <c r="K842" s="215"/>
      <c r="L842" s="213"/>
      <c r="M842" s="215"/>
      <c r="N842" s="213"/>
      <c r="O842" s="213"/>
      <c r="P842" s="213"/>
      <c r="Q842" s="213"/>
      <c r="R842" s="213"/>
      <c r="S842" s="213"/>
      <c r="T842" s="213"/>
      <c r="U842" s="213"/>
      <c r="V842" s="213"/>
      <c r="W842" s="213"/>
      <c r="X842" s="213"/>
      <c r="Y842" s="213"/>
      <c r="Z842" s="213"/>
      <c r="AA842" s="213"/>
      <c r="AB842" s="213"/>
      <c r="AC842" s="213"/>
      <c r="AD842" s="213"/>
      <c r="AE842" s="213"/>
      <c r="AF842" s="213"/>
      <c r="AG842" s="213"/>
      <c r="AH842" s="213"/>
      <c r="AI842" s="213"/>
      <c r="AJ842" s="213"/>
      <c r="AK842" s="213"/>
      <c r="AL842" s="213"/>
      <c r="AM842" s="213"/>
      <c r="AN842" s="213"/>
      <c r="AO842" s="213"/>
      <c r="AP842" s="213"/>
      <c r="AQ842" s="213"/>
      <c r="AR842" s="213"/>
      <c r="AS842" s="213"/>
      <c r="AT842" s="213"/>
      <c r="AU842" s="213"/>
      <c r="AV842" s="213"/>
      <c r="AW842" s="213"/>
      <c r="AX842" s="213"/>
      <c r="AY842" s="213"/>
      <c r="AZ842" s="213"/>
      <c r="BA842" s="213"/>
      <c r="BB842" s="213"/>
    </row>
    <row r="843" ht="15.75" customHeight="1">
      <c r="A843" s="213"/>
      <c r="B843" s="213"/>
      <c r="C843" s="213"/>
      <c r="D843" s="213"/>
      <c r="E843" s="213"/>
      <c r="F843" s="213"/>
      <c r="G843" s="213"/>
      <c r="H843" s="213"/>
      <c r="I843" s="213"/>
      <c r="J843" s="213"/>
      <c r="K843" s="215"/>
      <c r="L843" s="213"/>
      <c r="M843" s="215"/>
      <c r="N843" s="213"/>
      <c r="O843" s="213"/>
      <c r="P843" s="213"/>
      <c r="Q843" s="213"/>
      <c r="R843" s="213"/>
      <c r="S843" s="213"/>
      <c r="T843" s="213"/>
      <c r="U843" s="213"/>
      <c r="V843" s="213"/>
      <c r="W843" s="213"/>
      <c r="X843" s="213"/>
      <c r="Y843" s="213"/>
      <c r="Z843" s="213"/>
      <c r="AA843" s="213"/>
      <c r="AB843" s="213"/>
      <c r="AC843" s="213"/>
      <c r="AD843" s="213"/>
      <c r="AE843" s="213"/>
      <c r="AF843" s="213"/>
      <c r="AG843" s="213"/>
      <c r="AH843" s="213"/>
      <c r="AI843" s="213"/>
      <c r="AJ843" s="213"/>
      <c r="AK843" s="213"/>
      <c r="AL843" s="213"/>
      <c r="AM843" s="213"/>
      <c r="AN843" s="213"/>
      <c r="AO843" s="213"/>
      <c r="AP843" s="213"/>
      <c r="AQ843" s="213"/>
      <c r="AR843" s="213"/>
      <c r="AS843" s="213"/>
      <c r="AT843" s="213"/>
      <c r="AU843" s="213"/>
      <c r="AV843" s="213"/>
      <c r="AW843" s="213"/>
      <c r="AX843" s="213"/>
      <c r="AY843" s="213"/>
      <c r="AZ843" s="213"/>
      <c r="BA843" s="213"/>
      <c r="BB843" s="213"/>
    </row>
    <row r="844" ht="15.75" customHeight="1">
      <c r="A844" s="213"/>
      <c r="B844" s="213"/>
      <c r="C844" s="213"/>
      <c r="D844" s="213"/>
      <c r="E844" s="213"/>
      <c r="F844" s="213"/>
      <c r="G844" s="213"/>
      <c r="H844" s="213"/>
      <c r="I844" s="213"/>
      <c r="J844" s="213"/>
      <c r="K844" s="215"/>
      <c r="L844" s="213"/>
      <c r="M844" s="215"/>
      <c r="N844" s="213"/>
      <c r="O844" s="213"/>
      <c r="P844" s="213"/>
      <c r="Q844" s="213"/>
      <c r="R844" s="213"/>
      <c r="S844" s="213"/>
      <c r="T844" s="213"/>
      <c r="U844" s="213"/>
      <c r="V844" s="213"/>
      <c r="W844" s="213"/>
      <c r="X844" s="213"/>
      <c r="Y844" s="213"/>
      <c r="Z844" s="213"/>
      <c r="AA844" s="213"/>
      <c r="AB844" s="213"/>
      <c r="AC844" s="213"/>
      <c r="AD844" s="213"/>
      <c r="AE844" s="213"/>
      <c r="AF844" s="213"/>
      <c r="AG844" s="213"/>
      <c r="AH844" s="213"/>
      <c r="AI844" s="213"/>
      <c r="AJ844" s="213"/>
      <c r="AK844" s="213"/>
      <c r="AL844" s="213"/>
      <c r="AM844" s="213"/>
      <c r="AN844" s="213"/>
      <c r="AO844" s="213"/>
      <c r="AP844" s="213"/>
      <c r="AQ844" s="213"/>
      <c r="AR844" s="213"/>
      <c r="AS844" s="213"/>
      <c r="AT844" s="213"/>
      <c r="AU844" s="213"/>
      <c r="AV844" s="213"/>
      <c r="AW844" s="213"/>
      <c r="AX844" s="213"/>
      <c r="AY844" s="213"/>
      <c r="AZ844" s="213"/>
      <c r="BA844" s="213"/>
      <c r="BB844" s="213"/>
    </row>
    <row r="845" ht="15.75" customHeight="1">
      <c r="A845" s="213"/>
      <c r="B845" s="213"/>
      <c r="C845" s="213"/>
      <c r="D845" s="213"/>
      <c r="E845" s="213"/>
      <c r="F845" s="213"/>
      <c r="G845" s="213"/>
      <c r="H845" s="213"/>
      <c r="I845" s="213"/>
      <c r="J845" s="213"/>
      <c r="K845" s="215"/>
      <c r="L845" s="213"/>
      <c r="M845" s="215"/>
      <c r="N845" s="213"/>
      <c r="O845" s="213"/>
      <c r="P845" s="213"/>
      <c r="Q845" s="213"/>
      <c r="R845" s="213"/>
      <c r="S845" s="213"/>
      <c r="T845" s="213"/>
      <c r="U845" s="213"/>
      <c r="V845" s="213"/>
      <c r="W845" s="213"/>
      <c r="X845" s="213"/>
      <c r="Y845" s="213"/>
      <c r="Z845" s="213"/>
      <c r="AA845" s="213"/>
      <c r="AB845" s="213"/>
      <c r="AC845" s="213"/>
      <c r="AD845" s="213"/>
      <c r="AE845" s="213"/>
      <c r="AF845" s="213"/>
      <c r="AG845" s="213"/>
      <c r="AH845" s="213"/>
      <c r="AI845" s="213"/>
      <c r="AJ845" s="213"/>
      <c r="AK845" s="213"/>
      <c r="AL845" s="213"/>
      <c r="AM845" s="213"/>
      <c r="AN845" s="213"/>
      <c r="AO845" s="213"/>
      <c r="AP845" s="213"/>
      <c r="AQ845" s="213"/>
      <c r="AR845" s="213"/>
      <c r="AS845" s="213"/>
      <c r="AT845" s="213"/>
      <c r="AU845" s="213"/>
      <c r="AV845" s="213"/>
      <c r="AW845" s="213"/>
      <c r="AX845" s="213"/>
      <c r="AY845" s="213"/>
      <c r="AZ845" s="213"/>
      <c r="BA845" s="213"/>
      <c r="BB845" s="213"/>
    </row>
    <row r="846" ht="15.75" customHeight="1">
      <c r="A846" s="213"/>
      <c r="B846" s="213"/>
      <c r="C846" s="213"/>
      <c r="D846" s="213"/>
      <c r="E846" s="213"/>
      <c r="F846" s="213"/>
      <c r="G846" s="213"/>
      <c r="H846" s="213"/>
      <c r="I846" s="213"/>
      <c r="J846" s="213"/>
      <c r="K846" s="215"/>
      <c r="L846" s="213"/>
      <c r="M846" s="215"/>
      <c r="N846" s="213"/>
      <c r="O846" s="213"/>
      <c r="P846" s="213"/>
      <c r="Q846" s="213"/>
      <c r="R846" s="213"/>
      <c r="S846" s="213"/>
      <c r="T846" s="213"/>
      <c r="U846" s="213"/>
      <c r="V846" s="213"/>
      <c r="W846" s="213"/>
      <c r="X846" s="213"/>
      <c r="Y846" s="213"/>
      <c r="Z846" s="213"/>
      <c r="AA846" s="213"/>
      <c r="AB846" s="213"/>
      <c r="AC846" s="213"/>
      <c r="AD846" s="213"/>
      <c r="AE846" s="213"/>
      <c r="AF846" s="213"/>
      <c r="AG846" s="213"/>
      <c r="AH846" s="213"/>
      <c r="AI846" s="213"/>
      <c r="AJ846" s="213"/>
      <c r="AK846" s="213"/>
      <c r="AL846" s="213"/>
      <c r="AM846" s="213"/>
      <c r="AN846" s="213"/>
      <c r="AO846" s="213"/>
      <c r="AP846" s="213"/>
      <c r="AQ846" s="213"/>
      <c r="AR846" s="213"/>
      <c r="AS846" s="213"/>
      <c r="AT846" s="213"/>
      <c r="AU846" s="213"/>
      <c r="AV846" s="213"/>
      <c r="AW846" s="213"/>
      <c r="AX846" s="213"/>
      <c r="AY846" s="213"/>
      <c r="AZ846" s="213"/>
      <c r="BA846" s="213"/>
      <c r="BB846" s="213"/>
    </row>
    <row r="847" ht="15.75" customHeight="1">
      <c r="A847" s="213"/>
      <c r="B847" s="213"/>
      <c r="C847" s="213"/>
      <c r="D847" s="213"/>
      <c r="E847" s="213"/>
      <c r="F847" s="213"/>
      <c r="G847" s="213"/>
      <c r="H847" s="213"/>
      <c r="I847" s="213"/>
      <c r="J847" s="213"/>
      <c r="K847" s="215"/>
      <c r="L847" s="213"/>
      <c r="M847" s="215"/>
      <c r="N847" s="213"/>
      <c r="O847" s="213"/>
      <c r="P847" s="213"/>
      <c r="Q847" s="213"/>
      <c r="R847" s="213"/>
      <c r="S847" s="213"/>
      <c r="T847" s="213"/>
      <c r="U847" s="213"/>
      <c r="V847" s="213"/>
      <c r="W847" s="213"/>
      <c r="X847" s="213"/>
      <c r="Y847" s="213"/>
      <c r="Z847" s="213"/>
      <c r="AA847" s="213"/>
      <c r="AB847" s="213"/>
      <c r="AC847" s="213"/>
      <c r="AD847" s="213"/>
      <c r="AE847" s="213"/>
      <c r="AF847" s="213"/>
      <c r="AG847" s="213"/>
      <c r="AH847" s="213"/>
      <c r="AI847" s="213"/>
      <c r="AJ847" s="213"/>
      <c r="AK847" s="213"/>
      <c r="AL847" s="213"/>
      <c r="AM847" s="213"/>
      <c r="AN847" s="213"/>
      <c r="AO847" s="213"/>
      <c r="AP847" s="213"/>
      <c r="AQ847" s="213"/>
      <c r="AR847" s="213"/>
      <c r="AS847" s="213"/>
      <c r="AT847" s="213"/>
      <c r="AU847" s="213"/>
      <c r="AV847" s="213"/>
      <c r="AW847" s="213"/>
      <c r="AX847" s="213"/>
      <c r="AY847" s="213"/>
      <c r="AZ847" s="213"/>
      <c r="BA847" s="213"/>
      <c r="BB847" s="213"/>
    </row>
    <row r="848" ht="15.75" customHeight="1">
      <c r="A848" s="213"/>
      <c r="B848" s="213"/>
      <c r="C848" s="213"/>
      <c r="D848" s="213"/>
      <c r="E848" s="213"/>
      <c r="F848" s="213"/>
      <c r="G848" s="213"/>
      <c r="H848" s="213"/>
      <c r="I848" s="213"/>
      <c r="J848" s="213"/>
      <c r="K848" s="215"/>
      <c r="L848" s="213"/>
      <c r="M848" s="215"/>
      <c r="N848" s="213"/>
      <c r="O848" s="213"/>
      <c r="P848" s="213"/>
      <c r="Q848" s="213"/>
      <c r="R848" s="213"/>
      <c r="S848" s="213"/>
      <c r="T848" s="213"/>
      <c r="U848" s="213"/>
      <c r="V848" s="213"/>
      <c r="W848" s="213"/>
      <c r="X848" s="213"/>
      <c r="Y848" s="213"/>
      <c r="Z848" s="213"/>
      <c r="AA848" s="213"/>
      <c r="AB848" s="213"/>
      <c r="AC848" s="213"/>
      <c r="AD848" s="213"/>
      <c r="AE848" s="213"/>
      <c r="AF848" s="213"/>
      <c r="AG848" s="213"/>
      <c r="AH848" s="213"/>
      <c r="AI848" s="213"/>
      <c r="AJ848" s="213"/>
      <c r="AK848" s="213"/>
      <c r="AL848" s="213"/>
      <c r="AM848" s="213"/>
      <c r="AN848" s="213"/>
      <c r="AO848" s="213"/>
      <c r="AP848" s="213"/>
      <c r="AQ848" s="213"/>
      <c r="AR848" s="213"/>
      <c r="AS848" s="213"/>
      <c r="AT848" s="213"/>
      <c r="AU848" s="213"/>
      <c r="AV848" s="213"/>
      <c r="AW848" s="213"/>
      <c r="AX848" s="213"/>
      <c r="AY848" s="213"/>
      <c r="AZ848" s="213"/>
      <c r="BA848" s="213"/>
      <c r="BB848" s="213"/>
    </row>
    <row r="849" ht="15.75" customHeight="1">
      <c r="A849" s="213"/>
      <c r="B849" s="213"/>
      <c r="C849" s="213"/>
      <c r="D849" s="213"/>
      <c r="E849" s="213"/>
      <c r="F849" s="213"/>
      <c r="G849" s="213"/>
      <c r="H849" s="213"/>
      <c r="I849" s="213"/>
      <c r="J849" s="213"/>
      <c r="K849" s="215"/>
      <c r="L849" s="213"/>
      <c r="M849" s="215"/>
      <c r="N849" s="213"/>
      <c r="O849" s="213"/>
      <c r="P849" s="213"/>
      <c r="Q849" s="213"/>
      <c r="R849" s="213"/>
      <c r="S849" s="213"/>
      <c r="T849" s="213"/>
      <c r="U849" s="213"/>
      <c r="V849" s="213"/>
      <c r="W849" s="213"/>
      <c r="X849" s="213"/>
      <c r="Y849" s="213"/>
      <c r="Z849" s="213"/>
      <c r="AA849" s="213"/>
      <c r="AB849" s="213"/>
      <c r="AC849" s="213"/>
      <c r="AD849" s="213"/>
      <c r="AE849" s="213"/>
      <c r="AF849" s="213"/>
      <c r="AG849" s="213"/>
      <c r="AH849" s="213"/>
      <c r="AI849" s="213"/>
      <c r="AJ849" s="213"/>
      <c r="AK849" s="213"/>
      <c r="AL849" s="213"/>
      <c r="AM849" s="213"/>
      <c r="AN849" s="213"/>
      <c r="AO849" s="213"/>
      <c r="AP849" s="213"/>
      <c r="AQ849" s="213"/>
      <c r="AR849" s="213"/>
      <c r="AS849" s="213"/>
      <c r="AT849" s="213"/>
      <c r="AU849" s="213"/>
      <c r="AV849" s="213"/>
      <c r="AW849" s="213"/>
      <c r="AX849" s="213"/>
      <c r="AY849" s="213"/>
      <c r="AZ849" s="213"/>
      <c r="BA849" s="213"/>
      <c r="BB849" s="213"/>
    </row>
    <row r="850" ht="15.75" customHeight="1">
      <c r="A850" s="213"/>
      <c r="B850" s="213"/>
      <c r="C850" s="213"/>
      <c r="D850" s="213"/>
      <c r="E850" s="213"/>
      <c r="F850" s="213"/>
      <c r="G850" s="213"/>
      <c r="H850" s="213"/>
      <c r="I850" s="213"/>
      <c r="J850" s="213"/>
      <c r="K850" s="215"/>
      <c r="L850" s="213"/>
      <c r="M850" s="215"/>
      <c r="N850" s="213"/>
      <c r="O850" s="213"/>
      <c r="P850" s="213"/>
      <c r="Q850" s="213"/>
      <c r="R850" s="213"/>
      <c r="S850" s="213"/>
      <c r="T850" s="213"/>
      <c r="U850" s="213"/>
      <c r="V850" s="213"/>
      <c r="W850" s="213"/>
      <c r="X850" s="213"/>
      <c r="Y850" s="213"/>
      <c r="Z850" s="213"/>
      <c r="AA850" s="213"/>
      <c r="AB850" s="213"/>
      <c r="AC850" s="213"/>
      <c r="AD850" s="213"/>
      <c r="AE850" s="213"/>
      <c r="AF850" s="213"/>
      <c r="AG850" s="213"/>
      <c r="AH850" s="213"/>
      <c r="AI850" s="213"/>
      <c r="AJ850" s="213"/>
      <c r="AK850" s="213"/>
      <c r="AL850" s="213"/>
      <c r="AM850" s="213"/>
      <c r="AN850" s="213"/>
      <c r="AO850" s="213"/>
      <c r="AP850" s="213"/>
      <c r="AQ850" s="213"/>
      <c r="AR850" s="213"/>
      <c r="AS850" s="213"/>
      <c r="AT850" s="213"/>
      <c r="AU850" s="213"/>
      <c r="AV850" s="213"/>
      <c r="AW850" s="213"/>
      <c r="AX850" s="213"/>
      <c r="AY850" s="213"/>
      <c r="AZ850" s="213"/>
      <c r="BA850" s="213"/>
      <c r="BB850" s="213"/>
    </row>
    <row r="851" ht="15.75" customHeight="1">
      <c r="A851" s="213"/>
      <c r="B851" s="213"/>
      <c r="C851" s="213"/>
      <c r="D851" s="213"/>
      <c r="E851" s="213"/>
      <c r="F851" s="213"/>
      <c r="G851" s="213"/>
      <c r="H851" s="213"/>
      <c r="I851" s="213"/>
      <c r="J851" s="213"/>
      <c r="K851" s="215"/>
      <c r="L851" s="213"/>
      <c r="M851" s="215"/>
      <c r="N851" s="213"/>
      <c r="O851" s="213"/>
      <c r="P851" s="213"/>
      <c r="Q851" s="213"/>
      <c r="R851" s="213"/>
      <c r="S851" s="213"/>
      <c r="T851" s="213"/>
      <c r="U851" s="213"/>
      <c r="V851" s="213"/>
      <c r="W851" s="213"/>
      <c r="X851" s="213"/>
      <c r="Y851" s="213"/>
      <c r="Z851" s="213"/>
      <c r="AA851" s="213"/>
      <c r="AB851" s="213"/>
      <c r="AC851" s="213"/>
      <c r="AD851" s="213"/>
      <c r="AE851" s="213"/>
      <c r="AF851" s="213"/>
      <c r="AG851" s="213"/>
      <c r="AH851" s="213"/>
      <c r="AI851" s="213"/>
      <c r="AJ851" s="213"/>
      <c r="AK851" s="213"/>
      <c r="AL851" s="213"/>
      <c r="AM851" s="213"/>
      <c r="AN851" s="213"/>
      <c r="AO851" s="213"/>
      <c r="AP851" s="213"/>
      <c r="AQ851" s="213"/>
      <c r="AR851" s="213"/>
      <c r="AS851" s="213"/>
      <c r="AT851" s="213"/>
      <c r="AU851" s="213"/>
      <c r="AV851" s="213"/>
      <c r="AW851" s="213"/>
      <c r="AX851" s="213"/>
      <c r="AY851" s="213"/>
      <c r="AZ851" s="213"/>
      <c r="BA851" s="213"/>
      <c r="BB851" s="213"/>
    </row>
    <row r="852" ht="15.75" customHeight="1">
      <c r="A852" s="213"/>
      <c r="B852" s="213"/>
      <c r="C852" s="213"/>
      <c r="D852" s="213"/>
      <c r="E852" s="213"/>
      <c r="F852" s="213"/>
      <c r="G852" s="213"/>
      <c r="H852" s="213"/>
      <c r="I852" s="213"/>
      <c r="J852" s="213"/>
      <c r="K852" s="215"/>
      <c r="L852" s="213"/>
      <c r="M852" s="215"/>
      <c r="N852" s="213"/>
      <c r="O852" s="213"/>
      <c r="P852" s="213"/>
      <c r="Q852" s="213"/>
      <c r="R852" s="213"/>
      <c r="S852" s="213"/>
      <c r="T852" s="213"/>
      <c r="U852" s="213"/>
      <c r="V852" s="213"/>
      <c r="W852" s="213"/>
      <c r="X852" s="213"/>
      <c r="Y852" s="213"/>
      <c r="Z852" s="213"/>
      <c r="AA852" s="213"/>
      <c r="AB852" s="213"/>
      <c r="AC852" s="213"/>
      <c r="AD852" s="213"/>
      <c r="AE852" s="213"/>
      <c r="AF852" s="213"/>
      <c r="AG852" s="213"/>
      <c r="AH852" s="213"/>
      <c r="AI852" s="213"/>
      <c r="AJ852" s="213"/>
      <c r="AK852" s="213"/>
      <c r="AL852" s="213"/>
      <c r="AM852" s="213"/>
      <c r="AN852" s="213"/>
      <c r="AO852" s="213"/>
      <c r="AP852" s="213"/>
      <c r="AQ852" s="213"/>
      <c r="AR852" s="213"/>
      <c r="AS852" s="213"/>
      <c r="AT852" s="213"/>
      <c r="AU852" s="213"/>
      <c r="AV852" s="213"/>
      <c r="AW852" s="213"/>
      <c r="AX852" s="213"/>
      <c r="AY852" s="213"/>
      <c r="AZ852" s="213"/>
      <c r="BA852" s="213"/>
      <c r="BB852" s="213"/>
    </row>
    <row r="853" ht="15.75" customHeight="1">
      <c r="A853" s="213"/>
      <c r="B853" s="213"/>
      <c r="C853" s="213"/>
      <c r="D853" s="213"/>
      <c r="E853" s="213"/>
      <c r="F853" s="213"/>
      <c r="G853" s="213"/>
      <c r="H853" s="213"/>
      <c r="I853" s="213"/>
      <c r="J853" s="213"/>
      <c r="K853" s="215"/>
      <c r="L853" s="213"/>
      <c r="M853" s="215"/>
      <c r="N853" s="213"/>
      <c r="O853" s="213"/>
      <c r="P853" s="213"/>
      <c r="Q853" s="213"/>
      <c r="R853" s="213"/>
      <c r="S853" s="213"/>
      <c r="T853" s="213"/>
      <c r="U853" s="213"/>
      <c r="V853" s="213"/>
      <c r="W853" s="213"/>
      <c r="X853" s="213"/>
      <c r="Y853" s="213"/>
      <c r="Z853" s="213"/>
      <c r="AA853" s="213"/>
      <c r="AB853" s="213"/>
      <c r="AC853" s="213"/>
      <c r="AD853" s="213"/>
      <c r="AE853" s="213"/>
      <c r="AF853" s="213"/>
      <c r="AG853" s="213"/>
      <c r="AH853" s="213"/>
      <c r="AI853" s="213"/>
      <c r="AJ853" s="213"/>
      <c r="AK853" s="213"/>
      <c r="AL853" s="213"/>
      <c r="AM853" s="213"/>
      <c r="AN853" s="213"/>
      <c r="AO853" s="213"/>
      <c r="AP853" s="213"/>
      <c r="AQ853" s="213"/>
      <c r="AR853" s="213"/>
      <c r="AS853" s="213"/>
      <c r="AT853" s="213"/>
      <c r="AU853" s="213"/>
      <c r="AV853" s="213"/>
      <c r="AW853" s="213"/>
      <c r="AX853" s="213"/>
      <c r="AY853" s="213"/>
      <c r="AZ853" s="213"/>
      <c r="BA853" s="213"/>
      <c r="BB853" s="213"/>
    </row>
    <row r="854" ht="15.75" customHeight="1">
      <c r="A854" s="213"/>
      <c r="B854" s="213"/>
      <c r="C854" s="213"/>
      <c r="D854" s="213"/>
      <c r="E854" s="213"/>
      <c r="F854" s="213"/>
      <c r="G854" s="213"/>
      <c r="H854" s="213"/>
      <c r="I854" s="213"/>
      <c r="J854" s="213"/>
      <c r="K854" s="215"/>
      <c r="L854" s="213"/>
      <c r="M854" s="215"/>
      <c r="N854" s="213"/>
      <c r="O854" s="213"/>
      <c r="P854" s="213"/>
      <c r="Q854" s="213"/>
      <c r="R854" s="213"/>
      <c r="S854" s="213"/>
      <c r="T854" s="213"/>
      <c r="U854" s="213"/>
      <c r="V854" s="213"/>
      <c r="W854" s="213"/>
      <c r="X854" s="213"/>
      <c r="Y854" s="213"/>
      <c r="Z854" s="213"/>
      <c r="AA854" s="213"/>
      <c r="AB854" s="213"/>
      <c r="AC854" s="213"/>
      <c r="AD854" s="213"/>
      <c r="AE854" s="213"/>
      <c r="AF854" s="213"/>
      <c r="AG854" s="213"/>
      <c r="AH854" s="213"/>
      <c r="AI854" s="213"/>
      <c r="AJ854" s="213"/>
      <c r="AK854" s="213"/>
      <c r="AL854" s="213"/>
      <c r="AM854" s="213"/>
      <c r="AN854" s="213"/>
      <c r="AO854" s="213"/>
      <c r="AP854" s="213"/>
      <c r="AQ854" s="213"/>
      <c r="AR854" s="213"/>
      <c r="AS854" s="213"/>
      <c r="AT854" s="213"/>
      <c r="AU854" s="213"/>
      <c r="AV854" s="213"/>
      <c r="AW854" s="213"/>
      <c r="AX854" s="213"/>
      <c r="AY854" s="213"/>
      <c r="AZ854" s="213"/>
      <c r="BA854" s="213"/>
      <c r="BB854" s="213"/>
    </row>
    <row r="855" ht="15.75" customHeight="1">
      <c r="A855" s="213"/>
      <c r="B855" s="213"/>
      <c r="C855" s="213"/>
      <c r="D855" s="213"/>
      <c r="E855" s="213"/>
      <c r="F855" s="213"/>
      <c r="G855" s="213"/>
      <c r="H855" s="213"/>
      <c r="I855" s="213"/>
      <c r="J855" s="213"/>
      <c r="K855" s="215"/>
      <c r="L855" s="213"/>
      <c r="M855" s="215"/>
      <c r="N855" s="213"/>
      <c r="O855" s="213"/>
      <c r="P855" s="213"/>
      <c r="Q855" s="213"/>
      <c r="R855" s="213"/>
      <c r="S855" s="213"/>
      <c r="T855" s="213"/>
      <c r="U855" s="213"/>
      <c r="V855" s="213"/>
      <c r="W855" s="213"/>
      <c r="X855" s="213"/>
      <c r="Y855" s="213"/>
      <c r="Z855" s="213"/>
      <c r="AA855" s="213"/>
      <c r="AB855" s="213"/>
      <c r="AC855" s="213"/>
      <c r="AD855" s="213"/>
      <c r="AE855" s="213"/>
      <c r="AF855" s="213"/>
      <c r="AG855" s="213"/>
      <c r="AH855" s="213"/>
      <c r="AI855" s="213"/>
      <c r="AJ855" s="213"/>
      <c r="AK855" s="213"/>
      <c r="AL855" s="213"/>
      <c r="AM855" s="213"/>
      <c r="AN855" s="213"/>
      <c r="AO855" s="213"/>
      <c r="AP855" s="213"/>
      <c r="AQ855" s="213"/>
      <c r="AR855" s="213"/>
      <c r="AS855" s="213"/>
      <c r="AT855" s="213"/>
      <c r="AU855" s="213"/>
      <c r="AV855" s="213"/>
      <c r="AW855" s="213"/>
      <c r="AX855" s="213"/>
      <c r="AY855" s="213"/>
      <c r="AZ855" s="213"/>
      <c r="BA855" s="213"/>
      <c r="BB855" s="213"/>
    </row>
    <row r="856" ht="15.75" customHeight="1">
      <c r="A856" s="213"/>
      <c r="B856" s="213"/>
      <c r="C856" s="213"/>
      <c r="D856" s="213"/>
      <c r="E856" s="213"/>
      <c r="F856" s="213"/>
      <c r="G856" s="213"/>
      <c r="H856" s="213"/>
      <c r="I856" s="213"/>
      <c r="J856" s="213"/>
      <c r="K856" s="215"/>
      <c r="L856" s="213"/>
      <c r="M856" s="215"/>
      <c r="N856" s="213"/>
      <c r="O856" s="213"/>
      <c r="P856" s="213"/>
      <c r="Q856" s="213"/>
      <c r="R856" s="213"/>
      <c r="S856" s="213"/>
      <c r="T856" s="213"/>
      <c r="U856" s="213"/>
      <c r="V856" s="213"/>
      <c r="W856" s="213"/>
      <c r="X856" s="213"/>
      <c r="Y856" s="213"/>
      <c r="Z856" s="213"/>
      <c r="AA856" s="213"/>
      <c r="AB856" s="213"/>
      <c r="AC856" s="213"/>
      <c r="AD856" s="213"/>
      <c r="AE856" s="213"/>
      <c r="AF856" s="213"/>
      <c r="AG856" s="213"/>
      <c r="AH856" s="213"/>
      <c r="AI856" s="213"/>
      <c r="AJ856" s="213"/>
      <c r="AK856" s="213"/>
      <c r="AL856" s="213"/>
      <c r="AM856" s="213"/>
      <c r="AN856" s="213"/>
      <c r="AO856" s="213"/>
      <c r="AP856" s="213"/>
      <c r="AQ856" s="213"/>
      <c r="AR856" s="213"/>
      <c r="AS856" s="213"/>
      <c r="AT856" s="213"/>
      <c r="AU856" s="213"/>
      <c r="AV856" s="213"/>
      <c r="AW856" s="213"/>
      <c r="AX856" s="213"/>
      <c r="AY856" s="213"/>
      <c r="AZ856" s="213"/>
      <c r="BA856" s="213"/>
      <c r="BB856" s="213"/>
    </row>
    <row r="857" ht="15.75" customHeight="1">
      <c r="A857" s="213"/>
      <c r="B857" s="213"/>
      <c r="C857" s="213"/>
      <c r="D857" s="213"/>
      <c r="E857" s="213"/>
      <c r="F857" s="213"/>
      <c r="G857" s="213"/>
      <c r="H857" s="213"/>
      <c r="I857" s="213"/>
      <c r="J857" s="213"/>
      <c r="K857" s="215"/>
      <c r="L857" s="213"/>
      <c r="M857" s="215"/>
      <c r="N857" s="213"/>
      <c r="O857" s="213"/>
      <c r="P857" s="213"/>
      <c r="Q857" s="213"/>
      <c r="R857" s="213"/>
      <c r="S857" s="213"/>
      <c r="T857" s="213"/>
      <c r="U857" s="213"/>
      <c r="V857" s="213"/>
      <c r="W857" s="213"/>
      <c r="X857" s="213"/>
      <c r="Y857" s="213"/>
      <c r="Z857" s="213"/>
      <c r="AA857" s="213"/>
      <c r="AB857" s="213"/>
      <c r="AC857" s="213"/>
      <c r="AD857" s="213"/>
      <c r="AE857" s="213"/>
      <c r="AF857" s="213"/>
      <c r="AG857" s="213"/>
      <c r="AH857" s="213"/>
      <c r="AI857" s="213"/>
      <c r="AJ857" s="213"/>
      <c r="AK857" s="213"/>
      <c r="AL857" s="213"/>
      <c r="AM857" s="213"/>
      <c r="AN857" s="213"/>
      <c r="AO857" s="213"/>
      <c r="AP857" s="213"/>
      <c r="AQ857" s="213"/>
      <c r="AR857" s="213"/>
      <c r="AS857" s="213"/>
      <c r="AT857" s="213"/>
      <c r="AU857" s="213"/>
      <c r="AV857" s="213"/>
      <c r="AW857" s="213"/>
      <c r="AX857" s="213"/>
      <c r="AY857" s="213"/>
      <c r="AZ857" s="213"/>
      <c r="BA857" s="213"/>
      <c r="BB857" s="213"/>
    </row>
    <row r="858" ht="15.75" customHeight="1">
      <c r="A858" s="213"/>
      <c r="B858" s="213"/>
      <c r="C858" s="213"/>
      <c r="D858" s="213"/>
      <c r="E858" s="213"/>
      <c r="F858" s="213"/>
      <c r="G858" s="213"/>
      <c r="H858" s="213"/>
      <c r="I858" s="213"/>
      <c r="J858" s="213"/>
      <c r="K858" s="215"/>
      <c r="L858" s="213"/>
      <c r="M858" s="215"/>
      <c r="N858" s="213"/>
      <c r="O858" s="213"/>
      <c r="P858" s="213"/>
      <c r="Q858" s="213"/>
      <c r="R858" s="213"/>
      <c r="S858" s="213"/>
      <c r="T858" s="213"/>
      <c r="U858" s="213"/>
      <c r="V858" s="213"/>
      <c r="W858" s="213"/>
      <c r="X858" s="213"/>
      <c r="Y858" s="213"/>
      <c r="Z858" s="213"/>
      <c r="AA858" s="213"/>
      <c r="AB858" s="213"/>
      <c r="AC858" s="213"/>
      <c r="AD858" s="213"/>
      <c r="AE858" s="213"/>
      <c r="AF858" s="213"/>
      <c r="AG858" s="213"/>
      <c r="AH858" s="213"/>
      <c r="AI858" s="213"/>
      <c r="AJ858" s="213"/>
      <c r="AK858" s="213"/>
      <c r="AL858" s="213"/>
      <c r="AM858" s="213"/>
      <c r="AN858" s="213"/>
      <c r="AO858" s="213"/>
      <c r="AP858" s="213"/>
      <c r="AQ858" s="213"/>
      <c r="AR858" s="213"/>
      <c r="AS858" s="213"/>
      <c r="AT858" s="213"/>
      <c r="AU858" s="213"/>
      <c r="AV858" s="213"/>
      <c r="AW858" s="213"/>
      <c r="AX858" s="213"/>
      <c r="AY858" s="213"/>
      <c r="AZ858" s="213"/>
      <c r="BA858" s="213"/>
      <c r="BB858" s="213"/>
    </row>
    <row r="859" ht="15.75" customHeight="1">
      <c r="A859" s="213"/>
      <c r="B859" s="213"/>
      <c r="C859" s="213"/>
      <c r="D859" s="213"/>
      <c r="E859" s="213"/>
      <c r="F859" s="213"/>
      <c r="G859" s="213"/>
      <c r="H859" s="213"/>
      <c r="I859" s="213"/>
      <c r="J859" s="213"/>
      <c r="K859" s="215"/>
      <c r="L859" s="213"/>
      <c r="M859" s="215"/>
      <c r="N859" s="213"/>
      <c r="O859" s="213"/>
      <c r="P859" s="213"/>
      <c r="Q859" s="213"/>
      <c r="R859" s="213"/>
      <c r="S859" s="213"/>
      <c r="T859" s="213"/>
      <c r="U859" s="213"/>
      <c r="V859" s="213"/>
      <c r="W859" s="213"/>
      <c r="X859" s="213"/>
      <c r="Y859" s="213"/>
      <c r="Z859" s="213"/>
      <c r="AA859" s="213"/>
      <c r="AB859" s="213"/>
      <c r="AC859" s="213"/>
      <c r="AD859" s="213"/>
      <c r="AE859" s="213"/>
      <c r="AF859" s="213"/>
      <c r="AG859" s="213"/>
      <c r="AH859" s="213"/>
      <c r="AI859" s="213"/>
      <c r="AJ859" s="213"/>
      <c r="AK859" s="213"/>
      <c r="AL859" s="213"/>
      <c r="AM859" s="213"/>
      <c r="AN859" s="213"/>
      <c r="AO859" s="213"/>
      <c r="AP859" s="213"/>
      <c r="AQ859" s="213"/>
      <c r="AR859" s="213"/>
      <c r="AS859" s="213"/>
      <c r="AT859" s="213"/>
      <c r="AU859" s="213"/>
      <c r="AV859" s="213"/>
      <c r="AW859" s="213"/>
      <c r="AX859" s="213"/>
      <c r="AY859" s="213"/>
      <c r="AZ859" s="213"/>
      <c r="BA859" s="213"/>
      <c r="BB859" s="213"/>
    </row>
    <row r="860" ht="15.75" customHeight="1">
      <c r="A860" s="213"/>
      <c r="B860" s="213"/>
      <c r="C860" s="213"/>
      <c r="D860" s="213"/>
      <c r="E860" s="213"/>
      <c r="F860" s="213"/>
      <c r="G860" s="213"/>
      <c r="H860" s="213"/>
      <c r="I860" s="213"/>
      <c r="J860" s="213"/>
      <c r="K860" s="215"/>
      <c r="L860" s="213"/>
      <c r="M860" s="215"/>
      <c r="N860" s="213"/>
      <c r="O860" s="213"/>
      <c r="P860" s="213"/>
      <c r="Q860" s="213"/>
      <c r="R860" s="213"/>
      <c r="S860" s="213"/>
      <c r="T860" s="213"/>
      <c r="U860" s="213"/>
      <c r="V860" s="213"/>
      <c r="W860" s="213"/>
      <c r="X860" s="213"/>
      <c r="Y860" s="213"/>
      <c r="Z860" s="213"/>
      <c r="AA860" s="213"/>
      <c r="AB860" s="213"/>
      <c r="AC860" s="213"/>
      <c r="AD860" s="213"/>
      <c r="AE860" s="213"/>
      <c r="AF860" s="213"/>
      <c r="AG860" s="213"/>
      <c r="AH860" s="213"/>
      <c r="AI860" s="213"/>
      <c r="AJ860" s="213"/>
      <c r="AK860" s="213"/>
      <c r="AL860" s="213"/>
      <c r="AM860" s="213"/>
      <c r="AN860" s="213"/>
      <c r="AO860" s="213"/>
      <c r="AP860" s="213"/>
      <c r="AQ860" s="213"/>
      <c r="AR860" s="213"/>
      <c r="AS860" s="213"/>
      <c r="AT860" s="213"/>
      <c r="AU860" s="213"/>
      <c r="AV860" s="213"/>
      <c r="AW860" s="213"/>
      <c r="AX860" s="213"/>
      <c r="AY860" s="213"/>
      <c r="AZ860" s="213"/>
      <c r="BA860" s="213"/>
      <c r="BB860" s="213"/>
    </row>
    <row r="861" ht="15.75" customHeight="1">
      <c r="A861" s="213"/>
      <c r="B861" s="213"/>
      <c r="C861" s="213"/>
      <c r="D861" s="213"/>
      <c r="E861" s="213"/>
      <c r="F861" s="213"/>
      <c r="G861" s="213"/>
      <c r="H861" s="213"/>
      <c r="I861" s="213"/>
      <c r="J861" s="213"/>
      <c r="K861" s="215"/>
      <c r="L861" s="213"/>
      <c r="M861" s="215"/>
      <c r="N861" s="213"/>
      <c r="O861" s="213"/>
      <c r="P861" s="213"/>
      <c r="Q861" s="213"/>
      <c r="R861" s="213"/>
      <c r="S861" s="213"/>
      <c r="T861" s="213"/>
      <c r="U861" s="213"/>
      <c r="V861" s="213"/>
      <c r="W861" s="213"/>
      <c r="X861" s="213"/>
      <c r="Y861" s="213"/>
      <c r="Z861" s="213"/>
      <c r="AA861" s="213"/>
      <c r="AB861" s="213"/>
      <c r="AC861" s="213"/>
      <c r="AD861" s="213"/>
      <c r="AE861" s="213"/>
      <c r="AF861" s="213"/>
      <c r="AG861" s="213"/>
      <c r="AH861" s="213"/>
      <c r="AI861" s="213"/>
      <c r="AJ861" s="213"/>
      <c r="AK861" s="213"/>
      <c r="AL861" s="213"/>
      <c r="AM861" s="213"/>
      <c r="AN861" s="213"/>
      <c r="AO861" s="213"/>
      <c r="AP861" s="213"/>
      <c r="AQ861" s="213"/>
      <c r="AR861" s="213"/>
      <c r="AS861" s="213"/>
      <c r="AT861" s="213"/>
      <c r="AU861" s="213"/>
      <c r="AV861" s="213"/>
      <c r="AW861" s="213"/>
      <c r="AX861" s="213"/>
      <c r="AY861" s="213"/>
      <c r="AZ861" s="213"/>
      <c r="BA861" s="213"/>
      <c r="BB861" s="213"/>
    </row>
    <row r="862" ht="15.75" customHeight="1">
      <c r="A862" s="213"/>
      <c r="B862" s="213"/>
      <c r="C862" s="213"/>
      <c r="D862" s="213"/>
      <c r="E862" s="213"/>
      <c r="F862" s="213"/>
      <c r="G862" s="213"/>
      <c r="H862" s="213"/>
      <c r="I862" s="213"/>
      <c r="J862" s="213"/>
      <c r="K862" s="215"/>
      <c r="L862" s="213"/>
      <c r="M862" s="215"/>
      <c r="N862" s="213"/>
      <c r="O862" s="213"/>
      <c r="P862" s="213"/>
      <c r="Q862" s="213"/>
      <c r="R862" s="213"/>
      <c r="S862" s="213"/>
      <c r="T862" s="213"/>
      <c r="U862" s="213"/>
      <c r="V862" s="213"/>
      <c r="W862" s="213"/>
      <c r="X862" s="213"/>
      <c r="Y862" s="213"/>
      <c r="Z862" s="213"/>
      <c r="AA862" s="213"/>
      <c r="AB862" s="213"/>
      <c r="AC862" s="213"/>
      <c r="AD862" s="213"/>
      <c r="AE862" s="213"/>
      <c r="AF862" s="213"/>
      <c r="AG862" s="213"/>
      <c r="AH862" s="213"/>
      <c r="AI862" s="213"/>
      <c r="AJ862" s="213"/>
      <c r="AK862" s="213"/>
      <c r="AL862" s="213"/>
      <c r="AM862" s="213"/>
      <c r="AN862" s="213"/>
      <c r="AO862" s="213"/>
      <c r="AP862" s="213"/>
      <c r="AQ862" s="213"/>
      <c r="AR862" s="213"/>
      <c r="AS862" s="213"/>
      <c r="AT862" s="213"/>
      <c r="AU862" s="213"/>
      <c r="AV862" s="213"/>
      <c r="AW862" s="213"/>
      <c r="AX862" s="213"/>
      <c r="AY862" s="213"/>
      <c r="AZ862" s="213"/>
      <c r="BA862" s="213"/>
      <c r="BB862" s="213"/>
    </row>
    <row r="863" ht="15.75" customHeight="1">
      <c r="A863" s="213"/>
      <c r="B863" s="213"/>
      <c r="C863" s="213"/>
      <c r="D863" s="213"/>
      <c r="E863" s="213"/>
      <c r="F863" s="213"/>
      <c r="G863" s="213"/>
      <c r="H863" s="213"/>
      <c r="I863" s="213"/>
      <c r="J863" s="213"/>
      <c r="K863" s="215"/>
      <c r="L863" s="213"/>
      <c r="M863" s="215"/>
      <c r="N863" s="213"/>
      <c r="O863" s="213"/>
      <c r="P863" s="213"/>
      <c r="Q863" s="213"/>
      <c r="R863" s="213"/>
      <c r="S863" s="213"/>
      <c r="T863" s="213"/>
      <c r="U863" s="213"/>
      <c r="V863" s="213"/>
      <c r="W863" s="213"/>
      <c r="X863" s="213"/>
      <c r="Y863" s="213"/>
      <c r="Z863" s="213"/>
      <c r="AA863" s="213"/>
      <c r="AB863" s="213"/>
      <c r="AC863" s="213"/>
      <c r="AD863" s="213"/>
      <c r="AE863" s="213"/>
      <c r="AF863" s="213"/>
      <c r="AG863" s="213"/>
      <c r="AH863" s="213"/>
      <c r="AI863" s="213"/>
      <c r="AJ863" s="213"/>
      <c r="AK863" s="213"/>
      <c r="AL863" s="213"/>
      <c r="AM863" s="213"/>
      <c r="AN863" s="213"/>
      <c r="AO863" s="213"/>
      <c r="AP863" s="213"/>
      <c r="AQ863" s="213"/>
      <c r="AR863" s="213"/>
      <c r="AS863" s="213"/>
      <c r="AT863" s="213"/>
      <c r="AU863" s="213"/>
      <c r="AV863" s="213"/>
      <c r="AW863" s="213"/>
      <c r="AX863" s="213"/>
      <c r="AY863" s="213"/>
      <c r="AZ863" s="213"/>
      <c r="BA863" s="213"/>
      <c r="BB863" s="213"/>
    </row>
    <row r="864" ht="15.75" customHeight="1">
      <c r="A864" s="213"/>
      <c r="B864" s="213"/>
      <c r="C864" s="213"/>
      <c r="D864" s="213"/>
      <c r="E864" s="213"/>
      <c r="F864" s="213"/>
      <c r="G864" s="213"/>
      <c r="H864" s="213"/>
      <c r="I864" s="213"/>
      <c r="J864" s="213"/>
      <c r="K864" s="215"/>
      <c r="L864" s="213"/>
      <c r="M864" s="215"/>
      <c r="N864" s="213"/>
      <c r="O864" s="213"/>
      <c r="P864" s="213"/>
      <c r="Q864" s="213"/>
      <c r="R864" s="213"/>
      <c r="S864" s="213"/>
      <c r="T864" s="213"/>
      <c r="U864" s="213"/>
      <c r="V864" s="213"/>
      <c r="W864" s="213"/>
      <c r="X864" s="213"/>
      <c r="Y864" s="213"/>
      <c r="Z864" s="213"/>
      <c r="AA864" s="213"/>
      <c r="AB864" s="213"/>
      <c r="AC864" s="213"/>
      <c r="AD864" s="213"/>
      <c r="AE864" s="213"/>
      <c r="AF864" s="213"/>
      <c r="AG864" s="213"/>
      <c r="AH864" s="213"/>
      <c r="AI864" s="213"/>
      <c r="AJ864" s="213"/>
      <c r="AK864" s="213"/>
      <c r="AL864" s="213"/>
      <c r="AM864" s="213"/>
      <c r="AN864" s="213"/>
      <c r="AO864" s="213"/>
      <c r="AP864" s="213"/>
      <c r="AQ864" s="213"/>
      <c r="AR864" s="213"/>
      <c r="AS864" s="213"/>
      <c r="AT864" s="213"/>
      <c r="AU864" s="213"/>
      <c r="AV864" s="213"/>
      <c r="AW864" s="213"/>
      <c r="AX864" s="213"/>
      <c r="AY864" s="213"/>
      <c r="AZ864" s="213"/>
      <c r="BA864" s="213"/>
      <c r="BB864" s="213"/>
    </row>
    <row r="865" ht="15.75" customHeight="1">
      <c r="A865" s="213"/>
      <c r="B865" s="213"/>
      <c r="C865" s="213"/>
      <c r="D865" s="213"/>
      <c r="E865" s="213"/>
      <c r="F865" s="213"/>
      <c r="G865" s="213"/>
      <c r="H865" s="213"/>
      <c r="I865" s="213"/>
      <c r="J865" s="213"/>
      <c r="K865" s="215"/>
      <c r="L865" s="213"/>
      <c r="M865" s="215"/>
      <c r="N865" s="213"/>
      <c r="O865" s="213"/>
      <c r="P865" s="213"/>
      <c r="Q865" s="213"/>
      <c r="R865" s="213"/>
      <c r="S865" s="213"/>
      <c r="T865" s="213"/>
      <c r="U865" s="213"/>
      <c r="V865" s="213"/>
      <c r="W865" s="213"/>
      <c r="X865" s="213"/>
      <c r="Y865" s="213"/>
      <c r="Z865" s="213"/>
      <c r="AA865" s="213"/>
      <c r="AB865" s="213"/>
      <c r="AC865" s="213"/>
      <c r="AD865" s="213"/>
      <c r="AE865" s="213"/>
      <c r="AF865" s="213"/>
      <c r="AG865" s="213"/>
      <c r="AH865" s="213"/>
      <c r="AI865" s="213"/>
      <c r="AJ865" s="213"/>
      <c r="AK865" s="213"/>
      <c r="AL865" s="213"/>
      <c r="AM865" s="213"/>
      <c r="AN865" s="213"/>
      <c r="AO865" s="213"/>
      <c r="AP865" s="213"/>
      <c r="AQ865" s="213"/>
      <c r="AR865" s="213"/>
      <c r="AS865" s="213"/>
      <c r="AT865" s="213"/>
      <c r="AU865" s="213"/>
      <c r="AV865" s="213"/>
      <c r="AW865" s="213"/>
      <c r="AX865" s="213"/>
      <c r="AY865" s="213"/>
      <c r="AZ865" s="213"/>
      <c r="BA865" s="213"/>
      <c r="BB865" s="213"/>
    </row>
    <row r="866" ht="15.75" customHeight="1">
      <c r="A866" s="213"/>
      <c r="B866" s="213"/>
      <c r="C866" s="213"/>
      <c r="D866" s="213"/>
      <c r="E866" s="213"/>
      <c r="F866" s="213"/>
      <c r="G866" s="213"/>
      <c r="H866" s="213"/>
      <c r="I866" s="213"/>
      <c r="J866" s="213"/>
      <c r="K866" s="215"/>
      <c r="L866" s="213"/>
      <c r="M866" s="215"/>
      <c r="N866" s="213"/>
      <c r="O866" s="213"/>
      <c r="P866" s="213"/>
      <c r="Q866" s="213"/>
      <c r="R866" s="213"/>
      <c r="S866" s="213"/>
      <c r="T866" s="213"/>
      <c r="U866" s="213"/>
      <c r="V866" s="213"/>
      <c r="W866" s="213"/>
      <c r="X866" s="213"/>
      <c r="Y866" s="213"/>
      <c r="Z866" s="213"/>
      <c r="AA866" s="213"/>
      <c r="AB866" s="213"/>
      <c r="AC866" s="213"/>
      <c r="AD866" s="213"/>
      <c r="AE866" s="213"/>
      <c r="AF866" s="213"/>
      <c r="AG866" s="213"/>
      <c r="AH866" s="213"/>
      <c r="AI866" s="213"/>
      <c r="AJ866" s="213"/>
      <c r="AK866" s="213"/>
      <c r="AL866" s="213"/>
      <c r="AM866" s="213"/>
      <c r="AN866" s="213"/>
      <c r="AO866" s="213"/>
      <c r="AP866" s="213"/>
      <c r="AQ866" s="213"/>
      <c r="AR866" s="213"/>
      <c r="AS866" s="213"/>
      <c r="AT866" s="213"/>
      <c r="AU866" s="213"/>
      <c r="AV866" s="213"/>
      <c r="AW866" s="213"/>
      <c r="AX866" s="213"/>
      <c r="AY866" s="213"/>
      <c r="AZ866" s="213"/>
      <c r="BA866" s="213"/>
      <c r="BB866" s="213"/>
    </row>
    <row r="867" ht="15.75" customHeight="1">
      <c r="A867" s="213"/>
      <c r="B867" s="213"/>
      <c r="C867" s="213"/>
      <c r="D867" s="213"/>
      <c r="E867" s="213"/>
      <c r="F867" s="213"/>
      <c r="G867" s="213"/>
      <c r="H867" s="213"/>
      <c r="I867" s="213"/>
      <c r="J867" s="213"/>
      <c r="K867" s="215"/>
      <c r="L867" s="213"/>
      <c r="M867" s="215"/>
      <c r="N867" s="213"/>
      <c r="O867" s="213"/>
      <c r="P867" s="213"/>
      <c r="Q867" s="213"/>
      <c r="R867" s="213"/>
      <c r="S867" s="213"/>
      <c r="T867" s="213"/>
      <c r="U867" s="213"/>
      <c r="V867" s="213"/>
      <c r="W867" s="213"/>
      <c r="X867" s="213"/>
      <c r="Y867" s="213"/>
      <c r="Z867" s="213"/>
      <c r="AA867" s="213"/>
      <c r="AB867" s="213"/>
      <c r="AC867" s="213"/>
      <c r="AD867" s="213"/>
      <c r="AE867" s="213"/>
      <c r="AF867" s="213"/>
      <c r="AG867" s="213"/>
      <c r="AH867" s="213"/>
      <c r="AI867" s="213"/>
      <c r="AJ867" s="213"/>
      <c r="AK867" s="213"/>
      <c r="AL867" s="213"/>
      <c r="AM867" s="213"/>
      <c r="AN867" s="213"/>
      <c r="AO867" s="213"/>
      <c r="AP867" s="213"/>
      <c r="AQ867" s="213"/>
      <c r="AR867" s="213"/>
      <c r="AS867" s="213"/>
      <c r="AT867" s="213"/>
      <c r="AU867" s="213"/>
      <c r="AV867" s="213"/>
      <c r="AW867" s="213"/>
      <c r="AX867" s="213"/>
      <c r="AY867" s="213"/>
      <c r="AZ867" s="213"/>
      <c r="BA867" s="213"/>
      <c r="BB867" s="213"/>
    </row>
    <row r="868" ht="15.75" customHeight="1">
      <c r="A868" s="213"/>
      <c r="B868" s="213"/>
      <c r="C868" s="213"/>
      <c r="D868" s="213"/>
      <c r="E868" s="213"/>
      <c r="F868" s="213"/>
      <c r="G868" s="213"/>
      <c r="H868" s="213"/>
      <c r="I868" s="213"/>
      <c r="J868" s="213"/>
      <c r="K868" s="215"/>
      <c r="L868" s="213"/>
      <c r="M868" s="215"/>
      <c r="N868" s="213"/>
      <c r="O868" s="213"/>
      <c r="P868" s="213"/>
      <c r="Q868" s="213"/>
      <c r="R868" s="213"/>
      <c r="S868" s="213"/>
      <c r="T868" s="213"/>
      <c r="U868" s="213"/>
      <c r="V868" s="213"/>
      <c r="W868" s="213"/>
      <c r="X868" s="213"/>
      <c r="Y868" s="213"/>
      <c r="Z868" s="213"/>
      <c r="AA868" s="213"/>
      <c r="AB868" s="213"/>
      <c r="AC868" s="213"/>
      <c r="AD868" s="213"/>
      <c r="AE868" s="213"/>
      <c r="AF868" s="213"/>
      <c r="AG868" s="213"/>
      <c r="AH868" s="213"/>
      <c r="AI868" s="213"/>
      <c r="AJ868" s="213"/>
      <c r="AK868" s="213"/>
      <c r="AL868" s="213"/>
      <c r="AM868" s="213"/>
      <c r="AN868" s="213"/>
      <c r="AO868" s="213"/>
      <c r="AP868" s="213"/>
      <c r="AQ868" s="213"/>
      <c r="AR868" s="213"/>
      <c r="AS868" s="213"/>
      <c r="AT868" s="213"/>
      <c r="AU868" s="213"/>
      <c r="AV868" s="213"/>
      <c r="AW868" s="213"/>
      <c r="AX868" s="213"/>
      <c r="AY868" s="213"/>
      <c r="AZ868" s="213"/>
      <c r="BA868" s="213"/>
      <c r="BB868" s="213"/>
    </row>
    <row r="869" ht="15.75" customHeight="1">
      <c r="A869" s="213"/>
      <c r="B869" s="213"/>
      <c r="C869" s="213"/>
      <c r="D869" s="213"/>
      <c r="E869" s="213"/>
      <c r="F869" s="213"/>
      <c r="G869" s="213"/>
      <c r="H869" s="213"/>
      <c r="I869" s="213"/>
      <c r="J869" s="213"/>
      <c r="K869" s="215"/>
      <c r="L869" s="213"/>
      <c r="M869" s="215"/>
      <c r="N869" s="213"/>
      <c r="O869" s="213"/>
      <c r="P869" s="213"/>
      <c r="Q869" s="213"/>
      <c r="R869" s="213"/>
      <c r="S869" s="213"/>
      <c r="T869" s="213"/>
      <c r="U869" s="213"/>
      <c r="V869" s="213"/>
      <c r="W869" s="213"/>
      <c r="X869" s="213"/>
      <c r="Y869" s="213"/>
      <c r="Z869" s="213"/>
      <c r="AA869" s="213"/>
      <c r="AB869" s="213"/>
      <c r="AC869" s="213"/>
      <c r="AD869" s="213"/>
      <c r="AE869" s="213"/>
      <c r="AF869" s="213"/>
      <c r="AG869" s="213"/>
      <c r="AH869" s="213"/>
      <c r="AI869" s="213"/>
      <c r="AJ869" s="213"/>
      <c r="AK869" s="213"/>
      <c r="AL869" s="213"/>
      <c r="AM869" s="213"/>
      <c r="AN869" s="213"/>
      <c r="AO869" s="213"/>
      <c r="AP869" s="213"/>
      <c r="AQ869" s="213"/>
      <c r="AR869" s="213"/>
      <c r="AS869" s="213"/>
      <c r="AT869" s="213"/>
      <c r="AU869" s="213"/>
      <c r="AV869" s="213"/>
      <c r="AW869" s="213"/>
      <c r="AX869" s="213"/>
      <c r="AY869" s="213"/>
      <c r="AZ869" s="213"/>
      <c r="BA869" s="213"/>
      <c r="BB869" s="213"/>
    </row>
    <row r="870" ht="15.75" customHeight="1">
      <c r="A870" s="213"/>
      <c r="B870" s="213"/>
      <c r="C870" s="213"/>
      <c r="D870" s="213"/>
      <c r="E870" s="213"/>
      <c r="F870" s="213"/>
      <c r="G870" s="213"/>
      <c r="H870" s="213"/>
      <c r="I870" s="213"/>
      <c r="J870" s="213"/>
      <c r="K870" s="215"/>
      <c r="L870" s="213"/>
      <c r="M870" s="215"/>
      <c r="N870" s="213"/>
      <c r="O870" s="213"/>
      <c r="P870" s="213"/>
      <c r="Q870" s="213"/>
      <c r="R870" s="213"/>
      <c r="S870" s="213"/>
      <c r="T870" s="213"/>
      <c r="U870" s="213"/>
      <c r="V870" s="213"/>
      <c r="W870" s="213"/>
      <c r="X870" s="213"/>
      <c r="Y870" s="213"/>
      <c r="Z870" s="213"/>
      <c r="AA870" s="213"/>
      <c r="AB870" s="213"/>
      <c r="AC870" s="213"/>
      <c r="AD870" s="213"/>
      <c r="AE870" s="213"/>
      <c r="AF870" s="213"/>
      <c r="AG870" s="213"/>
      <c r="AH870" s="213"/>
      <c r="AI870" s="213"/>
      <c r="AJ870" s="213"/>
      <c r="AK870" s="213"/>
      <c r="AL870" s="213"/>
      <c r="AM870" s="213"/>
      <c r="AN870" s="213"/>
      <c r="AO870" s="213"/>
      <c r="AP870" s="213"/>
      <c r="AQ870" s="213"/>
      <c r="AR870" s="213"/>
      <c r="AS870" s="213"/>
      <c r="AT870" s="213"/>
      <c r="AU870" s="213"/>
      <c r="AV870" s="213"/>
      <c r="AW870" s="213"/>
      <c r="AX870" s="213"/>
      <c r="AY870" s="213"/>
      <c r="AZ870" s="213"/>
      <c r="BA870" s="213"/>
      <c r="BB870" s="213"/>
    </row>
    <row r="871" ht="15.75" customHeight="1">
      <c r="A871" s="213"/>
      <c r="B871" s="213"/>
      <c r="C871" s="213"/>
      <c r="D871" s="213"/>
      <c r="E871" s="213"/>
      <c r="F871" s="213"/>
      <c r="G871" s="213"/>
      <c r="H871" s="213"/>
      <c r="I871" s="213"/>
      <c r="J871" s="213"/>
      <c r="K871" s="215"/>
      <c r="L871" s="213"/>
      <c r="M871" s="215"/>
      <c r="N871" s="213"/>
      <c r="O871" s="213"/>
      <c r="P871" s="213"/>
      <c r="Q871" s="213"/>
      <c r="R871" s="213"/>
      <c r="S871" s="213"/>
      <c r="T871" s="213"/>
      <c r="U871" s="213"/>
      <c r="V871" s="213"/>
      <c r="W871" s="213"/>
      <c r="X871" s="213"/>
      <c r="Y871" s="213"/>
      <c r="Z871" s="213"/>
      <c r="AA871" s="213"/>
      <c r="AB871" s="213"/>
      <c r="AC871" s="213"/>
      <c r="AD871" s="213"/>
      <c r="AE871" s="213"/>
      <c r="AF871" s="213"/>
      <c r="AG871" s="213"/>
      <c r="AH871" s="213"/>
      <c r="AI871" s="213"/>
      <c r="AJ871" s="213"/>
      <c r="AK871" s="213"/>
      <c r="AL871" s="213"/>
      <c r="AM871" s="213"/>
      <c r="AN871" s="213"/>
      <c r="AO871" s="213"/>
      <c r="AP871" s="213"/>
      <c r="AQ871" s="213"/>
      <c r="AR871" s="213"/>
      <c r="AS871" s="213"/>
      <c r="AT871" s="213"/>
      <c r="AU871" s="213"/>
      <c r="AV871" s="213"/>
      <c r="AW871" s="213"/>
      <c r="AX871" s="213"/>
      <c r="AY871" s="213"/>
      <c r="AZ871" s="213"/>
      <c r="BA871" s="213"/>
      <c r="BB871" s="213"/>
    </row>
    <row r="872" ht="15.75" customHeight="1">
      <c r="A872" s="213"/>
      <c r="B872" s="213"/>
      <c r="C872" s="213"/>
      <c r="D872" s="213"/>
      <c r="E872" s="213"/>
      <c r="F872" s="213"/>
      <c r="G872" s="213"/>
      <c r="H872" s="213"/>
      <c r="I872" s="213"/>
      <c r="J872" s="213"/>
      <c r="K872" s="215"/>
      <c r="L872" s="213"/>
      <c r="M872" s="215"/>
      <c r="N872" s="213"/>
      <c r="O872" s="213"/>
      <c r="P872" s="213"/>
      <c r="Q872" s="213"/>
      <c r="R872" s="213"/>
      <c r="S872" s="213"/>
      <c r="T872" s="213"/>
      <c r="U872" s="213"/>
      <c r="V872" s="213"/>
      <c r="W872" s="213"/>
      <c r="X872" s="213"/>
      <c r="Y872" s="213"/>
      <c r="Z872" s="213"/>
      <c r="AA872" s="213"/>
      <c r="AB872" s="213"/>
      <c r="AC872" s="213"/>
      <c r="AD872" s="213"/>
      <c r="AE872" s="213"/>
      <c r="AF872" s="213"/>
      <c r="AG872" s="213"/>
      <c r="AH872" s="213"/>
      <c r="AI872" s="213"/>
      <c r="AJ872" s="213"/>
      <c r="AK872" s="213"/>
      <c r="AL872" s="213"/>
      <c r="AM872" s="213"/>
      <c r="AN872" s="213"/>
      <c r="AO872" s="213"/>
      <c r="AP872" s="213"/>
      <c r="AQ872" s="213"/>
      <c r="AR872" s="213"/>
      <c r="AS872" s="213"/>
      <c r="AT872" s="213"/>
      <c r="AU872" s="213"/>
      <c r="AV872" s="213"/>
      <c r="AW872" s="213"/>
      <c r="AX872" s="213"/>
      <c r="AY872" s="213"/>
      <c r="AZ872" s="213"/>
      <c r="BA872" s="213"/>
      <c r="BB872" s="213"/>
    </row>
    <row r="873" ht="15.75" customHeight="1">
      <c r="A873" s="213"/>
      <c r="B873" s="213"/>
      <c r="C873" s="213"/>
      <c r="D873" s="213"/>
      <c r="E873" s="213"/>
      <c r="F873" s="213"/>
      <c r="G873" s="213"/>
      <c r="H873" s="213"/>
      <c r="I873" s="213"/>
      <c r="J873" s="213"/>
      <c r="K873" s="215"/>
      <c r="L873" s="213"/>
      <c r="M873" s="215"/>
      <c r="N873" s="213"/>
      <c r="O873" s="213"/>
      <c r="P873" s="213"/>
      <c r="Q873" s="213"/>
      <c r="R873" s="213"/>
      <c r="S873" s="213"/>
      <c r="T873" s="213"/>
      <c r="U873" s="213"/>
      <c r="V873" s="213"/>
      <c r="W873" s="213"/>
      <c r="X873" s="213"/>
      <c r="Y873" s="213"/>
      <c r="Z873" s="213"/>
      <c r="AA873" s="213"/>
      <c r="AB873" s="213"/>
      <c r="AC873" s="213"/>
      <c r="AD873" s="213"/>
      <c r="AE873" s="213"/>
      <c r="AF873" s="213"/>
      <c r="AG873" s="213"/>
      <c r="AH873" s="213"/>
      <c r="AI873" s="213"/>
      <c r="AJ873" s="213"/>
      <c r="AK873" s="213"/>
      <c r="AL873" s="213"/>
      <c r="AM873" s="213"/>
      <c r="AN873" s="213"/>
      <c r="AO873" s="213"/>
      <c r="AP873" s="213"/>
      <c r="AQ873" s="213"/>
      <c r="AR873" s="213"/>
      <c r="AS873" s="213"/>
      <c r="AT873" s="213"/>
      <c r="AU873" s="213"/>
      <c r="AV873" s="213"/>
      <c r="AW873" s="213"/>
      <c r="AX873" s="213"/>
      <c r="AY873" s="213"/>
      <c r="AZ873" s="213"/>
      <c r="BA873" s="213"/>
      <c r="BB873" s="213"/>
    </row>
    <row r="874" ht="15.75" customHeight="1">
      <c r="A874" s="213"/>
      <c r="B874" s="213"/>
      <c r="C874" s="213"/>
      <c r="D874" s="213"/>
      <c r="E874" s="213"/>
      <c r="F874" s="213"/>
      <c r="G874" s="213"/>
      <c r="H874" s="213"/>
      <c r="I874" s="213"/>
      <c r="J874" s="213"/>
      <c r="K874" s="215"/>
      <c r="L874" s="213"/>
      <c r="M874" s="215"/>
      <c r="N874" s="213"/>
      <c r="O874" s="213"/>
      <c r="P874" s="213"/>
      <c r="Q874" s="213"/>
      <c r="R874" s="213"/>
      <c r="S874" s="213"/>
      <c r="T874" s="213"/>
      <c r="U874" s="213"/>
      <c r="V874" s="213"/>
      <c r="W874" s="213"/>
      <c r="X874" s="213"/>
      <c r="Y874" s="213"/>
      <c r="Z874" s="213"/>
      <c r="AA874" s="213"/>
      <c r="AB874" s="213"/>
      <c r="AC874" s="213"/>
      <c r="AD874" s="213"/>
      <c r="AE874" s="213"/>
      <c r="AF874" s="213"/>
      <c r="AG874" s="213"/>
      <c r="AH874" s="213"/>
      <c r="AI874" s="213"/>
      <c r="AJ874" s="213"/>
      <c r="AK874" s="213"/>
      <c r="AL874" s="213"/>
      <c r="AM874" s="213"/>
      <c r="AN874" s="213"/>
      <c r="AO874" s="213"/>
      <c r="AP874" s="213"/>
      <c r="AQ874" s="213"/>
      <c r="AR874" s="213"/>
      <c r="AS874" s="213"/>
      <c r="AT874" s="213"/>
      <c r="AU874" s="213"/>
      <c r="AV874" s="213"/>
      <c r="AW874" s="213"/>
      <c r="AX874" s="213"/>
      <c r="AY874" s="213"/>
      <c r="AZ874" s="213"/>
      <c r="BA874" s="213"/>
      <c r="BB874" s="213"/>
    </row>
    <row r="875" ht="15.75" customHeight="1">
      <c r="A875" s="213"/>
      <c r="B875" s="213"/>
      <c r="C875" s="213"/>
      <c r="D875" s="213"/>
      <c r="E875" s="213"/>
      <c r="F875" s="213"/>
      <c r="G875" s="213"/>
      <c r="H875" s="213"/>
      <c r="I875" s="213"/>
      <c r="J875" s="213"/>
      <c r="K875" s="215"/>
      <c r="L875" s="213"/>
      <c r="M875" s="215"/>
      <c r="N875" s="213"/>
      <c r="O875" s="213"/>
      <c r="P875" s="213"/>
      <c r="Q875" s="213"/>
      <c r="R875" s="213"/>
      <c r="S875" s="213"/>
      <c r="T875" s="213"/>
      <c r="U875" s="213"/>
      <c r="V875" s="213"/>
      <c r="W875" s="213"/>
      <c r="X875" s="213"/>
      <c r="Y875" s="213"/>
      <c r="Z875" s="213"/>
      <c r="AA875" s="213"/>
      <c r="AB875" s="213"/>
      <c r="AC875" s="213"/>
      <c r="AD875" s="213"/>
      <c r="AE875" s="213"/>
      <c r="AF875" s="213"/>
      <c r="AG875" s="213"/>
      <c r="AH875" s="213"/>
      <c r="AI875" s="213"/>
      <c r="AJ875" s="213"/>
      <c r="AK875" s="213"/>
      <c r="AL875" s="213"/>
      <c r="AM875" s="213"/>
      <c r="AN875" s="213"/>
      <c r="AO875" s="213"/>
      <c r="AP875" s="213"/>
      <c r="AQ875" s="213"/>
      <c r="AR875" s="213"/>
      <c r="AS875" s="213"/>
      <c r="AT875" s="213"/>
      <c r="AU875" s="213"/>
      <c r="AV875" s="213"/>
      <c r="AW875" s="213"/>
      <c r="AX875" s="213"/>
      <c r="AY875" s="213"/>
      <c r="AZ875" s="213"/>
      <c r="BA875" s="213"/>
      <c r="BB875" s="213"/>
    </row>
    <row r="876" ht="15.75" customHeight="1">
      <c r="A876" s="213"/>
      <c r="B876" s="213"/>
      <c r="C876" s="213"/>
      <c r="D876" s="213"/>
      <c r="E876" s="213"/>
      <c r="F876" s="213"/>
      <c r="G876" s="213"/>
      <c r="H876" s="213"/>
      <c r="I876" s="213"/>
      <c r="J876" s="213"/>
      <c r="K876" s="215"/>
      <c r="L876" s="213"/>
      <c r="M876" s="215"/>
      <c r="N876" s="213"/>
      <c r="O876" s="213"/>
      <c r="P876" s="213"/>
      <c r="Q876" s="213"/>
      <c r="R876" s="213"/>
      <c r="S876" s="213"/>
      <c r="T876" s="213"/>
      <c r="U876" s="213"/>
      <c r="V876" s="213"/>
      <c r="W876" s="213"/>
      <c r="X876" s="213"/>
      <c r="Y876" s="213"/>
      <c r="Z876" s="213"/>
      <c r="AA876" s="213"/>
      <c r="AB876" s="213"/>
      <c r="AC876" s="213"/>
      <c r="AD876" s="213"/>
      <c r="AE876" s="213"/>
      <c r="AF876" s="213"/>
      <c r="AG876" s="213"/>
      <c r="AH876" s="213"/>
      <c r="AI876" s="213"/>
      <c r="AJ876" s="213"/>
      <c r="AK876" s="213"/>
      <c r="AL876" s="213"/>
      <c r="AM876" s="213"/>
      <c r="AN876" s="213"/>
      <c r="AO876" s="213"/>
      <c r="AP876" s="213"/>
      <c r="AQ876" s="213"/>
      <c r="AR876" s="213"/>
      <c r="AS876" s="213"/>
      <c r="AT876" s="213"/>
      <c r="AU876" s="213"/>
      <c r="AV876" s="213"/>
      <c r="AW876" s="213"/>
      <c r="AX876" s="213"/>
      <c r="AY876" s="213"/>
      <c r="AZ876" s="213"/>
      <c r="BA876" s="213"/>
      <c r="BB876" s="213"/>
    </row>
    <row r="877" ht="15.75" customHeight="1">
      <c r="A877" s="213"/>
      <c r="B877" s="213"/>
      <c r="C877" s="213"/>
      <c r="D877" s="213"/>
      <c r="E877" s="213"/>
      <c r="F877" s="213"/>
      <c r="G877" s="213"/>
      <c r="H877" s="213"/>
      <c r="I877" s="213"/>
      <c r="J877" s="213"/>
      <c r="K877" s="215"/>
      <c r="L877" s="213"/>
      <c r="M877" s="215"/>
      <c r="N877" s="213"/>
      <c r="O877" s="213"/>
      <c r="P877" s="213"/>
      <c r="Q877" s="213"/>
      <c r="R877" s="213"/>
      <c r="S877" s="213"/>
      <c r="T877" s="213"/>
      <c r="U877" s="213"/>
      <c r="V877" s="213"/>
      <c r="W877" s="213"/>
      <c r="X877" s="213"/>
      <c r="Y877" s="213"/>
      <c r="Z877" s="213"/>
      <c r="AA877" s="213"/>
      <c r="AB877" s="213"/>
      <c r="AC877" s="213"/>
      <c r="AD877" s="213"/>
      <c r="AE877" s="213"/>
      <c r="AF877" s="213"/>
      <c r="AG877" s="213"/>
      <c r="AH877" s="213"/>
      <c r="AI877" s="213"/>
      <c r="AJ877" s="213"/>
      <c r="AK877" s="213"/>
      <c r="AL877" s="213"/>
      <c r="AM877" s="213"/>
      <c r="AN877" s="213"/>
      <c r="AO877" s="213"/>
      <c r="AP877" s="213"/>
      <c r="AQ877" s="213"/>
      <c r="AR877" s="213"/>
      <c r="AS877" s="213"/>
      <c r="AT877" s="213"/>
      <c r="AU877" s="213"/>
      <c r="AV877" s="213"/>
      <c r="AW877" s="213"/>
      <c r="AX877" s="213"/>
      <c r="AY877" s="213"/>
      <c r="AZ877" s="213"/>
      <c r="BA877" s="213"/>
      <c r="BB877" s="213"/>
    </row>
    <row r="878" ht="15.75" customHeight="1">
      <c r="A878" s="213"/>
      <c r="B878" s="213"/>
      <c r="C878" s="213"/>
      <c r="D878" s="213"/>
      <c r="E878" s="213"/>
      <c r="F878" s="213"/>
      <c r="G878" s="213"/>
      <c r="H878" s="213"/>
      <c r="I878" s="213"/>
      <c r="J878" s="213"/>
      <c r="K878" s="215"/>
      <c r="L878" s="213"/>
      <c r="M878" s="215"/>
      <c r="N878" s="213"/>
      <c r="O878" s="213"/>
      <c r="P878" s="213"/>
      <c r="Q878" s="213"/>
      <c r="R878" s="213"/>
      <c r="S878" s="213"/>
      <c r="T878" s="213"/>
      <c r="U878" s="213"/>
      <c r="V878" s="213"/>
      <c r="W878" s="213"/>
      <c r="X878" s="213"/>
      <c r="Y878" s="213"/>
      <c r="Z878" s="213"/>
      <c r="AA878" s="213"/>
      <c r="AB878" s="213"/>
      <c r="AC878" s="213"/>
      <c r="AD878" s="213"/>
      <c r="AE878" s="213"/>
      <c r="AF878" s="213"/>
      <c r="AG878" s="213"/>
      <c r="AH878" s="213"/>
      <c r="AI878" s="213"/>
      <c r="AJ878" s="213"/>
      <c r="AK878" s="213"/>
      <c r="AL878" s="213"/>
      <c r="AM878" s="213"/>
      <c r="AN878" s="213"/>
      <c r="AO878" s="213"/>
      <c r="AP878" s="213"/>
      <c r="AQ878" s="213"/>
      <c r="AR878" s="213"/>
      <c r="AS878" s="213"/>
      <c r="AT878" s="213"/>
      <c r="AU878" s="213"/>
      <c r="AV878" s="213"/>
      <c r="AW878" s="213"/>
      <c r="AX878" s="213"/>
      <c r="AY878" s="213"/>
      <c r="AZ878" s="213"/>
      <c r="BA878" s="213"/>
      <c r="BB878" s="213"/>
    </row>
    <row r="879" ht="15.75" customHeight="1">
      <c r="A879" s="213"/>
      <c r="B879" s="213"/>
      <c r="C879" s="213"/>
      <c r="D879" s="213"/>
      <c r="E879" s="213"/>
      <c r="F879" s="213"/>
      <c r="G879" s="213"/>
      <c r="H879" s="213"/>
      <c r="I879" s="213"/>
      <c r="J879" s="213"/>
      <c r="K879" s="215"/>
      <c r="L879" s="213"/>
      <c r="M879" s="215"/>
      <c r="N879" s="213"/>
      <c r="O879" s="213"/>
      <c r="P879" s="213"/>
      <c r="Q879" s="213"/>
      <c r="R879" s="213"/>
      <c r="S879" s="213"/>
      <c r="T879" s="213"/>
      <c r="U879" s="213"/>
      <c r="V879" s="213"/>
      <c r="W879" s="213"/>
      <c r="X879" s="213"/>
      <c r="Y879" s="213"/>
      <c r="Z879" s="213"/>
      <c r="AA879" s="213"/>
      <c r="AB879" s="213"/>
      <c r="AC879" s="213"/>
      <c r="AD879" s="213"/>
      <c r="AE879" s="213"/>
      <c r="AF879" s="213"/>
      <c r="AG879" s="213"/>
      <c r="AH879" s="213"/>
      <c r="AI879" s="213"/>
      <c r="AJ879" s="213"/>
      <c r="AK879" s="213"/>
      <c r="AL879" s="213"/>
      <c r="AM879" s="213"/>
      <c r="AN879" s="213"/>
      <c r="AO879" s="213"/>
      <c r="AP879" s="213"/>
      <c r="AQ879" s="213"/>
      <c r="AR879" s="213"/>
      <c r="AS879" s="213"/>
      <c r="AT879" s="213"/>
      <c r="AU879" s="213"/>
      <c r="AV879" s="213"/>
      <c r="AW879" s="213"/>
      <c r="AX879" s="213"/>
      <c r="AY879" s="213"/>
      <c r="AZ879" s="213"/>
      <c r="BA879" s="213"/>
      <c r="BB879" s="213"/>
    </row>
    <row r="880" ht="15.75" customHeight="1">
      <c r="A880" s="213"/>
      <c r="B880" s="213"/>
      <c r="C880" s="213"/>
      <c r="D880" s="213"/>
      <c r="E880" s="213"/>
      <c r="F880" s="213"/>
      <c r="G880" s="213"/>
      <c r="H880" s="213"/>
      <c r="I880" s="213"/>
      <c r="J880" s="213"/>
      <c r="K880" s="215"/>
      <c r="L880" s="213"/>
      <c r="M880" s="215"/>
      <c r="N880" s="213"/>
      <c r="O880" s="213"/>
      <c r="P880" s="213"/>
      <c r="Q880" s="213"/>
      <c r="R880" s="213"/>
      <c r="S880" s="213"/>
      <c r="T880" s="213"/>
      <c r="U880" s="213"/>
      <c r="V880" s="213"/>
      <c r="W880" s="213"/>
      <c r="X880" s="213"/>
      <c r="Y880" s="213"/>
      <c r="Z880" s="213"/>
      <c r="AA880" s="213"/>
      <c r="AB880" s="213"/>
      <c r="AC880" s="213"/>
      <c r="AD880" s="213"/>
      <c r="AE880" s="213"/>
      <c r="AF880" s="213"/>
      <c r="AG880" s="213"/>
      <c r="AH880" s="213"/>
      <c r="AI880" s="213"/>
      <c r="AJ880" s="213"/>
      <c r="AK880" s="213"/>
      <c r="AL880" s="213"/>
      <c r="AM880" s="213"/>
      <c r="AN880" s="213"/>
      <c r="AO880" s="213"/>
      <c r="AP880" s="213"/>
      <c r="AQ880" s="213"/>
      <c r="AR880" s="213"/>
      <c r="AS880" s="213"/>
      <c r="AT880" s="213"/>
      <c r="AU880" s="213"/>
      <c r="AV880" s="213"/>
      <c r="AW880" s="213"/>
      <c r="AX880" s="213"/>
      <c r="AY880" s="213"/>
      <c r="AZ880" s="213"/>
      <c r="BA880" s="213"/>
      <c r="BB880" s="213"/>
    </row>
    <row r="881" ht="15.75" customHeight="1">
      <c r="A881" s="213"/>
      <c r="B881" s="213"/>
      <c r="C881" s="213"/>
      <c r="D881" s="213"/>
      <c r="E881" s="213"/>
      <c r="F881" s="213"/>
      <c r="G881" s="213"/>
      <c r="H881" s="213"/>
      <c r="I881" s="213"/>
      <c r="J881" s="213"/>
      <c r="K881" s="215"/>
      <c r="L881" s="213"/>
      <c r="M881" s="215"/>
      <c r="N881" s="213"/>
      <c r="O881" s="213"/>
      <c r="P881" s="213"/>
      <c r="Q881" s="213"/>
      <c r="R881" s="213"/>
      <c r="S881" s="213"/>
      <c r="T881" s="213"/>
      <c r="U881" s="213"/>
      <c r="V881" s="213"/>
      <c r="W881" s="213"/>
      <c r="X881" s="213"/>
      <c r="Y881" s="213"/>
      <c r="Z881" s="213"/>
      <c r="AA881" s="213"/>
      <c r="AB881" s="213"/>
      <c r="AC881" s="213"/>
      <c r="AD881" s="213"/>
      <c r="AE881" s="213"/>
      <c r="AF881" s="213"/>
      <c r="AG881" s="213"/>
      <c r="AH881" s="213"/>
      <c r="AI881" s="213"/>
      <c r="AJ881" s="213"/>
      <c r="AK881" s="213"/>
      <c r="AL881" s="213"/>
      <c r="AM881" s="213"/>
      <c r="AN881" s="213"/>
      <c r="AO881" s="213"/>
      <c r="AP881" s="213"/>
      <c r="AQ881" s="213"/>
      <c r="AR881" s="213"/>
      <c r="AS881" s="213"/>
      <c r="AT881" s="213"/>
      <c r="AU881" s="213"/>
      <c r="AV881" s="213"/>
      <c r="AW881" s="213"/>
      <c r="AX881" s="213"/>
      <c r="AY881" s="213"/>
      <c r="AZ881" s="213"/>
      <c r="BA881" s="213"/>
      <c r="BB881" s="213"/>
    </row>
    <row r="882" ht="15.75" customHeight="1">
      <c r="A882" s="213"/>
      <c r="B882" s="213"/>
      <c r="C882" s="213"/>
      <c r="D882" s="213"/>
      <c r="E882" s="213"/>
      <c r="F882" s="213"/>
      <c r="G882" s="213"/>
      <c r="H882" s="213"/>
      <c r="I882" s="213"/>
      <c r="J882" s="213"/>
      <c r="K882" s="215"/>
      <c r="L882" s="213"/>
      <c r="M882" s="215"/>
      <c r="N882" s="213"/>
      <c r="O882" s="213"/>
      <c r="P882" s="213"/>
      <c r="Q882" s="213"/>
      <c r="R882" s="213"/>
      <c r="S882" s="213"/>
      <c r="T882" s="213"/>
      <c r="U882" s="213"/>
      <c r="V882" s="213"/>
      <c r="W882" s="213"/>
      <c r="X882" s="213"/>
      <c r="Y882" s="213"/>
      <c r="Z882" s="213"/>
      <c r="AA882" s="213"/>
      <c r="AB882" s="213"/>
      <c r="AC882" s="213"/>
      <c r="AD882" s="213"/>
      <c r="AE882" s="213"/>
      <c r="AF882" s="213"/>
      <c r="AG882" s="213"/>
      <c r="AH882" s="213"/>
      <c r="AI882" s="213"/>
      <c r="AJ882" s="213"/>
      <c r="AK882" s="213"/>
      <c r="AL882" s="213"/>
      <c r="AM882" s="213"/>
      <c r="AN882" s="213"/>
      <c r="AO882" s="213"/>
      <c r="AP882" s="213"/>
      <c r="AQ882" s="213"/>
      <c r="AR882" s="213"/>
      <c r="AS882" s="213"/>
      <c r="AT882" s="213"/>
      <c r="AU882" s="213"/>
      <c r="AV882" s="213"/>
      <c r="AW882" s="213"/>
      <c r="AX882" s="213"/>
      <c r="AY882" s="213"/>
      <c r="AZ882" s="213"/>
      <c r="BA882" s="213"/>
      <c r="BB882" s="213"/>
    </row>
    <row r="883" ht="15.75" customHeight="1">
      <c r="A883" s="213"/>
      <c r="B883" s="213"/>
      <c r="C883" s="213"/>
      <c r="D883" s="213"/>
      <c r="E883" s="213"/>
      <c r="F883" s="213"/>
      <c r="G883" s="213"/>
      <c r="H883" s="213"/>
      <c r="I883" s="213"/>
      <c r="J883" s="213"/>
      <c r="K883" s="215"/>
      <c r="L883" s="213"/>
      <c r="M883" s="215"/>
      <c r="N883" s="213"/>
      <c r="O883" s="213"/>
      <c r="P883" s="213"/>
      <c r="Q883" s="213"/>
      <c r="R883" s="213"/>
      <c r="S883" s="213"/>
      <c r="T883" s="213"/>
      <c r="U883" s="213"/>
      <c r="V883" s="213"/>
      <c r="W883" s="213"/>
      <c r="X883" s="213"/>
      <c r="Y883" s="213"/>
      <c r="Z883" s="213"/>
      <c r="AA883" s="213"/>
      <c r="AB883" s="213"/>
      <c r="AC883" s="213"/>
      <c r="AD883" s="213"/>
      <c r="AE883" s="213"/>
      <c r="AF883" s="213"/>
      <c r="AG883" s="213"/>
      <c r="AH883" s="213"/>
      <c r="AI883" s="213"/>
      <c r="AJ883" s="213"/>
      <c r="AK883" s="213"/>
      <c r="AL883" s="213"/>
      <c r="AM883" s="213"/>
      <c r="AN883" s="213"/>
      <c r="AO883" s="213"/>
      <c r="AP883" s="213"/>
      <c r="AQ883" s="213"/>
      <c r="AR883" s="213"/>
      <c r="AS883" s="213"/>
      <c r="AT883" s="213"/>
      <c r="AU883" s="213"/>
      <c r="AV883" s="213"/>
      <c r="AW883" s="213"/>
      <c r="AX883" s="213"/>
      <c r="AY883" s="213"/>
      <c r="AZ883" s="213"/>
      <c r="BA883" s="213"/>
      <c r="BB883" s="213"/>
    </row>
    <row r="884" ht="15.75" customHeight="1">
      <c r="A884" s="213"/>
      <c r="B884" s="213"/>
      <c r="C884" s="213"/>
      <c r="D884" s="213"/>
      <c r="E884" s="213"/>
      <c r="F884" s="213"/>
      <c r="G884" s="213"/>
      <c r="H884" s="213"/>
      <c r="I884" s="213"/>
      <c r="J884" s="213"/>
      <c r="K884" s="215"/>
      <c r="L884" s="213"/>
      <c r="M884" s="215"/>
      <c r="N884" s="213"/>
      <c r="O884" s="213"/>
      <c r="P884" s="213"/>
      <c r="Q884" s="213"/>
      <c r="R884" s="213"/>
      <c r="S884" s="213"/>
      <c r="T884" s="213"/>
      <c r="U884" s="213"/>
      <c r="V884" s="213"/>
      <c r="W884" s="213"/>
      <c r="X884" s="213"/>
      <c r="Y884" s="213"/>
      <c r="Z884" s="213"/>
      <c r="AA884" s="213"/>
      <c r="AB884" s="213"/>
      <c r="AC884" s="213"/>
      <c r="AD884" s="213"/>
      <c r="AE884" s="213"/>
      <c r="AF884" s="213"/>
      <c r="AG884" s="213"/>
      <c r="AH884" s="213"/>
      <c r="AI884" s="213"/>
      <c r="AJ884" s="213"/>
      <c r="AK884" s="213"/>
      <c r="AL884" s="213"/>
      <c r="AM884" s="213"/>
      <c r="AN884" s="213"/>
      <c r="AO884" s="213"/>
      <c r="AP884" s="213"/>
      <c r="AQ884" s="213"/>
      <c r="AR884" s="213"/>
      <c r="AS884" s="213"/>
      <c r="AT884" s="213"/>
      <c r="AU884" s="213"/>
      <c r="AV884" s="213"/>
      <c r="AW884" s="213"/>
      <c r="AX884" s="213"/>
      <c r="AY884" s="213"/>
      <c r="AZ884" s="213"/>
      <c r="BA884" s="213"/>
      <c r="BB884" s="213"/>
    </row>
    <row r="885" ht="15.75" customHeight="1">
      <c r="A885" s="213"/>
      <c r="B885" s="213"/>
      <c r="C885" s="213"/>
      <c r="D885" s="213"/>
      <c r="E885" s="213"/>
      <c r="F885" s="213"/>
      <c r="G885" s="213"/>
      <c r="H885" s="213"/>
      <c r="I885" s="213"/>
      <c r="J885" s="213"/>
      <c r="K885" s="215"/>
      <c r="L885" s="213"/>
      <c r="M885" s="215"/>
      <c r="N885" s="213"/>
      <c r="O885" s="213"/>
      <c r="P885" s="213"/>
      <c r="Q885" s="213"/>
      <c r="R885" s="213"/>
      <c r="S885" s="213"/>
      <c r="T885" s="213"/>
      <c r="U885" s="213"/>
      <c r="V885" s="213"/>
      <c r="W885" s="213"/>
      <c r="X885" s="213"/>
      <c r="Y885" s="213"/>
      <c r="Z885" s="213"/>
      <c r="AA885" s="213"/>
      <c r="AB885" s="213"/>
      <c r="AC885" s="213"/>
      <c r="AD885" s="213"/>
      <c r="AE885" s="213"/>
      <c r="AF885" s="213"/>
      <c r="AG885" s="213"/>
      <c r="AH885" s="213"/>
      <c r="AI885" s="213"/>
      <c r="AJ885" s="213"/>
      <c r="AK885" s="213"/>
      <c r="AL885" s="213"/>
      <c r="AM885" s="213"/>
      <c r="AN885" s="213"/>
      <c r="AO885" s="213"/>
      <c r="AP885" s="213"/>
      <c r="AQ885" s="213"/>
      <c r="AR885" s="213"/>
      <c r="AS885" s="213"/>
      <c r="AT885" s="213"/>
      <c r="AU885" s="213"/>
      <c r="AV885" s="213"/>
      <c r="AW885" s="213"/>
      <c r="AX885" s="213"/>
      <c r="AY885" s="213"/>
      <c r="AZ885" s="213"/>
      <c r="BA885" s="213"/>
      <c r="BB885" s="213"/>
    </row>
    <row r="886" ht="15.75" customHeight="1">
      <c r="A886" s="213"/>
      <c r="B886" s="213"/>
      <c r="C886" s="213"/>
      <c r="D886" s="213"/>
      <c r="E886" s="213"/>
      <c r="F886" s="213"/>
      <c r="G886" s="213"/>
      <c r="H886" s="213"/>
      <c r="I886" s="213"/>
      <c r="J886" s="213"/>
      <c r="K886" s="215"/>
      <c r="L886" s="213"/>
      <c r="M886" s="215"/>
      <c r="N886" s="213"/>
      <c r="O886" s="213"/>
      <c r="P886" s="213"/>
      <c r="Q886" s="213"/>
      <c r="R886" s="213"/>
      <c r="S886" s="213"/>
      <c r="T886" s="213"/>
      <c r="U886" s="213"/>
      <c r="V886" s="213"/>
      <c r="W886" s="213"/>
      <c r="X886" s="213"/>
      <c r="Y886" s="213"/>
      <c r="Z886" s="213"/>
      <c r="AA886" s="213"/>
      <c r="AB886" s="213"/>
      <c r="AC886" s="213"/>
      <c r="AD886" s="213"/>
      <c r="AE886" s="213"/>
      <c r="AF886" s="213"/>
      <c r="AG886" s="213"/>
      <c r="AH886" s="213"/>
      <c r="AI886" s="213"/>
      <c r="AJ886" s="213"/>
      <c r="AK886" s="213"/>
      <c r="AL886" s="213"/>
      <c r="AM886" s="213"/>
      <c r="AN886" s="213"/>
      <c r="AO886" s="213"/>
      <c r="AP886" s="213"/>
      <c r="AQ886" s="213"/>
      <c r="AR886" s="213"/>
      <c r="AS886" s="213"/>
      <c r="AT886" s="213"/>
      <c r="AU886" s="213"/>
      <c r="AV886" s="213"/>
      <c r="AW886" s="213"/>
      <c r="AX886" s="213"/>
      <c r="AY886" s="213"/>
      <c r="AZ886" s="213"/>
      <c r="BA886" s="213"/>
      <c r="BB886" s="213"/>
    </row>
    <row r="887" ht="15.75" customHeight="1">
      <c r="A887" s="213"/>
      <c r="B887" s="213"/>
      <c r="C887" s="213"/>
      <c r="D887" s="213"/>
      <c r="E887" s="213"/>
      <c r="F887" s="213"/>
      <c r="G887" s="213"/>
      <c r="H887" s="213"/>
      <c r="I887" s="213"/>
      <c r="J887" s="213"/>
      <c r="K887" s="215"/>
      <c r="L887" s="213"/>
      <c r="M887" s="215"/>
      <c r="N887" s="213"/>
      <c r="O887" s="213"/>
      <c r="P887" s="213"/>
      <c r="Q887" s="213"/>
      <c r="R887" s="213"/>
      <c r="S887" s="213"/>
      <c r="T887" s="213"/>
      <c r="U887" s="213"/>
      <c r="V887" s="213"/>
      <c r="W887" s="213"/>
      <c r="X887" s="213"/>
      <c r="Y887" s="213"/>
      <c r="Z887" s="213"/>
      <c r="AA887" s="213"/>
      <c r="AB887" s="213"/>
      <c r="AC887" s="213"/>
      <c r="AD887" s="213"/>
      <c r="AE887" s="213"/>
      <c r="AF887" s="213"/>
      <c r="AG887" s="213"/>
      <c r="AH887" s="213"/>
      <c r="AI887" s="213"/>
      <c r="AJ887" s="213"/>
      <c r="AK887" s="213"/>
      <c r="AL887" s="213"/>
      <c r="AM887" s="213"/>
      <c r="AN887" s="213"/>
      <c r="AO887" s="213"/>
      <c r="AP887" s="213"/>
      <c r="AQ887" s="213"/>
      <c r="AR887" s="213"/>
      <c r="AS887" s="213"/>
      <c r="AT887" s="213"/>
      <c r="AU887" s="213"/>
      <c r="AV887" s="213"/>
      <c r="AW887" s="213"/>
      <c r="AX887" s="213"/>
      <c r="AY887" s="213"/>
      <c r="AZ887" s="213"/>
      <c r="BA887" s="213"/>
      <c r="BB887" s="213"/>
    </row>
    <row r="888" ht="15.75" customHeight="1">
      <c r="A888" s="213"/>
      <c r="B888" s="213"/>
      <c r="C888" s="213"/>
      <c r="D888" s="213"/>
      <c r="E888" s="213"/>
      <c r="F888" s="213"/>
      <c r="G888" s="213"/>
      <c r="H888" s="213"/>
      <c r="I888" s="213"/>
      <c r="J888" s="213"/>
      <c r="K888" s="215"/>
      <c r="L888" s="213"/>
      <c r="M888" s="215"/>
      <c r="N888" s="213"/>
      <c r="O888" s="213"/>
      <c r="P888" s="213"/>
      <c r="Q888" s="213"/>
      <c r="R888" s="213"/>
      <c r="S888" s="213"/>
      <c r="T888" s="213"/>
      <c r="U888" s="213"/>
      <c r="V888" s="213"/>
      <c r="W888" s="213"/>
      <c r="X888" s="213"/>
      <c r="Y888" s="213"/>
      <c r="Z888" s="213"/>
      <c r="AA888" s="213"/>
      <c r="AB888" s="213"/>
      <c r="AC888" s="213"/>
      <c r="AD888" s="213"/>
      <c r="AE888" s="213"/>
      <c r="AF888" s="213"/>
      <c r="AG888" s="213"/>
      <c r="AH888" s="213"/>
      <c r="AI888" s="213"/>
      <c r="AJ888" s="213"/>
      <c r="AK888" s="213"/>
      <c r="AL888" s="213"/>
      <c r="AM888" s="213"/>
      <c r="AN888" s="213"/>
      <c r="AO888" s="213"/>
      <c r="AP888" s="213"/>
      <c r="AQ888" s="213"/>
      <c r="AR888" s="213"/>
      <c r="AS888" s="213"/>
      <c r="AT888" s="213"/>
      <c r="AU888" s="213"/>
      <c r="AV888" s="213"/>
      <c r="AW888" s="213"/>
      <c r="AX888" s="213"/>
      <c r="AY888" s="213"/>
      <c r="AZ888" s="213"/>
      <c r="BA888" s="213"/>
      <c r="BB888" s="213"/>
    </row>
    <row r="889" ht="15.75" customHeight="1">
      <c r="A889" s="213"/>
      <c r="B889" s="213"/>
      <c r="C889" s="213"/>
      <c r="D889" s="213"/>
      <c r="E889" s="213"/>
      <c r="F889" s="213"/>
      <c r="G889" s="213"/>
      <c r="H889" s="213"/>
      <c r="I889" s="213"/>
      <c r="J889" s="213"/>
      <c r="K889" s="215"/>
      <c r="L889" s="213"/>
      <c r="M889" s="215"/>
      <c r="N889" s="213"/>
      <c r="O889" s="213"/>
      <c r="P889" s="213"/>
      <c r="Q889" s="213"/>
      <c r="R889" s="213"/>
      <c r="S889" s="213"/>
      <c r="T889" s="213"/>
      <c r="U889" s="213"/>
      <c r="V889" s="213"/>
      <c r="W889" s="213"/>
      <c r="X889" s="213"/>
      <c r="Y889" s="213"/>
      <c r="Z889" s="213"/>
      <c r="AA889" s="213"/>
      <c r="AB889" s="213"/>
      <c r="AC889" s="213"/>
      <c r="AD889" s="213"/>
      <c r="AE889" s="213"/>
      <c r="AF889" s="213"/>
      <c r="AG889" s="213"/>
      <c r="AH889" s="213"/>
      <c r="AI889" s="213"/>
      <c r="AJ889" s="213"/>
      <c r="AK889" s="213"/>
      <c r="AL889" s="213"/>
      <c r="AM889" s="213"/>
      <c r="AN889" s="213"/>
      <c r="AO889" s="213"/>
      <c r="AP889" s="213"/>
      <c r="AQ889" s="213"/>
      <c r="AR889" s="213"/>
      <c r="AS889" s="213"/>
      <c r="AT889" s="213"/>
      <c r="AU889" s="213"/>
      <c r="AV889" s="213"/>
      <c r="AW889" s="213"/>
      <c r="AX889" s="213"/>
      <c r="AY889" s="213"/>
      <c r="AZ889" s="213"/>
      <c r="BA889" s="213"/>
      <c r="BB889" s="213"/>
    </row>
    <row r="890" ht="15.75" customHeight="1">
      <c r="A890" s="213"/>
      <c r="B890" s="213"/>
      <c r="C890" s="213"/>
      <c r="D890" s="213"/>
      <c r="E890" s="213"/>
      <c r="F890" s="213"/>
      <c r="G890" s="213"/>
      <c r="H890" s="213"/>
      <c r="I890" s="213"/>
      <c r="J890" s="213"/>
      <c r="K890" s="215"/>
      <c r="L890" s="213"/>
      <c r="M890" s="215"/>
      <c r="N890" s="213"/>
      <c r="O890" s="213"/>
      <c r="P890" s="213"/>
      <c r="Q890" s="213"/>
      <c r="R890" s="213"/>
      <c r="S890" s="213"/>
      <c r="T890" s="213"/>
      <c r="U890" s="213"/>
      <c r="V890" s="213"/>
      <c r="W890" s="213"/>
      <c r="X890" s="213"/>
      <c r="Y890" s="213"/>
      <c r="Z890" s="213"/>
      <c r="AA890" s="213"/>
      <c r="AB890" s="213"/>
      <c r="AC890" s="213"/>
      <c r="AD890" s="213"/>
      <c r="AE890" s="213"/>
      <c r="AF890" s="213"/>
      <c r="AG890" s="213"/>
      <c r="AH890" s="213"/>
      <c r="AI890" s="213"/>
      <c r="AJ890" s="213"/>
      <c r="AK890" s="213"/>
      <c r="AL890" s="213"/>
      <c r="AM890" s="213"/>
      <c r="AN890" s="213"/>
      <c r="AO890" s="213"/>
      <c r="AP890" s="213"/>
      <c r="AQ890" s="213"/>
      <c r="AR890" s="213"/>
      <c r="AS890" s="213"/>
      <c r="AT890" s="213"/>
      <c r="AU890" s="213"/>
      <c r="AV890" s="213"/>
      <c r="AW890" s="213"/>
      <c r="AX890" s="213"/>
      <c r="AY890" s="213"/>
      <c r="AZ890" s="213"/>
      <c r="BA890" s="213"/>
      <c r="BB890" s="213"/>
    </row>
    <row r="891" ht="15.75" customHeight="1">
      <c r="A891" s="213"/>
      <c r="B891" s="213"/>
      <c r="C891" s="213"/>
      <c r="D891" s="213"/>
      <c r="E891" s="213"/>
      <c r="F891" s="213"/>
      <c r="G891" s="213"/>
      <c r="H891" s="213"/>
      <c r="I891" s="213"/>
      <c r="J891" s="213"/>
      <c r="K891" s="215"/>
      <c r="L891" s="213"/>
      <c r="M891" s="215"/>
      <c r="N891" s="213"/>
      <c r="O891" s="213"/>
      <c r="P891" s="213"/>
      <c r="Q891" s="213"/>
      <c r="R891" s="213"/>
      <c r="S891" s="213"/>
      <c r="T891" s="213"/>
      <c r="U891" s="213"/>
      <c r="V891" s="213"/>
      <c r="W891" s="213"/>
      <c r="X891" s="213"/>
      <c r="Y891" s="213"/>
      <c r="Z891" s="213"/>
      <c r="AA891" s="213"/>
      <c r="AB891" s="213"/>
      <c r="AC891" s="213"/>
      <c r="AD891" s="213"/>
      <c r="AE891" s="213"/>
      <c r="AF891" s="213"/>
      <c r="AG891" s="213"/>
      <c r="AH891" s="213"/>
      <c r="AI891" s="213"/>
      <c r="AJ891" s="213"/>
      <c r="AK891" s="213"/>
      <c r="AL891" s="213"/>
      <c r="AM891" s="213"/>
      <c r="AN891" s="213"/>
      <c r="AO891" s="213"/>
      <c r="AP891" s="213"/>
      <c r="AQ891" s="213"/>
      <c r="AR891" s="213"/>
      <c r="AS891" s="213"/>
      <c r="AT891" s="213"/>
      <c r="AU891" s="213"/>
      <c r="AV891" s="213"/>
      <c r="AW891" s="213"/>
      <c r="AX891" s="213"/>
      <c r="AY891" s="213"/>
      <c r="AZ891" s="213"/>
      <c r="BA891" s="213"/>
      <c r="BB891" s="213"/>
    </row>
    <row r="892" ht="15.75" customHeight="1">
      <c r="A892" s="213"/>
      <c r="B892" s="213"/>
      <c r="C892" s="213"/>
      <c r="D892" s="213"/>
      <c r="E892" s="213"/>
      <c r="F892" s="213"/>
      <c r="G892" s="213"/>
      <c r="H892" s="213"/>
      <c r="I892" s="213"/>
      <c r="J892" s="213"/>
      <c r="K892" s="215"/>
      <c r="L892" s="213"/>
      <c r="M892" s="215"/>
      <c r="N892" s="213"/>
      <c r="O892" s="213"/>
      <c r="P892" s="213"/>
      <c r="Q892" s="213"/>
      <c r="R892" s="213"/>
      <c r="S892" s="213"/>
      <c r="T892" s="213"/>
      <c r="U892" s="213"/>
      <c r="V892" s="213"/>
      <c r="W892" s="213"/>
      <c r="X892" s="213"/>
      <c r="Y892" s="213"/>
      <c r="Z892" s="213"/>
      <c r="AA892" s="213"/>
      <c r="AB892" s="213"/>
      <c r="AC892" s="213"/>
      <c r="AD892" s="213"/>
      <c r="AE892" s="213"/>
      <c r="AF892" s="213"/>
      <c r="AG892" s="213"/>
      <c r="AH892" s="213"/>
      <c r="AI892" s="213"/>
      <c r="AJ892" s="213"/>
      <c r="AK892" s="213"/>
      <c r="AL892" s="213"/>
      <c r="AM892" s="213"/>
      <c r="AN892" s="213"/>
      <c r="AO892" s="213"/>
      <c r="AP892" s="213"/>
      <c r="AQ892" s="213"/>
      <c r="AR892" s="213"/>
      <c r="AS892" s="213"/>
      <c r="AT892" s="213"/>
      <c r="AU892" s="213"/>
      <c r="AV892" s="213"/>
      <c r="AW892" s="213"/>
      <c r="AX892" s="213"/>
      <c r="AY892" s="213"/>
      <c r="AZ892" s="213"/>
      <c r="BA892" s="213"/>
      <c r="BB892" s="213"/>
    </row>
    <row r="893" ht="15.75" customHeight="1">
      <c r="A893" s="213"/>
      <c r="B893" s="213"/>
      <c r="C893" s="213"/>
      <c r="D893" s="213"/>
      <c r="E893" s="213"/>
      <c r="F893" s="213"/>
      <c r="G893" s="213"/>
      <c r="H893" s="213"/>
      <c r="I893" s="213"/>
      <c r="J893" s="213"/>
      <c r="K893" s="215"/>
      <c r="L893" s="213"/>
      <c r="M893" s="215"/>
      <c r="N893" s="213"/>
      <c r="O893" s="213"/>
      <c r="P893" s="213"/>
      <c r="Q893" s="213"/>
      <c r="R893" s="213"/>
      <c r="S893" s="213"/>
      <c r="T893" s="213"/>
      <c r="U893" s="213"/>
      <c r="V893" s="213"/>
      <c r="W893" s="213"/>
      <c r="X893" s="213"/>
      <c r="Y893" s="213"/>
      <c r="Z893" s="213"/>
      <c r="AA893" s="213"/>
      <c r="AB893" s="213"/>
      <c r="AC893" s="213"/>
      <c r="AD893" s="213"/>
      <c r="AE893" s="213"/>
      <c r="AF893" s="213"/>
      <c r="AG893" s="213"/>
      <c r="AH893" s="213"/>
      <c r="AI893" s="213"/>
      <c r="AJ893" s="213"/>
      <c r="AK893" s="213"/>
      <c r="AL893" s="213"/>
      <c r="AM893" s="213"/>
      <c r="AN893" s="213"/>
      <c r="AO893" s="213"/>
      <c r="AP893" s="213"/>
      <c r="AQ893" s="213"/>
      <c r="AR893" s="213"/>
      <c r="AS893" s="213"/>
      <c r="AT893" s="213"/>
      <c r="AU893" s="213"/>
      <c r="AV893" s="213"/>
      <c r="AW893" s="213"/>
      <c r="AX893" s="213"/>
      <c r="AY893" s="213"/>
      <c r="AZ893" s="213"/>
      <c r="BA893" s="213"/>
      <c r="BB893" s="213"/>
    </row>
    <row r="894" ht="15.75" customHeight="1">
      <c r="A894" s="213"/>
      <c r="B894" s="213"/>
      <c r="C894" s="213"/>
      <c r="D894" s="213"/>
      <c r="E894" s="213"/>
      <c r="F894" s="213"/>
      <c r="G894" s="213"/>
      <c r="H894" s="213"/>
      <c r="I894" s="213"/>
      <c r="J894" s="213"/>
      <c r="K894" s="215"/>
      <c r="L894" s="213"/>
      <c r="M894" s="215"/>
      <c r="N894" s="213"/>
      <c r="O894" s="213"/>
      <c r="P894" s="213"/>
      <c r="Q894" s="213"/>
      <c r="R894" s="213"/>
      <c r="S894" s="213"/>
      <c r="T894" s="213"/>
      <c r="U894" s="213"/>
      <c r="V894" s="213"/>
      <c r="W894" s="213"/>
      <c r="X894" s="213"/>
      <c r="Y894" s="213"/>
      <c r="Z894" s="213"/>
      <c r="AA894" s="213"/>
      <c r="AB894" s="213"/>
      <c r="AC894" s="213"/>
      <c r="AD894" s="213"/>
      <c r="AE894" s="213"/>
      <c r="AF894" s="213"/>
      <c r="AG894" s="213"/>
      <c r="AH894" s="213"/>
      <c r="AI894" s="213"/>
      <c r="AJ894" s="213"/>
      <c r="AK894" s="213"/>
      <c r="AL894" s="213"/>
      <c r="AM894" s="213"/>
      <c r="AN894" s="213"/>
      <c r="AO894" s="213"/>
      <c r="AP894" s="213"/>
      <c r="AQ894" s="213"/>
      <c r="AR894" s="213"/>
      <c r="AS894" s="213"/>
      <c r="AT894" s="213"/>
      <c r="AU894" s="213"/>
      <c r="AV894" s="213"/>
      <c r="AW894" s="213"/>
      <c r="AX894" s="213"/>
      <c r="AY894" s="213"/>
      <c r="AZ894" s="213"/>
      <c r="BA894" s="213"/>
      <c r="BB894" s="213"/>
    </row>
    <row r="895" ht="15.75" customHeight="1">
      <c r="A895" s="213"/>
      <c r="B895" s="213"/>
      <c r="C895" s="213"/>
      <c r="D895" s="213"/>
      <c r="E895" s="213"/>
      <c r="F895" s="213"/>
      <c r="G895" s="213"/>
      <c r="H895" s="213"/>
      <c r="I895" s="213"/>
      <c r="J895" s="213"/>
      <c r="K895" s="215"/>
      <c r="L895" s="213"/>
      <c r="M895" s="215"/>
      <c r="N895" s="213"/>
      <c r="O895" s="213"/>
      <c r="P895" s="213"/>
      <c r="Q895" s="213"/>
      <c r="R895" s="213"/>
      <c r="S895" s="213"/>
      <c r="T895" s="213"/>
      <c r="U895" s="213"/>
      <c r="V895" s="213"/>
      <c r="W895" s="213"/>
      <c r="X895" s="213"/>
      <c r="Y895" s="213"/>
      <c r="Z895" s="213"/>
      <c r="AA895" s="213"/>
      <c r="AB895" s="213"/>
      <c r="AC895" s="213"/>
      <c r="AD895" s="213"/>
      <c r="AE895" s="213"/>
      <c r="AF895" s="213"/>
      <c r="AG895" s="213"/>
      <c r="AH895" s="213"/>
      <c r="AI895" s="213"/>
      <c r="AJ895" s="213"/>
      <c r="AK895" s="213"/>
      <c r="AL895" s="213"/>
      <c r="AM895" s="213"/>
      <c r="AN895" s="213"/>
      <c r="AO895" s="213"/>
      <c r="AP895" s="213"/>
      <c r="AQ895" s="213"/>
      <c r="AR895" s="213"/>
      <c r="AS895" s="213"/>
      <c r="AT895" s="213"/>
      <c r="AU895" s="213"/>
      <c r="AV895" s="213"/>
      <c r="AW895" s="213"/>
      <c r="AX895" s="213"/>
      <c r="AY895" s="213"/>
      <c r="AZ895" s="213"/>
      <c r="BA895" s="213"/>
      <c r="BB895" s="213"/>
    </row>
    <row r="896" ht="15.75" customHeight="1">
      <c r="A896" s="213"/>
      <c r="B896" s="213"/>
      <c r="C896" s="213"/>
      <c r="D896" s="213"/>
      <c r="E896" s="213"/>
      <c r="F896" s="213"/>
      <c r="G896" s="213"/>
      <c r="H896" s="213"/>
      <c r="I896" s="213"/>
      <c r="J896" s="213"/>
      <c r="K896" s="215"/>
      <c r="L896" s="213"/>
      <c r="M896" s="215"/>
      <c r="N896" s="213"/>
      <c r="O896" s="213"/>
      <c r="P896" s="213"/>
      <c r="Q896" s="213"/>
      <c r="R896" s="213"/>
      <c r="S896" s="213"/>
      <c r="T896" s="213"/>
      <c r="U896" s="213"/>
      <c r="V896" s="213"/>
      <c r="W896" s="213"/>
      <c r="X896" s="213"/>
      <c r="Y896" s="213"/>
      <c r="Z896" s="213"/>
      <c r="AA896" s="213"/>
      <c r="AB896" s="213"/>
      <c r="AC896" s="213"/>
      <c r="AD896" s="213"/>
      <c r="AE896" s="213"/>
      <c r="AF896" s="213"/>
      <c r="AG896" s="213"/>
      <c r="AH896" s="213"/>
      <c r="AI896" s="213"/>
      <c r="AJ896" s="213"/>
      <c r="AK896" s="213"/>
      <c r="AL896" s="213"/>
      <c r="AM896" s="213"/>
      <c r="AN896" s="213"/>
      <c r="AO896" s="213"/>
      <c r="AP896" s="213"/>
      <c r="AQ896" s="213"/>
      <c r="AR896" s="213"/>
      <c r="AS896" s="213"/>
      <c r="AT896" s="213"/>
      <c r="AU896" s="213"/>
      <c r="AV896" s="213"/>
      <c r="AW896" s="213"/>
      <c r="AX896" s="213"/>
      <c r="AY896" s="213"/>
      <c r="AZ896" s="213"/>
      <c r="BA896" s="213"/>
      <c r="BB896" s="213"/>
    </row>
    <row r="897" ht="15.75" customHeight="1">
      <c r="A897" s="213"/>
      <c r="B897" s="213"/>
      <c r="C897" s="213"/>
      <c r="D897" s="213"/>
      <c r="E897" s="213"/>
      <c r="F897" s="213"/>
      <c r="G897" s="213"/>
      <c r="H897" s="213"/>
      <c r="I897" s="213"/>
      <c r="J897" s="213"/>
      <c r="K897" s="215"/>
      <c r="L897" s="213"/>
      <c r="M897" s="215"/>
      <c r="N897" s="213"/>
      <c r="O897" s="213"/>
      <c r="P897" s="213"/>
      <c r="Q897" s="213"/>
      <c r="R897" s="213"/>
      <c r="S897" s="213"/>
      <c r="T897" s="213"/>
      <c r="U897" s="213"/>
      <c r="V897" s="213"/>
      <c r="W897" s="213"/>
      <c r="X897" s="213"/>
      <c r="Y897" s="213"/>
      <c r="Z897" s="213"/>
      <c r="AA897" s="213"/>
      <c r="AB897" s="213"/>
      <c r="AC897" s="213"/>
      <c r="AD897" s="213"/>
      <c r="AE897" s="213"/>
      <c r="AF897" s="213"/>
      <c r="AG897" s="213"/>
      <c r="AH897" s="213"/>
      <c r="AI897" s="213"/>
      <c r="AJ897" s="213"/>
      <c r="AK897" s="213"/>
      <c r="AL897" s="213"/>
      <c r="AM897" s="213"/>
      <c r="AN897" s="213"/>
      <c r="AO897" s="213"/>
      <c r="AP897" s="213"/>
      <c r="AQ897" s="213"/>
      <c r="AR897" s="213"/>
      <c r="AS897" s="213"/>
      <c r="AT897" s="213"/>
      <c r="AU897" s="213"/>
      <c r="AV897" s="213"/>
      <c r="AW897" s="213"/>
      <c r="AX897" s="213"/>
      <c r="AY897" s="213"/>
      <c r="AZ897" s="213"/>
      <c r="BA897" s="213"/>
      <c r="BB897" s="213"/>
    </row>
    <row r="898" ht="15.75" customHeight="1">
      <c r="A898" s="213"/>
      <c r="B898" s="213"/>
      <c r="C898" s="213"/>
      <c r="D898" s="213"/>
      <c r="E898" s="213"/>
      <c r="F898" s="213"/>
      <c r="G898" s="213"/>
      <c r="H898" s="213"/>
      <c r="I898" s="213"/>
      <c r="J898" s="213"/>
      <c r="K898" s="215"/>
      <c r="L898" s="213"/>
      <c r="M898" s="215"/>
      <c r="N898" s="213"/>
      <c r="O898" s="213"/>
      <c r="P898" s="213"/>
      <c r="Q898" s="213"/>
      <c r="R898" s="213"/>
      <c r="S898" s="213"/>
      <c r="T898" s="213"/>
      <c r="U898" s="213"/>
      <c r="V898" s="213"/>
      <c r="W898" s="213"/>
      <c r="X898" s="213"/>
      <c r="Y898" s="213"/>
      <c r="Z898" s="213"/>
      <c r="AA898" s="213"/>
      <c r="AB898" s="213"/>
      <c r="AC898" s="213"/>
      <c r="AD898" s="213"/>
      <c r="AE898" s="213"/>
      <c r="AF898" s="213"/>
      <c r="AG898" s="213"/>
      <c r="AH898" s="213"/>
      <c r="AI898" s="213"/>
      <c r="AJ898" s="213"/>
      <c r="AK898" s="213"/>
      <c r="AL898" s="213"/>
      <c r="AM898" s="213"/>
      <c r="AN898" s="213"/>
      <c r="AO898" s="213"/>
      <c r="AP898" s="213"/>
      <c r="AQ898" s="213"/>
      <c r="AR898" s="213"/>
      <c r="AS898" s="213"/>
      <c r="AT898" s="213"/>
      <c r="AU898" s="213"/>
      <c r="AV898" s="213"/>
      <c r="AW898" s="213"/>
      <c r="AX898" s="213"/>
      <c r="AY898" s="213"/>
      <c r="AZ898" s="213"/>
      <c r="BA898" s="213"/>
      <c r="BB898" s="213"/>
    </row>
    <row r="899" ht="15.75" customHeight="1">
      <c r="A899" s="213"/>
      <c r="B899" s="213"/>
      <c r="C899" s="213"/>
      <c r="D899" s="213"/>
      <c r="E899" s="213"/>
      <c r="F899" s="213"/>
      <c r="G899" s="213"/>
      <c r="H899" s="213"/>
      <c r="I899" s="213"/>
      <c r="J899" s="213"/>
      <c r="K899" s="215"/>
      <c r="L899" s="213"/>
      <c r="M899" s="215"/>
      <c r="N899" s="213"/>
      <c r="O899" s="213"/>
      <c r="P899" s="213"/>
      <c r="Q899" s="213"/>
      <c r="R899" s="213"/>
      <c r="S899" s="213"/>
      <c r="T899" s="213"/>
      <c r="U899" s="213"/>
      <c r="V899" s="213"/>
      <c r="W899" s="213"/>
      <c r="X899" s="213"/>
      <c r="Y899" s="213"/>
      <c r="Z899" s="213"/>
      <c r="AA899" s="213"/>
      <c r="AB899" s="213"/>
      <c r="AC899" s="213"/>
      <c r="AD899" s="213"/>
      <c r="AE899" s="213"/>
      <c r="AF899" s="213"/>
      <c r="AG899" s="213"/>
      <c r="AH899" s="213"/>
      <c r="AI899" s="213"/>
      <c r="AJ899" s="213"/>
      <c r="AK899" s="213"/>
      <c r="AL899" s="213"/>
      <c r="AM899" s="213"/>
      <c r="AN899" s="213"/>
      <c r="AO899" s="213"/>
      <c r="AP899" s="213"/>
      <c r="AQ899" s="213"/>
      <c r="AR899" s="213"/>
      <c r="AS899" s="213"/>
      <c r="AT899" s="213"/>
      <c r="AU899" s="213"/>
      <c r="AV899" s="213"/>
      <c r="AW899" s="213"/>
      <c r="AX899" s="213"/>
      <c r="AY899" s="213"/>
      <c r="AZ899" s="213"/>
      <c r="BA899" s="213"/>
      <c r="BB899" s="213"/>
    </row>
    <row r="900" ht="15.75" customHeight="1">
      <c r="A900" s="213"/>
      <c r="B900" s="213"/>
      <c r="C900" s="213"/>
      <c r="D900" s="213"/>
      <c r="E900" s="213"/>
      <c r="F900" s="213"/>
      <c r="G900" s="213"/>
      <c r="H900" s="213"/>
      <c r="I900" s="213"/>
      <c r="J900" s="213"/>
      <c r="K900" s="215"/>
      <c r="L900" s="213"/>
      <c r="M900" s="215"/>
      <c r="N900" s="213"/>
      <c r="O900" s="213"/>
      <c r="P900" s="213"/>
      <c r="Q900" s="213"/>
      <c r="R900" s="213"/>
      <c r="S900" s="213"/>
      <c r="T900" s="213"/>
      <c r="U900" s="213"/>
      <c r="V900" s="213"/>
      <c r="W900" s="213"/>
      <c r="X900" s="213"/>
      <c r="Y900" s="213"/>
      <c r="Z900" s="213"/>
      <c r="AA900" s="213"/>
      <c r="AB900" s="213"/>
      <c r="AC900" s="213"/>
      <c r="AD900" s="213"/>
      <c r="AE900" s="213"/>
      <c r="AF900" s="213"/>
      <c r="AG900" s="213"/>
      <c r="AH900" s="213"/>
      <c r="AI900" s="213"/>
      <c r="AJ900" s="213"/>
      <c r="AK900" s="213"/>
      <c r="AL900" s="213"/>
      <c r="AM900" s="213"/>
      <c r="AN900" s="213"/>
      <c r="AO900" s="213"/>
      <c r="AP900" s="213"/>
      <c r="AQ900" s="213"/>
      <c r="AR900" s="213"/>
      <c r="AS900" s="213"/>
      <c r="AT900" s="213"/>
      <c r="AU900" s="213"/>
      <c r="AV900" s="213"/>
      <c r="AW900" s="213"/>
      <c r="AX900" s="213"/>
      <c r="AY900" s="213"/>
      <c r="AZ900" s="213"/>
      <c r="BA900" s="213"/>
      <c r="BB900" s="213"/>
    </row>
    <row r="901" ht="15.75" customHeight="1">
      <c r="A901" s="213"/>
      <c r="B901" s="213"/>
      <c r="C901" s="213"/>
      <c r="D901" s="213"/>
      <c r="E901" s="213"/>
      <c r="F901" s="213"/>
      <c r="G901" s="213"/>
      <c r="H901" s="213"/>
      <c r="I901" s="213"/>
      <c r="J901" s="213"/>
      <c r="K901" s="215"/>
      <c r="L901" s="213"/>
      <c r="M901" s="215"/>
      <c r="N901" s="213"/>
      <c r="O901" s="213"/>
      <c r="P901" s="213"/>
      <c r="Q901" s="213"/>
      <c r="R901" s="213"/>
      <c r="S901" s="213"/>
      <c r="T901" s="213"/>
      <c r="U901" s="213"/>
      <c r="V901" s="213"/>
      <c r="W901" s="213"/>
      <c r="X901" s="213"/>
      <c r="Y901" s="213"/>
      <c r="Z901" s="213"/>
      <c r="AA901" s="213"/>
      <c r="AB901" s="213"/>
      <c r="AC901" s="213"/>
      <c r="AD901" s="213"/>
      <c r="AE901" s="213"/>
      <c r="AF901" s="213"/>
      <c r="AG901" s="213"/>
      <c r="AH901" s="213"/>
      <c r="AI901" s="213"/>
      <c r="AJ901" s="213"/>
      <c r="AK901" s="213"/>
      <c r="AL901" s="213"/>
      <c r="AM901" s="213"/>
      <c r="AN901" s="213"/>
      <c r="AO901" s="213"/>
      <c r="AP901" s="213"/>
      <c r="AQ901" s="213"/>
      <c r="AR901" s="213"/>
      <c r="AS901" s="213"/>
      <c r="AT901" s="213"/>
      <c r="AU901" s="213"/>
      <c r="AV901" s="213"/>
      <c r="AW901" s="213"/>
      <c r="AX901" s="213"/>
      <c r="AY901" s="213"/>
      <c r="AZ901" s="213"/>
      <c r="BA901" s="213"/>
      <c r="BB901" s="213"/>
    </row>
    <row r="902" ht="15.75" customHeight="1">
      <c r="A902" s="213"/>
      <c r="B902" s="213"/>
      <c r="C902" s="213"/>
      <c r="D902" s="213"/>
      <c r="E902" s="213"/>
      <c r="F902" s="213"/>
      <c r="G902" s="213"/>
      <c r="H902" s="213"/>
      <c r="I902" s="213"/>
      <c r="J902" s="213"/>
      <c r="K902" s="215"/>
      <c r="L902" s="213"/>
      <c r="M902" s="215"/>
      <c r="N902" s="213"/>
      <c r="O902" s="213"/>
      <c r="P902" s="213"/>
      <c r="Q902" s="213"/>
      <c r="R902" s="213"/>
      <c r="S902" s="213"/>
      <c r="T902" s="213"/>
      <c r="U902" s="213"/>
      <c r="V902" s="213"/>
      <c r="W902" s="213"/>
      <c r="X902" s="213"/>
      <c r="Y902" s="213"/>
      <c r="Z902" s="213"/>
      <c r="AA902" s="213"/>
      <c r="AB902" s="213"/>
      <c r="AC902" s="213"/>
      <c r="AD902" s="213"/>
      <c r="AE902" s="213"/>
      <c r="AF902" s="213"/>
      <c r="AG902" s="213"/>
      <c r="AH902" s="213"/>
      <c r="AI902" s="213"/>
      <c r="AJ902" s="213"/>
      <c r="AK902" s="213"/>
      <c r="AL902" s="213"/>
      <c r="AM902" s="213"/>
      <c r="AN902" s="213"/>
      <c r="AO902" s="213"/>
      <c r="AP902" s="213"/>
      <c r="AQ902" s="213"/>
      <c r="AR902" s="213"/>
      <c r="AS902" s="213"/>
      <c r="AT902" s="213"/>
      <c r="AU902" s="213"/>
      <c r="AV902" s="213"/>
      <c r="AW902" s="213"/>
      <c r="AX902" s="213"/>
      <c r="AY902" s="213"/>
      <c r="AZ902" s="213"/>
      <c r="BA902" s="213"/>
      <c r="BB902" s="213"/>
    </row>
    <row r="903" ht="15.75" customHeight="1">
      <c r="A903" s="213"/>
      <c r="B903" s="213"/>
      <c r="C903" s="213"/>
      <c r="D903" s="213"/>
      <c r="E903" s="213"/>
      <c r="F903" s="213"/>
      <c r="G903" s="213"/>
      <c r="H903" s="213"/>
      <c r="I903" s="213"/>
      <c r="J903" s="213"/>
      <c r="K903" s="215"/>
      <c r="L903" s="213"/>
      <c r="M903" s="215"/>
      <c r="N903" s="213"/>
      <c r="O903" s="213"/>
      <c r="P903" s="213"/>
      <c r="Q903" s="213"/>
      <c r="R903" s="213"/>
      <c r="S903" s="213"/>
      <c r="T903" s="213"/>
      <c r="U903" s="213"/>
      <c r="V903" s="213"/>
      <c r="W903" s="213"/>
      <c r="X903" s="213"/>
      <c r="Y903" s="213"/>
      <c r="Z903" s="213"/>
      <c r="AA903" s="213"/>
      <c r="AB903" s="213"/>
      <c r="AC903" s="213"/>
      <c r="AD903" s="213"/>
      <c r="AE903" s="213"/>
      <c r="AF903" s="213"/>
      <c r="AG903" s="213"/>
      <c r="AH903" s="213"/>
      <c r="AI903" s="213"/>
      <c r="AJ903" s="213"/>
      <c r="AK903" s="213"/>
      <c r="AL903" s="213"/>
      <c r="AM903" s="213"/>
      <c r="AN903" s="213"/>
      <c r="AO903" s="213"/>
      <c r="AP903" s="213"/>
      <c r="AQ903" s="213"/>
      <c r="AR903" s="213"/>
      <c r="AS903" s="213"/>
      <c r="AT903" s="213"/>
      <c r="AU903" s="213"/>
      <c r="AV903" s="213"/>
      <c r="AW903" s="213"/>
      <c r="AX903" s="213"/>
      <c r="AY903" s="213"/>
      <c r="AZ903" s="213"/>
      <c r="BA903" s="213"/>
      <c r="BB903" s="213"/>
    </row>
    <row r="904" ht="15.75" customHeight="1">
      <c r="A904" s="213"/>
      <c r="B904" s="213"/>
      <c r="C904" s="213"/>
      <c r="D904" s="213"/>
      <c r="E904" s="213"/>
      <c r="F904" s="213"/>
      <c r="G904" s="213"/>
      <c r="H904" s="213"/>
      <c r="I904" s="213"/>
      <c r="J904" s="213"/>
      <c r="K904" s="215"/>
      <c r="L904" s="213"/>
      <c r="M904" s="215"/>
      <c r="N904" s="213"/>
      <c r="O904" s="213"/>
      <c r="P904" s="213"/>
      <c r="Q904" s="213"/>
      <c r="R904" s="213"/>
      <c r="S904" s="213"/>
      <c r="T904" s="213"/>
      <c r="U904" s="213"/>
      <c r="V904" s="213"/>
      <c r="W904" s="213"/>
      <c r="X904" s="213"/>
      <c r="Y904" s="213"/>
      <c r="Z904" s="213"/>
      <c r="AA904" s="213"/>
      <c r="AB904" s="213"/>
      <c r="AC904" s="213"/>
      <c r="AD904" s="213"/>
      <c r="AE904" s="213"/>
      <c r="AF904" s="213"/>
      <c r="AG904" s="213"/>
      <c r="AH904" s="213"/>
      <c r="AI904" s="213"/>
      <c r="AJ904" s="213"/>
      <c r="AK904" s="213"/>
      <c r="AL904" s="213"/>
      <c r="AM904" s="213"/>
      <c r="AN904" s="213"/>
      <c r="AO904" s="213"/>
      <c r="AP904" s="213"/>
      <c r="AQ904" s="213"/>
      <c r="AR904" s="213"/>
      <c r="AS904" s="213"/>
      <c r="AT904" s="213"/>
      <c r="AU904" s="213"/>
      <c r="AV904" s="213"/>
      <c r="AW904" s="213"/>
      <c r="AX904" s="213"/>
      <c r="AY904" s="213"/>
      <c r="AZ904" s="213"/>
      <c r="BA904" s="213"/>
      <c r="BB904" s="213"/>
    </row>
    <row r="905" ht="15.75" customHeight="1">
      <c r="A905" s="213"/>
      <c r="B905" s="213"/>
      <c r="C905" s="213"/>
      <c r="D905" s="213"/>
      <c r="E905" s="213"/>
      <c r="F905" s="213"/>
      <c r="G905" s="213"/>
      <c r="H905" s="213"/>
      <c r="I905" s="213"/>
      <c r="J905" s="213"/>
      <c r="K905" s="215"/>
      <c r="L905" s="213"/>
      <c r="M905" s="215"/>
      <c r="N905" s="213"/>
      <c r="O905" s="213"/>
      <c r="P905" s="213"/>
      <c r="Q905" s="213"/>
      <c r="R905" s="213"/>
      <c r="S905" s="213"/>
      <c r="T905" s="213"/>
      <c r="U905" s="213"/>
      <c r="V905" s="213"/>
      <c r="W905" s="213"/>
      <c r="X905" s="213"/>
      <c r="Y905" s="213"/>
      <c r="Z905" s="213"/>
      <c r="AA905" s="213"/>
      <c r="AB905" s="213"/>
      <c r="AC905" s="213"/>
      <c r="AD905" s="213"/>
      <c r="AE905" s="213"/>
      <c r="AF905" s="213"/>
      <c r="AG905" s="213"/>
      <c r="AH905" s="213"/>
      <c r="AI905" s="213"/>
      <c r="AJ905" s="213"/>
      <c r="AK905" s="213"/>
      <c r="AL905" s="213"/>
      <c r="AM905" s="213"/>
      <c r="AN905" s="213"/>
      <c r="AO905" s="213"/>
      <c r="AP905" s="213"/>
      <c r="AQ905" s="213"/>
      <c r="AR905" s="213"/>
      <c r="AS905" s="213"/>
      <c r="AT905" s="213"/>
      <c r="AU905" s="213"/>
      <c r="AV905" s="213"/>
      <c r="AW905" s="213"/>
      <c r="AX905" s="213"/>
      <c r="AY905" s="213"/>
      <c r="AZ905" s="213"/>
      <c r="BA905" s="213"/>
      <c r="BB905" s="213"/>
    </row>
    <row r="906" ht="15.75" customHeight="1">
      <c r="A906" s="213"/>
      <c r="B906" s="213"/>
      <c r="C906" s="213"/>
      <c r="D906" s="213"/>
      <c r="E906" s="213"/>
      <c r="F906" s="213"/>
      <c r="G906" s="213"/>
      <c r="H906" s="213"/>
      <c r="I906" s="213"/>
      <c r="J906" s="213"/>
      <c r="K906" s="215"/>
      <c r="L906" s="213"/>
      <c r="M906" s="215"/>
      <c r="N906" s="213"/>
      <c r="O906" s="213"/>
      <c r="P906" s="213"/>
      <c r="Q906" s="213"/>
      <c r="R906" s="213"/>
      <c r="S906" s="213"/>
      <c r="T906" s="213"/>
      <c r="U906" s="213"/>
      <c r="V906" s="213"/>
      <c r="W906" s="213"/>
      <c r="X906" s="213"/>
      <c r="Y906" s="213"/>
      <c r="Z906" s="213"/>
      <c r="AA906" s="213"/>
      <c r="AB906" s="213"/>
      <c r="AC906" s="213"/>
      <c r="AD906" s="213"/>
      <c r="AE906" s="213"/>
      <c r="AF906" s="213"/>
      <c r="AG906" s="213"/>
      <c r="AH906" s="213"/>
      <c r="AI906" s="213"/>
      <c r="AJ906" s="213"/>
      <c r="AK906" s="213"/>
      <c r="AL906" s="213"/>
      <c r="AM906" s="213"/>
      <c r="AN906" s="213"/>
      <c r="AO906" s="213"/>
      <c r="AP906" s="213"/>
      <c r="AQ906" s="213"/>
      <c r="AR906" s="213"/>
      <c r="AS906" s="213"/>
      <c r="AT906" s="213"/>
      <c r="AU906" s="213"/>
      <c r="AV906" s="213"/>
      <c r="AW906" s="213"/>
      <c r="AX906" s="213"/>
      <c r="AY906" s="213"/>
      <c r="AZ906" s="213"/>
      <c r="BA906" s="213"/>
      <c r="BB906" s="213"/>
    </row>
    <row r="907" ht="15.75" customHeight="1">
      <c r="A907" s="213"/>
      <c r="B907" s="213"/>
      <c r="C907" s="213"/>
      <c r="D907" s="213"/>
      <c r="E907" s="213"/>
      <c r="F907" s="213"/>
      <c r="G907" s="213"/>
      <c r="H907" s="213"/>
      <c r="I907" s="213"/>
      <c r="J907" s="213"/>
      <c r="K907" s="215"/>
      <c r="L907" s="213"/>
      <c r="M907" s="215"/>
      <c r="N907" s="213"/>
      <c r="O907" s="213"/>
      <c r="P907" s="213"/>
      <c r="Q907" s="213"/>
      <c r="R907" s="213"/>
      <c r="S907" s="213"/>
      <c r="T907" s="213"/>
      <c r="U907" s="213"/>
      <c r="V907" s="213"/>
      <c r="W907" s="213"/>
      <c r="X907" s="213"/>
      <c r="Y907" s="213"/>
      <c r="Z907" s="213"/>
      <c r="AA907" s="213"/>
      <c r="AB907" s="213"/>
      <c r="AC907" s="213"/>
      <c r="AD907" s="213"/>
      <c r="AE907" s="213"/>
      <c r="AF907" s="213"/>
      <c r="AG907" s="213"/>
      <c r="AH907" s="213"/>
      <c r="AI907" s="213"/>
      <c r="AJ907" s="213"/>
      <c r="AK907" s="213"/>
      <c r="AL907" s="213"/>
      <c r="AM907" s="213"/>
      <c r="AN907" s="213"/>
      <c r="AO907" s="213"/>
      <c r="AP907" s="213"/>
      <c r="AQ907" s="213"/>
      <c r="AR907" s="213"/>
      <c r="AS907" s="213"/>
      <c r="AT907" s="213"/>
      <c r="AU907" s="213"/>
      <c r="AV907" s="213"/>
      <c r="AW907" s="213"/>
      <c r="AX907" s="213"/>
      <c r="AY907" s="213"/>
      <c r="AZ907" s="213"/>
      <c r="BA907" s="213"/>
      <c r="BB907" s="213"/>
    </row>
    <row r="908" ht="15.75" customHeight="1">
      <c r="A908" s="213"/>
      <c r="B908" s="213"/>
      <c r="C908" s="213"/>
      <c r="D908" s="213"/>
      <c r="E908" s="213"/>
      <c r="F908" s="213"/>
      <c r="G908" s="213"/>
      <c r="H908" s="213"/>
      <c r="I908" s="213"/>
      <c r="J908" s="213"/>
      <c r="K908" s="215"/>
      <c r="L908" s="213"/>
      <c r="M908" s="215"/>
      <c r="N908" s="213"/>
      <c r="O908" s="213"/>
      <c r="P908" s="213"/>
      <c r="Q908" s="213"/>
      <c r="R908" s="213"/>
      <c r="S908" s="213"/>
      <c r="T908" s="213"/>
      <c r="U908" s="213"/>
      <c r="V908" s="213"/>
      <c r="W908" s="213"/>
      <c r="X908" s="213"/>
      <c r="Y908" s="213"/>
      <c r="Z908" s="213"/>
      <c r="AA908" s="213"/>
      <c r="AB908" s="213"/>
      <c r="AC908" s="213"/>
      <c r="AD908" s="213"/>
      <c r="AE908" s="213"/>
      <c r="AF908" s="213"/>
      <c r="AG908" s="213"/>
      <c r="AH908" s="213"/>
      <c r="AI908" s="213"/>
      <c r="AJ908" s="213"/>
      <c r="AK908" s="213"/>
      <c r="AL908" s="213"/>
      <c r="AM908" s="213"/>
      <c r="AN908" s="213"/>
      <c r="AO908" s="213"/>
      <c r="AP908" s="213"/>
      <c r="AQ908" s="213"/>
      <c r="AR908" s="213"/>
      <c r="AS908" s="213"/>
      <c r="AT908" s="213"/>
      <c r="AU908" s="213"/>
      <c r="AV908" s="213"/>
      <c r="AW908" s="213"/>
      <c r="AX908" s="213"/>
      <c r="AY908" s="213"/>
      <c r="AZ908" s="213"/>
      <c r="BA908" s="213"/>
      <c r="BB908" s="213"/>
    </row>
    <row r="909" ht="15.75" customHeight="1">
      <c r="A909" s="213"/>
      <c r="B909" s="213"/>
      <c r="C909" s="213"/>
      <c r="D909" s="213"/>
      <c r="E909" s="213"/>
      <c r="F909" s="213"/>
      <c r="G909" s="213"/>
      <c r="H909" s="213"/>
      <c r="I909" s="213"/>
      <c r="J909" s="213"/>
      <c r="K909" s="215"/>
      <c r="L909" s="213"/>
      <c r="M909" s="215"/>
      <c r="N909" s="213"/>
      <c r="O909" s="213"/>
      <c r="P909" s="213"/>
      <c r="Q909" s="213"/>
      <c r="R909" s="213"/>
      <c r="S909" s="213"/>
      <c r="T909" s="213"/>
      <c r="U909" s="213"/>
      <c r="V909" s="213"/>
      <c r="W909" s="213"/>
      <c r="X909" s="213"/>
      <c r="Y909" s="213"/>
      <c r="Z909" s="213"/>
      <c r="AA909" s="213"/>
      <c r="AB909" s="213"/>
      <c r="AC909" s="213"/>
      <c r="AD909" s="213"/>
      <c r="AE909" s="213"/>
      <c r="AF909" s="213"/>
      <c r="AG909" s="213"/>
      <c r="AH909" s="213"/>
      <c r="AI909" s="213"/>
      <c r="AJ909" s="213"/>
      <c r="AK909" s="213"/>
      <c r="AL909" s="213"/>
      <c r="AM909" s="213"/>
      <c r="AN909" s="213"/>
      <c r="AO909" s="213"/>
      <c r="AP909" s="213"/>
      <c r="AQ909" s="213"/>
      <c r="AR909" s="213"/>
      <c r="AS909" s="213"/>
      <c r="AT909" s="213"/>
      <c r="AU909" s="213"/>
      <c r="AV909" s="213"/>
      <c r="AW909" s="213"/>
      <c r="AX909" s="213"/>
      <c r="AY909" s="213"/>
      <c r="AZ909" s="213"/>
      <c r="BA909" s="213"/>
      <c r="BB909" s="213"/>
    </row>
    <row r="910" ht="15.75" customHeight="1">
      <c r="A910" s="213"/>
      <c r="B910" s="213"/>
      <c r="C910" s="213"/>
      <c r="D910" s="213"/>
      <c r="E910" s="213"/>
      <c r="F910" s="213"/>
      <c r="G910" s="213"/>
      <c r="H910" s="213"/>
      <c r="I910" s="213"/>
      <c r="J910" s="213"/>
      <c r="K910" s="215"/>
      <c r="L910" s="213"/>
      <c r="M910" s="215"/>
      <c r="N910" s="213"/>
      <c r="O910" s="213"/>
      <c r="P910" s="213"/>
      <c r="Q910" s="213"/>
      <c r="R910" s="213"/>
      <c r="S910" s="213"/>
      <c r="T910" s="213"/>
      <c r="U910" s="213"/>
      <c r="V910" s="213"/>
      <c r="W910" s="213"/>
      <c r="X910" s="213"/>
      <c r="Y910" s="213"/>
      <c r="Z910" s="213"/>
      <c r="AA910" s="213"/>
      <c r="AB910" s="213"/>
      <c r="AC910" s="213"/>
      <c r="AD910" s="213"/>
      <c r="AE910" s="213"/>
      <c r="AF910" s="213"/>
      <c r="AG910" s="213"/>
      <c r="AH910" s="213"/>
      <c r="AI910" s="213"/>
      <c r="AJ910" s="213"/>
      <c r="AK910" s="213"/>
      <c r="AL910" s="213"/>
      <c r="AM910" s="213"/>
      <c r="AN910" s="213"/>
      <c r="AO910" s="213"/>
      <c r="AP910" s="213"/>
      <c r="AQ910" s="213"/>
      <c r="AR910" s="213"/>
      <c r="AS910" s="213"/>
      <c r="AT910" s="213"/>
      <c r="AU910" s="213"/>
      <c r="AV910" s="213"/>
      <c r="AW910" s="213"/>
      <c r="AX910" s="213"/>
      <c r="AY910" s="213"/>
      <c r="AZ910" s="213"/>
      <c r="BA910" s="213"/>
      <c r="BB910" s="213"/>
    </row>
    <row r="911" ht="15.75" customHeight="1">
      <c r="A911" s="213"/>
      <c r="B911" s="213"/>
      <c r="C911" s="213"/>
      <c r="D911" s="213"/>
      <c r="E911" s="213"/>
      <c r="F911" s="213"/>
      <c r="G911" s="213"/>
      <c r="H911" s="213"/>
      <c r="I911" s="213"/>
      <c r="J911" s="213"/>
      <c r="K911" s="215"/>
      <c r="L911" s="213"/>
      <c r="M911" s="215"/>
      <c r="N911" s="213"/>
      <c r="O911" s="213"/>
      <c r="P911" s="213"/>
      <c r="Q911" s="213"/>
      <c r="R911" s="213"/>
      <c r="S911" s="213"/>
      <c r="T911" s="213"/>
      <c r="U911" s="213"/>
      <c r="V911" s="213"/>
      <c r="W911" s="213"/>
      <c r="X911" s="213"/>
      <c r="Y911" s="213"/>
      <c r="Z911" s="213"/>
      <c r="AA911" s="213"/>
      <c r="AB911" s="213"/>
      <c r="AC911" s="213"/>
      <c r="AD911" s="213"/>
      <c r="AE911" s="213"/>
      <c r="AF911" s="213"/>
      <c r="AG911" s="213"/>
      <c r="AH911" s="213"/>
      <c r="AI911" s="213"/>
      <c r="AJ911" s="213"/>
      <c r="AK911" s="213"/>
      <c r="AL911" s="213"/>
      <c r="AM911" s="213"/>
      <c r="AN911" s="213"/>
      <c r="AO911" s="213"/>
      <c r="AP911" s="213"/>
      <c r="AQ911" s="213"/>
      <c r="AR911" s="213"/>
      <c r="AS911" s="213"/>
      <c r="AT911" s="213"/>
      <c r="AU911" s="213"/>
      <c r="AV911" s="213"/>
      <c r="AW911" s="213"/>
      <c r="AX911" s="213"/>
      <c r="AY911" s="213"/>
      <c r="AZ911" s="213"/>
      <c r="BA911" s="213"/>
      <c r="BB911" s="213"/>
    </row>
    <row r="912" ht="15.75" customHeight="1">
      <c r="A912" s="213"/>
      <c r="B912" s="213"/>
      <c r="C912" s="213"/>
      <c r="D912" s="213"/>
      <c r="E912" s="213"/>
      <c r="F912" s="213"/>
      <c r="G912" s="213"/>
      <c r="H912" s="213"/>
      <c r="I912" s="213"/>
      <c r="J912" s="213"/>
      <c r="K912" s="215"/>
      <c r="L912" s="213"/>
      <c r="M912" s="215"/>
      <c r="N912" s="213"/>
      <c r="O912" s="213"/>
      <c r="P912" s="213"/>
      <c r="Q912" s="213"/>
      <c r="R912" s="213"/>
      <c r="S912" s="213"/>
      <c r="T912" s="213"/>
      <c r="U912" s="213"/>
      <c r="V912" s="213"/>
      <c r="W912" s="213"/>
      <c r="X912" s="213"/>
      <c r="Y912" s="213"/>
      <c r="Z912" s="213"/>
      <c r="AA912" s="213"/>
      <c r="AB912" s="213"/>
      <c r="AC912" s="213"/>
      <c r="AD912" s="213"/>
      <c r="AE912" s="213"/>
      <c r="AF912" s="213"/>
      <c r="AG912" s="213"/>
      <c r="AH912" s="213"/>
      <c r="AI912" s="213"/>
      <c r="AJ912" s="213"/>
      <c r="AK912" s="213"/>
      <c r="AL912" s="213"/>
      <c r="AM912" s="213"/>
      <c r="AN912" s="213"/>
      <c r="AO912" s="213"/>
      <c r="AP912" s="213"/>
      <c r="AQ912" s="213"/>
      <c r="AR912" s="213"/>
      <c r="AS912" s="213"/>
      <c r="AT912" s="213"/>
      <c r="AU912" s="213"/>
      <c r="AV912" s="213"/>
      <c r="AW912" s="213"/>
      <c r="AX912" s="213"/>
      <c r="AY912" s="213"/>
      <c r="AZ912" s="213"/>
      <c r="BA912" s="213"/>
      <c r="BB912" s="213"/>
    </row>
    <row r="913" ht="15.75" customHeight="1">
      <c r="A913" s="213"/>
      <c r="B913" s="213"/>
      <c r="C913" s="213"/>
      <c r="D913" s="213"/>
      <c r="E913" s="213"/>
      <c r="F913" s="213"/>
      <c r="G913" s="213"/>
      <c r="H913" s="213"/>
      <c r="I913" s="213"/>
      <c r="J913" s="213"/>
      <c r="K913" s="215"/>
      <c r="L913" s="213"/>
      <c r="M913" s="215"/>
      <c r="N913" s="213"/>
      <c r="O913" s="213"/>
      <c r="P913" s="213"/>
      <c r="Q913" s="213"/>
      <c r="R913" s="213"/>
      <c r="S913" s="213"/>
      <c r="T913" s="213"/>
      <c r="U913" s="213"/>
      <c r="V913" s="213"/>
      <c r="W913" s="213"/>
      <c r="X913" s="213"/>
      <c r="Y913" s="213"/>
      <c r="Z913" s="213"/>
      <c r="AA913" s="213"/>
      <c r="AB913" s="213"/>
      <c r="AC913" s="213"/>
      <c r="AD913" s="213"/>
      <c r="AE913" s="213"/>
      <c r="AF913" s="213"/>
      <c r="AG913" s="213"/>
      <c r="AH913" s="213"/>
      <c r="AI913" s="213"/>
      <c r="AJ913" s="213"/>
      <c r="AK913" s="213"/>
      <c r="AL913" s="213"/>
      <c r="AM913" s="213"/>
      <c r="AN913" s="213"/>
      <c r="AO913" s="213"/>
      <c r="AP913" s="213"/>
      <c r="AQ913" s="213"/>
      <c r="AR913" s="213"/>
      <c r="AS913" s="213"/>
      <c r="AT913" s="213"/>
      <c r="AU913" s="213"/>
      <c r="AV913" s="213"/>
      <c r="AW913" s="213"/>
      <c r="AX913" s="213"/>
      <c r="AY913" s="213"/>
      <c r="AZ913" s="213"/>
      <c r="BA913" s="213"/>
      <c r="BB913" s="213"/>
    </row>
    <row r="914" ht="15.75" customHeight="1">
      <c r="A914" s="213"/>
      <c r="B914" s="213"/>
      <c r="C914" s="213"/>
      <c r="D914" s="213"/>
      <c r="E914" s="213"/>
      <c r="F914" s="213"/>
      <c r="G914" s="213"/>
      <c r="H914" s="213"/>
      <c r="I914" s="213"/>
      <c r="J914" s="213"/>
      <c r="K914" s="215"/>
      <c r="L914" s="213"/>
      <c r="M914" s="215"/>
      <c r="N914" s="213"/>
      <c r="O914" s="213"/>
      <c r="P914" s="213"/>
      <c r="Q914" s="213"/>
      <c r="R914" s="213"/>
      <c r="S914" s="213"/>
      <c r="T914" s="213"/>
      <c r="U914" s="213"/>
      <c r="V914" s="213"/>
      <c r="W914" s="213"/>
      <c r="X914" s="213"/>
      <c r="Y914" s="213"/>
      <c r="Z914" s="213"/>
      <c r="AA914" s="213"/>
      <c r="AB914" s="213"/>
      <c r="AC914" s="213"/>
      <c r="AD914" s="213"/>
      <c r="AE914" s="213"/>
      <c r="AF914" s="213"/>
      <c r="AG914" s="213"/>
      <c r="AH914" s="213"/>
      <c r="AI914" s="213"/>
      <c r="AJ914" s="213"/>
      <c r="AK914" s="213"/>
      <c r="AL914" s="213"/>
      <c r="AM914" s="213"/>
      <c r="AN914" s="213"/>
      <c r="AO914" s="213"/>
      <c r="AP914" s="213"/>
      <c r="AQ914" s="213"/>
      <c r="AR914" s="213"/>
      <c r="AS914" s="213"/>
      <c r="AT914" s="213"/>
      <c r="AU914" s="213"/>
      <c r="AV914" s="213"/>
      <c r="AW914" s="213"/>
      <c r="AX914" s="213"/>
      <c r="AY914" s="213"/>
      <c r="AZ914" s="213"/>
      <c r="BA914" s="213"/>
      <c r="BB914" s="213"/>
    </row>
    <row r="915" ht="15.75" customHeight="1">
      <c r="A915" s="213"/>
      <c r="B915" s="213"/>
      <c r="C915" s="213"/>
      <c r="D915" s="213"/>
      <c r="E915" s="213"/>
      <c r="F915" s="213"/>
      <c r="G915" s="213"/>
      <c r="H915" s="213"/>
      <c r="I915" s="213"/>
      <c r="J915" s="213"/>
      <c r="K915" s="215"/>
      <c r="L915" s="213"/>
      <c r="M915" s="215"/>
      <c r="N915" s="213"/>
      <c r="O915" s="213"/>
      <c r="P915" s="213"/>
      <c r="Q915" s="213"/>
      <c r="R915" s="213"/>
      <c r="S915" s="213"/>
      <c r="T915" s="213"/>
      <c r="U915" s="213"/>
      <c r="V915" s="213"/>
      <c r="W915" s="213"/>
      <c r="X915" s="213"/>
      <c r="Y915" s="213"/>
      <c r="Z915" s="213"/>
      <c r="AA915" s="213"/>
      <c r="AB915" s="213"/>
      <c r="AC915" s="213"/>
      <c r="AD915" s="213"/>
      <c r="AE915" s="213"/>
      <c r="AF915" s="213"/>
      <c r="AG915" s="213"/>
      <c r="AH915" s="213"/>
      <c r="AI915" s="213"/>
      <c r="AJ915" s="213"/>
      <c r="AK915" s="213"/>
      <c r="AL915" s="213"/>
      <c r="AM915" s="213"/>
      <c r="AN915" s="213"/>
      <c r="AO915" s="213"/>
      <c r="AP915" s="213"/>
      <c r="AQ915" s="213"/>
      <c r="AR915" s="213"/>
      <c r="AS915" s="213"/>
      <c r="AT915" s="213"/>
      <c r="AU915" s="213"/>
      <c r="AV915" s="213"/>
      <c r="AW915" s="213"/>
      <c r="AX915" s="213"/>
      <c r="AY915" s="213"/>
      <c r="AZ915" s="213"/>
      <c r="BA915" s="213"/>
      <c r="BB915" s="213"/>
    </row>
    <row r="916" ht="15.75" customHeight="1">
      <c r="A916" s="213"/>
      <c r="B916" s="213"/>
      <c r="C916" s="213"/>
      <c r="D916" s="213"/>
      <c r="E916" s="213"/>
      <c r="F916" s="213"/>
      <c r="G916" s="213"/>
      <c r="H916" s="213"/>
      <c r="I916" s="213"/>
      <c r="J916" s="213"/>
      <c r="K916" s="215"/>
      <c r="L916" s="213"/>
      <c r="M916" s="215"/>
      <c r="N916" s="213"/>
      <c r="O916" s="213"/>
      <c r="P916" s="213"/>
      <c r="Q916" s="213"/>
      <c r="R916" s="213"/>
      <c r="S916" s="213"/>
      <c r="T916" s="213"/>
      <c r="U916" s="213"/>
      <c r="V916" s="213"/>
      <c r="W916" s="213"/>
      <c r="X916" s="213"/>
      <c r="Y916" s="213"/>
      <c r="Z916" s="213"/>
      <c r="AA916" s="213"/>
      <c r="AB916" s="213"/>
      <c r="AC916" s="213"/>
      <c r="AD916" s="213"/>
      <c r="AE916" s="213"/>
      <c r="AF916" s="213"/>
      <c r="AG916" s="213"/>
      <c r="AH916" s="213"/>
      <c r="AI916" s="213"/>
      <c r="AJ916" s="213"/>
      <c r="AK916" s="213"/>
      <c r="AL916" s="213"/>
      <c r="AM916" s="213"/>
      <c r="AN916" s="213"/>
      <c r="AO916" s="213"/>
      <c r="AP916" s="213"/>
      <c r="AQ916" s="213"/>
      <c r="AR916" s="213"/>
      <c r="AS916" s="213"/>
      <c r="AT916" s="213"/>
      <c r="AU916" s="213"/>
      <c r="AV916" s="213"/>
      <c r="AW916" s="213"/>
      <c r="AX916" s="213"/>
      <c r="AY916" s="213"/>
      <c r="AZ916" s="213"/>
      <c r="BA916" s="213"/>
      <c r="BB916" s="213"/>
    </row>
    <row r="917" ht="15.75" customHeight="1">
      <c r="A917" s="213"/>
      <c r="B917" s="213"/>
      <c r="C917" s="213"/>
      <c r="D917" s="213"/>
      <c r="E917" s="213"/>
      <c r="F917" s="213"/>
      <c r="G917" s="213"/>
      <c r="H917" s="213"/>
      <c r="I917" s="213"/>
      <c r="J917" s="213"/>
      <c r="K917" s="215"/>
      <c r="L917" s="213"/>
      <c r="M917" s="215"/>
      <c r="N917" s="213"/>
      <c r="O917" s="213"/>
      <c r="P917" s="213"/>
      <c r="Q917" s="213"/>
      <c r="R917" s="213"/>
      <c r="S917" s="213"/>
      <c r="T917" s="213"/>
      <c r="U917" s="213"/>
      <c r="V917" s="213"/>
      <c r="W917" s="213"/>
      <c r="X917" s="213"/>
      <c r="Y917" s="213"/>
      <c r="Z917" s="213"/>
      <c r="AA917" s="213"/>
      <c r="AB917" s="213"/>
      <c r="AC917" s="213"/>
      <c r="AD917" s="213"/>
      <c r="AE917" s="213"/>
      <c r="AF917" s="213"/>
      <c r="AG917" s="213"/>
      <c r="AH917" s="213"/>
      <c r="AI917" s="213"/>
      <c r="AJ917" s="213"/>
      <c r="AK917" s="213"/>
      <c r="AL917" s="213"/>
      <c r="AM917" s="213"/>
      <c r="AN917" s="213"/>
      <c r="AO917" s="213"/>
      <c r="AP917" s="213"/>
      <c r="AQ917" s="213"/>
      <c r="AR917" s="213"/>
      <c r="AS917" s="213"/>
      <c r="AT917" s="213"/>
      <c r="AU917" s="213"/>
      <c r="AV917" s="213"/>
      <c r="AW917" s="213"/>
      <c r="AX917" s="213"/>
      <c r="AY917" s="213"/>
      <c r="AZ917" s="213"/>
      <c r="BA917" s="213"/>
      <c r="BB917" s="213"/>
    </row>
    <row r="918" ht="15.75" customHeight="1">
      <c r="A918" s="213"/>
      <c r="B918" s="213"/>
      <c r="C918" s="213"/>
      <c r="D918" s="213"/>
      <c r="E918" s="213"/>
      <c r="F918" s="213"/>
      <c r="G918" s="213"/>
      <c r="H918" s="213"/>
      <c r="I918" s="213"/>
      <c r="J918" s="213"/>
      <c r="K918" s="215"/>
      <c r="L918" s="213"/>
      <c r="M918" s="215"/>
      <c r="N918" s="213"/>
      <c r="O918" s="213"/>
      <c r="P918" s="213"/>
      <c r="Q918" s="213"/>
      <c r="R918" s="213"/>
      <c r="S918" s="213"/>
      <c r="T918" s="213"/>
      <c r="U918" s="213"/>
      <c r="V918" s="213"/>
      <c r="W918" s="213"/>
      <c r="X918" s="213"/>
      <c r="Y918" s="213"/>
      <c r="Z918" s="213"/>
      <c r="AA918" s="213"/>
      <c r="AB918" s="213"/>
      <c r="AC918" s="213"/>
      <c r="AD918" s="213"/>
      <c r="AE918" s="213"/>
      <c r="AF918" s="213"/>
      <c r="AG918" s="213"/>
      <c r="AH918" s="213"/>
      <c r="AI918" s="213"/>
      <c r="AJ918" s="213"/>
      <c r="AK918" s="213"/>
      <c r="AL918" s="213"/>
      <c r="AM918" s="213"/>
      <c r="AN918" s="213"/>
      <c r="AO918" s="213"/>
      <c r="AP918" s="213"/>
      <c r="AQ918" s="213"/>
      <c r="AR918" s="213"/>
      <c r="AS918" s="213"/>
      <c r="AT918" s="213"/>
      <c r="AU918" s="213"/>
      <c r="AV918" s="213"/>
      <c r="AW918" s="213"/>
      <c r="AX918" s="213"/>
      <c r="AY918" s="213"/>
      <c r="AZ918" s="213"/>
      <c r="BA918" s="213"/>
      <c r="BB918" s="213"/>
    </row>
    <row r="919" ht="15.75" customHeight="1">
      <c r="A919" s="213"/>
      <c r="B919" s="213"/>
      <c r="C919" s="213"/>
      <c r="D919" s="213"/>
      <c r="E919" s="213"/>
      <c r="F919" s="213"/>
      <c r="G919" s="213"/>
      <c r="H919" s="213"/>
      <c r="I919" s="213"/>
      <c r="J919" s="213"/>
      <c r="K919" s="215"/>
      <c r="L919" s="213"/>
      <c r="M919" s="215"/>
      <c r="N919" s="213"/>
      <c r="O919" s="213"/>
      <c r="P919" s="213"/>
      <c r="Q919" s="213"/>
      <c r="R919" s="213"/>
      <c r="S919" s="213"/>
      <c r="T919" s="213"/>
      <c r="U919" s="213"/>
      <c r="V919" s="213"/>
      <c r="W919" s="213"/>
      <c r="X919" s="213"/>
      <c r="Y919" s="213"/>
      <c r="Z919" s="213"/>
      <c r="AA919" s="213"/>
      <c r="AB919" s="213"/>
      <c r="AC919" s="213"/>
      <c r="AD919" s="213"/>
      <c r="AE919" s="213"/>
      <c r="AF919" s="213"/>
      <c r="AG919" s="213"/>
      <c r="AH919" s="213"/>
      <c r="AI919" s="213"/>
      <c r="AJ919" s="213"/>
      <c r="AK919" s="213"/>
      <c r="AL919" s="213"/>
      <c r="AM919" s="213"/>
      <c r="AN919" s="213"/>
      <c r="AO919" s="213"/>
      <c r="AP919" s="213"/>
      <c r="AQ919" s="213"/>
      <c r="AR919" s="213"/>
      <c r="AS919" s="213"/>
      <c r="AT919" s="213"/>
      <c r="AU919" s="213"/>
      <c r="AV919" s="213"/>
      <c r="AW919" s="213"/>
      <c r="AX919" s="213"/>
      <c r="AY919" s="213"/>
      <c r="AZ919" s="213"/>
      <c r="BA919" s="213"/>
      <c r="BB919" s="213"/>
    </row>
    <row r="920" ht="15.75" customHeight="1">
      <c r="A920" s="213"/>
      <c r="B920" s="213"/>
      <c r="C920" s="213"/>
      <c r="D920" s="213"/>
      <c r="E920" s="213"/>
      <c r="F920" s="213"/>
      <c r="G920" s="213"/>
      <c r="H920" s="213"/>
      <c r="I920" s="213"/>
      <c r="J920" s="213"/>
      <c r="K920" s="215"/>
      <c r="L920" s="213"/>
      <c r="M920" s="215"/>
      <c r="N920" s="213"/>
      <c r="O920" s="213"/>
      <c r="P920" s="213"/>
      <c r="Q920" s="213"/>
      <c r="R920" s="213"/>
      <c r="S920" s="213"/>
      <c r="T920" s="213"/>
      <c r="U920" s="213"/>
      <c r="V920" s="213"/>
      <c r="W920" s="213"/>
      <c r="X920" s="213"/>
      <c r="Y920" s="213"/>
      <c r="Z920" s="213"/>
      <c r="AA920" s="213"/>
      <c r="AB920" s="213"/>
      <c r="AC920" s="213"/>
      <c r="AD920" s="213"/>
      <c r="AE920" s="213"/>
      <c r="AF920" s="213"/>
      <c r="AG920" s="213"/>
      <c r="AH920" s="213"/>
      <c r="AI920" s="213"/>
      <c r="AJ920" s="213"/>
      <c r="AK920" s="213"/>
      <c r="AL920" s="213"/>
      <c r="AM920" s="213"/>
      <c r="AN920" s="213"/>
      <c r="AO920" s="213"/>
      <c r="AP920" s="213"/>
      <c r="AQ920" s="213"/>
      <c r="AR920" s="213"/>
      <c r="AS920" s="213"/>
      <c r="AT920" s="213"/>
      <c r="AU920" s="213"/>
      <c r="AV920" s="213"/>
      <c r="AW920" s="213"/>
      <c r="AX920" s="213"/>
      <c r="AY920" s="213"/>
      <c r="AZ920" s="213"/>
      <c r="BA920" s="213"/>
      <c r="BB920" s="213"/>
    </row>
    <row r="921" ht="15.75" customHeight="1">
      <c r="A921" s="213"/>
      <c r="B921" s="213"/>
      <c r="C921" s="213"/>
      <c r="D921" s="213"/>
      <c r="E921" s="213"/>
      <c r="F921" s="213"/>
      <c r="G921" s="213"/>
      <c r="H921" s="213"/>
      <c r="I921" s="213"/>
      <c r="J921" s="213"/>
      <c r="K921" s="215"/>
      <c r="L921" s="213"/>
      <c r="M921" s="215"/>
      <c r="N921" s="213"/>
      <c r="O921" s="213"/>
      <c r="P921" s="213"/>
      <c r="Q921" s="213"/>
      <c r="R921" s="213"/>
      <c r="S921" s="213"/>
      <c r="T921" s="213"/>
      <c r="U921" s="213"/>
      <c r="V921" s="213"/>
      <c r="W921" s="213"/>
      <c r="X921" s="213"/>
      <c r="Y921" s="213"/>
      <c r="Z921" s="213"/>
      <c r="AA921" s="213"/>
      <c r="AB921" s="213"/>
      <c r="AC921" s="213"/>
      <c r="AD921" s="213"/>
      <c r="AE921" s="213"/>
      <c r="AF921" s="213"/>
      <c r="AG921" s="213"/>
      <c r="AH921" s="213"/>
      <c r="AI921" s="213"/>
      <c r="AJ921" s="213"/>
      <c r="AK921" s="213"/>
      <c r="AL921" s="213"/>
      <c r="AM921" s="213"/>
      <c r="AN921" s="213"/>
      <c r="AO921" s="213"/>
      <c r="AP921" s="213"/>
      <c r="AQ921" s="213"/>
      <c r="AR921" s="213"/>
      <c r="AS921" s="213"/>
      <c r="AT921" s="213"/>
      <c r="AU921" s="213"/>
      <c r="AV921" s="213"/>
      <c r="AW921" s="213"/>
      <c r="AX921" s="213"/>
      <c r="AY921" s="213"/>
      <c r="AZ921" s="213"/>
      <c r="BA921" s="213"/>
      <c r="BB921" s="213"/>
    </row>
    <row r="922" ht="15.75" customHeight="1">
      <c r="A922" s="213"/>
      <c r="B922" s="213"/>
      <c r="C922" s="213"/>
      <c r="D922" s="213"/>
      <c r="E922" s="213"/>
      <c r="F922" s="213"/>
      <c r="G922" s="213"/>
      <c r="H922" s="213"/>
      <c r="I922" s="213"/>
      <c r="J922" s="213"/>
      <c r="K922" s="215"/>
      <c r="L922" s="213"/>
      <c r="M922" s="215"/>
      <c r="N922" s="213"/>
      <c r="O922" s="213"/>
      <c r="P922" s="213"/>
      <c r="Q922" s="213"/>
      <c r="R922" s="213"/>
      <c r="S922" s="213"/>
      <c r="T922" s="213"/>
      <c r="U922" s="213"/>
      <c r="V922" s="213"/>
      <c r="W922" s="213"/>
      <c r="X922" s="213"/>
      <c r="Y922" s="213"/>
      <c r="Z922" s="213"/>
      <c r="AA922" s="213"/>
      <c r="AB922" s="213"/>
      <c r="AC922" s="213"/>
      <c r="AD922" s="213"/>
      <c r="AE922" s="213"/>
      <c r="AF922" s="213"/>
      <c r="AG922" s="213"/>
      <c r="AH922" s="213"/>
      <c r="AI922" s="213"/>
      <c r="AJ922" s="213"/>
      <c r="AK922" s="213"/>
      <c r="AL922" s="213"/>
      <c r="AM922" s="213"/>
      <c r="AN922" s="213"/>
      <c r="AO922" s="213"/>
      <c r="AP922" s="213"/>
      <c r="AQ922" s="213"/>
      <c r="AR922" s="213"/>
      <c r="AS922" s="213"/>
      <c r="AT922" s="213"/>
      <c r="AU922" s="213"/>
      <c r="AV922" s="213"/>
      <c r="AW922" s="213"/>
      <c r="AX922" s="213"/>
      <c r="AY922" s="213"/>
      <c r="AZ922" s="213"/>
      <c r="BA922" s="213"/>
      <c r="BB922" s="213"/>
    </row>
    <row r="923" ht="15.75" customHeight="1">
      <c r="A923" s="213"/>
      <c r="B923" s="213"/>
      <c r="C923" s="213"/>
      <c r="D923" s="213"/>
      <c r="E923" s="213"/>
      <c r="F923" s="213"/>
      <c r="G923" s="213"/>
      <c r="H923" s="213"/>
      <c r="I923" s="213"/>
      <c r="J923" s="213"/>
      <c r="K923" s="215"/>
      <c r="L923" s="213"/>
      <c r="M923" s="215"/>
      <c r="N923" s="213"/>
      <c r="O923" s="213"/>
      <c r="P923" s="213"/>
      <c r="Q923" s="213"/>
      <c r="R923" s="213"/>
      <c r="S923" s="213"/>
      <c r="T923" s="213"/>
      <c r="U923" s="213"/>
      <c r="V923" s="213"/>
      <c r="W923" s="213"/>
      <c r="X923" s="213"/>
      <c r="Y923" s="213"/>
      <c r="Z923" s="213"/>
      <c r="AA923" s="213"/>
      <c r="AB923" s="213"/>
      <c r="AC923" s="213"/>
      <c r="AD923" s="213"/>
      <c r="AE923" s="213"/>
      <c r="AF923" s="213"/>
      <c r="AG923" s="213"/>
      <c r="AH923" s="213"/>
      <c r="AI923" s="213"/>
      <c r="AJ923" s="213"/>
      <c r="AK923" s="213"/>
      <c r="AL923" s="213"/>
      <c r="AM923" s="213"/>
      <c r="AN923" s="213"/>
      <c r="AO923" s="213"/>
      <c r="AP923" s="213"/>
      <c r="AQ923" s="213"/>
      <c r="AR923" s="213"/>
      <c r="AS923" s="213"/>
      <c r="AT923" s="213"/>
      <c r="AU923" s="213"/>
      <c r="AV923" s="213"/>
      <c r="AW923" s="213"/>
      <c r="AX923" s="213"/>
      <c r="AY923" s="213"/>
      <c r="AZ923" s="213"/>
      <c r="BA923" s="213"/>
      <c r="BB923" s="213"/>
    </row>
    <row r="924" ht="15.75" customHeight="1">
      <c r="A924" s="213"/>
      <c r="B924" s="213"/>
      <c r="C924" s="213"/>
      <c r="D924" s="213"/>
      <c r="E924" s="213"/>
      <c r="F924" s="213"/>
      <c r="G924" s="213"/>
      <c r="H924" s="213"/>
      <c r="I924" s="213"/>
      <c r="J924" s="213"/>
      <c r="K924" s="215"/>
      <c r="L924" s="213"/>
      <c r="M924" s="215"/>
      <c r="N924" s="213"/>
      <c r="O924" s="213"/>
      <c r="P924" s="213"/>
      <c r="Q924" s="213"/>
      <c r="R924" s="213"/>
      <c r="S924" s="213"/>
      <c r="T924" s="213"/>
      <c r="U924" s="213"/>
      <c r="V924" s="213"/>
      <c r="W924" s="213"/>
      <c r="X924" s="213"/>
      <c r="Y924" s="213"/>
      <c r="Z924" s="213"/>
      <c r="AA924" s="213"/>
      <c r="AB924" s="213"/>
      <c r="AC924" s="213"/>
      <c r="AD924" s="213"/>
      <c r="AE924" s="213"/>
      <c r="AF924" s="213"/>
      <c r="AG924" s="213"/>
      <c r="AH924" s="213"/>
      <c r="AI924" s="213"/>
      <c r="AJ924" s="213"/>
      <c r="AK924" s="213"/>
      <c r="AL924" s="213"/>
      <c r="AM924" s="213"/>
      <c r="AN924" s="213"/>
      <c r="AO924" s="213"/>
      <c r="AP924" s="213"/>
      <c r="AQ924" s="213"/>
      <c r="AR924" s="213"/>
      <c r="AS924" s="213"/>
      <c r="AT924" s="213"/>
      <c r="AU924" s="213"/>
      <c r="AV924" s="213"/>
      <c r="AW924" s="213"/>
      <c r="AX924" s="213"/>
      <c r="AY924" s="213"/>
      <c r="AZ924" s="213"/>
      <c r="BA924" s="213"/>
      <c r="BB924" s="213"/>
    </row>
    <row r="925" ht="15.75" customHeight="1">
      <c r="A925" s="213"/>
      <c r="B925" s="213"/>
      <c r="C925" s="213"/>
      <c r="D925" s="213"/>
      <c r="E925" s="213"/>
      <c r="F925" s="213"/>
      <c r="G925" s="213"/>
      <c r="H925" s="213"/>
      <c r="I925" s="213"/>
      <c r="J925" s="213"/>
      <c r="K925" s="215"/>
      <c r="L925" s="213"/>
      <c r="M925" s="215"/>
      <c r="N925" s="213"/>
      <c r="O925" s="213"/>
      <c r="P925" s="213"/>
      <c r="Q925" s="213"/>
      <c r="R925" s="213"/>
      <c r="S925" s="213"/>
      <c r="T925" s="213"/>
      <c r="U925" s="213"/>
      <c r="V925" s="213"/>
      <c r="W925" s="213"/>
      <c r="X925" s="213"/>
      <c r="Y925" s="213"/>
      <c r="Z925" s="213"/>
      <c r="AA925" s="213"/>
      <c r="AB925" s="213"/>
      <c r="AC925" s="213"/>
      <c r="AD925" s="213"/>
      <c r="AE925" s="213"/>
      <c r="AF925" s="213"/>
      <c r="AG925" s="213"/>
      <c r="AH925" s="213"/>
      <c r="AI925" s="213"/>
      <c r="AJ925" s="213"/>
      <c r="AK925" s="213"/>
      <c r="AL925" s="213"/>
      <c r="AM925" s="213"/>
      <c r="AN925" s="213"/>
      <c r="AO925" s="213"/>
      <c r="AP925" s="213"/>
      <c r="AQ925" s="213"/>
      <c r="AR925" s="213"/>
      <c r="AS925" s="213"/>
      <c r="AT925" s="213"/>
      <c r="AU925" s="213"/>
      <c r="AV925" s="213"/>
      <c r="AW925" s="213"/>
      <c r="AX925" s="213"/>
      <c r="AY925" s="213"/>
      <c r="AZ925" s="213"/>
      <c r="BA925" s="213"/>
      <c r="BB925" s="213"/>
    </row>
    <row r="926" ht="15.75" customHeight="1">
      <c r="A926" s="213"/>
      <c r="B926" s="213"/>
      <c r="C926" s="213"/>
      <c r="D926" s="213"/>
      <c r="E926" s="213"/>
      <c r="F926" s="213"/>
      <c r="G926" s="213"/>
      <c r="H926" s="213"/>
      <c r="I926" s="213"/>
      <c r="J926" s="213"/>
      <c r="K926" s="215"/>
      <c r="L926" s="213"/>
      <c r="M926" s="215"/>
      <c r="N926" s="213"/>
      <c r="O926" s="213"/>
      <c r="P926" s="213"/>
      <c r="Q926" s="213"/>
      <c r="R926" s="213"/>
      <c r="S926" s="213"/>
      <c r="T926" s="213"/>
      <c r="U926" s="213"/>
      <c r="V926" s="213"/>
      <c r="W926" s="213"/>
      <c r="X926" s="213"/>
      <c r="Y926" s="213"/>
      <c r="Z926" s="213"/>
      <c r="AA926" s="213"/>
      <c r="AB926" s="213"/>
      <c r="AC926" s="213"/>
      <c r="AD926" s="213"/>
      <c r="AE926" s="213"/>
      <c r="AF926" s="213"/>
      <c r="AG926" s="213"/>
      <c r="AH926" s="213"/>
      <c r="AI926" s="213"/>
      <c r="AJ926" s="213"/>
      <c r="AK926" s="213"/>
      <c r="AL926" s="213"/>
      <c r="AM926" s="213"/>
      <c r="AN926" s="213"/>
      <c r="AO926" s="213"/>
      <c r="AP926" s="213"/>
      <c r="AQ926" s="213"/>
      <c r="AR926" s="213"/>
      <c r="AS926" s="213"/>
      <c r="AT926" s="213"/>
      <c r="AU926" s="213"/>
      <c r="AV926" s="213"/>
      <c r="AW926" s="213"/>
      <c r="AX926" s="213"/>
      <c r="AY926" s="213"/>
      <c r="AZ926" s="213"/>
      <c r="BA926" s="213"/>
      <c r="BB926" s="213"/>
    </row>
    <row r="927" ht="15.75" customHeight="1">
      <c r="A927" s="213"/>
      <c r="B927" s="213"/>
      <c r="C927" s="213"/>
      <c r="D927" s="213"/>
      <c r="E927" s="213"/>
      <c r="F927" s="213"/>
      <c r="G927" s="213"/>
      <c r="H927" s="213"/>
      <c r="I927" s="213"/>
      <c r="J927" s="213"/>
      <c r="K927" s="215"/>
      <c r="L927" s="213"/>
      <c r="M927" s="215"/>
      <c r="N927" s="213"/>
      <c r="O927" s="213"/>
      <c r="P927" s="213"/>
      <c r="Q927" s="213"/>
      <c r="R927" s="213"/>
      <c r="S927" s="213"/>
      <c r="T927" s="213"/>
      <c r="U927" s="213"/>
      <c r="V927" s="213"/>
      <c r="W927" s="213"/>
      <c r="X927" s="213"/>
      <c r="Y927" s="213"/>
      <c r="Z927" s="213"/>
      <c r="AA927" s="213"/>
      <c r="AB927" s="213"/>
      <c r="AC927" s="213"/>
      <c r="AD927" s="213"/>
      <c r="AE927" s="213"/>
      <c r="AF927" s="213"/>
      <c r="AG927" s="213"/>
      <c r="AH927" s="213"/>
      <c r="AI927" s="213"/>
      <c r="AJ927" s="213"/>
      <c r="AK927" s="213"/>
      <c r="AL927" s="213"/>
      <c r="AM927" s="213"/>
      <c r="AN927" s="213"/>
      <c r="AO927" s="213"/>
      <c r="AP927" s="213"/>
      <c r="AQ927" s="213"/>
      <c r="AR927" s="213"/>
      <c r="AS927" s="213"/>
      <c r="AT927" s="213"/>
      <c r="AU927" s="213"/>
      <c r="AV927" s="213"/>
      <c r="AW927" s="213"/>
      <c r="AX927" s="213"/>
      <c r="AY927" s="213"/>
      <c r="AZ927" s="213"/>
      <c r="BA927" s="213"/>
      <c r="BB927" s="213"/>
    </row>
    <row r="928" ht="15.75" customHeight="1">
      <c r="A928" s="213"/>
      <c r="B928" s="213"/>
      <c r="C928" s="213"/>
      <c r="D928" s="213"/>
      <c r="E928" s="213"/>
      <c r="F928" s="213"/>
      <c r="G928" s="213"/>
      <c r="H928" s="213"/>
      <c r="I928" s="213"/>
      <c r="J928" s="213"/>
      <c r="K928" s="215"/>
      <c r="L928" s="213"/>
      <c r="M928" s="215"/>
      <c r="N928" s="213"/>
      <c r="O928" s="213"/>
      <c r="P928" s="213"/>
      <c r="Q928" s="213"/>
      <c r="R928" s="213"/>
      <c r="S928" s="213"/>
      <c r="T928" s="213"/>
      <c r="U928" s="213"/>
      <c r="V928" s="213"/>
      <c r="W928" s="213"/>
      <c r="X928" s="213"/>
      <c r="Y928" s="213"/>
      <c r="Z928" s="213"/>
      <c r="AA928" s="213"/>
      <c r="AB928" s="213"/>
      <c r="AC928" s="213"/>
      <c r="AD928" s="213"/>
      <c r="AE928" s="213"/>
      <c r="AF928" s="213"/>
      <c r="AG928" s="213"/>
      <c r="AH928" s="213"/>
      <c r="AI928" s="213"/>
      <c r="AJ928" s="213"/>
      <c r="AK928" s="213"/>
      <c r="AL928" s="213"/>
      <c r="AM928" s="213"/>
      <c r="AN928" s="213"/>
      <c r="AO928" s="213"/>
      <c r="AP928" s="213"/>
      <c r="AQ928" s="213"/>
      <c r="AR928" s="213"/>
      <c r="AS928" s="213"/>
      <c r="AT928" s="213"/>
      <c r="AU928" s="213"/>
      <c r="AV928" s="213"/>
      <c r="AW928" s="213"/>
      <c r="AX928" s="213"/>
      <c r="AY928" s="213"/>
      <c r="AZ928" s="213"/>
      <c r="BA928" s="213"/>
      <c r="BB928" s="213"/>
    </row>
    <row r="929" ht="15.75" customHeight="1">
      <c r="A929" s="213"/>
      <c r="B929" s="213"/>
      <c r="C929" s="213"/>
      <c r="D929" s="213"/>
      <c r="E929" s="213"/>
      <c r="F929" s="213"/>
      <c r="G929" s="213"/>
      <c r="H929" s="213"/>
      <c r="I929" s="213"/>
      <c r="J929" s="213"/>
      <c r="K929" s="215"/>
      <c r="L929" s="213"/>
      <c r="M929" s="215"/>
      <c r="N929" s="213"/>
      <c r="O929" s="213"/>
      <c r="P929" s="213"/>
      <c r="Q929" s="213"/>
      <c r="R929" s="213"/>
      <c r="S929" s="213"/>
      <c r="T929" s="213"/>
      <c r="U929" s="213"/>
      <c r="V929" s="213"/>
      <c r="W929" s="213"/>
      <c r="X929" s="213"/>
      <c r="Y929" s="213"/>
      <c r="Z929" s="213"/>
      <c r="AA929" s="213"/>
      <c r="AB929" s="213"/>
      <c r="AC929" s="213"/>
      <c r="AD929" s="213"/>
      <c r="AE929" s="213"/>
      <c r="AF929" s="213"/>
      <c r="AG929" s="213"/>
      <c r="AH929" s="213"/>
      <c r="AI929" s="213"/>
      <c r="AJ929" s="213"/>
      <c r="AK929" s="213"/>
      <c r="AL929" s="213"/>
      <c r="AM929" s="213"/>
      <c r="AN929" s="213"/>
      <c r="AO929" s="213"/>
      <c r="AP929" s="213"/>
      <c r="AQ929" s="213"/>
      <c r="AR929" s="213"/>
      <c r="AS929" s="213"/>
      <c r="AT929" s="213"/>
      <c r="AU929" s="213"/>
      <c r="AV929" s="213"/>
      <c r="AW929" s="213"/>
      <c r="AX929" s="213"/>
      <c r="AY929" s="213"/>
      <c r="AZ929" s="213"/>
      <c r="BA929" s="213"/>
      <c r="BB929" s="213"/>
    </row>
    <row r="930" ht="15.75" customHeight="1">
      <c r="A930" s="213"/>
      <c r="B930" s="213"/>
      <c r="C930" s="213"/>
      <c r="D930" s="213"/>
      <c r="E930" s="213"/>
      <c r="F930" s="213"/>
      <c r="G930" s="213"/>
      <c r="H930" s="213"/>
      <c r="I930" s="213"/>
      <c r="J930" s="213"/>
      <c r="K930" s="215"/>
      <c r="L930" s="213"/>
      <c r="M930" s="215"/>
      <c r="N930" s="213"/>
      <c r="O930" s="213"/>
      <c r="P930" s="213"/>
      <c r="Q930" s="213"/>
      <c r="R930" s="213"/>
      <c r="S930" s="213"/>
      <c r="T930" s="213"/>
      <c r="U930" s="213"/>
      <c r="V930" s="213"/>
      <c r="W930" s="213"/>
      <c r="X930" s="213"/>
      <c r="Y930" s="213"/>
      <c r="Z930" s="213"/>
      <c r="AA930" s="213"/>
      <c r="AB930" s="213"/>
      <c r="AC930" s="213"/>
      <c r="AD930" s="213"/>
      <c r="AE930" s="213"/>
      <c r="AF930" s="213"/>
      <c r="AG930" s="213"/>
      <c r="AH930" s="213"/>
      <c r="AI930" s="213"/>
      <c r="AJ930" s="213"/>
      <c r="AK930" s="213"/>
      <c r="AL930" s="213"/>
      <c r="AM930" s="213"/>
      <c r="AN930" s="213"/>
      <c r="AO930" s="213"/>
      <c r="AP930" s="213"/>
      <c r="AQ930" s="213"/>
      <c r="AR930" s="213"/>
      <c r="AS930" s="213"/>
      <c r="AT930" s="213"/>
      <c r="AU930" s="213"/>
      <c r="AV930" s="213"/>
      <c r="AW930" s="213"/>
      <c r="AX930" s="213"/>
      <c r="AY930" s="213"/>
      <c r="AZ930" s="213"/>
      <c r="BA930" s="213"/>
      <c r="BB930" s="213"/>
    </row>
    <row r="931" ht="15.75" customHeight="1">
      <c r="A931" s="213"/>
      <c r="B931" s="213"/>
      <c r="C931" s="213"/>
      <c r="D931" s="213"/>
      <c r="E931" s="213"/>
      <c r="F931" s="213"/>
      <c r="G931" s="213"/>
      <c r="H931" s="213"/>
      <c r="I931" s="213"/>
      <c r="J931" s="213"/>
      <c r="K931" s="215"/>
      <c r="L931" s="213"/>
      <c r="M931" s="215"/>
      <c r="N931" s="213"/>
      <c r="O931" s="213"/>
      <c r="P931" s="213"/>
      <c r="Q931" s="213"/>
      <c r="R931" s="213"/>
      <c r="S931" s="213"/>
      <c r="T931" s="213"/>
      <c r="U931" s="213"/>
      <c r="V931" s="213"/>
      <c r="W931" s="213"/>
      <c r="X931" s="213"/>
      <c r="Y931" s="213"/>
      <c r="Z931" s="213"/>
      <c r="AA931" s="213"/>
      <c r="AB931" s="213"/>
      <c r="AC931" s="213"/>
      <c r="AD931" s="213"/>
      <c r="AE931" s="213"/>
      <c r="AF931" s="213"/>
      <c r="AG931" s="213"/>
      <c r="AH931" s="213"/>
      <c r="AI931" s="213"/>
      <c r="AJ931" s="213"/>
      <c r="AK931" s="213"/>
      <c r="AL931" s="213"/>
      <c r="AM931" s="213"/>
      <c r="AN931" s="213"/>
      <c r="AO931" s="213"/>
      <c r="AP931" s="213"/>
      <c r="AQ931" s="213"/>
      <c r="AR931" s="213"/>
      <c r="AS931" s="213"/>
      <c r="AT931" s="213"/>
      <c r="AU931" s="213"/>
      <c r="AV931" s="213"/>
      <c r="AW931" s="213"/>
      <c r="AX931" s="213"/>
      <c r="AY931" s="213"/>
      <c r="AZ931" s="213"/>
      <c r="BA931" s="213"/>
      <c r="BB931" s="213"/>
    </row>
    <row r="932" ht="15.75" customHeight="1">
      <c r="A932" s="213"/>
      <c r="B932" s="213"/>
      <c r="C932" s="213"/>
      <c r="D932" s="213"/>
      <c r="E932" s="213"/>
      <c r="F932" s="213"/>
      <c r="G932" s="213"/>
      <c r="H932" s="213"/>
      <c r="I932" s="213"/>
      <c r="J932" s="213"/>
      <c r="K932" s="215"/>
      <c r="L932" s="213"/>
      <c r="M932" s="215"/>
      <c r="N932" s="213"/>
      <c r="O932" s="213"/>
      <c r="P932" s="213"/>
      <c r="Q932" s="213"/>
      <c r="R932" s="213"/>
      <c r="S932" s="213"/>
      <c r="T932" s="213"/>
      <c r="U932" s="213"/>
      <c r="V932" s="213"/>
      <c r="W932" s="213"/>
      <c r="X932" s="213"/>
      <c r="Y932" s="213"/>
      <c r="Z932" s="213"/>
      <c r="AA932" s="213"/>
      <c r="AB932" s="213"/>
      <c r="AC932" s="213"/>
      <c r="AD932" s="213"/>
      <c r="AE932" s="213"/>
      <c r="AF932" s="213"/>
      <c r="AG932" s="213"/>
      <c r="AH932" s="213"/>
      <c r="AI932" s="213"/>
      <c r="AJ932" s="213"/>
      <c r="AK932" s="213"/>
      <c r="AL932" s="213"/>
      <c r="AM932" s="213"/>
      <c r="AN932" s="213"/>
      <c r="AO932" s="213"/>
      <c r="AP932" s="213"/>
      <c r="AQ932" s="213"/>
      <c r="AR932" s="213"/>
      <c r="AS932" s="213"/>
      <c r="AT932" s="213"/>
      <c r="AU932" s="213"/>
      <c r="AV932" s="213"/>
      <c r="AW932" s="213"/>
      <c r="AX932" s="213"/>
      <c r="AY932" s="213"/>
      <c r="AZ932" s="213"/>
      <c r="BA932" s="213"/>
      <c r="BB932" s="213"/>
    </row>
    <row r="933" ht="15.75" customHeight="1">
      <c r="A933" s="213"/>
      <c r="B933" s="213"/>
      <c r="C933" s="213"/>
      <c r="D933" s="213"/>
      <c r="E933" s="213"/>
      <c r="F933" s="213"/>
      <c r="G933" s="213"/>
      <c r="H933" s="213"/>
      <c r="I933" s="213"/>
      <c r="J933" s="213"/>
      <c r="K933" s="215"/>
      <c r="L933" s="213"/>
      <c r="M933" s="215"/>
      <c r="N933" s="213"/>
      <c r="O933" s="213"/>
      <c r="P933" s="213"/>
      <c r="Q933" s="213"/>
      <c r="R933" s="213"/>
      <c r="S933" s="213"/>
      <c r="T933" s="213"/>
      <c r="U933" s="213"/>
      <c r="V933" s="213"/>
      <c r="W933" s="213"/>
      <c r="X933" s="213"/>
      <c r="Y933" s="213"/>
      <c r="Z933" s="213"/>
      <c r="AA933" s="213"/>
      <c r="AB933" s="213"/>
      <c r="AC933" s="213"/>
      <c r="AD933" s="213"/>
      <c r="AE933" s="213"/>
      <c r="AF933" s="213"/>
      <c r="AG933" s="213"/>
      <c r="AH933" s="213"/>
      <c r="AI933" s="213"/>
      <c r="AJ933" s="213"/>
      <c r="AK933" s="213"/>
      <c r="AL933" s="213"/>
      <c r="AM933" s="213"/>
      <c r="AN933" s="213"/>
      <c r="AO933" s="213"/>
      <c r="AP933" s="213"/>
      <c r="AQ933" s="213"/>
      <c r="AR933" s="213"/>
      <c r="AS933" s="213"/>
      <c r="AT933" s="213"/>
      <c r="AU933" s="213"/>
      <c r="AV933" s="213"/>
      <c r="AW933" s="213"/>
      <c r="AX933" s="213"/>
      <c r="AY933" s="213"/>
      <c r="AZ933" s="213"/>
      <c r="BA933" s="213"/>
      <c r="BB933" s="213"/>
    </row>
    <row r="934" ht="15.75" customHeight="1">
      <c r="A934" s="213"/>
      <c r="B934" s="213"/>
      <c r="C934" s="213"/>
      <c r="D934" s="213"/>
      <c r="E934" s="213"/>
      <c r="F934" s="213"/>
      <c r="G934" s="213"/>
      <c r="H934" s="213"/>
      <c r="I934" s="213"/>
      <c r="J934" s="213"/>
      <c r="K934" s="215"/>
      <c r="L934" s="213"/>
      <c r="M934" s="215"/>
      <c r="N934" s="213"/>
      <c r="O934" s="213"/>
      <c r="P934" s="213"/>
      <c r="Q934" s="213"/>
      <c r="R934" s="213"/>
      <c r="S934" s="213"/>
      <c r="T934" s="213"/>
      <c r="U934" s="213"/>
      <c r="V934" s="213"/>
      <c r="W934" s="213"/>
      <c r="X934" s="213"/>
      <c r="Y934" s="213"/>
      <c r="Z934" s="213"/>
      <c r="AA934" s="213"/>
      <c r="AB934" s="213"/>
      <c r="AC934" s="213"/>
      <c r="AD934" s="213"/>
      <c r="AE934" s="213"/>
      <c r="AF934" s="213"/>
      <c r="AG934" s="213"/>
      <c r="AH934" s="213"/>
      <c r="AI934" s="213"/>
      <c r="AJ934" s="213"/>
      <c r="AK934" s="213"/>
      <c r="AL934" s="213"/>
      <c r="AM934" s="213"/>
      <c r="AN934" s="213"/>
      <c r="AO934" s="213"/>
      <c r="AP934" s="213"/>
      <c r="AQ934" s="213"/>
      <c r="AR934" s="213"/>
      <c r="AS934" s="213"/>
      <c r="AT934" s="213"/>
      <c r="AU934" s="213"/>
      <c r="AV934" s="213"/>
      <c r="AW934" s="213"/>
      <c r="AX934" s="213"/>
      <c r="AY934" s="213"/>
      <c r="AZ934" s="213"/>
      <c r="BA934" s="213"/>
      <c r="BB934" s="213"/>
    </row>
    <row r="935" ht="15.75" customHeight="1">
      <c r="A935" s="213"/>
      <c r="B935" s="213"/>
      <c r="C935" s="213"/>
      <c r="D935" s="213"/>
      <c r="E935" s="213"/>
      <c r="F935" s="213"/>
      <c r="G935" s="213"/>
      <c r="H935" s="213"/>
      <c r="I935" s="213"/>
      <c r="J935" s="213"/>
      <c r="K935" s="215"/>
      <c r="L935" s="213"/>
      <c r="M935" s="215"/>
      <c r="N935" s="213"/>
      <c r="O935" s="213"/>
      <c r="P935" s="213"/>
      <c r="Q935" s="213"/>
      <c r="R935" s="213"/>
      <c r="S935" s="213"/>
      <c r="T935" s="213"/>
      <c r="U935" s="213"/>
      <c r="V935" s="213"/>
      <c r="W935" s="213"/>
      <c r="X935" s="213"/>
      <c r="Y935" s="213"/>
      <c r="Z935" s="213"/>
      <c r="AA935" s="213"/>
      <c r="AB935" s="213"/>
      <c r="AC935" s="213"/>
      <c r="AD935" s="213"/>
      <c r="AE935" s="213"/>
      <c r="AF935" s="213"/>
      <c r="AG935" s="213"/>
      <c r="AH935" s="213"/>
      <c r="AI935" s="213"/>
      <c r="AJ935" s="213"/>
      <c r="AK935" s="213"/>
      <c r="AL935" s="213"/>
      <c r="AM935" s="213"/>
      <c r="AN935" s="213"/>
      <c r="AO935" s="213"/>
      <c r="AP935" s="213"/>
      <c r="AQ935" s="213"/>
      <c r="AR935" s="213"/>
      <c r="AS935" s="213"/>
      <c r="AT935" s="213"/>
      <c r="AU935" s="213"/>
      <c r="AV935" s="213"/>
      <c r="AW935" s="213"/>
      <c r="AX935" s="213"/>
      <c r="AY935" s="213"/>
      <c r="AZ935" s="213"/>
      <c r="BA935" s="213"/>
      <c r="BB935" s="213"/>
    </row>
    <row r="936" ht="15.75" customHeight="1">
      <c r="A936" s="213"/>
      <c r="B936" s="213"/>
      <c r="C936" s="213"/>
      <c r="D936" s="213"/>
      <c r="E936" s="213"/>
      <c r="F936" s="213"/>
      <c r="G936" s="213"/>
      <c r="H936" s="213"/>
      <c r="I936" s="213"/>
      <c r="J936" s="213"/>
      <c r="K936" s="215"/>
      <c r="L936" s="213"/>
      <c r="M936" s="215"/>
      <c r="N936" s="213"/>
      <c r="O936" s="213"/>
      <c r="P936" s="213"/>
      <c r="Q936" s="213"/>
      <c r="R936" s="213"/>
      <c r="S936" s="213"/>
      <c r="T936" s="213"/>
      <c r="U936" s="213"/>
      <c r="V936" s="213"/>
      <c r="W936" s="213"/>
      <c r="X936" s="213"/>
      <c r="Y936" s="213"/>
      <c r="Z936" s="213"/>
      <c r="AA936" s="213"/>
      <c r="AB936" s="213"/>
      <c r="AC936" s="213"/>
      <c r="AD936" s="213"/>
      <c r="AE936" s="213"/>
      <c r="AF936" s="213"/>
      <c r="AG936" s="213"/>
      <c r="AH936" s="213"/>
      <c r="AI936" s="213"/>
      <c r="AJ936" s="213"/>
      <c r="AK936" s="213"/>
      <c r="AL936" s="213"/>
      <c r="AM936" s="213"/>
      <c r="AN936" s="213"/>
      <c r="AO936" s="213"/>
      <c r="AP936" s="213"/>
      <c r="AQ936" s="213"/>
      <c r="AR936" s="213"/>
      <c r="AS936" s="213"/>
      <c r="AT936" s="213"/>
      <c r="AU936" s="213"/>
      <c r="AV936" s="213"/>
      <c r="AW936" s="213"/>
      <c r="AX936" s="213"/>
      <c r="AY936" s="213"/>
      <c r="AZ936" s="213"/>
      <c r="BA936" s="213"/>
      <c r="BB936" s="213"/>
    </row>
    <row r="937" ht="15.75" customHeight="1">
      <c r="A937" s="213"/>
      <c r="B937" s="213"/>
      <c r="C937" s="213"/>
      <c r="D937" s="213"/>
      <c r="E937" s="213"/>
      <c r="F937" s="213"/>
      <c r="G937" s="213"/>
      <c r="H937" s="213"/>
      <c r="I937" s="213"/>
      <c r="J937" s="213"/>
      <c r="K937" s="215"/>
      <c r="L937" s="213"/>
      <c r="M937" s="215"/>
      <c r="N937" s="213"/>
      <c r="O937" s="213"/>
      <c r="P937" s="213"/>
      <c r="Q937" s="213"/>
      <c r="R937" s="213"/>
      <c r="S937" s="213"/>
      <c r="T937" s="213"/>
      <c r="U937" s="213"/>
      <c r="V937" s="213"/>
      <c r="W937" s="213"/>
      <c r="X937" s="213"/>
      <c r="Y937" s="213"/>
      <c r="Z937" s="213"/>
      <c r="AA937" s="213"/>
      <c r="AB937" s="213"/>
      <c r="AC937" s="213"/>
      <c r="AD937" s="213"/>
      <c r="AE937" s="213"/>
      <c r="AF937" s="213"/>
      <c r="AG937" s="213"/>
      <c r="AH937" s="213"/>
      <c r="AI937" s="213"/>
      <c r="AJ937" s="213"/>
      <c r="AK937" s="213"/>
      <c r="AL937" s="213"/>
      <c r="AM937" s="213"/>
      <c r="AN937" s="213"/>
      <c r="AO937" s="213"/>
      <c r="AP937" s="213"/>
      <c r="AQ937" s="213"/>
      <c r="AR937" s="213"/>
      <c r="AS937" s="213"/>
      <c r="AT937" s="213"/>
      <c r="AU937" s="213"/>
      <c r="AV937" s="213"/>
      <c r="AW937" s="213"/>
      <c r="AX937" s="213"/>
      <c r="AY937" s="213"/>
      <c r="AZ937" s="213"/>
      <c r="BA937" s="213"/>
      <c r="BB937" s="213"/>
    </row>
    <row r="938" ht="15.75" customHeight="1">
      <c r="A938" s="213"/>
      <c r="B938" s="213"/>
      <c r="C938" s="213"/>
      <c r="D938" s="213"/>
      <c r="E938" s="213"/>
      <c r="F938" s="213"/>
      <c r="G938" s="213"/>
      <c r="H938" s="213"/>
      <c r="I938" s="213"/>
      <c r="J938" s="213"/>
      <c r="K938" s="215"/>
      <c r="L938" s="213"/>
      <c r="M938" s="215"/>
      <c r="N938" s="213"/>
      <c r="O938" s="213"/>
      <c r="P938" s="213"/>
      <c r="Q938" s="213"/>
      <c r="R938" s="213"/>
      <c r="S938" s="213"/>
      <c r="T938" s="213"/>
      <c r="U938" s="213"/>
      <c r="V938" s="213"/>
      <c r="W938" s="213"/>
      <c r="X938" s="213"/>
      <c r="Y938" s="213"/>
      <c r="Z938" s="213"/>
      <c r="AA938" s="213"/>
      <c r="AB938" s="213"/>
      <c r="AC938" s="213"/>
      <c r="AD938" s="213"/>
      <c r="AE938" s="213"/>
      <c r="AF938" s="213"/>
      <c r="AG938" s="213"/>
      <c r="AH938" s="213"/>
      <c r="AI938" s="213"/>
      <c r="AJ938" s="213"/>
      <c r="AK938" s="213"/>
      <c r="AL938" s="213"/>
      <c r="AM938" s="213"/>
      <c r="AN938" s="213"/>
      <c r="AO938" s="213"/>
      <c r="AP938" s="213"/>
      <c r="AQ938" s="213"/>
      <c r="AR938" s="213"/>
      <c r="AS938" s="213"/>
      <c r="AT938" s="213"/>
      <c r="AU938" s="213"/>
      <c r="AV938" s="213"/>
      <c r="AW938" s="213"/>
      <c r="AX938" s="213"/>
      <c r="AY938" s="213"/>
      <c r="AZ938" s="213"/>
      <c r="BA938" s="213"/>
      <c r="BB938" s="213"/>
    </row>
    <row r="939" ht="15.75" customHeight="1">
      <c r="A939" s="213"/>
      <c r="B939" s="213"/>
      <c r="C939" s="213"/>
      <c r="D939" s="213"/>
      <c r="E939" s="213"/>
      <c r="F939" s="213"/>
      <c r="G939" s="213"/>
      <c r="H939" s="213"/>
      <c r="I939" s="213"/>
      <c r="J939" s="213"/>
      <c r="K939" s="215"/>
      <c r="L939" s="213"/>
      <c r="M939" s="215"/>
      <c r="N939" s="213"/>
      <c r="O939" s="213"/>
      <c r="P939" s="213"/>
      <c r="Q939" s="213"/>
      <c r="R939" s="213"/>
      <c r="S939" s="213"/>
      <c r="T939" s="213"/>
      <c r="U939" s="213"/>
      <c r="V939" s="213"/>
      <c r="W939" s="213"/>
      <c r="X939" s="213"/>
      <c r="Y939" s="213"/>
      <c r="Z939" s="213"/>
      <c r="AA939" s="213"/>
      <c r="AB939" s="213"/>
      <c r="AC939" s="213"/>
      <c r="AD939" s="213"/>
      <c r="AE939" s="213"/>
      <c r="AF939" s="213"/>
      <c r="AG939" s="213"/>
      <c r="AH939" s="213"/>
      <c r="AI939" s="213"/>
      <c r="AJ939" s="213"/>
      <c r="AK939" s="213"/>
      <c r="AL939" s="213"/>
      <c r="AM939" s="213"/>
      <c r="AN939" s="213"/>
      <c r="AO939" s="213"/>
      <c r="AP939" s="213"/>
      <c r="AQ939" s="213"/>
      <c r="AR939" s="213"/>
      <c r="AS939" s="213"/>
      <c r="AT939" s="213"/>
      <c r="AU939" s="213"/>
      <c r="AV939" s="213"/>
      <c r="AW939" s="213"/>
      <c r="AX939" s="213"/>
      <c r="AY939" s="213"/>
      <c r="AZ939" s="213"/>
      <c r="BA939" s="213"/>
      <c r="BB939" s="213"/>
    </row>
    <row r="940" ht="15.75" customHeight="1">
      <c r="A940" s="213"/>
      <c r="B940" s="213"/>
      <c r="C940" s="213"/>
      <c r="D940" s="213"/>
      <c r="E940" s="213"/>
      <c r="F940" s="213"/>
      <c r="G940" s="213"/>
      <c r="H940" s="213"/>
      <c r="I940" s="213"/>
      <c r="J940" s="213"/>
      <c r="K940" s="215"/>
      <c r="L940" s="213"/>
      <c r="M940" s="215"/>
      <c r="N940" s="213"/>
      <c r="O940" s="213"/>
      <c r="P940" s="213"/>
      <c r="Q940" s="213"/>
      <c r="R940" s="213"/>
      <c r="S940" s="213"/>
      <c r="T940" s="213"/>
      <c r="U940" s="213"/>
      <c r="V940" s="213"/>
      <c r="W940" s="213"/>
      <c r="X940" s="213"/>
      <c r="Y940" s="213"/>
      <c r="Z940" s="213"/>
      <c r="AA940" s="213"/>
      <c r="AB940" s="213"/>
      <c r="AC940" s="213"/>
      <c r="AD940" s="213"/>
      <c r="AE940" s="213"/>
      <c r="AF940" s="213"/>
      <c r="AG940" s="213"/>
      <c r="AH940" s="213"/>
      <c r="AI940" s="213"/>
      <c r="AJ940" s="213"/>
      <c r="AK940" s="213"/>
      <c r="AL940" s="213"/>
      <c r="AM940" s="213"/>
      <c r="AN940" s="213"/>
      <c r="AO940" s="213"/>
      <c r="AP940" s="213"/>
      <c r="AQ940" s="213"/>
      <c r="AR940" s="213"/>
      <c r="AS940" s="213"/>
      <c r="AT940" s="213"/>
      <c r="AU940" s="213"/>
      <c r="AV940" s="213"/>
      <c r="AW940" s="213"/>
      <c r="AX940" s="213"/>
      <c r="AY940" s="213"/>
      <c r="AZ940" s="213"/>
      <c r="BA940" s="213"/>
      <c r="BB940" s="213"/>
    </row>
    <row r="941" ht="15.75" customHeight="1">
      <c r="A941" s="213"/>
      <c r="B941" s="213"/>
      <c r="C941" s="213"/>
      <c r="D941" s="213"/>
      <c r="E941" s="213"/>
      <c r="F941" s="213"/>
      <c r="G941" s="213"/>
      <c r="H941" s="213"/>
      <c r="I941" s="213"/>
      <c r="J941" s="213"/>
      <c r="K941" s="215"/>
      <c r="L941" s="213"/>
      <c r="M941" s="215"/>
      <c r="N941" s="213"/>
      <c r="O941" s="213"/>
      <c r="P941" s="213"/>
      <c r="Q941" s="213"/>
      <c r="R941" s="213"/>
      <c r="S941" s="213"/>
      <c r="T941" s="213"/>
      <c r="U941" s="213"/>
      <c r="V941" s="213"/>
      <c r="W941" s="213"/>
      <c r="X941" s="213"/>
      <c r="Y941" s="213"/>
      <c r="Z941" s="213"/>
      <c r="AA941" s="213"/>
      <c r="AB941" s="213"/>
      <c r="AC941" s="213"/>
      <c r="AD941" s="213"/>
      <c r="AE941" s="213"/>
      <c r="AF941" s="213"/>
      <c r="AG941" s="213"/>
      <c r="AH941" s="213"/>
      <c r="AI941" s="213"/>
      <c r="AJ941" s="213"/>
      <c r="AK941" s="213"/>
      <c r="AL941" s="213"/>
      <c r="AM941" s="213"/>
      <c r="AN941" s="213"/>
      <c r="AO941" s="213"/>
      <c r="AP941" s="213"/>
      <c r="AQ941" s="213"/>
      <c r="AR941" s="213"/>
      <c r="AS941" s="213"/>
      <c r="AT941" s="213"/>
      <c r="AU941" s="213"/>
      <c r="AV941" s="213"/>
      <c r="AW941" s="213"/>
      <c r="AX941" s="213"/>
      <c r="AY941" s="213"/>
      <c r="AZ941" s="213"/>
      <c r="BA941" s="213"/>
      <c r="BB941" s="213"/>
    </row>
    <row r="942" ht="15.75" customHeight="1">
      <c r="A942" s="213"/>
      <c r="B942" s="213"/>
      <c r="C942" s="213"/>
      <c r="D942" s="213"/>
      <c r="E942" s="213"/>
      <c r="F942" s="213"/>
      <c r="G942" s="213"/>
      <c r="H942" s="213"/>
      <c r="I942" s="213"/>
      <c r="J942" s="213"/>
      <c r="K942" s="215"/>
      <c r="L942" s="213"/>
      <c r="M942" s="215"/>
      <c r="N942" s="213"/>
      <c r="O942" s="213"/>
      <c r="P942" s="213"/>
      <c r="Q942" s="213"/>
      <c r="R942" s="213"/>
      <c r="S942" s="213"/>
      <c r="T942" s="213"/>
      <c r="U942" s="213"/>
      <c r="V942" s="213"/>
      <c r="W942" s="213"/>
      <c r="X942" s="213"/>
      <c r="Y942" s="213"/>
      <c r="Z942" s="213"/>
      <c r="AA942" s="213"/>
      <c r="AB942" s="213"/>
      <c r="AC942" s="213"/>
      <c r="AD942" s="213"/>
      <c r="AE942" s="213"/>
      <c r="AF942" s="213"/>
      <c r="AG942" s="213"/>
      <c r="AH942" s="213"/>
      <c r="AI942" s="213"/>
      <c r="AJ942" s="213"/>
      <c r="AK942" s="213"/>
      <c r="AL942" s="213"/>
      <c r="AM942" s="213"/>
      <c r="AN942" s="213"/>
      <c r="AO942" s="213"/>
      <c r="AP942" s="213"/>
      <c r="AQ942" s="213"/>
      <c r="AR942" s="213"/>
      <c r="AS942" s="213"/>
      <c r="AT942" s="213"/>
      <c r="AU942" s="213"/>
      <c r="AV942" s="213"/>
      <c r="AW942" s="213"/>
      <c r="AX942" s="213"/>
      <c r="AY942" s="213"/>
      <c r="AZ942" s="213"/>
      <c r="BA942" s="213"/>
      <c r="BB942" s="213"/>
    </row>
    <row r="943" ht="15.75" customHeight="1">
      <c r="A943" s="213"/>
      <c r="B943" s="213"/>
      <c r="C943" s="213"/>
      <c r="D943" s="213"/>
      <c r="E943" s="213"/>
      <c r="F943" s="213"/>
      <c r="G943" s="213"/>
      <c r="H943" s="213"/>
      <c r="I943" s="213"/>
      <c r="J943" s="213"/>
      <c r="K943" s="215"/>
      <c r="L943" s="213"/>
      <c r="M943" s="215"/>
      <c r="N943" s="213"/>
      <c r="O943" s="213"/>
      <c r="P943" s="213"/>
      <c r="Q943" s="213"/>
      <c r="R943" s="213"/>
      <c r="S943" s="213"/>
      <c r="T943" s="213"/>
      <c r="U943" s="213"/>
      <c r="V943" s="213"/>
      <c r="W943" s="213"/>
      <c r="X943" s="213"/>
      <c r="Y943" s="213"/>
      <c r="Z943" s="213"/>
      <c r="AA943" s="213"/>
      <c r="AB943" s="213"/>
      <c r="AC943" s="213"/>
      <c r="AD943" s="213"/>
      <c r="AE943" s="213"/>
      <c r="AF943" s="213"/>
      <c r="AG943" s="213"/>
      <c r="AH943" s="213"/>
      <c r="AI943" s="213"/>
      <c r="AJ943" s="213"/>
      <c r="AK943" s="213"/>
      <c r="AL943" s="213"/>
      <c r="AM943" s="213"/>
      <c r="AN943" s="213"/>
      <c r="AO943" s="213"/>
      <c r="AP943" s="213"/>
      <c r="AQ943" s="213"/>
      <c r="AR943" s="213"/>
      <c r="AS943" s="213"/>
      <c r="AT943" s="213"/>
      <c r="AU943" s="213"/>
      <c r="AV943" s="213"/>
      <c r="AW943" s="213"/>
      <c r="AX943" s="213"/>
      <c r="AY943" s="213"/>
      <c r="AZ943" s="213"/>
      <c r="BA943" s="213"/>
      <c r="BB943" s="213"/>
    </row>
    <row r="944" ht="15.75" customHeight="1">
      <c r="A944" s="213"/>
      <c r="B944" s="213"/>
      <c r="C944" s="213"/>
      <c r="D944" s="213"/>
      <c r="E944" s="213"/>
      <c r="F944" s="213"/>
      <c r="G944" s="213"/>
      <c r="H944" s="213"/>
      <c r="I944" s="213"/>
      <c r="J944" s="213"/>
      <c r="K944" s="215"/>
      <c r="L944" s="213"/>
      <c r="M944" s="215"/>
      <c r="N944" s="213"/>
      <c r="O944" s="213"/>
      <c r="P944" s="213"/>
      <c r="Q944" s="213"/>
      <c r="R944" s="213"/>
      <c r="S944" s="213"/>
      <c r="T944" s="213"/>
      <c r="U944" s="213"/>
      <c r="V944" s="213"/>
      <c r="W944" s="213"/>
      <c r="X944" s="213"/>
      <c r="Y944" s="213"/>
      <c r="Z944" s="213"/>
      <c r="AA944" s="213"/>
      <c r="AB944" s="213"/>
      <c r="AC944" s="213"/>
      <c r="AD944" s="213"/>
      <c r="AE944" s="213"/>
      <c r="AF944" s="213"/>
      <c r="AG944" s="213"/>
      <c r="AH944" s="213"/>
      <c r="AI944" s="213"/>
      <c r="AJ944" s="213"/>
      <c r="AK944" s="213"/>
      <c r="AL944" s="213"/>
      <c r="AM944" s="213"/>
      <c r="AN944" s="213"/>
      <c r="AO944" s="213"/>
      <c r="AP944" s="213"/>
      <c r="AQ944" s="213"/>
      <c r="AR944" s="213"/>
      <c r="AS944" s="213"/>
      <c r="AT944" s="213"/>
      <c r="AU944" s="213"/>
      <c r="AV944" s="213"/>
      <c r="AW944" s="213"/>
      <c r="AX944" s="213"/>
      <c r="AY944" s="213"/>
      <c r="AZ944" s="213"/>
      <c r="BA944" s="213"/>
      <c r="BB944" s="213"/>
    </row>
    <row r="945" ht="15.75" customHeight="1">
      <c r="A945" s="213"/>
      <c r="B945" s="213"/>
      <c r="C945" s="213"/>
      <c r="D945" s="213"/>
      <c r="E945" s="213"/>
      <c r="F945" s="213"/>
      <c r="G945" s="213"/>
      <c r="H945" s="213"/>
      <c r="I945" s="213"/>
      <c r="J945" s="213"/>
      <c r="K945" s="215"/>
      <c r="L945" s="213"/>
      <c r="M945" s="215"/>
      <c r="N945" s="213"/>
      <c r="O945" s="213"/>
      <c r="P945" s="213"/>
      <c r="Q945" s="213"/>
      <c r="R945" s="213"/>
      <c r="S945" s="213"/>
      <c r="T945" s="213"/>
      <c r="U945" s="213"/>
      <c r="V945" s="213"/>
      <c r="W945" s="213"/>
      <c r="X945" s="213"/>
      <c r="Y945" s="213"/>
      <c r="Z945" s="213"/>
      <c r="AA945" s="213"/>
      <c r="AB945" s="213"/>
      <c r="AC945" s="213"/>
      <c r="AD945" s="213"/>
      <c r="AE945" s="213"/>
      <c r="AF945" s="213"/>
      <c r="AG945" s="213"/>
      <c r="AH945" s="213"/>
      <c r="AI945" s="213"/>
      <c r="AJ945" s="213"/>
      <c r="AK945" s="213"/>
      <c r="AL945" s="213"/>
      <c r="AM945" s="213"/>
      <c r="AN945" s="213"/>
      <c r="AO945" s="213"/>
      <c r="AP945" s="213"/>
      <c r="AQ945" s="213"/>
      <c r="AR945" s="213"/>
      <c r="AS945" s="213"/>
      <c r="AT945" s="213"/>
      <c r="AU945" s="213"/>
      <c r="AV945" s="213"/>
      <c r="AW945" s="213"/>
      <c r="AX945" s="213"/>
      <c r="AY945" s="213"/>
      <c r="AZ945" s="213"/>
      <c r="BA945" s="213"/>
      <c r="BB945" s="213"/>
    </row>
    <row r="946" ht="15.75" customHeight="1">
      <c r="A946" s="213"/>
      <c r="B946" s="213"/>
      <c r="C946" s="213"/>
      <c r="D946" s="213"/>
      <c r="E946" s="213"/>
      <c r="F946" s="213"/>
      <c r="G946" s="213"/>
      <c r="H946" s="213"/>
      <c r="I946" s="213"/>
      <c r="J946" s="213"/>
      <c r="K946" s="215"/>
      <c r="L946" s="213"/>
      <c r="M946" s="215"/>
      <c r="N946" s="213"/>
      <c r="O946" s="213"/>
      <c r="P946" s="213"/>
      <c r="Q946" s="213"/>
      <c r="R946" s="213"/>
      <c r="S946" s="213"/>
      <c r="T946" s="213"/>
      <c r="U946" s="213"/>
      <c r="V946" s="213"/>
      <c r="W946" s="213"/>
      <c r="X946" s="213"/>
      <c r="Y946" s="213"/>
      <c r="Z946" s="213"/>
      <c r="AA946" s="213"/>
      <c r="AB946" s="213"/>
      <c r="AC946" s="213"/>
      <c r="AD946" s="213"/>
      <c r="AE946" s="213"/>
      <c r="AF946" s="213"/>
      <c r="AG946" s="213"/>
      <c r="AH946" s="213"/>
      <c r="AI946" s="213"/>
      <c r="AJ946" s="213"/>
      <c r="AK946" s="213"/>
      <c r="AL946" s="213"/>
      <c r="AM946" s="213"/>
      <c r="AN946" s="213"/>
      <c r="AO946" s="213"/>
      <c r="AP946" s="213"/>
      <c r="AQ946" s="213"/>
      <c r="AR946" s="213"/>
      <c r="AS946" s="213"/>
      <c r="AT946" s="213"/>
      <c r="AU946" s="213"/>
      <c r="AV946" s="213"/>
      <c r="AW946" s="213"/>
      <c r="AX946" s="213"/>
      <c r="AY946" s="213"/>
      <c r="AZ946" s="213"/>
      <c r="BA946" s="213"/>
      <c r="BB946" s="213"/>
    </row>
    <row r="947" ht="15.75" customHeight="1">
      <c r="A947" s="213"/>
      <c r="B947" s="213"/>
      <c r="C947" s="213"/>
      <c r="D947" s="213"/>
      <c r="E947" s="213"/>
      <c r="F947" s="213"/>
      <c r="G947" s="213"/>
      <c r="H947" s="213"/>
      <c r="I947" s="213"/>
      <c r="J947" s="213"/>
      <c r="K947" s="215"/>
      <c r="L947" s="213"/>
      <c r="M947" s="215"/>
      <c r="N947" s="213"/>
      <c r="O947" s="213"/>
      <c r="P947" s="213"/>
      <c r="Q947" s="213"/>
      <c r="R947" s="213"/>
      <c r="S947" s="213"/>
      <c r="T947" s="213"/>
      <c r="U947" s="213"/>
      <c r="V947" s="213"/>
      <c r="W947" s="213"/>
      <c r="X947" s="213"/>
      <c r="Y947" s="213"/>
      <c r="Z947" s="213"/>
      <c r="AA947" s="213"/>
      <c r="AB947" s="213"/>
      <c r="AC947" s="213"/>
      <c r="AD947" s="213"/>
      <c r="AE947" s="213"/>
      <c r="AF947" s="213"/>
      <c r="AG947" s="213"/>
      <c r="AH947" s="213"/>
      <c r="AI947" s="213"/>
      <c r="AJ947" s="213"/>
      <c r="AK947" s="213"/>
      <c r="AL947" s="213"/>
      <c r="AM947" s="213"/>
      <c r="AN947" s="213"/>
      <c r="AO947" s="213"/>
      <c r="AP947" s="213"/>
      <c r="AQ947" s="213"/>
      <c r="AR947" s="213"/>
      <c r="AS947" s="213"/>
      <c r="AT947" s="213"/>
      <c r="AU947" s="213"/>
      <c r="AV947" s="213"/>
      <c r="AW947" s="213"/>
      <c r="AX947" s="213"/>
      <c r="AY947" s="213"/>
      <c r="AZ947" s="213"/>
      <c r="BA947" s="213"/>
      <c r="BB947" s="213"/>
    </row>
    <row r="948" ht="15.75" customHeight="1">
      <c r="A948" s="213"/>
      <c r="B948" s="213"/>
      <c r="C948" s="213"/>
      <c r="D948" s="213"/>
      <c r="E948" s="213"/>
      <c r="F948" s="213"/>
      <c r="G948" s="213"/>
      <c r="H948" s="213"/>
      <c r="I948" s="213"/>
      <c r="J948" s="213"/>
      <c r="K948" s="215"/>
      <c r="L948" s="213"/>
      <c r="M948" s="215"/>
      <c r="N948" s="213"/>
      <c r="O948" s="213"/>
      <c r="P948" s="213"/>
      <c r="Q948" s="213"/>
      <c r="R948" s="213"/>
      <c r="S948" s="213"/>
      <c r="T948" s="213"/>
      <c r="U948" s="213"/>
      <c r="V948" s="213"/>
      <c r="W948" s="213"/>
      <c r="X948" s="213"/>
      <c r="Y948" s="213"/>
      <c r="Z948" s="213"/>
      <c r="AA948" s="213"/>
      <c r="AB948" s="213"/>
      <c r="AC948" s="213"/>
      <c r="AD948" s="213"/>
      <c r="AE948" s="213"/>
      <c r="AF948" s="213"/>
      <c r="AG948" s="213"/>
      <c r="AH948" s="213"/>
      <c r="AI948" s="213"/>
      <c r="AJ948" s="213"/>
      <c r="AK948" s="213"/>
      <c r="AL948" s="213"/>
      <c r="AM948" s="213"/>
      <c r="AN948" s="213"/>
      <c r="AO948" s="213"/>
      <c r="AP948" s="213"/>
      <c r="AQ948" s="213"/>
      <c r="AR948" s="213"/>
      <c r="AS948" s="213"/>
      <c r="AT948" s="213"/>
      <c r="AU948" s="213"/>
      <c r="AV948" s="213"/>
      <c r="AW948" s="213"/>
      <c r="AX948" s="213"/>
      <c r="AY948" s="213"/>
      <c r="AZ948" s="213"/>
      <c r="BA948" s="213"/>
      <c r="BB948" s="213"/>
    </row>
    <row r="949" ht="15.75" customHeight="1">
      <c r="A949" s="213"/>
      <c r="B949" s="213"/>
      <c r="C949" s="213"/>
      <c r="D949" s="213"/>
      <c r="E949" s="213"/>
      <c r="F949" s="213"/>
      <c r="G949" s="213"/>
      <c r="H949" s="213"/>
      <c r="I949" s="213"/>
      <c r="J949" s="213"/>
      <c r="K949" s="215"/>
      <c r="L949" s="213"/>
      <c r="M949" s="215"/>
      <c r="N949" s="213"/>
      <c r="O949" s="213"/>
      <c r="P949" s="213"/>
      <c r="Q949" s="213"/>
      <c r="R949" s="213"/>
      <c r="S949" s="213"/>
      <c r="T949" s="213"/>
      <c r="U949" s="213"/>
      <c r="V949" s="213"/>
      <c r="W949" s="213"/>
      <c r="X949" s="213"/>
      <c r="Y949" s="213"/>
      <c r="Z949" s="213"/>
      <c r="AA949" s="213"/>
      <c r="AB949" s="213"/>
      <c r="AC949" s="213"/>
      <c r="AD949" s="213"/>
      <c r="AE949" s="213"/>
      <c r="AF949" s="213"/>
      <c r="AG949" s="213"/>
      <c r="AH949" s="213"/>
      <c r="AI949" s="213"/>
      <c r="AJ949" s="213"/>
      <c r="AK949" s="213"/>
      <c r="AL949" s="213"/>
      <c r="AM949" s="213"/>
      <c r="AN949" s="213"/>
      <c r="AO949" s="213"/>
      <c r="AP949" s="213"/>
      <c r="AQ949" s="213"/>
      <c r="AR949" s="213"/>
      <c r="AS949" s="213"/>
      <c r="AT949" s="213"/>
      <c r="AU949" s="213"/>
      <c r="AV949" s="213"/>
      <c r="AW949" s="213"/>
      <c r="AX949" s="213"/>
      <c r="AY949" s="213"/>
      <c r="AZ949" s="213"/>
      <c r="BA949" s="213"/>
      <c r="BB949" s="213"/>
    </row>
    <row r="950" ht="15.75" customHeight="1">
      <c r="A950" s="213"/>
      <c r="B950" s="213"/>
      <c r="C950" s="213"/>
      <c r="D950" s="213"/>
      <c r="E950" s="213"/>
      <c r="F950" s="213"/>
      <c r="G950" s="213"/>
      <c r="H950" s="213"/>
      <c r="I950" s="213"/>
      <c r="J950" s="213"/>
      <c r="K950" s="215"/>
      <c r="L950" s="213"/>
      <c r="M950" s="215"/>
      <c r="N950" s="213"/>
      <c r="O950" s="213"/>
      <c r="P950" s="213"/>
      <c r="Q950" s="213"/>
      <c r="R950" s="213"/>
      <c r="S950" s="213"/>
      <c r="T950" s="213"/>
      <c r="U950" s="213"/>
      <c r="V950" s="213"/>
      <c r="W950" s="213"/>
      <c r="X950" s="213"/>
      <c r="Y950" s="213"/>
      <c r="Z950" s="213"/>
      <c r="AA950" s="213"/>
      <c r="AB950" s="213"/>
      <c r="AC950" s="213"/>
      <c r="AD950" s="213"/>
      <c r="AE950" s="213"/>
      <c r="AF950" s="213"/>
      <c r="AG950" s="213"/>
      <c r="AH950" s="213"/>
      <c r="AI950" s="213"/>
      <c r="AJ950" s="213"/>
      <c r="AK950" s="213"/>
      <c r="AL950" s="213"/>
      <c r="AM950" s="213"/>
      <c r="AN950" s="213"/>
      <c r="AO950" s="213"/>
      <c r="AP950" s="213"/>
      <c r="AQ950" s="213"/>
      <c r="AR950" s="213"/>
      <c r="AS950" s="213"/>
      <c r="AT950" s="213"/>
      <c r="AU950" s="213"/>
      <c r="AV950" s="213"/>
      <c r="AW950" s="213"/>
      <c r="AX950" s="213"/>
      <c r="AY950" s="213"/>
      <c r="AZ950" s="213"/>
      <c r="BA950" s="213"/>
      <c r="BB950" s="213"/>
    </row>
    <row r="951" ht="15.75" customHeight="1">
      <c r="A951" s="213"/>
      <c r="B951" s="213"/>
      <c r="C951" s="213"/>
      <c r="D951" s="213"/>
      <c r="E951" s="213"/>
      <c r="F951" s="213"/>
      <c r="G951" s="213"/>
      <c r="H951" s="213"/>
      <c r="I951" s="213"/>
      <c r="J951" s="213"/>
      <c r="K951" s="215"/>
      <c r="L951" s="213"/>
      <c r="M951" s="215"/>
      <c r="N951" s="213"/>
      <c r="O951" s="213"/>
      <c r="P951" s="213"/>
      <c r="Q951" s="213"/>
      <c r="R951" s="213"/>
      <c r="S951" s="213"/>
      <c r="T951" s="213"/>
      <c r="U951" s="213"/>
      <c r="V951" s="213"/>
      <c r="W951" s="213"/>
      <c r="X951" s="213"/>
      <c r="Y951" s="213"/>
      <c r="Z951" s="213"/>
      <c r="AA951" s="213"/>
      <c r="AB951" s="213"/>
      <c r="AC951" s="213"/>
      <c r="AD951" s="213"/>
      <c r="AE951" s="213"/>
      <c r="AF951" s="213"/>
      <c r="AG951" s="213"/>
      <c r="AH951" s="213"/>
      <c r="AI951" s="213"/>
      <c r="AJ951" s="213"/>
      <c r="AK951" s="213"/>
      <c r="AL951" s="213"/>
      <c r="AM951" s="213"/>
      <c r="AN951" s="213"/>
      <c r="AO951" s="213"/>
      <c r="AP951" s="213"/>
      <c r="AQ951" s="213"/>
      <c r="AR951" s="213"/>
      <c r="AS951" s="213"/>
      <c r="AT951" s="213"/>
      <c r="AU951" s="213"/>
      <c r="AV951" s="213"/>
      <c r="AW951" s="213"/>
      <c r="AX951" s="213"/>
      <c r="AY951" s="213"/>
      <c r="AZ951" s="213"/>
      <c r="BA951" s="213"/>
      <c r="BB951" s="213"/>
    </row>
    <row r="952" ht="15.75" customHeight="1">
      <c r="A952" s="213"/>
      <c r="B952" s="213"/>
      <c r="C952" s="213"/>
      <c r="D952" s="213"/>
      <c r="E952" s="213"/>
      <c r="F952" s="213"/>
      <c r="G952" s="213"/>
      <c r="H952" s="213"/>
      <c r="I952" s="213"/>
      <c r="J952" s="213"/>
      <c r="K952" s="215"/>
      <c r="L952" s="213"/>
      <c r="M952" s="215"/>
      <c r="N952" s="213"/>
      <c r="O952" s="213"/>
      <c r="P952" s="213"/>
      <c r="Q952" s="213"/>
      <c r="R952" s="213"/>
      <c r="S952" s="213"/>
      <c r="T952" s="213"/>
      <c r="U952" s="213"/>
      <c r="V952" s="213"/>
      <c r="W952" s="213"/>
      <c r="X952" s="213"/>
      <c r="Y952" s="213"/>
      <c r="Z952" s="213"/>
      <c r="AA952" s="213"/>
      <c r="AB952" s="213"/>
      <c r="AC952" s="213"/>
      <c r="AD952" s="213"/>
      <c r="AE952" s="213"/>
      <c r="AF952" s="213"/>
      <c r="AG952" s="213"/>
      <c r="AH952" s="213"/>
      <c r="AI952" s="213"/>
      <c r="AJ952" s="213"/>
      <c r="AK952" s="213"/>
      <c r="AL952" s="213"/>
      <c r="AM952" s="213"/>
      <c r="AN952" s="213"/>
      <c r="AO952" s="213"/>
      <c r="AP952" s="213"/>
      <c r="AQ952" s="213"/>
      <c r="AR952" s="213"/>
      <c r="AS952" s="213"/>
      <c r="AT952" s="213"/>
      <c r="AU952" s="213"/>
      <c r="AV952" s="213"/>
      <c r="AW952" s="213"/>
      <c r="AX952" s="213"/>
      <c r="AY952" s="213"/>
      <c r="AZ952" s="213"/>
      <c r="BA952" s="213"/>
      <c r="BB952" s="213"/>
    </row>
    <row r="953" ht="15.75" customHeight="1">
      <c r="A953" s="213"/>
      <c r="B953" s="213"/>
      <c r="C953" s="213"/>
      <c r="D953" s="213"/>
      <c r="E953" s="213"/>
      <c r="F953" s="213"/>
      <c r="G953" s="213"/>
      <c r="H953" s="213"/>
      <c r="I953" s="213"/>
      <c r="J953" s="213"/>
      <c r="K953" s="215"/>
      <c r="L953" s="213"/>
      <c r="M953" s="215"/>
      <c r="N953" s="213"/>
      <c r="O953" s="213"/>
      <c r="P953" s="213"/>
      <c r="Q953" s="213"/>
      <c r="R953" s="213"/>
      <c r="S953" s="213"/>
      <c r="T953" s="213"/>
      <c r="U953" s="213"/>
      <c r="V953" s="213"/>
      <c r="W953" s="213"/>
      <c r="X953" s="213"/>
      <c r="Y953" s="213"/>
      <c r="Z953" s="213"/>
      <c r="AA953" s="213"/>
      <c r="AB953" s="213"/>
      <c r="AC953" s="213"/>
      <c r="AD953" s="213"/>
      <c r="AE953" s="213"/>
      <c r="AF953" s="213"/>
      <c r="AG953" s="213"/>
      <c r="AH953" s="213"/>
      <c r="AI953" s="213"/>
      <c r="AJ953" s="213"/>
      <c r="AK953" s="213"/>
      <c r="AL953" s="213"/>
      <c r="AM953" s="213"/>
      <c r="AN953" s="213"/>
      <c r="AO953" s="213"/>
      <c r="AP953" s="213"/>
      <c r="AQ953" s="213"/>
      <c r="AR953" s="213"/>
      <c r="AS953" s="213"/>
      <c r="AT953" s="213"/>
      <c r="AU953" s="213"/>
      <c r="AV953" s="213"/>
      <c r="AW953" s="213"/>
      <c r="AX953" s="213"/>
      <c r="AY953" s="213"/>
      <c r="AZ953" s="213"/>
      <c r="BA953" s="213"/>
      <c r="BB953" s="213"/>
    </row>
    <row r="954" ht="15.75" customHeight="1">
      <c r="A954" s="213"/>
      <c r="B954" s="213"/>
      <c r="C954" s="213"/>
      <c r="D954" s="213"/>
      <c r="E954" s="213"/>
      <c r="F954" s="213"/>
      <c r="G954" s="213"/>
      <c r="H954" s="213"/>
      <c r="I954" s="213"/>
      <c r="J954" s="213"/>
      <c r="K954" s="215"/>
      <c r="L954" s="213"/>
      <c r="M954" s="215"/>
      <c r="N954" s="213"/>
      <c r="O954" s="213"/>
      <c r="P954" s="213"/>
      <c r="Q954" s="213"/>
      <c r="R954" s="213"/>
      <c r="S954" s="213"/>
      <c r="T954" s="213"/>
      <c r="U954" s="213"/>
      <c r="V954" s="213"/>
      <c r="W954" s="213"/>
      <c r="X954" s="213"/>
      <c r="Y954" s="213"/>
      <c r="Z954" s="213"/>
      <c r="AA954" s="213"/>
      <c r="AB954" s="213"/>
      <c r="AC954" s="213"/>
      <c r="AD954" s="213"/>
      <c r="AE954" s="213"/>
      <c r="AF954" s="213"/>
      <c r="AG954" s="213"/>
      <c r="AH954" s="213"/>
      <c r="AI954" s="213"/>
      <c r="AJ954" s="213"/>
      <c r="AK954" s="213"/>
      <c r="AL954" s="213"/>
      <c r="AM954" s="213"/>
      <c r="AN954" s="213"/>
      <c r="AO954" s="213"/>
      <c r="AP954" s="213"/>
      <c r="AQ954" s="213"/>
      <c r="AR954" s="213"/>
      <c r="AS954" s="213"/>
      <c r="AT954" s="213"/>
      <c r="AU954" s="213"/>
      <c r="AV954" s="213"/>
      <c r="AW954" s="213"/>
      <c r="AX954" s="213"/>
      <c r="AY954" s="213"/>
      <c r="AZ954" s="213"/>
      <c r="BA954" s="213"/>
      <c r="BB954" s="213"/>
    </row>
    <row r="955" ht="15.75" customHeight="1">
      <c r="A955" s="213"/>
      <c r="B955" s="213"/>
      <c r="C955" s="213"/>
      <c r="D955" s="213"/>
      <c r="E955" s="213"/>
      <c r="F955" s="213"/>
      <c r="G955" s="213"/>
      <c r="H955" s="213"/>
      <c r="I955" s="213"/>
      <c r="J955" s="213"/>
      <c r="K955" s="215"/>
      <c r="L955" s="213"/>
      <c r="M955" s="215"/>
      <c r="N955" s="213"/>
      <c r="O955" s="213"/>
      <c r="P955" s="213"/>
      <c r="Q955" s="213"/>
      <c r="R955" s="213"/>
      <c r="S955" s="213"/>
      <c r="T955" s="213"/>
      <c r="U955" s="213"/>
      <c r="V955" s="213"/>
      <c r="W955" s="213"/>
      <c r="X955" s="213"/>
      <c r="Y955" s="213"/>
      <c r="Z955" s="213"/>
      <c r="AA955" s="213"/>
      <c r="AB955" s="213"/>
      <c r="AC955" s="213"/>
      <c r="AD955" s="213"/>
      <c r="AE955" s="213"/>
      <c r="AF955" s="213"/>
      <c r="AG955" s="213"/>
      <c r="AH955" s="213"/>
      <c r="AI955" s="213"/>
      <c r="AJ955" s="213"/>
      <c r="AK955" s="213"/>
      <c r="AL955" s="213"/>
      <c r="AM955" s="213"/>
      <c r="AN955" s="213"/>
      <c r="AO955" s="213"/>
      <c r="AP955" s="213"/>
      <c r="AQ955" s="213"/>
      <c r="AR955" s="213"/>
      <c r="AS955" s="213"/>
      <c r="AT955" s="213"/>
      <c r="AU955" s="213"/>
      <c r="AV955" s="213"/>
      <c r="AW955" s="213"/>
      <c r="AX955" s="213"/>
      <c r="AY955" s="213"/>
      <c r="AZ955" s="213"/>
      <c r="BA955" s="213"/>
      <c r="BB955" s="213"/>
    </row>
    <row r="956" ht="15.75" customHeight="1">
      <c r="A956" s="213"/>
      <c r="B956" s="213"/>
      <c r="C956" s="213"/>
      <c r="D956" s="213"/>
      <c r="E956" s="213"/>
      <c r="F956" s="213"/>
      <c r="G956" s="213"/>
      <c r="H956" s="213"/>
      <c r="I956" s="213"/>
      <c r="J956" s="213"/>
      <c r="K956" s="215"/>
      <c r="L956" s="213"/>
      <c r="M956" s="215"/>
      <c r="N956" s="213"/>
      <c r="O956" s="213"/>
      <c r="P956" s="213"/>
      <c r="Q956" s="213"/>
      <c r="R956" s="213"/>
      <c r="S956" s="213"/>
      <c r="T956" s="213"/>
      <c r="U956" s="213"/>
      <c r="V956" s="213"/>
      <c r="W956" s="213"/>
      <c r="X956" s="213"/>
      <c r="Y956" s="213"/>
      <c r="Z956" s="213"/>
      <c r="AA956" s="213"/>
      <c r="AB956" s="213"/>
      <c r="AC956" s="213"/>
      <c r="AD956" s="213"/>
      <c r="AE956" s="213"/>
      <c r="AF956" s="213"/>
      <c r="AG956" s="213"/>
      <c r="AH956" s="213"/>
      <c r="AI956" s="213"/>
      <c r="AJ956" s="213"/>
      <c r="AK956" s="213"/>
      <c r="AL956" s="213"/>
      <c r="AM956" s="213"/>
      <c r="AN956" s="213"/>
      <c r="AO956" s="213"/>
      <c r="AP956" s="213"/>
      <c r="AQ956" s="213"/>
      <c r="AR956" s="213"/>
      <c r="AS956" s="213"/>
      <c r="AT956" s="213"/>
      <c r="AU956" s="213"/>
      <c r="AV956" s="213"/>
      <c r="AW956" s="213"/>
      <c r="AX956" s="213"/>
      <c r="AY956" s="213"/>
      <c r="AZ956" s="213"/>
      <c r="BA956" s="213"/>
      <c r="BB956" s="213"/>
    </row>
    <row r="957" ht="15.75" customHeight="1">
      <c r="A957" s="213"/>
      <c r="B957" s="213"/>
      <c r="C957" s="213"/>
      <c r="D957" s="213"/>
      <c r="E957" s="213"/>
      <c r="F957" s="213"/>
      <c r="G957" s="213"/>
      <c r="H957" s="213"/>
      <c r="I957" s="213"/>
      <c r="J957" s="213"/>
      <c r="K957" s="215"/>
      <c r="L957" s="213"/>
      <c r="M957" s="215"/>
      <c r="N957" s="213"/>
      <c r="O957" s="213"/>
      <c r="P957" s="213"/>
      <c r="Q957" s="213"/>
      <c r="R957" s="213"/>
      <c r="S957" s="213"/>
      <c r="T957" s="213"/>
      <c r="U957" s="213"/>
      <c r="V957" s="213"/>
      <c r="W957" s="213"/>
      <c r="X957" s="213"/>
      <c r="Y957" s="213"/>
      <c r="Z957" s="213"/>
      <c r="AA957" s="213"/>
      <c r="AB957" s="213"/>
      <c r="AC957" s="213"/>
      <c r="AD957" s="213"/>
      <c r="AE957" s="213"/>
      <c r="AF957" s="213"/>
      <c r="AG957" s="213"/>
      <c r="AH957" s="213"/>
      <c r="AI957" s="213"/>
      <c r="AJ957" s="213"/>
      <c r="AK957" s="213"/>
      <c r="AL957" s="213"/>
      <c r="AM957" s="213"/>
      <c r="AN957" s="213"/>
      <c r="AO957" s="213"/>
      <c r="AP957" s="213"/>
      <c r="AQ957" s="213"/>
      <c r="AR957" s="213"/>
      <c r="AS957" s="213"/>
      <c r="AT957" s="213"/>
      <c r="AU957" s="213"/>
      <c r="AV957" s="213"/>
      <c r="AW957" s="213"/>
      <c r="AX957" s="213"/>
      <c r="AY957" s="213"/>
      <c r="AZ957" s="213"/>
      <c r="BA957" s="213"/>
      <c r="BB957" s="213"/>
    </row>
    <row r="958" ht="15.75" customHeight="1">
      <c r="A958" s="213"/>
      <c r="B958" s="213"/>
      <c r="C958" s="213"/>
      <c r="D958" s="213"/>
      <c r="E958" s="213"/>
      <c r="F958" s="213"/>
      <c r="G958" s="213"/>
      <c r="H958" s="213"/>
      <c r="I958" s="213"/>
      <c r="J958" s="213"/>
      <c r="K958" s="215"/>
      <c r="L958" s="213"/>
      <c r="M958" s="215"/>
      <c r="N958" s="213"/>
      <c r="O958" s="213"/>
      <c r="P958" s="213"/>
      <c r="Q958" s="213"/>
      <c r="R958" s="213"/>
      <c r="S958" s="213"/>
      <c r="T958" s="213"/>
      <c r="U958" s="213"/>
      <c r="V958" s="213"/>
      <c r="W958" s="213"/>
      <c r="X958" s="213"/>
      <c r="Y958" s="213"/>
      <c r="Z958" s="213"/>
      <c r="AA958" s="213"/>
      <c r="AB958" s="213"/>
      <c r="AC958" s="213"/>
      <c r="AD958" s="213"/>
      <c r="AE958" s="213"/>
      <c r="AF958" s="213"/>
      <c r="AG958" s="213"/>
      <c r="AH958" s="213"/>
      <c r="AI958" s="213"/>
      <c r="AJ958" s="213"/>
      <c r="AK958" s="213"/>
      <c r="AL958" s="213"/>
      <c r="AM958" s="213"/>
      <c r="AN958" s="213"/>
      <c r="AO958" s="213"/>
      <c r="AP958" s="213"/>
      <c r="AQ958" s="213"/>
      <c r="AR958" s="213"/>
      <c r="AS958" s="213"/>
      <c r="AT958" s="213"/>
      <c r="AU958" s="213"/>
      <c r="AV958" s="213"/>
      <c r="AW958" s="213"/>
      <c r="AX958" s="213"/>
      <c r="AY958" s="213"/>
      <c r="AZ958" s="213"/>
      <c r="BA958" s="213"/>
      <c r="BB958" s="213"/>
    </row>
    <row r="959" ht="15.75" customHeight="1">
      <c r="A959" s="213"/>
      <c r="B959" s="213"/>
      <c r="C959" s="213"/>
      <c r="D959" s="213"/>
      <c r="E959" s="213"/>
      <c r="F959" s="213"/>
      <c r="G959" s="213"/>
      <c r="H959" s="213"/>
      <c r="I959" s="213"/>
      <c r="J959" s="213"/>
      <c r="K959" s="215"/>
      <c r="L959" s="213"/>
      <c r="M959" s="215"/>
      <c r="N959" s="213"/>
      <c r="O959" s="213"/>
      <c r="P959" s="213"/>
      <c r="Q959" s="213"/>
      <c r="R959" s="213"/>
      <c r="S959" s="213"/>
      <c r="T959" s="213"/>
      <c r="U959" s="213"/>
      <c r="V959" s="213"/>
      <c r="W959" s="213"/>
      <c r="X959" s="213"/>
      <c r="Y959" s="213"/>
      <c r="Z959" s="213"/>
      <c r="AA959" s="213"/>
      <c r="AB959" s="213"/>
      <c r="AC959" s="213"/>
      <c r="AD959" s="213"/>
      <c r="AE959" s="213"/>
      <c r="AF959" s="213"/>
      <c r="AG959" s="213"/>
      <c r="AH959" s="213"/>
      <c r="AI959" s="213"/>
      <c r="AJ959" s="213"/>
      <c r="AK959" s="213"/>
      <c r="AL959" s="213"/>
      <c r="AM959" s="213"/>
      <c r="AN959" s="213"/>
      <c r="AO959" s="213"/>
      <c r="AP959" s="213"/>
      <c r="AQ959" s="213"/>
      <c r="AR959" s="213"/>
      <c r="AS959" s="213"/>
      <c r="AT959" s="213"/>
      <c r="AU959" s="213"/>
      <c r="AV959" s="213"/>
      <c r="AW959" s="213"/>
      <c r="AX959" s="213"/>
      <c r="AY959" s="213"/>
      <c r="AZ959" s="213"/>
      <c r="BA959" s="213"/>
      <c r="BB959" s="213"/>
    </row>
    <row r="960" ht="15.75" customHeight="1">
      <c r="A960" s="213"/>
      <c r="B960" s="213"/>
      <c r="C960" s="213"/>
      <c r="D960" s="213"/>
      <c r="E960" s="213"/>
      <c r="F960" s="213"/>
      <c r="G960" s="213"/>
      <c r="H960" s="213"/>
      <c r="I960" s="213"/>
      <c r="J960" s="213"/>
      <c r="K960" s="215"/>
      <c r="L960" s="213"/>
      <c r="M960" s="215"/>
      <c r="N960" s="213"/>
      <c r="O960" s="213"/>
      <c r="P960" s="213"/>
      <c r="Q960" s="213"/>
      <c r="R960" s="213"/>
      <c r="S960" s="213"/>
      <c r="T960" s="213"/>
      <c r="U960" s="213"/>
      <c r="V960" s="213"/>
      <c r="W960" s="213"/>
      <c r="X960" s="213"/>
      <c r="Y960" s="213"/>
      <c r="Z960" s="213"/>
      <c r="AA960" s="213"/>
      <c r="AB960" s="213"/>
      <c r="AC960" s="213"/>
      <c r="AD960" s="213"/>
      <c r="AE960" s="213"/>
      <c r="AF960" s="213"/>
      <c r="AG960" s="213"/>
      <c r="AH960" s="213"/>
      <c r="AI960" s="213"/>
      <c r="AJ960" s="213"/>
      <c r="AK960" s="213"/>
      <c r="AL960" s="213"/>
      <c r="AM960" s="213"/>
      <c r="AN960" s="213"/>
      <c r="AO960" s="213"/>
      <c r="AP960" s="213"/>
      <c r="AQ960" s="213"/>
      <c r="AR960" s="213"/>
      <c r="AS960" s="213"/>
      <c r="AT960" s="213"/>
      <c r="AU960" s="213"/>
      <c r="AV960" s="213"/>
      <c r="AW960" s="213"/>
      <c r="AX960" s="213"/>
      <c r="AY960" s="213"/>
      <c r="AZ960" s="213"/>
      <c r="BA960" s="213"/>
      <c r="BB960" s="213"/>
    </row>
    <row r="961" ht="15.75" customHeight="1">
      <c r="A961" s="213"/>
      <c r="B961" s="213"/>
      <c r="C961" s="213"/>
      <c r="D961" s="213"/>
      <c r="E961" s="213"/>
      <c r="F961" s="213"/>
      <c r="G961" s="213"/>
      <c r="H961" s="213"/>
      <c r="I961" s="213"/>
      <c r="J961" s="213"/>
      <c r="K961" s="215"/>
      <c r="L961" s="213"/>
      <c r="M961" s="215"/>
      <c r="N961" s="213"/>
      <c r="O961" s="213"/>
      <c r="P961" s="213"/>
      <c r="Q961" s="213"/>
      <c r="R961" s="213"/>
      <c r="S961" s="213"/>
      <c r="T961" s="213"/>
      <c r="U961" s="213"/>
      <c r="V961" s="213"/>
      <c r="W961" s="213"/>
      <c r="X961" s="213"/>
      <c r="Y961" s="213"/>
      <c r="Z961" s="213"/>
      <c r="AA961" s="213"/>
      <c r="AB961" s="213"/>
      <c r="AC961" s="213"/>
      <c r="AD961" s="213"/>
      <c r="AE961" s="213"/>
      <c r="AF961" s="213"/>
      <c r="AG961" s="213"/>
      <c r="AH961" s="213"/>
      <c r="AI961" s="213"/>
      <c r="AJ961" s="213"/>
      <c r="AK961" s="213"/>
      <c r="AL961" s="213"/>
      <c r="AM961" s="213"/>
      <c r="AN961" s="213"/>
      <c r="AO961" s="213"/>
      <c r="AP961" s="213"/>
      <c r="AQ961" s="213"/>
      <c r="AR961" s="213"/>
      <c r="AS961" s="213"/>
      <c r="AT961" s="213"/>
      <c r="AU961" s="213"/>
      <c r="AV961" s="213"/>
      <c r="AW961" s="213"/>
      <c r="AX961" s="213"/>
      <c r="AY961" s="213"/>
      <c r="AZ961" s="213"/>
      <c r="BA961" s="213"/>
      <c r="BB961" s="213"/>
    </row>
    <row r="962" ht="15.75" customHeight="1">
      <c r="A962" s="213"/>
      <c r="B962" s="213"/>
      <c r="C962" s="213"/>
      <c r="D962" s="213"/>
      <c r="E962" s="213"/>
      <c r="F962" s="213"/>
      <c r="G962" s="213"/>
      <c r="H962" s="213"/>
      <c r="I962" s="213"/>
      <c r="J962" s="213"/>
      <c r="K962" s="215"/>
      <c r="L962" s="213"/>
      <c r="M962" s="215"/>
      <c r="N962" s="213"/>
      <c r="O962" s="213"/>
      <c r="P962" s="213"/>
      <c r="Q962" s="213"/>
      <c r="R962" s="213"/>
      <c r="S962" s="213"/>
      <c r="T962" s="213"/>
      <c r="U962" s="213"/>
      <c r="V962" s="213"/>
      <c r="W962" s="213"/>
      <c r="X962" s="213"/>
      <c r="Y962" s="213"/>
      <c r="Z962" s="213"/>
      <c r="AA962" s="213"/>
      <c r="AB962" s="213"/>
      <c r="AC962" s="213"/>
      <c r="AD962" s="213"/>
      <c r="AE962" s="213"/>
      <c r="AF962" s="213"/>
      <c r="AG962" s="213"/>
      <c r="AH962" s="213"/>
      <c r="AI962" s="213"/>
      <c r="AJ962" s="213"/>
      <c r="AK962" s="213"/>
      <c r="AL962" s="213"/>
      <c r="AM962" s="213"/>
      <c r="AN962" s="213"/>
      <c r="AO962" s="213"/>
      <c r="AP962" s="213"/>
      <c r="AQ962" s="213"/>
      <c r="AR962" s="213"/>
      <c r="AS962" s="213"/>
      <c r="AT962" s="213"/>
      <c r="AU962" s="213"/>
      <c r="AV962" s="213"/>
      <c r="AW962" s="213"/>
      <c r="AX962" s="213"/>
      <c r="AY962" s="213"/>
      <c r="AZ962" s="213"/>
      <c r="BA962" s="213"/>
      <c r="BB962" s="213"/>
    </row>
    <row r="963" ht="15.75" customHeight="1">
      <c r="A963" s="213"/>
      <c r="B963" s="213"/>
      <c r="C963" s="213"/>
      <c r="D963" s="213"/>
      <c r="E963" s="213"/>
      <c r="F963" s="213"/>
      <c r="G963" s="213"/>
      <c r="H963" s="213"/>
      <c r="I963" s="213"/>
      <c r="J963" s="213"/>
      <c r="K963" s="215"/>
      <c r="L963" s="213"/>
      <c r="M963" s="215"/>
      <c r="N963" s="213"/>
      <c r="O963" s="213"/>
      <c r="P963" s="213"/>
      <c r="Q963" s="213"/>
      <c r="R963" s="213"/>
      <c r="S963" s="213"/>
      <c r="T963" s="213"/>
      <c r="U963" s="213"/>
      <c r="V963" s="213"/>
      <c r="W963" s="213"/>
      <c r="X963" s="213"/>
      <c r="Y963" s="213"/>
      <c r="Z963" s="213"/>
      <c r="AA963" s="213"/>
      <c r="AB963" s="213"/>
      <c r="AC963" s="213"/>
      <c r="AD963" s="213"/>
      <c r="AE963" s="213"/>
      <c r="AF963" s="213"/>
      <c r="AG963" s="213"/>
      <c r="AH963" s="213"/>
      <c r="AI963" s="213"/>
      <c r="AJ963" s="213"/>
      <c r="AK963" s="213"/>
      <c r="AL963" s="213"/>
      <c r="AM963" s="213"/>
      <c r="AN963" s="213"/>
      <c r="AO963" s="213"/>
      <c r="AP963" s="213"/>
      <c r="AQ963" s="213"/>
      <c r="AR963" s="213"/>
      <c r="AS963" s="213"/>
      <c r="AT963" s="213"/>
      <c r="AU963" s="213"/>
      <c r="AV963" s="213"/>
      <c r="AW963" s="213"/>
      <c r="AX963" s="213"/>
      <c r="AY963" s="213"/>
      <c r="AZ963" s="213"/>
      <c r="BA963" s="213"/>
      <c r="BB963" s="213"/>
    </row>
    <row r="964" ht="15.75" customHeight="1">
      <c r="A964" s="213"/>
      <c r="B964" s="213"/>
      <c r="C964" s="213"/>
      <c r="D964" s="213"/>
      <c r="E964" s="213"/>
      <c r="F964" s="213"/>
      <c r="G964" s="213"/>
      <c r="H964" s="213"/>
      <c r="I964" s="213"/>
      <c r="J964" s="213"/>
      <c r="K964" s="215"/>
      <c r="L964" s="213"/>
      <c r="M964" s="215"/>
      <c r="N964" s="213"/>
      <c r="O964" s="213"/>
      <c r="P964" s="213"/>
      <c r="Q964" s="213"/>
      <c r="R964" s="213"/>
      <c r="S964" s="213"/>
      <c r="T964" s="213"/>
      <c r="U964" s="213"/>
      <c r="V964" s="213"/>
      <c r="W964" s="213"/>
      <c r="X964" s="213"/>
      <c r="Y964" s="213"/>
      <c r="Z964" s="213"/>
      <c r="AA964" s="213"/>
      <c r="AB964" s="213"/>
      <c r="AC964" s="213"/>
      <c r="AD964" s="213"/>
      <c r="AE964" s="213"/>
      <c r="AF964" s="213"/>
      <c r="AG964" s="213"/>
      <c r="AH964" s="213"/>
      <c r="AI964" s="213"/>
      <c r="AJ964" s="213"/>
      <c r="AK964" s="213"/>
      <c r="AL964" s="213"/>
      <c r="AM964" s="213"/>
      <c r="AN964" s="213"/>
      <c r="AO964" s="213"/>
      <c r="AP964" s="213"/>
      <c r="AQ964" s="213"/>
      <c r="AR964" s="213"/>
      <c r="AS964" s="213"/>
      <c r="AT964" s="213"/>
      <c r="AU964" s="213"/>
      <c r="AV964" s="213"/>
      <c r="AW964" s="213"/>
      <c r="AX964" s="213"/>
      <c r="AY964" s="213"/>
      <c r="AZ964" s="213"/>
      <c r="BA964" s="213"/>
      <c r="BB964" s="213"/>
    </row>
    <row r="965" ht="15.75" customHeight="1">
      <c r="A965" s="213"/>
      <c r="B965" s="213"/>
      <c r="C965" s="213"/>
      <c r="D965" s="213"/>
      <c r="E965" s="213"/>
      <c r="F965" s="213"/>
      <c r="G965" s="213"/>
      <c r="H965" s="213"/>
      <c r="I965" s="213"/>
      <c r="J965" s="213"/>
      <c r="K965" s="215"/>
      <c r="L965" s="213"/>
      <c r="M965" s="215"/>
      <c r="N965" s="213"/>
      <c r="O965" s="213"/>
      <c r="P965" s="213"/>
      <c r="Q965" s="213"/>
      <c r="R965" s="213"/>
      <c r="S965" s="213"/>
      <c r="T965" s="213"/>
      <c r="U965" s="213"/>
      <c r="V965" s="213"/>
      <c r="W965" s="213"/>
      <c r="X965" s="213"/>
      <c r="Y965" s="213"/>
      <c r="Z965" s="213"/>
      <c r="AA965" s="213"/>
      <c r="AB965" s="213"/>
      <c r="AC965" s="213"/>
      <c r="AD965" s="213"/>
      <c r="AE965" s="213"/>
      <c r="AF965" s="213"/>
      <c r="AG965" s="213"/>
      <c r="AH965" s="213"/>
      <c r="AI965" s="213"/>
      <c r="AJ965" s="213"/>
      <c r="AK965" s="213"/>
      <c r="AL965" s="213"/>
      <c r="AM965" s="213"/>
      <c r="AN965" s="213"/>
      <c r="AO965" s="213"/>
      <c r="AP965" s="213"/>
      <c r="AQ965" s="213"/>
      <c r="AR965" s="213"/>
      <c r="AS965" s="213"/>
      <c r="AT965" s="213"/>
      <c r="AU965" s="213"/>
      <c r="AV965" s="213"/>
      <c r="AW965" s="213"/>
      <c r="AX965" s="213"/>
      <c r="AY965" s="213"/>
      <c r="AZ965" s="213"/>
      <c r="BA965" s="213"/>
      <c r="BB965" s="213"/>
    </row>
    <row r="966" ht="15.75" customHeight="1">
      <c r="A966" s="213"/>
      <c r="B966" s="213"/>
      <c r="C966" s="213"/>
      <c r="D966" s="213"/>
      <c r="E966" s="213"/>
      <c r="F966" s="213"/>
      <c r="G966" s="213"/>
      <c r="H966" s="213"/>
      <c r="I966" s="213"/>
      <c r="J966" s="213"/>
      <c r="K966" s="215"/>
      <c r="L966" s="213"/>
      <c r="M966" s="215"/>
      <c r="N966" s="213"/>
      <c r="O966" s="213"/>
      <c r="P966" s="213"/>
      <c r="Q966" s="213"/>
      <c r="R966" s="213"/>
      <c r="S966" s="213"/>
      <c r="T966" s="213"/>
      <c r="U966" s="213"/>
      <c r="V966" s="213"/>
      <c r="W966" s="213"/>
      <c r="X966" s="213"/>
      <c r="Y966" s="213"/>
      <c r="Z966" s="213"/>
      <c r="AA966" s="213"/>
      <c r="AB966" s="213"/>
      <c r="AC966" s="213"/>
      <c r="AD966" s="213"/>
      <c r="AE966" s="213"/>
      <c r="AF966" s="213"/>
      <c r="AG966" s="213"/>
      <c r="AH966" s="213"/>
      <c r="AI966" s="213"/>
      <c r="AJ966" s="213"/>
      <c r="AK966" s="213"/>
      <c r="AL966" s="213"/>
      <c r="AM966" s="213"/>
      <c r="AN966" s="213"/>
      <c r="AO966" s="213"/>
      <c r="AP966" s="213"/>
      <c r="AQ966" s="213"/>
      <c r="AR966" s="213"/>
      <c r="AS966" s="213"/>
      <c r="AT966" s="213"/>
      <c r="AU966" s="213"/>
      <c r="AV966" s="213"/>
      <c r="AW966" s="213"/>
      <c r="AX966" s="213"/>
      <c r="AY966" s="213"/>
      <c r="AZ966" s="213"/>
      <c r="BA966" s="213"/>
      <c r="BB966" s="213"/>
    </row>
    <row r="967" ht="15.75" customHeight="1">
      <c r="A967" s="213"/>
      <c r="B967" s="213"/>
      <c r="C967" s="213"/>
      <c r="D967" s="213"/>
      <c r="E967" s="213"/>
      <c r="F967" s="213"/>
      <c r="G967" s="213"/>
      <c r="H967" s="213"/>
      <c r="I967" s="213"/>
      <c r="J967" s="213"/>
      <c r="K967" s="215"/>
      <c r="L967" s="213"/>
      <c r="M967" s="215"/>
      <c r="N967" s="213"/>
      <c r="O967" s="213"/>
      <c r="P967" s="213"/>
      <c r="Q967" s="213"/>
      <c r="R967" s="213"/>
      <c r="S967" s="213"/>
      <c r="T967" s="213"/>
      <c r="U967" s="213"/>
      <c r="V967" s="213"/>
      <c r="W967" s="213"/>
      <c r="X967" s="213"/>
      <c r="Y967" s="213"/>
      <c r="Z967" s="213"/>
      <c r="AA967" s="213"/>
      <c r="AB967" s="213"/>
      <c r="AC967" s="213"/>
      <c r="AD967" s="213"/>
      <c r="AE967" s="213"/>
      <c r="AF967" s="213"/>
      <c r="AG967" s="213"/>
      <c r="AH967" s="213"/>
      <c r="AI967" s="213"/>
      <c r="AJ967" s="213"/>
      <c r="AK967" s="213"/>
      <c r="AL967" s="213"/>
      <c r="AM967" s="213"/>
      <c r="AN967" s="213"/>
      <c r="AO967" s="213"/>
      <c r="AP967" s="213"/>
      <c r="AQ967" s="213"/>
      <c r="AR967" s="213"/>
      <c r="AS967" s="213"/>
      <c r="AT967" s="213"/>
      <c r="AU967" s="213"/>
      <c r="AV967" s="213"/>
      <c r="AW967" s="213"/>
      <c r="AX967" s="213"/>
      <c r="AY967" s="213"/>
      <c r="AZ967" s="213"/>
      <c r="BA967" s="213"/>
      <c r="BB967" s="213"/>
    </row>
    <row r="968" ht="15.75" customHeight="1">
      <c r="A968" s="213"/>
      <c r="B968" s="213"/>
      <c r="C968" s="213"/>
      <c r="D968" s="213"/>
      <c r="E968" s="213"/>
      <c r="F968" s="213"/>
      <c r="G968" s="213"/>
      <c r="H968" s="213"/>
      <c r="I968" s="213"/>
      <c r="J968" s="213"/>
      <c r="K968" s="215"/>
      <c r="L968" s="213"/>
      <c r="M968" s="215"/>
      <c r="N968" s="213"/>
      <c r="O968" s="213"/>
      <c r="P968" s="213"/>
      <c r="Q968" s="213"/>
      <c r="R968" s="213"/>
      <c r="S968" s="213"/>
      <c r="T968" s="213"/>
      <c r="U968" s="213"/>
      <c r="V968" s="213"/>
      <c r="W968" s="213"/>
      <c r="X968" s="213"/>
      <c r="Y968" s="213"/>
      <c r="Z968" s="213"/>
      <c r="AA968" s="213"/>
      <c r="AB968" s="213"/>
      <c r="AC968" s="213"/>
      <c r="AD968" s="213"/>
      <c r="AE968" s="213"/>
      <c r="AF968" s="213"/>
      <c r="AG968" s="213"/>
      <c r="AH968" s="213"/>
      <c r="AI968" s="213"/>
      <c r="AJ968" s="213"/>
      <c r="AK968" s="213"/>
      <c r="AL968" s="213"/>
      <c r="AM968" s="213"/>
      <c r="AN968" s="213"/>
      <c r="AO968" s="213"/>
      <c r="AP968" s="213"/>
      <c r="AQ968" s="213"/>
      <c r="AR968" s="213"/>
      <c r="AS968" s="213"/>
      <c r="AT968" s="213"/>
      <c r="AU968" s="213"/>
      <c r="AV968" s="213"/>
      <c r="AW968" s="213"/>
      <c r="AX968" s="213"/>
      <c r="AY968" s="213"/>
      <c r="AZ968" s="213"/>
      <c r="BA968" s="213"/>
      <c r="BB968" s="213"/>
    </row>
    <row r="969" ht="15.75" customHeight="1">
      <c r="A969" s="213"/>
      <c r="B969" s="213"/>
      <c r="C969" s="213"/>
      <c r="D969" s="213"/>
      <c r="E969" s="213"/>
      <c r="F969" s="213"/>
      <c r="G969" s="213"/>
      <c r="H969" s="213"/>
      <c r="I969" s="213"/>
      <c r="J969" s="213"/>
      <c r="K969" s="215"/>
      <c r="L969" s="213"/>
      <c r="M969" s="215"/>
      <c r="N969" s="213"/>
      <c r="O969" s="213"/>
      <c r="P969" s="213"/>
      <c r="Q969" s="213"/>
      <c r="R969" s="213"/>
      <c r="S969" s="213"/>
      <c r="T969" s="213"/>
      <c r="U969" s="213"/>
      <c r="V969" s="213"/>
      <c r="W969" s="213"/>
      <c r="X969" s="213"/>
      <c r="Y969" s="213"/>
      <c r="Z969" s="213"/>
      <c r="AA969" s="213"/>
      <c r="AB969" s="213"/>
      <c r="AC969" s="213"/>
      <c r="AD969" s="213"/>
      <c r="AE969" s="213"/>
      <c r="AF969" s="213"/>
      <c r="AG969" s="213"/>
      <c r="AH969" s="213"/>
      <c r="AI969" s="213"/>
      <c r="AJ969" s="213"/>
      <c r="AK969" s="213"/>
      <c r="AL969" s="213"/>
      <c r="AM969" s="213"/>
      <c r="AN969" s="213"/>
      <c r="AO969" s="213"/>
      <c r="AP969" s="213"/>
      <c r="AQ969" s="213"/>
      <c r="AR969" s="213"/>
      <c r="AS969" s="213"/>
      <c r="AT969" s="213"/>
      <c r="AU969" s="213"/>
      <c r="AV969" s="213"/>
      <c r="AW969" s="213"/>
      <c r="AX969" s="213"/>
      <c r="AY969" s="213"/>
      <c r="AZ969" s="213"/>
      <c r="BA969" s="213"/>
      <c r="BB969" s="213"/>
    </row>
    <row r="970" ht="15.75" customHeight="1">
      <c r="A970" s="213"/>
      <c r="B970" s="213"/>
      <c r="C970" s="213"/>
      <c r="D970" s="213"/>
      <c r="E970" s="213"/>
      <c r="F970" s="213"/>
      <c r="G970" s="213"/>
      <c r="H970" s="213"/>
      <c r="I970" s="213"/>
      <c r="J970" s="213"/>
      <c r="K970" s="215"/>
      <c r="L970" s="213"/>
      <c r="M970" s="215"/>
      <c r="N970" s="213"/>
      <c r="O970" s="213"/>
      <c r="P970" s="213"/>
      <c r="Q970" s="213"/>
      <c r="R970" s="213"/>
      <c r="S970" s="213"/>
      <c r="T970" s="213"/>
      <c r="U970" s="213"/>
      <c r="V970" s="213"/>
      <c r="W970" s="213"/>
      <c r="X970" s="213"/>
      <c r="Y970" s="213"/>
      <c r="Z970" s="213"/>
      <c r="AA970" s="213"/>
      <c r="AB970" s="213"/>
      <c r="AC970" s="213"/>
      <c r="AD970" s="213"/>
      <c r="AE970" s="213"/>
      <c r="AF970" s="213"/>
      <c r="AG970" s="213"/>
      <c r="AH970" s="213"/>
      <c r="AI970" s="213"/>
      <c r="AJ970" s="213"/>
      <c r="AK970" s="213"/>
      <c r="AL970" s="213"/>
      <c r="AM970" s="213"/>
      <c r="AN970" s="213"/>
      <c r="AO970" s="213"/>
      <c r="AP970" s="213"/>
      <c r="AQ970" s="213"/>
      <c r="AR970" s="213"/>
      <c r="AS970" s="213"/>
      <c r="AT970" s="213"/>
      <c r="AU970" s="213"/>
      <c r="AV970" s="213"/>
      <c r="AW970" s="213"/>
      <c r="AX970" s="213"/>
      <c r="AY970" s="213"/>
      <c r="AZ970" s="213"/>
      <c r="BA970" s="213"/>
      <c r="BB970" s="213"/>
    </row>
    <row r="971" ht="15.75" customHeight="1">
      <c r="A971" s="213"/>
      <c r="B971" s="213"/>
      <c r="C971" s="213"/>
      <c r="D971" s="213"/>
      <c r="E971" s="213"/>
      <c r="F971" s="213"/>
      <c r="G971" s="213"/>
      <c r="H971" s="213"/>
      <c r="I971" s="213"/>
      <c r="J971" s="213"/>
      <c r="K971" s="215"/>
      <c r="L971" s="213"/>
      <c r="M971" s="215"/>
      <c r="N971" s="213"/>
      <c r="O971" s="213"/>
      <c r="P971" s="213"/>
      <c r="Q971" s="213"/>
      <c r="R971" s="213"/>
      <c r="S971" s="213"/>
      <c r="T971" s="213"/>
      <c r="U971" s="213"/>
      <c r="V971" s="213"/>
      <c r="W971" s="213"/>
      <c r="X971" s="213"/>
      <c r="Y971" s="213"/>
      <c r="Z971" s="213"/>
      <c r="AA971" s="213"/>
      <c r="AB971" s="213"/>
      <c r="AC971" s="213"/>
      <c r="AD971" s="213"/>
      <c r="AE971" s="213"/>
      <c r="AF971" s="213"/>
      <c r="AG971" s="213"/>
      <c r="AH971" s="213"/>
      <c r="AI971" s="213"/>
      <c r="AJ971" s="213"/>
      <c r="AK971" s="213"/>
      <c r="AL971" s="213"/>
      <c r="AM971" s="213"/>
      <c r="AN971" s="213"/>
      <c r="AO971" s="213"/>
      <c r="AP971" s="213"/>
      <c r="AQ971" s="213"/>
      <c r="AR971" s="213"/>
      <c r="AS971" s="213"/>
      <c r="AT971" s="213"/>
      <c r="AU971" s="213"/>
      <c r="AV971" s="213"/>
      <c r="AW971" s="213"/>
      <c r="AX971" s="213"/>
      <c r="AY971" s="213"/>
      <c r="AZ971" s="213"/>
      <c r="BA971" s="213"/>
      <c r="BB971" s="213"/>
    </row>
    <row r="972" ht="15.75" customHeight="1">
      <c r="A972" s="213"/>
      <c r="B972" s="213"/>
      <c r="C972" s="213"/>
      <c r="D972" s="213"/>
      <c r="E972" s="213"/>
      <c r="F972" s="213"/>
      <c r="G972" s="213"/>
      <c r="H972" s="213"/>
      <c r="I972" s="213"/>
      <c r="J972" s="213"/>
      <c r="K972" s="215"/>
      <c r="L972" s="213"/>
      <c r="M972" s="215"/>
      <c r="N972" s="213"/>
      <c r="O972" s="213"/>
      <c r="P972" s="213"/>
      <c r="Q972" s="213"/>
      <c r="R972" s="213"/>
      <c r="S972" s="213"/>
      <c r="T972" s="213"/>
      <c r="U972" s="213"/>
      <c r="V972" s="213"/>
      <c r="W972" s="213"/>
      <c r="X972" s="213"/>
      <c r="Y972" s="213"/>
      <c r="Z972" s="213"/>
      <c r="AA972" s="213"/>
      <c r="AB972" s="213"/>
      <c r="AC972" s="213"/>
      <c r="AD972" s="213"/>
      <c r="AE972" s="213"/>
      <c r="AF972" s="213"/>
      <c r="AG972" s="213"/>
      <c r="AH972" s="213"/>
      <c r="AI972" s="213"/>
      <c r="AJ972" s="213"/>
      <c r="AK972" s="213"/>
      <c r="AL972" s="213"/>
      <c r="AM972" s="213"/>
      <c r="AN972" s="213"/>
      <c r="AO972" s="213"/>
      <c r="AP972" s="213"/>
      <c r="AQ972" s="213"/>
      <c r="AR972" s="213"/>
      <c r="AS972" s="213"/>
      <c r="AT972" s="213"/>
      <c r="AU972" s="213"/>
      <c r="AV972" s="213"/>
      <c r="AW972" s="213"/>
      <c r="AX972" s="213"/>
      <c r="AY972" s="213"/>
      <c r="AZ972" s="213"/>
      <c r="BA972" s="213"/>
      <c r="BB972" s="213"/>
    </row>
    <row r="973" ht="15.75" customHeight="1">
      <c r="A973" s="213"/>
      <c r="B973" s="213"/>
      <c r="C973" s="213"/>
      <c r="D973" s="213"/>
      <c r="E973" s="213"/>
      <c r="F973" s="213"/>
      <c r="G973" s="213"/>
      <c r="H973" s="213"/>
      <c r="I973" s="213"/>
      <c r="J973" s="213"/>
      <c r="K973" s="215"/>
      <c r="L973" s="213"/>
      <c r="M973" s="215"/>
      <c r="N973" s="213"/>
      <c r="O973" s="213"/>
      <c r="P973" s="213"/>
      <c r="Q973" s="213"/>
      <c r="R973" s="213"/>
      <c r="S973" s="213"/>
      <c r="T973" s="213"/>
      <c r="U973" s="213"/>
      <c r="V973" s="213"/>
      <c r="W973" s="213"/>
      <c r="X973" s="213"/>
      <c r="Y973" s="213"/>
      <c r="Z973" s="213"/>
      <c r="AA973" s="213"/>
      <c r="AB973" s="213"/>
      <c r="AC973" s="213"/>
      <c r="AD973" s="213"/>
      <c r="AE973" s="213"/>
      <c r="AF973" s="213"/>
      <c r="AG973" s="213"/>
      <c r="AH973" s="213"/>
      <c r="AI973" s="213"/>
      <c r="AJ973" s="213"/>
      <c r="AK973" s="213"/>
      <c r="AL973" s="213"/>
      <c r="AM973" s="213"/>
      <c r="AN973" s="213"/>
      <c r="AO973" s="213"/>
      <c r="AP973" s="213"/>
      <c r="AQ973" s="213"/>
      <c r="AR973" s="213"/>
      <c r="AS973" s="213"/>
      <c r="AT973" s="213"/>
      <c r="AU973" s="213"/>
      <c r="AV973" s="213"/>
      <c r="AW973" s="213"/>
      <c r="AX973" s="213"/>
      <c r="AY973" s="213"/>
      <c r="AZ973" s="213"/>
      <c r="BA973" s="213"/>
      <c r="BB973" s="213"/>
    </row>
    <row r="974" ht="15.75" customHeight="1">
      <c r="A974" s="213"/>
      <c r="B974" s="213"/>
      <c r="C974" s="213"/>
      <c r="D974" s="213"/>
      <c r="E974" s="213"/>
      <c r="F974" s="213"/>
      <c r="G974" s="213"/>
      <c r="H974" s="213"/>
      <c r="I974" s="213"/>
      <c r="J974" s="213"/>
      <c r="K974" s="215"/>
      <c r="L974" s="213"/>
      <c r="M974" s="215"/>
      <c r="N974" s="213"/>
      <c r="O974" s="213"/>
      <c r="P974" s="213"/>
      <c r="Q974" s="213"/>
      <c r="R974" s="213"/>
      <c r="S974" s="213"/>
      <c r="T974" s="213"/>
      <c r="U974" s="213"/>
      <c r="V974" s="213"/>
      <c r="W974" s="213"/>
      <c r="X974" s="213"/>
      <c r="Y974" s="213"/>
      <c r="Z974" s="213"/>
      <c r="AA974" s="213"/>
      <c r="AB974" s="213"/>
      <c r="AC974" s="213"/>
      <c r="AD974" s="213"/>
      <c r="AE974" s="213"/>
      <c r="AF974" s="213"/>
      <c r="AG974" s="213"/>
      <c r="AH974" s="213"/>
      <c r="AI974" s="213"/>
      <c r="AJ974" s="213"/>
      <c r="AK974" s="213"/>
      <c r="AL974" s="213"/>
      <c r="AM974" s="213"/>
      <c r="AN974" s="213"/>
      <c r="AO974" s="213"/>
      <c r="AP974" s="213"/>
      <c r="AQ974" s="213"/>
      <c r="AR974" s="213"/>
      <c r="AS974" s="213"/>
      <c r="AT974" s="213"/>
      <c r="AU974" s="213"/>
      <c r="AV974" s="213"/>
      <c r="AW974" s="213"/>
      <c r="AX974" s="213"/>
      <c r="AY974" s="213"/>
      <c r="AZ974" s="213"/>
      <c r="BA974" s="213"/>
      <c r="BB974" s="213"/>
    </row>
    <row r="975" ht="15.75" customHeight="1">
      <c r="A975" s="213"/>
      <c r="B975" s="213"/>
      <c r="C975" s="213"/>
      <c r="D975" s="213"/>
      <c r="E975" s="213"/>
      <c r="F975" s="213"/>
      <c r="G975" s="213"/>
      <c r="H975" s="213"/>
      <c r="I975" s="213"/>
      <c r="J975" s="213"/>
      <c r="K975" s="215"/>
      <c r="L975" s="213"/>
      <c r="M975" s="215"/>
      <c r="N975" s="213"/>
      <c r="O975" s="213"/>
      <c r="P975" s="213"/>
      <c r="Q975" s="213"/>
      <c r="R975" s="213"/>
      <c r="S975" s="213"/>
      <c r="T975" s="213"/>
      <c r="U975" s="213"/>
      <c r="V975" s="213"/>
      <c r="W975" s="213"/>
      <c r="X975" s="213"/>
      <c r="Y975" s="213"/>
      <c r="Z975" s="213"/>
      <c r="AA975" s="213"/>
      <c r="AB975" s="213"/>
      <c r="AC975" s="213"/>
      <c r="AD975" s="213"/>
      <c r="AE975" s="213"/>
      <c r="AF975" s="213"/>
      <c r="AG975" s="213"/>
      <c r="AH975" s="213"/>
      <c r="AI975" s="213"/>
      <c r="AJ975" s="213"/>
      <c r="AK975" s="213"/>
      <c r="AL975" s="213"/>
      <c r="AM975" s="213"/>
      <c r="AN975" s="213"/>
      <c r="AO975" s="213"/>
      <c r="AP975" s="213"/>
      <c r="AQ975" s="213"/>
      <c r="AR975" s="213"/>
      <c r="AS975" s="213"/>
      <c r="AT975" s="213"/>
      <c r="AU975" s="213"/>
      <c r="AV975" s="213"/>
      <c r="AW975" s="213"/>
      <c r="AX975" s="213"/>
      <c r="AY975" s="213"/>
      <c r="AZ975" s="213"/>
      <c r="BA975" s="213"/>
      <c r="BB975" s="213"/>
    </row>
    <row r="976" ht="15.75" customHeight="1">
      <c r="A976" s="213"/>
      <c r="B976" s="213"/>
      <c r="C976" s="213"/>
      <c r="D976" s="213"/>
      <c r="E976" s="213"/>
      <c r="F976" s="213"/>
      <c r="G976" s="213"/>
      <c r="H976" s="213"/>
      <c r="I976" s="213"/>
      <c r="J976" s="213"/>
      <c r="K976" s="215"/>
      <c r="L976" s="213"/>
      <c r="M976" s="215"/>
      <c r="N976" s="213"/>
      <c r="O976" s="213"/>
      <c r="P976" s="213"/>
      <c r="Q976" s="213"/>
      <c r="R976" s="213"/>
      <c r="S976" s="213"/>
      <c r="T976" s="213"/>
      <c r="U976" s="213"/>
      <c r="V976" s="213"/>
      <c r="W976" s="213"/>
      <c r="X976" s="213"/>
      <c r="Y976" s="213"/>
      <c r="Z976" s="213"/>
      <c r="AA976" s="213"/>
      <c r="AB976" s="213"/>
      <c r="AC976" s="213"/>
      <c r="AD976" s="213"/>
      <c r="AE976" s="213"/>
      <c r="AF976" s="213"/>
      <c r="AG976" s="213"/>
      <c r="AH976" s="213"/>
      <c r="AI976" s="213"/>
      <c r="AJ976" s="213"/>
      <c r="AK976" s="213"/>
      <c r="AL976" s="213"/>
      <c r="AM976" s="213"/>
      <c r="AN976" s="213"/>
      <c r="AO976" s="213"/>
      <c r="AP976" s="213"/>
      <c r="AQ976" s="213"/>
      <c r="AR976" s="213"/>
      <c r="AS976" s="213"/>
      <c r="AT976" s="213"/>
      <c r="AU976" s="213"/>
      <c r="AV976" s="213"/>
      <c r="AW976" s="213"/>
      <c r="AX976" s="213"/>
      <c r="AY976" s="213"/>
      <c r="AZ976" s="213"/>
      <c r="BA976" s="213"/>
      <c r="BB976" s="213"/>
    </row>
    <row r="977" ht="15.75" customHeight="1">
      <c r="A977" s="213"/>
      <c r="B977" s="213"/>
      <c r="C977" s="213"/>
      <c r="D977" s="213"/>
      <c r="E977" s="213"/>
      <c r="F977" s="213"/>
      <c r="G977" s="213"/>
      <c r="H977" s="213"/>
      <c r="I977" s="213"/>
      <c r="J977" s="213"/>
      <c r="K977" s="215"/>
      <c r="L977" s="213"/>
      <c r="M977" s="215"/>
      <c r="N977" s="213"/>
      <c r="O977" s="213"/>
      <c r="P977" s="213"/>
      <c r="Q977" s="213"/>
      <c r="R977" s="213"/>
      <c r="S977" s="213"/>
      <c r="T977" s="213"/>
      <c r="U977" s="213"/>
      <c r="V977" s="213"/>
      <c r="W977" s="213"/>
      <c r="X977" s="213"/>
      <c r="Y977" s="213"/>
      <c r="Z977" s="213"/>
      <c r="AA977" s="213"/>
      <c r="AB977" s="213"/>
      <c r="AC977" s="213"/>
      <c r="AD977" s="213"/>
      <c r="AE977" s="213"/>
      <c r="AF977" s="213"/>
      <c r="AG977" s="213"/>
      <c r="AH977" s="213"/>
      <c r="AI977" s="213"/>
      <c r="AJ977" s="213"/>
      <c r="AK977" s="213"/>
      <c r="AL977" s="213"/>
      <c r="AM977" s="213"/>
      <c r="AN977" s="213"/>
      <c r="AO977" s="213"/>
      <c r="AP977" s="213"/>
      <c r="AQ977" s="213"/>
      <c r="AR977" s="213"/>
      <c r="AS977" s="213"/>
      <c r="AT977" s="213"/>
      <c r="AU977" s="213"/>
      <c r="AV977" s="213"/>
      <c r="AW977" s="213"/>
      <c r="AX977" s="213"/>
      <c r="AY977" s="213"/>
      <c r="AZ977" s="213"/>
      <c r="BA977" s="213"/>
      <c r="BB977" s="213"/>
    </row>
    <row r="978" ht="15.75" customHeight="1">
      <c r="A978" s="213"/>
      <c r="B978" s="213"/>
      <c r="C978" s="213"/>
      <c r="D978" s="213"/>
      <c r="E978" s="213"/>
      <c r="F978" s="213"/>
      <c r="G978" s="213"/>
      <c r="H978" s="213"/>
      <c r="I978" s="213"/>
      <c r="J978" s="213"/>
      <c r="K978" s="215"/>
      <c r="L978" s="213"/>
      <c r="M978" s="215"/>
      <c r="N978" s="213"/>
      <c r="O978" s="213"/>
      <c r="P978" s="213"/>
      <c r="Q978" s="213"/>
      <c r="R978" s="213"/>
      <c r="S978" s="213"/>
      <c r="T978" s="213"/>
      <c r="U978" s="213"/>
      <c r="V978" s="213"/>
      <c r="W978" s="213"/>
      <c r="X978" s="213"/>
      <c r="Y978" s="213"/>
      <c r="Z978" s="213"/>
      <c r="AA978" s="213"/>
      <c r="AB978" s="213"/>
      <c r="AC978" s="213"/>
      <c r="AD978" s="213"/>
      <c r="AE978" s="213"/>
      <c r="AF978" s="213"/>
      <c r="AG978" s="213"/>
      <c r="AH978" s="213"/>
      <c r="AI978" s="213"/>
      <c r="AJ978" s="213"/>
      <c r="AK978" s="213"/>
      <c r="AL978" s="213"/>
      <c r="AM978" s="213"/>
      <c r="AN978" s="213"/>
      <c r="AO978" s="213"/>
      <c r="AP978" s="213"/>
      <c r="AQ978" s="213"/>
      <c r="AR978" s="213"/>
      <c r="AS978" s="213"/>
      <c r="AT978" s="213"/>
      <c r="AU978" s="213"/>
      <c r="AV978" s="213"/>
      <c r="AW978" s="213"/>
      <c r="AX978" s="213"/>
      <c r="AY978" s="213"/>
      <c r="AZ978" s="213"/>
      <c r="BA978" s="213"/>
      <c r="BB978" s="213"/>
    </row>
    <row r="979" ht="15.75" customHeight="1">
      <c r="A979" s="213"/>
      <c r="B979" s="213"/>
      <c r="C979" s="213"/>
      <c r="D979" s="213"/>
      <c r="E979" s="213"/>
      <c r="F979" s="213"/>
      <c r="G979" s="213"/>
      <c r="H979" s="213"/>
      <c r="I979" s="213"/>
      <c r="J979" s="213"/>
      <c r="K979" s="215"/>
      <c r="L979" s="213"/>
      <c r="M979" s="215"/>
      <c r="N979" s="213"/>
      <c r="O979" s="213"/>
      <c r="P979" s="213"/>
      <c r="Q979" s="213"/>
      <c r="R979" s="213"/>
      <c r="S979" s="213"/>
      <c r="T979" s="213"/>
      <c r="U979" s="213"/>
      <c r="V979" s="213"/>
      <c r="W979" s="213"/>
      <c r="X979" s="213"/>
      <c r="Y979" s="213"/>
      <c r="Z979" s="213"/>
      <c r="AA979" s="213"/>
      <c r="AB979" s="213"/>
      <c r="AC979" s="213"/>
      <c r="AD979" s="213"/>
      <c r="AE979" s="213"/>
      <c r="AF979" s="213"/>
      <c r="AG979" s="213"/>
      <c r="AH979" s="213"/>
      <c r="AI979" s="213"/>
      <c r="AJ979" s="213"/>
      <c r="AK979" s="213"/>
      <c r="AL979" s="213"/>
      <c r="AM979" s="213"/>
      <c r="AN979" s="213"/>
      <c r="AO979" s="213"/>
      <c r="AP979" s="213"/>
      <c r="AQ979" s="213"/>
      <c r="AR979" s="213"/>
      <c r="AS979" s="213"/>
      <c r="AT979" s="213"/>
      <c r="AU979" s="213"/>
      <c r="AV979" s="213"/>
      <c r="AW979" s="213"/>
      <c r="AX979" s="213"/>
      <c r="AY979" s="213"/>
      <c r="AZ979" s="213"/>
      <c r="BA979" s="213"/>
      <c r="BB979" s="213"/>
    </row>
    <row r="980" ht="15.75" customHeight="1">
      <c r="A980" s="213"/>
      <c r="B980" s="213"/>
      <c r="C980" s="213"/>
      <c r="D980" s="213"/>
      <c r="E980" s="213"/>
      <c r="F980" s="213"/>
      <c r="G980" s="213"/>
      <c r="H980" s="213"/>
      <c r="I980" s="213"/>
      <c r="J980" s="213"/>
      <c r="K980" s="215"/>
      <c r="L980" s="213"/>
      <c r="M980" s="215"/>
      <c r="N980" s="213"/>
      <c r="O980" s="213"/>
      <c r="P980" s="213"/>
      <c r="Q980" s="213"/>
      <c r="R980" s="213"/>
      <c r="S980" s="213"/>
      <c r="T980" s="213"/>
      <c r="U980" s="213"/>
      <c r="V980" s="213"/>
      <c r="W980" s="213"/>
      <c r="X980" s="213"/>
      <c r="Y980" s="213"/>
      <c r="Z980" s="213"/>
      <c r="AA980" s="213"/>
      <c r="AB980" s="213"/>
      <c r="AC980" s="213"/>
      <c r="AD980" s="213"/>
      <c r="AE980" s="213"/>
      <c r="AF980" s="213"/>
      <c r="AG980" s="213"/>
      <c r="AH980" s="213"/>
      <c r="AI980" s="213"/>
      <c r="AJ980" s="213"/>
      <c r="AK980" s="213"/>
      <c r="AL980" s="213"/>
      <c r="AM980" s="213"/>
      <c r="AN980" s="213"/>
      <c r="AO980" s="213"/>
      <c r="AP980" s="213"/>
      <c r="AQ980" s="213"/>
      <c r="AR980" s="213"/>
      <c r="AS980" s="213"/>
      <c r="AT980" s="213"/>
      <c r="AU980" s="213"/>
      <c r="AV980" s="213"/>
      <c r="AW980" s="213"/>
      <c r="AX980" s="213"/>
      <c r="AY980" s="213"/>
      <c r="AZ980" s="213"/>
      <c r="BA980" s="213"/>
      <c r="BB980" s="213"/>
    </row>
    <row r="981" ht="15.75" customHeight="1">
      <c r="A981" s="213"/>
      <c r="B981" s="213"/>
      <c r="C981" s="213"/>
      <c r="D981" s="213"/>
      <c r="E981" s="213"/>
      <c r="F981" s="213"/>
      <c r="G981" s="213"/>
      <c r="H981" s="213"/>
      <c r="I981" s="213"/>
      <c r="J981" s="213"/>
      <c r="K981" s="215"/>
      <c r="L981" s="213"/>
      <c r="M981" s="215"/>
      <c r="N981" s="213"/>
      <c r="O981" s="213"/>
      <c r="P981" s="213"/>
      <c r="Q981" s="213"/>
      <c r="R981" s="213"/>
      <c r="S981" s="213"/>
      <c r="T981" s="213"/>
      <c r="U981" s="213"/>
      <c r="V981" s="213"/>
      <c r="W981" s="213"/>
      <c r="X981" s="213"/>
      <c r="Y981" s="213"/>
      <c r="Z981" s="213"/>
      <c r="AA981" s="213"/>
      <c r="AB981" s="213"/>
      <c r="AC981" s="213"/>
      <c r="AD981" s="213"/>
      <c r="AE981" s="213"/>
      <c r="AF981" s="213"/>
      <c r="AG981" s="213"/>
      <c r="AH981" s="213"/>
      <c r="AI981" s="213"/>
      <c r="AJ981" s="213"/>
      <c r="AK981" s="213"/>
      <c r="AL981" s="213"/>
      <c r="AM981" s="213"/>
      <c r="AN981" s="213"/>
      <c r="AO981" s="213"/>
      <c r="AP981" s="213"/>
      <c r="AQ981" s="213"/>
      <c r="AR981" s="213"/>
      <c r="AS981" s="213"/>
      <c r="AT981" s="213"/>
      <c r="AU981" s="213"/>
      <c r="AV981" s="213"/>
      <c r="AW981" s="213"/>
      <c r="AX981" s="213"/>
      <c r="AY981" s="213"/>
      <c r="AZ981" s="213"/>
      <c r="BA981" s="213"/>
      <c r="BB981" s="213"/>
    </row>
    <row r="982" ht="15.75" customHeight="1">
      <c r="A982" s="213"/>
      <c r="B982" s="213"/>
      <c r="C982" s="213"/>
      <c r="D982" s="213"/>
      <c r="E982" s="213"/>
      <c r="F982" s="213"/>
      <c r="G982" s="213"/>
      <c r="H982" s="213"/>
      <c r="I982" s="213"/>
      <c r="J982" s="213"/>
      <c r="K982" s="215"/>
      <c r="L982" s="213"/>
      <c r="M982" s="215"/>
      <c r="N982" s="213"/>
      <c r="O982" s="213"/>
      <c r="P982" s="213"/>
      <c r="Q982" s="213"/>
      <c r="R982" s="213"/>
      <c r="S982" s="213"/>
      <c r="T982" s="213"/>
      <c r="U982" s="213"/>
      <c r="V982" s="213"/>
      <c r="W982" s="213"/>
      <c r="X982" s="213"/>
      <c r="Y982" s="213"/>
      <c r="Z982" s="213"/>
      <c r="AA982" s="213"/>
      <c r="AB982" s="213"/>
      <c r="AC982" s="213"/>
      <c r="AD982" s="213"/>
      <c r="AE982" s="213"/>
      <c r="AF982" s="213"/>
      <c r="AG982" s="213"/>
      <c r="AH982" s="213"/>
      <c r="AI982" s="213"/>
      <c r="AJ982" s="213"/>
      <c r="AK982" s="213"/>
      <c r="AL982" s="213"/>
      <c r="AM982" s="213"/>
      <c r="AN982" s="213"/>
      <c r="AO982" s="213"/>
      <c r="AP982" s="213"/>
      <c r="AQ982" s="213"/>
      <c r="AR982" s="213"/>
      <c r="AS982" s="213"/>
      <c r="AT982" s="213"/>
      <c r="AU982" s="213"/>
      <c r="AV982" s="213"/>
      <c r="AW982" s="213"/>
      <c r="AX982" s="213"/>
      <c r="AY982" s="213"/>
      <c r="AZ982" s="213"/>
      <c r="BA982" s="213"/>
      <c r="BB982" s="213"/>
    </row>
    <row r="983" ht="15.75" customHeight="1">
      <c r="A983" s="213"/>
      <c r="B983" s="213"/>
      <c r="C983" s="213"/>
      <c r="D983" s="213"/>
      <c r="E983" s="213"/>
      <c r="F983" s="213"/>
      <c r="G983" s="213"/>
      <c r="H983" s="213"/>
      <c r="I983" s="213"/>
      <c r="J983" s="213"/>
      <c r="K983" s="215"/>
      <c r="L983" s="213"/>
      <c r="M983" s="215"/>
      <c r="N983" s="213"/>
      <c r="O983" s="213"/>
      <c r="P983" s="213"/>
      <c r="Q983" s="213"/>
      <c r="R983" s="213"/>
      <c r="S983" s="213"/>
      <c r="T983" s="213"/>
      <c r="U983" s="213"/>
      <c r="V983" s="213"/>
      <c r="W983" s="213"/>
      <c r="X983" s="213"/>
      <c r="Y983" s="213"/>
      <c r="Z983" s="213"/>
      <c r="AA983" s="213"/>
      <c r="AB983" s="213"/>
      <c r="AC983" s="213"/>
      <c r="AD983" s="213"/>
      <c r="AE983" s="213"/>
      <c r="AF983" s="213"/>
      <c r="AG983" s="213"/>
      <c r="AH983" s="213"/>
      <c r="AI983" s="213"/>
      <c r="AJ983" s="213"/>
      <c r="AK983" s="213"/>
      <c r="AL983" s="213"/>
      <c r="AM983" s="213"/>
      <c r="AN983" s="213"/>
      <c r="AO983" s="213"/>
      <c r="AP983" s="213"/>
      <c r="AQ983" s="213"/>
      <c r="AR983" s="213"/>
      <c r="AS983" s="213"/>
      <c r="AT983" s="213"/>
      <c r="AU983" s="213"/>
      <c r="AV983" s="213"/>
      <c r="AW983" s="213"/>
      <c r="AX983" s="213"/>
      <c r="AY983" s="213"/>
      <c r="AZ983" s="213"/>
      <c r="BA983" s="213"/>
      <c r="BB983" s="213"/>
    </row>
    <row r="984" ht="15.75" customHeight="1">
      <c r="A984" s="213"/>
      <c r="B984" s="213"/>
      <c r="C984" s="213"/>
      <c r="D984" s="213"/>
      <c r="E984" s="213"/>
      <c r="F984" s="213"/>
      <c r="G984" s="213"/>
      <c r="H984" s="213"/>
      <c r="I984" s="213"/>
      <c r="J984" s="213"/>
      <c r="K984" s="215"/>
      <c r="L984" s="213"/>
      <c r="M984" s="215"/>
      <c r="N984" s="213"/>
      <c r="O984" s="213"/>
      <c r="P984" s="213"/>
      <c r="Q984" s="213"/>
      <c r="R984" s="213"/>
      <c r="S984" s="213"/>
      <c r="T984" s="213"/>
      <c r="U984" s="213"/>
      <c r="V984" s="213"/>
      <c r="W984" s="213"/>
      <c r="X984" s="213"/>
      <c r="Y984" s="213"/>
      <c r="Z984" s="213"/>
      <c r="AA984" s="213"/>
      <c r="AB984" s="213"/>
      <c r="AC984" s="213"/>
      <c r="AD984" s="213"/>
      <c r="AE984" s="213"/>
      <c r="AF984" s="213"/>
      <c r="AG984" s="213"/>
      <c r="AH984" s="213"/>
      <c r="AI984" s="213"/>
      <c r="AJ984" s="213"/>
      <c r="AK984" s="213"/>
      <c r="AL984" s="213"/>
      <c r="AM984" s="213"/>
      <c r="AN984" s="213"/>
      <c r="AO984" s="213"/>
      <c r="AP984" s="213"/>
      <c r="AQ984" s="213"/>
      <c r="AR984" s="213"/>
      <c r="AS984" s="213"/>
      <c r="AT984" s="213"/>
      <c r="AU984" s="213"/>
      <c r="AV984" s="213"/>
      <c r="AW984" s="213"/>
      <c r="AX984" s="213"/>
      <c r="AY984" s="213"/>
      <c r="AZ984" s="213"/>
      <c r="BA984" s="213"/>
      <c r="BB984" s="213"/>
    </row>
    <row r="985" ht="15.75" customHeight="1">
      <c r="A985" s="213"/>
      <c r="B985" s="213"/>
      <c r="C985" s="213"/>
      <c r="D985" s="213"/>
      <c r="E985" s="213"/>
      <c r="F985" s="213"/>
      <c r="G985" s="213"/>
      <c r="H985" s="213"/>
      <c r="I985" s="213"/>
      <c r="J985" s="213"/>
      <c r="K985" s="215"/>
      <c r="L985" s="213"/>
      <c r="M985" s="215"/>
      <c r="N985" s="213"/>
      <c r="O985" s="213"/>
      <c r="P985" s="213"/>
      <c r="Q985" s="213"/>
      <c r="R985" s="213"/>
      <c r="S985" s="213"/>
      <c r="T985" s="213"/>
      <c r="U985" s="213"/>
      <c r="V985" s="213"/>
      <c r="W985" s="213"/>
      <c r="X985" s="213"/>
      <c r="Y985" s="213"/>
      <c r="Z985" s="213"/>
      <c r="AA985" s="213"/>
      <c r="AB985" s="213"/>
      <c r="AC985" s="213"/>
      <c r="AD985" s="213"/>
      <c r="AE985" s="213"/>
      <c r="AF985" s="213"/>
      <c r="AG985" s="213"/>
      <c r="AH985" s="213"/>
      <c r="AI985" s="213"/>
      <c r="AJ985" s="213"/>
      <c r="AK985" s="213"/>
      <c r="AL985" s="213"/>
      <c r="AM985" s="213"/>
      <c r="AN985" s="213"/>
      <c r="AO985" s="213"/>
      <c r="AP985" s="213"/>
      <c r="AQ985" s="213"/>
      <c r="AR985" s="213"/>
      <c r="AS985" s="213"/>
      <c r="AT985" s="213"/>
      <c r="AU985" s="213"/>
      <c r="AV985" s="213"/>
      <c r="AW985" s="213"/>
      <c r="AX985" s="213"/>
      <c r="AY985" s="213"/>
      <c r="AZ985" s="213"/>
      <c r="BA985" s="213"/>
      <c r="BB985" s="213"/>
    </row>
    <row r="986" ht="15.75" customHeight="1">
      <c r="A986" s="213"/>
      <c r="B986" s="213"/>
      <c r="C986" s="213"/>
      <c r="D986" s="213"/>
      <c r="E986" s="213"/>
      <c r="F986" s="213"/>
      <c r="G986" s="213"/>
      <c r="H986" s="213"/>
      <c r="I986" s="213"/>
      <c r="J986" s="213"/>
      <c r="K986" s="215"/>
      <c r="L986" s="213"/>
      <c r="M986" s="215"/>
      <c r="N986" s="213"/>
      <c r="O986" s="213"/>
      <c r="P986" s="213"/>
      <c r="Q986" s="213"/>
      <c r="R986" s="213"/>
      <c r="S986" s="213"/>
      <c r="T986" s="213"/>
      <c r="U986" s="213"/>
      <c r="V986" s="213"/>
      <c r="W986" s="213"/>
      <c r="X986" s="213"/>
      <c r="Y986" s="213"/>
      <c r="Z986" s="213"/>
      <c r="AA986" s="213"/>
      <c r="AB986" s="213"/>
      <c r="AC986" s="213"/>
      <c r="AD986" s="213"/>
      <c r="AE986" s="213"/>
      <c r="AF986" s="213"/>
      <c r="AG986" s="213"/>
      <c r="AH986" s="213"/>
      <c r="AI986" s="213"/>
      <c r="AJ986" s="213"/>
      <c r="AK986" s="213"/>
      <c r="AL986" s="213"/>
      <c r="AM986" s="213"/>
      <c r="AN986" s="213"/>
      <c r="AO986" s="213"/>
      <c r="AP986" s="213"/>
      <c r="AQ986" s="213"/>
      <c r="AR986" s="213"/>
      <c r="AS986" s="213"/>
      <c r="AT986" s="213"/>
      <c r="AU986" s="213"/>
      <c r="AV986" s="213"/>
      <c r="AW986" s="213"/>
      <c r="AX986" s="213"/>
      <c r="AY986" s="213"/>
      <c r="AZ986" s="213"/>
      <c r="BA986" s="213"/>
      <c r="BB986" s="213"/>
    </row>
    <row r="987" ht="15.75" customHeight="1">
      <c r="A987" s="213"/>
      <c r="B987" s="213"/>
      <c r="C987" s="213"/>
      <c r="D987" s="213"/>
      <c r="E987" s="213"/>
      <c r="F987" s="213"/>
      <c r="G987" s="213"/>
      <c r="H987" s="213"/>
      <c r="I987" s="213"/>
      <c r="J987" s="213"/>
      <c r="K987" s="215"/>
      <c r="L987" s="213"/>
      <c r="M987" s="215"/>
      <c r="N987" s="213"/>
      <c r="O987" s="213"/>
      <c r="P987" s="213"/>
      <c r="Q987" s="213"/>
      <c r="R987" s="213"/>
      <c r="S987" s="213"/>
      <c r="T987" s="213"/>
      <c r="U987" s="213"/>
      <c r="V987" s="213"/>
      <c r="W987" s="213"/>
      <c r="X987" s="213"/>
      <c r="Y987" s="213"/>
      <c r="Z987" s="213"/>
      <c r="AA987" s="213"/>
      <c r="AB987" s="213"/>
      <c r="AC987" s="213"/>
      <c r="AD987" s="213"/>
      <c r="AE987" s="213"/>
      <c r="AF987" s="213"/>
      <c r="AG987" s="213"/>
      <c r="AH987" s="213"/>
      <c r="AI987" s="213"/>
      <c r="AJ987" s="213"/>
      <c r="AK987" s="213"/>
      <c r="AL987" s="213"/>
      <c r="AM987" s="213"/>
      <c r="AN987" s="213"/>
      <c r="AO987" s="213"/>
      <c r="AP987" s="213"/>
      <c r="AQ987" s="213"/>
      <c r="AR987" s="213"/>
      <c r="AS987" s="213"/>
      <c r="AT987" s="213"/>
      <c r="AU987" s="213"/>
      <c r="AV987" s="213"/>
      <c r="AW987" s="213"/>
      <c r="AX987" s="213"/>
      <c r="AY987" s="213"/>
      <c r="AZ987" s="213"/>
      <c r="BA987" s="213"/>
      <c r="BB987" s="213"/>
    </row>
    <row r="988" ht="15.75" customHeight="1">
      <c r="A988" s="213"/>
      <c r="B988" s="213"/>
      <c r="C988" s="213"/>
      <c r="D988" s="213"/>
      <c r="E988" s="213"/>
      <c r="F988" s="213"/>
      <c r="G988" s="213"/>
      <c r="H988" s="213"/>
      <c r="I988" s="213"/>
      <c r="J988" s="213"/>
      <c r="K988" s="215"/>
      <c r="L988" s="213"/>
      <c r="M988" s="215"/>
      <c r="N988" s="213"/>
      <c r="O988" s="213"/>
      <c r="P988" s="213"/>
      <c r="Q988" s="213"/>
      <c r="R988" s="213"/>
      <c r="S988" s="213"/>
      <c r="T988" s="213"/>
      <c r="U988" s="213"/>
      <c r="V988" s="213"/>
      <c r="W988" s="213"/>
      <c r="X988" s="213"/>
      <c r="Y988" s="213"/>
      <c r="Z988" s="213"/>
      <c r="AA988" s="213"/>
      <c r="AB988" s="213"/>
      <c r="AC988" s="213"/>
      <c r="AD988" s="213"/>
      <c r="AE988" s="213"/>
      <c r="AF988" s="213"/>
      <c r="AG988" s="213"/>
      <c r="AH988" s="213"/>
      <c r="AI988" s="213"/>
      <c r="AJ988" s="213"/>
      <c r="AK988" s="213"/>
      <c r="AL988" s="213"/>
      <c r="AM988" s="213"/>
      <c r="AN988" s="213"/>
      <c r="AO988" s="213"/>
      <c r="AP988" s="213"/>
      <c r="AQ988" s="213"/>
      <c r="AR988" s="213"/>
      <c r="AS988" s="213"/>
      <c r="AT988" s="213"/>
      <c r="AU988" s="213"/>
      <c r="AV988" s="213"/>
      <c r="AW988" s="213"/>
      <c r="AX988" s="213"/>
      <c r="AY988" s="213"/>
      <c r="AZ988" s="213"/>
      <c r="BA988" s="213"/>
      <c r="BB988" s="213"/>
    </row>
    <row r="989" ht="15.75" customHeight="1">
      <c r="A989" s="213"/>
      <c r="B989" s="213"/>
      <c r="C989" s="213"/>
      <c r="D989" s="213"/>
      <c r="E989" s="213"/>
      <c r="F989" s="213"/>
      <c r="G989" s="213"/>
      <c r="H989" s="213"/>
      <c r="I989" s="213"/>
      <c r="J989" s="213"/>
      <c r="K989" s="215"/>
      <c r="L989" s="213"/>
      <c r="M989" s="215"/>
      <c r="N989" s="213"/>
      <c r="O989" s="213"/>
      <c r="P989" s="213"/>
      <c r="Q989" s="213"/>
      <c r="R989" s="213"/>
      <c r="S989" s="213"/>
      <c r="T989" s="213"/>
      <c r="U989" s="213"/>
      <c r="V989" s="213"/>
      <c r="W989" s="213"/>
      <c r="X989" s="213"/>
      <c r="Y989" s="213"/>
      <c r="Z989" s="213"/>
      <c r="AA989" s="213"/>
      <c r="AB989" s="213"/>
      <c r="AC989" s="213"/>
      <c r="AD989" s="213"/>
      <c r="AE989" s="213"/>
      <c r="AF989" s="213"/>
      <c r="AG989" s="213"/>
      <c r="AH989" s="213"/>
      <c r="AI989" s="213"/>
      <c r="AJ989" s="213"/>
      <c r="AK989" s="213"/>
      <c r="AL989" s="213"/>
      <c r="AM989" s="213"/>
      <c r="AN989" s="213"/>
      <c r="AO989" s="213"/>
      <c r="AP989" s="213"/>
      <c r="AQ989" s="213"/>
      <c r="AR989" s="213"/>
      <c r="AS989" s="213"/>
      <c r="AT989" s="213"/>
      <c r="AU989" s="213"/>
      <c r="AV989" s="213"/>
      <c r="AW989" s="213"/>
      <c r="AX989" s="213"/>
      <c r="AY989" s="213"/>
      <c r="AZ989" s="213"/>
      <c r="BA989" s="213"/>
      <c r="BB989" s="213"/>
    </row>
    <row r="990" ht="15.75" customHeight="1">
      <c r="A990" s="213"/>
      <c r="B990" s="213"/>
      <c r="C990" s="213"/>
      <c r="D990" s="213"/>
      <c r="E990" s="213"/>
      <c r="F990" s="213"/>
      <c r="G990" s="213"/>
      <c r="H990" s="213"/>
      <c r="I990" s="213"/>
      <c r="J990" s="213"/>
      <c r="K990" s="215"/>
      <c r="L990" s="213"/>
      <c r="M990" s="215"/>
      <c r="N990" s="213"/>
      <c r="O990" s="213"/>
      <c r="P990" s="213"/>
      <c r="Q990" s="213"/>
      <c r="R990" s="213"/>
      <c r="S990" s="213"/>
      <c r="T990" s="213"/>
      <c r="U990" s="213"/>
      <c r="V990" s="213"/>
      <c r="W990" s="213"/>
      <c r="X990" s="213"/>
      <c r="Y990" s="213"/>
      <c r="Z990" s="213"/>
      <c r="AA990" s="213"/>
      <c r="AB990" s="213"/>
      <c r="AC990" s="213"/>
      <c r="AD990" s="213"/>
      <c r="AE990" s="213"/>
      <c r="AF990" s="213"/>
      <c r="AG990" s="213"/>
      <c r="AH990" s="213"/>
      <c r="AI990" s="213"/>
      <c r="AJ990" s="213"/>
      <c r="AK990" s="213"/>
      <c r="AL990" s="213"/>
      <c r="AM990" s="213"/>
      <c r="AN990" s="213"/>
      <c r="AO990" s="213"/>
      <c r="AP990" s="213"/>
      <c r="AQ990" s="213"/>
      <c r="AR990" s="213"/>
      <c r="AS990" s="213"/>
      <c r="AT990" s="213"/>
      <c r="AU990" s="213"/>
      <c r="AV990" s="213"/>
      <c r="AW990" s="213"/>
      <c r="AX990" s="213"/>
      <c r="AY990" s="213"/>
      <c r="AZ990" s="213"/>
      <c r="BA990" s="213"/>
      <c r="BB990" s="213"/>
    </row>
    <row r="991" ht="15.75" customHeight="1">
      <c r="A991" s="213"/>
      <c r="B991" s="213"/>
      <c r="C991" s="213"/>
      <c r="D991" s="213"/>
      <c r="E991" s="213"/>
      <c r="F991" s="213"/>
      <c r="G991" s="213"/>
      <c r="H991" s="213"/>
      <c r="I991" s="213"/>
      <c r="J991" s="213"/>
      <c r="K991" s="215"/>
      <c r="L991" s="213"/>
      <c r="M991" s="215"/>
      <c r="N991" s="213"/>
      <c r="O991" s="213"/>
      <c r="P991" s="213"/>
      <c r="Q991" s="213"/>
      <c r="R991" s="213"/>
      <c r="S991" s="213"/>
      <c r="T991" s="213"/>
      <c r="U991" s="213"/>
      <c r="V991" s="213"/>
      <c r="W991" s="213"/>
      <c r="X991" s="213"/>
      <c r="Y991" s="213"/>
      <c r="Z991" s="213"/>
      <c r="AA991" s="213"/>
      <c r="AB991" s="213"/>
      <c r="AC991" s="213"/>
      <c r="AD991" s="213"/>
      <c r="AE991" s="213"/>
      <c r="AF991" s="213"/>
      <c r="AG991" s="213"/>
      <c r="AH991" s="213"/>
      <c r="AI991" s="213"/>
      <c r="AJ991" s="213"/>
      <c r="AK991" s="213"/>
      <c r="AL991" s="213"/>
      <c r="AM991" s="213"/>
      <c r="AN991" s="213"/>
      <c r="AO991" s="213"/>
      <c r="AP991" s="213"/>
      <c r="AQ991" s="213"/>
      <c r="AR991" s="213"/>
      <c r="AS991" s="213"/>
      <c r="AT991" s="213"/>
      <c r="AU991" s="213"/>
      <c r="AV991" s="213"/>
      <c r="AW991" s="213"/>
      <c r="AX991" s="213"/>
      <c r="AY991" s="213"/>
      <c r="AZ991" s="213"/>
      <c r="BA991" s="213"/>
      <c r="BB991" s="213"/>
    </row>
    <row r="992" ht="15.75" customHeight="1">
      <c r="A992" s="213"/>
      <c r="B992" s="213"/>
      <c r="C992" s="213"/>
      <c r="D992" s="213"/>
      <c r="E992" s="213"/>
      <c r="F992" s="213"/>
      <c r="G992" s="213"/>
      <c r="H992" s="213"/>
      <c r="I992" s="213"/>
      <c r="J992" s="213"/>
      <c r="K992" s="215"/>
      <c r="L992" s="213"/>
      <c r="M992" s="215"/>
      <c r="N992" s="213"/>
      <c r="O992" s="213"/>
      <c r="P992" s="213"/>
      <c r="Q992" s="213"/>
      <c r="R992" s="213"/>
      <c r="S992" s="213"/>
      <c r="T992" s="213"/>
      <c r="U992" s="213"/>
      <c r="V992" s="213"/>
      <c r="W992" s="213"/>
      <c r="X992" s="213"/>
      <c r="Y992" s="213"/>
      <c r="Z992" s="213"/>
      <c r="AA992" s="213"/>
      <c r="AB992" s="213"/>
      <c r="AC992" s="213"/>
      <c r="AD992" s="213"/>
      <c r="AE992" s="213"/>
      <c r="AF992" s="213"/>
      <c r="AG992" s="213"/>
      <c r="AH992" s="213"/>
      <c r="AI992" s="213"/>
      <c r="AJ992" s="213"/>
      <c r="AK992" s="213"/>
      <c r="AL992" s="213"/>
      <c r="AM992" s="213"/>
      <c r="AN992" s="213"/>
      <c r="AO992" s="213"/>
      <c r="AP992" s="213"/>
      <c r="AQ992" s="213"/>
      <c r="AR992" s="213"/>
      <c r="AS992" s="213"/>
      <c r="AT992" s="213"/>
      <c r="AU992" s="213"/>
      <c r="AV992" s="213"/>
      <c r="AW992" s="213"/>
      <c r="AX992" s="213"/>
      <c r="AY992" s="213"/>
      <c r="AZ992" s="213"/>
      <c r="BA992" s="213"/>
      <c r="BB992" s="213"/>
    </row>
    <row r="993" ht="15.75" customHeight="1">
      <c r="A993" s="213"/>
      <c r="B993" s="213"/>
      <c r="C993" s="213"/>
      <c r="D993" s="213"/>
      <c r="E993" s="213"/>
      <c r="F993" s="213"/>
      <c r="G993" s="213"/>
      <c r="H993" s="213"/>
      <c r="I993" s="213"/>
      <c r="J993" s="213"/>
      <c r="K993" s="215"/>
      <c r="L993" s="213"/>
      <c r="M993" s="215"/>
      <c r="N993" s="213"/>
      <c r="O993" s="213"/>
      <c r="P993" s="213"/>
      <c r="Q993" s="213"/>
      <c r="R993" s="213"/>
      <c r="S993" s="213"/>
      <c r="T993" s="213"/>
      <c r="U993" s="213"/>
      <c r="V993" s="213"/>
      <c r="W993" s="213"/>
      <c r="X993" s="213"/>
      <c r="Y993" s="213"/>
      <c r="Z993" s="213"/>
      <c r="AA993" s="213"/>
      <c r="AB993" s="213"/>
      <c r="AC993" s="213"/>
      <c r="AD993" s="213"/>
      <c r="AE993" s="213"/>
      <c r="AF993" s="213"/>
      <c r="AG993" s="213"/>
      <c r="AH993" s="213"/>
      <c r="AI993" s="213"/>
      <c r="AJ993" s="213"/>
      <c r="AK993" s="213"/>
      <c r="AL993" s="213"/>
      <c r="AM993" s="213"/>
      <c r="AN993" s="213"/>
      <c r="AO993" s="213"/>
      <c r="AP993" s="213"/>
      <c r="AQ993" s="213"/>
      <c r="AR993" s="213"/>
      <c r="AS993" s="213"/>
      <c r="AT993" s="213"/>
      <c r="AU993" s="213"/>
      <c r="AV993" s="213"/>
      <c r="AW993" s="213"/>
      <c r="AX993" s="213"/>
      <c r="AY993" s="213"/>
      <c r="AZ993" s="213"/>
      <c r="BA993" s="213"/>
      <c r="BB993" s="213"/>
    </row>
    <row r="994" ht="15.75" customHeight="1">
      <c r="A994" s="213"/>
      <c r="B994" s="213"/>
      <c r="C994" s="213"/>
      <c r="D994" s="213"/>
      <c r="E994" s="213"/>
      <c r="F994" s="213"/>
      <c r="G994" s="213"/>
      <c r="H994" s="213"/>
      <c r="I994" s="213"/>
      <c r="J994" s="213"/>
      <c r="K994" s="215"/>
      <c r="L994" s="213"/>
      <c r="M994" s="215"/>
      <c r="N994" s="213"/>
      <c r="O994" s="213"/>
      <c r="P994" s="213"/>
      <c r="Q994" s="213"/>
      <c r="R994" s="213"/>
      <c r="S994" s="213"/>
      <c r="T994" s="213"/>
      <c r="U994" s="213"/>
      <c r="V994" s="213"/>
      <c r="W994" s="213"/>
      <c r="X994" s="213"/>
      <c r="Y994" s="213"/>
      <c r="Z994" s="213"/>
      <c r="AA994" s="213"/>
      <c r="AB994" s="213"/>
      <c r="AC994" s="213"/>
      <c r="AD994" s="213"/>
      <c r="AE994" s="213"/>
      <c r="AF994" s="213"/>
      <c r="AG994" s="213"/>
      <c r="AH994" s="213"/>
      <c r="AI994" s="213"/>
      <c r="AJ994" s="213"/>
      <c r="AK994" s="213"/>
      <c r="AL994" s="213"/>
      <c r="AM994" s="213"/>
      <c r="AN994" s="213"/>
      <c r="AO994" s="213"/>
      <c r="AP994" s="213"/>
      <c r="AQ994" s="213"/>
      <c r="AR994" s="213"/>
      <c r="AS994" s="213"/>
      <c r="AT994" s="213"/>
      <c r="AU994" s="213"/>
      <c r="AV994" s="213"/>
      <c r="AW994" s="213"/>
      <c r="AX994" s="213"/>
      <c r="AY994" s="213"/>
      <c r="AZ994" s="213"/>
      <c r="BA994" s="213"/>
      <c r="BB994" s="213"/>
    </row>
    <row r="995" ht="15.75" customHeight="1">
      <c r="A995" s="213"/>
      <c r="B995" s="213"/>
      <c r="C995" s="213"/>
      <c r="D995" s="213"/>
      <c r="E995" s="213"/>
      <c r="F995" s="213"/>
      <c r="G995" s="213"/>
      <c r="H995" s="213"/>
      <c r="I995" s="213"/>
      <c r="J995" s="213"/>
      <c r="K995" s="215"/>
      <c r="L995" s="213"/>
      <c r="M995" s="215"/>
      <c r="N995" s="213"/>
      <c r="O995" s="213"/>
      <c r="P995" s="213"/>
      <c r="Q995" s="213"/>
      <c r="R995" s="213"/>
      <c r="S995" s="213"/>
      <c r="T995" s="213"/>
      <c r="U995" s="213"/>
      <c r="V995" s="213"/>
      <c r="W995" s="213"/>
      <c r="X995" s="213"/>
      <c r="Y995" s="213"/>
      <c r="Z995" s="213"/>
      <c r="AA995" s="213"/>
      <c r="AB995" s="213"/>
      <c r="AC995" s="213"/>
      <c r="AD995" s="213"/>
      <c r="AE995" s="213"/>
      <c r="AF995" s="213"/>
      <c r="AG995" s="213"/>
      <c r="AH995" s="213"/>
      <c r="AI995" s="213"/>
      <c r="AJ995" s="213"/>
      <c r="AK995" s="213"/>
      <c r="AL995" s="213"/>
      <c r="AM995" s="213"/>
      <c r="AN995" s="213"/>
      <c r="AO995" s="213"/>
      <c r="AP995" s="213"/>
      <c r="AQ995" s="213"/>
      <c r="AR995" s="213"/>
      <c r="AS995" s="213"/>
      <c r="AT995" s="213"/>
      <c r="AU995" s="213"/>
      <c r="AV995" s="213"/>
      <c r="AW995" s="213"/>
      <c r="AX995" s="213"/>
      <c r="AY995" s="213"/>
      <c r="AZ995" s="213"/>
      <c r="BA995" s="213"/>
      <c r="BB995" s="213"/>
    </row>
    <row r="996" ht="15.75" customHeight="1">
      <c r="A996" s="213"/>
      <c r="B996" s="213"/>
      <c r="C996" s="213"/>
      <c r="D996" s="213"/>
      <c r="E996" s="213"/>
      <c r="F996" s="213"/>
      <c r="G996" s="213"/>
      <c r="H996" s="213"/>
      <c r="I996" s="213"/>
      <c r="J996" s="213"/>
      <c r="K996" s="215"/>
      <c r="L996" s="213"/>
      <c r="M996" s="215"/>
      <c r="N996" s="213"/>
      <c r="O996" s="213"/>
      <c r="P996" s="213"/>
      <c r="Q996" s="213"/>
      <c r="R996" s="213"/>
      <c r="S996" s="213"/>
      <c r="T996" s="213"/>
      <c r="U996" s="213"/>
      <c r="V996" s="213"/>
      <c r="W996" s="213"/>
      <c r="X996" s="213"/>
      <c r="Y996" s="213"/>
      <c r="Z996" s="213"/>
      <c r="AA996" s="213"/>
      <c r="AB996" s="213"/>
      <c r="AC996" s="213"/>
      <c r="AD996" s="213"/>
      <c r="AE996" s="213"/>
      <c r="AF996" s="213"/>
      <c r="AG996" s="213"/>
      <c r="AH996" s="213"/>
      <c r="AI996" s="213"/>
      <c r="AJ996" s="213"/>
      <c r="AK996" s="213"/>
      <c r="AL996" s="213"/>
      <c r="AM996" s="213"/>
      <c r="AN996" s="213"/>
      <c r="AO996" s="213"/>
      <c r="AP996" s="213"/>
      <c r="AQ996" s="213"/>
      <c r="AR996" s="213"/>
      <c r="AS996" s="213"/>
      <c r="AT996" s="213"/>
      <c r="AU996" s="213"/>
      <c r="AV996" s="213"/>
      <c r="AW996" s="213"/>
      <c r="AX996" s="213"/>
      <c r="AY996" s="213"/>
      <c r="AZ996" s="213"/>
      <c r="BA996" s="213"/>
      <c r="BB996" s="213"/>
    </row>
    <row r="997" ht="15.75" customHeight="1">
      <c r="A997" s="213"/>
      <c r="B997" s="213"/>
      <c r="C997" s="213"/>
      <c r="D997" s="213"/>
      <c r="E997" s="213"/>
      <c r="F997" s="213"/>
      <c r="G997" s="213"/>
      <c r="H997" s="213"/>
      <c r="I997" s="213"/>
      <c r="J997" s="213"/>
      <c r="K997" s="215"/>
      <c r="L997" s="213"/>
      <c r="M997" s="215"/>
      <c r="N997" s="213"/>
      <c r="O997" s="213"/>
      <c r="P997" s="213"/>
      <c r="Q997" s="213"/>
      <c r="R997" s="213"/>
      <c r="S997" s="213"/>
      <c r="T997" s="213"/>
      <c r="U997" s="213"/>
      <c r="V997" s="213"/>
      <c r="W997" s="213"/>
      <c r="X997" s="213"/>
      <c r="Y997" s="213"/>
      <c r="Z997" s="213"/>
      <c r="AA997" s="213"/>
      <c r="AB997" s="213"/>
      <c r="AC997" s="213"/>
      <c r="AD997" s="213"/>
      <c r="AE997" s="213"/>
      <c r="AF997" s="213"/>
      <c r="AG997" s="213"/>
      <c r="AH997" s="213"/>
      <c r="AI997" s="213"/>
      <c r="AJ997" s="213"/>
      <c r="AK997" s="213"/>
      <c r="AL997" s="213"/>
      <c r="AM997" s="213"/>
      <c r="AN997" s="213"/>
      <c r="AO997" s="213"/>
      <c r="AP997" s="213"/>
      <c r="AQ997" s="213"/>
      <c r="AR997" s="213"/>
      <c r="AS997" s="213"/>
      <c r="AT997" s="213"/>
      <c r="AU997" s="213"/>
      <c r="AV997" s="213"/>
      <c r="AW997" s="213"/>
      <c r="AX997" s="213"/>
      <c r="AY997" s="213"/>
      <c r="AZ997" s="213"/>
      <c r="BA997" s="213"/>
      <c r="BB997" s="213"/>
    </row>
    <row r="998" ht="15.75" customHeight="1">
      <c r="A998" s="213"/>
      <c r="B998" s="213"/>
      <c r="C998" s="213"/>
      <c r="D998" s="213"/>
      <c r="E998" s="213"/>
      <c r="F998" s="213"/>
      <c r="G998" s="213"/>
      <c r="H998" s="213"/>
      <c r="I998" s="213"/>
      <c r="J998" s="213"/>
      <c r="K998" s="215"/>
      <c r="L998" s="213"/>
      <c r="M998" s="215"/>
      <c r="N998" s="213"/>
      <c r="O998" s="213"/>
      <c r="P998" s="213"/>
      <c r="Q998" s="213"/>
      <c r="R998" s="213"/>
      <c r="S998" s="213"/>
      <c r="T998" s="213"/>
      <c r="U998" s="213"/>
      <c r="V998" s="213"/>
      <c r="W998" s="213"/>
      <c r="X998" s="213"/>
      <c r="Y998" s="213"/>
      <c r="Z998" s="213"/>
      <c r="AA998" s="213"/>
      <c r="AB998" s="213"/>
      <c r="AC998" s="213"/>
      <c r="AD998" s="213"/>
      <c r="AE998" s="213"/>
      <c r="AF998" s="213"/>
      <c r="AG998" s="213"/>
      <c r="AH998" s="213"/>
      <c r="AI998" s="213"/>
      <c r="AJ998" s="213"/>
      <c r="AK998" s="213"/>
      <c r="AL998" s="213"/>
      <c r="AM998" s="213"/>
      <c r="AN998" s="213"/>
      <c r="AO998" s="213"/>
      <c r="AP998" s="213"/>
      <c r="AQ998" s="213"/>
      <c r="AR998" s="213"/>
      <c r="AS998" s="213"/>
      <c r="AT998" s="213"/>
      <c r="AU998" s="213"/>
      <c r="AV998" s="213"/>
      <c r="AW998" s="213"/>
      <c r="AX998" s="213"/>
      <c r="AY998" s="213"/>
      <c r="AZ998" s="213"/>
      <c r="BA998" s="213"/>
      <c r="BB998" s="213"/>
    </row>
    <row r="999" ht="15.75" customHeight="1">
      <c r="A999" s="213"/>
      <c r="B999" s="213"/>
      <c r="C999" s="213"/>
      <c r="D999" s="213"/>
      <c r="E999" s="213"/>
      <c r="F999" s="213"/>
      <c r="G999" s="213"/>
      <c r="H999" s="213"/>
      <c r="I999" s="213"/>
      <c r="J999" s="213"/>
      <c r="K999" s="215"/>
      <c r="L999" s="213"/>
      <c r="M999" s="215"/>
      <c r="N999" s="213"/>
      <c r="O999" s="213"/>
      <c r="P999" s="213"/>
      <c r="Q999" s="213"/>
      <c r="R999" s="213"/>
      <c r="S999" s="213"/>
      <c r="T999" s="213"/>
      <c r="U999" s="213"/>
      <c r="V999" s="213"/>
      <c r="W999" s="213"/>
      <c r="X999" s="213"/>
      <c r="Y999" s="213"/>
      <c r="Z999" s="213"/>
      <c r="AA999" s="213"/>
      <c r="AB999" s="213"/>
      <c r="AC999" s="213"/>
      <c r="AD999" s="213"/>
      <c r="AE999" s="213"/>
      <c r="AF999" s="213"/>
      <c r="AG999" s="213"/>
      <c r="AH999" s="213"/>
      <c r="AI999" s="213"/>
      <c r="AJ999" s="213"/>
      <c r="AK999" s="213"/>
      <c r="AL999" s="213"/>
      <c r="AM999" s="213"/>
      <c r="AN999" s="213"/>
      <c r="AO999" s="213"/>
      <c r="AP999" s="213"/>
      <c r="AQ999" s="213"/>
      <c r="AR999" s="213"/>
      <c r="AS999" s="213"/>
      <c r="AT999" s="213"/>
      <c r="AU999" s="213"/>
      <c r="AV999" s="213"/>
      <c r="AW999" s="213"/>
      <c r="AX999" s="213"/>
      <c r="AY999" s="213"/>
      <c r="AZ999" s="213"/>
      <c r="BA999" s="213"/>
      <c r="BB999" s="213"/>
    </row>
    <row r="1000" ht="15.75" customHeight="1">
      <c r="A1000" s="213"/>
      <c r="B1000" s="213"/>
      <c r="C1000" s="213"/>
      <c r="D1000" s="213"/>
      <c r="E1000" s="213"/>
      <c r="F1000" s="213"/>
      <c r="G1000" s="213"/>
      <c r="H1000" s="213"/>
      <c r="I1000" s="213"/>
      <c r="J1000" s="213"/>
      <c r="K1000" s="215"/>
      <c r="L1000" s="213"/>
      <c r="M1000" s="215"/>
      <c r="N1000" s="213"/>
      <c r="O1000" s="213"/>
      <c r="P1000" s="213"/>
      <c r="Q1000" s="213"/>
      <c r="R1000" s="213"/>
      <c r="S1000" s="213"/>
      <c r="T1000" s="213"/>
      <c r="U1000" s="213"/>
      <c r="V1000" s="213"/>
      <c r="W1000" s="213"/>
      <c r="X1000" s="213"/>
      <c r="Y1000" s="213"/>
      <c r="Z1000" s="213"/>
      <c r="AA1000" s="213"/>
      <c r="AB1000" s="213"/>
      <c r="AC1000" s="213"/>
      <c r="AD1000" s="213"/>
      <c r="AE1000" s="213"/>
      <c r="AF1000" s="213"/>
      <c r="AG1000" s="213"/>
      <c r="AH1000" s="213"/>
      <c r="AI1000" s="213"/>
      <c r="AJ1000" s="213"/>
      <c r="AK1000" s="213"/>
      <c r="AL1000" s="213"/>
      <c r="AM1000" s="213"/>
      <c r="AN1000" s="213"/>
      <c r="AO1000" s="213"/>
      <c r="AP1000" s="213"/>
      <c r="AQ1000" s="213"/>
      <c r="AR1000" s="213"/>
      <c r="AS1000" s="213"/>
      <c r="AT1000" s="213"/>
      <c r="AU1000" s="213"/>
      <c r="AV1000" s="213"/>
      <c r="AW1000" s="213"/>
      <c r="AX1000" s="213"/>
      <c r="AY1000" s="213"/>
      <c r="AZ1000" s="213"/>
      <c r="BA1000" s="213"/>
      <c r="BB1000" s="213"/>
    </row>
  </sheetData>
  <mergeCells count="16">
    <mergeCell ref="B3:B4"/>
    <mergeCell ref="C3:F3"/>
    <mergeCell ref="G3:J3"/>
    <mergeCell ref="K3:N3"/>
    <mergeCell ref="O3:R3"/>
    <mergeCell ref="S3:V3"/>
    <mergeCell ref="W3:Z3"/>
    <mergeCell ref="AY3:AZ3"/>
    <mergeCell ref="BA3:BB3"/>
    <mergeCell ref="AA3:AD3"/>
    <mergeCell ref="AE3:AH3"/>
    <mergeCell ref="AI3:AL3"/>
    <mergeCell ref="AM3:AP3"/>
    <mergeCell ref="AQ3:AT3"/>
    <mergeCell ref="AU3:AV3"/>
    <mergeCell ref="AW3:AX3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12.63"/>
    <col customWidth="1" min="2" max="2" width="33.63"/>
    <col customWidth="1" min="3" max="6" width="12.63"/>
    <col customWidth="1" hidden="1" min="25" max="33" width="12.63"/>
  </cols>
  <sheetData>
    <row r="1" ht="15.75" customHeight="1">
      <c r="A1" s="128" t="s">
        <v>61</v>
      </c>
    </row>
    <row r="2" ht="15.75" customHeight="1">
      <c r="V2" s="238"/>
      <c r="W2" s="238"/>
      <c r="X2" s="239" t="s">
        <v>62</v>
      </c>
      <c r="Y2" s="240" t="s">
        <v>63</v>
      </c>
      <c r="Z2" s="240"/>
      <c r="AA2" s="240"/>
      <c r="AB2" s="240"/>
      <c r="AC2" s="240"/>
      <c r="AD2" s="240"/>
      <c r="AE2" s="240"/>
      <c r="AF2" s="240"/>
      <c r="AG2" s="240"/>
      <c r="AH2" s="240" t="s">
        <v>64</v>
      </c>
      <c r="AJ2" s="240"/>
      <c r="AK2" s="240"/>
      <c r="AL2" s="240"/>
      <c r="AM2" s="240"/>
      <c r="AN2" s="240"/>
      <c r="AO2" s="240"/>
      <c r="AP2" s="240"/>
      <c r="AQ2" s="240"/>
      <c r="AR2" s="240" t="s">
        <v>65</v>
      </c>
      <c r="AT2" s="240"/>
      <c r="AU2" s="240"/>
      <c r="AV2" s="240"/>
      <c r="AW2" s="240"/>
      <c r="AX2" s="240"/>
      <c r="AY2" s="240"/>
      <c r="AZ2" s="240"/>
      <c r="BA2" s="240"/>
      <c r="BB2" s="240" t="s">
        <v>66</v>
      </c>
      <c r="BD2" s="240"/>
      <c r="BE2" s="240"/>
      <c r="BF2" s="240"/>
      <c r="BG2" s="240"/>
      <c r="BH2" s="240"/>
      <c r="BI2" s="240"/>
      <c r="BJ2" s="240"/>
      <c r="BK2" s="240"/>
      <c r="BL2" s="240" t="s">
        <v>67</v>
      </c>
      <c r="BN2" s="240"/>
      <c r="BO2" s="240"/>
      <c r="BP2" s="240"/>
      <c r="BQ2" s="240"/>
      <c r="BR2" s="240"/>
      <c r="BS2" s="240"/>
      <c r="BT2" s="240"/>
      <c r="BU2" s="240" t="s">
        <v>68</v>
      </c>
      <c r="BW2" s="240"/>
      <c r="BX2" s="240"/>
      <c r="BY2" s="240"/>
      <c r="BZ2" s="240"/>
      <c r="CA2" s="240"/>
      <c r="CB2" s="240"/>
      <c r="CC2" s="240"/>
      <c r="CD2" s="240"/>
      <c r="CE2" s="240" t="s">
        <v>69</v>
      </c>
      <c r="CG2" s="240"/>
      <c r="CH2" s="240"/>
      <c r="CI2" s="240"/>
      <c r="CJ2" s="240"/>
      <c r="CK2" s="240"/>
      <c r="CL2" s="240"/>
      <c r="CM2" s="240"/>
      <c r="CN2" s="240"/>
      <c r="CO2" s="240" t="s">
        <v>70</v>
      </c>
      <c r="CR2" s="240"/>
      <c r="CS2" s="240"/>
      <c r="CT2" s="240"/>
      <c r="CU2" s="240"/>
      <c r="CV2" s="240"/>
      <c r="CW2" s="240"/>
      <c r="CX2" s="240"/>
      <c r="CY2" s="240" t="s">
        <v>71</v>
      </c>
      <c r="DA2" s="240"/>
      <c r="DB2" s="240"/>
      <c r="DC2" s="240"/>
      <c r="DD2" s="240"/>
      <c r="DE2" s="240"/>
      <c r="DF2" s="240"/>
      <c r="DG2" s="240"/>
      <c r="DH2" s="240" t="s">
        <v>72</v>
      </c>
      <c r="DJ2" s="240"/>
      <c r="DK2" s="240"/>
      <c r="DL2" s="240"/>
      <c r="DM2" s="240"/>
      <c r="DN2" s="240"/>
      <c r="DO2" s="240"/>
      <c r="DP2" s="240"/>
      <c r="DQ2" s="240"/>
      <c r="DR2" s="240" t="s">
        <v>7</v>
      </c>
      <c r="DS2" s="240"/>
      <c r="DT2" s="240"/>
      <c r="DU2" s="240"/>
      <c r="DV2" s="240"/>
      <c r="DW2" s="240"/>
      <c r="DX2" s="240"/>
      <c r="DY2" s="240"/>
      <c r="DZ2" s="240"/>
    </row>
    <row r="3" ht="15.75" customHeight="1">
      <c r="B3" s="188" t="s">
        <v>73</v>
      </c>
      <c r="C3" s="187">
        <v>45444.0</v>
      </c>
      <c r="D3" s="187">
        <v>45474.0</v>
      </c>
      <c r="E3" s="187">
        <v>45505.0</v>
      </c>
      <c r="F3" s="188" t="s">
        <v>74</v>
      </c>
      <c r="G3" s="187">
        <v>45566.0</v>
      </c>
      <c r="H3" s="187">
        <v>45597.0</v>
      </c>
      <c r="I3" s="187">
        <v>45627.0</v>
      </c>
      <c r="J3" s="187">
        <v>45658.0</v>
      </c>
      <c r="K3" s="187">
        <v>45689.0</v>
      </c>
      <c r="L3" s="187">
        <v>45717.0</v>
      </c>
      <c r="M3" s="187">
        <v>45748.0</v>
      </c>
      <c r="N3" s="187">
        <v>45778.0</v>
      </c>
      <c r="O3" s="188"/>
      <c r="P3" s="188"/>
      <c r="Q3" s="188"/>
      <c r="R3" s="188"/>
      <c r="V3" s="238"/>
      <c r="W3" s="238"/>
      <c r="X3" s="241" t="s">
        <v>75</v>
      </c>
      <c r="Y3" s="242" t="s">
        <v>76</v>
      </c>
      <c r="Z3" s="242" t="s">
        <v>77</v>
      </c>
      <c r="AA3" s="242" t="s">
        <v>78</v>
      </c>
      <c r="AB3" s="242" t="s">
        <v>79</v>
      </c>
      <c r="AC3" s="242" t="s">
        <v>80</v>
      </c>
      <c r="AD3" s="242" t="s">
        <v>81</v>
      </c>
      <c r="AE3" s="242" t="s">
        <v>82</v>
      </c>
      <c r="AF3" s="242" t="s">
        <v>83</v>
      </c>
      <c r="AG3" s="243"/>
      <c r="AH3" s="242" t="s">
        <v>76</v>
      </c>
      <c r="AI3" s="242" t="s">
        <v>77</v>
      </c>
      <c r="AJ3" s="242" t="s">
        <v>78</v>
      </c>
      <c r="AK3" s="242" t="s">
        <v>79</v>
      </c>
      <c r="AL3" s="244" t="s">
        <v>84</v>
      </c>
      <c r="AM3" s="242" t="s">
        <v>80</v>
      </c>
      <c r="AN3" s="242" t="s">
        <v>81</v>
      </c>
      <c r="AO3" s="242" t="s">
        <v>82</v>
      </c>
      <c r="AP3" s="242" t="s">
        <v>83</v>
      </c>
      <c r="AQ3" s="243"/>
      <c r="AR3" s="242" t="s">
        <v>76</v>
      </c>
      <c r="AS3" s="242" t="s">
        <v>77</v>
      </c>
      <c r="AT3" s="242" t="s">
        <v>78</v>
      </c>
      <c r="AU3" s="242" t="s">
        <v>79</v>
      </c>
      <c r="AV3" s="244" t="s">
        <v>84</v>
      </c>
      <c r="AW3" s="242" t="s">
        <v>80</v>
      </c>
      <c r="AX3" s="242" t="s">
        <v>81</v>
      </c>
      <c r="AY3" s="242" t="s">
        <v>82</v>
      </c>
      <c r="AZ3" s="242" t="s">
        <v>83</v>
      </c>
      <c r="BA3" s="243"/>
      <c r="BB3" s="242" t="s">
        <v>76</v>
      </c>
      <c r="BC3" s="242" t="s">
        <v>77</v>
      </c>
      <c r="BD3" s="242" t="s">
        <v>78</v>
      </c>
      <c r="BE3" s="242" t="s">
        <v>79</v>
      </c>
      <c r="BF3" s="244" t="s">
        <v>84</v>
      </c>
      <c r="BG3" s="242" t="s">
        <v>80</v>
      </c>
      <c r="BH3" s="242" t="s">
        <v>81</v>
      </c>
      <c r="BI3" s="242" t="s">
        <v>82</v>
      </c>
      <c r="BJ3" s="242" t="s">
        <v>83</v>
      </c>
      <c r="BK3" s="243"/>
      <c r="BL3" s="242" t="s">
        <v>76</v>
      </c>
      <c r="BM3" s="242" t="s">
        <v>77</v>
      </c>
      <c r="BN3" s="242" t="s">
        <v>78</v>
      </c>
      <c r="BO3" s="242" t="s">
        <v>79</v>
      </c>
      <c r="BP3" s="242" t="s">
        <v>80</v>
      </c>
      <c r="BQ3" s="242" t="s">
        <v>81</v>
      </c>
      <c r="BR3" s="242" t="s">
        <v>82</v>
      </c>
      <c r="BS3" s="242" t="s">
        <v>83</v>
      </c>
      <c r="BT3" s="243"/>
      <c r="BU3" s="242" t="s">
        <v>76</v>
      </c>
      <c r="BV3" s="242" t="s">
        <v>77</v>
      </c>
      <c r="BW3" s="242" t="s">
        <v>78</v>
      </c>
      <c r="BX3" s="242" t="s">
        <v>79</v>
      </c>
      <c r="BY3" s="244" t="s">
        <v>84</v>
      </c>
      <c r="BZ3" s="242" t="s">
        <v>80</v>
      </c>
      <c r="CA3" s="242" t="s">
        <v>81</v>
      </c>
      <c r="CB3" s="242" t="s">
        <v>82</v>
      </c>
      <c r="CC3" s="242" t="s">
        <v>83</v>
      </c>
      <c r="CD3" s="243"/>
      <c r="CE3" s="242" t="s">
        <v>76</v>
      </c>
      <c r="CF3" s="242" t="s">
        <v>77</v>
      </c>
      <c r="CG3" s="242" t="s">
        <v>78</v>
      </c>
      <c r="CH3" s="242" t="s">
        <v>79</v>
      </c>
      <c r="CI3" s="244" t="s">
        <v>84</v>
      </c>
      <c r="CJ3" s="242" t="s">
        <v>80</v>
      </c>
      <c r="CK3" s="242" t="s">
        <v>81</v>
      </c>
      <c r="CL3" s="242" t="s">
        <v>82</v>
      </c>
      <c r="CM3" s="242" t="s">
        <v>83</v>
      </c>
      <c r="CN3" s="243"/>
      <c r="CO3" s="242" t="s">
        <v>76</v>
      </c>
      <c r="CP3" s="242" t="s">
        <v>77</v>
      </c>
      <c r="CQ3" s="242" t="s">
        <v>78</v>
      </c>
      <c r="CR3" s="242" t="s">
        <v>79</v>
      </c>
      <c r="CS3" s="244" t="s">
        <v>84</v>
      </c>
      <c r="CT3" s="242" t="s">
        <v>80</v>
      </c>
      <c r="CU3" s="242" t="s">
        <v>81</v>
      </c>
      <c r="CV3" s="242" t="s">
        <v>82</v>
      </c>
      <c r="CW3" s="242" t="s">
        <v>83</v>
      </c>
      <c r="CX3" s="243"/>
      <c r="CY3" s="242" t="s">
        <v>76</v>
      </c>
      <c r="CZ3" s="242" t="s">
        <v>77</v>
      </c>
      <c r="DA3" s="242" t="s">
        <v>78</v>
      </c>
      <c r="DB3" s="242" t="s">
        <v>79</v>
      </c>
      <c r="DC3" s="242" t="s">
        <v>80</v>
      </c>
      <c r="DD3" s="242" t="s">
        <v>81</v>
      </c>
      <c r="DE3" s="242" t="s">
        <v>82</v>
      </c>
      <c r="DF3" s="242" t="s">
        <v>83</v>
      </c>
      <c r="DG3" s="243"/>
      <c r="DH3" s="242" t="s">
        <v>76</v>
      </c>
      <c r="DI3" s="242" t="s">
        <v>77</v>
      </c>
      <c r="DJ3" s="242" t="s">
        <v>78</v>
      </c>
      <c r="DK3" s="242" t="s">
        <v>79</v>
      </c>
      <c r="DL3" s="244" t="s">
        <v>84</v>
      </c>
      <c r="DM3" s="242" t="s">
        <v>80</v>
      </c>
      <c r="DN3" s="242" t="s">
        <v>81</v>
      </c>
      <c r="DO3" s="242" t="s">
        <v>82</v>
      </c>
      <c r="DP3" s="242" t="s">
        <v>83</v>
      </c>
      <c r="DQ3" s="243"/>
      <c r="DR3" s="242" t="s">
        <v>76</v>
      </c>
      <c r="DS3" s="242" t="s">
        <v>77</v>
      </c>
      <c r="DT3" s="242" t="s">
        <v>78</v>
      </c>
      <c r="DU3" s="242" t="s">
        <v>79</v>
      </c>
      <c r="DV3" s="244" t="s">
        <v>84</v>
      </c>
      <c r="DW3" s="242" t="s">
        <v>80</v>
      </c>
      <c r="DX3" s="242" t="s">
        <v>81</v>
      </c>
      <c r="DY3" s="242" t="s">
        <v>82</v>
      </c>
      <c r="DZ3" s="242" t="s">
        <v>83</v>
      </c>
    </row>
    <row r="4" ht="15.75" customHeight="1">
      <c r="B4" s="245" t="s">
        <v>85</v>
      </c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9">
        <f>'Mg St Colaba'!D6</f>
        <v>5434</v>
      </c>
      <c r="N4" s="189">
        <f>'Mg St Colaba'!J6</f>
        <v>5738</v>
      </c>
      <c r="O4" s="186"/>
      <c r="P4" s="186"/>
      <c r="Q4" s="186"/>
      <c r="R4" s="186"/>
      <c r="V4" s="238"/>
      <c r="W4" s="246"/>
      <c r="X4" s="247">
        <v>45444.0</v>
      </c>
      <c r="Y4" s="248">
        <v>4.061045226E7</v>
      </c>
      <c r="Z4" s="248">
        <v>3.261215775E7</v>
      </c>
      <c r="AA4" s="248">
        <v>6289412.4</v>
      </c>
      <c r="AB4" s="249">
        <v>1708882.11</v>
      </c>
      <c r="AC4" s="248">
        <v>20552.0</v>
      </c>
      <c r="AD4" s="249">
        <v>1587.81</v>
      </c>
      <c r="AE4" s="248">
        <v>7595.0</v>
      </c>
      <c r="AF4" s="248">
        <v>1110.22</v>
      </c>
      <c r="AG4" s="250"/>
      <c r="AH4" s="250" t="s">
        <v>86</v>
      </c>
      <c r="AI4" s="250" t="s">
        <v>87</v>
      </c>
      <c r="AJ4" s="250" t="s">
        <v>88</v>
      </c>
      <c r="AK4" s="250" t="s">
        <v>89</v>
      </c>
      <c r="AL4" s="251">
        <v>1.146578075E7</v>
      </c>
      <c r="AM4" s="250" t="s">
        <v>90</v>
      </c>
      <c r="AN4" s="250" t="s">
        <v>91</v>
      </c>
      <c r="AO4" s="248">
        <v>1229.0</v>
      </c>
      <c r="AP4" s="248">
        <v>1376.2</v>
      </c>
      <c r="AQ4" s="248"/>
      <c r="AR4" s="248">
        <v>1.025203875E7</v>
      </c>
      <c r="AS4" s="248">
        <v>8727909.0</v>
      </c>
      <c r="AT4" s="249">
        <v>1207380.0</v>
      </c>
      <c r="AU4" s="248">
        <v>316749.75</v>
      </c>
      <c r="AV4" s="252">
        <v>9044658.75</v>
      </c>
      <c r="AW4" s="248">
        <v>5928.0</v>
      </c>
      <c r="AX4" s="248">
        <v>1473.32</v>
      </c>
      <c r="AY4" s="248">
        <v>1135.0</v>
      </c>
      <c r="AZ4" s="248">
        <v>1427.16</v>
      </c>
      <c r="BA4" s="248"/>
      <c r="BB4" s="248">
        <v>5954008.5</v>
      </c>
      <c r="BC4" s="249">
        <v>3474309.0</v>
      </c>
      <c r="BD4" s="248">
        <v>2001483.0</v>
      </c>
      <c r="BE4" s="249">
        <v>478216.5</v>
      </c>
      <c r="BF4" s="248">
        <v>3952525.5</v>
      </c>
      <c r="BG4" s="248">
        <v>3802.0</v>
      </c>
      <c r="BH4" s="248">
        <v>914.81</v>
      </c>
      <c r="BI4" s="248">
        <v>2046.0</v>
      </c>
      <c r="BJ4" s="248">
        <v>1477.11</v>
      </c>
      <c r="BK4" s="248"/>
      <c r="BL4" s="248">
        <v>206749.36</v>
      </c>
      <c r="BM4" s="248">
        <v>0.0</v>
      </c>
      <c r="BN4" s="248">
        <v>206749.36</v>
      </c>
      <c r="BO4" s="248">
        <v>0.0</v>
      </c>
      <c r="BP4" s="248">
        <v>0.0</v>
      </c>
      <c r="BQ4" s="248">
        <v>0.0</v>
      </c>
      <c r="BR4" s="248">
        <v>394.0</v>
      </c>
      <c r="BS4" s="248">
        <v>524.74</v>
      </c>
      <c r="BT4" s="248"/>
      <c r="BU4" s="248">
        <v>334731.54</v>
      </c>
      <c r="BV4" s="248">
        <v>0.0</v>
      </c>
      <c r="BW4" s="248">
        <v>181825.04</v>
      </c>
      <c r="BX4" s="248">
        <v>152906.5</v>
      </c>
      <c r="BY4" s="248">
        <v>152906.5</v>
      </c>
      <c r="BZ4" s="248">
        <v>0.0</v>
      </c>
      <c r="CA4" s="248">
        <v>0.0</v>
      </c>
      <c r="CB4" s="248">
        <v>334.0</v>
      </c>
      <c r="CC4" s="248">
        <v>629.15</v>
      </c>
      <c r="CD4" s="248"/>
      <c r="CE4" s="248">
        <v>725851.86</v>
      </c>
      <c r="CF4" s="249">
        <v>0.0</v>
      </c>
      <c r="CG4" s="248">
        <v>351691.0</v>
      </c>
      <c r="CH4" s="248">
        <v>374160.86</v>
      </c>
      <c r="CI4" s="248">
        <v>374160.86</v>
      </c>
      <c r="CJ4" s="248">
        <v>0.0</v>
      </c>
      <c r="CK4" s="248">
        <v>0.0</v>
      </c>
      <c r="CL4" s="248">
        <v>1174.0</v>
      </c>
      <c r="CM4" s="248">
        <v>575.6</v>
      </c>
      <c r="CN4" s="248"/>
      <c r="CO4" s="248">
        <v>445738.0</v>
      </c>
      <c r="CP4" s="248">
        <v>0.0</v>
      </c>
      <c r="CQ4" s="248">
        <v>442013.0</v>
      </c>
      <c r="CR4" s="248">
        <v>3725.0</v>
      </c>
      <c r="CS4" s="248">
        <v>3725.0</v>
      </c>
      <c r="CT4" s="248">
        <v>0.0</v>
      </c>
      <c r="CU4" s="248">
        <v>0.0</v>
      </c>
      <c r="CV4" s="248">
        <v>806.0</v>
      </c>
      <c r="CW4" s="248">
        <v>550.45</v>
      </c>
      <c r="CX4" s="248"/>
      <c r="CY4" s="253"/>
      <c r="CZ4" s="253"/>
      <c r="DA4" s="253"/>
      <c r="DB4" s="253"/>
      <c r="DC4" s="253"/>
      <c r="DD4" s="253"/>
      <c r="DE4" s="254"/>
      <c r="DF4" s="253"/>
      <c r="DG4" s="248"/>
      <c r="DH4" s="248">
        <v>9707698.5</v>
      </c>
      <c r="DI4" s="248">
        <v>9191555.0</v>
      </c>
      <c r="DJ4" s="248">
        <v>408771.0</v>
      </c>
      <c r="DK4" s="248">
        <v>107372.5</v>
      </c>
      <c r="DL4" s="248">
        <v>9298927.5</v>
      </c>
      <c r="DM4" s="248">
        <v>3296.0</v>
      </c>
      <c r="DN4" s="248">
        <v>2789.7</v>
      </c>
      <c r="DO4" s="248">
        <v>322.0</v>
      </c>
      <c r="DP4" s="248">
        <v>1497.33</v>
      </c>
      <c r="DQ4" s="248"/>
      <c r="DR4" s="248">
        <v>203585.0</v>
      </c>
      <c r="DS4" s="248">
        <v>0.0</v>
      </c>
      <c r="DT4" s="248">
        <v>175230.0</v>
      </c>
      <c r="DU4" s="248">
        <v>28355.0</v>
      </c>
      <c r="DV4" s="248">
        <v>28355.0</v>
      </c>
      <c r="DW4" s="248">
        <v>0.0</v>
      </c>
      <c r="DX4" s="248">
        <v>0.0</v>
      </c>
      <c r="DY4" s="248">
        <v>155.0</v>
      </c>
      <c r="DZ4" s="248">
        <v>1260.65</v>
      </c>
    </row>
    <row r="5" ht="15.75" customHeight="1">
      <c r="B5" s="245" t="s">
        <v>92</v>
      </c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9">
        <f>'Mg St Colaba'!D7</f>
        <v>1706</v>
      </c>
      <c r="N5" s="189">
        <f>'Mg St Colaba'!J7</f>
        <v>1956</v>
      </c>
      <c r="O5" s="186"/>
      <c r="P5" s="186"/>
      <c r="Q5" s="186"/>
      <c r="R5" s="186"/>
      <c r="V5" s="238"/>
      <c r="W5" s="246"/>
      <c r="X5" s="247">
        <v>45474.0</v>
      </c>
      <c r="Y5" s="248">
        <v>4.203608797E7</v>
      </c>
      <c r="Z5" s="248">
        <v>3.336990547E7</v>
      </c>
      <c r="AA5" s="248">
        <v>6715473.72</v>
      </c>
      <c r="AB5" s="249">
        <v>1936843.78</v>
      </c>
      <c r="AC5" s="248">
        <v>20849.0</v>
      </c>
      <c r="AD5" s="249">
        <v>1601.55</v>
      </c>
      <c r="AE5" s="248">
        <v>8085.0</v>
      </c>
      <c r="AF5" s="248">
        <v>1132.46</v>
      </c>
      <c r="AG5" s="250"/>
      <c r="AH5" s="250" t="s">
        <v>93</v>
      </c>
      <c r="AI5" s="250" t="s">
        <v>94</v>
      </c>
      <c r="AJ5" s="250" t="s">
        <v>95</v>
      </c>
      <c r="AK5" s="250" t="s">
        <v>96</v>
      </c>
      <c r="AL5" s="251">
        <v>1.08495985E7</v>
      </c>
      <c r="AM5" s="250" t="s">
        <v>97</v>
      </c>
      <c r="AN5" s="250" t="s">
        <v>98</v>
      </c>
      <c r="AO5" s="248">
        <v>1332.0</v>
      </c>
      <c r="AP5" s="248">
        <v>1385.36</v>
      </c>
      <c r="AQ5" s="248"/>
      <c r="AR5" s="248">
        <v>1.072027275E7</v>
      </c>
      <c r="AS5" s="248">
        <v>8903963.75</v>
      </c>
      <c r="AT5" s="249">
        <v>1458400.0</v>
      </c>
      <c r="AU5" s="248">
        <v>357909.0</v>
      </c>
      <c r="AV5" s="252">
        <v>9261872.75</v>
      </c>
      <c r="AW5" s="248">
        <v>6066.0</v>
      </c>
      <c r="AX5" s="248">
        <v>1468.85</v>
      </c>
      <c r="AY5" s="248">
        <v>1305.0</v>
      </c>
      <c r="AZ5" s="248">
        <v>1438.26</v>
      </c>
      <c r="BA5" s="248"/>
      <c r="BB5" s="248">
        <v>6271416.0</v>
      </c>
      <c r="BC5" s="249">
        <v>3649913.5</v>
      </c>
      <c r="BD5" s="248">
        <v>1984457.0</v>
      </c>
      <c r="BE5" s="249">
        <v>637045.5</v>
      </c>
      <c r="BF5" s="248">
        <v>4286959.0</v>
      </c>
      <c r="BG5" s="248">
        <v>4112.0</v>
      </c>
      <c r="BH5" s="248">
        <v>888.62</v>
      </c>
      <c r="BI5" s="248">
        <v>2162.0</v>
      </c>
      <c r="BJ5" s="248">
        <v>1513.7</v>
      </c>
      <c r="BK5" s="248"/>
      <c r="BL5" s="248">
        <v>214714.22</v>
      </c>
      <c r="BM5" s="248">
        <v>0.0</v>
      </c>
      <c r="BN5" s="248">
        <v>214714.22</v>
      </c>
      <c r="BO5" s="248">
        <v>0.0</v>
      </c>
      <c r="BP5" s="248">
        <v>0.0</v>
      </c>
      <c r="BQ5" s="248">
        <v>0.0</v>
      </c>
      <c r="BR5" s="248">
        <v>390.0</v>
      </c>
      <c r="BS5" s="248">
        <v>550.55</v>
      </c>
      <c r="BT5" s="248"/>
      <c r="BU5" s="248">
        <v>389232.0</v>
      </c>
      <c r="BV5" s="248">
        <v>0.0</v>
      </c>
      <c r="BW5" s="248">
        <v>230855.5</v>
      </c>
      <c r="BX5" s="248">
        <v>158376.5</v>
      </c>
      <c r="BY5" s="248">
        <v>158376.5</v>
      </c>
      <c r="BZ5" s="248">
        <v>0.0</v>
      </c>
      <c r="CA5" s="248">
        <v>0.0</v>
      </c>
      <c r="CB5" s="248">
        <v>373.0</v>
      </c>
      <c r="CC5" s="248">
        <v>708.15</v>
      </c>
      <c r="CD5" s="248"/>
      <c r="CE5" s="248">
        <v>762792.28</v>
      </c>
      <c r="CF5" s="249">
        <v>0.0</v>
      </c>
      <c r="CG5" s="248">
        <v>389437.0</v>
      </c>
      <c r="CH5" s="248">
        <v>373355.28</v>
      </c>
      <c r="CI5" s="248">
        <v>373355.28</v>
      </c>
      <c r="CJ5" s="248">
        <v>0.0</v>
      </c>
      <c r="CK5" s="248">
        <v>0.0</v>
      </c>
      <c r="CL5" s="248">
        <v>1265.0</v>
      </c>
      <c r="CM5" s="248">
        <v>569.35</v>
      </c>
      <c r="CN5" s="248"/>
      <c r="CO5" s="248">
        <v>399988.0</v>
      </c>
      <c r="CP5" s="248">
        <v>0.0</v>
      </c>
      <c r="CQ5" s="248">
        <v>398588.0</v>
      </c>
      <c r="CR5" s="248">
        <v>1400.0</v>
      </c>
      <c r="CS5" s="248">
        <v>1400.0</v>
      </c>
      <c r="CT5" s="248">
        <v>0.0</v>
      </c>
      <c r="CU5" s="248">
        <v>0.0</v>
      </c>
      <c r="CV5" s="248">
        <v>766.0</v>
      </c>
      <c r="CW5" s="248">
        <v>521.03</v>
      </c>
      <c r="CX5" s="248"/>
      <c r="CY5" s="253"/>
      <c r="CZ5" s="253"/>
      <c r="DA5" s="253"/>
      <c r="DB5" s="253"/>
      <c r="DC5" s="253"/>
      <c r="DD5" s="253"/>
      <c r="DE5" s="254"/>
      <c r="DF5" s="253"/>
      <c r="DG5" s="248"/>
      <c r="DH5" s="248">
        <v>1.079563822E7</v>
      </c>
      <c r="DI5" s="248">
        <v>1.020506622E7</v>
      </c>
      <c r="DJ5" s="248">
        <v>427246.0</v>
      </c>
      <c r="DK5" s="248">
        <v>149461.0</v>
      </c>
      <c r="DL5" s="248">
        <v>1.035452722E7</v>
      </c>
      <c r="DM5" s="248">
        <v>3527.0</v>
      </c>
      <c r="DN5" s="248">
        <v>2894.41</v>
      </c>
      <c r="DO5" s="248">
        <v>324.0</v>
      </c>
      <c r="DP5" s="248">
        <v>1702.18</v>
      </c>
      <c r="DQ5" s="248"/>
      <c r="DR5" s="248">
        <v>201360.0</v>
      </c>
      <c r="DS5" s="248">
        <v>0.0</v>
      </c>
      <c r="DT5" s="248">
        <v>180700.0</v>
      </c>
      <c r="DU5" s="248">
        <v>20660.0</v>
      </c>
      <c r="DV5" s="248">
        <v>20660.0</v>
      </c>
      <c r="DW5" s="248">
        <v>0.0</v>
      </c>
      <c r="DX5" s="248">
        <v>0.0</v>
      </c>
      <c r="DY5" s="248">
        <v>168.0</v>
      </c>
      <c r="DZ5" s="248">
        <v>1158.33</v>
      </c>
    </row>
    <row r="6" ht="15.75" customHeight="1">
      <c r="B6" s="245" t="s">
        <v>99</v>
      </c>
      <c r="C6" s="186"/>
      <c r="D6" s="186"/>
      <c r="E6" s="186"/>
      <c r="F6" s="186"/>
      <c r="G6" s="186"/>
      <c r="H6" s="186"/>
      <c r="I6" s="186"/>
      <c r="J6" s="186"/>
      <c r="K6" s="186"/>
      <c r="L6" s="186"/>
      <c r="M6" s="189">
        <f>'Mg St Colaba'!D8</f>
        <v>9523778.46</v>
      </c>
      <c r="N6" s="189">
        <f>'Mg St Colaba'!J8</f>
        <v>9683632</v>
      </c>
      <c r="O6" s="186"/>
      <c r="P6" s="186"/>
      <c r="Q6" s="186"/>
      <c r="R6" s="186"/>
      <c r="V6" s="238"/>
      <c r="W6" s="246"/>
      <c r="X6" s="247">
        <v>45505.0</v>
      </c>
      <c r="Y6" s="248">
        <v>4.677713301E7</v>
      </c>
      <c r="Z6" s="248">
        <v>3.705463385E7</v>
      </c>
      <c r="AA6" s="248">
        <v>7413990.41</v>
      </c>
      <c r="AB6" s="249">
        <v>2296488.75</v>
      </c>
      <c r="AC6" s="248">
        <v>22678.0</v>
      </c>
      <c r="AD6" s="249">
        <v>1634.95</v>
      </c>
      <c r="AE6" s="248">
        <v>8551.0</v>
      </c>
      <c r="AF6" s="248">
        <v>1177.2</v>
      </c>
      <c r="AG6" s="250"/>
      <c r="AH6" s="250" t="s">
        <v>100</v>
      </c>
      <c r="AI6" s="250" t="s">
        <v>101</v>
      </c>
      <c r="AJ6" s="250" t="s">
        <v>102</v>
      </c>
      <c r="AK6" s="250" t="s">
        <v>103</v>
      </c>
      <c r="AL6" s="251">
        <v>1.232067425E7</v>
      </c>
      <c r="AM6" s="250" t="s">
        <v>104</v>
      </c>
      <c r="AN6" s="250" t="s">
        <v>105</v>
      </c>
      <c r="AO6" s="248">
        <v>1601.0</v>
      </c>
      <c r="AP6" s="248">
        <v>1367.76</v>
      </c>
      <c r="AQ6" s="248"/>
      <c r="AR6" s="248">
        <v>1.213288075E7</v>
      </c>
      <c r="AS6" s="248">
        <v>1.016822475E7</v>
      </c>
      <c r="AT6" s="249">
        <v>1517171.0</v>
      </c>
      <c r="AU6" s="248">
        <v>447485.0</v>
      </c>
      <c r="AV6" s="252">
        <v>1.061570975E7</v>
      </c>
      <c r="AW6" s="248">
        <v>6698.0</v>
      </c>
      <c r="AX6" s="248">
        <v>1519.1</v>
      </c>
      <c r="AY6" s="248">
        <v>1372.0</v>
      </c>
      <c r="AZ6" s="248">
        <v>1436.71</v>
      </c>
      <c r="BA6" s="248"/>
      <c r="BB6" s="248">
        <v>6848079.25</v>
      </c>
      <c r="BC6" s="249">
        <v>3841861.75</v>
      </c>
      <c r="BD6" s="248">
        <v>2334118.0</v>
      </c>
      <c r="BE6" s="249">
        <v>672099.5</v>
      </c>
      <c r="BF6" s="248">
        <v>4513961.25</v>
      </c>
      <c r="BG6" s="248">
        <v>4354.0</v>
      </c>
      <c r="BH6" s="248">
        <v>883.38</v>
      </c>
      <c r="BI6" s="248">
        <v>2328.0</v>
      </c>
      <c r="BJ6" s="248">
        <v>1543.73</v>
      </c>
      <c r="BK6" s="248"/>
      <c r="BL6" s="248">
        <v>218895.16</v>
      </c>
      <c r="BM6" s="248">
        <v>0.0</v>
      </c>
      <c r="BN6" s="248">
        <v>218895.16</v>
      </c>
      <c r="BO6" s="248">
        <v>0.0</v>
      </c>
      <c r="BP6" s="248">
        <v>0.0</v>
      </c>
      <c r="BQ6" s="248">
        <v>0.0</v>
      </c>
      <c r="BR6" s="248">
        <v>366.0</v>
      </c>
      <c r="BS6" s="248">
        <v>598.07</v>
      </c>
      <c r="BT6" s="248"/>
      <c r="BU6" s="248">
        <v>401656.0</v>
      </c>
      <c r="BV6" s="248">
        <v>0.0</v>
      </c>
      <c r="BW6" s="248">
        <v>221497.25</v>
      </c>
      <c r="BX6" s="248">
        <v>180158.75</v>
      </c>
      <c r="BY6" s="248">
        <v>180158.75</v>
      </c>
      <c r="BZ6" s="248">
        <v>0.0</v>
      </c>
      <c r="CA6" s="248">
        <v>0.0</v>
      </c>
      <c r="CB6" s="248">
        <v>372.0</v>
      </c>
      <c r="CC6" s="248">
        <v>721.49</v>
      </c>
      <c r="CD6" s="248"/>
      <c r="CE6" s="248">
        <v>795599.5</v>
      </c>
      <c r="CF6" s="249">
        <v>0.0</v>
      </c>
      <c r="CG6" s="248">
        <v>378039.0</v>
      </c>
      <c r="CH6" s="248">
        <v>417560.5</v>
      </c>
      <c r="CI6" s="248">
        <v>417560.5</v>
      </c>
      <c r="CJ6" s="248">
        <v>0.0</v>
      </c>
      <c r="CK6" s="248">
        <v>0.0</v>
      </c>
      <c r="CL6" s="248">
        <v>1237.0</v>
      </c>
      <c r="CM6" s="248">
        <v>584.3</v>
      </c>
      <c r="CN6" s="248"/>
      <c r="CO6" s="248">
        <v>421281.0</v>
      </c>
      <c r="CP6" s="248">
        <v>0.0</v>
      </c>
      <c r="CQ6" s="248">
        <v>420681.0</v>
      </c>
      <c r="CR6" s="248">
        <v>600.0</v>
      </c>
      <c r="CS6" s="248">
        <v>600.0</v>
      </c>
      <c r="CT6" s="248">
        <v>0.0</v>
      </c>
      <c r="CU6" s="248">
        <v>0.0</v>
      </c>
      <c r="CV6" s="248">
        <v>763.0</v>
      </c>
      <c r="CW6" s="248">
        <v>552.8</v>
      </c>
      <c r="CX6" s="248"/>
      <c r="CY6" s="248"/>
      <c r="CZ6" s="248"/>
      <c r="DA6" s="248"/>
      <c r="DB6" s="248"/>
      <c r="DC6" s="248"/>
      <c r="DD6" s="248"/>
      <c r="DE6" s="249"/>
      <c r="DF6" s="248"/>
      <c r="DG6" s="248"/>
      <c r="DH6" s="248">
        <v>1.17382181E7</v>
      </c>
      <c r="DI6" s="248">
        <v>1.11496126E7</v>
      </c>
      <c r="DJ6" s="248">
        <v>457315.0</v>
      </c>
      <c r="DK6" s="248">
        <v>119270.5</v>
      </c>
      <c r="DL6" s="248">
        <v>1.12688831E7</v>
      </c>
      <c r="DM6" s="248">
        <v>3992.0</v>
      </c>
      <c r="DN6" s="248">
        <v>2793.99</v>
      </c>
      <c r="DO6" s="248">
        <v>321.0</v>
      </c>
      <c r="DP6" s="248">
        <v>1719.23</v>
      </c>
      <c r="DQ6" s="248"/>
      <c r="DR6" s="248">
        <v>254435.0</v>
      </c>
      <c r="DS6" s="248">
        <v>0.0</v>
      </c>
      <c r="DT6" s="248">
        <v>220860.0</v>
      </c>
      <c r="DU6" s="248">
        <v>33575.0</v>
      </c>
      <c r="DV6" s="248">
        <v>33575.0</v>
      </c>
      <c r="DW6" s="248">
        <v>0.0</v>
      </c>
      <c r="DX6" s="248">
        <v>0.0</v>
      </c>
      <c r="DY6" s="248">
        <v>191.0</v>
      </c>
      <c r="DZ6" s="248">
        <v>1227.0</v>
      </c>
    </row>
    <row r="7" ht="15.75" customHeight="1">
      <c r="B7" s="245" t="s">
        <v>106</v>
      </c>
      <c r="C7" s="186"/>
      <c r="D7" s="186"/>
      <c r="E7" s="186"/>
      <c r="F7" s="186"/>
      <c r="G7" s="186"/>
      <c r="H7" s="186"/>
      <c r="I7" s="186"/>
      <c r="J7" s="186"/>
      <c r="K7" s="186"/>
      <c r="L7" s="186"/>
      <c r="M7" s="189">
        <f>'Mg St Colaba'!D9</f>
        <v>2884582.04</v>
      </c>
      <c r="N7" s="189">
        <f>'Mg St Colaba'!J9</f>
        <v>3048949.65</v>
      </c>
      <c r="O7" s="186"/>
      <c r="P7" s="186"/>
      <c r="Q7" s="186"/>
      <c r="R7" s="186"/>
      <c r="V7" s="238"/>
      <c r="W7" s="246"/>
      <c r="X7" s="247">
        <v>45536.0</v>
      </c>
      <c r="Y7" s="248">
        <v>4.346088541E7</v>
      </c>
      <c r="Z7" s="248">
        <v>3.355210323E7</v>
      </c>
      <c r="AA7" s="248">
        <v>7701230.4</v>
      </c>
      <c r="AB7" s="249">
        <v>2199476.78</v>
      </c>
      <c r="AC7" s="248">
        <v>19717.0</v>
      </c>
      <c r="AD7" s="249">
        <v>1702.68</v>
      </c>
      <c r="AE7" s="248">
        <v>8928.0</v>
      </c>
      <c r="AF7" s="248">
        <v>1160.17</v>
      </c>
      <c r="AG7" s="250"/>
      <c r="AH7" s="250" t="s">
        <v>107</v>
      </c>
      <c r="AI7" s="250" t="s">
        <v>108</v>
      </c>
      <c r="AJ7" s="250" t="s">
        <v>109</v>
      </c>
      <c r="AK7" s="250" t="s">
        <v>110</v>
      </c>
      <c r="AL7" s="251">
        <v>1.145224E7</v>
      </c>
      <c r="AM7" s="250" t="s">
        <v>111</v>
      </c>
      <c r="AN7" s="250" t="s">
        <v>112</v>
      </c>
      <c r="AO7" s="248">
        <v>1772.0</v>
      </c>
      <c r="AP7" s="248">
        <v>1365.33</v>
      </c>
      <c r="AQ7" s="248"/>
      <c r="AR7" s="248">
        <v>1.0133146E7</v>
      </c>
      <c r="AS7" s="248">
        <v>8189301.75</v>
      </c>
      <c r="AT7" s="249">
        <v>1619433.0</v>
      </c>
      <c r="AU7" s="248">
        <v>324411.25</v>
      </c>
      <c r="AV7" s="252">
        <v>8513713.0</v>
      </c>
      <c r="AW7" s="248">
        <v>5533.0</v>
      </c>
      <c r="AX7" s="248">
        <v>1481.08</v>
      </c>
      <c r="AY7" s="248">
        <v>1461.0</v>
      </c>
      <c r="AZ7" s="248">
        <v>1403.32</v>
      </c>
      <c r="BA7" s="248"/>
      <c r="BB7" s="248">
        <v>6474856.0</v>
      </c>
      <c r="BC7" s="249">
        <v>3479957.75</v>
      </c>
      <c r="BD7" s="248">
        <v>2290823.0</v>
      </c>
      <c r="BE7" s="249">
        <v>704075.25</v>
      </c>
      <c r="BF7" s="248">
        <v>4184033.0</v>
      </c>
      <c r="BG7" s="248">
        <v>3855.0</v>
      </c>
      <c r="BH7" s="248">
        <v>903.71</v>
      </c>
      <c r="BI7" s="248">
        <v>2426.0</v>
      </c>
      <c r="BJ7" s="248">
        <v>1473.2</v>
      </c>
      <c r="BK7" s="248"/>
      <c r="BL7" s="248">
        <v>182875.0</v>
      </c>
      <c r="BM7" s="248">
        <v>0.0</v>
      </c>
      <c r="BN7" s="248">
        <v>182875.0</v>
      </c>
      <c r="BO7" s="248">
        <v>0.0</v>
      </c>
      <c r="BP7" s="248">
        <v>0.0</v>
      </c>
      <c r="BQ7" s="248">
        <v>0.0</v>
      </c>
      <c r="BR7" s="248">
        <v>325.0</v>
      </c>
      <c r="BS7" s="248">
        <v>562.69</v>
      </c>
      <c r="BT7" s="248"/>
      <c r="BU7" s="248">
        <v>440123.5</v>
      </c>
      <c r="BV7" s="248">
        <v>200.0</v>
      </c>
      <c r="BW7" s="248">
        <v>139654.0</v>
      </c>
      <c r="BX7" s="248">
        <v>300269.5</v>
      </c>
      <c r="BY7" s="248">
        <v>300469.5</v>
      </c>
      <c r="BZ7" s="248">
        <v>0.0</v>
      </c>
      <c r="CA7" s="248">
        <v>0.0</v>
      </c>
      <c r="CB7" s="248">
        <v>433.0</v>
      </c>
      <c r="CC7" s="248">
        <v>623.46</v>
      </c>
      <c r="CD7" s="248"/>
      <c r="CE7" s="248">
        <v>703701.7</v>
      </c>
      <c r="CF7" s="249">
        <v>0.0</v>
      </c>
      <c r="CG7" s="248">
        <v>373227.42</v>
      </c>
      <c r="CH7" s="248">
        <v>330474.28</v>
      </c>
      <c r="CI7" s="248">
        <v>330474.28</v>
      </c>
      <c r="CJ7" s="248">
        <v>0.0</v>
      </c>
      <c r="CK7" s="248">
        <v>0.0</v>
      </c>
      <c r="CL7" s="248">
        <v>1182.0</v>
      </c>
      <c r="CM7" s="248">
        <v>544.86</v>
      </c>
      <c r="CN7" s="248"/>
      <c r="CO7" s="248">
        <v>412044.98</v>
      </c>
      <c r="CP7" s="248">
        <v>0.0</v>
      </c>
      <c r="CQ7" s="248">
        <v>410094.98</v>
      </c>
      <c r="CR7" s="248">
        <v>1950.0</v>
      </c>
      <c r="CS7" s="248">
        <v>1950.0</v>
      </c>
      <c r="CT7" s="248">
        <v>0.0</v>
      </c>
      <c r="CU7" s="248">
        <v>0.0</v>
      </c>
      <c r="CV7" s="248">
        <v>765.0</v>
      </c>
      <c r="CW7" s="248">
        <v>537.48</v>
      </c>
      <c r="CX7" s="248"/>
      <c r="CY7" s="248"/>
      <c r="CZ7" s="248"/>
      <c r="DA7" s="248"/>
      <c r="DB7" s="248"/>
      <c r="DC7" s="248"/>
      <c r="DD7" s="248"/>
      <c r="DE7" s="249"/>
      <c r="DF7" s="248"/>
      <c r="DG7" s="248"/>
      <c r="DH7" s="248">
        <v>1.130690823E7</v>
      </c>
      <c r="DI7" s="248">
        <v>1.071847473E7</v>
      </c>
      <c r="DJ7" s="248">
        <v>426088.0</v>
      </c>
      <c r="DK7" s="248">
        <v>154270.5</v>
      </c>
      <c r="DL7" s="248">
        <v>1.087274523E7</v>
      </c>
      <c r="DM7" s="248">
        <v>3721.0</v>
      </c>
      <c r="DN7" s="248">
        <v>2881.54</v>
      </c>
      <c r="DO7" s="248">
        <v>341.0</v>
      </c>
      <c r="DP7" s="248">
        <v>1505.61</v>
      </c>
      <c r="DQ7" s="248"/>
      <c r="DR7" s="248">
        <v>377990.0</v>
      </c>
      <c r="DS7" s="248">
        <v>0.0</v>
      </c>
      <c r="DT7" s="248">
        <v>282035.0</v>
      </c>
      <c r="DU7" s="248">
        <v>95955.0</v>
      </c>
      <c r="DV7" s="248">
        <v>95955.0</v>
      </c>
      <c r="DW7" s="248">
        <v>0.0</v>
      </c>
      <c r="DX7" s="248">
        <v>0.0</v>
      </c>
      <c r="DY7" s="248">
        <v>223.0</v>
      </c>
      <c r="DZ7" s="248">
        <v>1403.16</v>
      </c>
    </row>
    <row r="8" ht="15.75" customHeight="1">
      <c r="B8" s="245" t="s">
        <v>113</v>
      </c>
      <c r="C8" s="186"/>
      <c r="D8" s="186"/>
      <c r="E8" s="186"/>
      <c r="F8" s="186"/>
      <c r="G8" s="186"/>
      <c r="H8" s="186"/>
      <c r="I8" s="186"/>
      <c r="J8" s="186"/>
      <c r="K8" s="186"/>
      <c r="L8" s="186"/>
      <c r="M8" s="189">
        <f>'Mg St Colaba'!D10</f>
        <v>-12300</v>
      </c>
      <c r="N8" s="189">
        <f>'Mg St Colaba'!J10</f>
        <v>-15400</v>
      </c>
      <c r="O8" s="186"/>
      <c r="P8" s="186"/>
      <c r="Q8" s="186"/>
      <c r="R8" s="186"/>
      <c r="V8" s="238"/>
      <c r="W8" s="246"/>
      <c r="X8" s="247">
        <v>45566.0</v>
      </c>
      <c r="Y8" s="248">
        <v>4.639748985E7</v>
      </c>
      <c r="Z8" s="248">
        <v>3.565977117E7</v>
      </c>
      <c r="AA8" s="248">
        <v>8250709.82</v>
      </c>
      <c r="AB8" s="249">
        <v>2475063.86</v>
      </c>
      <c r="AC8" s="248">
        <v>20654.0</v>
      </c>
      <c r="AD8" s="249">
        <v>1727.53</v>
      </c>
      <c r="AE8" s="248">
        <v>9745.0</v>
      </c>
      <c r="AF8" s="248">
        <v>1100.24</v>
      </c>
      <c r="AG8" s="250"/>
      <c r="AH8" s="250" t="s">
        <v>114</v>
      </c>
      <c r="AI8" s="250" t="s">
        <v>115</v>
      </c>
      <c r="AJ8" s="250" t="s">
        <v>116</v>
      </c>
      <c r="AK8" s="250" t="s">
        <v>117</v>
      </c>
      <c r="AL8" s="251">
        <v>1.15120215E7</v>
      </c>
      <c r="AM8" s="250" t="s">
        <v>118</v>
      </c>
      <c r="AN8" s="250" t="s">
        <v>119</v>
      </c>
      <c r="AO8" s="248">
        <v>1837.0</v>
      </c>
      <c r="AP8" s="248">
        <v>1308.31</v>
      </c>
      <c r="AQ8" s="248"/>
      <c r="AR8" s="248">
        <v>1.05753046E7</v>
      </c>
      <c r="AS8" s="248">
        <v>8537077.0</v>
      </c>
      <c r="AT8" s="249">
        <v>1654242.6</v>
      </c>
      <c r="AU8" s="248">
        <v>383985.0</v>
      </c>
      <c r="AV8" s="252">
        <v>8921062.0</v>
      </c>
      <c r="AW8" s="248">
        <v>5658.0</v>
      </c>
      <c r="AX8" s="248">
        <v>1509.85</v>
      </c>
      <c r="AY8" s="248">
        <v>1589.0</v>
      </c>
      <c r="AZ8" s="248">
        <v>1288.35</v>
      </c>
      <c r="BA8" s="248"/>
      <c r="BB8" s="248">
        <v>7186494.25</v>
      </c>
      <c r="BC8" s="249">
        <v>3907337.75</v>
      </c>
      <c r="BD8" s="248">
        <v>2474846.5</v>
      </c>
      <c r="BE8" s="249">
        <v>804310.0</v>
      </c>
      <c r="BF8" s="248">
        <v>4711647.75</v>
      </c>
      <c r="BG8" s="248">
        <v>4251.0</v>
      </c>
      <c r="BH8" s="248">
        <v>920.16</v>
      </c>
      <c r="BI8" s="248">
        <v>2755.0</v>
      </c>
      <c r="BJ8" s="248">
        <v>1408.56</v>
      </c>
      <c r="BK8" s="248"/>
      <c r="BL8" s="248">
        <v>219060.0</v>
      </c>
      <c r="BM8" s="248">
        <v>0.0</v>
      </c>
      <c r="BN8" s="248">
        <v>219060.0</v>
      </c>
      <c r="BO8" s="248">
        <v>0.0</v>
      </c>
      <c r="BP8" s="248">
        <v>0.0</v>
      </c>
      <c r="BQ8" s="248">
        <v>0.0</v>
      </c>
      <c r="BR8" s="248">
        <v>388.0</v>
      </c>
      <c r="BS8" s="248">
        <v>564.59</v>
      </c>
      <c r="BT8" s="248"/>
      <c r="BU8" s="248">
        <v>457678.25</v>
      </c>
      <c r="BV8" s="248">
        <v>0.0</v>
      </c>
      <c r="BW8" s="248">
        <v>116902.0</v>
      </c>
      <c r="BX8" s="248">
        <v>340776.25</v>
      </c>
      <c r="BY8" s="248">
        <v>340776.25</v>
      </c>
      <c r="BZ8" s="248">
        <v>0.0</v>
      </c>
      <c r="CA8" s="248">
        <v>0.0</v>
      </c>
      <c r="CB8" s="248">
        <v>273.0</v>
      </c>
      <c r="CC8" s="248">
        <v>524.22</v>
      </c>
      <c r="CD8" s="248"/>
      <c r="CE8" s="248">
        <v>678692.11</v>
      </c>
      <c r="CF8" s="249">
        <v>0.0</v>
      </c>
      <c r="CG8" s="248">
        <v>367754.0</v>
      </c>
      <c r="CH8" s="248">
        <v>310938.11</v>
      </c>
      <c r="CI8" s="248">
        <v>310938.11</v>
      </c>
      <c r="CJ8" s="248">
        <v>0.0</v>
      </c>
      <c r="CK8" s="248">
        <v>0.0</v>
      </c>
      <c r="CL8" s="248">
        <v>1158.0</v>
      </c>
      <c r="CM8" s="248">
        <v>537.65</v>
      </c>
      <c r="CN8" s="248"/>
      <c r="CO8" s="248">
        <v>504642.0</v>
      </c>
      <c r="CP8" s="248">
        <v>0.0</v>
      </c>
      <c r="CQ8" s="248">
        <v>500942.0</v>
      </c>
      <c r="CR8" s="248">
        <v>3700.0</v>
      </c>
      <c r="CS8" s="248">
        <v>3700.0</v>
      </c>
      <c r="CT8" s="248">
        <v>0.0</v>
      </c>
      <c r="CU8" s="248">
        <v>0.0</v>
      </c>
      <c r="CV8" s="248">
        <v>944.0</v>
      </c>
      <c r="CW8" s="248">
        <v>531.22</v>
      </c>
      <c r="CX8" s="248"/>
      <c r="CY8" s="248"/>
      <c r="CZ8" s="248"/>
      <c r="DA8" s="248"/>
      <c r="DB8" s="248"/>
      <c r="DC8" s="248"/>
      <c r="DD8" s="248"/>
      <c r="DE8" s="249"/>
      <c r="DF8" s="248"/>
      <c r="DG8" s="248"/>
      <c r="DH8" s="248">
        <v>1.260598492E7</v>
      </c>
      <c r="DI8" s="248">
        <v>1.198714092E7</v>
      </c>
      <c r="DJ8" s="248">
        <v>470347.0</v>
      </c>
      <c r="DK8" s="248">
        <v>136552.0</v>
      </c>
      <c r="DL8" s="248">
        <v>1.212369292E7</v>
      </c>
      <c r="DM8" s="248">
        <v>4112.0</v>
      </c>
      <c r="DN8" s="248">
        <v>2916.16</v>
      </c>
      <c r="DO8" s="248">
        <v>386.0</v>
      </c>
      <c r="DP8" s="248">
        <v>1451.69</v>
      </c>
      <c r="DQ8" s="248"/>
      <c r="DR8" s="248">
        <v>672905.1</v>
      </c>
      <c r="DS8" s="248">
        <v>0.0</v>
      </c>
      <c r="DT8" s="248">
        <v>461908.6</v>
      </c>
      <c r="DU8" s="248">
        <v>210996.5</v>
      </c>
      <c r="DV8" s="248">
        <v>210996.5</v>
      </c>
      <c r="DW8" s="248">
        <v>0.0</v>
      </c>
      <c r="DX8" s="248">
        <v>0.0</v>
      </c>
      <c r="DY8" s="248">
        <v>415.0</v>
      </c>
      <c r="DZ8" s="248">
        <v>1218.76</v>
      </c>
    </row>
    <row r="9" ht="15.75" customHeight="1">
      <c r="B9" s="245" t="s">
        <v>120</v>
      </c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9">
        <f>'Mg St Colaba'!D11</f>
        <v>1752.627615</v>
      </c>
      <c r="N9" s="189">
        <f>'Mg St Colaba'!J11</f>
        <v>1687.631928</v>
      </c>
      <c r="O9" s="186"/>
      <c r="P9" s="186"/>
      <c r="Q9" s="186"/>
      <c r="R9" s="186"/>
      <c r="V9" s="238"/>
      <c r="W9" s="246"/>
      <c r="X9" s="247">
        <v>45597.0</v>
      </c>
      <c r="Y9" s="248">
        <v>4.863303399E7</v>
      </c>
      <c r="Z9" s="248">
        <v>3.7563824E7</v>
      </c>
      <c r="AA9" s="248">
        <v>8692990.02</v>
      </c>
      <c r="AB9" s="249">
        <v>2285459.97</v>
      </c>
      <c r="AC9" s="248">
        <v>21027.0</v>
      </c>
      <c r="AD9" s="249">
        <v>1787.46</v>
      </c>
      <c r="AE9" s="248">
        <v>10086.0</v>
      </c>
      <c r="AF9" s="248">
        <v>1098.57</v>
      </c>
      <c r="AG9" s="250"/>
      <c r="AH9" s="250" t="s">
        <v>121</v>
      </c>
      <c r="AI9" s="250" t="s">
        <v>122</v>
      </c>
      <c r="AJ9" s="250" t="s">
        <v>123</v>
      </c>
      <c r="AK9" s="250" t="s">
        <v>124</v>
      </c>
      <c r="AL9" s="251">
        <v>1.10224485E7</v>
      </c>
      <c r="AM9" s="250" t="s">
        <v>125</v>
      </c>
      <c r="AN9" s="250" t="s">
        <v>126</v>
      </c>
      <c r="AO9" s="248">
        <v>1962.0</v>
      </c>
      <c r="AP9" s="248">
        <v>1251.11</v>
      </c>
      <c r="AQ9" s="248"/>
      <c r="AR9" s="248">
        <v>1.051815518E7</v>
      </c>
      <c r="AS9" s="248">
        <v>8476917.0</v>
      </c>
      <c r="AT9" s="249">
        <v>1751339.93</v>
      </c>
      <c r="AU9" s="248">
        <v>289898.25</v>
      </c>
      <c r="AV9" s="252">
        <v>8766815.25</v>
      </c>
      <c r="AW9" s="248">
        <v>5680.0</v>
      </c>
      <c r="AX9" s="248">
        <v>1493.41</v>
      </c>
      <c r="AY9" s="248">
        <v>1498.0</v>
      </c>
      <c r="AZ9" s="248">
        <v>1399.95</v>
      </c>
      <c r="BA9" s="248"/>
      <c r="BB9" s="248">
        <v>6803685.62</v>
      </c>
      <c r="BC9" s="249">
        <v>3364524.5</v>
      </c>
      <c r="BD9" s="248">
        <v>2672539.62</v>
      </c>
      <c r="BE9" s="249">
        <v>766621.5</v>
      </c>
      <c r="BF9" s="248">
        <v>4131146.0</v>
      </c>
      <c r="BG9" s="248">
        <v>3669.0</v>
      </c>
      <c r="BH9" s="248">
        <v>918.01</v>
      </c>
      <c r="BI9" s="248">
        <v>2872.0</v>
      </c>
      <c r="BJ9" s="248">
        <v>1394.13</v>
      </c>
      <c r="BK9" s="248"/>
      <c r="BL9" s="248">
        <v>223299.14</v>
      </c>
      <c r="BM9" s="248">
        <v>0.0</v>
      </c>
      <c r="BN9" s="248">
        <v>223299.14</v>
      </c>
      <c r="BO9" s="248">
        <v>0.0</v>
      </c>
      <c r="BP9" s="248">
        <v>0.0</v>
      </c>
      <c r="BQ9" s="248">
        <v>0.0</v>
      </c>
      <c r="BR9" s="248">
        <v>428.0</v>
      </c>
      <c r="BS9" s="248">
        <v>521.73</v>
      </c>
      <c r="BT9" s="248"/>
      <c r="BU9" s="248">
        <v>429357.52</v>
      </c>
      <c r="BV9" s="248">
        <v>0.0</v>
      </c>
      <c r="BW9" s="248">
        <v>100377.02</v>
      </c>
      <c r="BX9" s="248">
        <v>328980.5</v>
      </c>
      <c r="BY9" s="248">
        <v>328980.5</v>
      </c>
      <c r="BZ9" s="248">
        <v>0.0</v>
      </c>
      <c r="CA9" s="248">
        <v>0.0</v>
      </c>
      <c r="CB9" s="248">
        <v>216.0</v>
      </c>
      <c r="CC9" s="248">
        <v>563.92</v>
      </c>
      <c r="CD9" s="248"/>
      <c r="CE9" s="248">
        <v>793248.87</v>
      </c>
      <c r="CF9" s="249">
        <v>0.0</v>
      </c>
      <c r="CG9" s="248">
        <v>409549.65</v>
      </c>
      <c r="CH9" s="248">
        <v>383699.22</v>
      </c>
      <c r="CI9" s="248">
        <v>383699.22</v>
      </c>
      <c r="CJ9" s="248">
        <v>0.0</v>
      </c>
      <c r="CK9" s="248">
        <v>0.0</v>
      </c>
      <c r="CL9" s="248">
        <v>1260.0</v>
      </c>
      <c r="CM9" s="248">
        <v>557.21</v>
      </c>
      <c r="CN9" s="248"/>
      <c r="CO9" s="249">
        <v>601704.75</v>
      </c>
      <c r="CP9" s="248">
        <v>0.0</v>
      </c>
      <c r="CQ9" s="248">
        <v>598654.75</v>
      </c>
      <c r="CR9" s="248">
        <v>3050.0</v>
      </c>
      <c r="CS9" s="248">
        <v>3050.0</v>
      </c>
      <c r="CT9" s="248">
        <v>0.0</v>
      </c>
      <c r="CU9" s="248">
        <v>0.0</v>
      </c>
      <c r="CV9" s="248">
        <v>1104.0</v>
      </c>
      <c r="CW9" s="248">
        <v>543.24</v>
      </c>
      <c r="CX9" s="248"/>
      <c r="CY9" s="248"/>
      <c r="CZ9" s="248"/>
      <c r="DA9" s="248"/>
      <c r="DB9" s="248"/>
      <c r="DC9" s="248"/>
      <c r="DD9" s="248"/>
      <c r="DE9" s="249"/>
      <c r="DF9" s="248"/>
      <c r="DG9" s="248"/>
      <c r="DH9" s="248">
        <v>1.570693E7</v>
      </c>
      <c r="DI9" s="248">
        <v>1.5002377E7</v>
      </c>
      <c r="DJ9" s="248">
        <v>482688.0</v>
      </c>
      <c r="DK9" s="248">
        <v>131105.0</v>
      </c>
      <c r="DL9" s="248">
        <v>1.5133482E7</v>
      </c>
      <c r="DM9" s="248">
        <v>5220.0</v>
      </c>
      <c r="DN9" s="248">
        <v>2875.02</v>
      </c>
      <c r="DO9" s="248">
        <v>356.0</v>
      </c>
      <c r="DP9" s="248">
        <v>1587.79</v>
      </c>
      <c r="DQ9" s="248"/>
      <c r="DR9" s="248">
        <v>494897.46</v>
      </c>
      <c r="DS9" s="248">
        <v>0.0</v>
      </c>
      <c r="DT9" s="248">
        <v>415234.96</v>
      </c>
      <c r="DU9" s="248">
        <v>79662.5</v>
      </c>
      <c r="DV9" s="248">
        <v>79662.5</v>
      </c>
      <c r="DW9" s="248">
        <v>0.0</v>
      </c>
      <c r="DX9" s="248">
        <v>0.0</v>
      </c>
      <c r="DY9" s="248">
        <v>390.0</v>
      </c>
      <c r="DZ9" s="248">
        <v>1128.36</v>
      </c>
    </row>
    <row r="10" ht="15.75" customHeight="1">
      <c r="B10" s="245" t="s">
        <v>127</v>
      </c>
      <c r="C10" s="186"/>
      <c r="D10" s="186"/>
      <c r="E10" s="186"/>
      <c r="F10" s="186"/>
      <c r="G10" s="186"/>
      <c r="H10" s="186"/>
      <c r="I10" s="186"/>
      <c r="J10" s="186"/>
      <c r="K10" s="186"/>
      <c r="L10" s="186"/>
      <c r="M10" s="189">
        <f>'Mg St Colaba'!D12</f>
        <v>1690.845275</v>
      </c>
      <c r="N10" s="189">
        <f>'Mg St Colaba'!J12</f>
        <v>1558.767715</v>
      </c>
      <c r="O10" s="186"/>
      <c r="P10" s="186"/>
      <c r="Q10" s="186"/>
      <c r="R10" s="186"/>
      <c r="V10" s="238"/>
      <c r="W10" s="246"/>
      <c r="X10" s="247">
        <v>45627.0</v>
      </c>
      <c r="Y10" s="248">
        <v>5.685897042E7</v>
      </c>
      <c r="Z10" s="248">
        <v>4.511936695E7</v>
      </c>
      <c r="AA10" s="248">
        <v>9313599.99</v>
      </c>
      <c r="AB10" s="249">
        <v>2414308.48</v>
      </c>
      <c r="AC10" s="248">
        <v>24520.0</v>
      </c>
      <c r="AD10" s="249">
        <v>1841.1</v>
      </c>
      <c r="AE10" s="248">
        <v>10856.0</v>
      </c>
      <c r="AF10" s="248">
        <v>1081.09</v>
      </c>
      <c r="AG10" s="250"/>
      <c r="AH10" s="250" t="s">
        <v>128</v>
      </c>
      <c r="AI10" s="250" t="s">
        <v>129</v>
      </c>
      <c r="AJ10" s="250" t="s">
        <v>130</v>
      </c>
      <c r="AK10" s="250" t="s">
        <v>131</v>
      </c>
      <c r="AL10" s="251">
        <v>1.2872772E7</v>
      </c>
      <c r="AM10" s="250" t="s">
        <v>132</v>
      </c>
      <c r="AN10" s="250" t="s">
        <v>133</v>
      </c>
      <c r="AO10" s="248">
        <v>2057.0</v>
      </c>
      <c r="AP10" s="248">
        <v>1264.3</v>
      </c>
      <c r="AQ10" s="248"/>
      <c r="AR10" s="248">
        <v>1.337958519E7</v>
      </c>
      <c r="AS10" s="248">
        <v>1.1118964E7</v>
      </c>
      <c r="AT10" s="249">
        <v>1938796.69</v>
      </c>
      <c r="AU10" s="248">
        <v>321824.5</v>
      </c>
      <c r="AV10" s="252">
        <v>1.14407885E7</v>
      </c>
      <c r="AW10" s="248">
        <v>7200.0</v>
      </c>
      <c r="AX10" s="248">
        <v>1545.3</v>
      </c>
      <c r="AY10" s="248">
        <v>1732.0</v>
      </c>
      <c r="AZ10" s="248">
        <v>1348.26</v>
      </c>
      <c r="BA10" s="248"/>
      <c r="BB10" s="248">
        <v>7225322.63</v>
      </c>
      <c r="BC10" s="249">
        <v>3710635.5</v>
      </c>
      <c r="BD10" s="248">
        <v>2787430.63</v>
      </c>
      <c r="BE10" s="249">
        <v>727256.5</v>
      </c>
      <c r="BF10" s="248">
        <v>4437892.0</v>
      </c>
      <c r="BG10" s="248">
        <v>4010.0</v>
      </c>
      <c r="BH10" s="248">
        <v>926.35</v>
      </c>
      <c r="BI10" s="248">
        <v>2887.0</v>
      </c>
      <c r="BJ10" s="248">
        <v>1359.72</v>
      </c>
      <c r="BK10" s="248"/>
      <c r="BL10" s="248">
        <v>312053.11</v>
      </c>
      <c r="BM10" s="248">
        <v>0.0</v>
      </c>
      <c r="BN10" s="248">
        <v>312053.11</v>
      </c>
      <c r="BO10" s="248">
        <v>0.0</v>
      </c>
      <c r="BP10" s="248">
        <v>0.0</v>
      </c>
      <c r="BQ10" s="248">
        <v>0.0</v>
      </c>
      <c r="BR10" s="248">
        <v>599.0</v>
      </c>
      <c r="BS10" s="248">
        <v>520.96</v>
      </c>
      <c r="BT10" s="248"/>
      <c r="BU10" s="248">
        <v>452140.06</v>
      </c>
      <c r="BV10" s="248">
        <v>0.0</v>
      </c>
      <c r="BW10" s="248">
        <v>83230.56</v>
      </c>
      <c r="BX10" s="248">
        <v>368909.5</v>
      </c>
      <c r="BY10" s="248">
        <v>368909.5</v>
      </c>
      <c r="BZ10" s="248">
        <v>0.0</v>
      </c>
      <c r="CA10" s="248">
        <v>0.0</v>
      </c>
      <c r="CB10" s="248">
        <v>201.0</v>
      </c>
      <c r="CC10" s="248">
        <v>547.57</v>
      </c>
      <c r="CD10" s="248"/>
      <c r="CE10" s="248">
        <v>932418.4</v>
      </c>
      <c r="CF10" s="249">
        <v>0.0</v>
      </c>
      <c r="CG10" s="248">
        <v>478284.42</v>
      </c>
      <c r="CH10" s="248">
        <v>454133.98</v>
      </c>
      <c r="CI10" s="248">
        <v>454133.98</v>
      </c>
      <c r="CJ10" s="248">
        <v>0.0</v>
      </c>
      <c r="CK10" s="248">
        <v>0.0</v>
      </c>
      <c r="CL10" s="248">
        <v>1437.0</v>
      </c>
      <c r="CM10" s="248">
        <v>593.4</v>
      </c>
      <c r="CN10" s="248"/>
      <c r="CO10" s="249">
        <v>653261.79</v>
      </c>
      <c r="CP10" s="248">
        <v>0.0</v>
      </c>
      <c r="CQ10" s="248">
        <v>647911.79</v>
      </c>
      <c r="CR10" s="248">
        <v>5350.0</v>
      </c>
      <c r="CS10" s="248">
        <v>5350.0</v>
      </c>
      <c r="CT10" s="248">
        <v>0.0</v>
      </c>
      <c r="CU10" s="248">
        <v>0.0</v>
      </c>
      <c r="CV10" s="248">
        <v>1193.0</v>
      </c>
      <c r="CW10" s="248">
        <v>544.01</v>
      </c>
      <c r="CX10" s="248"/>
      <c r="CY10" s="248"/>
      <c r="CZ10" s="248"/>
      <c r="DA10" s="248"/>
      <c r="DB10" s="248"/>
      <c r="DC10" s="248"/>
      <c r="DD10" s="248"/>
      <c r="DE10" s="249"/>
      <c r="DF10" s="248"/>
      <c r="DG10" s="248"/>
      <c r="DH10" s="248">
        <v>1.833684995E7</v>
      </c>
      <c r="DI10" s="248">
        <v>1.773760295E7</v>
      </c>
      <c r="DJ10" s="248">
        <v>442208.0</v>
      </c>
      <c r="DK10" s="248">
        <v>145344.0</v>
      </c>
      <c r="DL10" s="248">
        <v>1.788294695E7</v>
      </c>
      <c r="DM10" s="248">
        <v>5940.0</v>
      </c>
      <c r="DN10" s="248">
        <v>2987.13</v>
      </c>
      <c r="DO10" s="248">
        <v>321.0</v>
      </c>
      <c r="DP10" s="248">
        <v>1625.76</v>
      </c>
      <c r="DQ10" s="248"/>
      <c r="DR10" s="248">
        <v>542726.6</v>
      </c>
      <c r="DS10" s="248">
        <v>0.0</v>
      </c>
      <c r="DT10" s="248">
        <v>471844.1</v>
      </c>
      <c r="DU10" s="248">
        <v>70882.5</v>
      </c>
      <c r="DV10" s="248">
        <v>70882.5</v>
      </c>
      <c r="DW10" s="248">
        <v>0.0</v>
      </c>
      <c r="DX10" s="248">
        <v>0.0</v>
      </c>
      <c r="DY10" s="248">
        <v>429.0</v>
      </c>
      <c r="DZ10" s="248">
        <v>1165.05</v>
      </c>
    </row>
    <row r="11" ht="15.75" customHeight="1">
      <c r="V11" s="238"/>
      <c r="W11" s="246"/>
      <c r="X11" s="247">
        <v>45658.0</v>
      </c>
      <c r="Y11" s="248">
        <v>5.280303811E7</v>
      </c>
      <c r="Z11" s="248">
        <v>4.194052775E7</v>
      </c>
      <c r="AA11" s="248">
        <v>8779763.17</v>
      </c>
      <c r="AB11" s="249">
        <v>2082747.19</v>
      </c>
      <c r="AC11" s="248">
        <v>23354.0</v>
      </c>
      <c r="AD11" s="249">
        <v>1796.86</v>
      </c>
      <c r="AE11" s="248">
        <v>10495.0</v>
      </c>
      <c r="AF11" s="248">
        <v>1053.87</v>
      </c>
      <c r="AG11" s="250"/>
      <c r="AH11" s="250" t="s">
        <v>134</v>
      </c>
      <c r="AI11" s="250" t="s">
        <v>135</v>
      </c>
      <c r="AJ11" s="250" t="s">
        <v>136</v>
      </c>
      <c r="AK11" s="250" t="s">
        <v>137</v>
      </c>
      <c r="AL11" s="251">
        <v>1.14433195E7</v>
      </c>
      <c r="AM11" s="250" t="s">
        <v>138</v>
      </c>
      <c r="AN11" s="250" t="s">
        <v>139</v>
      </c>
      <c r="AO11" s="248">
        <v>1952.0</v>
      </c>
      <c r="AP11" s="248">
        <v>1273.43</v>
      </c>
      <c r="AQ11" s="248"/>
      <c r="AR11" s="248">
        <v>1.276780132E7</v>
      </c>
      <c r="AS11" s="248">
        <v>1.059390675E7</v>
      </c>
      <c r="AT11" s="249">
        <v>1837355.32</v>
      </c>
      <c r="AU11" s="248">
        <v>336539.25</v>
      </c>
      <c r="AV11" s="252">
        <v>1.0930446E7</v>
      </c>
      <c r="AW11" s="248">
        <v>6947.0</v>
      </c>
      <c r="AX11" s="248">
        <v>1525.96</v>
      </c>
      <c r="AY11" s="248">
        <v>1667.0</v>
      </c>
      <c r="AZ11" s="248">
        <v>1318.05</v>
      </c>
      <c r="BA11" s="248"/>
      <c r="BB11" s="248">
        <v>7176728.87</v>
      </c>
      <c r="BC11" s="249">
        <v>3850240.5</v>
      </c>
      <c r="BD11" s="248">
        <v>2649011.37</v>
      </c>
      <c r="BE11" s="249">
        <v>677477.0</v>
      </c>
      <c r="BF11" s="248">
        <v>4527717.5</v>
      </c>
      <c r="BG11" s="248">
        <v>4392.0</v>
      </c>
      <c r="BH11" s="248">
        <v>877.65</v>
      </c>
      <c r="BI11" s="248">
        <v>2934.0</v>
      </c>
      <c r="BJ11" s="248">
        <v>1328.49</v>
      </c>
      <c r="BK11" s="248"/>
      <c r="BL11" s="248">
        <v>272329.93</v>
      </c>
      <c r="BM11" s="248">
        <v>0.0</v>
      </c>
      <c r="BN11" s="248">
        <v>272329.93</v>
      </c>
      <c r="BO11" s="248">
        <v>0.0</v>
      </c>
      <c r="BP11" s="248">
        <v>0.0</v>
      </c>
      <c r="BQ11" s="248">
        <v>0.0</v>
      </c>
      <c r="BR11" s="248">
        <v>524.0</v>
      </c>
      <c r="BS11" s="248">
        <v>519.71</v>
      </c>
      <c r="BT11" s="248"/>
      <c r="BU11" s="248">
        <v>426947.01</v>
      </c>
      <c r="BV11" s="248">
        <v>0.0</v>
      </c>
      <c r="BW11" s="248">
        <v>92114.13</v>
      </c>
      <c r="BX11" s="248">
        <v>334832.88</v>
      </c>
      <c r="BY11" s="248">
        <v>334832.88</v>
      </c>
      <c r="BZ11" s="248">
        <v>0.0</v>
      </c>
      <c r="CA11" s="248">
        <v>0.0</v>
      </c>
      <c r="CB11" s="248">
        <v>199.0</v>
      </c>
      <c r="CC11" s="248">
        <v>561.67</v>
      </c>
      <c r="CD11" s="248"/>
      <c r="CE11" s="248">
        <v>724488.44</v>
      </c>
      <c r="CF11" s="249">
        <v>0.0</v>
      </c>
      <c r="CG11" s="248">
        <v>397378.38</v>
      </c>
      <c r="CH11" s="248">
        <v>327110.06</v>
      </c>
      <c r="CI11" s="248">
        <v>327110.06</v>
      </c>
      <c r="CJ11" s="248">
        <v>0.0</v>
      </c>
      <c r="CK11" s="248">
        <v>0.0</v>
      </c>
      <c r="CL11" s="248">
        <v>1233.0</v>
      </c>
      <c r="CM11" s="248">
        <v>542.87</v>
      </c>
      <c r="CN11" s="248"/>
      <c r="CO11" s="249">
        <v>632911.21</v>
      </c>
      <c r="CP11" s="248">
        <v>0.0</v>
      </c>
      <c r="CQ11" s="248">
        <v>632911.21</v>
      </c>
      <c r="CR11" s="248">
        <v>0.0</v>
      </c>
      <c r="CS11" s="248">
        <v>0.0</v>
      </c>
      <c r="CT11" s="248">
        <v>0.0</v>
      </c>
      <c r="CU11" s="248">
        <v>0.0</v>
      </c>
      <c r="CV11" s="248">
        <v>1223.0</v>
      </c>
      <c r="CW11" s="248">
        <v>517.51</v>
      </c>
      <c r="CX11" s="248"/>
      <c r="CY11" s="248"/>
      <c r="CZ11" s="248"/>
      <c r="DA11" s="248"/>
      <c r="DB11" s="248"/>
      <c r="DC11" s="248"/>
      <c r="DD11" s="248"/>
      <c r="DE11" s="249"/>
      <c r="DF11" s="248"/>
      <c r="DG11" s="248"/>
      <c r="DH11" s="248">
        <v>1.690031E7</v>
      </c>
      <c r="DI11" s="248">
        <v>1.6323094E7</v>
      </c>
      <c r="DJ11" s="248">
        <v>463151.0</v>
      </c>
      <c r="DK11" s="248">
        <v>114065.0</v>
      </c>
      <c r="DL11" s="248">
        <v>1.6437159E7</v>
      </c>
      <c r="DM11" s="248">
        <v>5464.0</v>
      </c>
      <c r="DN11" s="248">
        <v>2988.39</v>
      </c>
      <c r="DO11" s="248">
        <v>361.0</v>
      </c>
      <c r="DP11" s="248">
        <v>1538.71</v>
      </c>
      <c r="DQ11" s="248"/>
      <c r="DR11" s="248">
        <v>401609.25</v>
      </c>
      <c r="DS11" s="248">
        <v>0.0</v>
      </c>
      <c r="DT11" s="248">
        <v>378919.25</v>
      </c>
      <c r="DU11" s="248">
        <v>22690.0</v>
      </c>
      <c r="DV11" s="248">
        <v>22690.0</v>
      </c>
      <c r="DW11" s="248">
        <v>0.0</v>
      </c>
      <c r="DX11" s="248">
        <v>0.0</v>
      </c>
      <c r="DY11" s="248">
        <v>402.0</v>
      </c>
      <c r="DZ11" s="248">
        <v>986.77</v>
      </c>
    </row>
    <row r="12" ht="15.75" customHeight="1">
      <c r="B12" s="188" t="s">
        <v>140</v>
      </c>
      <c r="C12" s="187"/>
      <c r="D12" s="187"/>
      <c r="E12" s="187"/>
      <c r="F12" s="187"/>
      <c r="G12" s="187"/>
      <c r="H12" s="187"/>
      <c r="I12" s="187"/>
      <c r="J12" s="187"/>
      <c r="K12" s="187"/>
      <c r="L12" s="187"/>
      <c r="M12" s="187">
        <v>45748.0</v>
      </c>
      <c r="N12" s="187">
        <v>45778.0</v>
      </c>
      <c r="O12" s="188"/>
      <c r="P12" s="188"/>
      <c r="Q12" s="188"/>
      <c r="R12" s="188"/>
      <c r="V12" s="238"/>
      <c r="W12" s="246"/>
      <c r="X12" s="247">
        <v>45689.0</v>
      </c>
      <c r="Y12" s="248">
        <v>4.686737918E7</v>
      </c>
      <c r="Z12" s="248">
        <v>3.615406625E7</v>
      </c>
      <c r="AA12" s="248">
        <v>8878440.76</v>
      </c>
      <c r="AB12" s="249">
        <v>1834872.17</v>
      </c>
      <c r="AC12" s="248">
        <v>20011.0</v>
      </c>
      <c r="AD12" s="249">
        <v>1807.71</v>
      </c>
      <c r="AE12" s="248">
        <v>10204.0</v>
      </c>
      <c r="AF12" s="248">
        <v>1064.82</v>
      </c>
      <c r="AG12" s="250"/>
      <c r="AH12" s="250" t="s">
        <v>141</v>
      </c>
      <c r="AI12" s="250" t="s">
        <v>142</v>
      </c>
      <c r="AJ12" s="250" t="s">
        <v>143</v>
      </c>
      <c r="AK12" s="250" t="s">
        <v>144</v>
      </c>
      <c r="AL12" s="251">
        <v>9878764.0</v>
      </c>
      <c r="AM12" s="250" t="s">
        <v>145</v>
      </c>
      <c r="AN12" s="250" t="s">
        <v>146</v>
      </c>
      <c r="AO12" s="248">
        <v>2116.0</v>
      </c>
      <c r="AP12" s="248">
        <v>1207.49</v>
      </c>
      <c r="AQ12" s="248"/>
      <c r="AR12" s="248">
        <v>1.058975149E7</v>
      </c>
      <c r="AS12" s="248">
        <v>8554300.0</v>
      </c>
      <c r="AT12" s="249">
        <v>1836480.49</v>
      </c>
      <c r="AU12" s="248">
        <v>198971.0</v>
      </c>
      <c r="AV12" s="252">
        <v>8753271.0</v>
      </c>
      <c r="AW12" s="248">
        <v>5556.0</v>
      </c>
      <c r="AX12" s="248">
        <v>1540.65</v>
      </c>
      <c r="AY12" s="248">
        <v>1615.0</v>
      </c>
      <c r="AZ12" s="248">
        <v>1307.1</v>
      </c>
      <c r="BA12" s="248"/>
      <c r="BB12" s="248">
        <v>6592019.92</v>
      </c>
      <c r="BC12" s="249">
        <v>3214963.75</v>
      </c>
      <c r="BD12" s="248">
        <v>2758945.17</v>
      </c>
      <c r="BE12" s="249">
        <v>618111.0</v>
      </c>
      <c r="BF12" s="248">
        <v>3833074.75</v>
      </c>
      <c r="BG12" s="248">
        <v>3752.0</v>
      </c>
      <c r="BH12" s="248">
        <v>857.87</v>
      </c>
      <c r="BI12" s="248">
        <v>2934.0</v>
      </c>
      <c r="BJ12" s="248">
        <v>1313.16</v>
      </c>
      <c r="BK12" s="248"/>
      <c r="BL12" s="248">
        <v>269505.12</v>
      </c>
      <c r="BM12" s="248">
        <v>0.0</v>
      </c>
      <c r="BN12" s="248">
        <v>269505.12</v>
      </c>
      <c r="BO12" s="248">
        <v>0.0</v>
      </c>
      <c r="BP12" s="248">
        <v>0.0</v>
      </c>
      <c r="BQ12" s="248">
        <v>0.0</v>
      </c>
      <c r="BR12" s="248">
        <v>512.0</v>
      </c>
      <c r="BS12" s="248">
        <v>526.38</v>
      </c>
      <c r="BT12" s="248"/>
      <c r="BU12" s="248">
        <v>331673.28</v>
      </c>
      <c r="BV12" s="248">
        <v>875.0</v>
      </c>
      <c r="BW12" s="248">
        <v>99092.53</v>
      </c>
      <c r="BX12" s="248">
        <v>231705.75</v>
      </c>
      <c r="BY12" s="248">
        <v>232580.75</v>
      </c>
      <c r="BZ12" s="248">
        <v>0.0</v>
      </c>
      <c r="CA12" s="248">
        <v>0.0</v>
      </c>
      <c r="CB12" s="248">
        <v>172.0</v>
      </c>
      <c r="CC12" s="248">
        <v>647.66</v>
      </c>
      <c r="CD12" s="248"/>
      <c r="CE12" s="248">
        <v>639315.59</v>
      </c>
      <c r="CF12" s="249">
        <v>0.0</v>
      </c>
      <c r="CG12" s="248">
        <v>362322.67</v>
      </c>
      <c r="CH12" s="248">
        <v>276992.92</v>
      </c>
      <c r="CI12" s="248">
        <v>276992.92</v>
      </c>
      <c r="CJ12" s="248">
        <v>0.0</v>
      </c>
      <c r="CK12" s="248">
        <v>0.0</v>
      </c>
      <c r="CL12" s="248">
        <v>1054.0</v>
      </c>
      <c r="CM12" s="248">
        <v>557.42</v>
      </c>
      <c r="CN12" s="248"/>
      <c r="CO12" s="249">
        <v>574735.73</v>
      </c>
      <c r="CP12" s="248">
        <v>0.0</v>
      </c>
      <c r="CQ12" s="248">
        <v>574735.73</v>
      </c>
      <c r="CR12" s="248">
        <v>0.0</v>
      </c>
      <c r="CS12" s="248">
        <v>0.0</v>
      </c>
      <c r="CT12" s="248">
        <v>0.0</v>
      </c>
      <c r="CU12" s="248">
        <v>0.0</v>
      </c>
      <c r="CV12" s="248">
        <v>1065.0</v>
      </c>
      <c r="CW12" s="248">
        <v>539.66</v>
      </c>
      <c r="CX12" s="248"/>
      <c r="CY12" s="248"/>
      <c r="CZ12" s="248"/>
      <c r="DA12" s="248"/>
      <c r="DB12" s="248"/>
      <c r="DC12" s="248"/>
      <c r="DD12" s="248"/>
      <c r="DE12" s="249"/>
      <c r="DF12" s="248"/>
      <c r="DG12" s="248"/>
      <c r="DH12" s="248">
        <v>1.5413399E7</v>
      </c>
      <c r="DI12" s="248">
        <v>1.483605E7</v>
      </c>
      <c r="DJ12" s="248">
        <v>432879.0</v>
      </c>
      <c r="DK12" s="248">
        <v>144470.0</v>
      </c>
      <c r="DL12" s="248">
        <v>1.498052E7</v>
      </c>
      <c r="DM12" s="248">
        <v>4880.0</v>
      </c>
      <c r="DN12" s="248">
        <v>3041.17</v>
      </c>
      <c r="DO12" s="248">
        <v>328.0</v>
      </c>
      <c r="DP12" s="248">
        <v>1621.27</v>
      </c>
      <c r="DQ12" s="248"/>
      <c r="DR12" s="248">
        <v>414393.84</v>
      </c>
      <c r="DS12" s="248">
        <v>0.0</v>
      </c>
      <c r="DT12" s="248">
        <v>380658.84</v>
      </c>
      <c r="DU12" s="248">
        <v>33735.0</v>
      </c>
      <c r="DV12" s="248">
        <v>33735.0</v>
      </c>
      <c r="DW12" s="248">
        <v>0.0</v>
      </c>
      <c r="DX12" s="248">
        <v>0.0</v>
      </c>
      <c r="DY12" s="248">
        <v>408.0</v>
      </c>
      <c r="DZ12" s="248">
        <v>968.6</v>
      </c>
    </row>
    <row r="13" ht="15.75" customHeight="1">
      <c r="B13" s="245" t="s">
        <v>85</v>
      </c>
      <c r="C13" s="186"/>
      <c r="D13" s="186"/>
      <c r="E13" s="186"/>
      <c r="F13" s="186"/>
      <c r="G13" s="186"/>
      <c r="H13" s="186"/>
      <c r="I13" s="186"/>
      <c r="J13" s="186"/>
      <c r="K13" s="186"/>
      <c r="L13" s="186"/>
      <c r="M13" s="189">
        <f>'Mg St LP'!D6</f>
        <v>4432</v>
      </c>
      <c r="N13" s="189">
        <f>'Mg St LP'!J6</f>
        <v>4850</v>
      </c>
      <c r="O13" s="186"/>
      <c r="P13" s="186"/>
      <c r="Q13" s="186"/>
      <c r="R13" s="186"/>
      <c r="V13" s="238"/>
      <c r="W13" s="246"/>
      <c r="X13" s="247">
        <v>45717.0</v>
      </c>
      <c r="Y13" s="248">
        <v>5.206536137E7</v>
      </c>
      <c r="Z13" s="248">
        <v>3.96680708E7</v>
      </c>
      <c r="AA13" s="248">
        <v>1.036686729E7</v>
      </c>
      <c r="AB13" s="249">
        <v>2030423.28</v>
      </c>
      <c r="AC13" s="248">
        <v>22339.0</v>
      </c>
      <c r="AD13" s="249">
        <v>1776.73</v>
      </c>
      <c r="AE13" s="248">
        <v>11503.0</v>
      </c>
      <c r="AF13" s="248">
        <v>1089.99</v>
      </c>
      <c r="AG13" s="250"/>
      <c r="AH13" s="250" t="s">
        <v>147</v>
      </c>
      <c r="AI13" s="250" t="s">
        <v>148</v>
      </c>
      <c r="AJ13" s="250" t="s">
        <v>149</v>
      </c>
      <c r="AK13" s="250" t="s">
        <v>150</v>
      </c>
      <c r="AL13" s="251">
        <v>1.1175554E7</v>
      </c>
      <c r="AM13" s="250" t="s">
        <v>151</v>
      </c>
      <c r="AN13" s="250" t="s">
        <v>152</v>
      </c>
      <c r="AO13" s="248">
        <v>2436.0</v>
      </c>
      <c r="AP13" s="248">
        <v>1243.69</v>
      </c>
      <c r="AQ13" s="248"/>
      <c r="AR13" s="248">
        <v>1.152719277E7</v>
      </c>
      <c r="AS13" s="248">
        <v>9107859.5</v>
      </c>
      <c r="AT13" s="249">
        <v>2136801.27</v>
      </c>
      <c r="AU13" s="248">
        <v>282532.0</v>
      </c>
      <c r="AV13" s="252">
        <v>9390391.5</v>
      </c>
      <c r="AW13" s="248">
        <v>5839.0</v>
      </c>
      <c r="AX13" s="248">
        <v>1560.83</v>
      </c>
      <c r="AY13" s="248">
        <v>1862.0</v>
      </c>
      <c r="AZ13" s="248">
        <v>1313.34</v>
      </c>
      <c r="BA13" s="248"/>
      <c r="BB13" s="248">
        <v>8007527.53</v>
      </c>
      <c r="BC13" s="249">
        <v>4084209.5</v>
      </c>
      <c r="BD13" s="248">
        <v>3200802.53</v>
      </c>
      <c r="BE13" s="249">
        <v>722515.5</v>
      </c>
      <c r="BF13" s="248">
        <v>4806725.0</v>
      </c>
      <c r="BG13" s="248">
        <v>4566.0</v>
      </c>
      <c r="BH13" s="248">
        <v>895.48</v>
      </c>
      <c r="BI13" s="248">
        <v>3335.0</v>
      </c>
      <c r="BJ13" s="248">
        <v>1329.79</v>
      </c>
      <c r="BK13" s="248"/>
      <c r="BL13" s="248">
        <v>236942.03</v>
      </c>
      <c r="BM13" s="248">
        <v>0.0</v>
      </c>
      <c r="BN13" s="248">
        <v>236942.03</v>
      </c>
      <c r="BO13" s="248">
        <v>0.0</v>
      </c>
      <c r="BP13" s="248">
        <v>0.0</v>
      </c>
      <c r="BQ13" s="248">
        <v>0.0</v>
      </c>
      <c r="BR13" s="248">
        <v>466.0</v>
      </c>
      <c r="BS13" s="248">
        <v>508.46</v>
      </c>
      <c r="BT13" s="248"/>
      <c r="BU13" s="248">
        <v>349931.53</v>
      </c>
      <c r="BV13" s="248">
        <v>0.0</v>
      </c>
      <c r="BW13" s="248">
        <v>71962.53</v>
      </c>
      <c r="BX13" s="248">
        <v>277969.0</v>
      </c>
      <c r="BY13" s="248">
        <v>277969.0</v>
      </c>
      <c r="BZ13" s="248">
        <v>0.0</v>
      </c>
      <c r="CA13" s="248">
        <v>0.0</v>
      </c>
      <c r="CB13" s="248">
        <v>166.0</v>
      </c>
      <c r="CC13" s="248">
        <v>525.27</v>
      </c>
      <c r="CD13" s="248"/>
      <c r="CE13" s="248">
        <v>640732.34</v>
      </c>
      <c r="CF13" s="249">
        <v>0.0</v>
      </c>
      <c r="CG13" s="248">
        <v>335894.56</v>
      </c>
      <c r="CH13" s="248">
        <v>304837.78</v>
      </c>
      <c r="CI13" s="248">
        <v>304837.78</v>
      </c>
      <c r="CJ13" s="248">
        <v>0.0</v>
      </c>
      <c r="CK13" s="248">
        <v>0.0</v>
      </c>
      <c r="CL13" s="248">
        <v>1074.0</v>
      </c>
      <c r="CM13" s="248">
        <v>515.18</v>
      </c>
      <c r="CN13" s="248"/>
      <c r="CO13" s="249">
        <v>629526.63</v>
      </c>
      <c r="CP13" s="248">
        <v>0.0</v>
      </c>
      <c r="CQ13" s="248">
        <v>629526.63</v>
      </c>
      <c r="CR13" s="248">
        <v>0.0</v>
      </c>
      <c r="CS13" s="248">
        <v>0.0</v>
      </c>
      <c r="CT13" s="248">
        <v>0.0</v>
      </c>
      <c r="CU13" s="248">
        <v>0.0</v>
      </c>
      <c r="CV13" s="248">
        <v>1194.0</v>
      </c>
      <c r="CW13" s="248">
        <v>527.24</v>
      </c>
      <c r="CX13" s="248"/>
      <c r="CY13" s="248"/>
      <c r="CZ13" s="248"/>
      <c r="DA13" s="248"/>
      <c r="DB13" s="248"/>
      <c r="DC13" s="248"/>
      <c r="DD13" s="248"/>
      <c r="DE13" s="249"/>
      <c r="DF13" s="248"/>
      <c r="DG13" s="248"/>
      <c r="DH13" s="248">
        <v>1.61418983E7</v>
      </c>
      <c r="DI13" s="248">
        <v>1.55628443E7</v>
      </c>
      <c r="DJ13" s="248">
        <v>461254.0</v>
      </c>
      <c r="DK13" s="248">
        <v>117800.0</v>
      </c>
      <c r="DL13" s="248">
        <v>1.56806443E7</v>
      </c>
      <c r="DM13" s="248">
        <v>5420.0</v>
      </c>
      <c r="DN13" s="248">
        <v>2872.37</v>
      </c>
      <c r="DO13" s="248">
        <v>338.0</v>
      </c>
      <c r="DP13" s="248">
        <v>1574.25</v>
      </c>
      <c r="DQ13" s="248"/>
      <c r="DR13" s="248">
        <v>703266.32</v>
      </c>
      <c r="DS13" s="248">
        <v>0.0</v>
      </c>
      <c r="DT13" s="248">
        <v>640893.82</v>
      </c>
      <c r="DU13" s="248">
        <v>62372.5</v>
      </c>
      <c r="DV13" s="248">
        <v>62372.5</v>
      </c>
      <c r="DW13" s="248">
        <v>0.0</v>
      </c>
      <c r="DX13" s="248">
        <v>0.0</v>
      </c>
      <c r="DY13" s="248">
        <v>632.0</v>
      </c>
      <c r="DZ13" s="248">
        <v>1064.61</v>
      </c>
    </row>
    <row r="14" ht="15.75" customHeight="1">
      <c r="B14" s="245" t="s">
        <v>92</v>
      </c>
      <c r="C14" s="186"/>
      <c r="D14" s="186"/>
      <c r="E14" s="186"/>
      <c r="F14" s="186"/>
      <c r="G14" s="186"/>
      <c r="H14" s="186"/>
      <c r="I14" s="186"/>
      <c r="J14" s="186"/>
      <c r="K14" s="186"/>
      <c r="L14" s="186"/>
      <c r="M14" s="189">
        <f>'Mg St LP'!D7</f>
        <v>2983</v>
      </c>
      <c r="N14" s="189">
        <f>'Mg St LP'!J7</f>
        <v>3547</v>
      </c>
      <c r="O14" s="186"/>
      <c r="P14" s="186"/>
      <c r="Q14" s="186"/>
      <c r="R14" s="186"/>
      <c r="V14" s="238"/>
      <c r="W14" s="246"/>
      <c r="X14" s="247">
        <v>45748.0</v>
      </c>
      <c r="Y14" s="248">
        <v>5.209594124E7</v>
      </c>
      <c r="Z14" s="248">
        <v>4.06311447E7</v>
      </c>
      <c r="AA14" s="248">
        <v>9610200.48</v>
      </c>
      <c r="AB14" s="249">
        <v>1854596.06</v>
      </c>
      <c r="AC14" s="248">
        <v>21929.0</v>
      </c>
      <c r="AD14" s="249">
        <v>1853.85</v>
      </c>
      <c r="AE14" s="248">
        <v>10600.0</v>
      </c>
      <c r="AF14" s="248">
        <v>1108.19</v>
      </c>
      <c r="AG14" s="250"/>
      <c r="AH14" s="250" t="s">
        <v>153</v>
      </c>
      <c r="AI14" s="250" t="s">
        <v>154</v>
      </c>
      <c r="AJ14" s="250" t="s">
        <v>155</v>
      </c>
      <c r="AK14" s="250" t="s">
        <v>156</v>
      </c>
      <c r="AL14" s="251">
        <v>1.286432E7</v>
      </c>
      <c r="AM14" s="250" t="s">
        <v>157</v>
      </c>
      <c r="AN14" s="250" t="s">
        <v>158</v>
      </c>
      <c r="AO14" s="248">
        <v>2241.0</v>
      </c>
      <c r="AP14" s="248">
        <v>1284.96</v>
      </c>
      <c r="AQ14" s="248"/>
      <c r="AR14" s="248">
        <v>1.127455453E7</v>
      </c>
      <c r="AS14" s="248">
        <v>9021174.25</v>
      </c>
      <c r="AT14" s="249">
        <v>2026403.28</v>
      </c>
      <c r="AU14" s="248">
        <v>226977.0</v>
      </c>
      <c r="AV14" s="252">
        <v>9248151.25</v>
      </c>
      <c r="AW14" s="248">
        <v>5434.0</v>
      </c>
      <c r="AX14" s="248">
        <v>1661.14</v>
      </c>
      <c r="AY14" s="248">
        <v>1706.0</v>
      </c>
      <c r="AZ14" s="248">
        <v>1323.58</v>
      </c>
      <c r="BA14" s="248"/>
      <c r="BB14" s="248">
        <v>7799625.92</v>
      </c>
      <c r="BC14" s="249">
        <v>4119225.0</v>
      </c>
      <c r="BD14" s="248">
        <v>3003393.42</v>
      </c>
      <c r="BE14" s="249">
        <v>677007.5</v>
      </c>
      <c r="BF14" s="248">
        <v>4796232.5</v>
      </c>
      <c r="BG14" s="248">
        <v>4432.0</v>
      </c>
      <c r="BH14" s="248">
        <v>930.43</v>
      </c>
      <c r="BI14" s="248">
        <v>2983.0</v>
      </c>
      <c r="BJ14" s="248">
        <v>1408.06</v>
      </c>
      <c r="BK14" s="248"/>
      <c r="BL14" s="248">
        <v>210736.64</v>
      </c>
      <c r="BM14" s="248">
        <v>0.0</v>
      </c>
      <c r="BN14" s="248">
        <v>210736.64</v>
      </c>
      <c r="BO14" s="248">
        <v>0.0</v>
      </c>
      <c r="BP14" s="248">
        <v>0.0</v>
      </c>
      <c r="BQ14" s="248">
        <v>0.0</v>
      </c>
      <c r="BR14" s="248">
        <v>419.0</v>
      </c>
      <c r="BS14" s="248">
        <v>502.95</v>
      </c>
      <c r="BT14" s="248"/>
      <c r="BU14" s="248">
        <v>285064.01</v>
      </c>
      <c r="BV14" s="248">
        <v>0.0</v>
      </c>
      <c r="BW14" s="248">
        <v>68163.01</v>
      </c>
      <c r="BX14" s="248">
        <v>216901.0</v>
      </c>
      <c r="BY14" s="248">
        <v>216901.0</v>
      </c>
      <c r="BZ14" s="248">
        <v>0.0</v>
      </c>
      <c r="CA14" s="248">
        <v>0.0</v>
      </c>
      <c r="CB14" s="248">
        <v>159.0</v>
      </c>
      <c r="CC14" s="248">
        <v>532.52</v>
      </c>
      <c r="CD14" s="248"/>
      <c r="CE14" s="248">
        <v>671198.18</v>
      </c>
      <c r="CF14" s="249">
        <v>0.0</v>
      </c>
      <c r="CG14" s="248">
        <v>343309.62</v>
      </c>
      <c r="CH14" s="248">
        <v>327888.56</v>
      </c>
      <c r="CI14" s="248">
        <v>327888.56</v>
      </c>
      <c r="CJ14" s="248">
        <v>0.0</v>
      </c>
      <c r="CK14" s="248">
        <v>0.0</v>
      </c>
      <c r="CL14" s="248">
        <v>1147.0</v>
      </c>
      <c r="CM14" s="248">
        <v>533.92</v>
      </c>
      <c r="CN14" s="248"/>
      <c r="CO14" s="249">
        <v>521785.14</v>
      </c>
      <c r="CP14" s="248">
        <v>0.0</v>
      </c>
      <c r="CQ14" s="248">
        <v>521785.14</v>
      </c>
      <c r="CR14" s="248">
        <v>0.0</v>
      </c>
      <c r="CS14" s="248">
        <v>0.0</v>
      </c>
      <c r="CT14" s="248">
        <v>0.0</v>
      </c>
      <c r="CU14" s="248">
        <v>0.0</v>
      </c>
      <c r="CV14" s="248">
        <v>1015.0</v>
      </c>
      <c r="CW14" s="248">
        <v>514.07</v>
      </c>
      <c r="CX14" s="248"/>
      <c r="CY14" s="248">
        <v>44479.59</v>
      </c>
      <c r="CZ14" s="248">
        <v>0.0</v>
      </c>
      <c r="DA14" s="248">
        <v>44479.59</v>
      </c>
      <c r="DB14" s="248">
        <v>0.0</v>
      </c>
      <c r="DC14" s="248">
        <v>0.0</v>
      </c>
      <c r="DD14" s="248">
        <v>0.0</v>
      </c>
      <c r="DE14" s="249">
        <v>83.0</v>
      </c>
      <c r="DF14" s="248">
        <v>535.9</v>
      </c>
      <c r="DG14" s="248"/>
      <c r="DH14" s="248">
        <v>1.549488045E7</v>
      </c>
      <c r="DI14" s="248">
        <v>1.490983745E7</v>
      </c>
      <c r="DJ14" s="248">
        <v>486848.0</v>
      </c>
      <c r="DK14" s="248">
        <v>98195.0</v>
      </c>
      <c r="DL14" s="248">
        <v>1.500803245E7</v>
      </c>
      <c r="DM14" s="248">
        <v>4700.0</v>
      </c>
      <c r="DN14" s="248">
        <v>3173.31</v>
      </c>
      <c r="DO14" s="248">
        <v>348.0</v>
      </c>
      <c r="DP14" s="248">
        <v>1606.76</v>
      </c>
      <c r="DQ14" s="248"/>
      <c r="DR14" s="248">
        <v>432613.72</v>
      </c>
      <c r="DS14" s="248">
        <v>0.0</v>
      </c>
      <c r="DT14" s="248">
        <v>408398.72</v>
      </c>
      <c r="DU14" s="248">
        <v>24215.0</v>
      </c>
      <c r="DV14" s="248">
        <v>24215.0</v>
      </c>
      <c r="DW14" s="248">
        <v>0.0</v>
      </c>
      <c r="DX14" s="248">
        <v>0.0</v>
      </c>
      <c r="DY14" s="248">
        <v>499.0</v>
      </c>
      <c r="DZ14" s="248">
        <v>861.6</v>
      </c>
    </row>
    <row r="15" ht="15.75" customHeight="1">
      <c r="B15" s="245" t="s">
        <v>99</v>
      </c>
      <c r="C15" s="186"/>
      <c r="D15" s="186"/>
      <c r="E15" s="186"/>
      <c r="F15" s="186"/>
      <c r="G15" s="186"/>
      <c r="H15" s="186"/>
      <c r="I15" s="186"/>
      <c r="J15" s="186"/>
      <c r="K15" s="186"/>
      <c r="L15" s="186"/>
      <c r="M15" s="189">
        <f>'Mg St LP'!D8</f>
        <v>4181267.4</v>
      </c>
      <c r="N15" s="189">
        <f>'Mg St LP'!J8</f>
        <v>4677508</v>
      </c>
      <c r="O15" s="186"/>
      <c r="P15" s="186"/>
      <c r="Q15" s="186"/>
      <c r="R15" s="186"/>
      <c r="V15" s="238"/>
      <c r="W15" s="246"/>
      <c r="X15" s="247">
        <v>45778.0</v>
      </c>
      <c r="Y15" s="248">
        <v>5.48729403E7</v>
      </c>
      <c r="Z15" s="248">
        <v>4.150214825E7</v>
      </c>
      <c r="AA15" s="248">
        <v>1.155251543E7</v>
      </c>
      <c r="AB15" s="249">
        <v>1818276.62</v>
      </c>
      <c r="AC15" s="248">
        <v>22639.0</v>
      </c>
      <c r="AD15" s="249">
        <v>1834.21</v>
      </c>
      <c r="AE15" s="248">
        <v>13029.0</v>
      </c>
      <c r="AF15" s="248">
        <v>1030.46</v>
      </c>
      <c r="AG15" s="250"/>
      <c r="AH15" s="250" t="s">
        <v>159</v>
      </c>
      <c r="AI15" s="250" t="s">
        <v>160</v>
      </c>
      <c r="AJ15" s="250" t="s">
        <v>161</v>
      </c>
      <c r="AK15" s="250" t="s">
        <v>162</v>
      </c>
      <c r="AL15" s="251">
        <v>1.3069572E7</v>
      </c>
      <c r="AM15" s="250" t="s">
        <v>163</v>
      </c>
      <c r="AN15" s="250" t="s">
        <v>164</v>
      </c>
      <c r="AO15" s="248">
        <v>2613.0</v>
      </c>
      <c r="AP15" s="248">
        <v>1303.56</v>
      </c>
      <c r="AQ15" s="248"/>
      <c r="AR15" s="248">
        <v>1.193111727E7</v>
      </c>
      <c r="AS15" s="248">
        <v>9415520.25</v>
      </c>
      <c r="AT15" s="249">
        <v>2359371.02</v>
      </c>
      <c r="AU15" s="248">
        <v>156226.0</v>
      </c>
      <c r="AV15" s="252">
        <v>9571746.25</v>
      </c>
      <c r="AW15" s="248">
        <v>5738.0</v>
      </c>
      <c r="AX15" s="248">
        <v>1641.91</v>
      </c>
      <c r="AY15" s="248">
        <v>1956.0</v>
      </c>
      <c r="AZ15" s="248">
        <v>1297.07</v>
      </c>
      <c r="BA15" s="248"/>
      <c r="BB15" s="248">
        <v>8814733.83</v>
      </c>
      <c r="BC15" s="249">
        <v>4677508.0</v>
      </c>
      <c r="BD15" s="248">
        <v>3496559.83</v>
      </c>
      <c r="BE15" s="249">
        <v>640666.0</v>
      </c>
      <c r="BF15" s="248">
        <v>5318174.0</v>
      </c>
      <c r="BG15" s="248">
        <v>4850.0</v>
      </c>
      <c r="BH15" s="248">
        <v>965.43</v>
      </c>
      <c r="BI15" s="248">
        <v>3547.0</v>
      </c>
      <c r="BJ15" s="248">
        <v>1303.71</v>
      </c>
      <c r="BK15" s="248"/>
      <c r="BL15" s="248">
        <v>269945.41</v>
      </c>
      <c r="BM15" s="248">
        <v>0.0</v>
      </c>
      <c r="BN15" s="248">
        <v>269945.41</v>
      </c>
      <c r="BO15" s="248">
        <v>0.0</v>
      </c>
      <c r="BP15" s="248">
        <v>0.0</v>
      </c>
      <c r="BQ15" s="248">
        <v>0.0</v>
      </c>
      <c r="BR15" s="248">
        <v>599.0</v>
      </c>
      <c r="BS15" s="248">
        <v>450.66</v>
      </c>
      <c r="BT15" s="248"/>
      <c r="BU15" s="248">
        <v>333501.82</v>
      </c>
      <c r="BV15" s="248">
        <v>0.0</v>
      </c>
      <c r="BW15" s="248">
        <v>103864.57</v>
      </c>
      <c r="BX15" s="248">
        <v>229637.25</v>
      </c>
      <c r="BY15" s="248">
        <v>229637.25</v>
      </c>
      <c r="BZ15" s="248">
        <v>0.0</v>
      </c>
      <c r="CA15" s="248">
        <v>0.0</v>
      </c>
      <c r="CB15" s="248">
        <v>248.0</v>
      </c>
      <c r="CC15" s="248">
        <v>487.63</v>
      </c>
      <c r="CD15" s="248"/>
      <c r="CE15" s="248">
        <v>670011.57</v>
      </c>
      <c r="CF15" s="249">
        <v>0.0</v>
      </c>
      <c r="CG15" s="248">
        <v>401899.2</v>
      </c>
      <c r="CH15" s="248">
        <v>268112.37</v>
      </c>
      <c r="CI15" s="248">
        <v>268112.37</v>
      </c>
      <c r="CJ15" s="248">
        <v>0.0</v>
      </c>
      <c r="CK15" s="248">
        <v>0.0</v>
      </c>
      <c r="CL15" s="248">
        <v>1154.0</v>
      </c>
      <c r="CM15" s="248">
        <v>521.27</v>
      </c>
      <c r="CN15" s="248"/>
      <c r="CO15" s="249">
        <v>610855.05</v>
      </c>
      <c r="CP15" s="248">
        <v>0.0</v>
      </c>
      <c r="CQ15" s="248">
        <v>610855.05</v>
      </c>
      <c r="CR15" s="248">
        <v>0.0</v>
      </c>
      <c r="CS15" s="248">
        <v>0.0</v>
      </c>
      <c r="CT15" s="248">
        <v>0.0</v>
      </c>
      <c r="CU15" s="248">
        <v>0.0</v>
      </c>
      <c r="CV15" s="248">
        <v>1203.0</v>
      </c>
      <c r="CW15" s="248">
        <v>507.78</v>
      </c>
      <c r="CX15" s="248"/>
      <c r="CY15" s="248">
        <v>404859.4</v>
      </c>
      <c r="CZ15" s="248">
        <v>0.0</v>
      </c>
      <c r="DA15" s="248">
        <v>404859.4</v>
      </c>
      <c r="DB15" s="248">
        <v>0.0</v>
      </c>
      <c r="DC15" s="248">
        <v>0.0</v>
      </c>
      <c r="DD15" s="248">
        <v>0.0</v>
      </c>
      <c r="DE15" s="249">
        <v>859.0</v>
      </c>
      <c r="DF15" s="248">
        <v>471.31</v>
      </c>
      <c r="DG15" s="248"/>
      <c r="DH15" s="248">
        <v>1.5236383E7</v>
      </c>
      <c r="DI15" s="248">
        <v>1.4660248E7</v>
      </c>
      <c r="DJ15" s="248">
        <v>444905.0</v>
      </c>
      <c r="DK15" s="248">
        <v>131230.0</v>
      </c>
      <c r="DL15" s="248">
        <v>1.4791478E7</v>
      </c>
      <c r="DM15" s="248">
        <v>4719.0</v>
      </c>
      <c r="DN15" s="248">
        <v>3107.64</v>
      </c>
      <c r="DO15" s="248">
        <v>349.0</v>
      </c>
      <c r="DP15" s="248">
        <v>1508.15</v>
      </c>
      <c r="DQ15" s="248"/>
      <c r="DR15" s="248">
        <v>541603.11</v>
      </c>
      <c r="DS15" s="248">
        <v>0.0</v>
      </c>
      <c r="DT15" s="248">
        <v>469898.11</v>
      </c>
      <c r="DU15" s="248">
        <v>71705.0</v>
      </c>
      <c r="DV15" s="248">
        <v>71705.0</v>
      </c>
      <c r="DW15" s="248">
        <v>0.0</v>
      </c>
      <c r="DX15" s="248">
        <v>0.0</v>
      </c>
      <c r="DY15" s="248">
        <v>501.0</v>
      </c>
      <c r="DZ15" s="248">
        <v>987.18</v>
      </c>
    </row>
    <row r="16" ht="15.75" customHeight="1">
      <c r="B16" s="245" t="s">
        <v>106</v>
      </c>
      <c r="C16" s="186"/>
      <c r="D16" s="186"/>
      <c r="E16" s="186"/>
      <c r="F16" s="186"/>
      <c r="G16" s="186"/>
      <c r="H16" s="186"/>
      <c r="I16" s="186"/>
      <c r="J16" s="186"/>
      <c r="K16" s="186"/>
      <c r="L16" s="186"/>
      <c r="M16" s="189">
        <f>'Mg St LP'!D9</f>
        <v>4402487.37</v>
      </c>
      <c r="N16" s="189">
        <f>'Mg St LP'!J9</f>
        <v>4974938.88</v>
      </c>
      <c r="O16" s="186"/>
      <c r="P16" s="186"/>
      <c r="Q16" s="186"/>
      <c r="R16" s="186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</row>
    <row r="17" ht="15.75" customHeight="1">
      <c r="B17" s="245" t="s">
        <v>113</v>
      </c>
      <c r="C17" s="186"/>
      <c r="D17" s="186"/>
      <c r="E17" s="186"/>
      <c r="F17" s="186"/>
      <c r="G17" s="186"/>
      <c r="H17" s="186"/>
      <c r="I17" s="186"/>
      <c r="J17" s="186"/>
      <c r="K17" s="186"/>
      <c r="L17" s="186"/>
      <c r="M17" s="189">
        <f>'Mg St LP'!D10</f>
        <v>-3600</v>
      </c>
      <c r="N17" s="189">
        <f>'Mg St LP'!J10</f>
        <v>-11400</v>
      </c>
      <c r="O17" s="186"/>
      <c r="P17" s="186"/>
      <c r="Q17" s="186"/>
      <c r="R17" s="186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4"/>
      <c r="AH17" s="4"/>
      <c r="AI17" s="4"/>
      <c r="AJ17" s="4"/>
      <c r="AK17" s="3"/>
      <c r="AL17" s="3"/>
      <c r="AM17" s="3"/>
      <c r="AN17" s="255">
        <f>(AN15-AN4)/AN4</f>
        <v>0.1663828589</v>
      </c>
      <c r="AO17" s="3"/>
      <c r="AP17" s="255">
        <f>(AP15-AP4)/AP4</f>
        <v>-0.05278302572</v>
      </c>
      <c r="AQ17" s="4"/>
      <c r="AR17" s="4"/>
      <c r="AS17" s="4"/>
      <c r="AT17" s="3"/>
      <c r="AU17" s="3"/>
      <c r="AV17" s="3"/>
      <c r="AW17" s="3"/>
      <c r="AX17" s="255">
        <f>(AX15-AX4)/AX4</f>
        <v>0.1144286374</v>
      </c>
      <c r="AY17" s="3"/>
      <c r="AZ17" s="255">
        <f>(AZ15-AZ4)/AZ4</f>
        <v>-0.09115305922</v>
      </c>
      <c r="BA17" s="4"/>
      <c r="BB17" s="4"/>
      <c r="BC17" s="3"/>
      <c r="BD17" s="3"/>
      <c r="BE17" s="3"/>
      <c r="BF17" s="3"/>
      <c r="BG17" s="3"/>
      <c r="BH17" s="255">
        <f>(BH15-BH4)/BH4</f>
        <v>0.05533389447</v>
      </c>
      <c r="BI17" s="3"/>
      <c r="BJ17" s="255">
        <f>(BJ15-BJ4)/BJ4</f>
        <v>-0.1173913927</v>
      </c>
      <c r="BK17" s="4"/>
      <c r="BL17" s="3"/>
      <c r="BM17" s="3"/>
      <c r="BN17" s="3"/>
      <c r="BO17" s="3"/>
      <c r="BP17" s="3"/>
      <c r="BQ17" s="4"/>
      <c r="BR17" s="4"/>
      <c r="BS17" s="4"/>
      <c r="BT17" s="4"/>
      <c r="BU17" s="3"/>
      <c r="BV17" s="3"/>
      <c r="BW17" s="3"/>
      <c r="BX17" s="3"/>
      <c r="BY17" s="3"/>
      <c r="BZ17" s="4"/>
      <c r="CA17" s="4"/>
      <c r="CB17" s="4"/>
      <c r="CC17" s="4"/>
      <c r="CD17" s="3"/>
      <c r="CE17" s="3"/>
      <c r="CF17" s="3"/>
      <c r="CG17" s="3"/>
      <c r="CH17" s="3"/>
      <c r="CI17" s="4"/>
      <c r="CJ17" s="4"/>
      <c r="CK17" s="4"/>
      <c r="CL17" s="4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4"/>
      <c r="DB17" s="4"/>
      <c r="DC17" s="4"/>
      <c r="DD17" s="4"/>
      <c r="DE17" s="3"/>
      <c r="DF17" s="3"/>
      <c r="DG17" s="3"/>
      <c r="DH17" s="3"/>
      <c r="DI17" s="3"/>
      <c r="DJ17" s="4"/>
      <c r="DK17" s="4"/>
      <c r="DL17" s="4"/>
      <c r="DM17" s="4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</row>
    <row r="18" ht="15.75" customHeight="1">
      <c r="B18" s="245" t="s">
        <v>120</v>
      </c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9">
        <f>'Mg St LP'!D11</f>
        <v>943.4267599</v>
      </c>
      <c r="N18" s="189">
        <f>'Mg St LP'!J11</f>
        <v>964.4346392</v>
      </c>
      <c r="O18" s="186"/>
      <c r="P18" s="186"/>
      <c r="Q18" s="186"/>
      <c r="R18" s="186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256"/>
      <c r="AH18" s="238"/>
      <c r="AI18" s="238"/>
      <c r="AJ18" s="238"/>
      <c r="AK18" s="3"/>
      <c r="AL18" s="3"/>
      <c r="AM18" s="3"/>
      <c r="AN18" s="3"/>
      <c r="AO18" s="3"/>
      <c r="AP18" s="256"/>
      <c r="AQ18" s="238"/>
      <c r="AR18" s="238"/>
      <c r="AS18" s="238"/>
      <c r="AT18" s="3"/>
      <c r="AV18" s="3"/>
      <c r="AW18" s="3"/>
      <c r="AX18" s="3"/>
      <c r="AY18" s="256"/>
      <c r="AZ18" s="238"/>
      <c r="BA18" s="238"/>
      <c r="BB18" s="238"/>
      <c r="BC18" s="3"/>
      <c r="BE18" s="3"/>
      <c r="BF18" s="3"/>
      <c r="BG18" s="3"/>
      <c r="BH18" s="256"/>
      <c r="BI18" s="238"/>
      <c r="BJ18" s="238"/>
      <c r="BK18" s="238"/>
      <c r="BL18" s="3"/>
      <c r="BM18" s="3"/>
      <c r="BN18" s="3"/>
      <c r="BO18" s="3"/>
      <c r="BP18" s="3"/>
      <c r="BQ18" s="256"/>
      <c r="BR18" s="238"/>
      <c r="BS18" s="238"/>
      <c r="BT18" s="238"/>
      <c r="BU18" s="3"/>
      <c r="BW18" s="3"/>
      <c r="BX18" s="3"/>
      <c r="BY18" s="3"/>
      <c r="BZ18" s="256"/>
      <c r="CA18" s="238"/>
      <c r="CB18" s="238"/>
      <c r="CC18" s="238"/>
      <c r="CD18" s="3"/>
      <c r="CE18" s="3"/>
      <c r="CF18" s="3"/>
      <c r="CG18" s="3"/>
      <c r="CH18" s="3"/>
      <c r="CI18" s="256"/>
      <c r="CJ18" s="238"/>
      <c r="CK18" s="238"/>
      <c r="CL18" s="238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256"/>
      <c r="DB18" s="238"/>
      <c r="DC18" s="238"/>
      <c r="DD18" s="238"/>
      <c r="DE18" s="3"/>
      <c r="DF18" s="3"/>
      <c r="DG18" s="3"/>
      <c r="DH18" s="3"/>
      <c r="DI18" s="3"/>
      <c r="DJ18" s="256"/>
      <c r="DK18" s="238"/>
      <c r="DL18" s="238"/>
      <c r="DM18" s="238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</row>
    <row r="19" ht="15.75" customHeight="1">
      <c r="B19" s="245" t="s">
        <v>127</v>
      </c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9">
        <f>'Mg St LP'!D12</f>
        <v>1475.858991</v>
      </c>
      <c r="N19" s="189">
        <f>'Mg St LP'!J12</f>
        <v>1402.57651</v>
      </c>
      <c r="O19" s="186"/>
      <c r="P19" s="186"/>
      <c r="Q19" s="186"/>
      <c r="R19" s="186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256"/>
      <c r="AH19" s="256"/>
      <c r="AI19" s="256"/>
      <c r="AJ19" s="256"/>
      <c r="AK19" s="3"/>
      <c r="AL19" s="3"/>
      <c r="AM19" s="3"/>
      <c r="AN19" s="3"/>
      <c r="AO19" s="3"/>
      <c r="AP19" s="256"/>
      <c r="AQ19" s="256"/>
      <c r="AR19" s="256"/>
      <c r="AS19" s="256"/>
      <c r="AT19" s="3"/>
      <c r="AU19" s="3"/>
      <c r="AV19" s="3"/>
      <c r="AW19" s="3"/>
      <c r="AX19" s="3"/>
      <c r="AY19" s="256"/>
      <c r="AZ19" s="256"/>
      <c r="BA19" s="256"/>
      <c r="BB19" s="256"/>
      <c r="BC19" s="3"/>
      <c r="BD19" s="3"/>
      <c r="BE19" s="3"/>
      <c r="BF19" s="3"/>
      <c r="BG19" s="3"/>
      <c r="BH19" s="256"/>
      <c r="BI19" s="256"/>
      <c r="BJ19" s="256"/>
      <c r="BK19" s="256"/>
      <c r="BL19" s="3"/>
      <c r="BM19" s="3"/>
      <c r="BN19" s="3"/>
      <c r="BO19" s="3"/>
      <c r="BP19" s="3"/>
      <c r="BQ19" s="256"/>
      <c r="BR19" s="256"/>
      <c r="BS19" s="256"/>
      <c r="BT19" s="256"/>
      <c r="BU19" s="3"/>
      <c r="BV19" s="3"/>
      <c r="BW19" s="3"/>
      <c r="BX19" s="3"/>
      <c r="BY19" s="3"/>
      <c r="BZ19" s="256"/>
      <c r="CA19" s="256"/>
      <c r="CB19" s="256"/>
      <c r="CC19" s="256"/>
      <c r="CD19" s="3"/>
      <c r="CE19" s="3"/>
      <c r="CF19" s="3"/>
      <c r="CG19" s="3"/>
      <c r="CH19" s="3"/>
      <c r="CI19" s="256"/>
      <c r="CJ19" s="256"/>
      <c r="CK19" s="256"/>
      <c r="CL19" s="256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256"/>
      <c r="DB19" s="256"/>
      <c r="DC19" s="256"/>
      <c r="DD19" s="256"/>
      <c r="DE19" s="3"/>
      <c r="DF19" s="3"/>
      <c r="DG19" s="3"/>
      <c r="DH19" s="3"/>
      <c r="DI19" s="3"/>
      <c r="DJ19" s="256"/>
      <c r="DK19" s="256"/>
      <c r="DL19" s="256"/>
      <c r="DM19" s="256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</row>
    <row r="20" ht="15.75" customHeight="1"/>
    <row r="21" ht="15.75" customHeight="1">
      <c r="B21" s="188" t="s">
        <v>165</v>
      </c>
      <c r="C21" s="187">
        <v>45444.0</v>
      </c>
      <c r="D21" s="187">
        <v>45474.0</v>
      </c>
      <c r="E21" s="187">
        <v>45505.0</v>
      </c>
      <c r="F21" s="188" t="s">
        <v>74</v>
      </c>
      <c r="G21" s="187">
        <v>45566.0</v>
      </c>
      <c r="H21" s="187">
        <v>45597.0</v>
      </c>
      <c r="I21" s="187">
        <v>45627.0</v>
      </c>
      <c r="J21" s="187">
        <v>45658.0</v>
      </c>
      <c r="K21" s="187">
        <v>45689.0</v>
      </c>
      <c r="L21" s="187">
        <v>45717.0</v>
      </c>
      <c r="M21" s="187">
        <v>45748.0</v>
      </c>
      <c r="N21" s="187">
        <v>45778.0</v>
      </c>
      <c r="O21" s="188"/>
      <c r="P21" s="188"/>
      <c r="Q21" s="188"/>
      <c r="R21" s="188"/>
    </row>
    <row r="22" ht="15.75" customHeight="1">
      <c r="B22" s="245" t="s">
        <v>85</v>
      </c>
      <c r="C22" s="189">
        <v>7526.0</v>
      </c>
      <c r="D22" s="189">
        <v>7144.0</v>
      </c>
      <c r="E22" s="189">
        <v>7634.0</v>
      </c>
      <c r="F22" s="189">
        <v>6608.0</v>
      </c>
      <c r="G22" s="189">
        <v>6633.0</v>
      </c>
      <c r="H22" s="189">
        <v>6458.0</v>
      </c>
      <c r="I22" s="189">
        <v>7370.0</v>
      </c>
      <c r="J22" s="189">
        <v>6551.0</v>
      </c>
      <c r="K22" s="189">
        <v>5823.0</v>
      </c>
      <c r="L22" s="189">
        <v>6514.0</v>
      </c>
      <c r="M22" s="189">
        <f>'Mg St Bandra'!D6</f>
        <v>7363</v>
      </c>
      <c r="N22" s="189">
        <f>'Mg St Bandra'!J6</f>
        <v>7332</v>
      </c>
      <c r="O22" s="186"/>
      <c r="P22" s="186"/>
      <c r="Q22" s="186"/>
      <c r="R22" s="186"/>
    </row>
    <row r="23" ht="15.75" customHeight="1">
      <c r="B23" s="245" t="s">
        <v>92</v>
      </c>
      <c r="C23" s="189">
        <v>1229.0</v>
      </c>
      <c r="D23" s="189">
        <v>1332.0</v>
      </c>
      <c r="E23" s="189">
        <v>1601.0</v>
      </c>
      <c r="F23" s="189">
        <v>1772.0</v>
      </c>
      <c r="G23" s="189">
        <v>1837.0</v>
      </c>
      <c r="H23" s="189">
        <v>1962.0</v>
      </c>
      <c r="I23" s="189">
        <v>2057.0</v>
      </c>
      <c r="J23" s="189">
        <v>1952.0</v>
      </c>
      <c r="K23" s="189">
        <v>2116.0</v>
      </c>
      <c r="L23" s="189">
        <v>2436.0</v>
      </c>
      <c r="M23" s="189">
        <f>'Mg St Bandra'!D7</f>
        <v>2241</v>
      </c>
      <c r="N23" s="189">
        <f>'Mg St Bandra'!J7</f>
        <v>2613</v>
      </c>
      <c r="O23" s="186"/>
      <c r="P23" s="186"/>
      <c r="Q23" s="186"/>
      <c r="R23" s="186"/>
    </row>
    <row r="24" ht="15.75" customHeight="1">
      <c r="B24" s="245" t="s">
        <v>99</v>
      </c>
      <c r="C24" s="189">
        <v>1.146578075E7</v>
      </c>
      <c r="D24" s="257">
        <v>1.08495985E7</v>
      </c>
      <c r="E24" s="257">
        <v>1.232067425E7</v>
      </c>
      <c r="F24" s="257">
        <v>1.145224E7</v>
      </c>
      <c r="G24" s="257">
        <v>1.15120215E7</v>
      </c>
      <c r="H24" s="257">
        <v>1.10224485E7</v>
      </c>
      <c r="I24" s="257">
        <v>1.2872772E7</v>
      </c>
      <c r="J24" s="257">
        <v>1.14433195E7</v>
      </c>
      <c r="K24" s="257">
        <v>9878764.0</v>
      </c>
      <c r="L24" s="257">
        <v>1.1175554E7</v>
      </c>
      <c r="M24" s="257">
        <v>1.286432E7</v>
      </c>
      <c r="N24" s="257">
        <v>1.3069572E7</v>
      </c>
      <c r="O24" s="186"/>
      <c r="P24" s="186"/>
      <c r="Q24" s="186"/>
      <c r="R24" s="186"/>
    </row>
    <row r="25" ht="15.75" customHeight="1">
      <c r="B25" s="245" t="s">
        <v>106</v>
      </c>
      <c r="C25" s="189">
        <v>1314270.0</v>
      </c>
      <c r="D25" s="257">
        <v>1431076.0</v>
      </c>
      <c r="E25" s="257">
        <v>1645414.0</v>
      </c>
      <c r="F25" s="257">
        <v>1977000.0</v>
      </c>
      <c r="G25" s="257">
        <v>1984707.12</v>
      </c>
      <c r="H25" s="257">
        <v>2039306.95</v>
      </c>
      <c r="I25" s="257">
        <v>2151840.69</v>
      </c>
      <c r="J25" s="257">
        <v>2056592.58</v>
      </c>
      <c r="K25" s="257">
        <v>2163821.21</v>
      </c>
      <c r="L25" s="257">
        <v>2652789.92</v>
      </c>
      <c r="M25" s="257">
        <v>2496683.06</v>
      </c>
      <c r="N25" s="257">
        <v>2990357.84</v>
      </c>
      <c r="O25" s="186"/>
      <c r="P25" s="186"/>
      <c r="Q25" s="186"/>
      <c r="R25" s="186"/>
    </row>
    <row r="26" ht="15.75" customHeight="1">
      <c r="B26" s="245" t="s">
        <v>113</v>
      </c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>
        <f>'Mg St Bandra'!D10</f>
        <v>-30400</v>
      </c>
      <c r="N26" s="189">
        <f>'Mg St Bandra'!J10</f>
        <v>-30400</v>
      </c>
      <c r="O26" s="186"/>
      <c r="P26" s="186"/>
      <c r="Q26" s="186"/>
      <c r="R26" s="186"/>
    </row>
    <row r="27" ht="15.75" customHeight="1">
      <c r="B27" s="245" t="s">
        <v>120</v>
      </c>
      <c r="C27" s="189">
        <f t="shared" ref="C27:L27" si="1">C24/C22</f>
        <v>1523.489337</v>
      </c>
      <c r="D27" s="189">
        <f t="shared" si="1"/>
        <v>1518.700798</v>
      </c>
      <c r="E27" s="189">
        <f t="shared" si="1"/>
        <v>1613.921175</v>
      </c>
      <c r="F27" s="189">
        <f t="shared" si="1"/>
        <v>1733.087167</v>
      </c>
      <c r="G27" s="189">
        <f t="shared" si="1"/>
        <v>1735.567843</v>
      </c>
      <c r="H27" s="189">
        <f t="shared" si="1"/>
        <v>1706.789796</v>
      </c>
      <c r="I27" s="189">
        <f t="shared" si="1"/>
        <v>1746.644776</v>
      </c>
      <c r="J27" s="189">
        <f t="shared" si="1"/>
        <v>1746.804992</v>
      </c>
      <c r="K27" s="189">
        <f t="shared" si="1"/>
        <v>1696.507642</v>
      </c>
      <c r="L27" s="189">
        <f t="shared" si="1"/>
        <v>1715.620817</v>
      </c>
      <c r="M27" s="189">
        <f>'Mg St Bandra'!D11</f>
        <v>1736.994445</v>
      </c>
      <c r="N27" s="189">
        <f>'Mg St Bandra'!J11</f>
        <v>1738.798691</v>
      </c>
      <c r="O27" s="186"/>
      <c r="P27" s="186"/>
      <c r="Q27" s="186"/>
      <c r="R27" s="186"/>
    </row>
    <row r="28" ht="15.75" customHeight="1">
      <c r="B28" s="245" t="s">
        <v>127</v>
      </c>
      <c r="C28" s="189">
        <f t="shared" ref="C28:L28" si="2">C25/C23</f>
        <v>1069.381611</v>
      </c>
      <c r="D28" s="189">
        <f t="shared" si="2"/>
        <v>1074.381381</v>
      </c>
      <c r="E28" s="189">
        <f t="shared" si="2"/>
        <v>1027.741412</v>
      </c>
      <c r="F28" s="189">
        <f t="shared" si="2"/>
        <v>1115.688488</v>
      </c>
      <c r="G28" s="189">
        <f t="shared" si="2"/>
        <v>1080.406707</v>
      </c>
      <c r="H28" s="189">
        <f t="shared" si="2"/>
        <v>1039.402115</v>
      </c>
      <c r="I28" s="189">
        <f t="shared" si="2"/>
        <v>1046.106315</v>
      </c>
      <c r="J28" s="189">
        <f t="shared" si="2"/>
        <v>1053.582264</v>
      </c>
      <c r="K28" s="189">
        <f t="shared" si="2"/>
        <v>1022.599816</v>
      </c>
      <c r="L28" s="189">
        <f t="shared" si="2"/>
        <v>1088.99422</v>
      </c>
      <c r="M28" s="189">
        <f>'Mg St Bandra'!D12</f>
        <v>1478.656216</v>
      </c>
      <c r="N28" s="189">
        <f>'Mg St Bandra'!J12</f>
        <v>1441.739977</v>
      </c>
      <c r="O28" s="186"/>
      <c r="P28" s="186"/>
      <c r="Q28" s="186"/>
      <c r="R28" s="186"/>
    </row>
    <row r="29" ht="15.75" customHeight="1"/>
    <row r="30" ht="15.75" customHeight="1">
      <c r="B30" s="188" t="s">
        <v>166</v>
      </c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>
        <v>45748.0</v>
      </c>
      <c r="N30" s="187">
        <v>45778.0</v>
      </c>
      <c r="O30" s="188"/>
      <c r="P30" s="188"/>
      <c r="Q30" s="188"/>
      <c r="R30" s="188"/>
    </row>
    <row r="31" ht="15.75" customHeight="1">
      <c r="B31" s="245" t="s">
        <v>85</v>
      </c>
      <c r="C31" s="186"/>
      <c r="D31" s="186"/>
      <c r="E31" s="186"/>
      <c r="F31" s="186"/>
      <c r="G31" s="186"/>
      <c r="H31" s="186"/>
      <c r="I31" s="186"/>
      <c r="J31" s="186"/>
      <c r="K31" s="186"/>
      <c r="L31" s="186"/>
      <c r="M31" s="189">
        <f>'The Table'!D6</f>
        <v>4700</v>
      </c>
      <c r="N31" s="189">
        <f>'The Table'!J6</f>
        <v>4719</v>
      </c>
      <c r="O31" s="186"/>
      <c r="P31" s="186"/>
      <c r="Q31" s="186"/>
      <c r="R31" s="186"/>
    </row>
    <row r="32" ht="15.75" customHeight="1">
      <c r="B32" s="245" t="s">
        <v>92</v>
      </c>
      <c r="C32" s="186"/>
      <c r="D32" s="186"/>
      <c r="E32" s="186"/>
      <c r="F32" s="186"/>
      <c r="G32" s="186"/>
      <c r="H32" s="186"/>
      <c r="I32" s="186"/>
      <c r="J32" s="186"/>
      <c r="K32" s="186"/>
      <c r="L32" s="186"/>
      <c r="M32" s="189">
        <f>'The Table'!D7</f>
        <v>348</v>
      </c>
      <c r="N32" s="189">
        <f>'The Table'!J7</f>
        <v>349</v>
      </c>
      <c r="O32" s="186"/>
      <c r="P32" s="186"/>
      <c r="Q32" s="186"/>
      <c r="R32" s="186"/>
    </row>
    <row r="33" ht="15.75" customHeight="1">
      <c r="B33" s="245" t="s">
        <v>99</v>
      </c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9">
        <f>'The Table'!D8</f>
        <v>15071008.28</v>
      </c>
      <c r="N33" s="189">
        <f>'The Table'!J8</f>
        <v>14660249</v>
      </c>
      <c r="O33" s="186"/>
      <c r="P33" s="186"/>
      <c r="Q33" s="186"/>
      <c r="R33" s="186"/>
    </row>
    <row r="34" ht="15.75" customHeight="1">
      <c r="B34" s="245" t="s">
        <v>106</v>
      </c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9">
        <f>'The Table'!D9</f>
        <v>689838</v>
      </c>
      <c r="N34" s="189">
        <f>'The Table'!J9</f>
        <v>685768.25</v>
      </c>
      <c r="O34" s="186"/>
      <c r="P34" s="186"/>
      <c r="Q34" s="186"/>
      <c r="R34" s="186"/>
    </row>
    <row r="35" ht="15.75" customHeight="1">
      <c r="B35" s="245" t="s">
        <v>113</v>
      </c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9">
        <f>'The Table'!D10</f>
        <v>-17800</v>
      </c>
      <c r="N35" s="189">
        <f>'The Table'!J10</f>
        <v>-16500</v>
      </c>
      <c r="O35" s="186"/>
      <c r="P35" s="186"/>
      <c r="Q35" s="186"/>
      <c r="R35" s="186"/>
    </row>
    <row r="36" ht="15.75" customHeight="1">
      <c r="B36" s="245" t="s">
        <v>167</v>
      </c>
      <c r="C36" s="186"/>
      <c r="D36" s="186"/>
      <c r="E36" s="186"/>
      <c r="F36" s="186"/>
      <c r="G36" s="186"/>
      <c r="H36" s="186"/>
      <c r="I36" s="186"/>
      <c r="J36" s="186"/>
      <c r="K36" s="186"/>
      <c r="L36" s="186"/>
      <c r="M36" s="189">
        <f>'The Table'!D11</f>
        <v>3206.597507</v>
      </c>
      <c r="N36" s="189">
        <f>'The Table'!J11</f>
        <v>3106.643145</v>
      </c>
      <c r="O36" s="186"/>
      <c r="P36" s="186"/>
      <c r="Q36" s="186"/>
      <c r="R36" s="186"/>
    </row>
    <row r="37" ht="15.75" customHeight="1">
      <c r="B37" s="245" t="s">
        <v>127</v>
      </c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9">
        <f>'The Table'!D12</f>
        <v>1982.293103</v>
      </c>
      <c r="N37" s="189">
        <f>'The Table'!J12</f>
        <v>1964.952006</v>
      </c>
      <c r="O37" s="186"/>
      <c r="P37" s="186"/>
      <c r="Q37" s="186"/>
      <c r="R37" s="186"/>
    </row>
    <row r="38" ht="15.75" customHeight="1"/>
    <row r="39" ht="15.75" customHeight="1"/>
    <row r="40" ht="15.75" customHeight="1">
      <c r="N40" s="258">
        <f>6%*(N33+N34)</f>
        <v>920761.035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CY2:CZ2"/>
    <mergeCell ref="DH2:DI2"/>
    <mergeCell ref="AT18:AU18"/>
    <mergeCell ref="BC18:BD18"/>
    <mergeCell ref="BU18:BV18"/>
    <mergeCell ref="AH2:AI2"/>
    <mergeCell ref="AR2:AS2"/>
    <mergeCell ref="BB2:BC2"/>
    <mergeCell ref="BL2:BM2"/>
    <mergeCell ref="BU2:BV2"/>
    <mergeCell ref="CE2:CF2"/>
    <mergeCell ref="CO2:CQ2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6" width="12.63"/>
    <col customWidth="1" min="54" max="54" width="15.25"/>
    <col customWidth="1" min="55" max="58" width="12.63"/>
  </cols>
  <sheetData>
    <row r="1" ht="15.75" customHeight="1">
      <c r="A1" s="184" t="s">
        <v>1</v>
      </c>
      <c r="O1" s="128">
        <f>O12/$K$12</f>
        <v>0.349458975</v>
      </c>
      <c r="S1" s="128">
        <f>S12/$K$12</f>
        <v>0.009799147918</v>
      </c>
      <c r="W1" s="128">
        <f>W12/$K$12</f>
        <v>0.2239676002</v>
      </c>
      <c r="AA1" s="128">
        <f>AA12/$K$12</f>
        <v>0.1442994247</v>
      </c>
      <c r="AE1" s="128">
        <f>AE12/$K$12</f>
        <v>0.2701201097</v>
      </c>
      <c r="BC1" s="3"/>
      <c r="BD1" s="3"/>
      <c r="BE1" s="3"/>
      <c r="BF1" s="3"/>
    </row>
    <row r="2" ht="15.75" customHeight="1">
      <c r="A2" s="128" t="s">
        <v>168</v>
      </c>
      <c r="BC2" s="3"/>
      <c r="BD2" s="3"/>
      <c r="BE2" s="3"/>
      <c r="BF2" s="3"/>
    </row>
    <row r="3" ht="15.75" customHeight="1">
      <c r="B3" s="188"/>
      <c r="C3" s="259" t="s">
        <v>48</v>
      </c>
      <c r="D3" s="260"/>
      <c r="E3" s="260"/>
      <c r="F3" s="261"/>
      <c r="G3" s="259" t="s">
        <v>49</v>
      </c>
      <c r="H3" s="260"/>
      <c r="I3" s="260"/>
      <c r="J3" s="261"/>
      <c r="K3" s="259" t="s">
        <v>5</v>
      </c>
      <c r="L3" s="260"/>
      <c r="M3" s="260"/>
      <c r="N3" s="261"/>
      <c r="O3" s="259" t="s">
        <v>6</v>
      </c>
      <c r="P3" s="260"/>
      <c r="Q3" s="260"/>
      <c r="R3" s="261"/>
      <c r="S3" s="259" t="s">
        <v>7</v>
      </c>
      <c r="T3" s="260"/>
      <c r="U3" s="260"/>
      <c r="V3" s="261"/>
      <c r="W3" s="259" t="s">
        <v>8</v>
      </c>
      <c r="X3" s="260"/>
      <c r="Y3" s="260"/>
      <c r="Z3" s="261"/>
      <c r="AA3" s="259" t="s">
        <v>9</v>
      </c>
      <c r="AB3" s="260"/>
      <c r="AC3" s="260"/>
      <c r="AD3" s="261"/>
      <c r="AE3" s="259" t="s">
        <v>10</v>
      </c>
      <c r="AF3" s="260"/>
      <c r="AG3" s="260"/>
      <c r="AH3" s="261"/>
      <c r="AI3" s="259" t="s">
        <v>11</v>
      </c>
      <c r="AJ3" s="260"/>
      <c r="AK3" s="260"/>
      <c r="AL3" s="261"/>
      <c r="AM3" s="259" t="s">
        <v>12</v>
      </c>
      <c r="AN3" s="260"/>
      <c r="AO3" s="260"/>
      <c r="AP3" s="261"/>
      <c r="AQ3" s="259" t="s">
        <v>13</v>
      </c>
      <c r="AR3" s="260"/>
      <c r="AS3" s="260"/>
      <c r="AT3" s="261"/>
      <c r="AU3" s="259" t="s">
        <v>14</v>
      </c>
      <c r="AV3" s="260"/>
      <c r="AW3" s="260"/>
      <c r="AX3" s="261"/>
      <c r="AY3" s="259" t="s">
        <v>15</v>
      </c>
      <c r="AZ3" s="260"/>
      <c r="BA3" s="260"/>
      <c r="BB3" s="261"/>
      <c r="BC3" s="259" t="s">
        <v>17</v>
      </c>
      <c r="BD3" s="260"/>
      <c r="BE3" s="260"/>
      <c r="BF3" s="261"/>
    </row>
    <row r="4" ht="15.75" customHeight="1">
      <c r="B4" s="188"/>
      <c r="C4" s="188" t="s">
        <v>18</v>
      </c>
      <c r="D4" s="188" t="s">
        <v>19</v>
      </c>
      <c r="E4" s="188" t="s">
        <v>20</v>
      </c>
      <c r="F4" s="188" t="s">
        <v>19</v>
      </c>
      <c r="G4" s="188" t="s">
        <v>18</v>
      </c>
      <c r="H4" s="188" t="s">
        <v>19</v>
      </c>
      <c r="I4" s="188" t="s">
        <v>20</v>
      </c>
      <c r="J4" s="188" t="s">
        <v>19</v>
      </c>
      <c r="K4" s="188" t="s">
        <v>18</v>
      </c>
      <c r="L4" s="188" t="s">
        <v>19</v>
      </c>
      <c r="M4" s="188" t="s">
        <v>20</v>
      </c>
      <c r="N4" s="188" t="s">
        <v>19</v>
      </c>
      <c r="O4" s="188" t="s">
        <v>18</v>
      </c>
      <c r="P4" s="188" t="s">
        <v>19</v>
      </c>
      <c r="Q4" s="188" t="s">
        <v>20</v>
      </c>
      <c r="R4" s="188" t="s">
        <v>19</v>
      </c>
      <c r="S4" s="188" t="s">
        <v>18</v>
      </c>
      <c r="T4" s="188" t="s">
        <v>19</v>
      </c>
      <c r="U4" s="188" t="s">
        <v>20</v>
      </c>
      <c r="V4" s="188" t="s">
        <v>19</v>
      </c>
      <c r="W4" s="188" t="s">
        <v>18</v>
      </c>
      <c r="X4" s="188" t="s">
        <v>19</v>
      </c>
      <c r="Y4" s="188" t="s">
        <v>20</v>
      </c>
      <c r="Z4" s="188" t="s">
        <v>19</v>
      </c>
      <c r="AA4" s="188" t="s">
        <v>18</v>
      </c>
      <c r="AB4" s="188" t="s">
        <v>19</v>
      </c>
      <c r="AC4" s="188" t="s">
        <v>20</v>
      </c>
      <c r="AD4" s="188" t="s">
        <v>19</v>
      </c>
      <c r="AE4" s="188" t="s">
        <v>18</v>
      </c>
      <c r="AF4" s="188" t="s">
        <v>19</v>
      </c>
      <c r="AG4" s="188" t="s">
        <v>20</v>
      </c>
      <c r="AH4" s="188" t="s">
        <v>19</v>
      </c>
      <c r="AI4" s="188" t="s">
        <v>18</v>
      </c>
      <c r="AJ4" s="188" t="s">
        <v>19</v>
      </c>
      <c r="AK4" s="188" t="s">
        <v>20</v>
      </c>
      <c r="AL4" s="188" t="s">
        <v>19</v>
      </c>
      <c r="AM4" s="188" t="s">
        <v>18</v>
      </c>
      <c r="AN4" s="188" t="s">
        <v>19</v>
      </c>
      <c r="AO4" s="188" t="s">
        <v>20</v>
      </c>
      <c r="AP4" s="188" t="s">
        <v>19</v>
      </c>
      <c r="AQ4" s="188" t="s">
        <v>18</v>
      </c>
      <c r="AR4" s="188" t="s">
        <v>19</v>
      </c>
      <c r="AS4" s="188" t="s">
        <v>20</v>
      </c>
      <c r="AT4" s="188" t="s">
        <v>19</v>
      </c>
      <c r="AU4" s="188" t="s">
        <v>21</v>
      </c>
      <c r="AV4" s="188" t="s">
        <v>19</v>
      </c>
      <c r="AW4" s="188" t="s">
        <v>20</v>
      </c>
      <c r="AX4" s="188" t="s">
        <v>19</v>
      </c>
      <c r="AY4" s="188" t="s">
        <v>21</v>
      </c>
      <c r="AZ4" s="188" t="s">
        <v>19</v>
      </c>
      <c r="BA4" s="188" t="s">
        <v>20</v>
      </c>
      <c r="BB4" s="188" t="s">
        <v>19</v>
      </c>
      <c r="BC4" s="188" t="s">
        <v>21</v>
      </c>
      <c r="BD4" s="188" t="s">
        <v>19</v>
      </c>
      <c r="BE4" s="188" t="s">
        <v>20</v>
      </c>
      <c r="BF4" s="188" t="s">
        <v>19</v>
      </c>
    </row>
    <row r="5" ht="15.75" customHeight="1">
      <c r="B5" s="188" t="s">
        <v>22</v>
      </c>
      <c r="C5" s="262">
        <f t="shared" ref="C5:C9" si="1">G5+K5</f>
        <v>5693320.25</v>
      </c>
      <c r="D5" s="263">
        <f t="shared" ref="D5:D10" si="2">C5/C$10</f>
        <v>0.1040574264</v>
      </c>
      <c r="E5" s="262" t="str">
        <f t="shared" ref="E5:E9" si="3">I5+M5</f>
        <v>#REF!</v>
      </c>
      <c r="F5" s="263" t="str">
        <f t="shared" ref="F5:F10" si="4">E5/E$10</f>
        <v>#REF!</v>
      </c>
      <c r="G5" s="189">
        <f>HO!D14</f>
        <v>0</v>
      </c>
      <c r="H5" s="186"/>
      <c r="I5" s="189"/>
      <c r="J5" s="186"/>
      <c r="K5" s="262">
        <f t="shared" ref="K5:K9" si="5">O5+S5+W5+AA5+AE5+AI5+AM5+AQ5+AU5</f>
        <v>5693320.25</v>
      </c>
      <c r="L5" s="263">
        <f t="shared" ref="L5:L10" si="6">K5/K$10</f>
        <v>0.1040574264</v>
      </c>
      <c r="M5" s="262" t="str">
        <f t="shared" ref="M5:M9" si="7">Q5+U5+Y5+AC5+AG5+AK5+AO5+AS5</f>
        <v>#REF!</v>
      </c>
      <c r="N5" s="263" t="str">
        <f t="shared" ref="N5:N10" si="8">M5/M$10</f>
        <v>#REF!</v>
      </c>
      <c r="O5" s="189">
        <f>'The Table'!D26</f>
        <v>969503.75</v>
      </c>
      <c r="P5" s="264">
        <f t="shared" ref="P5:P8" si="9">O5/O$10</f>
        <v>0.06144403852</v>
      </c>
      <c r="Q5" s="189">
        <f>'The Table'!F26</f>
        <v>1791811</v>
      </c>
      <c r="R5" s="264">
        <f t="shared" ref="R5:R8" si="10">Q5/Q$10</f>
        <v>0.1233700373</v>
      </c>
      <c r="S5" s="189">
        <f>Iktara!D22</f>
        <v>0</v>
      </c>
      <c r="T5" s="264">
        <f t="shared" ref="T5:T8" si="11">S5/S$10</f>
        <v>0</v>
      </c>
      <c r="U5" s="189" t="str">
        <f t="shared" ref="U5:U8" si="12">#REF!</f>
        <v>#REF!</v>
      </c>
      <c r="V5" s="264" t="str">
        <f t="shared" ref="V5:V8" si="13">U5/U$10</f>
        <v>#REF!</v>
      </c>
      <c r="W5" s="189">
        <f>'Mg St Colaba'!D28</f>
        <v>1415529</v>
      </c>
      <c r="X5" s="264">
        <f t="shared" ref="X5:X8" si="14">W5/W$10</f>
        <v>0.1139656784</v>
      </c>
      <c r="Y5" s="189">
        <f>'Mg St Colaba'!F28</f>
        <v>1391765</v>
      </c>
      <c r="Z5" s="264">
        <f t="shared" ref="Z5:Z8" si="15">Y5/Y$10</f>
        <v>0.1074769974</v>
      </c>
      <c r="AA5" s="189">
        <f>'Mg St LP'!D27</f>
        <v>1342152.5</v>
      </c>
      <c r="AB5" s="264">
        <f t="shared" ref="AB5:AB8" si="16">AA5/AA$10</f>
        <v>0.1562940551</v>
      </c>
      <c r="AC5" s="189">
        <f>'Mg St LP'!F27</f>
        <v>1117355</v>
      </c>
      <c r="AD5" s="264">
        <f t="shared" ref="AD5:AD8" si="17">AC5/AC$10</f>
        <v>0.1325358205</v>
      </c>
      <c r="AE5" s="189">
        <f>'Mg St Bandra'!D28</f>
        <v>1966135</v>
      </c>
      <c r="AF5" s="264">
        <f t="shared" ref="AF5:AF8" si="18">AE5/AE$10</f>
        <v>0.1218661697</v>
      </c>
      <c r="AG5" s="189">
        <f>'Mg St Bandra'!F28</f>
        <v>1536484</v>
      </c>
      <c r="AH5" s="264">
        <f t="shared" ref="AH5:AH8" si="19">AG5/AG$10</f>
        <v>0.1003758383</v>
      </c>
      <c r="AI5" s="189">
        <f>'MSK Events'!D23</f>
        <v>0</v>
      </c>
      <c r="AJ5" s="264">
        <f t="shared" ref="AJ5:AJ8" si="20">AI5/AI$10</f>
        <v>0</v>
      </c>
      <c r="AK5" s="189" t="str">
        <f t="shared" ref="AK5:AK8" si="21">#REF!</f>
        <v>#REF!</v>
      </c>
      <c r="AL5" s="186"/>
      <c r="AM5" s="189">
        <f>MSBC!D24</f>
        <v>0</v>
      </c>
      <c r="AN5" s="264">
        <f t="shared" ref="AN5:AN8" si="22">AM5/AM$10</f>
        <v>0</v>
      </c>
      <c r="AO5" s="189">
        <f>MSBC!F24</f>
        <v>0</v>
      </c>
      <c r="AP5" s="264">
        <f t="shared" ref="AP5:AP8" si="23">AO5/AO$10</f>
        <v>0</v>
      </c>
      <c r="AQ5" s="189">
        <f>Kaspers!D26</f>
        <v>0</v>
      </c>
      <c r="AR5" s="264"/>
      <c r="AS5" s="189" t="str">
        <f>Kaspers!F26</f>
        <v/>
      </c>
      <c r="AT5" s="186"/>
      <c r="AU5" s="189">
        <f>'MSBC Andheri'!D24</f>
        <v>0</v>
      </c>
      <c r="AV5" s="186"/>
      <c r="AW5" s="189">
        <v>0.0</v>
      </c>
      <c r="AX5" s="186"/>
      <c r="AY5" s="189">
        <f>'MSBC Dahisar'!F22</f>
        <v>0</v>
      </c>
      <c r="AZ5" s="186"/>
      <c r="BA5" s="189" t="str">
        <f t="shared" ref="BA5:BA7" si="24">#REF!</f>
        <v>#REF!</v>
      </c>
      <c r="BB5" s="186"/>
      <c r="BC5" s="83"/>
      <c r="BD5" s="28"/>
      <c r="BE5" s="83"/>
      <c r="BF5" s="28"/>
    </row>
    <row r="6" ht="15.75" customHeight="1">
      <c r="B6" s="188" t="s">
        <v>23</v>
      </c>
      <c r="C6" s="262">
        <f t="shared" si="1"/>
        <v>6598040</v>
      </c>
      <c r="D6" s="263">
        <f t="shared" si="2"/>
        <v>0.1205930865</v>
      </c>
      <c r="E6" s="262" t="str">
        <f t="shared" si="3"/>
        <v>#REF!</v>
      </c>
      <c r="F6" s="263" t="str">
        <f t="shared" si="4"/>
        <v>#REF!</v>
      </c>
      <c r="G6" s="189">
        <f>HO!D15</f>
        <v>0</v>
      </c>
      <c r="H6" s="186"/>
      <c r="I6" s="189"/>
      <c r="J6" s="186"/>
      <c r="K6" s="262">
        <f t="shared" si="5"/>
        <v>6598040</v>
      </c>
      <c r="L6" s="263">
        <f t="shared" si="6"/>
        <v>0.1205930865</v>
      </c>
      <c r="M6" s="262" t="str">
        <f t="shared" si="7"/>
        <v>#REF!</v>
      </c>
      <c r="N6" s="263" t="str">
        <f t="shared" si="8"/>
        <v>#REF!</v>
      </c>
      <c r="O6" s="189">
        <f>'The Table'!D27</f>
        <v>3845225</v>
      </c>
      <c r="P6" s="264">
        <f t="shared" si="9"/>
        <v>0.243698029</v>
      </c>
      <c r="Q6" s="189">
        <f>'The Table'!F27</f>
        <v>3141713</v>
      </c>
      <c r="R6" s="264">
        <f t="shared" si="10"/>
        <v>0.2163136904</v>
      </c>
      <c r="S6" s="189">
        <f>Iktara!D23</f>
        <v>0</v>
      </c>
      <c r="T6" s="264">
        <f t="shared" si="11"/>
        <v>0</v>
      </c>
      <c r="U6" s="189" t="str">
        <f t="shared" si="12"/>
        <v>#REF!</v>
      </c>
      <c r="V6" s="264" t="str">
        <f t="shared" si="13"/>
        <v>#REF!</v>
      </c>
      <c r="W6" s="189">
        <f>'Mg St Colaba'!D29</f>
        <v>877230</v>
      </c>
      <c r="X6" s="264">
        <f t="shared" si="14"/>
        <v>0.07062667883</v>
      </c>
      <c r="Y6" s="189">
        <f>'Mg St Colaba'!F29</f>
        <v>920104.78</v>
      </c>
      <c r="Z6" s="264">
        <f t="shared" si="15"/>
        <v>0.07105373322</v>
      </c>
      <c r="AA6" s="189">
        <f>'Mg St LP'!D28</f>
        <v>0</v>
      </c>
      <c r="AB6" s="264">
        <f t="shared" si="16"/>
        <v>0</v>
      </c>
      <c r="AC6" s="189">
        <f>'Mg St LP'!F28</f>
        <v>0</v>
      </c>
      <c r="AD6" s="264">
        <f t="shared" si="17"/>
        <v>0</v>
      </c>
      <c r="AE6" s="189">
        <f>'Mg St Bandra'!D29</f>
        <v>1875585</v>
      </c>
      <c r="AF6" s="264">
        <f t="shared" si="18"/>
        <v>0.1162536448</v>
      </c>
      <c r="AG6" s="189">
        <f>'Mg St Bandra'!F29</f>
        <v>1925638</v>
      </c>
      <c r="AH6" s="264">
        <f t="shared" si="19"/>
        <v>0.125798595</v>
      </c>
      <c r="AI6" s="189">
        <f>'MSK Events'!D24</f>
        <v>0</v>
      </c>
      <c r="AJ6" s="264">
        <f t="shared" si="20"/>
        <v>0</v>
      </c>
      <c r="AK6" s="189" t="str">
        <f t="shared" si="21"/>
        <v>#REF!</v>
      </c>
      <c r="AL6" s="186"/>
      <c r="AM6" s="189">
        <f>MSBC!D25</f>
        <v>0</v>
      </c>
      <c r="AN6" s="264">
        <f t="shared" si="22"/>
        <v>0</v>
      </c>
      <c r="AO6" s="189">
        <f>MSBC!F25</f>
        <v>0</v>
      </c>
      <c r="AP6" s="264">
        <f t="shared" si="23"/>
        <v>0</v>
      </c>
      <c r="AQ6" s="189">
        <f>Kaspers!D27</f>
        <v>0</v>
      </c>
      <c r="AR6" s="264"/>
      <c r="AS6" s="189" t="str">
        <f>Kaspers!F27</f>
        <v/>
      </c>
      <c r="AT6" s="186"/>
      <c r="AU6" s="189">
        <f>'MSBC Andheri'!D25</f>
        <v>0</v>
      </c>
      <c r="AV6" s="186"/>
      <c r="AW6" s="189">
        <v>0.0</v>
      </c>
      <c r="AX6" s="186"/>
      <c r="AY6" s="189">
        <f>'MSBC Dahisar'!F23</f>
        <v>0</v>
      </c>
      <c r="AZ6" s="186"/>
      <c r="BA6" s="189" t="str">
        <f t="shared" si="24"/>
        <v>#REF!</v>
      </c>
      <c r="BB6" s="186"/>
      <c r="BC6" s="114"/>
      <c r="BD6" s="43"/>
      <c r="BE6" s="114"/>
      <c r="BF6" s="43"/>
    </row>
    <row r="7" ht="15.75" customHeight="1">
      <c r="B7" s="188" t="s">
        <v>24</v>
      </c>
      <c r="C7" s="262">
        <f t="shared" si="1"/>
        <v>38664458.31</v>
      </c>
      <c r="D7" s="263">
        <f t="shared" si="2"/>
        <v>0.7066744619</v>
      </c>
      <c r="E7" s="262" t="str">
        <f t="shared" si="3"/>
        <v>#REF!</v>
      </c>
      <c r="F7" s="263" t="str">
        <f t="shared" si="4"/>
        <v>#REF!</v>
      </c>
      <c r="G7" s="189">
        <f>HO!D16</f>
        <v>0</v>
      </c>
      <c r="H7" s="186"/>
      <c r="I7" s="189"/>
      <c r="J7" s="186"/>
      <c r="K7" s="262">
        <f t="shared" si="5"/>
        <v>38664458.31</v>
      </c>
      <c r="L7" s="263">
        <f t="shared" si="6"/>
        <v>0.7066744619</v>
      </c>
      <c r="M7" s="262" t="str">
        <f t="shared" si="7"/>
        <v>#REF!</v>
      </c>
      <c r="N7" s="263" t="str">
        <f t="shared" si="8"/>
        <v>#REF!</v>
      </c>
      <c r="O7" s="189">
        <f>'The Table'!D28</f>
        <v>9578800</v>
      </c>
      <c r="P7" s="264">
        <f t="shared" si="9"/>
        <v>0.6070736252</v>
      </c>
      <c r="Q7" s="189">
        <f>'The Table'!F28</f>
        <v>8498340</v>
      </c>
      <c r="R7" s="264">
        <f t="shared" si="10"/>
        <v>0.5851289687</v>
      </c>
      <c r="S7" s="189">
        <f>Iktara!D24</f>
        <v>450294.32</v>
      </c>
      <c r="T7" s="264">
        <f t="shared" si="11"/>
        <v>1</v>
      </c>
      <c r="U7" s="189" t="str">
        <f t="shared" si="12"/>
        <v>#REF!</v>
      </c>
      <c r="V7" s="264" t="str">
        <f t="shared" si="13"/>
        <v>#REF!</v>
      </c>
      <c r="W7" s="189">
        <f>'Mg St Colaba'!D30</f>
        <v>9290133.04</v>
      </c>
      <c r="X7" s="264">
        <f t="shared" si="14"/>
        <v>0.7479580526</v>
      </c>
      <c r="Y7" s="189">
        <f>'Mg St Colaba'!F30</f>
        <v>9772324</v>
      </c>
      <c r="Z7" s="264">
        <f t="shared" si="15"/>
        <v>0.7546532933</v>
      </c>
      <c r="AA7" s="189">
        <f>'Mg St LP'!D29</f>
        <v>6876421.37</v>
      </c>
      <c r="AB7" s="264">
        <f t="shared" si="16"/>
        <v>0.8007613001</v>
      </c>
      <c r="AC7" s="189">
        <f>'Mg St LP'!F29</f>
        <v>6839784</v>
      </c>
      <c r="AD7" s="264">
        <f t="shared" si="17"/>
        <v>0.8113056141</v>
      </c>
      <c r="AE7" s="189">
        <f>'Mg St Bandra'!D30</f>
        <v>11126071.58</v>
      </c>
      <c r="AF7" s="264">
        <f t="shared" si="18"/>
        <v>0.6896229035</v>
      </c>
      <c r="AG7" s="189">
        <f>'Mg St Bandra'!F30</f>
        <v>10581281</v>
      </c>
      <c r="AH7" s="264">
        <f t="shared" si="19"/>
        <v>0.6912567593</v>
      </c>
      <c r="AI7" s="189">
        <f>'MSK Events'!D25</f>
        <v>981705</v>
      </c>
      <c r="AJ7" s="264">
        <f t="shared" si="20"/>
        <v>1</v>
      </c>
      <c r="AK7" s="189" t="str">
        <f t="shared" si="21"/>
        <v>#REF!</v>
      </c>
      <c r="AL7" s="186"/>
      <c r="AM7" s="189">
        <f>MSBC!D26</f>
        <v>314020</v>
      </c>
      <c r="AN7" s="264">
        <f t="shared" si="22"/>
        <v>1</v>
      </c>
      <c r="AO7" s="189">
        <f>MSBC!F26</f>
        <v>80000</v>
      </c>
      <c r="AP7" s="264">
        <f t="shared" si="23"/>
        <v>1</v>
      </c>
      <c r="AQ7" s="189">
        <f>Kaspers!D28</f>
        <v>0</v>
      </c>
      <c r="AR7" s="264"/>
      <c r="AS7" s="189">
        <f>Kaspers!F28</f>
        <v>0</v>
      </c>
      <c r="AT7" s="186"/>
      <c r="AU7" s="189">
        <f>'MSBC Andheri'!D26</f>
        <v>47013</v>
      </c>
      <c r="AV7" s="186"/>
      <c r="AW7" s="189">
        <v>0.0</v>
      </c>
      <c r="AX7" s="186"/>
      <c r="AY7" s="189">
        <f>'MSBC Dahisar'!D24</f>
        <v>0</v>
      </c>
      <c r="AZ7" s="186"/>
      <c r="BA7" s="189" t="str">
        <f t="shared" si="24"/>
        <v>#REF!</v>
      </c>
      <c r="BB7" s="186"/>
      <c r="BC7" s="114"/>
      <c r="BD7" s="43"/>
      <c r="BE7" s="114"/>
      <c r="BF7" s="43"/>
    </row>
    <row r="8" ht="15.75" customHeight="1">
      <c r="B8" s="188" t="s">
        <v>25</v>
      </c>
      <c r="C8" s="262">
        <f t="shared" si="1"/>
        <v>3708533.994</v>
      </c>
      <c r="D8" s="263">
        <f t="shared" si="2"/>
        <v>0.06778127457</v>
      </c>
      <c r="E8" s="262" t="str">
        <f t="shared" si="3"/>
        <v>#REF!</v>
      </c>
      <c r="F8" s="263" t="str">
        <f t="shared" si="4"/>
        <v>#REF!</v>
      </c>
      <c r="G8" s="265">
        <f>HO!D18</f>
        <v>0</v>
      </c>
      <c r="H8" s="186"/>
      <c r="I8" s="189"/>
      <c r="J8" s="186"/>
      <c r="K8" s="262">
        <f t="shared" si="5"/>
        <v>3708533.994</v>
      </c>
      <c r="L8" s="263">
        <f t="shared" si="6"/>
        <v>0.06778127457</v>
      </c>
      <c r="M8" s="262" t="str">
        <f t="shared" si="7"/>
        <v>#REF!</v>
      </c>
      <c r="N8" s="263" t="str">
        <f t="shared" si="8"/>
        <v>#REF!</v>
      </c>
      <c r="O8" s="189">
        <f>'The Table'!D30</f>
        <v>1367317.534</v>
      </c>
      <c r="P8" s="264">
        <f t="shared" si="9"/>
        <v>0.08665620037</v>
      </c>
      <c r="Q8" s="189">
        <f>'The Table'!F30</f>
        <v>1092011</v>
      </c>
      <c r="R8" s="264">
        <f t="shared" si="10"/>
        <v>0.07518730366</v>
      </c>
      <c r="S8" s="265" t="str">
        <f>Iktara!D26</f>
        <v/>
      </c>
      <c r="T8" s="264">
        <f t="shared" si="11"/>
        <v>0</v>
      </c>
      <c r="U8" s="186" t="str">
        <f t="shared" si="12"/>
        <v>#REF!</v>
      </c>
      <c r="V8" s="264" t="str">
        <f t="shared" si="13"/>
        <v>#REF!</v>
      </c>
      <c r="W8" s="189">
        <f>'Mg St Colaba'!D32</f>
        <v>825468.46</v>
      </c>
      <c r="X8" s="264">
        <f t="shared" si="14"/>
        <v>0.06645930464</v>
      </c>
      <c r="Y8" s="189">
        <f>'Mg St Colaba'!F32</f>
        <v>865228.2746</v>
      </c>
      <c r="Z8" s="264">
        <f t="shared" si="15"/>
        <v>0.06681597611</v>
      </c>
      <c r="AA8" s="189">
        <f>'Mg St LP'!D31</f>
        <v>365180.9</v>
      </c>
      <c r="AB8" s="264">
        <f t="shared" si="16"/>
        <v>0.04252542369</v>
      </c>
      <c r="AC8" s="189">
        <f>'Mg St LP'!F31</f>
        <v>473449.7705</v>
      </c>
      <c r="AD8" s="264">
        <f t="shared" si="17"/>
        <v>0.05615856536</v>
      </c>
      <c r="AE8" s="189">
        <f>'Mg St Bandra'!D32</f>
        <v>1150567.1</v>
      </c>
      <c r="AF8" s="264">
        <f t="shared" si="18"/>
        <v>0.07131514645</v>
      </c>
      <c r="AG8" s="189">
        <f>'Mg St Bandra'!F32</f>
        <v>1263906.27</v>
      </c>
      <c r="AH8" s="264">
        <f t="shared" si="19"/>
        <v>0.08256880734</v>
      </c>
      <c r="AI8" s="265" t="str">
        <f>'MSK Events'!D27</f>
        <v/>
      </c>
      <c r="AJ8" s="264">
        <f t="shared" si="20"/>
        <v>0</v>
      </c>
      <c r="AK8" s="186" t="str">
        <f t="shared" si="21"/>
        <v>#REF!</v>
      </c>
      <c r="AL8" s="186"/>
      <c r="AM8" s="189" t="str">
        <f>MSBC!D28</f>
        <v/>
      </c>
      <c r="AN8" s="264">
        <f t="shared" si="22"/>
        <v>0</v>
      </c>
      <c r="AO8" s="186" t="str">
        <f>MSBC!F28</f>
        <v/>
      </c>
      <c r="AP8" s="264">
        <f t="shared" si="23"/>
        <v>0</v>
      </c>
      <c r="AQ8" s="189" t="str">
        <f>Kaspers!D30</f>
        <v/>
      </c>
      <c r="AR8" s="264"/>
      <c r="AS8" s="189" t="str">
        <f>Kaspers!F30</f>
        <v/>
      </c>
      <c r="AT8" s="186"/>
      <c r="AU8" s="189">
        <v>0.0</v>
      </c>
      <c r="AV8" s="186"/>
      <c r="AW8" s="189">
        <v>0.0</v>
      </c>
      <c r="AX8" s="186"/>
      <c r="AY8" s="186"/>
      <c r="AZ8" s="186"/>
      <c r="BA8" s="186"/>
      <c r="BB8" s="186"/>
      <c r="BC8" s="114"/>
      <c r="BD8" s="43"/>
      <c r="BE8" s="114"/>
      <c r="BF8" s="43"/>
    </row>
    <row r="9" ht="15.75" customHeight="1">
      <c r="B9" s="188" t="s">
        <v>169</v>
      </c>
      <c r="C9" s="262">
        <f t="shared" si="1"/>
        <v>48900</v>
      </c>
      <c r="D9" s="263">
        <f t="shared" si="2"/>
        <v>0.000893750558</v>
      </c>
      <c r="E9" s="262">
        <f t="shared" si="3"/>
        <v>0</v>
      </c>
      <c r="F9" s="263" t="str">
        <f t="shared" si="4"/>
        <v>#REF!</v>
      </c>
      <c r="G9" s="190"/>
      <c r="H9" s="188"/>
      <c r="I9" s="190"/>
      <c r="J9" s="188"/>
      <c r="K9" s="262">
        <f t="shared" si="5"/>
        <v>48900</v>
      </c>
      <c r="L9" s="263">
        <f t="shared" si="6"/>
        <v>0.000893750558</v>
      </c>
      <c r="M9" s="262">
        <f t="shared" si="7"/>
        <v>0</v>
      </c>
      <c r="N9" s="263" t="str">
        <f t="shared" si="8"/>
        <v>#REF!</v>
      </c>
      <c r="O9" s="189">
        <f>'The Table'!D22+'The Table'!D23+'The Table'!D24</f>
        <v>17800</v>
      </c>
      <c r="P9" s="189"/>
      <c r="Q9" s="189">
        <f>'The Table'!F22+'The Table'!F23+'The Table'!F24</f>
        <v>0</v>
      </c>
      <c r="R9" s="189"/>
      <c r="S9" s="266">
        <v>0.0</v>
      </c>
      <c r="T9" s="266"/>
      <c r="U9" s="266">
        <v>0.0</v>
      </c>
      <c r="V9" s="266"/>
      <c r="W9" s="266">
        <f>'Mg St Colaba'!D24+'Mg St Colaba'!D25+'Mg St Colaba'!D26</f>
        <v>12300</v>
      </c>
      <c r="X9" s="266"/>
      <c r="Y9" s="266">
        <f>'Mg St Colaba'!F24+'Mg St Colaba'!F25+'Mg St Colaba'!F26</f>
        <v>0</v>
      </c>
      <c r="Z9" s="266"/>
      <c r="AA9" s="266">
        <f>'Mg St LP'!D23+'Mg St LP'!D24+'Mg St LP'!D25</f>
        <v>3600</v>
      </c>
      <c r="AB9" s="266"/>
      <c r="AC9" s="266">
        <f>'Mg St LP'!F23+'Mg St LP'!F24+'Mg St LP'!F25</f>
        <v>0</v>
      </c>
      <c r="AD9" s="266"/>
      <c r="AE9" s="266">
        <f>'Mg St Bandra'!D24+'Mg St Bandra'!D25+'Mg St Bandra'!D26</f>
        <v>15200</v>
      </c>
      <c r="AF9" s="266"/>
      <c r="AG9" s="266">
        <f>'Mg St Bandra'!F24+'Mg St Bandra'!F25+'Mg St Bandra'!F26</f>
        <v>0</v>
      </c>
      <c r="AH9" s="266"/>
      <c r="AI9" s="266">
        <v>0.0</v>
      </c>
      <c r="AJ9" s="266"/>
      <c r="AK9" s="266">
        <v>0.0</v>
      </c>
      <c r="AL9" s="266"/>
      <c r="AM9" s="266">
        <v>0.0</v>
      </c>
      <c r="AN9" s="266"/>
      <c r="AO9" s="266">
        <v>0.0</v>
      </c>
      <c r="AP9" s="266"/>
      <c r="AQ9" s="266">
        <f>Kaspers!D21+Kaspers!D22+Kaspers!D23</f>
        <v>0</v>
      </c>
      <c r="AR9" s="266"/>
      <c r="AS9" s="266">
        <f>Kaspers!F21+Kaspers!F22+Kaspers!F23</f>
        <v>0</v>
      </c>
      <c r="AT9" s="266"/>
      <c r="AU9" s="266">
        <v>0.0</v>
      </c>
      <c r="AV9" s="266"/>
      <c r="AW9" s="266">
        <v>0.0</v>
      </c>
      <c r="AX9" s="266"/>
      <c r="AY9" s="267">
        <v>0.0</v>
      </c>
      <c r="AZ9" s="186"/>
      <c r="BA9" s="267">
        <v>0.0</v>
      </c>
      <c r="BB9" s="186"/>
      <c r="BC9" s="62"/>
      <c r="BD9" s="43"/>
      <c r="BE9" s="114"/>
      <c r="BF9" s="43"/>
    </row>
    <row r="10" ht="15.75" customHeight="1">
      <c r="B10" s="188" t="s">
        <v>27</v>
      </c>
      <c r="C10" s="190">
        <f>SUM(C5:C9)</f>
        <v>54713252.55</v>
      </c>
      <c r="D10" s="263">
        <f t="shared" si="2"/>
        <v>1</v>
      </c>
      <c r="E10" s="190" t="str">
        <f>SUM(E5:E9)</f>
        <v>#REF!</v>
      </c>
      <c r="F10" s="263" t="str">
        <f t="shared" si="4"/>
        <v>#REF!</v>
      </c>
      <c r="G10" s="190">
        <f>SUM(G5:G9)</f>
        <v>0</v>
      </c>
      <c r="H10" s="188"/>
      <c r="I10" s="190"/>
      <c r="J10" s="188"/>
      <c r="K10" s="190">
        <f>SUM(K5:K9)</f>
        <v>54713252.55</v>
      </c>
      <c r="L10" s="263">
        <f t="shared" si="6"/>
        <v>1</v>
      </c>
      <c r="M10" s="190" t="str">
        <f>SUM(M5:M9)</f>
        <v>#REF!</v>
      </c>
      <c r="N10" s="263" t="str">
        <f t="shared" si="8"/>
        <v>#REF!</v>
      </c>
      <c r="O10" s="190">
        <f>SUM(O5:O9)</f>
        <v>15778646.28</v>
      </c>
      <c r="P10" s="188"/>
      <c r="Q10" s="190">
        <f>SUM(Q5:Q9)</f>
        <v>14523875</v>
      </c>
      <c r="R10" s="188"/>
      <c r="S10" s="190">
        <f>SUM(S5:S9)</f>
        <v>450294.32</v>
      </c>
      <c r="T10" s="188"/>
      <c r="U10" s="190" t="str">
        <f>SUM(U5:U9)</f>
        <v>#REF!</v>
      </c>
      <c r="V10" s="188"/>
      <c r="W10" s="190">
        <f>SUM(W5:W9)</f>
        <v>12420660.5</v>
      </c>
      <c r="X10" s="188"/>
      <c r="Y10" s="190">
        <f>SUM(Y5:Y9)</f>
        <v>12949422.05</v>
      </c>
      <c r="Z10" s="188"/>
      <c r="AA10" s="190">
        <f>SUM(AA5:AA9)</f>
        <v>8587354.77</v>
      </c>
      <c r="AB10" s="188"/>
      <c r="AC10" s="190">
        <f>SUM(AC5:AC9)</f>
        <v>8430588.771</v>
      </c>
      <c r="AD10" s="188"/>
      <c r="AE10" s="190">
        <f>SUM(AE5:AE9)</f>
        <v>16133558.68</v>
      </c>
      <c r="AF10" s="188"/>
      <c r="AG10" s="190">
        <f>SUM(AG5:AG9)</f>
        <v>15307309.27</v>
      </c>
      <c r="AH10" s="188"/>
      <c r="AI10" s="190">
        <f>SUM(AI5:AI9)</f>
        <v>981705</v>
      </c>
      <c r="AJ10" s="188"/>
      <c r="AK10" s="190" t="str">
        <f>SUM(AK5:AK9)</f>
        <v>#REF!</v>
      </c>
      <c r="AL10" s="188"/>
      <c r="AM10" s="190">
        <f>SUM(AM5:AM9)</f>
        <v>314020</v>
      </c>
      <c r="AN10" s="188"/>
      <c r="AO10" s="190">
        <f>SUM(AO5:AO9)</f>
        <v>80000</v>
      </c>
      <c r="AP10" s="188"/>
      <c r="AQ10" s="190">
        <f>SUM(AQ5:AQ9)</f>
        <v>0</v>
      </c>
      <c r="AR10" s="188"/>
      <c r="AS10" s="190">
        <f>SUM(AS5:AS9)</f>
        <v>0</v>
      </c>
      <c r="AT10" s="188"/>
      <c r="AU10" s="190">
        <f>SUM(AU5:AU9)</f>
        <v>47013</v>
      </c>
      <c r="AV10" s="188"/>
      <c r="AW10" s="190">
        <f>SUM(AW5:AW9)</f>
        <v>0</v>
      </c>
      <c r="AX10" s="188"/>
      <c r="AY10" s="190">
        <f>SUM(AY5:AY9)</f>
        <v>0</v>
      </c>
      <c r="AZ10" s="188"/>
      <c r="BA10" s="190" t="str">
        <f>SUM(BA5:BA9)</f>
        <v>#REF!</v>
      </c>
      <c r="BB10" s="188"/>
      <c r="BC10" s="146">
        <f>SUM(BC5:BC9)</f>
        <v>0</v>
      </c>
      <c r="BD10" s="188"/>
      <c r="BE10" s="262">
        <f>SUM(BE5:BE9)</f>
        <v>0</v>
      </c>
      <c r="BF10" s="188"/>
    </row>
    <row r="11" ht="15.75" customHeight="1">
      <c r="B11" s="188"/>
      <c r="C11" s="268"/>
      <c r="D11" s="268"/>
      <c r="E11" s="268"/>
      <c r="F11" s="268"/>
      <c r="G11" s="186"/>
      <c r="H11" s="186"/>
      <c r="I11" s="189"/>
      <c r="J11" s="186"/>
      <c r="K11" s="268"/>
      <c r="L11" s="268"/>
      <c r="M11" s="262"/>
      <c r="N11" s="268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  <c r="AA11" s="186"/>
      <c r="AB11" s="186"/>
      <c r="AC11" s="186"/>
      <c r="AD11" s="186"/>
      <c r="AE11" s="186"/>
      <c r="AF11" s="186"/>
      <c r="AG11" s="186"/>
      <c r="AH11" s="186"/>
      <c r="AI11" s="186"/>
      <c r="AJ11" s="186"/>
      <c r="AK11" s="186"/>
      <c r="AL11" s="186"/>
      <c r="AM11" s="186"/>
      <c r="AN11" s="186"/>
      <c r="AO11" s="186"/>
      <c r="AP11" s="186"/>
      <c r="AQ11" s="186"/>
      <c r="AR11" s="186"/>
      <c r="AS11" s="186"/>
      <c r="AT11" s="186"/>
      <c r="AU11" s="186">
        <v>0.0</v>
      </c>
      <c r="AV11" s="186"/>
      <c r="AW11" s="186">
        <v>0.0</v>
      </c>
      <c r="AX11" s="186"/>
      <c r="AY11" s="186"/>
      <c r="AZ11" s="186"/>
      <c r="BA11" s="186"/>
      <c r="BB11" s="186"/>
      <c r="BC11" s="83"/>
      <c r="BD11" s="43"/>
      <c r="BE11" s="114"/>
      <c r="BF11" s="43"/>
    </row>
    <row r="12" ht="15.75" customHeight="1">
      <c r="B12" s="188" t="s">
        <v>29</v>
      </c>
      <c r="C12" s="262">
        <f t="shared" ref="C12:C14" si="25">G12+K12</f>
        <v>17680497.61</v>
      </c>
      <c r="D12" s="263">
        <f t="shared" ref="D12:D14" si="26">C12/C$10</f>
        <v>0.323148356</v>
      </c>
      <c r="E12" s="262" t="str">
        <f t="shared" ref="E12:E13" si="27">I12+M12</f>
        <v>#REF!</v>
      </c>
      <c r="F12" s="263" t="str">
        <f t="shared" ref="F12:F13" si="28">E12/E$10</f>
        <v>#REF!</v>
      </c>
      <c r="G12" s="265">
        <f>HO!D32</f>
        <v>0</v>
      </c>
      <c r="H12" s="186"/>
      <c r="I12" s="189"/>
      <c r="J12" s="186"/>
      <c r="K12" s="262">
        <f t="shared" ref="K12:K13" si="29">O12+S12+W12+AA12+AE12+AI12+AM12+AQ12+AU12</f>
        <v>17680497.61</v>
      </c>
      <c r="L12" s="263">
        <f t="shared" ref="L12:L13" si="30">K12/K$10</f>
        <v>0.323148356</v>
      </c>
      <c r="M12" s="262" t="str">
        <f t="shared" ref="M12:M13" si="31">Q12+U12+Y12+AC12+AG12+AK12+AO12</f>
        <v>#REF!</v>
      </c>
      <c r="N12" s="263" t="str">
        <f t="shared" ref="N12:N13" si="32">M12/M$10</f>
        <v>#REF!</v>
      </c>
      <c r="O12" s="189">
        <f>'The Table'!D41</f>
        <v>6178608.574</v>
      </c>
      <c r="P12" s="264">
        <f t="shared" ref="P12:P13" si="33">O12/O$10</f>
        <v>0.3915803969</v>
      </c>
      <c r="Q12" s="189">
        <f>'The Table'!F41</f>
        <v>4825732.9</v>
      </c>
      <c r="R12" s="264">
        <f t="shared" ref="R12:R13" si="34">Q12/Q$10</f>
        <v>0.3322620788</v>
      </c>
      <c r="S12" s="189">
        <f>Iktara!D38</f>
        <v>173253.8114</v>
      </c>
      <c r="T12" s="264">
        <f t="shared" ref="T12:T13" si="35">S12/S$10</f>
        <v>0.3847568217</v>
      </c>
      <c r="U12" s="189" t="str">
        <f t="shared" ref="U12:U13" si="36">#REF!</f>
        <v>#REF!</v>
      </c>
      <c r="V12" s="264" t="str">
        <f t="shared" ref="V12:V13" si="37">U12/U$10</f>
        <v>#REF!</v>
      </c>
      <c r="W12" s="189">
        <f>'Mg St Colaba'!D51</f>
        <v>3959858.621</v>
      </c>
      <c r="X12" s="264">
        <f t="shared" ref="X12:X13" si="38">W12/W$10</f>
        <v>0.318812242</v>
      </c>
      <c r="Y12" s="189">
        <f>'Mg St Colaba'!F51</f>
        <v>3563763.697</v>
      </c>
      <c r="Z12" s="264">
        <f t="shared" ref="Z12:Z13" si="39">Y12/Y$10</f>
        <v>0.2752063901</v>
      </c>
      <c r="AA12" s="189">
        <f>'Mg St LP'!D52</f>
        <v>2551285.634</v>
      </c>
      <c r="AB12" s="264">
        <f t="shared" ref="AB12:AB13" si="40">AA12/AA$10</f>
        <v>0.2970979659</v>
      </c>
      <c r="AC12" s="189">
        <f>'Mg St LP'!F52</f>
        <v>2022417.379</v>
      </c>
      <c r="AD12" s="264">
        <f t="shared" ref="AD12:AD13" si="41">AC12/AC$10</f>
        <v>0.2398904078</v>
      </c>
      <c r="AE12" s="189">
        <f>'Mg St Bandra'!D51</f>
        <v>4775857.955</v>
      </c>
      <c r="AF12" s="264">
        <f t="shared" ref="AF12:AF13" si="42">AE12/AE$10</f>
        <v>0.2960201186</v>
      </c>
      <c r="AG12" s="189">
        <f>'Mg St Bandra'!F51</f>
        <v>4467065.48</v>
      </c>
      <c r="AH12" s="264">
        <f t="shared" ref="AH12:AH13" si="43">AG12/AG$10</f>
        <v>0.2918256502</v>
      </c>
      <c r="AI12" s="265">
        <f>'MSK Events'!D46</f>
        <v>0</v>
      </c>
      <c r="AJ12" s="264">
        <f>AI12/AI$10</f>
        <v>0</v>
      </c>
      <c r="AK12" s="186" t="str">
        <f t="shared" ref="AK12:AK13" si="44">#REF!</f>
        <v>#REF!</v>
      </c>
      <c r="AL12" s="186"/>
      <c r="AM12" s="189">
        <f>MSBC!D47</f>
        <v>41633.01863</v>
      </c>
      <c r="AN12" s="186"/>
      <c r="AO12" s="186">
        <f>MSBC!F47</f>
        <v>0</v>
      </c>
      <c r="AP12" s="186"/>
      <c r="AQ12" s="189" t="str">
        <f>Kaspers!D48</f>
        <v/>
      </c>
      <c r="AR12" s="186"/>
      <c r="AS12" s="189">
        <f>Kaspers!F49</f>
        <v>0</v>
      </c>
      <c r="AT12" s="186"/>
      <c r="AU12" s="189" t="str">
        <f>'MSBC Andheri'!D43</f>
        <v/>
      </c>
      <c r="AV12" s="186"/>
      <c r="AW12" s="189">
        <v>0.0</v>
      </c>
      <c r="AX12" s="186"/>
      <c r="AY12" s="189">
        <f>'MSBC Dahisar'!D45</f>
        <v>0</v>
      </c>
      <c r="AZ12" s="186"/>
      <c r="BA12" s="186" t="str">
        <f t="shared" ref="BA12:BA13" si="45">#REF!</f>
        <v>#REF!</v>
      </c>
      <c r="BB12" s="186"/>
      <c r="BC12" s="114" t="str">
        <f>'LOUD MOUTH'!D47</f>
        <v/>
      </c>
      <c r="BD12" s="28"/>
      <c r="BE12" s="83"/>
      <c r="BF12" s="28"/>
    </row>
    <row r="13" ht="15.75" customHeight="1">
      <c r="B13" s="188" t="s">
        <v>30</v>
      </c>
      <c r="C13" s="262">
        <f t="shared" si="25"/>
        <v>616080.35</v>
      </c>
      <c r="D13" s="263">
        <f t="shared" si="26"/>
        <v>0.0112601668</v>
      </c>
      <c r="E13" s="262" t="str">
        <f t="shared" si="27"/>
        <v>#REF!</v>
      </c>
      <c r="F13" s="263" t="str">
        <f t="shared" si="28"/>
        <v>#REF!</v>
      </c>
      <c r="G13" s="265" t="str">
        <f>HO!D33</f>
        <v/>
      </c>
      <c r="H13" s="186"/>
      <c r="I13" s="189"/>
      <c r="J13" s="186"/>
      <c r="K13" s="262">
        <f t="shared" si="29"/>
        <v>616080.35</v>
      </c>
      <c r="L13" s="263">
        <f t="shared" si="30"/>
        <v>0.0112601668</v>
      </c>
      <c r="M13" s="262" t="str">
        <f t="shared" si="31"/>
        <v>#REF!</v>
      </c>
      <c r="N13" s="263" t="str">
        <f t="shared" si="32"/>
        <v>#REF!</v>
      </c>
      <c r="O13" s="189">
        <f>'The Table'!D42</f>
        <v>46901.94</v>
      </c>
      <c r="P13" s="264">
        <f t="shared" si="33"/>
        <v>0.002972494545</v>
      </c>
      <c r="Q13" s="189">
        <f>'The Table'!F42</f>
        <v>41638.7784</v>
      </c>
      <c r="R13" s="264">
        <f t="shared" si="34"/>
        <v>0.002866919359</v>
      </c>
      <c r="S13" s="189">
        <f>Iktara!D39</f>
        <v>8852.5</v>
      </c>
      <c r="T13" s="264">
        <f t="shared" si="35"/>
        <v>0.01965936412</v>
      </c>
      <c r="U13" s="189" t="str">
        <f t="shared" si="36"/>
        <v>#REF!</v>
      </c>
      <c r="V13" s="264" t="str">
        <f t="shared" si="37"/>
        <v>#REF!</v>
      </c>
      <c r="W13" s="189">
        <f>'Mg St Colaba'!D52</f>
        <v>143836.61</v>
      </c>
      <c r="X13" s="264">
        <f t="shared" si="38"/>
        <v>0.01158043165</v>
      </c>
      <c r="Y13" s="189">
        <f>'Mg St Colaba'!F52</f>
        <v>113954.9141</v>
      </c>
      <c r="Z13" s="264">
        <f t="shared" si="39"/>
        <v>0.0088</v>
      </c>
      <c r="AA13" s="189">
        <f>'Mg St LP'!D53</f>
        <v>179513.6</v>
      </c>
      <c r="AB13" s="264">
        <f t="shared" si="40"/>
        <v>0.02090441176</v>
      </c>
      <c r="AC13" s="189">
        <f>'Mg St LP'!F53</f>
        <v>81162.8178</v>
      </c>
      <c r="AD13" s="264">
        <f t="shared" si="41"/>
        <v>0.009627182633</v>
      </c>
      <c r="AE13" s="189">
        <f>'Mg St Bandra'!D52</f>
        <v>139258.7</v>
      </c>
      <c r="AF13" s="264">
        <f t="shared" si="42"/>
        <v>0.008631617039</v>
      </c>
      <c r="AG13" s="189">
        <f>'Mg St Bandra'!F52</f>
        <v>84190.20099</v>
      </c>
      <c r="AH13" s="264">
        <f t="shared" si="43"/>
        <v>0.0055</v>
      </c>
      <c r="AI13" s="265">
        <f>'MSK Events'!D47</f>
        <v>745</v>
      </c>
      <c r="AJ13" s="186"/>
      <c r="AK13" s="186" t="str">
        <f t="shared" si="44"/>
        <v>#REF!</v>
      </c>
      <c r="AL13" s="186"/>
      <c r="AM13" s="189">
        <f>MSBC!D48</f>
        <v>96972</v>
      </c>
      <c r="AN13" s="186"/>
      <c r="AO13" s="186" t="str">
        <f>MSBC!F48</f>
        <v/>
      </c>
      <c r="AP13" s="186"/>
      <c r="AQ13" s="189">
        <f>Kaspers!D49</f>
        <v>0</v>
      </c>
      <c r="AR13" s="186"/>
      <c r="AS13" s="189">
        <f>Kaspers!F50</f>
        <v>0</v>
      </c>
      <c r="AT13" s="186"/>
      <c r="AU13" s="189">
        <v>0.0</v>
      </c>
      <c r="AV13" s="186"/>
      <c r="AW13" s="189">
        <v>0.0</v>
      </c>
      <c r="AX13" s="186"/>
      <c r="AY13" s="189" t="str">
        <f>'MSBC Dahisar'!F46</f>
        <v/>
      </c>
      <c r="AZ13" s="186"/>
      <c r="BA13" s="186" t="str">
        <f t="shared" si="45"/>
        <v>#REF!</v>
      </c>
      <c r="BB13" s="186"/>
      <c r="BC13" s="114" t="str">
        <f>'LOUD MOUTH'!D48</f>
        <v/>
      </c>
      <c r="BD13" s="43"/>
      <c r="BE13" s="114"/>
      <c r="BF13" s="43"/>
    </row>
    <row r="14" ht="15.75" customHeight="1">
      <c r="B14" s="188" t="s">
        <v>170</v>
      </c>
      <c r="C14" s="269">
        <f t="shared" si="25"/>
        <v>0</v>
      </c>
      <c r="D14" s="270">
        <f t="shared" si="26"/>
        <v>0</v>
      </c>
      <c r="E14" s="269"/>
      <c r="F14" s="270"/>
      <c r="G14" s="188"/>
      <c r="H14" s="188"/>
      <c r="I14" s="188"/>
      <c r="J14" s="188"/>
      <c r="K14" s="269"/>
      <c r="L14" s="270"/>
      <c r="M14" s="262"/>
      <c r="N14" s="270"/>
      <c r="O14" s="189"/>
      <c r="P14" s="264"/>
      <c r="Q14" s="189"/>
      <c r="R14" s="264"/>
      <c r="S14" s="189"/>
      <c r="T14" s="264"/>
      <c r="U14" s="186"/>
      <c r="V14" s="264"/>
      <c r="W14" s="189"/>
      <c r="X14" s="264"/>
      <c r="Y14" s="186"/>
      <c r="Z14" s="264"/>
      <c r="AA14" s="189"/>
      <c r="AB14" s="264"/>
      <c r="AC14" s="189"/>
      <c r="AD14" s="264"/>
      <c r="AE14" s="189"/>
      <c r="AF14" s="264"/>
      <c r="AG14" s="186"/>
      <c r="AH14" s="264"/>
      <c r="AI14" s="186"/>
      <c r="AJ14" s="186"/>
      <c r="AK14" s="186"/>
      <c r="AL14" s="186"/>
      <c r="AM14" s="189"/>
      <c r="AN14" s="186"/>
      <c r="AO14" s="186"/>
      <c r="AP14" s="186"/>
      <c r="AQ14" s="189" t="str">
        <f>Kaspers!D50</f>
        <v/>
      </c>
      <c r="AR14" s="186"/>
      <c r="AS14" s="189"/>
      <c r="AT14" s="186"/>
      <c r="AY14" s="190">
        <f>SUM(AY12:AY13)</f>
        <v>0</v>
      </c>
      <c r="AZ14" s="188"/>
      <c r="BA14" s="188" t="str">
        <f>SUM(BA12:BA13)</f>
        <v>#REF!</v>
      </c>
      <c r="BB14" s="188"/>
      <c r="BC14" s="146">
        <f>SUM(BC12:BC13)</f>
        <v>0</v>
      </c>
      <c r="BD14" s="188"/>
      <c r="BE14" s="188"/>
      <c r="BF14" s="188"/>
    </row>
    <row r="15" ht="15.75" customHeight="1">
      <c r="B15" s="188" t="s">
        <v>31</v>
      </c>
      <c r="C15" s="190">
        <f t="shared" ref="C15:H15" si="46">SUM(C12:C14)</f>
        <v>18296577.96</v>
      </c>
      <c r="D15" s="191">
        <f t="shared" si="46"/>
        <v>0.3344085228</v>
      </c>
      <c r="E15" s="190" t="str">
        <f t="shared" si="46"/>
        <v>#REF!</v>
      </c>
      <c r="F15" s="191" t="str">
        <f t="shared" si="46"/>
        <v>#REF!</v>
      </c>
      <c r="G15" s="271">
        <f t="shared" si="46"/>
        <v>0</v>
      </c>
      <c r="H15" s="188">
        <f t="shared" si="46"/>
        <v>0</v>
      </c>
      <c r="I15" s="190"/>
      <c r="J15" s="188">
        <f t="shared" ref="J15:AM15" si="47">SUM(J12:J14)</f>
        <v>0</v>
      </c>
      <c r="K15" s="190">
        <f t="shared" si="47"/>
        <v>18296577.96</v>
      </c>
      <c r="L15" s="191">
        <f t="shared" si="47"/>
        <v>0.3344085228</v>
      </c>
      <c r="M15" s="190" t="str">
        <f t="shared" si="47"/>
        <v>#REF!</v>
      </c>
      <c r="N15" s="191" t="str">
        <f t="shared" si="47"/>
        <v>#REF!</v>
      </c>
      <c r="O15" s="190">
        <f t="shared" si="47"/>
        <v>6225510.514</v>
      </c>
      <c r="P15" s="191">
        <f t="shared" si="47"/>
        <v>0.3945528914</v>
      </c>
      <c r="Q15" s="190">
        <f t="shared" si="47"/>
        <v>4867371.678</v>
      </c>
      <c r="R15" s="191">
        <f t="shared" si="47"/>
        <v>0.3351289982</v>
      </c>
      <c r="S15" s="190">
        <f t="shared" si="47"/>
        <v>182106.3114</v>
      </c>
      <c r="T15" s="191">
        <f t="shared" si="47"/>
        <v>0.4044161858</v>
      </c>
      <c r="U15" s="190" t="str">
        <f t="shared" si="47"/>
        <v>#REF!</v>
      </c>
      <c r="V15" s="191" t="str">
        <f t="shared" si="47"/>
        <v>#REF!</v>
      </c>
      <c r="W15" s="190">
        <f t="shared" si="47"/>
        <v>4103695.231</v>
      </c>
      <c r="X15" s="191">
        <f t="shared" si="47"/>
        <v>0.3303926736</v>
      </c>
      <c r="Y15" s="190">
        <f t="shared" si="47"/>
        <v>3677718.611</v>
      </c>
      <c r="Z15" s="191">
        <f t="shared" si="47"/>
        <v>0.2840063901</v>
      </c>
      <c r="AA15" s="190">
        <f t="shared" si="47"/>
        <v>2730799.234</v>
      </c>
      <c r="AB15" s="191">
        <f t="shared" si="47"/>
        <v>0.3180023776</v>
      </c>
      <c r="AC15" s="190">
        <f t="shared" si="47"/>
        <v>2103580.196</v>
      </c>
      <c r="AD15" s="191">
        <f t="shared" si="47"/>
        <v>0.2495175905</v>
      </c>
      <c r="AE15" s="190">
        <f t="shared" si="47"/>
        <v>4915116.655</v>
      </c>
      <c r="AF15" s="191">
        <f t="shared" si="47"/>
        <v>0.3046517357</v>
      </c>
      <c r="AG15" s="190">
        <f t="shared" si="47"/>
        <v>4551255.681</v>
      </c>
      <c r="AH15" s="191">
        <f t="shared" si="47"/>
        <v>0.2973256502</v>
      </c>
      <c r="AI15" s="271">
        <f t="shared" si="47"/>
        <v>745</v>
      </c>
      <c r="AJ15" s="191">
        <f t="shared" si="47"/>
        <v>0</v>
      </c>
      <c r="AK15" s="188" t="str">
        <f t="shared" si="47"/>
        <v>#REF!</v>
      </c>
      <c r="AL15" s="188">
        <f t="shared" si="47"/>
        <v>0</v>
      </c>
      <c r="AM15" s="190">
        <f t="shared" si="47"/>
        <v>138605.0186</v>
      </c>
      <c r="AN15" s="188"/>
      <c r="AO15" s="188">
        <f>SUM(AO12:AO14)</f>
        <v>0</v>
      </c>
      <c r="AP15" s="188"/>
      <c r="AQ15" s="190">
        <f>SUM(AQ13:AQ14)</f>
        <v>0</v>
      </c>
      <c r="AR15" s="188"/>
      <c r="AS15" s="190">
        <f>SUM(AS12:AS14)</f>
        <v>0</v>
      </c>
      <c r="AT15" s="188"/>
      <c r="AU15" s="190">
        <f t="shared" ref="AU15:AX15" si="48">SUM(AU12:AU14)</f>
        <v>0</v>
      </c>
      <c r="AV15" s="190">
        <f t="shared" si="48"/>
        <v>0</v>
      </c>
      <c r="AW15" s="190">
        <f t="shared" si="48"/>
        <v>0</v>
      </c>
      <c r="AX15" s="190">
        <f t="shared" si="48"/>
        <v>0</v>
      </c>
      <c r="AY15" s="189">
        <f>'MSBC Dahisar'!D58</f>
        <v>0</v>
      </c>
      <c r="AZ15" s="186"/>
      <c r="BA15" s="189" t="str">
        <f>#REF!</f>
        <v>#REF!</v>
      </c>
      <c r="BB15" s="186"/>
      <c r="BC15" s="96"/>
      <c r="BD15" s="55"/>
      <c r="BE15" s="62"/>
      <c r="BF15" s="55"/>
    </row>
    <row r="16" ht="15.75" customHeight="1">
      <c r="B16" s="188" t="s">
        <v>33</v>
      </c>
      <c r="C16" s="262">
        <f>C10-C15</f>
        <v>36416674.59</v>
      </c>
      <c r="D16" s="263">
        <f>C16/C$10</f>
        <v>0.6655914772</v>
      </c>
      <c r="E16" s="262" t="str">
        <f>E10-E15</f>
        <v>#REF!</v>
      </c>
      <c r="F16" s="263" t="str">
        <f>E16/E$10</f>
        <v>#REF!</v>
      </c>
      <c r="G16" s="262">
        <f>G10-G15</f>
        <v>0</v>
      </c>
      <c r="H16" s="268"/>
      <c r="I16" s="262"/>
      <c r="J16" s="268"/>
      <c r="K16" s="262">
        <f>K10-K15</f>
        <v>36416674.59</v>
      </c>
      <c r="L16" s="263">
        <f>K16/K$10</f>
        <v>0.6655914772</v>
      </c>
      <c r="M16" s="262" t="str">
        <f>Q16+U16+Y16+AC16+AG16+AK16+AO16</f>
        <v>#REF!</v>
      </c>
      <c r="N16" s="263" t="str">
        <f>M16/M$10</f>
        <v>#REF!</v>
      </c>
      <c r="O16" s="262">
        <f>O10-O15</f>
        <v>9553135.77</v>
      </c>
      <c r="P16" s="263">
        <f>O16/O$10</f>
        <v>0.6054471086</v>
      </c>
      <c r="Q16" s="262">
        <f>Q10-Q15</f>
        <v>9656503.322</v>
      </c>
      <c r="R16" s="263">
        <f>Q16/Q$10</f>
        <v>0.6648710018</v>
      </c>
      <c r="S16" s="262">
        <f>S10-S15</f>
        <v>268188.0086</v>
      </c>
      <c r="T16" s="263">
        <f>S16/S$10</f>
        <v>0.5955838142</v>
      </c>
      <c r="U16" s="262" t="str">
        <f>U10-U15</f>
        <v>#REF!</v>
      </c>
      <c r="V16" s="263" t="str">
        <f>U16/U$10</f>
        <v>#REF!</v>
      </c>
      <c r="W16" s="262">
        <f>W10-W15</f>
        <v>8316965.269</v>
      </c>
      <c r="X16" s="263">
        <f>W16/W$10</f>
        <v>0.6696073264</v>
      </c>
      <c r="Y16" s="262">
        <f>Y10-Y15</f>
        <v>9271703.444</v>
      </c>
      <c r="Z16" s="263">
        <f>Y16/Y$10</f>
        <v>0.7159936099</v>
      </c>
      <c r="AA16" s="262">
        <f>AA10-AA15</f>
        <v>5856555.536</v>
      </c>
      <c r="AB16" s="263">
        <f>AA16/AA$10</f>
        <v>0.6819976224</v>
      </c>
      <c r="AC16" s="262">
        <f>AC10-AC15</f>
        <v>6327008.574</v>
      </c>
      <c r="AD16" s="263">
        <f>AC16/AC$10</f>
        <v>0.7504824095</v>
      </c>
      <c r="AE16" s="262">
        <f>AE10-AE15</f>
        <v>11218442.03</v>
      </c>
      <c r="AF16" s="263">
        <f>AE16/AE$10</f>
        <v>0.6953482643</v>
      </c>
      <c r="AG16" s="262">
        <f>AG10-AG15</f>
        <v>10756053.59</v>
      </c>
      <c r="AH16" s="263">
        <f>AG16/AG$10</f>
        <v>0.7026743498</v>
      </c>
      <c r="AI16" s="262">
        <f>AI10-AI15</f>
        <v>980960</v>
      </c>
      <c r="AJ16" s="263">
        <f>AI16/AI$10</f>
        <v>0.9992411162</v>
      </c>
      <c r="AK16" s="262" t="str">
        <f>AK10-AK15</f>
        <v>#REF!</v>
      </c>
      <c r="AL16" s="268"/>
      <c r="AM16" s="262">
        <f>AM10-AM15</f>
        <v>175414.9814</v>
      </c>
      <c r="AN16" s="268"/>
      <c r="AO16" s="262">
        <f>AO10-AO15</f>
        <v>80000</v>
      </c>
      <c r="AP16" s="268"/>
      <c r="AQ16" s="262">
        <f>AQ10-AQ15</f>
        <v>0</v>
      </c>
      <c r="AR16" s="268"/>
      <c r="AS16" s="262">
        <f>AS10-AS15</f>
        <v>0</v>
      </c>
      <c r="AT16" s="268"/>
      <c r="AU16" s="262">
        <f t="shared" ref="AU16:AX16" si="49">AU10-AU15</f>
        <v>47013</v>
      </c>
      <c r="AV16" s="262">
        <f t="shared" si="49"/>
        <v>0</v>
      </c>
      <c r="AW16" s="262">
        <f t="shared" si="49"/>
        <v>0</v>
      </c>
      <c r="AX16" s="262">
        <f t="shared" si="49"/>
        <v>0</v>
      </c>
      <c r="AY16" s="262">
        <f>AY10-AY14-AY15</f>
        <v>0</v>
      </c>
      <c r="AZ16" s="268"/>
      <c r="BA16" s="262" t="str">
        <f>BA10-BA14-BA15</f>
        <v>#REF!</v>
      </c>
      <c r="BB16" s="268"/>
      <c r="BC16" s="146">
        <f>BC10-BC14</f>
        <v>0</v>
      </c>
      <c r="BD16" s="188"/>
      <c r="BE16" s="188"/>
      <c r="BF16" s="188"/>
    </row>
    <row r="17" ht="15.75" customHeight="1">
      <c r="B17" s="188"/>
      <c r="C17" s="268"/>
      <c r="D17" s="268"/>
      <c r="E17" s="268"/>
      <c r="F17" s="268"/>
      <c r="G17" s="186"/>
      <c r="H17" s="186"/>
      <c r="I17" s="189"/>
      <c r="J17" s="186"/>
      <c r="K17" s="268"/>
      <c r="L17" s="268"/>
      <c r="M17" s="262"/>
      <c r="N17" s="268"/>
      <c r="O17" s="189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  <c r="AA17" s="186"/>
      <c r="AB17" s="186"/>
      <c r="AC17" s="186"/>
      <c r="AD17" s="186"/>
      <c r="AE17" s="186"/>
      <c r="AF17" s="186"/>
      <c r="AG17" s="186"/>
      <c r="AH17" s="186"/>
      <c r="AI17" s="186"/>
      <c r="AJ17" s="186"/>
      <c r="AK17" s="186"/>
      <c r="AL17" s="186"/>
      <c r="AM17" s="189"/>
      <c r="AN17" s="186"/>
      <c r="AO17" s="186"/>
      <c r="AP17" s="186"/>
      <c r="AQ17" s="186"/>
      <c r="AR17" s="186"/>
      <c r="AS17" s="186"/>
      <c r="AT17" s="186"/>
      <c r="AU17" s="186"/>
      <c r="AV17" s="186"/>
      <c r="AW17" s="186"/>
      <c r="AX17" s="186"/>
      <c r="AY17" s="186"/>
      <c r="AZ17" s="186"/>
      <c r="BA17" s="186"/>
      <c r="BB17" s="186"/>
      <c r="BC17" s="83"/>
      <c r="BD17" s="186"/>
      <c r="BE17" s="186"/>
      <c r="BF17" s="186"/>
    </row>
    <row r="18" ht="15.75" customHeight="1">
      <c r="B18" s="188" t="s">
        <v>34</v>
      </c>
      <c r="C18" s="262">
        <f t="shared" ref="C18:C27" si="50">G18+K18</f>
        <v>1772095.42</v>
      </c>
      <c r="D18" s="263">
        <f t="shared" ref="D18:D28" si="51">C18/C$10</f>
        <v>0.03238877854</v>
      </c>
      <c r="E18" s="262" t="str">
        <f t="shared" ref="E18:E28" si="52">I18+M18</f>
        <v>#REF!</v>
      </c>
      <c r="F18" s="263" t="str">
        <f t="shared" ref="F18:F28" si="53">E18/E$10</f>
        <v>#REF!</v>
      </c>
      <c r="G18" s="189">
        <f>HO!D44</f>
        <v>21715</v>
      </c>
      <c r="H18" s="186"/>
      <c r="I18" s="189">
        <f>HO!D44</f>
        <v>21715</v>
      </c>
      <c r="J18" s="186"/>
      <c r="K18" s="262">
        <f t="shared" ref="K18:K27" si="54">O18+S18+W18+AA18+AE18+AI18+AM18+AQ18+AU18</f>
        <v>1750380.42</v>
      </c>
      <c r="L18" s="263">
        <f t="shared" ref="L18:L28" si="55">K18/K$10</f>
        <v>0.03199189115</v>
      </c>
      <c r="M18" s="262" t="str">
        <f t="shared" ref="M18:M27" si="56">Q18+U18+Y18+AC18+AG18+AK18+AO18</f>
        <v>#REF!</v>
      </c>
      <c r="N18" s="263" t="str">
        <f t="shared" ref="N18:N28" si="57">M18/M$10</f>
        <v>#REF!</v>
      </c>
      <c r="O18" s="189">
        <f>'The Table'!D53</f>
        <v>474176.8</v>
      </c>
      <c r="P18" s="264">
        <f t="shared" ref="P18:P28" si="58">O18/O$10</f>
        <v>0.03005180492</v>
      </c>
      <c r="Q18" s="189">
        <f>'The Table'!F53</f>
        <v>457382.45</v>
      </c>
      <c r="R18" s="264">
        <f t="shared" ref="R18:R28" si="59">Q18/Q$10</f>
        <v>0.03149176442</v>
      </c>
      <c r="S18" s="189">
        <f>Iktara!D50+Iktara!D59</f>
        <v>22237.96</v>
      </c>
      <c r="T18" s="264">
        <f t="shared" ref="T18:T28" si="60">S18/S$10</f>
        <v>0.04938538865</v>
      </c>
      <c r="U18" s="189" t="str">
        <f t="shared" ref="U18:U27" si="61">#REF!</f>
        <v>#REF!</v>
      </c>
      <c r="V18" s="264" t="str">
        <f t="shared" ref="V18:V28" si="62">U18/U$10</f>
        <v>#REF!</v>
      </c>
      <c r="W18" s="189">
        <f>'Mg St Colaba'!D77+'Mg St Colaba'!D86</f>
        <v>407874.78</v>
      </c>
      <c r="X18" s="264">
        <f t="shared" ref="X18:X28" si="63">W18/W$10</f>
        <v>0.03283841306</v>
      </c>
      <c r="Y18" s="189">
        <f>'Mg St Colaba'!F77+'Mg St Colaba'!J86</f>
        <v>305131.6898</v>
      </c>
      <c r="Z18" s="264">
        <f t="shared" ref="Z18:Z28" si="64">Y18/Y$10</f>
        <v>0.02356334425</v>
      </c>
      <c r="AA18" s="189">
        <f>'Mg St LP'!D78+'Mg St LP'!D87</f>
        <v>239028.48</v>
      </c>
      <c r="AB18" s="264">
        <f t="shared" ref="AB18:AB28" si="65">AA18/AA$10</f>
        <v>0.02783493711</v>
      </c>
      <c r="AC18" s="189">
        <f>'Mg St LP'!F78</f>
        <v>156808.9511</v>
      </c>
      <c r="AD18" s="264">
        <f t="shared" ref="AD18:AD28" si="66">AC18/AC$10</f>
        <v>0.0186</v>
      </c>
      <c r="AE18" s="189">
        <f>'Mg St Bandra'!D75+'Mg St Bandra'!D84</f>
        <v>507820.4</v>
      </c>
      <c r="AF18" s="264">
        <f t="shared" ref="AF18:AF28" si="67">AE18/AE$10</f>
        <v>0.03147603142</v>
      </c>
      <c r="AG18" s="189">
        <f>'Mg St Bandra'!F75</f>
        <v>422482.2256</v>
      </c>
      <c r="AH18" s="264">
        <f t="shared" ref="AH18:AH28" si="68">AG18/AG$10</f>
        <v>0.02760003199</v>
      </c>
      <c r="AI18" s="189">
        <f>'MSK Events'!D72</f>
        <v>47154</v>
      </c>
      <c r="AJ18" s="264">
        <f t="shared" ref="AJ18:AJ27" si="69">AI18/AI$10</f>
        <v>0.04803275933</v>
      </c>
      <c r="AK18" s="189" t="str">
        <f t="shared" ref="AK18:AK27" si="70">#REF!</f>
        <v>#REF!</v>
      </c>
      <c r="AL18" s="264" t="str">
        <f t="shared" ref="AL18:AL27" si="71">AK18/AK$10</f>
        <v>#REF!</v>
      </c>
      <c r="AM18" s="189">
        <f>MSBC!D73</f>
        <v>52088</v>
      </c>
      <c r="AN18" s="264">
        <f t="shared" ref="AN18:AN28" si="72">AM18/AM$10</f>
        <v>0.165874785</v>
      </c>
      <c r="AO18" s="189">
        <f>MSBC!F73</f>
        <v>0</v>
      </c>
      <c r="AP18" s="264">
        <f t="shared" ref="AP18:AP28" si="73">AO18/AO$10</f>
        <v>0</v>
      </c>
      <c r="AQ18" s="189">
        <f>Kaspers!D64</f>
        <v>0</v>
      </c>
      <c r="AR18" s="186"/>
      <c r="AS18" s="189">
        <f>Kaspers!F64</f>
        <v>0</v>
      </c>
      <c r="AT18" s="186"/>
      <c r="AU18" s="189">
        <f>'MSBC Andheri'!D73</f>
        <v>0</v>
      </c>
      <c r="AV18" s="186"/>
      <c r="AW18" s="189" t="str">
        <f t="shared" ref="AW18:AW27" si="74">#REF!</f>
        <v>#REF!</v>
      </c>
      <c r="AX18" s="186"/>
      <c r="AY18" s="189">
        <f>'MSBC Dahisar'!D71</f>
        <v>0</v>
      </c>
      <c r="AZ18" s="186"/>
      <c r="BA18" s="186"/>
      <c r="BB18" s="186"/>
      <c r="BC18" s="114">
        <v>0.0</v>
      </c>
      <c r="BD18" s="186"/>
      <c r="BE18" s="186"/>
      <c r="BF18" s="186"/>
    </row>
    <row r="19" ht="15.75" customHeight="1">
      <c r="B19" s="188" t="s">
        <v>35</v>
      </c>
      <c r="C19" s="262">
        <f t="shared" si="50"/>
        <v>611365.6667</v>
      </c>
      <c r="D19" s="263">
        <f t="shared" si="51"/>
        <v>0.01117399603</v>
      </c>
      <c r="E19" s="262" t="str">
        <f t="shared" si="52"/>
        <v>#REF!</v>
      </c>
      <c r="F19" s="263" t="str">
        <f t="shared" si="53"/>
        <v>#REF!</v>
      </c>
      <c r="G19" s="189">
        <f>HO!D53</f>
        <v>132065</v>
      </c>
      <c r="H19" s="186"/>
      <c r="I19" s="189">
        <f>HO!F53</f>
        <v>121164</v>
      </c>
      <c r="J19" s="186"/>
      <c r="K19" s="262">
        <f t="shared" si="54"/>
        <v>479300.6667</v>
      </c>
      <c r="L19" s="263">
        <f t="shared" si="55"/>
        <v>0.008760229822</v>
      </c>
      <c r="M19" s="262" t="str">
        <f t="shared" si="56"/>
        <v>#REF!</v>
      </c>
      <c r="N19" s="263" t="str">
        <f t="shared" si="57"/>
        <v>#REF!</v>
      </c>
      <c r="O19" s="189">
        <f>'The Table'!D62</f>
        <v>8554.666667</v>
      </c>
      <c r="P19" s="264">
        <f t="shared" si="58"/>
        <v>0.0005421673389</v>
      </c>
      <c r="Q19" s="189">
        <f>'The Table'!F62</f>
        <v>38029.66667</v>
      </c>
      <c r="R19" s="264">
        <f t="shared" si="59"/>
        <v>0.002618424261</v>
      </c>
      <c r="S19" s="189">
        <f>Iktara!D62</f>
        <v>66791</v>
      </c>
      <c r="T19" s="264">
        <f t="shared" si="60"/>
        <v>0.1483274317</v>
      </c>
      <c r="U19" s="189" t="str">
        <f t="shared" si="61"/>
        <v>#REF!</v>
      </c>
      <c r="V19" s="264" t="str">
        <f t="shared" si="62"/>
        <v>#REF!</v>
      </c>
      <c r="W19" s="189">
        <f>'Mg St Colaba'!D89</f>
        <v>90913.06667</v>
      </c>
      <c r="X19" s="264">
        <f t="shared" si="63"/>
        <v>0.007319503392</v>
      </c>
      <c r="Y19" s="189">
        <f>'Mg St Colaba'!F89</f>
        <v>82796</v>
      </c>
      <c r="Z19" s="264">
        <f t="shared" si="64"/>
        <v>0.006393798862</v>
      </c>
      <c r="AA19" s="189">
        <f>'Mg St LP'!D89</f>
        <v>91861.06667</v>
      </c>
      <c r="AB19" s="264">
        <f t="shared" si="65"/>
        <v>0.01069724835</v>
      </c>
      <c r="AC19" s="189">
        <f>'Mg St LP'!F89</f>
        <v>97936</v>
      </c>
      <c r="AD19" s="264">
        <f t="shared" si="66"/>
        <v>0.01161674501</v>
      </c>
      <c r="AE19" s="189">
        <f>'Mg St Bandra'!D87</f>
        <v>90913.06667</v>
      </c>
      <c r="AF19" s="264">
        <f t="shared" si="67"/>
        <v>0.005635028729</v>
      </c>
      <c r="AG19" s="189">
        <f>'Mg St Bandra'!F87</f>
        <v>72729</v>
      </c>
      <c r="AH19" s="264">
        <f t="shared" si="68"/>
        <v>0.004751259592</v>
      </c>
      <c r="AI19" s="189">
        <f>'MSK Events'!D84</f>
        <v>65371</v>
      </c>
      <c r="AJ19" s="264">
        <f t="shared" si="69"/>
        <v>0.06658925033</v>
      </c>
      <c r="AK19" s="189" t="str">
        <f t="shared" si="70"/>
        <v>#REF!</v>
      </c>
      <c r="AL19" s="264" t="str">
        <f t="shared" si="71"/>
        <v>#REF!</v>
      </c>
      <c r="AM19" s="189">
        <f>MSBC!D75</f>
        <v>49902.4</v>
      </c>
      <c r="AN19" s="264">
        <f t="shared" si="72"/>
        <v>0.1589147188</v>
      </c>
      <c r="AO19" s="189">
        <f>MSBC!F75</f>
        <v>66624</v>
      </c>
      <c r="AP19" s="264">
        <f t="shared" si="73"/>
        <v>0.8328</v>
      </c>
      <c r="AQ19" s="189">
        <f>Kaspers!D76</f>
        <v>0</v>
      </c>
      <c r="AR19" s="186"/>
      <c r="AS19" s="189">
        <f>Kaspers!F76</f>
        <v>26833.33333</v>
      </c>
      <c r="AT19" s="186"/>
      <c r="AU19" s="189">
        <f>'MSBC Andheri'!D85</f>
        <v>14994.4</v>
      </c>
      <c r="AV19" s="186"/>
      <c r="AW19" s="189" t="str">
        <f t="shared" si="74"/>
        <v>#REF!</v>
      </c>
      <c r="AX19" s="186"/>
      <c r="AY19" s="189">
        <f>'MSBC Dahisar'!D73</f>
        <v>0</v>
      </c>
      <c r="AZ19" s="186"/>
      <c r="BA19" s="186"/>
      <c r="BB19" s="186"/>
      <c r="BC19" s="114">
        <f>'LOUD MOUTH'!D85</f>
        <v>0</v>
      </c>
      <c r="BD19" s="43"/>
      <c r="BE19" s="114"/>
      <c r="BF19" s="43"/>
    </row>
    <row r="20" ht="15.75" customHeight="1">
      <c r="B20" s="188" t="s">
        <v>36</v>
      </c>
      <c r="C20" s="262">
        <f t="shared" si="50"/>
        <v>1704820.123</v>
      </c>
      <c r="D20" s="263">
        <f t="shared" si="51"/>
        <v>0.0311591807</v>
      </c>
      <c r="E20" s="262" t="str">
        <f t="shared" si="52"/>
        <v>#REF!</v>
      </c>
      <c r="F20" s="263" t="str">
        <f t="shared" si="53"/>
        <v>#REF!</v>
      </c>
      <c r="G20" s="189">
        <f>HO!D63</f>
        <v>0</v>
      </c>
      <c r="H20" s="186"/>
      <c r="I20" s="189">
        <f>HO!F63</f>
        <v>0</v>
      </c>
      <c r="J20" s="186"/>
      <c r="K20" s="262">
        <f t="shared" si="54"/>
        <v>1704820.123</v>
      </c>
      <c r="L20" s="263">
        <f t="shared" si="55"/>
        <v>0.0311591807</v>
      </c>
      <c r="M20" s="262" t="str">
        <f t="shared" si="56"/>
        <v>#REF!</v>
      </c>
      <c r="N20" s="263" t="str">
        <f t="shared" si="57"/>
        <v>#REF!</v>
      </c>
      <c r="O20" s="189">
        <f>'The Table'!D70</f>
        <v>90337.812</v>
      </c>
      <c r="P20" s="264">
        <f t="shared" si="58"/>
        <v>0.005725320815</v>
      </c>
      <c r="Q20" s="189">
        <f>'The Table'!F70</f>
        <v>186875.474</v>
      </c>
      <c r="R20" s="264">
        <f t="shared" si="59"/>
        <v>0.01286677791</v>
      </c>
      <c r="S20" s="189">
        <f>Iktara!D70</f>
        <v>80984.668</v>
      </c>
      <c r="T20" s="264">
        <f t="shared" si="60"/>
        <v>0.1798483001</v>
      </c>
      <c r="U20" s="189" t="str">
        <f t="shared" si="61"/>
        <v>#REF!</v>
      </c>
      <c r="V20" s="264" t="str">
        <f t="shared" si="62"/>
        <v>#REF!</v>
      </c>
      <c r="W20" s="189">
        <f>'Mg St Colaba'!D100</f>
        <v>427455.4444</v>
      </c>
      <c r="X20" s="264">
        <f t="shared" si="63"/>
        <v>0.03441487225</v>
      </c>
      <c r="Y20" s="189">
        <f>'Mg St Colaba'!F100</f>
        <v>404400</v>
      </c>
      <c r="Z20" s="264">
        <f t="shared" si="64"/>
        <v>0.03122919295</v>
      </c>
      <c r="AA20" s="189">
        <f>'Mg St LP'!D101</f>
        <v>621449.1642</v>
      </c>
      <c r="AB20" s="264">
        <f t="shared" si="65"/>
        <v>0.07236793877</v>
      </c>
      <c r="AC20" s="189">
        <f>'Mg St LP'!F101</f>
        <v>613340</v>
      </c>
      <c r="AD20" s="264">
        <f t="shared" si="66"/>
        <v>0.07275173973</v>
      </c>
      <c r="AE20" s="189">
        <f>'Mg St Bandra'!D98</f>
        <v>414118.7042</v>
      </c>
      <c r="AF20" s="264">
        <f t="shared" si="67"/>
        <v>0.0256681562</v>
      </c>
      <c r="AG20" s="189">
        <f>'Mg St Bandra'!F98</f>
        <v>387550</v>
      </c>
      <c r="AH20" s="264">
        <f t="shared" si="68"/>
        <v>0.0253179702</v>
      </c>
      <c r="AI20" s="189">
        <f>'MSK Events'!D91</f>
        <v>5755</v>
      </c>
      <c r="AJ20" s="264">
        <f t="shared" si="69"/>
        <v>0.005862249861</v>
      </c>
      <c r="AK20" s="189" t="str">
        <f t="shared" si="70"/>
        <v>#REF!</v>
      </c>
      <c r="AL20" s="264" t="str">
        <f t="shared" si="71"/>
        <v>#REF!</v>
      </c>
      <c r="AM20" s="189">
        <f>MSBC!D83</f>
        <v>24861.6796</v>
      </c>
      <c r="AN20" s="264">
        <f t="shared" si="72"/>
        <v>0.07917228075</v>
      </c>
      <c r="AO20" s="189">
        <f>MSBC!F83</f>
        <v>0</v>
      </c>
      <c r="AP20" s="264">
        <f t="shared" si="73"/>
        <v>0</v>
      </c>
      <c r="AQ20" s="189">
        <f>Kaspers!D83</f>
        <v>0</v>
      </c>
      <c r="AR20" s="267"/>
      <c r="AS20" s="189">
        <f>Kaspers!F83</f>
        <v>0</v>
      </c>
      <c r="AT20" s="186"/>
      <c r="AU20" s="189">
        <f>'MSBC Andheri'!D93</f>
        <v>39857.6506</v>
      </c>
      <c r="AV20" s="186"/>
      <c r="AW20" s="189" t="str">
        <f t="shared" si="74"/>
        <v>#REF!</v>
      </c>
      <c r="AX20" s="186"/>
      <c r="AY20" s="189">
        <f>'MSBC Dahisar'!D80</f>
        <v>0</v>
      </c>
      <c r="AZ20" s="186"/>
      <c r="BA20" s="186"/>
      <c r="BB20" s="186"/>
      <c r="BC20" s="114">
        <v>0.0</v>
      </c>
      <c r="BD20" s="43"/>
      <c r="BE20" s="114"/>
      <c r="BF20" s="43"/>
    </row>
    <row r="21" ht="15.75" customHeight="1">
      <c r="B21" s="188" t="s">
        <v>37</v>
      </c>
      <c r="C21" s="262">
        <f t="shared" si="50"/>
        <v>6193548.5</v>
      </c>
      <c r="D21" s="263">
        <f t="shared" si="51"/>
        <v>0.1132001519</v>
      </c>
      <c r="E21" s="262" t="str">
        <f t="shared" si="52"/>
        <v>#REF!</v>
      </c>
      <c r="F21" s="263" t="str">
        <f t="shared" si="53"/>
        <v>#REF!</v>
      </c>
      <c r="G21" s="189">
        <f>HO!D70</f>
        <v>364828</v>
      </c>
      <c r="H21" s="186"/>
      <c r="I21" s="189">
        <f>HO!F70</f>
        <v>369273</v>
      </c>
      <c r="J21" s="186"/>
      <c r="K21" s="262">
        <f t="shared" si="54"/>
        <v>5828720.5</v>
      </c>
      <c r="L21" s="263">
        <f t="shared" si="55"/>
        <v>0.1065321513</v>
      </c>
      <c r="M21" s="262" t="str">
        <f t="shared" si="56"/>
        <v>#REF!</v>
      </c>
      <c r="N21" s="263" t="str">
        <f t="shared" si="57"/>
        <v>#REF!</v>
      </c>
      <c r="O21" s="189">
        <f>'The Table'!D76</f>
        <v>1793679</v>
      </c>
      <c r="P21" s="264">
        <f t="shared" si="58"/>
        <v>0.1136776228</v>
      </c>
      <c r="Q21" s="189">
        <f>'The Table'!F76</f>
        <v>1752217</v>
      </c>
      <c r="R21" s="264">
        <f t="shared" si="59"/>
        <v>0.1206439053</v>
      </c>
      <c r="S21" s="189">
        <f>Iktara!D76</f>
        <v>88609.5</v>
      </c>
      <c r="T21" s="264">
        <f t="shared" si="60"/>
        <v>0.1967812963</v>
      </c>
      <c r="U21" s="189" t="str">
        <f t="shared" si="61"/>
        <v>#REF!</v>
      </c>
      <c r="V21" s="264" t="str">
        <f t="shared" si="62"/>
        <v>#REF!</v>
      </c>
      <c r="W21" s="189">
        <f>'Mg St Colaba'!D107</f>
        <v>1485950.333</v>
      </c>
      <c r="X21" s="264">
        <f t="shared" si="63"/>
        <v>0.1196353715</v>
      </c>
      <c r="Y21" s="189">
        <f>'Mg St Colaba'!F107</f>
        <v>1464099</v>
      </c>
      <c r="Z21" s="264">
        <f t="shared" si="64"/>
        <v>0.1130628837</v>
      </c>
      <c r="AA21" s="189">
        <f>'Mg St LP'!D108</f>
        <v>399200</v>
      </c>
      <c r="AB21" s="264">
        <f t="shared" si="65"/>
        <v>0.04648695794</v>
      </c>
      <c r="AC21" s="189">
        <f>'Mg St LP'!F108</f>
        <v>413372</v>
      </c>
      <c r="AD21" s="264">
        <f t="shared" si="66"/>
        <v>0.0490323999</v>
      </c>
      <c r="AE21" s="189">
        <f>'Mg St Bandra'!D105</f>
        <v>1594911</v>
      </c>
      <c r="AF21" s="264">
        <f t="shared" si="67"/>
        <v>0.09885673903</v>
      </c>
      <c r="AG21" s="189">
        <f>'Mg St Bandra'!F105</f>
        <v>1660460</v>
      </c>
      <c r="AH21" s="264">
        <f t="shared" si="68"/>
        <v>0.1084749756</v>
      </c>
      <c r="AI21" s="189">
        <f>'MSK Events'!D98</f>
        <v>143985</v>
      </c>
      <c r="AJ21" s="264">
        <f t="shared" si="69"/>
        <v>0.1466682965</v>
      </c>
      <c r="AK21" s="189" t="str">
        <f t="shared" si="70"/>
        <v>#REF!</v>
      </c>
      <c r="AL21" s="264" t="str">
        <f t="shared" si="71"/>
        <v>#REF!</v>
      </c>
      <c r="AM21" s="189">
        <f>MSBC!D90</f>
        <v>279573</v>
      </c>
      <c r="AN21" s="264">
        <f t="shared" si="72"/>
        <v>0.8903031654</v>
      </c>
      <c r="AO21" s="189">
        <f>MSBC!F90</f>
        <v>253308</v>
      </c>
      <c r="AP21" s="264">
        <f t="shared" si="73"/>
        <v>3.16635</v>
      </c>
      <c r="AQ21" s="189">
        <f>Kaspers!D90</f>
        <v>42812.66667</v>
      </c>
      <c r="AR21" s="186"/>
      <c r="AS21" s="189">
        <f>Kaspers!F90</f>
        <v>0</v>
      </c>
      <c r="AT21" s="186"/>
      <c r="AU21" s="189">
        <f>'MSBC Andheri'!D100</f>
        <v>0</v>
      </c>
      <c r="AV21" s="186"/>
      <c r="AW21" s="189" t="str">
        <f t="shared" si="74"/>
        <v>#REF!</v>
      </c>
      <c r="AX21" s="186"/>
      <c r="AY21" s="189">
        <f>'MSBC Dahisar'!D89</f>
        <v>0</v>
      </c>
      <c r="AZ21" s="186"/>
      <c r="BA21" s="186"/>
      <c r="BB21" s="186"/>
      <c r="BC21" s="114">
        <f>'LOUD MOUTH'!D101</f>
        <v>0</v>
      </c>
      <c r="BD21" s="43"/>
      <c r="BE21" s="43"/>
      <c r="BF21" s="43"/>
    </row>
    <row r="22" ht="15.75" customHeight="1">
      <c r="B22" s="188" t="s">
        <v>38</v>
      </c>
      <c r="C22" s="262">
        <f t="shared" si="50"/>
        <v>19147890.65</v>
      </c>
      <c r="D22" s="263">
        <f t="shared" si="51"/>
        <v>0.3499680562</v>
      </c>
      <c r="E22" s="262" t="str">
        <f t="shared" si="52"/>
        <v>#REF!</v>
      </c>
      <c r="F22" s="263" t="str">
        <f t="shared" si="53"/>
        <v>#REF!</v>
      </c>
      <c r="G22" s="189">
        <f>HO!D77</f>
        <v>3644878.187</v>
      </c>
      <c r="H22" s="186"/>
      <c r="I22" s="189">
        <f>HO!F77</f>
        <v>4043806</v>
      </c>
      <c r="J22" s="186"/>
      <c r="K22" s="262">
        <f t="shared" si="54"/>
        <v>15503012.46</v>
      </c>
      <c r="L22" s="263">
        <f t="shared" si="55"/>
        <v>0.2833502257</v>
      </c>
      <c r="M22" s="262" t="str">
        <f t="shared" si="56"/>
        <v>#REF!</v>
      </c>
      <c r="N22" s="263" t="str">
        <f t="shared" si="57"/>
        <v>#REF!</v>
      </c>
      <c r="O22" s="189">
        <f>'The Table'!D82</f>
        <v>5192469.557</v>
      </c>
      <c r="P22" s="264">
        <f t="shared" si="58"/>
        <v>0.3290820685</v>
      </c>
      <c r="Q22" s="189">
        <f>'The Table'!F82</f>
        <v>5200688.717</v>
      </c>
      <c r="R22" s="264">
        <f t="shared" si="59"/>
        <v>0.3580785924</v>
      </c>
      <c r="S22" s="189">
        <f>Iktara!D82</f>
        <v>254251.04</v>
      </c>
      <c r="T22" s="264">
        <f t="shared" si="60"/>
        <v>0.564633016</v>
      </c>
      <c r="U22" s="189" t="str">
        <f t="shared" si="61"/>
        <v>#REF!</v>
      </c>
      <c r="V22" s="264" t="str">
        <f t="shared" si="62"/>
        <v>#REF!</v>
      </c>
      <c r="W22" s="189">
        <f>'Mg St Colaba'!D113</f>
        <v>3211057.707</v>
      </c>
      <c r="X22" s="264">
        <f t="shared" si="63"/>
        <v>0.2585255194</v>
      </c>
      <c r="Y22" s="189">
        <f>'Mg St Colaba'!F113</f>
        <v>3285794.786</v>
      </c>
      <c r="Z22" s="264">
        <f t="shared" si="64"/>
        <v>0.2537406513</v>
      </c>
      <c r="AA22" s="189">
        <f>'Mg St LP'!D115</f>
        <v>1558299</v>
      </c>
      <c r="AB22" s="264">
        <f t="shared" si="65"/>
        <v>0.1814643789</v>
      </c>
      <c r="AC22" s="189">
        <f>'Mg St LP'!F115</f>
        <v>1552049</v>
      </c>
      <c r="AD22" s="264">
        <f t="shared" si="66"/>
        <v>0.1840973439</v>
      </c>
      <c r="AE22" s="189">
        <f>'Mg St Bandra'!D114</f>
        <v>3809069.75</v>
      </c>
      <c r="AF22" s="264">
        <f t="shared" si="67"/>
        <v>0.2360960669</v>
      </c>
      <c r="AG22" s="189">
        <f>'Mg St Bandra'!F114</f>
        <v>3806083.75</v>
      </c>
      <c r="AH22" s="264">
        <f t="shared" si="68"/>
        <v>0.2486448587</v>
      </c>
      <c r="AI22" s="189">
        <f>'MSK Events'!D104</f>
        <v>473651</v>
      </c>
      <c r="AJ22" s="264">
        <f t="shared" si="69"/>
        <v>0.4824779338</v>
      </c>
      <c r="AK22" s="189" t="str">
        <f t="shared" si="70"/>
        <v>#REF!</v>
      </c>
      <c r="AL22" s="264" t="str">
        <f t="shared" si="71"/>
        <v>#REF!</v>
      </c>
      <c r="AM22" s="189">
        <f>MSBC!D96</f>
        <v>1004214.407</v>
      </c>
      <c r="AN22" s="264">
        <f t="shared" si="72"/>
        <v>3.197931363</v>
      </c>
      <c r="AO22" s="189">
        <f>MSBC!F96</f>
        <v>458164</v>
      </c>
      <c r="AP22" s="264">
        <f t="shared" si="73"/>
        <v>5.72705</v>
      </c>
      <c r="AQ22" s="189">
        <f>Kaspers!D97</f>
        <v>0</v>
      </c>
      <c r="AR22" s="186"/>
      <c r="AS22" s="189">
        <f>Kaspers!F97</f>
        <v>0</v>
      </c>
      <c r="AT22" s="186"/>
      <c r="AU22" s="189">
        <f>'MSBC Andheri'!D106</f>
        <v>0</v>
      </c>
      <c r="AV22" s="186"/>
      <c r="AW22" s="189" t="str">
        <f t="shared" si="74"/>
        <v>#REF!</v>
      </c>
      <c r="AX22" s="186"/>
      <c r="AY22" s="189">
        <f>'MSBC Dahisar'!D95</f>
        <v>0</v>
      </c>
      <c r="AZ22" s="186"/>
      <c r="BA22" s="186"/>
      <c r="BB22" s="186"/>
      <c r="BC22" s="114">
        <f>'LOUD MOUTH'!D108</f>
        <v>0</v>
      </c>
      <c r="BD22" s="43"/>
      <c r="BE22" s="114"/>
      <c r="BF22" s="43"/>
    </row>
    <row r="23" ht="15.75" customHeight="1">
      <c r="B23" s="188" t="s">
        <v>39</v>
      </c>
      <c r="C23" s="262">
        <f t="shared" si="50"/>
        <v>1090015.8</v>
      </c>
      <c r="D23" s="263">
        <f t="shared" si="51"/>
        <v>0.01992233598</v>
      </c>
      <c r="E23" s="262" t="str">
        <f t="shared" si="52"/>
        <v>#REF!</v>
      </c>
      <c r="F23" s="263" t="str">
        <f t="shared" si="53"/>
        <v>#REF!</v>
      </c>
      <c r="G23" s="189">
        <f>HO!D88</f>
        <v>535643.38</v>
      </c>
      <c r="H23" s="186"/>
      <c r="I23" s="189">
        <f>HO!F88</f>
        <v>66566.82</v>
      </c>
      <c r="J23" s="186"/>
      <c r="K23" s="262">
        <f t="shared" si="54"/>
        <v>554372.42</v>
      </c>
      <c r="L23" s="263">
        <f t="shared" si="55"/>
        <v>0.01013232433</v>
      </c>
      <c r="M23" s="262" t="str">
        <f t="shared" si="56"/>
        <v>#REF!</v>
      </c>
      <c r="N23" s="263" t="str">
        <f t="shared" si="57"/>
        <v>#REF!</v>
      </c>
      <c r="O23" s="189">
        <f>'The Table'!D91</f>
        <v>261175.74</v>
      </c>
      <c r="P23" s="264">
        <f t="shared" si="58"/>
        <v>0.01655248082</v>
      </c>
      <c r="Q23" s="189">
        <f>'The Table'!F91</f>
        <v>200102.32</v>
      </c>
      <c r="R23" s="264">
        <f t="shared" si="59"/>
        <v>0.01377747468</v>
      </c>
      <c r="S23" s="189">
        <f>Iktara!D92</f>
        <v>0</v>
      </c>
      <c r="T23" s="264">
        <f t="shared" si="60"/>
        <v>0</v>
      </c>
      <c r="U23" s="186" t="str">
        <f t="shared" si="61"/>
        <v>#REF!</v>
      </c>
      <c r="V23" s="264" t="str">
        <f t="shared" si="62"/>
        <v>#REF!</v>
      </c>
      <c r="W23" s="189">
        <f>'Mg St Colaba'!D124</f>
        <v>101675.6</v>
      </c>
      <c r="X23" s="264">
        <f t="shared" si="63"/>
        <v>0.008186005889</v>
      </c>
      <c r="Y23" s="189">
        <f>'Mg St Colaba'!F124</f>
        <v>117386.944</v>
      </c>
      <c r="Z23" s="264">
        <f t="shared" si="64"/>
        <v>0.009065033444</v>
      </c>
      <c r="AA23" s="189">
        <f>'Mg St LP'!D125</f>
        <v>43509.57</v>
      </c>
      <c r="AB23" s="264">
        <f t="shared" si="65"/>
        <v>0.005066702281</v>
      </c>
      <c r="AC23" s="189">
        <f>'Mg St LP'!F125</f>
        <v>36664.164</v>
      </c>
      <c r="AD23" s="264">
        <f t="shared" si="66"/>
        <v>0.004348944658</v>
      </c>
      <c r="AE23" s="189">
        <f>'Mg St Bandra'!D125</f>
        <v>147300.83</v>
      </c>
      <c r="AF23" s="264">
        <f t="shared" si="67"/>
        <v>0.009130089209</v>
      </c>
      <c r="AG23" s="189">
        <f>'Mg St Bandra'!F125</f>
        <v>119125.02</v>
      </c>
      <c r="AH23" s="264">
        <f t="shared" si="68"/>
        <v>0.007782231214</v>
      </c>
      <c r="AI23" s="189">
        <f>'MSK Events'!D114</f>
        <v>710.68</v>
      </c>
      <c r="AJ23" s="264">
        <f t="shared" si="69"/>
        <v>0.0007239241931</v>
      </c>
      <c r="AK23" s="189" t="str">
        <f t="shared" si="70"/>
        <v>#REF!</v>
      </c>
      <c r="AL23" s="264" t="str">
        <f t="shared" si="71"/>
        <v>#REF!</v>
      </c>
      <c r="AM23" s="189">
        <f>MSBC!D106</f>
        <v>0</v>
      </c>
      <c r="AN23" s="264">
        <f t="shared" si="72"/>
        <v>0</v>
      </c>
      <c r="AO23" s="189">
        <f>MSBC!F106</f>
        <v>0</v>
      </c>
      <c r="AP23" s="264">
        <f t="shared" si="73"/>
        <v>0</v>
      </c>
      <c r="AQ23" s="189">
        <f>Kaspers!D109</f>
        <v>0</v>
      </c>
      <c r="AR23" s="186"/>
      <c r="AS23" s="189">
        <f>Kaspers!F109</f>
        <v>0</v>
      </c>
      <c r="AT23" s="186"/>
      <c r="AU23" s="189">
        <f>'MSBC Andheri'!D116</f>
        <v>0</v>
      </c>
      <c r="AV23" s="186"/>
      <c r="AW23" s="189" t="str">
        <f t="shared" si="74"/>
        <v>#REF!</v>
      </c>
      <c r="AX23" s="186"/>
      <c r="AY23" s="189">
        <f>'MSBC Dahisar'!D105</f>
        <v>0</v>
      </c>
      <c r="AZ23" s="186"/>
      <c r="BA23" s="186"/>
      <c r="BB23" s="186"/>
      <c r="BC23" s="114">
        <v>0.0</v>
      </c>
      <c r="BD23" s="43"/>
      <c r="BE23" s="114"/>
      <c r="BF23" s="43"/>
    </row>
    <row r="24" ht="15.75" customHeight="1">
      <c r="B24" s="188" t="s">
        <v>40</v>
      </c>
      <c r="C24" s="262">
        <f t="shared" si="50"/>
        <v>258320.1667</v>
      </c>
      <c r="D24" s="263">
        <f t="shared" si="51"/>
        <v>0.004721345462</v>
      </c>
      <c r="E24" s="262" t="str">
        <f t="shared" si="52"/>
        <v>#REF!</v>
      </c>
      <c r="F24" s="263" t="str">
        <f t="shared" si="53"/>
        <v>#REF!</v>
      </c>
      <c r="G24" s="189">
        <f>HO!D95</f>
        <v>112944.1667</v>
      </c>
      <c r="H24" s="186"/>
      <c r="I24" s="189">
        <f>HO!F95</f>
        <v>121381.8333</v>
      </c>
      <c r="J24" s="186"/>
      <c r="K24" s="262">
        <f t="shared" si="54"/>
        <v>145376</v>
      </c>
      <c r="L24" s="263">
        <f t="shared" si="55"/>
        <v>0.002657052784</v>
      </c>
      <c r="M24" s="262" t="str">
        <f t="shared" si="56"/>
        <v>#REF!</v>
      </c>
      <c r="N24" s="263" t="str">
        <f t="shared" si="57"/>
        <v>#REF!</v>
      </c>
      <c r="O24" s="189">
        <f>'The Table'!D94</f>
        <v>36285</v>
      </c>
      <c r="P24" s="264">
        <f t="shared" si="58"/>
        <v>0.002299626935</v>
      </c>
      <c r="Q24" s="189">
        <f>'The Table'!F94</f>
        <v>36400</v>
      </c>
      <c r="R24" s="264">
        <f t="shared" si="59"/>
        <v>0.00250621821</v>
      </c>
      <c r="S24" s="189">
        <f>Iktara!D95</f>
        <v>688.3333333</v>
      </c>
      <c r="T24" s="264">
        <f t="shared" si="60"/>
        <v>0.001528629838</v>
      </c>
      <c r="U24" s="186" t="str">
        <f t="shared" si="61"/>
        <v>#REF!</v>
      </c>
      <c r="V24" s="264" t="str">
        <f t="shared" si="62"/>
        <v>#REF!</v>
      </c>
      <c r="W24" s="189">
        <f>'Mg St Colaba'!D127</f>
        <v>31958.33333</v>
      </c>
      <c r="X24" s="264">
        <f t="shared" si="63"/>
        <v>0.002572997896</v>
      </c>
      <c r="Y24" s="189">
        <f>'Mg St Colaba'!F127</f>
        <v>30188.33333</v>
      </c>
      <c r="Z24" s="264">
        <f t="shared" si="64"/>
        <v>0.002331249472</v>
      </c>
      <c r="AA24" s="189">
        <f>'Mg St LP'!D128</f>
        <v>3638.333333</v>
      </c>
      <c r="AB24" s="264">
        <f t="shared" si="65"/>
        <v>0.0004236849916</v>
      </c>
      <c r="AC24" s="189">
        <f>'Mg St LP'!F128</f>
        <v>3638</v>
      </c>
      <c r="AD24" s="264">
        <f t="shared" si="66"/>
        <v>0.0004315238353</v>
      </c>
      <c r="AE24" s="189">
        <f>'Mg St Bandra'!D128</f>
        <v>43404.33333</v>
      </c>
      <c r="AF24" s="264">
        <f t="shared" si="67"/>
        <v>0.002690313662</v>
      </c>
      <c r="AG24" s="189">
        <f>'Mg St Bandra'!F128</f>
        <v>23000</v>
      </c>
      <c r="AH24" s="264">
        <f t="shared" si="68"/>
        <v>0.00150255016</v>
      </c>
      <c r="AI24" s="189">
        <f>'MSK Events'!D117</f>
        <v>5408.333333</v>
      </c>
      <c r="AJ24" s="264">
        <f t="shared" si="69"/>
        <v>0.005509122734</v>
      </c>
      <c r="AK24" s="189" t="str">
        <f t="shared" si="70"/>
        <v>#REF!</v>
      </c>
      <c r="AL24" s="264" t="str">
        <f t="shared" si="71"/>
        <v>#REF!</v>
      </c>
      <c r="AM24" s="189">
        <f>MSBC!D109</f>
        <v>23993.33333</v>
      </c>
      <c r="AN24" s="264">
        <f t="shared" si="72"/>
        <v>0.07640702291</v>
      </c>
      <c r="AO24" s="189">
        <f>MSBC!F109</f>
        <v>23600</v>
      </c>
      <c r="AP24" s="264">
        <f t="shared" si="73"/>
        <v>0.295</v>
      </c>
      <c r="AQ24" s="189">
        <f>Kaspers!D113</f>
        <v>0</v>
      </c>
      <c r="AR24" s="186"/>
      <c r="AS24" s="189">
        <f>Kaspers!F113</f>
        <v>0</v>
      </c>
      <c r="AT24" s="186"/>
      <c r="AU24" s="189">
        <f>'MSBC Andheri'!D119</f>
        <v>0</v>
      </c>
      <c r="AV24" s="186"/>
      <c r="AW24" s="189" t="str">
        <f t="shared" si="74"/>
        <v>#REF!</v>
      </c>
      <c r="AX24" s="186"/>
      <c r="AY24" s="189">
        <f>'MSBC Dahisar'!D108</f>
        <v>0</v>
      </c>
      <c r="AZ24" s="186"/>
      <c r="BA24" s="186"/>
      <c r="BB24" s="186"/>
      <c r="BC24" s="114">
        <v>0.0</v>
      </c>
      <c r="BD24" s="43"/>
      <c r="BE24" s="114"/>
      <c r="BF24" s="43"/>
    </row>
    <row r="25" ht="15.75" customHeight="1">
      <c r="B25" s="188" t="s">
        <v>41</v>
      </c>
      <c r="C25" s="262">
        <f t="shared" si="50"/>
        <v>2168408.167</v>
      </c>
      <c r="D25" s="263">
        <f t="shared" si="51"/>
        <v>0.03963222922</v>
      </c>
      <c r="E25" s="262" t="str">
        <f t="shared" si="52"/>
        <v>#REF!</v>
      </c>
      <c r="F25" s="263" t="str">
        <f t="shared" si="53"/>
        <v>#REF!</v>
      </c>
      <c r="G25" s="189">
        <f>HO!D106</f>
        <v>135644.5</v>
      </c>
      <c r="H25" s="186"/>
      <c r="I25" s="189">
        <f>HO!F106</f>
        <v>76500</v>
      </c>
      <c r="J25" s="186"/>
      <c r="K25" s="262">
        <f t="shared" si="54"/>
        <v>2032763.667</v>
      </c>
      <c r="L25" s="263">
        <f t="shared" si="55"/>
        <v>0.03715304011</v>
      </c>
      <c r="M25" s="262" t="str">
        <f t="shared" si="56"/>
        <v>#REF!</v>
      </c>
      <c r="N25" s="263" t="str">
        <f t="shared" si="57"/>
        <v>#REF!</v>
      </c>
      <c r="O25" s="189">
        <f>'The Table'!D99</f>
        <v>320516.0833</v>
      </c>
      <c r="P25" s="264">
        <f t="shared" si="58"/>
        <v>0.02031328148</v>
      </c>
      <c r="Q25" s="189">
        <f>'The Table'!F99</f>
        <v>314744</v>
      </c>
      <c r="R25" s="264">
        <f t="shared" si="59"/>
        <v>0.02167080066</v>
      </c>
      <c r="S25" s="189">
        <f>Iktara!D99</f>
        <v>20799.41667</v>
      </c>
      <c r="T25" s="264">
        <f t="shared" si="60"/>
        <v>0.04619071515</v>
      </c>
      <c r="U25" s="186" t="str">
        <f t="shared" si="61"/>
        <v>#REF!</v>
      </c>
      <c r="V25" s="264" t="str">
        <f t="shared" si="62"/>
        <v>#REF!</v>
      </c>
      <c r="W25" s="189">
        <f>'Mg St Colaba'!D132</f>
        <v>331379</v>
      </c>
      <c r="X25" s="264">
        <f t="shared" si="63"/>
        <v>0.02667966007</v>
      </c>
      <c r="Y25" s="189">
        <f>'Mg St Colaba'!F132</f>
        <v>421563.0833</v>
      </c>
      <c r="Z25" s="264">
        <f t="shared" si="64"/>
        <v>0.03255458673</v>
      </c>
      <c r="AA25" s="189">
        <f>'Mg St LP'!D132</f>
        <v>156060.75</v>
      </c>
      <c r="AB25" s="264">
        <f t="shared" si="65"/>
        <v>0.01817332044</v>
      </c>
      <c r="AC25" s="189">
        <f>'Mg St LP'!F132</f>
        <v>59242.5</v>
      </c>
      <c r="AD25" s="264">
        <f t="shared" si="66"/>
        <v>0.007027089283</v>
      </c>
      <c r="AE25" s="189">
        <f>'Mg St Bandra'!D132</f>
        <v>300576.3333</v>
      </c>
      <c r="AF25" s="264">
        <f t="shared" si="67"/>
        <v>0.01863050424</v>
      </c>
      <c r="AG25" s="189">
        <f>'Mg St Bandra'!F132</f>
        <v>438458.3333</v>
      </c>
      <c r="AH25" s="264">
        <f t="shared" si="68"/>
        <v>0.02864372344</v>
      </c>
      <c r="AI25" s="189">
        <f>'MSK Events'!D121</f>
        <v>371507.0833</v>
      </c>
      <c r="AJ25" s="264">
        <f t="shared" si="69"/>
        <v>0.3784304688</v>
      </c>
      <c r="AK25" s="189" t="str">
        <f t="shared" si="70"/>
        <v>#REF!</v>
      </c>
      <c r="AL25" s="264" t="str">
        <f t="shared" si="71"/>
        <v>#REF!</v>
      </c>
      <c r="AM25" s="189">
        <f>MSBC!D114</f>
        <v>54468</v>
      </c>
      <c r="AN25" s="264">
        <f t="shared" si="72"/>
        <v>0.1734539201</v>
      </c>
      <c r="AO25" s="189">
        <f>MSBC!F114</f>
        <v>0</v>
      </c>
      <c r="AP25" s="264">
        <f t="shared" si="73"/>
        <v>0</v>
      </c>
      <c r="AQ25" s="189">
        <f>Kaspers!D117</f>
        <v>461257</v>
      </c>
      <c r="AR25" s="186"/>
      <c r="AS25" s="189">
        <f>Kaspers!F117</f>
        <v>0</v>
      </c>
      <c r="AT25" s="186"/>
      <c r="AU25" s="189">
        <f>'MSBC Andheri'!D123</f>
        <v>16200</v>
      </c>
      <c r="AV25" s="186"/>
      <c r="AW25" s="189" t="str">
        <f t="shared" si="74"/>
        <v>#REF!</v>
      </c>
      <c r="AX25" s="186"/>
      <c r="AY25" s="189">
        <f>'MSBC Dahisar'!D112</f>
        <v>0</v>
      </c>
      <c r="AZ25" s="186"/>
      <c r="BA25" s="186"/>
      <c r="BB25" s="186"/>
      <c r="BC25" s="114">
        <f>'LOUD MOUTH'!D128</f>
        <v>0</v>
      </c>
      <c r="BD25" s="43"/>
      <c r="BE25" s="114"/>
      <c r="BF25" s="43"/>
    </row>
    <row r="26" ht="15.75" customHeight="1">
      <c r="B26" s="188" t="s">
        <v>42</v>
      </c>
      <c r="C26" s="262">
        <f t="shared" si="50"/>
        <v>145008.3333</v>
      </c>
      <c r="D26" s="263">
        <f t="shared" si="51"/>
        <v>0.0026503329</v>
      </c>
      <c r="E26" s="262" t="str">
        <f t="shared" si="52"/>
        <v>#REF!</v>
      </c>
      <c r="F26" s="263" t="str">
        <f t="shared" si="53"/>
        <v>#REF!</v>
      </c>
      <c r="G26" s="189">
        <f>HO!D123</f>
        <v>63308.33333</v>
      </c>
      <c r="H26" s="186"/>
      <c r="I26" s="189">
        <f>HO!F123</f>
        <v>100000</v>
      </c>
      <c r="J26" s="186"/>
      <c r="K26" s="262">
        <f t="shared" si="54"/>
        <v>81700</v>
      </c>
      <c r="L26" s="263">
        <f t="shared" si="55"/>
        <v>0.001493239685</v>
      </c>
      <c r="M26" s="262" t="str">
        <f t="shared" si="56"/>
        <v>#REF!</v>
      </c>
      <c r="N26" s="263" t="str">
        <f t="shared" si="57"/>
        <v>#REF!</v>
      </c>
      <c r="O26" s="189">
        <f>'The Table'!D122</f>
        <v>81700</v>
      </c>
      <c r="P26" s="264">
        <f t="shared" si="58"/>
        <v>0.005177883991</v>
      </c>
      <c r="Q26" s="189">
        <f>'The Table'!F122</f>
        <v>0</v>
      </c>
      <c r="R26" s="264">
        <f t="shared" si="59"/>
        <v>0</v>
      </c>
      <c r="S26" s="189">
        <f>Iktara!D112</f>
        <v>0</v>
      </c>
      <c r="T26" s="264">
        <f t="shared" si="60"/>
        <v>0</v>
      </c>
      <c r="U26" s="186" t="str">
        <f t="shared" si="61"/>
        <v>#REF!</v>
      </c>
      <c r="V26" s="264" t="str">
        <f t="shared" si="62"/>
        <v>#REF!</v>
      </c>
      <c r="W26" s="189">
        <f>'Mg St Colaba'!D148</f>
        <v>0</v>
      </c>
      <c r="X26" s="264">
        <f t="shared" si="63"/>
        <v>0</v>
      </c>
      <c r="Y26" s="186">
        <f>'Mg St Colaba'!F148</f>
        <v>0</v>
      </c>
      <c r="Z26" s="264">
        <f t="shared" si="64"/>
        <v>0</v>
      </c>
      <c r="AA26" s="189">
        <f>'Mg St LP'!D148</f>
        <v>0</v>
      </c>
      <c r="AB26" s="264">
        <f t="shared" si="65"/>
        <v>0</v>
      </c>
      <c r="AC26" s="186">
        <f>'Mg St LP'!F148</f>
        <v>0</v>
      </c>
      <c r="AD26" s="264">
        <f t="shared" si="66"/>
        <v>0</v>
      </c>
      <c r="AE26" s="189">
        <f>'Mg St Bandra'!D149</f>
        <v>0</v>
      </c>
      <c r="AF26" s="264">
        <f t="shared" si="67"/>
        <v>0</v>
      </c>
      <c r="AG26" s="189">
        <f>'Mg St Bandra'!F149</f>
        <v>0</v>
      </c>
      <c r="AH26" s="264">
        <f t="shared" si="68"/>
        <v>0</v>
      </c>
      <c r="AI26" s="189">
        <f>'MSK Events'!D138</f>
        <v>0</v>
      </c>
      <c r="AJ26" s="264">
        <f t="shared" si="69"/>
        <v>0</v>
      </c>
      <c r="AK26" s="189" t="str">
        <f t="shared" si="70"/>
        <v>#REF!</v>
      </c>
      <c r="AL26" s="264" t="str">
        <f t="shared" si="71"/>
        <v>#REF!</v>
      </c>
      <c r="AM26" s="189">
        <f>MSBC!D131</f>
        <v>0</v>
      </c>
      <c r="AN26" s="264">
        <f t="shared" si="72"/>
        <v>0</v>
      </c>
      <c r="AO26" s="189">
        <f>MSBC!F131</f>
        <v>0</v>
      </c>
      <c r="AP26" s="264">
        <f t="shared" si="73"/>
        <v>0</v>
      </c>
      <c r="AQ26" s="189">
        <f>Kaspers!D141</f>
        <v>0</v>
      </c>
      <c r="AR26" s="186"/>
      <c r="AS26" s="189">
        <f>Kaspers!F141</f>
        <v>0</v>
      </c>
      <c r="AT26" s="186"/>
      <c r="AU26" s="189">
        <f>'MSBC Andheri'!D138</f>
        <v>0</v>
      </c>
      <c r="AV26" s="186"/>
      <c r="AW26" s="189" t="str">
        <f t="shared" si="74"/>
        <v>#REF!</v>
      </c>
      <c r="AX26" s="186"/>
      <c r="AY26" s="189">
        <f>'MSBC Dahisar'!D127</f>
        <v>0</v>
      </c>
      <c r="AZ26" s="186"/>
      <c r="BA26" s="186"/>
      <c r="BB26" s="186"/>
      <c r="BC26" s="114"/>
      <c r="BD26" s="43"/>
      <c r="BE26" s="114"/>
      <c r="BF26" s="43"/>
    </row>
    <row r="27" ht="15.75" customHeight="1">
      <c r="B27" s="188" t="s">
        <v>43</v>
      </c>
      <c r="C27" s="262">
        <f t="shared" si="50"/>
        <v>-1504565.34</v>
      </c>
      <c r="D27" s="263">
        <f t="shared" si="51"/>
        <v>-0.02749910251</v>
      </c>
      <c r="E27" s="262" t="str">
        <f t="shared" si="52"/>
        <v>#REF!</v>
      </c>
      <c r="F27" s="263" t="str">
        <f t="shared" si="53"/>
        <v>#REF!</v>
      </c>
      <c r="G27" s="189">
        <f>HO!D130</f>
        <v>270596</v>
      </c>
      <c r="H27" s="186"/>
      <c r="I27" s="189">
        <f>HO!F130</f>
        <v>0</v>
      </c>
      <c r="J27" s="186"/>
      <c r="K27" s="262">
        <f t="shared" si="54"/>
        <v>-1775161.34</v>
      </c>
      <c r="L27" s="263">
        <f t="shared" si="55"/>
        <v>-0.03244481469</v>
      </c>
      <c r="M27" s="262" t="str">
        <f t="shared" si="56"/>
        <v>#REF!</v>
      </c>
      <c r="N27" s="263" t="str">
        <f t="shared" si="57"/>
        <v>#REF!</v>
      </c>
      <c r="O27" s="189">
        <f>'The Table'!D127</f>
        <v>0</v>
      </c>
      <c r="P27" s="264">
        <f t="shared" si="58"/>
        <v>0</v>
      </c>
      <c r="Q27" s="189">
        <f>'The Table'!F127</f>
        <v>0</v>
      </c>
      <c r="R27" s="264">
        <f t="shared" si="59"/>
        <v>0</v>
      </c>
      <c r="S27" s="189">
        <f>Iktara!D116</f>
        <v>0</v>
      </c>
      <c r="T27" s="264">
        <f t="shared" si="60"/>
        <v>0</v>
      </c>
      <c r="U27" s="189" t="str">
        <f t="shared" si="61"/>
        <v>#REF!</v>
      </c>
      <c r="V27" s="264" t="str">
        <f t="shared" si="62"/>
        <v>#REF!</v>
      </c>
      <c r="W27" s="189">
        <f>'Mg St Colaba'!D153</f>
        <v>0</v>
      </c>
      <c r="X27" s="264">
        <f t="shared" si="63"/>
        <v>0</v>
      </c>
      <c r="Y27" s="189">
        <f>'Mg St Colaba'!F153</f>
        <v>0</v>
      </c>
      <c r="Z27" s="264">
        <f t="shared" si="64"/>
        <v>0</v>
      </c>
      <c r="AA27" s="189">
        <f>'Mg St LP'!D152</f>
        <v>0</v>
      </c>
      <c r="AB27" s="264">
        <f t="shared" si="65"/>
        <v>0</v>
      </c>
      <c r="AC27" s="189">
        <f>'Mg St LP'!F152</f>
        <v>0</v>
      </c>
      <c r="AD27" s="264">
        <f t="shared" si="66"/>
        <v>0</v>
      </c>
      <c r="AE27" s="189">
        <f>'Mg St Bandra'!D153</f>
        <v>0</v>
      </c>
      <c r="AF27" s="264">
        <f t="shared" si="67"/>
        <v>0</v>
      </c>
      <c r="AG27" s="189">
        <f>'Mg St Bandra'!F153</f>
        <v>0</v>
      </c>
      <c r="AH27" s="264">
        <f t="shared" si="68"/>
        <v>0</v>
      </c>
      <c r="AI27" s="189">
        <f>'MSK Events'!D142</f>
        <v>0</v>
      </c>
      <c r="AJ27" s="264">
        <f t="shared" si="69"/>
        <v>0</v>
      </c>
      <c r="AK27" s="189" t="str">
        <f t="shared" si="70"/>
        <v>#REF!</v>
      </c>
      <c r="AL27" s="264" t="str">
        <f t="shared" si="71"/>
        <v>#REF!</v>
      </c>
      <c r="AM27" s="189">
        <f>MSBC!D135</f>
        <v>-1775161.34</v>
      </c>
      <c r="AN27" s="264">
        <f t="shared" si="72"/>
        <v>-5.65302</v>
      </c>
      <c r="AO27" s="189">
        <f>MSBC!F135</f>
        <v>0</v>
      </c>
      <c r="AP27" s="264">
        <f t="shared" si="73"/>
        <v>0</v>
      </c>
      <c r="AQ27" s="189">
        <f>Kaspers!D145</f>
        <v>0</v>
      </c>
      <c r="AR27" s="186"/>
      <c r="AS27" s="189">
        <f>Kaspers!F145</f>
        <v>0</v>
      </c>
      <c r="AT27" s="186"/>
      <c r="AU27" s="189">
        <f>'MSBC Andheri'!D142</f>
        <v>0</v>
      </c>
      <c r="AV27" s="186"/>
      <c r="AW27" s="189" t="str">
        <f t="shared" si="74"/>
        <v>#REF!</v>
      </c>
      <c r="AX27" s="186"/>
      <c r="AY27" s="189">
        <f>'MSBC Dahisar'!D131</f>
        <v>0</v>
      </c>
      <c r="AZ27" s="186"/>
      <c r="BA27" s="186"/>
      <c r="BB27" s="186"/>
      <c r="BC27" s="62">
        <f>'LOUD MOUTH'!D148</f>
        <v>0</v>
      </c>
      <c r="BD27" s="62"/>
      <c r="BE27" s="62"/>
      <c r="BF27" s="62"/>
    </row>
    <row r="28" ht="15.75" customHeight="1">
      <c r="B28" s="188" t="s">
        <v>44</v>
      </c>
      <c r="C28" s="262">
        <f>SUM(C18:C27)</f>
        <v>31586907.48</v>
      </c>
      <c r="D28" s="263">
        <f t="shared" si="51"/>
        <v>0.5773173045</v>
      </c>
      <c r="E28" s="262" t="str">
        <f t="shared" si="52"/>
        <v>#REF!</v>
      </c>
      <c r="F28" s="263" t="str">
        <f t="shared" si="53"/>
        <v>#REF!</v>
      </c>
      <c r="G28" s="262">
        <f>SUM(G18:G27)</f>
        <v>5281622.567</v>
      </c>
      <c r="H28" s="268"/>
      <c r="I28" s="262">
        <f>SUM(I18:I27)</f>
        <v>4920406.653</v>
      </c>
      <c r="J28" s="268"/>
      <c r="K28" s="262">
        <f>SUM(K18:K27)</f>
        <v>26305284.92</v>
      </c>
      <c r="L28" s="263">
        <f t="shared" si="55"/>
        <v>0.4807845209</v>
      </c>
      <c r="M28" s="262" t="str">
        <f>SUM(M18:M27)</f>
        <v>#REF!</v>
      </c>
      <c r="N28" s="263" t="str">
        <f t="shared" si="57"/>
        <v>#REF!</v>
      </c>
      <c r="O28" s="262">
        <f>SUM(O18:O27)</f>
        <v>8258894.659</v>
      </c>
      <c r="P28" s="263">
        <f t="shared" si="58"/>
        <v>0.5234222575</v>
      </c>
      <c r="Q28" s="262">
        <f>SUM(Q18:Q27)</f>
        <v>8186439.627</v>
      </c>
      <c r="R28" s="263">
        <f t="shared" si="59"/>
        <v>0.5636539579</v>
      </c>
      <c r="S28" s="262">
        <f>SUM(S18:S27)</f>
        <v>534361.918</v>
      </c>
      <c r="T28" s="263">
        <f t="shared" si="60"/>
        <v>1.186694778</v>
      </c>
      <c r="U28" s="262" t="str">
        <f>SUM(U18:U27)</f>
        <v>#REF!</v>
      </c>
      <c r="V28" s="263" t="str">
        <f t="shared" si="62"/>
        <v>#REF!</v>
      </c>
      <c r="W28" s="262">
        <f>SUM(W18:W27)</f>
        <v>6088264.264</v>
      </c>
      <c r="X28" s="263">
        <f t="shared" si="63"/>
        <v>0.4901723434</v>
      </c>
      <c r="Y28" s="262">
        <f>SUM(Y18:Y27)</f>
        <v>6111359.837</v>
      </c>
      <c r="Z28" s="263">
        <f t="shared" si="64"/>
        <v>0.4719407408</v>
      </c>
      <c r="AA28" s="262">
        <f>SUM(AA18:AA27)</f>
        <v>3113046.364</v>
      </c>
      <c r="AB28" s="263">
        <f t="shared" si="65"/>
        <v>0.3625151688</v>
      </c>
      <c r="AC28" s="262">
        <f>SUM(AC18:AC27)</f>
        <v>2933050.615</v>
      </c>
      <c r="AD28" s="263">
        <f t="shared" si="66"/>
        <v>0.3479057863</v>
      </c>
      <c r="AE28" s="262">
        <f>SUM(AE18:AE27)</f>
        <v>6908114.418</v>
      </c>
      <c r="AF28" s="263">
        <f t="shared" si="67"/>
        <v>0.4281829294</v>
      </c>
      <c r="AG28" s="262">
        <f>SUM(AG18:AG27)</f>
        <v>6929888.329</v>
      </c>
      <c r="AH28" s="263">
        <f t="shared" si="68"/>
        <v>0.4527176009</v>
      </c>
      <c r="AI28" s="262">
        <f>SUM(AI18:AI27)</f>
        <v>1113542.097</v>
      </c>
      <c r="AJ28" s="268"/>
      <c r="AK28" s="262" t="str">
        <f>SUM(AK18:AK27)</f>
        <v>#REF!</v>
      </c>
      <c r="AL28" s="268"/>
      <c r="AM28" s="262">
        <f>SUM(AM18:AM27)</f>
        <v>-286060.5209</v>
      </c>
      <c r="AN28" s="263">
        <f t="shared" si="72"/>
        <v>-0.910962744</v>
      </c>
      <c r="AO28" s="262">
        <f>SUM(AO18:AO27)</f>
        <v>801696</v>
      </c>
      <c r="AP28" s="263">
        <f t="shared" si="73"/>
        <v>10.0212</v>
      </c>
      <c r="AQ28" s="262">
        <f>SUM(AQ18:AQ27)</f>
        <v>504069.6667</v>
      </c>
      <c r="AR28" s="268"/>
      <c r="AS28" s="262">
        <f>SUM(AS18:AS27)</f>
        <v>26833.33333</v>
      </c>
      <c r="AT28" s="268"/>
      <c r="AU28" s="272">
        <f>SUM(AU18:AU27)</f>
        <v>71052.0506</v>
      </c>
      <c r="AV28" s="273"/>
      <c r="AW28" s="272" t="str">
        <f>SUM(AW18:AW27)</f>
        <v>#REF!</v>
      </c>
      <c r="AX28" s="273"/>
      <c r="AY28" s="272">
        <f>SUM(AY18:AY27)</f>
        <v>0</v>
      </c>
      <c r="AZ28" s="186"/>
      <c r="BA28" s="186"/>
      <c r="BB28" s="186"/>
      <c r="BC28" s="146">
        <f>SUM(BC18:BC27)</f>
        <v>0</v>
      </c>
      <c r="BD28" s="62"/>
      <c r="BE28" s="62"/>
      <c r="BF28" s="62"/>
    </row>
    <row r="29" ht="15.75" customHeight="1">
      <c r="B29" s="188"/>
      <c r="C29" s="268"/>
      <c r="D29" s="268"/>
      <c r="E29" s="268"/>
      <c r="F29" s="268"/>
      <c r="G29" s="186"/>
      <c r="H29" s="186"/>
      <c r="I29" s="189"/>
      <c r="J29" s="186"/>
      <c r="K29" s="268"/>
      <c r="L29" s="268"/>
      <c r="M29" s="262"/>
      <c r="N29" s="268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186"/>
      <c r="AM29" s="186"/>
      <c r="AN29" s="186"/>
      <c r="AO29" s="186"/>
      <c r="AP29" s="186"/>
      <c r="AQ29" s="186"/>
      <c r="AR29" s="186"/>
      <c r="AS29" s="186"/>
      <c r="AT29" s="186"/>
      <c r="AU29" s="272"/>
      <c r="AV29" s="273"/>
      <c r="AW29" s="272" t="str">
        <f>AW16-AW28</f>
        <v>#REF!</v>
      </c>
      <c r="AX29" s="273"/>
      <c r="AY29" s="272"/>
      <c r="AZ29" s="186"/>
      <c r="BA29" s="186"/>
      <c r="BB29" s="186"/>
      <c r="BC29" s="96"/>
      <c r="BD29" s="62"/>
      <c r="BE29" s="62"/>
      <c r="BF29" s="62"/>
    </row>
    <row r="30" ht="15.75" customHeight="1">
      <c r="B30" s="188" t="s">
        <v>45</v>
      </c>
      <c r="C30" s="262">
        <f>C16-C28</f>
        <v>4829767.108</v>
      </c>
      <c r="D30" s="263">
        <f>C30/C$10</f>
        <v>0.08827417275</v>
      </c>
      <c r="E30" s="262" t="str">
        <f>E16-E28</f>
        <v>#REF!</v>
      </c>
      <c r="F30" s="263" t="str">
        <f>E30/E$10</f>
        <v>#REF!</v>
      </c>
      <c r="G30" s="262">
        <f>G16-G28</f>
        <v>-5281622.567</v>
      </c>
      <c r="H30" s="268"/>
      <c r="I30" s="262">
        <f>I16-I28</f>
        <v>-4920406.653</v>
      </c>
      <c r="J30" s="268"/>
      <c r="K30" s="262">
        <f>K16-K28</f>
        <v>10111389.67</v>
      </c>
      <c r="L30" s="263">
        <f>K30/K$10</f>
        <v>0.1848069563</v>
      </c>
      <c r="M30" s="262" t="str">
        <f>M16-M28</f>
        <v>#REF!</v>
      </c>
      <c r="N30" s="263" t="str">
        <f>M30/M$10</f>
        <v>#REF!</v>
      </c>
      <c r="O30" s="262">
        <f>O16-O28</f>
        <v>1294241.111</v>
      </c>
      <c r="P30" s="263">
        <f>O30/O$10</f>
        <v>0.08202485106</v>
      </c>
      <c r="Q30" s="262">
        <f>Q16-Q28</f>
        <v>1470063.694</v>
      </c>
      <c r="R30" s="263">
        <f>Q30/Q$10</f>
        <v>0.101217044</v>
      </c>
      <c r="S30" s="262">
        <f>S16-S28</f>
        <v>-266173.9094</v>
      </c>
      <c r="T30" s="263">
        <f>S30/S$10</f>
        <v>-0.5911109635</v>
      </c>
      <c r="U30" s="262" t="str">
        <f>U16-U28</f>
        <v>#REF!</v>
      </c>
      <c r="V30" s="263" t="str">
        <f>U30/U$10</f>
        <v>#REF!</v>
      </c>
      <c r="W30" s="262">
        <f>W16-W28</f>
        <v>2228701.005</v>
      </c>
      <c r="X30" s="263">
        <f>W30/W$10</f>
        <v>0.1794349829</v>
      </c>
      <c r="Y30" s="262">
        <f>Y16-Y28</f>
        <v>3160343.607</v>
      </c>
      <c r="Z30" s="263">
        <f>Y30/Y$10</f>
        <v>0.2440528692</v>
      </c>
      <c r="AA30" s="262">
        <f>AA16-AA28</f>
        <v>2743509.172</v>
      </c>
      <c r="AB30" s="263">
        <f>AA30/AA$10</f>
        <v>0.3194824536</v>
      </c>
      <c r="AC30" s="262">
        <f>AC16-AC28</f>
        <v>3393957.959</v>
      </c>
      <c r="AD30" s="263">
        <f>AC30/AC$10</f>
        <v>0.4025766232</v>
      </c>
      <c r="AE30" s="262">
        <f>AE16-AE28</f>
        <v>4310327.608</v>
      </c>
      <c r="AF30" s="263">
        <f>AE30/AE$10</f>
        <v>0.2671653349</v>
      </c>
      <c r="AG30" s="262">
        <f>AG16-AG28</f>
        <v>3826165.26</v>
      </c>
      <c r="AH30" s="263">
        <f>AG30/AG$10</f>
        <v>0.2499567489</v>
      </c>
      <c r="AI30" s="262">
        <f>AI16-AI28</f>
        <v>-132582.0967</v>
      </c>
      <c r="AJ30" s="268"/>
      <c r="AK30" s="262" t="str">
        <f>AK16-AK28</f>
        <v>#REF!</v>
      </c>
      <c r="AL30" s="268"/>
      <c r="AM30" s="262">
        <f>AM16-AM28</f>
        <v>461475.5022</v>
      </c>
      <c r="AN30" s="263">
        <f>AM30/AM$10</f>
        <v>1.469573601</v>
      </c>
      <c r="AO30" s="262">
        <f>AO16-AO28</f>
        <v>-721696</v>
      </c>
      <c r="AP30" s="263">
        <f>AO30/AO$10</f>
        <v>-9.0212</v>
      </c>
      <c r="AQ30" s="262">
        <f>AQ16-AQ28</f>
        <v>-504069.6667</v>
      </c>
      <c r="AR30" s="268"/>
      <c r="AS30" s="262">
        <f>AS16-AS28</f>
        <v>-26833.33333</v>
      </c>
      <c r="AT30" s="268"/>
      <c r="AU30" s="262">
        <f t="shared" ref="AU30:AY30" si="75">AU16-AU28</f>
        <v>-24039.0506</v>
      </c>
      <c r="AV30" s="262">
        <f t="shared" si="75"/>
        <v>0</v>
      </c>
      <c r="AW30" s="262" t="str">
        <f t="shared" si="75"/>
        <v>#REF!</v>
      </c>
      <c r="AX30" s="262">
        <f t="shared" si="75"/>
        <v>0</v>
      </c>
      <c r="AY30" s="262">
        <f t="shared" si="75"/>
        <v>0</v>
      </c>
      <c r="AZ30" s="186"/>
      <c r="BA30" s="186"/>
      <c r="BB30" s="186"/>
      <c r="BC30" s="146">
        <f>BC16-BC28</f>
        <v>0</v>
      </c>
      <c r="BD30" s="62"/>
      <c r="BE30" s="62"/>
      <c r="BF30" s="62"/>
    </row>
    <row r="31" ht="15.75" customHeight="1">
      <c r="BC31" s="274"/>
      <c r="BD31" s="274"/>
      <c r="BE31" s="274"/>
      <c r="BF31" s="274"/>
    </row>
    <row r="32" ht="15.75" hidden="1" customHeight="1">
      <c r="O32" s="129">
        <f>'The Table'!D26+'The Table'!D27+'The Table'!D28+'The Table'!D30+'The Table'!D22</f>
        <v>15778646.28</v>
      </c>
      <c r="S32" s="129">
        <f>Iktara!D27</f>
        <v>450294.32</v>
      </c>
      <c r="W32" s="127">
        <f>'Mg St Colaba'!D33</f>
        <v>12420660.5</v>
      </c>
      <c r="AA32" s="129">
        <f>'Mg St LP'!D32</f>
        <v>8587354.77</v>
      </c>
      <c r="AE32" s="129">
        <f>'Mg St Bandra'!D33</f>
        <v>16133558.68</v>
      </c>
      <c r="AI32" s="129">
        <f>'MSK Events'!D28</f>
        <v>981705</v>
      </c>
      <c r="AM32" s="127">
        <f>MSBC!D29</f>
        <v>314020</v>
      </c>
      <c r="AQ32" s="129">
        <f>Kaspers!D31</f>
        <v>0</v>
      </c>
      <c r="AU32" s="127">
        <f>'MSBC Andheri'!D29</f>
        <v>47013</v>
      </c>
      <c r="BC32" s="3"/>
      <c r="BD32" s="3"/>
      <c r="BE32" s="3"/>
      <c r="BF32" s="3"/>
    </row>
    <row r="33" ht="15.75" hidden="1" customHeight="1">
      <c r="O33" s="127">
        <f>O10-O32</f>
        <v>0</v>
      </c>
      <c r="S33" s="127">
        <f>S10-S32</f>
        <v>0</v>
      </c>
      <c r="W33" s="127">
        <f>W10-W32</f>
        <v>0</v>
      </c>
      <c r="AA33" s="127">
        <f>AA10-AA32</f>
        <v>0</v>
      </c>
      <c r="AE33" s="127">
        <f>AE10-AE32</f>
        <v>0</v>
      </c>
      <c r="AI33" s="127">
        <f>AI10-AI32</f>
        <v>0</v>
      </c>
      <c r="AM33" s="127">
        <f>AM10-AM32</f>
        <v>0</v>
      </c>
      <c r="AQ33" s="127">
        <f>AQ10-AQ32</f>
        <v>0</v>
      </c>
      <c r="AU33" s="127">
        <f>AU10-AU32</f>
        <v>0</v>
      </c>
      <c r="BC33" s="3"/>
      <c r="BD33" s="3"/>
      <c r="BE33" s="3"/>
      <c r="BF33" s="3"/>
    </row>
    <row r="34" ht="15.75" hidden="1" customHeight="1">
      <c r="J34" s="275"/>
      <c r="K34" s="276"/>
      <c r="BC34" s="3"/>
      <c r="BD34" s="3"/>
      <c r="BE34" s="3"/>
      <c r="BF34" s="3"/>
    </row>
    <row r="35" ht="15.75" hidden="1" customHeight="1">
      <c r="J35" s="275"/>
      <c r="K35" s="276"/>
      <c r="AM35" s="129">
        <f>MSBC!D142</f>
        <v>461475.5022</v>
      </c>
      <c r="BC35" s="3"/>
      <c r="BD35" s="3"/>
      <c r="BE35" s="3"/>
      <c r="BF35" s="3"/>
    </row>
    <row r="36" ht="15.75" hidden="1" customHeight="1">
      <c r="J36" s="275"/>
      <c r="K36" s="276"/>
      <c r="AM36" s="127">
        <f>AM30-AM35</f>
        <v>0</v>
      </c>
      <c r="BC36" s="3"/>
      <c r="BD36" s="3"/>
      <c r="BE36" s="3"/>
      <c r="BF36" s="3"/>
    </row>
    <row r="37" ht="15.75" customHeight="1">
      <c r="J37" s="275"/>
      <c r="K37" s="276"/>
      <c r="BC37" s="3"/>
      <c r="BD37" s="3"/>
      <c r="BE37" s="3"/>
      <c r="BF37" s="3"/>
    </row>
    <row r="38" ht="15.75" customHeight="1">
      <c r="BC38" s="3"/>
      <c r="BD38" s="3"/>
      <c r="BE38" s="3"/>
      <c r="BF38" s="3"/>
    </row>
    <row r="39" ht="15.75" customHeight="1">
      <c r="BC39" s="3"/>
      <c r="BD39" s="3"/>
      <c r="BE39" s="3"/>
      <c r="BF39" s="3"/>
    </row>
    <row r="40" ht="15.75" customHeight="1">
      <c r="BC40" s="3"/>
      <c r="BD40" s="3"/>
      <c r="BE40" s="3"/>
      <c r="BF40" s="3"/>
    </row>
    <row r="41" ht="15.75" customHeight="1">
      <c r="BC41" s="3"/>
      <c r="BD41" s="3"/>
      <c r="BE41" s="3"/>
      <c r="BF41" s="3"/>
    </row>
    <row r="42" ht="15.75" customHeight="1">
      <c r="BC42" s="3"/>
      <c r="BD42" s="3"/>
      <c r="BE42" s="3"/>
      <c r="BF42" s="3"/>
    </row>
    <row r="43" ht="15.75" customHeight="1">
      <c r="BC43" s="3"/>
      <c r="BD43" s="3"/>
      <c r="BE43" s="3"/>
      <c r="BF43" s="3"/>
    </row>
    <row r="44" ht="15.75" customHeight="1">
      <c r="BC44" s="3"/>
      <c r="BD44" s="3"/>
      <c r="BE44" s="3"/>
      <c r="BF44" s="3"/>
    </row>
    <row r="45" ht="15.75" customHeight="1">
      <c r="BC45" s="3"/>
      <c r="BD45" s="3"/>
      <c r="BE45" s="3"/>
      <c r="BF45" s="3"/>
    </row>
    <row r="46" ht="15.75" customHeight="1">
      <c r="BC46" s="3"/>
      <c r="BD46" s="3"/>
      <c r="BE46" s="3"/>
      <c r="BF46" s="3"/>
    </row>
    <row r="47" ht="15.75" customHeight="1">
      <c r="BC47" s="3"/>
      <c r="BD47" s="3"/>
      <c r="BE47" s="3"/>
      <c r="BF47" s="3"/>
    </row>
    <row r="48" ht="15.75" customHeight="1">
      <c r="BC48" s="3"/>
      <c r="BD48" s="3"/>
      <c r="BE48" s="3"/>
      <c r="BF48" s="3"/>
    </row>
    <row r="49" ht="15.75" customHeight="1">
      <c r="BC49" s="3"/>
      <c r="BD49" s="3"/>
      <c r="BE49" s="3"/>
      <c r="BF49" s="3"/>
    </row>
    <row r="50" ht="15.75" customHeight="1">
      <c r="BC50" s="3"/>
      <c r="BD50" s="3"/>
      <c r="BE50" s="3"/>
      <c r="BF50" s="3"/>
    </row>
    <row r="51" ht="15.75" customHeight="1">
      <c r="BC51" s="3"/>
      <c r="BD51" s="3"/>
      <c r="BE51" s="3"/>
      <c r="BF51" s="3"/>
    </row>
    <row r="52" ht="15.75" customHeight="1">
      <c r="BC52" s="3"/>
      <c r="BD52" s="3"/>
      <c r="BE52" s="3"/>
      <c r="BF52" s="3"/>
    </row>
    <row r="53" ht="15.75" customHeight="1">
      <c r="BC53" s="3"/>
      <c r="BD53" s="3"/>
      <c r="BE53" s="3"/>
      <c r="BF53" s="3"/>
    </row>
    <row r="54" ht="15.75" customHeight="1">
      <c r="BC54" s="3"/>
      <c r="BD54" s="3"/>
      <c r="BE54" s="3"/>
      <c r="BF54" s="3"/>
    </row>
    <row r="55" ht="15.75" customHeight="1">
      <c r="BC55" s="3"/>
      <c r="BD55" s="3"/>
      <c r="BE55" s="3"/>
      <c r="BF55" s="3"/>
    </row>
    <row r="56" ht="15.75" customHeight="1">
      <c r="BC56" s="3"/>
      <c r="BD56" s="3"/>
      <c r="BE56" s="3"/>
      <c r="BF56" s="3"/>
    </row>
    <row r="57" ht="15.75" customHeight="1">
      <c r="BC57" s="3"/>
      <c r="BD57" s="3"/>
      <c r="BE57" s="3"/>
      <c r="BF57" s="3"/>
    </row>
    <row r="58" ht="15.75" customHeight="1">
      <c r="BC58" s="3"/>
      <c r="BD58" s="3"/>
      <c r="BE58" s="3"/>
      <c r="BF58" s="3"/>
    </row>
    <row r="59" ht="15.75" customHeight="1">
      <c r="BC59" s="3"/>
      <c r="BD59" s="3"/>
      <c r="BE59" s="3"/>
      <c r="BF59" s="3"/>
    </row>
    <row r="60" ht="15.75" customHeight="1">
      <c r="BC60" s="3"/>
      <c r="BD60" s="3"/>
      <c r="BE60" s="3"/>
      <c r="BF60" s="3"/>
    </row>
    <row r="61" ht="15.75" customHeight="1">
      <c r="BC61" s="3"/>
      <c r="BD61" s="3"/>
      <c r="BE61" s="3"/>
      <c r="BF61" s="3"/>
    </row>
    <row r="62" ht="15.75" customHeight="1">
      <c r="BC62" s="3"/>
      <c r="BD62" s="3"/>
      <c r="BE62" s="3"/>
      <c r="BF62" s="3"/>
    </row>
    <row r="63" ht="15.75" customHeight="1">
      <c r="BC63" s="3"/>
      <c r="BD63" s="3"/>
      <c r="BE63" s="3"/>
      <c r="BF63" s="3"/>
    </row>
    <row r="64" ht="15.75" customHeight="1">
      <c r="BC64" s="3"/>
      <c r="BD64" s="3"/>
      <c r="BE64" s="3"/>
      <c r="BF64" s="3"/>
    </row>
    <row r="65" ht="15.75" customHeight="1">
      <c r="BC65" s="3"/>
      <c r="BD65" s="3"/>
      <c r="BE65" s="3"/>
      <c r="BF65" s="3"/>
    </row>
    <row r="66" ht="15.75" customHeight="1">
      <c r="BC66" s="3"/>
      <c r="BD66" s="3"/>
      <c r="BE66" s="3"/>
      <c r="BF66" s="3"/>
    </row>
    <row r="67" ht="15.75" customHeight="1">
      <c r="BC67" s="3"/>
      <c r="BD67" s="3"/>
      <c r="BE67" s="3"/>
      <c r="BF67" s="3"/>
    </row>
    <row r="68" ht="15.75" customHeight="1">
      <c r="BC68" s="3"/>
      <c r="BD68" s="3"/>
      <c r="BE68" s="3"/>
      <c r="BF68" s="3"/>
    </row>
    <row r="69" ht="15.75" customHeight="1">
      <c r="BC69" s="3"/>
      <c r="BD69" s="3"/>
      <c r="BE69" s="3"/>
      <c r="BF69" s="3"/>
    </row>
    <row r="70" ht="15.75" customHeight="1">
      <c r="BC70" s="3"/>
      <c r="BD70" s="3"/>
      <c r="BE70" s="3"/>
      <c r="BF70" s="3"/>
    </row>
    <row r="71" ht="15.75" customHeight="1">
      <c r="BC71" s="3"/>
      <c r="BD71" s="3"/>
      <c r="BE71" s="3"/>
      <c r="BF71" s="3"/>
    </row>
    <row r="72" ht="15.75" customHeight="1">
      <c r="BC72" s="3"/>
      <c r="BD72" s="3"/>
      <c r="BE72" s="3"/>
      <c r="BF72" s="3"/>
    </row>
    <row r="73" ht="15.75" customHeight="1">
      <c r="BC73" s="3"/>
      <c r="BD73" s="3"/>
      <c r="BE73" s="3"/>
      <c r="BF73" s="3"/>
    </row>
    <row r="74" ht="15.75" customHeight="1">
      <c r="BC74" s="3"/>
      <c r="BD74" s="3"/>
      <c r="BE74" s="3"/>
      <c r="BF74" s="3"/>
    </row>
    <row r="75" ht="15.75" customHeight="1">
      <c r="BC75" s="3"/>
      <c r="BD75" s="3"/>
      <c r="BE75" s="3"/>
      <c r="BF75" s="3"/>
    </row>
    <row r="76" ht="15.75" customHeight="1">
      <c r="BC76" s="3"/>
      <c r="BD76" s="3"/>
      <c r="BE76" s="3"/>
      <c r="BF76" s="3"/>
    </row>
    <row r="77" ht="15.75" customHeight="1">
      <c r="BC77" s="3"/>
      <c r="BD77" s="3"/>
      <c r="BE77" s="3"/>
      <c r="BF77" s="3"/>
    </row>
    <row r="78" ht="15.75" customHeight="1">
      <c r="BC78" s="3"/>
      <c r="BD78" s="3"/>
      <c r="BE78" s="3"/>
      <c r="BF78" s="3"/>
    </row>
    <row r="79" ht="15.75" customHeight="1">
      <c r="BC79" s="3"/>
      <c r="BD79" s="3"/>
      <c r="BE79" s="3"/>
      <c r="BF79" s="3"/>
    </row>
    <row r="80" ht="15.75" customHeight="1">
      <c r="BC80" s="3"/>
      <c r="BD80" s="3"/>
      <c r="BE80" s="3"/>
      <c r="BF80" s="3"/>
    </row>
    <row r="81" ht="15.75" customHeight="1">
      <c r="BC81" s="3"/>
      <c r="BD81" s="3"/>
      <c r="BE81" s="3"/>
      <c r="BF81" s="3"/>
    </row>
    <row r="82" ht="15.75" customHeight="1">
      <c r="BC82" s="3"/>
      <c r="BD82" s="3"/>
      <c r="BE82" s="3"/>
      <c r="BF82" s="3"/>
    </row>
    <row r="83" ht="15.75" customHeight="1">
      <c r="BC83" s="3"/>
      <c r="BD83" s="3"/>
      <c r="BE83" s="3"/>
      <c r="BF83" s="3"/>
    </row>
    <row r="84" ht="15.75" customHeight="1">
      <c r="BC84" s="3"/>
      <c r="BD84" s="3"/>
      <c r="BE84" s="3"/>
      <c r="BF84" s="3"/>
    </row>
    <row r="85" ht="15.75" customHeight="1">
      <c r="BC85" s="3"/>
      <c r="BD85" s="3"/>
      <c r="BE85" s="3"/>
      <c r="BF85" s="3"/>
    </row>
    <row r="86" ht="15.75" customHeight="1">
      <c r="BC86" s="3"/>
      <c r="BD86" s="3"/>
      <c r="BE86" s="3"/>
      <c r="BF86" s="3"/>
    </row>
    <row r="87" ht="15.75" customHeight="1">
      <c r="BC87" s="3"/>
      <c r="BD87" s="3"/>
      <c r="BE87" s="3"/>
      <c r="BF87" s="3"/>
    </row>
    <row r="88" ht="15.75" customHeight="1">
      <c r="BC88" s="3"/>
      <c r="BD88" s="3"/>
      <c r="BE88" s="3"/>
      <c r="BF88" s="3"/>
    </row>
    <row r="89" ht="15.75" customHeight="1">
      <c r="BC89" s="3"/>
      <c r="BD89" s="3"/>
      <c r="BE89" s="3"/>
      <c r="BF89" s="3"/>
    </row>
    <row r="90" ht="15.75" customHeight="1">
      <c r="BC90" s="3"/>
      <c r="BD90" s="3"/>
      <c r="BE90" s="3"/>
      <c r="BF90" s="3"/>
    </row>
    <row r="91" ht="15.75" customHeight="1">
      <c r="BC91" s="3"/>
      <c r="BD91" s="3"/>
      <c r="BE91" s="3"/>
      <c r="BF91" s="3"/>
    </row>
    <row r="92" ht="15.75" customHeight="1">
      <c r="BC92" s="3"/>
      <c r="BD92" s="3"/>
      <c r="BE92" s="3"/>
      <c r="BF92" s="3"/>
    </row>
    <row r="93" ht="15.75" customHeight="1">
      <c r="BC93" s="3"/>
      <c r="BD93" s="3"/>
      <c r="BE93" s="3"/>
      <c r="BF93" s="3"/>
    </row>
    <row r="94" ht="15.75" customHeight="1">
      <c r="BC94" s="3"/>
      <c r="BD94" s="3"/>
      <c r="BE94" s="3"/>
      <c r="BF94" s="3"/>
    </row>
    <row r="95" ht="15.75" customHeight="1">
      <c r="BC95" s="3"/>
      <c r="BD95" s="3"/>
      <c r="BE95" s="3"/>
      <c r="BF95" s="3"/>
    </row>
    <row r="96" ht="15.75" customHeight="1">
      <c r="BC96" s="3"/>
      <c r="BD96" s="3"/>
      <c r="BE96" s="3"/>
      <c r="BF96" s="3"/>
    </row>
    <row r="97" ht="15.75" customHeight="1">
      <c r="BC97" s="3"/>
      <c r="BD97" s="3"/>
      <c r="BE97" s="3"/>
      <c r="BF97" s="3"/>
    </row>
    <row r="98" ht="15.75" customHeight="1">
      <c r="BC98" s="3"/>
      <c r="BD98" s="3"/>
      <c r="BE98" s="3"/>
      <c r="BF98" s="3"/>
    </row>
    <row r="99" ht="15.75" customHeight="1">
      <c r="BC99" s="3"/>
      <c r="BD99" s="3"/>
      <c r="BE99" s="3"/>
      <c r="BF99" s="3"/>
    </row>
    <row r="100" ht="15.75" customHeight="1">
      <c r="BC100" s="3"/>
      <c r="BD100" s="3"/>
      <c r="BE100" s="3"/>
      <c r="BF100" s="3"/>
    </row>
    <row r="101" ht="15.75" customHeight="1">
      <c r="BC101" s="3"/>
      <c r="BD101" s="3"/>
      <c r="BE101" s="3"/>
      <c r="BF101" s="3"/>
    </row>
    <row r="102" ht="15.75" customHeight="1">
      <c r="BC102" s="3"/>
      <c r="BD102" s="3"/>
      <c r="BE102" s="3"/>
      <c r="BF102" s="3"/>
    </row>
    <row r="103" ht="15.75" customHeight="1">
      <c r="BC103" s="3"/>
      <c r="BD103" s="3"/>
      <c r="BE103" s="3"/>
      <c r="BF103" s="3"/>
    </row>
    <row r="104" ht="15.75" customHeight="1">
      <c r="BC104" s="3"/>
      <c r="BD104" s="3"/>
      <c r="BE104" s="3"/>
      <c r="BF104" s="3"/>
    </row>
    <row r="105" ht="15.75" customHeight="1">
      <c r="BC105" s="3"/>
      <c r="BD105" s="3"/>
      <c r="BE105" s="3"/>
      <c r="BF105" s="3"/>
    </row>
    <row r="106" ht="15.75" customHeight="1">
      <c r="BC106" s="3"/>
      <c r="BD106" s="3"/>
      <c r="BE106" s="3"/>
      <c r="BF106" s="3"/>
    </row>
    <row r="107" ht="15.75" customHeight="1">
      <c r="BC107" s="3"/>
      <c r="BD107" s="3"/>
      <c r="BE107" s="3"/>
      <c r="BF107" s="3"/>
    </row>
    <row r="108" ht="15.75" customHeight="1">
      <c r="BC108" s="3"/>
      <c r="BD108" s="3"/>
      <c r="BE108" s="3"/>
      <c r="BF108" s="3"/>
    </row>
    <row r="109" ht="15.75" customHeight="1">
      <c r="BC109" s="3"/>
      <c r="BD109" s="3"/>
      <c r="BE109" s="3"/>
      <c r="BF109" s="3"/>
    </row>
    <row r="110" ht="15.75" customHeight="1">
      <c r="BC110" s="3"/>
      <c r="BD110" s="3"/>
      <c r="BE110" s="3"/>
      <c r="BF110" s="3"/>
    </row>
    <row r="111" ht="15.75" customHeight="1">
      <c r="BC111" s="3"/>
      <c r="BD111" s="3"/>
      <c r="BE111" s="3"/>
      <c r="BF111" s="3"/>
    </row>
    <row r="112" ht="15.75" customHeight="1">
      <c r="BC112" s="3"/>
      <c r="BD112" s="3"/>
      <c r="BE112" s="3"/>
      <c r="BF112" s="3"/>
    </row>
    <row r="113" ht="15.75" customHeight="1">
      <c r="BC113" s="3"/>
      <c r="BD113" s="3"/>
      <c r="BE113" s="3"/>
      <c r="BF113" s="3"/>
    </row>
    <row r="114" ht="15.75" customHeight="1">
      <c r="BC114" s="3"/>
      <c r="BD114" s="3"/>
      <c r="BE114" s="3"/>
      <c r="BF114" s="3"/>
    </row>
    <row r="115" ht="15.75" customHeight="1">
      <c r="BC115" s="3"/>
      <c r="BD115" s="3"/>
      <c r="BE115" s="3"/>
      <c r="BF115" s="3"/>
    </row>
    <row r="116" ht="15.75" customHeight="1">
      <c r="BC116" s="3"/>
      <c r="BD116" s="3"/>
      <c r="BE116" s="3"/>
      <c r="BF116" s="3"/>
    </row>
    <row r="117" ht="15.75" customHeight="1">
      <c r="BC117" s="3"/>
      <c r="BD117" s="3"/>
      <c r="BE117" s="3"/>
      <c r="BF117" s="3"/>
    </row>
    <row r="118" ht="15.75" customHeight="1">
      <c r="BC118" s="3"/>
      <c r="BD118" s="3"/>
      <c r="BE118" s="3"/>
      <c r="BF118" s="3"/>
    </row>
    <row r="119" ht="15.75" customHeight="1">
      <c r="BC119" s="3"/>
      <c r="BD119" s="3"/>
      <c r="BE119" s="3"/>
      <c r="BF119" s="3"/>
    </row>
    <row r="120" ht="15.75" customHeight="1">
      <c r="BC120" s="3"/>
      <c r="BD120" s="3"/>
      <c r="BE120" s="3"/>
      <c r="BF120" s="3"/>
    </row>
    <row r="121" ht="15.75" customHeight="1">
      <c r="BC121" s="3"/>
      <c r="BD121" s="3"/>
      <c r="BE121" s="3"/>
      <c r="BF121" s="3"/>
    </row>
    <row r="122" ht="15.75" customHeight="1">
      <c r="BC122" s="3"/>
      <c r="BD122" s="3"/>
      <c r="BE122" s="3"/>
      <c r="BF122" s="3"/>
    </row>
    <row r="123" ht="15.75" customHeight="1">
      <c r="BC123" s="3"/>
      <c r="BD123" s="3"/>
      <c r="BE123" s="3"/>
      <c r="BF123" s="3"/>
    </row>
    <row r="124" ht="15.75" customHeight="1">
      <c r="BC124" s="3"/>
      <c r="BD124" s="3"/>
      <c r="BE124" s="3"/>
      <c r="BF124" s="3"/>
    </row>
    <row r="125" ht="15.75" customHeight="1">
      <c r="BC125" s="3"/>
      <c r="BD125" s="3"/>
      <c r="BE125" s="3"/>
      <c r="BF125" s="3"/>
    </row>
    <row r="126" ht="15.75" customHeight="1">
      <c r="BC126" s="3"/>
      <c r="BD126" s="3"/>
      <c r="BE126" s="3"/>
      <c r="BF126" s="3"/>
    </row>
    <row r="127" ht="15.75" customHeight="1">
      <c r="BC127" s="3"/>
      <c r="BD127" s="3"/>
      <c r="BE127" s="3"/>
      <c r="BF127" s="3"/>
    </row>
    <row r="128" ht="15.75" customHeight="1">
      <c r="BC128" s="3"/>
      <c r="BD128" s="3"/>
      <c r="BE128" s="3"/>
      <c r="BF128" s="3"/>
    </row>
    <row r="129" ht="15.75" customHeight="1">
      <c r="BC129" s="3"/>
      <c r="BD129" s="3"/>
      <c r="BE129" s="3"/>
      <c r="BF129" s="3"/>
    </row>
    <row r="130" ht="15.75" customHeight="1">
      <c r="BC130" s="3"/>
      <c r="BD130" s="3"/>
      <c r="BE130" s="3"/>
      <c r="BF130" s="3"/>
    </row>
    <row r="131" ht="15.75" customHeight="1">
      <c r="BC131" s="3"/>
      <c r="BD131" s="3"/>
      <c r="BE131" s="3"/>
      <c r="BF131" s="3"/>
    </row>
    <row r="132" ht="15.75" customHeight="1">
      <c r="BC132" s="3"/>
      <c r="BD132" s="3"/>
      <c r="BE132" s="3"/>
      <c r="BF132" s="3"/>
    </row>
    <row r="133" ht="15.75" customHeight="1">
      <c r="BC133" s="3"/>
      <c r="BD133" s="3"/>
      <c r="BE133" s="3"/>
      <c r="BF133" s="3"/>
    </row>
    <row r="134" ht="15.75" customHeight="1">
      <c r="BC134" s="3"/>
      <c r="BD134" s="3"/>
      <c r="BE134" s="3"/>
      <c r="BF134" s="3"/>
    </row>
    <row r="135" ht="15.75" customHeight="1">
      <c r="BC135" s="3"/>
      <c r="BD135" s="3"/>
      <c r="BE135" s="3"/>
      <c r="BF135" s="3"/>
    </row>
    <row r="136" ht="15.75" customHeight="1">
      <c r="BC136" s="3"/>
      <c r="BD136" s="3"/>
      <c r="BE136" s="3"/>
      <c r="BF136" s="3"/>
    </row>
    <row r="137" ht="15.75" customHeight="1">
      <c r="BC137" s="3"/>
      <c r="BD137" s="3"/>
      <c r="BE137" s="3"/>
      <c r="BF137" s="3"/>
    </row>
    <row r="138" ht="15.75" customHeight="1">
      <c r="BC138" s="3"/>
      <c r="BD138" s="3"/>
      <c r="BE138" s="3"/>
      <c r="BF138" s="3"/>
    </row>
    <row r="139" ht="15.75" customHeight="1">
      <c r="BC139" s="3"/>
      <c r="BD139" s="3"/>
      <c r="BE139" s="3"/>
      <c r="BF139" s="3"/>
    </row>
    <row r="140" ht="15.75" customHeight="1">
      <c r="BC140" s="3"/>
      <c r="BD140" s="3"/>
      <c r="BE140" s="3"/>
      <c r="BF140" s="3"/>
    </row>
    <row r="141" ht="15.75" customHeight="1">
      <c r="BC141" s="3"/>
      <c r="BD141" s="3"/>
      <c r="BE141" s="3"/>
      <c r="BF141" s="3"/>
    </row>
    <row r="142" ht="15.75" customHeight="1">
      <c r="BC142" s="3"/>
      <c r="BD142" s="3"/>
      <c r="BE142" s="3"/>
      <c r="BF142" s="3"/>
    </row>
    <row r="143" ht="15.75" customHeight="1">
      <c r="BC143" s="3"/>
      <c r="BD143" s="3"/>
      <c r="BE143" s="3"/>
      <c r="BF143" s="3"/>
    </row>
    <row r="144" ht="15.75" customHeight="1">
      <c r="BC144" s="3"/>
      <c r="BD144" s="3"/>
      <c r="BE144" s="3"/>
      <c r="BF144" s="3"/>
    </row>
    <row r="145" ht="15.75" customHeight="1">
      <c r="BC145" s="3"/>
      <c r="BD145" s="3"/>
      <c r="BE145" s="3"/>
      <c r="BF145" s="3"/>
    </row>
    <row r="146" ht="15.75" customHeight="1">
      <c r="BC146" s="3"/>
      <c r="BD146" s="3"/>
      <c r="BE146" s="3"/>
      <c r="BF146" s="3"/>
    </row>
    <row r="147" ht="15.75" customHeight="1">
      <c r="BC147" s="3"/>
      <c r="BD147" s="3"/>
      <c r="BE147" s="3"/>
      <c r="BF147" s="3"/>
    </row>
    <row r="148" ht="15.75" customHeight="1">
      <c r="BC148" s="3"/>
      <c r="BD148" s="3"/>
      <c r="BE148" s="3"/>
      <c r="BF148" s="3"/>
    </row>
    <row r="149" ht="15.75" customHeight="1">
      <c r="BC149" s="3"/>
      <c r="BD149" s="3"/>
      <c r="BE149" s="3"/>
      <c r="BF149" s="3"/>
    </row>
    <row r="150" ht="15.75" customHeight="1">
      <c r="BC150" s="3"/>
      <c r="BD150" s="3"/>
      <c r="BE150" s="3"/>
      <c r="BF150" s="3"/>
    </row>
    <row r="151" ht="15.75" customHeight="1">
      <c r="BC151" s="3"/>
      <c r="BD151" s="3"/>
      <c r="BE151" s="3"/>
      <c r="BF151" s="3"/>
    </row>
    <row r="152" ht="15.75" customHeight="1">
      <c r="BC152" s="3"/>
      <c r="BD152" s="3"/>
      <c r="BE152" s="3"/>
      <c r="BF152" s="3"/>
    </row>
    <row r="153" ht="15.75" customHeight="1">
      <c r="BC153" s="3"/>
      <c r="BD153" s="3"/>
      <c r="BE153" s="3"/>
      <c r="BF153" s="3"/>
    </row>
    <row r="154" ht="15.75" customHeight="1">
      <c r="BC154" s="3"/>
      <c r="BD154" s="3"/>
      <c r="BE154" s="3"/>
      <c r="BF154" s="3"/>
    </row>
    <row r="155" ht="15.75" customHeight="1">
      <c r="BC155" s="3"/>
      <c r="BD155" s="3"/>
      <c r="BE155" s="3"/>
      <c r="BF155" s="3"/>
    </row>
    <row r="156" ht="15.75" customHeight="1">
      <c r="BC156" s="3"/>
      <c r="BD156" s="3"/>
      <c r="BE156" s="3"/>
      <c r="BF156" s="3"/>
    </row>
    <row r="157" ht="15.75" customHeight="1">
      <c r="BC157" s="3"/>
      <c r="BD157" s="3"/>
      <c r="BE157" s="3"/>
      <c r="BF157" s="3"/>
    </row>
    <row r="158" ht="15.75" customHeight="1">
      <c r="BC158" s="3"/>
      <c r="BD158" s="3"/>
      <c r="BE158" s="3"/>
      <c r="BF158" s="3"/>
    </row>
    <row r="159" ht="15.75" customHeight="1">
      <c r="BC159" s="3"/>
      <c r="BD159" s="3"/>
      <c r="BE159" s="3"/>
      <c r="BF159" s="3"/>
    </row>
    <row r="160" ht="15.75" customHeight="1">
      <c r="BC160" s="3"/>
      <c r="BD160" s="3"/>
      <c r="BE160" s="3"/>
      <c r="BF160" s="3"/>
    </row>
    <row r="161" ht="15.75" customHeight="1">
      <c r="BC161" s="3"/>
      <c r="BD161" s="3"/>
      <c r="BE161" s="3"/>
      <c r="BF161" s="3"/>
    </row>
    <row r="162" ht="15.75" customHeight="1">
      <c r="BC162" s="3"/>
      <c r="BD162" s="3"/>
      <c r="BE162" s="3"/>
      <c r="BF162" s="3"/>
    </row>
    <row r="163" ht="15.75" customHeight="1">
      <c r="BC163" s="3"/>
      <c r="BD163" s="3"/>
      <c r="BE163" s="3"/>
      <c r="BF163" s="3"/>
    </row>
    <row r="164" ht="15.75" customHeight="1">
      <c r="BC164" s="3"/>
      <c r="BD164" s="3"/>
      <c r="BE164" s="3"/>
      <c r="BF164" s="3"/>
    </row>
    <row r="165" ht="15.75" customHeight="1">
      <c r="BC165" s="3"/>
      <c r="BD165" s="3"/>
      <c r="BE165" s="3"/>
      <c r="BF165" s="3"/>
    </row>
    <row r="166" ht="15.75" customHeight="1">
      <c r="BC166" s="3"/>
      <c r="BD166" s="3"/>
      <c r="BE166" s="3"/>
      <c r="BF166" s="3"/>
    </row>
    <row r="167" ht="15.75" customHeight="1">
      <c r="BC167" s="3"/>
      <c r="BD167" s="3"/>
      <c r="BE167" s="3"/>
      <c r="BF167" s="3"/>
    </row>
    <row r="168" ht="15.75" customHeight="1">
      <c r="BC168" s="3"/>
      <c r="BD168" s="3"/>
      <c r="BE168" s="3"/>
      <c r="BF168" s="3"/>
    </row>
    <row r="169" ht="15.75" customHeight="1">
      <c r="BC169" s="3"/>
      <c r="BD169" s="3"/>
      <c r="BE169" s="3"/>
      <c r="BF169" s="3"/>
    </row>
    <row r="170" ht="15.75" customHeight="1">
      <c r="BC170" s="3"/>
      <c r="BD170" s="3"/>
      <c r="BE170" s="3"/>
      <c r="BF170" s="3"/>
    </row>
    <row r="171" ht="15.75" customHeight="1">
      <c r="BC171" s="3"/>
      <c r="BD171" s="3"/>
      <c r="BE171" s="3"/>
      <c r="BF171" s="3"/>
    </row>
    <row r="172" ht="15.75" customHeight="1">
      <c r="BC172" s="3"/>
      <c r="BD172" s="3"/>
      <c r="BE172" s="3"/>
      <c r="BF172" s="3"/>
    </row>
    <row r="173" ht="15.75" customHeight="1">
      <c r="BC173" s="3"/>
      <c r="BD173" s="3"/>
      <c r="BE173" s="3"/>
      <c r="BF173" s="3"/>
    </row>
    <row r="174" ht="15.75" customHeight="1">
      <c r="BC174" s="3"/>
      <c r="BD174" s="3"/>
      <c r="BE174" s="3"/>
      <c r="BF174" s="3"/>
    </row>
    <row r="175" ht="15.75" customHeight="1">
      <c r="BC175" s="3"/>
      <c r="BD175" s="3"/>
      <c r="BE175" s="3"/>
      <c r="BF175" s="3"/>
    </row>
    <row r="176" ht="15.75" customHeight="1">
      <c r="BC176" s="3"/>
      <c r="BD176" s="3"/>
      <c r="BE176" s="3"/>
      <c r="BF176" s="3"/>
    </row>
    <row r="177" ht="15.75" customHeight="1">
      <c r="BC177" s="3"/>
      <c r="BD177" s="3"/>
      <c r="BE177" s="3"/>
      <c r="BF177" s="3"/>
    </row>
    <row r="178" ht="15.75" customHeight="1">
      <c r="BC178" s="3"/>
      <c r="BD178" s="3"/>
      <c r="BE178" s="3"/>
      <c r="BF178" s="3"/>
    </row>
    <row r="179" ht="15.75" customHeight="1">
      <c r="BC179" s="3"/>
      <c r="BD179" s="3"/>
      <c r="BE179" s="3"/>
      <c r="BF179" s="3"/>
    </row>
    <row r="180" ht="15.75" customHeight="1">
      <c r="BC180" s="3"/>
      <c r="BD180" s="3"/>
      <c r="BE180" s="3"/>
      <c r="BF180" s="3"/>
    </row>
    <row r="181" ht="15.75" customHeight="1">
      <c r="BC181" s="3"/>
      <c r="BD181" s="3"/>
      <c r="BE181" s="3"/>
      <c r="BF181" s="3"/>
    </row>
    <row r="182" ht="15.75" customHeight="1">
      <c r="BC182" s="3"/>
      <c r="BD182" s="3"/>
      <c r="BE182" s="3"/>
      <c r="BF182" s="3"/>
    </row>
    <row r="183" ht="15.75" customHeight="1">
      <c r="BC183" s="3"/>
      <c r="BD183" s="3"/>
      <c r="BE183" s="3"/>
      <c r="BF183" s="3"/>
    </row>
    <row r="184" ht="15.75" customHeight="1">
      <c r="BC184" s="3"/>
      <c r="BD184" s="3"/>
      <c r="BE184" s="3"/>
      <c r="BF184" s="3"/>
    </row>
    <row r="185" ht="15.75" customHeight="1">
      <c r="BC185" s="3"/>
      <c r="BD185" s="3"/>
      <c r="BE185" s="3"/>
      <c r="BF185" s="3"/>
    </row>
    <row r="186" ht="15.75" customHeight="1">
      <c r="BC186" s="3"/>
      <c r="BD186" s="3"/>
      <c r="BE186" s="3"/>
      <c r="BF186" s="3"/>
    </row>
    <row r="187" ht="15.75" customHeight="1">
      <c r="BC187" s="3"/>
      <c r="BD187" s="3"/>
      <c r="BE187" s="3"/>
      <c r="BF187" s="3"/>
    </row>
    <row r="188" ht="15.75" customHeight="1">
      <c r="BC188" s="3"/>
      <c r="BD188" s="3"/>
      <c r="BE188" s="3"/>
      <c r="BF188" s="3"/>
    </row>
    <row r="189" ht="15.75" customHeight="1">
      <c r="BC189" s="3"/>
      <c r="BD189" s="3"/>
      <c r="BE189" s="3"/>
      <c r="BF189" s="3"/>
    </row>
    <row r="190" ht="15.75" customHeight="1">
      <c r="BC190" s="3"/>
      <c r="BD190" s="3"/>
      <c r="BE190" s="3"/>
      <c r="BF190" s="3"/>
    </row>
    <row r="191" ht="15.75" customHeight="1">
      <c r="BC191" s="3"/>
      <c r="BD191" s="3"/>
      <c r="BE191" s="3"/>
      <c r="BF191" s="3"/>
    </row>
    <row r="192" ht="15.75" customHeight="1">
      <c r="BC192" s="3"/>
      <c r="BD192" s="3"/>
      <c r="BE192" s="3"/>
      <c r="BF192" s="3"/>
    </row>
    <row r="193" ht="15.75" customHeight="1">
      <c r="BC193" s="3"/>
      <c r="BD193" s="3"/>
      <c r="BE193" s="3"/>
      <c r="BF193" s="3"/>
    </row>
    <row r="194" ht="15.75" customHeight="1">
      <c r="BC194" s="3"/>
      <c r="BD194" s="3"/>
      <c r="BE194" s="3"/>
      <c r="BF194" s="3"/>
    </row>
    <row r="195" ht="15.75" customHeight="1">
      <c r="BC195" s="3"/>
      <c r="BD195" s="3"/>
      <c r="BE195" s="3"/>
      <c r="BF195" s="3"/>
    </row>
    <row r="196" ht="15.75" customHeight="1">
      <c r="BC196" s="3"/>
      <c r="BD196" s="3"/>
      <c r="BE196" s="3"/>
      <c r="BF196" s="3"/>
    </row>
    <row r="197" ht="15.75" customHeight="1">
      <c r="BC197" s="3"/>
      <c r="BD197" s="3"/>
      <c r="BE197" s="3"/>
      <c r="BF197" s="3"/>
    </row>
    <row r="198" ht="15.75" customHeight="1">
      <c r="BC198" s="3"/>
      <c r="BD198" s="3"/>
      <c r="BE198" s="3"/>
      <c r="BF198" s="3"/>
    </row>
    <row r="199" ht="15.75" customHeight="1">
      <c r="BC199" s="3"/>
      <c r="BD199" s="3"/>
      <c r="BE199" s="3"/>
      <c r="BF199" s="3"/>
    </row>
    <row r="200" ht="15.75" customHeight="1">
      <c r="BC200" s="3"/>
      <c r="BD200" s="3"/>
      <c r="BE200" s="3"/>
      <c r="BF200" s="3"/>
    </row>
    <row r="201" ht="15.75" customHeight="1">
      <c r="BC201" s="3"/>
      <c r="BD201" s="3"/>
      <c r="BE201" s="3"/>
      <c r="BF201" s="3"/>
    </row>
    <row r="202" ht="15.75" customHeight="1">
      <c r="BC202" s="3"/>
      <c r="BD202" s="3"/>
      <c r="BE202" s="3"/>
      <c r="BF202" s="3"/>
    </row>
    <row r="203" ht="15.75" customHeight="1">
      <c r="BC203" s="3"/>
      <c r="BD203" s="3"/>
      <c r="BE203" s="3"/>
      <c r="BF203" s="3"/>
    </row>
    <row r="204" ht="15.75" customHeight="1">
      <c r="BC204" s="3"/>
      <c r="BD204" s="3"/>
      <c r="BE204" s="3"/>
      <c r="BF204" s="3"/>
    </row>
    <row r="205" ht="15.75" customHeight="1">
      <c r="BC205" s="3"/>
      <c r="BD205" s="3"/>
      <c r="BE205" s="3"/>
      <c r="BF205" s="3"/>
    </row>
    <row r="206" ht="15.75" customHeight="1">
      <c r="BC206" s="3"/>
      <c r="BD206" s="3"/>
      <c r="BE206" s="3"/>
      <c r="BF206" s="3"/>
    </row>
    <row r="207" ht="15.75" customHeight="1">
      <c r="BC207" s="3"/>
      <c r="BD207" s="3"/>
      <c r="BE207" s="3"/>
      <c r="BF207" s="3"/>
    </row>
    <row r="208" ht="15.75" customHeight="1">
      <c r="BC208" s="3"/>
      <c r="BD208" s="3"/>
      <c r="BE208" s="3"/>
      <c r="BF208" s="3"/>
    </row>
    <row r="209" ht="15.75" customHeight="1">
      <c r="BC209" s="3"/>
      <c r="BD209" s="3"/>
      <c r="BE209" s="3"/>
      <c r="BF209" s="3"/>
    </row>
    <row r="210" ht="15.75" customHeight="1">
      <c r="BC210" s="3"/>
      <c r="BD210" s="3"/>
      <c r="BE210" s="3"/>
      <c r="BF210" s="3"/>
    </row>
    <row r="211" ht="15.75" customHeight="1">
      <c r="BC211" s="3"/>
      <c r="BD211" s="3"/>
      <c r="BE211" s="3"/>
      <c r="BF211" s="3"/>
    </row>
    <row r="212" ht="15.75" customHeight="1">
      <c r="BC212" s="3"/>
      <c r="BD212" s="3"/>
      <c r="BE212" s="3"/>
      <c r="BF212" s="3"/>
    </row>
    <row r="213" ht="15.75" customHeight="1">
      <c r="BC213" s="3"/>
      <c r="BD213" s="3"/>
      <c r="BE213" s="3"/>
      <c r="BF213" s="3"/>
    </row>
    <row r="214" ht="15.75" customHeight="1">
      <c r="BC214" s="3"/>
      <c r="BD214" s="3"/>
      <c r="BE214" s="3"/>
      <c r="BF214" s="3"/>
    </row>
    <row r="215" ht="15.75" customHeight="1">
      <c r="BC215" s="3"/>
      <c r="BD215" s="3"/>
      <c r="BE215" s="3"/>
      <c r="BF215" s="3"/>
    </row>
    <row r="216" ht="15.75" customHeight="1">
      <c r="BC216" s="3"/>
      <c r="BD216" s="3"/>
      <c r="BE216" s="3"/>
      <c r="BF216" s="3"/>
    </row>
    <row r="217" ht="15.75" customHeight="1">
      <c r="BC217" s="3"/>
      <c r="BD217" s="3"/>
      <c r="BE217" s="3"/>
      <c r="BF217" s="3"/>
    </row>
    <row r="218" ht="15.75" customHeight="1">
      <c r="BC218" s="3"/>
      <c r="BD218" s="3"/>
      <c r="BE218" s="3"/>
      <c r="BF218" s="3"/>
    </row>
    <row r="219" ht="15.75" customHeight="1">
      <c r="BC219" s="3"/>
      <c r="BD219" s="3"/>
      <c r="BE219" s="3"/>
      <c r="BF219" s="3"/>
    </row>
    <row r="220" ht="15.75" customHeight="1">
      <c r="BC220" s="3"/>
      <c r="BD220" s="3"/>
      <c r="BE220" s="3"/>
      <c r="BF220" s="3"/>
    </row>
    <row r="221" ht="15.75" customHeight="1">
      <c r="BC221" s="3"/>
      <c r="BD221" s="3"/>
      <c r="BE221" s="3"/>
      <c r="BF221" s="3"/>
    </row>
    <row r="222" ht="15.75" customHeight="1">
      <c r="BC222" s="3"/>
      <c r="BD222" s="3"/>
      <c r="BE222" s="3"/>
      <c r="BF222" s="3"/>
    </row>
    <row r="223" ht="15.75" customHeight="1">
      <c r="BC223" s="3"/>
      <c r="BD223" s="3"/>
      <c r="BE223" s="3"/>
      <c r="BF223" s="3"/>
    </row>
    <row r="224" ht="15.75" customHeight="1">
      <c r="BC224" s="3"/>
      <c r="BD224" s="3"/>
      <c r="BE224" s="3"/>
      <c r="BF224" s="3"/>
    </row>
    <row r="225" ht="15.75" customHeight="1">
      <c r="BC225" s="3"/>
      <c r="BD225" s="3"/>
      <c r="BE225" s="3"/>
      <c r="BF225" s="3"/>
    </row>
    <row r="226" ht="15.75" customHeight="1">
      <c r="BC226" s="3"/>
      <c r="BD226" s="3"/>
      <c r="BE226" s="3"/>
      <c r="BF226" s="3"/>
    </row>
    <row r="227" ht="15.75" customHeight="1">
      <c r="BC227" s="3"/>
      <c r="BD227" s="3"/>
      <c r="BE227" s="3"/>
      <c r="BF227" s="3"/>
    </row>
    <row r="228" ht="15.75" customHeight="1">
      <c r="BC228" s="3"/>
      <c r="BD228" s="3"/>
      <c r="BE228" s="3"/>
      <c r="BF228" s="3"/>
    </row>
    <row r="229" ht="15.75" customHeight="1">
      <c r="BC229" s="3"/>
      <c r="BD229" s="3"/>
      <c r="BE229" s="3"/>
      <c r="BF229" s="3"/>
    </row>
    <row r="230" ht="15.75" customHeight="1">
      <c r="BC230" s="3"/>
      <c r="BD230" s="3"/>
      <c r="BE230" s="3"/>
      <c r="BF230" s="3"/>
    </row>
    <row r="231" ht="15.75" customHeight="1">
      <c r="BC231" s="3"/>
      <c r="BD231" s="3"/>
      <c r="BE231" s="3"/>
      <c r="BF231" s="3"/>
    </row>
    <row r="232" ht="15.75" customHeight="1">
      <c r="BC232" s="3"/>
      <c r="BD232" s="3"/>
      <c r="BE232" s="3"/>
      <c r="BF232" s="3"/>
    </row>
    <row r="233" ht="15.75" customHeight="1">
      <c r="BC233" s="3"/>
      <c r="BD233" s="3"/>
      <c r="BE233" s="3"/>
      <c r="BF233" s="3"/>
    </row>
    <row r="234" ht="15.75" customHeight="1">
      <c r="BC234" s="3"/>
      <c r="BD234" s="3"/>
      <c r="BE234" s="3"/>
      <c r="BF234" s="3"/>
    </row>
    <row r="235" ht="15.75" customHeight="1">
      <c r="BC235" s="3"/>
      <c r="BD235" s="3"/>
      <c r="BE235" s="3"/>
      <c r="BF235" s="3"/>
    </row>
    <row r="236" ht="15.75" customHeight="1">
      <c r="BC236" s="3"/>
      <c r="BD236" s="3"/>
      <c r="BE236" s="3"/>
      <c r="BF236" s="3"/>
    </row>
    <row r="237" ht="15.75" customHeight="1">
      <c r="BC237" s="3"/>
      <c r="BD237" s="3"/>
      <c r="BE237" s="3"/>
      <c r="BF237" s="3"/>
    </row>
    <row r="238" ht="15.75" customHeight="1">
      <c r="BC238" s="3"/>
      <c r="BD238" s="3"/>
      <c r="BE238" s="3"/>
      <c r="BF238" s="3"/>
    </row>
    <row r="239" ht="15.75" customHeight="1">
      <c r="BC239" s="3"/>
      <c r="BD239" s="3"/>
      <c r="BE239" s="3"/>
      <c r="BF239" s="3"/>
    </row>
    <row r="240" ht="15.75" customHeight="1">
      <c r="BC240" s="3"/>
      <c r="BD240" s="3"/>
      <c r="BE240" s="3"/>
      <c r="BF240" s="3"/>
    </row>
    <row r="241" ht="15.75" customHeight="1">
      <c r="BC241" s="3"/>
      <c r="BD241" s="3"/>
      <c r="BE241" s="3"/>
      <c r="BF241" s="3"/>
    </row>
    <row r="242" ht="15.75" customHeight="1">
      <c r="BC242" s="3"/>
      <c r="BD242" s="3"/>
      <c r="BE242" s="3"/>
      <c r="BF242" s="3"/>
    </row>
    <row r="243" ht="15.75" customHeight="1">
      <c r="BC243" s="3"/>
      <c r="BD243" s="3"/>
      <c r="BE243" s="3"/>
      <c r="BF243" s="3"/>
    </row>
    <row r="244" ht="15.75" customHeight="1">
      <c r="BC244" s="3"/>
      <c r="BD244" s="3"/>
      <c r="BE244" s="3"/>
      <c r="BF244" s="3"/>
    </row>
    <row r="245" ht="15.75" customHeight="1">
      <c r="BC245" s="3"/>
      <c r="BD245" s="3"/>
      <c r="BE245" s="3"/>
      <c r="BF245" s="3"/>
    </row>
    <row r="246" ht="15.75" customHeight="1">
      <c r="BC246" s="3"/>
      <c r="BD246" s="3"/>
      <c r="BE246" s="3"/>
      <c r="BF246" s="3"/>
    </row>
    <row r="247" ht="15.75" customHeight="1">
      <c r="BC247" s="3"/>
      <c r="BD247" s="3"/>
      <c r="BE247" s="3"/>
      <c r="BF247" s="3"/>
    </row>
    <row r="248" ht="15.75" customHeight="1">
      <c r="BC248" s="3"/>
      <c r="BD248" s="3"/>
      <c r="BE248" s="3"/>
      <c r="BF248" s="3"/>
    </row>
    <row r="249" ht="15.75" customHeight="1">
      <c r="BC249" s="3"/>
      <c r="BD249" s="3"/>
      <c r="BE249" s="3"/>
      <c r="BF249" s="3"/>
    </row>
    <row r="250" ht="15.75" customHeight="1">
      <c r="BC250" s="3"/>
      <c r="BD250" s="3"/>
      <c r="BE250" s="3"/>
      <c r="BF250" s="3"/>
    </row>
    <row r="251" ht="15.75" customHeight="1">
      <c r="BC251" s="3"/>
      <c r="BD251" s="3"/>
      <c r="BE251" s="3"/>
      <c r="BF251" s="3"/>
    </row>
    <row r="252" ht="15.75" customHeight="1">
      <c r="BC252" s="3"/>
      <c r="BD252" s="3"/>
      <c r="BE252" s="3"/>
      <c r="BF252" s="3"/>
    </row>
    <row r="253" ht="15.75" customHeight="1">
      <c r="BC253" s="3"/>
      <c r="BD253" s="3"/>
      <c r="BE253" s="3"/>
      <c r="BF253" s="3"/>
    </row>
    <row r="254" ht="15.75" customHeight="1">
      <c r="BC254" s="3"/>
      <c r="BD254" s="3"/>
      <c r="BE254" s="3"/>
      <c r="BF254" s="3"/>
    </row>
    <row r="255" ht="15.75" customHeight="1">
      <c r="BC255" s="3"/>
      <c r="BD255" s="3"/>
      <c r="BE255" s="3"/>
      <c r="BF255" s="3"/>
    </row>
    <row r="256" ht="15.75" customHeight="1">
      <c r="BC256" s="3"/>
      <c r="BD256" s="3"/>
      <c r="BE256" s="3"/>
      <c r="BF256" s="3"/>
    </row>
    <row r="257" ht="15.75" customHeight="1">
      <c r="BC257" s="3"/>
      <c r="BD257" s="3"/>
      <c r="BE257" s="3"/>
      <c r="BF257" s="3"/>
    </row>
    <row r="258" ht="15.75" customHeight="1">
      <c r="BC258" s="3"/>
      <c r="BD258" s="3"/>
      <c r="BE258" s="3"/>
      <c r="BF258" s="3"/>
    </row>
    <row r="259" ht="15.75" customHeight="1">
      <c r="BC259" s="3"/>
      <c r="BD259" s="3"/>
      <c r="BE259" s="3"/>
      <c r="BF259" s="3"/>
    </row>
    <row r="260" ht="15.75" customHeight="1">
      <c r="BC260" s="3"/>
      <c r="BD260" s="3"/>
      <c r="BE260" s="3"/>
      <c r="BF260" s="3"/>
    </row>
    <row r="261" ht="15.75" customHeight="1">
      <c r="BC261" s="3"/>
      <c r="BD261" s="3"/>
      <c r="BE261" s="3"/>
      <c r="BF261" s="3"/>
    </row>
    <row r="262" ht="15.75" customHeight="1">
      <c r="BC262" s="3"/>
      <c r="BD262" s="3"/>
      <c r="BE262" s="3"/>
      <c r="BF262" s="3"/>
    </row>
    <row r="263" ht="15.75" customHeight="1">
      <c r="BC263" s="3"/>
      <c r="BD263" s="3"/>
      <c r="BE263" s="3"/>
      <c r="BF263" s="3"/>
    </row>
    <row r="264" ht="15.75" customHeight="1">
      <c r="BC264" s="3"/>
      <c r="BD264" s="3"/>
      <c r="BE264" s="3"/>
      <c r="BF264" s="3"/>
    </row>
    <row r="265" ht="15.75" customHeight="1">
      <c r="BC265" s="3"/>
      <c r="BD265" s="3"/>
      <c r="BE265" s="3"/>
      <c r="BF265" s="3"/>
    </row>
    <row r="266" ht="15.75" customHeight="1">
      <c r="BC266" s="3"/>
      <c r="BD266" s="3"/>
      <c r="BE266" s="3"/>
      <c r="BF266" s="3"/>
    </row>
    <row r="267" ht="15.75" customHeight="1">
      <c r="BC267" s="3"/>
      <c r="BD267" s="3"/>
      <c r="BE267" s="3"/>
      <c r="BF267" s="3"/>
    </row>
    <row r="268" ht="15.75" customHeight="1">
      <c r="BC268" s="3"/>
      <c r="BD268" s="3"/>
      <c r="BE268" s="3"/>
      <c r="BF268" s="3"/>
    </row>
    <row r="269" ht="15.75" customHeight="1">
      <c r="BC269" s="3"/>
      <c r="BD269" s="3"/>
      <c r="BE269" s="3"/>
      <c r="BF269" s="3"/>
    </row>
    <row r="270" ht="15.75" customHeight="1">
      <c r="BC270" s="3"/>
      <c r="BD270" s="3"/>
      <c r="BE270" s="3"/>
      <c r="BF270" s="3"/>
    </row>
    <row r="271" ht="15.75" customHeight="1">
      <c r="BC271" s="3"/>
      <c r="BD271" s="3"/>
      <c r="BE271" s="3"/>
      <c r="BF271" s="3"/>
    </row>
    <row r="272" ht="15.75" customHeight="1">
      <c r="BC272" s="3"/>
      <c r="BD272" s="3"/>
      <c r="BE272" s="3"/>
      <c r="BF272" s="3"/>
    </row>
    <row r="273" ht="15.75" customHeight="1">
      <c r="BC273" s="3"/>
      <c r="BD273" s="3"/>
      <c r="BE273" s="3"/>
      <c r="BF273" s="3"/>
    </row>
    <row r="274" ht="15.75" customHeight="1">
      <c r="BC274" s="3"/>
      <c r="BD274" s="3"/>
      <c r="BE274" s="3"/>
      <c r="BF274" s="3"/>
    </row>
    <row r="275" ht="15.75" customHeight="1">
      <c r="BC275" s="3"/>
      <c r="BD275" s="3"/>
      <c r="BE275" s="3"/>
      <c r="BF275" s="3"/>
    </row>
    <row r="276" ht="15.75" customHeight="1">
      <c r="BC276" s="3"/>
      <c r="BD276" s="3"/>
      <c r="BE276" s="3"/>
      <c r="BF276" s="3"/>
    </row>
    <row r="277" ht="15.75" customHeight="1">
      <c r="BC277" s="3"/>
      <c r="BD277" s="3"/>
      <c r="BE277" s="3"/>
      <c r="BF277" s="3"/>
    </row>
    <row r="278" ht="15.75" customHeight="1">
      <c r="BC278" s="3"/>
      <c r="BD278" s="3"/>
      <c r="BE278" s="3"/>
      <c r="BF278" s="3"/>
    </row>
    <row r="279" ht="15.75" customHeight="1">
      <c r="BC279" s="3"/>
      <c r="BD279" s="3"/>
      <c r="BE279" s="3"/>
      <c r="BF279" s="3"/>
    </row>
    <row r="280" ht="15.75" customHeight="1">
      <c r="BC280" s="3"/>
      <c r="BD280" s="3"/>
      <c r="BE280" s="3"/>
      <c r="BF280" s="3"/>
    </row>
    <row r="281" ht="15.75" customHeight="1">
      <c r="BC281" s="3"/>
      <c r="BD281" s="3"/>
      <c r="BE281" s="3"/>
      <c r="BF281" s="3"/>
    </row>
    <row r="282" ht="15.75" customHeight="1">
      <c r="BC282" s="3"/>
      <c r="BD282" s="3"/>
      <c r="BE282" s="3"/>
      <c r="BF282" s="3"/>
    </row>
    <row r="283" ht="15.75" customHeight="1">
      <c r="BC283" s="3"/>
      <c r="BD283" s="3"/>
      <c r="BE283" s="3"/>
      <c r="BF283" s="3"/>
    </row>
    <row r="284" ht="15.75" customHeight="1">
      <c r="BC284" s="3"/>
      <c r="BD284" s="3"/>
      <c r="BE284" s="3"/>
      <c r="BF284" s="3"/>
    </row>
    <row r="285" ht="15.75" customHeight="1">
      <c r="BC285" s="3"/>
      <c r="BD285" s="3"/>
      <c r="BE285" s="3"/>
      <c r="BF285" s="3"/>
    </row>
    <row r="286" ht="15.75" customHeight="1">
      <c r="BC286" s="3"/>
      <c r="BD286" s="3"/>
      <c r="BE286" s="3"/>
      <c r="BF286" s="3"/>
    </row>
    <row r="287" ht="15.75" customHeight="1">
      <c r="BC287" s="3"/>
      <c r="BD287" s="3"/>
      <c r="BE287" s="3"/>
      <c r="BF287" s="3"/>
    </row>
    <row r="288" ht="15.75" customHeight="1">
      <c r="BC288" s="3"/>
      <c r="BD288" s="3"/>
      <c r="BE288" s="3"/>
      <c r="BF288" s="3"/>
    </row>
    <row r="289" ht="15.75" customHeight="1">
      <c r="BC289" s="3"/>
      <c r="BD289" s="3"/>
      <c r="BE289" s="3"/>
      <c r="BF289" s="3"/>
    </row>
    <row r="290" ht="15.75" customHeight="1">
      <c r="BC290" s="3"/>
      <c r="BD290" s="3"/>
      <c r="BE290" s="3"/>
      <c r="BF290" s="3"/>
    </row>
    <row r="291" ht="15.75" customHeight="1">
      <c r="BC291" s="3"/>
      <c r="BD291" s="3"/>
      <c r="BE291" s="3"/>
      <c r="BF291" s="3"/>
    </row>
    <row r="292" ht="15.75" customHeight="1">
      <c r="BC292" s="3"/>
      <c r="BD292" s="3"/>
      <c r="BE292" s="3"/>
      <c r="BF292" s="3"/>
    </row>
    <row r="293" ht="15.75" customHeight="1">
      <c r="BC293" s="3"/>
      <c r="BD293" s="3"/>
      <c r="BE293" s="3"/>
      <c r="BF293" s="3"/>
    </row>
    <row r="294" ht="15.75" customHeight="1">
      <c r="BC294" s="3"/>
      <c r="BD294" s="3"/>
      <c r="BE294" s="3"/>
      <c r="BF294" s="3"/>
    </row>
    <row r="295" ht="15.75" customHeight="1">
      <c r="BC295" s="3"/>
      <c r="BD295" s="3"/>
      <c r="BE295" s="3"/>
      <c r="BF295" s="3"/>
    </row>
    <row r="296" ht="15.75" customHeight="1">
      <c r="BC296" s="3"/>
      <c r="BD296" s="3"/>
      <c r="BE296" s="3"/>
      <c r="BF296" s="3"/>
    </row>
    <row r="297" ht="15.75" customHeight="1">
      <c r="BC297" s="3"/>
      <c r="BD297" s="3"/>
      <c r="BE297" s="3"/>
      <c r="BF297" s="3"/>
    </row>
    <row r="298" ht="15.75" customHeight="1">
      <c r="BC298" s="3"/>
      <c r="BD298" s="3"/>
      <c r="BE298" s="3"/>
      <c r="BF298" s="3"/>
    </row>
    <row r="299" ht="15.75" customHeight="1">
      <c r="BC299" s="3"/>
      <c r="BD299" s="3"/>
      <c r="BE299" s="3"/>
      <c r="BF299" s="3"/>
    </row>
    <row r="300" ht="15.75" customHeight="1">
      <c r="BC300" s="3"/>
      <c r="BD300" s="3"/>
      <c r="BE300" s="3"/>
      <c r="BF300" s="3"/>
    </row>
    <row r="301" ht="15.75" customHeight="1">
      <c r="BC301" s="3"/>
      <c r="BD301" s="3"/>
      <c r="BE301" s="3"/>
      <c r="BF301" s="3"/>
    </row>
    <row r="302" ht="15.75" customHeight="1">
      <c r="BC302" s="3"/>
      <c r="BD302" s="3"/>
      <c r="BE302" s="3"/>
      <c r="BF302" s="3"/>
    </row>
    <row r="303" ht="15.75" customHeight="1">
      <c r="BC303" s="3"/>
      <c r="BD303" s="3"/>
      <c r="BE303" s="3"/>
      <c r="BF303" s="3"/>
    </row>
    <row r="304" ht="15.75" customHeight="1">
      <c r="BC304" s="3"/>
      <c r="BD304" s="3"/>
      <c r="BE304" s="3"/>
      <c r="BF304" s="3"/>
    </row>
    <row r="305" ht="15.75" customHeight="1">
      <c r="BC305" s="3"/>
      <c r="BD305" s="3"/>
      <c r="BE305" s="3"/>
      <c r="BF305" s="3"/>
    </row>
    <row r="306" ht="15.75" customHeight="1">
      <c r="BC306" s="3"/>
      <c r="BD306" s="3"/>
      <c r="BE306" s="3"/>
      <c r="BF306" s="3"/>
    </row>
    <row r="307" ht="15.75" customHeight="1">
      <c r="BC307" s="3"/>
      <c r="BD307" s="3"/>
      <c r="BE307" s="3"/>
      <c r="BF307" s="3"/>
    </row>
    <row r="308" ht="15.75" customHeight="1">
      <c r="BC308" s="3"/>
      <c r="BD308" s="3"/>
      <c r="BE308" s="3"/>
      <c r="BF308" s="3"/>
    </row>
    <row r="309" ht="15.75" customHeight="1">
      <c r="BC309" s="3"/>
      <c r="BD309" s="3"/>
      <c r="BE309" s="3"/>
      <c r="BF309" s="3"/>
    </row>
    <row r="310" ht="15.75" customHeight="1">
      <c r="BC310" s="3"/>
      <c r="BD310" s="3"/>
      <c r="BE310" s="3"/>
      <c r="BF310" s="3"/>
    </row>
    <row r="311" ht="15.75" customHeight="1">
      <c r="BC311" s="3"/>
      <c r="BD311" s="3"/>
      <c r="BE311" s="3"/>
      <c r="BF311" s="3"/>
    </row>
    <row r="312" ht="15.75" customHeight="1">
      <c r="BC312" s="3"/>
      <c r="BD312" s="3"/>
      <c r="BE312" s="3"/>
      <c r="BF312" s="3"/>
    </row>
    <row r="313" ht="15.75" customHeight="1">
      <c r="BC313" s="3"/>
      <c r="BD313" s="3"/>
      <c r="BE313" s="3"/>
      <c r="BF313" s="3"/>
    </row>
    <row r="314" ht="15.75" customHeight="1">
      <c r="BC314" s="3"/>
      <c r="BD314" s="3"/>
      <c r="BE314" s="3"/>
      <c r="BF314" s="3"/>
    </row>
    <row r="315" ht="15.75" customHeight="1">
      <c r="BC315" s="3"/>
      <c r="BD315" s="3"/>
      <c r="BE315" s="3"/>
      <c r="BF315" s="3"/>
    </row>
    <row r="316" ht="15.75" customHeight="1">
      <c r="BC316" s="3"/>
      <c r="BD316" s="3"/>
      <c r="BE316" s="3"/>
      <c r="BF316" s="3"/>
    </row>
    <row r="317" ht="15.75" customHeight="1">
      <c r="BC317" s="3"/>
      <c r="BD317" s="3"/>
      <c r="BE317" s="3"/>
      <c r="BF317" s="3"/>
    </row>
    <row r="318" ht="15.75" customHeight="1">
      <c r="BC318" s="3"/>
      <c r="BD318" s="3"/>
      <c r="BE318" s="3"/>
      <c r="BF318" s="3"/>
    </row>
    <row r="319" ht="15.75" customHeight="1">
      <c r="BC319" s="3"/>
      <c r="BD319" s="3"/>
      <c r="BE319" s="3"/>
      <c r="BF319" s="3"/>
    </row>
    <row r="320" ht="15.75" customHeight="1">
      <c r="BC320" s="3"/>
      <c r="BD320" s="3"/>
      <c r="BE320" s="3"/>
      <c r="BF320" s="3"/>
    </row>
    <row r="321" ht="15.75" customHeight="1">
      <c r="BC321" s="3"/>
      <c r="BD321" s="3"/>
      <c r="BE321" s="3"/>
      <c r="BF321" s="3"/>
    </row>
    <row r="322" ht="15.75" customHeight="1">
      <c r="BC322" s="3"/>
      <c r="BD322" s="3"/>
      <c r="BE322" s="3"/>
      <c r="BF322" s="3"/>
    </row>
    <row r="323" ht="15.75" customHeight="1">
      <c r="BC323" s="3"/>
      <c r="BD323" s="3"/>
      <c r="BE323" s="3"/>
      <c r="BF323" s="3"/>
    </row>
    <row r="324" ht="15.75" customHeight="1">
      <c r="BC324" s="3"/>
      <c r="BD324" s="3"/>
      <c r="BE324" s="3"/>
      <c r="BF324" s="3"/>
    </row>
    <row r="325" ht="15.75" customHeight="1">
      <c r="BC325" s="3"/>
      <c r="BD325" s="3"/>
      <c r="BE325" s="3"/>
      <c r="BF325" s="3"/>
    </row>
    <row r="326" ht="15.75" customHeight="1">
      <c r="BC326" s="3"/>
      <c r="BD326" s="3"/>
      <c r="BE326" s="3"/>
      <c r="BF326" s="3"/>
    </row>
    <row r="327" ht="15.75" customHeight="1">
      <c r="BC327" s="3"/>
      <c r="BD327" s="3"/>
      <c r="BE327" s="3"/>
      <c r="BF327" s="3"/>
    </row>
    <row r="328" ht="15.75" customHeight="1">
      <c r="BC328" s="3"/>
      <c r="BD328" s="3"/>
      <c r="BE328" s="3"/>
      <c r="BF328" s="3"/>
    </row>
    <row r="329" ht="15.75" customHeight="1">
      <c r="BC329" s="3"/>
      <c r="BD329" s="3"/>
      <c r="BE329" s="3"/>
      <c r="BF329" s="3"/>
    </row>
    <row r="330" ht="15.75" customHeight="1">
      <c r="BC330" s="3"/>
      <c r="BD330" s="3"/>
      <c r="BE330" s="3"/>
      <c r="BF330" s="3"/>
    </row>
    <row r="331" ht="15.75" customHeight="1">
      <c r="BC331" s="3"/>
      <c r="BD331" s="3"/>
      <c r="BE331" s="3"/>
      <c r="BF331" s="3"/>
    </row>
    <row r="332" ht="15.75" customHeight="1">
      <c r="BC332" s="3"/>
      <c r="BD332" s="3"/>
      <c r="BE332" s="3"/>
      <c r="BF332" s="3"/>
    </row>
    <row r="333" ht="15.75" customHeight="1">
      <c r="BC333" s="3"/>
      <c r="BD333" s="3"/>
      <c r="BE333" s="3"/>
      <c r="BF333" s="3"/>
    </row>
    <row r="334" ht="15.75" customHeight="1">
      <c r="BC334" s="3"/>
      <c r="BD334" s="3"/>
      <c r="BE334" s="3"/>
      <c r="BF334" s="3"/>
    </row>
    <row r="335" ht="15.75" customHeight="1">
      <c r="BC335" s="3"/>
      <c r="BD335" s="3"/>
      <c r="BE335" s="3"/>
      <c r="BF335" s="3"/>
    </row>
    <row r="336" ht="15.75" customHeight="1">
      <c r="BC336" s="3"/>
      <c r="BD336" s="3"/>
      <c r="BE336" s="3"/>
      <c r="BF336" s="3"/>
    </row>
    <row r="337" ht="15.75" customHeight="1">
      <c r="BC337" s="3"/>
      <c r="BD337" s="3"/>
      <c r="BE337" s="3"/>
      <c r="BF337" s="3"/>
    </row>
    <row r="338" ht="15.75" customHeight="1">
      <c r="BC338" s="3"/>
      <c r="BD338" s="3"/>
      <c r="BE338" s="3"/>
      <c r="BF338" s="3"/>
    </row>
    <row r="339" ht="15.75" customHeight="1">
      <c r="BC339" s="3"/>
      <c r="BD339" s="3"/>
      <c r="BE339" s="3"/>
      <c r="BF339" s="3"/>
    </row>
    <row r="340" ht="15.75" customHeight="1">
      <c r="BC340" s="3"/>
      <c r="BD340" s="3"/>
      <c r="BE340" s="3"/>
      <c r="BF340" s="3"/>
    </row>
    <row r="341" ht="15.75" customHeight="1">
      <c r="BC341" s="3"/>
      <c r="BD341" s="3"/>
      <c r="BE341" s="3"/>
      <c r="BF341" s="3"/>
    </row>
    <row r="342" ht="15.75" customHeight="1">
      <c r="BC342" s="3"/>
      <c r="BD342" s="3"/>
      <c r="BE342" s="3"/>
      <c r="BF342" s="3"/>
    </row>
    <row r="343" ht="15.75" customHeight="1">
      <c r="BC343" s="3"/>
      <c r="BD343" s="3"/>
      <c r="BE343" s="3"/>
      <c r="BF343" s="3"/>
    </row>
    <row r="344" ht="15.75" customHeight="1">
      <c r="BC344" s="3"/>
      <c r="BD344" s="3"/>
      <c r="BE344" s="3"/>
      <c r="BF344" s="3"/>
    </row>
    <row r="345" ht="15.75" customHeight="1">
      <c r="BC345" s="3"/>
      <c r="BD345" s="3"/>
      <c r="BE345" s="3"/>
      <c r="BF345" s="3"/>
    </row>
    <row r="346" ht="15.75" customHeight="1">
      <c r="BC346" s="3"/>
      <c r="BD346" s="3"/>
      <c r="BE346" s="3"/>
      <c r="BF346" s="3"/>
    </row>
    <row r="347" ht="15.75" customHeight="1">
      <c r="BC347" s="3"/>
      <c r="BD347" s="3"/>
      <c r="BE347" s="3"/>
      <c r="BF347" s="3"/>
    </row>
    <row r="348" ht="15.75" customHeight="1">
      <c r="BC348" s="3"/>
      <c r="BD348" s="3"/>
      <c r="BE348" s="3"/>
      <c r="BF348" s="3"/>
    </row>
    <row r="349" ht="15.75" customHeight="1">
      <c r="BC349" s="3"/>
      <c r="BD349" s="3"/>
      <c r="BE349" s="3"/>
      <c r="BF349" s="3"/>
    </row>
    <row r="350" ht="15.75" customHeight="1">
      <c r="BC350" s="3"/>
      <c r="BD350" s="3"/>
      <c r="BE350" s="3"/>
      <c r="BF350" s="3"/>
    </row>
    <row r="351" ht="15.75" customHeight="1">
      <c r="BC351" s="3"/>
      <c r="BD351" s="3"/>
      <c r="BE351" s="3"/>
      <c r="BF351" s="3"/>
    </row>
    <row r="352" ht="15.75" customHeight="1">
      <c r="BC352" s="3"/>
      <c r="BD352" s="3"/>
      <c r="BE352" s="3"/>
      <c r="BF352" s="3"/>
    </row>
    <row r="353" ht="15.75" customHeight="1">
      <c r="BC353" s="3"/>
      <c r="BD353" s="3"/>
      <c r="BE353" s="3"/>
      <c r="BF353" s="3"/>
    </row>
    <row r="354" ht="15.75" customHeight="1">
      <c r="BC354" s="3"/>
      <c r="BD354" s="3"/>
      <c r="BE354" s="3"/>
      <c r="BF354" s="3"/>
    </row>
    <row r="355" ht="15.75" customHeight="1">
      <c r="BC355" s="3"/>
      <c r="BD355" s="3"/>
      <c r="BE355" s="3"/>
      <c r="BF355" s="3"/>
    </row>
    <row r="356" ht="15.75" customHeight="1">
      <c r="BC356" s="3"/>
      <c r="BD356" s="3"/>
      <c r="BE356" s="3"/>
      <c r="BF356" s="3"/>
    </row>
    <row r="357" ht="15.75" customHeight="1">
      <c r="BC357" s="3"/>
      <c r="BD357" s="3"/>
      <c r="BE357" s="3"/>
      <c r="BF357" s="3"/>
    </row>
    <row r="358" ht="15.75" customHeight="1">
      <c r="BC358" s="3"/>
      <c r="BD358" s="3"/>
      <c r="BE358" s="3"/>
      <c r="BF358" s="3"/>
    </row>
    <row r="359" ht="15.75" customHeight="1">
      <c r="BC359" s="3"/>
      <c r="BD359" s="3"/>
      <c r="BE359" s="3"/>
      <c r="BF359" s="3"/>
    </row>
    <row r="360" ht="15.75" customHeight="1">
      <c r="BC360" s="3"/>
      <c r="BD360" s="3"/>
      <c r="BE360" s="3"/>
      <c r="BF360" s="3"/>
    </row>
    <row r="361" ht="15.75" customHeight="1">
      <c r="BC361" s="3"/>
      <c r="BD361" s="3"/>
      <c r="BE361" s="3"/>
      <c r="BF361" s="3"/>
    </row>
    <row r="362" ht="15.75" customHeight="1">
      <c r="BC362" s="3"/>
      <c r="BD362" s="3"/>
      <c r="BE362" s="3"/>
      <c r="BF362" s="3"/>
    </row>
    <row r="363" ht="15.75" customHeight="1">
      <c r="BC363" s="3"/>
      <c r="BD363" s="3"/>
      <c r="BE363" s="3"/>
      <c r="BF363" s="3"/>
    </row>
    <row r="364" ht="15.75" customHeight="1">
      <c r="BC364" s="3"/>
      <c r="BD364" s="3"/>
      <c r="BE364" s="3"/>
      <c r="BF364" s="3"/>
    </row>
    <row r="365" ht="15.75" customHeight="1">
      <c r="BC365" s="3"/>
      <c r="BD365" s="3"/>
      <c r="BE365" s="3"/>
      <c r="BF365" s="3"/>
    </row>
    <row r="366" ht="15.75" customHeight="1">
      <c r="BC366" s="3"/>
      <c r="BD366" s="3"/>
      <c r="BE366" s="3"/>
      <c r="BF366" s="3"/>
    </row>
    <row r="367" ht="15.75" customHeight="1">
      <c r="BC367" s="3"/>
      <c r="BD367" s="3"/>
      <c r="BE367" s="3"/>
      <c r="BF367" s="3"/>
    </row>
    <row r="368" ht="15.75" customHeight="1">
      <c r="BC368" s="3"/>
      <c r="BD368" s="3"/>
      <c r="BE368" s="3"/>
      <c r="BF368" s="3"/>
    </row>
    <row r="369" ht="15.75" customHeight="1">
      <c r="BC369" s="3"/>
      <c r="BD369" s="3"/>
      <c r="BE369" s="3"/>
      <c r="BF369" s="3"/>
    </row>
    <row r="370" ht="15.75" customHeight="1">
      <c r="BC370" s="3"/>
      <c r="BD370" s="3"/>
      <c r="BE370" s="3"/>
      <c r="BF370" s="3"/>
    </row>
    <row r="371" ht="15.75" customHeight="1">
      <c r="BC371" s="3"/>
      <c r="BD371" s="3"/>
      <c r="BE371" s="3"/>
      <c r="BF371" s="3"/>
    </row>
    <row r="372" ht="15.75" customHeight="1">
      <c r="BC372" s="3"/>
      <c r="BD372" s="3"/>
      <c r="BE372" s="3"/>
      <c r="BF372" s="3"/>
    </row>
    <row r="373" ht="15.75" customHeight="1">
      <c r="BC373" s="3"/>
      <c r="BD373" s="3"/>
      <c r="BE373" s="3"/>
      <c r="BF373" s="3"/>
    </row>
    <row r="374" ht="15.75" customHeight="1">
      <c r="BC374" s="3"/>
      <c r="BD374" s="3"/>
      <c r="BE374" s="3"/>
      <c r="BF374" s="3"/>
    </row>
    <row r="375" ht="15.75" customHeight="1">
      <c r="BC375" s="3"/>
      <c r="BD375" s="3"/>
      <c r="BE375" s="3"/>
      <c r="BF375" s="3"/>
    </row>
    <row r="376" ht="15.75" customHeight="1">
      <c r="BC376" s="3"/>
      <c r="BD376" s="3"/>
      <c r="BE376" s="3"/>
      <c r="BF376" s="3"/>
    </row>
    <row r="377" ht="15.75" customHeight="1">
      <c r="BC377" s="3"/>
      <c r="BD377" s="3"/>
      <c r="BE377" s="3"/>
      <c r="BF377" s="3"/>
    </row>
    <row r="378" ht="15.75" customHeight="1">
      <c r="BC378" s="3"/>
      <c r="BD378" s="3"/>
      <c r="BE378" s="3"/>
      <c r="BF378" s="3"/>
    </row>
    <row r="379" ht="15.75" customHeight="1">
      <c r="BC379" s="3"/>
      <c r="BD379" s="3"/>
      <c r="BE379" s="3"/>
      <c r="BF379" s="3"/>
    </row>
    <row r="380" ht="15.75" customHeight="1">
      <c r="BC380" s="3"/>
      <c r="BD380" s="3"/>
      <c r="BE380" s="3"/>
      <c r="BF380" s="3"/>
    </row>
    <row r="381" ht="15.75" customHeight="1">
      <c r="BC381" s="3"/>
      <c r="BD381" s="3"/>
      <c r="BE381" s="3"/>
      <c r="BF381" s="3"/>
    </row>
    <row r="382" ht="15.75" customHeight="1">
      <c r="BC382" s="3"/>
      <c r="BD382" s="3"/>
      <c r="BE382" s="3"/>
      <c r="BF382" s="3"/>
    </row>
    <row r="383" ht="15.75" customHeight="1">
      <c r="BC383" s="3"/>
      <c r="BD383" s="3"/>
      <c r="BE383" s="3"/>
      <c r="BF383" s="3"/>
    </row>
    <row r="384" ht="15.75" customHeight="1">
      <c r="BC384" s="3"/>
      <c r="BD384" s="3"/>
      <c r="BE384" s="3"/>
      <c r="BF384" s="3"/>
    </row>
    <row r="385" ht="15.75" customHeight="1">
      <c r="BC385" s="3"/>
      <c r="BD385" s="3"/>
      <c r="BE385" s="3"/>
      <c r="BF385" s="3"/>
    </row>
    <row r="386" ht="15.75" customHeight="1">
      <c r="BC386" s="3"/>
      <c r="BD386" s="3"/>
      <c r="BE386" s="3"/>
      <c r="BF386" s="3"/>
    </row>
    <row r="387" ht="15.75" customHeight="1">
      <c r="BC387" s="3"/>
      <c r="BD387" s="3"/>
      <c r="BE387" s="3"/>
      <c r="BF387" s="3"/>
    </row>
    <row r="388" ht="15.75" customHeight="1">
      <c r="BC388" s="3"/>
      <c r="BD388" s="3"/>
      <c r="BE388" s="3"/>
      <c r="BF388" s="3"/>
    </row>
    <row r="389" ht="15.75" customHeight="1">
      <c r="BC389" s="3"/>
      <c r="BD389" s="3"/>
      <c r="BE389" s="3"/>
      <c r="BF389" s="3"/>
    </row>
    <row r="390" ht="15.75" customHeight="1">
      <c r="BC390" s="3"/>
      <c r="BD390" s="3"/>
      <c r="BE390" s="3"/>
      <c r="BF390" s="3"/>
    </row>
    <row r="391" ht="15.75" customHeight="1">
      <c r="BC391" s="3"/>
      <c r="BD391" s="3"/>
      <c r="BE391" s="3"/>
      <c r="BF391" s="3"/>
    </row>
    <row r="392" ht="15.75" customHeight="1">
      <c r="BC392" s="3"/>
      <c r="BD392" s="3"/>
      <c r="BE392" s="3"/>
      <c r="BF392" s="3"/>
    </row>
    <row r="393" ht="15.75" customHeight="1">
      <c r="BC393" s="3"/>
      <c r="BD393" s="3"/>
      <c r="BE393" s="3"/>
      <c r="BF393" s="3"/>
    </row>
    <row r="394" ht="15.75" customHeight="1">
      <c r="BC394" s="3"/>
      <c r="BD394" s="3"/>
      <c r="BE394" s="3"/>
      <c r="BF394" s="3"/>
    </row>
    <row r="395" ht="15.75" customHeight="1">
      <c r="BC395" s="3"/>
      <c r="BD395" s="3"/>
      <c r="BE395" s="3"/>
      <c r="BF395" s="3"/>
    </row>
    <row r="396" ht="15.75" customHeight="1">
      <c r="BC396" s="3"/>
      <c r="BD396" s="3"/>
      <c r="BE396" s="3"/>
      <c r="BF396" s="3"/>
    </row>
    <row r="397" ht="15.75" customHeight="1">
      <c r="BC397" s="3"/>
      <c r="BD397" s="3"/>
      <c r="BE397" s="3"/>
      <c r="BF397" s="3"/>
    </row>
    <row r="398" ht="15.75" customHeight="1">
      <c r="BC398" s="3"/>
      <c r="BD398" s="3"/>
      <c r="BE398" s="3"/>
      <c r="BF398" s="3"/>
    </row>
    <row r="399" ht="15.75" customHeight="1">
      <c r="BC399" s="3"/>
      <c r="BD399" s="3"/>
      <c r="BE399" s="3"/>
      <c r="BF399" s="3"/>
    </row>
    <row r="400" ht="15.75" customHeight="1">
      <c r="BC400" s="3"/>
      <c r="BD400" s="3"/>
      <c r="BE400" s="3"/>
      <c r="BF400" s="3"/>
    </row>
    <row r="401" ht="15.75" customHeight="1">
      <c r="BC401" s="3"/>
      <c r="BD401" s="3"/>
      <c r="BE401" s="3"/>
      <c r="BF401" s="3"/>
    </row>
    <row r="402" ht="15.75" customHeight="1">
      <c r="BC402" s="3"/>
      <c r="BD402" s="3"/>
      <c r="BE402" s="3"/>
      <c r="BF402" s="3"/>
    </row>
    <row r="403" ht="15.75" customHeight="1">
      <c r="BC403" s="3"/>
      <c r="BD403" s="3"/>
      <c r="BE403" s="3"/>
      <c r="BF403" s="3"/>
    </row>
    <row r="404" ht="15.75" customHeight="1">
      <c r="BC404" s="3"/>
      <c r="BD404" s="3"/>
      <c r="BE404" s="3"/>
      <c r="BF404" s="3"/>
    </row>
    <row r="405" ht="15.75" customHeight="1">
      <c r="BC405" s="3"/>
      <c r="BD405" s="3"/>
      <c r="BE405" s="3"/>
      <c r="BF405" s="3"/>
    </row>
    <row r="406" ht="15.75" customHeight="1">
      <c r="BC406" s="3"/>
      <c r="BD406" s="3"/>
      <c r="BE406" s="3"/>
      <c r="BF406" s="3"/>
    </row>
    <row r="407" ht="15.75" customHeight="1">
      <c r="BC407" s="3"/>
      <c r="BD407" s="3"/>
      <c r="BE407" s="3"/>
      <c r="BF407" s="3"/>
    </row>
    <row r="408" ht="15.75" customHeight="1">
      <c r="BC408" s="3"/>
      <c r="BD408" s="3"/>
      <c r="BE408" s="3"/>
      <c r="BF408" s="3"/>
    </row>
    <row r="409" ht="15.75" customHeight="1">
      <c r="BC409" s="3"/>
      <c r="BD409" s="3"/>
      <c r="BE409" s="3"/>
      <c r="BF409" s="3"/>
    </row>
    <row r="410" ht="15.75" customHeight="1">
      <c r="BC410" s="3"/>
      <c r="BD410" s="3"/>
      <c r="BE410" s="3"/>
      <c r="BF410" s="3"/>
    </row>
    <row r="411" ht="15.75" customHeight="1">
      <c r="BC411" s="3"/>
      <c r="BD411" s="3"/>
      <c r="BE411" s="3"/>
      <c r="BF411" s="3"/>
    </row>
    <row r="412" ht="15.75" customHeight="1">
      <c r="BC412" s="3"/>
      <c r="BD412" s="3"/>
      <c r="BE412" s="3"/>
      <c r="BF412" s="3"/>
    </row>
    <row r="413" ht="15.75" customHeight="1">
      <c r="BC413" s="3"/>
      <c r="BD413" s="3"/>
      <c r="BE413" s="3"/>
      <c r="BF413" s="3"/>
    </row>
    <row r="414" ht="15.75" customHeight="1">
      <c r="BC414" s="3"/>
      <c r="BD414" s="3"/>
      <c r="BE414" s="3"/>
      <c r="BF414" s="3"/>
    </row>
    <row r="415" ht="15.75" customHeight="1">
      <c r="BC415" s="3"/>
      <c r="BD415" s="3"/>
      <c r="BE415" s="3"/>
      <c r="BF415" s="3"/>
    </row>
    <row r="416" ht="15.75" customHeight="1">
      <c r="BC416" s="3"/>
      <c r="BD416" s="3"/>
      <c r="BE416" s="3"/>
      <c r="BF416" s="3"/>
    </row>
    <row r="417" ht="15.75" customHeight="1">
      <c r="BC417" s="3"/>
      <c r="BD417" s="3"/>
      <c r="BE417" s="3"/>
      <c r="BF417" s="3"/>
    </row>
    <row r="418" ht="15.75" customHeight="1">
      <c r="BC418" s="3"/>
      <c r="BD418" s="3"/>
      <c r="BE418" s="3"/>
      <c r="BF418" s="3"/>
    </row>
    <row r="419" ht="15.75" customHeight="1">
      <c r="BC419" s="3"/>
      <c r="BD419" s="3"/>
      <c r="BE419" s="3"/>
      <c r="BF419" s="3"/>
    </row>
    <row r="420" ht="15.75" customHeight="1">
      <c r="BC420" s="3"/>
      <c r="BD420" s="3"/>
      <c r="BE420" s="3"/>
      <c r="BF420" s="3"/>
    </row>
    <row r="421" ht="15.75" customHeight="1">
      <c r="BC421" s="3"/>
      <c r="BD421" s="3"/>
      <c r="BE421" s="3"/>
      <c r="BF421" s="3"/>
    </row>
    <row r="422" ht="15.75" customHeight="1">
      <c r="BC422" s="3"/>
      <c r="BD422" s="3"/>
      <c r="BE422" s="3"/>
      <c r="BF422" s="3"/>
    </row>
    <row r="423" ht="15.75" customHeight="1">
      <c r="BC423" s="3"/>
      <c r="BD423" s="3"/>
      <c r="BE423" s="3"/>
      <c r="BF423" s="3"/>
    </row>
    <row r="424" ht="15.75" customHeight="1">
      <c r="BC424" s="3"/>
      <c r="BD424" s="3"/>
      <c r="BE424" s="3"/>
      <c r="BF424" s="3"/>
    </row>
    <row r="425" ht="15.75" customHeight="1">
      <c r="BC425" s="3"/>
      <c r="BD425" s="3"/>
      <c r="BE425" s="3"/>
      <c r="BF425" s="3"/>
    </row>
    <row r="426" ht="15.75" customHeight="1">
      <c r="BC426" s="3"/>
      <c r="BD426" s="3"/>
      <c r="BE426" s="3"/>
      <c r="BF426" s="3"/>
    </row>
    <row r="427" ht="15.75" customHeight="1">
      <c r="BC427" s="3"/>
      <c r="BD427" s="3"/>
      <c r="BE427" s="3"/>
      <c r="BF427" s="3"/>
    </row>
    <row r="428" ht="15.75" customHeight="1">
      <c r="BC428" s="3"/>
      <c r="BD428" s="3"/>
      <c r="BE428" s="3"/>
      <c r="BF428" s="3"/>
    </row>
    <row r="429" ht="15.75" customHeight="1">
      <c r="BC429" s="3"/>
      <c r="BD429" s="3"/>
      <c r="BE429" s="3"/>
      <c r="BF429" s="3"/>
    </row>
    <row r="430" ht="15.75" customHeight="1">
      <c r="BC430" s="3"/>
      <c r="BD430" s="3"/>
      <c r="BE430" s="3"/>
      <c r="BF430" s="3"/>
    </row>
    <row r="431" ht="15.75" customHeight="1">
      <c r="BC431" s="3"/>
      <c r="BD431" s="3"/>
      <c r="BE431" s="3"/>
      <c r="BF431" s="3"/>
    </row>
    <row r="432" ht="15.75" customHeight="1">
      <c r="BC432" s="3"/>
      <c r="BD432" s="3"/>
      <c r="BE432" s="3"/>
      <c r="BF432" s="3"/>
    </row>
    <row r="433" ht="15.75" customHeight="1">
      <c r="BC433" s="3"/>
      <c r="BD433" s="3"/>
      <c r="BE433" s="3"/>
      <c r="BF433" s="3"/>
    </row>
    <row r="434" ht="15.75" customHeight="1">
      <c r="BC434" s="3"/>
      <c r="BD434" s="3"/>
      <c r="BE434" s="3"/>
      <c r="BF434" s="3"/>
    </row>
    <row r="435" ht="15.75" customHeight="1">
      <c r="BC435" s="3"/>
      <c r="BD435" s="3"/>
      <c r="BE435" s="3"/>
      <c r="BF435" s="3"/>
    </row>
    <row r="436" ht="15.75" customHeight="1">
      <c r="BC436" s="3"/>
      <c r="BD436" s="3"/>
      <c r="BE436" s="3"/>
      <c r="BF436" s="3"/>
    </row>
    <row r="437" ht="15.75" customHeight="1">
      <c r="BC437" s="3"/>
      <c r="BD437" s="3"/>
      <c r="BE437" s="3"/>
      <c r="BF437" s="3"/>
    </row>
    <row r="438" ht="15.75" customHeight="1">
      <c r="BC438" s="3"/>
      <c r="BD438" s="3"/>
      <c r="BE438" s="3"/>
      <c r="BF438" s="3"/>
    </row>
    <row r="439" ht="15.75" customHeight="1">
      <c r="BC439" s="3"/>
      <c r="BD439" s="3"/>
      <c r="BE439" s="3"/>
      <c r="BF439" s="3"/>
    </row>
    <row r="440" ht="15.75" customHeight="1">
      <c r="BC440" s="3"/>
      <c r="BD440" s="3"/>
      <c r="BE440" s="3"/>
      <c r="BF440" s="3"/>
    </row>
    <row r="441" ht="15.75" customHeight="1">
      <c r="BC441" s="3"/>
      <c r="BD441" s="3"/>
      <c r="BE441" s="3"/>
      <c r="BF441" s="3"/>
    </row>
    <row r="442" ht="15.75" customHeight="1">
      <c r="BC442" s="3"/>
      <c r="BD442" s="3"/>
      <c r="BE442" s="3"/>
      <c r="BF442" s="3"/>
    </row>
    <row r="443" ht="15.75" customHeight="1">
      <c r="BC443" s="3"/>
      <c r="BD443" s="3"/>
      <c r="BE443" s="3"/>
      <c r="BF443" s="3"/>
    </row>
    <row r="444" ht="15.75" customHeight="1">
      <c r="BC444" s="3"/>
      <c r="BD444" s="3"/>
      <c r="BE444" s="3"/>
      <c r="BF444" s="3"/>
    </row>
    <row r="445" ht="15.75" customHeight="1">
      <c r="BC445" s="3"/>
      <c r="BD445" s="3"/>
      <c r="BE445" s="3"/>
      <c r="BF445" s="3"/>
    </row>
    <row r="446" ht="15.75" customHeight="1">
      <c r="BC446" s="3"/>
      <c r="BD446" s="3"/>
      <c r="BE446" s="3"/>
      <c r="BF446" s="3"/>
    </row>
    <row r="447" ht="15.75" customHeight="1">
      <c r="BC447" s="3"/>
      <c r="BD447" s="3"/>
      <c r="BE447" s="3"/>
      <c r="BF447" s="3"/>
    </row>
    <row r="448" ht="15.75" customHeight="1">
      <c r="BC448" s="3"/>
      <c r="BD448" s="3"/>
      <c r="BE448" s="3"/>
      <c r="BF448" s="3"/>
    </row>
    <row r="449" ht="15.75" customHeight="1">
      <c r="BC449" s="3"/>
      <c r="BD449" s="3"/>
      <c r="BE449" s="3"/>
      <c r="BF449" s="3"/>
    </row>
    <row r="450" ht="15.75" customHeight="1">
      <c r="BC450" s="3"/>
      <c r="BD450" s="3"/>
      <c r="BE450" s="3"/>
      <c r="BF450" s="3"/>
    </row>
    <row r="451" ht="15.75" customHeight="1">
      <c r="BC451" s="3"/>
      <c r="BD451" s="3"/>
      <c r="BE451" s="3"/>
      <c r="BF451" s="3"/>
    </row>
    <row r="452" ht="15.75" customHeight="1">
      <c r="BC452" s="3"/>
      <c r="BD452" s="3"/>
      <c r="BE452" s="3"/>
      <c r="BF452" s="3"/>
    </row>
    <row r="453" ht="15.75" customHeight="1">
      <c r="BC453" s="3"/>
      <c r="BD453" s="3"/>
      <c r="BE453" s="3"/>
      <c r="BF453" s="3"/>
    </row>
    <row r="454" ht="15.75" customHeight="1">
      <c r="BC454" s="3"/>
      <c r="BD454" s="3"/>
      <c r="BE454" s="3"/>
      <c r="BF454" s="3"/>
    </row>
    <row r="455" ht="15.75" customHeight="1">
      <c r="BC455" s="3"/>
      <c r="BD455" s="3"/>
      <c r="BE455" s="3"/>
      <c r="BF455" s="3"/>
    </row>
    <row r="456" ht="15.75" customHeight="1">
      <c r="BC456" s="3"/>
      <c r="BD456" s="3"/>
      <c r="BE456" s="3"/>
      <c r="BF456" s="3"/>
    </row>
    <row r="457" ht="15.75" customHeight="1">
      <c r="BC457" s="3"/>
      <c r="BD457" s="3"/>
      <c r="BE457" s="3"/>
      <c r="BF457" s="3"/>
    </row>
    <row r="458" ht="15.75" customHeight="1">
      <c r="BC458" s="3"/>
      <c r="BD458" s="3"/>
      <c r="BE458" s="3"/>
      <c r="BF458" s="3"/>
    </row>
    <row r="459" ht="15.75" customHeight="1">
      <c r="BC459" s="3"/>
      <c r="BD459" s="3"/>
      <c r="BE459" s="3"/>
      <c r="BF459" s="3"/>
    </row>
    <row r="460" ht="15.75" customHeight="1">
      <c r="BC460" s="3"/>
      <c r="BD460" s="3"/>
      <c r="BE460" s="3"/>
      <c r="BF460" s="3"/>
    </row>
    <row r="461" ht="15.75" customHeight="1">
      <c r="BC461" s="3"/>
      <c r="BD461" s="3"/>
      <c r="BE461" s="3"/>
      <c r="BF461" s="3"/>
    </row>
    <row r="462" ht="15.75" customHeight="1">
      <c r="BC462" s="3"/>
      <c r="BD462" s="3"/>
      <c r="BE462" s="3"/>
      <c r="BF462" s="3"/>
    </row>
    <row r="463" ht="15.75" customHeight="1">
      <c r="BC463" s="3"/>
      <c r="BD463" s="3"/>
      <c r="BE463" s="3"/>
      <c r="BF463" s="3"/>
    </row>
    <row r="464" ht="15.75" customHeight="1">
      <c r="BC464" s="3"/>
      <c r="BD464" s="3"/>
      <c r="BE464" s="3"/>
      <c r="BF464" s="3"/>
    </row>
    <row r="465" ht="15.75" customHeight="1">
      <c r="BC465" s="3"/>
      <c r="BD465" s="3"/>
      <c r="BE465" s="3"/>
      <c r="BF465" s="3"/>
    </row>
    <row r="466" ht="15.75" customHeight="1">
      <c r="BC466" s="3"/>
      <c r="BD466" s="3"/>
      <c r="BE466" s="3"/>
      <c r="BF466" s="3"/>
    </row>
    <row r="467" ht="15.75" customHeight="1">
      <c r="BC467" s="3"/>
      <c r="BD467" s="3"/>
      <c r="BE467" s="3"/>
      <c r="BF467" s="3"/>
    </row>
    <row r="468" ht="15.75" customHeight="1">
      <c r="BC468" s="3"/>
      <c r="BD468" s="3"/>
      <c r="BE468" s="3"/>
      <c r="BF468" s="3"/>
    </row>
    <row r="469" ht="15.75" customHeight="1">
      <c r="BC469" s="3"/>
      <c r="BD469" s="3"/>
      <c r="BE469" s="3"/>
      <c r="BF469" s="3"/>
    </row>
    <row r="470" ht="15.75" customHeight="1">
      <c r="BC470" s="3"/>
      <c r="BD470" s="3"/>
      <c r="BE470" s="3"/>
      <c r="BF470" s="3"/>
    </row>
    <row r="471" ht="15.75" customHeight="1">
      <c r="BC471" s="3"/>
      <c r="BD471" s="3"/>
      <c r="BE471" s="3"/>
      <c r="BF471" s="3"/>
    </row>
    <row r="472" ht="15.75" customHeight="1">
      <c r="BC472" s="3"/>
      <c r="BD472" s="3"/>
      <c r="BE472" s="3"/>
      <c r="BF472" s="3"/>
    </row>
    <row r="473" ht="15.75" customHeight="1">
      <c r="BC473" s="3"/>
      <c r="BD473" s="3"/>
      <c r="BE473" s="3"/>
      <c r="BF473" s="3"/>
    </row>
    <row r="474" ht="15.75" customHeight="1">
      <c r="BC474" s="3"/>
      <c r="BD474" s="3"/>
      <c r="BE474" s="3"/>
      <c r="BF474" s="3"/>
    </row>
    <row r="475" ht="15.75" customHeight="1">
      <c r="BC475" s="3"/>
      <c r="BD475" s="3"/>
      <c r="BE475" s="3"/>
      <c r="BF475" s="3"/>
    </row>
    <row r="476" ht="15.75" customHeight="1">
      <c r="BC476" s="3"/>
      <c r="BD476" s="3"/>
      <c r="BE476" s="3"/>
      <c r="BF476" s="3"/>
    </row>
    <row r="477" ht="15.75" customHeight="1">
      <c r="BC477" s="3"/>
      <c r="BD477" s="3"/>
      <c r="BE477" s="3"/>
      <c r="BF477" s="3"/>
    </row>
    <row r="478" ht="15.75" customHeight="1">
      <c r="BC478" s="3"/>
      <c r="BD478" s="3"/>
      <c r="BE478" s="3"/>
      <c r="BF478" s="3"/>
    </row>
    <row r="479" ht="15.75" customHeight="1">
      <c r="BC479" s="3"/>
      <c r="BD479" s="3"/>
      <c r="BE479" s="3"/>
      <c r="BF479" s="3"/>
    </row>
    <row r="480" ht="15.75" customHeight="1">
      <c r="BC480" s="3"/>
      <c r="BD480" s="3"/>
      <c r="BE480" s="3"/>
      <c r="BF480" s="3"/>
    </row>
    <row r="481" ht="15.75" customHeight="1">
      <c r="BC481" s="3"/>
      <c r="BD481" s="3"/>
      <c r="BE481" s="3"/>
      <c r="BF481" s="3"/>
    </row>
    <row r="482" ht="15.75" customHeight="1">
      <c r="BC482" s="3"/>
      <c r="BD482" s="3"/>
      <c r="BE482" s="3"/>
      <c r="BF482" s="3"/>
    </row>
    <row r="483" ht="15.75" customHeight="1">
      <c r="BC483" s="3"/>
      <c r="BD483" s="3"/>
      <c r="BE483" s="3"/>
      <c r="BF483" s="3"/>
    </row>
    <row r="484" ht="15.75" customHeight="1">
      <c r="BC484" s="3"/>
      <c r="BD484" s="3"/>
      <c r="BE484" s="3"/>
      <c r="BF484" s="3"/>
    </row>
    <row r="485" ht="15.75" customHeight="1">
      <c r="BC485" s="3"/>
      <c r="BD485" s="3"/>
      <c r="BE485" s="3"/>
      <c r="BF485" s="3"/>
    </row>
    <row r="486" ht="15.75" customHeight="1">
      <c r="BC486" s="3"/>
      <c r="BD486" s="3"/>
      <c r="BE486" s="3"/>
      <c r="BF486" s="3"/>
    </row>
    <row r="487" ht="15.75" customHeight="1">
      <c r="BC487" s="3"/>
      <c r="BD487" s="3"/>
      <c r="BE487" s="3"/>
      <c r="BF487" s="3"/>
    </row>
    <row r="488" ht="15.75" customHeight="1">
      <c r="BC488" s="3"/>
      <c r="BD488" s="3"/>
      <c r="BE488" s="3"/>
      <c r="BF488" s="3"/>
    </row>
    <row r="489" ht="15.75" customHeight="1">
      <c r="BC489" s="3"/>
      <c r="BD489" s="3"/>
      <c r="BE489" s="3"/>
      <c r="BF489" s="3"/>
    </row>
    <row r="490" ht="15.75" customHeight="1">
      <c r="BC490" s="3"/>
      <c r="BD490" s="3"/>
      <c r="BE490" s="3"/>
      <c r="BF490" s="3"/>
    </row>
    <row r="491" ht="15.75" customHeight="1">
      <c r="BC491" s="3"/>
      <c r="BD491" s="3"/>
      <c r="BE491" s="3"/>
      <c r="BF491" s="3"/>
    </row>
    <row r="492" ht="15.75" customHeight="1">
      <c r="BC492" s="3"/>
      <c r="BD492" s="3"/>
      <c r="BE492" s="3"/>
      <c r="BF492" s="3"/>
    </row>
    <row r="493" ht="15.75" customHeight="1">
      <c r="BC493" s="3"/>
      <c r="BD493" s="3"/>
      <c r="BE493" s="3"/>
      <c r="BF493" s="3"/>
    </row>
    <row r="494" ht="15.75" customHeight="1">
      <c r="BC494" s="3"/>
      <c r="BD494" s="3"/>
      <c r="BE494" s="3"/>
      <c r="BF494" s="3"/>
    </row>
    <row r="495" ht="15.75" customHeight="1">
      <c r="BC495" s="3"/>
      <c r="BD495" s="3"/>
      <c r="BE495" s="3"/>
      <c r="BF495" s="3"/>
    </row>
    <row r="496" ht="15.75" customHeight="1">
      <c r="BC496" s="3"/>
      <c r="BD496" s="3"/>
      <c r="BE496" s="3"/>
      <c r="BF496" s="3"/>
    </row>
    <row r="497" ht="15.75" customHeight="1">
      <c r="BC497" s="3"/>
      <c r="BD497" s="3"/>
      <c r="BE497" s="3"/>
      <c r="BF497" s="3"/>
    </row>
    <row r="498" ht="15.75" customHeight="1">
      <c r="BC498" s="3"/>
      <c r="BD498" s="3"/>
      <c r="BE498" s="3"/>
      <c r="BF498" s="3"/>
    </row>
    <row r="499" ht="15.75" customHeight="1">
      <c r="BC499" s="3"/>
      <c r="BD499" s="3"/>
      <c r="BE499" s="3"/>
      <c r="BF499" s="3"/>
    </row>
    <row r="500" ht="15.75" customHeight="1">
      <c r="BC500" s="3"/>
      <c r="BD500" s="3"/>
      <c r="BE500" s="3"/>
      <c r="BF500" s="3"/>
    </row>
    <row r="501" ht="15.75" customHeight="1">
      <c r="BC501" s="3"/>
      <c r="BD501" s="3"/>
      <c r="BE501" s="3"/>
      <c r="BF501" s="3"/>
    </row>
    <row r="502" ht="15.75" customHeight="1">
      <c r="BC502" s="3"/>
      <c r="BD502" s="3"/>
      <c r="BE502" s="3"/>
      <c r="BF502" s="3"/>
    </row>
    <row r="503" ht="15.75" customHeight="1">
      <c r="BC503" s="3"/>
      <c r="BD503" s="3"/>
      <c r="BE503" s="3"/>
      <c r="BF503" s="3"/>
    </row>
    <row r="504" ht="15.75" customHeight="1">
      <c r="BC504" s="3"/>
      <c r="BD504" s="3"/>
      <c r="BE504" s="3"/>
      <c r="BF504" s="3"/>
    </row>
    <row r="505" ht="15.75" customHeight="1">
      <c r="BC505" s="3"/>
      <c r="BD505" s="3"/>
      <c r="BE505" s="3"/>
      <c r="BF505" s="3"/>
    </row>
    <row r="506" ht="15.75" customHeight="1">
      <c r="BC506" s="3"/>
      <c r="BD506" s="3"/>
      <c r="BE506" s="3"/>
      <c r="BF506" s="3"/>
    </row>
    <row r="507" ht="15.75" customHeight="1">
      <c r="BC507" s="3"/>
      <c r="BD507" s="3"/>
      <c r="BE507" s="3"/>
      <c r="BF507" s="3"/>
    </row>
    <row r="508" ht="15.75" customHeight="1">
      <c r="BC508" s="3"/>
      <c r="BD508" s="3"/>
      <c r="BE508" s="3"/>
      <c r="BF508" s="3"/>
    </row>
    <row r="509" ht="15.75" customHeight="1">
      <c r="BC509" s="3"/>
      <c r="BD509" s="3"/>
      <c r="BE509" s="3"/>
      <c r="BF509" s="3"/>
    </row>
    <row r="510" ht="15.75" customHeight="1">
      <c r="BC510" s="3"/>
      <c r="BD510" s="3"/>
      <c r="BE510" s="3"/>
      <c r="BF510" s="3"/>
    </row>
    <row r="511" ht="15.75" customHeight="1">
      <c r="BC511" s="3"/>
      <c r="BD511" s="3"/>
      <c r="BE511" s="3"/>
      <c r="BF511" s="3"/>
    </row>
    <row r="512" ht="15.75" customHeight="1">
      <c r="BC512" s="3"/>
      <c r="BD512" s="3"/>
      <c r="BE512" s="3"/>
      <c r="BF512" s="3"/>
    </row>
    <row r="513" ht="15.75" customHeight="1">
      <c r="BC513" s="3"/>
      <c r="BD513" s="3"/>
      <c r="BE513" s="3"/>
      <c r="BF513" s="3"/>
    </row>
    <row r="514" ht="15.75" customHeight="1">
      <c r="BC514" s="3"/>
      <c r="BD514" s="3"/>
      <c r="BE514" s="3"/>
      <c r="BF514" s="3"/>
    </row>
    <row r="515" ht="15.75" customHeight="1">
      <c r="BC515" s="3"/>
      <c r="BD515" s="3"/>
      <c r="BE515" s="3"/>
      <c r="BF515" s="3"/>
    </row>
    <row r="516" ht="15.75" customHeight="1">
      <c r="BC516" s="3"/>
      <c r="BD516" s="3"/>
      <c r="BE516" s="3"/>
      <c r="BF516" s="3"/>
    </row>
    <row r="517" ht="15.75" customHeight="1">
      <c r="BC517" s="3"/>
      <c r="BD517" s="3"/>
      <c r="BE517" s="3"/>
      <c r="BF517" s="3"/>
    </row>
    <row r="518" ht="15.75" customHeight="1">
      <c r="BC518" s="3"/>
      <c r="BD518" s="3"/>
      <c r="BE518" s="3"/>
      <c r="BF518" s="3"/>
    </row>
    <row r="519" ht="15.75" customHeight="1">
      <c r="BC519" s="3"/>
      <c r="BD519" s="3"/>
      <c r="BE519" s="3"/>
      <c r="BF519" s="3"/>
    </row>
    <row r="520" ht="15.75" customHeight="1">
      <c r="BC520" s="3"/>
      <c r="BD520" s="3"/>
      <c r="BE520" s="3"/>
      <c r="BF520" s="3"/>
    </row>
    <row r="521" ht="15.75" customHeight="1">
      <c r="BC521" s="3"/>
      <c r="BD521" s="3"/>
      <c r="BE521" s="3"/>
      <c r="BF521" s="3"/>
    </row>
    <row r="522" ht="15.75" customHeight="1">
      <c r="BC522" s="3"/>
      <c r="BD522" s="3"/>
      <c r="BE522" s="3"/>
      <c r="BF522" s="3"/>
    </row>
    <row r="523" ht="15.75" customHeight="1">
      <c r="BC523" s="3"/>
      <c r="BD523" s="3"/>
      <c r="BE523" s="3"/>
      <c r="BF523" s="3"/>
    </row>
    <row r="524" ht="15.75" customHeight="1">
      <c r="BC524" s="3"/>
      <c r="BD524" s="3"/>
      <c r="BE524" s="3"/>
      <c r="BF524" s="3"/>
    </row>
    <row r="525" ht="15.75" customHeight="1">
      <c r="BC525" s="3"/>
      <c r="BD525" s="3"/>
      <c r="BE525" s="3"/>
      <c r="BF525" s="3"/>
    </row>
    <row r="526" ht="15.75" customHeight="1">
      <c r="BC526" s="3"/>
      <c r="BD526" s="3"/>
      <c r="BE526" s="3"/>
      <c r="BF526" s="3"/>
    </row>
    <row r="527" ht="15.75" customHeight="1">
      <c r="BC527" s="3"/>
      <c r="BD527" s="3"/>
      <c r="BE527" s="3"/>
      <c r="BF527" s="3"/>
    </row>
    <row r="528" ht="15.75" customHeight="1">
      <c r="BC528" s="3"/>
      <c r="BD528" s="3"/>
      <c r="BE528" s="3"/>
      <c r="BF528" s="3"/>
    </row>
    <row r="529" ht="15.75" customHeight="1">
      <c r="BC529" s="3"/>
      <c r="BD529" s="3"/>
      <c r="BE529" s="3"/>
      <c r="BF529" s="3"/>
    </row>
    <row r="530" ht="15.75" customHeight="1">
      <c r="BC530" s="3"/>
      <c r="BD530" s="3"/>
      <c r="BE530" s="3"/>
      <c r="BF530" s="3"/>
    </row>
    <row r="531" ht="15.75" customHeight="1">
      <c r="BC531" s="3"/>
      <c r="BD531" s="3"/>
      <c r="BE531" s="3"/>
      <c r="BF531" s="3"/>
    </row>
    <row r="532" ht="15.75" customHeight="1">
      <c r="BC532" s="3"/>
      <c r="BD532" s="3"/>
      <c r="BE532" s="3"/>
      <c r="BF532" s="3"/>
    </row>
    <row r="533" ht="15.75" customHeight="1">
      <c r="BC533" s="3"/>
      <c r="BD533" s="3"/>
      <c r="BE533" s="3"/>
      <c r="BF533" s="3"/>
    </row>
    <row r="534" ht="15.75" customHeight="1">
      <c r="BC534" s="3"/>
      <c r="BD534" s="3"/>
      <c r="BE534" s="3"/>
      <c r="BF534" s="3"/>
    </row>
    <row r="535" ht="15.75" customHeight="1">
      <c r="BC535" s="3"/>
      <c r="BD535" s="3"/>
      <c r="BE535" s="3"/>
      <c r="BF535" s="3"/>
    </row>
    <row r="536" ht="15.75" customHeight="1">
      <c r="BC536" s="3"/>
      <c r="BD536" s="3"/>
      <c r="BE536" s="3"/>
      <c r="BF536" s="3"/>
    </row>
    <row r="537" ht="15.75" customHeight="1">
      <c r="BC537" s="3"/>
      <c r="BD537" s="3"/>
      <c r="BE537" s="3"/>
      <c r="BF537" s="3"/>
    </row>
    <row r="538" ht="15.75" customHeight="1">
      <c r="BC538" s="3"/>
      <c r="BD538" s="3"/>
      <c r="BE538" s="3"/>
      <c r="BF538" s="3"/>
    </row>
    <row r="539" ht="15.75" customHeight="1">
      <c r="BC539" s="3"/>
      <c r="BD539" s="3"/>
      <c r="BE539" s="3"/>
      <c r="BF539" s="3"/>
    </row>
    <row r="540" ht="15.75" customHeight="1">
      <c r="BC540" s="3"/>
      <c r="BD540" s="3"/>
      <c r="BE540" s="3"/>
      <c r="BF540" s="3"/>
    </row>
    <row r="541" ht="15.75" customHeight="1">
      <c r="BC541" s="3"/>
      <c r="BD541" s="3"/>
      <c r="BE541" s="3"/>
      <c r="BF541" s="3"/>
    </row>
    <row r="542" ht="15.75" customHeight="1">
      <c r="BC542" s="3"/>
      <c r="BD542" s="3"/>
      <c r="BE542" s="3"/>
      <c r="BF542" s="3"/>
    </row>
    <row r="543" ht="15.75" customHeight="1">
      <c r="BC543" s="3"/>
      <c r="BD543" s="3"/>
      <c r="BE543" s="3"/>
      <c r="BF543" s="3"/>
    </row>
    <row r="544" ht="15.75" customHeight="1">
      <c r="BC544" s="3"/>
      <c r="BD544" s="3"/>
      <c r="BE544" s="3"/>
      <c r="BF544" s="3"/>
    </row>
    <row r="545" ht="15.75" customHeight="1">
      <c r="BC545" s="3"/>
      <c r="BD545" s="3"/>
      <c r="BE545" s="3"/>
      <c r="BF545" s="3"/>
    </row>
    <row r="546" ht="15.75" customHeight="1">
      <c r="BC546" s="3"/>
      <c r="BD546" s="3"/>
      <c r="BE546" s="3"/>
      <c r="BF546" s="3"/>
    </row>
    <row r="547" ht="15.75" customHeight="1">
      <c r="BC547" s="3"/>
      <c r="BD547" s="3"/>
      <c r="BE547" s="3"/>
      <c r="BF547" s="3"/>
    </row>
    <row r="548" ht="15.75" customHeight="1">
      <c r="BC548" s="3"/>
      <c r="BD548" s="3"/>
      <c r="BE548" s="3"/>
      <c r="BF548" s="3"/>
    </row>
    <row r="549" ht="15.75" customHeight="1">
      <c r="BC549" s="3"/>
      <c r="BD549" s="3"/>
      <c r="BE549" s="3"/>
      <c r="BF549" s="3"/>
    </row>
    <row r="550" ht="15.75" customHeight="1">
      <c r="BC550" s="3"/>
      <c r="BD550" s="3"/>
      <c r="BE550" s="3"/>
      <c r="BF550" s="3"/>
    </row>
    <row r="551" ht="15.75" customHeight="1">
      <c r="BC551" s="3"/>
      <c r="BD551" s="3"/>
      <c r="BE551" s="3"/>
      <c r="BF551" s="3"/>
    </row>
    <row r="552" ht="15.75" customHeight="1">
      <c r="BC552" s="3"/>
      <c r="BD552" s="3"/>
      <c r="BE552" s="3"/>
      <c r="BF552" s="3"/>
    </row>
    <row r="553" ht="15.75" customHeight="1">
      <c r="BC553" s="3"/>
      <c r="BD553" s="3"/>
      <c r="BE553" s="3"/>
      <c r="BF553" s="3"/>
    </row>
    <row r="554" ht="15.75" customHeight="1">
      <c r="BC554" s="3"/>
      <c r="BD554" s="3"/>
      <c r="BE554" s="3"/>
      <c r="BF554" s="3"/>
    </row>
    <row r="555" ht="15.75" customHeight="1">
      <c r="BC555" s="3"/>
      <c r="BD555" s="3"/>
      <c r="BE555" s="3"/>
      <c r="BF555" s="3"/>
    </row>
    <row r="556" ht="15.75" customHeight="1">
      <c r="BC556" s="3"/>
      <c r="BD556" s="3"/>
      <c r="BE556" s="3"/>
      <c r="BF556" s="3"/>
    </row>
    <row r="557" ht="15.75" customHeight="1">
      <c r="BC557" s="3"/>
      <c r="BD557" s="3"/>
      <c r="BE557" s="3"/>
      <c r="BF557" s="3"/>
    </row>
    <row r="558" ht="15.75" customHeight="1">
      <c r="BC558" s="3"/>
      <c r="BD558" s="3"/>
      <c r="BE558" s="3"/>
      <c r="BF558" s="3"/>
    </row>
    <row r="559" ht="15.75" customHeight="1">
      <c r="BC559" s="3"/>
      <c r="BD559" s="3"/>
      <c r="BE559" s="3"/>
      <c r="BF559" s="3"/>
    </row>
    <row r="560" ht="15.75" customHeight="1">
      <c r="BC560" s="3"/>
      <c r="BD560" s="3"/>
      <c r="BE560" s="3"/>
      <c r="BF560" s="3"/>
    </row>
    <row r="561" ht="15.75" customHeight="1">
      <c r="BC561" s="3"/>
      <c r="BD561" s="3"/>
      <c r="BE561" s="3"/>
      <c r="BF561" s="3"/>
    </row>
    <row r="562" ht="15.75" customHeight="1">
      <c r="BC562" s="3"/>
      <c r="BD562" s="3"/>
      <c r="BE562" s="3"/>
      <c r="BF562" s="3"/>
    </row>
    <row r="563" ht="15.75" customHeight="1">
      <c r="BC563" s="3"/>
      <c r="BD563" s="3"/>
      <c r="BE563" s="3"/>
      <c r="BF563" s="3"/>
    </row>
    <row r="564" ht="15.75" customHeight="1">
      <c r="BC564" s="3"/>
      <c r="BD564" s="3"/>
      <c r="BE564" s="3"/>
      <c r="BF564" s="3"/>
    </row>
    <row r="565" ht="15.75" customHeight="1">
      <c r="BC565" s="3"/>
      <c r="BD565" s="3"/>
      <c r="BE565" s="3"/>
      <c r="BF565" s="3"/>
    </row>
    <row r="566" ht="15.75" customHeight="1">
      <c r="BC566" s="3"/>
      <c r="BD566" s="3"/>
      <c r="BE566" s="3"/>
      <c r="BF566" s="3"/>
    </row>
    <row r="567" ht="15.75" customHeight="1">
      <c r="BC567" s="3"/>
      <c r="BD567" s="3"/>
      <c r="BE567" s="3"/>
      <c r="BF567" s="3"/>
    </row>
    <row r="568" ht="15.75" customHeight="1">
      <c r="BC568" s="3"/>
      <c r="BD568" s="3"/>
      <c r="BE568" s="3"/>
      <c r="BF568" s="3"/>
    </row>
    <row r="569" ht="15.75" customHeight="1">
      <c r="BC569" s="3"/>
      <c r="BD569" s="3"/>
      <c r="BE569" s="3"/>
      <c r="BF569" s="3"/>
    </row>
    <row r="570" ht="15.75" customHeight="1">
      <c r="BC570" s="3"/>
      <c r="BD570" s="3"/>
      <c r="BE570" s="3"/>
      <c r="BF570" s="3"/>
    </row>
    <row r="571" ht="15.75" customHeight="1">
      <c r="BC571" s="3"/>
      <c r="BD571" s="3"/>
      <c r="BE571" s="3"/>
      <c r="BF571" s="3"/>
    </row>
    <row r="572" ht="15.75" customHeight="1">
      <c r="BC572" s="3"/>
      <c r="BD572" s="3"/>
      <c r="BE572" s="3"/>
      <c r="BF572" s="3"/>
    </row>
    <row r="573" ht="15.75" customHeight="1">
      <c r="BC573" s="3"/>
      <c r="BD573" s="3"/>
      <c r="BE573" s="3"/>
      <c r="BF573" s="3"/>
    </row>
    <row r="574" ht="15.75" customHeight="1">
      <c r="BC574" s="3"/>
      <c r="BD574" s="3"/>
      <c r="BE574" s="3"/>
      <c r="BF574" s="3"/>
    </row>
    <row r="575" ht="15.75" customHeight="1">
      <c r="BC575" s="3"/>
      <c r="BD575" s="3"/>
      <c r="BE575" s="3"/>
      <c r="BF575" s="3"/>
    </row>
    <row r="576" ht="15.75" customHeight="1">
      <c r="BC576" s="3"/>
      <c r="BD576" s="3"/>
      <c r="BE576" s="3"/>
      <c r="BF576" s="3"/>
    </row>
    <row r="577" ht="15.75" customHeight="1">
      <c r="BC577" s="3"/>
      <c r="BD577" s="3"/>
      <c r="BE577" s="3"/>
      <c r="BF577" s="3"/>
    </row>
    <row r="578" ht="15.75" customHeight="1">
      <c r="BC578" s="3"/>
      <c r="BD578" s="3"/>
      <c r="BE578" s="3"/>
      <c r="BF578" s="3"/>
    </row>
    <row r="579" ht="15.75" customHeight="1">
      <c r="BC579" s="3"/>
      <c r="BD579" s="3"/>
      <c r="BE579" s="3"/>
      <c r="BF579" s="3"/>
    </row>
    <row r="580" ht="15.75" customHeight="1">
      <c r="BC580" s="3"/>
      <c r="BD580" s="3"/>
      <c r="BE580" s="3"/>
      <c r="BF580" s="3"/>
    </row>
    <row r="581" ht="15.75" customHeight="1">
      <c r="BC581" s="3"/>
      <c r="BD581" s="3"/>
      <c r="BE581" s="3"/>
      <c r="BF581" s="3"/>
    </row>
    <row r="582" ht="15.75" customHeight="1">
      <c r="BC582" s="3"/>
      <c r="BD582" s="3"/>
      <c r="BE582" s="3"/>
      <c r="BF582" s="3"/>
    </row>
    <row r="583" ht="15.75" customHeight="1">
      <c r="BC583" s="3"/>
      <c r="BD583" s="3"/>
      <c r="BE583" s="3"/>
      <c r="BF583" s="3"/>
    </row>
    <row r="584" ht="15.75" customHeight="1">
      <c r="BC584" s="3"/>
      <c r="BD584" s="3"/>
      <c r="BE584" s="3"/>
      <c r="BF584" s="3"/>
    </row>
    <row r="585" ht="15.75" customHeight="1">
      <c r="BC585" s="3"/>
      <c r="BD585" s="3"/>
      <c r="BE585" s="3"/>
      <c r="BF585" s="3"/>
    </row>
    <row r="586" ht="15.75" customHeight="1">
      <c r="BC586" s="3"/>
      <c r="BD586" s="3"/>
      <c r="BE586" s="3"/>
      <c r="BF586" s="3"/>
    </row>
    <row r="587" ht="15.75" customHeight="1">
      <c r="BC587" s="3"/>
      <c r="BD587" s="3"/>
      <c r="BE587" s="3"/>
      <c r="BF587" s="3"/>
    </row>
    <row r="588" ht="15.75" customHeight="1">
      <c r="BC588" s="3"/>
      <c r="BD588" s="3"/>
      <c r="BE588" s="3"/>
      <c r="BF588" s="3"/>
    </row>
    <row r="589" ht="15.75" customHeight="1">
      <c r="BC589" s="3"/>
      <c r="BD589" s="3"/>
      <c r="BE589" s="3"/>
      <c r="BF589" s="3"/>
    </row>
    <row r="590" ht="15.75" customHeight="1">
      <c r="BC590" s="3"/>
      <c r="BD590" s="3"/>
      <c r="BE590" s="3"/>
      <c r="BF590" s="3"/>
    </row>
    <row r="591" ht="15.75" customHeight="1">
      <c r="BC591" s="3"/>
      <c r="BD591" s="3"/>
      <c r="BE591" s="3"/>
      <c r="BF591" s="3"/>
    </row>
    <row r="592" ht="15.75" customHeight="1">
      <c r="BC592" s="3"/>
      <c r="BD592" s="3"/>
      <c r="BE592" s="3"/>
      <c r="BF592" s="3"/>
    </row>
    <row r="593" ht="15.75" customHeight="1">
      <c r="BC593" s="3"/>
      <c r="BD593" s="3"/>
      <c r="BE593" s="3"/>
      <c r="BF593" s="3"/>
    </row>
    <row r="594" ht="15.75" customHeight="1">
      <c r="BC594" s="3"/>
      <c r="BD594" s="3"/>
      <c r="BE594" s="3"/>
      <c r="BF594" s="3"/>
    </row>
    <row r="595" ht="15.75" customHeight="1">
      <c r="BC595" s="3"/>
      <c r="BD595" s="3"/>
      <c r="BE595" s="3"/>
      <c r="BF595" s="3"/>
    </row>
    <row r="596" ht="15.75" customHeight="1">
      <c r="BC596" s="3"/>
      <c r="BD596" s="3"/>
      <c r="BE596" s="3"/>
      <c r="BF596" s="3"/>
    </row>
    <row r="597" ht="15.75" customHeight="1">
      <c r="BC597" s="3"/>
      <c r="BD597" s="3"/>
      <c r="BE597" s="3"/>
      <c r="BF597" s="3"/>
    </row>
    <row r="598" ht="15.75" customHeight="1">
      <c r="BC598" s="3"/>
      <c r="BD598" s="3"/>
      <c r="BE598" s="3"/>
      <c r="BF598" s="3"/>
    </row>
    <row r="599" ht="15.75" customHeight="1">
      <c r="BC599" s="3"/>
      <c r="BD599" s="3"/>
      <c r="BE599" s="3"/>
      <c r="BF599" s="3"/>
    </row>
    <row r="600" ht="15.75" customHeight="1">
      <c r="BC600" s="3"/>
      <c r="BD600" s="3"/>
      <c r="BE600" s="3"/>
      <c r="BF600" s="3"/>
    </row>
    <row r="601" ht="15.75" customHeight="1">
      <c r="BC601" s="3"/>
      <c r="BD601" s="3"/>
      <c r="BE601" s="3"/>
      <c r="BF601" s="3"/>
    </row>
    <row r="602" ht="15.75" customHeight="1">
      <c r="BC602" s="3"/>
      <c r="BD602" s="3"/>
      <c r="BE602" s="3"/>
      <c r="BF602" s="3"/>
    </row>
    <row r="603" ht="15.75" customHeight="1">
      <c r="BC603" s="3"/>
      <c r="BD603" s="3"/>
      <c r="BE603" s="3"/>
      <c r="BF603" s="3"/>
    </row>
    <row r="604" ht="15.75" customHeight="1">
      <c r="BC604" s="3"/>
      <c r="BD604" s="3"/>
      <c r="BE604" s="3"/>
      <c r="BF604" s="3"/>
    </row>
    <row r="605" ht="15.75" customHeight="1">
      <c r="BC605" s="3"/>
      <c r="BD605" s="3"/>
      <c r="BE605" s="3"/>
      <c r="BF605" s="3"/>
    </row>
    <row r="606" ht="15.75" customHeight="1">
      <c r="BC606" s="3"/>
      <c r="BD606" s="3"/>
      <c r="BE606" s="3"/>
      <c r="BF606" s="3"/>
    </row>
    <row r="607" ht="15.75" customHeight="1">
      <c r="BC607" s="3"/>
      <c r="BD607" s="3"/>
      <c r="BE607" s="3"/>
      <c r="BF607" s="3"/>
    </row>
    <row r="608" ht="15.75" customHeight="1">
      <c r="BC608" s="3"/>
      <c r="BD608" s="3"/>
      <c r="BE608" s="3"/>
      <c r="BF608" s="3"/>
    </row>
    <row r="609" ht="15.75" customHeight="1">
      <c r="BC609" s="3"/>
      <c r="BD609" s="3"/>
      <c r="BE609" s="3"/>
      <c r="BF609" s="3"/>
    </row>
    <row r="610" ht="15.75" customHeight="1">
      <c r="BC610" s="3"/>
      <c r="BD610" s="3"/>
      <c r="BE610" s="3"/>
      <c r="BF610" s="3"/>
    </row>
    <row r="611" ht="15.75" customHeight="1">
      <c r="BC611" s="3"/>
      <c r="BD611" s="3"/>
      <c r="BE611" s="3"/>
      <c r="BF611" s="3"/>
    </row>
    <row r="612" ht="15.75" customHeight="1">
      <c r="BC612" s="3"/>
      <c r="BD612" s="3"/>
      <c r="BE612" s="3"/>
      <c r="BF612" s="3"/>
    </row>
    <row r="613" ht="15.75" customHeight="1">
      <c r="BC613" s="3"/>
      <c r="BD613" s="3"/>
      <c r="BE613" s="3"/>
      <c r="BF613" s="3"/>
    </row>
    <row r="614" ht="15.75" customHeight="1">
      <c r="BC614" s="3"/>
      <c r="BD614" s="3"/>
      <c r="BE614" s="3"/>
      <c r="BF614" s="3"/>
    </row>
    <row r="615" ht="15.75" customHeight="1">
      <c r="BC615" s="3"/>
      <c r="BD615" s="3"/>
      <c r="BE615" s="3"/>
      <c r="BF615" s="3"/>
    </row>
    <row r="616" ht="15.75" customHeight="1">
      <c r="BC616" s="3"/>
      <c r="BD616" s="3"/>
      <c r="BE616" s="3"/>
      <c r="BF616" s="3"/>
    </row>
    <row r="617" ht="15.75" customHeight="1">
      <c r="BC617" s="3"/>
      <c r="BD617" s="3"/>
      <c r="BE617" s="3"/>
      <c r="BF617" s="3"/>
    </row>
    <row r="618" ht="15.75" customHeight="1">
      <c r="BC618" s="3"/>
      <c r="BD618" s="3"/>
      <c r="BE618" s="3"/>
      <c r="BF618" s="3"/>
    </row>
    <row r="619" ht="15.75" customHeight="1">
      <c r="BC619" s="3"/>
      <c r="BD619" s="3"/>
      <c r="BE619" s="3"/>
      <c r="BF619" s="3"/>
    </row>
    <row r="620" ht="15.75" customHeight="1">
      <c r="BC620" s="3"/>
      <c r="BD620" s="3"/>
      <c r="BE620" s="3"/>
      <c r="BF620" s="3"/>
    </row>
    <row r="621" ht="15.75" customHeight="1">
      <c r="BC621" s="3"/>
      <c r="BD621" s="3"/>
      <c r="BE621" s="3"/>
      <c r="BF621" s="3"/>
    </row>
    <row r="622" ht="15.75" customHeight="1">
      <c r="BC622" s="3"/>
      <c r="BD622" s="3"/>
      <c r="BE622" s="3"/>
      <c r="BF622" s="3"/>
    </row>
    <row r="623" ht="15.75" customHeight="1">
      <c r="BC623" s="3"/>
      <c r="BD623" s="3"/>
      <c r="BE623" s="3"/>
      <c r="BF623" s="3"/>
    </row>
    <row r="624" ht="15.75" customHeight="1">
      <c r="BC624" s="3"/>
      <c r="BD624" s="3"/>
      <c r="BE624" s="3"/>
      <c r="BF624" s="3"/>
    </row>
    <row r="625" ht="15.75" customHeight="1">
      <c r="BC625" s="3"/>
      <c r="BD625" s="3"/>
      <c r="BE625" s="3"/>
      <c r="BF625" s="3"/>
    </row>
    <row r="626" ht="15.75" customHeight="1">
      <c r="BC626" s="3"/>
      <c r="BD626" s="3"/>
      <c r="BE626" s="3"/>
      <c r="BF626" s="3"/>
    </row>
    <row r="627" ht="15.75" customHeight="1">
      <c r="BC627" s="3"/>
      <c r="BD627" s="3"/>
      <c r="BE627" s="3"/>
      <c r="BF627" s="3"/>
    </row>
    <row r="628" ht="15.75" customHeight="1">
      <c r="BC628" s="3"/>
      <c r="BD628" s="3"/>
      <c r="BE628" s="3"/>
      <c r="BF628" s="3"/>
    </row>
    <row r="629" ht="15.75" customHeight="1">
      <c r="BC629" s="3"/>
      <c r="BD629" s="3"/>
      <c r="BE629" s="3"/>
      <c r="BF629" s="3"/>
    </row>
    <row r="630" ht="15.75" customHeight="1">
      <c r="BC630" s="3"/>
      <c r="BD630" s="3"/>
      <c r="BE630" s="3"/>
      <c r="BF630" s="3"/>
    </row>
    <row r="631" ht="15.75" customHeight="1">
      <c r="BC631" s="3"/>
      <c r="BD631" s="3"/>
      <c r="BE631" s="3"/>
      <c r="BF631" s="3"/>
    </row>
    <row r="632" ht="15.75" customHeight="1">
      <c r="BC632" s="3"/>
      <c r="BD632" s="3"/>
      <c r="BE632" s="3"/>
      <c r="BF632" s="3"/>
    </row>
    <row r="633" ht="15.75" customHeight="1">
      <c r="BC633" s="3"/>
      <c r="BD633" s="3"/>
      <c r="BE633" s="3"/>
      <c r="BF633" s="3"/>
    </row>
    <row r="634" ht="15.75" customHeight="1">
      <c r="BC634" s="3"/>
      <c r="BD634" s="3"/>
      <c r="BE634" s="3"/>
      <c r="BF634" s="3"/>
    </row>
    <row r="635" ht="15.75" customHeight="1">
      <c r="BC635" s="3"/>
      <c r="BD635" s="3"/>
      <c r="BE635" s="3"/>
      <c r="BF635" s="3"/>
    </row>
    <row r="636" ht="15.75" customHeight="1">
      <c r="BC636" s="3"/>
      <c r="BD636" s="3"/>
      <c r="BE636" s="3"/>
      <c r="BF636" s="3"/>
    </row>
    <row r="637" ht="15.75" customHeight="1">
      <c r="BC637" s="3"/>
      <c r="BD637" s="3"/>
      <c r="BE637" s="3"/>
      <c r="BF637" s="3"/>
    </row>
    <row r="638" ht="15.75" customHeight="1">
      <c r="BC638" s="3"/>
      <c r="BD638" s="3"/>
      <c r="BE638" s="3"/>
      <c r="BF638" s="3"/>
    </row>
    <row r="639" ht="15.75" customHeight="1">
      <c r="BC639" s="3"/>
      <c r="BD639" s="3"/>
      <c r="BE639" s="3"/>
      <c r="BF639" s="3"/>
    </row>
    <row r="640" ht="15.75" customHeight="1">
      <c r="BC640" s="3"/>
      <c r="BD640" s="3"/>
      <c r="BE640" s="3"/>
      <c r="BF640" s="3"/>
    </row>
    <row r="641" ht="15.75" customHeight="1">
      <c r="BC641" s="3"/>
      <c r="BD641" s="3"/>
      <c r="BE641" s="3"/>
      <c r="BF641" s="3"/>
    </row>
    <row r="642" ht="15.75" customHeight="1">
      <c r="BC642" s="3"/>
      <c r="BD642" s="3"/>
      <c r="BE642" s="3"/>
      <c r="BF642" s="3"/>
    </row>
    <row r="643" ht="15.75" customHeight="1">
      <c r="BC643" s="3"/>
      <c r="BD643" s="3"/>
      <c r="BE643" s="3"/>
      <c r="BF643" s="3"/>
    </row>
    <row r="644" ht="15.75" customHeight="1">
      <c r="BC644" s="3"/>
      <c r="BD644" s="3"/>
      <c r="BE644" s="3"/>
      <c r="BF644" s="3"/>
    </row>
    <row r="645" ht="15.75" customHeight="1">
      <c r="BC645" s="3"/>
      <c r="BD645" s="3"/>
      <c r="BE645" s="3"/>
      <c r="BF645" s="3"/>
    </row>
    <row r="646" ht="15.75" customHeight="1">
      <c r="BC646" s="3"/>
      <c r="BD646" s="3"/>
      <c r="BE646" s="3"/>
      <c r="BF646" s="3"/>
    </row>
    <row r="647" ht="15.75" customHeight="1">
      <c r="BC647" s="3"/>
      <c r="BD647" s="3"/>
      <c r="BE647" s="3"/>
      <c r="BF647" s="3"/>
    </row>
    <row r="648" ht="15.75" customHeight="1">
      <c r="BC648" s="3"/>
      <c r="BD648" s="3"/>
      <c r="BE648" s="3"/>
      <c r="BF648" s="3"/>
    </row>
    <row r="649" ht="15.75" customHeight="1">
      <c r="BC649" s="3"/>
      <c r="BD649" s="3"/>
      <c r="BE649" s="3"/>
      <c r="BF649" s="3"/>
    </row>
    <row r="650" ht="15.75" customHeight="1">
      <c r="BC650" s="3"/>
      <c r="BD650" s="3"/>
      <c r="BE650" s="3"/>
      <c r="BF650" s="3"/>
    </row>
    <row r="651" ht="15.75" customHeight="1">
      <c r="BC651" s="3"/>
      <c r="BD651" s="3"/>
      <c r="BE651" s="3"/>
      <c r="BF651" s="3"/>
    </row>
    <row r="652" ht="15.75" customHeight="1">
      <c r="BC652" s="3"/>
      <c r="BD652" s="3"/>
      <c r="BE652" s="3"/>
      <c r="BF652" s="3"/>
    </row>
    <row r="653" ht="15.75" customHeight="1">
      <c r="BC653" s="3"/>
      <c r="BD653" s="3"/>
      <c r="BE653" s="3"/>
      <c r="BF653" s="3"/>
    </row>
    <row r="654" ht="15.75" customHeight="1">
      <c r="BC654" s="3"/>
      <c r="BD654" s="3"/>
      <c r="BE654" s="3"/>
      <c r="BF654" s="3"/>
    </row>
    <row r="655" ht="15.75" customHeight="1">
      <c r="BC655" s="3"/>
      <c r="BD655" s="3"/>
      <c r="BE655" s="3"/>
      <c r="BF655" s="3"/>
    </row>
    <row r="656" ht="15.75" customHeight="1">
      <c r="BC656" s="3"/>
      <c r="BD656" s="3"/>
      <c r="BE656" s="3"/>
      <c r="BF656" s="3"/>
    </row>
    <row r="657" ht="15.75" customHeight="1">
      <c r="BC657" s="3"/>
      <c r="BD657" s="3"/>
      <c r="BE657" s="3"/>
      <c r="BF657" s="3"/>
    </row>
    <row r="658" ht="15.75" customHeight="1">
      <c r="BC658" s="3"/>
      <c r="BD658" s="3"/>
      <c r="BE658" s="3"/>
      <c r="BF658" s="3"/>
    </row>
    <row r="659" ht="15.75" customHeight="1">
      <c r="BC659" s="3"/>
      <c r="BD659" s="3"/>
      <c r="BE659" s="3"/>
      <c r="BF659" s="3"/>
    </row>
    <row r="660" ht="15.75" customHeight="1">
      <c r="BC660" s="3"/>
      <c r="BD660" s="3"/>
      <c r="BE660" s="3"/>
      <c r="BF660" s="3"/>
    </row>
    <row r="661" ht="15.75" customHeight="1">
      <c r="BC661" s="3"/>
      <c r="BD661" s="3"/>
      <c r="BE661" s="3"/>
      <c r="BF661" s="3"/>
    </row>
    <row r="662" ht="15.75" customHeight="1">
      <c r="BC662" s="3"/>
      <c r="BD662" s="3"/>
      <c r="BE662" s="3"/>
      <c r="BF662" s="3"/>
    </row>
    <row r="663" ht="15.75" customHeight="1">
      <c r="BC663" s="3"/>
      <c r="BD663" s="3"/>
      <c r="BE663" s="3"/>
      <c r="BF663" s="3"/>
    </row>
    <row r="664" ht="15.75" customHeight="1">
      <c r="BC664" s="3"/>
      <c r="BD664" s="3"/>
      <c r="BE664" s="3"/>
      <c r="BF664" s="3"/>
    </row>
    <row r="665" ht="15.75" customHeight="1">
      <c r="BC665" s="3"/>
      <c r="BD665" s="3"/>
      <c r="BE665" s="3"/>
      <c r="BF665" s="3"/>
    </row>
    <row r="666" ht="15.75" customHeight="1">
      <c r="BC666" s="3"/>
      <c r="BD666" s="3"/>
      <c r="BE666" s="3"/>
      <c r="BF666" s="3"/>
    </row>
    <row r="667" ht="15.75" customHeight="1">
      <c r="BC667" s="3"/>
      <c r="BD667" s="3"/>
      <c r="BE667" s="3"/>
      <c r="BF667" s="3"/>
    </row>
    <row r="668" ht="15.75" customHeight="1">
      <c r="BC668" s="3"/>
      <c r="BD668" s="3"/>
      <c r="BE668" s="3"/>
      <c r="BF668" s="3"/>
    </row>
    <row r="669" ht="15.75" customHeight="1">
      <c r="BC669" s="3"/>
      <c r="BD669" s="3"/>
      <c r="BE669" s="3"/>
      <c r="BF669" s="3"/>
    </row>
    <row r="670" ht="15.75" customHeight="1">
      <c r="BC670" s="3"/>
      <c r="BD670" s="3"/>
      <c r="BE670" s="3"/>
      <c r="BF670" s="3"/>
    </row>
    <row r="671" ht="15.75" customHeight="1">
      <c r="BC671" s="3"/>
      <c r="BD671" s="3"/>
      <c r="BE671" s="3"/>
      <c r="BF671" s="3"/>
    </row>
    <row r="672" ht="15.75" customHeight="1">
      <c r="BC672" s="3"/>
      <c r="BD672" s="3"/>
      <c r="BE672" s="3"/>
      <c r="BF672" s="3"/>
    </row>
    <row r="673" ht="15.75" customHeight="1">
      <c r="BC673" s="3"/>
      <c r="BD673" s="3"/>
      <c r="BE673" s="3"/>
      <c r="BF673" s="3"/>
    </row>
    <row r="674" ht="15.75" customHeight="1">
      <c r="BC674" s="3"/>
      <c r="BD674" s="3"/>
      <c r="BE674" s="3"/>
      <c r="BF674" s="3"/>
    </row>
    <row r="675" ht="15.75" customHeight="1">
      <c r="BC675" s="3"/>
      <c r="BD675" s="3"/>
      <c r="BE675" s="3"/>
      <c r="BF675" s="3"/>
    </row>
    <row r="676" ht="15.75" customHeight="1">
      <c r="BC676" s="3"/>
      <c r="BD676" s="3"/>
      <c r="BE676" s="3"/>
      <c r="BF676" s="3"/>
    </row>
    <row r="677" ht="15.75" customHeight="1">
      <c r="BC677" s="3"/>
      <c r="BD677" s="3"/>
      <c r="BE677" s="3"/>
      <c r="BF677" s="3"/>
    </row>
    <row r="678" ht="15.75" customHeight="1">
      <c r="BC678" s="3"/>
      <c r="BD678" s="3"/>
      <c r="BE678" s="3"/>
      <c r="BF678" s="3"/>
    </row>
    <row r="679" ht="15.75" customHeight="1">
      <c r="BC679" s="3"/>
      <c r="BD679" s="3"/>
      <c r="BE679" s="3"/>
      <c r="BF679" s="3"/>
    </row>
    <row r="680" ht="15.75" customHeight="1">
      <c r="BC680" s="3"/>
      <c r="BD680" s="3"/>
      <c r="BE680" s="3"/>
      <c r="BF680" s="3"/>
    </row>
    <row r="681" ht="15.75" customHeight="1">
      <c r="BC681" s="3"/>
      <c r="BD681" s="3"/>
      <c r="BE681" s="3"/>
      <c r="BF681" s="3"/>
    </row>
    <row r="682" ht="15.75" customHeight="1">
      <c r="BC682" s="3"/>
      <c r="BD682" s="3"/>
      <c r="BE682" s="3"/>
      <c r="BF682" s="3"/>
    </row>
    <row r="683" ht="15.75" customHeight="1">
      <c r="BC683" s="3"/>
      <c r="BD683" s="3"/>
      <c r="BE683" s="3"/>
      <c r="BF683" s="3"/>
    </row>
    <row r="684" ht="15.75" customHeight="1">
      <c r="BC684" s="3"/>
      <c r="BD684" s="3"/>
      <c r="BE684" s="3"/>
      <c r="BF684" s="3"/>
    </row>
    <row r="685" ht="15.75" customHeight="1">
      <c r="BC685" s="3"/>
      <c r="BD685" s="3"/>
      <c r="BE685" s="3"/>
      <c r="BF685" s="3"/>
    </row>
    <row r="686" ht="15.75" customHeight="1">
      <c r="BC686" s="3"/>
      <c r="BD686" s="3"/>
      <c r="BE686" s="3"/>
      <c r="BF686" s="3"/>
    </row>
    <row r="687" ht="15.75" customHeight="1">
      <c r="BC687" s="3"/>
      <c r="BD687" s="3"/>
      <c r="BE687" s="3"/>
      <c r="BF687" s="3"/>
    </row>
    <row r="688" ht="15.75" customHeight="1">
      <c r="BC688" s="3"/>
      <c r="BD688" s="3"/>
      <c r="BE688" s="3"/>
      <c r="BF688" s="3"/>
    </row>
    <row r="689" ht="15.75" customHeight="1">
      <c r="BC689" s="3"/>
      <c r="BD689" s="3"/>
      <c r="BE689" s="3"/>
      <c r="BF689" s="3"/>
    </row>
    <row r="690" ht="15.75" customHeight="1">
      <c r="BC690" s="3"/>
      <c r="BD690" s="3"/>
      <c r="BE690" s="3"/>
      <c r="BF690" s="3"/>
    </row>
    <row r="691" ht="15.75" customHeight="1">
      <c r="BC691" s="3"/>
      <c r="BD691" s="3"/>
      <c r="BE691" s="3"/>
      <c r="BF691" s="3"/>
    </row>
    <row r="692" ht="15.75" customHeight="1">
      <c r="BC692" s="3"/>
      <c r="BD692" s="3"/>
      <c r="BE692" s="3"/>
      <c r="BF692" s="3"/>
    </row>
    <row r="693" ht="15.75" customHeight="1">
      <c r="BC693" s="3"/>
      <c r="BD693" s="3"/>
      <c r="BE693" s="3"/>
      <c r="BF693" s="3"/>
    </row>
    <row r="694" ht="15.75" customHeight="1">
      <c r="BC694" s="3"/>
      <c r="BD694" s="3"/>
      <c r="BE694" s="3"/>
      <c r="BF694" s="3"/>
    </row>
    <row r="695" ht="15.75" customHeight="1">
      <c r="BC695" s="3"/>
      <c r="BD695" s="3"/>
      <c r="BE695" s="3"/>
      <c r="BF695" s="3"/>
    </row>
    <row r="696" ht="15.75" customHeight="1">
      <c r="BC696" s="3"/>
      <c r="BD696" s="3"/>
      <c r="BE696" s="3"/>
      <c r="BF696" s="3"/>
    </row>
    <row r="697" ht="15.75" customHeight="1">
      <c r="BC697" s="3"/>
      <c r="BD697" s="3"/>
      <c r="BE697" s="3"/>
      <c r="BF697" s="3"/>
    </row>
    <row r="698" ht="15.75" customHeight="1">
      <c r="BC698" s="3"/>
      <c r="BD698" s="3"/>
      <c r="BE698" s="3"/>
      <c r="BF698" s="3"/>
    </row>
    <row r="699" ht="15.75" customHeight="1">
      <c r="BC699" s="3"/>
      <c r="BD699" s="3"/>
      <c r="BE699" s="3"/>
      <c r="BF699" s="3"/>
    </row>
    <row r="700" ht="15.75" customHeight="1">
      <c r="BC700" s="3"/>
      <c r="BD700" s="3"/>
      <c r="BE700" s="3"/>
      <c r="BF700" s="3"/>
    </row>
    <row r="701" ht="15.75" customHeight="1">
      <c r="BC701" s="3"/>
      <c r="BD701" s="3"/>
      <c r="BE701" s="3"/>
      <c r="BF701" s="3"/>
    </row>
    <row r="702" ht="15.75" customHeight="1">
      <c r="BC702" s="3"/>
      <c r="BD702" s="3"/>
      <c r="BE702" s="3"/>
      <c r="BF702" s="3"/>
    </row>
    <row r="703" ht="15.75" customHeight="1">
      <c r="BC703" s="3"/>
      <c r="BD703" s="3"/>
      <c r="BE703" s="3"/>
      <c r="BF703" s="3"/>
    </row>
    <row r="704" ht="15.75" customHeight="1">
      <c r="BC704" s="3"/>
      <c r="BD704" s="3"/>
      <c r="BE704" s="3"/>
      <c r="BF704" s="3"/>
    </row>
    <row r="705" ht="15.75" customHeight="1">
      <c r="BC705" s="3"/>
      <c r="BD705" s="3"/>
      <c r="BE705" s="3"/>
      <c r="BF705" s="3"/>
    </row>
    <row r="706" ht="15.75" customHeight="1">
      <c r="BC706" s="3"/>
      <c r="BD706" s="3"/>
      <c r="BE706" s="3"/>
      <c r="BF706" s="3"/>
    </row>
    <row r="707" ht="15.75" customHeight="1">
      <c r="BC707" s="3"/>
      <c r="BD707" s="3"/>
      <c r="BE707" s="3"/>
      <c r="BF707" s="3"/>
    </row>
    <row r="708" ht="15.75" customHeight="1">
      <c r="BC708" s="3"/>
      <c r="BD708" s="3"/>
      <c r="BE708" s="3"/>
      <c r="BF708" s="3"/>
    </row>
    <row r="709" ht="15.75" customHeight="1">
      <c r="BC709" s="3"/>
      <c r="BD709" s="3"/>
      <c r="BE709" s="3"/>
      <c r="BF709" s="3"/>
    </row>
    <row r="710" ht="15.75" customHeight="1">
      <c r="BC710" s="3"/>
      <c r="BD710" s="3"/>
      <c r="BE710" s="3"/>
      <c r="BF710" s="3"/>
    </row>
    <row r="711" ht="15.75" customHeight="1">
      <c r="BC711" s="3"/>
      <c r="BD711" s="3"/>
      <c r="BE711" s="3"/>
      <c r="BF711" s="3"/>
    </row>
    <row r="712" ht="15.75" customHeight="1">
      <c r="BC712" s="3"/>
      <c r="BD712" s="3"/>
      <c r="BE712" s="3"/>
      <c r="BF712" s="3"/>
    </row>
    <row r="713" ht="15.75" customHeight="1">
      <c r="BC713" s="3"/>
      <c r="BD713" s="3"/>
      <c r="BE713" s="3"/>
      <c r="BF713" s="3"/>
    </row>
    <row r="714" ht="15.75" customHeight="1">
      <c r="BC714" s="3"/>
      <c r="BD714" s="3"/>
      <c r="BE714" s="3"/>
      <c r="BF714" s="3"/>
    </row>
    <row r="715" ht="15.75" customHeight="1">
      <c r="BC715" s="3"/>
      <c r="BD715" s="3"/>
      <c r="BE715" s="3"/>
      <c r="BF715" s="3"/>
    </row>
    <row r="716" ht="15.75" customHeight="1">
      <c r="BC716" s="3"/>
      <c r="BD716" s="3"/>
      <c r="BE716" s="3"/>
      <c r="BF716" s="3"/>
    </row>
    <row r="717" ht="15.75" customHeight="1">
      <c r="BC717" s="3"/>
      <c r="BD717" s="3"/>
      <c r="BE717" s="3"/>
      <c r="BF717" s="3"/>
    </row>
    <row r="718" ht="15.75" customHeight="1">
      <c r="BC718" s="3"/>
      <c r="BD718" s="3"/>
      <c r="BE718" s="3"/>
      <c r="BF718" s="3"/>
    </row>
    <row r="719" ht="15.75" customHeight="1">
      <c r="BC719" s="3"/>
      <c r="BD719" s="3"/>
      <c r="BE719" s="3"/>
      <c r="BF719" s="3"/>
    </row>
    <row r="720" ht="15.75" customHeight="1">
      <c r="BC720" s="3"/>
      <c r="BD720" s="3"/>
      <c r="BE720" s="3"/>
      <c r="BF720" s="3"/>
    </row>
    <row r="721" ht="15.75" customHeight="1">
      <c r="BC721" s="3"/>
      <c r="BD721" s="3"/>
      <c r="BE721" s="3"/>
      <c r="BF721" s="3"/>
    </row>
    <row r="722" ht="15.75" customHeight="1">
      <c r="BC722" s="3"/>
      <c r="BD722" s="3"/>
      <c r="BE722" s="3"/>
      <c r="BF722" s="3"/>
    </row>
    <row r="723" ht="15.75" customHeight="1">
      <c r="BC723" s="3"/>
      <c r="BD723" s="3"/>
      <c r="BE723" s="3"/>
      <c r="BF723" s="3"/>
    </row>
    <row r="724" ht="15.75" customHeight="1">
      <c r="BC724" s="3"/>
      <c r="BD724" s="3"/>
      <c r="BE724" s="3"/>
      <c r="BF724" s="3"/>
    </row>
    <row r="725" ht="15.75" customHeight="1">
      <c r="BC725" s="3"/>
      <c r="BD725" s="3"/>
      <c r="BE725" s="3"/>
      <c r="BF725" s="3"/>
    </row>
    <row r="726" ht="15.75" customHeight="1">
      <c r="BC726" s="3"/>
      <c r="BD726" s="3"/>
      <c r="BE726" s="3"/>
      <c r="BF726" s="3"/>
    </row>
    <row r="727" ht="15.75" customHeight="1">
      <c r="BC727" s="3"/>
      <c r="BD727" s="3"/>
      <c r="BE727" s="3"/>
      <c r="BF727" s="3"/>
    </row>
    <row r="728" ht="15.75" customHeight="1">
      <c r="BC728" s="3"/>
      <c r="BD728" s="3"/>
      <c r="BE728" s="3"/>
      <c r="BF728" s="3"/>
    </row>
    <row r="729" ht="15.75" customHeight="1">
      <c r="BC729" s="3"/>
      <c r="BD729" s="3"/>
      <c r="BE729" s="3"/>
      <c r="BF729" s="3"/>
    </row>
    <row r="730" ht="15.75" customHeight="1">
      <c r="BC730" s="3"/>
      <c r="BD730" s="3"/>
      <c r="BE730" s="3"/>
      <c r="BF730" s="3"/>
    </row>
    <row r="731" ht="15.75" customHeight="1">
      <c r="BC731" s="3"/>
      <c r="BD731" s="3"/>
      <c r="BE731" s="3"/>
      <c r="BF731" s="3"/>
    </row>
    <row r="732" ht="15.75" customHeight="1">
      <c r="BC732" s="3"/>
      <c r="BD732" s="3"/>
      <c r="BE732" s="3"/>
      <c r="BF732" s="3"/>
    </row>
    <row r="733" ht="15.75" customHeight="1">
      <c r="BC733" s="3"/>
      <c r="BD733" s="3"/>
      <c r="BE733" s="3"/>
      <c r="BF733" s="3"/>
    </row>
    <row r="734" ht="15.75" customHeight="1">
      <c r="BC734" s="3"/>
      <c r="BD734" s="3"/>
      <c r="BE734" s="3"/>
      <c r="BF734" s="3"/>
    </row>
    <row r="735" ht="15.75" customHeight="1">
      <c r="BC735" s="3"/>
      <c r="BD735" s="3"/>
      <c r="BE735" s="3"/>
      <c r="BF735" s="3"/>
    </row>
    <row r="736" ht="15.75" customHeight="1">
      <c r="BC736" s="3"/>
      <c r="BD736" s="3"/>
      <c r="BE736" s="3"/>
      <c r="BF736" s="3"/>
    </row>
    <row r="737" ht="15.75" customHeight="1">
      <c r="BC737" s="3"/>
      <c r="BD737" s="3"/>
      <c r="BE737" s="3"/>
      <c r="BF737" s="3"/>
    </row>
    <row r="738" ht="15.75" customHeight="1">
      <c r="BC738" s="3"/>
      <c r="BD738" s="3"/>
      <c r="BE738" s="3"/>
      <c r="BF738" s="3"/>
    </row>
    <row r="739" ht="15.75" customHeight="1">
      <c r="BC739" s="3"/>
      <c r="BD739" s="3"/>
      <c r="BE739" s="3"/>
      <c r="BF739" s="3"/>
    </row>
    <row r="740" ht="15.75" customHeight="1">
      <c r="BC740" s="3"/>
      <c r="BD740" s="3"/>
      <c r="BE740" s="3"/>
      <c r="BF740" s="3"/>
    </row>
    <row r="741" ht="15.75" customHeight="1">
      <c r="BC741" s="3"/>
      <c r="BD741" s="3"/>
      <c r="BE741" s="3"/>
      <c r="BF741" s="3"/>
    </row>
    <row r="742" ht="15.75" customHeight="1">
      <c r="BC742" s="3"/>
      <c r="BD742" s="3"/>
      <c r="BE742" s="3"/>
      <c r="BF742" s="3"/>
    </row>
    <row r="743" ht="15.75" customHeight="1">
      <c r="BC743" s="3"/>
      <c r="BD743" s="3"/>
      <c r="BE743" s="3"/>
      <c r="BF743" s="3"/>
    </row>
    <row r="744" ht="15.75" customHeight="1">
      <c r="BC744" s="3"/>
      <c r="BD744" s="3"/>
      <c r="BE744" s="3"/>
      <c r="BF744" s="3"/>
    </row>
    <row r="745" ht="15.75" customHeight="1">
      <c r="BC745" s="3"/>
      <c r="BD745" s="3"/>
      <c r="BE745" s="3"/>
      <c r="BF745" s="3"/>
    </row>
    <row r="746" ht="15.75" customHeight="1">
      <c r="BC746" s="3"/>
      <c r="BD746" s="3"/>
      <c r="BE746" s="3"/>
      <c r="BF746" s="3"/>
    </row>
    <row r="747" ht="15.75" customHeight="1">
      <c r="BC747" s="3"/>
      <c r="BD747" s="3"/>
      <c r="BE747" s="3"/>
      <c r="BF747" s="3"/>
    </row>
    <row r="748" ht="15.75" customHeight="1">
      <c r="BC748" s="3"/>
      <c r="BD748" s="3"/>
      <c r="BE748" s="3"/>
      <c r="BF748" s="3"/>
    </row>
    <row r="749" ht="15.75" customHeight="1">
      <c r="BC749" s="3"/>
      <c r="BD749" s="3"/>
      <c r="BE749" s="3"/>
      <c r="BF749" s="3"/>
    </row>
    <row r="750" ht="15.75" customHeight="1">
      <c r="BC750" s="3"/>
      <c r="BD750" s="3"/>
      <c r="BE750" s="3"/>
      <c r="BF750" s="3"/>
    </row>
    <row r="751" ht="15.75" customHeight="1">
      <c r="BC751" s="3"/>
      <c r="BD751" s="3"/>
      <c r="BE751" s="3"/>
      <c r="BF751" s="3"/>
    </row>
    <row r="752" ht="15.75" customHeight="1">
      <c r="BC752" s="3"/>
      <c r="BD752" s="3"/>
      <c r="BE752" s="3"/>
      <c r="BF752" s="3"/>
    </row>
    <row r="753" ht="15.75" customHeight="1">
      <c r="BC753" s="3"/>
      <c r="BD753" s="3"/>
      <c r="BE753" s="3"/>
      <c r="BF753" s="3"/>
    </row>
    <row r="754" ht="15.75" customHeight="1">
      <c r="BC754" s="3"/>
      <c r="BD754" s="3"/>
      <c r="BE754" s="3"/>
      <c r="BF754" s="3"/>
    </row>
    <row r="755" ht="15.75" customHeight="1">
      <c r="BC755" s="3"/>
      <c r="BD755" s="3"/>
      <c r="BE755" s="3"/>
      <c r="BF755" s="3"/>
    </row>
    <row r="756" ht="15.75" customHeight="1">
      <c r="BC756" s="3"/>
      <c r="BD756" s="3"/>
      <c r="BE756" s="3"/>
      <c r="BF756" s="3"/>
    </row>
    <row r="757" ht="15.75" customHeight="1">
      <c r="BC757" s="3"/>
      <c r="BD757" s="3"/>
      <c r="BE757" s="3"/>
      <c r="BF757" s="3"/>
    </row>
    <row r="758" ht="15.75" customHeight="1">
      <c r="BC758" s="3"/>
      <c r="BD758" s="3"/>
      <c r="BE758" s="3"/>
      <c r="BF758" s="3"/>
    </row>
    <row r="759" ht="15.75" customHeight="1">
      <c r="BC759" s="3"/>
      <c r="BD759" s="3"/>
      <c r="BE759" s="3"/>
      <c r="BF759" s="3"/>
    </row>
    <row r="760" ht="15.75" customHeight="1">
      <c r="BC760" s="3"/>
      <c r="BD760" s="3"/>
      <c r="BE760" s="3"/>
      <c r="BF760" s="3"/>
    </row>
    <row r="761" ht="15.75" customHeight="1">
      <c r="BC761" s="3"/>
      <c r="BD761" s="3"/>
      <c r="BE761" s="3"/>
      <c r="BF761" s="3"/>
    </row>
    <row r="762" ht="15.75" customHeight="1">
      <c r="BC762" s="3"/>
      <c r="BD762" s="3"/>
      <c r="BE762" s="3"/>
      <c r="BF762" s="3"/>
    </row>
    <row r="763" ht="15.75" customHeight="1">
      <c r="BC763" s="3"/>
      <c r="BD763" s="3"/>
      <c r="BE763" s="3"/>
      <c r="BF763" s="3"/>
    </row>
    <row r="764" ht="15.75" customHeight="1">
      <c r="BC764" s="3"/>
      <c r="BD764" s="3"/>
      <c r="BE764" s="3"/>
      <c r="BF764" s="3"/>
    </row>
    <row r="765" ht="15.75" customHeight="1">
      <c r="BC765" s="3"/>
      <c r="BD765" s="3"/>
      <c r="BE765" s="3"/>
      <c r="BF765" s="3"/>
    </row>
    <row r="766" ht="15.75" customHeight="1">
      <c r="BC766" s="3"/>
      <c r="BD766" s="3"/>
      <c r="BE766" s="3"/>
      <c r="BF766" s="3"/>
    </row>
    <row r="767" ht="15.75" customHeight="1">
      <c r="BC767" s="3"/>
      <c r="BD767" s="3"/>
      <c r="BE767" s="3"/>
      <c r="BF767" s="3"/>
    </row>
    <row r="768" ht="15.75" customHeight="1">
      <c r="BC768" s="3"/>
      <c r="BD768" s="3"/>
      <c r="BE768" s="3"/>
      <c r="BF768" s="3"/>
    </row>
    <row r="769" ht="15.75" customHeight="1">
      <c r="BC769" s="3"/>
      <c r="BD769" s="3"/>
      <c r="BE769" s="3"/>
      <c r="BF769" s="3"/>
    </row>
    <row r="770" ht="15.75" customHeight="1">
      <c r="BC770" s="3"/>
      <c r="BD770" s="3"/>
      <c r="BE770" s="3"/>
      <c r="BF770" s="3"/>
    </row>
    <row r="771" ht="15.75" customHeight="1">
      <c r="BC771" s="3"/>
      <c r="BD771" s="3"/>
      <c r="BE771" s="3"/>
      <c r="BF771" s="3"/>
    </row>
    <row r="772" ht="15.75" customHeight="1">
      <c r="BC772" s="3"/>
      <c r="BD772" s="3"/>
      <c r="BE772" s="3"/>
      <c r="BF772" s="3"/>
    </row>
    <row r="773" ht="15.75" customHeight="1">
      <c r="BC773" s="3"/>
      <c r="BD773" s="3"/>
      <c r="BE773" s="3"/>
      <c r="BF773" s="3"/>
    </row>
    <row r="774" ht="15.75" customHeight="1">
      <c r="BC774" s="3"/>
      <c r="BD774" s="3"/>
      <c r="BE774" s="3"/>
      <c r="BF774" s="3"/>
    </row>
    <row r="775" ht="15.75" customHeight="1">
      <c r="BC775" s="3"/>
      <c r="BD775" s="3"/>
      <c r="BE775" s="3"/>
      <c r="BF775" s="3"/>
    </row>
    <row r="776" ht="15.75" customHeight="1">
      <c r="BC776" s="3"/>
      <c r="BD776" s="3"/>
      <c r="BE776" s="3"/>
      <c r="BF776" s="3"/>
    </row>
    <row r="777" ht="15.75" customHeight="1">
      <c r="BC777" s="3"/>
      <c r="BD777" s="3"/>
      <c r="BE777" s="3"/>
      <c r="BF777" s="3"/>
    </row>
    <row r="778" ht="15.75" customHeight="1">
      <c r="BC778" s="3"/>
      <c r="BD778" s="3"/>
      <c r="BE778" s="3"/>
      <c r="BF778" s="3"/>
    </row>
    <row r="779" ht="15.75" customHeight="1">
      <c r="BC779" s="3"/>
      <c r="BD779" s="3"/>
      <c r="BE779" s="3"/>
      <c r="BF779" s="3"/>
    </row>
    <row r="780" ht="15.75" customHeight="1">
      <c r="BC780" s="3"/>
      <c r="BD780" s="3"/>
      <c r="BE780" s="3"/>
      <c r="BF780" s="3"/>
    </row>
    <row r="781" ht="15.75" customHeight="1">
      <c r="BC781" s="3"/>
      <c r="BD781" s="3"/>
      <c r="BE781" s="3"/>
      <c r="BF781" s="3"/>
    </row>
    <row r="782" ht="15.75" customHeight="1">
      <c r="BC782" s="3"/>
      <c r="BD782" s="3"/>
      <c r="BE782" s="3"/>
      <c r="BF782" s="3"/>
    </row>
    <row r="783" ht="15.75" customHeight="1">
      <c r="BC783" s="3"/>
      <c r="BD783" s="3"/>
      <c r="BE783" s="3"/>
      <c r="BF783" s="3"/>
    </row>
    <row r="784" ht="15.75" customHeight="1">
      <c r="BC784" s="3"/>
      <c r="BD784" s="3"/>
      <c r="BE784" s="3"/>
      <c r="BF784" s="3"/>
    </row>
    <row r="785" ht="15.75" customHeight="1">
      <c r="BC785" s="3"/>
      <c r="BD785" s="3"/>
      <c r="BE785" s="3"/>
      <c r="BF785" s="3"/>
    </row>
    <row r="786" ht="15.75" customHeight="1">
      <c r="BC786" s="3"/>
      <c r="BD786" s="3"/>
      <c r="BE786" s="3"/>
      <c r="BF786" s="3"/>
    </row>
    <row r="787" ht="15.75" customHeight="1">
      <c r="BC787" s="3"/>
      <c r="BD787" s="3"/>
      <c r="BE787" s="3"/>
      <c r="BF787" s="3"/>
    </row>
    <row r="788" ht="15.75" customHeight="1">
      <c r="BC788" s="3"/>
      <c r="BD788" s="3"/>
      <c r="BE788" s="3"/>
      <c r="BF788" s="3"/>
    </row>
    <row r="789" ht="15.75" customHeight="1">
      <c r="BC789" s="3"/>
      <c r="BD789" s="3"/>
      <c r="BE789" s="3"/>
      <c r="BF789" s="3"/>
    </row>
    <row r="790" ht="15.75" customHeight="1">
      <c r="BC790" s="3"/>
      <c r="BD790" s="3"/>
      <c r="BE790" s="3"/>
      <c r="BF790" s="3"/>
    </row>
    <row r="791" ht="15.75" customHeight="1">
      <c r="BC791" s="3"/>
      <c r="BD791" s="3"/>
      <c r="BE791" s="3"/>
      <c r="BF791" s="3"/>
    </row>
    <row r="792" ht="15.75" customHeight="1">
      <c r="BC792" s="3"/>
      <c r="BD792" s="3"/>
      <c r="BE792" s="3"/>
      <c r="BF792" s="3"/>
    </row>
    <row r="793" ht="15.75" customHeight="1">
      <c r="BC793" s="3"/>
      <c r="BD793" s="3"/>
      <c r="BE793" s="3"/>
      <c r="BF793" s="3"/>
    </row>
    <row r="794" ht="15.75" customHeight="1">
      <c r="BC794" s="3"/>
      <c r="BD794" s="3"/>
      <c r="BE794" s="3"/>
      <c r="BF794" s="3"/>
    </row>
    <row r="795" ht="15.75" customHeight="1">
      <c r="BC795" s="3"/>
      <c r="BD795" s="3"/>
      <c r="BE795" s="3"/>
      <c r="BF795" s="3"/>
    </row>
    <row r="796" ht="15.75" customHeight="1">
      <c r="BC796" s="3"/>
      <c r="BD796" s="3"/>
      <c r="BE796" s="3"/>
      <c r="BF796" s="3"/>
    </row>
    <row r="797" ht="15.75" customHeight="1">
      <c r="BC797" s="3"/>
      <c r="BD797" s="3"/>
      <c r="BE797" s="3"/>
      <c r="BF797" s="3"/>
    </row>
    <row r="798" ht="15.75" customHeight="1">
      <c r="BC798" s="3"/>
      <c r="BD798" s="3"/>
      <c r="BE798" s="3"/>
      <c r="BF798" s="3"/>
    </row>
    <row r="799" ht="15.75" customHeight="1">
      <c r="BC799" s="3"/>
      <c r="BD799" s="3"/>
      <c r="BE799" s="3"/>
      <c r="BF799" s="3"/>
    </row>
    <row r="800" ht="15.75" customHeight="1">
      <c r="BC800" s="3"/>
      <c r="BD800" s="3"/>
      <c r="BE800" s="3"/>
      <c r="BF800" s="3"/>
    </row>
    <row r="801" ht="15.75" customHeight="1">
      <c r="BC801" s="3"/>
      <c r="BD801" s="3"/>
      <c r="BE801" s="3"/>
      <c r="BF801" s="3"/>
    </row>
    <row r="802" ht="15.75" customHeight="1">
      <c r="BC802" s="3"/>
      <c r="BD802" s="3"/>
      <c r="BE802" s="3"/>
      <c r="BF802" s="3"/>
    </row>
    <row r="803" ht="15.75" customHeight="1">
      <c r="BC803" s="3"/>
      <c r="BD803" s="3"/>
      <c r="BE803" s="3"/>
      <c r="BF803" s="3"/>
    </row>
    <row r="804" ht="15.75" customHeight="1">
      <c r="BC804" s="3"/>
      <c r="BD804" s="3"/>
      <c r="BE804" s="3"/>
      <c r="BF804" s="3"/>
    </row>
    <row r="805" ht="15.75" customHeight="1">
      <c r="BC805" s="3"/>
      <c r="BD805" s="3"/>
      <c r="BE805" s="3"/>
      <c r="BF805" s="3"/>
    </row>
    <row r="806" ht="15.75" customHeight="1">
      <c r="BC806" s="3"/>
      <c r="BD806" s="3"/>
      <c r="BE806" s="3"/>
      <c r="BF806" s="3"/>
    </row>
    <row r="807" ht="15.75" customHeight="1">
      <c r="BC807" s="3"/>
      <c r="BD807" s="3"/>
      <c r="BE807" s="3"/>
      <c r="BF807" s="3"/>
    </row>
    <row r="808" ht="15.75" customHeight="1">
      <c r="BC808" s="3"/>
      <c r="BD808" s="3"/>
      <c r="BE808" s="3"/>
      <c r="BF808" s="3"/>
    </row>
    <row r="809" ht="15.75" customHeight="1">
      <c r="BC809" s="3"/>
      <c r="BD809" s="3"/>
      <c r="BE809" s="3"/>
      <c r="BF809" s="3"/>
    </row>
    <row r="810" ht="15.75" customHeight="1">
      <c r="BC810" s="3"/>
      <c r="BD810" s="3"/>
      <c r="BE810" s="3"/>
      <c r="BF810" s="3"/>
    </row>
    <row r="811" ht="15.75" customHeight="1">
      <c r="BC811" s="3"/>
      <c r="BD811" s="3"/>
      <c r="BE811" s="3"/>
      <c r="BF811" s="3"/>
    </row>
    <row r="812" ht="15.75" customHeight="1">
      <c r="BC812" s="3"/>
      <c r="BD812" s="3"/>
      <c r="BE812" s="3"/>
      <c r="BF812" s="3"/>
    </row>
    <row r="813" ht="15.75" customHeight="1">
      <c r="BC813" s="3"/>
      <c r="BD813" s="3"/>
      <c r="BE813" s="3"/>
      <c r="BF813" s="3"/>
    </row>
    <row r="814" ht="15.75" customHeight="1">
      <c r="BC814" s="3"/>
      <c r="BD814" s="3"/>
      <c r="BE814" s="3"/>
      <c r="BF814" s="3"/>
    </row>
    <row r="815" ht="15.75" customHeight="1">
      <c r="BC815" s="3"/>
      <c r="BD815" s="3"/>
      <c r="BE815" s="3"/>
      <c r="BF815" s="3"/>
    </row>
    <row r="816" ht="15.75" customHeight="1">
      <c r="BC816" s="3"/>
      <c r="BD816" s="3"/>
      <c r="BE816" s="3"/>
      <c r="BF816" s="3"/>
    </row>
    <row r="817" ht="15.75" customHeight="1">
      <c r="BC817" s="3"/>
      <c r="BD817" s="3"/>
      <c r="BE817" s="3"/>
      <c r="BF817" s="3"/>
    </row>
    <row r="818" ht="15.75" customHeight="1">
      <c r="BC818" s="3"/>
      <c r="BD818" s="3"/>
      <c r="BE818" s="3"/>
      <c r="BF818" s="3"/>
    </row>
    <row r="819" ht="15.75" customHeight="1">
      <c r="BC819" s="3"/>
      <c r="BD819" s="3"/>
      <c r="BE819" s="3"/>
      <c r="BF819" s="3"/>
    </row>
    <row r="820" ht="15.75" customHeight="1">
      <c r="BC820" s="3"/>
      <c r="BD820" s="3"/>
      <c r="BE820" s="3"/>
      <c r="BF820" s="3"/>
    </row>
    <row r="821" ht="15.75" customHeight="1">
      <c r="BC821" s="3"/>
      <c r="BD821" s="3"/>
      <c r="BE821" s="3"/>
      <c r="BF821" s="3"/>
    </row>
    <row r="822" ht="15.75" customHeight="1">
      <c r="BC822" s="3"/>
      <c r="BD822" s="3"/>
      <c r="BE822" s="3"/>
      <c r="BF822" s="3"/>
    </row>
    <row r="823" ht="15.75" customHeight="1">
      <c r="BC823" s="3"/>
      <c r="BD823" s="3"/>
      <c r="BE823" s="3"/>
      <c r="BF823" s="3"/>
    </row>
    <row r="824" ht="15.75" customHeight="1">
      <c r="BC824" s="3"/>
      <c r="BD824" s="3"/>
      <c r="BE824" s="3"/>
      <c r="BF824" s="3"/>
    </row>
    <row r="825" ht="15.75" customHeight="1">
      <c r="BC825" s="3"/>
      <c r="BD825" s="3"/>
      <c r="BE825" s="3"/>
      <c r="BF825" s="3"/>
    </row>
    <row r="826" ht="15.75" customHeight="1">
      <c r="BC826" s="3"/>
      <c r="BD826" s="3"/>
      <c r="BE826" s="3"/>
      <c r="BF826" s="3"/>
    </row>
    <row r="827" ht="15.75" customHeight="1">
      <c r="BC827" s="3"/>
      <c r="BD827" s="3"/>
      <c r="BE827" s="3"/>
      <c r="BF827" s="3"/>
    </row>
    <row r="828" ht="15.75" customHeight="1">
      <c r="BC828" s="3"/>
      <c r="BD828" s="3"/>
      <c r="BE828" s="3"/>
      <c r="BF828" s="3"/>
    </row>
    <row r="829" ht="15.75" customHeight="1">
      <c r="BC829" s="3"/>
      <c r="BD829" s="3"/>
      <c r="BE829" s="3"/>
      <c r="BF829" s="3"/>
    </row>
    <row r="830" ht="15.75" customHeight="1">
      <c r="BC830" s="3"/>
      <c r="BD830" s="3"/>
      <c r="BE830" s="3"/>
      <c r="BF830" s="3"/>
    </row>
    <row r="831" ht="15.75" customHeight="1">
      <c r="BC831" s="3"/>
      <c r="BD831" s="3"/>
      <c r="BE831" s="3"/>
      <c r="BF831" s="3"/>
    </row>
    <row r="832" ht="15.75" customHeight="1">
      <c r="BC832" s="3"/>
      <c r="BD832" s="3"/>
      <c r="BE832" s="3"/>
      <c r="BF832" s="3"/>
    </row>
    <row r="833" ht="15.75" customHeight="1">
      <c r="BC833" s="3"/>
      <c r="BD833" s="3"/>
      <c r="BE833" s="3"/>
      <c r="BF833" s="3"/>
    </row>
    <row r="834" ht="15.75" customHeight="1">
      <c r="BC834" s="3"/>
      <c r="BD834" s="3"/>
      <c r="BE834" s="3"/>
      <c r="BF834" s="3"/>
    </row>
    <row r="835" ht="15.75" customHeight="1">
      <c r="BC835" s="3"/>
      <c r="BD835" s="3"/>
      <c r="BE835" s="3"/>
      <c r="BF835" s="3"/>
    </row>
    <row r="836" ht="15.75" customHeight="1">
      <c r="BC836" s="3"/>
      <c r="BD836" s="3"/>
      <c r="BE836" s="3"/>
      <c r="BF836" s="3"/>
    </row>
    <row r="837" ht="15.75" customHeight="1">
      <c r="BC837" s="3"/>
      <c r="BD837" s="3"/>
      <c r="BE837" s="3"/>
      <c r="BF837" s="3"/>
    </row>
    <row r="838" ht="15.75" customHeight="1">
      <c r="BC838" s="3"/>
      <c r="BD838" s="3"/>
      <c r="BE838" s="3"/>
      <c r="BF838" s="3"/>
    </row>
    <row r="839" ht="15.75" customHeight="1">
      <c r="BC839" s="3"/>
      <c r="BD839" s="3"/>
      <c r="BE839" s="3"/>
      <c r="BF839" s="3"/>
    </row>
    <row r="840" ht="15.75" customHeight="1">
      <c r="BC840" s="3"/>
      <c r="BD840" s="3"/>
      <c r="BE840" s="3"/>
      <c r="BF840" s="3"/>
    </row>
    <row r="841" ht="15.75" customHeight="1">
      <c r="BC841" s="3"/>
      <c r="BD841" s="3"/>
      <c r="BE841" s="3"/>
      <c r="BF841" s="3"/>
    </row>
    <row r="842" ht="15.75" customHeight="1">
      <c r="BC842" s="3"/>
      <c r="BD842" s="3"/>
      <c r="BE842" s="3"/>
      <c r="BF842" s="3"/>
    </row>
    <row r="843" ht="15.75" customHeight="1">
      <c r="BC843" s="3"/>
      <c r="BD843" s="3"/>
      <c r="BE843" s="3"/>
      <c r="BF843" s="3"/>
    </row>
    <row r="844" ht="15.75" customHeight="1">
      <c r="BC844" s="3"/>
      <c r="BD844" s="3"/>
      <c r="BE844" s="3"/>
      <c r="BF844" s="3"/>
    </row>
    <row r="845" ht="15.75" customHeight="1">
      <c r="BC845" s="3"/>
      <c r="BD845" s="3"/>
      <c r="BE845" s="3"/>
      <c r="BF845" s="3"/>
    </row>
    <row r="846" ht="15.75" customHeight="1">
      <c r="BC846" s="3"/>
      <c r="BD846" s="3"/>
      <c r="BE846" s="3"/>
      <c r="BF846" s="3"/>
    </row>
    <row r="847" ht="15.75" customHeight="1">
      <c r="BC847" s="3"/>
      <c r="BD847" s="3"/>
      <c r="BE847" s="3"/>
      <c r="BF847" s="3"/>
    </row>
    <row r="848" ht="15.75" customHeight="1">
      <c r="BC848" s="3"/>
      <c r="BD848" s="3"/>
      <c r="BE848" s="3"/>
      <c r="BF848" s="3"/>
    </row>
    <row r="849" ht="15.75" customHeight="1">
      <c r="BC849" s="3"/>
      <c r="BD849" s="3"/>
      <c r="BE849" s="3"/>
      <c r="BF849" s="3"/>
    </row>
    <row r="850" ht="15.75" customHeight="1">
      <c r="BC850" s="3"/>
      <c r="BD850" s="3"/>
      <c r="BE850" s="3"/>
      <c r="BF850" s="3"/>
    </row>
    <row r="851" ht="15.75" customHeight="1">
      <c r="BC851" s="3"/>
      <c r="BD851" s="3"/>
      <c r="BE851" s="3"/>
      <c r="BF851" s="3"/>
    </row>
    <row r="852" ht="15.75" customHeight="1">
      <c r="BC852" s="3"/>
      <c r="BD852" s="3"/>
      <c r="BE852" s="3"/>
      <c r="BF852" s="3"/>
    </row>
    <row r="853" ht="15.75" customHeight="1">
      <c r="BC853" s="3"/>
      <c r="BD853" s="3"/>
      <c r="BE853" s="3"/>
      <c r="BF853" s="3"/>
    </row>
    <row r="854" ht="15.75" customHeight="1">
      <c r="BC854" s="3"/>
      <c r="BD854" s="3"/>
      <c r="BE854" s="3"/>
      <c r="BF854" s="3"/>
    </row>
    <row r="855" ht="15.75" customHeight="1">
      <c r="BC855" s="3"/>
      <c r="BD855" s="3"/>
      <c r="BE855" s="3"/>
      <c r="BF855" s="3"/>
    </row>
    <row r="856" ht="15.75" customHeight="1">
      <c r="BC856" s="3"/>
      <c r="BD856" s="3"/>
      <c r="BE856" s="3"/>
      <c r="BF856" s="3"/>
    </row>
    <row r="857" ht="15.75" customHeight="1">
      <c r="BC857" s="3"/>
      <c r="BD857" s="3"/>
      <c r="BE857" s="3"/>
      <c r="BF857" s="3"/>
    </row>
    <row r="858" ht="15.75" customHeight="1">
      <c r="BC858" s="3"/>
      <c r="BD858" s="3"/>
      <c r="BE858" s="3"/>
      <c r="BF858" s="3"/>
    </row>
    <row r="859" ht="15.75" customHeight="1">
      <c r="BC859" s="3"/>
      <c r="BD859" s="3"/>
      <c r="BE859" s="3"/>
      <c r="BF859" s="3"/>
    </row>
    <row r="860" ht="15.75" customHeight="1">
      <c r="BC860" s="3"/>
      <c r="BD860" s="3"/>
      <c r="BE860" s="3"/>
      <c r="BF860" s="3"/>
    </row>
    <row r="861" ht="15.75" customHeight="1">
      <c r="BC861" s="3"/>
      <c r="BD861" s="3"/>
      <c r="BE861" s="3"/>
      <c r="BF861" s="3"/>
    </row>
    <row r="862" ht="15.75" customHeight="1">
      <c r="BC862" s="3"/>
      <c r="BD862" s="3"/>
      <c r="BE862" s="3"/>
      <c r="BF862" s="3"/>
    </row>
    <row r="863" ht="15.75" customHeight="1">
      <c r="BC863" s="3"/>
      <c r="BD863" s="3"/>
      <c r="BE863" s="3"/>
      <c r="BF863" s="3"/>
    </row>
    <row r="864" ht="15.75" customHeight="1">
      <c r="BC864" s="3"/>
      <c r="BD864" s="3"/>
      <c r="BE864" s="3"/>
      <c r="BF864" s="3"/>
    </row>
    <row r="865" ht="15.75" customHeight="1">
      <c r="BC865" s="3"/>
      <c r="BD865" s="3"/>
      <c r="BE865" s="3"/>
      <c r="BF865" s="3"/>
    </row>
    <row r="866" ht="15.75" customHeight="1">
      <c r="BC866" s="3"/>
      <c r="BD866" s="3"/>
      <c r="BE866" s="3"/>
      <c r="BF866" s="3"/>
    </row>
    <row r="867" ht="15.75" customHeight="1">
      <c r="BC867" s="3"/>
      <c r="BD867" s="3"/>
      <c r="BE867" s="3"/>
      <c r="BF867" s="3"/>
    </row>
    <row r="868" ht="15.75" customHeight="1">
      <c r="BC868" s="3"/>
      <c r="BD868" s="3"/>
      <c r="BE868" s="3"/>
      <c r="BF868" s="3"/>
    </row>
    <row r="869" ht="15.75" customHeight="1">
      <c r="BC869" s="3"/>
      <c r="BD869" s="3"/>
      <c r="BE869" s="3"/>
      <c r="BF869" s="3"/>
    </row>
    <row r="870" ht="15.75" customHeight="1">
      <c r="BC870" s="3"/>
      <c r="BD870" s="3"/>
      <c r="BE870" s="3"/>
      <c r="BF870" s="3"/>
    </row>
    <row r="871" ht="15.75" customHeight="1">
      <c r="BC871" s="3"/>
      <c r="BD871" s="3"/>
      <c r="BE871" s="3"/>
      <c r="BF871" s="3"/>
    </row>
    <row r="872" ht="15.75" customHeight="1">
      <c r="BC872" s="3"/>
      <c r="BD872" s="3"/>
      <c r="BE872" s="3"/>
      <c r="BF872" s="3"/>
    </row>
    <row r="873" ht="15.75" customHeight="1">
      <c r="BC873" s="3"/>
      <c r="BD873" s="3"/>
      <c r="BE873" s="3"/>
      <c r="BF873" s="3"/>
    </row>
    <row r="874" ht="15.75" customHeight="1">
      <c r="BC874" s="3"/>
      <c r="BD874" s="3"/>
      <c r="BE874" s="3"/>
      <c r="BF874" s="3"/>
    </row>
    <row r="875" ht="15.75" customHeight="1">
      <c r="BC875" s="3"/>
      <c r="BD875" s="3"/>
      <c r="BE875" s="3"/>
      <c r="BF875" s="3"/>
    </row>
    <row r="876" ht="15.75" customHeight="1">
      <c r="BC876" s="3"/>
      <c r="BD876" s="3"/>
      <c r="BE876" s="3"/>
      <c r="BF876" s="3"/>
    </row>
    <row r="877" ht="15.75" customHeight="1">
      <c r="BC877" s="3"/>
      <c r="BD877" s="3"/>
      <c r="BE877" s="3"/>
      <c r="BF877" s="3"/>
    </row>
    <row r="878" ht="15.75" customHeight="1">
      <c r="BC878" s="3"/>
      <c r="BD878" s="3"/>
      <c r="BE878" s="3"/>
      <c r="BF878" s="3"/>
    </row>
    <row r="879" ht="15.75" customHeight="1">
      <c r="BC879" s="3"/>
      <c r="BD879" s="3"/>
      <c r="BE879" s="3"/>
      <c r="BF879" s="3"/>
    </row>
    <row r="880" ht="15.75" customHeight="1">
      <c r="BC880" s="3"/>
      <c r="BD880" s="3"/>
      <c r="BE880" s="3"/>
      <c r="BF880" s="3"/>
    </row>
    <row r="881" ht="15.75" customHeight="1">
      <c r="BC881" s="3"/>
      <c r="BD881" s="3"/>
      <c r="BE881" s="3"/>
      <c r="BF881" s="3"/>
    </row>
    <row r="882" ht="15.75" customHeight="1">
      <c r="BC882" s="3"/>
      <c r="BD882" s="3"/>
      <c r="BE882" s="3"/>
      <c r="BF882" s="3"/>
    </row>
    <row r="883" ht="15.75" customHeight="1">
      <c r="BC883" s="3"/>
      <c r="BD883" s="3"/>
      <c r="BE883" s="3"/>
      <c r="BF883" s="3"/>
    </row>
    <row r="884" ht="15.75" customHeight="1">
      <c r="BC884" s="3"/>
      <c r="BD884" s="3"/>
      <c r="BE884" s="3"/>
      <c r="BF884" s="3"/>
    </row>
    <row r="885" ht="15.75" customHeight="1">
      <c r="BC885" s="3"/>
      <c r="BD885" s="3"/>
      <c r="BE885" s="3"/>
      <c r="BF885" s="3"/>
    </row>
    <row r="886" ht="15.75" customHeight="1">
      <c r="BC886" s="3"/>
      <c r="BD886" s="3"/>
      <c r="BE886" s="3"/>
      <c r="BF886" s="3"/>
    </row>
    <row r="887" ht="15.75" customHeight="1">
      <c r="BC887" s="3"/>
      <c r="BD887" s="3"/>
      <c r="BE887" s="3"/>
      <c r="BF887" s="3"/>
    </row>
    <row r="888" ht="15.75" customHeight="1">
      <c r="BC888" s="3"/>
      <c r="BD888" s="3"/>
      <c r="BE888" s="3"/>
      <c r="BF888" s="3"/>
    </row>
    <row r="889" ht="15.75" customHeight="1">
      <c r="BC889" s="3"/>
      <c r="BD889" s="3"/>
      <c r="BE889" s="3"/>
      <c r="BF889" s="3"/>
    </row>
    <row r="890" ht="15.75" customHeight="1">
      <c r="BC890" s="3"/>
      <c r="BD890" s="3"/>
      <c r="BE890" s="3"/>
      <c r="BF890" s="3"/>
    </row>
    <row r="891" ht="15.75" customHeight="1">
      <c r="BC891" s="3"/>
      <c r="BD891" s="3"/>
      <c r="BE891" s="3"/>
      <c r="BF891" s="3"/>
    </row>
    <row r="892" ht="15.75" customHeight="1">
      <c r="BC892" s="3"/>
      <c r="BD892" s="3"/>
      <c r="BE892" s="3"/>
      <c r="BF892" s="3"/>
    </row>
    <row r="893" ht="15.75" customHeight="1">
      <c r="BC893" s="3"/>
      <c r="BD893" s="3"/>
      <c r="BE893" s="3"/>
      <c r="BF893" s="3"/>
    </row>
    <row r="894" ht="15.75" customHeight="1">
      <c r="BC894" s="3"/>
      <c r="BD894" s="3"/>
      <c r="BE894" s="3"/>
      <c r="BF894" s="3"/>
    </row>
    <row r="895" ht="15.75" customHeight="1">
      <c r="BC895" s="3"/>
      <c r="BD895" s="3"/>
      <c r="BE895" s="3"/>
      <c r="BF895" s="3"/>
    </row>
    <row r="896" ht="15.75" customHeight="1">
      <c r="BC896" s="3"/>
      <c r="BD896" s="3"/>
      <c r="BE896" s="3"/>
      <c r="BF896" s="3"/>
    </row>
    <row r="897" ht="15.75" customHeight="1">
      <c r="BC897" s="3"/>
      <c r="BD897" s="3"/>
      <c r="BE897" s="3"/>
      <c r="BF897" s="3"/>
    </row>
    <row r="898" ht="15.75" customHeight="1">
      <c r="BC898" s="3"/>
      <c r="BD898" s="3"/>
      <c r="BE898" s="3"/>
      <c r="BF898" s="3"/>
    </row>
    <row r="899" ht="15.75" customHeight="1">
      <c r="BC899" s="3"/>
      <c r="BD899" s="3"/>
      <c r="BE899" s="3"/>
      <c r="BF899" s="3"/>
    </row>
    <row r="900" ht="15.75" customHeight="1">
      <c r="BC900" s="3"/>
      <c r="BD900" s="3"/>
      <c r="BE900" s="3"/>
      <c r="BF900" s="3"/>
    </row>
    <row r="901" ht="15.75" customHeight="1">
      <c r="BC901" s="3"/>
      <c r="BD901" s="3"/>
      <c r="BE901" s="3"/>
      <c r="BF901" s="3"/>
    </row>
    <row r="902" ht="15.75" customHeight="1">
      <c r="BC902" s="3"/>
      <c r="BD902" s="3"/>
      <c r="BE902" s="3"/>
      <c r="BF902" s="3"/>
    </row>
    <row r="903" ht="15.75" customHeight="1">
      <c r="BC903" s="3"/>
      <c r="BD903" s="3"/>
      <c r="BE903" s="3"/>
      <c r="BF903" s="3"/>
    </row>
    <row r="904" ht="15.75" customHeight="1">
      <c r="BC904" s="3"/>
      <c r="BD904" s="3"/>
      <c r="BE904" s="3"/>
      <c r="BF904" s="3"/>
    </row>
    <row r="905" ht="15.75" customHeight="1">
      <c r="BC905" s="3"/>
      <c r="BD905" s="3"/>
      <c r="BE905" s="3"/>
      <c r="BF905" s="3"/>
    </row>
    <row r="906" ht="15.75" customHeight="1">
      <c r="BC906" s="3"/>
      <c r="BD906" s="3"/>
      <c r="BE906" s="3"/>
      <c r="BF906" s="3"/>
    </row>
    <row r="907" ht="15.75" customHeight="1">
      <c r="BC907" s="3"/>
      <c r="BD907" s="3"/>
      <c r="BE907" s="3"/>
      <c r="BF907" s="3"/>
    </row>
    <row r="908" ht="15.75" customHeight="1">
      <c r="BC908" s="3"/>
      <c r="BD908" s="3"/>
      <c r="BE908" s="3"/>
      <c r="BF908" s="3"/>
    </row>
    <row r="909" ht="15.75" customHeight="1">
      <c r="BC909" s="3"/>
      <c r="BD909" s="3"/>
      <c r="BE909" s="3"/>
      <c r="BF909" s="3"/>
    </row>
    <row r="910" ht="15.75" customHeight="1">
      <c r="BC910" s="3"/>
      <c r="BD910" s="3"/>
      <c r="BE910" s="3"/>
      <c r="BF910" s="3"/>
    </row>
    <row r="911" ht="15.75" customHeight="1">
      <c r="BC911" s="3"/>
      <c r="BD911" s="3"/>
      <c r="BE911" s="3"/>
      <c r="BF911" s="3"/>
    </row>
    <row r="912" ht="15.75" customHeight="1">
      <c r="BC912" s="3"/>
      <c r="BD912" s="3"/>
      <c r="BE912" s="3"/>
      <c r="BF912" s="3"/>
    </row>
    <row r="913" ht="15.75" customHeight="1">
      <c r="BC913" s="3"/>
      <c r="BD913" s="3"/>
      <c r="BE913" s="3"/>
      <c r="BF913" s="3"/>
    </row>
    <row r="914" ht="15.75" customHeight="1">
      <c r="BC914" s="3"/>
      <c r="BD914" s="3"/>
      <c r="BE914" s="3"/>
      <c r="BF914" s="3"/>
    </row>
    <row r="915" ht="15.75" customHeight="1">
      <c r="BC915" s="3"/>
      <c r="BD915" s="3"/>
      <c r="BE915" s="3"/>
      <c r="BF915" s="3"/>
    </row>
    <row r="916" ht="15.75" customHeight="1">
      <c r="BC916" s="3"/>
      <c r="BD916" s="3"/>
      <c r="BE916" s="3"/>
      <c r="BF916" s="3"/>
    </row>
    <row r="917" ht="15.75" customHeight="1">
      <c r="BC917" s="3"/>
      <c r="BD917" s="3"/>
      <c r="BE917" s="3"/>
      <c r="BF917" s="3"/>
    </row>
    <row r="918" ht="15.75" customHeight="1">
      <c r="BC918" s="3"/>
      <c r="BD918" s="3"/>
      <c r="BE918" s="3"/>
      <c r="BF918" s="3"/>
    </row>
    <row r="919" ht="15.75" customHeight="1">
      <c r="BC919" s="3"/>
      <c r="BD919" s="3"/>
      <c r="BE919" s="3"/>
      <c r="BF919" s="3"/>
    </row>
    <row r="920" ht="15.75" customHeight="1">
      <c r="BC920" s="3"/>
      <c r="BD920" s="3"/>
      <c r="BE920" s="3"/>
      <c r="BF920" s="3"/>
    </row>
    <row r="921" ht="15.75" customHeight="1">
      <c r="BC921" s="3"/>
      <c r="BD921" s="3"/>
      <c r="BE921" s="3"/>
      <c r="BF921" s="3"/>
    </row>
    <row r="922" ht="15.75" customHeight="1">
      <c r="BC922" s="3"/>
      <c r="BD922" s="3"/>
      <c r="BE922" s="3"/>
      <c r="BF922" s="3"/>
    </row>
    <row r="923" ht="15.75" customHeight="1">
      <c r="BC923" s="3"/>
      <c r="BD923" s="3"/>
      <c r="BE923" s="3"/>
      <c r="BF923" s="3"/>
    </row>
    <row r="924" ht="15.75" customHeight="1">
      <c r="BC924" s="3"/>
      <c r="BD924" s="3"/>
      <c r="BE924" s="3"/>
      <c r="BF924" s="3"/>
    </row>
    <row r="925" ht="15.75" customHeight="1">
      <c r="BC925" s="3"/>
      <c r="BD925" s="3"/>
      <c r="BE925" s="3"/>
      <c r="BF925" s="3"/>
    </row>
    <row r="926" ht="15.75" customHeight="1">
      <c r="BC926" s="3"/>
      <c r="BD926" s="3"/>
      <c r="BE926" s="3"/>
      <c r="BF926" s="3"/>
    </row>
    <row r="927" ht="15.75" customHeight="1">
      <c r="BC927" s="3"/>
      <c r="BD927" s="3"/>
      <c r="BE927" s="3"/>
      <c r="BF927" s="3"/>
    </row>
    <row r="928" ht="15.75" customHeight="1">
      <c r="BC928" s="3"/>
      <c r="BD928" s="3"/>
      <c r="BE928" s="3"/>
      <c r="BF928" s="3"/>
    </row>
    <row r="929" ht="15.75" customHeight="1">
      <c r="BC929" s="3"/>
      <c r="BD929" s="3"/>
      <c r="BE929" s="3"/>
      <c r="BF929" s="3"/>
    </row>
    <row r="930" ht="15.75" customHeight="1">
      <c r="BC930" s="3"/>
      <c r="BD930" s="3"/>
      <c r="BE930" s="3"/>
      <c r="BF930" s="3"/>
    </row>
    <row r="931" ht="15.75" customHeight="1">
      <c r="BC931" s="3"/>
      <c r="BD931" s="3"/>
      <c r="BE931" s="3"/>
      <c r="BF931" s="3"/>
    </row>
    <row r="932" ht="15.75" customHeight="1">
      <c r="BC932" s="3"/>
      <c r="BD932" s="3"/>
      <c r="BE932" s="3"/>
      <c r="BF932" s="3"/>
    </row>
    <row r="933" ht="15.75" customHeight="1">
      <c r="BC933" s="3"/>
      <c r="BD933" s="3"/>
      <c r="BE933" s="3"/>
      <c r="BF933" s="3"/>
    </row>
    <row r="934" ht="15.75" customHeight="1">
      <c r="BC934" s="3"/>
      <c r="BD934" s="3"/>
      <c r="BE934" s="3"/>
      <c r="BF934" s="3"/>
    </row>
    <row r="935" ht="15.75" customHeight="1">
      <c r="BC935" s="3"/>
      <c r="BD935" s="3"/>
      <c r="BE935" s="3"/>
      <c r="BF935" s="3"/>
    </row>
    <row r="936" ht="15.75" customHeight="1">
      <c r="BC936" s="3"/>
      <c r="BD936" s="3"/>
      <c r="BE936" s="3"/>
      <c r="BF936" s="3"/>
    </row>
    <row r="937" ht="15.75" customHeight="1">
      <c r="BC937" s="3"/>
      <c r="BD937" s="3"/>
      <c r="BE937" s="3"/>
      <c r="BF937" s="3"/>
    </row>
    <row r="938" ht="15.75" customHeight="1">
      <c r="BC938" s="3"/>
      <c r="BD938" s="3"/>
      <c r="BE938" s="3"/>
      <c r="BF938" s="3"/>
    </row>
    <row r="939" ht="15.75" customHeight="1">
      <c r="BC939" s="3"/>
      <c r="BD939" s="3"/>
      <c r="BE939" s="3"/>
      <c r="BF939" s="3"/>
    </row>
    <row r="940" ht="15.75" customHeight="1">
      <c r="BC940" s="3"/>
      <c r="BD940" s="3"/>
      <c r="BE940" s="3"/>
      <c r="BF940" s="3"/>
    </row>
    <row r="941" ht="15.75" customHeight="1">
      <c r="BC941" s="3"/>
      <c r="BD941" s="3"/>
      <c r="BE941" s="3"/>
      <c r="BF941" s="3"/>
    </row>
    <row r="942" ht="15.75" customHeight="1">
      <c r="BC942" s="3"/>
      <c r="BD942" s="3"/>
      <c r="BE942" s="3"/>
      <c r="BF942" s="3"/>
    </row>
    <row r="943" ht="15.75" customHeight="1">
      <c r="BC943" s="3"/>
      <c r="BD943" s="3"/>
      <c r="BE943" s="3"/>
      <c r="BF943" s="3"/>
    </row>
    <row r="944" ht="15.75" customHeight="1">
      <c r="BC944" s="3"/>
      <c r="BD944" s="3"/>
      <c r="BE944" s="3"/>
      <c r="BF944" s="3"/>
    </row>
    <row r="945" ht="15.75" customHeight="1">
      <c r="BC945" s="3"/>
      <c r="BD945" s="3"/>
      <c r="BE945" s="3"/>
      <c r="BF945" s="3"/>
    </row>
    <row r="946" ht="15.75" customHeight="1">
      <c r="BC946" s="3"/>
      <c r="BD946" s="3"/>
      <c r="BE946" s="3"/>
      <c r="BF946" s="3"/>
    </row>
    <row r="947" ht="15.75" customHeight="1">
      <c r="BC947" s="3"/>
      <c r="BD947" s="3"/>
      <c r="BE947" s="3"/>
      <c r="BF947" s="3"/>
    </row>
    <row r="948" ht="15.75" customHeight="1">
      <c r="BC948" s="3"/>
      <c r="BD948" s="3"/>
      <c r="BE948" s="3"/>
      <c r="BF948" s="3"/>
    </row>
    <row r="949" ht="15.75" customHeight="1">
      <c r="BC949" s="3"/>
      <c r="BD949" s="3"/>
      <c r="BE949" s="3"/>
      <c r="BF949" s="3"/>
    </row>
    <row r="950" ht="15.75" customHeight="1">
      <c r="BC950" s="3"/>
      <c r="BD950" s="3"/>
      <c r="BE950" s="3"/>
      <c r="BF950" s="3"/>
    </row>
    <row r="951" ht="15.75" customHeight="1">
      <c r="BC951" s="3"/>
      <c r="BD951" s="3"/>
      <c r="BE951" s="3"/>
      <c r="BF951" s="3"/>
    </row>
    <row r="952" ht="15.75" customHeight="1">
      <c r="BC952" s="3"/>
      <c r="BD952" s="3"/>
      <c r="BE952" s="3"/>
      <c r="BF952" s="3"/>
    </row>
    <row r="953" ht="15.75" customHeight="1">
      <c r="BC953" s="3"/>
      <c r="BD953" s="3"/>
      <c r="BE953" s="3"/>
      <c r="BF953" s="3"/>
    </row>
    <row r="954" ht="15.75" customHeight="1">
      <c r="BC954" s="3"/>
      <c r="BD954" s="3"/>
      <c r="BE954" s="3"/>
      <c r="BF954" s="3"/>
    </row>
    <row r="955" ht="15.75" customHeight="1">
      <c r="BC955" s="3"/>
      <c r="BD955" s="3"/>
      <c r="BE955" s="3"/>
      <c r="BF955" s="3"/>
    </row>
    <row r="956" ht="15.75" customHeight="1">
      <c r="BC956" s="3"/>
      <c r="BD956" s="3"/>
      <c r="BE956" s="3"/>
      <c r="BF956" s="3"/>
    </row>
    <row r="957" ht="15.75" customHeight="1">
      <c r="BC957" s="3"/>
      <c r="BD957" s="3"/>
      <c r="BE957" s="3"/>
      <c r="BF957" s="3"/>
    </row>
    <row r="958" ht="15.75" customHeight="1">
      <c r="BC958" s="3"/>
      <c r="BD958" s="3"/>
      <c r="BE958" s="3"/>
      <c r="BF958" s="3"/>
    </row>
    <row r="959" ht="15.75" customHeight="1">
      <c r="BC959" s="3"/>
      <c r="BD959" s="3"/>
      <c r="BE959" s="3"/>
      <c r="BF959" s="3"/>
    </row>
    <row r="960" ht="15.75" customHeight="1">
      <c r="BC960" s="3"/>
      <c r="BD960" s="3"/>
      <c r="BE960" s="3"/>
      <c r="BF960" s="3"/>
    </row>
    <row r="961" ht="15.75" customHeight="1">
      <c r="BC961" s="3"/>
      <c r="BD961" s="3"/>
      <c r="BE961" s="3"/>
      <c r="BF961" s="3"/>
    </row>
    <row r="962" ht="15.75" customHeight="1">
      <c r="BC962" s="3"/>
      <c r="BD962" s="3"/>
      <c r="BE962" s="3"/>
      <c r="BF962" s="3"/>
    </row>
    <row r="963" ht="15.75" customHeight="1">
      <c r="BC963" s="3"/>
      <c r="BD963" s="3"/>
      <c r="BE963" s="3"/>
      <c r="BF963" s="3"/>
    </row>
    <row r="964" ht="15.75" customHeight="1">
      <c r="BC964" s="3"/>
      <c r="BD964" s="3"/>
      <c r="BE964" s="3"/>
      <c r="BF964" s="3"/>
    </row>
    <row r="965" ht="15.75" customHeight="1">
      <c r="BC965" s="3"/>
      <c r="BD965" s="3"/>
      <c r="BE965" s="3"/>
      <c r="BF965" s="3"/>
    </row>
    <row r="966" ht="15.75" customHeight="1">
      <c r="BC966" s="3"/>
      <c r="BD966" s="3"/>
      <c r="BE966" s="3"/>
      <c r="BF966" s="3"/>
    </row>
    <row r="967" ht="15.75" customHeight="1">
      <c r="BC967" s="3"/>
      <c r="BD967" s="3"/>
      <c r="BE967" s="3"/>
      <c r="BF967" s="3"/>
    </row>
    <row r="968" ht="15.75" customHeight="1">
      <c r="BC968" s="3"/>
      <c r="BD968" s="3"/>
      <c r="BE968" s="3"/>
      <c r="BF968" s="3"/>
    </row>
    <row r="969" ht="15.75" customHeight="1">
      <c r="BC969" s="3"/>
      <c r="BD969" s="3"/>
      <c r="BE969" s="3"/>
      <c r="BF969" s="3"/>
    </row>
    <row r="970" ht="15.75" customHeight="1">
      <c r="BC970" s="3"/>
      <c r="BD970" s="3"/>
      <c r="BE970" s="3"/>
      <c r="BF970" s="3"/>
    </row>
    <row r="971" ht="15.75" customHeight="1">
      <c r="BC971" s="3"/>
      <c r="BD971" s="3"/>
      <c r="BE971" s="3"/>
      <c r="BF971" s="3"/>
    </row>
    <row r="972" ht="15.75" customHeight="1">
      <c r="BC972" s="3"/>
      <c r="BD972" s="3"/>
      <c r="BE972" s="3"/>
      <c r="BF972" s="3"/>
    </row>
    <row r="973" ht="15.75" customHeight="1">
      <c r="BC973" s="3"/>
      <c r="BD973" s="3"/>
      <c r="BE973" s="3"/>
      <c r="BF973" s="3"/>
    </row>
    <row r="974" ht="15.75" customHeight="1">
      <c r="BC974" s="3"/>
      <c r="BD974" s="3"/>
      <c r="BE974" s="3"/>
      <c r="BF974" s="3"/>
    </row>
    <row r="975" ht="15.75" customHeight="1">
      <c r="BC975" s="3"/>
      <c r="BD975" s="3"/>
      <c r="BE975" s="3"/>
      <c r="BF975" s="3"/>
    </row>
    <row r="976" ht="15.75" customHeight="1">
      <c r="BC976" s="3"/>
      <c r="BD976" s="3"/>
      <c r="BE976" s="3"/>
      <c r="BF976" s="3"/>
    </row>
    <row r="977" ht="15.75" customHeight="1">
      <c r="BC977" s="3"/>
      <c r="BD977" s="3"/>
      <c r="BE977" s="3"/>
      <c r="BF977" s="3"/>
    </row>
    <row r="978" ht="15.75" customHeight="1">
      <c r="BC978" s="3"/>
      <c r="BD978" s="3"/>
      <c r="BE978" s="3"/>
      <c r="BF978" s="3"/>
    </row>
    <row r="979" ht="15.75" customHeight="1">
      <c r="BC979" s="3"/>
      <c r="BD979" s="3"/>
      <c r="BE979" s="3"/>
      <c r="BF979" s="3"/>
    </row>
    <row r="980" ht="15.75" customHeight="1">
      <c r="BC980" s="3"/>
      <c r="BD980" s="3"/>
      <c r="BE980" s="3"/>
      <c r="BF980" s="3"/>
    </row>
    <row r="981" ht="15.75" customHeight="1">
      <c r="BC981" s="3"/>
      <c r="BD981" s="3"/>
      <c r="BE981" s="3"/>
      <c r="BF981" s="3"/>
    </row>
    <row r="982" ht="15.75" customHeight="1">
      <c r="BC982" s="3"/>
      <c r="BD982" s="3"/>
      <c r="BE982" s="3"/>
      <c r="BF982" s="3"/>
    </row>
    <row r="983" ht="15.75" customHeight="1">
      <c r="BC983" s="3"/>
      <c r="BD983" s="3"/>
      <c r="BE983" s="3"/>
      <c r="BF983" s="3"/>
    </row>
    <row r="984" ht="15.75" customHeight="1">
      <c r="BC984" s="3"/>
      <c r="BD984" s="3"/>
      <c r="BE984" s="3"/>
      <c r="BF984" s="3"/>
    </row>
    <row r="985" ht="15.75" customHeight="1">
      <c r="BC985" s="3"/>
      <c r="BD985" s="3"/>
      <c r="BE985" s="3"/>
      <c r="BF985" s="3"/>
    </row>
    <row r="986" ht="15.75" customHeight="1">
      <c r="BC986" s="3"/>
      <c r="BD986" s="3"/>
      <c r="BE986" s="3"/>
      <c r="BF986" s="3"/>
    </row>
    <row r="987" ht="15.75" customHeight="1">
      <c r="BC987" s="3"/>
      <c r="BD987" s="3"/>
      <c r="BE987" s="3"/>
      <c r="BF987" s="3"/>
    </row>
    <row r="988" ht="15.75" customHeight="1">
      <c r="BC988" s="3"/>
      <c r="BD988" s="3"/>
      <c r="BE988" s="3"/>
      <c r="BF988" s="3"/>
    </row>
    <row r="989" ht="15.75" customHeight="1">
      <c r="BC989" s="3"/>
      <c r="BD989" s="3"/>
      <c r="BE989" s="3"/>
      <c r="BF989" s="3"/>
    </row>
    <row r="990" ht="15.75" customHeight="1">
      <c r="BC990" s="3"/>
      <c r="BD990" s="3"/>
      <c r="BE990" s="3"/>
      <c r="BF990" s="3"/>
    </row>
    <row r="991" ht="15.75" customHeight="1">
      <c r="BC991" s="3"/>
      <c r="BD991" s="3"/>
      <c r="BE991" s="3"/>
      <c r="BF991" s="3"/>
    </row>
    <row r="992" ht="15.75" customHeight="1">
      <c r="BC992" s="3"/>
      <c r="BD992" s="3"/>
      <c r="BE992" s="3"/>
      <c r="BF992" s="3"/>
    </row>
    <row r="993" ht="15.75" customHeight="1">
      <c r="BC993" s="3"/>
      <c r="BD993" s="3"/>
      <c r="BE993" s="3"/>
      <c r="BF993" s="3"/>
    </row>
    <row r="994" ht="15.75" customHeight="1">
      <c r="BC994" s="3"/>
      <c r="BD994" s="3"/>
      <c r="BE994" s="3"/>
      <c r="BF994" s="3"/>
    </row>
    <row r="995" ht="15.75" customHeight="1">
      <c r="BC995" s="3"/>
      <c r="BD995" s="3"/>
      <c r="BE995" s="3"/>
      <c r="BF995" s="3"/>
    </row>
    <row r="996" ht="15.75" customHeight="1">
      <c r="BC996" s="3"/>
      <c r="BD996" s="3"/>
      <c r="BE996" s="3"/>
      <c r="BF996" s="3"/>
    </row>
    <row r="997" ht="15.75" customHeight="1">
      <c r="BC997" s="3"/>
      <c r="BD997" s="3"/>
      <c r="BE997" s="3"/>
      <c r="BF997" s="3"/>
    </row>
    <row r="998" ht="15.75" customHeight="1">
      <c r="BC998" s="3"/>
      <c r="BD998" s="3"/>
      <c r="BE998" s="3"/>
      <c r="BF998" s="3"/>
    </row>
    <row r="999" ht="15.75" customHeight="1">
      <c r="BC999" s="3"/>
      <c r="BD999" s="3"/>
      <c r="BE999" s="3"/>
      <c r="BF999" s="3"/>
    </row>
    <row r="1000" ht="15.75" customHeight="1">
      <c r="BC1000" s="3"/>
      <c r="BD1000" s="3"/>
      <c r="BE1000" s="3"/>
      <c r="BF1000" s="3"/>
    </row>
    <row r="1001" ht="15.75" customHeight="1">
      <c r="BC1001" s="3"/>
      <c r="BD1001" s="3"/>
      <c r="BE1001" s="3"/>
      <c r="BF1001" s="3"/>
    </row>
  </sheetData>
  <mergeCells count="14">
    <mergeCell ref="AE3:AH3"/>
    <mergeCell ref="AI3:AL3"/>
    <mergeCell ref="AM3:AP3"/>
    <mergeCell ref="AQ3:AT3"/>
    <mergeCell ref="AU3:AX3"/>
    <mergeCell ref="AY3:BB3"/>
    <mergeCell ref="BC3:BF3"/>
    <mergeCell ref="C3:F3"/>
    <mergeCell ref="G3:J3"/>
    <mergeCell ref="K3:N3"/>
    <mergeCell ref="O3:R3"/>
    <mergeCell ref="S3:V3"/>
    <mergeCell ref="W3:Z3"/>
    <mergeCell ref="AA3:AD3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6" width="12.63"/>
    <col customWidth="1" min="55" max="58" width="12.63"/>
  </cols>
  <sheetData>
    <row r="1" ht="15.75" customHeight="1">
      <c r="A1" s="184" t="s">
        <v>1</v>
      </c>
      <c r="O1" s="275">
        <f>O10/$K$10</f>
        <v>0.275600331</v>
      </c>
      <c r="S1" s="275">
        <f>S10/$K$10</f>
        <v>0.01017156932</v>
      </c>
      <c r="W1" s="275">
        <f>W10/$K$10</f>
        <v>0.2286961117</v>
      </c>
      <c r="AA1" s="275">
        <f>AA10/$K$10</f>
        <v>0.1733673821</v>
      </c>
      <c r="AE1" s="275">
        <f>AE10/$K$10</f>
        <v>0.2968414244</v>
      </c>
      <c r="AM1" s="275">
        <f>AM10/$K$10</f>
        <v>0.006908971506</v>
      </c>
      <c r="BC1" s="3"/>
      <c r="BD1" s="3"/>
      <c r="BE1" s="3"/>
      <c r="BF1" s="3"/>
    </row>
    <row r="2" ht="15.75" customHeight="1">
      <c r="A2" s="128" t="s">
        <v>168</v>
      </c>
      <c r="BC2" s="3"/>
      <c r="BD2" s="3"/>
      <c r="BE2" s="3"/>
      <c r="BF2" s="3"/>
    </row>
    <row r="3" ht="15.75" customHeight="1">
      <c r="B3" s="188"/>
      <c r="C3" s="259" t="s">
        <v>48</v>
      </c>
      <c r="D3" s="260"/>
      <c r="E3" s="260"/>
      <c r="F3" s="261"/>
      <c r="G3" s="259" t="s">
        <v>49</v>
      </c>
      <c r="H3" s="260"/>
      <c r="I3" s="260"/>
      <c r="J3" s="261"/>
      <c r="K3" s="259" t="s">
        <v>5</v>
      </c>
      <c r="L3" s="260"/>
      <c r="M3" s="260"/>
      <c r="N3" s="261"/>
      <c r="O3" s="259" t="s">
        <v>6</v>
      </c>
      <c r="P3" s="260"/>
      <c r="Q3" s="260"/>
      <c r="R3" s="261"/>
      <c r="S3" s="259" t="s">
        <v>7</v>
      </c>
      <c r="T3" s="260"/>
      <c r="U3" s="260"/>
      <c r="V3" s="261"/>
      <c r="W3" s="259" t="s">
        <v>8</v>
      </c>
      <c r="X3" s="260"/>
      <c r="Y3" s="260"/>
      <c r="Z3" s="261"/>
      <c r="AA3" s="259" t="s">
        <v>9</v>
      </c>
      <c r="AB3" s="260"/>
      <c r="AC3" s="260"/>
      <c r="AD3" s="261"/>
      <c r="AE3" s="259" t="s">
        <v>10</v>
      </c>
      <c r="AF3" s="260"/>
      <c r="AG3" s="260"/>
      <c r="AH3" s="261"/>
      <c r="AI3" s="259" t="s">
        <v>11</v>
      </c>
      <c r="AJ3" s="260"/>
      <c r="AK3" s="260"/>
      <c r="AL3" s="261"/>
      <c r="AM3" s="259" t="s">
        <v>12</v>
      </c>
      <c r="AN3" s="260"/>
      <c r="AO3" s="260"/>
      <c r="AP3" s="261"/>
      <c r="AQ3" s="259" t="s">
        <v>13</v>
      </c>
      <c r="AR3" s="260"/>
      <c r="AS3" s="260"/>
      <c r="AT3" s="261"/>
      <c r="AU3" s="259" t="s">
        <v>14</v>
      </c>
      <c r="AV3" s="260"/>
      <c r="AW3" s="260"/>
      <c r="AX3" s="261"/>
      <c r="AY3" s="259" t="s">
        <v>15</v>
      </c>
      <c r="AZ3" s="260"/>
      <c r="BA3" s="260"/>
      <c r="BB3" s="261"/>
      <c r="BC3" s="259" t="s">
        <v>17</v>
      </c>
      <c r="BD3" s="260"/>
      <c r="BE3" s="260"/>
      <c r="BF3" s="261"/>
    </row>
    <row r="4" ht="15.75" customHeight="1">
      <c r="B4" s="188"/>
      <c r="C4" s="188" t="s">
        <v>21</v>
      </c>
      <c r="D4" s="188" t="s">
        <v>19</v>
      </c>
      <c r="E4" s="188" t="s">
        <v>20</v>
      </c>
      <c r="F4" s="188" t="s">
        <v>19</v>
      </c>
      <c r="G4" s="188" t="s">
        <v>21</v>
      </c>
      <c r="H4" s="188" t="s">
        <v>19</v>
      </c>
      <c r="I4" s="188" t="s">
        <v>20</v>
      </c>
      <c r="J4" s="188" t="s">
        <v>19</v>
      </c>
      <c r="K4" s="188" t="s">
        <v>21</v>
      </c>
      <c r="L4" s="188" t="s">
        <v>19</v>
      </c>
      <c r="M4" s="188" t="s">
        <v>20</v>
      </c>
      <c r="N4" s="188" t="s">
        <v>19</v>
      </c>
      <c r="O4" s="188" t="s">
        <v>21</v>
      </c>
      <c r="P4" s="188" t="s">
        <v>19</v>
      </c>
      <c r="Q4" s="188" t="s">
        <v>20</v>
      </c>
      <c r="R4" s="188" t="s">
        <v>19</v>
      </c>
      <c r="S4" s="188" t="s">
        <v>21</v>
      </c>
      <c r="T4" s="188" t="s">
        <v>19</v>
      </c>
      <c r="U4" s="188" t="s">
        <v>20</v>
      </c>
      <c r="V4" s="188" t="s">
        <v>19</v>
      </c>
      <c r="W4" s="188" t="s">
        <v>21</v>
      </c>
      <c r="X4" s="188" t="s">
        <v>19</v>
      </c>
      <c r="Y4" s="188" t="s">
        <v>20</v>
      </c>
      <c r="Z4" s="188" t="s">
        <v>19</v>
      </c>
      <c r="AA4" s="188" t="s">
        <v>21</v>
      </c>
      <c r="AB4" s="188" t="s">
        <v>19</v>
      </c>
      <c r="AC4" s="188" t="s">
        <v>20</v>
      </c>
      <c r="AD4" s="188" t="s">
        <v>19</v>
      </c>
      <c r="AE4" s="188" t="s">
        <v>21</v>
      </c>
      <c r="AF4" s="188" t="s">
        <v>19</v>
      </c>
      <c r="AG4" s="188" t="s">
        <v>20</v>
      </c>
      <c r="AH4" s="188" t="s">
        <v>19</v>
      </c>
      <c r="AI4" s="188" t="s">
        <v>21</v>
      </c>
      <c r="AJ4" s="188" t="s">
        <v>19</v>
      </c>
      <c r="AK4" s="188" t="s">
        <v>20</v>
      </c>
      <c r="AL4" s="188" t="s">
        <v>19</v>
      </c>
      <c r="AM4" s="188" t="s">
        <v>21</v>
      </c>
      <c r="AN4" s="188" t="s">
        <v>19</v>
      </c>
      <c r="AO4" s="188" t="s">
        <v>20</v>
      </c>
      <c r="AP4" s="188" t="s">
        <v>19</v>
      </c>
      <c r="AQ4" s="188" t="s">
        <v>21</v>
      </c>
      <c r="AR4" s="188" t="s">
        <v>19</v>
      </c>
      <c r="AS4" s="188" t="s">
        <v>20</v>
      </c>
      <c r="AT4" s="188" t="s">
        <v>19</v>
      </c>
      <c r="AU4" s="188" t="s">
        <v>21</v>
      </c>
      <c r="AV4" s="188" t="s">
        <v>19</v>
      </c>
      <c r="AW4" s="188" t="s">
        <v>20</v>
      </c>
      <c r="AX4" s="188" t="s">
        <v>19</v>
      </c>
      <c r="AY4" s="188" t="s">
        <v>21</v>
      </c>
      <c r="AZ4" s="188" t="s">
        <v>19</v>
      </c>
      <c r="BA4" s="188" t="s">
        <v>20</v>
      </c>
      <c r="BB4" s="188" t="s">
        <v>19</v>
      </c>
      <c r="BC4" s="188" t="s">
        <v>21</v>
      </c>
      <c r="BD4" s="188" t="s">
        <v>19</v>
      </c>
      <c r="BE4" s="188" t="s">
        <v>20</v>
      </c>
      <c r="BF4" s="188" t="s">
        <v>19</v>
      </c>
    </row>
    <row r="5" ht="15.75" customHeight="1">
      <c r="B5" s="188" t="s">
        <v>22</v>
      </c>
      <c r="C5" s="262">
        <f t="shared" ref="C5:C9" si="1">G5+K5</f>
        <v>5683978</v>
      </c>
      <c r="D5" s="263">
        <f t="shared" ref="D5:D10" si="2">C5/C$10</f>
        <v>0.1019693708</v>
      </c>
      <c r="E5" s="262" t="str">
        <f t="shared" ref="E5:E9" si="3">I5+M5</f>
        <v>#REF!</v>
      </c>
      <c r="F5" s="263" t="str">
        <f t="shared" ref="F5:F10" si="4">(C5-E5)/E5</f>
        <v>#REF!</v>
      </c>
      <c r="G5" s="189">
        <f>HO!J14</f>
        <v>0</v>
      </c>
      <c r="H5" s="186"/>
      <c r="I5" s="189">
        <f>HO!O14</f>
        <v>0</v>
      </c>
      <c r="J5" s="186"/>
      <c r="K5" s="262">
        <f t="shared" ref="K5:K9" si="5">O5+S5+W5+AA5+AE5+AI5+AM5+AQ5+AU5+AY5+BC5</f>
        <v>5683978</v>
      </c>
      <c r="L5" s="263">
        <f t="shared" ref="L5:L10" si="6">K5/K$10</f>
        <v>0.1019693708</v>
      </c>
      <c r="M5" s="262" t="str">
        <f t="shared" ref="M5:M9" si="7">Q5+U5+Y5+AC5+AG5+AK5+AO5</f>
        <v>#REF!</v>
      </c>
      <c r="N5" s="263" t="str">
        <f t="shared" ref="N5:N10" si="8">M5/M$10</f>
        <v>#REF!</v>
      </c>
      <c r="O5" s="189">
        <f>'The Table'!J26</f>
        <v>942483</v>
      </c>
      <c r="P5" s="264">
        <f t="shared" ref="P5:P10" si="9">O5/O$10</f>
        <v>0.06134951614</v>
      </c>
      <c r="Q5" s="189">
        <f>'The Table'!L26</f>
        <v>1594731.84</v>
      </c>
      <c r="R5" s="264">
        <f t="shared" ref="R5:R10" si="10">Q5/Q$10</f>
        <v>0.1196306619</v>
      </c>
      <c r="S5" s="189">
        <f>Iktara!G22</f>
        <v>0</v>
      </c>
      <c r="T5" s="277">
        <f t="shared" ref="T5:T10" si="11">S5/S$10</f>
        <v>0</v>
      </c>
      <c r="U5" s="189" t="str">
        <f t="shared" ref="U5:U8" si="12">#REF!</f>
        <v>#REF!</v>
      </c>
      <c r="V5" s="277" t="str">
        <f t="shared" ref="V5:V10" si="13">U5/U$10</f>
        <v>#REF!</v>
      </c>
      <c r="W5" s="189">
        <f>'Mg St Colaba'!J28</f>
        <v>1423175</v>
      </c>
      <c r="X5" s="277">
        <f t="shared" ref="X5:X10" si="14">W5/W$10</f>
        <v>0.1116392413</v>
      </c>
      <c r="Y5" s="189">
        <f>'Mg St Colaba'!L28</f>
        <v>1392411.9</v>
      </c>
      <c r="Z5" s="277">
        <f t="shared" ref="Z5:Z10" si="15">Y5/Y$10</f>
        <v>0.1127449962</v>
      </c>
      <c r="AA5" s="189">
        <f>'Mg St LP'!J27</f>
        <v>1428670</v>
      </c>
      <c r="AB5" s="277">
        <f t="shared" ref="AB5:AB10" si="16">AA5/AA$10</f>
        <v>0.1478365725</v>
      </c>
      <c r="AC5" s="189">
        <f>'Mg St LP'!L27</f>
        <v>1097344</v>
      </c>
      <c r="AD5" s="277">
        <f t="shared" ref="AD5:AD10" si="17">AC5/AC$10</f>
        <v>0.1317067878</v>
      </c>
      <c r="AE5" s="189">
        <f>'Mg St Bandra'!J28</f>
        <v>1889650</v>
      </c>
      <c r="AF5" s="277">
        <f t="shared" ref="AF5:AF10" si="18">AE5/AE$10</f>
        <v>0.1142021332</v>
      </c>
      <c r="AG5" s="189">
        <f>'Mg St Bandra'!L28</f>
        <v>1762681</v>
      </c>
      <c r="AH5" s="277">
        <f t="shared" ref="AH5:AH10" si="19">AG5/AG$10</f>
        <v>0.1026075459</v>
      </c>
      <c r="AI5" s="189">
        <f>'MSK Events'!E23</f>
        <v>0</v>
      </c>
      <c r="AJ5" s="257" t="str">
        <f t="shared" ref="AJ5:AJ8" si="20">AI5/AI$10</f>
        <v>#DIV/0!</v>
      </c>
      <c r="AK5" s="189" t="str">
        <f t="shared" ref="AK5:AK8" si="21">#REF!</f>
        <v>#REF!</v>
      </c>
      <c r="AL5" s="257" t="str">
        <f t="shared" ref="AL5:AL8" si="22">AK5/AK$10</f>
        <v>#REF!</v>
      </c>
      <c r="AM5" s="189">
        <f>MSBC!J24</f>
        <v>0</v>
      </c>
      <c r="AN5" s="277">
        <f t="shared" ref="AN5:AN8" si="23">AM5/AM$10</f>
        <v>0</v>
      </c>
      <c r="AO5" s="189">
        <f>MSBC!L24</f>
        <v>0</v>
      </c>
      <c r="AP5" s="277">
        <f t="shared" ref="AP5:AP8" si="24">AO5/AO$10</f>
        <v>0</v>
      </c>
      <c r="AQ5" s="278">
        <f>Kaspers!H26</f>
        <v>0</v>
      </c>
      <c r="AR5" s="186"/>
      <c r="AS5" s="189" t="str">
        <f>Kaspers!J26</f>
        <v/>
      </c>
      <c r="AT5" s="186"/>
      <c r="AU5" s="189">
        <f>'MSBC Andheri'!E24</f>
        <v>0</v>
      </c>
      <c r="AV5" s="186"/>
      <c r="AW5" s="189">
        <f>Kaspers!L26</f>
        <v>0</v>
      </c>
      <c r="AX5" s="186"/>
      <c r="AY5" s="189">
        <f>'MSBC Dahisar'!E22</f>
        <v>0</v>
      </c>
      <c r="AZ5" s="186"/>
      <c r="BA5" s="189" t="str">
        <f t="shared" ref="BA5:BA7" si="25">#REF!</f>
        <v>#REF!</v>
      </c>
      <c r="BB5" s="186"/>
      <c r="BC5" s="83"/>
      <c r="BD5" s="28"/>
      <c r="BE5" s="83"/>
      <c r="BF5" s="28"/>
    </row>
    <row r="6" ht="15.75" customHeight="1">
      <c r="B6" s="188" t="s">
        <v>23</v>
      </c>
      <c r="C6" s="262">
        <f t="shared" si="1"/>
        <v>6331337</v>
      </c>
      <c r="D6" s="263">
        <f t="shared" si="2"/>
        <v>0.1135828552</v>
      </c>
      <c r="E6" s="262" t="str">
        <f t="shared" si="3"/>
        <v>#REF!</v>
      </c>
      <c r="F6" s="263" t="str">
        <f t="shared" si="4"/>
        <v>#REF!</v>
      </c>
      <c r="G6" s="189">
        <f>HO!J15</f>
        <v>0</v>
      </c>
      <c r="H6" s="186"/>
      <c r="I6" s="189">
        <f>HO!O15</f>
        <v>0</v>
      </c>
      <c r="J6" s="186"/>
      <c r="K6" s="262">
        <f t="shared" si="5"/>
        <v>6331337</v>
      </c>
      <c r="L6" s="263">
        <f t="shared" si="6"/>
        <v>0.1135828552</v>
      </c>
      <c r="M6" s="262" t="str">
        <f t="shared" si="7"/>
        <v>#REF!</v>
      </c>
      <c r="N6" s="263" t="str">
        <f t="shared" si="8"/>
        <v>#REF!</v>
      </c>
      <c r="O6" s="189">
        <f>'The Table'!J27</f>
        <v>3673718</v>
      </c>
      <c r="P6" s="264">
        <f t="shared" si="9"/>
        <v>0.2391351587</v>
      </c>
      <c r="Q6" s="189">
        <f>'The Table'!L27</f>
        <v>2576105</v>
      </c>
      <c r="R6" s="264">
        <f t="shared" si="10"/>
        <v>0.1932495098</v>
      </c>
      <c r="S6" s="189">
        <f>Iktara!G23</f>
        <v>0</v>
      </c>
      <c r="T6" s="277">
        <f t="shared" si="11"/>
        <v>0</v>
      </c>
      <c r="U6" s="189" t="str">
        <f t="shared" si="12"/>
        <v>#REF!</v>
      </c>
      <c r="V6" s="277" t="str">
        <f t="shared" si="13"/>
        <v>#REF!</v>
      </c>
      <c r="W6" s="189">
        <f>'Mg St Colaba'!J29</f>
        <v>785012</v>
      </c>
      <c r="X6" s="277">
        <f t="shared" si="14"/>
        <v>0.06157931675</v>
      </c>
      <c r="Y6" s="189">
        <f>'Mg St Colaba'!L29</f>
        <v>920532.18</v>
      </c>
      <c r="Z6" s="277">
        <f t="shared" si="15"/>
        <v>0.07453641925</v>
      </c>
      <c r="AA6" s="189">
        <f>'Mg St LP'!J28</f>
        <v>0</v>
      </c>
      <c r="AB6" s="277">
        <f t="shared" si="16"/>
        <v>0</v>
      </c>
      <c r="AC6" s="189">
        <f>'Mg St LP'!L28</f>
        <v>0</v>
      </c>
      <c r="AD6" s="277">
        <f t="shared" si="17"/>
        <v>0</v>
      </c>
      <c r="AE6" s="189">
        <f>'Mg St Bandra'!J29</f>
        <v>1872607</v>
      </c>
      <c r="AF6" s="277">
        <f t="shared" si="18"/>
        <v>0.1131721292</v>
      </c>
      <c r="AG6" s="189">
        <f>'Mg St Bandra'!L29</f>
        <v>2209124</v>
      </c>
      <c r="AH6" s="277">
        <f t="shared" si="19"/>
        <v>0.1285954704</v>
      </c>
      <c r="AI6" s="189">
        <f>'MSK Events'!E24</f>
        <v>0</v>
      </c>
      <c r="AJ6" s="257" t="str">
        <f t="shared" si="20"/>
        <v>#DIV/0!</v>
      </c>
      <c r="AK6" s="189" t="str">
        <f t="shared" si="21"/>
        <v>#REF!</v>
      </c>
      <c r="AL6" s="257" t="str">
        <f t="shared" si="22"/>
        <v>#REF!</v>
      </c>
      <c r="AM6" s="189">
        <f>MSBC!J25</f>
        <v>0</v>
      </c>
      <c r="AN6" s="277">
        <f t="shared" si="23"/>
        <v>0</v>
      </c>
      <c r="AO6" s="189">
        <f>MSBC!L25</f>
        <v>0</v>
      </c>
      <c r="AP6" s="277">
        <f t="shared" si="24"/>
        <v>0</v>
      </c>
      <c r="AQ6" s="278">
        <f>Kaspers!H27</f>
        <v>0</v>
      </c>
      <c r="AR6" s="186"/>
      <c r="AS6" s="189" t="str">
        <f>Kaspers!J27</f>
        <v/>
      </c>
      <c r="AT6" s="186"/>
      <c r="AU6" s="189">
        <f>'MSBC Andheri'!E25</f>
        <v>0</v>
      </c>
      <c r="AV6" s="186"/>
      <c r="AW6" s="189">
        <f>Kaspers!L27</f>
        <v>0</v>
      </c>
      <c r="AX6" s="186"/>
      <c r="AY6" s="189">
        <f>'MSBC Dahisar'!E23</f>
        <v>0</v>
      </c>
      <c r="AZ6" s="186"/>
      <c r="BA6" s="189" t="str">
        <f t="shared" si="25"/>
        <v>#REF!</v>
      </c>
      <c r="BB6" s="186"/>
      <c r="BC6" s="114"/>
      <c r="BD6" s="43"/>
      <c r="BE6" s="114"/>
      <c r="BF6" s="43"/>
    </row>
    <row r="7" ht="15.75" customHeight="1">
      <c r="B7" s="188" t="s">
        <v>24</v>
      </c>
      <c r="C7" s="262">
        <f t="shared" si="1"/>
        <v>39895366.07</v>
      </c>
      <c r="D7" s="263">
        <f t="shared" si="2"/>
        <v>0.7157144831</v>
      </c>
      <c r="E7" s="262" t="str">
        <f t="shared" si="3"/>
        <v>#REF!</v>
      </c>
      <c r="F7" s="263" t="str">
        <f t="shared" si="4"/>
        <v>#REF!</v>
      </c>
      <c r="G7" s="189">
        <f>HO!J16</f>
        <v>0</v>
      </c>
      <c r="H7" s="186"/>
      <c r="I7" s="189">
        <f>HO!O16</f>
        <v>0</v>
      </c>
      <c r="J7" s="186"/>
      <c r="K7" s="262">
        <f t="shared" si="5"/>
        <v>39895366.07</v>
      </c>
      <c r="L7" s="263">
        <f t="shared" si="6"/>
        <v>0.7157144831</v>
      </c>
      <c r="M7" s="262" t="str">
        <f t="shared" si="7"/>
        <v>#REF!</v>
      </c>
      <c r="N7" s="263" t="str">
        <f t="shared" si="8"/>
        <v>#REF!</v>
      </c>
      <c r="O7" s="189">
        <f>'The Table'!J28</f>
        <v>9397156.25</v>
      </c>
      <c r="P7" s="264">
        <f t="shared" si="9"/>
        <v>0.6116937802</v>
      </c>
      <c r="Q7" s="189">
        <f>'The Table'!L28</f>
        <v>8162302.88</v>
      </c>
      <c r="R7" s="264">
        <f t="shared" si="10"/>
        <v>0.6123046346</v>
      </c>
      <c r="S7" s="189">
        <f>Iktara!G24</f>
        <v>566983.75</v>
      </c>
      <c r="T7" s="277">
        <f t="shared" si="11"/>
        <v>1</v>
      </c>
      <c r="U7" s="189" t="str">
        <f t="shared" si="12"/>
        <v>#REF!</v>
      </c>
      <c r="V7" s="277" t="str">
        <f t="shared" si="13"/>
        <v>#REF!</v>
      </c>
      <c r="W7" s="189">
        <f>'Mg St Colaba'!J30</f>
        <v>9668438.65</v>
      </c>
      <c r="X7" s="277">
        <f t="shared" si="14"/>
        <v>0.7584289745</v>
      </c>
      <c r="Y7" s="189">
        <f>'Mg St Colaba'!L30</f>
        <v>9211971.29</v>
      </c>
      <c r="Z7" s="277">
        <f t="shared" si="15"/>
        <v>0.7459026084</v>
      </c>
      <c r="AA7" s="189">
        <f>'Mg St LP'!J29</f>
        <v>7798548.88</v>
      </c>
      <c r="AB7" s="277">
        <f t="shared" si="16"/>
        <v>0.8069818341</v>
      </c>
      <c r="AC7" s="189">
        <f>'Mg St LP'!L29</f>
        <v>6766478</v>
      </c>
      <c r="AD7" s="277">
        <f t="shared" si="17"/>
        <v>0.8121346469</v>
      </c>
      <c r="AE7" s="189">
        <f>'Mg St Bandra'!J30</f>
        <v>11610093.56</v>
      </c>
      <c r="AF7" s="277">
        <f t="shared" si="18"/>
        <v>0.7016629803</v>
      </c>
      <c r="AG7" s="189">
        <f>'Mg St Bandra'!L30</f>
        <v>11788620</v>
      </c>
      <c r="AH7" s="277">
        <f t="shared" si="19"/>
        <v>0.6862281764</v>
      </c>
      <c r="AI7" s="189">
        <f>'MSK Events'!E25</f>
        <v>0</v>
      </c>
      <c r="AJ7" s="257" t="str">
        <f t="shared" si="20"/>
        <v>#DIV/0!</v>
      </c>
      <c r="AK7" s="189" t="str">
        <f t="shared" si="21"/>
        <v>#REF!</v>
      </c>
      <c r="AL7" s="257" t="str">
        <f t="shared" si="22"/>
        <v>#REF!</v>
      </c>
      <c r="AM7" s="189">
        <f>MSBC!J26</f>
        <v>385119.98</v>
      </c>
      <c r="AN7" s="277">
        <f t="shared" si="23"/>
        <v>1</v>
      </c>
      <c r="AO7" s="189">
        <f>MSBC!L26</f>
        <v>80000</v>
      </c>
      <c r="AP7" s="277">
        <f t="shared" si="24"/>
        <v>1</v>
      </c>
      <c r="AQ7" s="278">
        <f>Kaspers!H28</f>
        <v>0</v>
      </c>
      <c r="AR7" s="186"/>
      <c r="AS7" s="189" t="str">
        <f>Kaspers!J28</f>
        <v/>
      </c>
      <c r="AT7" s="186"/>
      <c r="AU7" s="189">
        <f>'MSBC Andheri'!E26</f>
        <v>469025</v>
      </c>
      <c r="AV7" s="186"/>
      <c r="AW7" s="189">
        <f>Kaspers!L28</f>
        <v>0</v>
      </c>
      <c r="AX7" s="186"/>
      <c r="AY7" s="189">
        <f>'MSBC Dahisar'!E24</f>
        <v>0</v>
      </c>
      <c r="AZ7" s="186"/>
      <c r="BA7" s="189" t="str">
        <f t="shared" si="25"/>
        <v>#REF!</v>
      </c>
      <c r="BB7" s="186"/>
      <c r="BC7" s="114"/>
      <c r="BD7" s="43"/>
      <c r="BE7" s="114"/>
      <c r="BF7" s="43"/>
    </row>
    <row r="8" ht="15.75" customHeight="1">
      <c r="B8" s="188" t="s">
        <v>25</v>
      </c>
      <c r="C8" s="262">
        <f t="shared" si="1"/>
        <v>3772832</v>
      </c>
      <c r="D8" s="263">
        <f t="shared" si="2"/>
        <v>0.0676838132</v>
      </c>
      <c r="E8" s="262" t="str">
        <f t="shared" si="3"/>
        <v>#REF!</v>
      </c>
      <c r="F8" s="263" t="str">
        <f t="shared" si="4"/>
        <v>#REF!</v>
      </c>
      <c r="G8" s="265" t="str">
        <f>HO!J18</f>
        <v/>
      </c>
      <c r="H8" s="186"/>
      <c r="I8" s="189" t="str">
        <f>HO!O18</f>
        <v/>
      </c>
      <c r="J8" s="186"/>
      <c r="K8" s="262">
        <f t="shared" si="5"/>
        <v>3772832</v>
      </c>
      <c r="L8" s="263">
        <f t="shared" si="6"/>
        <v>0.0676838132</v>
      </c>
      <c r="M8" s="262" t="str">
        <f t="shared" si="7"/>
        <v>#REF!</v>
      </c>
      <c r="N8" s="263" t="str">
        <f t="shared" si="8"/>
        <v>#REF!</v>
      </c>
      <c r="O8" s="189">
        <f>'The Table'!J30</f>
        <v>1332660</v>
      </c>
      <c r="P8" s="264">
        <f t="shared" si="9"/>
        <v>0.08674750227</v>
      </c>
      <c r="Q8" s="265">
        <f>'The Table'!L30</f>
        <v>997321</v>
      </c>
      <c r="R8" s="264">
        <f t="shared" si="10"/>
        <v>0.07481519363</v>
      </c>
      <c r="S8" s="189" t="str">
        <f>Iktara!G26</f>
        <v/>
      </c>
      <c r="T8" s="277">
        <f t="shared" si="11"/>
        <v>0</v>
      </c>
      <c r="U8" s="186" t="str">
        <f t="shared" si="12"/>
        <v>#REF!</v>
      </c>
      <c r="V8" s="277" t="str">
        <f t="shared" si="13"/>
        <v>#REF!</v>
      </c>
      <c r="W8" s="189">
        <f>'Mg St Colaba'!J32</f>
        <v>855956</v>
      </c>
      <c r="X8" s="277">
        <f t="shared" si="14"/>
        <v>0.06714443302</v>
      </c>
      <c r="Y8" s="189">
        <f>'Mg St Colaba'!L32</f>
        <v>825183.9405</v>
      </c>
      <c r="Z8" s="277">
        <f t="shared" si="15"/>
        <v>0.06681597611</v>
      </c>
      <c r="AA8" s="186">
        <f>'Mg St LP'!J31</f>
        <v>425228</v>
      </c>
      <c r="AB8" s="277">
        <f t="shared" si="16"/>
        <v>0.0440019389</v>
      </c>
      <c r="AC8" s="189">
        <f>'Mg St LP'!L31</f>
        <v>467897.409</v>
      </c>
      <c r="AD8" s="277">
        <f t="shared" si="17"/>
        <v>0.05615856536</v>
      </c>
      <c r="AE8" s="189">
        <f>'Mg St Bandra'!J32</f>
        <v>1158988</v>
      </c>
      <c r="AF8" s="277">
        <f t="shared" si="18"/>
        <v>0.07004413617</v>
      </c>
      <c r="AG8" s="189">
        <f>'Mg St Bandra'!L32</f>
        <v>1418438.25</v>
      </c>
      <c r="AH8" s="277">
        <f t="shared" si="19"/>
        <v>0.08256880734</v>
      </c>
      <c r="AI8" s="265" t="str">
        <f>'MSK Events'!E27</f>
        <v/>
      </c>
      <c r="AJ8" s="279" t="str">
        <f t="shared" si="20"/>
        <v>#DIV/0!</v>
      </c>
      <c r="AK8" s="186" t="str">
        <f t="shared" si="21"/>
        <v>#REF!</v>
      </c>
      <c r="AL8" s="279" t="str">
        <f t="shared" si="22"/>
        <v>#REF!</v>
      </c>
      <c r="AM8" s="189" t="str">
        <f>MSBC!J28</f>
        <v/>
      </c>
      <c r="AN8" s="277">
        <f t="shared" si="23"/>
        <v>0</v>
      </c>
      <c r="AO8" s="186" t="str">
        <f>MSBC!L28</f>
        <v/>
      </c>
      <c r="AP8" s="277">
        <f t="shared" si="24"/>
        <v>0</v>
      </c>
      <c r="AQ8" s="278" t="str">
        <f>Kaspers!H30</f>
        <v/>
      </c>
      <c r="AR8" s="186"/>
      <c r="AS8" s="278" t="str">
        <f>Kaspers!J30</f>
        <v/>
      </c>
      <c r="AT8" s="186"/>
      <c r="AU8" s="186"/>
      <c r="AV8" s="186"/>
      <c r="AW8" s="265" t="str">
        <f>Kaspers!L30</f>
        <v/>
      </c>
      <c r="AX8" s="186"/>
      <c r="AY8" s="186"/>
      <c r="AZ8" s="186"/>
      <c r="BA8" s="186"/>
      <c r="BB8" s="186"/>
      <c r="BC8" s="114"/>
      <c r="BD8" s="43"/>
      <c r="BE8" s="114"/>
      <c r="BF8" s="43"/>
    </row>
    <row r="9" ht="15.75" customHeight="1">
      <c r="B9" s="188" t="s">
        <v>169</v>
      </c>
      <c r="C9" s="262">
        <f t="shared" si="1"/>
        <v>58500</v>
      </c>
      <c r="D9" s="263">
        <f t="shared" si="2"/>
        <v>0.001049477706</v>
      </c>
      <c r="E9" s="262">
        <f t="shared" si="3"/>
        <v>0</v>
      </c>
      <c r="F9" s="263" t="str">
        <f t="shared" si="4"/>
        <v>#DIV/0!</v>
      </c>
      <c r="G9" s="186"/>
      <c r="H9" s="186"/>
      <c r="I9" s="189"/>
      <c r="J9" s="186"/>
      <c r="K9" s="262">
        <f t="shared" si="5"/>
        <v>58500</v>
      </c>
      <c r="L9" s="263">
        <f t="shared" si="6"/>
        <v>0.001049477706</v>
      </c>
      <c r="M9" s="262">
        <f t="shared" si="7"/>
        <v>0</v>
      </c>
      <c r="N9" s="263" t="str">
        <f t="shared" si="8"/>
        <v>#REF!</v>
      </c>
      <c r="O9" s="189">
        <f>'The Table'!J22+'The Table'!J23+'The Table'!J24</f>
        <v>16500</v>
      </c>
      <c r="P9" s="264">
        <f t="shared" si="9"/>
        <v>0.001074042732</v>
      </c>
      <c r="Q9" s="189">
        <f>'The Table'!L22+'The Table'!L23+'The Table'!L24</f>
        <v>0</v>
      </c>
      <c r="R9" s="264">
        <f t="shared" si="10"/>
        <v>0</v>
      </c>
      <c r="S9" s="266">
        <v>0.0</v>
      </c>
      <c r="T9" s="277">
        <f t="shared" si="11"/>
        <v>0</v>
      </c>
      <c r="U9" s="267">
        <v>0.0</v>
      </c>
      <c r="V9" s="277" t="str">
        <f t="shared" si="13"/>
        <v>#REF!</v>
      </c>
      <c r="W9" s="189">
        <f>'Mg St Colaba'!J24+'Mg St Colaba'!J25+'Mg St Colaba'!J26</f>
        <v>15400</v>
      </c>
      <c r="X9" s="277">
        <f t="shared" si="14"/>
        <v>0.001208034371</v>
      </c>
      <c r="Y9" s="189">
        <f>'Mg St Colaba'!L24+'Mg St Colaba'!L25+'Mg St Colaba'!L26</f>
        <v>0</v>
      </c>
      <c r="Z9" s="277">
        <f t="shared" si="15"/>
        <v>0</v>
      </c>
      <c r="AA9" s="189">
        <f>'Mg St LP'!J23+'Mg St LP'!J24+'Mg St LP'!J25</f>
        <v>11400</v>
      </c>
      <c r="AB9" s="277">
        <f t="shared" si="16"/>
        <v>0.001179654452</v>
      </c>
      <c r="AC9" s="189">
        <f>'Mg St LP'!L23+'Mg St LP'!L24+'Mg St LP'!L25</f>
        <v>0</v>
      </c>
      <c r="AD9" s="277">
        <f t="shared" si="17"/>
        <v>0</v>
      </c>
      <c r="AE9" s="189">
        <f>'Mg St Bandra'!J24+'Mg St Bandra'!J25+'Mg St Bandra'!J26</f>
        <v>15200</v>
      </c>
      <c r="AF9" s="277">
        <f t="shared" si="18"/>
        <v>0.000918621133</v>
      </c>
      <c r="AG9" s="189">
        <f>'Mg St Bandra'!L24+'Mg St Bandra'!L25+'Mg St Bandra'!L26</f>
        <v>0</v>
      </c>
      <c r="AH9" s="277">
        <f t="shared" si="19"/>
        <v>0</v>
      </c>
      <c r="AI9" s="267">
        <v>0.0</v>
      </c>
      <c r="AJ9" s="279"/>
      <c r="AK9" s="267">
        <v>0.0</v>
      </c>
      <c r="AL9" s="279"/>
      <c r="AM9" s="266">
        <v>0.0</v>
      </c>
      <c r="AN9" s="277"/>
      <c r="AO9" s="267">
        <v>0.0</v>
      </c>
      <c r="AP9" s="277"/>
      <c r="AQ9" s="267">
        <v>0.0</v>
      </c>
      <c r="AR9" s="186"/>
      <c r="AS9" s="267">
        <v>0.0</v>
      </c>
      <c r="AT9" s="186"/>
      <c r="AU9" s="267">
        <v>0.0</v>
      </c>
      <c r="AV9" s="186"/>
      <c r="AW9" s="186"/>
      <c r="AX9" s="267">
        <v>0.0</v>
      </c>
      <c r="AY9" s="267">
        <v>0.0</v>
      </c>
      <c r="AZ9" s="186"/>
      <c r="BA9" s="267">
        <v>0.0</v>
      </c>
      <c r="BB9" s="186"/>
      <c r="BC9" s="62"/>
      <c r="BD9" s="43"/>
      <c r="BE9" s="114"/>
      <c r="BF9" s="43"/>
    </row>
    <row r="10" ht="15.75" customHeight="1">
      <c r="B10" s="188" t="s">
        <v>27</v>
      </c>
      <c r="C10" s="190">
        <f>SUM(C5:C9)</f>
        <v>55742013.07</v>
      </c>
      <c r="D10" s="263">
        <f t="shared" si="2"/>
        <v>1</v>
      </c>
      <c r="E10" s="190" t="str">
        <f>SUM(E5:E9)</f>
        <v>#REF!</v>
      </c>
      <c r="F10" s="263" t="str">
        <f t="shared" si="4"/>
        <v>#REF!</v>
      </c>
      <c r="G10" s="190">
        <f>SUM(G5:G8)</f>
        <v>0</v>
      </c>
      <c r="H10" s="188"/>
      <c r="I10" s="190">
        <f>SUM(I5:I8)</f>
        <v>0</v>
      </c>
      <c r="J10" s="188"/>
      <c r="K10" s="190">
        <f>SUM(K5:K9)</f>
        <v>55742013.07</v>
      </c>
      <c r="L10" s="263">
        <f t="shared" si="6"/>
        <v>1</v>
      </c>
      <c r="M10" s="190" t="str">
        <f>SUM(M5:M9)</f>
        <v>#REF!</v>
      </c>
      <c r="N10" s="263" t="str">
        <f t="shared" si="8"/>
        <v>#REF!</v>
      </c>
      <c r="O10" s="190">
        <f>SUM(O5:O9)</f>
        <v>15362517.25</v>
      </c>
      <c r="P10" s="263">
        <f t="shared" si="9"/>
        <v>1</v>
      </c>
      <c r="Q10" s="190">
        <f>SUM(Q5:Q9)</f>
        <v>13330460.72</v>
      </c>
      <c r="R10" s="263">
        <f t="shared" si="10"/>
        <v>1</v>
      </c>
      <c r="S10" s="190">
        <f>SUM(S5:S9)</f>
        <v>566983.75</v>
      </c>
      <c r="T10" s="263">
        <f t="shared" si="11"/>
        <v>1</v>
      </c>
      <c r="U10" s="190" t="str">
        <f>SUM(U5:U9)</f>
        <v>#REF!</v>
      </c>
      <c r="V10" s="263" t="str">
        <f t="shared" si="13"/>
        <v>#REF!</v>
      </c>
      <c r="W10" s="190">
        <f>SUM(W5:W9)</f>
        <v>12747981.65</v>
      </c>
      <c r="X10" s="263">
        <f t="shared" si="14"/>
        <v>1</v>
      </c>
      <c r="Y10" s="190">
        <f>SUM(Y5:Y9)</f>
        <v>12350099.31</v>
      </c>
      <c r="Z10" s="263">
        <f t="shared" si="15"/>
        <v>1</v>
      </c>
      <c r="AA10" s="190">
        <f>SUM(AA5:AA9)</f>
        <v>9663846.88</v>
      </c>
      <c r="AB10" s="263">
        <f t="shared" si="16"/>
        <v>1</v>
      </c>
      <c r="AC10" s="190">
        <f>SUM(AC5:AC9)</f>
        <v>8331719.409</v>
      </c>
      <c r="AD10" s="263">
        <f t="shared" si="17"/>
        <v>1</v>
      </c>
      <c r="AE10" s="190">
        <f>SUM(AE5:AE9)</f>
        <v>16546538.56</v>
      </c>
      <c r="AF10" s="263">
        <f t="shared" si="18"/>
        <v>1</v>
      </c>
      <c r="AG10" s="190">
        <f>SUM(AG5:AG9)</f>
        <v>17178863.25</v>
      </c>
      <c r="AH10" s="263">
        <f t="shared" si="19"/>
        <v>1</v>
      </c>
      <c r="AI10" s="190">
        <f>SUM(AI5:AI9)</f>
        <v>0</v>
      </c>
      <c r="AJ10" s="263" t="str">
        <f>AI10/AI$10</f>
        <v>#DIV/0!</v>
      </c>
      <c r="AK10" s="190" t="str">
        <f>SUM(AK5:AK9)</f>
        <v>#REF!</v>
      </c>
      <c r="AL10" s="263" t="str">
        <f>AK10/AK$10</f>
        <v>#REF!</v>
      </c>
      <c r="AM10" s="190">
        <f>SUM(AM5:AM9)</f>
        <v>385119.98</v>
      </c>
      <c r="AN10" s="263">
        <f>AM10/AM$10</f>
        <v>1</v>
      </c>
      <c r="AO10" s="190">
        <f>SUM(AO5:AO9)</f>
        <v>80000</v>
      </c>
      <c r="AP10" s="263">
        <f>AO10/AO$10</f>
        <v>1</v>
      </c>
      <c r="AQ10" s="188"/>
      <c r="AR10" s="188"/>
      <c r="AS10" s="190">
        <f>SUM(AS5:AS9)</f>
        <v>0</v>
      </c>
      <c r="AT10" s="188"/>
      <c r="AU10" s="190">
        <f>SUM(AU5:AU9)</f>
        <v>469025</v>
      </c>
      <c r="AV10" s="188"/>
      <c r="AW10" s="190">
        <f>SUM(AW5:AW9)</f>
        <v>0</v>
      </c>
      <c r="AX10" s="188"/>
      <c r="AY10" s="190">
        <f>SUM(AY5:AY9)</f>
        <v>0</v>
      </c>
      <c r="AZ10" s="188"/>
      <c r="BA10" s="190" t="str">
        <f>SUM(BA5:BA9)</f>
        <v>#REF!</v>
      </c>
      <c r="BB10" s="188"/>
      <c r="BC10" s="146">
        <f>SUM(BC5:BC9)</f>
        <v>0</v>
      </c>
      <c r="BD10" s="188"/>
      <c r="BE10" s="262">
        <f>SUM(BE5:BE9)</f>
        <v>0</v>
      </c>
      <c r="BF10" s="188"/>
    </row>
    <row r="11" ht="15.75" customHeight="1">
      <c r="B11" s="188"/>
      <c r="C11" s="268"/>
      <c r="D11" s="268"/>
      <c r="E11" s="268"/>
      <c r="F11" s="268"/>
      <c r="G11" s="186"/>
      <c r="H11" s="186"/>
      <c r="I11" s="186"/>
      <c r="J11" s="186"/>
      <c r="K11" s="268"/>
      <c r="L11" s="268"/>
      <c r="M11" s="268"/>
      <c r="N11" s="268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  <c r="AA11" s="186"/>
      <c r="AB11" s="186"/>
      <c r="AC11" s="186"/>
      <c r="AD11" s="186"/>
      <c r="AE11" s="186"/>
      <c r="AF11" s="186"/>
      <c r="AG11" s="186"/>
      <c r="AH11" s="186"/>
      <c r="AI11" s="186"/>
      <c r="AJ11" s="186"/>
      <c r="AK11" s="186"/>
      <c r="AL11" s="186"/>
      <c r="AM11" s="186"/>
      <c r="AN11" s="186"/>
      <c r="AO11" s="186"/>
      <c r="AP11" s="186"/>
      <c r="AQ11" s="186"/>
      <c r="AR11" s="186"/>
      <c r="AS11" s="186"/>
      <c r="AT11" s="186"/>
      <c r="AU11" s="186"/>
      <c r="AV11" s="186"/>
      <c r="AW11" s="186"/>
      <c r="AX11" s="186"/>
      <c r="AY11" s="186"/>
      <c r="AZ11" s="186"/>
      <c r="BA11" s="186"/>
      <c r="BB11" s="186"/>
      <c r="BC11" s="83"/>
      <c r="BD11" s="43"/>
      <c r="BE11" s="114"/>
      <c r="BF11" s="43"/>
    </row>
    <row r="12" ht="15.75" customHeight="1">
      <c r="B12" s="188" t="s">
        <v>29</v>
      </c>
      <c r="C12" s="269">
        <f t="shared" ref="C12:C13" si="26">G12+K12</f>
        <v>18482727.53</v>
      </c>
      <c r="D12" s="270">
        <f t="shared" ref="D12:D16" si="27">C12/C$10</f>
        <v>0.3315762477</v>
      </c>
      <c r="E12" s="269" t="str">
        <f t="shared" ref="E12:E13" si="28">I12+M12</f>
        <v>#REF!</v>
      </c>
      <c r="F12" s="270" t="str">
        <f t="shared" ref="F12:F16" si="29">E12/E$10</f>
        <v>#REF!</v>
      </c>
      <c r="G12" s="265">
        <f>HO!J32</f>
        <v>0</v>
      </c>
      <c r="H12" s="186"/>
      <c r="I12" s="265">
        <f>HO!O32</f>
        <v>0</v>
      </c>
      <c r="J12" s="186"/>
      <c r="K12" s="262">
        <f t="shared" ref="K12:K13" si="30">O12+S12+W12+AA12+AE12+AI12+AM12+AQ12+AU12</f>
        <v>18482727.53</v>
      </c>
      <c r="L12" s="270">
        <f t="shared" ref="L12:L14" si="31">K12/K$10</f>
        <v>0.3315762477</v>
      </c>
      <c r="M12" s="262" t="str">
        <f t="shared" ref="M12:M13" si="32">Q12+U12+Y12+AC12+AG12+AK12+AO12</f>
        <v>#REF!</v>
      </c>
      <c r="N12" s="270" t="str">
        <f t="shared" ref="N12:N14" si="33">M12/M$10</f>
        <v>#REF!</v>
      </c>
      <c r="O12" s="189">
        <f>'The Table'!J41</f>
        <v>6046083.153</v>
      </c>
      <c r="P12" s="264">
        <f t="shared" ref="P12:P14" si="34">O12/O$10</f>
        <v>0.3935607072</v>
      </c>
      <c r="Q12" s="189">
        <f>'The Table'!L41</f>
        <v>4464320.237</v>
      </c>
      <c r="R12" s="264">
        <f t="shared" ref="R12:R14" si="35">Q12/Q$10</f>
        <v>0.3348961698</v>
      </c>
      <c r="S12" s="189">
        <f>Iktara!G38</f>
        <v>219600.0499</v>
      </c>
      <c r="T12" s="277">
        <f t="shared" ref="T12:T14" si="36">S12/S$10</f>
        <v>0.3873127755</v>
      </c>
      <c r="U12" s="189" t="str">
        <f t="shared" ref="U12:U13" si="37">#REF!</f>
        <v>#REF!</v>
      </c>
      <c r="V12" s="277" t="str">
        <f t="shared" ref="V12:V14" si="38">U12/U$10</f>
        <v>#REF!</v>
      </c>
      <c r="W12" s="189">
        <f>'Mg St Colaba'!J51</f>
        <v>4115657.573</v>
      </c>
      <c r="X12" s="277">
        <f t="shared" ref="X12:X14" si="39">W12/W$10</f>
        <v>0.3228477798</v>
      </c>
      <c r="Y12" s="189">
        <f>'Mg St Colaba'!L51</f>
        <v>3390504.413</v>
      </c>
      <c r="Z12" s="277">
        <f t="shared" ref="Z12:Z14" si="40">Y12/Y$10</f>
        <v>0.2745325627</v>
      </c>
      <c r="AA12" s="189">
        <f>'Mg St LP'!J52</f>
        <v>2949004.683</v>
      </c>
      <c r="AB12" s="277">
        <f t="shared" ref="AB12:AB14" si="41">AA12/AA$10</f>
        <v>0.3051584653</v>
      </c>
      <c r="AC12" s="189">
        <f>'Mg St LP'!L52</f>
        <v>1999488.02</v>
      </c>
      <c r="AD12" s="277">
        <f t="shared" ref="AD12:AD14" si="42">AC12/AC$10</f>
        <v>0.2399850405</v>
      </c>
      <c r="AE12" s="189">
        <f>'Mg St Bandra'!J51</f>
        <v>4766964.64</v>
      </c>
      <c r="AF12" s="277">
        <f t="shared" ref="AF12:AF14" si="43">AE12/AE$10</f>
        <v>0.2880943723</v>
      </c>
      <c r="AG12" s="189">
        <f>'Mg St Bandra'!L51</f>
        <v>5004947.92</v>
      </c>
      <c r="AH12" s="277">
        <f t="shared" ref="AH12:AH14" si="44">AG12/AG$10</f>
        <v>0.2913433705</v>
      </c>
      <c r="AI12" s="265">
        <f>'MSK Events'!E46</f>
        <v>0</v>
      </c>
      <c r="AJ12" s="277" t="str">
        <f t="shared" ref="AJ12:AJ14" si="45">AI12/AI$10</f>
        <v>#DIV/0!</v>
      </c>
      <c r="AK12" s="186" t="str">
        <f t="shared" ref="AK12:AK13" si="46">#REF!</f>
        <v>#REF!</v>
      </c>
      <c r="AL12" s="277" t="str">
        <f t="shared" ref="AL12:AL14" si="47">AK12/AK$10</f>
        <v>#REF!</v>
      </c>
      <c r="AM12" s="189">
        <f>MSBC!J47</f>
        <v>108620.0091</v>
      </c>
      <c r="AN12" s="277">
        <f t="shared" ref="AN12:AN14" si="48">AM12/AM$10</f>
        <v>0.2820419992</v>
      </c>
      <c r="AO12" s="186">
        <f>MSBC!L47</f>
        <v>0</v>
      </c>
      <c r="AP12" s="277">
        <f t="shared" ref="AP12:AP14" si="49">AO12/AO$10</f>
        <v>0</v>
      </c>
      <c r="AQ12" s="278">
        <f>Kaspers!H49</f>
        <v>0</v>
      </c>
      <c r="AR12" s="277"/>
      <c r="AS12" s="186"/>
      <c r="AT12" s="277"/>
      <c r="AU12" s="189">
        <f>'MSBC Andheri'!E47</f>
        <v>276797.4239</v>
      </c>
      <c r="AV12" s="277"/>
      <c r="AW12" s="186"/>
      <c r="AX12" s="277"/>
      <c r="AY12" s="189">
        <f>'MSBC Dahisar'!E45</f>
        <v>0</v>
      </c>
      <c r="AZ12" s="186"/>
      <c r="BA12" s="186" t="str">
        <f t="shared" ref="BA12:BA13" si="50">#REF!</f>
        <v>#REF!</v>
      </c>
      <c r="BB12" s="186"/>
      <c r="BC12" s="114" t="str">
        <f>'LOUD MOUTH'!E47</f>
        <v/>
      </c>
      <c r="BD12" s="28"/>
      <c r="BE12" s="83"/>
      <c r="BF12" s="28"/>
    </row>
    <row r="13" ht="15.75" customHeight="1">
      <c r="B13" s="188" t="s">
        <v>30</v>
      </c>
      <c r="C13" s="269">
        <f t="shared" si="26"/>
        <v>666642</v>
      </c>
      <c r="D13" s="270">
        <f t="shared" si="27"/>
        <v>0.01195941738</v>
      </c>
      <c r="E13" s="269" t="str">
        <f t="shared" si="28"/>
        <v>#REF!</v>
      </c>
      <c r="F13" s="270" t="str">
        <f t="shared" si="29"/>
        <v>#REF!</v>
      </c>
      <c r="G13" s="265" t="str">
        <f>HO!J33</f>
        <v/>
      </c>
      <c r="H13" s="186"/>
      <c r="I13" s="265" t="str">
        <f>HO!O33</f>
        <v/>
      </c>
      <c r="J13" s="186"/>
      <c r="K13" s="262">
        <f t="shared" si="30"/>
        <v>666642</v>
      </c>
      <c r="L13" s="270">
        <f t="shared" si="31"/>
        <v>0.01195941738</v>
      </c>
      <c r="M13" s="262" t="str">
        <f t="shared" si="32"/>
        <v>#REF!</v>
      </c>
      <c r="N13" s="270" t="str">
        <f t="shared" si="33"/>
        <v>#REF!</v>
      </c>
      <c r="O13" s="189">
        <f>'The Table'!J42</f>
        <v>34701</v>
      </c>
      <c r="P13" s="264">
        <f t="shared" si="34"/>
        <v>0.002258809506</v>
      </c>
      <c r="Q13" s="189">
        <f>'The Table'!L42</f>
        <v>38232.73313</v>
      </c>
      <c r="R13" s="264">
        <f t="shared" si="35"/>
        <v>0.0028680729</v>
      </c>
      <c r="S13" s="189">
        <f>Iktara!G39</f>
        <v>13275</v>
      </c>
      <c r="T13" s="277">
        <f t="shared" si="36"/>
        <v>0.02341336943</v>
      </c>
      <c r="U13" s="189" t="str">
        <f t="shared" si="37"/>
        <v>#REF!</v>
      </c>
      <c r="V13" s="277" t="str">
        <f t="shared" si="38"/>
        <v>#REF!</v>
      </c>
      <c r="W13" s="189">
        <f>'Mg St Colaba'!J52</f>
        <v>156381</v>
      </c>
      <c r="X13" s="277">
        <f t="shared" si="39"/>
        <v>0.01226711838</v>
      </c>
      <c r="Y13" s="189">
        <f>'Mg St Colaba'!L52</f>
        <v>108680.8739</v>
      </c>
      <c r="Z13" s="277">
        <f t="shared" si="40"/>
        <v>0.0088</v>
      </c>
      <c r="AA13" s="186">
        <f>'Mg St LP'!J53</f>
        <v>201028</v>
      </c>
      <c r="AB13" s="277">
        <f t="shared" si="41"/>
        <v>0.02080206801</v>
      </c>
      <c r="AC13" s="189">
        <f>'Mg St LP'!L53</f>
        <v>80210.9844</v>
      </c>
      <c r="AD13" s="277">
        <f t="shared" si="42"/>
        <v>0.009627182633</v>
      </c>
      <c r="AE13" s="189">
        <f>'Mg St Bandra'!J52</f>
        <v>132135</v>
      </c>
      <c r="AF13" s="277">
        <f t="shared" si="43"/>
        <v>0.007985658119</v>
      </c>
      <c r="AG13" s="189">
        <f>'Mg St Bandra'!L52</f>
        <v>94483.74788</v>
      </c>
      <c r="AH13" s="277">
        <f t="shared" si="44"/>
        <v>0.0055</v>
      </c>
      <c r="AI13" s="265" t="str">
        <f>'MSK Events'!E47</f>
        <v/>
      </c>
      <c r="AJ13" s="277" t="str">
        <f t="shared" si="45"/>
        <v>#DIV/0!</v>
      </c>
      <c r="AK13" s="186" t="str">
        <f t="shared" si="46"/>
        <v>#REF!</v>
      </c>
      <c r="AL13" s="277" t="str">
        <f t="shared" si="47"/>
        <v>#REF!</v>
      </c>
      <c r="AM13" s="189">
        <f>MSBC!J48</f>
        <v>120622</v>
      </c>
      <c r="AN13" s="277">
        <f t="shared" si="48"/>
        <v>0.3132062896</v>
      </c>
      <c r="AO13" s="186" t="str">
        <f>MSBC!L48</f>
        <v/>
      </c>
      <c r="AP13" s="277">
        <f t="shared" si="49"/>
        <v>0</v>
      </c>
      <c r="AQ13" s="278" t="str">
        <f>Kaspers!H50</f>
        <v/>
      </c>
      <c r="AR13" s="277"/>
      <c r="AS13" s="186"/>
      <c r="AT13" s="277"/>
      <c r="AU13" s="189">
        <f>'MSBC Andheri'!E48</f>
        <v>8500</v>
      </c>
      <c r="AV13" s="277"/>
      <c r="AW13" s="186"/>
      <c r="AX13" s="277"/>
      <c r="AY13" s="189">
        <f>'MSBC Dahisar'!E46</f>
        <v>0</v>
      </c>
      <c r="AZ13" s="186"/>
      <c r="BA13" s="186" t="str">
        <f t="shared" si="50"/>
        <v>#REF!</v>
      </c>
      <c r="BB13" s="186"/>
      <c r="BC13" s="114" t="str">
        <f>'LOUD MOUTH'!E48</f>
        <v/>
      </c>
      <c r="BD13" s="43"/>
      <c r="BE13" s="114"/>
      <c r="BF13" s="43"/>
    </row>
    <row r="14" ht="15.75" customHeight="1">
      <c r="B14" s="188" t="s">
        <v>31</v>
      </c>
      <c r="C14" s="269">
        <f>C12+C13</f>
        <v>19149369.53</v>
      </c>
      <c r="D14" s="270">
        <f t="shared" si="27"/>
        <v>0.3435356651</v>
      </c>
      <c r="E14" s="269" t="str">
        <f>E12+E13</f>
        <v>#REF!</v>
      </c>
      <c r="F14" s="270" t="str">
        <f t="shared" si="29"/>
        <v>#REF!</v>
      </c>
      <c r="G14" s="271">
        <f>G12+G13</f>
        <v>0</v>
      </c>
      <c r="H14" s="188"/>
      <c r="I14" s="271">
        <f>I12+I13</f>
        <v>0</v>
      </c>
      <c r="J14" s="188"/>
      <c r="K14" s="190">
        <f>K12+K13</f>
        <v>19149369.53</v>
      </c>
      <c r="L14" s="270">
        <f t="shared" si="31"/>
        <v>0.3435356651</v>
      </c>
      <c r="M14" s="190" t="str">
        <f>M12+M13</f>
        <v>#REF!</v>
      </c>
      <c r="N14" s="270" t="str">
        <f t="shared" si="33"/>
        <v>#REF!</v>
      </c>
      <c r="O14" s="190">
        <f>O12+O13</f>
        <v>6080784.153</v>
      </c>
      <c r="P14" s="263">
        <f t="shared" si="34"/>
        <v>0.3958195167</v>
      </c>
      <c r="Q14" s="190">
        <f>Q12+Q13</f>
        <v>4502552.97</v>
      </c>
      <c r="R14" s="263">
        <f t="shared" si="35"/>
        <v>0.3377642427</v>
      </c>
      <c r="S14" s="190">
        <f>S12+S13</f>
        <v>232875.0499</v>
      </c>
      <c r="T14" s="270">
        <f t="shared" si="36"/>
        <v>0.4107261449</v>
      </c>
      <c r="U14" s="190" t="str">
        <f>U12+U13</f>
        <v>#REF!</v>
      </c>
      <c r="V14" s="270" t="str">
        <f t="shared" si="38"/>
        <v>#REF!</v>
      </c>
      <c r="W14" s="190">
        <f>W12+W13</f>
        <v>4272038.573</v>
      </c>
      <c r="X14" s="270">
        <f t="shared" si="39"/>
        <v>0.3351148982</v>
      </c>
      <c r="Y14" s="190">
        <f>Y12+Y13</f>
        <v>3499185.287</v>
      </c>
      <c r="Z14" s="270">
        <f t="shared" si="40"/>
        <v>0.2833325627</v>
      </c>
      <c r="AA14" s="190">
        <f>AA12+AA13</f>
        <v>3150032.683</v>
      </c>
      <c r="AB14" s="270">
        <f t="shared" si="41"/>
        <v>0.3259605333</v>
      </c>
      <c r="AC14" s="190">
        <f>AC12+AC13</f>
        <v>2079699.004</v>
      </c>
      <c r="AD14" s="270">
        <f t="shared" si="42"/>
        <v>0.2496122231</v>
      </c>
      <c r="AE14" s="190">
        <f>SUM(AE12:AE13)</f>
        <v>4899099.64</v>
      </c>
      <c r="AF14" s="270">
        <f t="shared" si="43"/>
        <v>0.2960800304</v>
      </c>
      <c r="AG14" s="190">
        <f>SUM(AG12:AG13)</f>
        <v>5099431.668</v>
      </c>
      <c r="AH14" s="270">
        <f t="shared" si="44"/>
        <v>0.2968433705</v>
      </c>
      <c r="AI14" s="271">
        <f>SUM(AI12:AI13)</f>
        <v>0</v>
      </c>
      <c r="AJ14" s="270" t="str">
        <f t="shared" si="45"/>
        <v>#DIV/0!</v>
      </c>
      <c r="AK14" s="188" t="str">
        <f>SUM(AK12:AK13)</f>
        <v>#REF!</v>
      </c>
      <c r="AL14" s="270" t="str">
        <f t="shared" si="47"/>
        <v>#REF!</v>
      </c>
      <c r="AM14" s="190">
        <f>SUM(AM12:AM13)</f>
        <v>229242.0091</v>
      </c>
      <c r="AN14" s="270">
        <f t="shared" si="48"/>
        <v>0.5952482888</v>
      </c>
      <c r="AO14" s="188">
        <f>SUM(AO12:AO13)</f>
        <v>0</v>
      </c>
      <c r="AP14" s="270">
        <f t="shared" si="49"/>
        <v>0</v>
      </c>
      <c r="AQ14" s="190">
        <f>SUM(AQ12:AQ13)</f>
        <v>0</v>
      </c>
      <c r="AR14" s="270"/>
      <c r="AS14" s="188"/>
      <c r="AT14" s="270"/>
      <c r="AU14" s="190">
        <f>AU13+AU12</f>
        <v>285297.4239</v>
      </c>
      <c r="AV14" s="270"/>
      <c r="AW14" s="188"/>
      <c r="AX14" s="270"/>
      <c r="AY14" s="190">
        <f>SUM(AY12:AY13)</f>
        <v>0</v>
      </c>
      <c r="AZ14" s="188"/>
      <c r="BA14" s="188" t="str">
        <f>SUM(BA12:BA13)</f>
        <v>#REF!</v>
      </c>
      <c r="BB14" s="188"/>
      <c r="BC14" s="146">
        <f>SUM(BC12:BC13)</f>
        <v>0</v>
      </c>
      <c r="BD14" s="188"/>
      <c r="BE14" s="188"/>
      <c r="BF14" s="188"/>
    </row>
    <row r="15" ht="15.75" customHeight="1">
      <c r="B15" s="188" t="s">
        <v>170</v>
      </c>
      <c r="C15" s="269">
        <f>G15+K15</f>
        <v>0</v>
      </c>
      <c r="D15" s="270">
        <f t="shared" si="27"/>
        <v>0</v>
      </c>
      <c r="E15" s="269">
        <f>I15+M15</f>
        <v>0</v>
      </c>
      <c r="F15" s="270" t="str">
        <f t="shared" si="29"/>
        <v>#REF!</v>
      </c>
      <c r="G15" s="188"/>
      <c r="H15" s="188"/>
      <c r="I15" s="188"/>
      <c r="J15" s="188"/>
      <c r="K15" s="269"/>
      <c r="L15" s="270"/>
      <c r="M15" s="262"/>
      <c r="N15" s="270"/>
      <c r="O15" s="189"/>
      <c r="P15" s="264"/>
      <c r="Q15" s="189"/>
      <c r="R15" s="264"/>
      <c r="S15" s="189"/>
      <c r="T15" s="277"/>
      <c r="U15" s="186"/>
      <c r="V15" s="277"/>
      <c r="W15" s="189"/>
      <c r="X15" s="277"/>
      <c r="Y15" s="186"/>
      <c r="Z15" s="277"/>
      <c r="AA15" s="189"/>
      <c r="AB15" s="277"/>
      <c r="AC15" s="189"/>
      <c r="AD15" s="277"/>
      <c r="AE15" s="189"/>
      <c r="AF15" s="277"/>
      <c r="AG15" s="186"/>
      <c r="AH15" s="277"/>
      <c r="AI15" s="186"/>
      <c r="AJ15" s="277"/>
      <c r="AK15" s="189"/>
      <c r="AL15" s="277"/>
      <c r="AM15" s="189"/>
      <c r="AN15" s="277"/>
      <c r="AO15" s="189"/>
      <c r="AP15" s="277"/>
      <c r="AQ15" s="186"/>
      <c r="AR15" s="277"/>
      <c r="AS15" s="186"/>
      <c r="AT15" s="277"/>
      <c r="AU15" s="189">
        <f>'MSBC Andheri'!E60</f>
        <v>57666.8</v>
      </c>
      <c r="AV15" s="277"/>
      <c r="AW15" s="186"/>
      <c r="AX15" s="277"/>
      <c r="AY15" s="189">
        <f>'MSBC Dahisar'!E58</f>
        <v>0</v>
      </c>
      <c r="AZ15" s="186"/>
      <c r="BA15" s="189" t="str">
        <f>#REF!</f>
        <v>#REF!</v>
      </c>
      <c r="BB15" s="186"/>
      <c r="BC15" s="96"/>
      <c r="BD15" s="55"/>
      <c r="BE15" s="62"/>
      <c r="BF15" s="55"/>
    </row>
    <row r="16" ht="15.75" customHeight="1">
      <c r="B16" s="188" t="s">
        <v>33</v>
      </c>
      <c r="C16" s="190">
        <f>C10-C14-C15</f>
        <v>36592643.54</v>
      </c>
      <c r="D16" s="263">
        <f t="shared" si="27"/>
        <v>0.6564643349</v>
      </c>
      <c r="E16" s="190" t="str">
        <f>E10-E14</f>
        <v>#REF!</v>
      </c>
      <c r="F16" s="263" t="str">
        <f t="shared" si="29"/>
        <v>#REF!</v>
      </c>
      <c r="G16" s="190">
        <f>G10-G14</f>
        <v>0</v>
      </c>
      <c r="H16" s="188"/>
      <c r="I16" s="190">
        <f>I10-I14</f>
        <v>0</v>
      </c>
      <c r="J16" s="188"/>
      <c r="K16" s="190">
        <f>K10-K14-K15</f>
        <v>36592643.54</v>
      </c>
      <c r="L16" s="263">
        <f>K16/K$10</f>
        <v>0.6564643349</v>
      </c>
      <c r="M16" s="190" t="str">
        <f>M10-M14-M15</f>
        <v>#REF!</v>
      </c>
      <c r="N16" s="263" t="str">
        <f>M16/M$10</f>
        <v>#REF!</v>
      </c>
      <c r="O16" s="190">
        <f>O10-O14-O15</f>
        <v>9281733.097</v>
      </c>
      <c r="P16" s="263">
        <f>O16/O$10</f>
        <v>0.6041804833</v>
      </c>
      <c r="Q16" s="190">
        <f>Q10-Q14-Q15</f>
        <v>8827907.75</v>
      </c>
      <c r="R16" s="263">
        <f>Q16/Q$10</f>
        <v>0.6622357573</v>
      </c>
      <c r="S16" s="190">
        <f>S10-S14-S15</f>
        <v>334108.7001</v>
      </c>
      <c r="T16" s="270">
        <f>S16/S$10</f>
        <v>0.5892738551</v>
      </c>
      <c r="U16" s="190" t="str">
        <f>U10-U14-U15</f>
        <v>#REF!</v>
      </c>
      <c r="V16" s="270" t="str">
        <f>U16/U$10</f>
        <v>#REF!</v>
      </c>
      <c r="W16" s="190">
        <f>W10-W14-W15</f>
        <v>8475943.077</v>
      </c>
      <c r="X16" s="270">
        <f>W16/W$10</f>
        <v>0.6648851018</v>
      </c>
      <c r="Y16" s="190">
        <f>Y10-Y14-Y15</f>
        <v>8850914.024</v>
      </c>
      <c r="Z16" s="270">
        <f>Y16/Y$10</f>
        <v>0.7166674373</v>
      </c>
      <c r="AA16" s="190">
        <f>AA10-AA14-AA15</f>
        <v>6513814.197</v>
      </c>
      <c r="AB16" s="270">
        <f>AA16/AA$10</f>
        <v>0.6740394667</v>
      </c>
      <c r="AC16" s="190">
        <f>AC10-AC14-AC15</f>
        <v>6252020.405</v>
      </c>
      <c r="AD16" s="270">
        <f>AC16/AC$10</f>
        <v>0.7503877769</v>
      </c>
      <c r="AE16" s="190">
        <f>AE10-AE14-AE15</f>
        <v>11647438.92</v>
      </c>
      <c r="AF16" s="270">
        <f>AE16/AE$10</f>
        <v>0.7039199696</v>
      </c>
      <c r="AG16" s="190">
        <f>AG10-AG14-AG15</f>
        <v>12079431.58</v>
      </c>
      <c r="AH16" s="270">
        <f>AG16/AG$10</f>
        <v>0.7031566295</v>
      </c>
      <c r="AI16" s="190">
        <f>AI10-AI14</f>
        <v>0</v>
      </c>
      <c r="AJ16" s="270" t="str">
        <f>AI16/AI$10</f>
        <v>#DIV/0!</v>
      </c>
      <c r="AK16" s="190" t="str">
        <f>AK10-AK14</f>
        <v>#REF!</v>
      </c>
      <c r="AL16" s="270" t="str">
        <f>AK16/AK$10</f>
        <v>#REF!</v>
      </c>
      <c r="AM16" s="190">
        <f>AM10-AM14-AM15</f>
        <v>155877.9709</v>
      </c>
      <c r="AN16" s="270">
        <f>AM16/AM$10</f>
        <v>0.4047517112</v>
      </c>
      <c r="AO16" s="190">
        <f>AO10-AO14</f>
        <v>80000</v>
      </c>
      <c r="AP16" s="270">
        <f>AO16/AO$10</f>
        <v>1</v>
      </c>
      <c r="AQ16" s="190">
        <f>AQ10-AQ14-AQ15</f>
        <v>0</v>
      </c>
      <c r="AR16" s="188"/>
      <c r="AS16" s="190">
        <f>AS10-AS14</f>
        <v>0</v>
      </c>
      <c r="AT16" s="188"/>
      <c r="AU16" s="190">
        <f>AU10-AU14-AU15</f>
        <v>126060.7761</v>
      </c>
      <c r="AV16" s="188"/>
      <c r="AW16" s="190">
        <f>AW10-AW14</f>
        <v>0</v>
      </c>
      <c r="AX16" s="188"/>
      <c r="AY16" s="262">
        <f>AY10-AY14-AY15</f>
        <v>0</v>
      </c>
      <c r="AZ16" s="268"/>
      <c r="BA16" s="262" t="str">
        <f>BA10-BA14-BA15</f>
        <v>#REF!</v>
      </c>
      <c r="BB16" s="268"/>
      <c r="BC16" s="146">
        <f>BC10-BC14</f>
        <v>0</v>
      </c>
      <c r="BD16" s="188"/>
      <c r="BE16" s="188"/>
      <c r="BF16" s="188"/>
    </row>
    <row r="17" ht="15.75" customHeight="1">
      <c r="B17" s="188"/>
      <c r="C17" s="268"/>
      <c r="D17" s="268"/>
      <c r="E17" s="268"/>
      <c r="F17" s="268"/>
      <c r="G17" s="186"/>
      <c r="H17" s="186"/>
      <c r="I17" s="186"/>
      <c r="J17" s="186"/>
      <c r="K17" s="268"/>
      <c r="L17" s="268"/>
      <c r="M17" s="268"/>
      <c r="N17" s="268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  <c r="AA17" s="186"/>
      <c r="AB17" s="186"/>
      <c r="AC17" s="186"/>
      <c r="AD17" s="186"/>
      <c r="AE17" s="186"/>
      <c r="AF17" s="186"/>
      <c r="AG17" s="186"/>
      <c r="AH17" s="186"/>
      <c r="AI17" s="186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6"/>
      <c r="AU17" s="186"/>
      <c r="AV17" s="186"/>
      <c r="AW17" s="186"/>
      <c r="AX17" s="186"/>
      <c r="AY17" s="186"/>
      <c r="AZ17" s="186"/>
      <c r="BA17" s="186"/>
      <c r="BB17" s="186"/>
      <c r="BC17" s="83"/>
      <c r="BD17" s="186"/>
      <c r="BE17" s="186"/>
      <c r="BF17" s="186"/>
    </row>
    <row r="18" ht="15.75" customHeight="1">
      <c r="B18" s="188" t="s">
        <v>34</v>
      </c>
      <c r="C18" s="262">
        <f t="shared" ref="C18:C27" si="51">G18+K18</f>
        <v>1723955</v>
      </c>
      <c r="D18" s="263">
        <f t="shared" ref="D18:D28" si="52">C18/C$10</f>
        <v>0.0309273904</v>
      </c>
      <c r="E18" s="262" t="str">
        <f t="shared" ref="E18:E28" si="53">I18+M18</f>
        <v>#REF!</v>
      </c>
      <c r="F18" s="270" t="str">
        <f t="shared" ref="F18:F28" si="54">E18/E$10</f>
        <v>#REF!</v>
      </c>
      <c r="G18" s="189">
        <f>HO!J44</f>
        <v>17104</v>
      </c>
      <c r="H18" s="186"/>
      <c r="I18" s="189">
        <f>HO!O44</f>
        <v>0</v>
      </c>
      <c r="J18" s="186"/>
      <c r="K18" s="262">
        <f t="shared" ref="K18:K27" si="55">O18+S18+W18+AA18+AE18+AI18+AM18+AQ18+AU18+AY18+BC18</f>
        <v>1706851</v>
      </c>
      <c r="L18" s="263">
        <f t="shared" ref="L18:L28" si="56">K18/K$10</f>
        <v>0.03062054824</v>
      </c>
      <c r="M18" s="262" t="str">
        <f t="shared" ref="M18:M27" si="57">Q18+U18+Y18+AC18+AG18+AK18+AO18</f>
        <v>#REF!</v>
      </c>
      <c r="N18" s="263" t="str">
        <f t="shared" ref="N18:N28" si="58">M18/M$10</f>
        <v>#REF!</v>
      </c>
      <c r="O18" s="189">
        <f>'The Table'!J53</f>
        <v>448886</v>
      </c>
      <c r="P18" s="264">
        <f t="shared" ref="P18:P28" si="59">O18/O$10</f>
        <v>0.02921956036</v>
      </c>
      <c r="Q18" s="189">
        <f>'The Table'!L53</f>
        <v>313287.3715</v>
      </c>
      <c r="R18" s="264">
        <f t="shared" ref="R18:R28" si="60">Q18/Q$10</f>
        <v>0.02350161619</v>
      </c>
      <c r="S18" s="189">
        <f>Iktara!G50+Iktara!G59</f>
        <v>17768</v>
      </c>
      <c r="T18" s="277">
        <f t="shared" ref="T18:T28" si="61">S18/S$10</f>
        <v>0.0313377588</v>
      </c>
      <c r="U18" s="189" t="str">
        <f t="shared" ref="U18:U27" si="62">#REF!</f>
        <v>#REF!</v>
      </c>
      <c r="V18" s="277" t="str">
        <f t="shared" ref="V18:V28" si="63">U18/U$10</f>
        <v>#REF!</v>
      </c>
      <c r="W18" s="189">
        <f>'Mg St Colaba'!J77+'Mg St Colaba'!J86</f>
        <v>400848</v>
      </c>
      <c r="X18" s="277">
        <f t="shared" ref="X18:X28" si="64">W18/W$10</f>
        <v>0.03144403648</v>
      </c>
      <c r="Y18" s="189">
        <f>'Mg St Colaba'!L77</f>
        <v>285287.1153</v>
      </c>
      <c r="Z18" s="277">
        <f t="shared" ref="Z18:Z28" si="65">Y18/Y$10</f>
        <v>0.02309998553</v>
      </c>
      <c r="AA18" s="189">
        <f>'Mg St LP'!J78+'Mg St LP'!J87</f>
        <v>194920</v>
      </c>
      <c r="AB18" s="277">
        <f t="shared" ref="AB18:AB28" si="66">AA18/AA$10</f>
        <v>0.02017002157</v>
      </c>
      <c r="AC18" s="189">
        <f>'Mg St LP'!L78</f>
        <v>154969.981</v>
      </c>
      <c r="AD18" s="277">
        <f t="shared" ref="AD18:AD28" si="67">AC18/AC$10</f>
        <v>0.0186</v>
      </c>
      <c r="AE18" s="189">
        <f>'Mg St Bandra'!J75+'Mg St Bandra'!J84</f>
        <v>397999</v>
      </c>
      <c r="AF18" s="277">
        <f t="shared" ref="AF18:AF28" si="68">AE18/AE$10</f>
        <v>0.02405330871</v>
      </c>
      <c r="AG18" s="189">
        <f>'Mg St Bandra'!L75</f>
        <v>474137.0146</v>
      </c>
      <c r="AH18" s="277">
        <f t="shared" ref="AH18:AH28" si="69">AG18/AG$10</f>
        <v>0.02760002264</v>
      </c>
      <c r="AI18" s="189">
        <f>'MSK Events'!E72</f>
        <v>0</v>
      </c>
      <c r="AJ18" s="277" t="str">
        <f t="shared" ref="AJ18:AJ28" si="70">AI18/AI$10</f>
        <v>#DIV/0!</v>
      </c>
      <c r="AK18" s="189" t="str">
        <f t="shared" ref="AK18:AK27" si="71">#REF!</f>
        <v>#REF!</v>
      </c>
      <c r="AL18" s="277" t="str">
        <f t="shared" ref="AL18:AL28" si="72">AK18/AK$10</f>
        <v>#REF!</v>
      </c>
      <c r="AM18" s="189">
        <f>MSBC!J73</f>
        <v>130702</v>
      </c>
      <c r="AN18" s="277">
        <f t="shared" ref="AN18:AN28" si="73">AM18/AM$10</f>
        <v>0.3393799512</v>
      </c>
      <c r="AO18" s="189">
        <f>MSBC!L73</f>
        <v>0</v>
      </c>
      <c r="AP18" s="277">
        <f t="shared" ref="AP18:AP28" si="74">AO18/AO$10</f>
        <v>0</v>
      </c>
      <c r="AQ18" s="189">
        <f>Kaspers!H64</f>
        <v>115728</v>
      </c>
      <c r="AR18" s="186"/>
      <c r="AS18" s="189">
        <f>Kaspers!J64</f>
        <v>0</v>
      </c>
      <c r="AT18" s="186"/>
      <c r="AU18" s="186"/>
      <c r="AV18" s="186"/>
      <c r="AW18" s="186"/>
      <c r="AX18" s="186"/>
      <c r="AY18" s="189">
        <f>'MSBC Dahisar'!E71</f>
        <v>0</v>
      </c>
      <c r="AZ18" s="186"/>
      <c r="BA18" s="186"/>
      <c r="BB18" s="186"/>
      <c r="BC18" s="114">
        <v>0.0</v>
      </c>
      <c r="BD18" s="186"/>
      <c r="BE18" s="186"/>
      <c r="BF18" s="186"/>
    </row>
    <row r="19" ht="15.75" customHeight="1">
      <c r="B19" s="188" t="s">
        <v>35</v>
      </c>
      <c r="C19" s="280">
        <f t="shared" si="51"/>
        <v>532432</v>
      </c>
      <c r="D19" s="263">
        <f t="shared" si="52"/>
        <v>0.009551718187</v>
      </c>
      <c r="E19" s="280" t="str">
        <f t="shared" si="53"/>
        <v>#REF!</v>
      </c>
      <c r="F19" s="270" t="str">
        <f t="shared" si="54"/>
        <v>#REF!</v>
      </c>
      <c r="G19" s="281">
        <f>HO!J53</f>
        <v>74161</v>
      </c>
      <c r="H19" s="186"/>
      <c r="I19" s="281">
        <f>HO!L53</f>
        <v>12874</v>
      </c>
      <c r="J19" s="186"/>
      <c r="K19" s="262">
        <f t="shared" si="55"/>
        <v>458271</v>
      </c>
      <c r="L19" s="263">
        <f t="shared" si="56"/>
        <v>0.008221285432</v>
      </c>
      <c r="M19" s="262" t="str">
        <f t="shared" si="57"/>
        <v>#REF!</v>
      </c>
      <c r="N19" s="263" t="str">
        <f t="shared" si="58"/>
        <v>#REF!</v>
      </c>
      <c r="O19" s="189">
        <f>'The Table'!J62</f>
        <v>8814.666667</v>
      </c>
      <c r="P19" s="264">
        <f t="shared" si="59"/>
        <v>0.0005737774951</v>
      </c>
      <c r="Q19" s="189">
        <f>'The Table'!L62</f>
        <v>38029.66667</v>
      </c>
      <c r="R19" s="264">
        <f t="shared" si="60"/>
        <v>0.002852839633</v>
      </c>
      <c r="S19" s="189">
        <f>Iktara!G62</f>
        <v>70181</v>
      </c>
      <c r="T19" s="277">
        <f t="shared" si="61"/>
        <v>0.1237795616</v>
      </c>
      <c r="U19" s="189" t="str">
        <f t="shared" si="62"/>
        <v>#REF!</v>
      </c>
      <c r="V19" s="277" t="str">
        <f t="shared" si="63"/>
        <v>#REF!</v>
      </c>
      <c r="W19" s="189">
        <f>'Mg St Colaba'!J89</f>
        <v>102938.2667</v>
      </c>
      <c r="X19" s="277">
        <f t="shared" si="64"/>
        <v>0.00807486781</v>
      </c>
      <c r="Y19" s="189">
        <f>'Mg St Colaba'!L89</f>
        <v>90278</v>
      </c>
      <c r="Z19" s="277">
        <f t="shared" si="65"/>
        <v>0.007309900733</v>
      </c>
      <c r="AA19" s="189">
        <f>'Mg St LP'!J89</f>
        <v>101884.2667</v>
      </c>
      <c r="AB19" s="277">
        <f t="shared" si="66"/>
        <v>0.01054282709</v>
      </c>
      <c r="AC19" s="189">
        <f>'Mg St LP'!L89</f>
        <v>96518</v>
      </c>
      <c r="AD19" s="277">
        <f t="shared" si="67"/>
        <v>0.01158440356</v>
      </c>
      <c r="AE19" s="189">
        <f>'Mg St Bandra'!J87</f>
        <v>101620.2667</v>
      </c>
      <c r="AF19" s="277">
        <f t="shared" si="68"/>
        <v>0.006141481875</v>
      </c>
      <c r="AG19" s="189">
        <f>'Mg St Bandra'!L87</f>
        <v>63718</v>
      </c>
      <c r="AH19" s="277">
        <f t="shared" si="69"/>
        <v>0.003709092917</v>
      </c>
      <c r="AI19" s="189">
        <f>'MSK Events'!E84</f>
        <v>10738</v>
      </c>
      <c r="AJ19" s="277" t="str">
        <f t="shared" si="70"/>
        <v>#DIV/0!</v>
      </c>
      <c r="AK19" s="189" t="str">
        <f t="shared" si="71"/>
        <v>#REF!</v>
      </c>
      <c r="AL19" s="277" t="str">
        <f t="shared" si="72"/>
        <v>#REF!</v>
      </c>
      <c r="AM19" s="189">
        <f>MSBC!J75</f>
        <v>47256.6</v>
      </c>
      <c r="AN19" s="277">
        <f t="shared" si="73"/>
        <v>0.1227061759</v>
      </c>
      <c r="AO19" s="189">
        <f>MSBC!L75</f>
        <v>73250</v>
      </c>
      <c r="AP19" s="277">
        <f t="shared" si="74"/>
        <v>0.915625</v>
      </c>
      <c r="AQ19" s="189">
        <f>Kaspers!H76</f>
        <v>0</v>
      </c>
      <c r="AR19" s="186"/>
      <c r="AS19" s="189">
        <f>Kaspers!J76</f>
        <v>26833.33333</v>
      </c>
      <c r="AT19" s="186"/>
      <c r="AU19" s="189">
        <f>'MSBC Andheri'!E85</f>
        <v>14837.93333</v>
      </c>
      <c r="AV19" s="186"/>
      <c r="AW19" s="186"/>
      <c r="AX19" s="186"/>
      <c r="AY19" s="189">
        <f>'MSBC Dahisar'!E73</f>
        <v>0</v>
      </c>
      <c r="AZ19" s="186"/>
      <c r="BA19" s="186"/>
      <c r="BB19" s="186"/>
      <c r="BC19" s="114">
        <f>'LOUD MOUTH'!E85</f>
        <v>0</v>
      </c>
      <c r="BD19" s="43"/>
      <c r="BE19" s="114"/>
      <c r="BF19" s="43"/>
    </row>
    <row r="20" ht="15.75" customHeight="1">
      <c r="B20" s="188" t="s">
        <v>36</v>
      </c>
      <c r="C20" s="262">
        <f t="shared" si="51"/>
        <v>2032647.504</v>
      </c>
      <c r="D20" s="263">
        <f t="shared" si="52"/>
        <v>0.03646526905</v>
      </c>
      <c r="E20" s="262" t="str">
        <f t="shared" si="53"/>
        <v>#REF!</v>
      </c>
      <c r="F20" s="270" t="str">
        <f t="shared" si="54"/>
        <v>#REF!</v>
      </c>
      <c r="G20" s="265">
        <f>HO!J63</f>
        <v>0</v>
      </c>
      <c r="H20" s="186"/>
      <c r="I20" s="265">
        <f>HO!L63</f>
        <v>0</v>
      </c>
      <c r="J20" s="186"/>
      <c r="K20" s="262">
        <f t="shared" si="55"/>
        <v>2032647.504</v>
      </c>
      <c r="L20" s="263">
        <f t="shared" si="56"/>
        <v>0.03646526905</v>
      </c>
      <c r="M20" s="262" t="str">
        <f t="shared" si="57"/>
        <v>#REF!</v>
      </c>
      <c r="N20" s="263" t="str">
        <f t="shared" si="58"/>
        <v>#REF!</v>
      </c>
      <c r="O20" s="189">
        <f>'The Table'!J70</f>
        <v>93190.7356</v>
      </c>
      <c r="P20" s="264">
        <f t="shared" si="59"/>
        <v>0.006066111047</v>
      </c>
      <c r="Q20" s="189">
        <f>'The Table'!L70</f>
        <v>166940.8965</v>
      </c>
      <c r="R20" s="264">
        <f t="shared" si="60"/>
        <v>0.01252326533</v>
      </c>
      <c r="S20" s="189">
        <f>Iktara!G70</f>
        <v>73321.8412</v>
      </c>
      <c r="T20" s="277">
        <f t="shared" si="61"/>
        <v>0.1293191228</v>
      </c>
      <c r="U20" s="189" t="str">
        <f t="shared" si="62"/>
        <v>#REF!</v>
      </c>
      <c r="V20" s="277" t="str">
        <f t="shared" si="63"/>
        <v>#REF!</v>
      </c>
      <c r="W20" s="189">
        <f>'Mg St Colaba'!J100</f>
        <v>492870.4994</v>
      </c>
      <c r="X20" s="277">
        <f t="shared" si="64"/>
        <v>0.03866263013</v>
      </c>
      <c r="Y20" s="189">
        <f>'Mg St Colaba'!L100</f>
        <v>409455</v>
      </c>
      <c r="Z20" s="277">
        <f t="shared" si="65"/>
        <v>0.03315398441</v>
      </c>
      <c r="AA20" s="189">
        <f>'Mg St LP'!J101</f>
        <v>715679.4374</v>
      </c>
      <c r="AB20" s="277">
        <f t="shared" si="66"/>
        <v>0.07405740657</v>
      </c>
      <c r="AC20" s="189">
        <f>'Mg St LP'!L101</f>
        <v>610644</v>
      </c>
      <c r="AD20" s="277">
        <f t="shared" si="67"/>
        <v>0.07329147443</v>
      </c>
      <c r="AE20" s="189">
        <f>'Mg St Bandra'!J98</f>
        <v>500176.1168</v>
      </c>
      <c r="AF20" s="277">
        <f t="shared" si="68"/>
        <v>0.03022844415</v>
      </c>
      <c r="AG20" s="189">
        <f>'Mg St Bandra'!L98</f>
        <v>387550</v>
      </c>
      <c r="AH20" s="277">
        <f t="shared" si="69"/>
        <v>0.02255969993</v>
      </c>
      <c r="AI20" s="189">
        <f>'MSK Events'!E91</f>
        <v>1626</v>
      </c>
      <c r="AJ20" s="277" t="str">
        <f t="shared" si="70"/>
        <v>#DIV/0!</v>
      </c>
      <c r="AK20" s="189" t="str">
        <f t="shared" si="71"/>
        <v>#REF!</v>
      </c>
      <c r="AL20" s="277" t="str">
        <f t="shared" si="72"/>
        <v>#REF!</v>
      </c>
      <c r="AM20" s="189">
        <f>MSBC!J83</f>
        <v>18794.1458</v>
      </c>
      <c r="AN20" s="277">
        <f t="shared" si="73"/>
        <v>0.04880075503</v>
      </c>
      <c r="AO20" s="189">
        <f>MSBC!L83</f>
        <v>0</v>
      </c>
      <c r="AP20" s="277">
        <f t="shared" si="74"/>
        <v>0</v>
      </c>
      <c r="AQ20" s="189">
        <f>Kaspers!H83</f>
        <v>0</v>
      </c>
      <c r="AR20" s="186"/>
      <c r="AS20" s="278">
        <f>Kaspers!J83</f>
        <v>0</v>
      </c>
      <c r="AT20" s="186"/>
      <c r="AU20" s="189">
        <f>'MSBC Andheri'!E93</f>
        <v>136988.728</v>
      </c>
      <c r="AV20" s="186"/>
      <c r="AW20" s="186"/>
      <c r="AX20" s="186"/>
      <c r="AY20" s="189">
        <f>'MSBC Dahisar'!E80</f>
        <v>0</v>
      </c>
      <c r="AZ20" s="186"/>
      <c r="BA20" s="186"/>
      <c r="BB20" s="186"/>
      <c r="BC20" s="114">
        <v>0.0</v>
      </c>
      <c r="BD20" s="43"/>
      <c r="BE20" s="114"/>
      <c r="BF20" s="43"/>
    </row>
    <row r="21" ht="15.75" customHeight="1">
      <c r="B21" s="188" t="s">
        <v>37</v>
      </c>
      <c r="C21" s="262">
        <f t="shared" si="51"/>
        <v>6254189.5</v>
      </c>
      <c r="D21" s="263">
        <f t="shared" si="52"/>
        <v>0.1121988453</v>
      </c>
      <c r="E21" s="262" t="str">
        <f t="shared" si="53"/>
        <v>#REF!</v>
      </c>
      <c r="F21" s="270" t="str">
        <f t="shared" si="54"/>
        <v>#REF!</v>
      </c>
      <c r="G21" s="189">
        <f>HO!J70</f>
        <v>351973</v>
      </c>
      <c r="H21" s="186"/>
      <c r="I21" s="189">
        <f>HO!L70</f>
        <v>364773</v>
      </c>
      <c r="J21" s="186"/>
      <c r="K21" s="262">
        <f t="shared" si="55"/>
        <v>5902216.5</v>
      </c>
      <c r="L21" s="263">
        <f t="shared" si="56"/>
        <v>0.1058845236</v>
      </c>
      <c r="M21" s="262" t="str">
        <f t="shared" si="57"/>
        <v>#REF!</v>
      </c>
      <c r="N21" s="263" t="str">
        <f t="shared" si="58"/>
        <v>#REF!</v>
      </c>
      <c r="O21" s="189">
        <f>'The Table'!J76</f>
        <v>1793621</v>
      </c>
      <c r="P21" s="264">
        <f t="shared" si="59"/>
        <v>0.1167530666</v>
      </c>
      <c r="Q21" s="189">
        <f>'The Table'!L76</f>
        <v>1750840.5</v>
      </c>
      <c r="R21" s="264">
        <f t="shared" si="60"/>
        <v>0.1313413345</v>
      </c>
      <c r="S21" s="189">
        <f>Iktara!G76</f>
        <v>86566.5</v>
      </c>
      <c r="T21" s="277">
        <f t="shared" si="61"/>
        <v>0.1526789789</v>
      </c>
      <c r="U21" s="189" t="str">
        <f t="shared" si="62"/>
        <v>#REF!</v>
      </c>
      <c r="V21" s="277" t="str">
        <f t="shared" si="63"/>
        <v>#REF!</v>
      </c>
      <c r="W21" s="189">
        <f>'Mg St Colaba'!J107</f>
        <v>1489972.333</v>
      </c>
      <c r="X21" s="277">
        <f t="shared" si="64"/>
        <v>0.1168790774</v>
      </c>
      <c r="Y21" s="189">
        <f>'Mg St Colaba'!L107</f>
        <v>1483293</v>
      </c>
      <c r="Z21" s="277">
        <f t="shared" si="65"/>
        <v>0.1201037306</v>
      </c>
      <c r="AA21" s="189">
        <f>'Mg St LP'!J108</f>
        <v>448645</v>
      </c>
      <c r="AB21" s="277">
        <f t="shared" si="66"/>
        <v>0.04642509402</v>
      </c>
      <c r="AC21" s="189">
        <f>'Mg St LP'!L108</f>
        <v>413372</v>
      </c>
      <c r="AD21" s="277">
        <f t="shared" si="67"/>
        <v>0.04961424884</v>
      </c>
      <c r="AE21" s="189">
        <f>'Mg St Bandra'!J105</f>
        <v>1629201</v>
      </c>
      <c r="AF21" s="277">
        <f t="shared" si="68"/>
        <v>0.09846174135</v>
      </c>
      <c r="AG21" s="189">
        <f>'Mg St Bandra'!L105</f>
        <v>1716590</v>
      </c>
      <c r="AH21" s="277">
        <f t="shared" si="69"/>
        <v>0.09992453954</v>
      </c>
      <c r="AI21" s="189">
        <f>'MSK Events'!E98</f>
        <v>135894</v>
      </c>
      <c r="AJ21" s="277" t="str">
        <f t="shared" si="70"/>
        <v>#DIV/0!</v>
      </c>
      <c r="AK21" s="189" t="str">
        <f t="shared" si="71"/>
        <v>#REF!</v>
      </c>
      <c r="AL21" s="277" t="str">
        <f t="shared" si="72"/>
        <v>#REF!</v>
      </c>
      <c r="AM21" s="189">
        <f>MSBC!J90</f>
        <v>272794</v>
      </c>
      <c r="AN21" s="277">
        <f t="shared" si="73"/>
        <v>0.7083351012</v>
      </c>
      <c r="AO21" s="189">
        <f>MSBC!L90</f>
        <v>0</v>
      </c>
      <c r="AP21" s="277">
        <f t="shared" si="74"/>
        <v>0</v>
      </c>
      <c r="AQ21" s="189">
        <f>Kaspers!H90</f>
        <v>45522.66667</v>
      </c>
      <c r="AR21" s="186"/>
      <c r="AS21" s="189">
        <f>Kaspers!J90</f>
        <v>0</v>
      </c>
      <c r="AT21" s="186"/>
      <c r="AU21" s="189">
        <f>'MSBC Andheri'!E100</f>
        <v>0</v>
      </c>
      <c r="AV21" s="186"/>
      <c r="AW21" s="186"/>
      <c r="AX21" s="186"/>
      <c r="AY21" s="189">
        <f>'MSBC Dahisar'!E89</f>
        <v>0</v>
      </c>
      <c r="AZ21" s="186"/>
      <c r="BA21" s="186"/>
      <c r="BB21" s="186"/>
      <c r="BC21" s="114">
        <f>'LOUD MOUTH'!E101</f>
        <v>0</v>
      </c>
      <c r="BD21" s="43"/>
      <c r="BE21" s="43"/>
      <c r="BF21" s="43"/>
    </row>
    <row r="22" ht="15.75" customHeight="1">
      <c r="B22" s="188" t="s">
        <v>38</v>
      </c>
      <c r="C22" s="262">
        <f t="shared" si="51"/>
        <v>19928417.39</v>
      </c>
      <c r="D22" s="263">
        <f t="shared" si="52"/>
        <v>0.3575116199</v>
      </c>
      <c r="E22" s="262" t="str">
        <f t="shared" si="53"/>
        <v>#REF!</v>
      </c>
      <c r="F22" s="270" t="str">
        <f t="shared" si="54"/>
        <v>#REF!</v>
      </c>
      <c r="G22" s="189">
        <f>HO!J77</f>
        <v>4412357.107</v>
      </c>
      <c r="H22" s="186"/>
      <c r="I22" s="189">
        <f>HO!L77</f>
        <v>4043806</v>
      </c>
      <c r="J22" s="186"/>
      <c r="K22" s="262">
        <f t="shared" si="55"/>
        <v>15516060.28</v>
      </c>
      <c r="L22" s="263">
        <f t="shared" si="56"/>
        <v>0.2783548606</v>
      </c>
      <c r="M22" s="262" t="str">
        <f t="shared" si="57"/>
        <v>#REF!</v>
      </c>
      <c r="N22" s="263" t="str">
        <f t="shared" si="58"/>
        <v>#REF!</v>
      </c>
      <c r="O22" s="189">
        <f>'The Table'!J82</f>
        <v>5167716.157</v>
      </c>
      <c r="P22" s="264">
        <f t="shared" si="59"/>
        <v>0.3363847261</v>
      </c>
      <c r="Q22" s="189">
        <f>'The Table'!L82</f>
        <v>5186540.577</v>
      </c>
      <c r="R22" s="264">
        <f t="shared" si="60"/>
        <v>0.3890743678</v>
      </c>
      <c r="S22" s="189">
        <f>Iktara!G82</f>
        <v>257652.92</v>
      </c>
      <c r="T22" s="277">
        <f t="shared" si="61"/>
        <v>0.4544273447</v>
      </c>
      <c r="U22" s="189" t="str">
        <f t="shared" si="62"/>
        <v>#REF!</v>
      </c>
      <c r="V22" s="277" t="str">
        <f t="shared" si="63"/>
        <v>#REF!</v>
      </c>
      <c r="W22" s="189">
        <f>'Mg St Colaba'!J113</f>
        <v>3191797.347</v>
      </c>
      <c r="X22" s="277">
        <f t="shared" si="64"/>
        <v>0.2503766819</v>
      </c>
      <c r="Y22" s="189">
        <f>'Mg St Colaba'!L113</f>
        <v>3253759.319</v>
      </c>
      <c r="Z22" s="277">
        <f t="shared" si="65"/>
        <v>0.2634601745</v>
      </c>
      <c r="AA22" s="189">
        <f>'Mg St LP'!J115</f>
        <v>1561042</v>
      </c>
      <c r="AB22" s="277">
        <f t="shared" si="66"/>
        <v>0.1615342233</v>
      </c>
      <c r="AC22" s="189">
        <f>'Mg St LP'!L115</f>
        <v>1736689.802</v>
      </c>
      <c r="AD22" s="277">
        <f t="shared" si="67"/>
        <v>0.2084431456</v>
      </c>
      <c r="AE22" s="189">
        <f>'Mg St Bandra'!J114</f>
        <v>3803269.75</v>
      </c>
      <c r="AF22" s="277">
        <f t="shared" si="68"/>
        <v>0.2298528926</v>
      </c>
      <c r="AG22" s="189">
        <f>'Mg St Bandra'!L114</f>
        <v>3806083.75</v>
      </c>
      <c r="AH22" s="277">
        <f t="shared" si="69"/>
        <v>0.2215562051</v>
      </c>
      <c r="AI22" s="189">
        <f>'MSK Events'!E104</f>
        <v>195828</v>
      </c>
      <c r="AJ22" s="277" t="str">
        <f t="shared" si="70"/>
        <v>#DIV/0!</v>
      </c>
      <c r="AK22" s="189" t="str">
        <f t="shared" si="71"/>
        <v>#REF!</v>
      </c>
      <c r="AL22" s="277" t="str">
        <f t="shared" si="72"/>
        <v>#REF!</v>
      </c>
      <c r="AM22" s="189">
        <f>MSBC!J96</f>
        <v>1260754.107</v>
      </c>
      <c r="AN22" s="277">
        <f t="shared" si="73"/>
        <v>3.273665798</v>
      </c>
      <c r="AO22" s="189">
        <f>MSBC!L96</f>
        <v>0</v>
      </c>
      <c r="AP22" s="277">
        <f t="shared" si="74"/>
        <v>0</v>
      </c>
      <c r="AQ22" s="189">
        <f>Kaspers!H97</f>
        <v>0</v>
      </c>
      <c r="AR22" s="186"/>
      <c r="AS22" s="189">
        <f>Kaspers!J97</f>
        <v>0</v>
      </c>
      <c r="AT22" s="186"/>
      <c r="AU22" s="189">
        <f>'MSBC Andheri'!E106</f>
        <v>0</v>
      </c>
      <c r="AV22" s="186"/>
      <c r="AW22" s="186"/>
      <c r="AX22" s="186"/>
      <c r="AY22" s="189">
        <f>'MSBC Dahisar'!E95</f>
        <v>0</v>
      </c>
      <c r="AZ22" s="186"/>
      <c r="BA22" s="186"/>
      <c r="BB22" s="186"/>
      <c r="BC22" s="114">
        <f>'LOUD MOUTH'!E108</f>
        <v>78000</v>
      </c>
      <c r="BD22" s="43"/>
      <c r="BE22" s="114"/>
      <c r="BF22" s="43"/>
    </row>
    <row r="23" ht="15.75" customHeight="1">
      <c r="B23" s="188" t="s">
        <v>39</v>
      </c>
      <c r="C23" s="262">
        <f t="shared" si="51"/>
        <v>992368.01</v>
      </c>
      <c r="D23" s="263">
        <f t="shared" si="52"/>
        <v>0.01780287355</v>
      </c>
      <c r="E23" s="262" t="str">
        <f t="shared" si="53"/>
        <v>#REF!</v>
      </c>
      <c r="F23" s="270" t="str">
        <f t="shared" si="54"/>
        <v>#REF!</v>
      </c>
      <c r="G23" s="189">
        <f>HO!J88</f>
        <v>484854</v>
      </c>
      <c r="H23" s="186"/>
      <c r="I23" s="189">
        <f>HO!L88</f>
        <v>36220</v>
      </c>
      <c r="J23" s="186"/>
      <c r="K23" s="262">
        <f t="shared" si="55"/>
        <v>507514.01</v>
      </c>
      <c r="L23" s="263">
        <f t="shared" si="56"/>
        <v>0.009104694683</v>
      </c>
      <c r="M23" s="262" t="str">
        <f t="shared" si="57"/>
        <v>#REF!</v>
      </c>
      <c r="N23" s="263" t="str">
        <f t="shared" si="58"/>
        <v>#REF!</v>
      </c>
      <c r="O23" s="189">
        <f>'The Table'!J91</f>
        <v>207243.59</v>
      </c>
      <c r="P23" s="264">
        <f t="shared" si="59"/>
        <v>0.0134902104</v>
      </c>
      <c r="Q23" s="189">
        <f>'The Table'!L91</f>
        <v>182167.6366</v>
      </c>
      <c r="R23" s="264">
        <f t="shared" si="60"/>
        <v>0.01366551693</v>
      </c>
      <c r="S23" s="189">
        <f>Iktara!G92</f>
        <v>0</v>
      </c>
      <c r="T23" s="277">
        <f t="shared" si="61"/>
        <v>0</v>
      </c>
      <c r="U23" s="186" t="str">
        <f t="shared" si="62"/>
        <v>#REF!</v>
      </c>
      <c r="V23" s="277" t="str">
        <f t="shared" si="63"/>
        <v>#REF!</v>
      </c>
      <c r="W23" s="189">
        <f>'Mg St Colaba'!J124</f>
        <v>102730.27</v>
      </c>
      <c r="X23" s="277">
        <f t="shared" si="64"/>
        <v>0.008058551763</v>
      </c>
      <c r="Y23" s="189">
        <f>'Mg St Colaba'!L124</f>
        <v>107941.0126</v>
      </c>
      <c r="Z23" s="277">
        <f t="shared" si="65"/>
        <v>0.008740092685</v>
      </c>
      <c r="AA23" s="189">
        <f>'Mg St LP'!J125</f>
        <v>43622.7</v>
      </c>
      <c r="AB23" s="277">
        <f t="shared" si="66"/>
        <v>0.004514009849</v>
      </c>
      <c r="AC23" s="189">
        <f>'Mg St LP'!L125</f>
        <v>36007.536</v>
      </c>
      <c r="AD23" s="277">
        <f t="shared" si="67"/>
        <v>0.004321741316</v>
      </c>
      <c r="AE23" s="189">
        <f>'Mg St Bandra'!J125</f>
        <v>134566.45</v>
      </c>
      <c r="AF23" s="277">
        <f t="shared" si="68"/>
        <v>0.008132604261</v>
      </c>
      <c r="AG23" s="189">
        <f>'Mg St Bandra'!L125</f>
        <v>136662.225</v>
      </c>
      <c r="AH23" s="277">
        <f t="shared" si="69"/>
        <v>0.007955254257</v>
      </c>
      <c r="AI23" s="189">
        <f>'MSK Events'!E114</f>
        <v>0</v>
      </c>
      <c r="AJ23" s="277" t="str">
        <f t="shared" si="70"/>
        <v>#DIV/0!</v>
      </c>
      <c r="AK23" s="189" t="str">
        <f t="shared" si="71"/>
        <v>#REF!</v>
      </c>
      <c r="AL23" s="277" t="str">
        <f t="shared" si="72"/>
        <v>#REF!</v>
      </c>
      <c r="AM23" s="189">
        <f>MSBC!J106</f>
        <v>0</v>
      </c>
      <c r="AN23" s="277">
        <f t="shared" si="73"/>
        <v>0</v>
      </c>
      <c r="AO23" s="189">
        <f>MSBC!L106</f>
        <v>0</v>
      </c>
      <c r="AP23" s="277">
        <f t="shared" si="74"/>
        <v>0</v>
      </c>
      <c r="AQ23" s="189">
        <f>Kaspers!H109</f>
        <v>19351</v>
      </c>
      <c r="AR23" s="186"/>
      <c r="AS23" s="189">
        <f>Kaspers!J109</f>
        <v>0</v>
      </c>
      <c r="AT23" s="186"/>
      <c r="AU23" s="186"/>
      <c r="AV23" s="186"/>
      <c r="AW23" s="186"/>
      <c r="AX23" s="186"/>
      <c r="AY23" s="189">
        <f>'MSBC Dahisar'!E105</f>
        <v>0</v>
      </c>
      <c r="AZ23" s="186"/>
      <c r="BA23" s="186"/>
      <c r="BB23" s="186"/>
      <c r="BC23" s="114">
        <v>0.0</v>
      </c>
      <c r="BD23" s="43"/>
      <c r="BE23" s="114"/>
      <c r="BF23" s="43"/>
    </row>
    <row r="24" ht="15.75" customHeight="1">
      <c r="B24" s="188" t="s">
        <v>40</v>
      </c>
      <c r="C24" s="262">
        <f t="shared" si="51"/>
        <v>235851.0833</v>
      </c>
      <c r="D24" s="263">
        <f t="shared" si="52"/>
        <v>0.00423111887</v>
      </c>
      <c r="E24" s="262" t="str">
        <f t="shared" si="53"/>
        <v>#REF!</v>
      </c>
      <c r="F24" s="270" t="str">
        <f t="shared" si="54"/>
        <v>#REF!</v>
      </c>
      <c r="G24" s="189">
        <f>HO!J95</f>
        <v>114585.1667</v>
      </c>
      <c r="H24" s="186"/>
      <c r="I24" s="189">
        <f>HO!L95</f>
        <v>121381.8333</v>
      </c>
      <c r="J24" s="186"/>
      <c r="K24" s="262">
        <f t="shared" si="55"/>
        <v>121265.9167</v>
      </c>
      <c r="L24" s="263">
        <f t="shared" si="56"/>
        <v>0.00217548506</v>
      </c>
      <c r="M24" s="262" t="str">
        <f t="shared" si="57"/>
        <v>#REF!</v>
      </c>
      <c r="N24" s="263" t="str">
        <f t="shared" si="58"/>
        <v>#REF!</v>
      </c>
      <c r="O24" s="189">
        <f>'The Table'!J94</f>
        <v>37760</v>
      </c>
      <c r="P24" s="264">
        <f t="shared" si="59"/>
        <v>0.002457930519</v>
      </c>
      <c r="Q24" s="189">
        <f>'The Table'!L94</f>
        <v>36400</v>
      </c>
      <c r="R24" s="264">
        <f t="shared" si="60"/>
        <v>0.002730588294</v>
      </c>
      <c r="S24" s="189">
        <f>Iktara!G95</f>
        <v>688.3333333</v>
      </c>
      <c r="T24" s="277">
        <f t="shared" si="61"/>
        <v>0.001214026563</v>
      </c>
      <c r="U24" s="186" t="str">
        <f t="shared" si="62"/>
        <v>#REF!</v>
      </c>
      <c r="V24" s="277" t="str">
        <f t="shared" si="63"/>
        <v>#REF!</v>
      </c>
      <c r="W24" s="189">
        <f>'Mg St Colaba'!J127</f>
        <v>30188.33333</v>
      </c>
      <c r="X24" s="277">
        <f t="shared" si="64"/>
        <v>0.002368087291</v>
      </c>
      <c r="Y24" s="186">
        <f>'Mg St Colaba'!L127</f>
        <v>30188.33333</v>
      </c>
      <c r="Z24" s="277">
        <f t="shared" si="65"/>
        <v>0.002444379804</v>
      </c>
      <c r="AA24" s="189">
        <f>'Mg St LP'!J128</f>
        <v>3638.333333</v>
      </c>
      <c r="AB24" s="277">
        <f t="shared" si="66"/>
        <v>0.000376489133</v>
      </c>
      <c r="AC24" s="189">
        <f>'Mg St LP'!L128</f>
        <v>3638</v>
      </c>
      <c r="AD24" s="277">
        <f t="shared" si="67"/>
        <v>0.0004366445654</v>
      </c>
      <c r="AE24" s="189">
        <f>'Mg St Bandra'!J128</f>
        <v>31663.33333</v>
      </c>
      <c r="AF24" s="277">
        <f t="shared" si="68"/>
        <v>0.001913592575</v>
      </c>
      <c r="AG24" s="189">
        <f>'Mg St Bandra'!L128</f>
        <v>23000</v>
      </c>
      <c r="AH24" s="277">
        <f t="shared" si="69"/>
        <v>0.001338854595</v>
      </c>
      <c r="AI24" s="189">
        <f>'MSK Events'!E117</f>
        <v>6806.25</v>
      </c>
      <c r="AJ24" s="277" t="str">
        <f t="shared" si="70"/>
        <v>#DIV/0!</v>
      </c>
      <c r="AK24" s="189" t="str">
        <f t="shared" si="71"/>
        <v>#REF!</v>
      </c>
      <c r="AL24" s="277" t="str">
        <f t="shared" si="72"/>
        <v>#REF!</v>
      </c>
      <c r="AM24" s="189">
        <f>MSBC!J109</f>
        <v>10521.33333</v>
      </c>
      <c r="AN24" s="277">
        <f t="shared" si="73"/>
        <v>0.02731962474</v>
      </c>
      <c r="AO24" s="189">
        <f>MSBC!L109</f>
        <v>0</v>
      </c>
      <c r="AP24" s="277">
        <f t="shared" si="74"/>
        <v>0</v>
      </c>
      <c r="AQ24" s="189">
        <f>Kaspers!H113</f>
        <v>0</v>
      </c>
      <c r="AR24" s="186"/>
      <c r="AS24" s="189">
        <f>Kaspers!J113</f>
        <v>0</v>
      </c>
      <c r="AT24" s="186"/>
      <c r="AU24" s="186"/>
      <c r="AV24" s="186"/>
      <c r="AW24" s="186"/>
      <c r="AX24" s="186"/>
      <c r="AY24" s="189">
        <f>'MSBC Dahisar'!E108</f>
        <v>0</v>
      </c>
      <c r="AZ24" s="186"/>
      <c r="BA24" s="186"/>
      <c r="BB24" s="186"/>
      <c r="BC24" s="114">
        <v>0.0</v>
      </c>
      <c r="BD24" s="43"/>
      <c r="BE24" s="114"/>
      <c r="BF24" s="43"/>
    </row>
    <row r="25" ht="15.75" customHeight="1">
      <c r="B25" s="188" t="s">
        <v>41</v>
      </c>
      <c r="C25" s="262">
        <f t="shared" si="51"/>
        <v>1796377.75</v>
      </c>
      <c r="D25" s="263">
        <f t="shared" si="52"/>
        <v>0.03222663932</v>
      </c>
      <c r="E25" s="262" t="str">
        <f t="shared" si="53"/>
        <v>#REF!</v>
      </c>
      <c r="F25" s="270" t="str">
        <f t="shared" si="54"/>
        <v>#REF!</v>
      </c>
      <c r="G25" s="189">
        <f>HO!J106</f>
        <v>269769.5</v>
      </c>
      <c r="H25" s="186"/>
      <c r="I25" s="189">
        <f>HO!L106</f>
        <v>76500</v>
      </c>
      <c r="J25" s="186"/>
      <c r="K25" s="262">
        <f t="shared" si="55"/>
        <v>1526608.25</v>
      </c>
      <c r="L25" s="263">
        <f t="shared" si="56"/>
        <v>0.02738703118</v>
      </c>
      <c r="M25" s="262" t="str">
        <f t="shared" si="57"/>
        <v>#REF!</v>
      </c>
      <c r="N25" s="263" t="str">
        <f t="shared" si="58"/>
        <v>#REF!</v>
      </c>
      <c r="O25" s="189">
        <f>'The Table'!J99</f>
        <v>307876.0833</v>
      </c>
      <c r="P25" s="264">
        <f t="shared" si="59"/>
        <v>0.0200407315</v>
      </c>
      <c r="Q25" s="189">
        <f>'The Table'!L99</f>
        <v>280710</v>
      </c>
      <c r="R25" s="264">
        <f t="shared" si="60"/>
        <v>0.02105778682</v>
      </c>
      <c r="S25" s="189">
        <f>Iktara!G99</f>
        <v>7304.416667</v>
      </c>
      <c r="T25" s="277">
        <f t="shared" si="61"/>
        <v>0.0128829383</v>
      </c>
      <c r="U25" s="186" t="str">
        <f t="shared" si="62"/>
        <v>#REF!</v>
      </c>
      <c r="V25" s="277" t="str">
        <f t="shared" si="63"/>
        <v>#REF!</v>
      </c>
      <c r="W25" s="189">
        <f>'Mg St Colaba'!J132</f>
        <v>289173</v>
      </c>
      <c r="X25" s="277">
        <f t="shared" si="64"/>
        <v>0.02268382619</v>
      </c>
      <c r="Y25" s="189">
        <f>'Mg St Colaba'!L132</f>
        <v>421563.0833</v>
      </c>
      <c r="Z25" s="277">
        <f t="shared" si="65"/>
        <v>0.03413438813</v>
      </c>
      <c r="AA25" s="189">
        <f>'Mg St LP'!J132</f>
        <v>111886.75</v>
      </c>
      <c r="AB25" s="277">
        <f t="shared" si="66"/>
        <v>0.01157786867</v>
      </c>
      <c r="AC25" s="189">
        <f>'Mg St LP'!L132</f>
        <v>59242.5</v>
      </c>
      <c r="AD25" s="277">
        <f t="shared" si="67"/>
        <v>0.007110477093</v>
      </c>
      <c r="AE25" s="189">
        <f>'Mg St Bandra'!J132</f>
        <v>374476.3333</v>
      </c>
      <c r="AF25" s="277">
        <f t="shared" si="68"/>
        <v>0.02263170221</v>
      </c>
      <c r="AG25" s="189">
        <f>'Mg St Bandra'!L132</f>
        <v>438458.3333</v>
      </c>
      <c r="AH25" s="277">
        <f t="shared" si="69"/>
        <v>0.02552312845</v>
      </c>
      <c r="AI25" s="189">
        <f>'MSK Events'!E121</f>
        <v>222093.1667</v>
      </c>
      <c r="AJ25" s="277" t="str">
        <f t="shared" si="70"/>
        <v>#DIV/0!</v>
      </c>
      <c r="AK25" s="189" t="str">
        <f t="shared" si="71"/>
        <v>#REF!</v>
      </c>
      <c r="AL25" s="277" t="str">
        <f t="shared" si="72"/>
        <v>#REF!</v>
      </c>
      <c r="AM25" s="189">
        <f>MSBC!J114</f>
        <v>96234.5</v>
      </c>
      <c r="AN25" s="277">
        <f t="shared" si="73"/>
        <v>0.249881868</v>
      </c>
      <c r="AO25" s="189">
        <f>MSBC!L114</f>
        <v>0</v>
      </c>
      <c r="AP25" s="277">
        <f t="shared" si="74"/>
        <v>0</v>
      </c>
      <c r="AQ25" s="189">
        <f>Kaspers!H117</f>
        <v>101364</v>
      </c>
      <c r="AR25" s="186"/>
      <c r="AS25" s="189">
        <f>Kaspers!J117</f>
        <v>0</v>
      </c>
      <c r="AT25" s="186"/>
      <c r="AU25" s="189">
        <f>'MSBC Andheri'!E123</f>
        <v>16200</v>
      </c>
      <c r="AV25" s="186"/>
      <c r="AW25" s="186"/>
      <c r="AX25" s="186"/>
      <c r="AY25" s="189">
        <f>'MSBC Dahisar'!E112</f>
        <v>0</v>
      </c>
      <c r="AZ25" s="186"/>
      <c r="BA25" s="186"/>
      <c r="BB25" s="186"/>
      <c r="BC25" s="114">
        <f>'LOUD MOUTH'!E128</f>
        <v>0</v>
      </c>
      <c r="BD25" s="43"/>
      <c r="BE25" s="114"/>
      <c r="BF25" s="43"/>
    </row>
    <row r="26" ht="15.75" customHeight="1">
      <c r="B26" s="188" t="s">
        <v>42</v>
      </c>
      <c r="C26" s="262">
        <f t="shared" si="51"/>
        <v>80064</v>
      </c>
      <c r="D26" s="263">
        <f t="shared" si="52"/>
        <v>0.001436331334</v>
      </c>
      <c r="E26" s="262" t="str">
        <f t="shared" si="53"/>
        <v>#REF!</v>
      </c>
      <c r="F26" s="270" t="str">
        <f t="shared" si="54"/>
        <v>#REF!</v>
      </c>
      <c r="G26" s="189">
        <f>HO!J123</f>
        <v>80064</v>
      </c>
      <c r="H26" s="186"/>
      <c r="I26" s="189">
        <f>HO!L123</f>
        <v>100000</v>
      </c>
      <c r="J26" s="186"/>
      <c r="K26" s="262">
        <f t="shared" si="55"/>
        <v>0</v>
      </c>
      <c r="L26" s="263">
        <f t="shared" si="56"/>
        <v>0</v>
      </c>
      <c r="M26" s="262" t="str">
        <f t="shared" si="57"/>
        <v>#REF!</v>
      </c>
      <c r="N26" s="263" t="str">
        <f t="shared" si="58"/>
        <v>#REF!</v>
      </c>
      <c r="O26" s="189">
        <f>'The Table'!J122</f>
        <v>0</v>
      </c>
      <c r="P26" s="264">
        <f t="shared" si="59"/>
        <v>0</v>
      </c>
      <c r="Q26" s="189">
        <f>'The Table'!L122</f>
        <v>0</v>
      </c>
      <c r="R26" s="264">
        <f t="shared" si="60"/>
        <v>0</v>
      </c>
      <c r="S26" s="189">
        <f>Iktara!G112</f>
        <v>0</v>
      </c>
      <c r="T26" s="277">
        <f t="shared" si="61"/>
        <v>0</v>
      </c>
      <c r="U26" s="186" t="str">
        <f t="shared" si="62"/>
        <v>#REF!</v>
      </c>
      <c r="V26" s="277" t="str">
        <f t="shared" si="63"/>
        <v>#REF!</v>
      </c>
      <c r="W26" s="189">
        <f>'Mg St Colaba'!J148</f>
        <v>0</v>
      </c>
      <c r="X26" s="277">
        <f t="shared" si="64"/>
        <v>0</v>
      </c>
      <c r="Y26" s="186">
        <f>'Mg St Colaba'!L148</f>
        <v>0</v>
      </c>
      <c r="Z26" s="277">
        <f t="shared" si="65"/>
        <v>0</v>
      </c>
      <c r="AA26" s="189">
        <f>'Mg St LP'!J148</f>
        <v>0</v>
      </c>
      <c r="AB26" s="277">
        <f t="shared" si="66"/>
        <v>0</v>
      </c>
      <c r="AC26" s="186">
        <f>'Mg St LP'!L148</f>
        <v>0</v>
      </c>
      <c r="AD26" s="277">
        <f t="shared" si="67"/>
        <v>0</v>
      </c>
      <c r="AE26" s="189">
        <f>'Mg St Bandra'!J149</f>
        <v>0</v>
      </c>
      <c r="AF26" s="277">
        <f t="shared" si="68"/>
        <v>0</v>
      </c>
      <c r="AG26" s="282">
        <f>'Mg St Bandra'!L149</f>
        <v>0</v>
      </c>
      <c r="AH26" s="277">
        <f t="shared" si="69"/>
        <v>0</v>
      </c>
      <c r="AI26" s="189">
        <f>'MSK Events'!E138</f>
        <v>0</v>
      </c>
      <c r="AJ26" s="277" t="str">
        <f t="shared" si="70"/>
        <v>#DIV/0!</v>
      </c>
      <c r="AK26" s="189" t="str">
        <f t="shared" si="71"/>
        <v>#REF!</v>
      </c>
      <c r="AL26" s="277" t="str">
        <f t="shared" si="72"/>
        <v>#REF!</v>
      </c>
      <c r="AM26" s="189">
        <f>MSBC!J131</f>
        <v>0</v>
      </c>
      <c r="AN26" s="277">
        <f t="shared" si="73"/>
        <v>0</v>
      </c>
      <c r="AO26" s="189">
        <f>MSBC!L131</f>
        <v>0</v>
      </c>
      <c r="AP26" s="277">
        <f t="shared" si="74"/>
        <v>0</v>
      </c>
      <c r="AQ26" s="189">
        <f>Kaspers!H141</f>
        <v>0</v>
      </c>
      <c r="AR26" s="186"/>
      <c r="AS26" s="189">
        <f>Kaspers!J141</f>
        <v>0</v>
      </c>
      <c r="AT26" s="186"/>
      <c r="AU26" s="189">
        <f>'MSBC Andheri'!E138</f>
        <v>0</v>
      </c>
      <c r="AV26" s="186"/>
      <c r="AW26" s="186"/>
      <c r="AX26" s="186"/>
      <c r="AY26" s="189">
        <f>'MSBC Dahisar'!E127</f>
        <v>0</v>
      </c>
      <c r="AZ26" s="186"/>
      <c r="BA26" s="186"/>
      <c r="BB26" s="186"/>
      <c r="BC26" s="114"/>
      <c r="BD26" s="43"/>
      <c r="BE26" s="114"/>
      <c r="BF26" s="43"/>
    </row>
    <row r="27" ht="15.75" customHeight="1">
      <c r="B27" s="188" t="s">
        <v>43</v>
      </c>
      <c r="C27" s="262">
        <f t="shared" si="51"/>
        <v>-1432093.006</v>
      </c>
      <c r="D27" s="263">
        <f t="shared" si="52"/>
        <v>-0.02569144756</v>
      </c>
      <c r="E27" s="262" t="str">
        <f t="shared" si="53"/>
        <v>#REF!</v>
      </c>
      <c r="F27" s="270" t="str">
        <f t="shared" si="54"/>
        <v>#REF!</v>
      </c>
      <c r="G27" s="189">
        <f>HO!J130</f>
        <v>177768</v>
      </c>
      <c r="H27" s="186"/>
      <c r="I27" s="189">
        <f>HO!L130</f>
        <v>0</v>
      </c>
      <c r="J27" s="186"/>
      <c r="K27" s="262">
        <f t="shared" si="55"/>
        <v>-1609861.006</v>
      </c>
      <c r="L27" s="263">
        <f t="shared" si="56"/>
        <v>-0.02888056813</v>
      </c>
      <c r="M27" s="262" t="str">
        <f t="shared" si="57"/>
        <v>#REF!</v>
      </c>
      <c r="N27" s="263" t="str">
        <f t="shared" si="58"/>
        <v>#REF!</v>
      </c>
      <c r="O27" s="189">
        <f>'The Table'!J127</f>
        <v>0</v>
      </c>
      <c r="P27" s="264">
        <f t="shared" si="59"/>
        <v>0</v>
      </c>
      <c r="Q27" s="189">
        <f>'The Table'!L127</f>
        <v>0</v>
      </c>
      <c r="R27" s="264">
        <f t="shared" si="60"/>
        <v>0</v>
      </c>
      <c r="S27" s="189">
        <f>Iktara!G116</f>
        <v>0</v>
      </c>
      <c r="T27" s="277">
        <f t="shared" si="61"/>
        <v>0</v>
      </c>
      <c r="U27" s="189" t="str">
        <f t="shared" si="62"/>
        <v>#REF!</v>
      </c>
      <c r="V27" s="277" t="str">
        <f t="shared" si="63"/>
        <v>#REF!</v>
      </c>
      <c r="W27" s="189">
        <f>'Mg St Colaba'!J153</f>
        <v>0</v>
      </c>
      <c r="X27" s="277">
        <f t="shared" si="64"/>
        <v>0</v>
      </c>
      <c r="Y27" s="189">
        <f>'Mg St Colaba'!L153</f>
        <v>0</v>
      </c>
      <c r="Z27" s="277">
        <f t="shared" si="65"/>
        <v>0</v>
      </c>
      <c r="AA27" s="189">
        <f>'Mg St LP'!J152</f>
        <v>0</v>
      </c>
      <c r="AB27" s="277">
        <f t="shared" si="66"/>
        <v>0</v>
      </c>
      <c r="AC27" s="189">
        <f>'Mg St LP'!L152</f>
        <v>0</v>
      </c>
      <c r="AD27" s="277">
        <f t="shared" si="67"/>
        <v>0</v>
      </c>
      <c r="AE27" s="189">
        <f>'Mg St Bandra'!J153</f>
        <v>0</v>
      </c>
      <c r="AF27" s="277">
        <f t="shared" si="68"/>
        <v>0</v>
      </c>
      <c r="AG27" s="189">
        <f>'Mg St Bandra'!L153</f>
        <v>0</v>
      </c>
      <c r="AH27" s="277">
        <f t="shared" si="69"/>
        <v>0</v>
      </c>
      <c r="AI27" s="189">
        <f>'MSK Events'!E142</f>
        <v>0</v>
      </c>
      <c r="AJ27" s="277" t="str">
        <f t="shared" si="70"/>
        <v>#DIV/0!</v>
      </c>
      <c r="AK27" s="189" t="str">
        <f t="shared" si="71"/>
        <v>#REF!</v>
      </c>
      <c r="AL27" s="277" t="str">
        <f t="shared" si="72"/>
        <v>#REF!</v>
      </c>
      <c r="AM27" s="189">
        <f>MSBC!J135</f>
        <v>-1609861.006</v>
      </c>
      <c r="AN27" s="277">
        <f t="shared" si="73"/>
        <v>-4.18015447</v>
      </c>
      <c r="AO27" s="189">
        <f>MSBC!L135</f>
        <v>0</v>
      </c>
      <c r="AP27" s="277">
        <f t="shared" si="74"/>
        <v>0</v>
      </c>
      <c r="AQ27" s="189">
        <f>Kaspers!H145</f>
        <v>0</v>
      </c>
      <c r="AR27" s="186"/>
      <c r="AS27" s="189">
        <f>Kaspers!J145</f>
        <v>0</v>
      </c>
      <c r="AT27" s="186"/>
      <c r="AU27" s="186"/>
      <c r="AV27" s="186"/>
      <c r="AW27" s="186"/>
      <c r="AX27" s="186"/>
      <c r="AY27" s="189">
        <f>'MSBC Dahisar'!E131</f>
        <v>0</v>
      </c>
      <c r="AZ27" s="186"/>
      <c r="BA27" s="186"/>
      <c r="BB27" s="186"/>
      <c r="BC27" s="62">
        <f>'LOUD MOUTH'!E148</f>
        <v>0</v>
      </c>
      <c r="BD27" s="62"/>
      <c r="BE27" s="62"/>
      <c r="BF27" s="62"/>
    </row>
    <row r="28" ht="15.75" customHeight="1">
      <c r="B28" s="188" t="s">
        <v>44</v>
      </c>
      <c r="C28" s="190">
        <f>SUM(C18:C27)</f>
        <v>32144209.23</v>
      </c>
      <c r="D28" s="263">
        <f t="shared" si="52"/>
        <v>0.5766603583</v>
      </c>
      <c r="E28" s="190" t="str">
        <f t="shared" si="53"/>
        <v>#REF!</v>
      </c>
      <c r="F28" s="270" t="str">
        <f t="shared" si="54"/>
        <v>#REF!</v>
      </c>
      <c r="G28" s="190">
        <f>SUM(G18:G27)</f>
        <v>5982635.773</v>
      </c>
      <c r="H28" s="188"/>
      <c r="I28" s="190">
        <f>SUM(I18:I27)</f>
        <v>4755554.833</v>
      </c>
      <c r="J28" s="188"/>
      <c r="K28" s="190">
        <f>SUM(K18:K27)</f>
        <v>26161573.45</v>
      </c>
      <c r="L28" s="263">
        <f t="shared" si="56"/>
        <v>0.4693331298</v>
      </c>
      <c r="M28" s="190" t="str">
        <f>SUM(M18:M27)</f>
        <v>#REF!</v>
      </c>
      <c r="N28" s="263" t="str">
        <f t="shared" si="58"/>
        <v>#REF!</v>
      </c>
      <c r="O28" s="190">
        <f>SUM(O18:O27)</f>
        <v>8065108.232</v>
      </c>
      <c r="P28" s="263">
        <f t="shared" si="59"/>
        <v>0.524986114</v>
      </c>
      <c r="Q28" s="190">
        <f>SUM(Q18:Q27)</f>
        <v>7954916.648</v>
      </c>
      <c r="R28" s="263">
        <f t="shared" si="60"/>
        <v>0.5967473154</v>
      </c>
      <c r="S28" s="190">
        <f>SUM(S18:S27)</f>
        <v>513483.0112</v>
      </c>
      <c r="T28" s="270">
        <f t="shared" si="61"/>
        <v>0.9056397317</v>
      </c>
      <c r="U28" s="190" t="str">
        <f>SUM(U18:U27)</f>
        <v>#REF!</v>
      </c>
      <c r="V28" s="270" t="str">
        <f t="shared" si="63"/>
        <v>#REF!</v>
      </c>
      <c r="W28" s="190">
        <f>SUM(W18:W27)</f>
        <v>6100518.049</v>
      </c>
      <c r="X28" s="270">
        <f t="shared" si="64"/>
        <v>0.4785477589</v>
      </c>
      <c r="Y28" s="190">
        <f>SUM(Y18:Y27)</f>
        <v>6081764.864</v>
      </c>
      <c r="Z28" s="270">
        <f t="shared" si="65"/>
        <v>0.4924466363</v>
      </c>
      <c r="AA28" s="190">
        <f>SUM(AA18:AA27)</f>
        <v>3181318.487</v>
      </c>
      <c r="AB28" s="270">
        <f t="shared" si="66"/>
        <v>0.3291979402</v>
      </c>
      <c r="AC28" s="190">
        <f>SUM(AC18:AC27)</f>
        <v>3111081.819</v>
      </c>
      <c r="AD28" s="270">
        <f t="shared" si="67"/>
        <v>0.3734021354</v>
      </c>
      <c r="AE28" s="190">
        <f>SUM(AE18:AE27)</f>
        <v>6972972.25</v>
      </c>
      <c r="AF28" s="270">
        <f t="shared" si="68"/>
        <v>0.4214157677</v>
      </c>
      <c r="AG28" s="190">
        <f>SUM(AG18:AG27)</f>
        <v>7046199.323</v>
      </c>
      <c r="AH28" s="270">
        <f t="shared" si="69"/>
        <v>0.4101667974</v>
      </c>
      <c r="AI28" s="190">
        <f>SUM(AI18:AI27)</f>
        <v>572985.4167</v>
      </c>
      <c r="AJ28" s="270" t="str">
        <f t="shared" si="70"/>
        <v>#DIV/0!</v>
      </c>
      <c r="AK28" s="190" t="str">
        <f>SUM(AK18:AK27)</f>
        <v>#REF!</v>
      </c>
      <c r="AL28" s="270" t="str">
        <f t="shared" si="72"/>
        <v>#REF!</v>
      </c>
      <c r="AM28" s="190">
        <f>SUM(AM18:AM27)</f>
        <v>227195.6799</v>
      </c>
      <c r="AN28" s="270">
        <f t="shared" si="73"/>
        <v>0.5899348039</v>
      </c>
      <c r="AO28" s="190">
        <f>SUM(AO18:AO27)</f>
        <v>73250</v>
      </c>
      <c r="AP28" s="270">
        <f t="shared" si="74"/>
        <v>0.915625</v>
      </c>
      <c r="AQ28" s="190">
        <f>SUM(AQ18:AQ27)</f>
        <v>281965.6667</v>
      </c>
      <c r="AR28" s="188"/>
      <c r="AS28" s="190">
        <f>SUM(AS18:AS27)</f>
        <v>26833.33333</v>
      </c>
      <c r="AT28" s="188"/>
      <c r="AU28" s="190">
        <f>SUM(AU18:AU27)</f>
        <v>168026.6613</v>
      </c>
      <c r="AV28" s="188"/>
      <c r="AW28" s="188">
        <f>SUM(AW18:AW27)</f>
        <v>0</v>
      </c>
      <c r="AX28" s="188"/>
      <c r="AY28" s="190">
        <f>SUM(AY18:AY27)</f>
        <v>0</v>
      </c>
      <c r="AZ28" s="186"/>
      <c r="BA28" s="186"/>
      <c r="BB28" s="186"/>
      <c r="BC28" s="146">
        <f>SUM(BC18:BC27)</f>
        <v>78000</v>
      </c>
      <c r="BD28" s="62"/>
      <c r="BE28" s="62"/>
      <c r="BF28" s="62"/>
    </row>
    <row r="29" ht="15.75" customHeight="1">
      <c r="B29" s="188"/>
      <c r="C29" s="268"/>
      <c r="D29" s="268"/>
      <c r="E29" s="268"/>
      <c r="F29" s="268"/>
      <c r="G29" s="186"/>
      <c r="H29" s="186"/>
      <c r="I29" s="186"/>
      <c r="J29" s="186"/>
      <c r="K29" s="268"/>
      <c r="L29" s="268"/>
      <c r="M29" s="268"/>
      <c r="N29" s="268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186"/>
      <c r="AM29" s="186"/>
      <c r="AN29" s="186"/>
      <c r="AO29" s="186"/>
      <c r="AP29" s="186"/>
      <c r="AQ29" s="186"/>
      <c r="AR29" s="186"/>
      <c r="AS29" s="186"/>
      <c r="AT29" s="186"/>
      <c r="AU29" s="186"/>
      <c r="AV29" s="186"/>
      <c r="AW29" s="186"/>
      <c r="AX29" s="186"/>
      <c r="AY29" s="186"/>
      <c r="AZ29" s="186"/>
      <c r="BA29" s="186"/>
      <c r="BB29" s="186"/>
      <c r="BC29" s="96"/>
      <c r="BD29" s="62"/>
      <c r="BE29" s="62"/>
      <c r="BF29" s="62"/>
    </row>
    <row r="30" ht="15.75" customHeight="1">
      <c r="B30" s="188" t="s">
        <v>45</v>
      </c>
      <c r="C30" s="190">
        <f>C16-C28</f>
        <v>4448434.31</v>
      </c>
      <c r="D30" s="263">
        <f>C30/C$10</f>
        <v>0.07980397665</v>
      </c>
      <c r="E30" s="190" t="str">
        <f>E16-E28</f>
        <v>#REF!</v>
      </c>
      <c r="F30" s="263" t="str">
        <f>E30/E$10</f>
        <v>#REF!</v>
      </c>
      <c r="G30" s="190">
        <f>G16-G28</f>
        <v>-5982635.773</v>
      </c>
      <c r="H30" s="188"/>
      <c r="I30" s="190">
        <f>I16-I28</f>
        <v>-4755554.833</v>
      </c>
      <c r="J30" s="188"/>
      <c r="K30" s="190">
        <f>K16-K28</f>
        <v>10431070.08</v>
      </c>
      <c r="L30" s="263">
        <f>K30/K$10</f>
        <v>0.1871312051</v>
      </c>
      <c r="M30" s="190" t="str">
        <f>M16-M28</f>
        <v>#REF!</v>
      </c>
      <c r="N30" s="263" t="str">
        <f>M30/M$10</f>
        <v>#REF!</v>
      </c>
      <c r="O30" s="190">
        <f>O16-O28</f>
        <v>1216624.865</v>
      </c>
      <c r="P30" s="263">
        <f>O30/O$10</f>
        <v>0.07919436932</v>
      </c>
      <c r="Q30" s="190">
        <f>Q16-Q28</f>
        <v>872991.1018</v>
      </c>
      <c r="R30" s="263">
        <f>Q30/Q$10</f>
        <v>0.06548844186</v>
      </c>
      <c r="S30" s="190">
        <f>S16-S28</f>
        <v>-179374.3111</v>
      </c>
      <c r="T30" s="270">
        <f>S30/S$10</f>
        <v>-0.3163658766</v>
      </c>
      <c r="U30" s="190" t="str">
        <f>U16-U28</f>
        <v>#REF!</v>
      </c>
      <c r="V30" s="270" t="str">
        <f>U30/U$10</f>
        <v>#REF!</v>
      </c>
      <c r="W30" s="190">
        <f>W16-W28</f>
        <v>2375425.028</v>
      </c>
      <c r="X30" s="270">
        <f>W30/W$10</f>
        <v>0.1863373429</v>
      </c>
      <c r="Y30" s="190">
        <f>Y16-Y28</f>
        <v>2769149.16</v>
      </c>
      <c r="Z30" s="270">
        <f>Y30/Y$10</f>
        <v>0.224220801</v>
      </c>
      <c r="AA30" s="190">
        <f>AA16-AA28</f>
        <v>3332495.71</v>
      </c>
      <c r="AB30" s="270">
        <f>AA30/AA$10</f>
        <v>0.3448415265</v>
      </c>
      <c r="AC30" s="190">
        <f>AC16-AC28</f>
        <v>3140938.586</v>
      </c>
      <c r="AD30" s="270">
        <f>AC30/AC$10</f>
        <v>0.3769856415</v>
      </c>
      <c r="AE30" s="190">
        <f>AE16-AE28</f>
        <v>4674466.67</v>
      </c>
      <c r="AF30" s="270">
        <f>AE30/AE$10</f>
        <v>0.2825042019</v>
      </c>
      <c r="AG30" s="190">
        <f>AG16-AG28</f>
        <v>5033232.259</v>
      </c>
      <c r="AH30" s="270">
        <f>AG30/AG$10</f>
        <v>0.2929898321</v>
      </c>
      <c r="AI30" s="190">
        <f>AI16-AI28</f>
        <v>-572985.4167</v>
      </c>
      <c r="AJ30" s="270" t="str">
        <f>AI30/AI$10</f>
        <v>#DIV/0!</v>
      </c>
      <c r="AK30" s="190" t="str">
        <f>AK16-AK28</f>
        <v>#REF!</v>
      </c>
      <c r="AL30" s="270" t="str">
        <f>AK30/AK$10</f>
        <v>#REF!</v>
      </c>
      <c r="AM30" s="190">
        <f>AM16-AM28</f>
        <v>-71317.70897</v>
      </c>
      <c r="AN30" s="270">
        <f>AM30/AM$10</f>
        <v>-0.1851830927</v>
      </c>
      <c r="AO30" s="190">
        <f>AO16-AO28</f>
        <v>6750</v>
      </c>
      <c r="AP30" s="270">
        <f>AO30/AO$10</f>
        <v>0.084375</v>
      </c>
      <c r="AQ30" s="190">
        <f>AQ16-AQ28</f>
        <v>-281965.6667</v>
      </c>
      <c r="AR30" s="188"/>
      <c r="AS30" s="190">
        <f>AS16-AS28</f>
        <v>-26833.33333</v>
      </c>
      <c r="AT30" s="188"/>
      <c r="AU30" s="190">
        <f>AU16-AU28</f>
        <v>-41965.88521</v>
      </c>
      <c r="AV30" s="188"/>
      <c r="AW30" s="190">
        <f>AW16-AW28</f>
        <v>0</v>
      </c>
      <c r="AX30" s="188"/>
      <c r="AY30" s="190">
        <f>AY16-AY28</f>
        <v>0</v>
      </c>
      <c r="AZ30" s="186"/>
      <c r="BA30" s="186"/>
      <c r="BB30" s="186"/>
      <c r="BC30" s="146">
        <f>BC16-BC28</f>
        <v>-78000</v>
      </c>
      <c r="BD30" s="62"/>
      <c r="BE30" s="62"/>
      <c r="BF30" s="62"/>
    </row>
    <row r="31" ht="15.75" customHeight="1">
      <c r="BC31" s="274"/>
      <c r="BD31" s="274"/>
      <c r="BE31" s="274"/>
      <c r="BF31" s="274"/>
    </row>
    <row r="32" ht="15.75" customHeight="1">
      <c r="C32" s="174"/>
      <c r="AM32" s="127">
        <f>MSBC!J29</f>
        <v>385119.98</v>
      </c>
      <c r="BC32" s="3"/>
      <c r="BD32" s="3"/>
      <c r="BE32" s="3"/>
      <c r="BF32" s="3"/>
    </row>
    <row r="33" ht="15.75" customHeight="1">
      <c r="AM33" s="127">
        <f>AM10-AM32</f>
        <v>0</v>
      </c>
      <c r="BC33" s="3"/>
      <c r="BD33" s="3"/>
      <c r="BE33" s="3"/>
      <c r="BF33" s="3"/>
    </row>
    <row r="34" ht="15.75" customHeight="1">
      <c r="BC34" s="3"/>
      <c r="BD34" s="3"/>
      <c r="BE34" s="3"/>
      <c r="BF34" s="3"/>
    </row>
    <row r="35" ht="15.75" customHeight="1">
      <c r="L35" s="275"/>
      <c r="O35" s="276"/>
      <c r="AM35" s="129">
        <f>MSBC!J142</f>
        <v>-71317.70897</v>
      </c>
      <c r="BC35" s="3"/>
      <c r="BD35" s="3"/>
      <c r="BE35" s="3"/>
      <c r="BF35" s="3"/>
    </row>
    <row r="36" ht="15.75" customHeight="1">
      <c r="L36" s="275"/>
      <c r="O36" s="276"/>
      <c r="AM36" s="127">
        <f>AM30-AM35</f>
        <v>0</v>
      </c>
      <c r="BC36" s="3"/>
      <c r="BD36" s="3"/>
      <c r="BE36" s="3"/>
      <c r="BF36" s="3"/>
    </row>
    <row r="37" ht="15.75" customHeight="1">
      <c r="L37" s="275"/>
      <c r="O37" s="276"/>
      <c r="BC37" s="3"/>
      <c r="BD37" s="3"/>
      <c r="BE37" s="3"/>
      <c r="BF37" s="3"/>
    </row>
    <row r="38" ht="15.75" customHeight="1">
      <c r="L38" s="275"/>
      <c r="O38" s="276"/>
      <c r="BC38" s="3"/>
      <c r="BD38" s="3"/>
      <c r="BE38" s="3"/>
      <c r="BF38" s="3"/>
    </row>
    <row r="39" ht="15.75" customHeight="1">
      <c r="L39" s="275"/>
      <c r="O39" s="276"/>
      <c r="BC39" s="3"/>
      <c r="BD39" s="3"/>
      <c r="BE39" s="3"/>
      <c r="BF39" s="3"/>
    </row>
    <row r="40" ht="15.75" customHeight="1">
      <c r="L40" s="275"/>
      <c r="O40" s="276"/>
      <c r="BC40" s="3"/>
      <c r="BD40" s="3"/>
      <c r="BE40" s="3"/>
      <c r="BF40" s="3"/>
    </row>
    <row r="41" ht="15.75" customHeight="1">
      <c r="BC41" s="3"/>
      <c r="BD41" s="3"/>
      <c r="BE41" s="3"/>
      <c r="BF41" s="3"/>
    </row>
    <row r="42" ht="15.75" customHeight="1">
      <c r="BC42" s="3"/>
      <c r="BD42" s="3"/>
      <c r="BE42" s="3"/>
      <c r="BF42" s="3"/>
    </row>
    <row r="43" ht="15.75" customHeight="1">
      <c r="BC43" s="3"/>
      <c r="BD43" s="3"/>
      <c r="BE43" s="3"/>
      <c r="BF43" s="3"/>
    </row>
    <row r="44" ht="15.75" customHeight="1">
      <c r="BC44" s="3"/>
      <c r="BD44" s="3"/>
      <c r="BE44" s="3"/>
      <c r="BF44" s="3"/>
    </row>
    <row r="45" ht="15.75" customHeight="1">
      <c r="BC45" s="3"/>
      <c r="BD45" s="3"/>
      <c r="BE45" s="3"/>
      <c r="BF45" s="3"/>
    </row>
    <row r="46" ht="15.75" customHeight="1">
      <c r="BC46" s="3"/>
      <c r="BD46" s="3"/>
      <c r="BE46" s="3"/>
      <c r="BF46" s="3"/>
    </row>
    <row r="47" ht="15.75" customHeight="1">
      <c r="BC47" s="3"/>
      <c r="BD47" s="3"/>
      <c r="BE47" s="3"/>
      <c r="BF47" s="3"/>
    </row>
    <row r="48" ht="15.75" customHeight="1">
      <c r="BC48" s="3"/>
      <c r="BD48" s="3"/>
      <c r="BE48" s="3"/>
      <c r="BF48" s="3"/>
    </row>
    <row r="49" ht="15.75" customHeight="1">
      <c r="BC49" s="3"/>
      <c r="BD49" s="3"/>
      <c r="BE49" s="3"/>
      <c r="BF49" s="3"/>
    </row>
    <row r="50" ht="15.75" customHeight="1">
      <c r="BC50" s="3"/>
      <c r="BD50" s="3"/>
      <c r="BE50" s="3"/>
      <c r="BF50" s="3"/>
    </row>
    <row r="51" ht="15.75" customHeight="1">
      <c r="BC51" s="3"/>
      <c r="BD51" s="3"/>
      <c r="BE51" s="3"/>
      <c r="BF51" s="3"/>
    </row>
    <row r="52" ht="15.75" customHeight="1">
      <c r="BC52" s="3"/>
      <c r="BD52" s="3"/>
      <c r="BE52" s="3"/>
      <c r="BF52" s="3"/>
    </row>
    <row r="53" ht="15.75" customHeight="1">
      <c r="BC53" s="3"/>
      <c r="BD53" s="3"/>
      <c r="BE53" s="3"/>
      <c r="BF53" s="3"/>
    </row>
    <row r="54" ht="15.75" customHeight="1">
      <c r="BC54" s="3"/>
      <c r="BD54" s="3"/>
      <c r="BE54" s="3"/>
      <c r="BF54" s="3"/>
    </row>
    <row r="55" ht="15.75" customHeight="1">
      <c r="BC55" s="3"/>
      <c r="BD55" s="3"/>
      <c r="BE55" s="3"/>
      <c r="BF55" s="3"/>
    </row>
    <row r="56" ht="15.75" customHeight="1">
      <c r="BC56" s="3"/>
      <c r="BD56" s="3"/>
      <c r="BE56" s="3"/>
      <c r="BF56" s="3"/>
    </row>
    <row r="57" ht="15.75" customHeight="1">
      <c r="BC57" s="3"/>
      <c r="BD57" s="3"/>
      <c r="BE57" s="3"/>
      <c r="BF57" s="3"/>
    </row>
    <row r="58" ht="15.75" customHeight="1">
      <c r="BC58" s="3"/>
      <c r="BD58" s="3"/>
      <c r="BE58" s="3"/>
      <c r="BF58" s="3"/>
    </row>
    <row r="59" ht="15.75" customHeight="1">
      <c r="BC59" s="3"/>
      <c r="BD59" s="3"/>
      <c r="BE59" s="3"/>
      <c r="BF59" s="3"/>
    </row>
    <row r="60" ht="15.75" customHeight="1">
      <c r="BC60" s="3"/>
      <c r="BD60" s="3"/>
      <c r="BE60" s="3"/>
      <c r="BF60" s="3"/>
    </row>
    <row r="61" ht="15.75" customHeight="1">
      <c r="BC61" s="3"/>
      <c r="BD61" s="3"/>
      <c r="BE61" s="3"/>
      <c r="BF61" s="3"/>
    </row>
    <row r="62" ht="15.75" customHeight="1">
      <c r="BC62" s="3"/>
      <c r="BD62" s="3"/>
      <c r="BE62" s="3"/>
      <c r="BF62" s="3"/>
    </row>
    <row r="63" ht="15.75" customHeight="1">
      <c r="BC63" s="3"/>
      <c r="BD63" s="3"/>
      <c r="BE63" s="3"/>
      <c r="BF63" s="3"/>
    </row>
    <row r="64" ht="15.75" customHeight="1">
      <c r="BC64" s="3"/>
      <c r="BD64" s="3"/>
      <c r="BE64" s="3"/>
      <c r="BF64" s="3"/>
    </row>
    <row r="65" ht="15.75" customHeight="1">
      <c r="BC65" s="3"/>
      <c r="BD65" s="3"/>
      <c r="BE65" s="3"/>
      <c r="BF65" s="3"/>
    </row>
    <row r="66" ht="15.75" customHeight="1">
      <c r="BC66" s="3"/>
      <c r="BD66" s="3"/>
      <c r="BE66" s="3"/>
      <c r="BF66" s="3"/>
    </row>
    <row r="67" ht="15.75" customHeight="1">
      <c r="BC67" s="3"/>
      <c r="BD67" s="3"/>
      <c r="BE67" s="3"/>
      <c r="BF67" s="3"/>
    </row>
    <row r="68" ht="15.75" customHeight="1">
      <c r="BC68" s="3"/>
      <c r="BD68" s="3"/>
      <c r="BE68" s="3"/>
      <c r="BF68" s="3"/>
    </row>
    <row r="69" ht="15.75" customHeight="1">
      <c r="BC69" s="3"/>
      <c r="BD69" s="3"/>
      <c r="BE69" s="3"/>
      <c r="BF69" s="3"/>
    </row>
    <row r="70" ht="15.75" customHeight="1">
      <c r="BC70" s="3"/>
      <c r="BD70" s="3"/>
      <c r="BE70" s="3"/>
      <c r="BF70" s="3"/>
    </row>
    <row r="71" ht="15.75" customHeight="1">
      <c r="BC71" s="3"/>
      <c r="BD71" s="3"/>
      <c r="BE71" s="3"/>
      <c r="BF71" s="3"/>
    </row>
    <row r="72" ht="15.75" customHeight="1">
      <c r="BC72" s="3"/>
      <c r="BD72" s="3"/>
      <c r="BE72" s="3"/>
      <c r="BF72" s="3"/>
    </row>
    <row r="73" ht="15.75" customHeight="1">
      <c r="BC73" s="3"/>
      <c r="BD73" s="3"/>
      <c r="BE73" s="3"/>
      <c r="BF73" s="3"/>
    </row>
    <row r="74" ht="15.75" customHeight="1">
      <c r="BC74" s="3"/>
      <c r="BD74" s="3"/>
      <c r="BE74" s="3"/>
      <c r="BF74" s="3"/>
    </row>
    <row r="75" ht="15.75" customHeight="1">
      <c r="BC75" s="3"/>
      <c r="BD75" s="3"/>
      <c r="BE75" s="3"/>
      <c r="BF75" s="3"/>
    </row>
    <row r="76" ht="15.75" customHeight="1">
      <c r="BC76" s="3"/>
      <c r="BD76" s="3"/>
      <c r="BE76" s="3"/>
      <c r="BF76" s="3"/>
    </row>
    <row r="77" ht="15.75" customHeight="1">
      <c r="BC77" s="3"/>
      <c r="BD77" s="3"/>
      <c r="BE77" s="3"/>
      <c r="BF77" s="3"/>
    </row>
    <row r="78" ht="15.75" customHeight="1">
      <c r="BC78" s="3"/>
      <c r="BD78" s="3"/>
      <c r="BE78" s="3"/>
      <c r="BF78" s="3"/>
    </row>
    <row r="79" ht="15.75" customHeight="1">
      <c r="BC79" s="3"/>
      <c r="BD79" s="3"/>
      <c r="BE79" s="3"/>
      <c r="BF79" s="3"/>
    </row>
    <row r="80" ht="15.75" customHeight="1">
      <c r="BC80" s="3"/>
      <c r="BD80" s="3"/>
      <c r="BE80" s="3"/>
      <c r="BF80" s="3"/>
    </row>
    <row r="81" ht="15.75" customHeight="1">
      <c r="BC81" s="3"/>
      <c r="BD81" s="3"/>
      <c r="BE81" s="3"/>
      <c r="BF81" s="3"/>
    </row>
    <row r="82" ht="15.75" customHeight="1">
      <c r="BC82" s="3"/>
      <c r="BD82" s="3"/>
      <c r="BE82" s="3"/>
      <c r="BF82" s="3"/>
    </row>
    <row r="83" ht="15.75" customHeight="1">
      <c r="BC83" s="3"/>
      <c r="BD83" s="3"/>
      <c r="BE83" s="3"/>
      <c r="BF83" s="3"/>
    </row>
    <row r="84" ht="15.75" customHeight="1">
      <c r="BC84" s="3"/>
      <c r="BD84" s="3"/>
      <c r="BE84" s="3"/>
      <c r="BF84" s="3"/>
    </row>
    <row r="85" ht="15.75" customHeight="1">
      <c r="BC85" s="3"/>
      <c r="BD85" s="3"/>
      <c r="BE85" s="3"/>
      <c r="BF85" s="3"/>
    </row>
    <row r="86" ht="15.75" customHeight="1">
      <c r="BC86" s="3"/>
      <c r="BD86" s="3"/>
      <c r="BE86" s="3"/>
      <c r="BF86" s="3"/>
    </row>
    <row r="87" ht="15.75" customHeight="1">
      <c r="BC87" s="3"/>
      <c r="BD87" s="3"/>
      <c r="BE87" s="3"/>
      <c r="BF87" s="3"/>
    </row>
    <row r="88" ht="15.75" customHeight="1">
      <c r="BC88" s="3"/>
      <c r="BD88" s="3"/>
      <c r="BE88" s="3"/>
      <c r="BF88" s="3"/>
    </row>
    <row r="89" ht="15.75" customHeight="1">
      <c r="BC89" s="3"/>
      <c r="BD89" s="3"/>
      <c r="BE89" s="3"/>
      <c r="BF89" s="3"/>
    </row>
    <row r="90" ht="15.75" customHeight="1">
      <c r="BC90" s="3"/>
      <c r="BD90" s="3"/>
      <c r="BE90" s="3"/>
      <c r="BF90" s="3"/>
    </row>
    <row r="91" ht="15.75" customHeight="1">
      <c r="BC91" s="3"/>
      <c r="BD91" s="3"/>
      <c r="BE91" s="3"/>
      <c r="BF91" s="3"/>
    </row>
    <row r="92" ht="15.75" customHeight="1">
      <c r="BC92" s="3"/>
      <c r="BD92" s="3"/>
      <c r="BE92" s="3"/>
      <c r="BF92" s="3"/>
    </row>
    <row r="93" ht="15.75" customHeight="1">
      <c r="BC93" s="3"/>
      <c r="BD93" s="3"/>
      <c r="BE93" s="3"/>
      <c r="BF93" s="3"/>
    </row>
    <row r="94" ht="15.75" customHeight="1">
      <c r="BC94" s="3"/>
      <c r="BD94" s="3"/>
      <c r="BE94" s="3"/>
      <c r="BF94" s="3"/>
    </row>
    <row r="95" ht="15.75" customHeight="1">
      <c r="BC95" s="3"/>
      <c r="BD95" s="3"/>
      <c r="BE95" s="3"/>
      <c r="BF95" s="3"/>
    </row>
    <row r="96" ht="15.75" customHeight="1">
      <c r="BC96" s="3"/>
      <c r="BD96" s="3"/>
      <c r="BE96" s="3"/>
      <c r="BF96" s="3"/>
    </row>
    <row r="97" ht="15.75" customHeight="1">
      <c r="BC97" s="3"/>
      <c r="BD97" s="3"/>
      <c r="BE97" s="3"/>
      <c r="BF97" s="3"/>
    </row>
    <row r="98" ht="15.75" customHeight="1">
      <c r="BC98" s="3"/>
      <c r="BD98" s="3"/>
      <c r="BE98" s="3"/>
      <c r="BF98" s="3"/>
    </row>
    <row r="99" ht="15.75" customHeight="1">
      <c r="BC99" s="3"/>
      <c r="BD99" s="3"/>
      <c r="BE99" s="3"/>
      <c r="BF99" s="3"/>
    </row>
    <row r="100" ht="15.75" customHeight="1">
      <c r="BC100" s="3"/>
      <c r="BD100" s="3"/>
      <c r="BE100" s="3"/>
      <c r="BF100" s="3"/>
    </row>
    <row r="101" ht="15.75" customHeight="1">
      <c r="BC101" s="3"/>
      <c r="BD101" s="3"/>
      <c r="BE101" s="3"/>
      <c r="BF101" s="3"/>
    </row>
    <row r="102" ht="15.75" customHeight="1">
      <c r="BC102" s="3"/>
      <c r="BD102" s="3"/>
      <c r="BE102" s="3"/>
      <c r="BF102" s="3"/>
    </row>
    <row r="103" ht="15.75" customHeight="1">
      <c r="BC103" s="3"/>
      <c r="BD103" s="3"/>
      <c r="BE103" s="3"/>
      <c r="BF103" s="3"/>
    </row>
    <row r="104" ht="15.75" customHeight="1">
      <c r="BC104" s="3"/>
      <c r="BD104" s="3"/>
      <c r="BE104" s="3"/>
      <c r="BF104" s="3"/>
    </row>
    <row r="105" ht="15.75" customHeight="1">
      <c r="BC105" s="3"/>
      <c r="BD105" s="3"/>
      <c r="BE105" s="3"/>
      <c r="BF105" s="3"/>
    </row>
    <row r="106" ht="15.75" customHeight="1">
      <c r="BC106" s="3"/>
      <c r="BD106" s="3"/>
      <c r="BE106" s="3"/>
      <c r="BF106" s="3"/>
    </row>
    <row r="107" ht="15.75" customHeight="1">
      <c r="BC107" s="3"/>
      <c r="BD107" s="3"/>
      <c r="BE107" s="3"/>
      <c r="BF107" s="3"/>
    </row>
    <row r="108" ht="15.75" customHeight="1">
      <c r="BC108" s="3"/>
      <c r="BD108" s="3"/>
      <c r="BE108" s="3"/>
      <c r="BF108" s="3"/>
    </row>
    <row r="109" ht="15.75" customHeight="1">
      <c r="BC109" s="3"/>
      <c r="BD109" s="3"/>
      <c r="BE109" s="3"/>
      <c r="BF109" s="3"/>
    </row>
    <row r="110" ht="15.75" customHeight="1">
      <c r="BC110" s="3"/>
      <c r="BD110" s="3"/>
      <c r="BE110" s="3"/>
      <c r="BF110" s="3"/>
    </row>
    <row r="111" ht="15.75" customHeight="1">
      <c r="BC111" s="3"/>
      <c r="BD111" s="3"/>
      <c r="BE111" s="3"/>
      <c r="BF111" s="3"/>
    </row>
    <row r="112" ht="15.75" customHeight="1">
      <c r="BC112" s="3"/>
      <c r="BD112" s="3"/>
      <c r="BE112" s="3"/>
      <c r="BF112" s="3"/>
    </row>
    <row r="113" ht="15.75" customHeight="1">
      <c r="BC113" s="3"/>
      <c r="BD113" s="3"/>
      <c r="BE113" s="3"/>
      <c r="BF113" s="3"/>
    </row>
    <row r="114" ht="15.75" customHeight="1">
      <c r="BC114" s="3"/>
      <c r="BD114" s="3"/>
      <c r="BE114" s="3"/>
      <c r="BF114" s="3"/>
    </row>
    <row r="115" ht="15.75" customHeight="1">
      <c r="BC115" s="3"/>
      <c r="BD115" s="3"/>
      <c r="BE115" s="3"/>
      <c r="BF115" s="3"/>
    </row>
    <row r="116" ht="15.75" customHeight="1">
      <c r="BC116" s="3"/>
      <c r="BD116" s="3"/>
      <c r="BE116" s="3"/>
      <c r="BF116" s="3"/>
    </row>
    <row r="117" ht="15.75" customHeight="1">
      <c r="BC117" s="3"/>
      <c r="BD117" s="3"/>
      <c r="BE117" s="3"/>
      <c r="BF117" s="3"/>
    </row>
    <row r="118" ht="15.75" customHeight="1">
      <c r="BC118" s="3"/>
      <c r="BD118" s="3"/>
      <c r="BE118" s="3"/>
      <c r="BF118" s="3"/>
    </row>
    <row r="119" ht="15.75" customHeight="1">
      <c r="BC119" s="3"/>
      <c r="BD119" s="3"/>
      <c r="BE119" s="3"/>
      <c r="BF119" s="3"/>
    </row>
    <row r="120" ht="15.75" customHeight="1">
      <c r="BC120" s="3"/>
      <c r="BD120" s="3"/>
      <c r="BE120" s="3"/>
      <c r="BF120" s="3"/>
    </row>
    <row r="121" ht="15.75" customHeight="1">
      <c r="BC121" s="3"/>
      <c r="BD121" s="3"/>
      <c r="BE121" s="3"/>
      <c r="BF121" s="3"/>
    </row>
    <row r="122" ht="15.75" customHeight="1">
      <c r="BC122" s="3"/>
      <c r="BD122" s="3"/>
      <c r="BE122" s="3"/>
      <c r="BF122" s="3"/>
    </row>
    <row r="123" ht="15.75" customHeight="1">
      <c r="BC123" s="3"/>
      <c r="BD123" s="3"/>
      <c r="BE123" s="3"/>
      <c r="BF123" s="3"/>
    </row>
    <row r="124" ht="15.75" customHeight="1">
      <c r="BC124" s="3"/>
      <c r="BD124" s="3"/>
      <c r="BE124" s="3"/>
      <c r="BF124" s="3"/>
    </row>
    <row r="125" ht="15.75" customHeight="1">
      <c r="BC125" s="3"/>
      <c r="BD125" s="3"/>
      <c r="BE125" s="3"/>
      <c r="BF125" s="3"/>
    </row>
    <row r="126" ht="15.75" customHeight="1">
      <c r="BC126" s="3"/>
      <c r="BD126" s="3"/>
      <c r="BE126" s="3"/>
      <c r="BF126" s="3"/>
    </row>
    <row r="127" ht="15.75" customHeight="1">
      <c r="BC127" s="3"/>
      <c r="BD127" s="3"/>
      <c r="BE127" s="3"/>
      <c r="BF127" s="3"/>
    </row>
    <row r="128" ht="15.75" customHeight="1">
      <c r="BC128" s="3"/>
      <c r="BD128" s="3"/>
      <c r="BE128" s="3"/>
      <c r="BF128" s="3"/>
    </row>
    <row r="129" ht="15.75" customHeight="1">
      <c r="BC129" s="3"/>
      <c r="BD129" s="3"/>
      <c r="BE129" s="3"/>
      <c r="BF129" s="3"/>
    </row>
    <row r="130" ht="15.75" customHeight="1">
      <c r="BC130" s="3"/>
      <c r="BD130" s="3"/>
      <c r="BE130" s="3"/>
      <c r="BF130" s="3"/>
    </row>
    <row r="131" ht="15.75" customHeight="1">
      <c r="BC131" s="3"/>
      <c r="BD131" s="3"/>
      <c r="BE131" s="3"/>
      <c r="BF131" s="3"/>
    </row>
    <row r="132" ht="15.75" customHeight="1">
      <c r="BC132" s="3"/>
      <c r="BD132" s="3"/>
      <c r="BE132" s="3"/>
      <c r="BF132" s="3"/>
    </row>
    <row r="133" ht="15.75" customHeight="1">
      <c r="BC133" s="3"/>
      <c r="BD133" s="3"/>
      <c r="BE133" s="3"/>
      <c r="BF133" s="3"/>
    </row>
    <row r="134" ht="15.75" customHeight="1">
      <c r="BC134" s="3"/>
      <c r="BD134" s="3"/>
      <c r="BE134" s="3"/>
      <c r="BF134" s="3"/>
    </row>
    <row r="135" ht="15.75" customHeight="1">
      <c r="BC135" s="3"/>
      <c r="BD135" s="3"/>
      <c r="BE135" s="3"/>
      <c r="BF135" s="3"/>
    </row>
    <row r="136" ht="15.75" customHeight="1">
      <c r="BC136" s="3"/>
      <c r="BD136" s="3"/>
      <c r="BE136" s="3"/>
      <c r="BF136" s="3"/>
    </row>
    <row r="137" ht="15.75" customHeight="1">
      <c r="BC137" s="3"/>
      <c r="BD137" s="3"/>
      <c r="BE137" s="3"/>
      <c r="BF137" s="3"/>
    </row>
    <row r="138" ht="15.75" customHeight="1">
      <c r="BC138" s="3"/>
      <c r="BD138" s="3"/>
      <c r="BE138" s="3"/>
      <c r="BF138" s="3"/>
    </row>
    <row r="139" ht="15.75" customHeight="1">
      <c r="BC139" s="3"/>
      <c r="BD139" s="3"/>
      <c r="BE139" s="3"/>
      <c r="BF139" s="3"/>
    </row>
    <row r="140" ht="15.75" customHeight="1">
      <c r="BC140" s="3"/>
      <c r="BD140" s="3"/>
      <c r="BE140" s="3"/>
      <c r="BF140" s="3"/>
    </row>
    <row r="141" ht="15.75" customHeight="1">
      <c r="BC141" s="3"/>
      <c r="BD141" s="3"/>
      <c r="BE141" s="3"/>
      <c r="BF141" s="3"/>
    </row>
    <row r="142" ht="15.75" customHeight="1">
      <c r="BC142" s="3"/>
      <c r="BD142" s="3"/>
      <c r="BE142" s="3"/>
      <c r="BF142" s="3"/>
    </row>
    <row r="143" ht="15.75" customHeight="1">
      <c r="BC143" s="3"/>
      <c r="BD143" s="3"/>
      <c r="BE143" s="3"/>
      <c r="BF143" s="3"/>
    </row>
    <row r="144" ht="15.75" customHeight="1">
      <c r="BC144" s="3"/>
      <c r="BD144" s="3"/>
      <c r="BE144" s="3"/>
      <c r="BF144" s="3"/>
    </row>
    <row r="145" ht="15.75" customHeight="1">
      <c r="BC145" s="3"/>
      <c r="BD145" s="3"/>
      <c r="BE145" s="3"/>
      <c r="BF145" s="3"/>
    </row>
    <row r="146" ht="15.75" customHeight="1">
      <c r="BC146" s="3"/>
      <c r="BD146" s="3"/>
      <c r="BE146" s="3"/>
      <c r="BF146" s="3"/>
    </row>
    <row r="147" ht="15.75" customHeight="1">
      <c r="BC147" s="3"/>
      <c r="BD147" s="3"/>
      <c r="BE147" s="3"/>
      <c r="BF147" s="3"/>
    </row>
    <row r="148" ht="15.75" customHeight="1">
      <c r="BC148" s="3"/>
      <c r="BD148" s="3"/>
      <c r="BE148" s="3"/>
      <c r="BF148" s="3"/>
    </row>
    <row r="149" ht="15.75" customHeight="1">
      <c r="BC149" s="3"/>
      <c r="BD149" s="3"/>
      <c r="BE149" s="3"/>
      <c r="BF149" s="3"/>
    </row>
    <row r="150" ht="15.75" customHeight="1">
      <c r="BC150" s="3"/>
      <c r="BD150" s="3"/>
      <c r="BE150" s="3"/>
      <c r="BF150" s="3"/>
    </row>
    <row r="151" ht="15.75" customHeight="1">
      <c r="BC151" s="3"/>
      <c r="BD151" s="3"/>
      <c r="BE151" s="3"/>
      <c r="BF151" s="3"/>
    </row>
    <row r="152" ht="15.75" customHeight="1">
      <c r="BC152" s="3"/>
      <c r="BD152" s="3"/>
      <c r="BE152" s="3"/>
      <c r="BF152" s="3"/>
    </row>
    <row r="153" ht="15.75" customHeight="1">
      <c r="BC153" s="3"/>
      <c r="BD153" s="3"/>
      <c r="BE153" s="3"/>
      <c r="BF153" s="3"/>
    </row>
    <row r="154" ht="15.75" customHeight="1">
      <c r="BC154" s="3"/>
      <c r="BD154" s="3"/>
      <c r="BE154" s="3"/>
      <c r="BF154" s="3"/>
    </row>
    <row r="155" ht="15.75" customHeight="1">
      <c r="BC155" s="3"/>
      <c r="BD155" s="3"/>
      <c r="BE155" s="3"/>
      <c r="BF155" s="3"/>
    </row>
    <row r="156" ht="15.75" customHeight="1">
      <c r="BC156" s="3"/>
      <c r="BD156" s="3"/>
      <c r="BE156" s="3"/>
      <c r="BF156" s="3"/>
    </row>
    <row r="157" ht="15.75" customHeight="1">
      <c r="BC157" s="3"/>
      <c r="BD157" s="3"/>
      <c r="BE157" s="3"/>
      <c r="BF157" s="3"/>
    </row>
    <row r="158" ht="15.75" customHeight="1">
      <c r="BC158" s="3"/>
      <c r="BD158" s="3"/>
      <c r="BE158" s="3"/>
      <c r="BF158" s="3"/>
    </row>
    <row r="159" ht="15.75" customHeight="1">
      <c r="BC159" s="3"/>
      <c r="BD159" s="3"/>
      <c r="BE159" s="3"/>
      <c r="BF159" s="3"/>
    </row>
    <row r="160" ht="15.75" customHeight="1">
      <c r="BC160" s="3"/>
      <c r="BD160" s="3"/>
      <c r="BE160" s="3"/>
      <c r="BF160" s="3"/>
    </row>
    <row r="161" ht="15.75" customHeight="1">
      <c r="BC161" s="3"/>
      <c r="BD161" s="3"/>
      <c r="BE161" s="3"/>
      <c r="BF161" s="3"/>
    </row>
    <row r="162" ht="15.75" customHeight="1">
      <c r="BC162" s="3"/>
      <c r="BD162" s="3"/>
      <c r="BE162" s="3"/>
      <c r="BF162" s="3"/>
    </row>
    <row r="163" ht="15.75" customHeight="1">
      <c r="BC163" s="3"/>
      <c r="BD163" s="3"/>
      <c r="BE163" s="3"/>
      <c r="BF163" s="3"/>
    </row>
    <row r="164" ht="15.75" customHeight="1">
      <c r="BC164" s="3"/>
      <c r="BD164" s="3"/>
      <c r="BE164" s="3"/>
      <c r="BF164" s="3"/>
    </row>
    <row r="165" ht="15.75" customHeight="1">
      <c r="BC165" s="3"/>
      <c r="BD165" s="3"/>
      <c r="BE165" s="3"/>
      <c r="BF165" s="3"/>
    </row>
    <row r="166" ht="15.75" customHeight="1">
      <c r="BC166" s="3"/>
      <c r="BD166" s="3"/>
      <c r="BE166" s="3"/>
      <c r="BF166" s="3"/>
    </row>
    <row r="167" ht="15.75" customHeight="1">
      <c r="BC167" s="3"/>
      <c r="BD167" s="3"/>
      <c r="BE167" s="3"/>
      <c r="BF167" s="3"/>
    </row>
    <row r="168" ht="15.75" customHeight="1">
      <c r="BC168" s="3"/>
      <c r="BD168" s="3"/>
      <c r="BE168" s="3"/>
      <c r="BF168" s="3"/>
    </row>
    <row r="169" ht="15.75" customHeight="1">
      <c r="BC169" s="3"/>
      <c r="BD169" s="3"/>
      <c r="BE169" s="3"/>
      <c r="BF169" s="3"/>
    </row>
    <row r="170" ht="15.75" customHeight="1">
      <c r="BC170" s="3"/>
      <c r="BD170" s="3"/>
      <c r="BE170" s="3"/>
      <c r="BF170" s="3"/>
    </row>
    <row r="171" ht="15.75" customHeight="1">
      <c r="BC171" s="3"/>
      <c r="BD171" s="3"/>
      <c r="BE171" s="3"/>
      <c r="BF171" s="3"/>
    </row>
    <row r="172" ht="15.75" customHeight="1">
      <c r="BC172" s="3"/>
      <c r="BD172" s="3"/>
      <c r="BE172" s="3"/>
      <c r="BF172" s="3"/>
    </row>
    <row r="173" ht="15.75" customHeight="1">
      <c r="BC173" s="3"/>
      <c r="BD173" s="3"/>
      <c r="BE173" s="3"/>
      <c r="BF173" s="3"/>
    </row>
    <row r="174" ht="15.75" customHeight="1">
      <c r="BC174" s="3"/>
      <c r="BD174" s="3"/>
      <c r="BE174" s="3"/>
      <c r="BF174" s="3"/>
    </row>
    <row r="175" ht="15.75" customHeight="1">
      <c r="BC175" s="3"/>
      <c r="BD175" s="3"/>
      <c r="BE175" s="3"/>
      <c r="BF175" s="3"/>
    </row>
    <row r="176" ht="15.75" customHeight="1">
      <c r="BC176" s="3"/>
      <c r="BD176" s="3"/>
      <c r="BE176" s="3"/>
      <c r="BF176" s="3"/>
    </row>
    <row r="177" ht="15.75" customHeight="1">
      <c r="BC177" s="3"/>
      <c r="BD177" s="3"/>
      <c r="BE177" s="3"/>
      <c r="BF177" s="3"/>
    </row>
    <row r="178" ht="15.75" customHeight="1">
      <c r="BC178" s="3"/>
      <c r="BD178" s="3"/>
      <c r="BE178" s="3"/>
      <c r="BF178" s="3"/>
    </row>
    <row r="179" ht="15.75" customHeight="1">
      <c r="BC179" s="3"/>
      <c r="BD179" s="3"/>
      <c r="BE179" s="3"/>
      <c r="BF179" s="3"/>
    </row>
    <row r="180" ht="15.75" customHeight="1">
      <c r="BC180" s="3"/>
      <c r="BD180" s="3"/>
      <c r="BE180" s="3"/>
      <c r="BF180" s="3"/>
    </row>
    <row r="181" ht="15.75" customHeight="1">
      <c r="BC181" s="3"/>
      <c r="BD181" s="3"/>
      <c r="BE181" s="3"/>
      <c r="BF181" s="3"/>
    </row>
    <row r="182" ht="15.75" customHeight="1">
      <c r="BC182" s="3"/>
      <c r="BD182" s="3"/>
      <c r="BE182" s="3"/>
      <c r="BF182" s="3"/>
    </row>
    <row r="183" ht="15.75" customHeight="1">
      <c r="BC183" s="3"/>
      <c r="BD183" s="3"/>
      <c r="BE183" s="3"/>
      <c r="BF183" s="3"/>
    </row>
    <row r="184" ht="15.75" customHeight="1">
      <c r="BC184" s="3"/>
      <c r="BD184" s="3"/>
      <c r="BE184" s="3"/>
      <c r="BF184" s="3"/>
    </row>
    <row r="185" ht="15.75" customHeight="1">
      <c r="BC185" s="3"/>
      <c r="BD185" s="3"/>
      <c r="BE185" s="3"/>
      <c r="BF185" s="3"/>
    </row>
    <row r="186" ht="15.75" customHeight="1">
      <c r="BC186" s="3"/>
      <c r="BD186" s="3"/>
      <c r="BE186" s="3"/>
      <c r="BF186" s="3"/>
    </row>
    <row r="187" ht="15.75" customHeight="1">
      <c r="BC187" s="3"/>
      <c r="BD187" s="3"/>
      <c r="BE187" s="3"/>
      <c r="BF187" s="3"/>
    </row>
    <row r="188" ht="15.75" customHeight="1">
      <c r="BC188" s="3"/>
      <c r="BD188" s="3"/>
      <c r="BE188" s="3"/>
      <c r="BF188" s="3"/>
    </row>
    <row r="189" ht="15.75" customHeight="1">
      <c r="BC189" s="3"/>
      <c r="BD189" s="3"/>
      <c r="BE189" s="3"/>
      <c r="BF189" s="3"/>
    </row>
    <row r="190" ht="15.75" customHeight="1">
      <c r="BC190" s="3"/>
      <c r="BD190" s="3"/>
      <c r="BE190" s="3"/>
      <c r="BF190" s="3"/>
    </row>
    <row r="191" ht="15.75" customHeight="1">
      <c r="BC191" s="3"/>
      <c r="BD191" s="3"/>
      <c r="BE191" s="3"/>
      <c r="BF191" s="3"/>
    </row>
    <row r="192" ht="15.75" customHeight="1">
      <c r="BC192" s="3"/>
      <c r="BD192" s="3"/>
      <c r="BE192" s="3"/>
      <c r="BF192" s="3"/>
    </row>
    <row r="193" ht="15.75" customHeight="1">
      <c r="BC193" s="3"/>
      <c r="BD193" s="3"/>
      <c r="BE193" s="3"/>
      <c r="BF193" s="3"/>
    </row>
    <row r="194" ht="15.75" customHeight="1">
      <c r="BC194" s="3"/>
      <c r="BD194" s="3"/>
      <c r="BE194" s="3"/>
      <c r="BF194" s="3"/>
    </row>
    <row r="195" ht="15.75" customHeight="1">
      <c r="BC195" s="3"/>
      <c r="BD195" s="3"/>
      <c r="BE195" s="3"/>
      <c r="BF195" s="3"/>
    </row>
    <row r="196" ht="15.75" customHeight="1">
      <c r="BC196" s="3"/>
      <c r="BD196" s="3"/>
      <c r="BE196" s="3"/>
      <c r="BF196" s="3"/>
    </row>
    <row r="197" ht="15.75" customHeight="1">
      <c r="BC197" s="3"/>
      <c r="BD197" s="3"/>
      <c r="BE197" s="3"/>
      <c r="BF197" s="3"/>
    </row>
    <row r="198" ht="15.75" customHeight="1">
      <c r="BC198" s="3"/>
      <c r="BD198" s="3"/>
      <c r="BE198" s="3"/>
      <c r="BF198" s="3"/>
    </row>
    <row r="199" ht="15.75" customHeight="1">
      <c r="BC199" s="3"/>
      <c r="BD199" s="3"/>
      <c r="BE199" s="3"/>
      <c r="BF199" s="3"/>
    </row>
    <row r="200" ht="15.75" customHeight="1">
      <c r="BC200" s="3"/>
      <c r="BD200" s="3"/>
      <c r="BE200" s="3"/>
      <c r="BF200" s="3"/>
    </row>
    <row r="201" ht="15.75" customHeight="1">
      <c r="BC201" s="3"/>
      <c r="BD201" s="3"/>
      <c r="BE201" s="3"/>
      <c r="BF201" s="3"/>
    </row>
    <row r="202" ht="15.75" customHeight="1">
      <c r="BC202" s="3"/>
      <c r="BD202" s="3"/>
      <c r="BE202" s="3"/>
      <c r="BF202" s="3"/>
    </row>
    <row r="203" ht="15.75" customHeight="1">
      <c r="BC203" s="3"/>
      <c r="BD203" s="3"/>
      <c r="BE203" s="3"/>
      <c r="BF203" s="3"/>
    </row>
    <row r="204" ht="15.75" customHeight="1">
      <c r="BC204" s="3"/>
      <c r="BD204" s="3"/>
      <c r="BE204" s="3"/>
      <c r="BF204" s="3"/>
    </row>
    <row r="205" ht="15.75" customHeight="1">
      <c r="BC205" s="3"/>
      <c r="BD205" s="3"/>
      <c r="BE205" s="3"/>
      <c r="BF205" s="3"/>
    </row>
    <row r="206" ht="15.75" customHeight="1">
      <c r="BC206" s="3"/>
      <c r="BD206" s="3"/>
      <c r="BE206" s="3"/>
      <c r="BF206" s="3"/>
    </row>
    <row r="207" ht="15.75" customHeight="1">
      <c r="BC207" s="3"/>
      <c r="BD207" s="3"/>
      <c r="BE207" s="3"/>
      <c r="BF207" s="3"/>
    </row>
    <row r="208" ht="15.75" customHeight="1">
      <c r="BC208" s="3"/>
      <c r="BD208" s="3"/>
      <c r="BE208" s="3"/>
      <c r="BF208" s="3"/>
    </row>
    <row r="209" ht="15.75" customHeight="1">
      <c r="BC209" s="3"/>
      <c r="BD209" s="3"/>
      <c r="BE209" s="3"/>
      <c r="BF209" s="3"/>
    </row>
    <row r="210" ht="15.75" customHeight="1">
      <c r="BC210" s="3"/>
      <c r="BD210" s="3"/>
      <c r="BE210" s="3"/>
      <c r="BF210" s="3"/>
    </row>
    <row r="211" ht="15.75" customHeight="1">
      <c r="BC211" s="3"/>
      <c r="BD211" s="3"/>
      <c r="BE211" s="3"/>
      <c r="BF211" s="3"/>
    </row>
    <row r="212" ht="15.75" customHeight="1">
      <c r="BC212" s="3"/>
      <c r="BD212" s="3"/>
      <c r="BE212" s="3"/>
      <c r="BF212" s="3"/>
    </row>
    <row r="213" ht="15.75" customHeight="1">
      <c r="BC213" s="3"/>
      <c r="BD213" s="3"/>
      <c r="BE213" s="3"/>
      <c r="BF213" s="3"/>
    </row>
    <row r="214" ht="15.75" customHeight="1">
      <c r="BC214" s="3"/>
      <c r="BD214" s="3"/>
      <c r="BE214" s="3"/>
      <c r="BF214" s="3"/>
    </row>
    <row r="215" ht="15.75" customHeight="1">
      <c r="BC215" s="3"/>
      <c r="BD215" s="3"/>
      <c r="BE215" s="3"/>
      <c r="BF215" s="3"/>
    </row>
    <row r="216" ht="15.75" customHeight="1">
      <c r="BC216" s="3"/>
      <c r="BD216" s="3"/>
      <c r="BE216" s="3"/>
      <c r="BF216" s="3"/>
    </row>
    <row r="217" ht="15.75" customHeight="1">
      <c r="BC217" s="3"/>
      <c r="BD217" s="3"/>
      <c r="BE217" s="3"/>
      <c r="BF217" s="3"/>
    </row>
    <row r="218" ht="15.75" customHeight="1">
      <c r="BC218" s="3"/>
      <c r="BD218" s="3"/>
      <c r="BE218" s="3"/>
      <c r="BF218" s="3"/>
    </row>
    <row r="219" ht="15.75" customHeight="1">
      <c r="BC219" s="3"/>
      <c r="BD219" s="3"/>
      <c r="BE219" s="3"/>
      <c r="BF219" s="3"/>
    </row>
    <row r="220" ht="15.75" customHeight="1">
      <c r="BC220" s="3"/>
      <c r="BD220" s="3"/>
      <c r="BE220" s="3"/>
      <c r="BF220" s="3"/>
    </row>
    <row r="221" ht="15.75" customHeight="1">
      <c r="BC221" s="3"/>
      <c r="BD221" s="3"/>
      <c r="BE221" s="3"/>
      <c r="BF221" s="3"/>
    </row>
    <row r="222" ht="15.75" customHeight="1">
      <c r="BC222" s="3"/>
      <c r="BD222" s="3"/>
      <c r="BE222" s="3"/>
      <c r="BF222" s="3"/>
    </row>
    <row r="223" ht="15.75" customHeight="1">
      <c r="BC223" s="3"/>
      <c r="BD223" s="3"/>
      <c r="BE223" s="3"/>
      <c r="BF223" s="3"/>
    </row>
    <row r="224" ht="15.75" customHeight="1">
      <c r="BC224" s="3"/>
      <c r="BD224" s="3"/>
      <c r="BE224" s="3"/>
      <c r="BF224" s="3"/>
    </row>
    <row r="225" ht="15.75" customHeight="1">
      <c r="BC225" s="3"/>
      <c r="BD225" s="3"/>
      <c r="BE225" s="3"/>
      <c r="BF225" s="3"/>
    </row>
    <row r="226" ht="15.75" customHeight="1">
      <c r="BC226" s="3"/>
      <c r="BD226" s="3"/>
      <c r="BE226" s="3"/>
      <c r="BF226" s="3"/>
    </row>
    <row r="227" ht="15.75" customHeight="1">
      <c r="BC227" s="3"/>
      <c r="BD227" s="3"/>
      <c r="BE227" s="3"/>
      <c r="BF227" s="3"/>
    </row>
    <row r="228" ht="15.75" customHeight="1">
      <c r="BC228" s="3"/>
      <c r="BD228" s="3"/>
      <c r="BE228" s="3"/>
      <c r="BF228" s="3"/>
    </row>
    <row r="229" ht="15.75" customHeight="1">
      <c r="BC229" s="3"/>
      <c r="BD229" s="3"/>
      <c r="BE229" s="3"/>
      <c r="BF229" s="3"/>
    </row>
    <row r="230" ht="15.75" customHeight="1">
      <c r="BC230" s="3"/>
      <c r="BD230" s="3"/>
      <c r="BE230" s="3"/>
      <c r="BF230" s="3"/>
    </row>
    <row r="231" ht="15.75" customHeight="1">
      <c r="BC231" s="3"/>
      <c r="BD231" s="3"/>
      <c r="BE231" s="3"/>
      <c r="BF231" s="3"/>
    </row>
    <row r="232" ht="15.75" customHeight="1">
      <c r="BC232" s="3"/>
      <c r="BD232" s="3"/>
      <c r="BE232" s="3"/>
      <c r="BF232" s="3"/>
    </row>
    <row r="233" ht="15.75" customHeight="1">
      <c r="BC233" s="3"/>
      <c r="BD233" s="3"/>
      <c r="BE233" s="3"/>
      <c r="BF233" s="3"/>
    </row>
    <row r="234" ht="15.75" customHeight="1">
      <c r="BC234" s="3"/>
      <c r="BD234" s="3"/>
      <c r="BE234" s="3"/>
      <c r="BF234" s="3"/>
    </row>
    <row r="235" ht="15.75" customHeight="1">
      <c r="BC235" s="3"/>
      <c r="BD235" s="3"/>
      <c r="BE235" s="3"/>
      <c r="BF235" s="3"/>
    </row>
    <row r="236" ht="15.75" customHeight="1">
      <c r="BC236" s="3"/>
      <c r="BD236" s="3"/>
      <c r="BE236" s="3"/>
      <c r="BF236" s="3"/>
    </row>
    <row r="237" ht="15.75" customHeight="1">
      <c r="BC237" s="3"/>
      <c r="BD237" s="3"/>
      <c r="BE237" s="3"/>
      <c r="BF237" s="3"/>
    </row>
    <row r="238" ht="15.75" customHeight="1">
      <c r="BC238" s="3"/>
      <c r="BD238" s="3"/>
      <c r="BE238" s="3"/>
      <c r="BF238" s="3"/>
    </row>
    <row r="239" ht="15.75" customHeight="1">
      <c r="BC239" s="3"/>
      <c r="BD239" s="3"/>
      <c r="BE239" s="3"/>
      <c r="BF239" s="3"/>
    </row>
    <row r="240" ht="15.75" customHeight="1">
      <c r="BC240" s="3"/>
      <c r="BD240" s="3"/>
      <c r="BE240" s="3"/>
      <c r="BF240" s="3"/>
    </row>
    <row r="241" ht="15.75" customHeight="1">
      <c r="BC241" s="3"/>
      <c r="BD241" s="3"/>
      <c r="BE241" s="3"/>
      <c r="BF241" s="3"/>
    </row>
    <row r="242" ht="15.75" customHeight="1">
      <c r="BC242" s="3"/>
      <c r="BD242" s="3"/>
      <c r="BE242" s="3"/>
      <c r="BF242" s="3"/>
    </row>
    <row r="243" ht="15.75" customHeight="1">
      <c r="BC243" s="3"/>
      <c r="BD243" s="3"/>
      <c r="BE243" s="3"/>
      <c r="BF243" s="3"/>
    </row>
    <row r="244" ht="15.75" customHeight="1">
      <c r="BC244" s="3"/>
      <c r="BD244" s="3"/>
      <c r="BE244" s="3"/>
      <c r="BF244" s="3"/>
    </row>
    <row r="245" ht="15.75" customHeight="1">
      <c r="BC245" s="3"/>
      <c r="BD245" s="3"/>
      <c r="BE245" s="3"/>
      <c r="BF245" s="3"/>
    </row>
    <row r="246" ht="15.75" customHeight="1">
      <c r="BC246" s="3"/>
      <c r="BD246" s="3"/>
      <c r="BE246" s="3"/>
      <c r="BF246" s="3"/>
    </row>
    <row r="247" ht="15.75" customHeight="1">
      <c r="BC247" s="3"/>
      <c r="BD247" s="3"/>
      <c r="BE247" s="3"/>
      <c r="BF247" s="3"/>
    </row>
    <row r="248" ht="15.75" customHeight="1">
      <c r="BC248" s="3"/>
      <c r="BD248" s="3"/>
      <c r="BE248" s="3"/>
      <c r="BF248" s="3"/>
    </row>
    <row r="249" ht="15.75" customHeight="1">
      <c r="BC249" s="3"/>
      <c r="BD249" s="3"/>
      <c r="BE249" s="3"/>
      <c r="BF249" s="3"/>
    </row>
    <row r="250" ht="15.75" customHeight="1">
      <c r="BC250" s="3"/>
      <c r="BD250" s="3"/>
      <c r="BE250" s="3"/>
      <c r="BF250" s="3"/>
    </row>
    <row r="251" ht="15.75" customHeight="1">
      <c r="BC251" s="3"/>
      <c r="BD251" s="3"/>
      <c r="BE251" s="3"/>
      <c r="BF251" s="3"/>
    </row>
    <row r="252" ht="15.75" customHeight="1">
      <c r="BC252" s="3"/>
      <c r="BD252" s="3"/>
      <c r="BE252" s="3"/>
      <c r="BF252" s="3"/>
    </row>
    <row r="253" ht="15.75" customHeight="1">
      <c r="BC253" s="3"/>
      <c r="BD253" s="3"/>
      <c r="BE253" s="3"/>
      <c r="BF253" s="3"/>
    </row>
    <row r="254" ht="15.75" customHeight="1">
      <c r="BC254" s="3"/>
      <c r="BD254" s="3"/>
      <c r="BE254" s="3"/>
      <c r="BF254" s="3"/>
    </row>
    <row r="255" ht="15.75" customHeight="1">
      <c r="BC255" s="3"/>
      <c r="BD255" s="3"/>
      <c r="BE255" s="3"/>
      <c r="BF255" s="3"/>
    </row>
    <row r="256" ht="15.75" customHeight="1">
      <c r="BC256" s="3"/>
      <c r="BD256" s="3"/>
      <c r="BE256" s="3"/>
      <c r="BF256" s="3"/>
    </row>
    <row r="257" ht="15.75" customHeight="1">
      <c r="BC257" s="3"/>
      <c r="BD257" s="3"/>
      <c r="BE257" s="3"/>
      <c r="BF257" s="3"/>
    </row>
    <row r="258" ht="15.75" customHeight="1">
      <c r="BC258" s="3"/>
      <c r="BD258" s="3"/>
      <c r="BE258" s="3"/>
      <c r="BF258" s="3"/>
    </row>
    <row r="259" ht="15.75" customHeight="1">
      <c r="BC259" s="3"/>
      <c r="BD259" s="3"/>
      <c r="BE259" s="3"/>
      <c r="BF259" s="3"/>
    </row>
    <row r="260" ht="15.75" customHeight="1">
      <c r="BC260" s="3"/>
      <c r="BD260" s="3"/>
      <c r="BE260" s="3"/>
      <c r="BF260" s="3"/>
    </row>
    <row r="261" ht="15.75" customHeight="1">
      <c r="BC261" s="3"/>
      <c r="BD261" s="3"/>
      <c r="BE261" s="3"/>
      <c r="BF261" s="3"/>
    </row>
    <row r="262" ht="15.75" customHeight="1">
      <c r="BC262" s="3"/>
      <c r="BD262" s="3"/>
      <c r="BE262" s="3"/>
      <c r="BF262" s="3"/>
    </row>
    <row r="263" ht="15.75" customHeight="1">
      <c r="BC263" s="3"/>
      <c r="BD263" s="3"/>
      <c r="BE263" s="3"/>
      <c r="BF263" s="3"/>
    </row>
    <row r="264" ht="15.75" customHeight="1">
      <c r="BC264" s="3"/>
      <c r="BD264" s="3"/>
      <c r="BE264" s="3"/>
      <c r="BF264" s="3"/>
    </row>
    <row r="265" ht="15.75" customHeight="1">
      <c r="BC265" s="3"/>
      <c r="BD265" s="3"/>
      <c r="BE265" s="3"/>
      <c r="BF265" s="3"/>
    </row>
    <row r="266" ht="15.75" customHeight="1">
      <c r="BC266" s="3"/>
      <c r="BD266" s="3"/>
      <c r="BE266" s="3"/>
      <c r="BF266" s="3"/>
    </row>
    <row r="267" ht="15.75" customHeight="1">
      <c r="BC267" s="3"/>
      <c r="BD267" s="3"/>
      <c r="BE267" s="3"/>
      <c r="BF267" s="3"/>
    </row>
    <row r="268" ht="15.75" customHeight="1">
      <c r="BC268" s="3"/>
      <c r="BD268" s="3"/>
      <c r="BE268" s="3"/>
      <c r="BF268" s="3"/>
    </row>
    <row r="269" ht="15.75" customHeight="1">
      <c r="BC269" s="3"/>
      <c r="BD269" s="3"/>
      <c r="BE269" s="3"/>
      <c r="BF269" s="3"/>
    </row>
    <row r="270" ht="15.75" customHeight="1">
      <c r="BC270" s="3"/>
      <c r="BD270" s="3"/>
      <c r="BE270" s="3"/>
      <c r="BF270" s="3"/>
    </row>
    <row r="271" ht="15.75" customHeight="1">
      <c r="BC271" s="3"/>
      <c r="BD271" s="3"/>
      <c r="BE271" s="3"/>
      <c r="BF271" s="3"/>
    </row>
    <row r="272" ht="15.75" customHeight="1">
      <c r="BC272" s="3"/>
      <c r="BD272" s="3"/>
      <c r="BE272" s="3"/>
      <c r="BF272" s="3"/>
    </row>
    <row r="273" ht="15.75" customHeight="1">
      <c r="BC273" s="3"/>
      <c r="BD273" s="3"/>
      <c r="BE273" s="3"/>
      <c r="BF273" s="3"/>
    </row>
    <row r="274" ht="15.75" customHeight="1">
      <c r="BC274" s="3"/>
      <c r="BD274" s="3"/>
      <c r="BE274" s="3"/>
      <c r="BF274" s="3"/>
    </row>
    <row r="275" ht="15.75" customHeight="1">
      <c r="BC275" s="3"/>
      <c r="BD275" s="3"/>
      <c r="BE275" s="3"/>
      <c r="BF275" s="3"/>
    </row>
    <row r="276" ht="15.75" customHeight="1">
      <c r="BC276" s="3"/>
      <c r="BD276" s="3"/>
      <c r="BE276" s="3"/>
      <c r="BF276" s="3"/>
    </row>
    <row r="277" ht="15.75" customHeight="1">
      <c r="BC277" s="3"/>
      <c r="BD277" s="3"/>
      <c r="BE277" s="3"/>
      <c r="BF277" s="3"/>
    </row>
    <row r="278" ht="15.75" customHeight="1">
      <c r="BC278" s="3"/>
      <c r="BD278" s="3"/>
      <c r="BE278" s="3"/>
      <c r="BF278" s="3"/>
    </row>
    <row r="279" ht="15.75" customHeight="1">
      <c r="BC279" s="3"/>
      <c r="BD279" s="3"/>
      <c r="BE279" s="3"/>
      <c r="BF279" s="3"/>
    </row>
    <row r="280" ht="15.75" customHeight="1">
      <c r="BC280" s="3"/>
      <c r="BD280" s="3"/>
      <c r="BE280" s="3"/>
      <c r="BF280" s="3"/>
    </row>
    <row r="281" ht="15.75" customHeight="1">
      <c r="BC281" s="3"/>
      <c r="BD281" s="3"/>
      <c r="BE281" s="3"/>
      <c r="BF281" s="3"/>
    </row>
    <row r="282" ht="15.75" customHeight="1">
      <c r="BC282" s="3"/>
      <c r="BD282" s="3"/>
      <c r="BE282" s="3"/>
      <c r="BF282" s="3"/>
    </row>
    <row r="283" ht="15.75" customHeight="1">
      <c r="BC283" s="3"/>
      <c r="BD283" s="3"/>
      <c r="BE283" s="3"/>
      <c r="BF283" s="3"/>
    </row>
    <row r="284" ht="15.75" customHeight="1">
      <c r="BC284" s="3"/>
      <c r="BD284" s="3"/>
      <c r="BE284" s="3"/>
      <c r="BF284" s="3"/>
    </row>
    <row r="285" ht="15.75" customHeight="1">
      <c r="BC285" s="3"/>
      <c r="BD285" s="3"/>
      <c r="BE285" s="3"/>
      <c r="BF285" s="3"/>
    </row>
    <row r="286" ht="15.75" customHeight="1">
      <c r="BC286" s="3"/>
      <c r="BD286" s="3"/>
      <c r="BE286" s="3"/>
      <c r="BF286" s="3"/>
    </row>
    <row r="287" ht="15.75" customHeight="1">
      <c r="BC287" s="3"/>
      <c r="BD287" s="3"/>
      <c r="BE287" s="3"/>
      <c r="BF287" s="3"/>
    </row>
    <row r="288" ht="15.75" customHeight="1">
      <c r="BC288" s="3"/>
      <c r="BD288" s="3"/>
      <c r="BE288" s="3"/>
      <c r="BF288" s="3"/>
    </row>
    <row r="289" ht="15.75" customHeight="1">
      <c r="BC289" s="3"/>
      <c r="BD289" s="3"/>
      <c r="BE289" s="3"/>
      <c r="BF289" s="3"/>
    </row>
    <row r="290" ht="15.75" customHeight="1">
      <c r="BC290" s="3"/>
      <c r="BD290" s="3"/>
      <c r="BE290" s="3"/>
      <c r="BF290" s="3"/>
    </row>
    <row r="291" ht="15.75" customHeight="1">
      <c r="BC291" s="3"/>
      <c r="BD291" s="3"/>
      <c r="BE291" s="3"/>
      <c r="BF291" s="3"/>
    </row>
    <row r="292" ht="15.75" customHeight="1">
      <c r="BC292" s="3"/>
      <c r="BD292" s="3"/>
      <c r="BE292" s="3"/>
      <c r="BF292" s="3"/>
    </row>
    <row r="293" ht="15.75" customHeight="1">
      <c r="BC293" s="3"/>
      <c r="BD293" s="3"/>
      <c r="BE293" s="3"/>
      <c r="BF293" s="3"/>
    </row>
    <row r="294" ht="15.75" customHeight="1">
      <c r="BC294" s="3"/>
      <c r="BD294" s="3"/>
      <c r="BE294" s="3"/>
      <c r="BF294" s="3"/>
    </row>
    <row r="295" ht="15.75" customHeight="1">
      <c r="BC295" s="3"/>
      <c r="BD295" s="3"/>
      <c r="BE295" s="3"/>
      <c r="BF295" s="3"/>
    </row>
    <row r="296" ht="15.75" customHeight="1">
      <c r="BC296" s="3"/>
      <c r="BD296" s="3"/>
      <c r="BE296" s="3"/>
      <c r="BF296" s="3"/>
    </row>
    <row r="297" ht="15.75" customHeight="1">
      <c r="BC297" s="3"/>
      <c r="BD297" s="3"/>
      <c r="BE297" s="3"/>
      <c r="BF297" s="3"/>
    </row>
    <row r="298" ht="15.75" customHeight="1">
      <c r="BC298" s="3"/>
      <c r="BD298" s="3"/>
      <c r="BE298" s="3"/>
      <c r="BF298" s="3"/>
    </row>
    <row r="299" ht="15.75" customHeight="1">
      <c r="BC299" s="3"/>
      <c r="BD299" s="3"/>
      <c r="BE299" s="3"/>
      <c r="BF299" s="3"/>
    </row>
    <row r="300" ht="15.75" customHeight="1">
      <c r="BC300" s="3"/>
      <c r="BD300" s="3"/>
      <c r="BE300" s="3"/>
      <c r="BF300" s="3"/>
    </row>
    <row r="301" ht="15.75" customHeight="1">
      <c r="BC301" s="3"/>
      <c r="BD301" s="3"/>
      <c r="BE301" s="3"/>
      <c r="BF301" s="3"/>
    </row>
    <row r="302" ht="15.75" customHeight="1">
      <c r="BC302" s="3"/>
      <c r="BD302" s="3"/>
      <c r="BE302" s="3"/>
      <c r="BF302" s="3"/>
    </row>
    <row r="303" ht="15.75" customHeight="1">
      <c r="BC303" s="3"/>
      <c r="BD303" s="3"/>
      <c r="BE303" s="3"/>
      <c r="BF303" s="3"/>
    </row>
    <row r="304" ht="15.75" customHeight="1">
      <c r="BC304" s="3"/>
      <c r="BD304" s="3"/>
      <c r="BE304" s="3"/>
      <c r="BF304" s="3"/>
    </row>
    <row r="305" ht="15.75" customHeight="1">
      <c r="BC305" s="3"/>
      <c r="BD305" s="3"/>
      <c r="BE305" s="3"/>
      <c r="BF305" s="3"/>
    </row>
    <row r="306" ht="15.75" customHeight="1">
      <c r="BC306" s="3"/>
      <c r="BD306" s="3"/>
      <c r="BE306" s="3"/>
      <c r="BF306" s="3"/>
    </row>
    <row r="307" ht="15.75" customHeight="1">
      <c r="BC307" s="3"/>
      <c r="BD307" s="3"/>
      <c r="BE307" s="3"/>
      <c r="BF307" s="3"/>
    </row>
    <row r="308" ht="15.75" customHeight="1">
      <c r="BC308" s="3"/>
      <c r="BD308" s="3"/>
      <c r="BE308" s="3"/>
      <c r="BF308" s="3"/>
    </row>
    <row r="309" ht="15.75" customHeight="1">
      <c r="BC309" s="3"/>
      <c r="BD309" s="3"/>
      <c r="BE309" s="3"/>
      <c r="BF309" s="3"/>
    </row>
    <row r="310" ht="15.75" customHeight="1">
      <c r="BC310" s="3"/>
      <c r="BD310" s="3"/>
      <c r="BE310" s="3"/>
      <c r="BF310" s="3"/>
    </row>
    <row r="311" ht="15.75" customHeight="1">
      <c r="BC311" s="3"/>
      <c r="BD311" s="3"/>
      <c r="BE311" s="3"/>
      <c r="BF311" s="3"/>
    </row>
    <row r="312" ht="15.75" customHeight="1">
      <c r="BC312" s="3"/>
      <c r="BD312" s="3"/>
      <c r="BE312" s="3"/>
      <c r="BF312" s="3"/>
    </row>
    <row r="313" ht="15.75" customHeight="1">
      <c r="BC313" s="3"/>
      <c r="BD313" s="3"/>
      <c r="BE313" s="3"/>
      <c r="BF313" s="3"/>
    </row>
    <row r="314" ht="15.75" customHeight="1">
      <c r="BC314" s="3"/>
      <c r="BD314" s="3"/>
      <c r="BE314" s="3"/>
      <c r="BF314" s="3"/>
    </row>
    <row r="315" ht="15.75" customHeight="1">
      <c r="BC315" s="3"/>
      <c r="BD315" s="3"/>
      <c r="BE315" s="3"/>
      <c r="BF315" s="3"/>
    </row>
    <row r="316" ht="15.75" customHeight="1">
      <c r="BC316" s="3"/>
      <c r="BD316" s="3"/>
      <c r="BE316" s="3"/>
      <c r="BF316" s="3"/>
    </row>
    <row r="317" ht="15.75" customHeight="1">
      <c r="BC317" s="3"/>
      <c r="BD317" s="3"/>
      <c r="BE317" s="3"/>
      <c r="BF317" s="3"/>
    </row>
    <row r="318" ht="15.75" customHeight="1">
      <c r="BC318" s="3"/>
      <c r="BD318" s="3"/>
      <c r="BE318" s="3"/>
      <c r="BF318" s="3"/>
    </row>
    <row r="319" ht="15.75" customHeight="1">
      <c r="BC319" s="3"/>
      <c r="BD319" s="3"/>
      <c r="BE319" s="3"/>
      <c r="BF319" s="3"/>
    </row>
    <row r="320" ht="15.75" customHeight="1">
      <c r="BC320" s="3"/>
      <c r="BD320" s="3"/>
      <c r="BE320" s="3"/>
      <c r="BF320" s="3"/>
    </row>
    <row r="321" ht="15.75" customHeight="1">
      <c r="BC321" s="3"/>
      <c r="BD321" s="3"/>
      <c r="BE321" s="3"/>
      <c r="BF321" s="3"/>
    </row>
    <row r="322" ht="15.75" customHeight="1">
      <c r="BC322" s="3"/>
      <c r="BD322" s="3"/>
      <c r="BE322" s="3"/>
      <c r="BF322" s="3"/>
    </row>
    <row r="323" ht="15.75" customHeight="1">
      <c r="BC323" s="3"/>
      <c r="BD323" s="3"/>
      <c r="BE323" s="3"/>
      <c r="BF323" s="3"/>
    </row>
    <row r="324" ht="15.75" customHeight="1">
      <c r="BC324" s="3"/>
      <c r="BD324" s="3"/>
      <c r="BE324" s="3"/>
      <c r="BF324" s="3"/>
    </row>
    <row r="325" ht="15.75" customHeight="1">
      <c r="BC325" s="3"/>
      <c r="BD325" s="3"/>
      <c r="BE325" s="3"/>
      <c r="BF325" s="3"/>
    </row>
    <row r="326" ht="15.75" customHeight="1">
      <c r="BC326" s="3"/>
      <c r="BD326" s="3"/>
      <c r="BE326" s="3"/>
      <c r="BF326" s="3"/>
    </row>
    <row r="327" ht="15.75" customHeight="1">
      <c r="BC327" s="3"/>
      <c r="BD327" s="3"/>
      <c r="BE327" s="3"/>
      <c r="BF327" s="3"/>
    </row>
    <row r="328" ht="15.75" customHeight="1">
      <c r="BC328" s="3"/>
      <c r="BD328" s="3"/>
      <c r="BE328" s="3"/>
      <c r="BF328" s="3"/>
    </row>
    <row r="329" ht="15.75" customHeight="1">
      <c r="BC329" s="3"/>
      <c r="BD329" s="3"/>
      <c r="BE329" s="3"/>
      <c r="BF329" s="3"/>
    </row>
    <row r="330" ht="15.75" customHeight="1">
      <c r="BC330" s="3"/>
      <c r="BD330" s="3"/>
      <c r="BE330" s="3"/>
      <c r="BF330" s="3"/>
    </row>
    <row r="331" ht="15.75" customHeight="1">
      <c r="BC331" s="3"/>
      <c r="BD331" s="3"/>
      <c r="BE331" s="3"/>
      <c r="BF331" s="3"/>
    </row>
    <row r="332" ht="15.75" customHeight="1">
      <c r="BC332" s="3"/>
      <c r="BD332" s="3"/>
      <c r="BE332" s="3"/>
      <c r="BF332" s="3"/>
    </row>
    <row r="333" ht="15.75" customHeight="1">
      <c r="BC333" s="3"/>
      <c r="BD333" s="3"/>
      <c r="BE333" s="3"/>
      <c r="BF333" s="3"/>
    </row>
    <row r="334" ht="15.75" customHeight="1">
      <c r="BC334" s="3"/>
      <c r="BD334" s="3"/>
      <c r="BE334" s="3"/>
      <c r="BF334" s="3"/>
    </row>
    <row r="335" ht="15.75" customHeight="1">
      <c r="BC335" s="3"/>
      <c r="BD335" s="3"/>
      <c r="BE335" s="3"/>
      <c r="BF335" s="3"/>
    </row>
    <row r="336" ht="15.75" customHeight="1">
      <c r="BC336" s="3"/>
      <c r="BD336" s="3"/>
      <c r="BE336" s="3"/>
      <c r="BF336" s="3"/>
    </row>
    <row r="337" ht="15.75" customHeight="1">
      <c r="BC337" s="3"/>
      <c r="BD337" s="3"/>
      <c r="BE337" s="3"/>
      <c r="BF337" s="3"/>
    </row>
    <row r="338" ht="15.75" customHeight="1">
      <c r="BC338" s="3"/>
      <c r="BD338" s="3"/>
      <c r="BE338" s="3"/>
      <c r="BF338" s="3"/>
    </row>
    <row r="339" ht="15.75" customHeight="1">
      <c r="BC339" s="3"/>
      <c r="BD339" s="3"/>
      <c r="BE339" s="3"/>
      <c r="BF339" s="3"/>
    </row>
    <row r="340" ht="15.75" customHeight="1">
      <c r="BC340" s="3"/>
      <c r="BD340" s="3"/>
      <c r="BE340" s="3"/>
      <c r="BF340" s="3"/>
    </row>
    <row r="341" ht="15.75" customHeight="1">
      <c r="BC341" s="3"/>
      <c r="BD341" s="3"/>
      <c r="BE341" s="3"/>
      <c r="BF341" s="3"/>
    </row>
    <row r="342" ht="15.75" customHeight="1">
      <c r="BC342" s="3"/>
      <c r="BD342" s="3"/>
      <c r="BE342" s="3"/>
      <c r="BF342" s="3"/>
    </row>
    <row r="343" ht="15.75" customHeight="1">
      <c r="BC343" s="3"/>
      <c r="BD343" s="3"/>
      <c r="BE343" s="3"/>
      <c r="BF343" s="3"/>
    </row>
    <row r="344" ht="15.75" customHeight="1">
      <c r="BC344" s="3"/>
      <c r="BD344" s="3"/>
      <c r="BE344" s="3"/>
      <c r="BF344" s="3"/>
    </row>
    <row r="345" ht="15.75" customHeight="1">
      <c r="BC345" s="3"/>
      <c r="BD345" s="3"/>
      <c r="BE345" s="3"/>
      <c r="BF345" s="3"/>
    </row>
    <row r="346" ht="15.75" customHeight="1">
      <c r="BC346" s="3"/>
      <c r="BD346" s="3"/>
      <c r="BE346" s="3"/>
      <c r="BF346" s="3"/>
    </row>
    <row r="347" ht="15.75" customHeight="1">
      <c r="BC347" s="3"/>
      <c r="BD347" s="3"/>
      <c r="BE347" s="3"/>
      <c r="BF347" s="3"/>
    </row>
    <row r="348" ht="15.75" customHeight="1">
      <c r="BC348" s="3"/>
      <c r="BD348" s="3"/>
      <c r="BE348" s="3"/>
      <c r="BF348" s="3"/>
    </row>
    <row r="349" ht="15.75" customHeight="1">
      <c r="BC349" s="3"/>
      <c r="BD349" s="3"/>
      <c r="BE349" s="3"/>
      <c r="BF349" s="3"/>
    </row>
    <row r="350" ht="15.75" customHeight="1">
      <c r="BC350" s="3"/>
      <c r="BD350" s="3"/>
      <c r="BE350" s="3"/>
      <c r="BF350" s="3"/>
    </row>
    <row r="351" ht="15.75" customHeight="1">
      <c r="BC351" s="3"/>
      <c r="BD351" s="3"/>
      <c r="BE351" s="3"/>
      <c r="BF351" s="3"/>
    </row>
    <row r="352" ht="15.75" customHeight="1">
      <c r="BC352" s="3"/>
      <c r="BD352" s="3"/>
      <c r="BE352" s="3"/>
      <c r="BF352" s="3"/>
    </row>
    <row r="353" ht="15.75" customHeight="1">
      <c r="BC353" s="3"/>
      <c r="BD353" s="3"/>
      <c r="BE353" s="3"/>
      <c r="BF353" s="3"/>
    </row>
    <row r="354" ht="15.75" customHeight="1">
      <c r="BC354" s="3"/>
      <c r="BD354" s="3"/>
      <c r="BE354" s="3"/>
      <c r="BF354" s="3"/>
    </row>
    <row r="355" ht="15.75" customHeight="1">
      <c r="BC355" s="3"/>
      <c r="BD355" s="3"/>
      <c r="BE355" s="3"/>
      <c r="BF355" s="3"/>
    </row>
    <row r="356" ht="15.75" customHeight="1">
      <c r="BC356" s="3"/>
      <c r="BD356" s="3"/>
      <c r="BE356" s="3"/>
      <c r="BF356" s="3"/>
    </row>
    <row r="357" ht="15.75" customHeight="1">
      <c r="BC357" s="3"/>
      <c r="BD357" s="3"/>
      <c r="BE357" s="3"/>
      <c r="BF357" s="3"/>
    </row>
    <row r="358" ht="15.75" customHeight="1">
      <c r="BC358" s="3"/>
      <c r="BD358" s="3"/>
      <c r="BE358" s="3"/>
      <c r="BF358" s="3"/>
    </row>
    <row r="359" ht="15.75" customHeight="1">
      <c r="BC359" s="3"/>
      <c r="BD359" s="3"/>
      <c r="BE359" s="3"/>
      <c r="BF359" s="3"/>
    </row>
    <row r="360" ht="15.75" customHeight="1">
      <c r="BC360" s="3"/>
      <c r="BD360" s="3"/>
      <c r="BE360" s="3"/>
      <c r="BF360" s="3"/>
    </row>
    <row r="361" ht="15.75" customHeight="1">
      <c r="BC361" s="3"/>
      <c r="BD361" s="3"/>
      <c r="BE361" s="3"/>
      <c r="BF361" s="3"/>
    </row>
    <row r="362" ht="15.75" customHeight="1">
      <c r="BC362" s="3"/>
      <c r="BD362" s="3"/>
      <c r="BE362" s="3"/>
      <c r="BF362" s="3"/>
    </row>
    <row r="363" ht="15.75" customHeight="1">
      <c r="BC363" s="3"/>
      <c r="BD363" s="3"/>
      <c r="BE363" s="3"/>
      <c r="BF363" s="3"/>
    </row>
    <row r="364" ht="15.75" customHeight="1">
      <c r="BC364" s="3"/>
      <c r="BD364" s="3"/>
      <c r="BE364" s="3"/>
      <c r="BF364" s="3"/>
    </row>
    <row r="365" ht="15.75" customHeight="1">
      <c r="BC365" s="3"/>
      <c r="BD365" s="3"/>
      <c r="BE365" s="3"/>
      <c r="BF365" s="3"/>
    </row>
    <row r="366" ht="15.75" customHeight="1">
      <c r="BC366" s="3"/>
      <c r="BD366" s="3"/>
      <c r="BE366" s="3"/>
      <c r="BF366" s="3"/>
    </row>
    <row r="367" ht="15.75" customHeight="1">
      <c r="BC367" s="3"/>
      <c r="BD367" s="3"/>
      <c r="BE367" s="3"/>
      <c r="BF367" s="3"/>
    </row>
    <row r="368" ht="15.75" customHeight="1">
      <c r="BC368" s="3"/>
      <c r="BD368" s="3"/>
      <c r="BE368" s="3"/>
      <c r="BF368" s="3"/>
    </row>
    <row r="369" ht="15.75" customHeight="1">
      <c r="BC369" s="3"/>
      <c r="BD369" s="3"/>
      <c r="BE369" s="3"/>
      <c r="BF369" s="3"/>
    </row>
    <row r="370" ht="15.75" customHeight="1">
      <c r="BC370" s="3"/>
      <c r="BD370" s="3"/>
      <c r="BE370" s="3"/>
      <c r="BF370" s="3"/>
    </row>
    <row r="371" ht="15.75" customHeight="1">
      <c r="BC371" s="3"/>
      <c r="BD371" s="3"/>
      <c r="BE371" s="3"/>
      <c r="BF371" s="3"/>
    </row>
    <row r="372" ht="15.75" customHeight="1">
      <c r="BC372" s="3"/>
      <c r="BD372" s="3"/>
      <c r="BE372" s="3"/>
      <c r="BF372" s="3"/>
    </row>
    <row r="373" ht="15.75" customHeight="1">
      <c r="BC373" s="3"/>
      <c r="BD373" s="3"/>
      <c r="BE373" s="3"/>
      <c r="BF373" s="3"/>
    </row>
    <row r="374" ht="15.75" customHeight="1">
      <c r="BC374" s="3"/>
      <c r="BD374" s="3"/>
      <c r="BE374" s="3"/>
      <c r="BF374" s="3"/>
    </row>
    <row r="375" ht="15.75" customHeight="1">
      <c r="BC375" s="3"/>
      <c r="BD375" s="3"/>
      <c r="BE375" s="3"/>
      <c r="BF375" s="3"/>
    </row>
    <row r="376" ht="15.75" customHeight="1">
      <c r="BC376" s="3"/>
      <c r="BD376" s="3"/>
      <c r="BE376" s="3"/>
      <c r="BF376" s="3"/>
    </row>
    <row r="377" ht="15.75" customHeight="1">
      <c r="BC377" s="3"/>
      <c r="BD377" s="3"/>
      <c r="BE377" s="3"/>
      <c r="BF377" s="3"/>
    </row>
    <row r="378" ht="15.75" customHeight="1">
      <c r="BC378" s="3"/>
      <c r="BD378" s="3"/>
      <c r="BE378" s="3"/>
      <c r="BF378" s="3"/>
    </row>
    <row r="379" ht="15.75" customHeight="1">
      <c r="BC379" s="3"/>
      <c r="BD379" s="3"/>
      <c r="BE379" s="3"/>
      <c r="BF379" s="3"/>
    </row>
    <row r="380" ht="15.75" customHeight="1">
      <c r="BC380" s="3"/>
      <c r="BD380" s="3"/>
      <c r="BE380" s="3"/>
      <c r="BF380" s="3"/>
    </row>
    <row r="381" ht="15.75" customHeight="1">
      <c r="BC381" s="3"/>
      <c r="BD381" s="3"/>
      <c r="BE381" s="3"/>
      <c r="BF381" s="3"/>
    </row>
    <row r="382" ht="15.75" customHeight="1">
      <c r="BC382" s="3"/>
      <c r="BD382" s="3"/>
      <c r="BE382" s="3"/>
      <c r="BF382" s="3"/>
    </row>
    <row r="383" ht="15.75" customHeight="1">
      <c r="BC383" s="3"/>
      <c r="BD383" s="3"/>
      <c r="BE383" s="3"/>
      <c r="BF383" s="3"/>
    </row>
    <row r="384" ht="15.75" customHeight="1">
      <c r="BC384" s="3"/>
      <c r="BD384" s="3"/>
      <c r="BE384" s="3"/>
      <c r="BF384" s="3"/>
    </row>
    <row r="385" ht="15.75" customHeight="1">
      <c r="BC385" s="3"/>
      <c r="BD385" s="3"/>
      <c r="BE385" s="3"/>
      <c r="BF385" s="3"/>
    </row>
    <row r="386" ht="15.75" customHeight="1">
      <c r="BC386" s="3"/>
      <c r="BD386" s="3"/>
      <c r="BE386" s="3"/>
      <c r="BF386" s="3"/>
    </row>
    <row r="387" ht="15.75" customHeight="1">
      <c r="BC387" s="3"/>
      <c r="BD387" s="3"/>
      <c r="BE387" s="3"/>
      <c r="BF387" s="3"/>
    </row>
    <row r="388" ht="15.75" customHeight="1">
      <c r="BC388" s="3"/>
      <c r="BD388" s="3"/>
      <c r="BE388" s="3"/>
      <c r="BF388" s="3"/>
    </row>
    <row r="389" ht="15.75" customHeight="1">
      <c r="BC389" s="3"/>
      <c r="BD389" s="3"/>
      <c r="BE389" s="3"/>
      <c r="BF389" s="3"/>
    </row>
    <row r="390" ht="15.75" customHeight="1">
      <c r="BC390" s="3"/>
      <c r="BD390" s="3"/>
      <c r="BE390" s="3"/>
      <c r="BF390" s="3"/>
    </row>
    <row r="391" ht="15.75" customHeight="1">
      <c r="BC391" s="3"/>
      <c r="BD391" s="3"/>
      <c r="BE391" s="3"/>
      <c r="BF391" s="3"/>
    </row>
    <row r="392" ht="15.75" customHeight="1">
      <c r="BC392" s="3"/>
      <c r="BD392" s="3"/>
      <c r="BE392" s="3"/>
      <c r="BF392" s="3"/>
    </row>
    <row r="393" ht="15.75" customHeight="1">
      <c r="BC393" s="3"/>
      <c r="BD393" s="3"/>
      <c r="BE393" s="3"/>
      <c r="BF393" s="3"/>
    </row>
    <row r="394" ht="15.75" customHeight="1">
      <c r="BC394" s="3"/>
      <c r="BD394" s="3"/>
      <c r="BE394" s="3"/>
      <c r="BF394" s="3"/>
    </row>
    <row r="395" ht="15.75" customHeight="1">
      <c r="BC395" s="3"/>
      <c r="BD395" s="3"/>
      <c r="BE395" s="3"/>
      <c r="BF395" s="3"/>
    </row>
    <row r="396" ht="15.75" customHeight="1">
      <c r="BC396" s="3"/>
      <c r="BD396" s="3"/>
      <c r="BE396" s="3"/>
      <c r="BF396" s="3"/>
    </row>
    <row r="397" ht="15.75" customHeight="1">
      <c r="BC397" s="3"/>
      <c r="BD397" s="3"/>
      <c r="BE397" s="3"/>
      <c r="BF397" s="3"/>
    </row>
    <row r="398" ht="15.75" customHeight="1">
      <c r="BC398" s="3"/>
      <c r="BD398" s="3"/>
      <c r="BE398" s="3"/>
      <c r="BF398" s="3"/>
    </row>
    <row r="399" ht="15.75" customHeight="1">
      <c r="BC399" s="3"/>
      <c r="BD399" s="3"/>
      <c r="BE399" s="3"/>
      <c r="BF399" s="3"/>
    </row>
    <row r="400" ht="15.75" customHeight="1">
      <c r="BC400" s="3"/>
      <c r="BD400" s="3"/>
      <c r="BE400" s="3"/>
      <c r="BF400" s="3"/>
    </row>
    <row r="401" ht="15.75" customHeight="1">
      <c r="BC401" s="3"/>
      <c r="BD401" s="3"/>
      <c r="BE401" s="3"/>
      <c r="BF401" s="3"/>
    </row>
    <row r="402" ht="15.75" customHeight="1">
      <c r="BC402" s="3"/>
      <c r="BD402" s="3"/>
      <c r="BE402" s="3"/>
      <c r="BF402" s="3"/>
    </row>
    <row r="403" ht="15.75" customHeight="1">
      <c r="BC403" s="3"/>
      <c r="BD403" s="3"/>
      <c r="BE403" s="3"/>
      <c r="BF403" s="3"/>
    </row>
    <row r="404" ht="15.75" customHeight="1">
      <c r="BC404" s="3"/>
      <c r="BD404" s="3"/>
      <c r="BE404" s="3"/>
      <c r="BF404" s="3"/>
    </row>
    <row r="405" ht="15.75" customHeight="1">
      <c r="BC405" s="3"/>
      <c r="BD405" s="3"/>
      <c r="BE405" s="3"/>
      <c r="BF405" s="3"/>
    </row>
    <row r="406" ht="15.75" customHeight="1">
      <c r="BC406" s="3"/>
      <c r="BD406" s="3"/>
      <c r="BE406" s="3"/>
      <c r="BF406" s="3"/>
    </row>
    <row r="407" ht="15.75" customHeight="1">
      <c r="BC407" s="3"/>
      <c r="BD407" s="3"/>
      <c r="BE407" s="3"/>
      <c r="BF407" s="3"/>
    </row>
    <row r="408" ht="15.75" customHeight="1">
      <c r="BC408" s="3"/>
      <c r="BD408" s="3"/>
      <c r="BE408" s="3"/>
      <c r="BF408" s="3"/>
    </row>
    <row r="409" ht="15.75" customHeight="1">
      <c r="BC409" s="3"/>
      <c r="BD409" s="3"/>
      <c r="BE409" s="3"/>
      <c r="BF409" s="3"/>
    </row>
    <row r="410" ht="15.75" customHeight="1">
      <c r="BC410" s="3"/>
      <c r="BD410" s="3"/>
      <c r="BE410" s="3"/>
      <c r="BF410" s="3"/>
    </row>
    <row r="411" ht="15.75" customHeight="1">
      <c r="BC411" s="3"/>
      <c r="BD411" s="3"/>
      <c r="BE411" s="3"/>
      <c r="BF411" s="3"/>
    </row>
    <row r="412" ht="15.75" customHeight="1">
      <c r="BC412" s="3"/>
      <c r="BD412" s="3"/>
      <c r="BE412" s="3"/>
      <c r="BF412" s="3"/>
    </row>
    <row r="413" ht="15.75" customHeight="1">
      <c r="BC413" s="3"/>
      <c r="BD413" s="3"/>
      <c r="BE413" s="3"/>
      <c r="BF413" s="3"/>
    </row>
    <row r="414" ht="15.75" customHeight="1">
      <c r="BC414" s="3"/>
      <c r="BD414" s="3"/>
      <c r="BE414" s="3"/>
      <c r="BF414" s="3"/>
    </row>
    <row r="415" ht="15.75" customHeight="1">
      <c r="BC415" s="3"/>
      <c r="BD415" s="3"/>
      <c r="BE415" s="3"/>
      <c r="BF415" s="3"/>
    </row>
    <row r="416" ht="15.75" customHeight="1">
      <c r="BC416" s="3"/>
      <c r="BD416" s="3"/>
      <c r="BE416" s="3"/>
      <c r="BF416" s="3"/>
    </row>
    <row r="417" ht="15.75" customHeight="1">
      <c r="BC417" s="3"/>
      <c r="BD417" s="3"/>
      <c r="BE417" s="3"/>
      <c r="BF417" s="3"/>
    </row>
    <row r="418" ht="15.75" customHeight="1">
      <c r="BC418" s="3"/>
      <c r="BD418" s="3"/>
      <c r="BE418" s="3"/>
      <c r="BF418" s="3"/>
    </row>
    <row r="419" ht="15.75" customHeight="1">
      <c r="BC419" s="3"/>
      <c r="BD419" s="3"/>
      <c r="BE419" s="3"/>
      <c r="BF419" s="3"/>
    </row>
    <row r="420" ht="15.75" customHeight="1">
      <c r="BC420" s="3"/>
      <c r="BD420" s="3"/>
      <c r="BE420" s="3"/>
      <c r="BF420" s="3"/>
    </row>
    <row r="421" ht="15.75" customHeight="1">
      <c r="BC421" s="3"/>
      <c r="BD421" s="3"/>
      <c r="BE421" s="3"/>
      <c r="BF421" s="3"/>
    </row>
    <row r="422" ht="15.75" customHeight="1">
      <c r="BC422" s="3"/>
      <c r="BD422" s="3"/>
      <c r="BE422" s="3"/>
      <c r="BF422" s="3"/>
    </row>
    <row r="423" ht="15.75" customHeight="1">
      <c r="BC423" s="3"/>
      <c r="BD423" s="3"/>
      <c r="BE423" s="3"/>
      <c r="BF423" s="3"/>
    </row>
    <row r="424" ht="15.75" customHeight="1">
      <c r="BC424" s="3"/>
      <c r="BD424" s="3"/>
      <c r="BE424" s="3"/>
      <c r="BF424" s="3"/>
    </row>
    <row r="425" ht="15.75" customHeight="1">
      <c r="BC425" s="3"/>
      <c r="BD425" s="3"/>
      <c r="BE425" s="3"/>
      <c r="BF425" s="3"/>
    </row>
    <row r="426" ht="15.75" customHeight="1">
      <c r="BC426" s="3"/>
      <c r="BD426" s="3"/>
      <c r="BE426" s="3"/>
      <c r="BF426" s="3"/>
    </row>
    <row r="427" ht="15.75" customHeight="1">
      <c r="BC427" s="3"/>
      <c r="BD427" s="3"/>
      <c r="BE427" s="3"/>
      <c r="BF427" s="3"/>
    </row>
    <row r="428" ht="15.75" customHeight="1">
      <c r="BC428" s="3"/>
      <c r="BD428" s="3"/>
      <c r="BE428" s="3"/>
      <c r="BF428" s="3"/>
    </row>
    <row r="429" ht="15.75" customHeight="1">
      <c r="BC429" s="3"/>
      <c r="BD429" s="3"/>
      <c r="BE429" s="3"/>
      <c r="BF429" s="3"/>
    </row>
    <row r="430" ht="15.75" customHeight="1">
      <c r="BC430" s="3"/>
      <c r="BD430" s="3"/>
      <c r="BE430" s="3"/>
      <c r="BF430" s="3"/>
    </row>
    <row r="431" ht="15.75" customHeight="1">
      <c r="BC431" s="3"/>
      <c r="BD431" s="3"/>
      <c r="BE431" s="3"/>
      <c r="BF431" s="3"/>
    </row>
    <row r="432" ht="15.75" customHeight="1">
      <c r="BC432" s="3"/>
      <c r="BD432" s="3"/>
      <c r="BE432" s="3"/>
      <c r="BF432" s="3"/>
    </row>
    <row r="433" ht="15.75" customHeight="1">
      <c r="BC433" s="3"/>
      <c r="BD433" s="3"/>
      <c r="BE433" s="3"/>
      <c r="BF433" s="3"/>
    </row>
    <row r="434" ht="15.75" customHeight="1">
      <c r="BC434" s="3"/>
      <c r="BD434" s="3"/>
      <c r="BE434" s="3"/>
      <c r="BF434" s="3"/>
    </row>
    <row r="435" ht="15.75" customHeight="1">
      <c r="BC435" s="3"/>
      <c r="BD435" s="3"/>
      <c r="BE435" s="3"/>
      <c r="BF435" s="3"/>
    </row>
    <row r="436" ht="15.75" customHeight="1">
      <c r="BC436" s="3"/>
      <c r="BD436" s="3"/>
      <c r="BE436" s="3"/>
      <c r="BF436" s="3"/>
    </row>
    <row r="437" ht="15.75" customHeight="1">
      <c r="BC437" s="3"/>
      <c r="BD437" s="3"/>
      <c r="BE437" s="3"/>
      <c r="BF437" s="3"/>
    </row>
    <row r="438" ht="15.75" customHeight="1">
      <c r="BC438" s="3"/>
      <c r="BD438" s="3"/>
      <c r="BE438" s="3"/>
      <c r="BF438" s="3"/>
    </row>
    <row r="439" ht="15.75" customHeight="1">
      <c r="BC439" s="3"/>
      <c r="BD439" s="3"/>
      <c r="BE439" s="3"/>
      <c r="BF439" s="3"/>
    </row>
    <row r="440" ht="15.75" customHeight="1">
      <c r="BC440" s="3"/>
      <c r="BD440" s="3"/>
      <c r="BE440" s="3"/>
      <c r="BF440" s="3"/>
    </row>
    <row r="441" ht="15.75" customHeight="1">
      <c r="BC441" s="3"/>
      <c r="BD441" s="3"/>
      <c r="BE441" s="3"/>
      <c r="BF441" s="3"/>
    </row>
    <row r="442" ht="15.75" customHeight="1">
      <c r="BC442" s="3"/>
      <c r="BD442" s="3"/>
      <c r="BE442" s="3"/>
      <c r="BF442" s="3"/>
    </row>
    <row r="443" ht="15.75" customHeight="1">
      <c r="BC443" s="3"/>
      <c r="BD443" s="3"/>
      <c r="BE443" s="3"/>
      <c r="BF443" s="3"/>
    </row>
    <row r="444" ht="15.75" customHeight="1">
      <c r="BC444" s="3"/>
      <c r="BD444" s="3"/>
      <c r="BE444" s="3"/>
      <c r="BF444" s="3"/>
    </row>
    <row r="445" ht="15.75" customHeight="1">
      <c r="BC445" s="3"/>
      <c r="BD445" s="3"/>
      <c r="BE445" s="3"/>
      <c r="BF445" s="3"/>
    </row>
    <row r="446" ht="15.75" customHeight="1">
      <c r="BC446" s="3"/>
      <c r="BD446" s="3"/>
      <c r="BE446" s="3"/>
      <c r="BF446" s="3"/>
    </row>
    <row r="447" ht="15.75" customHeight="1">
      <c r="BC447" s="3"/>
      <c r="BD447" s="3"/>
      <c r="BE447" s="3"/>
      <c r="BF447" s="3"/>
    </row>
    <row r="448" ht="15.75" customHeight="1">
      <c r="BC448" s="3"/>
      <c r="BD448" s="3"/>
      <c r="BE448" s="3"/>
      <c r="BF448" s="3"/>
    </row>
    <row r="449" ht="15.75" customHeight="1">
      <c r="BC449" s="3"/>
      <c r="BD449" s="3"/>
      <c r="BE449" s="3"/>
      <c r="BF449" s="3"/>
    </row>
    <row r="450" ht="15.75" customHeight="1">
      <c r="BC450" s="3"/>
      <c r="BD450" s="3"/>
      <c r="BE450" s="3"/>
      <c r="BF450" s="3"/>
    </row>
    <row r="451" ht="15.75" customHeight="1">
      <c r="BC451" s="3"/>
      <c r="BD451" s="3"/>
      <c r="BE451" s="3"/>
      <c r="BF451" s="3"/>
    </row>
    <row r="452" ht="15.75" customHeight="1">
      <c r="BC452" s="3"/>
      <c r="BD452" s="3"/>
      <c r="BE452" s="3"/>
      <c r="BF452" s="3"/>
    </row>
    <row r="453" ht="15.75" customHeight="1">
      <c r="BC453" s="3"/>
      <c r="BD453" s="3"/>
      <c r="BE453" s="3"/>
      <c r="BF453" s="3"/>
    </row>
    <row r="454" ht="15.75" customHeight="1">
      <c r="BC454" s="3"/>
      <c r="BD454" s="3"/>
      <c r="BE454" s="3"/>
      <c r="BF454" s="3"/>
    </row>
    <row r="455" ht="15.75" customHeight="1">
      <c r="BC455" s="3"/>
      <c r="BD455" s="3"/>
      <c r="BE455" s="3"/>
      <c r="BF455" s="3"/>
    </row>
    <row r="456" ht="15.75" customHeight="1">
      <c r="BC456" s="3"/>
      <c r="BD456" s="3"/>
      <c r="BE456" s="3"/>
      <c r="BF456" s="3"/>
    </row>
    <row r="457" ht="15.75" customHeight="1">
      <c r="BC457" s="3"/>
      <c r="BD457" s="3"/>
      <c r="BE457" s="3"/>
      <c r="BF457" s="3"/>
    </row>
    <row r="458" ht="15.75" customHeight="1">
      <c r="BC458" s="3"/>
      <c r="BD458" s="3"/>
      <c r="BE458" s="3"/>
      <c r="BF458" s="3"/>
    </row>
    <row r="459" ht="15.75" customHeight="1">
      <c r="BC459" s="3"/>
      <c r="BD459" s="3"/>
      <c r="BE459" s="3"/>
      <c r="BF459" s="3"/>
    </row>
    <row r="460" ht="15.75" customHeight="1">
      <c r="BC460" s="3"/>
      <c r="BD460" s="3"/>
      <c r="BE460" s="3"/>
      <c r="BF460" s="3"/>
    </row>
    <row r="461" ht="15.75" customHeight="1">
      <c r="BC461" s="3"/>
      <c r="BD461" s="3"/>
      <c r="BE461" s="3"/>
      <c r="BF461" s="3"/>
    </row>
    <row r="462" ht="15.75" customHeight="1">
      <c r="BC462" s="3"/>
      <c r="BD462" s="3"/>
      <c r="BE462" s="3"/>
      <c r="BF462" s="3"/>
    </row>
    <row r="463" ht="15.75" customHeight="1">
      <c r="BC463" s="3"/>
      <c r="BD463" s="3"/>
      <c r="BE463" s="3"/>
      <c r="BF463" s="3"/>
    </row>
    <row r="464" ht="15.75" customHeight="1">
      <c r="BC464" s="3"/>
      <c r="BD464" s="3"/>
      <c r="BE464" s="3"/>
      <c r="BF464" s="3"/>
    </row>
    <row r="465" ht="15.75" customHeight="1">
      <c r="BC465" s="3"/>
      <c r="BD465" s="3"/>
      <c r="BE465" s="3"/>
      <c r="BF465" s="3"/>
    </row>
    <row r="466" ht="15.75" customHeight="1">
      <c r="BC466" s="3"/>
      <c r="BD466" s="3"/>
      <c r="BE466" s="3"/>
      <c r="BF466" s="3"/>
    </row>
    <row r="467" ht="15.75" customHeight="1">
      <c r="BC467" s="3"/>
      <c r="BD467" s="3"/>
      <c r="BE467" s="3"/>
      <c r="BF467" s="3"/>
    </row>
    <row r="468" ht="15.75" customHeight="1">
      <c r="BC468" s="3"/>
      <c r="BD468" s="3"/>
      <c r="BE468" s="3"/>
      <c r="BF468" s="3"/>
    </row>
    <row r="469" ht="15.75" customHeight="1">
      <c r="BC469" s="3"/>
      <c r="BD469" s="3"/>
      <c r="BE469" s="3"/>
      <c r="BF469" s="3"/>
    </row>
    <row r="470" ht="15.75" customHeight="1">
      <c r="BC470" s="3"/>
      <c r="BD470" s="3"/>
      <c r="BE470" s="3"/>
      <c r="BF470" s="3"/>
    </row>
    <row r="471" ht="15.75" customHeight="1">
      <c r="BC471" s="3"/>
      <c r="BD471" s="3"/>
      <c r="BE471" s="3"/>
      <c r="BF471" s="3"/>
    </row>
    <row r="472" ht="15.75" customHeight="1">
      <c r="BC472" s="3"/>
      <c r="BD472" s="3"/>
      <c r="BE472" s="3"/>
      <c r="BF472" s="3"/>
    </row>
    <row r="473" ht="15.75" customHeight="1">
      <c r="BC473" s="3"/>
      <c r="BD473" s="3"/>
      <c r="BE473" s="3"/>
      <c r="BF473" s="3"/>
    </row>
    <row r="474" ht="15.75" customHeight="1">
      <c r="BC474" s="3"/>
      <c r="BD474" s="3"/>
      <c r="BE474" s="3"/>
      <c r="BF474" s="3"/>
    </row>
    <row r="475" ht="15.75" customHeight="1">
      <c r="BC475" s="3"/>
      <c r="BD475" s="3"/>
      <c r="BE475" s="3"/>
      <c r="BF475" s="3"/>
    </row>
    <row r="476" ht="15.75" customHeight="1">
      <c r="BC476" s="3"/>
      <c r="BD476" s="3"/>
      <c r="BE476" s="3"/>
      <c r="BF476" s="3"/>
    </row>
    <row r="477" ht="15.75" customHeight="1">
      <c r="BC477" s="3"/>
      <c r="BD477" s="3"/>
      <c r="BE477" s="3"/>
      <c r="BF477" s="3"/>
    </row>
    <row r="478" ht="15.75" customHeight="1">
      <c r="BC478" s="3"/>
      <c r="BD478" s="3"/>
      <c r="BE478" s="3"/>
      <c r="BF478" s="3"/>
    </row>
    <row r="479" ht="15.75" customHeight="1">
      <c r="BC479" s="3"/>
      <c r="BD479" s="3"/>
      <c r="BE479" s="3"/>
      <c r="BF479" s="3"/>
    </row>
    <row r="480" ht="15.75" customHeight="1">
      <c r="BC480" s="3"/>
      <c r="BD480" s="3"/>
      <c r="BE480" s="3"/>
      <c r="BF480" s="3"/>
    </row>
    <row r="481" ht="15.75" customHeight="1">
      <c r="BC481" s="3"/>
      <c r="BD481" s="3"/>
      <c r="BE481" s="3"/>
      <c r="BF481" s="3"/>
    </row>
    <row r="482" ht="15.75" customHeight="1">
      <c r="BC482" s="3"/>
      <c r="BD482" s="3"/>
      <c r="BE482" s="3"/>
      <c r="BF482" s="3"/>
    </row>
    <row r="483" ht="15.75" customHeight="1">
      <c r="BC483" s="3"/>
      <c r="BD483" s="3"/>
      <c r="BE483" s="3"/>
      <c r="BF483" s="3"/>
    </row>
    <row r="484" ht="15.75" customHeight="1">
      <c r="BC484" s="3"/>
      <c r="BD484" s="3"/>
      <c r="BE484" s="3"/>
      <c r="BF484" s="3"/>
    </row>
    <row r="485" ht="15.75" customHeight="1">
      <c r="BC485" s="3"/>
      <c r="BD485" s="3"/>
      <c r="BE485" s="3"/>
      <c r="BF485" s="3"/>
    </row>
    <row r="486" ht="15.75" customHeight="1">
      <c r="BC486" s="3"/>
      <c r="BD486" s="3"/>
      <c r="BE486" s="3"/>
      <c r="BF486" s="3"/>
    </row>
    <row r="487" ht="15.75" customHeight="1">
      <c r="BC487" s="3"/>
      <c r="BD487" s="3"/>
      <c r="BE487" s="3"/>
      <c r="BF487" s="3"/>
    </row>
    <row r="488" ht="15.75" customHeight="1">
      <c r="BC488" s="3"/>
      <c r="BD488" s="3"/>
      <c r="BE488" s="3"/>
      <c r="BF488" s="3"/>
    </row>
    <row r="489" ht="15.75" customHeight="1">
      <c r="BC489" s="3"/>
      <c r="BD489" s="3"/>
      <c r="BE489" s="3"/>
      <c r="BF489" s="3"/>
    </row>
    <row r="490" ht="15.75" customHeight="1">
      <c r="BC490" s="3"/>
      <c r="BD490" s="3"/>
      <c r="BE490" s="3"/>
      <c r="BF490" s="3"/>
    </row>
    <row r="491" ht="15.75" customHeight="1">
      <c r="BC491" s="3"/>
      <c r="BD491" s="3"/>
      <c r="BE491" s="3"/>
      <c r="BF491" s="3"/>
    </row>
    <row r="492" ht="15.75" customHeight="1">
      <c r="BC492" s="3"/>
      <c r="BD492" s="3"/>
      <c r="BE492" s="3"/>
      <c r="BF492" s="3"/>
    </row>
    <row r="493" ht="15.75" customHeight="1">
      <c r="BC493" s="3"/>
      <c r="BD493" s="3"/>
      <c r="BE493" s="3"/>
      <c r="BF493" s="3"/>
    </row>
    <row r="494" ht="15.75" customHeight="1">
      <c r="BC494" s="3"/>
      <c r="BD494" s="3"/>
      <c r="BE494" s="3"/>
      <c r="BF494" s="3"/>
    </row>
    <row r="495" ht="15.75" customHeight="1">
      <c r="BC495" s="3"/>
      <c r="BD495" s="3"/>
      <c r="BE495" s="3"/>
      <c r="BF495" s="3"/>
    </row>
    <row r="496" ht="15.75" customHeight="1">
      <c r="BC496" s="3"/>
      <c r="BD496" s="3"/>
      <c r="BE496" s="3"/>
      <c r="BF496" s="3"/>
    </row>
    <row r="497" ht="15.75" customHeight="1">
      <c r="BC497" s="3"/>
      <c r="BD497" s="3"/>
      <c r="BE497" s="3"/>
      <c r="BF497" s="3"/>
    </row>
    <row r="498" ht="15.75" customHeight="1">
      <c r="BC498" s="3"/>
      <c r="BD498" s="3"/>
      <c r="BE498" s="3"/>
      <c r="BF498" s="3"/>
    </row>
    <row r="499" ht="15.75" customHeight="1">
      <c r="BC499" s="3"/>
      <c r="BD499" s="3"/>
      <c r="BE499" s="3"/>
      <c r="BF499" s="3"/>
    </row>
    <row r="500" ht="15.75" customHeight="1">
      <c r="BC500" s="3"/>
      <c r="BD500" s="3"/>
      <c r="BE500" s="3"/>
      <c r="BF500" s="3"/>
    </row>
    <row r="501" ht="15.75" customHeight="1">
      <c r="BC501" s="3"/>
      <c r="BD501" s="3"/>
      <c r="BE501" s="3"/>
      <c r="BF501" s="3"/>
    </row>
    <row r="502" ht="15.75" customHeight="1">
      <c r="BC502" s="3"/>
      <c r="BD502" s="3"/>
      <c r="BE502" s="3"/>
      <c r="BF502" s="3"/>
    </row>
    <row r="503" ht="15.75" customHeight="1">
      <c r="BC503" s="3"/>
      <c r="BD503" s="3"/>
      <c r="BE503" s="3"/>
      <c r="BF503" s="3"/>
    </row>
    <row r="504" ht="15.75" customHeight="1">
      <c r="BC504" s="3"/>
      <c r="BD504" s="3"/>
      <c r="BE504" s="3"/>
      <c r="BF504" s="3"/>
    </row>
    <row r="505" ht="15.75" customHeight="1">
      <c r="BC505" s="3"/>
      <c r="BD505" s="3"/>
      <c r="BE505" s="3"/>
      <c r="BF505" s="3"/>
    </row>
    <row r="506" ht="15.75" customHeight="1">
      <c r="BC506" s="3"/>
      <c r="BD506" s="3"/>
      <c r="BE506" s="3"/>
      <c r="BF506" s="3"/>
    </row>
    <row r="507" ht="15.75" customHeight="1">
      <c r="BC507" s="3"/>
      <c r="BD507" s="3"/>
      <c r="BE507" s="3"/>
      <c r="BF507" s="3"/>
    </row>
    <row r="508" ht="15.75" customHeight="1">
      <c r="BC508" s="3"/>
      <c r="BD508" s="3"/>
      <c r="BE508" s="3"/>
      <c r="BF508" s="3"/>
    </row>
    <row r="509" ht="15.75" customHeight="1">
      <c r="BC509" s="3"/>
      <c r="BD509" s="3"/>
      <c r="BE509" s="3"/>
      <c r="BF509" s="3"/>
    </row>
    <row r="510" ht="15.75" customHeight="1">
      <c r="BC510" s="3"/>
      <c r="BD510" s="3"/>
      <c r="BE510" s="3"/>
      <c r="BF510" s="3"/>
    </row>
    <row r="511" ht="15.75" customHeight="1">
      <c r="BC511" s="3"/>
      <c r="BD511" s="3"/>
      <c r="BE511" s="3"/>
      <c r="BF511" s="3"/>
    </row>
    <row r="512" ht="15.75" customHeight="1">
      <c r="BC512" s="3"/>
      <c r="BD512" s="3"/>
      <c r="BE512" s="3"/>
      <c r="BF512" s="3"/>
    </row>
    <row r="513" ht="15.75" customHeight="1">
      <c r="BC513" s="3"/>
      <c r="BD513" s="3"/>
      <c r="BE513" s="3"/>
      <c r="BF513" s="3"/>
    </row>
    <row r="514" ht="15.75" customHeight="1">
      <c r="BC514" s="3"/>
      <c r="BD514" s="3"/>
      <c r="BE514" s="3"/>
      <c r="BF514" s="3"/>
    </row>
    <row r="515" ht="15.75" customHeight="1">
      <c r="BC515" s="3"/>
      <c r="BD515" s="3"/>
      <c r="BE515" s="3"/>
      <c r="BF515" s="3"/>
    </row>
    <row r="516" ht="15.75" customHeight="1">
      <c r="BC516" s="3"/>
      <c r="BD516" s="3"/>
      <c r="BE516" s="3"/>
      <c r="BF516" s="3"/>
    </row>
    <row r="517" ht="15.75" customHeight="1">
      <c r="BC517" s="3"/>
      <c r="BD517" s="3"/>
      <c r="BE517" s="3"/>
      <c r="BF517" s="3"/>
    </row>
    <row r="518" ht="15.75" customHeight="1">
      <c r="BC518" s="3"/>
      <c r="BD518" s="3"/>
      <c r="BE518" s="3"/>
      <c r="BF518" s="3"/>
    </row>
    <row r="519" ht="15.75" customHeight="1">
      <c r="BC519" s="3"/>
      <c r="BD519" s="3"/>
      <c r="BE519" s="3"/>
      <c r="BF519" s="3"/>
    </row>
    <row r="520" ht="15.75" customHeight="1">
      <c r="BC520" s="3"/>
      <c r="BD520" s="3"/>
      <c r="BE520" s="3"/>
      <c r="BF520" s="3"/>
    </row>
    <row r="521" ht="15.75" customHeight="1">
      <c r="BC521" s="3"/>
      <c r="BD521" s="3"/>
      <c r="BE521" s="3"/>
      <c r="BF521" s="3"/>
    </row>
    <row r="522" ht="15.75" customHeight="1">
      <c r="BC522" s="3"/>
      <c r="BD522" s="3"/>
      <c r="BE522" s="3"/>
      <c r="BF522" s="3"/>
    </row>
    <row r="523" ht="15.75" customHeight="1">
      <c r="BC523" s="3"/>
      <c r="BD523" s="3"/>
      <c r="BE523" s="3"/>
      <c r="BF523" s="3"/>
    </row>
    <row r="524" ht="15.75" customHeight="1">
      <c r="BC524" s="3"/>
      <c r="BD524" s="3"/>
      <c r="BE524" s="3"/>
      <c r="BF524" s="3"/>
    </row>
    <row r="525" ht="15.75" customHeight="1">
      <c r="BC525" s="3"/>
      <c r="BD525" s="3"/>
      <c r="BE525" s="3"/>
      <c r="BF525" s="3"/>
    </row>
    <row r="526" ht="15.75" customHeight="1">
      <c r="BC526" s="3"/>
      <c r="BD526" s="3"/>
      <c r="BE526" s="3"/>
      <c r="BF526" s="3"/>
    </row>
    <row r="527" ht="15.75" customHeight="1">
      <c r="BC527" s="3"/>
      <c r="BD527" s="3"/>
      <c r="BE527" s="3"/>
      <c r="BF527" s="3"/>
    </row>
    <row r="528" ht="15.75" customHeight="1">
      <c r="BC528" s="3"/>
      <c r="BD528" s="3"/>
      <c r="BE528" s="3"/>
      <c r="BF528" s="3"/>
    </row>
    <row r="529" ht="15.75" customHeight="1">
      <c r="BC529" s="3"/>
      <c r="BD529" s="3"/>
      <c r="BE529" s="3"/>
      <c r="BF529" s="3"/>
    </row>
    <row r="530" ht="15.75" customHeight="1">
      <c r="BC530" s="3"/>
      <c r="BD530" s="3"/>
      <c r="BE530" s="3"/>
      <c r="BF530" s="3"/>
    </row>
    <row r="531" ht="15.75" customHeight="1">
      <c r="BC531" s="3"/>
      <c r="BD531" s="3"/>
      <c r="BE531" s="3"/>
      <c r="BF531" s="3"/>
    </row>
    <row r="532" ht="15.75" customHeight="1">
      <c r="BC532" s="3"/>
      <c r="BD532" s="3"/>
      <c r="BE532" s="3"/>
      <c r="BF532" s="3"/>
    </row>
    <row r="533" ht="15.75" customHeight="1">
      <c r="BC533" s="3"/>
      <c r="BD533" s="3"/>
      <c r="BE533" s="3"/>
      <c r="BF533" s="3"/>
    </row>
    <row r="534" ht="15.75" customHeight="1">
      <c r="BC534" s="3"/>
      <c r="BD534" s="3"/>
      <c r="BE534" s="3"/>
      <c r="BF534" s="3"/>
    </row>
    <row r="535" ht="15.75" customHeight="1">
      <c r="BC535" s="3"/>
      <c r="BD535" s="3"/>
      <c r="BE535" s="3"/>
      <c r="BF535" s="3"/>
    </row>
    <row r="536" ht="15.75" customHeight="1">
      <c r="BC536" s="3"/>
      <c r="BD536" s="3"/>
      <c r="BE536" s="3"/>
      <c r="BF536" s="3"/>
    </row>
    <row r="537" ht="15.75" customHeight="1">
      <c r="BC537" s="3"/>
      <c r="BD537" s="3"/>
      <c r="BE537" s="3"/>
      <c r="BF537" s="3"/>
    </row>
    <row r="538" ht="15.75" customHeight="1">
      <c r="BC538" s="3"/>
      <c r="BD538" s="3"/>
      <c r="BE538" s="3"/>
      <c r="BF538" s="3"/>
    </row>
    <row r="539" ht="15.75" customHeight="1">
      <c r="BC539" s="3"/>
      <c r="BD539" s="3"/>
      <c r="BE539" s="3"/>
      <c r="BF539" s="3"/>
    </row>
    <row r="540" ht="15.75" customHeight="1">
      <c r="BC540" s="3"/>
      <c r="BD540" s="3"/>
      <c r="BE540" s="3"/>
      <c r="BF540" s="3"/>
    </row>
    <row r="541" ht="15.75" customHeight="1">
      <c r="BC541" s="3"/>
      <c r="BD541" s="3"/>
      <c r="BE541" s="3"/>
      <c r="BF541" s="3"/>
    </row>
    <row r="542" ht="15.75" customHeight="1">
      <c r="BC542" s="3"/>
      <c r="BD542" s="3"/>
      <c r="BE542" s="3"/>
      <c r="BF542" s="3"/>
    </row>
    <row r="543" ht="15.75" customHeight="1">
      <c r="BC543" s="3"/>
      <c r="BD543" s="3"/>
      <c r="BE543" s="3"/>
      <c r="BF543" s="3"/>
    </row>
    <row r="544" ht="15.75" customHeight="1">
      <c r="BC544" s="3"/>
      <c r="BD544" s="3"/>
      <c r="BE544" s="3"/>
      <c r="BF544" s="3"/>
    </row>
    <row r="545" ht="15.75" customHeight="1">
      <c r="BC545" s="3"/>
      <c r="BD545" s="3"/>
      <c r="BE545" s="3"/>
      <c r="BF545" s="3"/>
    </row>
    <row r="546" ht="15.75" customHeight="1">
      <c r="BC546" s="3"/>
      <c r="BD546" s="3"/>
      <c r="BE546" s="3"/>
      <c r="BF546" s="3"/>
    </row>
    <row r="547" ht="15.75" customHeight="1">
      <c r="BC547" s="3"/>
      <c r="BD547" s="3"/>
      <c r="BE547" s="3"/>
      <c r="BF547" s="3"/>
    </row>
    <row r="548" ht="15.75" customHeight="1">
      <c r="BC548" s="3"/>
      <c r="BD548" s="3"/>
      <c r="BE548" s="3"/>
      <c r="BF548" s="3"/>
    </row>
    <row r="549" ht="15.75" customHeight="1">
      <c r="BC549" s="3"/>
      <c r="BD549" s="3"/>
      <c r="BE549" s="3"/>
      <c r="BF549" s="3"/>
    </row>
    <row r="550" ht="15.75" customHeight="1">
      <c r="BC550" s="3"/>
      <c r="BD550" s="3"/>
      <c r="BE550" s="3"/>
      <c r="BF550" s="3"/>
    </row>
    <row r="551" ht="15.75" customHeight="1">
      <c r="BC551" s="3"/>
      <c r="BD551" s="3"/>
      <c r="BE551" s="3"/>
      <c r="BF551" s="3"/>
    </row>
    <row r="552" ht="15.75" customHeight="1">
      <c r="BC552" s="3"/>
      <c r="BD552" s="3"/>
      <c r="BE552" s="3"/>
      <c r="BF552" s="3"/>
    </row>
    <row r="553" ht="15.75" customHeight="1">
      <c r="BC553" s="3"/>
      <c r="BD553" s="3"/>
      <c r="BE553" s="3"/>
      <c r="BF553" s="3"/>
    </row>
    <row r="554" ht="15.75" customHeight="1">
      <c r="BC554" s="3"/>
      <c r="BD554" s="3"/>
      <c r="BE554" s="3"/>
      <c r="BF554" s="3"/>
    </row>
    <row r="555" ht="15.75" customHeight="1">
      <c r="BC555" s="3"/>
      <c r="BD555" s="3"/>
      <c r="BE555" s="3"/>
      <c r="BF555" s="3"/>
    </row>
    <row r="556" ht="15.75" customHeight="1">
      <c r="BC556" s="3"/>
      <c r="BD556" s="3"/>
      <c r="BE556" s="3"/>
      <c r="BF556" s="3"/>
    </row>
    <row r="557" ht="15.75" customHeight="1">
      <c r="BC557" s="3"/>
      <c r="BD557" s="3"/>
      <c r="BE557" s="3"/>
      <c r="BF557" s="3"/>
    </row>
    <row r="558" ht="15.75" customHeight="1">
      <c r="BC558" s="3"/>
      <c r="BD558" s="3"/>
      <c r="BE558" s="3"/>
      <c r="BF558" s="3"/>
    </row>
    <row r="559" ht="15.75" customHeight="1">
      <c r="BC559" s="3"/>
      <c r="BD559" s="3"/>
      <c r="BE559" s="3"/>
      <c r="BF559" s="3"/>
    </row>
    <row r="560" ht="15.75" customHeight="1">
      <c r="BC560" s="3"/>
      <c r="BD560" s="3"/>
      <c r="BE560" s="3"/>
      <c r="BF560" s="3"/>
    </row>
    <row r="561" ht="15.75" customHeight="1">
      <c r="BC561" s="3"/>
      <c r="BD561" s="3"/>
      <c r="BE561" s="3"/>
      <c r="BF561" s="3"/>
    </row>
    <row r="562" ht="15.75" customHeight="1">
      <c r="BC562" s="3"/>
      <c r="BD562" s="3"/>
      <c r="BE562" s="3"/>
      <c r="BF562" s="3"/>
    </row>
    <row r="563" ht="15.75" customHeight="1">
      <c r="BC563" s="3"/>
      <c r="BD563" s="3"/>
      <c r="BE563" s="3"/>
      <c r="BF563" s="3"/>
    </row>
    <row r="564" ht="15.75" customHeight="1">
      <c r="BC564" s="3"/>
      <c r="BD564" s="3"/>
      <c r="BE564" s="3"/>
      <c r="BF564" s="3"/>
    </row>
    <row r="565" ht="15.75" customHeight="1">
      <c r="BC565" s="3"/>
      <c r="BD565" s="3"/>
      <c r="BE565" s="3"/>
      <c r="BF565" s="3"/>
    </row>
    <row r="566" ht="15.75" customHeight="1">
      <c r="BC566" s="3"/>
      <c r="BD566" s="3"/>
      <c r="BE566" s="3"/>
      <c r="BF566" s="3"/>
    </row>
    <row r="567" ht="15.75" customHeight="1">
      <c r="BC567" s="3"/>
      <c r="BD567" s="3"/>
      <c r="BE567" s="3"/>
      <c r="BF567" s="3"/>
    </row>
    <row r="568" ht="15.75" customHeight="1">
      <c r="BC568" s="3"/>
      <c r="BD568" s="3"/>
      <c r="BE568" s="3"/>
      <c r="BF568" s="3"/>
    </row>
    <row r="569" ht="15.75" customHeight="1">
      <c r="BC569" s="3"/>
      <c r="BD569" s="3"/>
      <c r="BE569" s="3"/>
      <c r="BF569" s="3"/>
    </row>
    <row r="570" ht="15.75" customHeight="1">
      <c r="BC570" s="3"/>
      <c r="BD570" s="3"/>
      <c r="BE570" s="3"/>
      <c r="BF570" s="3"/>
    </row>
    <row r="571" ht="15.75" customHeight="1">
      <c r="BC571" s="3"/>
      <c r="BD571" s="3"/>
      <c r="BE571" s="3"/>
      <c r="BF571" s="3"/>
    </row>
    <row r="572" ht="15.75" customHeight="1">
      <c r="BC572" s="3"/>
      <c r="BD572" s="3"/>
      <c r="BE572" s="3"/>
      <c r="BF572" s="3"/>
    </row>
    <row r="573" ht="15.75" customHeight="1">
      <c r="BC573" s="3"/>
      <c r="BD573" s="3"/>
      <c r="BE573" s="3"/>
      <c r="BF573" s="3"/>
    </row>
    <row r="574" ht="15.75" customHeight="1">
      <c r="BC574" s="3"/>
      <c r="BD574" s="3"/>
      <c r="BE574" s="3"/>
      <c r="BF574" s="3"/>
    </row>
    <row r="575" ht="15.75" customHeight="1">
      <c r="BC575" s="3"/>
      <c r="BD575" s="3"/>
      <c r="BE575" s="3"/>
      <c r="BF575" s="3"/>
    </row>
    <row r="576" ht="15.75" customHeight="1">
      <c r="BC576" s="3"/>
      <c r="BD576" s="3"/>
      <c r="BE576" s="3"/>
      <c r="BF576" s="3"/>
    </row>
    <row r="577" ht="15.75" customHeight="1">
      <c r="BC577" s="3"/>
      <c r="BD577" s="3"/>
      <c r="BE577" s="3"/>
      <c r="BF577" s="3"/>
    </row>
    <row r="578" ht="15.75" customHeight="1">
      <c r="BC578" s="3"/>
      <c r="BD578" s="3"/>
      <c r="BE578" s="3"/>
      <c r="BF578" s="3"/>
    </row>
    <row r="579" ht="15.75" customHeight="1">
      <c r="BC579" s="3"/>
      <c r="BD579" s="3"/>
      <c r="BE579" s="3"/>
      <c r="BF579" s="3"/>
    </row>
    <row r="580" ht="15.75" customHeight="1">
      <c r="BC580" s="3"/>
      <c r="BD580" s="3"/>
      <c r="BE580" s="3"/>
      <c r="BF580" s="3"/>
    </row>
    <row r="581" ht="15.75" customHeight="1">
      <c r="BC581" s="3"/>
      <c r="BD581" s="3"/>
      <c r="BE581" s="3"/>
      <c r="BF581" s="3"/>
    </row>
    <row r="582" ht="15.75" customHeight="1">
      <c r="BC582" s="3"/>
      <c r="BD582" s="3"/>
      <c r="BE582" s="3"/>
      <c r="BF582" s="3"/>
    </row>
    <row r="583" ht="15.75" customHeight="1">
      <c r="BC583" s="3"/>
      <c r="BD583" s="3"/>
      <c r="BE583" s="3"/>
      <c r="BF583" s="3"/>
    </row>
    <row r="584" ht="15.75" customHeight="1">
      <c r="BC584" s="3"/>
      <c r="BD584" s="3"/>
      <c r="BE584" s="3"/>
      <c r="BF584" s="3"/>
    </row>
    <row r="585" ht="15.75" customHeight="1">
      <c r="BC585" s="3"/>
      <c r="BD585" s="3"/>
      <c r="BE585" s="3"/>
      <c r="BF585" s="3"/>
    </row>
    <row r="586" ht="15.75" customHeight="1">
      <c r="BC586" s="3"/>
      <c r="BD586" s="3"/>
      <c r="BE586" s="3"/>
      <c r="BF586" s="3"/>
    </row>
    <row r="587" ht="15.75" customHeight="1">
      <c r="BC587" s="3"/>
      <c r="BD587" s="3"/>
      <c r="BE587" s="3"/>
      <c r="BF587" s="3"/>
    </row>
    <row r="588" ht="15.75" customHeight="1">
      <c r="BC588" s="3"/>
      <c r="BD588" s="3"/>
      <c r="BE588" s="3"/>
      <c r="BF588" s="3"/>
    </row>
    <row r="589" ht="15.75" customHeight="1">
      <c r="BC589" s="3"/>
      <c r="BD589" s="3"/>
      <c r="BE589" s="3"/>
      <c r="BF589" s="3"/>
    </row>
    <row r="590" ht="15.75" customHeight="1">
      <c r="BC590" s="3"/>
      <c r="BD590" s="3"/>
      <c r="BE590" s="3"/>
      <c r="BF590" s="3"/>
    </row>
    <row r="591" ht="15.75" customHeight="1">
      <c r="BC591" s="3"/>
      <c r="BD591" s="3"/>
      <c r="BE591" s="3"/>
      <c r="BF591" s="3"/>
    </row>
    <row r="592" ht="15.75" customHeight="1">
      <c r="BC592" s="3"/>
      <c r="BD592" s="3"/>
      <c r="BE592" s="3"/>
      <c r="BF592" s="3"/>
    </row>
    <row r="593" ht="15.75" customHeight="1">
      <c r="BC593" s="3"/>
      <c r="BD593" s="3"/>
      <c r="BE593" s="3"/>
      <c r="BF593" s="3"/>
    </row>
    <row r="594" ht="15.75" customHeight="1">
      <c r="BC594" s="3"/>
      <c r="BD594" s="3"/>
      <c r="BE594" s="3"/>
      <c r="BF594" s="3"/>
    </row>
    <row r="595" ht="15.75" customHeight="1">
      <c r="BC595" s="3"/>
      <c r="BD595" s="3"/>
      <c r="BE595" s="3"/>
      <c r="BF595" s="3"/>
    </row>
    <row r="596" ht="15.75" customHeight="1">
      <c r="BC596" s="3"/>
      <c r="BD596" s="3"/>
      <c r="BE596" s="3"/>
      <c r="BF596" s="3"/>
    </row>
    <row r="597" ht="15.75" customHeight="1">
      <c r="BC597" s="3"/>
      <c r="BD597" s="3"/>
      <c r="BE597" s="3"/>
      <c r="BF597" s="3"/>
    </row>
    <row r="598" ht="15.75" customHeight="1">
      <c r="BC598" s="3"/>
      <c r="BD598" s="3"/>
      <c r="BE598" s="3"/>
      <c r="BF598" s="3"/>
    </row>
    <row r="599" ht="15.75" customHeight="1">
      <c r="BC599" s="3"/>
      <c r="BD599" s="3"/>
      <c r="BE599" s="3"/>
      <c r="BF599" s="3"/>
    </row>
    <row r="600" ht="15.75" customHeight="1">
      <c r="BC600" s="3"/>
      <c r="BD600" s="3"/>
      <c r="BE600" s="3"/>
      <c r="BF600" s="3"/>
    </row>
    <row r="601" ht="15.75" customHeight="1">
      <c r="BC601" s="3"/>
      <c r="BD601" s="3"/>
      <c r="BE601" s="3"/>
      <c r="BF601" s="3"/>
    </row>
    <row r="602" ht="15.75" customHeight="1">
      <c r="BC602" s="3"/>
      <c r="BD602" s="3"/>
      <c r="BE602" s="3"/>
      <c r="BF602" s="3"/>
    </row>
    <row r="603" ht="15.75" customHeight="1">
      <c r="BC603" s="3"/>
      <c r="BD603" s="3"/>
      <c r="BE603" s="3"/>
      <c r="BF603" s="3"/>
    </row>
    <row r="604" ht="15.75" customHeight="1">
      <c r="BC604" s="3"/>
      <c r="BD604" s="3"/>
      <c r="BE604" s="3"/>
      <c r="BF604" s="3"/>
    </row>
    <row r="605" ht="15.75" customHeight="1">
      <c r="BC605" s="3"/>
      <c r="BD605" s="3"/>
      <c r="BE605" s="3"/>
      <c r="BF605" s="3"/>
    </row>
    <row r="606" ht="15.75" customHeight="1">
      <c r="BC606" s="3"/>
      <c r="BD606" s="3"/>
      <c r="BE606" s="3"/>
      <c r="BF606" s="3"/>
    </row>
    <row r="607" ht="15.75" customHeight="1">
      <c r="BC607" s="3"/>
      <c r="BD607" s="3"/>
      <c r="BE607" s="3"/>
      <c r="BF607" s="3"/>
    </row>
    <row r="608" ht="15.75" customHeight="1">
      <c r="BC608" s="3"/>
      <c r="BD608" s="3"/>
      <c r="BE608" s="3"/>
      <c r="BF608" s="3"/>
    </row>
    <row r="609" ht="15.75" customHeight="1">
      <c r="BC609" s="3"/>
      <c r="BD609" s="3"/>
      <c r="BE609" s="3"/>
      <c r="BF609" s="3"/>
    </row>
    <row r="610" ht="15.75" customHeight="1">
      <c r="BC610" s="3"/>
      <c r="BD610" s="3"/>
      <c r="BE610" s="3"/>
      <c r="BF610" s="3"/>
    </row>
    <row r="611" ht="15.75" customHeight="1">
      <c r="BC611" s="3"/>
      <c r="BD611" s="3"/>
      <c r="BE611" s="3"/>
      <c r="BF611" s="3"/>
    </row>
    <row r="612" ht="15.75" customHeight="1">
      <c r="BC612" s="3"/>
      <c r="BD612" s="3"/>
      <c r="BE612" s="3"/>
      <c r="BF612" s="3"/>
    </row>
    <row r="613" ht="15.75" customHeight="1">
      <c r="BC613" s="3"/>
      <c r="BD613" s="3"/>
      <c r="BE613" s="3"/>
      <c r="BF613" s="3"/>
    </row>
    <row r="614" ht="15.75" customHeight="1">
      <c r="BC614" s="3"/>
      <c r="BD614" s="3"/>
      <c r="BE614" s="3"/>
      <c r="BF614" s="3"/>
    </row>
    <row r="615" ht="15.75" customHeight="1">
      <c r="BC615" s="3"/>
      <c r="BD615" s="3"/>
      <c r="BE615" s="3"/>
      <c r="BF615" s="3"/>
    </row>
    <row r="616" ht="15.75" customHeight="1">
      <c r="BC616" s="3"/>
      <c r="BD616" s="3"/>
      <c r="BE616" s="3"/>
      <c r="BF616" s="3"/>
    </row>
    <row r="617" ht="15.75" customHeight="1">
      <c r="BC617" s="3"/>
      <c r="BD617" s="3"/>
      <c r="BE617" s="3"/>
      <c r="BF617" s="3"/>
    </row>
    <row r="618" ht="15.75" customHeight="1">
      <c r="BC618" s="3"/>
      <c r="BD618" s="3"/>
      <c r="BE618" s="3"/>
      <c r="BF618" s="3"/>
    </row>
    <row r="619" ht="15.75" customHeight="1">
      <c r="BC619" s="3"/>
      <c r="BD619" s="3"/>
      <c r="BE619" s="3"/>
      <c r="BF619" s="3"/>
    </row>
    <row r="620" ht="15.75" customHeight="1">
      <c r="BC620" s="3"/>
      <c r="BD620" s="3"/>
      <c r="BE620" s="3"/>
      <c r="BF620" s="3"/>
    </row>
    <row r="621" ht="15.75" customHeight="1">
      <c r="BC621" s="3"/>
      <c r="BD621" s="3"/>
      <c r="BE621" s="3"/>
      <c r="BF621" s="3"/>
    </row>
    <row r="622" ht="15.75" customHeight="1">
      <c r="BC622" s="3"/>
      <c r="BD622" s="3"/>
      <c r="BE622" s="3"/>
      <c r="BF622" s="3"/>
    </row>
    <row r="623" ht="15.75" customHeight="1">
      <c r="BC623" s="3"/>
      <c r="BD623" s="3"/>
      <c r="BE623" s="3"/>
      <c r="BF623" s="3"/>
    </row>
    <row r="624" ht="15.75" customHeight="1">
      <c r="BC624" s="3"/>
      <c r="BD624" s="3"/>
      <c r="BE624" s="3"/>
      <c r="BF624" s="3"/>
    </row>
    <row r="625" ht="15.75" customHeight="1">
      <c r="BC625" s="3"/>
      <c r="BD625" s="3"/>
      <c r="BE625" s="3"/>
      <c r="BF625" s="3"/>
    </row>
    <row r="626" ht="15.75" customHeight="1">
      <c r="BC626" s="3"/>
      <c r="BD626" s="3"/>
      <c r="BE626" s="3"/>
      <c r="BF626" s="3"/>
    </row>
    <row r="627" ht="15.75" customHeight="1">
      <c r="BC627" s="3"/>
      <c r="BD627" s="3"/>
      <c r="BE627" s="3"/>
      <c r="BF627" s="3"/>
    </row>
    <row r="628" ht="15.75" customHeight="1">
      <c r="BC628" s="3"/>
      <c r="BD628" s="3"/>
      <c r="BE628" s="3"/>
      <c r="BF628" s="3"/>
    </row>
    <row r="629" ht="15.75" customHeight="1">
      <c r="BC629" s="3"/>
      <c r="BD629" s="3"/>
      <c r="BE629" s="3"/>
      <c r="BF629" s="3"/>
    </row>
    <row r="630" ht="15.75" customHeight="1">
      <c r="BC630" s="3"/>
      <c r="BD630" s="3"/>
      <c r="BE630" s="3"/>
      <c r="BF630" s="3"/>
    </row>
    <row r="631" ht="15.75" customHeight="1">
      <c r="BC631" s="3"/>
      <c r="BD631" s="3"/>
      <c r="BE631" s="3"/>
      <c r="BF631" s="3"/>
    </row>
    <row r="632" ht="15.75" customHeight="1">
      <c r="BC632" s="3"/>
      <c r="BD632" s="3"/>
      <c r="BE632" s="3"/>
      <c r="BF632" s="3"/>
    </row>
    <row r="633" ht="15.75" customHeight="1">
      <c r="BC633" s="3"/>
      <c r="BD633" s="3"/>
      <c r="BE633" s="3"/>
      <c r="BF633" s="3"/>
    </row>
    <row r="634" ht="15.75" customHeight="1">
      <c r="BC634" s="3"/>
      <c r="BD634" s="3"/>
      <c r="BE634" s="3"/>
      <c r="BF634" s="3"/>
    </row>
    <row r="635" ht="15.75" customHeight="1">
      <c r="BC635" s="3"/>
      <c r="BD635" s="3"/>
      <c r="BE635" s="3"/>
      <c r="BF635" s="3"/>
    </row>
    <row r="636" ht="15.75" customHeight="1">
      <c r="BC636" s="3"/>
      <c r="BD636" s="3"/>
      <c r="BE636" s="3"/>
      <c r="BF636" s="3"/>
    </row>
    <row r="637" ht="15.75" customHeight="1">
      <c r="BC637" s="3"/>
      <c r="BD637" s="3"/>
      <c r="BE637" s="3"/>
      <c r="BF637" s="3"/>
    </row>
    <row r="638" ht="15.75" customHeight="1">
      <c r="BC638" s="3"/>
      <c r="BD638" s="3"/>
      <c r="BE638" s="3"/>
      <c r="BF638" s="3"/>
    </row>
    <row r="639" ht="15.75" customHeight="1">
      <c r="BC639" s="3"/>
      <c r="BD639" s="3"/>
      <c r="BE639" s="3"/>
      <c r="BF639" s="3"/>
    </row>
    <row r="640" ht="15.75" customHeight="1">
      <c r="BC640" s="3"/>
      <c r="BD640" s="3"/>
      <c r="BE640" s="3"/>
      <c r="BF640" s="3"/>
    </row>
    <row r="641" ht="15.75" customHeight="1">
      <c r="BC641" s="3"/>
      <c r="BD641" s="3"/>
      <c r="BE641" s="3"/>
      <c r="BF641" s="3"/>
    </row>
    <row r="642" ht="15.75" customHeight="1">
      <c r="BC642" s="3"/>
      <c r="BD642" s="3"/>
      <c r="BE642" s="3"/>
      <c r="BF642" s="3"/>
    </row>
    <row r="643" ht="15.75" customHeight="1">
      <c r="BC643" s="3"/>
      <c r="BD643" s="3"/>
      <c r="BE643" s="3"/>
      <c r="BF643" s="3"/>
    </row>
    <row r="644" ht="15.75" customHeight="1">
      <c r="BC644" s="3"/>
      <c r="BD644" s="3"/>
      <c r="BE644" s="3"/>
      <c r="BF644" s="3"/>
    </row>
    <row r="645" ht="15.75" customHeight="1">
      <c r="BC645" s="3"/>
      <c r="BD645" s="3"/>
      <c r="BE645" s="3"/>
      <c r="BF645" s="3"/>
    </row>
    <row r="646" ht="15.75" customHeight="1">
      <c r="BC646" s="3"/>
      <c r="BD646" s="3"/>
      <c r="BE646" s="3"/>
      <c r="BF646" s="3"/>
    </row>
    <row r="647" ht="15.75" customHeight="1">
      <c r="BC647" s="3"/>
      <c r="BD647" s="3"/>
      <c r="BE647" s="3"/>
      <c r="BF647" s="3"/>
    </row>
    <row r="648" ht="15.75" customHeight="1">
      <c r="BC648" s="3"/>
      <c r="BD648" s="3"/>
      <c r="BE648" s="3"/>
      <c r="BF648" s="3"/>
    </row>
    <row r="649" ht="15.75" customHeight="1">
      <c r="BC649" s="3"/>
      <c r="BD649" s="3"/>
      <c r="BE649" s="3"/>
      <c r="BF649" s="3"/>
    </row>
    <row r="650" ht="15.75" customHeight="1">
      <c r="BC650" s="3"/>
      <c r="BD650" s="3"/>
      <c r="BE650" s="3"/>
      <c r="BF650" s="3"/>
    </row>
    <row r="651" ht="15.75" customHeight="1">
      <c r="BC651" s="3"/>
      <c r="BD651" s="3"/>
      <c r="BE651" s="3"/>
      <c r="BF651" s="3"/>
    </row>
    <row r="652" ht="15.75" customHeight="1">
      <c r="BC652" s="3"/>
      <c r="BD652" s="3"/>
      <c r="BE652" s="3"/>
      <c r="BF652" s="3"/>
    </row>
    <row r="653" ht="15.75" customHeight="1">
      <c r="BC653" s="3"/>
      <c r="BD653" s="3"/>
      <c r="BE653" s="3"/>
      <c r="BF653" s="3"/>
    </row>
    <row r="654" ht="15.75" customHeight="1">
      <c r="BC654" s="3"/>
      <c r="BD654" s="3"/>
      <c r="BE654" s="3"/>
      <c r="BF654" s="3"/>
    </row>
    <row r="655" ht="15.75" customHeight="1">
      <c r="BC655" s="3"/>
      <c r="BD655" s="3"/>
      <c r="BE655" s="3"/>
      <c r="BF655" s="3"/>
    </row>
    <row r="656" ht="15.75" customHeight="1">
      <c r="BC656" s="3"/>
      <c r="BD656" s="3"/>
      <c r="BE656" s="3"/>
      <c r="BF656" s="3"/>
    </row>
    <row r="657" ht="15.75" customHeight="1">
      <c r="BC657" s="3"/>
      <c r="BD657" s="3"/>
      <c r="BE657" s="3"/>
      <c r="BF657" s="3"/>
    </row>
    <row r="658" ht="15.75" customHeight="1">
      <c r="BC658" s="3"/>
      <c r="BD658" s="3"/>
      <c r="BE658" s="3"/>
      <c r="BF658" s="3"/>
    </row>
    <row r="659" ht="15.75" customHeight="1">
      <c r="BC659" s="3"/>
      <c r="BD659" s="3"/>
      <c r="BE659" s="3"/>
      <c r="BF659" s="3"/>
    </row>
    <row r="660" ht="15.75" customHeight="1">
      <c r="BC660" s="3"/>
      <c r="BD660" s="3"/>
      <c r="BE660" s="3"/>
      <c r="BF660" s="3"/>
    </row>
    <row r="661" ht="15.75" customHeight="1">
      <c r="BC661" s="3"/>
      <c r="BD661" s="3"/>
      <c r="BE661" s="3"/>
      <c r="BF661" s="3"/>
    </row>
    <row r="662" ht="15.75" customHeight="1">
      <c r="BC662" s="3"/>
      <c r="BD662" s="3"/>
      <c r="BE662" s="3"/>
      <c r="BF662" s="3"/>
    </row>
    <row r="663" ht="15.75" customHeight="1">
      <c r="BC663" s="3"/>
      <c r="BD663" s="3"/>
      <c r="BE663" s="3"/>
      <c r="BF663" s="3"/>
    </row>
    <row r="664" ht="15.75" customHeight="1">
      <c r="BC664" s="3"/>
      <c r="BD664" s="3"/>
      <c r="BE664" s="3"/>
      <c r="BF664" s="3"/>
    </row>
    <row r="665" ht="15.75" customHeight="1">
      <c r="BC665" s="3"/>
      <c r="BD665" s="3"/>
      <c r="BE665" s="3"/>
      <c r="BF665" s="3"/>
    </row>
    <row r="666" ht="15.75" customHeight="1">
      <c r="BC666" s="3"/>
      <c r="BD666" s="3"/>
      <c r="BE666" s="3"/>
      <c r="BF666" s="3"/>
    </row>
    <row r="667" ht="15.75" customHeight="1">
      <c r="BC667" s="3"/>
      <c r="BD667" s="3"/>
      <c r="BE667" s="3"/>
      <c r="BF667" s="3"/>
    </row>
    <row r="668" ht="15.75" customHeight="1">
      <c r="BC668" s="3"/>
      <c r="BD668" s="3"/>
      <c r="BE668" s="3"/>
      <c r="BF668" s="3"/>
    </row>
    <row r="669" ht="15.75" customHeight="1">
      <c r="BC669" s="3"/>
      <c r="BD669" s="3"/>
      <c r="BE669" s="3"/>
      <c r="BF669" s="3"/>
    </row>
    <row r="670" ht="15.75" customHeight="1">
      <c r="BC670" s="3"/>
      <c r="BD670" s="3"/>
      <c r="BE670" s="3"/>
      <c r="BF670" s="3"/>
    </row>
    <row r="671" ht="15.75" customHeight="1">
      <c r="BC671" s="3"/>
      <c r="BD671" s="3"/>
      <c r="BE671" s="3"/>
      <c r="BF671" s="3"/>
    </row>
    <row r="672" ht="15.75" customHeight="1">
      <c r="BC672" s="3"/>
      <c r="BD672" s="3"/>
      <c r="BE672" s="3"/>
      <c r="BF672" s="3"/>
    </row>
    <row r="673" ht="15.75" customHeight="1">
      <c r="BC673" s="3"/>
      <c r="BD673" s="3"/>
      <c r="BE673" s="3"/>
      <c r="BF673" s="3"/>
    </row>
    <row r="674" ht="15.75" customHeight="1">
      <c r="BC674" s="3"/>
      <c r="BD674" s="3"/>
      <c r="BE674" s="3"/>
      <c r="BF674" s="3"/>
    </row>
    <row r="675" ht="15.75" customHeight="1">
      <c r="BC675" s="3"/>
      <c r="BD675" s="3"/>
      <c r="BE675" s="3"/>
      <c r="BF675" s="3"/>
    </row>
    <row r="676" ht="15.75" customHeight="1">
      <c r="BC676" s="3"/>
      <c r="BD676" s="3"/>
      <c r="BE676" s="3"/>
      <c r="BF676" s="3"/>
    </row>
    <row r="677" ht="15.75" customHeight="1">
      <c r="BC677" s="3"/>
      <c r="BD677" s="3"/>
      <c r="BE677" s="3"/>
      <c r="BF677" s="3"/>
    </row>
    <row r="678" ht="15.75" customHeight="1">
      <c r="BC678" s="3"/>
      <c r="BD678" s="3"/>
      <c r="BE678" s="3"/>
      <c r="BF678" s="3"/>
    </row>
    <row r="679" ht="15.75" customHeight="1">
      <c r="BC679" s="3"/>
      <c r="BD679" s="3"/>
      <c r="BE679" s="3"/>
      <c r="BF679" s="3"/>
    </row>
    <row r="680" ht="15.75" customHeight="1">
      <c r="BC680" s="3"/>
      <c r="BD680" s="3"/>
      <c r="BE680" s="3"/>
      <c r="BF680" s="3"/>
    </row>
    <row r="681" ht="15.75" customHeight="1">
      <c r="BC681" s="3"/>
      <c r="BD681" s="3"/>
      <c r="BE681" s="3"/>
      <c r="BF681" s="3"/>
    </row>
    <row r="682" ht="15.75" customHeight="1">
      <c r="BC682" s="3"/>
      <c r="BD682" s="3"/>
      <c r="BE682" s="3"/>
      <c r="BF682" s="3"/>
    </row>
    <row r="683" ht="15.75" customHeight="1">
      <c r="BC683" s="3"/>
      <c r="BD683" s="3"/>
      <c r="BE683" s="3"/>
      <c r="BF683" s="3"/>
    </row>
    <row r="684" ht="15.75" customHeight="1">
      <c r="BC684" s="3"/>
      <c r="BD684" s="3"/>
      <c r="BE684" s="3"/>
      <c r="BF684" s="3"/>
    </row>
    <row r="685" ht="15.75" customHeight="1">
      <c r="BC685" s="3"/>
      <c r="BD685" s="3"/>
      <c r="BE685" s="3"/>
      <c r="BF685" s="3"/>
    </row>
    <row r="686" ht="15.75" customHeight="1">
      <c r="BC686" s="3"/>
      <c r="BD686" s="3"/>
      <c r="BE686" s="3"/>
      <c r="BF686" s="3"/>
    </row>
    <row r="687" ht="15.75" customHeight="1">
      <c r="BC687" s="3"/>
      <c r="BD687" s="3"/>
      <c r="BE687" s="3"/>
      <c r="BF687" s="3"/>
    </row>
    <row r="688" ht="15.75" customHeight="1">
      <c r="BC688" s="3"/>
      <c r="BD688" s="3"/>
      <c r="BE688" s="3"/>
      <c r="BF688" s="3"/>
    </row>
    <row r="689" ht="15.75" customHeight="1">
      <c r="BC689" s="3"/>
      <c r="BD689" s="3"/>
      <c r="BE689" s="3"/>
      <c r="BF689" s="3"/>
    </row>
    <row r="690" ht="15.75" customHeight="1">
      <c r="BC690" s="3"/>
      <c r="BD690" s="3"/>
      <c r="BE690" s="3"/>
      <c r="BF690" s="3"/>
    </row>
    <row r="691" ht="15.75" customHeight="1">
      <c r="BC691" s="3"/>
      <c r="BD691" s="3"/>
      <c r="BE691" s="3"/>
      <c r="BF691" s="3"/>
    </row>
    <row r="692" ht="15.75" customHeight="1">
      <c r="BC692" s="3"/>
      <c r="BD692" s="3"/>
      <c r="BE692" s="3"/>
      <c r="BF692" s="3"/>
    </row>
    <row r="693" ht="15.75" customHeight="1">
      <c r="BC693" s="3"/>
      <c r="BD693" s="3"/>
      <c r="BE693" s="3"/>
      <c r="BF693" s="3"/>
    </row>
    <row r="694" ht="15.75" customHeight="1">
      <c r="BC694" s="3"/>
      <c r="BD694" s="3"/>
      <c r="BE694" s="3"/>
      <c r="BF694" s="3"/>
    </row>
    <row r="695" ht="15.75" customHeight="1">
      <c r="BC695" s="3"/>
      <c r="BD695" s="3"/>
      <c r="BE695" s="3"/>
      <c r="BF695" s="3"/>
    </row>
    <row r="696" ht="15.75" customHeight="1">
      <c r="BC696" s="3"/>
      <c r="BD696" s="3"/>
      <c r="BE696" s="3"/>
      <c r="BF696" s="3"/>
    </row>
    <row r="697" ht="15.75" customHeight="1">
      <c r="BC697" s="3"/>
      <c r="BD697" s="3"/>
      <c r="BE697" s="3"/>
      <c r="BF697" s="3"/>
    </row>
    <row r="698" ht="15.75" customHeight="1">
      <c r="BC698" s="3"/>
      <c r="BD698" s="3"/>
      <c r="BE698" s="3"/>
      <c r="BF698" s="3"/>
    </row>
    <row r="699" ht="15.75" customHeight="1">
      <c r="BC699" s="3"/>
      <c r="BD699" s="3"/>
      <c r="BE699" s="3"/>
      <c r="BF699" s="3"/>
    </row>
    <row r="700" ht="15.75" customHeight="1">
      <c r="BC700" s="3"/>
      <c r="BD700" s="3"/>
      <c r="BE700" s="3"/>
      <c r="BF700" s="3"/>
    </row>
    <row r="701" ht="15.75" customHeight="1">
      <c r="BC701" s="3"/>
      <c r="BD701" s="3"/>
      <c r="BE701" s="3"/>
      <c r="BF701" s="3"/>
    </row>
    <row r="702" ht="15.75" customHeight="1">
      <c r="BC702" s="3"/>
      <c r="BD702" s="3"/>
      <c r="BE702" s="3"/>
      <c r="BF702" s="3"/>
    </row>
    <row r="703" ht="15.75" customHeight="1">
      <c r="BC703" s="3"/>
      <c r="BD703" s="3"/>
      <c r="BE703" s="3"/>
      <c r="BF703" s="3"/>
    </row>
    <row r="704" ht="15.75" customHeight="1">
      <c r="BC704" s="3"/>
      <c r="BD704" s="3"/>
      <c r="BE704" s="3"/>
      <c r="BF704" s="3"/>
    </row>
    <row r="705" ht="15.75" customHeight="1">
      <c r="BC705" s="3"/>
      <c r="BD705" s="3"/>
      <c r="BE705" s="3"/>
      <c r="BF705" s="3"/>
    </row>
    <row r="706" ht="15.75" customHeight="1">
      <c r="BC706" s="3"/>
      <c r="BD706" s="3"/>
      <c r="BE706" s="3"/>
      <c r="BF706" s="3"/>
    </row>
    <row r="707" ht="15.75" customHeight="1">
      <c r="BC707" s="3"/>
      <c r="BD707" s="3"/>
      <c r="BE707" s="3"/>
      <c r="BF707" s="3"/>
    </row>
    <row r="708" ht="15.75" customHeight="1">
      <c r="BC708" s="3"/>
      <c r="BD708" s="3"/>
      <c r="BE708" s="3"/>
      <c r="BF708" s="3"/>
    </row>
    <row r="709" ht="15.75" customHeight="1">
      <c r="BC709" s="3"/>
      <c r="BD709" s="3"/>
      <c r="BE709" s="3"/>
      <c r="BF709" s="3"/>
    </row>
    <row r="710" ht="15.75" customHeight="1">
      <c r="BC710" s="3"/>
      <c r="BD710" s="3"/>
      <c r="BE710" s="3"/>
      <c r="BF710" s="3"/>
    </row>
    <row r="711" ht="15.75" customHeight="1">
      <c r="BC711" s="3"/>
      <c r="BD711" s="3"/>
      <c r="BE711" s="3"/>
      <c r="BF711" s="3"/>
    </row>
    <row r="712" ht="15.75" customHeight="1">
      <c r="BC712" s="3"/>
      <c r="BD712" s="3"/>
      <c r="BE712" s="3"/>
      <c r="BF712" s="3"/>
    </row>
    <row r="713" ht="15.75" customHeight="1">
      <c r="BC713" s="3"/>
      <c r="BD713" s="3"/>
      <c r="BE713" s="3"/>
      <c r="BF713" s="3"/>
    </row>
    <row r="714" ht="15.75" customHeight="1">
      <c r="BC714" s="3"/>
      <c r="BD714" s="3"/>
      <c r="BE714" s="3"/>
      <c r="BF714" s="3"/>
    </row>
    <row r="715" ht="15.75" customHeight="1">
      <c r="BC715" s="3"/>
      <c r="BD715" s="3"/>
      <c r="BE715" s="3"/>
      <c r="BF715" s="3"/>
    </row>
    <row r="716" ht="15.75" customHeight="1">
      <c r="BC716" s="3"/>
      <c r="BD716" s="3"/>
      <c r="BE716" s="3"/>
      <c r="BF716" s="3"/>
    </row>
    <row r="717" ht="15.75" customHeight="1">
      <c r="BC717" s="3"/>
      <c r="BD717" s="3"/>
      <c r="BE717" s="3"/>
      <c r="BF717" s="3"/>
    </row>
    <row r="718" ht="15.75" customHeight="1">
      <c r="BC718" s="3"/>
      <c r="BD718" s="3"/>
      <c r="BE718" s="3"/>
      <c r="BF718" s="3"/>
    </row>
    <row r="719" ht="15.75" customHeight="1">
      <c r="BC719" s="3"/>
      <c r="BD719" s="3"/>
      <c r="BE719" s="3"/>
      <c r="BF719" s="3"/>
    </row>
    <row r="720" ht="15.75" customHeight="1">
      <c r="BC720" s="3"/>
      <c r="BD720" s="3"/>
      <c r="BE720" s="3"/>
      <c r="BF720" s="3"/>
    </row>
    <row r="721" ht="15.75" customHeight="1">
      <c r="BC721" s="3"/>
      <c r="BD721" s="3"/>
      <c r="BE721" s="3"/>
      <c r="BF721" s="3"/>
    </row>
    <row r="722" ht="15.75" customHeight="1">
      <c r="BC722" s="3"/>
      <c r="BD722" s="3"/>
      <c r="BE722" s="3"/>
      <c r="BF722" s="3"/>
    </row>
    <row r="723" ht="15.75" customHeight="1">
      <c r="BC723" s="3"/>
      <c r="BD723" s="3"/>
      <c r="BE723" s="3"/>
      <c r="BF723" s="3"/>
    </row>
    <row r="724" ht="15.75" customHeight="1">
      <c r="BC724" s="3"/>
      <c r="BD724" s="3"/>
      <c r="BE724" s="3"/>
      <c r="BF724" s="3"/>
    </row>
    <row r="725" ht="15.75" customHeight="1">
      <c r="BC725" s="3"/>
      <c r="BD725" s="3"/>
      <c r="BE725" s="3"/>
      <c r="BF725" s="3"/>
    </row>
    <row r="726" ht="15.75" customHeight="1">
      <c r="BC726" s="3"/>
      <c r="BD726" s="3"/>
      <c r="BE726" s="3"/>
      <c r="BF726" s="3"/>
    </row>
    <row r="727" ht="15.75" customHeight="1">
      <c r="BC727" s="3"/>
      <c r="BD727" s="3"/>
      <c r="BE727" s="3"/>
      <c r="BF727" s="3"/>
    </row>
    <row r="728" ht="15.75" customHeight="1">
      <c r="BC728" s="3"/>
      <c r="BD728" s="3"/>
      <c r="BE728" s="3"/>
      <c r="BF728" s="3"/>
    </row>
    <row r="729" ht="15.75" customHeight="1">
      <c r="BC729" s="3"/>
      <c r="BD729" s="3"/>
      <c r="BE729" s="3"/>
      <c r="BF729" s="3"/>
    </row>
    <row r="730" ht="15.75" customHeight="1">
      <c r="BC730" s="3"/>
      <c r="BD730" s="3"/>
      <c r="BE730" s="3"/>
      <c r="BF730" s="3"/>
    </row>
    <row r="731" ht="15.75" customHeight="1">
      <c r="BC731" s="3"/>
      <c r="BD731" s="3"/>
      <c r="BE731" s="3"/>
      <c r="BF731" s="3"/>
    </row>
    <row r="732" ht="15.75" customHeight="1">
      <c r="BC732" s="3"/>
      <c r="BD732" s="3"/>
      <c r="BE732" s="3"/>
      <c r="BF732" s="3"/>
    </row>
    <row r="733" ht="15.75" customHeight="1">
      <c r="BC733" s="3"/>
      <c r="BD733" s="3"/>
      <c r="BE733" s="3"/>
      <c r="BF733" s="3"/>
    </row>
    <row r="734" ht="15.75" customHeight="1">
      <c r="BC734" s="3"/>
      <c r="BD734" s="3"/>
      <c r="BE734" s="3"/>
      <c r="BF734" s="3"/>
    </row>
    <row r="735" ht="15.75" customHeight="1">
      <c r="BC735" s="3"/>
      <c r="BD735" s="3"/>
      <c r="BE735" s="3"/>
      <c r="BF735" s="3"/>
    </row>
    <row r="736" ht="15.75" customHeight="1">
      <c r="BC736" s="3"/>
      <c r="BD736" s="3"/>
      <c r="BE736" s="3"/>
      <c r="BF736" s="3"/>
    </row>
    <row r="737" ht="15.75" customHeight="1">
      <c r="BC737" s="3"/>
      <c r="BD737" s="3"/>
      <c r="BE737" s="3"/>
      <c r="BF737" s="3"/>
    </row>
    <row r="738" ht="15.75" customHeight="1">
      <c r="BC738" s="3"/>
      <c r="BD738" s="3"/>
      <c r="BE738" s="3"/>
      <c r="BF738" s="3"/>
    </row>
    <row r="739" ht="15.75" customHeight="1">
      <c r="BC739" s="3"/>
      <c r="BD739" s="3"/>
      <c r="BE739" s="3"/>
      <c r="BF739" s="3"/>
    </row>
    <row r="740" ht="15.75" customHeight="1">
      <c r="BC740" s="3"/>
      <c r="BD740" s="3"/>
      <c r="BE740" s="3"/>
      <c r="BF740" s="3"/>
    </row>
    <row r="741" ht="15.75" customHeight="1">
      <c r="BC741" s="3"/>
      <c r="BD741" s="3"/>
      <c r="BE741" s="3"/>
      <c r="BF741" s="3"/>
    </row>
    <row r="742" ht="15.75" customHeight="1">
      <c r="BC742" s="3"/>
      <c r="BD742" s="3"/>
      <c r="BE742" s="3"/>
      <c r="BF742" s="3"/>
    </row>
    <row r="743" ht="15.75" customHeight="1">
      <c r="BC743" s="3"/>
      <c r="BD743" s="3"/>
      <c r="BE743" s="3"/>
      <c r="BF743" s="3"/>
    </row>
    <row r="744" ht="15.75" customHeight="1">
      <c r="BC744" s="3"/>
      <c r="BD744" s="3"/>
      <c r="BE744" s="3"/>
      <c r="BF744" s="3"/>
    </row>
    <row r="745" ht="15.75" customHeight="1">
      <c r="BC745" s="3"/>
      <c r="BD745" s="3"/>
      <c r="BE745" s="3"/>
      <c r="BF745" s="3"/>
    </row>
    <row r="746" ht="15.75" customHeight="1">
      <c r="BC746" s="3"/>
      <c r="BD746" s="3"/>
      <c r="BE746" s="3"/>
      <c r="BF746" s="3"/>
    </row>
    <row r="747" ht="15.75" customHeight="1">
      <c r="BC747" s="3"/>
      <c r="BD747" s="3"/>
      <c r="BE747" s="3"/>
      <c r="BF747" s="3"/>
    </row>
    <row r="748" ht="15.75" customHeight="1">
      <c r="BC748" s="3"/>
      <c r="BD748" s="3"/>
      <c r="BE748" s="3"/>
      <c r="BF748" s="3"/>
    </row>
    <row r="749" ht="15.75" customHeight="1">
      <c r="BC749" s="3"/>
      <c r="BD749" s="3"/>
      <c r="BE749" s="3"/>
      <c r="BF749" s="3"/>
    </row>
    <row r="750" ht="15.75" customHeight="1">
      <c r="BC750" s="3"/>
      <c r="BD750" s="3"/>
      <c r="BE750" s="3"/>
      <c r="BF750" s="3"/>
    </row>
    <row r="751" ht="15.75" customHeight="1">
      <c r="BC751" s="3"/>
      <c r="BD751" s="3"/>
      <c r="BE751" s="3"/>
      <c r="BF751" s="3"/>
    </row>
    <row r="752" ht="15.75" customHeight="1">
      <c r="BC752" s="3"/>
      <c r="BD752" s="3"/>
      <c r="BE752" s="3"/>
      <c r="BF752" s="3"/>
    </row>
    <row r="753" ht="15.75" customHeight="1">
      <c r="BC753" s="3"/>
      <c r="BD753" s="3"/>
      <c r="BE753" s="3"/>
      <c r="BF753" s="3"/>
    </row>
    <row r="754" ht="15.75" customHeight="1">
      <c r="BC754" s="3"/>
      <c r="BD754" s="3"/>
      <c r="BE754" s="3"/>
      <c r="BF754" s="3"/>
    </row>
    <row r="755" ht="15.75" customHeight="1">
      <c r="BC755" s="3"/>
      <c r="BD755" s="3"/>
      <c r="BE755" s="3"/>
      <c r="BF755" s="3"/>
    </row>
    <row r="756" ht="15.75" customHeight="1">
      <c r="BC756" s="3"/>
      <c r="BD756" s="3"/>
      <c r="BE756" s="3"/>
      <c r="BF756" s="3"/>
    </row>
    <row r="757" ht="15.75" customHeight="1">
      <c r="BC757" s="3"/>
      <c r="BD757" s="3"/>
      <c r="BE757" s="3"/>
      <c r="BF757" s="3"/>
    </row>
    <row r="758" ht="15.75" customHeight="1">
      <c r="BC758" s="3"/>
      <c r="BD758" s="3"/>
      <c r="BE758" s="3"/>
      <c r="BF758" s="3"/>
    </row>
    <row r="759" ht="15.75" customHeight="1">
      <c r="BC759" s="3"/>
      <c r="BD759" s="3"/>
      <c r="BE759" s="3"/>
      <c r="BF759" s="3"/>
    </row>
    <row r="760" ht="15.75" customHeight="1">
      <c r="BC760" s="3"/>
      <c r="BD760" s="3"/>
      <c r="BE760" s="3"/>
      <c r="BF760" s="3"/>
    </row>
    <row r="761" ht="15.75" customHeight="1">
      <c r="BC761" s="3"/>
      <c r="BD761" s="3"/>
      <c r="BE761" s="3"/>
      <c r="BF761" s="3"/>
    </row>
    <row r="762" ht="15.75" customHeight="1">
      <c r="BC762" s="3"/>
      <c r="BD762" s="3"/>
      <c r="BE762" s="3"/>
      <c r="BF762" s="3"/>
    </row>
    <row r="763" ht="15.75" customHeight="1">
      <c r="BC763" s="3"/>
      <c r="BD763" s="3"/>
      <c r="BE763" s="3"/>
      <c r="BF763" s="3"/>
    </row>
    <row r="764" ht="15.75" customHeight="1">
      <c r="BC764" s="3"/>
      <c r="BD764" s="3"/>
      <c r="BE764" s="3"/>
      <c r="BF764" s="3"/>
    </row>
    <row r="765" ht="15.75" customHeight="1">
      <c r="BC765" s="3"/>
      <c r="BD765" s="3"/>
      <c r="BE765" s="3"/>
      <c r="BF765" s="3"/>
    </row>
    <row r="766" ht="15.75" customHeight="1">
      <c r="BC766" s="3"/>
      <c r="BD766" s="3"/>
      <c r="BE766" s="3"/>
      <c r="BF766" s="3"/>
    </row>
    <row r="767" ht="15.75" customHeight="1">
      <c r="BC767" s="3"/>
      <c r="BD767" s="3"/>
      <c r="BE767" s="3"/>
      <c r="BF767" s="3"/>
    </row>
    <row r="768" ht="15.75" customHeight="1">
      <c r="BC768" s="3"/>
      <c r="BD768" s="3"/>
      <c r="BE768" s="3"/>
      <c r="BF768" s="3"/>
    </row>
    <row r="769" ht="15.75" customHeight="1">
      <c r="BC769" s="3"/>
      <c r="BD769" s="3"/>
      <c r="BE769" s="3"/>
      <c r="BF769" s="3"/>
    </row>
    <row r="770" ht="15.75" customHeight="1">
      <c r="BC770" s="3"/>
      <c r="BD770" s="3"/>
      <c r="BE770" s="3"/>
      <c r="BF770" s="3"/>
    </row>
    <row r="771" ht="15.75" customHeight="1">
      <c r="BC771" s="3"/>
      <c r="BD771" s="3"/>
      <c r="BE771" s="3"/>
      <c r="BF771" s="3"/>
    </row>
    <row r="772" ht="15.75" customHeight="1">
      <c r="BC772" s="3"/>
      <c r="BD772" s="3"/>
      <c r="BE772" s="3"/>
      <c r="BF772" s="3"/>
    </row>
    <row r="773" ht="15.75" customHeight="1">
      <c r="BC773" s="3"/>
      <c r="BD773" s="3"/>
      <c r="BE773" s="3"/>
      <c r="BF773" s="3"/>
    </row>
    <row r="774" ht="15.75" customHeight="1">
      <c r="BC774" s="3"/>
      <c r="BD774" s="3"/>
      <c r="BE774" s="3"/>
      <c r="BF774" s="3"/>
    </row>
    <row r="775" ht="15.75" customHeight="1">
      <c r="BC775" s="3"/>
      <c r="BD775" s="3"/>
      <c r="BE775" s="3"/>
      <c r="BF775" s="3"/>
    </row>
    <row r="776" ht="15.75" customHeight="1">
      <c r="BC776" s="3"/>
      <c r="BD776" s="3"/>
      <c r="BE776" s="3"/>
      <c r="BF776" s="3"/>
    </row>
    <row r="777" ht="15.75" customHeight="1">
      <c r="BC777" s="3"/>
      <c r="BD777" s="3"/>
      <c r="BE777" s="3"/>
      <c r="BF777" s="3"/>
    </row>
    <row r="778" ht="15.75" customHeight="1">
      <c r="BC778" s="3"/>
      <c r="BD778" s="3"/>
      <c r="BE778" s="3"/>
      <c r="BF778" s="3"/>
    </row>
    <row r="779" ht="15.75" customHeight="1">
      <c r="BC779" s="3"/>
      <c r="BD779" s="3"/>
      <c r="BE779" s="3"/>
      <c r="BF779" s="3"/>
    </row>
    <row r="780" ht="15.75" customHeight="1">
      <c r="BC780" s="3"/>
      <c r="BD780" s="3"/>
      <c r="BE780" s="3"/>
      <c r="BF780" s="3"/>
    </row>
    <row r="781" ht="15.75" customHeight="1">
      <c r="BC781" s="3"/>
      <c r="BD781" s="3"/>
      <c r="BE781" s="3"/>
      <c r="BF781" s="3"/>
    </row>
    <row r="782" ht="15.75" customHeight="1">
      <c r="BC782" s="3"/>
      <c r="BD782" s="3"/>
      <c r="BE782" s="3"/>
      <c r="BF782" s="3"/>
    </row>
    <row r="783" ht="15.75" customHeight="1">
      <c r="BC783" s="3"/>
      <c r="BD783" s="3"/>
      <c r="BE783" s="3"/>
      <c r="BF783" s="3"/>
    </row>
    <row r="784" ht="15.75" customHeight="1">
      <c r="BC784" s="3"/>
      <c r="BD784" s="3"/>
      <c r="BE784" s="3"/>
      <c r="BF784" s="3"/>
    </row>
    <row r="785" ht="15.75" customHeight="1">
      <c r="BC785" s="3"/>
      <c r="BD785" s="3"/>
      <c r="BE785" s="3"/>
      <c r="BF785" s="3"/>
    </row>
    <row r="786" ht="15.75" customHeight="1">
      <c r="BC786" s="3"/>
      <c r="BD786" s="3"/>
      <c r="BE786" s="3"/>
      <c r="BF786" s="3"/>
    </row>
    <row r="787" ht="15.75" customHeight="1">
      <c r="BC787" s="3"/>
      <c r="BD787" s="3"/>
      <c r="BE787" s="3"/>
      <c r="BF787" s="3"/>
    </row>
    <row r="788" ht="15.75" customHeight="1">
      <c r="BC788" s="3"/>
      <c r="BD788" s="3"/>
      <c r="BE788" s="3"/>
      <c r="BF788" s="3"/>
    </row>
    <row r="789" ht="15.75" customHeight="1">
      <c r="BC789" s="3"/>
      <c r="BD789" s="3"/>
      <c r="BE789" s="3"/>
      <c r="BF789" s="3"/>
    </row>
    <row r="790" ht="15.75" customHeight="1">
      <c r="BC790" s="3"/>
      <c r="BD790" s="3"/>
      <c r="BE790" s="3"/>
      <c r="BF790" s="3"/>
    </row>
    <row r="791" ht="15.75" customHeight="1">
      <c r="BC791" s="3"/>
      <c r="BD791" s="3"/>
      <c r="BE791" s="3"/>
      <c r="BF791" s="3"/>
    </row>
    <row r="792" ht="15.75" customHeight="1">
      <c r="BC792" s="3"/>
      <c r="BD792" s="3"/>
      <c r="BE792" s="3"/>
      <c r="BF792" s="3"/>
    </row>
    <row r="793" ht="15.75" customHeight="1">
      <c r="BC793" s="3"/>
      <c r="BD793" s="3"/>
      <c r="BE793" s="3"/>
      <c r="BF793" s="3"/>
    </row>
    <row r="794" ht="15.75" customHeight="1">
      <c r="BC794" s="3"/>
      <c r="BD794" s="3"/>
      <c r="BE794" s="3"/>
      <c r="BF794" s="3"/>
    </row>
    <row r="795" ht="15.75" customHeight="1">
      <c r="BC795" s="3"/>
      <c r="BD795" s="3"/>
      <c r="BE795" s="3"/>
      <c r="BF795" s="3"/>
    </row>
    <row r="796" ht="15.75" customHeight="1">
      <c r="BC796" s="3"/>
      <c r="BD796" s="3"/>
      <c r="BE796" s="3"/>
      <c r="BF796" s="3"/>
    </row>
    <row r="797" ht="15.75" customHeight="1">
      <c r="BC797" s="3"/>
      <c r="BD797" s="3"/>
      <c r="BE797" s="3"/>
      <c r="BF797" s="3"/>
    </row>
    <row r="798" ht="15.75" customHeight="1">
      <c r="BC798" s="3"/>
      <c r="BD798" s="3"/>
      <c r="BE798" s="3"/>
      <c r="BF798" s="3"/>
    </row>
    <row r="799" ht="15.75" customHeight="1">
      <c r="BC799" s="3"/>
      <c r="BD799" s="3"/>
      <c r="BE799" s="3"/>
      <c r="BF799" s="3"/>
    </row>
    <row r="800" ht="15.75" customHeight="1">
      <c r="BC800" s="3"/>
      <c r="BD800" s="3"/>
      <c r="BE800" s="3"/>
      <c r="BF800" s="3"/>
    </row>
    <row r="801" ht="15.75" customHeight="1">
      <c r="BC801" s="3"/>
      <c r="BD801" s="3"/>
      <c r="BE801" s="3"/>
      <c r="BF801" s="3"/>
    </row>
    <row r="802" ht="15.75" customHeight="1">
      <c r="BC802" s="3"/>
      <c r="BD802" s="3"/>
      <c r="BE802" s="3"/>
      <c r="BF802" s="3"/>
    </row>
    <row r="803" ht="15.75" customHeight="1">
      <c r="BC803" s="3"/>
      <c r="BD803" s="3"/>
      <c r="BE803" s="3"/>
      <c r="BF803" s="3"/>
    </row>
    <row r="804" ht="15.75" customHeight="1">
      <c r="BC804" s="3"/>
      <c r="BD804" s="3"/>
      <c r="BE804" s="3"/>
      <c r="BF804" s="3"/>
    </row>
    <row r="805" ht="15.75" customHeight="1">
      <c r="BC805" s="3"/>
      <c r="BD805" s="3"/>
      <c r="BE805" s="3"/>
      <c r="BF805" s="3"/>
    </row>
    <row r="806" ht="15.75" customHeight="1">
      <c r="BC806" s="3"/>
      <c r="BD806" s="3"/>
      <c r="BE806" s="3"/>
      <c r="BF806" s="3"/>
    </row>
    <row r="807" ht="15.75" customHeight="1">
      <c r="BC807" s="3"/>
      <c r="BD807" s="3"/>
      <c r="BE807" s="3"/>
      <c r="BF807" s="3"/>
    </row>
    <row r="808" ht="15.75" customHeight="1">
      <c r="BC808" s="3"/>
      <c r="BD808" s="3"/>
      <c r="BE808" s="3"/>
      <c r="BF808" s="3"/>
    </row>
    <row r="809" ht="15.75" customHeight="1">
      <c r="BC809" s="3"/>
      <c r="BD809" s="3"/>
      <c r="BE809" s="3"/>
      <c r="BF809" s="3"/>
    </row>
    <row r="810" ht="15.75" customHeight="1">
      <c r="BC810" s="3"/>
      <c r="BD810" s="3"/>
      <c r="BE810" s="3"/>
      <c r="BF810" s="3"/>
    </row>
    <row r="811" ht="15.75" customHeight="1">
      <c r="BC811" s="3"/>
      <c r="BD811" s="3"/>
      <c r="BE811" s="3"/>
      <c r="BF811" s="3"/>
    </row>
    <row r="812" ht="15.75" customHeight="1">
      <c r="BC812" s="3"/>
      <c r="BD812" s="3"/>
      <c r="BE812" s="3"/>
      <c r="BF812" s="3"/>
    </row>
    <row r="813" ht="15.75" customHeight="1">
      <c r="BC813" s="3"/>
      <c r="BD813" s="3"/>
      <c r="BE813" s="3"/>
      <c r="BF813" s="3"/>
    </row>
    <row r="814" ht="15.75" customHeight="1">
      <c r="BC814" s="3"/>
      <c r="BD814" s="3"/>
      <c r="BE814" s="3"/>
      <c r="BF814" s="3"/>
    </row>
    <row r="815" ht="15.75" customHeight="1">
      <c r="BC815" s="3"/>
      <c r="BD815" s="3"/>
      <c r="BE815" s="3"/>
      <c r="BF815" s="3"/>
    </row>
    <row r="816" ht="15.75" customHeight="1">
      <c r="BC816" s="3"/>
      <c r="BD816" s="3"/>
      <c r="BE816" s="3"/>
      <c r="BF816" s="3"/>
    </row>
    <row r="817" ht="15.75" customHeight="1">
      <c r="BC817" s="3"/>
      <c r="BD817" s="3"/>
      <c r="BE817" s="3"/>
      <c r="BF817" s="3"/>
    </row>
    <row r="818" ht="15.75" customHeight="1">
      <c r="BC818" s="3"/>
      <c r="BD818" s="3"/>
      <c r="BE818" s="3"/>
      <c r="BF818" s="3"/>
    </row>
    <row r="819" ht="15.75" customHeight="1">
      <c r="BC819" s="3"/>
      <c r="BD819" s="3"/>
      <c r="BE819" s="3"/>
      <c r="BF819" s="3"/>
    </row>
    <row r="820" ht="15.75" customHeight="1">
      <c r="BC820" s="3"/>
      <c r="BD820" s="3"/>
      <c r="BE820" s="3"/>
      <c r="BF820" s="3"/>
    </row>
    <row r="821" ht="15.75" customHeight="1">
      <c r="BC821" s="3"/>
      <c r="BD821" s="3"/>
      <c r="BE821" s="3"/>
      <c r="BF821" s="3"/>
    </row>
    <row r="822" ht="15.75" customHeight="1">
      <c r="BC822" s="3"/>
      <c r="BD822" s="3"/>
      <c r="BE822" s="3"/>
      <c r="BF822" s="3"/>
    </row>
    <row r="823" ht="15.75" customHeight="1">
      <c r="BC823" s="3"/>
      <c r="BD823" s="3"/>
      <c r="BE823" s="3"/>
      <c r="BF823" s="3"/>
    </row>
    <row r="824" ht="15.75" customHeight="1">
      <c r="BC824" s="3"/>
      <c r="BD824" s="3"/>
      <c r="BE824" s="3"/>
      <c r="BF824" s="3"/>
    </row>
    <row r="825" ht="15.75" customHeight="1">
      <c r="BC825" s="3"/>
      <c r="BD825" s="3"/>
      <c r="BE825" s="3"/>
      <c r="BF825" s="3"/>
    </row>
    <row r="826" ht="15.75" customHeight="1">
      <c r="BC826" s="3"/>
      <c r="BD826" s="3"/>
      <c r="BE826" s="3"/>
      <c r="BF826" s="3"/>
    </row>
    <row r="827" ht="15.75" customHeight="1">
      <c r="BC827" s="3"/>
      <c r="BD827" s="3"/>
      <c r="BE827" s="3"/>
      <c r="BF827" s="3"/>
    </row>
    <row r="828" ht="15.75" customHeight="1">
      <c r="BC828" s="3"/>
      <c r="BD828" s="3"/>
      <c r="BE828" s="3"/>
      <c r="BF828" s="3"/>
    </row>
    <row r="829" ht="15.75" customHeight="1">
      <c r="BC829" s="3"/>
      <c r="BD829" s="3"/>
      <c r="BE829" s="3"/>
      <c r="BF829" s="3"/>
    </row>
    <row r="830" ht="15.75" customHeight="1">
      <c r="BC830" s="3"/>
      <c r="BD830" s="3"/>
      <c r="BE830" s="3"/>
      <c r="BF830" s="3"/>
    </row>
    <row r="831" ht="15.75" customHeight="1">
      <c r="BC831" s="3"/>
      <c r="BD831" s="3"/>
      <c r="BE831" s="3"/>
      <c r="BF831" s="3"/>
    </row>
    <row r="832" ht="15.75" customHeight="1">
      <c r="BC832" s="3"/>
      <c r="BD832" s="3"/>
      <c r="BE832" s="3"/>
      <c r="BF832" s="3"/>
    </row>
    <row r="833" ht="15.75" customHeight="1">
      <c r="BC833" s="3"/>
      <c r="BD833" s="3"/>
      <c r="BE833" s="3"/>
      <c r="BF833" s="3"/>
    </row>
    <row r="834" ht="15.75" customHeight="1">
      <c r="BC834" s="3"/>
      <c r="BD834" s="3"/>
      <c r="BE834" s="3"/>
      <c r="BF834" s="3"/>
    </row>
    <row r="835" ht="15.75" customHeight="1">
      <c r="BC835" s="3"/>
      <c r="BD835" s="3"/>
      <c r="BE835" s="3"/>
      <c r="BF835" s="3"/>
    </row>
    <row r="836" ht="15.75" customHeight="1">
      <c r="BC836" s="3"/>
      <c r="BD836" s="3"/>
      <c r="BE836" s="3"/>
      <c r="BF836" s="3"/>
    </row>
    <row r="837" ht="15.75" customHeight="1">
      <c r="BC837" s="3"/>
      <c r="BD837" s="3"/>
      <c r="BE837" s="3"/>
      <c r="BF837" s="3"/>
    </row>
    <row r="838" ht="15.75" customHeight="1">
      <c r="BC838" s="3"/>
      <c r="BD838" s="3"/>
      <c r="BE838" s="3"/>
      <c r="BF838" s="3"/>
    </row>
    <row r="839" ht="15.75" customHeight="1">
      <c r="BC839" s="3"/>
      <c r="BD839" s="3"/>
      <c r="BE839" s="3"/>
      <c r="BF839" s="3"/>
    </row>
    <row r="840" ht="15.75" customHeight="1">
      <c r="BC840" s="3"/>
      <c r="BD840" s="3"/>
      <c r="BE840" s="3"/>
      <c r="BF840" s="3"/>
    </row>
    <row r="841" ht="15.75" customHeight="1">
      <c r="BC841" s="3"/>
      <c r="BD841" s="3"/>
      <c r="BE841" s="3"/>
      <c r="BF841" s="3"/>
    </row>
    <row r="842" ht="15.75" customHeight="1">
      <c r="BC842" s="3"/>
      <c r="BD842" s="3"/>
      <c r="BE842" s="3"/>
      <c r="BF842" s="3"/>
    </row>
    <row r="843" ht="15.75" customHeight="1">
      <c r="BC843" s="3"/>
      <c r="BD843" s="3"/>
      <c r="BE843" s="3"/>
      <c r="BF843" s="3"/>
    </row>
    <row r="844" ht="15.75" customHeight="1">
      <c r="BC844" s="3"/>
      <c r="BD844" s="3"/>
      <c r="BE844" s="3"/>
      <c r="BF844" s="3"/>
    </row>
    <row r="845" ht="15.75" customHeight="1">
      <c r="BC845" s="3"/>
      <c r="BD845" s="3"/>
      <c r="BE845" s="3"/>
      <c r="BF845" s="3"/>
    </row>
    <row r="846" ht="15.75" customHeight="1">
      <c r="BC846" s="3"/>
      <c r="BD846" s="3"/>
      <c r="BE846" s="3"/>
      <c r="BF846" s="3"/>
    </row>
    <row r="847" ht="15.75" customHeight="1">
      <c r="BC847" s="3"/>
      <c r="BD847" s="3"/>
      <c r="BE847" s="3"/>
      <c r="BF847" s="3"/>
    </row>
    <row r="848" ht="15.75" customHeight="1">
      <c r="BC848" s="3"/>
      <c r="BD848" s="3"/>
      <c r="BE848" s="3"/>
      <c r="BF848" s="3"/>
    </row>
    <row r="849" ht="15.75" customHeight="1">
      <c r="BC849" s="3"/>
      <c r="BD849" s="3"/>
      <c r="BE849" s="3"/>
      <c r="BF849" s="3"/>
    </row>
    <row r="850" ht="15.75" customHeight="1">
      <c r="BC850" s="3"/>
      <c r="BD850" s="3"/>
      <c r="BE850" s="3"/>
      <c r="BF850" s="3"/>
    </row>
    <row r="851" ht="15.75" customHeight="1">
      <c r="BC851" s="3"/>
      <c r="BD851" s="3"/>
      <c r="BE851" s="3"/>
      <c r="BF851" s="3"/>
    </row>
    <row r="852" ht="15.75" customHeight="1">
      <c r="BC852" s="3"/>
      <c r="BD852" s="3"/>
      <c r="BE852" s="3"/>
      <c r="BF852" s="3"/>
    </row>
    <row r="853" ht="15.75" customHeight="1">
      <c r="BC853" s="3"/>
      <c r="BD853" s="3"/>
      <c r="BE853" s="3"/>
      <c r="BF853" s="3"/>
    </row>
    <row r="854" ht="15.75" customHeight="1">
      <c r="BC854" s="3"/>
      <c r="BD854" s="3"/>
      <c r="BE854" s="3"/>
      <c r="BF854" s="3"/>
    </row>
    <row r="855" ht="15.75" customHeight="1">
      <c r="BC855" s="3"/>
      <c r="BD855" s="3"/>
      <c r="BE855" s="3"/>
      <c r="BF855" s="3"/>
    </row>
    <row r="856" ht="15.75" customHeight="1">
      <c r="BC856" s="3"/>
      <c r="BD856" s="3"/>
      <c r="BE856" s="3"/>
      <c r="BF856" s="3"/>
    </row>
    <row r="857" ht="15.75" customHeight="1">
      <c r="BC857" s="3"/>
      <c r="BD857" s="3"/>
      <c r="BE857" s="3"/>
      <c r="BF857" s="3"/>
    </row>
    <row r="858" ht="15.75" customHeight="1">
      <c r="BC858" s="3"/>
      <c r="BD858" s="3"/>
      <c r="BE858" s="3"/>
      <c r="BF858" s="3"/>
    </row>
    <row r="859" ht="15.75" customHeight="1">
      <c r="BC859" s="3"/>
      <c r="BD859" s="3"/>
      <c r="BE859" s="3"/>
      <c r="BF859" s="3"/>
    </row>
    <row r="860" ht="15.75" customHeight="1">
      <c r="BC860" s="3"/>
      <c r="BD860" s="3"/>
      <c r="BE860" s="3"/>
      <c r="BF860" s="3"/>
    </row>
    <row r="861" ht="15.75" customHeight="1">
      <c r="BC861" s="3"/>
      <c r="BD861" s="3"/>
      <c r="BE861" s="3"/>
      <c r="BF861" s="3"/>
    </row>
    <row r="862" ht="15.75" customHeight="1">
      <c r="BC862" s="3"/>
      <c r="BD862" s="3"/>
      <c r="BE862" s="3"/>
      <c r="BF862" s="3"/>
    </row>
    <row r="863" ht="15.75" customHeight="1">
      <c r="BC863" s="3"/>
      <c r="BD863" s="3"/>
      <c r="BE863" s="3"/>
      <c r="BF863" s="3"/>
    </row>
    <row r="864" ht="15.75" customHeight="1">
      <c r="BC864" s="3"/>
      <c r="BD864" s="3"/>
      <c r="BE864" s="3"/>
      <c r="BF864" s="3"/>
    </row>
    <row r="865" ht="15.75" customHeight="1">
      <c r="BC865" s="3"/>
      <c r="BD865" s="3"/>
      <c r="BE865" s="3"/>
      <c r="BF865" s="3"/>
    </row>
    <row r="866" ht="15.75" customHeight="1">
      <c r="BC866" s="3"/>
      <c r="BD866" s="3"/>
      <c r="BE866" s="3"/>
      <c r="BF866" s="3"/>
    </row>
    <row r="867" ht="15.75" customHeight="1">
      <c r="BC867" s="3"/>
      <c r="BD867" s="3"/>
      <c r="BE867" s="3"/>
      <c r="BF867" s="3"/>
    </row>
    <row r="868" ht="15.75" customHeight="1">
      <c r="BC868" s="3"/>
      <c r="BD868" s="3"/>
      <c r="BE868" s="3"/>
      <c r="BF868" s="3"/>
    </row>
    <row r="869" ht="15.75" customHeight="1">
      <c r="BC869" s="3"/>
      <c r="BD869" s="3"/>
      <c r="BE869" s="3"/>
      <c r="BF869" s="3"/>
    </row>
    <row r="870" ht="15.75" customHeight="1">
      <c r="BC870" s="3"/>
      <c r="BD870" s="3"/>
      <c r="BE870" s="3"/>
      <c r="BF870" s="3"/>
    </row>
    <row r="871" ht="15.75" customHeight="1">
      <c r="BC871" s="3"/>
      <c r="BD871" s="3"/>
      <c r="BE871" s="3"/>
      <c r="BF871" s="3"/>
    </row>
    <row r="872" ht="15.75" customHeight="1">
      <c r="BC872" s="3"/>
      <c r="BD872" s="3"/>
      <c r="BE872" s="3"/>
      <c r="BF872" s="3"/>
    </row>
    <row r="873" ht="15.75" customHeight="1">
      <c r="BC873" s="3"/>
      <c r="BD873" s="3"/>
      <c r="BE873" s="3"/>
      <c r="BF873" s="3"/>
    </row>
    <row r="874" ht="15.75" customHeight="1">
      <c r="BC874" s="3"/>
      <c r="BD874" s="3"/>
      <c r="BE874" s="3"/>
      <c r="BF874" s="3"/>
    </row>
    <row r="875" ht="15.75" customHeight="1">
      <c r="BC875" s="3"/>
      <c r="BD875" s="3"/>
      <c r="BE875" s="3"/>
      <c r="BF875" s="3"/>
    </row>
    <row r="876" ht="15.75" customHeight="1">
      <c r="BC876" s="3"/>
      <c r="BD876" s="3"/>
      <c r="BE876" s="3"/>
      <c r="BF876" s="3"/>
    </row>
    <row r="877" ht="15.75" customHeight="1">
      <c r="BC877" s="3"/>
      <c r="BD877" s="3"/>
      <c r="BE877" s="3"/>
      <c r="BF877" s="3"/>
    </row>
    <row r="878" ht="15.75" customHeight="1">
      <c r="BC878" s="3"/>
      <c r="BD878" s="3"/>
      <c r="BE878" s="3"/>
      <c r="BF878" s="3"/>
    </row>
    <row r="879" ht="15.75" customHeight="1">
      <c r="BC879" s="3"/>
      <c r="BD879" s="3"/>
      <c r="BE879" s="3"/>
      <c r="BF879" s="3"/>
    </row>
    <row r="880" ht="15.75" customHeight="1">
      <c r="BC880" s="3"/>
      <c r="BD880" s="3"/>
      <c r="BE880" s="3"/>
      <c r="BF880" s="3"/>
    </row>
    <row r="881" ht="15.75" customHeight="1">
      <c r="BC881" s="3"/>
      <c r="BD881" s="3"/>
      <c r="BE881" s="3"/>
      <c r="BF881" s="3"/>
    </row>
    <row r="882" ht="15.75" customHeight="1">
      <c r="BC882" s="3"/>
      <c r="BD882" s="3"/>
      <c r="BE882" s="3"/>
      <c r="BF882" s="3"/>
    </row>
    <row r="883" ht="15.75" customHeight="1">
      <c r="BC883" s="3"/>
      <c r="BD883" s="3"/>
      <c r="BE883" s="3"/>
      <c r="BF883" s="3"/>
    </row>
    <row r="884" ht="15.75" customHeight="1">
      <c r="BC884" s="3"/>
      <c r="BD884" s="3"/>
      <c r="BE884" s="3"/>
      <c r="BF884" s="3"/>
    </row>
    <row r="885" ht="15.75" customHeight="1">
      <c r="BC885" s="3"/>
      <c r="BD885" s="3"/>
      <c r="BE885" s="3"/>
      <c r="BF885" s="3"/>
    </row>
    <row r="886" ht="15.75" customHeight="1">
      <c r="BC886" s="3"/>
      <c r="BD886" s="3"/>
      <c r="BE886" s="3"/>
      <c r="BF886" s="3"/>
    </row>
    <row r="887" ht="15.75" customHeight="1">
      <c r="BC887" s="3"/>
      <c r="BD887" s="3"/>
      <c r="BE887" s="3"/>
      <c r="BF887" s="3"/>
    </row>
    <row r="888" ht="15.75" customHeight="1">
      <c r="BC888" s="3"/>
      <c r="BD888" s="3"/>
      <c r="BE888" s="3"/>
      <c r="BF888" s="3"/>
    </row>
    <row r="889" ht="15.75" customHeight="1">
      <c r="BC889" s="3"/>
      <c r="BD889" s="3"/>
      <c r="BE889" s="3"/>
      <c r="BF889" s="3"/>
    </row>
    <row r="890" ht="15.75" customHeight="1">
      <c r="BC890" s="3"/>
      <c r="BD890" s="3"/>
      <c r="BE890" s="3"/>
      <c r="BF890" s="3"/>
    </row>
    <row r="891" ht="15.75" customHeight="1">
      <c r="BC891" s="3"/>
      <c r="BD891" s="3"/>
      <c r="BE891" s="3"/>
      <c r="BF891" s="3"/>
    </row>
    <row r="892" ht="15.75" customHeight="1">
      <c r="BC892" s="3"/>
      <c r="BD892" s="3"/>
      <c r="BE892" s="3"/>
      <c r="BF892" s="3"/>
    </row>
    <row r="893" ht="15.75" customHeight="1">
      <c r="BC893" s="3"/>
      <c r="BD893" s="3"/>
      <c r="BE893" s="3"/>
      <c r="BF893" s="3"/>
    </row>
    <row r="894" ht="15.75" customHeight="1">
      <c r="BC894" s="3"/>
      <c r="BD894" s="3"/>
      <c r="BE894" s="3"/>
      <c r="BF894" s="3"/>
    </row>
    <row r="895" ht="15.75" customHeight="1">
      <c r="BC895" s="3"/>
      <c r="BD895" s="3"/>
      <c r="BE895" s="3"/>
      <c r="BF895" s="3"/>
    </row>
    <row r="896" ht="15.75" customHeight="1">
      <c r="BC896" s="3"/>
      <c r="BD896" s="3"/>
      <c r="BE896" s="3"/>
      <c r="BF896" s="3"/>
    </row>
    <row r="897" ht="15.75" customHeight="1">
      <c r="BC897" s="3"/>
      <c r="BD897" s="3"/>
      <c r="BE897" s="3"/>
      <c r="BF897" s="3"/>
    </row>
    <row r="898" ht="15.75" customHeight="1">
      <c r="BC898" s="3"/>
      <c r="BD898" s="3"/>
      <c r="BE898" s="3"/>
      <c r="BF898" s="3"/>
    </row>
    <row r="899" ht="15.75" customHeight="1">
      <c r="BC899" s="3"/>
      <c r="BD899" s="3"/>
      <c r="BE899" s="3"/>
      <c r="BF899" s="3"/>
    </row>
    <row r="900" ht="15.75" customHeight="1">
      <c r="BC900" s="3"/>
      <c r="BD900" s="3"/>
      <c r="BE900" s="3"/>
      <c r="BF900" s="3"/>
    </row>
    <row r="901" ht="15.75" customHeight="1">
      <c r="BC901" s="3"/>
      <c r="BD901" s="3"/>
      <c r="BE901" s="3"/>
      <c r="BF901" s="3"/>
    </row>
    <row r="902" ht="15.75" customHeight="1">
      <c r="BC902" s="3"/>
      <c r="BD902" s="3"/>
      <c r="BE902" s="3"/>
      <c r="BF902" s="3"/>
    </row>
    <row r="903" ht="15.75" customHeight="1">
      <c r="BC903" s="3"/>
      <c r="BD903" s="3"/>
      <c r="BE903" s="3"/>
      <c r="BF903" s="3"/>
    </row>
    <row r="904" ht="15.75" customHeight="1">
      <c r="BC904" s="3"/>
      <c r="BD904" s="3"/>
      <c r="BE904" s="3"/>
      <c r="BF904" s="3"/>
    </row>
    <row r="905" ht="15.75" customHeight="1">
      <c r="BC905" s="3"/>
      <c r="BD905" s="3"/>
      <c r="BE905" s="3"/>
      <c r="BF905" s="3"/>
    </row>
    <row r="906" ht="15.75" customHeight="1">
      <c r="BC906" s="3"/>
      <c r="BD906" s="3"/>
      <c r="BE906" s="3"/>
      <c r="BF906" s="3"/>
    </row>
    <row r="907" ht="15.75" customHeight="1">
      <c r="BC907" s="3"/>
      <c r="BD907" s="3"/>
      <c r="BE907" s="3"/>
      <c r="BF907" s="3"/>
    </row>
    <row r="908" ht="15.75" customHeight="1">
      <c r="BC908" s="3"/>
      <c r="BD908" s="3"/>
      <c r="BE908" s="3"/>
      <c r="BF908" s="3"/>
    </row>
    <row r="909" ht="15.75" customHeight="1">
      <c r="BC909" s="3"/>
      <c r="BD909" s="3"/>
      <c r="BE909" s="3"/>
      <c r="BF909" s="3"/>
    </row>
    <row r="910" ht="15.75" customHeight="1">
      <c r="BC910" s="3"/>
      <c r="BD910" s="3"/>
      <c r="BE910" s="3"/>
      <c r="BF910" s="3"/>
    </row>
    <row r="911" ht="15.75" customHeight="1">
      <c r="BC911" s="3"/>
      <c r="BD911" s="3"/>
      <c r="BE911" s="3"/>
      <c r="BF911" s="3"/>
    </row>
    <row r="912" ht="15.75" customHeight="1">
      <c r="BC912" s="3"/>
      <c r="BD912" s="3"/>
      <c r="BE912" s="3"/>
      <c r="BF912" s="3"/>
    </row>
    <row r="913" ht="15.75" customHeight="1">
      <c r="BC913" s="3"/>
      <c r="BD913" s="3"/>
      <c r="BE913" s="3"/>
      <c r="BF913" s="3"/>
    </row>
    <row r="914" ht="15.75" customHeight="1">
      <c r="BC914" s="3"/>
      <c r="BD914" s="3"/>
      <c r="BE914" s="3"/>
      <c r="BF914" s="3"/>
    </row>
    <row r="915" ht="15.75" customHeight="1">
      <c r="BC915" s="3"/>
      <c r="BD915" s="3"/>
      <c r="BE915" s="3"/>
      <c r="BF915" s="3"/>
    </row>
    <row r="916" ht="15.75" customHeight="1">
      <c r="BC916" s="3"/>
      <c r="BD916" s="3"/>
      <c r="BE916" s="3"/>
      <c r="BF916" s="3"/>
    </row>
    <row r="917" ht="15.75" customHeight="1">
      <c r="BC917" s="3"/>
      <c r="BD917" s="3"/>
      <c r="BE917" s="3"/>
      <c r="BF917" s="3"/>
    </row>
    <row r="918" ht="15.75" customHeight="1">
      <c r="BC918" s="3"/>
      <c r="BD918" s="3"/>
      <c r="BE918" s="3"/>
      <c r="BF918" s="3"/>
    </row>
    <row r="919" ht="15.75" customHeight="1">
      <c r="BC919" s="3"/>
      <c r="BD919" s="3"/>
      <c r="BE919" s="3"/>
      <c r="BF919" s="3"/>
    </row>
    <row r="920" ht="15.75" customHeight="1">
      <c r="BC920" s="3"/>
      <c r="BD920" s="3"/>
      <c r="BE920" s="3"/>
      <c r="BF920" s="3"/>
    </row>
    <row r="921" ht="15.75" customHeight="1">
      <c r="BC921" s="3"/>
      <c r="BD921" s="3"/>
      <c r="BE921" s="3"/>
      <c r="BF921" s="3"/>
    </row>
    <row r="922" ht="15.75" customHeight="1">
      <c r="BC922" s="3"/>
      <c r="BD922" s="3"/>
      <c r="BE922" s="3"/>
      <c r="BF922" s="3"/>
    </row>
    <row r="923" ht="15.75" customHeight="1">
      <c r="BC923" s="3"/>
      <c r="BD923" s="3"/>
      <c r="BE923" s="3"/>
      <c r="BF923" s="3"/>
    </row>
    <row r="924" ht="15.75" customHeight="1">
      <c r="BC924" s="3"/>
      <c r="BD924" s="3"/>
      <c r="BE924" s="3"/>
      <c r="BF924" s="3"/>
    </row>
    <row r="925" ht="15.75" customHeight="1">
      <c r="BC925" s="3"/>
      <c r="BD925" s="3"/>
      <c r="BE925" s="3"/>
      <c r="BF925" s="3"/>
    </row>
    <row r="926" ht="15.75" customHeight="1">
      <c r="BC926" s="3"/>
      <c r="BD926" s="3"/>
      <c r="BE926" s="3"/>
      <c r="BF926" s="3"/>
    </row>
    <row r="927" ht="15.75" customHeight="1">
      <c r="BC927" s="3"/>
      <c r="BD927" s="3"/>
      <c r="BE927" s="3"/>
      <c r="BF927" s="3"/>
    </row>
    <row r="928" ht="15.75" customHeight="1">
      <c r="BC928" s="3"/>
      <c r="BD928" s="3"/>
      <c r="BE928" s="3"/>
      <c r="BF928" s="3"/>
    </row>
    <row r="929" ht="15.75" customHeight="1">
      <c r="BC929" s="3"/>
      <c r="BD929" s="3"/>
      <c r="BE929" s="3"/>
      <c r="BF929" s="3"/>
    </row>
    <row r="930" ht="15.75" customHeight="1">
      <c r="BC930" s="3"/>
      <c r="BD930" s="3"/>
      <c r="BE930" s="3"/>
      <c r="BF930" s="3"/>
    </row>
    <row r="931" ht="15.75" customHeight="1">
      <c r="BC931" s="3"/>
      <c r="BD931" s="3"/>
      <c r="BE931" s="3"/>
      <c r="BF931" s="3"/>
    </row>
    <row r="932" ht="15.75" customHeight="1">
      <c r="BC932" s="3"/>
      <c r="BD932" s="3"/>
      <c r="BE932" s="3"/>
      <c r="BF932" s="3"/>
    </row>
    <row r="933" ht="15.75" customHeight="1">
      <c r="BC933" s="3"/>
      <c r="BD933" s="3"/>
      <c r="BE933" s="3"/>
      <c r="BF933" s="3"/>
    </row>
    <row r="934" ht="15.75" customHeight="1">
      <c r="BC934" s="3"/>
      <c r="BD934" s="3"/>
      <c r="BE934" s="3"/>
      <c r="BF934" s="3"/>
    </row>
    <row r="935" ht="15.75" customHeight="1">
      <c r="BC935" s="3"/>
      <c r="BD935" s="3"/>
      <c r="BE935" s="3"/>
      <c r="BF935" s="3"/>
    </row>
    <row r="936" ht="15.75" customHeight="1">
      <c r="BC936" s="3"/>
      <c r="BD936" s="3"/>
      <c r="BE936" s="3"/>
      <c r="BF936" s="3"/>
    </row>
    <row r="937" ht="15.75" customHeight="1">
      <c r="BC937" s="3"/>
      <c r="BD937" s="3"/>
      <c r="BE937" s="3"/>
      <c r="BF937" s="3"/>
    </row>
    <row r="938" ht="15.75" customHeight="1">
      <c r="BC938" s="3"/>
      <c r="BD938" s="3"/>
      <c r="BE938" s="3"/>
      <c r="BF938" s="3"/>
    </row>
    <row r="939" ht="15.75" customHeight="1">
      <c r="BC939" s="3"/>
      <c r="BD939" s="3"/>
      <c r="BE939" s="3"/>
      <c r="BF939" s="3"/>
    </row>
    <row r="940" ht="15.75" customHeight="1">
      <c r="BC940" s="3"/>
      <c r="BD940" s="3"/>
      <c r="BE940" s="3"/>
      <c r="BF940" s="3"/>
    </row>
    <row r="941" ht="15.75" customHeight="1">
      <c r="BC941" s="3"/>
      <c r="BD941" s="3"/>
      <c r="BE941" s="3"/>
      <c r="BF941" s="3"/>
    </row>
    <row r="942" ht="15.75" customHeight="1">
      <c r="BC942" s="3"/>
      <c r="BD942" s="3"/>
      <c r="BE942" s="3"/>
      <c r="BF942" s="3"/>
    </row>
    <row r="943" ht="15.75" customHeight="1">
      <c r="BC943" s="3"/>
      <c r="BD943" s="3"/>
      <c r="BE943" s="3"/>
      <c r="BF943" s="3"/>
    </row>
    <row r="944" ht="15.75" customHeight="1">
      <c r="BC944" s="3"/>
      <c r="BD944" s="3"/>
      <c r="BE944" s="3"/>
      <c r="BF944" s="3"/>
    </row>
    <row r="945" ht="15.75" customHeight="1">
      <c r="BC945" s="3"/>
      <c r="BD945" s="3"/>
      <c r="BE945" s="3"/>
      <c r="BF945" s="3"/>
    </row>
    <row r="946" ht="15.75" customHeight="1">
      <c r="BC946" s="3"/>
      <c r="BD946" s="3"/>
      <c r="BE946" s="3"/>
      <c r="BF946" s="3"/>
    </row>
    <row r="947" ht="15.75" customHeight="1">
      <c r="BC947" s="3"/>
      <c r="BD947" s="3"/>
      <c r="BE947" s="3"/>
      <c r="BF947" s="3"/>
    </row>
    <row r="948" ht="15.75" customHeight="1">
      <c r="BC948" s="3"/>
      <c r="BD948" s="3"/>
      <c r="BE948" s="3"/>
      <c r="BF948" s="3"/>
    </row>
    <row r="949" ht="15.75" customHeight="1">
      <c r="BC949" s="3"/>
      <c r="BD949" s="3"/>
      <c r="BE949" s="3"/>
      <c r="BF949" s="3"/>
    </row>
    <row r="950" ht="15.75" customHeight="1">
      <c r="BC950" s="3"/>
      <c r="BD950" s="3"/>
      <c r="BE950" s="3"/>
      <c r="BF950" s="3"/>
    </row>
    <row r="951" ht="15.75" customHeight="1">
      <c r="BC951" s="3"/>
      <c r="BD951" s="3"/>
      <c r="BE951" s="3"/>
      <c r="BF951" s="3"/>
    </row>
    <row r="952" ht="15.75" customHeight="1">
      <c r="BC952" s="3"/>
      <c r="BD952" s="3"/>
      <c r="BE952" s="3"/>
      <c r="BF952" s="3"/>
    </row>
    <row r="953" ht="15.75" customHeight="1">
      <c r="BC953" s="3"/>
      <c r="BD953" s="3"/>
      <c r="BE953" s="3"/>
      <c r="BF953" s="3"/>
    </row>
    <row r="954" ht="15.75" customHeight="1">
      <c r="BC954" s="3"/>
      <c r="BD954" s="3"/>
      <c r="BE954" s="3"/>
      <c r="BF954" s="3"/>
    </row>
    <row r="955" ht="15.75" customHeight="1">
      <c r="BC955" s="3"/>
      <c r="BD955" s="3"/>
      <c r="BE955" s="3"/>
      <c r="BF955" s="3"/>
    </row>
    <row r="956" ht="15.75" customHeight="1">
      <c r="BC956" s="3"/>
      <c r="BD956" s="3"/>
      <c r="BE956" s="3"/>
      <c r="BF956" s="3"/>
    </row>
    <row r="957" ht="15.75" customHeight="1">
      <c r="BC957" s="3"/>
      <c r="BD957" s="3"/>
      <c r="BE957" s="3"/>
      <c r="BF957" s="3"/>
    </row>
    <row r="958" ht="15.75" customHeight="1">
      <c r="BC958" s="3"/>
      <c r="BD958" s="3"/>
      <c r="BE958" s="3"/>
      <c r="BF958" s="3"/>
    </row>
    <row r="959" ht="15.75" customHeight="1">
      <c r="BC959" s="3"/>
      <c r="BD959" s="3"/>
      <c r="BE959" s="3"/>
      <c r="BF959" s="3"/>
    </row>
    <row r="960" ht="15.75" customHeight="1">
      <c r="BC960" s="3"/>
      <c r="BD960" s="3"/>
      <c r="BE960" s="3"/>
      <c r="BF960" s="3"/>
    </row>
    <row r="961" ht="15.75" customHeight="1">
      <c r="BC961" s="3"/>
      <c r="BD961" s="3"/>
      <c r="BE961" s="3"/>
      <c r="BF961" s="3"/>
    </row>
    <row r="962" ht="15.75" customHeight="1">
      <c r="BC962" s="3"/>
      <c r="BD962" s="3"/>
      <c r="BE962" s="3"/>
      <c r="BF962" s="3"/>
    </row>
    <row r="963" ht="15.75" customHeight="1">
      <c r="BC963" s="3"/>
      <c r="BD963" s="3"/>
      <c r="BE963" s="3"/>
      <c r="BF963" s="3"/>
    </row>
    <row r="964" ht="15.75" customHeight="1">
      <c r="BC964" s="3"/>
      <c r="BD964" s="3"/>
      <c r="BE964" s="3"/>
      <c r="BF964" s="3"/>
    </row>
    <row r="965" ht="15.75" customHeight="1">
      <c r="BC965" s="3"/>
      <c r="BD965" s="3"/>
      <c r="BE965" s="3"/>
      <c r="BF965" s="3"/>
    </row>
    <row r="966" ht="15.75" customHeight="1">
      <c r="BC966" s="3"/>
      <c r="BD966" s="3"/>
      <c r="BE966" s="3"/>
      <c r="BF966" s="3"/>
    </row>
    <row r="967" ht="15.75" customHeight="1">
      <c r="BC967" s="3"/>
      <c r="BD967" s="3"/>
      <c r="BE967" s="3"/>
      <c r="BF967" s="3"/>
    </row>
    <row r="968" ht="15.75" customHeight="1">
      <c r="BC968" s="3"/>
      <c r="BD968" s="3"/>
      <c r="BE968" s="3"/>
      <c r="BF968" s="3"/>
    </row>
    <row r="969" ht="15.75" customHeight="1">
      <c r="BC969" s="3"/>
      <c r="BD969" s="3"/>
      <c r="BE969" s="3"/>
      <c r="BF969" s="3"/>
    </row>
    <row r="970" ht="15.75" customHeight="1">
      <c r="BC970" s="3"/>
      <c r="BD970" s="3"/>
      <c r="BE970" s="3"/>
      <c r="BF970" s="3"/>
    </row>
    <row r="971" ht="15.75" customHeight="1">
      <c r="BC971" s="3"/>
      <c r="BD971" s="3"/>
      <c r="BE971" s="3"/>
      <c r="BF971" s="3"/>
    </row>
    <row r="972" ht="15.75" customHeight="1">
      <c r="BC972" s="3"/>
      <c r="BD972" s="3"/>
      <c r="BE972" s="3"/>
      <c r="BF972" s="3"/>
    </row>
    <row r="973" ht="15.75" customHeight="1">
      <c r="BC973" s="3"/>
      <c r="BD973" s="3"/>
      <c r="BE973" s="3"/>
      <c r="BF973" s="3"/>
    </row>
    <row r="974" ht="15.75" customHeight="1">
      <c r="BC974" s="3"/>
      <c r="BD974" s="3"/>
      <c r="BE974" s="3"/>
      <c r="BF974" s="3"/>
    </row>
    <row r="975" ht="15.75" customHeight="1">
      <c r="BC975" s="3"/>
      <c r="BD975" s="3"/>
      <c r="BE975" s="3"/>
      <c r="BF975" s="3"/>
    </row>
    <row r="976" ht="15.75" customHeight="1">
      <c r="BC976" s="3"/>
      <c r="BD976" s="3"/>
      <c r="BE976" s="3"/>
      <c r="BF976" s="3"/>
    </row>
    <row r="977" ht="15.75" customHeight="1">
      <c r="BC977" s="3"/>
      <c r="BD977" s="3"/>
      <c r="BE977" s="3"/>
      <c r="BF977" s="3"/>
    </row>
    <row r="978" ht="15.75" customHeight="1">
      <c r="BC978" s="3"/>
      <c r="BD978" s="3"/>
      <c r="BE978" s="3"/>
      <c r="BF978" s="3"/>
    </row>
    <row r="979" ht="15.75" customHeight="1">
      <c r="BC979" s="3"/>
      <c r="BD979" s="3"/>
      <c r="BE979" s="3"/>
      <c r="BF979" s="3"/>
    </row>
    <row r="980" ht="15.75" customHeight="1">
      <c r="BC980" s="3"/>
      <c r="BD980" s="3"/>
      <c r="BE980" s="3"/>
      <c r="BF980" s="3"/>
    </row>
    <row r="981" ht="15.75" customHeight="1">
      <c r="BC981" s="3"/>
      <c r="BD981" s="3"/>
      <c r="BE981" s="3"/>
      <c r="BF981" s="3"/>
    </row>
    <row r="982" ht="15.75" customHeight="1">
      <c r="BC982" s="3"/>
      <c r="BD982" s="3"/>
      <c r="BE982" s="3"/>
      <c r="BF982" s="3"/>
    </row>
    <row r="983" ht="15.75" customHeight="1">
      <c r="BC983" s="3"/>
      <c r="BD983" s="3"/>
      <c r="BE983" s="3"/>
      <c r="BF983" s="3"/>
    </row>
    <row r="984" ht="15.75" customHeight="1">
      <c r="BC984" s="3"/>
      <c r="BD984" s="3"/>
      <c r="BE984" s="3"/>
      <c r="BF984" s="3"/>
    </row>
    <row r="985" ht="15.75" customHeight="1">
      <c r="BC985" s="3"/>
      <c r="BD985" s="3"/>
      <c r="BE985" s="3"/>
      <c r="BF985" s="3"/>
    </row>
    <row r="986" ht="15.75" customHeight="1">
      <c r="BC986" s="3"/>
      <c r="BD986" s="3"/>
      <c r="BE986" s="3"/>
      <c r="BF986" s="3"/>
    </row>
    <row r="987" ht="15.75" customHeight="1">
      <c r="BC987" s="3"/>
      <c r="BD987" s="3"/>
      <c r="BE987" s="3"/>
      <c r="BF987" s="3"/>
    </row>
    <row r="988" ht="15.75" customHeight="1">
      <c r="BC988" s="3"/>
      <c r="BD988" s="3"/>
      <c r="BE988" s="3"/>
      <c r="BF988" s="3"/>
    </row>
    <row r="989" ht="15.75" customHeight="1">
      <c r="BC989" s="3"/>
      <c r="BD989" s="3"/>
      <c r="BE989" s="3"/>
      <c r="BF989" s="3"/>
    </row>
    <row r="990" ht="15.75" customHeight="1">
      <c r="BC990" s="3"/>
      <c r="BD990" s="3"/>
      <c r="BE990" s="3"/>
      <c r="BF990" s="3"/>
    </row>
    <row r="991" ht="15.75" customHeight="1">
      <c r="BC991" s="3"/>
      <c r="BD991" s="3"/>
      <c r="BE991" s="3"/>
      <c r="BF991" s="3"/>
    </row>
    <row r="992" ht="15.75" customHeight="1">
      <c r="BC992" s="3"/>
      <c r="BD992" s="3"/>
      <c r="BE992" s="3"/>
      <c r="BF992" s="3"/>
    </row>
    <row r="993" ht="15.75" customHeight="1">
      <c r="BC993" s="3"/>
      <c r="BD993" s="3"/>
      <c r="BE993" s="3"/>
      <c r="BF993" s="3"/>
    </row>
    <row r="994" ht="15.75" customHeight="1">
      <c r="BC994" s="3"/>
      <c r="BD994" s="3"/>
      <c r="BE994" s="3"/>
      <c r="BF994" s="3"/>
    </row>
    <row r="995" ht="15.75" customHeight="1">
      <c r="BC995" s="3"/>
      <c r="BD995" s="3"/>
      <c r="BE995" s="3"/>
      <c r="BF995" s="3"/>
    </row>
    <row r="996" ht="15.75" customHeight="1">
      <c r="BC996" s="3"/>
      <c r="BD996" s="3"/>
      <c r="BE996" s="3"/>
      <c r="BF996" s="3"/>
    </row>
    <row r="997" ht="15.75" customHeight="1">
      <c r="BC997" s="3"/>
      <c r="BD997" s="3"/>
      <c r="BE997" s="3"/>
      <c r="BF997" s="3"/>
    </row>
    <row r="998" ht="15.75" customHeight="1">
      <c r="BC998" s="3"/>
      <c r="BD998" s="3"/>
      <c r="BE998" s="3"/>
      <c r="BF998" s="3"/>
    </row>
    <row r="999" ht="15.75" customHeight="1">
      <c r="BC999" s="3"/>
      <c r="BD999" s="3"/>
      <c r="BE999" s="3"/>
      <c r="BF999" s="3"/>
    </row>
    <row r="1000" ht="15.75" customHeight="1">
      <c r="BC1000" s="3"/>
      <c r="BD1000" s="3"/>
      <c r="BE1000" s="3"/>
      <c r="BF1000" s="3"/>
    </row>
    <row r="1001" ht="15.75" customHeight="1">
      <c r="BC1001" s="3"/>
      <c r="BD1001" s="3"/>
      <c r="BE1001" s="3"/>
      <c r="BF1001" s="3"/>
    </row>
  </sheetData>
  <mergeCells count="14">
    <mergeCell ref="AE3:AH3"/>
    <mergeCell ref="AI3:AL3"/>
    <mergeCell ref="AM3:AP3"/>
    <mergeCell ref="AQ3:AT3"/>
    <mergeCell ref="AU3:AX3"/>
    <mergeCell ref="AY3:BB3"/>
    <mergeCell ref="BC3:BF3"/>
    <mergeCell ref="C3:F3"/>
    <mergeCell ref="G3:J3"/>
    <mergeCell ref="K3:N3"/>
    <mergeCell ref="O3:R3"/>
    <mergeCell ref="S3:V3"/>
    <mergeCell ref="W3:Z3"/>
    <mergeCell ref="AA3:AD3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6" width="12.63"/>
    <col customWidth="1" min="55" max="58" width="12.63"/>
  </cols>
  <sheetData>
    <row r="1" ht="15.75" customHeight="1">
      <c r="A1" s="184" t="s">
        <v>1</v>
      </c>
      <c r="BC1" s="3"/>
      <c r="BD1" s="3"/>
      <c r="BE1" s="3"/>
      <c r="BF1" s="3"/>
    </row>
    <row r="2" ht="15.75" customHeight="1">
      <c r="A2" s="128" t="s">
        <v>168</v>
      </c>
      <c r="BC2" s="3"/>
      <c r="BD2" s="3"/>
      <c r="BE2" s="3"/>
      <c r="BF2" s="3"/>
    </row>
    <row r="3" ht="15.75" customHeight="1">
      <c r="B3" s="188"/>
      <c r="C3" s="259" t="s">
        <v>48</v>
      </c>
      <c r="D3" s="260"/>
      <c r="E3" s="260"/>
      <c r="F3" s="261"/>
      <c r="G3" s="259" t="s">
        <v>49</v>
      </c>
      <c r="H3" s="260"/>
      <c r="I3" s="260"/>
      <c r="J3" s="261"/>
      <c r="K3" s="259" t="s">
        <v>5</v>
      </c>
      <c r="L3" s="260"/>
      <c r="M3" s="260"/>
      <c r="N3" s="261"/>
      <c r="O3" s="259" t="s">
        <v>6</v>
      </c>
      <c r="P3" s="260"/>
      <c r="Q3" s="260"/>
      <c r="R3" s="261"/>
      <c r="S3" s="259" t="s">
        <v>7</v>
      </c>
      <c r="T3" s="260"/>
      <c r="U3" s="260"/>
      <c r="V3" s="261"/>
      <c r="W3" s="259" t="s">
        <v>8</v>
      </c>
      <c r="X3" s="260"/>
      <c r="Y3" s="260"/>
      <c r="Z3" s="261"/>
      <c r="AA3" s="259" t="s">
        <v>9</v>
      </c>
      <c r="AB3" s="260"/>
      <c r="AC3" s="260"/>
      <c r="AD3" s="261"/>
      <c r="AE3" s="259" t="s">
        <v>10</v>
      </c>
      <c r="AF3" s="260"/>
      <c r="AG3" s="260"/>
      <c r="AH3" s="261"/>
      <c r="AI3" s="259" t="s">
        <v>11</v>
      </c>
      <c r="AJ3" s="260"/>
      <c r="AK3" s="260"/>
      <c r="AL3" s="261"/>
      <c r="AM3" s="259" t="s">
        <v>12</v>
      </c>
      <c r="AN3" s="260"/>
      <c r="AO3" s="260"/>
      <c r="AP3" s="261"/>
      <c r="AQ3" s="259" t="s">
        <v>13</v>
      </c>
      <c r="AR3" s="260"/>
      <c r="AS3" s="260"/>
      <c r="AT3" s="261"/>
      <c r="AU3" s="259" t="s">
        <v>14</v>
      </c>
      <c r="AV3" s="260"/>
      <c r="AW3" s="260"/>
      <c r="AX3" s="261"/>
      <c r="AY3" s="259" t="s">
        <v>15</v>
      </c>
      <c r="AZ3" s="260"/>
      <c r="BA3" s="260"/>
      <c r="BB3" s="261"/>
      <c r="BC3" s="259" t="s">
        <v>17</v>
      </c>
      <c r="BD3" s="260"/>
      <c r="BE3" s="260"/>
      <c r="BF3" s="261"/>
    </row>
    <row r="4" ht="15.75" customHeight="1">
      <c r="B4" s="188"/>
      <c r="C4" s="188" t="s">
        <v>21</v>
      </c>
      <c r="D4" s="188" t="s">
        <v>19</v>
      </c>
      <c r="E4" s="188" t="s">
        <v>20</v>
      </c>
      <c r="F4" s="188" t="s">
        <v>19</v>
      </c>
      <c r="G4" s="188" t="s">
        <v>21</v>
      </c>
      <c r="H4" s="188" t="s">
        <v>19</v>
      </c>
      <c r="I4" s="188" t="s">
        <v>20</v>
      </c>
      <c r="J4" s="188" t="s">
        <v>19</v>
      </c>
      <c r="K4" s="188" t="s">
        <v>21</v>
      </c>
      <c r="L4" s="188" t="s">
        <v>19</v>
      </c>
      <c r="M4" s="188" t="s">
        <v>20</v>
      </c>
      <c r="N4" s="188" t="s">
        <v>19</v>
      </c>
      <c r="O4" s="188" t="s">
        <v>21</v>
      </c>
      <c r="P4" s="188" t="s">
        <v>19</v>
      </c>
      <c r="Q4" s="188" t="s">
        <v>20</v>
      </c>
      <c r="R4" s="188" t="s">
        <v>19</v>
      </c>
      <c r="S4" s="188" t="s">
        <v>21</v>
      </c>
      <c r="T4" s="188" t="s">
        <v>19</v>
      </c>
      <c r="U4" s="188" t="s">
        <v>20</v>
      </c>
      <c r="V4" s="188" t="s">
        <v>19</v>
      </c>
      <c r="W4" s="188" t="s">
        <v>21</v>
      </c>
      <c r="X4" s="188" t="s">
        <v>19</v>
      </c>
      <c r="Y4" s="188" t="s">
        <v>20</v>
      </c>
      <c r="Z4" s="188" t="s">
        <v>19</v>
      </c>
      <c r="AA4" s="188" t="s">
        <v>21</v>
      </c>
      <c r="AB4" s="188" t="s">
        <v>19</v>
      </c>
      <c r="AC4" s="188" t="s">
        <v>20</v>
      </c>
      <c r="AD4" s="188" t="s">
        <v>19</v>
      </c>
      <c r="AE4" s="188" t="s">
        <v>21</v>
      </c>
      <c r="AF4" s="188" t="s">
        <v>19</v>
      </c>
      <c r="AG4" s="188" t="s">
        <v>20</v>
      </c>
      <c r="AH4" s="188" t="s">
        <v>19</v>
      </c>
      <c r="AI4" s="188" t="s">
        <v>21</v>
      </c>
      <c r="AJ4" s="188" t="s">
        <v>19</v>
      </c>
      <c r="AK4" s="188" t="s">
        <v>20</v>
      </c>
      <c r="AL4" s="188" t="s">
        <v>19</v>
      </c>
      <c r="AM4" s="188" t="s">
        <v>21</v>
      </c>
      <c r="AN4" s="188" t="s">
        <v>19</v>
      </c>
      <c r="AO4" s="188" t="s">
        <v>20</v>
      </c>
      <c r="AP4" s="188" t="s">
        <v>19</v>
      </c>
      <c r="AQ4" s="188" t="s">
        <v>21</v>
      </c>
      <c r="AR4" s="188" t="s">
        <v>19</v>
      </c>
      <c r="AS4" s="188" t="s">
        <v>20</v>
      </c>
      <c r="AT4" s="188" t="s">
        <v>19</v>
      </c>
      <c r="AU4" s="188" t="s">
        <v>21</v>
      </c>
      <c r="AV4" s="188" t="s">
        <v>19</v>
      </c>
      <c r="AW4" s="188" t="s">
        <v>20</v>
      </c>
      <c r="AX4" s="188" t="s">
        <v>19</v>
      </c>
      <c r="AY4" s="188" t="s">
        <v>21</v>
      </c>
      <c r="AZ4" s="188" t="s">
        <v>19</v>
      </c>
      <c r="BA4" s="188" t="s">
        <v>20</v>
      </c>
      <c r="BB4" s="188" t="s">
        <v>19</v>
      </c>
      <c r="BC4" s="188" t="s">
        <v>21</v>
      </c>
      <c r="BD4" s="188" t="s">
        <v>19</v>
      </c>
      <c r="BE4" s="188" t="s">
        <v>20</v>
      </c>
      <c r="BF4" s="188" t="s">
        <v>19</v>
      </c>
    </row>
    <row r="5" ht="15.75" customHeight="1">
      <c r="B5" s="188" t="s">
        <v>22</v>
      </c>
      <c r="C5" s="262">
        <f t="shared" ref="C5:C9" si="2">G5+K5</f>
        <v>5395433</v>
      </c>
      <c r="D5" s="263">
        <f t="shared" ref="D5:D10" si="3">C5/C$10</f>
        <v>0.1107495226</v>
      </c>
      <c r="E5" s="262" t="str">
        <f t="shared" ref="E5:E9" si="4">I5+M5</f>
        <v>#REF!</v>
      </c>
      <c r="F5" s="263" t="str">
        <f t="shared" ref="F5:F10" si="5">E5/E$10</f>
        <v>#REF!</v>
      </c>
      <c r="G5" s="189">
        <f>HO!P14</f>
        <v>0</v>
      </c>
      <c r="H5" s="186"/>
      <c r="I5" s="189">
        <f>HO!U14</f>
        <v>0</v>
      </c>
      <c r="J5" s="186"/>
      <c r="K5" s="262">
        <f t="shared" ref="K5:K9" si="6">O5+S5+W5+AA5+AE5+AI5+AM5+AQ5+AU5+AY5</f>
        <v>5395433</v>
      </c>
      <c r="L5" s="263">
        <f t="shared" ref="L5:L10" si="7">K5/K$10</f>
        <v>0.1107495226</v>
      </c>
      <c r="M5" s="262" t="str">
        <f t="shared" ref="M5:M9" si="8">Q5+U5+Y5+AC5+AG5+AK5+AO5</f>
        <v>#REF!</v>
      </c>
      <c r="N5" s="263" t="str">
        <f t="shared" ref="N5:N10" si="9">M5/M$10</f>
        <v>#REF!</v>
      </c>
      <c r="O5" s="189">
        <f>'The Table'!P26</f>
        <v>894513</v>
      </c>
      <c r="P5" s="264">
        <f t="shared" ref="P5:P9" si="10">O5/O$10</f>
        <v>0.06551717496</v>
      </c>
      <c r="Q5" s="189">
        <f>'The Table'!R26</f>
        <v>1550860</v>
      </c>
      <c r="R5" s="264">
        <f t="shared" ref="R5:R9" si="11">Q5/Q$10</f>
        <v>0.1219455236</v>
      </c>
      <c r="S5" s="189">
        <f>Iktara!H22</f>
        <v>0</v>
      </c>
      <c r="T5" s="264">
        <f t="shared" ref="T5:T9" si="12">S5/S$10</f>
        <v>0</v>
      </c>
      <c r="U5" s="189" t="str">
        <f t="shared" ref="U5:U8" si="13">#REF!</f>
        <v>#REF!</v>
      </c>
      <c r="V5" s="264" t="str">
        <f t="shared" ref="V5:V9" si="14">U5/U$10</f>
        <v>#REF!</v>
      </c>
      <c r="W5" s="189">
        <f>'Mg St Colaba'!P28</f>
        <v>1316398</v>
      </c>
      <c r="X5" s="264">
        <f t="shared" ref="X5:X9" si="15">W5/W$10</f>
        <v>0.1165281499</v>
      </c>
      <c r="Y5" s="189">
        <f>'Mg St Colaba'!R28</f>
        <v>1378683.98</v>
      </c>
      <c r="Z5" s="264">
        <f t="shared" ref="Z5:Z9" si="16">Y5/Y$10</f>
        <v>0.10547202</v>
      </c>
      <c r="AA5" s="189">
        <f>'Mg St LP'!P27</f>
        <v>1387515</v>
      </c>
      <c r="AB5" s="264">
        <f t="shared" ref="AB5:AB9" si="17">AA5/AA$10</f>
        <v>0.1854323762</v>
      </c>
      <c r="AC5" s="189">
        <f>'Mg St LP'!R27</f>
        <v>1031626</v>
      </c>
      <c r="AD5" s="264">
        <f t="shared" ref="AD5:AD9" si="18">AC5/AC$10</f>
        <v>0.1258421091</v>
      </c>
      <c r="AE5" s="189">
        <f>'Mg St Bandra'!P28</f>
        <v>1797007</v>
      </c>
      <c r="AF5" s="264">
        <f t="shared" ref="AF5:AF9" si="19">AE5/AE$10</f>
        <v>0.1177216746</v>
      </c>
      <c r="AG5" s="189">
        <f>'Mg St Bandra'!R28</f>
        <v>1635803</v>
      </c>
      <c r="AH5" s="264">
        <f t="shared" ref="AH5:AH9" si="20">AG5/AG$10</f>
        <v>0.1007115535</v>
      </c>
      <c r="AI5" s="189">
        <f>'MSK Events'!F23</f>
        <v>0</v>
      </c>
      <c r="AJ5" s="186"/>
      <c r="AK5" s="189" t="str">
        <f t="shared" ref="AK5:AK8" si="21">#REF!</f>
        <v>#REF!</v>
      </c>
      <c r="AL5" s="186"/>
      <c r="AM5" s="189">
        <f>MSBC!P24</f>
        <v>0</v>
      </c>
      <c r="AN5" s="264">
        <f t="shared" ref="AN5:AN9" si="22">AM5/AM$10</f>
        <v>0</v>
      </c>
      <c r="AO5" s="189">
        <f>MSBC!R24</f>
        <v>0</v>
      </c>
      <c r="AP5" s="264">
        <f t="shared" ref="AP5:AP9" si="23">AO5/AO$10</f>
        <v>0</v>
      </c>
      <c r="AQ5" s="265">
        <f>Kaspers!L26</f>
        <v>0</v>
      </c>
      <c r="AR5" s="186"/>
      <c r="AS5" s="189" t="str">
        <f>Kaspers!N26</f>
        <v/>
      </c>
      <c r="AT5" s="186"/>
      <c r="AU5" s="189">
        <f>'MSBC Andheri'!F24</f>
        <v>0</v>
      </c>
      <c r="AV5" s="186" t="str">
        <f t="shared" ref="AV5:AW5" si="1">#REF!</f>
        <v>#REF!</v>
      </c>
      <c r="AW5" s="189" t="str">
        <f t="shared" si="1"/>
        <v>#REF!</v>
      </c>
      <c r="AX5" s="186"/>
      <c r="AY5" s="189">
        <f>'MSBC Dahisar'!F22</f>
        <v>0</v>
      </c>
      <c r="AZ5" s="186"/>
      <c r="BA5" s="189" t="str">
        <f t="shared" ref="BA5:BA7" si="24">#REF!</f>
        <v>#REF!</v>
      </c>
      <c r="BB5" s="186"/>
      <c r="BC5" s="83"/>
      <c r="BD5" s="28"/>
      <c r="BE5" s="83"/>
      <c r="BF5" s="28"/>
    </row>
    <row r="6" ht="15.75" customHeight="1">
      <c r="B6" s="188" t="s">
        <v>23</v>
      </c>
      <c r="C6" s="262">
        <f t="shared" si="2"/>
        <v>5875240</v>
      </c>
      <c r="D6" s="263">
        <f t="shared" si="3"/>
        <v>0.1205982958</v>
      </c>
      <c r="E6" s="262" t="str">
        <f t="shared" si="4"/>
        <v>#REF!</v>
      </c>
      <c r="F6" s="263" t="str">
        <f t="shared" si="5"/>
        <v>#REF!</v>
      </c>
      <c r="G6" s="189">
        <f>HO!P15</f>
        <v>0</v>
      </c>
      <c r="H6" s="186"/>
      <c r="I6" s="189">
        <f>HO!U15</f>
        <v>0</v>
      </c>
      <c r="J6" s="186"/>
      <c r="K6" s="262">
        <f t="shared" si="6"/>
        <v>5875240</v>
      </c>
      <c r="L6" s="263">
        <f t="shared" si="7"/>
        <v>0.1205982958</v>
      </c>
      <c r="M6" s="262" t="str">
        <f t="shared" si="8"/>
        <v>#REF!</v>
      </c>
      <c r="N6" s="263" t="str">
        <f t="shared" si="9"/>
        <v>#REF!</v>
      </c>
      <c r="O6" s="189">
        <f>'The Table'!P27</f>
        <v>3001035</v>
      </c>
      <c r="P6" s="264">
        <f t="shared" si="10"/>
        <v>0.2198060119</v>
      </c>
      <c r="Q6" s="189">
        <f>'The Table'!R27</f>
        <v>2719236</v>
      </c>
      <c r="R6" s="264">
        <f t="shared" si="11"/>
        <v>0.2138159845</v>
      </c>
      <c r="S6" s="189">
        <f>Iktara!H23</f>
        <v>0</v>
      </c>
      <c r="T6" s="264">
        <f t="shared" si="12"/>
        <v>0</v>
      </c>
      <c r="U6" s="189" t="str">
        <f t="shared" si="13"/>
        <v>#REF!</v>
      </c>
      <c r="V6" s="264" t="str">
        <f t="shared" si="14"/>
        <v>#REF!</v>
      </c>
      <c r="W6" s="189">
        <f>'Mg St Colaba'!P29</f>
        <v>700355</v>
      </c>
      <c r="X6" s="264">
        <f t="shared" si="15"/>
        <v>0.06199574323</v>
      </c>
      <c r="Y6" s="189">
        <f>'Mg St Colaba'!R29</f>
        <v>911456.58</v>
      </c>
      <c r="Z6" s="264">
        <f t="shared" si="16"/>
        <v>0.06972821039</v>
      </c>
      <c r="AA6" s="189">
        <f>'Mg St LP'!P28</f>
        <v>0</v>
      </c>
      <c r="AB6" s="264">
        <f t="shared" si="17"/>
        <v>0</v>
      </c>
      <c r="AC6" s="189">
        <f>'Mg St LP'!R28</f>
        <v>0</v>
      </c>
      <c r="AD6" s="264">
        <f t="shared" si="18"/>
        <v>0</v>
      </c>
      <c r="AE6" s="189">
        <f>'Mg St Bandra'!P29</f>
        <v>2173850</v>
      </c>
      <c r="AF6" s="264">
        <f t="shared" si="19"/>
        <v>0.1424086062</v>
      </c>
      <c r="AG6" s="189">
        <f>'Mg St Bandra'!R29</f>
        <v>2050111</v>
      </c>
      <c r="AH6" s="264">
        <f t="shared" si="20"/>
        <v>0.1262192719</v>
      </c>
      <c r="AI6" s="189">
        <f>'MSK Events'!F24</f>
        <v>0</v>
      </c>
      <c r="AJ6" s="186"/>
      <c r="AK6" s="189" t="str">
        <f t="shared" si="21"/>
        <v>#REF!</v>
      </c>
      <c r="AL6" s="186"/>
      <c r="AM6" s="189">
        <f>MSBC!P25</f>
        <v>0</v>
      </c>
      <c r="AN6" s="264">
        <f t="shared" si="22"/>
        <v>0</v>
      </c>
      <c r="AO6" s="189">
        <f>MSBC!R25</f>
        <v>0</v>
      </c>
      <c r="AP6" s="264">
        <f t="shared" si="23"/>
        <v>0</v>
      </c>
      <c r="AQ6" s="265">
        <f>Kaspers!L27</f>
        <v>0</v>
      </c>
      <c r="AR6" s="186"/>
      <c r="AS6" s="189" t="str">
        <f>Kaspers!N27</f>
        <v/>
      </c>
      <c r="AT6" s="186"/>
      <c r="AU6" s="189">
        <f>'MSBC Andheri'!F25</f>
        <v>0</v>
      </c>
      <c r="AV6" s="186"/>
      <c r="AW6" s="189" t="str">
        <f t="shared" ref="AW6:AW7" si="25">#REF!</f>
        <v>#REF!</v>
      </c>
      <c r="AX6" s="186"/>
      <c r="AY6" s="189">
        <f>'MSBC Dahisar'!F23</f>
        <v>0</v>
      </c>
      <c r="AZ6" s="186"/>
      <c r="BA6" s="189" t="str">
        <f t="shared" si="24"/>
        <v>#REF!</v>
      </c>
      <c r="BB6" s="186"/>
      <c r="BC6" s="114"/>
      <c r="BD6" s="43"/>
      <c r="BE6" s="114"/>
      <c r="BF6" s="43"/>
    </row>
    <row r="7" ht="15.75" customHeight="1">
      <c r="B7" s="188" t="s">
        <v>24</v>
      </c>
      <c r="C7" s="262">
        <f t="shared" si="2"/>
        <v>33871073</v>
      </c>
      <c r="D7" s="263">
        <f t="shared" si="3"/>
        <v>0.695255629</v>
      </c>
      <c r="E7" s="262" t="str">
        <f t="shared" si="4"/>
        <v>#REF!</v>
      </c>
      <c r="F7" s="263" t="str">
        <f t="shared" si="5"/>
        <v>#REF!</v>
      </c>
      <c r="G7" s="189">
        <f>HO!P16</f>
        <v>0</v>
      </c>
      <c r="H7" s="186"/>
      <c r="I7" s="189">
        <f>HO!U16</f>
        <v>0</v>
      </c>
      <c r="J7" s="186"/>
      <c r="K7" s="262">
        <f t="shared" si="6"/>
        <v>33871073</v>
      </c>
      <c r="L7" s="263">
        <f t="shared" si="7"/>
        <v>0.695255629</v>
      </c>
      <c r="M7" s="262" t="str">
        <f t="shared" si="8"/>
        <v>#REF!</v>
      </c>
      <c r="N7" s="263" t="str">
        <f t="shared" si="9"/>
        <v>#REF!</v>
      </c>
      <c r="O7" s="189">
        <f>'The Table'!P28</f>
        <v>8554364</v>
      </c>
      <c r="P7" s="264">
        <f t="shared" si="10"/>
        <v>0.6265507185</v>
      </c>
      <c r="Q7" s="189">
        <f>'The Table'!R28</f>
        <v>7355539</v>
      </c>
      <c r="R7" s="264">
        <f t="shared" si="11"/>
        <v>0.57837268</v>
      </c>
      <c r="S7" s="189">
        <f>Iktara!H24</f>
        <v>356841</v>
      </c>
      <c r="T7" s="264">
        <f t="shared" si="12"/>
        <v>1</v>
      </c>
      <c r="U7" s="189" t="str">
        <f t="shared" si="13"/>
        <v>#REF!</v>
      </c>
      <c r="V7" s="264" t="str">
        <f t="shared" si="14"/>
        <v>#REF!</v>
      </c>
      <c r="W7" s="189">
        <f>'Mg St Colaba'!P30</f>
        <v>8468655</v>
      </c>
      <c r="X7" s="264">
        <f t="shared" si="15"/>
        <v>0.7496491934</v>
      </c>
      <c r="Y7" s="189">
        <f>'Mg St Colaba'!R30</f>
        <v>9908031.66</v>
      </c>
      <c r="Z7" s="264">
        <f t="shared" si="16"/>
        <v>0.7579837935</v>
      </c>
      <c r="AA7" s="189">
        <f>'Mg St LP'!P29</f>
        <v>5695748</v>
      </c>
      <c r="AB7" s="264">
        <f t="shared" si="17"/>
        <v>0.7611997606</v>
      </c>
      <c r="AC7" s="189">
        <f>'Mg St LP'!R29</f>
        <v>6705779</v>
      </c>
      <c r="AD7" s="264">
        <f t="shared" si="18"/>
        <v>0.8179993256</v>
      </c>
      <c r="AE7" s="189">
        <f>'Mg St Bandra'!P30</f>
        <v>10132270</v>
      </c>
      <c r="AF7" s="264">
        <f t="shared" si="19"/>
        <v>0.6637635754</v>
      </c>
      <c r="AG7" s="189">
        <f>'Mg St Bandra'!R30</f>
        <v>11215422</v>
      </c>
      <c r="AH7" s="264">
        <f t="shared" si="20"/>
        <v>0.6905003673</v>
      </c>
      <c r="AI7" s="189">
        <f>'MSK Events'!F25</f>
        <v>0</v>
      </c>
      <c r="AJ7" s="186"/>
      <c r="AK7" s="189" t="str">
        <f t="shared" si="21"/>
        <v>#REF!</v>
      </c>
      <c r="AL7" s="186"/>
      <c r="AM7" s="189">
        <f>MSBC!P26</f>
        <v>334806</v>
      </c>
      <c r="AN7" s="264">
        <f t="shared" si="22"/>
        <v>1</v>
      </c>
      <c r="AO7" s="189">
        <f>MSBC!R26</f>
        <v>80000</v>
      </c>
      <c r="AP7" s="264">
        <f t="shared" si="23"/>
        <v>1</v>
      </c>
      <c r="AQ7" s="265">
        <f>Kaspers!L28</f>
        <v>0</v>
      </c>
      <c r="AR7" s="186"/>
      <c r="AS7" s="189" t="str">
        <f>Kaspers!N28</f>
        <v/>
      </c>
      <c r="AT7" s="186"/>
      <c r="AU7" s="189">
        <f>'MSBC Andheri'!F26</f>
        <v>317574</v>
      </c>
      <c r="AV7" s="186"/>
      <c r="AW7" s="189" t="str">
        <f t="shared" si="25"/>
        <v>#REF!</v>
      </c>
      <c r="AX7" s="186"/>
      <c r="AY7" s="189">
        <f>'MSBC Dahisar'!F24</f>
        <v>10815</v>
      </c>
      <c r="AZ7" s="186"/>
      <c r="BA7" s="189" t="str">
        <f t="shared" si="24"/>
        <v>#REF!</v>
      </c>
      <c r="BB7" s="186"/>
      <c r="BC7" s="114"/>
      <c r="BD7" s="43"/>
      <c r="BE7" s="114"/>
      <c r="BF7" s="43"/>
    </row>
    <row r="8" ht="15.75" customHeight="1">
      <c r="B8" s="188" t="s">
        <v>25</v>
      </c>
      <c r="C8" s="262">
        <f t="shared" si="2"/>
        <v>3525492</v>
      </c>
      <c r="D8" s="263">
        <f t="shared" si="3"/>
        <v>0.07236612073</v>
      </c>
      <c r="E8" s="262" t="str">
        <f t="shared" si="4"/>
        <v>#REF!</v>
      </c>
      <c r="F8" s="263" t="str">
        <f t="shared" si="5"/>
        <v>#REF!</v>
      </c>
      <c r="G8" s="265" t="str">
        <f>HO!P18</f>
        <v/>
      </c>
      <c r="H8" s="186"/>
      <c r="I8" s="265" t="str">
        <f>HO!U18</f>
        <v/>
      </c>
      <c r="J8" s="186"/>
      <c r="K8" s="262">
        <f t="shared" si="6"/>
        <v>3525492</v>
      </c>
      <c r="L8" s="263">
        <f t="shared" si="7"/>
        <v>0.07236612073</v>
      </c>
      <c r="M8" s="262" t="str">
        <f t="shared" si="8"/>
        <v>#REF!</v>
      </c>
      <c r="N8" s="263" t="str">
        <f t="shared" si="9"/>
        <v>#REF!</v>
      </c>
      <c r="O8" s="189">
        <f>'The Table'!P30</f>
        <v>1188895</v>
      </c>
      <c r="P8" s="264">
        <f t="shared" si="10"/>
        <v>0.08707871402</v>
      </c>
      <c r="Q8" s="189">
        <f>'The Table'!R30</f>
        <v>1092011</v>
      </c>
      <c r="R8" s="264">
        <f t="shared" si="11"/>
        <v>0.08586581196</v>
      </c>
      <c r="S8" s="189" t="str">
        <f>Iktara!H26</f>
        <v/>
      </c>
      <c r="T8" s="264">
        <f t="shared" si="12"/>
        <v>0</v>
      </c>
      <c r="U8" s="186" t="str">
        <f t="shared" si="13"/>
        <v>#REF!</v>
      </c>
      <c r="V8" s="264" t="str">
        <f t="shared" si="14"/>
        <v>#REF!</v>
      </c>
      <c r="W8" s="189">
        <f>'Mg St Colaba'!P32</f>
        <v>797116</v>
      </c>
      <c r="X8" s="264">
        <f t="shared" si="15"/>
        <v>0.07056107097</v>
      </c>
      <c r="Y8" s="189">
        <f>'Mg St Colaba'!R32</f>
        <v>873389.131</v>
      </c>
      <c r="Z8" s="264">
        <f t="shared" si="16"/>
        <v>0.06681597611</v>
      </c>
      <c r="AA8" s="186">
        <f>'Mg St LP'!P31</f>
        <v>392130</v>
      </c>
      <c r="AB8" s="264">
        <f t="shared" si="17"/>
        <v>0.05240562997</v>
      </c>
      <c r="AC8" s="189">
        <f>'Mg St LP'!R31</f>
        <v>460375.5975</v>
      </c>
      <c r="AD8" s="264">
        <f t="shared" si="18"/>
        <v>0.05615856536</v>
      </c>
      <c r="AE8" s="189">
        <f>'Mg St Bandra'!P32</f>
        <v>1147351</v>
      </c>
      <c r="AF8" s="264">
        <f t="shared" si="19"/>
        <v>0.07516280183</v>
      </c>
      <c r="AG8" s="189">
        <f>'Mg St Bandra'!R32</f>
        <v>1341120.24</v>
      </c>
      <c r="AH8" s="264">
        <f t="shared" si="20"/>
        <v>0.08256880734</v>
      </c>
      <c r="AI8" s="186" t="str">
        <f>'MSK Events'!F27</f>
        <v/>
      </c>
      <c r="AJ8" s="186"/>
      <c r="AK8" s="186" t="str">
        <f t="shared" si="21"/>
        <v>#REF!</v>
      </c>
      <c r="AL8" s="186"/>
      <c r="AM8" s="189" t="str">
        <f>MSBC!P28</f>
        <v/>
      </c>
      <c r="AN8" s="264">
        <f t="shared" si="22"/>
        <v>0</v>
      </c>
      <c r="AO8" s="186" t="str">
        <f>MSBC!R28</f>
        <v/>
      </c>
      <c r="AP8" s="264">
        <f t="shared" si="23"/>
        <v>0</v>
      </c>
      <c r="AQ8" s="265" t="str">
        <f>Kaspers!L30</f>
        <v/>
      </c>
      <c r="AR8" s="186"/>
      <c r="AS8" s="189" t="str">
        <f>Kaspers!N30</f>
        <v/>
      </c>
      <c r="AT8" s="186"/>
      <c r="AU8" s="186"/>
      <c r="AV8" s="186"/>
      <c r="AW8" s="265" t="str">
        <f>Kaspers!P30</f>
        <v/>
      </c>
      <c r="AX8" s="186"/>
      <c r="AY8" s="186"/>
      <c r="AZ8" s="186"/>
      <c r="BA8" s="186"/>
      <c r="BB8" s="186"/>
      <c r="BC8" s="114"/>
      <c r="BD8" s="43"/>
      <c r="BE8" s="114"/>
      <c r="BF8" s="43"/>
    </row>
    <row r="9" ht="15.75" customHeight="1">
      <c r="B9" s="188" t="s">
        <v>169</v>
      </c>
      <c r="C9" s="262">
        <f t="shared" si="2"/>
        <v>50200</v>
      </c>
      <c r="D9" s="263">
        <f t="shared" si="3"/>
        <v>0.001030431855</v>
      </c>
      <c r="E9" s="262">
        <f t="shared" si="4"/>
        <v>0</v>
      </c>
      <c r="F9" s="263" t="str">
        <f t="shared" si="5"/>
        <v>#REF!</v>
      </c>
      <c r="G9" s="186"/>
      <c r="H9" s="186"/>
      <c r="I9" s="186"/>
      <c r="J9" s="186"/>
      <c r="K9" s="262">
        <f t="shared" si="6"/>
        <v>50200</v>
      </c>
      <c r="L9" s="263">
        <f t="shared" si="7"/>
        <v>0.001030431855</v>
      </c>
      <c r="M9" s="262">
        <f t="shared" si="8"/>
        <v>0</v>
      </c>
      <c r="N9" s="263" t="str">
        <f t="shared" si="9"/>
        <v>#REF!</v>
      </c>
      <c r="O9" s="189">
        <f>'The Table'!P22+'The Table'!P23+'The Table'!P24</f>
        <v>14300</v>
      </c>
      <c r="P9" s="264">
        <f t="shared" si="10"/>
        <v>0.001047380644</v>
      </c>
      <c r="Q9" s="189">
        <f>'The Table'!R22+'The Table'!R23+'The Table'!R24</f>
        <v>0</v>
      </c>
      <c r="R9" s="264">
        <f t="shared" si="11"/>
        <v>0</v>
      </c>
      <c r="S9" s="266">
        <v>0.0</v>
      </c>
      <c r="T9" s="264">
        <f t="shared" si="12"/>
        <v>0</v>
      </c>
      <c r="U9" s="267">
        <v>0.0</v>
      </c>
      <c r="V9" s="264" t="str">
        <f t="shared" si="14"/>
        <v>#REF!</v>
      </c>
      <c r="W9" s="189">
        <f>'Mg St Colaba'!P24+'Mg St Colaba'!P25+'Mg St Colaba'!P26</f>
        <v>14300</v>
      </c>
      <c r="X9" s="264">
        <f t="shared" si="15"/>
        <v>0.001265842506</v>
      </c>
      <c r="Y9" s="189">
        <f>'Mg St Colaba'!R24+'Mg St Colaba'!R25+'Mg St Colaba'!R26</f>
        <v>0</v>
      </c>
      <c r="Z9" s="264">
        <f t="shared" si="16"/>
        <v>0</v>
      </c>
      <c r="AA9" s="189">
        <f>'Mg St LP'!P23+'Mg St LP'!P24+'Mg St LP'!P25</f>
        <v>7200</v>
      </c>
      <c r="AB9" s="264">
        <f t="shared" si="17"/>
        <v>0.0009622332793</v>
      </c>
      <c r="AC9" s="189">
        <f>'Mg St LP'!R23+'Mg St LP'!R24+'Mg St LP'!R25</f>
        <v>0</v>
      </c>
      <c r="AD9" s="264">
        <f t="shared" si="18"/>
        <v>0</v>
      </c>
      <c r="AE9" s="189">
        <f>'Mg St Bandra'!P24+'Mg St Bandra'!P25+'Mg St Bandra'!P26</f>
        <v>14400</v>
      </c>
      <c r="AF9" s="264">
        <f t="shared" si="19"/>
        <v>0.0009433419645</v>
      </c>
      <c r="AG9" s="189">
        <f>'Mg St Bandra'!R24+'Mg St Bandra'!R25+'Mg St Bandra'!R26</f>
        <v>0</v>
      </c>
      <c r="AH9" s="264">
        <f t="shared" si="20"/>
        <v>0</v>
      </c>
      <c r="AI9" s="267">
        <v>0.0</v>
      </c>
      <c r="AJ9" s="186"/>
      <c r="AK9" s="267">
        <v>0.0</v>
      </c>
      <c r="AL9" s="186"/>
      <c r="AM9" s="266">
        <v>0.0</v>
      </c>
      <c r="AN9" s="264">
        <f t="shared" si="22"/>
        <v>0</v>
      </c>
      <c r="AO9" s="267">
        <v>0.0</v>
      </c>
      <c r="AP9" s="264">
        <f t="shared" si="23"/>
        <v>0</v>
      </c>
      <c r="AQ9" s="267">
        <v>0.0</v>
      </c>
      <c r="AR9" s="186"/>
      <c r="AS9" s="189"/>
      <c r="AT9" s="186"/>
      <c r="AU9" s="267">
        <v>0.0</v>
      </c>
      <c r="AV9" s="186"/>
      <c r="AW9" s="267">
        <v>0.0</v>
      </c>
      <c r="AX9" s="186"/>
      <c r="AY9" s="267">
        <v>0.0</v>
      </c>
      <c r="AZ9" s="186"/>
      <c r="BA9" s="267">
        <v>0.0</v>
      </c>
      <c r="BB9" s="186"/>
      <c r="BC9" s="62"/>
      <c r="BD9" s="43"/>
      <c r="BE9" s="114"/>
      <c r="BF9" s="43"/>
    </row>
    <row r="10" ht="15.75" customHeight="1">
      <c r="B10" s="188" t="s">
        <v>27</v>
      </c>
      <c r="C10" s="190">
        <f>SUM(C5:C9)</f>
        <v>48717438</v>
      </c>
      <c r="D10" s="263">
        <f t="shared" si="3"/>
        <v>1</v>
      </c>
      <c r="E10" s="190" t="str">
        <f>SUM(E5:E9)</f>
        <v>#REF!</v>
      </c>
      <c r="F10" s="263" t="str">
        <f t="shared" si="5"/>
        <v>#REF!</v>
      </c>
      <c r="G10" s="190">
        <f>SUM(G5:G8)</f>
        <v>0</v>
      </c>
      <c r="H10" s="188"/>
      <c r="I10" s="190">
        <f>SUM(I5:I8)</f>
        <v>0</v>
      </c>
      <c r="J10" s="188"/>
      <c r="K10" s="190">
        <f>SUM(K5:K9)</f>
        <v>48717438</v>
      </c>
      <c r="L10" s="263">
        <f t="shared" si="7"/>
        <v>1</v>
      </c>
      <c r="M10" s="190" t="str">
        <f>SUM(M5:M9)</f>
        <v>#REF!</v>
      </c>
      <c r="N10" s="263" t="str">
        <f t="shared" si="9"/>
        <v>#REF!</v>
      </c>
      <c r="O10" s="190">
        <f>SUM(O5:O9)</f>
        <v>13653107</v>
      </c>
      <c r="P10" s="188"/>
      <c r="Q10" s="190">
        <f>SUM(Q5:Q9)</f>
        <v>12717646</v>
      </c>
      <c r="R10" s="188"/>
      <c r="S10" s="190">
        <f>SUM(S5:S9)</f>
        <v>356841</v>
      </c>
      <c r="T10" s="188"/>
      <c r="U10" s="190" t="str">
        <f>SUM(U5:U9)</f>
        <v>#REF!</v>
      </c>
      <c r="V10" s="188"/>
      <c r="W10" s="190">
        <f>SUM(W5:W9)</f>
        <v>11296824</v>
      </c>
      <c r="X10" s="188"/>
      <c r="Y10" s="190">
        <f>SUM(Y5:Y9)</f>
        <v>13071561.35</v>
      </c>
      <c r="Z10" s="188"/>
      <c r="AA10" s="190">
        <f>SUM(AA5:AA9)</f>
        <v>7482593</v>
      </c>
      <c r="AB10" s="188"/>
      <c r="AC10" s="190">
        <f>SUM(AC5:AC9)</f>
        <v>8197780.598</v>
      </c>
      <c r="AD10" s="188"/>
      <c r="AE10" s="190">
        <f>SUM(AE5:AE9)</f>
        <v>15264878</v>
      </c>
      <c r="AF10" s="188"/>
      <c r="AG10" s="190">
        <f>SUM(AG5:AG9)</f>
        <v>16242456.24</v>
      </c>
      <c r="AH10" s="188"/>
      <c r="AI10" s="190">
        <f>SUM(AI5:AI9)</f>
        <v>0</v>
      </c>
      <c r="AJ10" s="188"/>
      <c r="AK10" s="190" t="str">
        <f>SUM(AK5:AK9)</f>
        <v>#REF!</v>
      </c>
      <c r="AL10" s="188"/>
      <c r="AM10" s="190">
        <f>SUM(AM5:AM9)</f>
        <v>334806</v>
      </c>
      <c r="AN10" s="188"/>
      <c r="AO10" s="190">
        <f>SUM(AO5:AO9)</f>
        <v>80000</v>
      </c>
      <c r="AP10" s="190"/>
      <c r="AQ10" s="190">
        <f>SUM(AQ5:AQ9)</f>
        <v>0</v>
      </c>
      <c r="AR10" s="188"/>
      <c r="AS10" s="190">
        <f>SUM(AS5:AS9)</f>
        <v>0</v>
      </c>
      <c r="AT10" s="188"/>
      <c r="AU10" s="190">
        <f>SUM(AU5:AU9)</f>
        <v>317574</v>
      </c>
      <c r="AV10" s="188"/>
      <c r="AW10" s="190" t="str">
        <f>SUM(AW5:AW9)</f>
        <v>#REF!</v>
      </c>
      <c r="AX10" s="188"/>
      <c r="AY10" s="190">
        <f>SUM(AY5:AY9)</f>
        <v>10815</v>
      </c>
      <c r="AZ10" s="188"/>
      <c r="BA10" s="190" t="str">
        <f>SUM(BA5:BA9)</f>
        <v>#REF!</v>
      </c>
      <c r="BB10" s="188"/>
      <c r="BC10" s="146">
        <f>SUM(BC5:BC9)</f>
        <v>0</v>
      </c>
      <c r="BD10" s="188"/>
      <c r="BE10" s="262">
        <f>SUM(BE5:BE9)</f>
        <v>0</v>
      </c>
      <c r="BF10" s="188"/>
    </row>
    <row r="11" ht="15.75" customHeight="1">
      <c r="B11" s="188"/>
      <c r="C11" s="268"/>
      <c r="D11" s="268"/>
      <c r="E11" s="268"/>
      <c r="F11" s="268"/>
      <c r="G11" s="186"/>
      <c r="H11" s="186"/>
      <c r="I11" s="186"/>
      <c r="J11" s="186"/>
      <c r="K11" s="268"/>
      <c r="L11" s="268"/>
      <c r="M11" s="268"/>
      <c r="N11" s="268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  <c r="AA11" s="186"/>
      <c r="AB11" s="186"/>
      <c r="AC11" s="186"/>
      <c r="AD11" s="186"/>
      <c r="AE11" s="186"/>
      <c r="AF11" s="186"/>
      <c r="AG11" s="186"/>
      <c r="AH11" s="186"/>
      <c r="AI11" s="186"/>
      <c r="AJ11" s="186"/>
      <c r="AK11" s="186"/>
      <c r="AL11" s="186"/>
      <c r="AM11" s="186"/>
      <c r="AN11" s="186"/>
      <c r="AO11" s="186"/>
      <c r="AP11" s="186"/>
      <c r="AQ11" s="186"/>
      <c r="AR11" s="186"/>
      <c r="AS11" s="186"/>
      <c r="AT11" s="186"/>
      <c r="AU11" s="186"/>
      <c r="AV11" s="186"/>
      <c r="AW11" s="186"/>
      <c r="AX11" s="186"/>
      <c r="AY11" s="186"/>
      <c r="AZ11" s="186"/>
      <c r="BA11" s="186"/>
      <c r="BB11" s="186"/>
      <c r="BC11" s="83"/>
      <c r="BD11" s="43"/>
      <c r="BE11" s="114"/>
      <c r="BF11" s="43"/>
    </row>
    <row r="12" ht="15.75" customHeight="1">
      <c r="B12" s="188" t="s">
        <v>29</v>
      </c>
      <c r="C12" s="262">
        <f t="shared" ref="C12:C13" si="26">G12+K12</f>
        <v>15908300.05</v>
      </c>
      <c r="D12" s="263">
        <f t="shared" ref="D12:D14" si="27">C12/C$10</f>
        <v>0.3265422136</v>
      </c>
      <c r="E12" s="262" t="str">
        <f t="shared" ref="E12:E13" si="28">I12+M12</f>
        <v>#REF!</v>
      </c>
      <c r="F12" s="263" t="str">
        <f t="shared" ref="F12:F14" si="29">E12/E$10</f>
        <v>#REF!</v>
      </c>
      <c r="G12" s="265">
        <f>HO!P32</f>
        <v>0</v>
      </c>
      <c r="H12" s="186"/>
      <c r="I12" s="265">
        <f>HO!U32</f>
        <v>0</v>
      </c>
      <c r="J12" s="186"/>
      <c r="K12" s="262">
        <f t="shared" ref="K12:K13" si="30">O12+S12+W12+AA12+AE12+AI12+AM12+AQ12+AU12+AY12</f>
        <v>15908300.05</v>
      </c>
      <c r="L12" s="263">
        <f t="shared" ref="L12:L14" si="31">K12/K$10</f>
        <v>0.3265422136</v>
      </c>
      <c r="M12" s="262" t="str">
        <f t="shared" ref="M12:M14" si="32">Q12+U12+Y12+AC12+AG12+AK12+AO12</f>
        <v>#REF!</v>
      </c>
      <c r="N12" s="263" t="str">
        <f t="shared" ref="N12:N14" si="33">M12/M$10</f>
        <v>#REF!</v>
      </c>
      <c r="O12" s="189">
        <f>'The Table'!P41</f>
        <v>5805699.69</v>
      </c>
      <c r="P12" s="264">
        <f t="shared" ref="P12:P14" si="34">O12/O$10</f>
        <v>0.4252291944</v>
      </c>
      <c r="Q12" s="189">
        <f>'The Table'!R41</f>
        <v>4176799.985</v>
      </c>
      <c r="R12" s="264">
        <f t="shared" ref="R12:R14" si="35">Q12/Q$10</f>
        <v>0.3284255581</v>
      </c>
      <c r="S12" s="189">
        <f>Iktara!H38</f>
        <v>161572.3113</v>
      </c>
      <c r="T12" s="264">
        <f t="shared" ref="T12:T14" si="36">S12/S$10</f>
        <v>0.4527851657</v>
      </c>
      <c r="U12" s="189" t="str">
        <f t="shared" ref="U12:U13" si="37">#REF!</f>
        <v>#REF!</v>
      </c>
      <c r="V12" s="264" t="str">
        <f t="shared" ref="V12:V14" si="38">U12/U$10</f>
        <v>#REF!</v>
      </c>
      <c r="W12" s="189">
        <f>'Mg St Colaba'!P51</f>
        <v>3674397.123</v>
      </c>
      <c r="X12" s="264">
        <f t="shared" ref="X12:X14" si="39">W12/W$10</f>
        <v>0.325259305</v>
      </c>
      <c r="Y12" s="189">
        <f>'Mg St Colaba'!R51</f>
        <v>3600729.51</v>
      </c>
      <c r="Z12" s="264">
        <f t="shared" ref="Z12:Z14" si="40">Y12/Y$10</f>
        <v>0.2754628475</v>
      </c>
      <c r="AA12" s="189">
        <f>'Mg St LP'!P52+'Mg St LP'!P63</f>
        <v>2301959.828</v>
      </c>
      <c r="AB12" s="264">
        <f t="shared" ref="AB12:AB14" si="41">AA12/AA$10</f>
        <v>0.3076419936</v>
      </c>
      <c r="AC12" s="189">
        <f>'Mg St LP'!R52</f>
        <v>1972835.142</v>
      </c>
      <c r="AD12" s="264">
        <f t="shared" ref="AD12:AD14" si="42">AC12/AC$10</f>
        <v>0.2406547868</v>
      </c>
      <c r="AE12" s="189">
        <f>'Mg St Bandra'!P51</f>
        <v>3654904.995</v>
      </c>
      <c r="AF12" s="264">
        <f t="shared" ref="AF12:AF14" si="43">AE12/AE$10</f>
        <v>0.2394323096</v>
      </c>
      <c r="AG12" s="189">
        <f>'Mg St Bandra'!R51</f>
        <v>4738787.039</v>
      </c>
      <c r="AH12" s="264">
        <f t="shared" ref="AH12:AH14" si="44">AG12/AG$10</f>
        <v>0.2917531049</v>
      </c>
      <c r="AI12" s="186">
        <f>'MSK Events'!F46</f>
        <v>0</v>
      </c>
      <c r="AJ12" s="186"/>
      <c r="AK12" s="186" t="str">
        <f t="shared" ref="AK12:AK13" si="45">#REF!</f>
        <v>#REF!</v>
      </c>
      <c r="AL12" s="186"/>
      <c r="AM12" s="189">
        <f>MSBC!P47</f>
        <v>108362.4233</v>
      </c>
      <c r="AN12" s="186"/>
      <c r="AO12" s="186">
        <f>MSBC!R47</f>
        <v>0</v>
      </c>
      <c r="AP12" s="186"/>
      <c r="AQ12" s="265">
        <f>Kaspers!L49</f>
        <v>0</v>
      </c>
      <c r="AR12" s="186"/>
      <c r="AS12" s="189">
        <f>Kaspers!N49</f>
        <v>0</v>
      </c>
      <c r="AT12" s="186"/>
      <c r="AU12" s="189">
        <f>'MSBC Andheri'!F47</f>
        <v>201403.6743</v>
      </c>
      <c r="AV12" s="186"/>
      <c r="AW12" s="186" t="str">
        <f t="shared" ref="AW12:AW13" si="46">#REF!</f>
        <v>#REF!</v>
      </c>
      <c r="AX12" s="186"/>
      <c r="AY12" s="189">
        <f>'MSBC Dahisar'!F45</f>
        <v>0</v>
      </c>
      <c r="AZ12" s="186"/>
      <c r="BA12" s="186" t="str">
        <f t="shared" ref="BA12:BA13" si="47">#REF!</f>
        <v>#REF!</v>
      </c>
      <c r="BB12" s="186"/>
      <c r="BC12" s="114" t="str">
        <f>'LOUD MOUTH'!F47</f>
        <v/>
      </c>
      <c r="BD12" s="28"/>
      <c r="BE12" s="83"/>
      <c r="BF12" s="28"/>
    </row>
    <row r="13" ht="15.75" customHeight="1">
      <c r="B13" s="188" t="s">
        <v>30</v>
      </c>
      <c r="C13" s="262">
        <f t="shared" si="26"/>
        <v>590349</v>
      </c>
      <c r="D13" s="263">
        <f t="shared" si="27"/>
        <v>0.01211781703</v>
      </c>
      <c r="E13" s="262" t="str">
        <f t="shared" si="28"/>
        <v>#REF!</v>
      </c>
      <c r="F13" s="263" t="str">
        <f t="shared" si="29"/>
        <v>#REF!</v>
      </c>
      <c r="G13" s="265" t="str">
        <f>HO!P33</f>
        <v/>
      </c>
      <c r="H13" s="186"/>
      <c r="I13" s="265" t="str">
        <f>HO!U33</f>
        <v/>
      </c>
      <c r="J13" s="186"/>
      <c r="K13" s="262">
        <f t="shared" si="30"/>
        <v>590349</v>
      </c>
      <c r="L13" s="263">
        <f t="shared" si="31"/>
        <v>0.01211781703</v>
      </c>
      <c r="M13" s="262" t="str">
        <f t="shared" si="32"/>
        <v>#REF!</v>
      </c>
      <c r="N13" s="263" t="str">
        <f t="shared" si="33"/>
        <v>#REF!</v>
      </c>
      <c r="O13" s="189">
        <f>'The Table'!P42</f>
        <v>35524</v>
      </c>
      <c r="P13" s="264">
        <f t="shared" si="34"/>
        <v>0.002601898601</v>
      </c>
      <c r="Q13" s="189">
        <f>'The Table'!R42</f>
        <v>36039.4685</v>
      </c>
      <c r="R13" s="264">
        <f t="shared" si="35"/>
        <v>0.002833815983</v>
      </c>
      <c r="S13" s="189">
        <f>Iktara!H39</f>
        <v>5600</v>
      </c>
      <c r="T13" s="264">
        <f t="shared" si="36"/>
        <v>0.01569326395</v>
      </c>
      <c r="U13" s="189" t="str">
        <f t="shared" si="37"/>
        <v>#REF!</v>
      </c>
      <c r="V13" s="264" t="str">
        <f t="shared" si="38"/>
        <v>#REF!</v>
      </c>
      <c r="W13" s="189">
        <f>'Mg St Colaba'!P52</f>
        <v>105247</v>
      </c>
      <c r="X13" s="264">
        <f t="shared" si="39"/>
        <v>0.009316512322</v>
      </c>
      <c r="Y13" s="189">
        <f>'Mg St Colaba'!R52</f>
        <v>115029.7399</v>
      </c>
      <c r="Z13" s="264">
        <f t="shared" si="40"/>
        <v>0.0088</v>
      </c>
      <c r="AA13" s="186">
        <f>'Mg St LP'!P53</f>
        <v>127025</v>
      </c>
      <c r="AB13" s="264">
        <f t="shared" si="41"/>
        <v>0.01697606699</v>
      </c>
      <c r="AC13" s="189">
        <f>'Mg St LP'!R53</f>
        <v>78921.531</v>
      </c>
      <c r="AD13" s="264">
        <f t="shared" si="42"/>
        <v>0.009627182633</v>
      </c>
      <c r="AE13" s="189">
        <f>'Mg St Bandra'!P52</f>
        <v>179326</v>
      </c>
      <c r="AF13" s="264">
        <f t="shared" si="43"/>
        <v>0.01174762091</v>
      </c>
      <c r="AG13" s="189">
        <f>'Mg St Bandra'!R52</f>
        <v>89333.50932</v>
      </c>
      <c r="AH13" s="264">
        <f t="shared" si="44"/>
        <v>0.0055</v>
      </c>
      <c r="AI13" s="186" t="str">
        <f>'MSK Events'!F47</f>
        <v/>
      </c>
      <c r="AJ13" s="186"/>
      <c r="AK13" s="186" t="str">
        <f t="shared" si="45"/>
        <v>#REF!</v>
      </c>
      <c r="AL13" s="186"/>
      <c r="AM13" s="189">
        <f>MSBC!P48</f>
        <v>137627</v>
      </c>
      <c r="AN13" s="186"/>
      <c r="AO13" s="186" t="str">
        <f>MSBC!R48</f>
        <v/>
      </c>
      <c r="AP13" s="186"/>
      <c r="AQ13" s="265" t="str">
        <f>Kaspers!L50</f>
        <v/>
      </c>
      <c r="AR13" s="186"/>
      <c r="AS13" s="189">
        <f>Kaspers!N50</f>
        <v>0</v>
      </c>
      <c r="AT13" s="186"/>
      <c r="AU13" s="189">
        <f>'MSBC Andheri'!F48</f>
        <v>0</v>
      </c>
      <c r="AV13" s="186"/>
      <c r="AW13" s="186" t="str">
        <f t="shared" si="46"/>
        <v>#REF!</v>
      </c>
      <c r="AX13" s="186"/>
      <c r="AY13" s="189" t="str">
        <f>'MSBC Dahisar'!F46</f>
        <v/>
      </c>
      <c r="AZ13" s="186"/>
      <c r="BA13" s="186" t="str">
        <f t="shared" si="47"/>
        <v>#REF!</v>
      </c>
      <c r="BB13" s="186"/>
      <c r="BC13" s="114" t="str">
        <f>'LOUD MOUTH'!F48</f>
        <v/>
      </c>
      <c r="BD13" s="43"/>
      <c r="BE13" s="114"/>
      <c r="BF13" s="43"/>
    </row>
    <row r="14" ht="15.75" customHeight="1">
      <c r="B14" s="188" t="s">
        <v>31</v>
      </c>
      <c r="C14" s="190">
        <f>C12+C13</f>
        <v>16498649.05</v>
      </c>
      <c r="D14" s="263">
        <f t="shared" si="27"/>
        <v>0.3386600306</v>
      </c>
      <c r="E14" s="190" t="str">
        <f>E12+E13</f>
        <v>#REF!</v>
      </c>
      <c r="F14" s="263" t="str">
        <f t="shared" si="29"/>
        <v>#REF!</v>
      </c>
      <c r="G14" s="271">
        <f>G12+G13</f>
        <v>0</v>
      </c>
      <c r="H14" s="188"/>
      <c r="I14" s="271">
        <f>I12+I13</f>
        <v>0</v>
      </c>
      <c r="J14" s="188"/>
      <c r="K14" s="190">
        <f>sum(K12:K13)</f>
        <v>16498649.05</v>
      </c>
      <c r="L14" s="263">
        <f t="shared" si="31"/>
        <v>0.3386600306</v>
      </c>
      <c r="M14" s="262" t="str">
        <f t="shared" si="32"/>
        <v>#REF!</v>
      </c>
      <c r="N14" s="263" t="str">
        <f t="shared" si="33"/>
        <v>#REF!</v>
      </c>
      <c r="O14" s="190">
        <f>O12+O13</f>
        <v>5841223.69</v>
      </c>
      <c r="P14" s="191">
        <f t="shared" si="34"/>
        <v>0.427831093</v>
      </c>
      <c r="Q14" s="190">
        <f>Q12+Q13</f>
        <v>4212839.454</v>
      </c>
      <c r="R14" s="191">
        <f t="shared" si="35"/>
        <v>0.3312593741</v>
      </c>
      <c r="S14" s="190">
        <f>S12+S13</f>
        <v>167172.3113</v>
      </c>
      <c r="T14" s="191">
        <f t="shared" si="36"/>
        <v>0.4684784296</v>
      </c>
      <c r="U14" s="190" t="str">
        <f>U12+U13</f>
        <v>#REF!</v>
      </c>
      <c r="V14" s="191" t="str">
        <f t="shared" si="38"/>
        <v>#REF!</v>
      </c>
      <c r="W14" s="190">
        <f>W12+W13</f>
        <v>3779644.123</v>
      </c>
      <c r="X14" s="191">
        <f t="shared" si="39"/>
        <v>0.3345758173</v>
      </c>
      <c r="Y14" s="190">
        <f>Y12+Y13</f>
        <v>3715759.25</v>
      </c>
      <c r="Z14" s="191">
        <f t="shared" si="40"/>
        <v>0.2842628475</v>
      </c>
      <c r="AA14" s="190">
        <f>AA12+AA13</f>
        <v>2428984.828</v>
      </c>
      <c r="AB14" s="191">
        <f t="shared" si="41"/>
        <v>0.3246180606</v>
      </c>
      <c r="AC14" s="190">
        <f>AC12+AC13</f>
        <v>2051756.673</v>
      </c>
      <c r="AD14" s="191">
        <f t="shared" si="42"/>
        <v>0.2502819694</v>
      </c>
      <c r="AE14" s="190">
        <f>SUM(AE12:AE13)</f>
        <v>3834230.995</v>
      </c>
      <c r="AF14" s="191">
        <f t="shared" si="43"/>
        <v>0.2511799305</v>
      </c>
      <c r="AG14" s="190">
        <f>SUM(AG12:AG13)</f>
        <v>4828120.548</v>
      </c>
      <c r="AH14" s="191">
        <f t="shared" si="44"/>
        <v>0.2972531049</v>
      </c>
      <c r="AI14" s="188">
        <f>SUM(AI12:AI13)</f>
        <v>0</v>
      </c>
      <c r="AJ14" s="188"/>
      <c r="AK14" s="188" t="str">
        <f>SUM(AK12:AK13)</f>
        <v>#REF!</v>
      </c>
      <c r="AL14" s="188"/>
      <c r="AM14" s="190">
        <f>SUM(AM12:AM13)</f>
        <v>245989.4233</v>
      </c>
      <c r="AN14" s="188"/>
      <c r="AO14" s="188">
        <f>SUM(AO12:AO13)</f>
        <v>0</v>
      </c>
      <c r="AP14" s="188"/>
      <c r="AQ14" s="190">
        <f>SUM(AQ12:AQ13)</f>
        <v>0</v>
      </c>
      <c r="AR14" s="188"/>
      <c r="AS14" s="190">
        <f>SUM(AS12:AS13)</f>
        <v>0</v>
      </c>
      <c r="AT14" s="188"/>
      <c r="AU14" s="190">
        <f>SUM(AU12:AU13)</f>
        <v>201403.6743</v>
      </c>
      <c r="AV14" s="188"/>
      <c r="AW14" s="188" t="str">
        <f>SUM(AW12:AW13)</f>
        <v>#REF!</v>
      </c>
      <c r="AX14" s="188"/>
      <c r="AY14" s="190">
        <f>SUM(AY12:AY13)</f>
        <v>0</v>
      </c>
      <c r="AZ14" s="188"/>
      <c r="BA14" s="188" t="str">
        <f>SUM(BA12:BA13)</f>
        <v>#REF!</v>
      </c>
      <c r="BB14" s="188"/>
      <c r="BC14" s="146">
        <f>SUM(BC12:BC13)</f>
        <v>0</v>
      </c>
      <c r="BD14" s="188"/>
      <c r="BE14" s="188"/>
      <c r="BF14" s="188"/>
    </row>
    <row r="15" ht="15.75" customHeight="1">
      <c r="B15" s="188" t="s">
        <v>32</v>
      </c>
      <c r="C15" s="268"/>
      <c r="D15" s="268"/>
      <c r="E15" s="268"/>
      <c r="F15" s="268"/>
      <c r="G15" s="186"/>
      <c r="H15" s="186"/>
      <c r="I15" s="186"/>
      <c r="J15" s="186"/>
      <c r="K15" s="268"/>
      <c r="L15" s="268"/>
      <c r="M15" s="268"/>
      <c r="N15" s="268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  <c r="AA15" s="186"/>
      <c r="AB15" s="186"/>
      <c r="AC15" s="186"/>
      <c r="AD15" s="186"/>
      <c r="AE15" s="186"/>
      <c r="AF15" s="186"/>
      <c r="AG15" s="186"/>
      <c r="AH15" s="186"/>
      <c r="AI15" s="186"/>
      <c r="AJ15" s="186"/>
      <c r="AK15" s="186"/>
      <c r="AL15" s="186"/>
      <c r="AM15" s="186"/>
      <c r="AN15" s="186"/>
      <c r="AO15" s="186"/>
      <c r="AP15" s="186"/>
      <c r="AQ15" s="186"/>
      <c r="AR15" s="186"/>
      <c r="AS15" s="186"/>
      <c r="AT15" s="186"/>
      <c r="AU15" s="189">
        <f>'MSBC Andheri'!F60</f>
        <v>46265.88</v>
      </c>
      <c r="AV15" s="186"/>
      <c r="AW15" s="189" t="str">
        <f>#REF!</f>
        <v>#REF!</v>
      </c>
      <c r="AX15" s="186"/>
      <c r="AY15" s="189">
        <f>'MSBC Dahisar'!F58</f>
        <v>0</v>
      </c>
      <c r="AZ15" s="186"/>
      <c r="BA15" s="189" t="str">
        <f>#REF!</f>
        <v>#REF!</v>
      </c>
      <c r="BB15" s="186"/>
      <c r="BC15" s="96"/>
      <c r="BD15" s="55"/>
      <c r="BE15" s="62"/>
      <c r="BF15" s="55"/>
    </row>
    <row r="16" ht="15.75" customHeight="1">
      <c r="B16" s="188" t="s">
        <v>33</v>
      </c>
      <c r="C16" s="262">
        <f>C10-C14</f>
        <v>32218788.95</v>
      </c>
      <c r="D16" s="263">
        <f>C16/C$10</f>
        <v>0.6613399694</v>
      </c>
      <c r="E16" s="262" t="str">
        <f>E10-E14</f>
        <v>#REF!</v>
      </c>
      <c r="F16" s="263" t="str">
        <f>E16/E$10</f>
        <v>#REF!</v>
      </c>
      <c r="G16" s="262">
        <f>G10-G14</f>
        <v>0</v>
      </c>
      <c r="H16" s="268"/>
      <c r="I16" s="262">
        <f>I10-I14</f>
        <v>0</v>
      </c>
      <c r="J16" s="268"/>
      <c r="K16" s="262">
        <f>K10-K14</f>
        <v>32218788.95</v>
      </c>
      <c r="L16" s="263">
        <f>K16/K$10</f>
        <v>0.6613399694</v>
      </c>
      <c r="M16" s="262" t="str">
        <f>Q16+U16+Y16+AC16+AG16+AK16+AO16</f>
        <v>#REF!</v>
      </c>
      <c r="N16" s="263" t="str">
        <f>M16/M$10</f>
        <v>#REF!</v>
      </c>
      <c r="O16" s="262">
        <f>O10-O14</f>
        <v>7811883.31</v>
      </c>
      <c r="P16" s="191">
        <f>O16/O$10</f>
        <v>0.572168907</v>
      </c>
      <c r="Q16" s="262">
        <f>Q10-Q14</f>
        <v>8504806.547</v>
      </c>
      <c r="R16" s="191">
        <f>Q16/Q$10</f>
        <v>0.6687406259</v>
      </c>
      <c r="S16" s="262">
        <f>S10-S14</f>
        <v>189668.6887</v>
      </c>
      <c r="T16" s="191">
        <f>S16/S$10</f>
        <v>0.5315215704</v>
      </c>
      <c r="U16" s="262" t="str">
        <f>U10-U14</f>
        <v>#REF!</v>
      </c>
      <c r="V16" s="191" t="str">
        <f>U16/U$10</f>
        <v>#REF!</v>
      </c>
      <c r="W16" s="262">
        <f>W10-W14</f>
        <v>7517179.877</v>
      </c>
      <c r="X16" s="191">
        <f>W16/W$10</f>
        <v>0.6654241827</v>
      </c>
      <c r="Y16" s="262">
        <f>Y10-Y14</f>
        <v>9355802.101</v>
      </c>
      <c r="Z16" s="191">
        <f>Y16/Y$10</f>
        <v>0.7157371525</v>
      </c>
      <c r="AA16" s="262">
        <f>AA10-AA14</f>
        <v>5053608.172</v>
      </c>
      <c r="AB16" s="191">
        <f>AA16/AA$10</f>
        <v>0.6753819394</v>
      </c>
      <c r="AC16" s="262">
        <f>AC10-AC14</f>
        <v>6146023.925</v>
      </c>
      <c r="AD16" s="191">
        <f>AC16/AC$10</f>
        <v>0.7497180306</v>
      </c>
      <c r="AE16" s="262">
        <f>AE10-AE14</f>
        <v>11430647</v>
      </c>
      <c r="AF16" s="191">
        <f>AE16/AE$10</f>
        <v>0.7488200695</v>
      </c>
      <c r="AG16" s="262">
        <f>AG10-AG14</f>
        <v>11414335.69</v>
      </c>
      <c r="AH16" s="191">
        <f>AG16/AG$10</f>
        <v>0.7027468951</v>
      </c>
      <c r="AI16" s="262">
        <f>AI10-AI14</f>
        <v>0</v>
      </c>
      <c r="AJ16" s="268"/>
      <c r="AK16" s="262" t="str">
        <f>AK10-AK14</f>
        <v>#REF!</v>
      </c>
      <c r="AL16" s="268"/>
      <c r="AM16" s="262">
        <f>AM10-AM14</f>
        <v>88816.57675</v>
      </c>
      <c r="AN16" s="268"/>
      <c r="AO16" s="262">
        <f>AO10-AO14</f>
        <v>80000</v>
      </c>
      <c r="AP16" s="268"/>
      <c r="AQ16" s="190">
        <f>AQ10-AQ14-AQ15</f>
        <v>0</v>
      </c>
      <c r="AR16" s="268"/>
      <c r="AS16" s="262">
        <f>AS10-AS14</f>
        <v>0</v>
      </c>
      <c r="AT16" s="268"/>
      <c r="AU16" s="262">
        <f>AU10-AU14-AU15</f>
        <v>69904.44567</v>
      </c>
      <c r="AV16" s="268"/>
      <c r="AW16" s="262" t="str">
        <f>AW10-AW14-AW15</f>
        <v>#REF!</v>
      </c>
      <c r="AX16" s="268"/>
      <c r="AY16" s="262">
        <f>AY10-AY14-AY15</f>
        <v>10815</v>
      </c>
      <c r="AZ16" s="268"/>
      <c r="BA16" s="262" t="str">
        <f>BA10-BA14-BA15</f>
        <v>#REF!</v>
      </c>
      <c r="BB16" s="268"/>
      <c r="BC16" s="146">
        <f>BC10-BC14</f>
        <v>0</v>
      </c>
      <c r="BD16" s="188"/>
      <c r="BE16" s="188"/>
      <c r="BF16" s="188"/>
    </row>
    <row r="17" ht="15.75" customHeight="1">
      <c r="B17" s="188"/>
      <c r="C17" s="268"/>
      <c r="D17" s="268"/>
      <c r="E17" s="268"/>
      <c r="F17" s="268"/>
      <c r="G17" s="186"/>
      <c r="H17" s="186"/>
      <c r="I17" s="186"/>
      <c r="J17" s="186"/>
      <c r="K17" s="268"/>
      <c r="L17" s="268"/>
      <c r="M17" s="268"/>
      <c r="N17" s="268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  <c r="AA17" s="186"/>
      <c r="AB17" s="186"/>
      <c r="AC17" s="186"/>
      <c r="AD17" s="186"/>
      <c r="AE17" s="186"/>
      <c r="AF17" s="186"/>
      <c r="AG17" s="186"/>
      <c r="AH17" s="186"/>
      <c r="AI17" s="186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6"/>
      <c r="AU17" s="186"/>
      <c r="AV17" s="186"/>
      <c r="AW17" s="186"/>
      <c r="AX17" s="186"/>
      <c r="AY17" s="186"/>
      <c r="AZ17" s="186"/>
      <c r="BA17" s="186"/>
      <c r="BB17" s="186"/>
      <c r="BC17" s="83"/>
      <c r="BD17" s="186"/>
      <c r="BE17" s="186"/>
      <c r="BF17" s="186"/>
    </row>
    <row r="18" ht="15.75" customHeight="1">
      <c r="B18" s="188" t="s">
        <v>34</v>
      </c>
      <c r="C18" s="262">
        <f t="shared" ref="C18:C27" si="48">G18+K18</f>
        <v>1200746</v>
      </c>
      <c r="D18" s="263">
        <f t="shared" ref="D18:D28" si="49">C18/C$10</f>
        <v>0.02464714996</v>
      </c>
      <c r="E18" s="262" t="str">
        <f t="shared" ref="E18:E28" si="50">I18+M18</f>
        <v>#REF!</v>
      </c>
      <c r="F18" s="263" t="str">
        <f t="shared" ref="F18:F28" si="51">E18/E$10</f>
        <v>#REF!</v>
      </c>
      <c r="G18" s="265">
        <f>HO!P44</f>
        <v>0</v>
      </c>
      <c r="H18" s="186"/>
      <c r="I18" s="189">
        <f>HO!U44</f>
        <v>0</v>
      </c>
      <c r="J18" s="186"/>
      <c r="K18" s="262">
        <f t="shared" ref="K18:K27" si="52">O18+S18+W18+AA18+AE18+AI18+AM18+AQ18+AU18+AY18</f>
        <v>1200746</v>
      </c>
      <c r="L18" s="263">
        <f t="shared" ref="L18:L28" si="53">K18/K$10</f>
        <v>0.02464714996</v>
      </c>
      <c r="M18" s="262" t="str">
        <f t="shared" ref="M18:M27" si="54">Q18+U18+Y18+AC18+AG18+AK18+AO18</f>
        <v>#REF!</v>
      </c>
      <c r="N18" s="263" t="str">
        <f t="shared" ref="N18:N28" si="55">M18/M$10</f>
        <v>#REF!</v>
      </c>
      <c r="O18" s="189">
        <f>'The Table'!P53</f>
        <v>376442</v>
      </c>
      <c r="P18" s="264">
        <f t="shared" ref="P18:P28" si="56">O18/O$10</f>
        <v>0.02757189261</v>
      </c>
      <c r="Q18" s="189">
        <f>'The Table'!R53</f>
        <v>303482.336</v>
      </c>
      <c r="R18" s="264">
        <f t="shared" ref="R18:R28" si="57">Q18/Q$10</f>
        <v>0.02386309039</v>
      </c>
      <c r="S18" s="189">
        <f>Iktara!H50</f>
        <v>15980</v>
      </c>
      <c r="T18" s="264">
        <f t="shared" ref="T18:T28" si="58">S18/S$10</f>
        <v>0.04478184962</v>
      </c>
      <c r="U18" s="189" t="str">
        <f t="shared" ref="U18:U27" si="59">#REF!</f>
        <v>#REF!</v>
      </c>
      <c r="V18" s="264" t="str">
        <f t="shared" ref="V18:V28" si="60">U18/U$10</f>
        <v>#REF!</v>
      </c>
      <c r="W18" s="189">
        <f>'Mg St Colaba'!P77</f>
        <v>283068</v>
      </c>
      <c r="X18" s="264">
        <f t="shared" ref="X18:X28" si="61">W18/W$10</f>
        <v>0.02505730814</v>
      </c>
      <c r="Y18" s="189">
        <f>'Mg St Colaba'!R77</f>
        <v>301953.2568</v>
      </c>
      <c r="Z18" s="264">
        <f t="shared" ref="Z18:Z28" si="62">Y18/Y$10</f>
        <v>0.0231000145</v>
      </c>
      <c r="AA18" s="189">
        <f>'Mg St LP'!P78</f>
        <v>155545</v>
      </c>
      <c r="AB18" s="264">
        <f t="shared" ref="AB18:AB28" si="63">AA18/AA$10</f>
        <v>0.02078757992</v>
      </c>
      <c r="AC18" s="189">
        <f>'Mg St LP'!R78</f>
        <v>152478.7191</v>
      </c>
      <c r="AD18" s="264">
        <f t="shared" ref="AD18:AD28" si="64">AC18/AC$10</f>
        <v>0.0186</v>
      </c>
      <c r="AE18" s="189">
        <f>'Mg St Bandra'!P75</f>
        <v>304712</v>
      </c>
      <c r="AF18" s="264">
        <f t="shared" ref="AF18:AF28" si="65">AE18/AE$10</f>
        <v>0.01996164005</v>
      </c>
      <c r="AG18" s="189">
        <f>'Mg St Bandra'!R75</f>
        <v>448291.8267</v>
      </c>
      <c r="AH18" s="264">
        <f t="shared" ref="AH18:AH28" si="66">AG18/AG$10</f>
        <v>0.02760000212</v>
      </c>
      <c r="AI18" s="265">
        <f>'MSK Events'!F72</f>
        <v>0</v>
      </c>
      <c r="AJ18" s="186"/>
      <c r="AK18" s="189" t="str">
        <f t="shared" ref="AK18:AK27" si="67">#REF!</f>
        <v>#REF!</v>
      </c>
      <c r="AL18" s="186"/>
      <c r="AM18" s="189">
        <f>MSBC!P73</f>
        <v>64999</v>
      </c>
      <c r="AN18" s="186"/>
      <c r="AO18" s="189">
        <f>MSBC!R73</f>
        <v>0</v>
      </c>
      <c r="AP18" s="186"/>
      <c r="AQ18" s="189">
        <f>Kaspers!L64</f>
        <v>0</v>
      </c>
      <c r="AR18" s="186"/>
      <c r="AS18" s="189">
        <f>Kaspers!N64</f>
        <v>0</v>
      </c>
      <c r="AT18" s="186"/>
      <c r="AU18" s="186"/>
      <c r="AV18" s="186"/>
      <c r="AW18" s="186"/>
      <c r="AX18" s="186"/>
      <c r="AY18" s="189">
        <f>'MSBC Dahisar'!F71</f>
        <v>0</v>
      </c>
      <c r="AZ18" s="186"/>
      <c r="BA18" s="186"/>
      <c r="BB18" s="186"/>
      <c r="BC18" s="114">
        <v>0.0</v>
      </c>
      <c r="BD18" s="186"/>
      <c r="BE18" s="186"/>
      <c r="BF18" s="186"/>
    </row>
    <row r="19" ht="15.75" customHeight="1">
      <c r="B19" s="188" t="s">
        <v>35</v>
      </c>
      <c r="C19" s="280">
        <f t="shared" si="48"/>
        <v>625327</v>
      </c>
      <c r="D19" s="263">
        <f t="shared" si="49"/>
        <v>0.01283579403</v>
      </c>
      <c r="E19" s="280" t="str">
        <f t="shared" si="50"/>
        <v>#REF!</v>
      </c>
      <c r="F19" s="263" t="str">
        <f t="shared" si="51"/>
        <v>#REF!</v>
      </c>
      <c r="G19" s="281">
        <f>HO!P53</f>
        <v>64900</v>
      </c>
      <c r="H19" s="186"/>
      <c r="I19" s="281">
        <f>HO!R53</f>
        <v>12874</v>
      </c>
      <c r="J19" s="186"/>
      <c r="K19" s="262">
        <f t="shared" si="52"/>
        <v>560427</v>
      </c>
      <c r="L19" s="263">
        <f t="shared" si="53"/>
        <v>0.01150362217</v>
      </c>
      <c r="M19" s="262" t="str">
        <f t="shared" si="54"/>
        <v>#REF!</v>
      </c>
      <c r="N19" s="263" t="str">
        <f t="shared" si="55"/>
        <v>#REF!</v>
      </c>
      <c r="O19" s="189">
        <f>'The Table'!P62</f>
        <v>91024.66667</v>
      </c>
      <c r="P19" s="264">
        <f t="shared" si="56"/>
        <v>0.006666956222</v>
      </c>
      <c r="Q19" s="189">
        <f>'The Table'!R62</f>
        <v>209119.6667</v>
      </c>
      <c r="R19" s="264">
        <f t="shared" si="57"/>
        <v>0.01644326841</v>
      </c>
      <c r="S19" s="189">
        <f>Iktara!H62</f>
        <v>62178</v>
      </c>
      <c r="T19" s="264">
        <f t="shared" si="58"/>
        <v>0.1742456724</v>
      </c>
      <c r="U19" s="189" t="str">
        <f t="shared" si="59"/>
        <v>#REF!</v>
      </c>
      <c r="V19" s="264" t="str">
        <f t="shared" si="60"/>
        <v>#REF!</v>
      </c>
      <c r="W19" s="189">
        <f>'Mg St Colaba'!P89</f>
        <v>100112.4667</v>
      </c>
      <c r="X19" s="264">
        <f t="shared" si="61"/>
        <v>0.008862001096</v>
      </c>
      <c r="Y19" s="189">
        <f>'Mg St Colaba'!R89</f>
        <v>128468</v>
      </c>
      <c r="Z19" s="264">
        <f t="shared" si="62"/>
        <v>0.009828053172</v>
      </c>
      <c r="AA19" s="189">
        <f>'Mg St LP'!P89</f>
        <v>98472.46667</v>
      </c>
      <c r="AB19" s="264">
        <f t="shared" si="63"/>
        <v>0.01316020618</v>
      </c>
      <c r="AC19" s="189">
        <f>'Mg St LP'!R89</f>
        <v>126458</v>
      </c>
      <c r="AD19" s="264">
        <f t="shared" si="64"/>
        <v>0.01542588247</v>
      </c>
      <c r="AE19" s="189">
        <f>'Mg St Bandra'!P87</f>
        <v>106223.4667</v>
      </c>
      <c r="AF19" s="264">
        <f t="shared" si="65"/>
        <v>0.006958684286</v>
      </c>
      <c r="AG19" s="189">
        <f>'Mg St Bandra'!R87</f>
        <v>118978</v>
      </c>
      <c r="AH19" s="264">
        <f t="shared" si="66"/>
        <v>0.007325123629</v>
      </c>
      <c r="AI19" s="186">
        <f>'MSK Events'!F84</f>
        <v>0</v>
      </c>
      <c r="AJ19" s="186"/>
      <c r="AK19" s="186" t="str">
        <f t="shared" si="67"/>
        <v>#REF!</v>
      </c>
      <c r="AL19" s="186"/>
      <c r="AM19" s="189">
        <f>MSBC!P75</f>
        <v>48225.8</v>
      </c>
      <c r="AN19" s="186"/>
      <c r="AO19" s="189">
        <f>MSBC!R75</f>
        <v>63580</v>
      </c>
      <c r="AP19" s="186"/>
      <c r="AQ19" s="189">
        <f>Kaspers!L76</f>
        <v>0</v>
      </c>
      <c r="AR19" s="186"/>
      <c r="AS19" s="189">
        <f>Kaspers!N76</f>
        <v>26833.33333</v>
      </c>
      <c r="AT19" s="186"/>
      <c r="AU19" s="189">
        <f>'MSBC Andheri'!F85</f>
        <v>39472.8</v>
      </c>
      <c r="AV19" s="186"/>
      <c r="AW19" s="186"/>
      <c r="AX19" s="186"/>
      <c r="AY19" s="189">
        <f>'MSBC Dahisar'!F73</f>
        <v>14717.33333</v>
      </c>
      <c r="AZ19" s="186"/>
      <c r="BA19" s="186"/>
      <c r="BB19" s="186"/>
      <c r="BC19" s="114">
        <f>'LOUD MOUTH'!F85</f>
        <v>4745</v>
      </c>
      <c r="BD19" s="43"/>
      <c r="BE19" s="114"/>
      <c r="BF19" s="43"/>
    </row>
    <row r="20" ht="15.75" customHeight="1">
      <c r="B20" s="188" t="s">
        <v>36</v>
      </c>
      <c r="C20" s="262">
        <f t="shared" si="48"/>
        <v>1169382.585</v>
      </c>
      <c r="D20" s="263">
        <f t="shared" si="49"/>
        <v>0.02400336785</v>
      </c>
      <c r="E20" s="262" t="str">
        <f t="shared" si="50"/>
        <v>#REF!</v>
      </c>
      <c r="F20" s="263" t="str">
        <f t="shared" si="51"/>
        <v>#REF!</v>
      </c>
      <c r="G20" s="265">
        <f>HO!P63</f>
        <v>0</v>
      </c>
      <c r="H20" s="186"/>
      <c r="I20" s="265">
        <f>HO!R63</f>
        <v>0</v>
      </c>
      <c r="J20" s="186"/>
      <c r="K20" s="262">
        <f t="shared" si="52"/>
        <v>1169382.585</v>
      </c>
      <c r="L20" s="263">
        <f t="shared" si="53"/>
        <v>0.02400336785</v>
      </c>
      <c r="M20" s="262" t="str">
        <f t="shared" si="54"/>
        <v>#REF!</v>
      </c>
      <c r="N20" s="263" t="str">
        <f t="shared" si="55"/>
        <v>#REF!</v>
      </c>
      <c r="O20" s="189">
        <f>'The Table'!P70</f>
        <v>61219.8162</v>
      </c>
      <c r="P20" s="264">
        <f t="shared" si="56"/>
        <v>0.004483947588</v>
      </c>
      <c r="Q20" s="189">
        <f>'The Table'!R70</f>
        <v>151452.288</v>
      </c>
      <c r="R20" s="264">
        <f t="shared" si="57"/>
        <v>0.0119088303</v>
      </c>
      <c r="S20" s="189">
        <f>Iktara!H70</f>
        <v>44889.4534</v>
      </c>
      <c r="T20" s="264">
        <f t="shared" si="58"/>
        <v>0.125796793</v>
      </c>
      <c r="U20" s="189" t="str">
        <f t="shared" si="59"/>
        <v>#REF!</v>
      </c>
      <c r="V20" s="264" t="str">
        <f t="shared" si="60"/>
        <v>#REF!</v>
      </c>
      <c r="W20" s="189">
        <f>'Mg St Colaba'!P100</f>
        <v>250918.8106</v>
      </c>
      <c r="X20" s="264">
        <f t="shared" si="61"/>
        <v>0.02221144727</v>
      </c>
      <c r="Y20" s="189">
        <f>'Mg St Colaba'!R100</f>
        <v>442658.5</v>
      </c>
      <c r="Z20" s="264">
        <f t="shared" si="62"/>
        <v>0.03386424071</v>
      </c>
      <c r="AA20" s="189">
        <f>'Mg St LP'!P101</f>
        <v>379008.2612</v>
      </c>
      <c r="AB20" s="264">
        <f t="shared" si="63"/>
        <v>0.05065199473</v>
      </c>
      <c r="AC20" s="189">
        <f>'Mg St LP'!R101</f>
        <v>632127.75</v>
      </c>
      <c r="AD20" s="264">
        <f t="shared" si="64"/>
        <v>0.0771096204</v>
      </c>
      <c r="AE20" s="189">
        <f>'Mg St Bandra'!P98</f>
        <v>312620.1066</v>
      </c>
      <c r="AF20" s="264">
        <f t="shared" si="65"/>
        <v>0.02047969899</v>
      </c>
      <c r="AG20" s="189">
        <f>'Mg St Bandra'!R98</f>
        <v>406927.5</v>
      </c>
      <c r="AH20" s="264">
        <f t="shared" si="66"/>
        <v>0.02505332285</v>
      </c>
      <c r="AI20" s="186">
        <f>'MSK Events'!F91</f>
        <v>0</v>
      </c>
      <c r="AJ20" s="186"/>
      <c r="AK20" s="186" t="str">
        <f t="shared" si="67"/>
        <v>#REF!</v>
      </c>
      <c r="AL20" s="186"/>
      <c r="AM20" s="189">
        <f>MSBC!P83</f>
        <v>10889.7054</v>
      </c>
      <c r="AN20" s="186"/>
      <c r="AO20" s="186">
        <f>MSBC!R83</f>
        <v>0</v>
      </c>
      <c r="AP20" s="186"/>
      <c r="AQ20" s="189">
        <f>Kaspers!L83</f>
        <v>0</v>
      </c>
      <c r="AR20" s="186"/>
      <c r="AS20" s="265">
        <f>Kaspers!N83</f>
        <v>0</v>
      </c>
      <c r="AT20" s="186"/>
      <c r="AU20" s="189">
        <f>'MSBC Andheri'!F93</f>
        <v>88010.4314</v>
      </c>
      <c r="AV20" s="186"/>
      <c r="AW20" s="186"/>
      <c r="AX20" s="186"/>
      <c r="AY20" s="189">
        <f>'MSBC Dahisar'!F80</f>
        <v>21826</v>
      </c>
      <c r="AZ20" s="186"/>
      <c r="BA20" s="186"/>
      <c r="BB20" s="186"/>
      <c r="BC20" s="114">
        <v>0.0</v>
      </c>
      <c r="BD20" s="43"/>
      <c r="BE20" s="114"/>
      <c r="BF20" s="43"/>
    </row>
    <row r="21" ht="15.75" customHeight="1">
      <c r="B21" s="188" t="s">
        <v>37</v>
      </c>
      <c r="C21" s="262">
        <f t="shared" si="48"/>
        <v>6128136</v>
      </c>
      <c r="D21" s="263">
        <f t="shared" si="49"/>
        <v>0.1257893734</v>
      </c>
      <c r="E21" s="262" t="str">
        <f t="shared" si="50"/>
        <v>#REF!</v>
      </c>
      <c r="F21" s="263" t="str">
        <f t="shared" si="51"/>
        <v>#REF!</v>
      </c>
      <c r="G21" s="189">
        <f>HO!P70</f>
        <v>359261</v>
      </c>
      <c r="H21" s="186"/>
      <c r="I21" s="189">
        <f>HO!R70</f>
        <v>364773</v>
      </c>
      <c r="J21" s="186"/>
      <c r="K21" s="262">
        <f t="shared" si="52"/>
        <v>5768875</v>
      </c>
      <c r="L21" s="263">
        <f t="shared" si="53"/>
        <v>0.1184149914</v>
      </c>
      <c r="M21" s="262" t="str">
        <f t="shared" si="54"/>
        <v>#REF!</v>
      </c>
      <c r="N21" s="263" t="str">
        <f t="shared" si="55"/>
        <v>#REF!</v>
      </c>
      <c r="O21" s="189">
        <f>'The Table'!P76</f>
        <v>1785645</v>
      </c>
      <c r="P21" s="264">
        <f t="shared" si="56"/>
        <v>0.130786714</v>
      </c>
      <c r="Q21" s="189">
        <f>'The Table'!R76</f>
        <v>1754717</v>
      </c>
      <c r="R21" s="264">
        <f t="shared" si="57"/>
        <v>0.1379749837</v>
      </c>
      <c r="S21" s="189">
        <f>Iktara!H76</f>
        <v>87008</v>
      </c>
      <c r="T21" s="264">
        <f t="shared" si="58"/>
        <v>0.2438284838</v>
      </c>
      <c r="U21" s="186" t="str">
        <f t="shared" si="59"/>
        <v>#REF!</v>
      </c>
      <c r="V21" s="264" t="str">
        <f t="shared" si="60"/>
        <v>#REF!</v>
      </c>
      <c r="W21" s="189">
        <f>'Mg St Colaba'!P107</f>
        <v>1508842.333</v>
      </c>
      <c r="X21" s="264">
        <f t="shared" si="61"/>
        <v>0.1335634098</v>
      </c>
      <c r="Y21" s="189">
        <f>'Mg St Colaba'!R107</f>
        <v>1502885</v>
      </c>
      <c r="Z21" s="264">
        <f t="shared" si="62"/>
        <v>0.1149736408</v>
      </c>
      <c r="AA21" s="189">
        <f>'Mg St LP'!P108</f>
        <v>485483</v>
      </c>
      <c r="AB21" s="264">
        <f t="shared" si="63"/>
        <v>0.06488165266</v>
      </c>
      <c r="AC21" s="189">
        <f>'Mg St LP'!R108</f>
        <v>413372</v>
      </c>
      <c r="AD21" s="264">
        <f t="shared" si="64"/>
        <v>0.05042486745</v>
      </c>
      <c r="AE21" s="189">
        <f>'Mg St Bandra'!P105</f>
        <v>1490586</v>
      </c>
      <c r="AF21" s="264">
        <f t="shared" si="65"/>
        <v>0.09764807816</v>
      </c>
      <c r="AG21" s="189">
        <f>'Mg St Bandra'!R105</f>
        <v>1642470</v>
      </c>
      <c r="AH21" s="264">
        <f t="shared" si="66"/>
        <v>0.1011220209</v>
      </c>
      <c r="AI21" s="186">
        <f>'MSK Events'!F98</f>
        <v>131348</v>
      </c>
      <c r="AJ21" s="186"/>
      <c r="AK21" s="186" t="str">
        <f t="shared" si="67"/>
        <v>#REF!</v>
      </c>
      <c r="AL21" s="186"/>
      <c r="AM21" s="189">
        <f>MSBC!P90</f>
        <v>249120</v>
      </c>
      <c r="AN21" s="186"/>
      <c r="AO21" s="186">
        <f>MSBC!R90</f>
        <v>0</v>
      </c>
      <c r="AP21" s="186"/>
      <c r="AQ21" s="189">
        <f>Kaspers!L90</f>
        <v>30842.66667</v>
      </c>
      <c r="AR21" s="186"/>
      <c r="AS21" s="189">
        <f>Kaspers!N90</f>
        <v>0</v>
      </c>
      <c r="AT21" s="186"/>
      <c r="AU21" s="189">
        <f>'MSBC Andheri'!F100</f>
        <v>0</v>
      </c>
      <c r="AV21" s="186"/>
      <c r="AW21" s="186"/>
      <c r="AX21" s="186"/>
      <c r="AY21" s="189">
        <f>'MSBC Dahisar'!F89</f>
        <v>0</v>
      </c>
      <c r="AZ21" s="186"/>
      <c r="BA21" s="186"/>
      <c r="BB21" s="186"/>
      <c r="BC21" s="114">
        <f>'LOUD MOUTH'!F101</f>
        <v>0</v>
      </c>
      <c r="BD21" s="43"/>
      <c r="BE21" s="43"/>
      <c r="BF21" s="43"/>
    </row>
    <row r="22" ht="15.75" customHeight="1">
      <c r="B22" s="188" t="s">
        <v>38</v>
      </c>
      <c r="C22" s="262">
        <f t="shared" si="48"/>
        <v>19288589.48</v>
      </c>
      <c r="D22" s="263">
        <f t="shared" si="49"/>
        <v>0.3959278293</v>
      </c>
      <c r="E22" s="262" t="str">
        <f t="shared" si="50"/>
        <v>#REF!</v>
      </c>
      <c r="F22" s="263" t="str">
        <f t="shared" si="51"/>
        <v>#REF!</v>
      </c>
      <c r="G22" s="189">
        <f>HO!P77</f>
        <v>3900423.717</v>
      </c>
      <c r="H22" s="186"/>
      <c r="I22" s="189">
        <f>HO!R77</f>
        <v>4043806</v>
      </c>
      <c r="J22" s="186"/>
      <c r="K22" s="262">
        <f t="shared" si="52"/>
        <v>15388165.76</v>
      </c>
      <c r="L22" s="263">
        <f t="shared" si="53"/>
        <v>0.3158656611</v>
      </c>
      <c r="M22" s="262" t="str">
        <f t="shared" si="54"/>
        <v>#REF!</v>
      </c>
      <c r="N22" s="263" t="str">
        <f t="shared" si="55"/>
        <v>#REF!</v>
      </c>
      <c r="O22" s="189">
        <f>'The Table'!P82</f>
        <v>5173410.817</v>
      </c>
      <c r="P22" s="264">
        <f t="shared" si="56"/>
        <v>0.3789182064</v>
      </c>
      <c r="Q22" s="189">
        <f>'The Table'!R82</f>
        <v>5262292.577</v>
      </c>
      <c r="R22" s="264">
        <f t="shared" si="57"/>
        <v>0.4137788217</v>
      </c>
      <c r="S22" s="189">
        <f>Iktara!H82</f>
        <v>259352.4</v>
      </c>
      <c r="T22" s="264">
        <f t="shared" si="58"/>
        <v>0.7268010122</v>
      </c>
      <c r="U22" s="189" t="str">
        <f t="shared" si="59"/>
        <v>#REF!</v>
      </c>
      <c r="V22" s="264" t="str">
        <f t="shared" si="60"/>
        <v>#REF!</v>
      </c>
      <c r="W22" s="189">
        <f>'Mg St Colaba'!P113</f>
        <v>3178772.027</v>
      </c>
      <c r="X22" s="264">
        <f t="shared" si="61"/>
        <v>0.281386346</v>
      </c>
      <c r="Y22" s="189">
        <f>'Mg St Colaba'!R113</f>
        <v>3292323.471</v>
      </c>
      <c r="Z22" s="264">
        <f t="shared" si="62"/>
        <v>0.2518691825</v>
      </c>
      <c r="AA22" s="189">
        <f>'Mg St LP'!P115</f>
        <v>1558206.6</v>
      </c>
      <c r="AB22" s="264">
        <f t="shared" si="63"/>
        <v>0.2082442009</v>
      </c>
      <c r="AC22" s="189">
        <f>'Mg St LP'!R115</f>
        <v>1730672.353</v>
      </c>
      <c r="AD22" s="264">
        <f t="shared" si="64"/>
        <v>0.2111147441</v>
      </c>
      <c r="AE22" s="189">
        <f>'Mg St Bandra'!P114</f>
        <v>3805426.11</v>
      </c>
      <c r="AF22" s="264">
        <f t="shared" si="65"/>
        <v>0.2492929265</v>
      </c>
      <c r="AG22" s="189">
        <f>'Mg St Bandra'!R114</f>
        <v>3806083.75</v>
      </c>
      <c r="AH22" s="264">
        <f t="shared" si="66"/>
        <v>0.2343293215</v>
      </c>
      <c r="AI22" s="186">
        <f>'MSK Events'!F104</f>
        <v>141126</v>
      </c>
      <c r="AJ22" s="186"/>
      <c r="AK22" s="186" t="str">
        <f t="shared" si="67"/>
        <v>#REF!</v>
      </c>
      <c r="AL22" s="186"/>
      <c r="AM22" s="189">
        <f>MSBC!P96</f>
        <v>1212477.807</v>
      </c>
      <c r="AN22" s="186"/>
      <c r="AO22" s="186">
        <f>MSBC!R96</f>
        <v>0</v>
      </c>
      <c r="AP22" s="186"/>
      <c r="AQ22" s="189">
        <f>Kaspers!L97</f>
        <v>59394</v>
      </c>
      <c r="AR22" s="186"/>
      <c r="AS22" s="189">
        <f>Kaspers!N97</f>
        <v>0</v>
      </c>
      <c r="AT22" s="186"/>
      <c r="AU22" s="189">
        <f>'MSBC Andheri'!F106</f>
        <v>0</v>
      </c>
      <c r="AV22" s="186"/>
      <c r="AW22" s="186"/>
      <c r="AX22" s="186"/>
      <c r="AY22" s="189">
        <f>'MSBC Dahisar'!F95</f>
        <v>0</v>
      </c>
      <c r="AZ22" s="186"/>
      <c r="BA22" s="186"/>
      <c r="BB22" s="186"/>
      <c r="BC22" s="114">
        <f>'LOUD MOUTH'!F108</f>
        <v>62720</v>
      </c>
      <c r="BD22" s="43"/>
      <c r="BE22" s="114"/>
      <c r="BF22" s="43"/>
    </row>
    <row r="23" ht="15.75" customHeight="1">
      <c r="B23" s="188" t="s">
        <v>39</v>
      </c>
      <c r="C23" s="262">
        <f t="shared" si="48"/>
        <v>1025190.31</v>
      </c>
      <c r="D23" s="263">
        <f t="shared" si="49"/>
        <v>0.02104360065</v>
      </c>
      <c r="E23" s="262" t="str">
        <f t="shared" si="50"/>
        <v>#REF!</v>
      </c>
      <c r="F23" s="263" t="str">
        <f t="shared" si="51"/>
        <v>#REF!</v>
      </c>
      <c r="G23" s="189">
        <f>HO!P88</f>
        <v>541679</v>
      </c>
      <c r="H23" s="186"/>
      <c r="I23" s="189">
        <f>HO!R88</f>
        <v>65125</v>
      </c>
      <c r="J23" s="186"/>
      <c r="K23" s="262">
        <f t="shared" si="52"/>
        <v>483511.31</v>
      </c>
      <c r="L23" s="263">
        <f t="shared" si="53"/>
        <v>0.00992480988</v>
      </c>
      <c r="M23" s="262" t="str">
        <f t="shared" si="54"/>
        <v>#REF!</v>
      </c>
      <c r="N23" s="263" t="str">
        <f t="shared" si="55"/>
        <v>#REF!</v>
      </c>
      <c r="O23" s="189">
        <f>'The Table'!P91</f>
        <v>209371.25</v>
      </c>
      <c r="P23" s="264">
        <f t="shared" si="56"/>
        <v>0.01533506256</v>
      </c>
      <c r="Q23" s="189">
        <f>'The Table'!R91</f>
        <v>173193.872</v>
      </c>
      <c r="R23" s="264">
        <f t="shared" si="57"/>
        <v>0.0136183907</v>
      </c>
      <c r="S23" s="189">
        <f>Iktara!H92</f>
        <v>0</v>
      </c>
      <c r="T23" s="264">
        <f t="shared" si="58"/>
        <v>0</v>
      </c>
      <c r="U23" s="186" t="str">
        <f t="shared" si="59"/>
        <v>#REF!</v>
      </c>
      <c r="V23" s="264" t="str">
        <f t="shared" si="60"/>
        <v>#REF!</v>
      </c>
      <c r="W23" s="189">
        <f>'Mg St Colaba'!P124</f>
        <v>91016.3</v>
      </c>
      <c r="X23" s="264">
        <f t="shared" si="61"/>
        <v>0.008056804284</v>
      </c>
      <c r="Y23" s="189">
        <f>'Mg St Colaba'!R124</f>
        <v>116283.6115</v>
      </c>
      <c r="Z23" s="264">
        <f t="shared" si="62"/>
        <v>0.008895923631</v>
      </c>
      <c r="AA23" s="189">
        <f>'Mg St LP'!P125</f>
        <v>41439</v>
      </c>
      <c r="AB23" s="264">
        <f t="shared" si="63"/>
        <v>0.005538053453</v>
      </c>
      <c r="AC23" s="189">
        <f>'Mg St LP'!R125</f>
        <v>33851.088</v>
      </c>
      <c r="AD23" s="264">
        <f t="shared" si="64"/>
        <v>0.004129299095</v>
      </c>
      <c r="AE23" s="189">
        <f>'Mg St Bandra'!P125</f>
        <v>140697.29</v>
      </c>
      <c r="AF23" s="264">
        <f t="shared" si="65"/>
        <v>0.00921705958</v>
      </c>
      <c r="AG23" s="189">
        <f>'Mg St Bandra'!R125</f>
        <v>126825.255</v>
      </c>
      <c r="AH23" s="264">
        <f t="shared" si="66"/>
        <v>0.007808255914</v>
      </c>
      <c r="AI23" s="186">
        <f>'MSK Events'!F114</f>
        <v>0</v>
      </c>
      <c r="AJ23" s="186"/>
      <c r="AK23" s="186" t="str">
        <f t="shared" si="67"/>
        <v>#REF!</v>
      </c>
      <c r="AL23" s="186"/>
      <c r="AM23" s="189">
        <f>MSBC!P106</f>
        <v>987.47</v>
      </c>
      <c r="AN23" s="186"/>
      <c r="AO23" s="186">
        <f>MSBC!R106</f>
        <v>0</v>
      </c>
      <c r="AP23" s="186"/>
      <c r="AQ23" s="189">
        <f>Kaspers!L109</f>
        <v>0</v>
      </c>
      <c r="AR23" s="186"/>
      <c r="AS23" s="189">
        <f>Kaspers!N109</f>
        <v>0</v>
      </c>
      <c r="AT23" s="186"/>
      <c r="AU23" s="186"/>
      <c r="AV23" s="186"/>
      <c r="AW23" s="186"/>
      <c r="AX23" s="186"/>
      <c r="AY23" s="189">
        <f>'MSBC Dahisar'!F105</f>
        <v>0</v>
      </c>
      <c r="AZ23" s="186"/>
      <c r="BA23" s="186"/>
      <c r="BB23" s="186"/>
      <c r="BC23" s="114">
        <v>0.0</v>
      </c>
      <c r="BD23" s="43"/>
      <c r="BE23" s="114"/>
      <c r="BF23" s="43"/>
    </row>
    <row r="24" ht="15.75" customHeight="1">
      <c r="B24" s="188" t="s">
        <v>40</v>
      </c>
      <c r="C24" s="262">
        <f t="shared" si="48"/>
        <v>267307.0833</v>
      </c>
      <c r="D24" s="263">
        <f t="shared" si="49"/>
        <v>0.005486887125</v>
      </c>
      <c r="E24" s="262" t="str">
        <f t="shared" si="50"/>
        <v>#REF!</v>
      </c>
      <c r="F24" s="263" t="str">
        <f t="shared" si="51"/>
        <v>#REF!</v>
      </c>
      <c r="G24" s="189">
        <f>HO!P95</f>
        <v>131645.1667</v>
      </c>
      <c r="H24" s="186"/>
      <c r="I24" s="189">
        <f>HO!R95</f>
        <v>121381.8333</v>
      </c>
      <c r="J24" s="186"/>
      <c r="K24" s="262">
        <f t="shared" si="52"/>
        <v>135661.9167</v>
      </c>
      <c r="L24" s="263">
        <f t="shared" si="53"/>
        <v>0.002784668534</v>
      </c>
      <c r="M24" s="262" t="str">
        <f t="shared" si="54"/>
        <v>#REF!</v>
      </c>
      <c r="N24" s="263" t="str">
        <f t="shared" si="55"/>
        <v>#REF!</v>
      </c>
      <c r="O24" s="189">
        <f>'The Table'!P94</f>
        <v>52156</v>
      </c>
      <c r="P24" s="264">
        <f t="shared" si="56"/>
        <v>0.003820082857</v>
      </c>
      <c r="Q24" s="189">
        <f>'The Table'!R94</f>
        <v>36400</v>
      </c>
      <c r="R24" s="264">
        <f t="shared" si="57"/>
        <v>0.002862164901</v>
      </c>
      <c r="S24" s="189">
        <f>Iktara!H95</f>
        <v>688.3333333</v>
      </c>
      <c r="T24" s="264">
        <f t="shared" si="58"/>
        <v>0.001928963693</v>
      </c>
      <c r="U24" s="186" t="str">
        <f t="shared" si="59"/>
        <v>#REF!</v>
      </c>
      <c r="V24" s="264" t="str">
        <f t="shared" si="60"/>
        <v>#REF!</v>
      </c>
      <c r="W24" s="189">
        <f>'Mg St Colaba'!P127</f>
        <v>30188.33333</v>
      </c>
      <c r="X24" s="264">
        <f t="shared" si="61"/>
        <v>0.002672285001</v>
      </c>
      <c r="Y24" s="189">
        <f>'Mg St Colaba'!R127</f>
        <v>30188.33333</v>
      </c>
      <c r="Z24" s="264">
        <f t="shared" si="62"/>
        <v>0.002309466522</v>
      </c>
      <c r="AA24" s="189">
        <f>'Mg St LP'!P128</f>
        <v>3638.333333</v>
      </c>
      <c r="AB24" s="264">
        <f t="shared" si="63"/>
        <v>0.0004862396409</v>
      </c>
      <c r="AC24" s="189">
        <f>'Mg St LP'!R128</f>
        <v>3638</v>
      </c>
      <c r="AD24" s="264">
        <f t="shared" si="64"/>
        <v>0.0004437786492</v>
      </c>
      <c r="AE24" s="189">
        <f>'Mg St Bandra'!P128</f>
        <v>31663.33333</v>
      </c>
      <c r="AF24" s="264">
        <f t="shared" si="65"/>
        <v>0.002074260491</v>
      </c>
      <c r="AG24" s="189">
        <f>'Mg St Bandra'!R128</f>
        <v>23000</v>
      </c>
      <c r="AH24" s="264">
        <f t="shared" si="66"/>
        <v>0.001416041987</v>
      </c>
      <c r="AI24" s="186">
        <f>'MSK Events'!F117</f>
        <v>6806.25</v>
      </c>
      <c r="AJ24" s="186"/>
      <c r="AK24" s="186" t="str">
        <f t="shared" si="67"/>
        <v>#REF!</v>
      </c>
      <c r="AL24" s="186"/>
      <c r="AM24" s="189">
        <f>MSBC!P109</f>
        <v>10521.33333</v>
      </c>
      <c r="AN24" s="186"/>
      <c r="AO24" s="186">
        <f>MSBC!R109</f>
        <v>0</v>
      </c>
      <c r="AP24" s="186"/>
      <c r="AQ24" s="189">
        <f>Kaspers!L113</f>
        <v>0</v>
      </c>
      <c r="AR24" s="186"/>
      <c r="AS24" s="189">
        <f>Kaspers!N113</f>
        <v>0</v>
      </c>
      <c r="AT24" s="186"/>
      <c r="AU24" s="186"/>
      <c r="AV24" s="186"/>
      <c r="AW24" s="186"/>
      <c r="AX24" s="186"/>
      <c r="AY24" s="189">
        <f>'MSBC Dahisar'!F108</f>
        <v>0</v>
      </c>
      <c r="AZ24" s="186"/>
      <c r="BA24" s="186"/>
      <c r="BB24" s="186"/>
      <c r="BC24" s="114">
        <v>0.0</v>
      </c>
      <c r="BD24" s="43"/>
      <c r="BE24" s="114"/>
      <c r="BF24" s="43"/>
    </row>
    <row r="25" ht="15.75" customHeight="1">
      <c r="B25" s="188" t="s">
        <v>41</v>
      </c>
      <c r="C25" s="262">
        <f t="shared" si="48"/>
        <v>3898769.083</v>
      </c>
      <c r="D25" s="263">
        <f t="shared" si="49"/>
        <v>0.08002820434</v>
      </c>
      <c r="E25" s="262" t="str">
        <f t="shared" si="50"/>
        <v>#REF!</v>
      </c>
      <c r="F25" s="263" t="str">
        <f t="shared" si="51"/>
        <v>#REF!</v>
      </c>
      <c r="G25" s="189">
        <f>HO!P106</f>
        <v>1400209.333</v>
      </c>
      <c r="H25" s="186"/>
      <c r="I25" s="189">
        <f>HO!R106</f>
        <v>76500</v>
      </c>
      <c r="J25" s="186"/>
      <c r="K25" s="262">
        <f t="shared" si="52"/>
        <v>2498559.75</v>
      </c>
      <c r="L25" s="263">
        <f t="shared" si="53"/>
        <v>0.05128676409</v>
      </c>
      <c r="M25" s="262" t="str">
        <f t="shared" si="54"/>
        <v>#REF!</v>
      </c>
      <c r="N25" s="263" t="str">
        <f t="shared" si="55"/>
        <v>#REF!</v>
      </c>
      <c r="O25" s="189">
        <f>'The Table'!P99</f>
        <v>303026.0833</v>
      </c>
      <c r="P25" s="264">
        <f t="shared" si="56"/>
        <v>0.02219466114</v>
      </c>
      <c r="Q25" s="189">
        <f>'The Table'!R99</f>
        <v>283203</v>
      </c>
      <c r="R25" s="264">
        <f t="shared" si="57"/>
        <v>0.02226850787</v>
      </c>
      <c r="S25" s="189">
        <f>Iktara!H99</f>
        <v>5455.416667</v>
      </c>
      <c r="T25" s="264">
        <f t="shared" si="58"/>
        <v>0.01528808816</v>
      </c>
      <c r="U25" s="186" t="str">
        <f t="shared" si="59"/>
        <v>#REF!</v>
      </c>
      <c r="V25" s="264" t="str">
        <f t="shared" si="60"/>
        <v>#REF!</v>
      </c>
      <c r="W25" s="189">
        <f>'Mg St Colaba'!P132</f>
        <v>365658</v>
      </c>
      <c r="X25" s="264">
        <f t="shared" si="61"/>
        <v>0.03236821252</v>
      </c>
      <c r="Y25" s="189">
        <f>'Mg St Colaba'!R132</f>
        <v>421563.0833</v>
      </c>
      <c r="Z25" s="264">
        <f t="shared" si="62"/>
        <v>0.03225040009</v>
      </c>
      <c r="AA25" s="189">
        <f>'Mg St LP'!P132</f>
        <v>70560.75</v>
      </c>
      <c r="AB25" s="264">
        <f t="shared" si="63"/>
        <v>0.00942998637</v>
      </c>
      <c r="AC25" s="189">
        <f>'Mg St LP'!R132</f>
        <v>59242.5</v>
      </c>
      <c r="AD25" s="264">
        <f t="shared" si="64"/>
        <v>0.007226651079</v>
      </c>
      <c r="AE25" s="189">
        <f>'Mg St Bandra'!P132</f>
        <v>574569.3333</v>
      </c>
      <c r="AF25" s="264">
        <f t="shared" si="65"/>
        <v>0.03763995581</v>
      </c>
      <c r="AG25" s="189">
        <f>'Mg St Bandra'!R132</f>
        <v>455458.3333</v>
      </c>
      <c r="AH25" s="264">
        <f t="shared" si="66"/>
        <v>0.02804122274</v>
      </c>
      <c r="AI25" s="186">
        <f>'MSK Events'!F121</f>
        <v>41021.16667</v>
      </c>
      <c r="AJ25" s="186"/>
      <c r="AK25" s="186" t="str">
        <f t="shared" si="67"/>
        <v>#REF!</v>
      </c>
      <c r="AL25" s="186"/>
      <c r="AM25" s="189">
        <f>MSBC!P114</f>
        <v>161226</v>
      </c>
      <c r="AN25" s="186"/>
      <c r="AO25" s="186">
        <f>MSBC!R114</f>
        <v>0</v>
      </c>
      <c r="AP25" s="186"/>
      <c r="AQ25" s="189">
        <f>Kaspers!L117</f>
        <v>938643</v>
      </c>
      <c r="AR25" s="186"/>
      <c r="AS25" s="189">
        <f>Kaspers!N117</f>
        <v>0</v>
      </c>
      <c r="AT25" s="186"/>
      <c r="AU25" s="189">
        <f>'MSBC Andheri'!F123</f>
        <v>16200</v>
      </c>
      <c r="AV25" s="186"/>
      <c r="AW25" s="186"/>
      <c r="AX25" s="186"/>
      <c r="AY25" s="189">
        <f>'MSBC Dahisar'!F112</f>
        <v>22200</v>
      </c>
      <c r="AZ25" s="186"/>
      <c r="BA25" s="186"/>
      <c r="BB25" s="186"/>
      <c r="BC25" s="114">
        <f>'LOUD MOUTH'!F128</f>
        <v>0</v>
      </c>
      <c r="BD25" s="43"/>
      <c r="BE25" s="114"/>
      <c r="BF25" s="43"/>
    </row>
    <row r="26" ht="15.75" customHeight="1">
      <c r="B26" s="188" t="s">
        <v>42</v>
      </c>
      <c r="C26" s="262">
        <f t="shared" si="48"/>
        <v>63100</v>
      </c>
      <c r="D26" s="263">
        <f t="shared" si="49"/>
        <v>0.001295224104</v>
      </c>
      <c r="E26" s="262" t="str">
        <f t="shared" si="50"/>
        <v>#REF!</v>
      </c>
      <c r="F26" s="263" t="str">
        <f t="shared" si="51"/>
        <v>#REF!</v>
      </c>
      <c r="G26" s="189">
        <f>HO!P123</f>
        <v>63100</v>
      </c>
      <c r="H26" s="186"/>
      <c r="I26" s="189">
        <f>HO!R123</f>
        <v>100000</v>
      </c>
      <c r="J26" s="186"/>
      <c r="K26" s="262">
        <f t="shared" si="52"/>
        <v>0</v>
      </c>
      <c r="L26" s="263">
        <f t="shared" si="53"/>
        <v>0</v>
      </c>
      <c r="M26" s="262" t="str">
        <f t="shared" si="54"/>
        <v>#REF!</v>
      </c>
      <c r="N26" s="263" t="str">
        <f t="shared" si="55"/>
        <v>#REF!</v>
      </c>
      <c r="O26" s="189">
        <f>'The Table'!P122</f>
        <v>0</v>
      </c>
      <c r="P26" s="264">
        <f t="shared" si="56"/>
        <v>0</v>
      </c>
      <c r="Q26" s="189">
        <f>'The Table'!R122</f>
        <v>0</v>
      </c>
      <c r="R26" s="264">
        <f t="shared" si="57"/>
        <v>0</v>
      </c>
      <c r="S26" s="189">
        <f>Iktara!H112</f>
        <v>0</v>
      </c>
      <c r="T26" s="264">
        <f t="shared" si="58"/>
        <v>0</v>
      </c>
      <c r="U26" s="186" t="str">
        <f t="shared" si="59"/>
        <v>#REF!</v>
      </c>
      <c r="V26" s="264" t="str">
        <f t="shared" si="60"/>
        <v>#REF!</v>
      </c>
      <c r="W26" s="189">
        <f>'Mg St Colaba'!P148</f>
        <v>0</v>
      </c>
      <c r="X26" s="264">
        <f t="shared" si="61"/>
        <v>0</v>
      </c>
      <c r="Y26" s="189">
        <f>'Mg St Colaba'!R148</f>
        <v>0</v>
      </c>
      <c r="Z26" s="264">
        <f t="shared" si="62"/>
        <v>0</v>
      </c>
      <c r="AA26" s="189">
        <f>'Mg St LP'!P148</f>
        <v>0</v>
      </c>
      <c r="AB26" s="264">
        <f t="shared" si="63"/>
        <v>0</v>
      </c>
      <c r="AC26" s="186">
        <f>'Mg St LP'!R148</f>
        <v>0</v>
      </c>
      <c r="AD26" s="264">
        <f t="shared" si="64"/>
        <v>0</v>
      </c>
      <c r="AE26" s="189">
        <f>'Mg St Bandra'!P149</f>
        <v>0</v>
      </c>
      <c r="AF26" s="264">
        <f t="shared" si="65"/>
        <v>0</v>
      </c>
      <c r="AG26" s="189">
        <f>'Mg St Bandra'!R149</f>
        <v>0</v>
      </c>
      <c r="AH26" s="264">
        <f t="shared" si="66"/>
        <v>0</v>
      </c>
      <c r="AI26" s="186">
        <f>'MSK Events'!F138</f>
        <v>0</v>
      </c>
      <c r="AJ26" s="186"/>
      <c r="AK26" s="186" t="str">
        <f t="shared" si="67"/>
        <v>#REF!</v>
      </c>
      <c r="AL26" s="186"/>
      <c r="AM26" s="189">
        <f>MSBC!P131</f>
        <v>0</v>
      </c>
      <c r="AN26" s="186"/>
      <c r="AO26" s="186">
        <f>MSBC!R131</f>
        <v>0</v>
      </c>
      <c r="AP26" s="186"/>
      <c r="AQ26" s="189">
        <f>Kaspers!L141</f>
        <v>0</v>
      </c>
      <c r="AR26" s="186"/>
      <c r="AS26" s="189">
        <f>Kaspers!N141</f>
        <v>0</v>
      </c>
      <c r="AT26" s="186"/>
      <c r="AU26" s="189">
        <f>'MSBC Andheri'!F138</f>
        <v>0</v>
      </c>
      <c r="AV26" s="186"/>
      <c r="AW26" s="186"/>
      <c r="AX26" s="186"/>
      <c r="AY26" s="189">
        <f>'MSBC Dahisar'!F127</f>
        <v>0</v>
      </c>
      <c r="AZ26" s="186"/>
      <c r="BA26" s="186"/>
      <c r="BB26" s="186"/>
      <c r="BC26" s="114"/>
      <c r="BD26" s="43"/>
      <c r="BE26" s="114"/>
      <c r="BF26" s="43"/>
    </row>
    <row r="27" ht="15.75" customHeight="1">
      <c r="B27" s="188" t="s">
        <v>43</v>
      </c>
      <c r="C27" s="262">
        <f t="shared" si="48"/>
        <v>-1100275.669</v>
      </c>
      <c r="D27" s="263">
        <f t="shared" si="49"/>
        <v>-0.02258484259</v>
      </c>
      <c r="E27" s="262" t="str">
        <f t="shared" si="50"/>
        <v>#REF!</v>
      </c>
      <c r="F27" s="263" t="str">
        <f t="shared" si="51"/>
        <v>#REF!</v>
      </c>
      <c r="G27" s="189">
        <f>HO!P130</f>
        <v>423526</v>
      </c>
      <c r="H27" s="186"/>
      <c r="I27" s="189">
        <f>HO!R130</f>
        <v>0</v>
      </c>
      <c r="J27" s="186"/>
      <c r="K27" s="262">
        <f t="shared" si="52"/>
        <v>-1523801.669</v>
      </c>
      <c r="L27" s="263">
        <f t="shared" si="53"/>
        <v>-0.03127836215</v>
      </c>
      <c r="M27" s="262" t="str">
        <f t="shared" si="54"/>
        <v>#REF!</v>
      </c>
      <c r="N27" s="263" t="str">
        <f t="shared" si="55"/>
        <v>#REF!</v>
      </c>
      <c r="O27" s="189">
        <f>'The Table'!P127</f>
        <v>0</v>
      </c>
      <c r="P27" s="264">
        <f t="shared" si="56"/>
        <v>0</v>
      </c>
      <c r="Q27" s="189">
        <f>'The Table'!R127</f>
        <v>0</v>
      </c>
      <c r="R27" s="264">
        <f t="shared" si="57"/>
        <v>0</v>
      </c>
      <c r="S27" s="189">
        <f>Iktara!H116</f>
        <v>0</v>
      </c>
      <c r="T27" s="264">
        <f t="shared" si="58"/>
        <v>0</v>
      </c>
      <c r="U27" s="189" t="str">
        <f t="shared" si="59"/>
        <v>#REF!</v>
      </c>
      <c r="V27" s="264" t="str">
        <f t="shared" si="60"/>
        <v>#REF!</v>
      </c>
      <c r="W27" s="189">
        <f>'Mg St Colaba'!P153</f>
        <v>0</v>
      </c>
      <c r="X27" s="264">
        <f t="shared" si="61"/>
        <v>0</v>
      </c>
      <c r="Y27" s="189">
        <f>'Mg St Colaba'!R153</f>
        <v>0</v>
      </c>
      <c r="Z27" s="264">
        <f t="shared" si="62"/>
        <v>0</v>
      </c>
      <c r="AA27" s="189">
        <f>'Mg St LP'!P152</f>
        <v>0</v>
      </c>
      <c r="AB27" s="264">
        <f t="shared" si="63"/>
        <v>0</v>
      </c>
      <c r="AC27" s="189">
        <f>'Mg St LP'!R152</f>
        <v>0</v>
      </c>
      <c r="AD27" s="264">
        <f t="shared" si="64"/>
        <v>0</v>
      </c>
      <c r="AE27" s="189">
        <f>'Mg St Bandra'!P153</f>
        <v>0</v>
      </c>
      <c r="AF27" s="264">
        <f t="shared" si="65"/>
        <v>0</v>
      </c>
      <c r="AG27" s="189">
        <f>'Mg St Bandra'!R153</f>
        <v>0</v>
      </c>
      <c r="AH27" s="264">
        <f t="shared" si="66"/>
        <v>0</v>
      </c>
      <c r="AI27" s="186">
        <f>'MSK Events'!F142</f>
        <v>0</v>
      </c>
      <c r="AJ27" s="186"/>
      <c r="AK27" s="186" t="str">
        <f t="shared" si="67"/>
        <v>#REF!</v>
      </c>
      <c r="AL27" s="186"/>
      <c r="AM27" s="189">
        <f>MSBC!P135</f>
        <v>-1523801.669</v>
      </c>
      <c r="AN27" s="186"/>
      <c r="AO27" s="186">
        <f>MSBC!R135</f>
        <v>0</v>
      </c>
      <c r="AP27" s="186"/>
      <c r="AQ27" s="189">
        <f>Kaspers!L145</f>
        <v>0</v>
      </c>
      <c r="AR27" s="186"/>
      <c r="AS27" s="189">
        <f>Kaspers!N145</f>
        <v>0</v>
      </c>
      <c r="AT27" s="186"/>
      <c r="AU27" s="186"/>
      <c r="AV27" s="186"/>
      <c r="AW27" s="186"/>
      <c r="AX27" s="186"/>
      <c r="AY27" s="189">
        <f>'MSBC Dahisar'!F131</f>
        <v>0</v>
      </c>
      <c r="AZ27" s="186"/>
      <c r="BA27" s="186"/>
      <c r="BB27" s="186"/>
      <c r="BC27" s="62">
        <f>'LOUD MOUTH'!F148</f>
        <v>0</v>
      </c>
      <c r="BD27" s="62"/>
      <c r="BE27" s="62"/>
      <c r="BF27" s="62"/>
    </row>
    <row r="28" ht="15.75" customHeight="1">
      <c r="B28" s="188" t="s">
        <v>44</v>
      </c>
      <c r="C28" s="262">
        <f>SUM(C18:C27)</f>
        <v>32566271.87</v>
      </c>
      <c r="D28" s="263">
        <f t="shared" si="49"/>
        <v>0.6684725882</v>
      </c>
      <c r="E28" s="262" t="str">
        <f t="shared" si="50"/>
        <v>#REF!</v>
      </c>
      <c r="F28" s="263" t="str">
        <f t="shared" si="51"/>
        <v>#REF!</v>
      </c>
      <c r="G28" s="265">
        <f>SUM(G18:G27)</f>
        <v>6884744.217</v>
      </c>
      <c r="H28" s="186"/>
      <c r="I28" s="189">
        <f>SUM(I18:I27)</f>
        <v>4784459.833</v>
      </c>
      <c r="J28" s="186"/>
      <c r="K28" s="262">
        <f>SUM(K18:K27)</f>
        <v>25681527.65</v>
      </c>
      <c r="L28" s="263">
        <f t="shared" si="53"/>
        <v>0.5271526728</v>
      </c>
      <c r="M28" s="262" t="str">
        <f>SUM(M18:M27)</f>
        <v>#REF!</v>
      </c>
      <c r="N28" s="263" t="str">
        <f t="shared" si="55"/>
        <v>#REF!</v>
      </c>
      <c r="O28" s="189">
        <f>SUM(O18:O27)</f>
        <v>8052295.633</v>
      </c>
      <c r="P28" s="264">
        <f t="shared" si="56"/>
        <v>0.5897775234</v>
      </c>
      <c r="Q28" s="189">
        <f>SUM(Q18:Q27)</f>
        <v>8173860.739</v>
      </c>
      <c r="R28" s="264">
        <f t="shared" si="57"/>
        <v>0.642718058</v>
      </c>
      <c r="S28" s="189">
        <f>SUM(S18:S27)</f>
        <v>475551.6034</v>
      </c>
      <c r="T28" s="264">
        <f t="shared" si="58"/>
        <v>1.332670863</v>
      </c>
      <c r="U28" s="189" t="str">
        <f>SUM(U18:U27)</f>
        <v>#REF!</v>
      </c>
      <c r="V28" s="264" t="str">
        <f t="shared" si="60"/>
        <v>#REF!</v>
      </c>
      <c r="W28" s="189">
        <f>SUM(W18:W27)</f>
        <v>5808576.271</v>
      </c>
      <c r="X28" s="264">
        <f t="shared" si="61"/>
        <v>0.5141778141</v>
      </c>
      <c r="Y28" s="189">
        <f>SUM(Y18:Y27)</f>
        <v>6236323.256</v>
      </c>
      <c r="Z28" s="264">
        <f t="shared" si="62"/>
        <v>0.477090922</v>
      </c>
      <c r="AA28" s="189">
        <f>SUM(AA18:AA27)</f>
        <v>2792353.411</v>
      </c>
      <c r="AB28" s="264">
        <f t="shared" si="63"/>
        <v>0.3731799139</v>
      </c>
      <c r="AC28" s="189">
        <f>SUM(AC18:AC27)</f>
        <v>3151840.41</v>
      </c>
      <c r="AD28" s="264">
        <f t="shared" si="64"/>
        <v>0.3844748432</v>
      </c>
      <c r="AE28" s="189">
        <f>SUM(AE18:AE27)</f>
        <v>6766497.64</v>
      </c>
      <c r="AF28" s="264">
        <f t="shared" si="65"/>
        <v>0.4432723039</v>
      </c>
      <c r="AG28" s="189">
        <f>SUM(AG18:AG27)</f>
        <v>7028034.665</v>
      </c>
      <c r="AH28" s="264">
        <f t="shared" si="66"/>
        <v>0.4326953117</v>
      </c>
      <c r="AI28" s="265">
        <f>SUM(AI18:AI27)</f>
        <v>320301.4167</v>
      </c>
      <c r="AJ28" s="186"/>
      <c r="AK28" s="189" t="str">
        <f>SUM(AK18:AK27)</f>
        <v>#REF!</v>
      </c>
      <c r="AL28" s="186"/>
      <c r="AM28" s="189">
        <f>SUM(AM18:AM27)</f>
        <v>234645.4467</v>
      </c>
      <c r="AN28" s="186"/>
      <c r="AO28" s="189">
        <f>SUM(AO18:AO27)</f>
        <v>63580</v>
      </c>
      <c r="AP28" s="186"/>
      <c r="AQ28" s="189">
        <f>SUM(AQ18:AQ27)</f>
        <v>1028879.667</v>
      </c>
      <c r="AR28" s="186"/>
      <c r="AS28" s="189">
        <f>SUM(AS18:AS27)</f>
        <v>26833.33333</v>
      </c>
      <c r="AT28" s="186"/>
      <c r="AU28" s="189">
        <f>SUM(AU18:AU27)</f>
        <v>143683.2314</v>
      </c>
      <c r="AV28" s="186"/>
      <c r="AW28" s="186"/>
      <c r="AX28" s="186"/>
      <c r="AY28" s="189">
        <f>SUM(AY18:AY27)</f>
        <v>58743.33333</v>
      </c>
      <c r="AZ28" s="186"/>
      <c r="BA28" s="186"/>
      <c r="BB28" s="186"/>
      <c r="BC28" s="146">
        <f>SUM(BC18:BC27)</f>
        <v>67465</v>
      </c>
      <c r="BD28" s="62"/>
      <c r="BE28" s="62"/>
      <c r="BF28" s="62"/>
    </row>
    <row r="29" ht="15.75" customHeight="1">
      <c r="B29" s="188"/>
      <c r="C29" s="268"/>
      <c r="D29" s="268"/>
      <c r="E29" s="268"/>
      <c r="F29" s="268"/>
      <c r="G29" s="186"/>
      <c r="H29" s="186"/>
      <c r="I29" s="186"/>
      <c r="J29" s="186"/>
      <c r="K29" s="268"/>
      <c r="L29" s="268"/>
      <c r="M29" s="268"/>
      <c r="N29" s="268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264"/>
      <c r="AG29" s="186"/>
      <c r="AH29" s="186"/>
      <c r="AI29" s="186"/>
      <c r="AJ29" s="186"/>
      <c r="AK29" s="186"/>
      <c r="AL29" s="186"/>
      <c r="AM29" s="186"/>
      <c r="AN29" s="186"/>
      <c r="AO29" s="186"/>
      <c r="AP29" s="186"/>
      <c r="AQ29" s="186"/>
      <c r="AR29" s="186"/>
      <c r="AS29" s="186"/>
      <c r="AT29" s="186"/>
      <c r="AU29" s="186"/>
      <c r="AV29" s="186"/>
      <c r="AW29" s="186"/>
      <c r="AX29" s="186"/>
      <c r="AY29" s="186"/>
      <c r="AZ29" s="186"/>
      <c r="BA29" s="186"/>
      <c r="BB29" s="186"/>
      <c r="BC29" s="96"/>
      <c r="BD29" s="62"/>
      <c r="BE29" s="62"/>
      <c r="BF29" s="62"/>
    </row>
    <row r="30" ht="15.75" customHeight="1">
      <c r="B30" s="188" t="s">
        <v>45</v>
      </c>
      <c r="C30" s="262">
        <f>C16-C28</f>
        <v>-347482.9148</v>
      </c>
      <c r="D30" s="263">
        <f>C30/C$10</f>
        <v>-0.007132618814</v>
      </c>
      <c r="E30" s="262" t="str">
        <f>E16-E28</f>
        <v>#REF!</v>
      </c>
      <c r="F30" s="263" t="str">
        <f>E30/E$10</f>
        <v>#REF!</v>
      </c>
      <c r="G30" s="189">
        <f>G16-G28</f>
        <v>-6884744.217</v>
      </c>
      <c r="H30" s="186"/>
      <c r="I30" s="189">
        <f>I16-I28</f>
        <v>-4784459.833</v>
      </c>
      <c r="J30" s="186"/>
      <c r="K30" s="262">
        <f>K16-K28</f>
        <v>6537261.302</v>
      </c>
      <c r="L30" s="263">
        <f>K30/K$10</f>
        <v>0.1341872966</v>
      </c>
      <c r="M30" s="262" t="str">
        <f>M16-M28</f>
        <v>#REF!</v>
      </c>
      <c r="N30" s="263" t="str">
        <f>M30/M$10</f>
        <v>#REF!</v>
      </c>
      <c r="O30" s="189">
        <f>O16-O28</f>
        <v>-240412.323</v>
      </c>
      <c r="P30" s="264">
        <f>O30/O$10</f>
        <v>-0.01760861634</v>
      </c>
      <c r="Q30" s="189">
        <f>Q16-Q28</f>
        <v>330945.8072</v>
      </c>
      <c r="R30" s="264">
        <f>Q30/Q$10</f>
        <v>0.02602256795</v>
      </c>
      <c r="S30" s="189">
        <f>S16-S28</f>
        <v>-285882.9147</v>
      </c>
      <c r="T30" s="264">
        <f>S30/S$10</f>
        <v>-0.8011492926</v>
      </c>
      <c r="U30" s="189" t="str">
        <f>U16-U28</f>
        <v>#REF!</v>
      </c>
      <c r="V30" s="264" t="str">
        <f>U30/U$10</f>
        <v>#REF!</v>
      </c>
      <c r="W30" s="189">
        <f>W16-W28</f>
        <v>1708603.606</v>
      </c>
      <c r="X30" s="264">
        <f>W30/W$10</f>
        <v>0.1512463686</v>
      </c>
      <c r="Y30" s="189">
        <f>Y16-Y28</f>
        <v>3119478.844</v>
      </c>
      <c r="Z30" s="264">
        <f>Y30/Y$10</f>
        <v>0.2386462306</v>
      </c>
      <c r="AA30" s="189">
        <f>AA16-AA28</f>
        <v>2261254.761</v>
      </c>
      <c r="AB30" s="264">
        <f>AA30/AA$10</f>
        <v>0.3022020255</v>
      </c>
      <c r="AC30" s="189">
        <f>AC16-AC28</f>
        <v>2994183.515</v>
      </c>
      <c r="AD30" s="264">
        <f>AC30/AC$10</f>
        <v>0.3652431873</v>
      </c>
      <c r="AE30" s="189">
        <f>AE16-AE28</f>
        <v>4664149.365</v>
      </c>
      <c r="AF30" s="264">
        <f>AE30/AE$10</f>
        <v>0.3055477656</v>
      </c>
      <c r="AG30" s="189">
        <f>AG16-AG28</f>
        <v>4386301.027</v>
      </c>
      <c r="AH30" s="264">
        <f>AG30/AG$10</f>
        <v>0.2700515835</v>
      </c>
      <c r="AI30" s="189">
        <f>AI16-AI28</f>
        <v>-320301.4167</v>
      </c>
      <c r="AJ30" s="186"/>
      <c r="AK30" s="189" t="str">
        <f>AK16-AK28</f>
        <v>#REF!</v>
      </c>
      <c r="AL30" s="186"/>
      <c r="AM30" s="189">
        <f>AM16-AM28</f>
        <v>-145828.87</v>
      </c>
      <c r="AN30" s="186"/>
      <c r="AO30" s="189">
        <f>AO16-AO28</f>
        <v>16420</v>
      </c>
      <c r="AP30" s="186"/>
      <c r="AQ30" s="189">
        <f>AQ16-AQ28</f>
        <v>-1028879.667</v>
      </c>
      <c r="AR30" s="186"/>
      <c r="AS30" s="189">
        <f>AS16-AS28</f>
        <v>-26833.33333</v>
      </c>
      <c r="AT30" s="186"/>
      <c r="AU30" s="189">
        <f>AU16-AU28</f>
        <v>-73778.78573</v>
      </c>
      <c r="AV30" s="186"/>
      <c r="AW30" s="186"/>
      <c r="AX30" s="186"/>
      <c r="AY30" s="189">
        <f>AY16-AY28</f>
        <v>-47928.33333</v>
      </c>
      <c r="AZ30" s="186"/>
      <c r="BA30" s="186"/>
      <c r="BB30" s="186"/>
      <c r="BC30" s="146">
        <f>BC16-BC28</f>
        <v>-67465</v>
      </c>
      <c r="BD30" s="62"/>
      <c r="BE30" s="62"/>
      <c r="BF30" s="62"/>
    </row>
    <row r="31" ht="15.75" customHeight="1">
      <c r="BC31" s="274"/>
      <c r="BD31" s="274"/>
      <c r="BE31" s="274"/>
      <c r="BF31" s="274"/>
    </row>
    <row r="32" ht="15.75" customHeight="1">
      <c r="AM32" s="129">
        <f>MSBC!P142</f>
        <v>-145828.87</v>
      </c>
      <c r="BC32" s="3"/>
      <c r="BD32" s="3"/>
      <c r="BE32" s="3"/>
      <c r="BF32" s="3"/>
    </row>
    <row r="33" ht="15.75" customHeight="1">
      <c r="BC33" s="3"/>
      <c r="BD33" s="3"/>
      <c r="BE33" s="3"/>
      <c r="BF33" s="3"/>
    </row>
    <row r="34" ht="15.75" customHeight="1">
      <c r="BC34" s="3"/>
      <c r="BD34" s="3"/>
      <c r="BE34" s="3"/>
      <c r="BF34" s="3"/>
    </row>
    <row r="35" ht="15.75" customHeight="1">
      <c r="BC35" s="3"/>
      <c r="BD35" s="3"/>
      <c r="BE35" s="3"/>
      <c r="BF35" s="3"/>
    </row>
    <row r="36" ht="15.75" customHeight="1">
      <c r="BC36" s="3"/>
      <c r="BD36" s="3"/>
      <c r="BE36" s="3"/>
      <c r="BF36" s="3"/>
    </row>
    <row r="37" ht="15.75" customHeight="1">
      <c r="BC37" s="3"/>
      <c r="BD37" s="3"/>
      <c r="BE37" s="3"/>
      <c r="BF37" s="3"/>
    </row>
    <row r="38" ht="15.75" customHeight="1">
      <c r="BC38" s="3"/>
      <c r="BD38" s="3"/>
      <c r="BE38" s="3"/>
      <c r="BF38" s="3"/>
    </row>
    <row r="39" ht="15.75" customHeight="1">
      <c r="BC39" s="3"/>
      <c r="BD39" s="3"/>
      <c r="BE39" s="3"/>
      <c r="BF39" s="3"/>
    </row>
    <row r="40" ht="15.75" customHeight="1">
      <c r="BC40" s="3"/>
      <c r="BD40" s="3"/>
      <c r="BE40" s="3"/>
      <c r="BF40" s="3"/>
    </row>
    <row r="41" ht="15.75" customHeight="1">
      <c r="BC41" s="3"/>
      <c r="BD41" s="3"/>
      <c r="BE41" s="3"/>
      <c r="BF41" s="3"/>
    </row>
    <row r="42" ht="15.75" customHeight="1">
      <c r="BC42" s="3"/>
      <c r="BD42" s="3"/>
      <c r="BE42" s="3"/>
      <c r="BF42" s="3"/>
    </row>
    <row r="43" ht="15.75" customHeight="1">
      <c r="BC43" s="3"/>
      <c r="BD43" s="3"/>
      <c r="BE43" s="3"/>
      <c r="BF43" s="3"/>
    </row>
    <row r="44" ht="15.75" customHeight="1">
      <c r="BC44" s="3"/>
      <c r="BD44" s="3"/>
      <c r="BE44" s="3"/>
      <c r="BF44" s="3"/>
    </row>
    <row r="45" ht="15.75" customHeight="1">
      <c r="BC45" s="3"/>
      <c r="BD45" s="3"/>
      <c r="BE45" s="3"/>
      <c r="BF45" s="3"/>
    </row>
    <row r="46" ht="15.75" customHeight="1">
      <c r="BC46" s="3"/>
      <c r="BD46" s="3"/>
      <c r="BE46" s="3"/>
      <c r="BF46" s="3"/>
    </row>
    <row r="47" ht="15.75" customHeight="1">
      <c r="BC47" s="3"/>
      <c r="BD47" s="3"/>
      <c r="BE47" s="3"/>
      <c r="BF47" s="3"/>
    </row>
    <row r="48" ht="15.75" customHeight="1">
      <c r="BC48" s="3"/>
      <c r="BD48" s="3"/>
      <c r="BE48" s="3"/>
      <c r="BF48" s="3"/>
    </row>
    <row r="49" ht="15.75" customHeight="1">
      <c r="BC49" s="3"/>
      <c r="BD49" s="3"/>
      <c r="BE49" s="3"/>
      <c r="BF49" s="3"/>
    </row>
    <row r="50" ht="15.75" customHeight="1">
      <c r="BC50" s="3"/>
      <c r="BD50" s="3"/>
      <c r="BE50" s="3"/>
      <c r="BF50" s="3"/>
    </row>
    <row r="51" ht="15.75" customHeight="1">
      <c r="BC51" s="3"/>
      <c r="BD51" s="3"/>
      <c r="BE51" s="3"/>
      <c r="BF51" s="3"/>
    </row>
    <row r="52" ht="15.75" customHeight="1">
      <c r="BC52" s="3"/>
      <c r="BD52" s="3"/>
      <c r="BE52" s="3"/>
      <c r="BF52" s="3"/>
    </row>
    <row r="53" ht="15.75" customHeight="1">
      <c r="BC53" s="3"/>
      <c r="BD53" s="3"/>
      <c r="BE53" s="3"/>
      <c r="BF53" s="3"/>
    </row>
    <row r="54" ht="15.75" customHeight="1">
      <c r="BC54" s="3"/>
      <c r="BD54" s="3"/>
      <c r="BE54" s="3"/>
      <c r="BF54" s="3"/>
    </row>
    <row r="55" ht="15.75" customHeight="1">
      <c r="BC55" s="3"/>
      <c r="BD55" s="3"/>
      <c r="BE55" s="3"/>
      <c r="BF55" s="3"/>
    </row>
    <row r="56" ht="15.75" customHeight="1">
      <c r="BC56" s="3"/>
      <c r="BD56" s="3"/>
      <c r="BE56" s="3"/>
      <c r="BF56" s="3"/>
    </row>
    <row r="57" ht="15.75" customHeight="1">
      <c r="BC57" s="3"/>
      <c r="BD57" s="3"/>
      <c r="BE57" s="3"/>
      <c r="BF57" s="3"/>
    </row>
    <row r="58" ht="15.75" customHeight="1">
      <c r="BC58" s="3"/>
      <c r="BD58" s="3"/>
      <c r="BE58" s="3"/>
      <c r="BF58" s="3"/>
    </row>
    <row r="59" ht="15.75" customHeight="1">
      <c r="BC59" s="3"/>
      <c r="BD59" s="3"/>
      <c r="BE59" s="3"/>
      <c r="BF59" s="3"/>
    </row>
    <row r="60" ht="15.75" customHeight="1">
      <c r="BC60" s="3"/>
      <c r="BD60" s="3"/>
      <c r="BE60" s="3"/>
      <c r="BF60" s="3"/>
    </row>
    <row r="61" ht="15.75" customHeight="1">
      <c r="BC61" s="3"/>
      <c r="BD61" s="3"/>
      <c r="BE61" s="3"/>
      <c r="BF61" s="3"/>
    </row>
    <row r="62" ht="15.75" customHeight="1">
      <c r="BC62" s="3"/>
      <c r="BD62" s="3"/>
      <c r="BE62" s="3"/>
      <c r="BF62" s="3"/>
    </row>
    <row r="63" ht="15.75" customHeight="1">
      <c r="BC63" s="3"/>
      <c r="BD63" s="3"/>
      <c r="BE63" s="3"/>
      <c r="BF63" s="3"/>
    </row>
    <row r="64" ht="15.75" customHeight="1">
      <c r="BC64" s="3"/>
      <c r="BD64" s="3"/>
      <c r="BE64" s="3"/>
      <c r="BF64" s="3"/>
    </row>
    <row r="65" ht="15.75" customHeight="1">
      <c r="BC65" s="3"/>
      <c r="BD65" s="3"/>
      <c r="BE65" s="3"/>
      <c r="BF65" s="3"/>
    </row>
    <row r="66" ht="15.75" customHeight="1">
      <c r="BC66" s="3"/>
      <c r="BD66" s="3"/>
      <c r="BE66" s="3"/>
      <c r="BF66" s="3"/>
    </row>
    <row r="67" ht="15.75" customHeight="1">
      <c r="BC67" s="3"/>
      <c r="BD67" s="3"/>
      <c r="BE67" s="3"/>
      <c r="BF67" s="3"/>
    </row>
    <row r="68" ht="15.75" customHeight="1">
      <c r="BC68" s="3"/>
      <c r="BD68" s="3"/>
      <c r="BE68" s="3"/>
      <c r="BF68" s="3"/>
    </row>
    <row r="69" ht="15.75" customHeight="1">
      <c r="BC69" s="3"/>
      <c r="BD69" s="3"/>
      <c r="BE69" s="3"/>
      <c r="BF69" s="3"/>
    </row>
    <row r="70" ht="15.75" customHeight="1">
      <c r="BC70" s="3"/>
      <c r="BD70" s="3"/>
      <c r="BE70" s="3"/>
      <c r="BF70" s="3"/>
    </row>
    <row r="71" ht="15.75" customHeight="1">
      <c r="BC71" s="3"/>
      <c r="BD71" s="3"/>
      <c r="BE71" s="3"/>
      <c r="BF71" s="3"/>
    </row>
    <row r="72" ht="15.75" customHeight="1">
      <c r="BC72" s="3"/>
      <c r="BD72" s="3"/>
      <c r="BE72" s="3"/>
      <c r="BF72" s="3"/>
    </row>
    <row r="73" ht="15.75" customHeight="1">
      <c r="BC73" s="3"/>
      <c r="BD73" s="3"/>
      <c r="BE73" s="3"/>
      <c r="BF73" s="3"/>
    </row>
    <row r="74" ht="15.75" customHeight="1">
      <c r="BC74" s="3"/>
      <c r="BD74" s="3"/>
      <c r="BE74" s="3"/>
      <c r="BF74" s="3"/>
    </row>
    <row r="75" ht="15.75" customHeight="1">
      <c r="BC75" s="3"/>
      <c r="BD75" s="3"/>
      <c r="BE75" s="3"/>
      <c r="BF75" s="3"/>
    </row>
    <row r="76" ht="15.75" customHeight="1">
      <c r="BC76" s="3"/>
      <c r="BD76" s="3"/>
      <c r="BE76" s="3"/>
      <c r="BF76" s="3"/>
    </row>
    <row r="77" ht="15.75" customHeight="1">
      <c r="BC77" s="3"/>
      <c r="BD77" s="3"/>
      <c r="BE77" s="3"/>
      <c r="BF77" s="3"/>
    </row>
    <row r="78" ht="15.75" customHeight="1">
      <c r="BC78" s="3"/>
      <c r="BD78" s="3"/>
      <c r="BE78" s="3"/>
      <c r="BF78" s="3"/>
    </row>
    <row r="79" ht="15.75" customHeight="1">
      <c r="BC79" s="3"/>
      <c r="BD79" s="3"/>
      <c r="BE79" s="3"/>
      <c r="BF79" s="3"/>
    </row>
    <row r="80" ht="15.75" customHeight="1">
      <c r="BC80" s="3"/>
      <c r="BD80" s="3"/>
      <c r="BE80" s="3"/>
      <c r="BF80" s="3"/>
    </row>
    <row r="81" ht="15.75" customHeight="1">
      <c r="BC81" s="3"/>
      <c r="BD81" s="3"/>
      <c r="BE81" s="3"/>
      <c r="BF81" s="3"/>
    </row>
    <row r="82" ht="15.75" customHeight="1">
      <c r="BC82" s="3"/>
      <c r="BD82" s="3"/>
      <c r="BE82" s="3"/>
      <c r="BF82" s="3"/>
    </row>
    <row r="83" ht="15.75" customHeight="1">
      <c r="BC83" s="3"/>
      <c r="BD83" s="3"/>
      <c r="BE83" s="3"/>
      <c r="BF83" s="3"/>
    </row>
    <row r="84" ht="15.75" customHeight="1">
      <c r="BC84" s="3"/>
      <c r="BD84" s="3"/>
      <c r="BE84" s="3"/>
      <c r="BF84" s="3"/>
    </row>
    <row r="85" ht="15.75" customHeight="1">
      <c r="BC85" s="3"/>
      <c r="BD85" s="3"/>
      <c r="BE85" s="3"/>
      <c r="BF85" s="3"/>
    </row>
    <row r="86" ht="15.75" customHeight="1">
      <c r="BC86" s="3"/>
      <c r="BD86" s="3"/>
      <c r="BE86" s="3"/>
      <c r="BF86" s="3"/>
    </row>
    <row r="87" ht="15.75" customHeight="1">
      <c r="BC87" s="3"/>
      <c r="BD87" s="3"/>
      <c r="BE87" s="3"/>
      <c r="BF87" s="3"/>
    </row>
    <row r="88" ht="15.75" customHeight="1">
      <c r="BC88" s="3"/>
      <c r="BD88" s="3"/>
      <c r="BE88" s="3"/>
      <c r="BF88" s="3"/>
    </row>
    <row r="89" ht="15.75" customHeight="1">
      <c r="BC89" s="3"/>
      <c r="BD89" s="3"/>
      <c r="BE89" s="3"/>
      <c r="BF89" s="3"/>
    </row>
    <row r="90" ht="15.75" customHeight="1">
      <c r="BC90" s="3"/>
      <c r="BD90" s="3"/>
      <c r="BE90" s="3"/>
      <c r="BF90" s="3"/>
    </row>
    <row r="91" ht="15.75" customHeight="1">
      <c r="BC91" s="3"/>
      <c r="BD91" s="3"/>
      <c r="BE91" s="3"/>
      <c r="BF91" s="3"/>
    </row>
    <row r="92" ht="15.75" customHeight="1">
      <c r="BC92" s="3"/>
      <c r="BD92" s="3"/>
      <c r="BE92" s="3"/>
      <c r="BF92" s="3"/>
    </row>
    <row r="93" ht="15.75" customHeight="1">
      <c r="BC93" s="3"/>
      <c r="BD93" s="3"/>
      <c r="BE93" s="3"/>
      <c r="BF93" s="3"/>
    </row>
    <row r="94" ht="15.75" customHeight="1">
      <c r="BC94" s="3"/>
      <c r="BD94" s="3"/>
      <c r="BE94" s="3"/>
      <c r="BF94" s="3"/>
    </row>
    <row r="95" ht="15.75" customHeight="1">
      <c r="BC95" s="3"/>
      <c r="BD95" s="3"/>
      <c r="BE95" s="3"/>
      <c r="BF95" s="3"/>
    </row>
    <row r="96" ht="15.75" customHeight="1">
      <c r="BC96" s="3"/>
      <c r="BD96" s="3"/>
      <c r="BE96" s="3"/>
      <c r="BF96" s="3"/>
    </row>
    <row r="97" ht="15.75" customHeight="1">
      <c r="BC97" s="3"/>
      <c r="BD97" s="3"/>
      <c r="BE97" s="3"/>
      <c r="BF97" s="3"/>
    </row>
    <row r="98" ht="15.75" customHeight="1">
      <c r="BC98" s="3"/>
      <c r="BD98" s="3"/>
      <c r="BE98" s="3"/>
      <c r="BF98" s="3"/>
    </row>
    <row r="99" ht="15.75" customHeight="1">
      <c r="BC99" s="3"/>
      <c r="BD99" s="3"/>
      <c r="BE99" s="3"/>
      <c r="BF99" s="3"/>
    </row>
    <row r="100" ht="15.75" customHeight="1">
      <c r="BC100" s="3"/>
      <c r="BD100" s="3"/>
      <c r="BE100" s="3"/>
      <c r="BF100" s="3"/>
    </row>
    <row r="101" ht="15.75" customHeight="1">
      <c r="BC101" s="3"/>
      <c r="BD101" s="3"/>
      <c r="BE101" s="3"/>
      <c r="BF101" s="3"/>
    </row>
    <row r="102" ht="15.75" customHeight="1">
      <c r="BC102" s="3"/>
      <c r="BD102" s="3"/>
      <c r="BE102" s="3"/>
      <c r="BF102" s="3"/>
    </row>
    <row r="103" ht="15.75" customHeight="1">
      <c r="BC103" s="3"/>
      <c r="BD103" s="3"/>
      <c r="BE103" s="3"/>
      <c r="BF103" s="3"/>
    </row>
    <row r="104" ht="15.75" customHeight="1">
      <c r="BC104" s="3"/>
      <c r="BD104" s="3"/>
      <c r="BE104" s="3"/>
      <c r="BF104" s="3"/>
    </row>
    <row r="105" ht="15.75" customHeight="1">
      <c r="BC105" s="3"/>
      <c r="BD105" s="3"/>
      <c r="BE105" s="3"/>
      <c r="BF105" s="3"/>
    </row>
    <row r="106" ht="15.75" customHeight="1">
      <c r="BC106" s="3"/>
      <c r="BD106" s="3"/>
      <c r="BE106" s="3"/>
      <c r="BF106" s="3"/>
    </row>
    <row r="107" ht="15.75" customHeight="1">
      <c r="BC107" s="3"/>
      <c r="BD107" s="3"/>
      <c r="BE107" s="3"/>
      <c r="BF107" s="3"/>
    </row>
    <row r="108" ht="15.75" customHeight="1">
      <c r="BC108" s="3"/>
      <c r="BD108" s="3"/>
      <c r="BE108" s="3"/>
      <c r="BF108" s="3"/>
    </row>
    <row r="109" ht="15.75" customHeight="1">
      <c r="BC109" s="3"/>
      <c r="BD109" s="3"/>
      <c r="BE109" s="3"/>
      <c r="BF109" s="3"/>
    </row>
    <row r="110" ht="15.75" customHeight="1">
      <c r="BC110" s="3"/>
      <c r="BD110" s="3"/>
      <c r="BE110" s="3"/>
      <c r="BF110" s="3"/>
    </row>
    <row r="111" ht="15.75" customHeight="1">
      <c r="BC111" s="3"/>
      <c r="BD111" s="3"/>
      <c r="BE111" s="3"/>
      <c r="BF111" s="3"/>
    </row>
    <row r="112" ht="15.75" customHeight="1">
      <c r="BC112" s="3"/>
      <c r="BD112" s="3"/>
      <c r="BE112" s="3"/>
      <c r="BF112" s="3"/>
    </row>
    <row r="113" ht="15.75" customHeight="1">
      <c r="BC113" s="3"/>
      <c r="BD113" s="3"/>
      <c r="BE113" s="3"/>
      <c r="BF113" s="3"/>
    </row>
    <row r="114" ht="15.75" customHeight="1">
      <c r="BC114" s="3"/>
      <c r="BD114" s="3"/>
      <c r="BE114" s="3"/>
      <c r="BF114" s="3"/>
    </row>
    <row r="115" ht="15.75" customHeight="1">
      <c r="BC115" s="3"/>
      <c r="BD115" s="3"/>
      <c r="BE115" s="3"/>
      <c r="BF115" s="3"/>
    </row>
    <row r="116" ht="15.75" customHeight="1">
      <c r="BC116" s="3"/>
      <c r="BD116" s="3"/>
      <c r="BE116" s="3"/>
      <c r="BF116" s="3"/>
    </row>
    <row r="117" ht="15.75" customHeight="1">
      <c r="BC117" s="3"/>
      <c r="BD117" s="3"/>
      <c r="BE117" s="3"/>
      <c r="BF117" s="3"/>
    </row>
    <row r="118" ht="15.75" customHeight="1">
      <c r="BC118" s="3"/>
      <c r="BD118" s="3"/>
      <c r="BE118" s="3"/>
      <c r="BF118" s="3"/>
    </row>
    <row r="119" ht="15.75" customHeight="1">
      <c r="BC119" s="3"/>
      <c r="BD119" s="3"/>
      <c r="BE119" s="3"/>
      <c r="BF119" s="3"/>
    </row>
    <row r="120" ht="15.75" customHeight="1">
      <c r="BC120" s="3"/>
      <c r="BD120" s="3"/>
      <c r="BE120" s="3"/>
      <c r="BF120" s="3"/>
    </row>
    <row r="121" ht="15.75" customHeight="1">
      <c r="BC121" s="3"/>
      <c r="BD121" s="3"/>
      <c r="BE121" s="3"/>
      <c r="BF121" s="3"/>
    </row>
    <row r="122" ht="15.75" customHeight="1">
      <c r="BC122" s="3"/>
      <c r="BD122" s="3"/>
      <c r="BE122" s="3"/>
      <c r="BF122" s="3"/>
    </row>
    <row r="123" ht="15.75" customHeight="1">
      <c r="BC123" s="3"/>
      <c r="BD123" s="3"/>
      <c r="BE123" s="3"/>
      <c r="BF123" s="3"/>
    </row>
    <row r="124" ht="15.75" customHeight="1">
      <c r="BC124" s="3"/>
      <c r="BD124" s="3"/>
      <c r="BE124" s="3"/>
      <c r="BF124" s="3"/>
    </row>
    <row r="125" ht="15.75" customHeight="1">
      <c r="BC125" s="3"/>
      <c r="BD125" s="3"/>
      <c r="BE125" s="3"/>
      <c r="BF125" s="3"/>
    </row>
    <row r="126" ht="15.75" customHeight="1">
      <c r="BC126" s="3"/>
      <c r="BD126" s="3"/>
      <c r="BE126" s="3"/>
      <c r="BF126" s="3"/>
    </row>
    <row r="127" ht="15.75" customHeight="1">
      <c r="BC127" s="3"/>
      <c r="BD127" s="3"/>
      <c r="BE127" s="3"/>
      <c r="BF127" s="3"/>
    </row>
    <row r="128" ht="15.75" customHeight="1">
      <c r="BC128" s="3"/>
      <c r="BD128" s="3"/>
      <c r="BE128" s="3"/>
      <c r="BF128" s="3"/>
    </row>
    <row r="129" ht="15.75" customHeight="1">
      <c r="BC129" s="3"/>
      <c r="BD129" s="3"/>
      <c r="BE129" s="3"/>
      <c r="BF129" s="3"/>
    </row>
    <row r="130" ht="15.75" customHeight="1">
      <c r="BC130" s="3"/>
      <c r="BD130" s="3"/>
      <c r="BE130" s="3"/>
      <c r="BF130" s="3"/>
    </row>
    <row r="131" ht="15.75" customHeight="1">
      <c r="BC131" s="3"/>
      <c r="BD131" s="3"/>
      <c r="BE131" s="3"/>
      <c r="BF131" s="3"/>
    </row>
    <row r="132" ht="15.75" customHeight="1">
      <c r="BC132" s="3"/>
      <c r="BD132" s="3"/>
      <c r="BE132" s="3"/>
      <c r="BF132" s="3"/>
    </row>
    <row r="133" ht="15.75" customHeight="1">
      <c r="BC133" s="3"/>
      <c r="BD133" s="3"/>
      <c r="BE133" s="3"/>
      <c r="BF133" s="3"/>
    </row>
    <row r="134" ht="15.75" customHeight="1">
      <c r="BC134" s="3"/>
      <c r="BD134" s="3"/>
      <c r="BE134" s="3"/>
      <c r="BF134" s="3"/>
    </row>
    <row r="135" ht="15.75" customHeight="1">
      <c r="BC135" s="3"/>
      <c r="BD135" s="3"/>
      <c r="BE135" s="3"/>
      <c r="BF135" s="3"/>
    </row>
    <row r="136" ht="15.75" customHeight="1">
      <c r="BC136" s="3"/>
      <c r="BD136" s="3"/>
      <c r="BE136" s="3"/>
      <c r="BF136" s="3"/>
    </row>
    <row r="137" ht="15.75" customHeight="1">
      <c r="BC137" s="3"/>
      <c r="BD137" s="3"/>
      <c r="BE137" s="3"/>
      <c r="BF137" s="3"/>
    </row>
    <row r="138" ht="15.75" customHeight="1">
      <c r="BC138" s="3"/>
      <c r="BD138" s="3"/>
      <c r="BE138" s="3"/>
      <c r="BF138" s="3"/>
    </row>
    <row r="139" ht="15.75" customHeight="1">
      <c r="BC139" s="3"/>
      <c r="BD139" s="3"/>
      <c r="BE139" s="3"/>
      <c r="BF139" s="3"/>
    </row>
    <row r="140" ht="15.75" customHeight="1">
      <c r="BC140" s="3"/>
      <c r="BD140" s="3"/>
      <c r="BE140" s="3"/>
      <c r="BF140" s="3"/>
    </row>
    <row r="141" ht="15.75" customHeight="1">
      <c r="BC141" s="3"/>
      <c r="BD141" s="3"/>
      <c r="BE141" s="3"/>
      <c r="BF141" s="3"/>
    </row>
    <row r="142" ht="15.75" customHeight="1">
      <c r="BC142" s="3"/>
      <c r="BD142" s="3"/>
      <c r="BE142" s="3"/>
      <c r="BF142" s="3"/>
    </row>
    <row r="143" ht="15.75" customHeight="1">
      <c r="BC143" s="3"/>
      <c r="BD143" s="3"/>
      <c r="BE143" s="3"/>
      <c r="BF143" s="3"/>
    </row>
    <row r="144" ht="15.75" customHeight="1">
      <c r="BC144" s="3"/>
      <c r="BD144" s="3"/>
      <c r="BE144" s="3"/>
      <c r="BF144" s="3"/>
    </row>
    <row r="145" ht="15.75" customHeight="1">
      <c r="BC145" s="3"/>
      <c r="BD145" s="3"/>
      <c r="BE145" s="3"/>
      <c r="BF145" s="3"/>
    </row>
    <row r="146" ht="15.75" customHeight="1">
      <c r="BC146" s="3"/>
      <c r="BD146" s="3"/>
      <c r="BE146" s="3"/>
      <c r="BF146" s="3"/>
    </row>
    <row r="147" ht="15.75" customHeight="1">
      <c r="BC147" s="3"/>
      <c r="BD147" s="3"/>
      <c r="BE147" s="3"/>
      <c r="BF147" s="3"/>
    </row>
    <row r="148" ht="15.75" customHeight="1">
      <c r="BC148" s="3"/>
      <c r="BD148" s="3"/>
      <c r="BE148" s="3"/>
      <c r="BF148" s="3"/>
    </row>
    <row r="149" ht="15.75" customHeight="1">
      <c r="BC149" s="3"/>
      <c r="BD149" s="3"/>
      <c r="BE149" s="3"/>
      <c r="BF149" s="3"/>
    </row>
    <row r="150" ht="15.75" customHeight="1">
      <c r="BC150" s="3"/>
      <c r="BD150" s="3"/>
      <c r="BE150" s="3"/>
      <c r="BF150" s="3"/>
    </row>
    <row r="151" ht="15.75" customHeight="1">
      <c r="BC151" s="3"/>
      <c r="BD151" s="3"/>
      <c r="BE151" s="3"/>
      <c r="BF151" s="3"/>
    </row>
    <row r="152" ht="15.75" customHeight="1">
      <c r="BC152" s="3"/>
      <c r="BD152" s="3"/>
      <c r="BE152" s="3"/>
      <c r="BF152" s="3"/>
    </row>
    <row r="153" ht="15.75" customHeight="1">
      <c r="BC153" s="3"/>
      <c r="BD153" s="3"/>
      <c r="BE153" s="3"/>
      <c r="BF153" s="3"/>
    </row>
    <row r="154" ht="15.75" customHeight="1">
      <c r="BC154" s="3"/>
      <c r="BD154" s="3"/>
      <c r="BE154" s="3"/>
      <c r="BF154" s="3"/>
    </row>
    <row r="155" ht="15.75" customHeight="1">
      <c r="BC155" s="3"/>
      <c r="BD155" s="3"/>
      <c r="BE155" s="3"/>
      <c r="BF155" s="3"/>
    </row>
    <row r="156" ht="15.75" customHeight="1">
      <c r="BC156" s="3"/>
      <c r="BD156" s="3"/>
      <c r="BE156" s="3"/>
      <c r="BF156" s="3"/>
    </row>
    <row r="157" ht="15.75" customHeight="1">
      <c r="BC157" s="3"/>
      <c r="BD157" s="3"/>
      <c r="BE157" s="3"/>
      <c r="BF157" s="3"/>
    </row>
    <row r="158" ht="15.75" customHeight="1">
      <c r="BC158" s="3"/>
      <c r="BD158" s="3"/>
      <c r="BE158" s="3"/>
      <c r="BF158" s="3"/>
    </row>
    <row r="159" ht="15.75" customHeight="1">
      <c r="BC159" s="3"/>
      <c r="BD159" s="3"/>
      <c r="BE159" s="3"/>
      <c r="BF159" s="3"/>
    </row>
    <row r="160" ht="15.75" customHeight="1">
      <c r="BC160" s="3"/>
      <c r="BD160" s="3"/>
      <c r="BE160" s="3"/>
      <c r="BF160" s="3"/>
    </row>
    <row r="161" ht="15.75" customHeight="1">
      <c r="BC161" s="3"/>
      <c r="BD161" s="3"/>
      <c r="BE161" s="3"/>
      <c r="BF161" s="3"/>
    </row>
    <row r="162" ht="15.75" customHeight="1">
      <c r="BC162" s="3"/>
      <c r="BD162" s="3"/>
      <c r="BE162" s="3"/>
      <c r="BF162" s="3"/>
    </row>
    <row r="163" ht="15.75" customHeight="1">
      <c r="BC163" s="3"/>
      <c r="BD163" s="3"/>
      <c r="BE163" s="3"/>
      <c r="BF163" s="3"/>
    </row>
    <row r="164" ht="15.75" customHeight="1">
      <c r="BC164" s="3"/>
      <c r="BD164" s="3"/>
      <c r="BE164" s="3"/>
      <c r="BF164" s="3"/>
    </row>
    <row r="165" ht="15.75" customHeight="1">
      <c r="BC165" s="3"/>
      <c r="BD165" s="3"/>
      <c r="BE165" s="3"/>
      <c r="BF165" s="3"/>
    </row>
    <row r="166" ht="15.75" customHeight="1">
      <c r="BC166" s="3"/>
      <c r="BD166" s="3"/>
      <c r="BE166" s="3"/>
      <c r="BF166" s="3"/>
    </row>
    <row r="167" ht="15.75" customHeight="1">
      <c r="BC167" s="3"/>
      <c r="BD167" s="3"/>
      <c r="BE167" s="3"/>
      <c r="BF167" s="3"/>
    </row>
    <row r="168" ht="15.75" customHeight="1">
      <c r="BC168" s="3"/>
      <c r="BD168" s="3"/>
      <c r="BE168" s="3"/>
      <c r="BF168" s="3"/>
    </row>
    <row r="169" ht="15.75" customHeight="1">
      <c r="BC169" s="3"/>
      <c r="BD169" s="3"/>
      <c r="BE169" s="3"/>
      <c r="BF169" s="3"/>
    </row>
    <row r="170" ht="15.75" customHeight="1">
      <c r="BC170" s="3"/>
      <c r="BD170" s="3"/>
      <c r="BE170" s="3"/>
      <c r="BF170" s="3"/>
    </row>
    <row r="171" ht="15.75" customHeight="1">
      <c r="BC171" s="3"/>
      <c r="BD171" s="3"/>
      <c r="BE171" s="3"/>
      <c r="BF171" s="3"/>
    </row>
    <row r="172" ht="15.75" customHeight="1">
      <c r="BC172" s="3"/>
      <c r="BD172" s="3"/>
      <c r="BE172" s="3"/>
      <c r="BF172" s="3"/>
    </row>
    <row r="173" ht="15.75" customHeight="1">
      <c r="BC173" s="3"/>
      <c r="BD173" s="3"/>
      <c r="BE173" s="3"/>
      <c r="BF173" s="3"/>
    </row>
    <row r="174" ht="15.75" customHeight="1">
      <c r="BC174" s="3"/>
      <c r="BD174" s="3"/>
      <c r="BE174" s="3"/>
      <c r="BF174" s="3"/>
    </row>
    <row r="175" ht="15.75" customHeight="1">
      <c r="BC175" s="3"/>
      <c r="BD175" s="3"/>
      <c r="BE175" s="3"/>
      <c r="BF175" s="3"/>
    </row>
    <row r="176" ht="15.75" customHeight="1">
      <c r="BC176" s="3"/>
      <c r="BD176" s="3"/>
      <c r="BE176" s="3"/>
      <c r="BF176" s="3"/>
    </row>
    <row r="177" ht="15.75" customHeight="1">
      <c r="BC177" s="3"/>
      <c r="BD177" s="3"/>
      <c r="BE177" s="3"/>
      <c r="BF177" s="3"/>
    </row>
    <row r="178" ht="15.75" customHeight="1">
      <c r="BC178" s="3"/>
      <c r="BD178" s="3"/>
      <c r="BE178" s="3"/>
      <c r="BF178" s="3"/>
    </row>
    <row r="179" ht="15.75" customHeight="1">
      <c r="BC179" s="3"/>
      <c r="BD179" s="3"/>
      <c r="BE179" s="3"/>
      <c r="BF179" s="3"/>
    </row>
    <row r="180" ht="15.75" customHeight="1">
      <c r="BC180" s="3"/>
      <c r="BD180" s="3"/>
      <c r="BE180" s="3"/>
      <c r="BF180" s="3"/>
    </row>
    <row r="181" ht="15.75" customHeight="1">
      <c r="BC181" s="3"/>
      <c r="BD181" s="3"/>
      <c r="BE181" s="3"/>
      <c r="BF181" s="3"/>
    </row>
    <row r="182" ht="15.75" customHeight="1">
      <c r="BC182" s="3"/>
      <c r="BD182" s="3"/>
      <c r="BE182" s="3"/>
      <c r="BF182" s="3"/>
    </row>
    <row r="183" ht="15.75" customHeight="1">
      <c r="BC183" s="3"/>
      <c r="BD183" s="3"/>
      <c r="BE183" s="3"/>
      <c r="BF183" s="3"/>
    </row>
    <row r="184" ht="15.75" customHeight="1">
      <c r="BC184" s="3"/>
      <c r="BD184" s="3"/>
      <c r="BE184" s="3"/>
      <c r="BF184" s="3"/>
    </row>
    <row r="185" ht="15.75" customHeight="1">
      <c r="BC185" s="3"/>
      <c r="BD185" s="3"/>
      <c r="BE185" s="3"/>
      <c r="BF185" s="3"/>
    </row>
    <row r="186" ht="15.75" customHeight="1">
      <c r="BC186" s="3"/>
      <c r="BD186" s="3"/>
      <c r="BE186" s="3"/>
      <c r="BF186" s="3"/>
    </row>
    <row r="187" ht="15.75" customHeight="1">
      <c r="BC187" s="3"/>
      <c r="BD187" s="3"/>
      <c r="BE187" s="3"/>
      <c r="BF187" s="3"/>
    </row>
    <row r="188" ht="15.75" customHeight="1">
      <c r="BC188" s="3"/>
      <c r="BD188" s="3"/>
      <c r="BE188" s="3"/>
      <c r="BF188" s="3"/>
    </row>
    <row r="189" ht="15.75" customHeight="1">
      <c r="BC189" s="3"/>
      <c r="BD189" s="3"/>
      <c r="BE189" s="3"/>
      <c r="BF189" s="3"/>
    </row>
    <row r="190" ht="15.75" customHeight="1">
      <c r="BC190" s="3"/>
      <c r="BD190" s="3"/>
      <c r="BE190" s="3"/>
      <c r="BF190" s="3"/>
    </row>
    <row r="191" ht="15.75" customHeight="1">
      <c r="BC191" s="3"/>
      <c r="BD191" s="3"/>
      <c r="BE191" s="3"/>
      <c r="BF191" s="3"/>
    </row>
    <row r="192" ht="15.75" customHeight="1">
      <c r="BC192" s="3"/>
      <c r="BD192" s="3"/>
      <c r="BE192" s="3"/>
      <c r="BF192" s="3"/>
    </row>
    <row r="193" ht="15.75" customHeight="1">
      <c r="BC193" s="3"/>
      <c r="BD193" s="3"/>
      <c r="BE193" s="3"/>
      <c r="BF193" s="3"/>
    </row>
    <row r="194" ht="15.75" customHeight="1">
      <c r="BC194" s="3"/>
      <c r="BD194" s="3"/>
      <c r="BE194" s="3"/>
      <c r="BF194" s="3"/>
    </row>
    <row r="195" ht="15.75" customHeight="1">
      <c r="BC195" s="3"/>
      <c r="BD195" s="3"/>
      <c r="BE195" s="3"/>
      <c r="BF195" s="3"/>
    </row>
    <row r="196" ht="15.75" customHeight="1">
      <c r="BC196" s="3"/>
      <c r="BD196" s="3"/>
      <c r="BE196" s="3"/>
      <c r="BF196" s="3"/>
    </row>
    <row r="197" ht="15.75" customHeight="1">
      <c r="BC197" s="3"/>
      <c r="BD197" s="3"/>
      <c r="BE197" s="3"/>
      <c r="BF197" s="3"/>
    </row>
    <row r="198" ht="15.75" customHeight="1">
      <c r="BC198" s="3"/>
      <c r="BD198" s="3"/>
      <c r="BE198" s="3"/>
      <c r="BF198" s="3"/>
    </row>
    <row r="199" ht="15.75" customHeight="1">
      <c r="BC199" s="3"/>
      <c r="BD199" s="3"/>
      <c r="BE199" s="3"/>
      <c r="BF199" s="3"/>
    </row>
    <row r="200" ht="15.75" customHeight="1">
      <c r="BC200" s="3"/>
      <c r="BD200" s="3"/>
      <c r="BE200" s="3"/>
      <c r="BF200" s="3"/>
    </row>
    <row r="201" ht="15.75" customHeight="1">
      <c r="BC201" s="3"/>
      <c r="BD201" s="3"/>
      <c r="BE201" s="3"/>
      <c r="BF201" s="3"/>
    </row>
    <row r="202" ht="15.75" customHeight="1">
      <c r="BC202" s="3"/>
      <c r="BD202" s="3"/>
      <c r="BE202" s="3"/>
      <c r="BF202" s="3"/>
    </row>
    <row r="203" ht="15.75" customHeight="1">
      <c r="BC203" s="3"/>
      <c r="BD203" s="3"/>
      <c r="BE203" s="3"/>
      <c r="BF203" s="3"/>
    </row>
    <row r="204" ht="15.75" customHeight="1">
      <c r="BC204" s="3"/>
      <c r="BD204" s="3"/>
      <c r="BE204" s="3"/>
      <c r="BF204" s="3"/>
    </row>
    <row r="205" ht="15.75" customHeight="1">
      <c r="BC205" s="3"/>
      <c r="BD205" s="3"/>
      <c r="BE205" s="3"/>
      <c r="BF205" s="3"/>
    </row>
    <row r="206" ht="15.75" customHeight="1">
      <c r="BC206" s="3"/>
      <c r="BD206" s="3"/>
      <c r="BE206" s="3"/>
      <c r="BF206" s="3"/>
    </row>
    <row r="207" ht="15.75" customHeight="1">
      <c r="BC207" s="3"/>
      <c r="BD207" s="3"/>
      <c r="BE207" s="3"/>
      <c r="BF207" s="3"/>
    </row>
    <row r="208" ht="15.75" customHeight="1">
      <c r="BC208" s="3"/>
      <c r="BD208" s="3"/>
      <c r="BE208" s="3"/>
      <c r="BF208" s="3"/>
    </row>
    <row r="209" ht="15.75" customHeight="1">
      <c r="BC209" s="3"/>
      <c r="BD209" s="3"/>
      <c r="BE209" s="3"/>
      <c r="BF209" s="3"/>
    </row>
    <row r="210" ht="15.75" customHeight="1">
      <c r="BC210" s="3"/>
      <c r="BD210" s="3"/>
      <c r="BE210" s="3"/>
      <c r="BF210" s="3"/>
    </row>
    <row r="211" ht="15.75" customHeight="1">
      <c r="BC211" s="3"/>
      <c r="BD211" s="3"/>
      <c r="BE211" s="3"/>
      <c r="BF211" s="3"/>
    </row>
    <row r="212" ht="15.75" customHeight="1">
      <c r="BC212" s="3"/>
      <c r="BD212" s="3"/>
      <c r="BE212" s="3"/>
      <c r="BF212" s="3"/>
    </row>
    <row r="213" ht="15.75" customHeight="1">
      <c r="BC213" s="3"/>
      <c r="BD213" s="3"/>
      <c r="BE213" s="3"/>
      <c r="BF213" s="3"/>
    </row>
    <row r="214" ht="15.75" customHeight="1">
      <c r="BC214" s="3"/>
      <c r="BD214" s="3"/>
      <c r="BE214" s="3"/>
      <c r="BF214" s="3"/>
    </row>
    <row r="215" ht="15.75" customHeight="1">
      <c r="BC215" s="3"/>
      <c r="BD215" s="3"/>
      <c r="BE215" s="3"/>
      <c r="BF215" s="3"/>
    </row>
    <row r="216" ht="15.75" customHeight="1">
      <c r="BC216" s="3"/>
      <c r="BD216" s="3"/>
      <c r="BE216" s="3"/>
      <c r="BF216" s="3"/>
    </row>
    <row r="217" ht="15.75" customHeight="1">
      <c r="BC217" s="3"/>
      <c r="BD217" s="3"/>
      <c r="BE217" s="3"/>
      <c r="BF217" s="3"/>
    </row>
    <row r="218" ht="15.75" customHeight="1">
      <c r="BC218" s="3"/>
      <c r="BD218" s="3"/>
      <c r="BE218" s="3"/>
      <c r="BF218" s="3"/>
    </row>
    <row r="219" ht="15.75" customHeight="1">
      <c r="BC219" s="3"/>
      <c r="BD219" s="3"/>
      <c r="BE219" s="3"/>
      <c r="BF219" s="3"/>
    </row>
    <row r="220" ht="15.75" customHeight="1">
      <c r="BC220" s="3"/>
      <c r="BD220" s="3"/>
      <c r="BE220" s="3"/>
      <c r="BF220" s="3"/>
    </row>
    <row r="221" ht="15.75" customHeight="1">
      <c r="BC221" s="3"/>
      <c r="BD221" s="3"/>
      <c r="BE221" s="3"/>
      <c r="BF221" s="3"/>
    </row>
    <row r="222" ht="15.75" customHeight="1">
      <c r="BC222" s="3"/>
      <c r="BD222" s="3"/>
      <c r="BE222" s="3"/>
      <c r="BF222" s="3"/>
    </row>
    <row r="223" ht="15.75" customHeight="1">
      <c r="BC223" s="3"/>
      <c r="BD223" s="3"/>
      <c r="BE223" s="3"/>
      <c r="BF223" s="3"/>
    </row>
    <row r="224" ht="15.75" customHeight="1">
      <c r="BC224" s="3"/>
      <c r="BD224" s="3"/>
      <c r="BE224" s="3"/>
      <c r="BF224" s="3"/>
    </row>
    <row r="225" ht="15.75" customHeight="1">
      <c r="BC225" s="3"/>
      <c r="BD225" s="3"/>
      <c r="BE225" s="3"/>
      <c r="BF225" s="3"/>
    </row>
    <row r="226" ht="15.75" customHeight="1">
      <c r="BC226" s="3"/>
      <c r="BD226" s="3"/>
      <c r="BE226" s="3"/>
      <c r="BF226" s="3"/>
    </row>
    <row r="227" ht="15.75" customHeight="1">
      <c r="BC227" s="3"/>
      <c r="BD227" s="3"/>
      <c r="BE227" s="3"/>
      <c r="BF227" s="3"/>
    </row>
    <row r="228" ht="15.75" customHeight="1">
      <c r="BC228" s="3"/>
      <c r="BD228" s="3"/>
      <c r="BE228" s="3"/>
      <c r="BF228" s="3"/>
    </row>
    <row r="229" ht="15.75" customHeight="1">
      <c r="BC229" s="3"/>
      <c r="BD229" s="3"/>
      <c r="BE229" s="3"/>
      <c r="BF229" s="3"/>
    </row>
    <row r="230" ht="15.75" customHeight="1">
      <c r="BC230" s="3"/>
      <c r="BD230" s="3"/>
      <c r="BE230" s="3"/>
      <c r="BF230" s="3"/>
    </row>
    <row r="231" ht="15.75" customHeight="1">
      <c r="BC231" s="3"/>
      <c r="BD231" s="3"/>
      <c r="BE231" s="3"/>
      <c r="BF231" s="3"/>
    </row>
    <row r="232" ht="15.75" customHeight="1">
      <c r="BC232" s="3"/>
      <c r="BD232" s="3"/>
      <c r="BE232" s="3"/>
      <c r="BF232" s="3"/>
    </row>
    <row r="233" ht="15.75" customHeight="1">
      <c r="BC233" s="3"/>
      <c r="BD233" s="3"/>
      <c r="BE233" s="3"/>
      <c r="BF233" s="3"/>
    </row>
    <row r="234" ht="15.75" customHeight="1">
      <c r="BC234" s="3"/>
      <c r="BD234" s="3"/>
      <c r="BE234" s="3"/>
      <c r="BF234" s="3"/>
    </row>
    <row r="235" ht="15.75" customHeight="1">
      <c r="BC235" s="3"/>
      <c r="BD235" s="3"/>
      <c r="BE235" s="3"/>
      <c r="BF235" s="3"/>
    </row>
    <row r="236" ht="15.75" customHeight="1">
      <c r="BC236" s="3"/>
      <c r="BD236" s="3"/>
      <c r="BE236" s="3"/>
      <c r="BF236" s="3"/>
    </row>
    <row r="237" ht="15.75" customHeight="1">
      <c r="BC237" s="3"/>
      <c r="BD237" s="3"/>
      <c r="BE237" s="3"/>
      <c r="BF237" s="3"/>
    </row>
    <row r="238" ht="15.75" customHeight="1">
      <c r="BC238" s="3"/>
      <c r="BD238" s="3"/>
      <c r="BE238" s="3"/>
      <c r="BF238" s="3"/>
    </row>
    <row r="239" ht="15.75" customHeight="1">
      <c r="BC239" s="3"/>
      <c r="BD239" s="3"/>
      <c r="BE239" s="3"/>
      <c r="BF239" s="3"/>
    </row>
    <row r="240" ht="15.75" customHeight="1">
      <c r="BC240" s="3"/>
      <c r="BD240" s="3"/>
      <c r="BE240" s="3"/>
      <c r="BF240" s="3"/>
    </row>
    <row r="241" ht="15.75" customHeight="1">
      <c r="BC241" s="3"/>
      <c r="BD241" s="3"/>
      <c r="BE241" s="3"/>
      <c r="BF241" s="3"/>
    </row>
    <row r="242" ht="15.75" customHeight="1">
      <c r="BC242" s="3"/>
      <c r="BD242" s="3"/>
      <c r="BE242" s="3"/>
      <c r="BF242" s="3"/>
    </row>
    <row r="243" ht="15.75" customHeight="1">
      <c r="BC243" s="3"/>
      <c r="BD243" s="3"/>
      <c r="BE243" s="3"/>
      <c r="BF243" s="3"/>
    </row>
    <row r="244" ht="15.75" customHeight="1">
      <c r="BC244" s="3"/>
      <c r="BD244" s="3"/>
      <c r="BE244" s="3"/>
      <c r="BF244" s="3"/>
    </row>
    <row r="245" ht="15.75" customHeight="1">
      <c r="BC245" s="3"/>
      <c r="BD245" s="3"/>
      <c r="BE245" s="3"/>
      <c r="BF245" s="3"/>
    </row>
    <row r="246" ht="15.75" customHeight="1">
      <c r="BC246" s="3"/>
      <c r="BD246" s="3"/>
      <c r="BE246" s="3"/>
      <c r="BF246" s="3"/>
    </row>
    <row r="247" ht="15.75" customHeight="1">
      <c r="BC247" s="3"/>
      <c r="BD247" s="3"/>
      <c r="BE247" s="3"/>
      <c r="BF247" s="3"/>
    </row>
    <row r="248" ht="15.75" customHeight="1">
      <c r="BC248" s="3"/>
      <c r="BD248" s="3"/>
      <c r="BE248" s="3"/>
      <c r="BF248" s="3"/>
    </row>
    <row r="249" ht="15.75" customHeight="1">
      <c r="BC249" s="3"/>
      <c r="BD249" s="3"/>
      <c r="BE249" s="3"/>
      <c r="BF249" s="3"/>
    </row>
    <row r="250" ht="15.75" customHeight="1">
      <c r="BC250" s="3"/>
      <c r="BD250" s="3"/>
      <c r="BE250" s="3"/>
      <c r="BF250" s="3"/>
    </row>
    <row r="251" ht="15.75" customHeight="1">
      <c r="BC251" s="3"/>
      <c r="BD251" s="3"/>
      <c r="BE251" s="3"/>
      <c r="BF251" s="3"/>
    </row>
    <row r="252" ht="15.75" customHeight="1">
      <c r="BC252" s="3"/>
      <c r="BD252" s="3"/>
      <c r="BE252" s="3"/>
      <c r="BF252" s="3"/>
    </row>
    <row r="253" ht="15.75" customHeight="1">
      <c r="BC253" s="3"/>
      <c r="BD253" s="3"/>
      <c r="BE253" s="3"/>
      <c r="BF253" s="3"/>
    </row>
    <row r="254" ht="15.75" customHeight="1">
      <c r="BC254" s="3"/>
      <c r="BD254" s="3"/>
      <c r="BE254" s="3"/>
      <c r="BF254" s="3"/>
    </row>
    <row r="255" ht="15.75" customHeight="1">
      <c r="BC255" s="3"/>
      <c r="BD255" s="3"/>
      <c r="BE255" s="3"/>
      <c r="BF255" s="3"/>
    </row>
    <row r="256" ht="15.75" customHeight="1">
      <c r="BC256" s="3"/>
      <c r="BD256" s="3"/>
      <c r="BE256" s="3"/>
      <c r="BF256" s="3"/>
    </row>
    <row r="257" ht="15.75" customHeight="1">
      <c r="BC257" s="3"/>
      <c r="BD257" s="3"/>
      <c r="BE257" s="3"/>
      <c r="BF257" s="3"/>
    </row>
    <row r="258" ht="15.75" customHeight="1">
      <c r="BC258" s="3"/>
      <c r="BD258" s="3"/>
      <c r="BE258" s="3"/>
      <c r="BF258" s="3"/>
    </row>
    <row r="259" ht="15.75" customHeight="1">
      <c r="BC259" s="3"/>
      <c r="BD259" s="3"/>
      <c r="BE259" s="3"/>
      <c r="BF259" s="3"/>
    </row>
    <row r="260" ht="15.75" customHeight="1">
      <c r="BC260" s="3"/>
      <c r="BD260" s="3"/>
      <c r="BE260" s="3"/>
      <c r="BF260" s="3"/>
    </row>
    <row r="261" ht="15.75" customHeight="1">
      <c r="BC261" s="3"/>
      <c r="BD261" s="3"/>
      <c r="BE261" s="3"/>
      <c r="BF261" s="3"/>
    </row>
    <row r="262" ht="15.75" customHeight="1">
      <c r="BC262" s="3"/>
      <c r="BD262" s="3"/>
      <c r="BE262" s="3"/>
      <c r="BF262" s="3"/>
    </row>
    <row r="263" ht="15.75" customHeight="1">
      <c r="BC263" s="3"/>
      <c r="BD263" s="3"/>
      <c r="BE263" s="3"/>
      <c r="BF263" s="3"/>
    </row>
    <row r="264" ht="15.75" customHeight="1">
      <c r="BC264" s="3"/>
      <c r="BD264" s="3"/>
      <c r="BE264" s="3"/>
      <c r="BF264" s="3"/>
    </row>
    <row r="265" ht="15.75" customHeight="1">
      <c r="BC265" s="3"/>
      <c r="BD265" s="3"/>
      <c r="BE265" s="3"/>
      <c r="BF265" s="3"/>
    </row>
    <row r="266" ht="15.75" customHeight="1">
      <c r="BC266" s="3"/>
      <c r="BD266" s="3"/>
      <c r="BE266" s="3"/>
      <c r="BF266" s="3"/>
    </row>
    <row r="267" ht="15.75" customHeight="1">
      <c r="BC267" s="3"/>
      <c r="BD267" s="3"/>
      <c r="BE267" s="3"/>
      <c r="BF267" s="3"/>
    </row>
    <row r="268" ht="15.75" customHeight="1">
      <c r="BC268" s="3"/>
      <c r="BD268" s="3"/>
      <c r="BE268" s="3"/>
      <c r="BF268" s="3"/>
    </row>
    <row r="269" ht="15.75" customHeight="1">
      <c r="BC269" s="3"/>
      <c r="BD269" s="3"/>
      <c r="BE269" s="3"/>
      <c r="BF269" s="3"/>
    </row>
    <row r="270" ht="15.75" customHeight="1">
      <c r="BC270" s="3"/>
      <c r="BD270" s="3"/>
      <c r="BE270" s="3"/>
      <c r="BF270" s="3"/>
    </row>
    <row r="271" ht="15.75" customHeight="1">
      <c r="BC271" s="3"/>
      <c r="BD271" s="3"/>
      <c r="BE271" s="3"/>
      <c r="BF271" s="3"/>
    </row>
    <row r="272" ht="15.75" customHeight="1">
      <c r="BC272" s="3"/>
      <c r="BD272" s="3"/>
      <c r="BE272" s="3"/>
      <c r="BF272" s="3"/>
    </row>
    <row r="273" ht="15.75" customHeight="1">
      <c r="BC273" s="3"/>
      <c r="BD273" s="3"/>
      <c r="BE273" s="3"/>
      <c r="BF273" s="3"/>
    </row>
    <row r="274" ht="15.75" customHeight="1">
      <c r="BC274" s="3"/>
      <c r="BD274" s="3"/>
      <c r="BE274" s="3"/>
      <c r="BF274" s="3"/>
    </row>
    <row r="275" ht="15.75" customHeight="1">
      <c r="BC275" s="3"/>
      <c r="BD275" s="3"/>
      <c r="BE275" s="3"/>
      <c r="BF275" s="3"/>
    </row>
    <row r="276" ht="15.75" customHeight="1">
      <c r="BC276" s="3"/>
      <c r="BD276" s="3"/>
      <c r="BE276" s="3"/>
      <c r="BF276" s="3"/>
    </row>
    <row r="277" ht="15.75" customHeight="1">
      <c r="BC277" s="3"/>
      <c r="BD277" s="3"/>
      <c r="BE277" s="3"/>
      <c r="BF277" s="3"/>
    </row>
    <row r="278" ht="15.75" customHeight="1">
      <c r="BC278" s="3"/>
      <c r="BD278" s="3"/>
      <c r="BE278" s="3"/>
      <c r="BF278" s="3"/>
    </row>
    <row r="279" ht="15.75" customHeight="1">
      <c r="BC279" s="3"/>
      <c r="BD279" s="3"/>
      <c r="BE279" s="3"/>
      <c r="BF279" s="3"/>
    </row>
    <row r="280" ht="15.75" customHeight="1">
      <c r="BC280" s="3"/>
      <c r="BD280" s="3"/>
      <c r="BE280" s="3"/>
      <c r="BF280" s="3"/>
    </row>
    <row r="281" ht="15.75" customHeight="1">
      <c r="BC281" s="3"/>
      <c r="BD281" s="3"/>
      <c r="BE281" s="3"/>
      <c r="BF281" s="3"/>
    </row>
    <row r="282" ht="15.75" customHeight="1">
      <c r="BC282" s="3"/>
      <c r="BD282" s="3"/>
      <c r="BE282" s="3"/>
      <c r="BF282" s="3"/>
    </row>
    <row r="283" ht="15.75" customHeight="1">
      <c r="BC283" s="3"/>
      <c r="BD283" s="3"/>
      <c r="BE283" s="3"/>
      <c r="BF283" s="3"/>
    </row>
    <row r="284" ht="15.75" customHeight="1">
      <c r="BC284" s="3"/>
      <c r="BD284" s="3"/>
      <c r="BE284" s="3"/>
      <c r="BF284" s="3"/>
    </row>
    <row r="285" ht="15.75" customHeight="1">
      <c r="BC285" s="3"/>
      <c r="BD285" s="3"/>
      <c r="BE285" s="3"/>
      <c r="BF285" s="3"/>
    </row>
    <row r="286" ht="15.75" customHeight="1">
      <c r="BC286" s="3"/>
      <c r="BD286" s="3"/>
      <c r="BE286" s="3"/>
      <c r="BF286" s="3"/>
    </row>
    <row r="287" ht="15.75" customHeight="1">
      <c r="BC287" s="3"/>
      <c r="BD287" s="3"/>
      <c r="BE287" s="3"/>
      <c r="BF287" s="3"/>
    </row>
    <row r="288" ht="15.75" customHeight="1">
      <c r="BC288" s="3"/>
      <c r="BD288" s="3"/>
      <c r="BE288" s="3"/>
      <c r="BF288" s="3"/>
    </row>
    <row r="289" ht="15.75" customHeight="1">
      <c r="BC289" s="3"/>
      <c r="BD289" s="3"/>
      <c r="BE289" s="3"/>
      <c r="BF289" s="3"/>
    </row>
    <row r="290" ht="15.75" customHeight="1">
      <c r="BC290" s="3"/>
      <c r="BD290" s="3"/>
      <c r="BE290" s="3"/>
      <c r="BF290" s="3"/>
    </row>
    <row r="291" ht="15.75" customHeight="1">
      <c r="BC291" s="3"/>
      <c r="BD291" s="3"/>
      <c r="BE291" s="3"/>
      <c r="BF291" s="3"/>
    </row>
    <row r="292" ht="15.75" customHeight="1">
      <c r="BC292" s="3"/>
      <c r="BD292" s="3"/>
      <c r="BE292" s="3"/>
      <c r="BF292" s="3"/>
    </row>
    <row r="293" ht="15.75" customHeight="1">
      <c r="BC293" s="3"/>
      <c r="BD293" s="3"/>
      <c r="BE293" s="3"/>
      <c r="BF293" s="3"/>
    </row>
    <row r="294" ht="15.75" customHeight="1">
      <c r="BC294" s="3"/>
      <c r="BD294" s="3"/>
      <c r="BE294" s="3"/>
      <c r="BF294" s="3"/>
    </row>
    <row r="295" ht="15.75" customHeight="1">
      <c r="BC295" s="3"/>
      <c r="BD295" s="3"/>
      <c r="BE295" s="3"/>
      <c r="BF295" s="3"/>
    </row>
    <row r="296" ht="15.75" customHeight="1">
      <c r="BC296" s="3"/>
      <c r="BD296" s="3"/>
      <c r="BE296" s="3"/>
      <c r="BF296" s="3"/>
    </row>
    <row r="297" ht="15.75" customHeight="1">
      <c r="BC297" s="3"/>
      <c r="BD297" s="3"/>
      <c r="BE297" s="3"/>
      <c r="BF297" s="3"/>
    </row>
    <row r="298" ht="15.75" customHeight="1">
      <c r="BC298" s="3"/>
      <c r="BD298" s="3"/>
      <c r="BE298" s="3"/>
      <c r="BF298" s="3"/>
    </row>
    <row r="299" ht="15.75" customHeight="1">
      <c r="BC299" s="3"/>
      <c r="BD299" s="3"/>
      <c r="BE299" s="3"/>
      <c r="BF299" s="3"/>
    </row>
    <row r="300" ht="15.75" customHeight="1">
      <c r="BC300" s="3"/>
      <c r="BD300" s="3"/>
      <c r="BE300" s="3"/>
      <c r="BF300" s="3"/>
    </row>
    <row r="301" ht="15.75" customHeight="1">
      <c r="BC301" s="3"/>
      <c r="BD301" s="3"/>
      <c r="BE301" s="3"/>
      <c r="BF301" s="3"/>
    </row>
    <row r="302" ht="15.75" customHeight="1">
      <c r="BC302" s="3"/>
      <c r="BD302" s="3"/>
      <c r="BE302" s="3"/>
      <c r="BF302" s="3"/>
    </row>
    <row r="303" ht="15.75" customHeight="1">
      <c r="BC303" s="3"/>
      <c r="BD303" s="3"/>
      <c r="BE303" s="3"/>
      <c r="BF303" s="3"/>
    </row>
    <row r="304" ht="15.75" customHeight="1">
      <c r="BC304" s="3"/>
      <c r="BD304" s="3"/>
      <c r="BE304" s="3"/>
      <c r="BF304" s="3"/>
    </row>
    <row r="305" ht="15.75" customHeight="1">
      <c r="BC305" s="3"/>
      <c r="BD305" s="3"/>
      <c r="BE305" s="3"/>
      <c r="BF305" s="3"/>
    </row>
    <row r="306" ht="15.75" customHeight="1">
      <c r="BC306" s="3"/>
      <c r="BD306" s="3"/>
      <c r="BE306" s="3"/>
      <c r="BF306" s="3"/>
    </row>
    <row r="307" ht="15.75" customHeight="1">
      <c r="BC307" s="3"/>
      <c r="BD307" s="3"/>
      <c r="BE307" s="3"/>
      <c r="BF307" s="3"/>
    </row>
    <row r="308" ht="15.75" customHeight="1">
      <c r="BC308" s="3"/>
      <c r="BD308" s="3"/>
      <c r="BE308" s="3"/>
      <c r="BF308" s="3"/>
    </row>
    <row r="309" ht="15.75" customHeight="1">
      <c r="BC309" s="3"/>
      <c r="BD309" s="3"/>
      <c r="BE309" s="3"/>
      <c r="BF309" s="3"/>
    </row>
    <row r="310" ht="15.75" customHeight="1">
      <c r="BC310" s="3"/>
      <c r="BD310" s="3"/>
      <c r="BE310" s="3"/>
      <c r="BF310" s="3"/>
    </row>
    <row r="311" ht="15.75" customHeight="1">
      <c r="BC311" s="3"/>
      <c r="BD311" s="3"/>
      <c r="BE311" s="3"/>
      <c r="BF311" s="3"/>
    </row>
    <row r="312" ht="15.75" customHeight="1">
      <c r="BC312" s="3"/>
      <c r="BD312" s="3"/>
      <c r="BE312" s="3"/>
      <c r="BF312" s="3"/>
    </row>
    <row r="313" ht="15.75" customHeight="1">
      <c r="BC313" s="3"/>
      <c r="BD313" s="3"/>
      <c r="BE313" s="3"/>
      <c r="BF313" s="3"/>
    </row>
    <row r="314" ht="15.75" customHeight="1">
      <c r="BC314" s="3"/>
      <c r="BD314" s="3"/>
      <c r="BE314" s="3"/>
      <c r="BF314" s="3"/>
    </row>
    <row r="315" ht="15.75" customHeight="1">
      <c r="BC315" s="3"/>
      <c r="BD315" s="3"/>
      <c r="BE315" s="3"/>
      <c r="BF315" s="3"/>
    </row>
    <row r="316" ht="15.75" customHeight="1">
      <c r="BC316" s="3"/>
      <c r="BD316" s="3"/>
      <c r="BE316" s="3"/>
      <c r="BF316" s="3"/>
    </row>
    <row r="317" ht="15.75" customHeight="1">
      <c r="BC317" s="3"/>
      <c r="BD317" s="3"/>
      <c r="BE317" s="3"/>
      <c r="BF317" s="3"/>
    </row>
    <row r="318" ht="15.75" customHeight="1">
      <c r="BC318" s="3"/>
      <c r="BD318" s="3"/>
      <c r="BE318" s="3"/>
      <c r="BF318" s="3"/>
    </row>
    <row r="319" ht="15.75" customHeight="1">
      <c r="BC319" s="3"/>
      <c r="BD319" s="3"/>
      <c r="BE319" s="3"/>
      <c r="BF319" s="3"/>
    </row>
    <row r="320" ht="15.75" customHeight="1">
      <c r="BC320" s="3"/>
      <c r="BD320" s="3"/>
      <c r="BE320" s="3"/>
      <c r="BF320" s="3"/>
    </row>
    <row r="321" ht="15.75" customHeight="1">
      <c r="BC321" s="3"/>
      <c r="BD321" s="3"/>
      <c r="BE321" s="3"/>
      <c r="BF321" s="3"/>
    </row>
    <row r="322" ht="15.75" customHeight="1">
      <c r="BC322" s="3"/>
      <c r="BD322" s="3"/>
      <c r="BE322" s="3"/>
      <c r="BF322" s="3"/>
    </row>
    <row r="323" ht="15.75" customHeight="1">
      <c r="BC323" s="3"/>
      <c r="BD323" s="3"/>
      <c r="BE323" s="3"/>
      <c r="BF323" s="3"/>
    </row>
    <row r="324" ht="15.75" customHeight="1">
      <c r="BC324" s="3"/>
      <c r="BD324" s="3"/>
      <c r="BE324" s="3"/>
      <c r="BF324" s="3"/>
    </row>
    <row r="325" ht="15.75" customHeight="1">
      <c r="BC325" s="3"/>
      <c r="BD325" s="3"/>
      <c r="BE325" s="3"/>
      <c r="BF325" s="3"/>
    </row>
    <row r="326" ht="15.75" customHeight="1">
      <c r="BC326" s="3"/>
      <c r="BD326" s="3"/>
      <c r="BE326" s="3"/>
      <c r="BF326" s="3"/>
    </row>
    <row r="327" ht="15.75" customHeight="1">
      <c r="BC327" s="3"/>
      <c r="BD327" s="3"/>
      <c r="BE327" s="3"/>
      <c r="BF327" s="3"/>
    </row>
    <row r="328" ht="15.75" customHeight="1">
      <c r="BC328" s="3"/>
      <c r="BD328" s="3"/>
      <c r="BE328" s="3"/>
      <c r="BF328" s="3"/>
    </row>
    <row r="329" ht="15.75" customHeight="1">
      <c r="BC329" s="3"/>
      <c r="BD329" s="3"/>
      <c r="BE329" s="3"/>
      <c r="BF329" s="3"/>
    </row>
    <row r="330" ht="15.75" customHeight="1">
      <c r="BC330" s="3"/>
      <c r="BD330" s="3"/>
      <c r="BE330" s="3"/>
      <c r="BF330" s="3"/>
    </row>
    <row r="331" ht="15.75" customHeight="1">
      <c r="BC331" s="3"/>
      <c r="BD331" s="3"/>
      <c r="BE331" s="3"/>
      <c r="BF331" s="3"/>
    </row>
    <row r="332" ht="15.75" customHeight="1">
      <c r="BC332" s="3"/>
      <c r="BD332" s="3"/>
      <c r="BE332" s="3"/>
      <c r="BF332" s="3"/>
    </row>
    <row r="333" ht="15.75" customHeight="1">
      <c r="BC333" s="3"/>
      <c r="BD333" s="3"/>
      <c r="BE333" s="3"/>
      <c r="BF333" s="3"/>
    </row>
    <row r="334" ht="15.75" customHeight="1">
      <c r="BC334" s="3"/>
      <c r="BD334" s="3"/>
      <c r="BE334" s="3"/>
      <c r="BF334" s="3"/>
    </row>
    <row r="335" ht="15.75" customHeight="1">
      <c r="BC335" s="3"/>
      <c r="BD335" s="3"/>
      <c r="BE335" s="3"/>
      <c r="BF335" s="3"/>
    </row>
    <row r="336" ht="15.75" customHeight="1">
      <c r="BC336" s="3"/>
      <c r="BD336" s="3"/>
      <c r="BE336" s="3"/>
      <c r="BF336" s="3"/>
    </row>
    <row r="337" ht="15.75" customHeight="1">
      <c r="BC337" s="3"/>
      <c r="BD337" s="3"/>
      <c r="BE337" s="3"/>
      <c r="BF337" s="3"/>
    </row>
    <row r="338" ht="15.75" customHeight="1">
      <c r="BC338" s="3"/>
      <c r="BD338" s="3"/>
      <c r="BE338" s="3"/>
      <c r="BF338" s="3"/>
    </row>
    <row r="339" ht="15.75" customHeight="1">
      <c r="BC339" s="3"/>
      <c r="BD339" s="3"/>
      <c r="BE339" s="3"/>
      <c r="BF339" s="3"/>
    </row>
    <row r="340" ht="15.75" customHeight="1">
      <c r="BC340" s="3"/>
      <c r="BD340" s="3"/>
      <c r="BE340" s="3"/>
      <c r="BF340" s="3"/>
    </row>
    <row r="341" ht="15.75" customHeight="1">
      <c r="BC341" s="3"/>
      <c r="BD341" s="3"/>
      <c r="BE341" s="3"/>
      <c r="BF341" s="3"/>
    </row>
    <row r="342" ht="15.75" customHeight="1">
      <c r="BC342" s="3"/>
      <c r="BD342" s="3"/>
      <c r="BE342" s="3"/>
      <c r="BF342" s="3"/>
    </row>
    <row r="343" ht="15.75" customHeight="1">
      <c r="BC343" s="3"/>
      <c r="BD343" s="3"/>
      <c r="BE343" s="3"/>
      <c r="BF343" s="3"/>
    </row>
    <row r="344" ht="15.75" customHeight="1">
      <c r="BC344" s="3"/>
      <c r="BD344" s="3"/>
      <c r="BE344" s="3"/>
      <c r="BF344" s="3"/>
    </row>
    <row r="345" ht="15.75" customHeight="1">
      <c r="BC345" s="3"/>
      <c r="BD345" s="3"/>
      <c r="BE345" s="3"/>
      <c r="BF345" s="3"/>
    </row>
    <row r="346" ht="15.75" customHeight="1">
      <c r="BC346" s="3"/>
      <c r="BD346" s="3"/>
      <c r="BE346" s="3"/>
      <c r="BF346" s="3"/>
    </row>
    <row r="347" ht="15.75" customHeight="1">
      <c r="BC347" s="3"/>
      <c r="BD347" s="3"/>
      <c r="BE347" s="3"/>
      <c r="BF347" s="3"/>
    </row>
    <row r="348" ht="15.75" customHeight="1">
      <c r="BC348" s="3"/>
      <c r="BD348" s="3"/>
      <c r="BE348" s="3"/>
      <c r="BF348" s="3"/>
    </row>
    <row r="349" ht="15.75" customHeight="1">
      <c r="BC349" s="3"/>
      <c r="BD349" s="3"/>
      <c r="BE349" s="3"/>
      <c r="BF349" s="3"/>
    </row>
    <row r="350" ht="15.75" customHeight="1">
      <c r="BC350" s="3"/>
      <c r="BD350" s="3"/>
      <c r="BE350" s="3"/>
      <c r="BF350" s="3"/>
    </row>
    <row r="351" ht="15.75" customHeight="1">
      <c r="BC351" s="3"/>
      <c r="BD351" s="3"/>
      <c r="BE351" s="3"/>
      <c r="BF351" s="3"/>
    </row>
    <row r="352" ht="15.75" customHeight="1">
      <c r="BC352" s="3"/>
      <c r="BD352" s="3"/>
      <c r="BE352" s="3"/>
      <c r="BF352" s="3"/>
    </row>
    <row r="353" ht="15.75" customHeight="1">
      <c r="BC353" s="3"/>
      <c r="BD353" s="3"/>
      <c r="BE353" s="3"/>
      <c r="BF353" s="3"/>
    </row>
    <row r="354" ht="15.75" customHeight="1">
      <c r="BC354" s="3"/>
      <c r="BD354" s="3"/>
      <c r="BE354" s="3"/>
      <c r="BF354" s="3"/>
    </row>
    <row r="355" ht="15.75" customHeight="1">
      <c r="BC355" s="3"/>
      <c r="BD355" s="3"/>
      <c r="BE355" s="3"/>
      <c r="BF355" s="3"/>
    </row>
    <row r="356" ht="15.75" customHeight="1">
      <c r="BC356" s="3"/>
      <c r="BD356" s="3"/>
      <c r="BE356" s="3"/>
      <c r="BF356" s="3"/>
    </row>
    <row r="357" ht="15.75" customHeight="1">
      <c r="BC357" s="3"/>
      <c r="BD357" s="3"/>
      <c r="BE357" s="3"/>
      <c r="BF357" s="3"/>
    </row>
    <row r="358" ht="15.75" customHeight="1">
      <c r="BC358" s="3"/>
      <c r="BD358" s="3"/>
      <c r="BE358" s="3"/>
      <c r="BF358" s="3"/>
    </row>
    <row r="359" ht="15.75" customHeight="1">
      <c r="BC359" s="3"/>
      <c r="BD359" s="3"/>
      <c r="BE359" s="3"/>
      <c r="BF359" s="3"/>
    </row>
    <row r="360" ht="15.75" customHeight="1">
      <c r="BC360" s="3"/>
      <c r="BD360" s="3"/>
      <c r="BE360" s="3"/>
      <c r="BF360" s="3"/>
    </row>
    <row r="361" ht="15.75" customHeight="1">
      <c r="BC361" s="3"/>
      <c r="BD361" s="3"/>
      <c r="BE361" s="3"/>
      <c r="BF361" s="3"/>
    </row>
    <row r="362" ht="15.75" customHeight="1">
      <c r="BC362" s="3"/>
      <c r="BD362" s="3"/>
      <c r="BE362" s="3"/>
      <c r="BF362" s="3"/>
    </row>
    <row r="363" ht="15.75" customHeight="1">
      <c r="BC363" s="3"/>
      <c r="BD363" s="3"/>
      <c r="BE363" s="3"/>
      <c r="BF363" s="3"/>
    </row>
    <row r="364" ht="15.75" customHeight="1">
      <c r="BC364" s="3"/>
      <c r="BD364" s="3"/>
      <c r="BE364" s="3"/>
      <c r="BF364" s="3"/>
    </row>
    <row r="365" ht="15.75" customHeight="1">
      <c r="BC365" s="3"/>
      <c r="BD365" s="3"/>
      <c r="BE365" s="3"/>
      <c r="BF365" s="3"/>
    </row>
    <row r="366" ht="15.75" customHeight="1">
      <c r="BC366" s="3"/>
      <c r="BD366" s="3"/>
      <c r="BE366" s="3"/>
      <c r="BF366" s="3"/>
    </row>
    <row r="367" ht="15.75" customHeight="1">
      <c r="BC367" s="3"/>
      <c r="BD367" s="3"/>
      <c r="BE367" s="3"/>
      <c r="BF367" s="3"/>
    </row>
    <row r="368" ht="15.75" customHeight="1">
      <c r="BC368" s="3"/>
      <c r="BD368" s="3"/>
      <c r="BE368" s="3"/>
      <c r="BF368" s="3"/>
    </row>
    <row r="369" ht="15.75" customHeight="1">
      <c r="BC369" s="3"/>
      <c r="BD369" s="3"/>
      <c r="BE369" s="3"/>
      <c r="BF369" s="3"/>
    </row>
    <row r="370" ht="15.75" customHeight="1">
      <c r="BC370" s="3"/>
      <c r="BD370" s="3"/>
      <c r="BE370" s="3"/>
      <c r="BF370" s="3"/>
    </row>
    <row r="371" ht="15.75" customHeight="1">
      <c r="BC371" s="3"/>
      <c r="BD371" s="3"/>
      <c r="BE371" s="3"/>
      <c r="BF371" s="3"/>
    </row>
    <row r="372" ht="15.75" customHeight="1">
      <c r="BC372" s="3"/>
      <c r="BD372" s="3"/>
      <c r="BE372" s="3"/>
      <c r="BF372" s="3"/>
    </row>
    <row r="373" ht="15.75" customHeight="1">
      <c r="BC373" s="3"/>
      <c r="BD373" s="3"/>
      <c r="BE373" s="3"/>
      <c r="BF373" s="3"/>
    </row>
    <row r="374" ht="15.75" customHeight="1">
      <c r="BC374" s="3"/>
      <c r="BD374" s="3"/>
      <c r="BE374" s="3"/>
      <c r="BF374" s="3"/>
    </row>
    <row r="375" ht="15.75" customHeight="1">
      <c r="BC375" s="3"/>
      <c r="BD375" s="3"/>
      <c r="BE375" s="3"/>
      <c r="BF375" s="3"/>
    </row>
    <row r="376" ht="15.75" customHeight="1">
      <c r="BC376" s="3"/>
      <c r="BD376" s="3"/>
      <c r="BE376" s="3"/>
      <c r="BF376" s="3"/>
    </row>
    <row r="377" ht="15.75" customHeight="1">
      <c r="BC377" s="3"/>
      <c r="BD377" s="3"/>
      <c r="BE377" s="3"/>
      <c r="BF377" s="3"/>
    </row>
    <row r="378" ht="15.75" customHeight="1">
      <c r="BC378" s="3"/>
      <c r="BD378" s="3"/>
      <c r="BE378" s="3"/>
      <c r="BF378" s="3"/>
    </row>
    <row r="379" ht="15.75" customHeight="1">
      <c r="BC379" s="3"/>
      <c r="BD379" s="3"/>
      <c r="BE379" s="3"/>
      <c r="BF379" s="3"/>
    </row>
    <row r="380" ht="15.75" customHeight="1">
      <c r="BC380" s="3"/>
      <c r="BD380" s="3"/>
      <c r="BE380" s="3"/>
      <c r="BF380" s="3"/>
    </row>
    <row r="381" ht="15.75" customHeight="1">
      <c r="BC381" s="3"/>
      <c r="BD381" s="3"/>
      <c r="BE381" s="3"/>
      <c r="BF381" s="3"/>
    </row>
    <row r="382" ht="15.75" customHeight="1">
      <c r="BC382" s="3"/>
      <c r="BD382" s="3"/>
      <c r="BE382" s="3"/>
      <c r="BF382" s="3"/>
    </row>
    <row r="383" ht="15.75" customHeight="1">
      <c r="BC383" s="3"/>
      <c r="BD383" s="3"/>
      <c r="BE383" s="3"/>
      <c r="BF383" s="3"/>
    </row>
    <row r="384" ht="15.75" customHeight="1">
      <c r="BC384" s="3"/>
      <c r="BD384" s="3"/>
      <c r="BE384" s="3"/>
      <c r="BF384" s="3"/>
    </row>
    <row r="385" ht="15.75" customHeight="1">
      <c r="BC385" s="3"/>
      <c r="BD385" s="3"/>
      <c r="BE385" s="3"/>
      <c r="BF385" s="3"/>
    </row>
    <row r="386" ht="15.75" customHeight="1">
      <c r="BC386" s="3"/>
      <c r="BD386" s="3"/>
      <c r="BE386" s="3"/>
      <c r="BF386" s="3"/>
    </row>
    <row r="387" ht="15.75" customHeight="1">
      <c r="BC387" s="3"/>
      <c r="BD387" s="3"/>
      <c r="BE387" s="3"/>
      <c r="BF387" s="3"/>
    </row>
    <row r="388" ht="15.75" customHeight="1">
      <c r="BC388" s="3"/>
      <c r="BD388" s="3"/>
      <c r="BE388" s="3"/>
      <c r="BF388" s="3"/>
    </row>
    <row r="389" ht="15.75" customHeight="1">
      <c r="BC389" s="3"/>
      <c r="BD389" s="3"/>
      <c r="BE389" s="3"/>
      <c r="BF389" s="3"/>
    </row>
    <row r="390" ht="15.75" customHeight="1">
      <c r="BC390" s="3"/>
      <c r="BD390" s="3"/>
      <c r="BE390" s="3"/>
      <c r="BF390" s="3"/>
    </row>
    <row r="391" ht="15.75" customHeight="1">
      <c r="BC391" s="3"/>
      <c r="BD391" s="3"/>
      <c r="BE391" s="3"/>
      <c r="BF391" s="3"/>
    </row>
    <row r="392" ht="15.75" customHeight="1">
      <c r="BC392" s="3"/>
      <c r="BD392" s="3"/>
      <c r="BE392" s="3"/>
      <c r="BF392" s="3"/>
    </row>
    <row r="393" ht="15.75" customHeight="1">
      <c r="BC393" s="3"/>
      <c r="BD393" s="3"/>
      <c r="BE393" s="3"/>
      <c r="BF393" s="3"/>
    </row>
    <row r="394" ht="15.75" customHeight="1">
      <c r="BC394" s="3"/>
      <c r="BD394" s="3"/>
      <c r="BE394" s="3"/>
      <c r="BF394" s="3"/>
    </row>
    <row r="395" ht="15.75" customHeight="1">
      <c r="BC395" s="3"/>
      <c r="BD395" s="3"/>
      <c r="BE395" s="3"/>
      <c r="BF395" s="3"/>
    </row>
    <row r="396" ht="15.75" customHeight="1">
      <c r="BC396" s="3"/>
      <c r="BD396" s="3"/>
      <c r="BE396" s="3"/>
      <c r="BF396" s="3"/>
    </row>
    <row r="397" ht="15.75" customHeight="1">
      <c r="BC397" s="3"/>
      <c r="BD397" s="3"/>
      <c r="BE397" s="3"/>
      <c r="BF397" s="3"/>
    </row>
    <row r="398" ht="15.75" customHeight="1">
      <c r="BC398" s="3"/>
      <c r="BD398" s="3"/>
      <c r="BE398" s="3"/>
      <c r="BF398" s="3"/>
    </row>
    <row r="399" ht="15.75" customHeight="1">
      <c r="BC399" s="3"/>
      <c r="BD399" s="3"/>
      <c r="BE399" s="3"/>
      <c r="BF399" s="3"/>
    </row>
    <row r="400" ht="15.75" customHeight="1">
      <c r="BC400" s="3"/>
      <c r="BD400" s="3"/>
      <c r="BE400" s="3"/>
      <c r="BF400" s="3"/>
    </row>
    <row r="401" ht="15.75" customHeight="1">
      <c r="BC401" s="3"/>
      <c r="BD401" s="3"/>
      <c r="BE401" s="3"/>
      <c r="BF401" s="3"/>
    </row>
    <row r="402" ht="15.75" customHeight="1">
      <c r="BC402" s="3"/>
      <c r="BD402" s="3"/>
      <c r="BE402" s="3"/>
      <c r="BF402" s="3"/>
    </row>
    <row r="403" ht="15.75" customHeight="1">
      <c r="BC403" s="3"/>
      <c r="BD403" s="3"/>
      <c r="BE403" s="3"/>
      <c r="BF403" s="3"/>
    </row>
    <row r="404" ht="15.75" customHeight="1">
      <c r="BC404" s="3"/>
      <c r="BD404" s="3"/>
      <c r="BE404" s="3"/>
      <c r="BF404" s="3"/>
    </row>
    <row r="405" ht="15.75" customHeight="1">
      <c r="BC405" s="3"/>
      <c r="BD405" s="3"/>
      <c r="BE405" s="3"/>
      <c r="BF405" s="3"/>
    </row>
    <row r="406" ht="15.75" customHeight="1">
      <c r="BC406" s="3"/>
      <c r="BD406" s="3"/>
      <c r="BE406" s="3"/>
      <c r="BF406" s="3"/>
    </row>
    <row r="407" ht="15.75" customHeight="1">
      <c r="BC407" s="3"/>
      <c r="BD407" s="3"/>
      <c r="BE407" s="3"/>
      <c r="BF407" s="3"/>
    </row>
    <row r="408" ht="15.75" customHeight="1">
      <c r="BC408" s="3"/>
      <c r="BD408" s="3"/>
      <c r="BE408" s="3"/>
      <c r="BF408" s="3"/>
    </row>
    <row r="409" ht="15.75" customHeight="1">
      <c r="BC409" s="3"/>
      <c r="BD409" s="3"/>
      <c r="BE409" s="3"/>
      <c r="BF409" s="3"/>
    </row>
    <row r="410" ht="15.75" customHeight="1">
      <c r="BC410" s="3"/>
      <c r="BD410" s="3"/>
      <c r="BE410" s="3"/>
      <c r="BF410" s="3"/>
    </row>
    <row r="411" ht="15.75" customHeight="1">
      <c r="BC411" s="3"/>
      <c r="BD411" s="3"/>
      <c r="BE411" s="3"/>
      <c r="BF411" s="3"/>
    </row>
    <row r="412" ht="15.75" customHeight="1">
      <c r="BC412" s="3"/>
      <c r="BD412" s="3"/>
      <c r="BE412" s="3"/>
      <c r="BF412" s="3"/>
    </row>
    <row r="413" ht="15.75" customHeight="1">
      <c r="BC413" s="3"/>
      <c r="BD413" s="3"/>
      <c r="BE413" s="3"/>
      <c r="BF413" s="3"/>
    </row>
    <row r="414" ht="15.75" customHeight="1">
      <c r="BC414" s="3"/>
      <c r="BD414" s="3"/>
      <c r="BE414" s="3"/>
      <c r="BF414" s="3"/>
    </row>
    <row r="415" ht="15.75" customHeight="1">
      <c r="BC415" s="3"/>
      <c r="BD415" s="3"/>
      <c r="BE415" s="3"/>
      <c r="BF415" s="3"/>
    </row>
    <row r="416" ht="15.75" customHeight="1">
      <c r="BC416" s="3"/>
      <c r="BD416" s="3"/>
      <c r="BE416" s="3"/>
      <c r="BF416" s="3"/>
    </row>
    <row r="417" ht="15.75" customHeight="1">
      <c r="BC417" s="3"/>
      <c r="BD417" s="3"/>
      <c r="BE417" s="3"/>
      <c r="BF417" s="3"/>
    </row>
    <row r="418" ht="15.75" customHeight="1">
      <c r="BC418" s="3"/>
      <c r="BD418" s="3"/>
      <c r="BE418" s="3"/>
      <c r="BF418" s="3"/>
    </row>
    <row r="419" ht="15.75" customHeight="1">
      <c r="BC419" s="3"/>
      <c r="BD419" s="3"/>
      <c r="BE419" s="3"/>
      <c r="BF419" s="3"/>
    </row>
    <row r="420" ht="15.75" customHeight="1">
      <c r="BC420" s="3"/>
      <c r="BD420" s="3"/>
      <c r="BE420" s="3"/>
      <c r="BF420" s="3"/>
    </row>
    <row r="421" ht="15.75" customHeight="1">
      <c r="BC421" s="3"/>
      <c r="BD421" s="3"/>
      <c r="BE421" s="3"/>
      <c r="BF421" s="3"/>
    </row>
    <row r="422" ht="15.75" customHeight="1">
      <c r="BC422" s="3"/>
      <c r="BD422" s="3"/>
      <c r="BE422" s="3"/>
      <c r="BF422" s="3"/>
    </row>
    <row r="423" ht="15.75" customHeight="1">
      <c r="BC423" s="3"/>
      <c r="BD423" s="3"/>
      <c r="BE423" s="3"/>
      <c r="BF423" s="3"/>
    </row>
    <row r="424" ht="15.75" customHeight="1">
      <c r="BC424" s="3"/>
      <c r="BD424" s="3"/>
      <c r="BE424" s="3"/>
      <c r="BF424" s="3"/>
    </row>
    <row r="425" ht="15.75" customHeight="1">
      <c r="BC425" s="3"/>
      <c r="BD425" s="3"/>
      <c r="BE425" s="3"/>
      <c r="BF425" s="3"/>
    </row>
    <row r="426" ht="15.75" customHeight="1">
      <c r="BC426" s="3"/>
      <c r="BD426" s="3"/>
      <c r="BE426" s="3"/>
      <c r="BF426" s="3"/>
    </row>
    <row r="427" ht="15.75" customHeight="1">
      <c r="BC427" s="3"/>
      <c r="BD427" s="3"/>
      <c r="BE427" s="3"/>
      <c r="BF427" s="3"/>
    </row>
    <row r="428" ht="15.75" customHeight="1">
      <c r="BC428" s="3"/>
      <c r="BD428" s="3"/>
      <c r="BE428" s="3"/>
      <c r="BF428" s="3"/>
    </row>
    <row r="429" ht="15.75" customHeight="1">
      <c r="BC429" s="3"/>
      <c r="BD429" s="3"/>
      <c r="BE429" s="3"/>
      <c r="BF429" s="3"/>
    </row>
    <row r="430" ht="15.75" customHeight="1">
      <c r="BC430" s="3"/>
      <c r="BD430" s="3"/>
      <c r="BE430" s="3"/>
      <c r="BF430" s="3"/>
    </row>
    <row r="431" ht="15.75" customHeight="1">
      <c r="BC431" s="3"/>
      <c r="BD431" s="3"/>
      <c r="BE431" s="3"/>
      <c r="BF431" s="3"/>
    </row>
    <row r="432" ht="15.75" customHeight="1">
      <c r="BC432" s="3"/>
      <c r="BD432" s="3"/>
      <c r="BE432" s="3"/>
      <c r="BF432" s="3"/>
    </row>
    <row r="433" ht="15.75" customHeight="1">
      <c r="BC433" s="3"/>
      <c r="BD433" s="3"/>
      <c r="BE433" s="3"/>
      <c r="BF433" s="3"/>
    </row>
    <row r="434" ht="15.75" customHeight="1">
      <c r="BC434" s="3"/>
      <c r="BD434" s="3"/>
      <c r="BE434" s="3"/>
      <c r="BF434" s="3"/>
    </row>
    <row r="435" ht="15.75" customHeight="1">
      <c r="BC435" s="3"/>
      <c r="BD435" s="3"/>
      <c r="BE435" s="3"/>
      <c r="BF435" s="3"/>
    </row>
    <row r="436" ht="15.75" customHeight="1">
      <c r="BC436" s="3"/>
      <c r="BD436" s="3"/>
      <c r="BE436" s="3"/>
      <c r="BF436" s="3"/>
    </row>
    <row r="437" ht="15.75" customHeight="1">
      <c r="BC437" s="3"/>
      <c r="BD437" s="3"/>
      <c r="BE437" s="3"/>
      <c r="BF437" s="3"/>
    </row>
    <row r="438" ht="15.75" customHeight="1">
      <c r="BC438" s="3"/>
      <c r="BD438" s="3"/>
      <c r="BE438" s="3"/>
      <c r="BF438" s="3"/>
    </row>
    <row r="439" ht="15.75" customHeight="1">
      <c r="BC439" s="3"/>
      <c r="BD439" s="3"/>
      <c r="BE439" s="3"/>
      <c r="BF439" s="3"/>
    </row>
    <row r="440" ht="15.75" customHeight="1">
      <c r="BC440" s="3"/>
      <c r="BD440" s="3"/>
      <c r="BE440" s="3"/>
      <c r="BF440" s="3"/>
    </row>
    <row r="441" ht="15.75" customHeight="1">
      <c r="BC441" s="3"/>
      <c r="BD441" s="3"/>
      <c r="BE441" s="3"/>
      <c r="BF441" s="3"/>
    </row>
    <row r="442" ht="15.75" customHeight="1">
      <c r="BC442" s="3"/>
      <c r="BD442" s="3"/>
      <c r="BE442" s="3"/>
      <c r="BF442" s="3"/>
    </row>
    <row r="443" ht="15.75" customHeight="1">
      <c r="BC443" s="3"/>
      <c r="BD443" s="3"/>
      <c r="BE443" s="3"/>
      <c r="BF443" s="3"/>
    </row>
    <row r="444" ht="15.75" customHeight="1">
      <c r="BC444" s="3"/>
      <c r="BD444" s="3"/>
      <c r="BE444" s="3"/>
      <c r="BF444" s="3"/>
    </row>
    <row r="445" ht="15.75" customHeight="1">
      <c r="BC445" s="3"/>
      <c r="BD445" s="3"/>
      <c r="BE445" s="3"/>
      <c r="BF445" s="3"/>
    </row>
    <row r="446" ht="15.75" customHeight="1">
      <c r="BC446" s="3"/>
      <c r="BD446" s="3"/>
      <c r="BE446" s="3"/>
      <c r="BF446" s="3"/>
    </row>
    <row r="447" ht="15.75" customHeight="1">
      <c r="BC447" s="3"/>
      <c r="BD447" s="3"/>
      <c r="BE447" s="3"/>
      <c r="BF447" s="3"/>
    </row>
    <row r="448" ht="15.75" customHeight="1">
      <c r="BC448" s="3"/>
      <c r="BD448" s="3"/>
      <c r="BE448" s="3"/>
      <c r="BF448" s="3"/>
    </row>
    <row r="449" ht="15.75" customHeight="1">
      <c r="BC449" s="3"/>
      <c r="BD449" s="3"/>
      <c r="BE449" s="3"/>
      <c r="BF449" s="3"/>
    </row>
    <row r="450" ht="15.75" customHeight="1">
      <c r="BC450" s="3"/>
      <c r="BD450" s="3"/>
      <c r="BE450" s="3"/>
      <c r="BF450" s="3"/>
    </row>
    <row r="451" ht="15.75" customHeight="1">
      <c r="BC451" s="3"/>
      <c r="BD451" s="3"/>
      <c r="BE451" s="3"/>
      <c r="BF451" s="3"/>
    </row>
    <row r="452" ht="15.75" customHeight="1">
      <c r="BC452" s="3"/>
      <c r="BD452" s="3"/>
      <c r="BE452" s="3"/>
      <c r="BF452" s="3"/>
    </row>
    <row r="453" ht="15.75" customHeight="1">
      <c r="BC453" s="3"/>
      <c r="BD453" s="3"/>
      <c r="BE453" s="3"/>
      <c r="BF453" s="3"/>
    </row>
    <row r="454" ht="15.75" customHeight="1">
      <c r="BC454" s="3"/>
      <c r="BD454" s="3"/>
      <c r="BE454" s="3"/>
      <c r="BF454" s="3"/>
    </row>
    <row r="455" ht="15.75" customHeight="1">
      <c r="BC455" s="3"/>
      <c r="BD455" s="3"/>
      <c r="BE455" s="3"/>
      <c r="BF455" s="3"/>
    </row>
    <row r="456" ht="15.75" customHeight="1">
      <c r="BC456" s="3"/>
      <c r="BD456" s="3"/>
      <c r="BE456" s="3"/>
      <c r="BF456" s="3"/>
    </row>
    <row r="457" ht="15.75" customHeight="1">
      <c r="BC457" s="3"/>
      <c r="BD457" s="3"/>
      <c r="BE457" s="3"/>
      <c r="BF457" s="3"/>
    </row>
    <row r="458" ht="15.75" customHeight="1">
      <c r="BC458" s="3"/>
      <c r="BD458" s="3"/>
      <c r="BE458" s="3"/>
      <c r="BF458" s="3"/>
    </row>
    <row r="459" ht="15.75" customHeight="1">
      <c r="BC459" s="3"/>
      <c r="BD459" s="3"/>
      <c r="BE459" s="3"/>
      <c r="BF459" s="3"/>
    </row>
    <row r="460" ht="15.75" customHeight="1">
      <c r="BC460" s="3"/>
      <c r="BD460" s="3"/>
      <c r="BE460" s="3"/>
      <c r="BF460" s="3"/>
    </row>
    <row r="461" ht="15.75" customHeight="1">
      <c r="BC461" s="3"/>
      <c r="BD461" s="3"/>
      <c r="BE461" s="3"/>
      <c r="BF461" s="3"/>
    </row>
    <row r="462" ht="15.75" customHeight="1">
      <c r="BC462" s="3"/>
      <c r="BD462" s="3"/>
      <c r="BE462" s="3"/>
      <c r="BF462" s="3"/>
    </row>
    <row r="463" ht="15.75" customHeight="1">
      <c r="BC463" s="3"/>
      <c r="BD463" s="3"/>
      <c r="BE463" s="3"/>
      <c r="BF463" s="3"/>
    </row>
    <row r="464" ht="15.75" customHeight="1">
      <c r="BC464" s="3"/>
      <c r="BD464" s="3"/>
      <c r="BE464" s="3"/>
      <c r="BF464" s="3"/>
    </row>
    <row r="465" ht="15.75" customHeight="1">
      <c r="BC465" s="3"/>
      <c r="BD465" s="3"/>
      <c r="BE465" s="3"/>
      <c r="BF465" s="3"/>
    </row>
    <row r="466" ht="15.75" customHeight="1">
      <c r="BC466" s="3"/>
      <c r="BD466" s="3"/>
      <c r="BE466" s="3"/>
      <c r="BF466" s="3"/>
    </row>
    <row r="467" ht="15.75" customHeight="1">
      <c r="BC467" s="3"/>
      <c r="BD467" s="3"/>
      <c r="BE467" s="3"/>
      <c r="BF467" s="3"/>
    </row>
    <row r="468" ht="15.75" customHeight="1">
      <c r="BC468" s="3"/>
      <c r="BD468" s="3"/>
      <c r="BE468" s="3"/>
      <c r="BF468" s="3"/>
    </row>
    <row r="469" ht="15.75" customHeight="1">
      <c r="BC469" s="3"/>
      <c r="BD469" s="3"/>
      <c r="BE469" s="3"/>
      <c r="BF469" s="3"/>
    </row>
    <row r="470" ht="15.75" customHeight="1">
      <c r="BC470" s="3"/>
      <c r="BD470" s="3"/>
      <c r="BE470" s="3"/>
      <c r="BF470" s="3"/>
    </row>
    <row r="471" ht="15.75" customHeight="1">
      <c r="BC471" s="3"/>
      <c r="BD471" s="3"/>
      <c r="BE471" s="3"/>
      <c r="BF471" s="3"/>
    </row>
    <row r="472" ht="15.75" customHeight="1">
      <c r="BC472" s="3"/>
      <c r="BD472" s="3"/>
      <c r="BE472" s="3"/>
      <c r="BF472" s="3"/>
    </row>
    <row r="473" ht="15.75" customHeight="1">
      <c r="BC473" s="3"/>
      <c r="BD473" s="3"/>
      <c r="BE473" s="3"/>
      <c r="BF473" s="3"/>
    </row>
    <row r="474" ht="15.75" customHeight="1">
      <c r="BC474" s="3"/>
      <c r="BD474" s="3"/>
      <c r="BE474" s="3"/>
      <c r="BF474" s="3"/>
    </row>
    <row r="475" ht="15.75" customHeight="1">
      <c r="BC475" s="3"/>
      <c r="BD475" s="3"/>
      <c r="BE475" s="3"/>
      <c r="BF475" s="3"/>
    </row>
    <row r="476" ht="15.75" customHeight="1">
      <c r="BC476" s="3"/>
      <c r="BD476" s="3"/>
      <c r="BE476" s="3"/>
      <c r="BF476" s="3"/>
    </row>
    <row r="477" ht="15.75" customHeight="1">
      <c r="BC477" s="3"/>
      <c r="BD477" s="3"/>
      <c r="BE477" s="3"/>
      <c r="BF477" s="3"/>
    </row>
    <row r="478" ht="15.75" customHeight="1">
      <c r="BC478" s="3"/>
      <c r="BD478" s="3"/>
      <c r="BE478" s="3"/>
      <c r="BF478" s="3"/>
    </row>
    <row r="479" ht="15.75" customHeight="1">
      <c r="BC479" s="3"/>
      <c r="BD479" s="3"/>
      <c r="BE479" s="3"/>
      <c r="BF479" s="3"/>
    </row>
    <row r="480" ht="15.75" customHeight="1">
      <c r="BC480" s="3"/>
      <c r="BD480" s="3"/>
      <c r="BE480" s="3"/>
      <c r="BF480" s="3"/>
    </row>
    <row r="481" ht="15.75" customHeight="1">
      <c r="BC481" s="3"/>
      <c r="BD481" s="3"/>
      <c r="BE481" s="3"/>
      <c r="BF481" s="3"/>
    </row>
    <row r="482" ht="15.75" customHeight="1">
      <c r="BC482" s="3"/>
      <c r="BD482" s="3"/>
      <c r="BE482" s="3"/>
      <c r="BF482" s="3"/>
    </row>
    <row r="483" ht="15.75" customHeight="1">
      <c r="BC483" s="3"/>
      <c r="BD483" s="3"/>
      <c r="BE483" s="3"/>
      <c r="BF483" s="3"/>
    </row>
    <row r="484" ht="15.75" customHeight="1">
      <c r="BC484" s="3"/>
      <c r="BD484" s="3"/>
      <c r="BE484" s="3"/>
      <c r="BF484" s="3"/>
    </row>
    <row r="485" ht="15.75" customHeight="1">
      <c r="BC485" s="3"/>
      <c r="BD485" s="3"/>
      <c r="BE485" s="3"/>
      <c r="BF485" s="3"/>
    </row>
    <row r="486" ht="15.75" customHeight="1">
      <c r="BC486" s="3"/>
      <c r="BD486" s="3"/>
      <c r="BE486" s="3"/>
      <c r="BF486" s="3"/>
    </row>
    <row r="487" ht="15.75" customHeight="1">
      <c r="BC487" s="3"/>
      <c r="BD487" s="3"/>
      <c r="BE487" s="3"/>
      <c r="BF487" s="3"/>
    </row>
    <row r="488" ht="15.75" customHeight="1">
      <c r="BC488" s="3"/>
      <c r="BD488" s="3"/>
      <c r="BE488" s="3"/>
      <c r="BF488" s="3"/>
    </row>
    <row r="489" ht="15.75" customHeight="1">
      <c r="BC489" s="3"/>
      <c r="BD489" s="3"/>
      <c r="BE489" s="3"/>
      <c r="BF489" s="3"/>
    </row>
    <row r="490" ht="15.75" customHeight="1">
      <c r="BC490" s="3"/>
      <c r="BD490" s="3"/>
      <c r="BE490" s="3"/>
      <c r="BF490" s="3"/>
    </row>
    <row r="491" ht="15.75" customHeight="1">
      <c r="BC491" s="3"/>
      <c r="BD491" s="3"/>
      <c r="BE491" s="3"/>
      <c r="BF491" s="3"/>
    </row>
    <row r="492" ht="15.75" customHeight="1">
      <c r="BC492" s="3"/>
      <c r="BD492" s="3"/>
      <c r="BE492" s="3"/>
      <c r="BF492" s="3"/>
    </row>
    <row r="493" ht="15.75" customHeight="1">
      <c r="BC493" s="3"/>
      <c r="BD493" s="3"/>
      <c r="BE493" s="3"/>
      <c r="BF493" s="3"/>
    </row>
    <row r="494" ht="15.75" customHeight="1">
      <c r="BC494" s="3"/>
      <c r="BD494" s="3"/>
      <c r="BE494" s="3"/>
      <c r="BF494" s="3"/>
    </row>
    <row r="495" ht="15.75" customHeight="1">
      <c r="BC495" s="3"/>
      <c r="BD495" s="3"/>
      <c r="BE495" s="3"/>
      <c r="BF495" s="3"/>
    </row>
    <row r="496" ht="15.75" customHeight="1">
      <c r="BC496" s="3"/>
      <c r="BD496" s="3"/>
      <c r="BE496" s="3"/>
      <c r="BF496" s="3"/>
    </row>
    <row r="497" ht="15.75" customHeight="1">
      <c r="BC497" s="3"/>
      <c r="BD497" s="3"/>
      <c r="BE497" s="3"/>
      <c r="BF497" s="3"/>
    </row>
    <row r="498" ht="15.75" customHeight="1">
      <c r="BC498" s="3"/>
      <c r="BD498" s="3"/>
      <c r="BE498" s="3"/>
      <c r="BF498" s="3"/>
    </row>
    <row r="499" ht="15.75" customHeight="1">
      <c r="BC499" s="3"/>
      <c r="BD499" s="3"/>
      <c r="BE499" s="3"/>
      <c r="BF499" s="3"/>
    </row>
    <row r="500" ht="15.75" customHeight="1">
      <c r="BC500" s="3"/>
      <c r="BD500" s="3"/>
      <c r="BE500" s="3"/>
      <c r="BF500" s="3"/>
    </row>
    <row r="501" ht="15.75" customHeight="1">
      <c r="BC501" s="3"/>
      <c r="BD501" s="3"/>
      <c r="BE501" s="3"/>
      <c r="BF501" s="3"/>
    </row>
    <row r="502" ht="15.75" customHeight="1">
      <c r="BC502" s="3"/>
      <c r="BD502" s="3"/>
      <c r="BE502" s="3"/>
      <c r="BF502" s="3"/>
    </row>
    <row r="503" ht="15.75" customHeight="1">
      <c r="BC503" s="3"/>
      <c r="BD503" s="3"/>
      <c r="BE503" s="3"/>
      <c r="BF503" s="3"/>
    </row>
    <row r="504" ht="15.75" customHeight="1">
      <c r="BC504" s="3"/>
      <c r="BD504" s="3"/>
      <c r="BE504" s="3"/>
      <c r="BF504" s="3"/>
    </row>
    <row r="505" ht="15.75" customHeight="1">
      <c r="BC505" s="3"/>
      <c r="BD505" s="3"/>
      <c r="BE505" s="3"/>
      <c r="BF505" s="3"/>
    </row>
    <row r="506" ht="15.75" customHeight="1">
      <c r="BC506" s="3"/>
      <c r="BD506" s="3"/>
      <c r="BE506" s="3"/>
      <c r="BF506" s="3"/>
    </row>
    <row r="507" ht="15.75" customHeight="1">
      <c r="BC507" s="3"/>
      <c r="BD507" s="3"/>
      <c r="BE507" s="3"/>
      <c r="BF507" s="3"/>
    </row>
    <row r="508" ht="15.75" customHeight="1">
      <c r="BC508" s="3"/>
      <c r="BD508" s="3"/>
      <c r="BE508" s="3"/>
      <c r="BF508" s="3"/>
    </row>
    <row r="509" ht="15.75" customHeight="1">
      <c r="BC509" s="3"/>
      <c r="BD509" s="3"/>
      <c r="BE509" s="3"/>
      <c r="BF509" s="3"/>
    </row>
    <row r="510" ht="15.75" customHeight="1">
      <c r="BC510" s="3"/>
      <c r="BD510" s="3"/>
      <c r="BE510" s="3"/>
      <c r="BF510" s="3"/>
    </row>
    <row r="511" ht="15.75" customHeight="1">
      <c r="BC511" s="3"/>
      <c r="BD511" s="3"/>
      <c r="BE511" s="3"/>
      <c r="BF511" s="3"/>
    </row>
    <row r="512" ht="15.75" customHeight="1">
      <c r="BC512" s="3"/>
      <c r="BD512" s="3"/>
      <c r="BE512" s="3"/>
      <c r="BF512" s="3"/>
    </row>
    <row r="513" ht="15.75" customHeight="1">
      <c r="BC513" s="3"/>
      <c r="BD513" s="3"/>
      <c r="BE513" s="3"/>
      <c r="BF513" s="3"/>
    </row>
    <row r="514" ht="15.75" customHeight="1">
      <c r="BC514" s="3"/>
      <c r="BD514" s="3"/>
      <c r="BE514" s="3"/>
      <c r="BF514" s="3"/>
    </row>
    <row r="515" ht="15.75" customHeight="1">
      <c r="BC515" s="3"/>
      <c r="BD515" s="3"/>
      <c r="BE515" s="3"/>
      <c r="BF515" s="3"/>
    </row>
    <row r="516" ht="15.75" customHeight="1">
      <c r="BC516" s="3"/>
      <c r="BD516" s="3"/>
      <c r="BE516" s="3"/>
      <c r="BF516" s="3"/>
    </row>
    <row r="517" ht="15.75" customHeight="1">
      <c r="BC517" s="3"/>
      <c r="BD517" s="3"/>
      <c r="BE517" s="3"/>
      <c r="BF517" s="3"/>
    </row>
    <row r="518" ht="15.75" customHeight="1">
      <c r="BC518" s="3"/>
      <c r="BD518" s="3"/>
      <c r="BE518" s="3"/>
      <c r="BF518" s="3"/>
    </row>
    <row r="519" ht="15.75" customHeight="1">
      <c r="BC519" s="3"/>
      <c r="BD519" s="3"/>
      <c r="BE519" s="3"/>
      <c r="BF519" s="3"/>
    </row>
    <row r="520" ht="15.75" customHeight="1">
      <c r="BC520" s="3"/>
      <c r="BD520" s="3"/>
      <c r="BE520" s="3"/>
      <c r="BF520" s="3"/>
    </row>
    <row r="521" ht="15.75" customHeight="1">
      <c r="BC521" s="3"/>
      <c r="BD521" s="3"/>
      <c r="BE521" s="3"/>
      <c r="BF521" s="3"/>
    </row>
    <row r="522" ht="15.75" customHeight="1">
      <c r="BC522" s="3"/>
      <c r="BD522" s="3"/>
      <c r="BE522" s="3"/>
      <c r="BF522" s="3"/>
    </row>
    <row r="523" ht="15.75" customHeight="1">
      <c r="BC523" s="3"/>
      <c r="BD523" s="3"/>
      <c r="BE523" s="3"/>
      <c r="BF523" s="3"/>
    </row>
    <row r="524" ht="15.75" customHeight="1">
      <c r="BC524" s="3"/>
      <c r="BD524" s="3"/>
      <c r="BE524" s="3"/>
      <c r="BF524" s="3"/>
    </row>
    <row r="525" ht="15.75" customHeight="1">
      <c r="BC525" s="3"/>
      <c r="BD525" s="3"/>
      <c r="BE525" s="3"/>
      <c r="BF525" s="3"/>
    </row>
    <row r="526" ht="15.75" customHeight="1">
      <c r="BC526" s="3"/>
      <c r="BD526" s="3"/>
      <c r="BE526" s="3"/>
      <c r="BF526" s="3"/>
    </row>
    <row r="527" ht="15.75" customHeight="1">
      <c r="BC527" s="3"/>
      <c r="BD527" s="3"/>
      <c r="BE527" s="3"/>
      <c r="BF527" s="3"/>
    </row>
    <row r="528" ht="15.75" customHeight="1">
      <c r="BC528" s="3"/>
      <c r="BD528" s="3"/>
      <c r="BE528" s="3"/>
      <c r="BF528" s="3"/>
    </row>
    <row r="529" ht="15.75" customHeight="1">
      <c r="BC529" s="3"/>
      <c r="BD529" s="3"/>
      <c r="BE529" s="3"/>
      <c r="BF529" s="3"/>
    </row>
    <row r="530" ht="15.75" customHeight="1">
      <c r="BC530" s="3"/>
      <c r="BD530" s="3"/>
      <c r="BE530" s="3"/>
      <c r="BF530" s="3"/>
    </row>
    <row r="531" ht="15.75" customHeight="1">
      <c r="BC531" s="3"/>
      <c r="BD531" s="3"/>
      <c r="BE531" s="3"/>
      <c r="BF531" s="3"/>
    </row>
    <row r="532" ht="15.75" customHeight="1">
      <c r="BC532" s="3"/>
      <c r="BD532" s="3"/>
      <c r="BE532" s="3"/>
      <c r="BF532" s="3"/>
    </row>
    <row r="533" ht="15.75" customHeight="1">
      <c r="BC533" s="3"/>
      <c r="BD533" s="3"/>
      <c r="BE533" s="3"/>
      <c r="BF533" s="3"/>
    </row>
    <row r="534" ht="15.75" customHeight="1">
      <c r="BC534" s="3"/>
      <c r="BD534" s="3"/>
      <c r="BE534" s="3"/>
      <c r="BF534" s="3"/>
    </row>
    <row r="535" ht="15.75" customHeight="1">
      <c r="BC535" s="3"/>
      <c r="BD535" s="3"/>
      <c r="BE535" s="3"/>
      <c r="BF535" s="3"/>
    </row>
    <row r="536" ht="15.75" customHeight="1">
      <c r="BC536" s="3"/>
      <c r="BD536" s="3"/>
      <c r="BE536" s="3"/>
      <c r="BF536" s="3"/>
    </row>
    <row r="537" ht="15.75" customHeight="1">
      <c r="BC537" s="3"/>
      <c r="BD537" s="3"/>
      <c r="BE537" s="3"/>
      <c r="BF537" s="3"/>
    </row>
    <row r="538" ht="15.75" customHeight="1">
      <c r="BC538" s="3"/>
      <c r="BD538" s="3"/>
      <c r="BE538" s="3"/>
      <c r="BF538" s="3"/>
    </row>
    <row r="539" ht="15.75" customHeight="1">
      <c r="BC539" s="3"/>
      <c r="BD539" s="3"/>
      <c r="BE539" s="3"/>
      <c r="BF539" s="3"/>
    </row>
    <row r="540" ht="15.75" customHeight="1">
      <c r="BC540" s="3"/>
      <c r="BD540" s="3"/>
      <c r="BE540" s="3"/>
      <c r="BF540" s="3"/>
    </row>
    <row r="541" ht="15.75" customHeight="1">
      <c r="BC541" s="3"/>
      <c r="BD541" s="3"/>
      <c r="BE541" s="3"/>
      <c r="BF541" s="3"/>
    </row>
    <row r="542" ht="15.75" customHeight="1">
      <c r="BC542" s="3"/>
      <c r="BD542" s="3"/>
      <c r="BE542" s="3"/>
      <c r="BF542" s="3"/>
    </row>
    <row r="543" ht="15.75" customHeight="1">
      <c r="BC543" s="3"/>
      <c r="BD543" s="3"/>
      <c r="BE543" s="3"/>
      <c r="BF543" s="3"/>
    </row>
    <row r="544" ht="15.75" customHeight="1">
      <c r="BC544" s="3"/>
      <c r="BD544" s="3"/>
      <c r="BE544" s="3"/>
      <c r="BF544" s="3"/>
    </row>
    <row r="545" ht="15.75" customHeight="1">
      <c r="BC545" s="3"/>
      <c r="BD545" s="3"/>
      <c r="BE545" s="3"/>
      <c r="BF545" s="3"/>
    </row>
    <row r="546" ht="15.75" customHeight="1">
      <c r="BC546" s="3"/>
      <c r="BD546" s="3"/>
      <c r="BE546" s="3"/>
      <c r="BF546" s="3"/>
    </row>
    <row r="547" ht="15.75" customHeight="1">
      <c r="BC547" s="3"/>
      <c r="BD547" s="3"/>
      <c r="BE547" s="3"/>
      <c r="BF547" s="3"/>
    </row>
    <row r="548" ht="15.75" customHeight="1">
      <c r="BC548" s="3"/>
      <c r="BD548" s="3"/>
      <c r="BE548" s="3"/>
      <c r="BF548" s="3"/>
    </row>
    <row r="549" ht="15.75" customHeight="1">
      <c r="BC549" s="3"/>
      <c r="BD549" s="3"/>
      <c r="BE549" s="3"/>
      <c r="BF549" s="3"/>
    </row>
    <row r="550" ht="15.75" customHeight="1">
      <c r="BC550" s="3"/>
      <c r="BD550" s="3"/>
      <c r="BE550" s="3"/>
      <c r="BF550" s="3"/>
    </row>
    <row r="551" ht="15.75" customHeight="1">
      <c r="BC551" s="3"/>
      <c r="BD551" s="3"/>
      <c r="BE551" s="3"/>
      <c r="BF551" s="3"/>
    </row>
    <row r="552" ht="15.75" customHeight="1">
      <c r="BC552" s="3"/>
      <c r="BD552" s="3"/>
      <c r="BE552" s="3"/>
      <c r="BF552" s="3"/>
    </row>
    <row r="553" ht="15.75" customHeight="1">
      <c r="BC553" s="3"/>
      <c r="BD553" s="3"/>
      <c r="BE553" s="3"/>
      <c r="BF553" s="3"/>
    </row>
    <row r="554" ht="15.75" customHeight="1">
      <c r="BC554" s="3"/>
      <c r="BD554" s="3"/>
      <c r="BE554" s="3"/>
      <c r="BF554" s="3"/>
    </row>
    <row r="555" ht="15.75" customHeight="1">
      <c r="BC555" s="3"/>
      <c r="BD555" s="3"/>
      <c r="BE555" s="3"/>
      <c r="BF555" s="3"/>
    </row>
    <row r="556" ht="15.75" customHeight="1">
      <c r="BC556" s="3"/>
      <c r="BD556" s="3"/>
      <c r="BE556" s="3"/>
      <c r="BF556" s="3"/>
    </row>
    <row r="557" ht="15.75" customHeight="1">
      <c r="BC557" s="3"/>
      <c r="BD557" s="3"/>
      <c r="BE557" s="3"/>
      <c r="BF557" s="3"/>
    </row>
    <row r="558" ht="15.75" customHeight="1">
      <c r="BC558" s="3"/>
      <c r="BD558" s="3"/>
      <c r="BE558" s="3"/>
      <c r="BF558" s="3"/>
    </row>
    <row r="559" ht="15.75" customHeight="1">
      <c r="BC559" s="3"/>
      <c r="BD559" s="3"/>
      <c r="BE559" s="3"/>
      <c r="BF559" s="3"/>
    </row>
    <row r="560" ht="15.75" customHeight="1">
      <c r="BC560" s="3"/>
      <c r="BD560" s="3"/>
      <c r="BE560" s="3"/>
      <c r="BF560" s="3"/>
    </row>
    <row r="561" ht="15.75" customHeight="1">
      <c r="BC561" s="3"/>
      <c r="BD561" s="3"/>
      <c r="BE561" s="3"/>
      <c r="BF561" s="3"/>
    </row>
    <row r="562" ht="15.75" customHeight="1">
      <c r="BC562" s="3"/>
      <c r="BD562" s="3"/>
      <c r="BE562" s="3"/>
      <c r="BF562" s="3"/>
    </row>
    <row r="563" ht="15.75" customHeight="1">
      <c r="BC563" s="3"/>
      <c r="BD563" s="3"/>
      <c r="BE563" s="3"/>
      <c r="BF563" s="3"/>
    </row>
    <row r="564" ht="15.75" customHeight="1">
      <c r="BC564" s="3"/>
      <c r="BD564" s="3"/>
      <c r="BE564" s="3"/>
      <c r="BF564" s="3"/>
    </row>
    <row r="565" ht="15.75" customHeight="1">
      <c r="BC565" s="3"/>
      <c r="BD565" s="3"/>
      <c r="BE565" s="3"/>
      <c r="BF565" s="3"/>
    </row>
    <row r="566" ht="15.75" customHeight="1">
      <c r="BC566" s="3"/>
      <c r="BD566" s="3"/>
      <c r="BE566" s="3"/>
      <c r="BF566" s="3"/>
    </row>
    <row r="567" ht="15.75" customHeight="1">
      <c r="BC567" s="3"/>
      <c r="BD567" s="3"/>
      <c r="BE567" s="3"/>
      <c r="BF567" s="3"/>
    </row>
    <row r="568" ht="15.75" customHeight="1">
      <c r="BC568" s="3"/>
      <c r="BD568" s="3"/>
      <c r="BE568" s="3"/>
      <c r="BF568" s="3"/>
    </row>
    <row r="569" ht="15.75" customHeight="1">
      <c r="BC569" s="3"/>
      <c r="BD569" s="3"/>
      <c r="BE569" s="3"/>
      <c r="BF569" s="3"/>
    </row>
    <row r="570" ht="15.75" customHeight="1">
      <c r="BC570" s="3"/>
      <c r="BD570" s="3"/>
      <c r="BE570" s="3"/>
      <c r="BF570" s="3"/>
    </row>
    <row r="571" ht="15.75" customHeight="1">
      <c r="BC571" s="3"/>
      <c r="BD571" s="3"/>
      <c r="BE571" s="3"/>
      <c r="BF571" s="3"/>
    </row>
    <row r="572" ht="15.75" customHeight="1">
      <c r="BC572" s="3"/>
      <c r="BD572" s="3"/>
      <c r="BE572" s="3"/>
      <c r="BF572" s="3"/>
    </row>
    <row r="573" ht="15.75" customHeight="1">
      <c r="BC573" s="3"/>
      <c r="BD573" s="3"/>
      <c r="BE573" s="3"/>
      <c r="BF573" s="3"/>
    </row>
    <row r="574" ht="15.75" customHeight="1">
      <c r="BC574" s="3"/>
      <c r="BD574" s="3"/>
      <c r="BE574" s="3"/>
      <c r="BF574" s="3"/>
    </row>
    <row r="575" ht="15.75" customHeight="1">
      <c r="BC575" s="3"/>
      <c r="BD575" s="3"/>
      <c r="BE575" s="3"/>
      <c r="BF575" s="3"/>
    </row>
    <row r="576" ht="15.75" customHeight="1">
      <c r="BC576" s="3"/>
      <c r="BD576" s="3"/>
      <c r="BE576" s="3"/>
      <c r="BF576" s="3"/>
    </row>
    <row r="577" ht="15.75" customHeight="1">
      <c r="BC577" s="3"/>
      <c r="BD577" s="3"/>
      <c r="BE577" s="3"/>
      <c r="BF577" s="3"/>
    </row>
    <row r="578" ht="15.75" customHeight="1">
      <c r="BC578" s="3"/>
      <c r="BD578" s="3"/>
      <c r="BE578" s="3"/>
      <c r="BF578" s="3"/>
    </row>
    <row r="579" ht="15.75" customHeight="1">
      <c r="BC579" s="3"/>
      <c r="BD579" s="3"/>
      <c r="BE579" s="3"/>
      <c r="BF579" s="3"/>
    </row>
    <row r="580" ht="15.75" customHeight="1">
      <c r="BC580" s="3"/>
      <c r="BD580" s="3"/>
      <c r="BE580" s="3"/>
      <c r="BF580" s="3"/>
    </row>
    <row r="581" ht="15.75" customHeight="1">
      <c r="BC581" s="3"/>
      <c r="BD581" s="3"/>
      <c r="BE581" s="3"/>
      <c r="BF581" s="3"/>
    </row>
    <row r="582" ht="15.75" customHeight="1">
      <c r="BC582" s="3"/>
      <c r="BD582" s="3"/>
      <c r="BE582" s="3"/>
      <c r="BF582" s="3"/>
    </row>
    <row r="583" ht="15.75" customHeight="1">
      <c r="BC583" s="3"/>
      <c r="BD583" s="3"/>
      <c r="BE583" s="3"/>
      <c r="BF583" s="3"/>
    </row>
    <row r="584" ht="15.75" customHeight="1">
      <c r="BC584" s="3"/>
      <c r="BD584" s="3"/>
      <c r="BE584" s="3"/>
      <c r="BF584" s="3"/>
    </row>
    <row r="585" ht="15.75" customHeight="1">
      <c r="BC585" s="3"/>
      <c r="BD585" s="3"/>
      <c r="BE585" s="3"/>
      <c r="BF585" s="3"/>
    </row>
    <row r="586" ht="15.75" customHeight="1">
      <c r="BC586" s="3"/>
      <c r="BD586" s="3"/>
      <c r="BE586" s="3"/>
      <c r="BF586" s="3"/>
    </row>
    <row r="587" ht="15.75" customHeight="1">
      <c r="BC587" s="3"/>
      <c r="BD587" s="3"/>
      <c r="BE587" s="3"/>
      <c r="BF587" s="3"/>
    </row>
    <row r="588" ht="15.75" customHeight="1">
      <c r="BC588" s="3"/>
      <c r="BD588" s="3"/>
      <c r="BE588" s="3"/>
      <c r="BF588" s="3"/>
    </row>
    <row r="589" ht="15.75" customHeight="1">
      <c r="BC589" s="3"/>
      <c r="BD589" s="3"/>
      <c r="BE589" s="3"/>
      <c r="BF589" s="3"/>
    </row>
    <row r="590" ht="15.75" customHeight="1">
      <c r="BC590" s="3"/>
      <c r="BD590" s="3"/>
      <c r="BE590" s="3"/>
      <c r="BF590" s="3"/>
    </row>
    <row r="591" ht="15.75" customHeight="1">
      <c r="BC591" s="3"/>
      <c r="BD591" s="3"/>
      <c r="BE591" s="3"/>
      <c r="BF591" s="3"/>
    </row>
    <row r="592" ht="15.75" customHeight="1">
      <c r="BC592" s="3"/>
      <c r="BD592" s="3"/>
      <c r="BE592" s="3"/>
      <c r="BF592" s="3"/>
    </row>
    <row r="593" ht="15.75" customHeight="1">
      <c r="BC593" s="3"/>
      <c r="BD593" s="3"/>
      <c r="BE593" s="3"/>
      <c r="BF593" s="3"/>
    </row>
    <row r="594" ht="15.75" customHeight="1">
      <c r="BC594" s="3"/>
      <c r="BD594" s="3"/>
      <c r="BE594" s="3"/>
      <c r="BF594" s="3"/>
    </row>
    <row r="595" ht="15.75" customHeight="1">
      <c r="BC595" s="3"/>
      <c r="BD595" s="3"/>
      <c r="BE595" s="3"/>
      <c r="BF595" s="3"/>
    </row>
    <row r="596" ht="15.75" customHeight="1">
      <c r="BC596" s="3"/>
      <c r="BD596" s="3"/>
      <c r="BE596" s="3"/>
      <c r="BF596" s="3"/>
    </row>
    <row r="597" ht="15.75" customHeight="1">
      <c r="BC597" s="3"/>
      <c r="BD597" s="3"/>
      <c r="BE597" s="3"/>
      <c r="BF597" s="3"/>
    </row>
    <row r="598" ht="15.75" customHeight="1">
      <c r="BC598" s="3"/>
      <c r="BD598" s="3"/>
      <c r="BE598" s="3"/>
      <c r="BF598" s="3"/>
    </row>
    <row r="599" ht="15.75" customHeight="1">
      <c r="BC599" s="3"/>
      <c r="BD599" s="3"/>
      <c r="BE599" s="3"/>
      <c r="BF599" s="3"/>
    </row>
    <row r="600" ht="15.75" customHeight="1">
      <c r="BC600" s="3"/>
      <c r="BD600" s="3"/>
      <c r="BE600" s="3"/>
      <c r="BF600" s="3"/>
    </row>
    <row r="601" ht="15.75" customHeight="1">
      <c r="BC601" s="3"/>
      <c r="BD601" s="3"/>
      <c r="BE601" s="3"/>
      <c r="BF601" s="3"/>
    </row>
    <row r="602" ht="15.75" customHeight="1">
      <c r="BC602" s="3"/>
      <c r="BD602" s="3"/>
      <c r="BE602" s="3"/>
      <c r="BF602" s="3"/>
    </row>
    <row r="603" ht="15.75" customHeight="1">
      <c r="BC603" s="3"/>
      <c r="BD603" s="3"/>
      <c r="BE603" s="3"/>
      <c r="BF603" s="3"/>
    </row>
    <row r="604" ht="15.75" customHeight="1">
      <c r="BC604" s="3"/>
      <c r="BD604" s="3"/>
      <c r="BE604" s="3"/>
      <c r="BF604" s="3"/>
    </row>
    <row r="605" ht="15.75" customHeight="1">
      <c r="BC605" s="3"/>
      <c r="BD605" s="3"/>
      <c r="BE605" s="3"/>
      <c r="BF605" s="3"/>
    </row>
    <row r="606" ht="15.75" customHeight="1">
      <c r="BC606" s="3"/>
      <c r="BD606" s="3"/>
      <c r="BE606" s="3"/>
      <c r="BF606" s="3"/>
    </row>
    <row r="607" ht="15.75" customHeight="1">
      <c r="BC607" s="3"/>
      <c r="BD607" s="3"/>
      <c r="BE607" s="3"/>
      <c r="BF607" s="3"/>
    </row>
    <row r="608" ht="15.75" customHeight="1">
      <c r="BC608" s="3"/>
      <c r="BD608" s="3"/>
      <c r="BE608" s="3"/>
      <c r="BF608" s="3"/>
    </row>
    <row r="609" ht="15.75" customHeight="1">
      <c r="BC609" s="3"/>
      <c r="BD609" s="3"/>
      <c r="BE609" s="3"/>
      <c r="BF609" s="3"/>
    </row>
    <row r="610" ht="15.75" customHeight="1">
      <c r="BC610" s="3"/>
      <c r="BD610" s="3"/>
      <c r="BE610" s="3"/>
      <c r="BF610" s="3"/>
    </row>
    <row r="611" ht="15.75" customHeight="1">
      <c r="BC611" s="3"/>
      <c r="BD611" s="3"/>
      <c r="BE611" s="3"/>
      <c r="BF611" s="3"/>
    </row>
    <row r="612" ht="15.75" customHeight="1">
      <c r="BC612" s="3"/>
      <c r="BD612" s="3"/>
      <c r="BE612" s="3"/>
      <c r="BF612" s="3"/>
    </row>
    <row r="613" ht="15.75" customHeight="1">
      <c r="BC613" s="3"/>
      <c r="BD613" s="3"/>
      <c r="BE613" s="3"/>
      <c r="BF613" s="3"/>
    </row>
    <row r="614" ht="15.75" customHeight="1">
      <c r="BC614" s="3"/>
      <c r="BD614" s="3"/>
      <c r="BE614" s="3"/>
      <c r="BF614" s="3"/>
    </row>
    <row r="615" ht="15.75" customHeight="1">
      <c r="BC615" s="3"/>
      <c r="BD615" s="3"/>
      <c r="BE615" s="3"/>
      <c r="BF615" s="3"/>
    </row>
    <row r="616" ht="15.75" customHeight="1">
      <c r="BC616" s="3"/>
      <c r="BD616" s="3"/>
      <c r="BE616" s="3"/>
      <c r="BF616" s="3"/>
    </row>
    <row r="617" ht="15.75" customHeight="1">
      <c r="BC617" s="3"/>
      <c r="BD617" s="3"/>
      <c r="BE617" s="3"/>
      <c r="BF617" s="3"/>
    </row>
    <row r="618" ht="15.75" customHeight="1">
      <c r="BC618" s="3"/>
      <c r="BD618" s="3"/>
      <c r="BE618" s="3"/>
      <c r="BF618" s="3"/>
    </row>
    <row r="619" ht="15.75" customHeight="1">
      <c r="BC619" s="3"/>
      <c r="BD619" s="3"/>
      <c r="BE619" s="3"/>
      <c r="BF619" s="3"/>
    </row>
    <row r="620" ht="15.75" customHeight="1">
      <c r="BC620" s="3"/>
      <c r="BD620" s="3"/>
      <c r="BE620" s="3"/>
      <c r="BF620" s="3"/>
    </row>
    <row r="621" ht="15.75" customHeight="1">
      <c r="BC621" s="3"/>
      <c r="BD621" s="3"/>
      <c r="BE621" s="3"/>
      <c r="BF621" s="3"/>
    </row>
    <row r="622" ht="15.75" customHeight="1">
      <c r="BC622" s="3"/>
      <c r="BD622" s="3"/>
      <c r="BE622" s="3"/>
      <c r="BF622" s="3"/>
    </row>
    <row r="623" ht="15.75" customHeight="1">
      <c r="BC623" s="3"/>
      <c r="BD623" s="3"/>
      <c r="BE623" s="3"/>
      <c r="BF623" s="3"/>
    </row>
    <row r="624" ht="15.75" customHeight="1">
      <c r="BC624" s="3"/>
      <c r="BD624" s="3"/>
      <c r="BE624" s="3"/>
      <c r="BF624" s="3"/>
    </row>
    <row r="625" ht="15.75" customHeight="1">
      <c r="BC625" s="3"/>
      <c r="BD625" s="3"/>
      <c r="BE625" s="3"/>
      <c r="BF625" s="3"/>
    </row>
    <row r="626" ht="15.75" customHeight="1">
      <c r="BC626" s="3"/>
      <c r="BD626" s="3"/>
      <c r="BE626" s="3"/>
      <c r="BF626" s="3"/>
    </row>
    <row r="627" ht="15.75" customHeight="1">
      <c r="BC627" s="3"/>
      <c r="BD627" s="3"/>
      <c r="BE627" s="3"/>
      <c r="BF627" s="3"/>
    </row>
    <row r="628" ht="15.75" customHeight="1">
      <c r="BC628" s="3"/>
      <c r="BD628" s="3"/>
      <c r="BE628" s="3"/>
      <c r="BF628" s="3"/>
    </row>
    <row r="629" ht="15.75" customHeight="1">
      <c r="BC629" s="3"/>
      <c r="BD629" s="3"/>
      <c r="BE629" s="3"/>
      <c r="BF629" s="3"/>
    </row>
    <row r="630" ht="15.75" customHeight="1">
      <c r="BC630" s="3"/>
      <c r="BD630" s="3"/>
      <c r="BE630" s="3"/>
      <c r="BF630" s="3"/>
    </row>
    <row r="631" ht="15.75" customHeight="1">
      <c r="BC631" s="3"/>
      <c r="BD631" s="3"/>
      <c r="BE631" s="3"/>
      <c r="BF631" s="3"/>
    </row>
    <row r="632" ht="15.75" customHeight="1">
      <c r="BC632" s="3"/>
      <c r="BD632" s="3"/>
      <c r="BE632" s="3"/>
      <c r="BF632" s="3"/>
    </row>
    <row r="633" ht="15.75" customHeight="1">
      <c r="BC633" s="3"/>
      <c r="BD633" s="3"/>
      <c r="BE633" s="3"/>
      <c r="BF633" s="3"/>
    </row>
    <row r="634" ht="15.75" customHeight="1">
      <c r="BC634" s="3"/>
      <c r="BD634" s="3"/>
      <c r="BE634" s="3"/>
      <c r="BF634" s="3"/>
    </row>
    <row r="635" ht="15.75" customHeight="1">
      <c r="BC635" s="3"/>
      <c r="BD635" s="3"/>
      <c r="BE635" s="3"/>
      <c r="BF635" s="3"/>
    </row>
    <row r="636" ht="15.75" customHeight="1">
      <c r="BC636" s="3"/>
      <c r="BD636" s="3"/>
      <c r="BE636" s="3"/>
      <c r="BF636" s="3"/>
    </row>
    <row r="637" ht="15.75" customHeight="1">
      <c r="BC637" s="3"/>
      <c r="BD637" s="3"/>
      <c r="BE637" s="3"/>
      <c r="BF637" s="3"/>
    </row>
    <row r="638" ht="15.75" customHeight="1">
      <c r="BC638" s="3"/>
      <c r="BD638" s="3"/>
      <c r="BE638" s="3"/>
      <c r="BF638" s="3"/>
    </row>
    <row r="639" ht="15.75" customHeight="1">
      <c r="BC639" s="3"/>
      <c r="BD639" s="3"/>
      <c r="BE639" s="3"/>
      <c r="BF639" s="3"/>
    </row>
    <row r="640" ht="15.75" customHeight="1">
      <c r="BC640" s="3"/>
      <c r="BD640" s="3"/>
      <c r="BE640" s="3"/>
      <c r="BF640" s="3"/>
    </row>
    <row r="641" ht="15.75" customHeight="1">
      <c r="BC641" s="3"/>
      <c r="BD641" s="3"/>
      <c r="BE641" s="3"/>
      <c r="BF641" s="3"/>
    </row>
    <row r="642" ht="15.75" customHeight="1">
      <c r="BC642" s="3"/>
      <c r="BD642" s="3"/>
      <c r="BE642" s="3"/>
      <c r="BF642" s="3"/>
    </row>
    <row r="643" ht="15.75" customHeight="1">
      <c r="BC643" s="3"/>
      <c r="BD643" s="3"/>
      <c r="BE643" s="3"/>
      <c r="BF643" s="3"/>
    </row>
    <row r="644" ht="15.75" customHeight="1">
      <c r="BC644" s="3"/>
      <c r="BD644" s="3"/>
      <c r="BE644" s="3"/>
      <c r="BF644" s="3"/>
    </row>
    <row r="645" ht="15.75" customHeight="1">
      <c r="BC645" s="3"/>
      <c r="BD645" s="3"/>
      <c r="BE645" s="3"/>
      <c r="BF645" s="3"/>
    </row>
    <row r="646" ht="15.75" customHeight="1">
      <c r="BC646" s="3"/>
      <c r="BD646" s="3"/>
      <c r="BE646" s="3"/>
      <c r="BF646" s="3"/>
    </row>
    <row r="647" ht="15.75" customHeight="1">
      <c r="BC647" s="3"/>
      <c r="BD647" s="3"/>
      <c r="BE647" s="3"/>
      <c r="BF647" s="3"/>
    </row>
    <row r="648" ht="15.75" customHeight="1">
      <c r="BC648" s="3"/>
      <c r="BD648" s="3"/>
      <c r="BE648" s="3"/>
      <c r="BF648" s="3"/>
    </row>
    <row r="649" ht="15.75" customHeight="1">
      <c r="BC649" s="3"/>
      <c r="BD649" s="3"/>
      <c r="BE649" s="3"/>
      <c r="BF649" s="3"/>
    </row>
    <row r="650" ht="15.75" customHeight="1">
      <c r="BC650" s="3"/>
      <c r="BD650" s="3"/>
      <c r="BE650" s="3"/>
      <c r="BF650" s="3"/>
    </row>
    <row r="651" ht="15.75" customHeight="1">
      <c r="BC651" s="3"/>
      <c r="BD651" s="3"/>
      <c r="BE651" s="3"/>
      <c r="BF651" s="3"/>
    </row>
    <row r="652" ht="15.75" customHeight="1">
      <c r="BC652" s="3"/>
      <c r="BD652" s="3"/>
      <c r="BE652" s="3"/>
      <c r="BF652" s="3"/>
    </row>
    <row r="653" ht="15.75" customHeight="1">
      <c r="BC653" s="3"/>
      <c r="BD653" s="3"/>
      <c r="BE653" s="3"/>
      <c r="BF653" s="3"/>
    </row>
    <row r="654" ht="15.75" customHeight="1">
      <c r="BC654" s="3"/>
      <c r="BD654" s="3"/>
      <c r="BE654" s="3"/>
      <c r="BF654" s="3"/>
    </row>
    <row r="655" ht="15.75" customHeight="1">
      <c r="BC655" s="3"/>
      <c r="BD655" s="3"/>
      <c r="BE655" s="3"/>
      <c r="BF655" s="3"/>
    </row>
    <row r="656" ht="15.75" customHeight="1">
      <c r="BC656" s="3"/>
      <c r="BD656" s="3"/>
      <c r="BE656" s="3"/>
      <c r="BF656" s="3"/>
    </row>
    <row r="657" ht="15.75" customHeight="1">
      <c r="BC657" s="3"/>
      <c r="BD657" s="3"/>
      <c r="BE657" s="3"/>
      <c r="BF657" s="3"/>
    </row>
    <row r="658" ht="15.75" customHeight="1">
      <c r="BC658" s="3"/>
      <c r="BD658" s="3"/>
      <c r="BE658" s="3"/>
      <c r="BF658" s="3"/>
    </row>
    <row r="659" ht="15.75" customHeight="1">
      <c r="BC659" s="3"/>
      <c r="BD659" s="3"/>
      <c r="BE659" s="3"/>
      <c r="BF659" s="3"/>
    </row>
    <row r="660" ht="15.75" customHeight="1">
      <c r="BC660" s="3"/>
      <c r="BD660" s="3"/>
      <c r="BE660" s="3"/>
      <c r="BF660" s="3"/>
    </row>
    <row r="661" ht="15.75" customHeight="1">
      <c r="BC661" s="3"/>
      <c r="BD661" s="3"/>
      <c r="BE661" s="3"/>
      <c r="BF661" s="3"/>
    </row>
    <row r="662" ht="15.75" customHeight="1">
      <c r="BC662" s="3"/>
      <c r="BD662" s="3"/>
      <c r="BE662" s="3"/>
      <c r="BF662" s="3"/>
    </row>
    <row r="663" ht="15.75" customHeight="1">
      <c r="BC663" s="3"/>
      <c r="BD663" s="3"/>
      <c r="BE663" s="3"/>
      <c r="BF663" s="3"/>
    </row>
    <row r="664" ht="15.75" customHeight="1">
      <c r="BC664" s="3"/>
      <c r="BD664" s="3"/>
      <c r="BE664" s="3"/>
      <c r="BF664" s="3"/>
    </row>
    <row r="665" ht="15.75" customHeight="1">
      <c r="BC665" s="3"/>
      <c r="BD665" s="3"/>
      <c r="BE665" s="3"/>
      <c r="BF665" s="3"/>
    </row>
    <row r="666" ht="15.75" customHeight="1">
      <c r="BC666" s="3"/>
      <c r="BD666" s="3"/>
      <c r="BE666" s="3"/>
      <c r="BF666" s="3"/>
    </row>
    <row r="667" ht="15.75" customHeight="1">
      <c r="BC667" s="3"/>
      <c r="BD667" s="3"/>
      <c r="BE667" s="3"/>
      <c r="BF667" s="3"/>
    </row>
    <row r="668" ht="15.75" customHeight="1">
      <c r="BC668" s="3"/>
      <c r="BD668" s="3"/>
      <c r="BE668" s="3"/>
      <c r="BF668" s="3"/>
    </row>
    <row r="669" ht="15.75" customHeight="1">
      <c r="BC669" s="3"/>
      <c r="BD669" s="3"/>
      <c r="BE669" s="3"/>
      <c r="BF669" s="3"/>
    </row>
    <row r="670" ht="15.75" customHeight="1">
      <c r="BC670" s="3"/>
      <c r="BD670" s="3"/>
      <c r="BE670" s="3"/>
      <c r="BF670" s="3"/>
    </row>
    <row r="671" ht="15.75" customHeight="1">
      <c r="BC671" s="3"/>
      <c r="BD671" s="3"/>
      <c r="BE671" s="3"/>
      <c r="BF671" s="3"/>
    </row>
    <row r="672" ht="15.75" customHeight="1">
      <c r="BC672" s="3"/>
      <c r="BD672" s="3"/>
      <c r="BE672" s="3"/>
      <c r="BF672" s="3"/>
    </row>
    <row r="673" ht="15.75" customHeight="1">
      <c r="BC673" s="3"/>
      <c r="BD673" s="3"/>
      <c r="BE673" s="3"/>
      <c r="BF673" s="3"/>
    </row>
    <row r="674" ht="15.75" customHeight="1">
      <c r="BC674" s="3"/>
      <c r="BD674" s="3"/>
      <c r="BE674" s="3"/>
      <c r="BF674" s="3"/>
    </row>
    <row r="675" ht="15.75" customHeight="1">
      <c r="BC675" s="3"/>
      <c r="BD675" s="3"/>
      <c r="BE675" s="3"/>
      <c r="BF675" s="3"/>
    </row>
    <row r="676" ht="15.75" customHeight="1">
      <c r="BC676" s="3"/>
      <c r="BD676" s="3"/>
      <c r="BE676" s="3"/>
      <c r="BF676" s="3"/>
    </row>
    <row r="677" ht="15.75" customHeight="1">
      <c r="BC677" s="3"/>
      <c r="BD677" s="3"/>
      <c r="BE677" s="3"/>
      <c r="BF677" s="3"/>
    </row>
    <row r="678" ht="15.75" customHeight="1">
      <c r="BC678" s="3"/>
      <c r="BD678" s="3"/>
      <c r="BE678" s="3"/>
      <c r="BF678" s="3"/>
    </row>
    <row r="679" ht="15.75" customHeight="1">
      <c r="BC679" s="3"/>
      <c r="BD679" s="3"/>
      <c r="BE679" s="3"/>
      <c r="BF679" s="3"/>
    </row>
    <row r="680" ht="15.75" customHeight="1">
      <c r="BC680" s="3"/>
      <c r="BD680" s="3"/>
      <c r="BE680" s="3"/>
      <c r="BF680" s="3"/>
    </row>
    <row r="681" ht="15.75" customHeight="1">
      <c r="BC681" s="3"/>
      <c r="BD681" s="3"/>
      <c r="BE681" s="3"/>
      <c r="BF681" s="3"/>
    </row>
    <row r="682" ht="15.75" customHeight="1">
      <c r="BC682" s="3"/>
      <c r="BD682" s="3"/>
      <c r="BE682" s="3"/>
      <c r="BF682" s="3"/>
    </row>
    <row r="683" ht="15.75" customHeight="1">
      <c r="BC683" s="3"/>
      <c r="BD683" s="3"/>
      <c r="BE683" s="3"/>
      <c r="BF683" s="3"/>
    </row>
    <row r="684" ht="15.75" customHeight="1">
      <c r="BC684" s="3"/>
      <c r="BD684" s="3"/>
      <c r="BE684" s="3"/>
      <c r="BF684" s="3"/>
    </row>
    <row r="685" ht="15.75" customHeight="1">
      <c r="BC685" s="3"/>
      <c r="BD685" s="3"/>
      <c r="BE685" s="3"/>
      <c r="BF685" s="3"/>
    </row>
    <row r="686" ht="15.75" customHeight="1">
      <c r="BC686" s="3"/>
      <c r="BD686" s="3"/>
      <c r="BE686" s="3"/>
      <c r="BF686" s="3"/>
    </row>
    <row r="687" ht="15.75" customHeight="1">
      <c r="BC687" s="3"/>
      <c r="BD687" s="3"/>
      <c r="BE687" s="3"/>
      <c r="BF687" s="3"/>
    </row>
    <row r="688" ht="15.75" customHeight="1">
      <c r="BC688" s="3"/>
      <c r="BD688" s="3"/>
      <c r="BE688" s="3"/>
      <c r="BF688" s="3"/>
    </row>
    <row r="689" ht="15.75" customHeight="1">
      <c r="BC689" s="3"/>
      <c r="BD689" s="3"/>
      <c r="BE689" s="3"/>
      <c r="BF689" s="3"/>
    </row>
    <row r="690" ht="15.75" customHeight="1">
      <c r="BC690" s="3"/>
      <c r="BD690" s="3"/>
      <c r="BE690" s="3"/>
      <c r="BF690" s="3"/>
    </row>
    <row r="691" ht="15.75" customHeight="1">
      <c r="BC691" s="3"/>
      <c r="BD691" s="3"/>
      <c r="BE691" s="3"/>
      <c r="BF691" s="3"/>
    </row>
    <row r="692" ht="15.75" customHeight="1">
      <c r="BC692" s="3"/>
      <c r="BD692" s="3"/>
      <c r="BE692" s="3"/>
      <c r="BF692" s="3"/>
    </row>
    <row r="693" ht="15.75" customHeight="1">
      <c r="BC693" s="3"/>
      <c r="BD693" s="3"/>
      <c r="BE693" s="3"/>
      <c r="BF693" s="3"/>
    </row>
    <row r="694" ht="15.75" customHeight="1">
      <c r="BC694" s="3"/>
      <c r="BD694" s="3"/>
      <c r="BE694" s="3"/>
      <c r="BF694" s="3"/>
    </row>
    <row r="695" ht="15.75" customHeight="1">
      <c r="BC695" s="3"/>
      <c r="BD695" s="3"/>
      <c r="BE695" s="3"/>
      <c r="BF695" s="3"/>
    </row>
    <row r="696" ht="15.75" customHeight="1">
      <c r="BC696" s="3"/>
      <c r="BD696" s="3"/>
      <c r="BE696" s="3"/>
      <c r="BF696" s="3"/>
    </row>
    <row r="697" ht="15.75" customHeight="1">
      <c r="BC697" s="3"/>
      <c r="BD697" s="3"/>
      <c r="BE697" s="3"/>
      <c r="BF697" s="3"/>
    </row>
    <row r="698" ht="15.75" customHeight="1">
      <c r="BC698" s="3"/>
      <c r="BD698" s="3"/>
      <c r="BE698" s="3"/>
      <c r="BF698" s="3"/>
    </row>
    <row r="699" ht="15.75" customHeight="1">
      <c r="BC699" s="3"/>
      <c r="BD699" s="3"/>
      <c r="BE699" s="3"/>
      <c r="BF699" s="3"/>
    </row>
    <row r="700" ht="15.75" customHeight="1">
      <c r="BC700" s="3"/>
      <c r="BD700" s="3"/>
      <c r="BE700" s="3"/>
      <c r="BF700" s="3"/>
    </row>
    <row r="701" ht="15.75" customHeight="1">
      <c r="BC701" s="3"/>
      <c r="BD701" s="3"/>
      <c r="BE701" s="3"/>
      <c r="BF701" s="3"/>
    </row>
    <row r="702" ht="15.75" customHeight="1">
      <c r="BC702" s="3"/>
      <c r="BD702" s="3"/>
      <c r="BE702" s="3"/>
      <c r="BF702" s="3"/>
    </row>
    <row r="703" ht="15.75" customHeight="1">
      <c r="BC703" s="3"/>
      <c r="BD703" s="3"/>
      <c r="BE703" s="3"/>
      <c r="BF703" s="3"/>
    </row>
    <row r="704" ht="15.75" customHeight="1">
      <c r="BC704" s="3"/>
      <c r="BD704" s="3"/>
      <c r="BE704" s="3"/>
      <c r="BF704" s="3"/>
    </row>
    <row r="705" ht="15.75" customHeight="1">
      <c r="BC705" s="3"/>
      <c r="BD705" s="3"/>
      <c r="BE705" s="3"/>
      <c r="BF705" s="3"/>
    </row>
    <row r="706" ht="15.75" customHeight="1">
      <c r="BC706" s="3"/>
      <c r="BD706" s="3"/>
      <c r="BE706" s="3"/>
      <c r="BF706" s="3"/>
    </row>
    <row r="707" ht="15.75" customHeight="1">
      <c r="BC707" s="3"/>
      <c r="BD707" s="3"/>
      <c r="BE707" s="3"/>
      <c r="BF707" s="3"/>
    </row>
    <row r="708" ht="15.75" customHeight="1">
      <c r="BC708" s="3"/>
      <c r="BD708" s="3"/>
      <c r="BE708" s="3"/>
      <c r="BF708" s="3"/>
    </row>
    <row r="709" ht="15.75" customHeight="1">
      <c r="BC709" s="3"/>
      <c r="BD709" s="3"/>
      <c r="BE709" s="3"/>
      <c r="BF709" s="3"/>
    </row>
    <row r="710" ht="15.75" customHeight="1">
      <c r="BC710" s="3"/>
      <c r="BD710" s="3"/>
      <c r="BE710" s="3"/>
      <c r="BF710" s="3"/>
    </row>
    <row r="711" ht="15.75" customHeight="1">
      <c r="BC711" s="3"/>
      <c r="BD711" s="3"/>
      <c r="BE711" s="3"/>
      <c r="BF711" s="3"/>
    </row>
    <row r="712" ht="15.75" customHeight="1">
      <c r="BC712" s="3"/>
      <c r="BD712" s="3"/>
      <c r="BE712" s="3"/>
      <c r="BF712" s="3"/>
    </row>
    <row r="713" ht="15.75" customHeight="1">
      <c r="BC713" s="3"/>
      <c r="BD713" s="3"/>
      <c r="BE713" s="3"/>
      <c r="BF713" s="3"/>
    </row>
    <row r="714" ht="15.75" customHeight="1">
      <c r="BC714" s="3"/>
      <c r="BD714" s="3"/>
      <c r="BE714" s="3"/>
      <c r="BF714" s="3"/>
    </row>
    <row r="715" ht="15.75" customHeight="1">
      <c r="BC715" s="3"/>
      <c r="BD715" s="3"/>
      <c r="BE715" s="3"/>
      <c r="BF715" s="3"/>
    </row>
    <row r="716" ht="15.75" customHeight="1">
      <c r="BC716" s="3"/>
      <c r="BD716" s="3"/>
      <c r="BE716" s="3"/>
      <c r="BF716" s="3"/>
    </row>
    <row r="717" ht="15.75" customHeight="1">
      <c r="BC717" s="3"/>
      <c r="BD717" s="3"/>
      <c r="BE717" s="3"/>
      <c r="BF717" s="3"/>
    </row>
    <row r="718" ht="15.75" customHeight="1">
      <c r="BC718" s="3"/>
      <c r="BD718" s="3"/>
      <c r="BE718" s="3"/>
      <c r="BF718" s="3"/>
    </row>
    <row r="719" ht="15.75" customHeight="1">
      <c r="BC719" s="3"/>
      <c r="BD719" s="3"/>
      <c r="BE719" s="3"/>
      <c r="BF719" s="3"/>
    </row>
    <row r="720" ht="15.75" customHeight="1">
      <c r="BC720" s="3"/>
      <c r="BD720" s="3"/>
      <c r="BE720" s="3"/>
      <c r="BF720" s="3"/>
    </row>
    <row r="721" ht="15.75" customHeight="1">
      <c r="BC721" s="3"/>
      <c r="BD721" s="3"/>
      <c r="BE721" s="3"/>
      <c r="BF721" s="3"/>
    </row>
    <row r="722" ht="15.75" customHeight="1">
      <c r="BC722" s="3"/>
      <c r="BD722" s="3"/>
      <c r="BE722" s="3"/>
      <c r="BF722" s="3"/>
    </row>
    <row r="723" ht="15.75" customHeight="1">
      <c r="BC723" s="3"/>
      <c r="BD723" s="3"/>
      <c r="BE723" s="3"/>
      <c r="BF723" s="3"/>
    </row>
    <row r="724" ht="15.75" customHeight="1">
      <c r="BC724" s="3"/>
      <c r="BD724" s="3"/>
      <c r="BE724" s="3"/>
      <c r="BF724" s="3"/>
    </row>
    <row r="725" ht="15.75" customHeight="1">
      <c r="BC725" s="3"/>
      <c r="BD725" s="3"/>
      <c r="BE725" s="3"/>
      <c r="BF725" s="3"/>
    </row>
    <row r="726" ht="15.75" customHeight="1">
      <c r="BC726" s="3"/>
      <c r="BD726" s="3"/>
      <c r="BE726" s="3"/>
      <c r="BF726" s="3"/>
    </row>
    <row r="727" ht="15.75" customHeight="1">
      <c r="BC727" s="3"/>
      <c r="BD727" s="3"/>
      <c r="BE727" s="3"/>
      <c r="BF727" s="3"/>
    </row>
    <row r="728" ht="15.75" customHeight="1">
      <c r="BC728" s="3"/>
      <c r="BD728" s="3"/>
      <c r="BE728" s="3"/>
      <c r="BF728" s="3"/>
    </row>
    <row r="729" ht="15.75" customHeight="1">
      <c r="BC729" s="3"/>
      <c r="BD729" s="3"/>
      <c r="BE729" s="3"/>
      <c r="BF729" s="3"/>
    </row>
    <row r="730" ht="15.75" customHeight="1">
      <c r="BC730" s="3"/>
      <c r="BD730" s="3"/>
      <c r="BE730" s="3"/>
      <c r="BF730" s="3"/>
    </row>
    <row r="731" ht="15.75" customHeight="1">
      <c r="BC731" s="3"/>
      <c r="BD731" s="3"/>
      <c r="BE731" s="3"/>
      <c r="BF731" s="3"/>
    </row>
    <row r="732" ht="15.75" customHeight="1">
      <c r="BC732" s="3"/>
      <c r="BD732" s="3"/>
      <c r="BE732" s="3"/>
      <c r="BF732" s="3"/>
    </row>
    <row r="733" ht="15.75" customHeight="1">
      <c r="BC733" s="3"/>
      <c r="BD733" s="3"/>
      <c r="BE733" s="3"/>
      <c r="BF733" s="3"/>
    </row>
    <row r="734" ht="15.75" customHeight="1">
      <c r="BC734" s="3"/>
      <c r="BD734" s="3"/>
      <c r="BE734" s="3"/>
      <c r="BF734" s="3"/>
    </row>
    <row r="735" ht="15.75" customHeight="1">
      <c r="BC735" s="3"/>
      <c r="BD735" s="3"/>
      <c r="BE735" s="3"/>
      <c r="BF735" s="3"/>
    </row>
    <row r="736" ht="15.75" customHeight="1">
      <c r="BC736" s="3"/>
      <c r="BD736" s="3"/>
      <c r="BE736" s="3"/>
      <c r="BF736" s="3"/>
    </row>
    <row r="737" ht="15.75" customHeight="1">
      <c r="BC737" s="3"/>
      <c r="BD737" s="3"/>
      <c r="BE737" s="3"/>
      <c r="BF737" s="3"/>
    </row>
    <row r="738" ht="15.75" customHeight="1">
      <c r="BC738" s="3"/>
      <c r="BD738" s="3"/>
      <c r="BE738" s="3"/>
      <c r="BF738" s="3"/>
    </row>
    <row r="739" ht="15.75" customHeight="1">
      <c r="BC739" s="3"/>
      <c r="BD739" s="3"/>
      <c r="BE739" s="3"/>
      <c r="BF739" s="3"/>
    </row>
    <row r="740" ht="15.75" customHeight="1">
      <c r="BC740" s="3"/>
      <c r="BD740" s="3"/>
      <c r="BE740" s="3"/>
      <c r="BF740" s="3"/>
    </row>
    <row r="741" ht="15.75" customHeight="1">
      <c r="BC741" s="3"/>
      <c r="BD741" s="3"/>
      <c r="BE741" s="3"/>
      <c r="BF741" s="3"/>
    </row>
    <row r="742" ht="15.75" customHeight="1">
      <c r="BC742" s="3"/>
      <c r="BD742" s="3"/>
      <c r="BE742" s="3"/>
      <c r="BF742" s="3"/>
    </row>
    <row r="743" ht="15.75" customHeight="1">
      <c r="BC743" s="3"/>
      <c r="BD743" s="3"/>
      <c r="BE743" s="3"/>
      <c r="BF743" s="3"/>
    </row>
    <row r="744" ht="15.75" customHeight="1">
      <c r="BC744" s="3"/>
      <c r="BD744" s="3"/>
      <c r="BE744" s="3"/>
      <c r="BF744" s="3"/>
    </row>
    <row r="745" ht="15.75" customHeight="1">
      <c r="BC745" s="3"/>
      <c r="BD745" s="3"/>
      <c r="BE745" s="3"/>
      <c r="BF745" s="3"/>
    </row>
    <row r="746" ht="15.75" customHeight="1">
      <c r="BC746" s="3"/>
      <c r="BD746" s="3"/>
      <c r="BE746" s="3"/>
      <c r="BF746" s="3"/>
    </row>
    <row r="747" ht="15.75" customHeight="1">
      <c r="BC747" s="3"/>
      <c r="BD747" s="3"/>
      <c r="BE747" s="3"/>
      <c r="BF747" s="3"/>
    </row>
    <row r="748" ht="15.75" customHeight="1">
      <c r="BC748" s="3"/>
      <c r="BD748" s="3"/>
      <c r="BE748" s="3"/>
      <c r="BF748" s="3"/>
    </row>
    <row r="749" ht="15.75" customHeight="1">
      <c r="BC749" s="3"/>
      <c r="BD749" s="3"/>
      <c r="BE749" s="3"/>
      <c r="BF749" s="3"/>
    </row>
    <row r="750" ht="15.75" customHeight="1">
      <c r="BC750" s="3"/>
      <c r="BD750" s="3"/>
      <c r="BE750" s="3"/>
      <c r="BF750" s="3"/>
    </row>
    <row r="751" ht="15.75" customHeight="1">
      <c r="BC751" s="3"/>
      <c r="BD751" s="3"/>
      <c r="BE751" s="3"/>
      <c r="BF751" s="3"/>
    </row>
    <row r="752" ht="15.75" customHeight="1">
      <c r="BC752" s="3"/>
      <c r="BD752" s="3"/>
      <c r="BE752" s="3"/>
      <c r="BF752" s="3"/>
    </row>
    <row r="753" ht="15.75" customHeight="1">
      <c r="BC753" s="3"/>
      <c r="BD753" s="3"/>
      <c r="BE753" s="3"/>
      <c r="BF753" s="3"/>
    </row>
    <row r="754" ht="15.75" customHeight="1">
      <c r="BC754" s="3"/>
      <c r="BD754" s="3"/>
      <c r="BE754" s="3"/>
      <c r="BF754" s="3"/>
    </row>
    <row r="755" ht="15.75" customHeight="1">
      <c r="BC755" s="3"/>
      <c r="BD755" s="3"/>
      <c r="BE755" s="3"/>
      <c r="BF755" s="3"/>
    </row>
    <row r="756" ht="15.75" customHeight="1">
      <c r="BC756" s="3"/>
      <c r="BD756" s="3"/>
      <c r="BE756" s="3"/>
      <c r="BF756" s="3"/>
    </row>
    <row r="757" ht="15.75" customHeight="1">
      <c r="BC757" s="3"/>
      <c r="BD757" s="3"/>
      <c r="BE757" s="3"/>
      <c r="BF757" s="3"/>
    </row>
    <row r="758" ht="15.75" customHeight="1">
      <c r="BC758" s="3"/>
      <c r="BD758" s="3"/>
      <c r="BE758" s="3"/>
      <c r="BF758" s="3"/>
    </row>
    <row r="759" ht="15.75" customHeight="1">
      <c r="BC759" s="3"/>
      <c r="BD759" s="3"/>
      <c r="BE759" s="3"/>
      <c r="BF759" s="3"/>
    </row>
    <row r="760" ht="15.75" customHeight="1">
      <c r="BC760" s="3"/>
      <c r="BD760" s="3"/>
      <c r="BE760" s="3"/>
      <c r="BF760" s="3"/>
    </row>
    <row r="761" ht="15.75" customHeight="1">
      <c r="BC761" s="3"/>
      <c r="BD761" s="3"/>
      <c r="BE761" s="3"/>
      <c r="BF761" s="3"/>
    </row>
    <row r="762" ht="15.75" customHeight="1">
      <c r="BC762" s="3"/>
      <c r="BD762" s="3"/>
      <c r="BE762" s="3"/>
      <c r="BF762" s="3"/>
    </row>
    <row r="763" ht="15.75" customHeight="1">
      <c r="BC763" s="3"/>
      <c r="BD763" s="3"/>
      <c r="BE763" s="3"/>
      <c r="BF763" s="3"/>
    </row>
    <row r="764" ht="15.75" customHeight="1">
      <c r="BC764" s="3"/>
      <c r="BD764" s="3"/>
      <c r="BE764" s="3"/>
      <c r="BF764" s="3"/>
    </row>
    <row r="765" ht="15.75" customHeight="1">
      <c r="BC765" s="3"/>
      <c r="BD765" s="3"/>
      <c r="BE765" s="3"/>
      <c r="BF765" s="3"/>
    </row>
    <row r="766" ht="15.75" customHeight="1">
      <c r="BC766" s="3"/>
      <c r="BD766" s="3"/>
      <c r="BE766" s="3"/>
      <c r="BF766" s="3"/>
    </row>
    <row r="767" ht="15.75" customHeight="1">
      <c r="BC767" s="3"/>
      <c r="BD767" s="3"/>
      <c r="BE767" s="3"/>
      <c r="BF767" s="3"/>
    </row>
    <row r="768" ht="15.75" customHeight="1">
      <c r="BC768" s="3"/>
      <c r="BD768" s="3"/>
      <c r="BE768" s="3"/>
      <c r="BF768" s="3"/>
    </row>
    <row r="769" ht="15.75" customHeight="1">
      <c r="BC769" s="3"/>
      <c r="BD769" s="3"/>
      <c r="BE769" s="3"/>
      <c r="BF769" s="3"/>
    </row>
    <row r="770" ht="15.75" customHeight="1">
      <c r="BC770" s="3"/>
      <c r="BD770" s="3"/>
      <c r="BE770" s="3"/>
      <c r="BF770" s="3"/>
    </row>
    <row r="771" ht="15.75" customHeight="1">
      <c r="BC771" s="3"/>
      <c r="BD771" s="3"/>
      <c r="BE771" s="3"/>
      <c r="BF771" s="3"/>
    </row>
    <row r="772" ht="15.75" customHeight="1">
      <c r="BC772" s="3"/>
      <c r="BD772" s="3"/>
      <c r="BE772" s="3"/>
      <c r="BF772" s="3"/>
    </row>
    <row r="773" ht="15.75" customHeight="1">
      <c r="BC773" s="3"/>
      <c r="BD773" s="3"/>
      <c r="BE773" s="3"/>
      <c r="BF773" s="3"/>
    </row>
    <row r="774" ht="15.75" customHeight="1">
      <c r="BC774" s="3"/>
      <c r="BD774" s="3"/>
      <c r="BE774" s="3"/>
      <c r="BF774" s="3"/>
    </row>
    <row r="775" ht="15.75" customHeight="1">
      <c r="BC775" s="3"/>
      <c r="BD775" s="3"/>
      <c r="BE775" s="3"/>
      <c r="BF775" s="3"/>
    </row>
    <row r="776" ht="15.75" customHeight="1">
      <c r="BC776" s="3"/>
      <c r="BD776" s="3"/>
      <c r="BE776" s="3"/>
      <c r="BF776" s="3"/>
    </row>
    <row r="777" ht="15.75" customHeight="1">
      <c r="BC777" s="3"/>
      <c r="BD777" s="3"/>
      <c r="BE777" s="3"/>
      <c r="BF777" s="3"/>
    </row>
    <row r="778" ht="15.75" customHeight="1">
      <c r="BC778" s="3"/>
      <c r="BD778" s="3"/>
      <c r="BE778" s="3"/>
      <c r="BF778" s="3"/>
    </row>
    <row r="779" ht="15.75" customHeight="1">
      <c r="BC779" s="3"/>
      <c r="BD779" s="3"/>
      <c r="BE779" s="3"/>
      <c r="BF779" s="3"/>
    </row>
    <row r="780" ht="15.75" customHeight="1">
      <c r="BC780" s="3"/>
      <c r="BD780" s="3"/>
      <c r="BE780" s="3"/>
      <c r="BF780" s="3"/>
    </row>
    <row r="781" ht="15.75" customHeight="1">
      <c r="BC781" s="3"/>
      <c r="BD781" s="3"/>
      <c r="BE781" s="3"/>
      <c r="BF781" s="3"/>
    </row>
    <row r="782" ht="15.75" customHeight="1">
      <c r="BC782" s="3"/>
      <c r="BD782" s="3"/>
      <c r="BE782" s="3"/>
      <c r="BF782" s="3"/>
    </row>
    <row r="783" ht="15.75" customHeight="1">
      <c r="BC783" s="3"/>
      <c r="BD783" s="3"/>
      <c r="BE783" s="3"/>
      <c r="BF783" s="3"/>
    </row>
    <row r="784" ht="15.75" customHeight="1">
      <c r="BC784" s="3"/>
      <c r="BD784" s="3"/>
      <c r="BE784" s="3"/>
      <c r="BF784" s="3"/>
    </row>
    <row r="785" ht="15.75" customHeight="1">
      <c r="BC785" s="3"/>
      <c r="BD785" s="3"/>
      <c r="BE785" s="3"/>
      <c r="BF785" s="3"/>
    </row>
    <row r="786" ht="15.75" customHeight="1">
      <c r="BC786" s="3"/>
      <c r="BD786" s="3"/>
      <c r="BE786" s="3"/>
      <c r="BF786" s="3"/>
    </row>
    <row r="787" ht="15.75" customHeight="1">
      <c r="BC787" s="3"/>
      <c r="BD787" s="3"/>
      <c r="BE787" s="3"/>
      <c r="BF787" s="3"/>
    </row>
    <row r="788" ht="15.75" customHeight="1">
      <c r="BC788" s="3"/>
      <c r="BD788" s="3"/>
      <c r="BE788" s="3"/>
      <c r="BF788" s="3"/>
    </row>
    <row r="789" ht="15.75" customHeight="1">
      <c r="BC789" s="3"/>
      <c r="BD789" s="3"/>
      <c r="BE789" s="3"/>
      <c r="BF789" s="3"/>
    </row>
    <row r="790" ht="15.75" customHeight="1">
      <c r="BC790" s="3"/>
      <c r="BD790" s="3"/>
      <c r="BE790" s="3"/>
      <c r="BF790" s="3"/>
    </row>
    <row r="791" ht="15.75" customHeight="1">
      <c r="BC791" s="3"/>
      <c r="BD791" s="3"/>
      <c r="BE791" s="3"/>
      <c r="BF791" s="3"/>
    </row>
    <row r="792" ht="15.75" customHeight="1">
      <c r="BC792" s="3"/>
      <c r="BD792" s="3"/>
      <c r="BE792" s="3"/>
      <c r="BF792" s="3"/>
    </row>
    <row r="793" ht="15.75" customHeight="1">
      <c r="BC793" s="3"/>
      <c r="BD793" s="3"/>
      <c r="BE793" s="3"/>
      <c r="BF793" s="3"/>
    </row>
    <row r="794" ht="15.75" customHeight="1">
      <c r="BC794" s="3"/>
      <c r="BD794" s="3"/>
      <c r="BE794" s="3"/>
      <c r="BF794" s="3"/>
    </row>
    <row r="795" ht="15.75" customHeight="1">
      <c r="BC795" s="3"/>
      <c r="BD795" s="3"/>
      <c r="BE795" s="3"/>
      <c r="BF795" s="3"/>
    </row>
    <row r="796" ht="15.75" customHeight="1">
      <c r="BC796" s="3"/>
      <c r="BD796" s="3"/>
      <c r="BE796" s="3"/>
      <c r="BF796" s="3"/>
    </row>
    <row r="797" ht="15.75" customHeight="1">
      <c r="BC797" s="3"/>
      <c r="BD797" s="3"/>
      <c r="BE797" s="3"/>
      <c r="BF797" s="3"/>
    </row>
    <row r="798" ht="15.75" customHeight="1">
      <c r="BC798" s="3"/>
      <c r="BD798" s="3"/>
      <c r="BE798" s="3"/>
      <c r="BF798" s="3"/>
    </row>
    <row r="799" ht="15.75" customHeight="1">
      <c r="BC799" s="3"/>
      <c r="BD799" s="3"/>
      <c r="BE799" s="3"/>
      <c r="BF799" s="3"/>
    </row>
    <row r="800" ht="15.75" customHeight="1">
      <c r="BC800" s="3"/>
      <c r="BD800" s="3"/>
      <c r="BE800" s="3"/>
      <c r="BF800" s="3"/>
    </row>
    <row r="801" ht="15.75" customHeight="1">
      <c r="BC801" s="3"/>
      <c r="BD801" s="3"/>
      <c r="BE801" s="3"/>
      <c r="BF801" s="3"/>
    </row>
    <row r="802" ht="15.75" customHeight="1">
      <c r="BC802" s="3"/>
      <c r="BD802" s="3"/>
      <c r="BE802" s="3"/>
      <c r="BF802" s="3"/>
    </row>
    <row r="803" ht="15.75" customHeight="1">
      <c r="BC803" s="3"/>
      <c r="BD803" s="3"/>
      <c r="BE803" s="3"/>
      <c r="BF803" s="3"/>
    </row>
    <row r="804" ht="15.75" customHeight="1">
      <c r="BC804" s="3"/>
      <c r="BD804" s="3"/>
      <c r="BE804" s="3"/>
      <c r="BF804" s="3"/>
    </row>
    <row r="805" ht="15.75" customHeight="1">
      <c r="BC805" s="3"/>
      <c r="BD805" s="3"/>
      <c r="BE805" s="3"/>
      <c r="BF805" s="3"/>
    </row>
    <row r="806" ht="15.75" customHeight="1">
      <c r="BC806" s="3"/>
      <c r="BD806" s="3"/>
      <c r="BE806" s="3"/>
      <c r="BF806" s="3"/>
    </row>
    <row r="807" ht="15.75" customHeight="1">
      <c r="BC807" s="3"/>
      <c r="BD807" s="3"/>
      <c r="BE807" s="3"/>
      <c r="BF807" s="3"/>
    </row>
    <row r="808" ht="15.75" customHeight="1">
      <c r="BC808" s="3"/>
      <c r="BD808" s="3"/>
      <c r="BE808" s="3"/>
      <c r="BF808" s="3"/>
    </row>
    <row r="809" ht="15.75" customHeight="1">
      <c r="BC809" s="3"/>
      <c r="BD809" s="3"/>
      <c r="BE809" s="3"/>
      <c r="BF809" s="3"/>
    </row>
    <row r="810" ht="15.75" customHeight="1">
      <c r="BC810" s="3"/>
      <c r="BD810" s="3"/>
      <c r="BE810" s="3"/>
      <c r="BF810" s="3"/>
    </row>
    <row r="811" ht="15.75" customHeight="1">
      <c r="BC811" s="3"/>
      <c r="BD811" s="3"/>
      <c r="BE811" s="3"/>
      <c r="BF811" s="3"/>
    </row>
    <row r="812" ht="15.75" customHeight="1">
      <c r="BC812" s="3"/>
      <c r="BD812" s="3"/>
      <c r="BE812" s="3"/>
      <c r="BF812" s="3"/>
    </row>
    <row r="813" ht="15.75" customHeight="1">
      <c r="BC813" s="3"/>
      <c r="BD813" s="3"/>
      <c r="BE813" s="3"/>
      <c r="BF813" s="3"/>
    </row>
    <row r="814" ht="15.75" customHeight="1">
      <c r="BC814" s="3"/>
      <c r="BD814" s="3"/>
      <c r="BE814" s="3"/>
      <c r="BF814" s="3"/>
    </row>
    <row r="815" ht="15.75" customHeight="1">
      <c r="BC815" s="3"/>
      <c r="BD815" s="3"/>
      <c r="BE815" s="3"/>
      <c r="BF815" s="3"/>
    </row>
    <row r="816" ht="15.75" customHeight="1">
      <c r="BC816" s="3"/>
      <c r="BD816" s="3"/>
      <c r="BE816" s="3"/>
      <c r="BF816" s="3"/>
    </row>
    <row r="817" ht="15.75" customHeight="1">
      <c r="BC817" s="3"/>
      <c r="BD817" s="3"/>
      <c r="BE817" s="3"/>
      <c r="BF817" s="3"/>
    </row>
    <row r="818" ht="15.75" customHeight="1">
      <c r="BC818" s="3"/>
      <c r="BD818" s="3"/>
      <c r="BE818" s="3"/>
      <c r="BF818" s="3"/>
    </row>
    <row r="819" ht="15.75" customHeight="1">
      <c r="BC819" s="3"/>
      <c r="BD819" s="3"/>
      <c r="BE819" s="3"/>
      <c r="BF819" s="3"/>
    </row>
    <row r="820" ht="15.75" customHeight="1">
      <c r="BC820" s="3"/>
      <c r="BD820" s="3"/>
      <c r="BE820" s="3"/>
      <c r="BF820" s="3"/>
    </row>
    <row r="821" ht="15.75" customHeight="1">
      <c r="BC821" s="3"/>
      <c r="BD821" s="3"/>
      <c r="BE821" s="3"/>
      <c r="BF821" s="3"/>
    </row>
    <row r="822" ht="15.75" customHeight="1">
      <c r="BC822" s="3"/>
      <c r="BD822" s="3"/>
      <c r="BE822" s="3"/>
      <c r="BF822" s="3"/>
    </row>
    <row r="823" ht="15.75" customHeight="1">
      <c r="BC823" s="3"/>
      <c r="BD823" s="3"/>
      <c r="BE823" s="3"/>
      <c r="BF823" s="3"/>
    </row>
    <row r="824" ht="15.75" customHeight="1">
      <c r="BC824" s="3"/>
      <c r="BD824" s="3"/>
      <c r="BE824" s="3"/>
      <c r="BF824" s="3"/>
    </row>
    <row r="825" ht="15.75" customHeight="1">
      <c r="BC825" s="3"/>
      <c r="BD825" s="3"/>
      <c r="BE825" s="3"/>
      <c r="BF825" s="3"/>
    </row>
    <row r="826" ht="15.75" customHeight="1">
      <c r="BC826" s="3"/>
      <c r="BD826" s="3"/>
      <c r="BE826" s="3"/>
      <c r="BF826" s="3"/>
    </row>
    <row r="827" ht="15.75" customHeight="1">
      <c r="BC827" s="3"/>
      <c r="BD827" s="3"/>
      <c r="BE827" s="3"/>
      <c r="BF827" s="3"/>
    </row>
    <row r="828" ht="15.75" customHeight="1">
      <c r="BC828" s="3"/>
      <c r="BD828" s="3"/>
      <c r="BE828" s="3"/>
      <c r="BF828" s="3"/>
    </row>
    <row r="829" ht="15.75" customHeight="1">
      <c r="BC829" s="3"/>
      <c r="BD829" s="3"/>
      <c r="BE829" s="3"/>
      <c r="BF829" s="3"/>
    </row>
    <row r="830" ht="15.75" customHeight="1">
      <c r="BC830" s="3"/>
      <c r="BD830" s="3"/>
      <c r="BE830" s="3"/>
      <c r="BF830" s="3"/>
    </row>
    <row r="831" ht="15.75" customHeight="1">
      <c r="BC831" s="3"/>
      <c r="BD831" s="3"/>
      <c r="BE831" s="3"/>
      <c r="BF831" s="3"/>
    </row>
    <row r="832" ht="15.75" customHeight="1">
      <c r="BC832" s="3"/>
      <c r="BD832" s="3"/>
      <c r="BE832" s="3"/>
      <c r="BF832" s="3"/>
    </row>
    <row r="833" ht="15.75" customHeight="1">
      <c r="BC833" s="3"/>
      <c r="BD833" s="3"/>
      <c r="BE833" s="3"/>
      <c r="BF833" s="3"/>
    </row>
    <row r="834" ht="15.75" customHeight="1">
      <c r="BC834" s="3"/>
      <c r="BD834" s="3"/>
      <c r="BE834" s="3"/>
      <c r="BF834" s="3"/>
    </row>
    <row r="835" ht="15.75" customHeight="1">
      <c r="BC835" s="3"/>
      <c r="BD835" s="3"/>
      <c r="BE835" s="3"/>
      <c r="BF835" s="3"/>
    </row>
    <row r="836" ht="15.75" customHeight="1">
      <c r="BC836" s="3"/>
      <c r="BD836" s="3"/>
      <c r="BE836" s="3"/>
      <c r="BF836" s="3"/>
    </row>
    <row r="837" ht="15.75" customHeight="1">
      <c r="BC837" s="3"/>
      <c r="BD837" s="3"/>
      <c r="BE837" s="3"/>
      <c r="BF837" s="3"/>
    </row>
    <row r="838" ht="15.75" customHeight="1">
      <c r="BC838" s="3"/>
      <c r="BD838" s="3"/>
      <c r="BE838" s="3"/>
      <c r="BF838" s="3"/>
    </row>
    <row r="839" ht="15.75" customHeight="1">
      <c r="BC839" s="3"/>
      <c r="BD839" s="3"/>
      <c r="BE839" s="3"/>
      <c r="BF839" s="3"/>
    </row>
    <row r="840" ht="15.75" customHeight="1">
      <c r="BC840" s="3"/>
      <c r="BD840" s="3"/>
      <c r="BE840" s="3"/>
      <c r="BF840" s="3"/>
    </row>
    <row r="841" ht="15.75" customHeight="1">
      <c r="BC841" s="3"/>
      <c r="BD841" s="3"/>
      <c r="BE841" s="3"/>
      <c r="BF841" s="3"/>
    </row>
    <row r="842" ht="15.75" customHeight="1">
      <c r="BC842" s="3"/>
      <c r="BD842" s="3"/>
      <c r="BE842" s="3"/>
      <c r="BF842" s="3"/>
    </row>
    <row r="843" ht="15.75" customHeight="1">
      <c r="BC843" s="3"/>
      <c r="BD843" s="3"/>
      <c r="BE843" s="3"/>
      <c r="BF843" s="3"/>
    </row>
    <row r="844" ht="15.75" customHeight="1">
      <c r="BC844" s="3"/>
      <c r="BD844" s="3"/>
      <c r="BE844" s="3"/>
      <c r="BF844" s="3"/>
    </row>
    <row r="845" ht="15.75" customHeight="1">
      <c r="BC845" s="3"/>
      <c r="BD845" s="3"/>
      <c r="BE845" s="3"/>
      <c r="BF845" s="3"/>
    </row>
    <row r="846" ht="15.75" customHeight="1">
      <c r="BC846" s="3"/>
      <c r="BD846" s="3"/>
      <c r="BE846" s="3"/>
      <c r="BF846" s="3"/>
    </row>
    <row r="847" ht="15.75" customHeight="1">
      <c r="BC847" s="3"/>
      <c r="BD847" s="3"/>
      <c r="BE847" s="3"/>
      <c r="BF847" s="3"/>
    </row>
    <row r="848" ht="15.75" customHeight="1">
      <c r="BC848" s="3"/>
      <c r="BD848" s="3"/>
      <c r="BE848" s="3"/>
      <c r="BF848" s="3"/>
    </row>
    <row r="849" ht="15.75" customHeight="1">
      <c r="BC849" s="3"/>
      <c r="BD849" s="3"/>
      <c r="BE849" s="3"/>
      <c r="BF849" s="3"/>
    </row>
    <row r="850" ht="15.75" customHeight="1">
      <c r="BC850" s="3"/>
      <c r="BD850" s="3"/>
      <c r="BE850" s="3"/>
      <c r="BF850" s="3"/>
    </row>
    <row r="851" ht="15.75" customHeight="1">
      <c r="BC851" s="3"/>
      <c r="BD851" s="3"/>
      <c r="BE851" s="3"/>
      <c r="BF851" s="3"/>
    </row>
    <row r="852" ht="15.75" customHeight="1">
      <c r="BC852" s="3"/>
      <c r="BD852" s="3"/>
      <c r="BE852" s="3"/>
      <c r="BF852" s="3"/>
    </row>
    <row r="853" ht="15.75" customHeight="1">
      <c r="BC853" s="3"/>
      <c r="BD853" s="3"/>
      <c r="BE853" s="3"/>
      <c r="BF853" s="3"/>
    </row>
    <row r="854" ht="15.75" customHeight="1">
      <c r="BC854" s="3"/>
      <c r="BD854" s="3"/>
      <c r="BE854" s="3"/>
      <c r="BF854" s="3"/>
    </row>
    <row r="855" ht="15.75" customHeight="1">
      <c r="BC855" s="3"/>
      <c r="BD855" s="3"/>
      <c r="BE855" s="3"/>
      <c r="BF855" s="3"/>
    </row>
    <row r="856" ht="15.75" customHeight="1">
      <c r="BC856" s="3"/>
      <c r="BD856" s="3"/>
      <c r="BE856" s="3"/>
      <c r="BF856" s="3"/>
    </row>
    <row r="857" ht="15.75" customHeight="1">
      <c r="BC857" s="3"/>
      <c r="BD857" s="3"/>
      <c r="BE857" s="3"/>
      <c r="BF857" s="3"/>
    </row>
    <row r="858" ht="15.75" customHeight="1">
      <c r="BC858" s="3"/>
      <c r="BD858" s="3"/>
      <c r="BE858" s="3"/>
      <c r="BF858" s="3"/>
    </row>
    <row r="859" ht="15.75" customHeight="1">
      <c r="BC859" s="3"/>
      <c r="BD859" s="3"/>
      <c r="BE859" s="3"/>
      <c r="BF859" s="3"/>
    </row>
    <row r="860" ht="15.75" customHeight="1">
      <c r="BC860" s="3"/>
      <c r="BD860" s="3"/>
      <c r="BE860" s="3"/>
      <c r="BF860" s="3"/>
    </row>
    <row r="861" ht="15.75" customHeight="1">
      <c r="BC861" s="3"/>
      <c r="BD861" s="3"/>
      <c r="BE861" s="3"/>
      <c r="BF861" s="3"/>
    </row>
    <row r="862" ht="15.75" customHeight="1">
      <c r="BC862" s="3"/>
      <c r="BD862" s="3"/>
      <c r="BE862" s="3"/>
      <c r="BF862" s="3"/>
    </row>
    <row r="863" ht="15.75" customHeight="1">
      <c r="BC863" s="3"/>
      <c r="BD863" s="3"/>
      <c r="BE863" s="3"/>
      <c r="BF863" s="3"/>
    </row>
    <row r="864" ht="15.75" customHeight="1">
      <c r="BC864" s="3"/>
      <c r="BD864" s="3"/>
      <c r="BE864" s="3"/>
      <c r="BF864" s="3"/>
    </row>
    <row r="865" ht="15.75" customHeight="1">
      <c r="BC865" s="3"/>
      <c r="BD865" s="3"/>
      <c r="BE865" s="3"/>
      <c r="BF865" s="3"/>
    </row>
    <row r="866" ht="15.75" customHeight="1">
      <c r="BC866" s="3"/>
      <c r="BD866" s="3"/>
      <c r="BE866" s="3"/>
      <c r="BF866" s="3"/>
    </row>
    <row r="867" ht="15.75" customHeight="1">
      <c r="BC867" s="3"/>
      <c r="BD867" s="3"/>
      <c r="BE867" s="3"/>
      <c r="BF867" s="3"/>
    </row>
    <row r="868" ht="15.75" customHeight="1">
      <c r="BC868" s="3"/>
      <c r="BD868" s="3"/>
      <c r="BE868" s="3"/>
      <c r="BF868" s="3"/>
    </row>
    <row r="869" ht="15.75" customHeight="1">
      <c r="BC869" s="3"/>
      <c r="BD869" s="3"/>
      <c r="BE869" s="3"/>
      <c r="BF869" s="3"/>
    </row>
    <row r="870" ht="15.75" customHeight="1">
      <c r="BC870" s="3"/>
      <c r="BD870" s="3"/>
      <c r="BE870" s="3"/>
      <c r="BF870" s="3"/>
    </row>
    <row r="871" ht="15.75" customHeight="1">
      <c r="BC871" s="3"/>
      <c r="BD871" s="3"/>
      <c r="BE871" s="3"/>
      <c r="BF871" s="3"/>
    </row>
    <row r="872" ht="15.75" customHeight="1">
      <c r="BC872" s="3"/>
      <c r="BD872" s="3"/>
      <c r="BE872" s="3"/>
      <c r="BF872" s="3"/>
    </row>
    <row r="873" ht="15.75" customHeight="1">
      <c r="BC873" s="3"/>
      <c r="BD873" s="3"/>
      <c r="BE873" s="3"/>
      <c r="BF873" s="3"/>
    </row>
    <row r="874" ht="15.75" customHeight="1">
      <c r="BC874" s="3"/>
      <c r="BD874" s="3"/>
      <c r="BE874" s="3"/>
      <c r="BF874" s="3"/>
    </row>
    <row r="875" ht="15.75" customHeight="1">
      <c r="BC875" s="3"/>
      <c r="BD875" s="3"/>
      <c r="BE875" s="3"/>
      <c r="BF875" s="3"/>
    </row>
    <row r="876" ht="15.75" customHeight="1">
      <c r="BC876" s="3"/>
      <c r="BD876" s="3"/>
      <c r="BE876" s="3"/>
      <c r="BF876" s="3"/>
    </row>
    <row r="877" ht="15.75" customHeight="1">
      <c r="BC877" s="3"/>
      <c r="BD877" s="3"/>
      <c r="BE877" s="3"/>
      <c r="BF877" s="3"/>
    </row>
    <row r="878" ht="15.75" customHeight="1">
      <c r="BC878" s="3"/>
      <c r="BD878" s="3"/>
      <c r="BE878" s="3"/>
      <c r="BF878" s="3"/>
    </row>
    <row r="879" ht="15.75" customHeight="1">
      <c r="BC879" s="3"/>
      <c r="BD879" s="3"/>
      <c r="BE879" s="3"/>
      <c r="BF879" s="3"/>
    </row>
    <row r="880" ht="15.75" customHeight="1">
      <c r="BC880" s="3"/>
      <c r="BD880" s="3"/>
      <c r="BE880" s="3"/>
      <c r="BF880" s="3"/>
    </row>
    <row r="881" ht="15.75" customHeight="1">
      <c r="BC881" s="3"/>
      <c r="BD881" s="3"/>
      <c r="BE881" s="3"/>
      <c r="BF881" s="3"/>
    </row>
    <row r="882" ht="15.75" customHeight="1">
      <c r="BC882" s="3"/>
      <c r="BD882" s="3"/>
      <c r="BE882" s="3"/>
      <c r="BF882" s="3"/>
    </row>
    <row r="883" ht="15.75" customHeight="1">
      <c r="BC883" s="3"/>
      <c r="BD883" s="3"/>
      <c r="BE883" s="3"/>
      <c r="BF883" s="3"/>
    </row>
    <row r="884" ht="15.75" customHeight="1">
      <c r="BC884" s="3"/>
      <c r="BD884" s="3"/>
      <c r="BE884" s="3"/>
      <c r="BF884" s="3"/>
    </row>
    <row r="885" ht="15.75" customHeight="1">
      <c r="BC885" s="3"/>
      <c r="BD885" s="3"/>
      <c r="BE885" s="3"/>
      <c r="BF885" s="3"/>
    </row>
    <row r="886" ht="15.75" customHeight="1">
      <c r="BC886" s="3"/>
      <c r="BD886" s="3"/>
      <c r="BE886" s="3"/>
      <c r="BF886" s="3"/>
    </row>
    <row r="887" ht="15.75" customHeight="1">
      <c r="BC887" s="3"/>
      <c r="BD887" s="3"/>
      <c r="BE887" s="3"/>
      <c r="BF887" s="3"/>
    </row>
    <row r="888" ht="15.75" customHeight="1">
      <c r="BC888" s="3"/>
      <c r="BD888" s="3"/>
      <c r="BE888" s="3"/>
      <c r="BF888" s="3"/>
    </row>
    <row r="889" ht="15.75" customHeight="1">
      <c r="BC889" s="3"/>
      <c r="BD889" s="3"/>
      <c r="BE889" s="3"/>
      <c r="BF889" s="3"/>
    </row>
    <row r="890" ht="15.75" customHeight="1">
      <c r="BC890" s="3"/>
      <c r="BD890" s="3"/>
      <c r="BE890" s="3"/>
      <c r="BF890" s="3"/>
    </row>
    <row r="891" ht="15.75" customHeight="1">
      <c r="BC891" s="3"/>
      <c r="BD891" s="3"/>
      <c r="BE891" s="3"/>
      <c r="BF891" s="3"/>
    </row>
    <row r="892" ht="15.75" customHeight="1">
      <c r="BC892" s="3"/>
      <c r="BD892" s="3"/>
      <c r="BE892" s="3"/>
      <c r="BF892" s="3"/>
    </row>
    <row r="893" ht="15.75" customHeight="1">
      <c r="BC893" s="3"/>
      <c r="BD893" s="3"/>
      <c r="BE893" s="3"/>
      <c r="BF893" s="3"/>
    </row>
    <row r="894" ht="15.75" customHeight="1">
      <c r="BC894" s="3"/>
      <c r="BD894" s="3"/>
      <c r="BE894" s="3"/>
      <c r="BF894" s="3"/>
    </row>
    <row r="895" ht="15.75" customHeight="1">
      <c r="BC895" s="3"/>
      <c r="BD895" s="3"/>
      <c r="BE895" s="3"/>
      <c r="BF895" s="3"/>
    </row>
    <row r="896" ht="15.75" customHeight="1">
      <c r="BC896" s="3"/>
      <c r="BD896" s="3"/>
      <c r="BE896" s="3"/>
      <c r="BF896" s="3"/>
    </row>
    <row r="897" ht="15.75" customHeight="1">
      <c r="BC897" s="3"/>
      <c r="BD897" s="3"/>
      <c r="BE897" s="3"/>
      <c r="BF897" s="3"/>
    </row>
    <row r="898" ht="15.75" customHeight="1">
      <c r="BC898" s="3"/>
      <c r="BD898" s="3"/>
      <c r="BE898" s="3"/>
      <c r="BF898" s="3"/>
    </row>
    <row r="899" ht="15.75" customHeight="1">
      <c r="BC899" s="3"/>
      <c r="BD899" s="3"/>
      <c r="BE899" s="3"/>
      <c r="BF899" s="3"/>
    </row>
    <row r="900" ht="15.75" customHeight="1">
      <c r="BC900" s="3"/>
      <c r="BD900" s="3"/>
      <c r="BE900" s="3"/>
      <c r="BF900" s="3"/>
    </row>
    <row r="901" ht="15.75" customHeight="1">
      <c r="BC901" s="3"/>
      <c r="BD901" s="3"/>
      <c r="BE901" s="3"/>
      <c r="BF901" s="3"/>
    </row>
    <row r="902" ht="15.75" customHeight="1">
      <c r="BC902" s="3"/>
      <c r="BD902" s="3"/>
      <c r="BE902" s="3"/>
      <c r="BF902" s="3"/>
    </row>
    <row r="903" ht="15.75" customHeight="1">
      <c r="BC903" s="3"/>
      <c r="BD903" s="3"/>
      <c r="BE903" s="3"/>
      <c r="BF903" s="3"/>
    </row>
    <row r="904" ht="15.75" customHeight="1">
      <c r="BC904" s="3"/>
      <c r="BD904" s="3"/>
      <c r="BE904" s="3"/>
      <c r="BF904" s="3"/>
    </row>
    <row r="905" ht="15.75" customHeight="1">
      <c r="BC905" s="3"/>
      <c r="BD905" s="3"/>
      <c r="BE905" s="3"/>
      <c r="BF905" s="3"/>
    </row>
    <row r="906" ht="15.75" customHeight="1">
      <c r="BC906" s="3"/>
      <c r="BD906" s="3"/>
      <c r="BE906" s="3"/>
      <c r="BF906" s="3"/>
    </row>
    <row r="907" ht="15.75" customHeight="1">
      <c r="BC907" s="3"/>
      <c r="BD907" s="3"/>
      <c r="BE907" s="3"/>
      <c r="BF907" s="3"/>
    </row>
    <row r="908" ht="15.75" customHeight="1">
      <c r="BC908" s="3"/>
      <c r="BD908" s="3"/>
      <c r="BE908" s="3"/>
      <c r="BF908" s="3"/>
    </row>
    <row r="909" ht="15.75" customHeight="1">
      <c r="BC909" s="3"/>
      <c r="BD909" s="3"/>
      <c r="BE909" s="3"/>
      <c r="BF909" s="3"/>
    </row>
    <row r="910" ht="15.75" customHeight="1">
      <c r="BC910" s="3"/>
      <c r="BD910" s="3"/>
      <c r="BE910" s="3"/>
      <c r="BF910" s="3"/>
    </row>
    <row r="911" ht="15.75" customHeight="1">
      <c r="BC911" s="3"/>
      <c r="BD911" s="3"/>
      <c r="BE911" s="3"/>
      <c r="BF911" s="3"/>
    </row>
    <row r="912" ht="15.75" customHeight="1">
      <c r="BC912" s="3"/>
      <c r="BD912" s="3"/>
      <c r="BE912" s="3"/>
      <c r="BF912" s="3"/>
    </row>
    <row r="913" ht="15.75" customHeight="1">
      <c r="BC913" s="3"/>
      <c r="BD913" s="3"/>
      <c r="BE913" s="3"/>
      <c r="BF913" s="3"/>
    </row>
    <row r="914" ht="15.75" customHeight="1">
      <c r="BC914" s="3"/>
      <c r="BD914" s="3"/>
      <c r="BE914" s="3"/>
      <c r="BF914" s="3"/>
    </row>
    <row r="915" ht="15.75" customHeight="1">
      <c r="BC915" s="3"/>
      <c r="BD915" s="3"/>
      <c r="BE915" s="3"/>
      <c r="BF915" s="3"/>
    </row>
    <row r="916" ht="15.75" customHeight="1">
      <c r="BC916" s="3"/>
      <c r="BD916" s="3"/>
      <c r="BE916" s="3"/>
      <c r="BF916" s="3"/>
    </row>
    <row r="917" ht="15.75" customHeight="1">
      <c r="BC917" s="3"/>
      <c r="BD917" s="3"/>
      <c r="BE917" s="3"/>
      <c r="BF917" s="3"/>
    </row>
    <row r="918" ht="15.75" customHeight="1">
      <c r="BC918" s="3"/>
      <c r="BD918" s="3"/>
      <c r="BE918" s="3"/>
      <c r="BF918" s="3"/>
    </row>
    <row r="919" ht="15.75" customHeight="1">
      <c r="BC919" s="3"/>
      <c r="BD919" s="3"/>
      <c r="BE919" s="3"/>
      <c r="BF919" s="3"/>
    </row>
    <row r="920" ht="15.75" customHeight="1">
      <c r="BC920" s="3"/>
      <c r="BD920" s="3"/>
      <c r="BE920" s="3"/>
      <c r="BF920" s="3"/>
    </row>
    <row r="921" ht="15.75" customHeight="1">
      <c r="BC921" s="3"/>
      <c r="BD921" s="3"/>
      <c r="BE921" s="3"/>
      <c r="BF921" s="3"/>
    </row>
    <row r="922" ht="15.75" customHeight="1">
      <c r="BC922" s="3"/>
      <c r="BD922" s="3"/>
      <c r="BE922" s="3"/>
      <c r="BF922" s="3"/>
    </row>
    <row r="923" ht="15.75" customHeight="1">
      <c r="BC923" s="3"/>
      <c r="BD923" s="3"/>
      <c r="BE923" s="3"/>
      <c r="BF923" s="3"/>
    </row>
    <row r="924" ht="15.75" customHeight="1">
      <c r="BC924" s="3"/>
      <c r="BD924" s="3"/>
      <c r="BE924" s="3"/>
      <c r="BF924" s="3"/>
    </row>
    <row r="925" ht="15.75" customHeight="1">
      <c r="BC925" s="3"/>
      <c r="BD925" s="3"/>
      <c r="BE925" s="3"/>
      <c r="BF925" s="3"/>
    </row>
    <row r="926" ht="15.75" customHeight="1">
      <c r="BC926" s="3"/>
      <c r="BD926" s="3"/>
      <c r="BE926" s="3"/>
      <c r="BF926" s="3"/>
    </row>
    <row r="927" ht="15.75" customHeight="1">
      <c r="BC927" s="3"/>
      <c r="BD927" s="3"/>
      <c r="BE927" s="3"/>
      <c r="BF927" s="3"/>
    </row>
    <row r="928" ht="15.75" customHeight="1">
      <c r="BC928" s="3"/>
      <c r="BD928" s="3"/>
      <c r="BE928" s="3"/>
      <c r="BF928" s="3"/>
    </row>
    <row r="929" ht="15.75" customHeight="1">
      <c r="BC929" s="3"/>
      <c r="BD929" s="3"/>
      <c r="BE929" s="3"/>
      <c r="BF929" s="3"/>
    </row>
    <row r="930" ht="15.75" customHeight="1">
      <c r="BC930" s="3"/>
      <c r="BD930" s="3"/>
      <c r="BE930" s="3"/>
      <c r="BF930" s="3"/>
    </row>
    <row r="931" ht="15.75" customHeight="1">
      <c r="BC931" s="3"/>
      <c r="BD931" s="3"/>
      <c r="BE931" s="3"/>
      <c r="BF931" s="3"/>
    </row>
    <row r="932" ht="15.75" customHeight="1">
      <c r="BC932" s="3"/>
      <c r="BD932" s="3"/>
      <c r="BE932" s="3"/>
      <c r="BF932" s="3"/>
    </row>
    <row r="933" ht="15.75" customHeight="1">
      <c r="BC933" s="3"/>
      <c r="BD933" s="3"/>
      <c r="BE933" s="3"/>
      <c r="BF933" s="3"/>
    </row>
    <row r="934" ht="15.75" customHeight="1">
      <c r="BC934" s="3"/>
      <c r="BD934" s="3"/>
      <c r="BE934" s="3"/>
      <c r="BF934" s="3"/>
    </row>
    <row r="935" ht="15.75" customHeight="1">
      <c r="BC935" s="3"/>
      <c r="BD935" s="3"/>
      <c r="BE935" s="3"/>
      <c r="BF935" s="3"/>
    </row>
    <row r="936" ht="15.75" customHeight="1">
      <c r="BC936" s="3"/>
      <c r="BD936" s="3"/>
      <c r="BE936" s="3"/>
      <c r="BF936" s="3"/>
    </row>
    <row r="937" ht="15.75" customHeight="1">
      <c r="BC937" s="3"/>
      <c r="BD937" s="3"/>
      <c r="BE937" s="3"/>
      <c r="BF937" s="3"/>
    </row>
    <row r="938" ht="15.75" customHeight="1">
      <c r="BC938" s="3"/>
      <c r="BD938" s="3"/>
      <c r="BE938" s="3"/>
      <c r="BF938" s="3"/>
    </row>
    <row r="939" ht="15.75" customHeight="1">
      <c r="BC939" s="3"/>
      <c r="BD939" s="3"/>
      <c r="BE939" s="3"/>
      <c r="BF939" s="3"/>
    </row>
    <row r="940" ht="15.75" customHeight="1">
      <c r="BC940" s="3"/>
      <c r="BD940" s="3"/>
      <c r="BE940" s="3"/>
      <c r="BF940" s="3"/>
    </row>
    <row r="941" ht="15.75" customHeight="1">
      <c r="BC941" s="3"/>
      <c r="BD941" s="3"/>
      <c r="BE941" s="3"/>
      <c r="BF941" s="3"/>
    </row>
    <row r="942" ht="15.75" customHeight="1">
      <c r="BC942" s="3"/>
      <c r="BD942" s="3"/>
      <c r="BE942" s="3"/>
      <c r="BF942" s="3"/>
    </row>
    <row r="943" ht="15.75" customHeight="1">
      <c r="BC943" s="3"/>
      <c r="BD943" s="3"/>
      <c r="BE943" s="3"/>
      <c r="BF943" s="3"/>
    </row>
    <row r="944" ht="15.75" customHeight="1">
      <c r="BC944" s="3"/>
      <c r="BD944" s="3"/>
      <c r="BE944" s="3"/>
      <c r="BF944" s="3"/>
    </row>
    <row r="945" ht="15.75" customHeight="1">
      <c r="BC945" s="3"/>
      <c r="BD945" s="3"/>
      <c r="BE945" s="3"/>
      <c r="BF945" s="3"/>
    </row>
    <row r="946" ht="15.75" customHeight="1">
      <c r="BC946" s="3"/>
      <c r="BD946" s="3"/>
      <c r="BE946" s="3"/>
      <c r="BF946" s="3"/>
    </row>
    <row r="947" ht="15.75" customHeight="1">
      <c r="BC947" s="3"/>
      <c r="BD947" s="3"/>
      <c r="BE947" s="3"/>
      <c r="BF947" s="3"/>
    </row>
    <row r="948" ht="15.75" customHeight="1">
      <c r="BC948" s="3"/>
      <c r="BD948" s="3"/>
      <c r="BE948" s="3"/>
      <c r="BF948" s="3"/>
    </row>
    <row r="949" ht="15.75" customHeight="1">
      <c r="BC949" s="3"/>
      <c r="BD949" s="3"/>
      <c r="BE949" s="3"/>
      <c r="BF949" s="3"/>
    </row>
    <row r="950" ht="15.75" customHeight="1">
      <c r="BC950" s="3"/>
      <c r="BD950" s="3"/>
      <c r="BE950" s="3"/>
      <c r="BF950" s="3"/>
    </row>
    <row r="951" ht="15.75" customHeight="1">
      <c r="BC951" s="3"/>
      <c r="BD951" s="3"/>
      <c r="BE951" s="3"/>
      <c r="BF951" s="3"/>
    </row>
    <row r="952" ht="15.75" customHeight="1">
      <c r="BC952" s="3"/>
      <c r="BD952" s="3"/>
      <c r="BE952" s="3"/>
      <c r="BF952" s="3"/>
    </row>
    <row r="953" ht="15.75" customHeight="1">
      <c r="BC953" s="3"/>
      <c r="BD953" s="3"/>
      <c r="BE953" s="3"/>
      <c r="BF953" s="3"/>
    </row>
    <row r="954" ht="15.75" customHeight="1">
      <c r="BC954" s="3"/>
      <c r="BD954" s="3"/>
      <c r="BE954" s="3"/>
      <c r="BF954" s="3"/>
    </row>
    <row r="955" ht="15.75" customHeight="1">
      <c r="BC955" s="3"/>
      <c r="BD955" s="3"/>
      <c r="BE955" s="3"/>
      <c r="BF955" s="3"/>
    </row>
    <row r="956" ht="15.75" customHeight="1">
      <c r="BC956" s="3"/>
      <c r="BD956" s="3"/>
      <c r="BE956" s="3"/>
      <c r="BF956" s="3"/>
    </row>
    <row r="957" ht="15.75" customHeight="1">
      <c r="BC957" s="3"/>
      <c r="BD957" s="3"/>
      <c r="BE957" s="3"/>
      <c r="BF957" s="3"/>
    </row>
    <row r="958" ht="15.75" customHeight="1">
      <c r="BC958" s="3"/>
      <c r="BD958" s="3"/>
      <c r="BE958" s="3"/>
      <c r="BF958" s="3"/>
    </row>
    <row r="959" ht="15.75" customHeight="1">
      <c r="BC959" s="3"/>
      <c r="BD959" s="3"/>
      <c r="BE959" s="3"/>
      <c r="BF959" s="3"/>
    </row>
    <row r="960" ht="15.75" customHeight="1">
      <c r="BC960" s="3"/>
      <c r="BD960" s="3"/>
      <c r="BE960" s="3"/>
      <c r="BF960" s="3"/>
    </row>
    <row r="961" ht="15.75" customHeight="1">
      <c r="BC961" s="3"/>
      <c r="BD961" s="3"/>
      <c r="BE961" s="3"/>
      <c r="BF961" s="3"/>
    </row>
    <row r="962" ht="15.75" customHeight="1">
      <c r="BC962" s="3"/>
      <c r="BD962" s="3"/>
      <c r="BE962" s="3"/>
      <c r="BF962" s="3"/>
    </row>
    <row r="963" ht="15.75" customHeight="1">
      <c r="BC963" s="3"/>
      <c r="BD963" s="3"/>
      <c r="BE963" s="3"/>
      <c r="BF963" s="3"/>
    </row>
    <row r="964" ht="15.75" customHeight="1">
      <c r="BC964" s="3"/>
      <c r="BD964" s="3"/>
      <c r="BE964" s="3"/>
      <c r="BF964" s="3"/>
    </row>
    <row r="965" ht="15.75" customHeight="1">
      <c r="BC965" s="3"/>
      <c r="BD965" s="3"/>
      <c r="BE965" s="3"/>
      <c r="BF965" s="3"/>
    </row>
    <row r="966" ht="15.75" customHeight="1">
      <c r="BC966" s="3"/>
      <c r="BD966" s="3"/>
      <c r="BE966" s="3"/>
      <c r="BF966" s="3"/>
    </row>
    <row r="967" ht="15.75" customHeight="1">
      <c r="BC967" s="3"/>
      <c r="BD967" s="3"/>
      <c r="BE967" s="3"/>
      <c r="BF967" s="3"/>
    </row>
    <row r="968" ht="15.75" customHeight="1">
      <c r="BC968" s="3"/>
      <c r="BD968" s="3"/>
      <c r="BE968" s="3"/>
      <c r="BF968" s="3"/>
    </row>
    <row r="969" ht="15.75" customHeight="1">
      <c r="BC969" s="3"/>
      <c r="BD969" s="3"/>
      <c r="BE969" s="3"/>
      <c r="BF969" s="3"/>
    </row>
    <row r="970" ht="15.75" customHeight="1">
      <c r="BC970" s="3"/>
      <c r="BD970" s="3"/>
      <c r="BE970" s="3"/>
      <c r="BF970" s="3"/>
    </row>
    <row r="971" ht="15.75" customHeight="1">
      <c r="BC971" s="3"/>
      <c r="BD971" s="3"/>
      <c r="BE971" s="3"/>
      <c r="BF971" s="3"/>
    </row>
    <row r="972" ht="15.75" customHeight="1">
      <c r="BC972" s="3"/>
      <c r="BD972" s="3"/>
      <c r="BE972" s="3"/>
      <c r="BF972" s="3"/>
    </row>
    <row r="973" ht="15.75" customHeight="1">
      <c r="BC973" s="3"/>
      <c r="BD973" s="3"/>
      <c r="BE973" s="3"/>
      <c r="BF973" s="3"/>
    </row>
    <row r="974" ht="15.75" customHeight="1">
      <c r="BC974" s="3"/>
      <c r="BD974" s="3"/>
      <c r="BE974" s="3"/>
      <c r="BF974" s="3"/>
    </row>
    <row r="975" ht="15.75" customHeight="1">
      <c r="BC975" s="3"/>
      <c r="BD975" s="3"/>
      <c r="BE975" s="3"/>
      <c r="BF975" s="3"/>
    </row>
    <row r="976" ht="15.75" customHeight="1">
      <c r="BC976" s="3"/>
      <c r="BD976" s="3"/>
      <c r="BE976" s="3"/>
      <c r="BF976" s="3"/>
    </row>
    <row r="977" ht="15.75" customHeight="1">
      <c r="BC977" s="3"/>
      <c r="BD977" s="3"/>
      <c r="BE977" s="3"/>
      <c r="BF977" s="3"/>
    </row>
    <row r="978" ht="15.75" customHeight="1">
      <c r="BC978" s="3"/>
      <c r="BD978" s="3"/>
      <c r="BE978" s="3"/>
      <c r="BF978" s="3"/>
    </row>
    <row r="979" ht="15.75" customHeight="1">
      <c r="BC979" s="3"/>
      <c r="BD979" s="3"/>
      <c r="BE979" s="3"/>
      <c r="BF979" s="3"/>
    </row>
    <row r="980" ht="15.75" customHeight="1">
      <c r="BC980" s="3"/>
      <c r="BD980" s="3"/>
      <c r="BE980" s="3"/>
      <c r="BF980" s="3"/>
    </row>
    <row r="981" ht="15.75" customHeight="1">
      <c r="BC981" s="3"/>
      <c r="BD981" s="3"/>
      <c r="BE981" s="3"/>
      <c r="BF981" s="3"/>
    </row>
    <row r="982" ht="15.75" customHeight="1">
      <c r="BC982" s="3"/>
      <c r="BD982" s="3"/>
      <c r="BE982" s="3"/>
      <c r="BF982" s="3"/>
    </row>
    <row r="983" ht="15.75" customHeight="1">
      <c r="BC983" s="3"/>
      <c r="BD983" s="3"/>
      <c r="BE983" s="3"/>
      <c r="BF983" s="3"/>
    </row>
    <row r="984" ht="15.75" customHeight="1">
      <c r="BC984" s="3"/>
      <c r="BD984" s="3"/>
      <c r="BE984" s="3"/>
      <c r="BF984" s="3"/>
    </row>
    <row r="985" ht="15.75" customHeight="1">
      <c r="BC985" s="3"/>
      <c r="BD985" s="3"/>
      <c r="BE985" s="3"/>
      <c r="BF985" s="3"/>
    </row>
    <row r="986" ht="15.75" customHeight="1">
      <c r="BC986" s="3"/>
      <c r="BD986" s="3"/>
      <c r="BE986" s="3"/>
      <c r="BF986" s="3"/>
    </row>
    <row r="987" ht="15.75" customHeight="1">
      <c r="BC987" s="3"/>
      <c r="BD987" s="3"/>
      <c r="BE987" s="3"/>
      <c r="BF987" s="3"/>
    </row>
    <row r="988" ht="15.75" customHeight="1">
      <c r="BC988" s="3"/>
      <c r="BD988" s="3"/>
      <c r="BE988" s="3"/>
      <c r="BF988" s="3"/>
    </row>
    <row r="989" ht="15.75" customHeight="1">
      <c r="BC989" s="3"/>
      <c r="BD989" s="3"/>
      <c r="BE989" s="3"/>
      <c r="BF989" s="3"/>
    </row>
    <row r="990" ht="15.75" customHeight="1">
      <c r="BC990" s="3"/>
      <c r="BD990" s="3"/>
      <c r="BE990" s="3"/>
      <c r="BF990" s="3"/>
    </row>
    <row r="991" ht="15.75" customHeight="1">
      <c r="BC991" s="3"/>
      <c r="BD991" s="3"/>
      <c r="BE991" s="3"/>
      <c r="BF991" s="3"/>
    </row>
    <row r="992" ht="15.75" customHeight="1">
      <c r="BC992" s="3"/>
      <c r="BD992" s="3"/>
      <c r="BE992" s="3"/>
      <c r="BF992" s="3"/>
    </row>
    <row r="993" ht="15.75" customHeight="1">
      <c r="BC993" s="3"/>
      <c r="BD993" s="3"/>
      <c r="BE993" s="3"/>
      <c r="BF993" s="3"/>
    </row>
    <row r="994" ht="15.75" customHeight="1">
      <c r="BC994" s="3"/>
      <c r="BD994" s="3"/>
      <c r="BE994" s="3"/>
      <c r="BF994" s="3"/>
    </row>
    <row r="995" ht="15.75" customHeight="1">
      <c r="BC995" s="3"/>
      <c r="BD995" s="3"/>
      <c r="BE995" s="3"/>
      <c r="BF995" s="3"/>
    </row>
    <row r="996" ht="15.75" customHeight="1">
      <c r="BC996" s="3"/>
      <c r="BD996" s="3"/>
      <c r="BE996" s="3"/>
      <c r="BF996" s="3"/>
    </row>
    <row r="997" ht="15.75" customHeight="1">
      <c r="BC997" s="3"/>
      <c r="BD997" s="3"/>
      <c r="BE997" s="3"/>
      <c r="BF997" s="3"/>
    </row>
    <row r="998" ht="15.75" customHeight="1">
      <c r="BC998" s="3"/>
      <c r="BD998" s="3"/>
      <c r="BE998" s="3"/>
      <c r="BF998" s="3"/>
    </row>
    <row r="999" ht="15.75" customHeight="1">
      <c r="BC999" s="3"/>
      <c r="BD999" s="3"/>
      <c r="BE999" s="3"/>
      <c r="BF999" s="3"/>
    </row>
    <row r="1000" ht="15.75" customHeight="1">
      <c r="BC1000" s="3"/>
      <c r="BD1000" s="3"/>
      <c r="BE1000" s="3"/>
      <c r="BF1000" s="3"/>
    </row>
    <row r="1001" ht="15.75" customHeight="1">
      <c r="BC1001" s="3"/>
      <c r="BD1001" s="3"/>
      <c r="BE1001" s="3"/>
      <c r="BF1001" s="3"/>
    </row>
  </sheetData>
  <mergeCells count="14">
    <mergeCell ref="AE3:AH3"/>
    <mergeCell ref="AI3:AL3"/>
    <mergeCell ref="AM3:AP3"/>
    <mergeCell ref="AQ3:AT3"/>
    <mergeCell ref="AU3:AX3"/>
    <mergeCell ref="AY3:BB3"/>
    <mergeCell ref="BC3:BF3"/>
    <mergeCell ref="C3:F3"/>
    <mergeCell ref="G3:J3"/>
    <mergeCell ref="K3:N3"/>
    <mergeCell ref="O3:R3"/>
    <mergeCell ref="S3:V3"/>
    <mergeCell ref="W3:Z3"/>
    <mergeCell ref="AA3:AD3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4" width="12.63"/>
    <col customWidth="1" hidden="1" min="5" max="6" width="12.63"/>
    <col hidden="1" min="9" max="10" width="12.63"/>
    <col hidden="1" min="13" max="14" width="12.63"/>
    <col hidden="1" min="17" max="18" width="12.63"/>
    <col hidden="1" min="21" max="22" width="12.63"/>
    <col hidden="1" min="25" max="26" width="12.63"/>
    <col hidden="1" min="29" max="30" width="12.63"/>
    <col hidden="1" min="33" max="34" width="12.63"/>
    <col hidden="1" min="37" max="38" width="12.63"/>
    <col hidden="1" min="41" max="42" width="12.63"/>
    <col hidden="1" min="45" max="46" width="12.63"/>
    <col customWidth="1" min="59" max="62" width="12.63"/>
  </cols>
  <sheetData>
    <row r="1" ht="15.75" customHeight="1">
      <c r="A1" s="184" t="s">
        <v>1</v>
      </c>
      <c r="BG1" s="3"/>
      <c r="BH1" s="3"/>
      <c r="BI1" s="3"/>
      <c r="BJ1" s="3"/>
    </row>
    <row r="2" ht="15.75" customHeight="1">
      <c r="A2" s="128" t="s">
        <v>168</v>
      </c>
      <c r="BG2" s="3"/>
      <c r="BH2" s="3"/>
      <c r="BI2" s="3"/>
      <c r="BJ2" s="3"/>
    </row>
    <row r="3" ht="15.75" customHeight="1">
      <c r="B3" s="188"/>
      <c r="C3" s="259" t="s">
        <v>48</v>
      </c>
      <c r="D3" s="260"/>
      <c r="E3" s="260"/>
      <c r="F3" s="261"/>
      <c r="G3" s="259" t="s">
        <v>49</v>
      </c>
      <c r="H3" s="260"/>
      <c r="I3" s="260"/>
      <c r="J3" s="261"/>
      <c r="K3" s="259" t="s">
        <v>5</v>
      </c>
      <c r="L3" s="260"/>
      <c r="M3" s="260"/>
      <c r="N3" s="261"/>
      <c r="O3" s="259" t="s">
        <v>6</v>
      </c>
      <c r="P3" s="260"/>
      <c r="Q3" s="260"/>
      <c r="R3" s="261"/>
      <c r="S3" s="259" t="s">
        <v>7</v>
      </c>
      <c r="T3" s="260"/>
      <c r="U3" s="260"/>
      <c r="V3" s="261"/>
      <c r="W3" s="259" t="s">
        <v>8</v>
      </c>
      <c r="X3" s="260"/>
      <c r="Y3" s="260"/>
      <c r="Z3" s="261"/>
      <c r="AA3" s="259" t="s">
        <v>9</v>
      </c>
      <c r="AB3" s="260"/>
      <c r="AC3" s="260"/>
      <c r="AD3" s="261"/>
      <c r="AE3" s="259" t="s">
        <v>10</v>
      </c>
      <c r="AF3" s="260"/>
      <c r="AG3" s="260"/>
      <c r="AH3" s="261"/>
      <c r="AI3" s="259" t="s">
        <v>11</v>
      </c>
      <c r="AJ3" s="260"/>
      <c r="AK3" s="260"/>
      <c r="AL3" s="261"/>
      <c r="AM3" s="259" t="s">
        <v>12</v>
      </c>
      <c r="AN3" s="260"/>
      <c r="AO3" s="260"/>
      <c r="AP3" s="261"/>
      <c r="AQ3" s="259" t="s">
        <v>13</v>
      </c>
      <c r="AR3" s="260"/>
      <c r="AS3" s="260"/>
      <c r="AT3" s="261"/>
      <c r="AU3" s="259" t="s">
        <v>14</v>
      </c>
      <c r="AV3" s="260"/>
      <c r="AW3" s="260"/>
      <c r="AX3" s="261"/>
      <c r="AY3" s="259" t="s">
        <v>15</v>
      </c>
      <c r="AZ3" s="260"/>
      <c r="BA3" s="260"/>
      <c r="BB3" s="261"/>
      <c r="BC3" s="283" t="s">
        <v>171</v>
      </c>
      <c r="BD3" s="260"/>
      <c r="BE3" s="260"/>
      <c r="BF3" s="261"/>
      <c r="BG3" s="259" t="s">
        <v>17</v>
      </c>
      <c r="BH3" s="260"/>
      <c r="BI3" s="260"/>
      <c r="BJ3" s="261"/>
    </row>
    <row r="4" ht="15.75" customHeight="1">
      <c r="B4" s="188"/>
      <c r="C4" s="188" t="s">
        <v>21</v>
      </c>
      <c r="D4" s="188" t="s">
        <v>19</v>
      </c>
      <c r="E4" s="188" t="s">
        <v>20</v>
      </c>
      <c r="F4" s="188" t="s">
        <v>19</v>
      </c>
      <c r="G4" s="188" t="s">
        <v>21</v>
      </c>
      <c r="H4" s="188" t="s">
        <v>19</v>
      </c>
      <c r="I4" s="188" t="s">
        <v>20</v>
      </c>
      <c r="J4" s="188" t="s">
        <v>19</v>
      </c>
      <c r="K4" s="188" t="s">
        <v>21</v>
      </c>
      <c r="L4" s="188" t="s">
        <v>19</v>
      </c>
      <c r="M4" s="188" t="s">
        <v>20</v>
      </c>
      <c r="N4" s="188" t="s">
        <v>19</v>
      </c>
      <c r="O4" s="188" t="s">
        <v>21</v>
      </c>
      <c r="P4" s="188" t="s">
        <v>19</v>
      </c>
      <c r="Q4" s="188" t="s">
        <v>20</v>
      </c>
      <c r="R4" s="188" t="s">
        <v>19</v>
      </c>
      <c r="S4" s="188" t="s">
        <v>21</v>
      </c>
      <c r="T4" s="188" t="s">
        <v>19</v>
      </c>
      <c r="U4" s="188" t="s">
        <v>20</v>
      </c>
      <c r="V4" s="188" t="s">
        <v>19</v>
      </c>
      <c r="W4" s="188" t="s">
        <v>21</v>
      </c>
      <c r="X4" s="188" t="s">
        <v>19</v>
      </c>
      <c r="Y4" s="188" t="s">
        <v>20</v>
      </c>
      <c r="Z4" s="188" t="s">
        <v>19</v>
      </c>
      <c r="AA4" s="188" t="s">
        <v>21</v>
      </c>
      <c r="AB4" s="188" t="s">
        <v>19</v>
      </c>
      <c r="AC4" s="188" t="s">
        <v>20</v>
      </c>
      <c r="AD4" s="188" t="s">
        <v>19</v>
      </c>
      <c r="AE4" s="188" t="s">
        <v>21</v>
      </c>
      <c r="AF4" s="188" t="s">
        <v>19</v>
      </c>
      <c r="AG4" s="188" t="s">
        <v>20</v>
      </c>
      <c r="AH4" s="188" t="s">
        <v>19</v>
      </c>
      <c r="AI4" s="188" t="s">
        <v>21</v>
      </c>
      <c r="AJ4" s="188" t="s">
        <v>19</v>
      </c>
      <c r="AK4" s="188" t="s">
        <v>20</v>
      </c>
      <c r="AL4" s="188" t="s">
        <v>19</v>
      </c>
      <c r="AM4" s="188" t="s">
        <v>21</v>
      </c>
      <c r="AN4" s="188" t="s">
        <v>19</v>
      </c>
      <c r="AO4" s="188" t="s">
        <v>20</v>
      </c>
      <c r="AP4" s="188" t="s">
        <v>19</v>
      </c>
      <c r="AQ4" s="188" t="s">
        <v>21</v>
      </c>
      <c r="AR4" s="188" t="s">
        <v>19</v>
      </c>
      <c r="AS4" s="188" t="s">
        <v>20</v>
      </c>
      <c r="AT4" s="188" t="s">
        <v>19</v>
      </c>
      <c r="AU4" s="188" t="s">
        <v>21</v>
      </c>
      <c r="AV4" s="188" t="s">
        <v>19</v>
      </c>
      <c r="AW4" s="188" t="s">
        <v>20</v>
      </c>
      <c r="AX4" s="188" t="s">
        <v>19</v>
      </c>
      <c r="AY4" s="188" t="s">
        <v>21</v>
      </c>
      <c r="AZ4" s="188" t="s">
        <v>19</v>
      </c>
      <c r="BA4" s="188" t="s">
        <v>20</v>
      </c>
      <c r="BB4" s="188" t="s">
        <v>19</v>
      </c>
      <c r="BC4" s="188" t="s">
        <v>21</v>
      </c>
      <c r="BD4" s="188" t="s">
        <v>19</v>
      </c>
      <c r="BE4" s="188" t="s">
        <v>20</v>
      </c>
      <c r="BF4" s="188" t="s">
        <v>19</v>
      </c>
      <c r="BG4" s="188" t="s">
        <v>21</v>
      </c>
      <c r="BH4" s="188" t="s">
        <v>19</v>
      </c>
      <c r="BI4" s="188" t="s">
        <v>20</v>
      </c>
      <c r="BJ4" s="188" t="s">
        <v>19</v>
      </c>
    </row>
    <row r="5" ht="15.75" customHeight="1">
      <c r="B5" s="188" t="s">
        <v>22</v>
      </c>
      <c r="C5" s="262">
        <f t="shared" ref="C5:C9" si="1">G5+K5</f>
        <v>5763543</v>
      </c>
      <c r="D5" s="263">
        <f t="shared" ref="D5:D10" si="2">C5/C$10</f>
        <v>0.1033244179</v>
      </c>
      <c r="E5" s="262" t="str">
        <f t="shared" ref="E5:E9" si="3">I5+M5</f>
        <v>#REF!</v>
      </c>
      <c r="F5" s="263" t="str">
        <f t="shared" ref="F5:F10" si="4">E5/E$10</f>
        <v>#REF!</v>
      </c>
      <c r="G5" s="189">
        <f>HO!V14</f>
        <v>0</v>
      </c>
      <c r="H5" s="186"/>
      <c r="I5" s="189">
        <f>HO!AA14</f>
        <v>0</v>
      </c>
      <c r="J5" s="186"/>
      <c r="K5" s="262">
        <f t="shared" ref="K5:K9" si="5">O5+S5+W5+AA5+AE5+AI5+AM5+AQ5+AU5+AY5</f>
        <v>5763543</v>
      </c>
      <c r="L5" s="263">
        <f t="shared" ref="L5:L10" si="6">K5/K$10</f>
        <v>0.1033244179</v>
      </c>
      <c r="M5" s="262" t="str">
        <f t="shared" ref="M5:M9" si="7">Q5+U5+Y5+AC5+AG5+AK5+AO5</f>
        <v>#REF!</v>
      </c>
      <c r="N5" s="270" t="str">
        <f t="shared" ref="N5:N10" si="8">M5/M$10</f>
        <v>#REF!</v>
      </c>
      <c r="O5" s="189">
        <f>'The Table'!V26</f>
        <v>922966</v>
      </c>
      <c r="P5" s="264">
        <f t="shared" ref="P5:P10" si="9">O5/O$10</f>
        <v>0.06368744281</v>
      </c>
      <c r="Q5" s="189">
        <f>'The Table'!X26</f>
        <v>1655770</v>
      </c>
      <c r="R5" s="264">
        <f t="shared" ref="R5:R10" si="10">Q5/Q$10</f>
        <v>0.1233700192</v>
      </c>
      <c r="S5" s="189">
        <f>Iktara!K22</f>
        <v>0</v>
      </c>
      <c r="T5" s="264">
        <f t="shared" ref="T5:T10" si="11">S5/S$10</f>
        <v>0</v>
      </c>
      <c r="U5" s="189" t="str">
        <f t="shared" ref="U5:U8" si="12">#REF!</f>
        <v>#REF!</v>
      </c>
      <c r="V5" s="264" t="str">
        <f t="shared" ref="V5:V10" si="13">U5/U$10</f>
        <v>#REF!</v>
      </c>
      <c r="W5" s="189">
        <f>'Mg St Colaba'!V28</f>
        <v>1574002</v>
      </c>
      <c r="X5" s="264">
        <f t="shared" ref="X5:X10" si="14">W5/W$10</f>
        <v>0.1122272583</v>
      </c>
      <c r="Y5" s="189">
        <f>'Mg St Colaba'!X28</f>
        <v>1442091.32</v>
      </c>
      <c r="Z5" s="264">
        <f t="shared" ref="Z5:Z10" si="15">Y5/Y$10</f>
        <v>0.1062615972</v>
      </c>
      <c r="AA5" s="189">
        <f>'Mg St LP'!V27</f>
        <v>1507440</v>
      </c>
      <c r="AB5" s="264">
        <f t="shared" ref="AB5:AB10" si="16">AA5/AA$10</f>
        <v>0.15847513</v>
      </c>
      <c r="AC5" s="189">
        <f>'Mg St LP'!X27</f>
        <v>1097344</v>
      </c>
      <c r="AD5" s="264">
        <f t="shared" ref="AD5:AD10" si="17">AC5/AC$10</f>
        <v>0.1219214118</v>
      </c>
      <c r="AE5" s="189">
        <f>'Mg St Bandra'!V28</f>
        <v>1759135</v>
      </c>
      <c r="AF5" s="264">
        <f t="shared" ref="AF5:AF10" si="18">AE5/AE$10</f>
        <v>0.1089861037</v>
      </c>
      <c r="AG5" s="189">
        <f>'Mg St Bandra'!X28</f>
        <v>1572211</v>
      </c>
      <c r="AH5" s="264">
        <f t="shared" ref="AH5:AH10" si="19">AG5/AG$10</f>
        <v>0.09915823935</v>
      </c>
      <c r="AI5" s="189">
        <f>'MSK Events'!G23</f>
        <v>0</v>
      </c>
      <c r="AJ5" s="186"/>
      <c r="AK5" s="189" t="str">
        <f t="shared" ref="AK5:AK8" si="20">#REF!</f>
        <v>#REF!</v>
      </c>
      <c r="AL5" s="186"/>
      <c r="AM5" s="189">
        <f>MSBC!V24</f>
        <v>0</v>
      </c>
      <c r="AN5" s="186"/>
      <c r="AO5" s="189">
        <f>MSBC!X24</f>
        <v>0</v>
      </c>
      <c r="AP5" s="186"/>
      <c r="AQ5" s="265">
        <f>Kaspers!P26</f>
        <v>0</v>
      </c>
      <c r="AR5" s="186"/>
      <c r="AS5" s="189" t="str">
        <f>Kaspers!R26</f>
        <v/>
      </c>
      <c r="AT5" s="186"/>
      <c r="AU5" s="189">
        <f>'MSBC Andheri'!G24</f>
        <v>0</v>
      </c>
      <c r="AV5" s="186"/>
      <c r="AW5" s="189" t="str">
        <f t="shared" ref="AW5:AW7" si="21">#REF!</f>
        <v>#REF!</v>
      </c>
      <c r="AX5" s="186"/>
      <c r="AY5" s="189">
        <f>'MSBC Dahisar'!G22</f>
        <v>0</v>
      </c>
      <c r="AZ5" s="186"/>
      <c r="BA5" s="189"/>
      <c r="BB5" s="186"/>
      <c r="BC5" s="189"/>
      <c r="BD5" s="186"/>
      <c r="BE5" s="189"/>
      <c r="BF5" s="186"/>
      <c r="BG5" s="83"/>
      <c r="BH5" s="28"/>
      <c r="BI5" s="83"/>
      <c r="BJ5" s="28"/>
    </row>
    <row r="6" ht="15.75" customHeight="1">
      <c r="B6" s="188" t="s">
        <v>23</v>
      </c>
      <c r="C6" s="262">
        <f t="shared" si="1"/>
        <v>5825554</v>
      </c>
      <c r="D6" s="263">
        <f t="shared" si="2"/>
        <v>0.104436104</v>
      </c>
      <c r="E6" s="262" t="str">
        <f t="shared" si="3"/>
        <v>#REF!</v>
      </c>
      <c r="F6" s="263" t="str">
        <f t="shared" si="4"/>
        <v>#REF!</v>
      </c>
      <c r="G6" s="189">
        <f>HO!V15</f>
        <v>0</v>
      </c>
      <c r="H6" s="186"/>
      <c r="I6" s="189">
        <f>HO!AA15</f>
        <v>0</v>
      </c>
      <c r="J6" s="186"/>
      <c r="K6" s="262">
        <f t="shared" si="5"/>
        <v>5825554</v>
      </c>
      <c r="L6" s="263">
        <f t="shared" si="6"/>
        <v>0.104436104</v>
      </c>
      <c r="M6" s="262" t="str">
        <f t="shared" si="7"/>
        <v>#REF!</v>
      </c>
      <c r="N6" s="270" t="str">
        <f t="shared" si="8"/>
        <v>#REF!</v>
      </c>
      <c r="O6" s="189">
        <f>'The Table'!V27</f>
        <v>3086795</v>
      </c>
      <c r="P6" s="264">
        <f t="shared" si="9"/>
        <v>0.212998182</v>
      </c>
      <c r="Q6" s="189">
        <f>'The Table'!X27</f>
        <v>2903183</v>
      </c>
      <c r="R6" s="264">
        <f t="shared" si="10"/>
        <v>0.2163137044</v>
      </c>
      <c r="S6" s="189">
        <f>Iktara!K23</f>
        <v>0</v>
      </c>
      <c r="T6" s="264">
        <f t="shared" si="11"/>
        <v>0</v>
      </c>
      <c r="U6" s="189" t="str">
        <f t="shared" si="12"/>
        <v>#REF!</v>
      </c>
      <c r="V6" s="264" t="str">
        <f t="shared" si="13"/>
        <v>#REF!</v>
      </c>
      <c r="W6" s="189">
        <f>'Mg St Colaba'!V29</f>
        <v>711833</v>
      </c>
      <c r="X6" s="264">
        <f t="shared" si="14"/>
        <v>0.05075410704</v>
      </c>
      <c r="Y6" s="189">
        <f>'Mg St Colaba'!X29</f>
        <v>953375.56</v>
      </c>
      <c r="Z6" s="264">
        <f t="shared" si="15"/>
        <v>0.0702502042</v>
      </c>
      <c r="AA6" s="189">
        <f>'Mg St LP'!V28</f>
        <v>0</v>
      </c>
      <c r="AB6" s="264">
        <f t="shared" si="16"/>
        <v>0</v>
      </c>
      <c r="AC6" s="189">
        <f>'Mg St LP'!X28</f>
        <v>0</v>
      </c>
      <c r="AD6" s="264">
        <f t="shared" si="17"/>
        <v>0</v>
      </c>
      <c r="AE6" s="189">
        <f>'Mg St Bandra'!V29</f>
        <v>2026926</v>
      </c>
      <c r="AF6" s="264">
        <f t="shared" si="18"/>
        <v>0.1255769269</v>
      </c>
      <c r="AG6" s="189">
        <f>'Mg St Bandra'!X29</f>
        <v>1970413</v>
      </c>
      <c r="AH6" s="264">
        <f t="shared" si="19"/>
        <v>0.1242725588</v>
      </c>
      <c r="AI6" s="189">
        <f>'MSK Events'!G24</f>
        <v>0</v>
      </c>
      <c r="AJ6" s="186"/>
      <c r="AK6" s="189" t="str">
        <f t="shared" si="20"/>
        <v>#REF!</v>
      </c>
      <c r="AL6" s="186"/>
      <c r="AM6" s="189">
        <f>MSBC!V25</f>
        <v>0</v>
      </c>
      <c r="AN6" s="186"/>
      <c r="AO6" s="189">
        <f>MSBC!X25</f>
        <v>0</v>
      </c>
      <c r="AP6" s="186"/>
      <c r="AQ6" s="265">
        <f>Kaspers!P27</f>
        <v>0</v>
      </c>
      <c r="AR6" s="186"/>
      <c r="AS6" s="189" t="str">
        <f>Kaspers!R27</f>
        <v/>
      </c>
      <c r="AT6" s="186"/>
      <c r="AU6" s="189">
        <f>'MSBC Andheri'!G25</f>
        <v>0</v>
      </c>
      <c r="AV6" s="186"/>
      <c r="AW6" s="189" t="str">
        <f t="shared" si="21"/>
        <v>#REF!</v>
      </c>
      <c r="AX6" s="186"/>
      <c r="AY6" s="189">
        <f>'MSBC Dahisar'!G23</f>
        <v>0</v>
      </c>
      <c r="AZ6" s="186"/>
      <c r="BA6" s="189"/>
      <c r="BB6" s="186"/>
      <c r="BC6" s="189"/>
      <c r="BD6" s="186"/>
      <c r="BE6" s="189"/>
      <c r="BF6" s="186"/>
      <c r="BG6" s="114"/>
      <c r="BH6" s="43"/>
      <c r="BI6" s="114"/>
      <c r="BJ6" s="43"/>
    </row>
    <row r="7" ht="15.75" customHeight="1">
      <c r="B7" s="188" t="s">
        <v>24</v>
      </c>
      <c r="C7" s="262">
        <f t="shared" si="1"/>
        <v>40395106.28</v>
      </c>
      <c r="D7" s="263">
        <f t="shared" si="2"/>
        <v>0.7241727601</v>
      </c>
      <c r="E7" s="262" t="str">
        <f t="shared" si="3"/>
        <v>#REF!</v>
      </c>
      <c r="F7" s="263" t="str">
        <f t="shared" si="4"/>
        <v>#REF!</v>
      </c>
      <c r="G7" s="189">
        <f>HO!V16</f>
        <v>0</v>
      </c>
      <c r="H7" s="186"/>
      <c r="I7" s="189">
        <f>HO!AA16</f>
        <v>0</v>
      </c>
      <c r="J7" s="186"/>
      <c r="K7" s="262">
        <f t="shared" si="5"/>
        <v>40395106.28</v>
      </c>
      <c r="L7" s="263">
        <f t="shared" si="6"/>
        <v>0.7241727601</v>
      </c>
      <c r="M7" s="262" t="str">
        <f t="shared" si="7"/>
        <v>#REF!</v>
      </c>
      <c r="N7" s="270" t="str">
        <f t="shared" si="8"/>
        <v>#REF!</v>
      </c>
      <c r="O7" s="189">
        <f>'The Table'!V28</f>
        <v>9226143</v>
      </c>
      <c r="P7" s="264">
        <f t="shared" si="9"/>
        <v>0.6366317445</v>
      </c>
      <c r="Q7" s="189">
        <f>'The Table'!X28</f>
        <v>7853116</v>
      </c>
      <c r="R7" s="264">
        <f t="shared" si="10"/>
        <v>0.5851290163</v>
      </c>
      <c r="S7" s="189">
        <f>Iktara!K24</f>
        <v>669135.28</v>
      </c>
      <c r="T7" s="264">
        <f t="shared" si="11"/>
        <v>1</v>
      </c>
      <c r="U7" s="189" t="str">
        <f t="shared" si="12"/>
        <v>#REF!</v>
      </c>
      <c r="V7" s="264" t="str">
        <f t="shared" si="13"/>
        <v>#REF!</v>
      </c>
      <c r="W7" s="189">
        <f>'Mg St Colaba'!V30</f>
        <v>10794421</v>
      </c>
      <c r="X7" s="264">
        <f t="shared" si="14"/>
        <v>0.7696484974</v>
      </c>
      <c r="Y7" s="189">
        <f>'Mg St Colaba'!X30</f>
        <v>10268906.86</v>
      </c>
      <c r="Z7" s="264">
        <f t="shared" si="15"/>
        <v>0.7566722225</v>
      </c>
      <c r="AA7" s="189">
        <f>'Mg St LP'!V29</f>
        <v>7574433</v>
      </c>
      <c r="AB7" s="264">
        <f t="shared" si="16"/>
        <v>0.7962899049</v>
      </c>
      <c r="AC7" s="189">
        <f>'Mg St LP'!X29</f>
        <v>7397626</v>
      </c>
      <c r="AD7" s="264">
        <f t="shared" si="17"/>
        <v>0.8219200229</v>
      </c>
      <c r="AE7" s="189">
        <f>'Mg St Bandra'!V30</f>
        <v>11189390</v>
      </c>
      <c r="AF7" s="264">
        <f t="shared" si="18"/>
        <v>0.6932316274</v>
      </c>
      <c r="AG7" s="189">
        <f>'Mg St Bandra'!X30</f>
        <v>11003776</v>
      </c>
      <c r="AH7" s="264">
        <f t="shared" si="19"/>
        <v>0.6940003946</v>
      </c>
      <c r="AI7" s="189">
        <f>'MSK Events'!G25</f>
        <v>0</v>
      </c>
      <c r="AJ7" s="186"/>
      <c r="AK7" s="189" t="str">
        <f t="shared" si="20"/>
        <v>#REF!</v>
      </c>
      <c r="AL7" s="186"/>
      <c r="AM7" s="189">
        <f>MSBC!V26</f>
        <v>428164</v>
      </c>
      <c r="AN7" s="186"/>
      <c r="AO7" s="189">
        <f>MSBC!X26</f>
        <v>80000</v>
      </c>
      <c r="AP7" s="186"/>
      <c r="AQ7" s="265">
        <f>Kaspers!P28</f>
        <v>0</v>
      </c>
      <c r="AR7" s="186"/>
      <c r="AS7" s="189" t="str">
        <f>Kaspers!R28</f>
        <v/>
      </c>
      <c r="AT7" s="186"/>
      <c r="AU7" s="189">
        <f>'MSBC Andheri'!G26</f>
        <v>366682</v>
      </c>
      <c r="AV7" s="186"/>
      <c r="AW7" s="189" t="str">
        <f t="shared" si="21"/>
        <v>#REF!</v>
      </c>
      <c r="AX7" s="186"/>
      <c r="AY7" s="189">
        <f>'MSBC Dahisar'!G24</f>
        <v>146738</v>
      </c>
      <c r="AZ7" s="186"/>
      <c r="BA7" s="189"/>
      <c r="BB7" s="186"/>
      <c r="BC7" s="189">
        <f>'MSBC Juhu  Goregoan'!G23</f>
        <v>30188</v>
      </c>
      <c r="BD7" s="186"/>
      <c r="BE7" s="189"/>
      <c r="BF7" s="186"/>
      <c r="BG7" s="114"/>
      <c r="BH7" s="43"/>
      <c r="BI7" s="114"/>
      <c r="BJ7" s="43"/>
    </row>
    <row r="8" ht="15.75" customHeight="1">
      <c r="B8" s="188" t="s">
        <v>25</v>
      </c>
      <c r="C8" s="262">
        <f t="shared" si="1"/>
        <v>3730032</v>
      </c>
      <c r="D8" s="263">
        <f t="shared" si="2"/>
        <v>0.06686917841</v>
      </c>
      <c r="E8" s="262" t="str">
        <f t="shared" si="3"/>
        <v>#REF!</v>
      </c>
      <c r="F8" s="263" t="str">
        <f t="shared" si="4"/>
        <v>#REF!</v>
      </c>
      <c r="G8" s="265" t="str">
        <f>HO!V18</f>
        <v/>
      </c>
      <c r="H8" s="186"/>
      <c r="I8" s="265" t="str">
        <f>HO!AA18</f>
        <v/>
      </c>
      <c r="J8" s="186"/>
      <c r="K8" s="262">
        <f t="shared" si="5"/>
        <v>3730032</v>
      </c>
      <c r="L8" s="263">
        <f t="shared" si="6"/>
        <v>0.06686917841</v>
      </c>
      <c r="M8" s="262" t="str">
        <f t="shared" si="7"/>
        <v>#REF!</v>
      </c>
      <c r="N8" s="270" t="str">
        <f t="shared" si="8"/>
        <v>#REF!</v>
      </c>
      <c r="O8" s="189">
        <f>'The Table'!V30</f>
        <v>1236415</v>
      </c>
      <c r="P8" s="264">
        <f t="shared" si="9"/>
        <v>0.08531637092</v>
      </c>
      <c r="Q8" s="189">
        <f>'The Table'!X30</f>
        <v>1009101</v>
      </c>
      <c r="R8" s="264">
        <f t="shared" si="10"/>
        <v>0.07518726013</v>
      </c>
      <c r="S8" s="189" t="str">
        <f>Iktara!K26</f>
        <v/>
      </c>
      <c r="T8" s="264">
        <f t="shared" si="11"/>
        <v>0</v>
      </c>
      <c r="U8" s="186" t="str">
        <f t="shared" si="12"/>
        <v>#REF!</v>
      </c>
      <c r="V8" s="264" t="str">
        <f t="shared" si="13"/>
        <v>#REF!</v>
      </c>
      <c r="W8" s="189">
        <f>'Mg St Colaba'!V32</f>
        <v>925075</v>
      </c>
      <c r="X8" s="264">
        <f t="shared" si="14"/>
        <v>0.0659583857</v>
      </c>
      <c r="Y8" s="189">
        <f>'Mg St Colaba'!X32</f>
        <v>906769.1598</v>
      </c>
      <c r="Z8" s="264">
        <f t="shared" si="15"/>
        <v>0.06681597611</v>
      </c>
      <c r="AA8" s="189">
        <f>'Mg St LP'!V31</f>
        <v>419082</v>
      </c>
      <c r="AB8" s="264">
        <f t="shared" si="16"/>
        <v>0.04405752429</v>
      </c>
      <c r="AC8" s="189">
        <f>'Mg St LP'!X31</f>
        <v>505450.715</v>
      </c>
      <c r="AD8" s="264">
        <f t="shared" si="17"/>
        <v>0.05615856536</v>
      </c>
      <c r="AE8" s="189">
        <f>'Mg St Bandra'!V32</f>
        <v>1149460</v>
      </c>
      <c r="AF8" s="264">
        <f t="shared" si="18"/>
        <v>0.07121407212</v>
      </c>
      <c r="AG8" s="189">
        <f>'Mg St Bandra'!X32</f>
        <v>1309176</v>
      </c>
      <c r="AH8" s="264">
        <f t="shared" si="19"/>
        <v>0.08256880734</v>
      </c>
      <c r="AI8" s="186" t="str">
        <f>'MSK Events'!G27</f>
        <v/>
      </c>
      <c r="AJ8" s="186"/>
      <c r="AK8" s="186" t="str">
        <f t="shared" si="20"/>
        <v>#REF!</v>
      </c>
      <c r="AL8" s="186"/>
      <c r="AM8" s="189" t="str">
        <f>MSBC!V28</f>
        <v/>
      </c>
      <c r="AN8" s="186"/>
      <c r="AO8" s="265" t="str">
        <f>MSBC!X28</f>
        <v/>
      </c>
      <c r="AP8" s="186"/>
      <c r="AQ8" s="265" t="str">
        <f>Kaspers!P30</f>
        <v/>
      </c>
      <c r="AR8" s="186"/>
      <c r="AS8" s="189" t="str">
        <f>Kaspers!R30</f>
        <v/>
      </c>
      <c r="AT8" s="186"/>
      <c r="AU8" s="186"/>
      <c r="AV8" s="186"/>
      <c r="AW8" s="186"/>
      <c r="AX8" s="186"/>
      <c r="AY8" s="186" t="str">
        <f>'MSBC Dahisar'!G25</f>
        <v/>
      </c>
      <c r="AZ8" s="186"/>
      <c r="BA8" s="186"/>
      <c r="BB8" s="186"/>
      <c r="BC8" s="186"/>
      <c r="BD8" s="186"/>
      <c r="BE8" s="186"/>
      <c r="BF8" s="186"/>
      <c r="BG8" s="114"/>
      <c r="BH8" s="43"/>
      <c r="BI8" s="114"/>
      <c r="BJ8" s="43"/>
    </row>
    <row r="9" ht="15.75" customHeight="1">
      <c r="B9" s="188" t="s">
        <v>169</v>
      </c>
      <c r="C9" s="262">
        <f t="shared" si="1"/>
        <v>66800</v>
      </c>
      <c r="D9" s="263">
        <f t="shared" si="2"/>
        <v>0.001197539624</v>
      </c>
      <c r="E9" s="262">
        <f t="shared" si="3"/>
        <v>0</v>
      </c>
      <c r="F9" s="263" t="str">
        <f t="shared" si="4"/>
        <v>#REF!</v>
      </c>
      <c r="G9" s="186"/>
      <c r="H9" s="186"/>
      <c r="I9" s="186"/>
      <c r="J9" s="186"/>
      <c r="K9" s="262">
        <f t="shared" si="5"/>
        <v>66800</v>
      </c>
      <c r="L9" s="263">
        <f t="shared" si="6"/>
        <v>0.001197539624</v>
      </c>
      <c r="M9" s="262">
        <f t="shared" si="7"/>
        <v>0</v>
      </c>
      <c r="N9" s="270" t="str">
        <f t="shared" si="8"/>
        <v>#REF!</v>
      </c>
      <c r="O9" s="189">
        <f>'The Table'!V22+'The Table'!V23+'The Table'!V24</f>
        <v>19800</v>
      </c>
      <c r="P9" s="264">
        <f t="shared" si="9"/>
        <v>0.001366259827</v>
      </c>
      <c r="Q9" s="189">
        <f>'The Table'!X22+'The Table'!X23+'The Table'!X24</f>
        <v>0</v>
      </c>
      <c r="R9" s="264">
        <f t="shared" si="10"/>
        <v>0</v>
      </c>
      <c r="S9" s="266">
        <v>0.0</v>
      </c>
      <c r="T9" s="264">
        <f t="shared" si="11"/>
        <v>0</v>
      </c>
      <c r="U9" s="267">
        <v>0.0</v>
      </c>
      <c r="V9" s="264" t="str">
        <f t="shared" si="13"/>
        <v>#REF!</v>
      </c>
      <c r="W9" s="189">
        <f>'Mg St Colaba'!V24+'Mg St Colaba'!V25+'Mg St Colaba'!V26</f>
        <v>19800</v>
      </c>
      <c r="X9" s="264">
        <f t="shared" si="14"/>
        <v>0.001411751519</v>
      </c>
      <c r="Y9" s="189">
        <f>'Mg St Colaba'!X24+'Mg St Colaba'!X25+'Mg St Colaba'!X26</f>
        <v>0</v>
      </c>
      <c r="Z9" s="264">
        <f t="shared" si="15"/>
        <v>0</v>
      </c>
      <c r="AA9" s="189">
        <f>'Mg St LP'!V23+'Mg St LP'!V24+'Mg St LP'!V25</f>
        <v>11200</v>
      </c>
      <c r="AB9" s="264">
        <f t="shared" si="16"/>
        <v>0.001177440864</v>
      </c>
      <c r="AC9" s="189">
        <f>'Mg St LP'!X23+'Mg St LP'!X24+'Mg St LP'!X25</f>
        <v>0</v>
      </c>
      <c r="AD9" s="264">
        <f t="shared" si="17"/>
        <v>0</v>
      </c>
      <c r="AE9" s="189">
        <f>'Mg St Bandra'!V24+'Mg St Bandra'!V25+'Mg St Bandra'!V26</f>
        <v>16000</v>
      </c>
      <c r="AF9" s="264">
        <f t="shared" si="18"/>
        <v>0.0009912699475</v>
      </c>
      <c r="AG9" s="189">
        <f>'Mg St Bandra'!X24+'Mg St Bandra'!X25+'Mg St Bandra'!X26</f>
        <v>0</v>
      </c>
      <c r="AH9" s="264">
        <f t="shared" si="19"/>
        <v>0</v>
      </c>
      <c r="AI9" s="267">
        <v>0.0</v>
      </c>
      <c r="AJ9" s="186"/>
      <c r="AK9" s="267">
        <v>0.0</v>
      </c>
      <c r="AL9" s="186"/>
      <c r="AM9" s="266">
        <v>0.0</v>
      </c>
      <c r="AN9" s="186"/>
      <c r="AO9" s="267">
        <v>0.0</v>
      </c>
      <c r="AP9" s="186"/>
      <c r="AQ9" s="267">
        <v>0.0</v>
      </c>
      <c r="AR9" s="186"/>
      <c r="AS9" s="266">
        <v>0.0</v>
      </c>
      <c r="AT9" s="186"/>
      <c r="AU9" s="267">
        <v>0.0</v>
      </c>
      <c r="AV9" s="186"/>
      <c r="AW9" s="267">
        <v>0.0</v>
      </c>
      <c r="AX9" s="186"/>
      <c r="AY9" s="267">
        <v>0.0</v>
      </c>
      <c r="AZ9" s="186"/>
      <c r="BA9" s="267"/>
      <c r="BB9" s="186"/>
      <c r="BC9" s="267"/>
      <c r="BD9" s="186"/>
      <c r="BE9" s="267"/>
      <c r="BF9" s="186"/>
      <c r="BG9" s="62"/>
      <c r="BH9" s="43"/>
      <c r="BI9" s="114"/>
      <c r="BJ9" s="43"/>
    </row>
    <row r="10" ht="15.75" customHeight="1">
      <c r="B10" s="188" t="s">
        <v>27</v>
      </c>
      <c r="C10" s="262">
        <f>SUM(C5:C9)</f>
        <v>55781035.28</v>
      </c>
      <c r="D10" s="263">
        <f t="shared" si="2"/>
        <v>1</v>
      </c>
      <c r="E10" s="262" t="str">
        <f>SUM(E5:E9)</f>
        <v>#REF!</v>
      </c>
      <c r="F10" s="263" t="str">
        <f t="shared" si="4"/>
        <v>#REF!</v>
      </c>
      <c r="G10" s="189">
        <f>SUM(G5:G8)</f>
        <v>0</v>
      </c>
      <c r="H10" s="186"/>
      <c r="I10" s="189">
        <f>SUM(I5:I8)</f>
        <v>0</v>
      </c>
      <c r="J10" s="186"/>
      <c r="K10" s="262">
        <f>SUM(K5:K9)</f>
        <v>55781035.28</v>
      </c>
      <c r="L10" s="263">
        <f t="shared" si="6"/>
        <v>1</v>
      </c>
      <c r="M10" s="262" t="str">
        <f>SUM(M5:M9)</f>
        <v>#REF!</v>
      </c>
      <c r="N10" s="270" t="str">
        <f t="shared" si="8"/>
        <v>#REF!</v>
      </c>
      <c r="O10" s="189">
        <f>SUM(O5:O9)</f>
        <v>14492119</v>
      </c>
      <c r="P10" s="264">
        <f t="shared" si="9"/>
        <v>1</v>
      </c>
      <c r="Q10" s="189">
        <f>SUM(Q5:Q9)</f>
        <v>13421170</v>
      </c>
      <c r="R10" s="264">
        <f t="shared" si="10"/>
        <v>1</v>
      </c>
      <c r="S10" s="189">
        <f>SUM(S5:S9)</f>
        <v>669135.28</v>
      </c>
      <c r="T10" s="264">
        <f t="shared" si="11"/>
        <v>1</v>
      </c>
      <c r="U10" s="189" t="str">
        <f>SUM(U5:U9)</f>
        <v>#REF!</v>
      </c>
      <c r="V10" s="264" t="str">
        <f t="shared" si="13"/>
        <v>#REF!</v>
      </c>
      <c r="W10" s="189">
        <f>SUM(W5:W9)</f>
        <v>14025131</v>
      </c>
      <c r="X10" s="264">
        <f t="shared" si="14"/>
        <v>1</v>
      </c>
      <c r="Y10" s="189">
        <f>SUM(Y5:Y8)</f>
        <v>13571142.9</v>
      </c>
      <c r="Z10" s="264">
        <f t="shared" si="15"/>
        <v>1</v>
      </c>
      <c r="AA10" s="189">
        <f>SUM(AA5:AA9)</f>
        <v>9512155</v>
      </c>
      <c r="AB10" s="264">
        <f t="shared" si="16"/>
        <v>1</v>
      </c>
      <c r="AC10" s="189">
        <f>SUM(AC5:AC8)</f>
        <v>9000420.715</v>
      </c>
      <c r="AD10" s="264">
        <f t="shared" si="17"/>
        <v>1</v>
      </c>
      <c r="AE10" s="189">
        <f>SUM(AE5:AE9)</f>
        <v>16140911</v>
      </c>
      <c r="AF10" s="264">
        <f t="shared" si="18"/>
        <v>1</v>
      </c>
      <c r="AG10" s="189">
        <f>SUM(AG5:AG8)</f>
        <v>15855576</v>
      </c>
      <c r="AH10" s="264">
        <f t="shared" si="19"/>
        <v>1</v>
      </c>
      <c r="AI10" s="189">
        <f>SUM(AI5:AI9)</f>
        <v>0</v>
      </c>
      <c r="AJ10" s="186"/>
      <c r="AK10" s="189" t="str">
        <f>SUM(AK5:AK9)</f>
        <v>#REF!</v>
      </c>
      <c r="AL10" s="186"/>
      <c r="AM10" s="189">
        <f>SUM(AM5:AM9)</f>
        <v>428164</v>
      </c>
      <c r="AN10" s="186"/>
      <c r="AO10" s="189">
        <f>SUM(AO5:AO9)</f>
        <v>80000</v>
      </c>
      <c r="AP10" s="186"/>
      <c r="AQ10" s="190">
        <f>SUM(AQ5:AQ9)</f>
        <v>0</v>
      </c>
      <c r="AR10" s="186"/>
      <c r="AS10" s="189">
        <f>SUM(AS5:AS9)</f>
        <v>0</v>
      </c>
      <c r="AT10" s="186"/>
      <c r="AU10" s="189">
        <f>SUM(AU5:AU9)</f>
        <v>366682</v>
      </c>
      <c r="AV10" s="186"/>
      <c r="AW10" s="189" t="str">
        <f>SUM(AW5:AW9)</f>
        <v>#REF!</v>
      </c>
      <c r="AX10" s="186"/>
      <c r="AY10" s="189">
        <f>SUM(AY5:AY9)</f>
        <v>146738</v>
      </c>
      <c r="AZ10" s="186"/>
      <c r="BA10" s="189"/>
      <c r="BB10" s="186"/>
      <c r="BC10" s="189">
        <f>SUM(BC5:BC9)</f>
        <v>30188</v>
      </c>
      <c r="BD10" s="186"/>
      <c r="BE10" s="189"/>
      <c r="BF10" s="186"/>
      <c r="BG10" s="146">
        <f>SUM(BG5:BG9)</f>
        <v>0</v>
      </c>
      <c r="BH10" s="188"/>
      <c r="BI10" s="262">
        <f>SUM(BI5:BI9)</f>
        <v>0</v>
      </c>
      <c r="BJ10" s="188"/>
    </row>
    <row r="11" ht="15.75" customHeight="1">
      <c r="B11" s="188"/>
      <c r="C11" s="268"/>
      <c r="D11" s="268"/>
      <c r="E11" s="268"/>
      <c r="F11" s="268"/>
      <c r="G11" s="186"/>
      <c r="H11" s="186"/>
      <c r="I11" s="186"/>
      <c r="J11" s="186"/>
      <c r="K11" s="268"/>
      <c r="L11" s="268"/>
      <c r="M11" s="268"/>
      <c r="N11" s="268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  <c r="AA11" s="186"/>
      <c r="AB11" s="186"/>
      <c r="AC11" s="186"/>
      <c r="AD11" s="186"/>
      <c r="AE11" s="186"/>
      <c r="AF11" s="186"/>
      <c r="AG11" s="186"/>
      <c r="AH11" s="186"/>
      <c r="AI11" s="186"/>
      <c r="AJ11" s="186"/>
      <c r="AK11" s="186"/>
      <c r="AL11" s="186"/>
      <c r="AM11" s="186"/>
      <c r="AN11" s="186"/>
      <c r="AO11" s="186"/>
      <c r="AP11" s="186"/>
      <c r="AQ11" s="186"/>
      <c r="AR11" s="186"/>
      <c r="AS11" s="186"/>
      <c r="AT11" s="186"/>
      <c r="AU11" s="186"/>
      <c r="AV11" s="186"/>
      <c r="AW11" s="186"/>
      <c r="AX11" s="186"/>
      <c r="AY11" s="186"/>
      <c r="AZ11" s="186"/>
      <c r="BA11" s="186"/>
      <c r="BB11" s="186"/>
      <c r="BC11" s="186"/>
      <c r="BD11" s="186"/>
      <c r="BE11" s="186"/>
      <c r="BF11" s="186"/>
      <c r="BG11" s="83"/>
      <c r="BH11" s="43"/>
      <c r="BI11" s="114"/>
      <c r="BJ11" s="43"/>
    </row>
    <row r="12" ht="15.75" customHeight="1">
      <c r="B12" s="188" t="s">
        <v>29</v>
      </c>
      <c r="C12" s="262">
        <f t="shared" ref="C12:C13" si="22">G12+K12</f>
        <v>17401836.22</v>
      </c>
      <c r="D12" s="263">
        <f t="shared" ref="D12:D14" si="23">C12/C$10</f>
        <v>0.3119668922</v>
      </c>
      <c r="E12" s="262" t="str">
        <f t="shared" ref="E12:E13" si="24">I12+M12</f>
        <v>#REF!</v>
      </c>
      <c r="F12" s="263" t="str">
        <f t="shared" ref="F12:F14" si="25">E12/E$10</f>
        <v>#REF!</v>
      </c>
      <c r="G12" s="265">
        <f>HO!V32</f>
        <v>0</v>
      </c>
      <c r="H12" s="186"/>
      <c r="I12" s="265">
        <f>HO!AA32</f>
        <v>0</v>
      </c>
      <c r="J12" s="186"/>
      <c r="K12" s="262">
        <f t="shared" ref="K12:K13" si="26">O12+S12+W12+AA12+AE12+AI12+AM12+AQ12+AU12+AY12</f>
        <v>17401836.22</v>
      </c>
      <c r="L12" s="263">
        <f t="shared" ref="L12:L14" si="27">K12/K$10</f>
        <v>0.3119668922</v>
      </c>
      <c r="M12" s="262" t="str">
        <f t="shared" ref="M12:M13" si="28">Q12+U12+Y12+AC12+AG12+AK12+AO12</f>
        <v>#REF!</v>
      </c>
      <c r="N12" s="270" t="str">
        <f t="shared" ref="N12:N14" si="29">M12/M$10</f>
        <v>#REF!</v>
      </c>
      <c r="O12" s="189">
        <f>'The Table'!V41</f>
        <v>6051744.473</v>
      </c>
      <c r="P12" s="264">
        <f t="shared" ref="P12:P14" si="30">O12/O$10</f>
        <v>0.4175886545</v>
      </c>
      <c r="Q12" s="189">
        <f>'The Table'!X41</f>
        <v>4459346.085</v>
      </c>
      <c r="R12" s="264">
        <f t="shared" ref="R12:R14" si="31">Q12/Q$10</f>
        <v>0.3322620967</v>
      </c>
      <c r="S12" s="189">
        <f>Iktara!K38</f>
        <v>258183.1962</v>
      </c>
      <c r="T12" s="264">
        <f t="shared" ref="T12:T14" si="32">S12/S$10</f>
        <v>0.3858460373</v>
      </c>
      <c r="U12" s="189" t="str">
        <f t="shared" ref="U12:U13" si="33">#REF!</f>
        <v>#REF!</v>
      </c>
      <c r="V12" s="264" t="str">
        <f t="shared" ref="V12:V14" si="34">U12/U$10</f>
        <v>#REF!</v>
      </c>
      <c r="W12" s="189">
        <f>'Mg St Colaba'!V51+'Mg St Colaba'!V62</f>
        <v>3782587.155</v>
      </c>
      <c r="X12" s="264">
        <f t="shared" ref="X12:X14" si="35">W12/W$10</f>
        <v>0.2697006648</v>
      </c>
      <c r="Y12" s="189">
        <f>'Mg St Colaba'!X51</f>
        <v>3736975.054</v>
      </c>
      <c r="Z12" s="264">
        <f t="shared" ref="Z12:Z14" si="36">Y12/Y$10</f>
        <v>0.2753618528</v>
      </c>
      <c r="AA12" s="189">
        <f>'Mg St LP'!V52</f>
        <v>2672726.576</v>
      </c>
      <c r="AB12" s="264">
        <f t="shared" ref="AB12:AB14" si="37">AA12/AA$10</f>
        <v>0.2809801329</v>
      </c>
      <c r="AC12" s="189">
        <f>'Mg St LP'!X52</f>
        <v>2170024.209</v>
      </c>
      <c r="AD12" s="264">
        <f t="shared" ref="AD12:AD14" si="38">AC12/AC$10</f>
        <v>0.2411025304</v>
      </c>
      <c r="AE12" s="189">
        <f>'Mg St Bandra'!V51</f>
        <v>3998227.11</v>
      </c>
      <c r="AF12" s="264">
        <f t="shared" ref="AF12:AF14" si="39">AE12/AE$10</f>
        <v>0.2477076486</v>
      </c>
      <c r="AG12" s="189">
        <f>'Mg St Bandra'!X51</f>
        <v>4631235.906</v>
      </c>
      <c r="AH12" s="264">
        <f t="shared" ref="AH12:AH14" si="40">AG12/AG$10</f>
        <v>0.2920887835</v>
      </c>
      <c r="AI12" s="186">
        <f>'MSK Events'!G46</f>
        <v>0</v>
      </c>
      <c r="AJ12" s="186"/>
      <c r="AK12" s="186" t="str">
        <f t="shared" ref="AK12:AK13" si="41">#REF!</f>
        <v>#REF!</v>
      </c>
      <c r="AL12" s="186"/>
      <c r="AM12" s="189">
        <f>MSBC!V47</f>
        <v>188001.7082</v>
      </c>
      <c r="AN12" s="186"/>
      <c r="AO12" s="265">
        <f>MSBC!X47</f>
        <v>0</v>
      </c>
      <c r="AP12" s="186"/>
      <c r="AQ12" s="186" t="str">
        <f>Kaspers!PL9</f>
        <v/>
      </c>
      <c r="AR12" s="186"/>
      <c r="AS12" s="189">
        <f>Kaspers!R49</f>
        <v>0</v>
      </c>
      <c r="AT12" s="186"/>
      <c r="AU12" s="189">
        <f>'MSBC Andheri'!G47</f>
        <v>227003.5092</v>
      </c>
      <c r="AV12" s="186"/>
      <c r="AW12" s="186" t="str">
        <f t="shared" ref="AW12:AW13" si="42">#REF!</f>
        <v>#REF!</v>
      </c>
      <c r="AX12" s="186"/>
      <c r="AY12" s="189">
        <f>'MSBC Dahisar'!G45</f>
        <v>223362.4924</v>
      </c>
      <c r="AZ12" s="186"/>
      <c r="BA12" s="186"/>
      <c r="BB12" s="186"/>
      <c r="BC12" s="189">
        <f>'MSBC Juhu  Goregoan'!G36</f>
        <v>0</v>
      </c>
      <c r="BD12" s="186"/>
      <c r="BE12" s="186"/>
      <c r="BF12" s="186"/>
      <c r="BG12" s="114" t="str">
        <f>'LOUD MOUTH'!G47</f>
        <v/>
      </c>
      <c r="BH12" s="28"/>
      <c r="BI12" s="83"/>
      <c r="BJ12" s="28"/>
    </row>
    <row r="13" ht="15.75" customHeight="1">
      <c r="B13" s="188" t="s">
        <v>30</v>
      </c>
      <c r="C13" s="262">
        <f t="shared" si="22"/>
        <v>675886</v>
      </c>
      <c r="D13" s="263">
        <f t="shared" si="23"/>
        <v>0.01211677045</v>
      </c>
      <c r="E13" s="262" t="str">
        <f t="shared" si="24"/>
        <v>#REF!</v>
      </c>
      <c r="F13" s="263" t="str">
        <f t="shared" si="25"/>
        <v>#REF!</v>
      </c>
      <c r="G13" s="265" t="str">
        <f>HO!V33</f>
        <v/>
      </c>
      <c r="H13" s="186"/>
      <c r="I13" s="265" t="str">
        <f>HO!AA33</f>
        <v/>
      </c>
      <c r="J13" s="186"/>
      <c r="K13" s="262">
        <f t="shared" si="26"/>
        <v>675886</v>
      </c>
      <c r="L13" s="263">
        <f t="shared" si="27"/>
        <v>0.01211677045</v>
      </c>
      <c r="M13" s="262" t="str">
        <f t="shared" si="28"/>
        <v>#REF!</v>
      </c>
      <c r="N13" s="270" t="str">
        <f t="shared" si="29"/>
        <v>#REF!</v>
      </c>
      <c r="O13" s="189">
        <f>'The Table'!V42</f>
        <v>43488</v>
      </c>
      <c r="P13" s="264">
        <f t="shared" si="30"/>
        <v>0.003000803402</v>
      </c>
      <c r="Q13" s="189">
        <f>'The Table'!X42</f>
        <v>38477.4139</v>
      </c>
      <c r="R13" s="264">
        <f t="shared" si="31"/>
        <v>0.002866919494</v>
      </c>
      <c r="S13" s="189">
        <f>Iktara!K39</f>
        <v>23560</v>
      </c>
      <c r="T13" s="264">
        <f t="shared" si="32"/>
        <v>0.03520962159</v>
      </c>
      <c r="U13" s="189" t="str">
        <f t="shared" si="33"/>
        <v>#REF!</v>
      </c>
      <c r="V13" s="264" t="str">
        <f t="shared" si="34"/>
        <v>#REF!</v>
      </c>
      <c r="W13" s="189">
        <f>'Mg St Colaba'!V52</f>
        <v>197219</v>
      </c>
      <c r="X13" s="264">
        <f t="shared" si="35"/>
        <v>0.01406182944</v>
      </c>
      <c r="Y13" s="189">
        <f>'Mg St Colaba'!X52</f>
        <v>119426.0575</v>
      </c>
      <c r="Z13" s="264">
        <f t="shared" si="36"/>
        <v>0.0088</v>
      </c>
      <c r="AA13" s="186">
        <f>'Mg St LP'!V53</f>
        <v>145348</v>
      </c>
      <c r="AB13" s="264">
        <f t="shared" si="37"/>
        <v>0.01528023881</v>
      </c>
      <c r="AC13" s="189">
        <f>'Mg St LP'!X53</f>
        <v>86648.694</v>
      </c>
      <c r="AD13" s="264">
        <f t="shared" si="38"/>
        <v>0.009627182633</v>
      </c>
      <c r="AE13" s="189">
        <f>'Mg St Bandra'!V52</f>
        <v>145621</v>
      </c>
      <c r="AF13" s="264">
        <f t="shared" si="39"/>
        <v>0.009021857564</v>
      </c>
      <c r="AG13" s="189">
        <f>'Mg St Bandra'!X52</f>
        <v>87205.668</v>
      </c>
      <c r="AH13" s="264">
        <f t="shared" si="40"/>
        <v>0.0055</v>
      </c>
      <c r="AI13" s="186" t="str">
        <f>'MSK Events'!G47</f>
        <v/>
      </c>
      <c r="AJ13" s="186"/>
      <c r="AK13" s="186" t="str">
        <f t="shared" si="41"/>
        <v>#REF!</v>
      </c>
      <c r="AL13" s="186"/>
      <c r="AM13" s="189">
        <f>MSBC!V48</f>
        <v>114665</v>
      </c>
      <c r="AN13" s="186"/>
      <c r="AO13" s="265" t="str">
        <f>MSBC!X48</f>
        <v/>
      </c>
      <c r="AP13" s="186"/>
      <c r="AQ13" s="265" t="str">
        <f>Kaspers!P50</f>
        <v/>
      </c>
      <c r="AR13" s="186"/>
      <c r="AS13" s="189">
        <f>Kaspers!R50</f>
        <v>0</v>
      </c>
      <c r="AT13" s="186"/>
      <c r="AU13" s="189">
        <f>'MSBC Andheri'!G48</f>
        <v>5055</v>
      </c>
      <c r="AV13" s="186"/>
      <c r="AW13" s="186" t="str">
        <f t="shared" si="42"/>
        <v>#REF!</v>
      </c>
      <c r="AX13" s="186"/>
      <c r="AY13" s="189">
        <f>'MSBC Dahisar'!G46</f>
        <v>930</v>
      </c>
      <c r="AZ13" s="186"/>
      <c r="BA13" s="186"/>
      <c r="BB13" s="186"/>
      <c r="BC13" s="189" t="str">
        <f>'MSBC Juhu  Goregoan'!G37</f>
        <v/>
      </c>
      <c r="BD13" s="186"/>
      <c r="BE13" s="186"/>
      <c r="BF13" s="186"/>
      <c r="BG13" s="114" t="str">
        <f>'LOUD MOUTH'!G48</f>
        <v/>
      </c>
      <c r="BH13" s="43"/>
      <c r="BI13" s="114"/>
      <c r="BJ13" s="43"/>
    </row>
    <row r="14" ht="15.75" customHeight="1">
      <c r="B14" s="188" t="s">
        <v>31</v>
      </c>
      <c r="C14" s="262">
        <f>C12+C13</f>
        <v>18077722.22</v>
      </c>
      <c r="D14" s="263">
        <f t="shared" si="23"/>
        <v>0.3240836626</v>
      </c>
      <c r="E14" s="262" t="str">
        <f>E12+E13</f>
        <v>#REF!</v>
      </c>
      <c r="F14" s="263" t="str">
        <f t="shared" si="25"/>
        <v>#REF!</v>
      </c>
      <c r="G14" s="265">
        <f>G12+G13</f>
        <v>0</v>
      </c>
      <c r="H14" s="186"/>
      <c r="I14" s="265">
        <f>I12+I13</f>
        <v>0</v>
      </c>
      <c r="J14" s="186"/>
      <c r="K14" s="262">
        <f>sum(K12:K13)</f>
        <v>18077722.22</v>
      </c>
      <c r="L14" s="263">
        <f t="shared" si="27"/>
        <v>0.3240836626</v>
      </c>
      <c r="M14" s="268"/>
      <c r="N14" s="270" t="str">
        <f t="shared" si="29"/>
        <v>#REF!</v>
      </c>
      <c r="O14" s="189">
        <f>O12+O13</f>
        <v>6095232.473</v>
      </c>
      <c r="P14" s="264">
        <f t="shared" si="30"/>
        <v>0.4205894579</v>
      </c>
      <c r="Q14" s="189">
        <f>Q12+Q13</f>
        <v>4497823.499</v>
      </c>
      <c r="R14" s="264">
        <f t="shared" si="31"/>
        <v>0.3351290162</v>
      </c>
      <c r="S14" s="189">
        <f>S12+S13</f>
        <v>281743.1962</v>
      </c>
      <c r="T14" s="264">
        <f t="shared" si="32"/>
        <v>0.4210556589</v>
      </c>
      <c r="U14" s="189" t="str">
        <f>U12+U13</f>
        <v>#REF!</v>
      </c>
      <c r="V14" s="264" t="str">
        <f t="shared" si="34"/>
        <v>#REF!</v>
      </c>
      <c r="W14" s="189">
        <f>W12+W13</f>
        <v>3979806.155</v>
      </c>
      <c r="X14" s="264">
        <f t="shared" si="35"/>
        <v>0.2837624942</v>
      </c>
      <c r="Y14" s="189">
        <f>Y12+Y13</f>
        <v>3856401.112</v>
      </c>
      <c r="Z14" s="264">
        <f t="shared" si="36"/>
        <v>0.2841618528</v>
      </c>
      <c r="AA14" s="189">
        <f>AA12+AA13</f>
        <v>2818074.576</v>
      </c>
      <c r="AB14" s="264">
        <f t="shared" si="37"/>
        <v>0.2962603717</v>
      </c>
      <c r="AC14" s="189">
        <f>AC12+AC13</f>
        <v>2256672.903</v>
      </c>
      <c r="AD14" s="264">
        <f t="shared" si="38"/>
        <v>0.250729713</v>
      </c>
      <c r="AE14" s="189">
        <f>SUM(AE12:AE13)</f>
        <v>4143848.11</v>
      </c>
      <c r="AF14" s="264">
        <f t="shared" si="39"/>
        <v>0.2567295062</v>
      </c>
      <c r="AG14" s="189">
        <f>SUM(AG12:AG13)</f>
        <v>4718441.574</v>
      </c>
      <c r="AH14" s="264">
        <f t="shared" si="40"/>
        <v>0.2975887835</v>
      </c>
      <c r="AI14" s="186">
        <f>SUM(AI12:AI13)</f>
        <v>0</v>
      </c>
      <c r="AJ14" s="186"/>
      <c r="AK14" s="186" t="str">
        <f>SUM(AK12:AK13)</f>
        <v>#REF!</v>
      </c>
      <c r="AL14" s="186"/>
      <c r="AM14" s="189">
        <f>SUM(AM12:AM13)</f>
        <v>302666.7082</v>
      </c>
      <c r="AN14" s="186"/>
      <c r="AO14" s="265">
        <f>SUM(AO12:AO13)</f>
        <v>0</v>
      </c>
      <c r="AP14" s="186"/>
      <c r="AQ14" s="190">
        <f>SUM(AQ12:AQ13)</f>
        <v>0</v>
      </c>
      <c r="AR14" s="186"/>
      <c r="AS14" s="189">
        <f>SUM(AS12:AS13)</f>
        <v>0</v>
      </c>
      <c r="AT14" s="186"/>
      <c r="AU14" s="190">
        <f>SUM(AU12:AU13)</f>
        <v>232058.5092</v>
      </c>
      <c r="AV14" s="188"/>
      <c r="AW14" s="188" t="str">
        <f>SUM(AW12:AW13)</f>
        <v>#REF!</v>
      </c>
      <c r="AX14" s="188"/>
      <c r="AY14" s="190">
        <f>SUM(AY12:AY13)</f>
        <v>224292.4924</v>
      </c>
      <c r="AZ14" s="188"/>
      <c r="BA14" s="188">
        <f>SUM(BA12:BA13)</f>
        <v>0</v>
      </c>
      <c r="BB14" s="188"/>
      <c r="BC14" s="190">
        <f>SUM(BC12:BC13)</f>
        <v>0</v>
      </c>
      <c r="BD14" s="188"/>
      <c r="BE14" s="188">
        <f>SUM(BE12:BE13)</f>
        <v>0</v>
      </c>
      <c r="BF14" s="188"/>
      <c r="BG14" s="146">
        <f>SUM(BG12:BG13)</f>
        <v>0</v>
      </c>
      <c r="BH14" s="188"/>
      <c r="BI14" s="188"/>
      <c r="BJ14" s="188"/>
    </row>
    <row r="15" ht="15.75" customHeight="1">
      <c r="B15" s="188" t="s">
        <v>32</v>
      </c>
      <c r="C15" s="268"/>
      <c r="D15" s="268"/>
      <c r="E15" s="268"/>
      <c r="F15" s="268"/>
      <c r="G15" s="186"/>
      <c r="H15" s="186"/>
      <c r="I15" s="186"/>
      <c r="J15" s="186"/>
      <c r="K15" s="268"/>
      <c r="L15" s="268"/>
      <c r="M15" s="268"/>
      <c r="N15" s="268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  <c r="AA15" s="186"/>
      <c r="AB15" s="186"/>
      <c r="AC15" s="186"/>
      <c r="AD15" s="186"/>
      <c r="AE15" s="186"/>
      <c r="AF15" s="186"/>
      <c r="AG15" s="186"/>
      <c r="AH15" s="186"/>
      <c r="AI15" s="186"/>
      <c r="AJ15" s="186"/>
      <c r="AK15" s="186"/>
      <c r="AL15" s="186"/>
      <c r="AM15" s="186"/>
      <c r="AN15" s="186"/>
      <c r="AO15" s="186"/>
      <c r="AP15" s="186"/>
      <c r="AQ15" s="186"/>
      <c r="AR15" s="186"/>
      <c r="AS15" s="186"/>
      <c r="AT15" s="186"/>
      <c r="AU15" s="189">
        <f>'MSBC Andheri'!G60</f>
        <v>34296.92</v>
      </c>
      <c r="AV15" s="186"/>
      <c r="AW15" s="186" t="str">
        <f>#REF!</f>
        <v>#REF!</v>
      </c>
      <c r="AX15" s="186"/>
      <c r="AY15" s="189">
        <f>'MSBC Dahisar'!G58</f>
        <v>64836.58</v>
      </c>
      <c r="AZ15" s="186"/>
      <c r="BA15" s="186"/>
      <c r="BB15" s="186"/>
      <c r="BC15" s="189">
        <f>'MSBC Dahisar'!K58</f>
        <v>0</v>
      </c>
      <c r="BD15" s="186"/>
      <c r="BE15" s="186"/>
      <c r="BF15" s="186"/>
      <c r="BG15" s="96"/>
      <c r="BH15" s="55"/>
      <c r="BI15" s="62"/>
      <c r="BJ15" s="55"/>
    </row>
    <row r="16" ht="15.75" customHeight="1">
      <c r="B16" s="188" t="s">
        <v>33</v>
      </c>
      <c r="C16" s="262">
        <f>C10-C14</f>
        <v>37703313.06</v>
      </c>
      <c r="D16" s="263">
        <f>C16/C$10</f>
        <v>0.6759163374</v>
      </c>
      <c r="E16" s="262" t="str">
        <f>E10-E14</f>
        <v>#REF!</v>
      </c>
      <c r="F16" s="263" t="str">
        <f>E16/E$10</f>
        <v>#REF!</v>
      </c>
      <c r="G16" s="189">
        <f>G10-G14</f>
        <v>0</v>
      </c>
      <c r="H16" s="186"/>
      <c r="I16" s="189">
        <f>I10-I14</f>
        <v>0</v>
      </c>
      <c r="J16" s="186"/>
      <c r="K16" s="262">
        <f>K10-K14</f>
        <v>37703313.06</v>
      </c>
      <c r="L16" s="263">
        <f>K16/K$10</f>
        <v>0.6759163374</v>
      </c>
      <c r="M16" s="262" t="str">
        <f>Q16+U16+Y16+AC16+AG16+AK16+AO16</f>
        <v>#REF!</v>
      </c>
      <c r="N16" s="270" t="str">
        <f>M16/M$10</f>
        <v>#REF!</v>
      </c>
      <c r="O16" s="189">
        <f>O10-O14</f>
        <v>8396886.527</v>
      </c>
      <c r="P16" s="264">
        <f>O16/O$10</f>
        <v>0.5794105421</v>
      </c>
      <c r="Q16" s="189">
        <f>Q10-Q14</f>
        <v>8923346.501</v>
      </c>
      <c r="R16" s="264">
        <f>Q16/Q$10</f>
        <v>0.6648709838</v>
      </c>
      <c r="S16" s="189">
        <f>S10-S14</f>
        <v>387392.0838</v>
      </c>
      <c r="T16" s="264">
        <f>S16/S$10</f>
        <v>0.5789443411</v>
      </c>
      <c r="U16" s="189" t="str">
        <f>U10-U14</f>
        <v>#REF!</v>
      </c>
      <c r="V16" s="264" t="str">
        <f>U16/U$10</f>
        <v>#REF!</v>
      </c>
      <c r="W16" s="189">
        <f>W10-W14</f>
        <v>10045324.85</v>
      </c>
      <c r="X16" s="264">
        <f>W16/W$10</f>
        <v>0.7162375058</v>
      </c>
      <c r="Y16" s="189">
        <f>Y10-Y14</f>
        <v>9714741.788</v>
      </c>
      <c r="Z16" s="264">
        <f>Y16/Y$10</f>
        <v>0.7158381472</v>
      </c>
      <c r="AA16" s="189">
        <f>AA10-AA14</f>
        <v>6694080.424</v>
      </c>
      <c r="AB16" s="264">
        <f>AA16/AA$10</f>
        <v>0.7037396283</v>
      </c>
      <c r="AC16" s="189">
        <f>AC10-AC14</f>
        <v>6743747.812</v>
      </c>
      <c r="AD16" s="264">
        <f>AC16/AC$10</f>
        <v>0.749270287</v>
      </c>
      <c r="AE16" s="189">
        <f>AE10-AE14</f>
        <v>11997062.89</v>
      </c>
      <c r="AF16" s="264">
        <f>AE16/AE$10</f>
        <v>0.7432704938</v>
      </c>
      <c r="AG16" s="189">
        <f>AG10-AG14</f>
        <v>11137134.43</v>
      </c>
      <c r="AH16" s="264">
        <f>AG16/AG$10</f>
        <v>0.7024112165</v>
      </c>
      <c r="AI16" s="189">
        <f>AI10-AI14</f>
        <v>0</v>
      </c>
      <c r="AJ16" s="186"/>
      <c r="AK16" s="189" t="str">
        <f>AK10-AK14</f>
        <v>#REF!</v>
      </c>
      <c r="AL16" s="186"/>
      <c r="AM16" s="189">
        <f>AM10-AM14</f>
        <v>125497.2918</v>
      </c>
      <c r="AN16" s="186"/>
      <c r="AO16" s="189">
        <f>AO10-AO14</f>
        <v>80000</v>
      </c>
      <c r="AP16" s="186"/>
      <c r="AQ16" s="190">
        <f>AQ10-AQ14-AQ15</f>
        <v>0</v>
      </c>
      <c r="AR16" s="186"/>
      <c r="AS16" s="189">
        <f>AS10-AS14</f>
        <v>0</v>
      </c>
      <c r="AT16" s="186"/>
      <c r="AU16" s="262">
        <f>AU10-AU14-AU15</f>
        <v>100326.5708</v>
      </c>
      <c r="AV16" s="268"/>
      <c r="AW16" s="262" t="str">
        <f>AW10-AW14-AW15</f>
        <v>#REF!</v>
      </c>
      <c r="AX16" s="268"/>
      <c r="AY16" s="262">
        <f>AY10-AY14-AY15</f>
        <v>-142391.0724</v>
      </c>
      <c r="AZ16" s="268"/>
      <c r="BA16" s="262"/>
      <c r="BB16" s="268"/>
      <c r="BC16" s="262">
        <f>BC10-BC14-BC15</f>
        <v>30188</v>
      </c>
      <c r="BD16" s="268"/>
      <c r="BE16" s="262"/>
      <c r="BF16" s="268"/>
      <c r="BG16" s="146">
        <f>BG10-BG14</f>
        <v>0</v>
      </c>
      <c r="BH16" s="188"/>
      <c r="BI16" s="188"/>
      <c r="BJ16" s="188"/>
    </row>
    <row r="17" ht="15.75" customHeight="1">
      <c r="B17" s="188"/>
      <c r="C17" s="268"/>
      <c r="D17" s="268"/>
      <c r="E17" s="268"/>
      <c r="F17" s="268"/>
      <c r="G17" s="186"/>
      <c r="H17" s="186"/>
      <c r="I17" s="186"/>
      <c r="J17" s="186"/>
      <c r="K17" s="268"/>
      <c r="L17" s="268"/>
      <c r="M17" s="268"/>
      <c r="N17" s="268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  <c r="AA17" s="186"/>
      <c r="AB17" s="186"/>
      <c r="AC17" s="186"/>
      <c r="AD17" s="186"/>
      <c r="AE17" s="186"/>
      <c r="AF17" s="186"/>
      <c r="AG17" s="186"/>
      <c r="AH17" s="186"/>
      <c r="AI17" s="186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6"/>
      <c r="AU17" s="186"/>
      <c r="AV17" s="186"/>
      <c r="AW17" s="186"/>
      <c r="AX17" s="186"/>
      <c r="AY17" s="186"/>
      <c r="AZ17" s="186"/>
      <c r="BA17" s="186"/>
      <c r="BB17" s="186"/>
      <c r="BC17" s="186"/>
      <c r="BD17" s="186"/>
      <c r="BE17" s="186"/>
      <c r="BF17" s="186"/>
      <c r="BG17" s="83"/>
      <c r="BH17" s="186"/>
      <c r="BI17" s="186"/>
      <c r="BJ17" s="186"/>
    </row>
    <row r="18" ht="15.75" customHeight="1">
      <c r="B18" s="188" t="s">
        <v>34</v>
      </c>
      <c r="C18" s="262">
        <f t="shared" ref="C18:C27" si="43">G18+K18</f>
        <v>1479177.76</v>
      </c>
      <c r="D18" s="263">
        <f t="shared" ref="D18:D28" si="44">C18/C$10</f>
        <v>0.02651757452</v>
      </c>
      <c r="E18" s="262" t="str">
        <f t="shared" ref="E18:E28" si="45">I18+M18</f>
        <v>#REF!</v>
      </c>
      <c r="F18" s="263" t="str">
        <f t="shared" ref="F18:F28" si="46">E18/E$10</f>
        <v>#REF!</v>
      </c>
      <c r="G18" s="265">
        <f>HO!V44</f>
        <v>0</v>
      </c>
      <c r="H18" s="186"/>
      <c r="I18" s="189">
        <f>HO!AA44</f>
        <v>0</v>
      </c>
      <c r="J18" s="186"/>
      <c r="K18" s="262">
        <f t="shared" ref="K18:K27" si="47">O18+S18+W18+AA18+AE18+AI18+AM18+AQ18+AU18+AY18</f>
        <v>1479177.76</v>
      </c>
      <c r="L18" s="263">
        <f t="shared" ref="L18:L28" si="48">K18/K$10</f>
        <v>0.02651757452</v>
      </c>
      <c r="M18" s="262" t="str">
        <f t="shared" ref="M18:M27" si="49">Q18+U18+Y18+AC18+AG18+AK18+AO18</f>
        <v>#REF!</v>
      </c>
      <c r="N18" s="270" t="str">
        <f t="shared" ref="N18:N28" si="50">M18/M$10</f>
        <v>#REF!</v>
      </c>
      <c r="O18" s="189">
        <f>'The Table'!V53</f>
        <v>507697</v>
      </c>
      <c r="P18" s="264">
        <f t="shared" ref="P18:P28" si="51">O18/O$10</f>
        <v>0.03503262704</v>
      </c>
      <c r="Q18" s="189">
        <f>'The Table'!X53</f>
        <v>314738.72</v>
      </c>
      <c r="R18" s="264">
        <f t="shared" ref="R18:R28" si="52">Q18/Q$10</f>
        <v>0.02345091523</v>
      </c>
      <c r="S18" s="189">
        <f>Iktara!K50</f>
        <v>15038</v>
      </c>
      <c r="T18" s="264">
        <f t="shared" ref="T18:T28" si="53">S18/S$10</f>
        <v>0.02247378139</v>
      </c>
      <c r="U18" s="189" t="str">
        <f t="shared" ref="U18:U27" si="54">#REF!</f>
        <v>#REF!</v>
      </c>
      <c r="V18" s="264" t="str">
        <f t="shared" ref="V18:V28" si="55">U18/U$10</f>
        <v>#REF!</v>
      </c>
      <c r="W18" s="189">
        <f>'Mg St Colaba'!V77</f>
        <v>342569</v>
      </c>
      <c r="X18" s="264">
        <f t="shared" ref="X18:X28" si="56">W18/W$10</f>
        <v>0.024425369</v>
      </c>
      <c r="Y18" s="189">
        <f>'Mg St Colaba'!X77</f>
        <v>313493.401</v>
      </c>
      <c r="Z18" s="264">
        <f t="shared" ref="Z18:Z28" si="57">Y18/Y$10</f>
        <v>0.0231</v>
      </c>
      <c r="AA18" s="189">
        <f>'Mg St LP'!V78</f>
        <v>186443</v>
      </c>
      <c r="AB18" s="264">
        <f t="shared" ref="AB18:AB28" si="58">AA18/AA$10</f>
        <v>0.01960050062</v>
      </c>
      <c r="AC18" s="189">
        <f>'Mg St LP'!X78</f>
        <v>167407.9418</v>
      </c>
      <c r="AD18" s="264">
        <f t="shared" ref="AD18:AD28" si="59">AC18/AC$10</f>
        <v>0.01860001294</v>
      </c>
      <c r="AE18" s="189">
        <f>'Mg St Bandra'!V75</f>
        <v>360860</v>
      </c>
      <c r="AF18" s="264">
        <f t="shared" ref="AF18:AF28" si="60">AE18/AE$10</f>
        <v>0.02235685458</v>
      </c>
      <c r="AG18" s="189">
        <f>'Mg St Bandra'!X75</f>
        <v>437613.6536</v>
      </c>
      <c r="AH18" s="264">
        <f t="shared" ref="AH18:AH28" si="61">AG18/AG$10</f>
        <v>0.02759998461</v>
      </c>
      <c r="AI18" s="265">
        <f>'MSK Events'!G72</f>
        <v>0</v>
      </c>
      <c r="AJ18" s="186"/>
      <c r="AK18" s="189" t="str">
        <f t="shared" ref="AK18:AK27" si="62">#REF!</f>
        <v>#REF!</v>
      </c>
      <c r="AL18" s="186"/>
      <c r="AM18" s="189">
        <f>MSBC!V73</f>
        <v>48370.76</v>
      </c>
      <c r="AN18" s="186"/>
      <c r="AO18" s="189">
        <f>MSBC!X73</f>
        <v>0</v>
      </c>
      <c r="AP18" s="186"/>
      <c r="AQ18" s="189">
        <f>Kaspers!P64</f>
        <v>18200</v>
      </c>
      <c r="AR18" s="186"/>
      <c r="AS18" s="189">
        <f>Kaspers!R64</f>
        <v>0</v>
      </c>
      <c r="AT18" s="186"/>
      <c r="AU18" s="186"/>
      <c r="AV18" s="186"/>
      <c r="AW18" s="186"/>
      <c r="AX18" s="186"/>
      <c r="AY18" s="189">
        <f>'MSBC Dahisar'!G71</f>
        <v>0</v>
      </c>
      <c r="AZ18" s="186"/>
      <c r="BA18" s="186"/>
      <c r="BB18" s="186"/>
      <c r="BC18" s="189" t="str">
        <f>'MSBC Juhu  Goregoan'!G55</f>
        <v/>
      </c>
      <c r="BD18" s="186"/>
      <c r="BE18" s="186"/>
      <c r="BF18" s="186"/>
      <c r="BG18" s="114">
        <v>0.0</v>
      </c>
      <c r="BH18" s="186"/>
      <c r="BI18" s="186"/>
      <c r="BJ18" s="186"/>
    </row>
    <row r="19" ht="15.75" customHeight="1">
      <c r="B19" s="188" t="s">
        <v>35</v>
      </c>
      <c r="C19" s="280">
        <f t="shared" si="43"/>
        <v>880882</v>
      </c>
      <c r="D19" s="263">
        <f t="shared" si="44"/>
        <v>0.01579178292</v>
      </c>
      <c r="E19" s="280" t="str">
        <f t="shared" si="45"/>
        <v>#REF!</v>
      </c>
      <c r="F19" s="263" t="str">
        <f t="shared" si="46"/>
        <v>#REF!</v>
      </c>
      <c r="G19" s="281">
        <f>HO!V53</f>
        <v>42390</v>
      </c>
      <c r="H19" s="186"/>
      <c r="I19" s="281">
        <f>HO!X53</f>
        <v>12874</v>
      </c>
      <c r="J19" s="186"/>
      <c r="K19" s="262">
        <f t="shared" si="47"/>
        <v>838492</v>
      </c>
      <c r="L19" s="263">
        <f t="shared" si="48"/>
        <v>0.01503184722</v>
      </c>
      <c r="M19" s="262" t="str">
        <f t="shared" si="49"/>
        <v>#REF!</v>
      </c>
      <c r="N19" s="270" t="str">
        <f t="shared" si="50"/>
        <v>#REF!</v>
      </c>
      <c r="O19" s="189">
        <f>'The Table'!V62</f>
        <v>300020.6667</v>
      </c>
      <c r="P19" s="264">
        <f t="shared" si="51"/>
        <v>0.02070233253</v>
      </c>
      <c r="Q19" s="189">
        <f>'The Table'!X62</f>
        <v>241775</v>
      </c>
      <c r="R19" s="264">
        <f t="shared" si="52"/>
        <v>0.01801445031</v>
      </c>
      <c r="S19" s="189">
        <f>Iktara!K62</f>
        <v>86368</v>
      </c>
      <c r="T19" s="264">
        <f t="shared" si="53"/>
        <v>0.1290740491</v>
      </c>
      <c r="U19" s="189" t="str">
        <f t="shared" si="54"/>
        <v>#REF!</v>
      </c>
      <c r="V19" s="264" t="str">
        <f t="shared" si="55"/>
        <v>#REF!</v>
      </c>
      <c r="W19" s="189">
        <f>'Mg St Colaba'!V89</f>
        <v>113134.6667</v>
      </c>
      <c r="X19" s="264">
        <f t="shared" si="56"/>
        <v>0.008066567554</v>
      </c>
      <c r="Y19" s="189">
        <f>'Mg St Colaba'!X89</f>
        <v>156768</v>
      </c>
      <c r="Z19" s="264">
        <f t="shared" si="57"/>
        <v>0.01155156947</v>
      </c>
      <c r="AA19" s="189">
        <f>'Mg St LP'!V89</f>
        <v>104816.6667</v>
      </c>
      <c r="AB19" s="264">
        <f t="shared" si="58"/>
        <v>0.01101923451</v>
      </c>
      <c r="AC19" s="189">
        <f>'Mg St LP'!X89</f>
        <v>143858</v>
      </c>
      <c r="AD19" s="264">
        <f t="shared" si="59"/>
        <v>0.01598347506</v>
      </c>
      <c r="AE19" s="189">
        <f>'Mg St Bandra'!V87</f>
        <v>100798.6667</v>
      </c>
      <c r="AF19" s="264">
        <f t="shared" si="60"/>
        <v>0.006244918064</v>
      </c>
      <c r="AG19" s="189">
        <f>'Mg St Bandra'!X87</f>
        <v>140778</v>
      </c>
      <c r="AH19" s="264">
        <f t="shared" si="61"/>
        <v>0.00887876921</v>
      </c>
      <c r="AI19" s="186">
        <f>'MSK Events'!G84</f>
        <v>0</v>
      </c>
      <c r="AJ19" s="186"/>
      <c r="AK19" s="186" t="str">
        <f t="shared" si="62"/>
        <v>#REF!</v>
      </c>
      <c r="AL19" s="186"/>
      <c r="AM19" s="189">
        <f>MSBC!V75</f>
        <v>51054</v>
      </c>
      <c r="AN19" s="186"/>
      <c r="AO19" s="265">
        <f>MSBC!X75</f>
        <v>41533</v>
      </c>
      <c r="AP19" s="186"/>
      <c r="AQ19" s="189">
        <f>Kaspers!P76</f>
        <v>3210</v>
      </c>
      <c r="AR19" s="186"/>
      <c r="AS19" s="189">
        <f>Kaspers!R76</f>
        <v>26833.33333</v>
      </c>
      <c r="AT19" s="186"/>
      <c r="AU19" s="189">
        <f>'MSBC Andheri'!G85</f>
        <v>46995</v>
      </c>
      <c r="AV19" s="186"/>
      <c r="AW19" s="186"/>
      <c r="AX19" s="186"/>
      <c r="AY19" s="189">
        <f>'MSBC Dahisar'!G73</f>
        <v>32094.33333</v>
      </c>
      <c r="AZ19" s="186"/>
      <c r="BA19" s="186"/>
      <c r="BB19" s="186"/>
      <c r="BC19" s="189">
        <f>'MSBC Juhu  Goregoan'!G74</f>
        <v>30575.33333</v>
      </c>
      <c r="BD19" s="186"/>
      <c r="BE19" s="186"/>
      <c r="BF19" s="186"/>
      <c r="BG19" s="114">
        <f>'LOUD MOUTH'!G85</f>
        <v>451946</v>
      </c>
      <c r="BH19" s="43"/>
      <c r="BI19" s="114"/>
      <c r="BJ19" s="43"/>
    </row>
    <row r="20" ht="15.75" customHeight="1">
      <c r="B20" s="188" t="s">
        <v>36</v>
      </c>
      <c r="C20" s="262">
        <f t="shared" si="43"/>
        <v>1773674.26</v>
      </c>
      <c r="D20" s="263">
        <f t="shared" si="44"/>
        <v>0.03179708392</v>
      </c>
      <c r="E20" s="262" t="str">
        <f t="shared" si="45"/>
        <v>#REF!</v>
      </c>
      <c r="F20" s="263" t="str">
        <f t="shared" si="46"/>
        <v>#REF!</v>
      </c>
      <c r="G20" s="265">
        <f>HO!V63</f>
        <v>0</v>
      </c>
      <c r="H20" s="186"/>
      <c r="I20" s="265">
        <f>HO!X63</f>
        <v>0</v>
      </c>
      <c r="J20" s="186"/>
      <c r="K20" s="262">
        <f t="shared" si="47"/>
        <v>1773674.26</v>
      </c>
      <c r="L20" s="263">
        <f t="shared" si="48"/>
        <v>0.03179708392</v>
      </c>
      <c r="M20" s="262" t="str">
        <f t="shared" si="49"/>
        <v>#REF!</v>
      </c>
      <c r="N20" s="270" t="str">
        <f t="shared" si="50"/>
        <v>#REF!</v>
      </c>
      <c r="O20" s="189">
        <f>'The Table'!V70</f>
        <v>69655.83</v>
      </c>
      <c r="P20" s="264">
        <f t="shared" si="51"/>
        <v>0.00480646274</v>
      </c>
      <c r="Q20" s="189">
        <f>'The Table'!X70</f>
        <v>129144.9448</v>
      </c>
      <c r="R20" s="264">
        <f t="shared" si="52"/>
        <v>0.009622480365</v>
      </c>
      <c r="S20" s="189">
        <f>Iktara!K70</f>
        <v>69206.58</v>
      </c>
      <c r="T20" s="264">
        <f t="shared" si="53"/>
        <v>0.1034268885</v>
      </c>
      <c r="U20" s="189" t="str">
        <f t="shared" si="54"/>
        <v>#REF!</v>
      </c>
      <c r="V20" s="264" t="str">
        <f t="shared" si="55"/>
        <v>#REF!</v>
      </c>
      <c r="W20" s="189">
        <f>'Mg St Colaba'!V100</f>
        <v>440158.64</v>
      </c>
      <c r="X20" s="264">
        <f t="shared" si="56"/>
        <v>0.03138356711</v>
      </c>
      <c r="Y20" s="189">
        <f>'Mg St Colaba'!X100</f>
        <v>443155</v>
      </c>
      <c r="Z20" s="264">
        <f t="shared" si="57"/>
        <v>0.03265421367</v>
      </c>
      <c r="AA20" s="189">
        <f>'Mg St LP'!V101</f>
        <v>566443.95</v>
      </c>
      <c r="AB20" s="264">
        <f t="shared" si="58"/>
        <v>0.05954948695</v>
      </c>
      <c r="AC20" s="189">
        <f>'Mg St LP'!X101</f>
        <v>647904.405</v>
      </c>
      <c r="AD20" s="264">
        <f t="shared" si="59"/>
        <v>0.07198601327</v>
      </c>
      <c r="AE20" s="189">
        <f>'Mg St Bandra'!V98</f>
        <v>455832.57</v>
      </c>
      <c r="AF20" s="264">
        <f t="shared" si="60"/>
        <v>0.02824082048</v>
      </c>
      <c r="AG20" s="189">
        <f>'Mg St Bandra'!X98</f>
        <v>469398.875</v>
      </c>
      <c r="AH20" s="264">
        <f t="shared" si="61"/>
        <v>0.02960465612</v>
      </c>
      <c r="AI20" s="186">
        <f>'MSK Events'!G91</f>
        <v>0</v>
      </c>
      <c r="AJ20" s="186"/>
      <c r="AK20" s="186" t="str">
        <f t="shared" si="62"/>
        <v>#REF!</v>
      </c>
      <c r="AL20" s="186"/>
      <c r="AM20" s="189">
        <f>MSBC!V83</f>
        <v>26084.31</v>
      </c>
      <c r="AN20" s="186"/>
      <c r="AO20" s="265">
        <f>MSBC!X83</f>
        <v>0</v>
      </c>
      <c r="AP20" s="186"/>
      <c r="AQ20" s="189">
        <f>Kaspers!P83</f>
        <v>0</v>
      </c>
      <c r="AR20" s="186"/>
      <c r="AS20" s="284">
        <f>Kaspers!R83</f>
        <v>0</v>
      </c>
      <c r="AT20" s="186"/>
      <c r="AU20" s="189">
        <f>'MSBC Andheri'!G93</f>
        <v>101510.45</v>
      </c>
      <c r="AV20" s="186"/>
      <c r="AW20" s="186"/>
      <c r="AX20" s="186"/>
      <c r="AY20" s="189">
        <f>'MSBC Dahisar'!G80</f>
        <v>44781.93</v>
      </c>
      <c r="AZ20" s="186"/>
      <c r="BA20" s="186"/>
      <c r="BB20" s="186"/>
      <c r="BC20" s="189">
        <f>'MSBC Juhu  Goregoan'!G81</f>
        <v>34358.36</v>
      </c>
      <c r="BD20" s="186"/>
      <c r="BE20" s="186"/>
      <c r="BF20" s="186"/>
      <c r="BG20" s="114">
        <v>0.0</v>
      </c>
      <c r="BH20" s="43"/>
      <c r="BI20" s="114"/>
      <c r="BJ20" s="43"/>
    </row>
    <row r="21" ht="15.75" customHeight="1">
      <c r="B21" s="188" t="s">
        <v>37</v>
      </c>
      <c r="C21" s="262">
        <f t="shared" si="43"/>
        <v>5895017.667</v>
      </c>
      <c r="D21" s="263">
        <f t="shared" si="44"/>
        <v>0.1056813958</v>
      </c>
      <c r="E21" s="262" t="str">
        <f t="shared" si="45"/>
        <v>#REF!</v>
      </c>
      <c r="F21" s="263" t="str">
        <f t="shared" si="46"/>
        <v>#REF!</v>
      </c>
      <c r="G21" s="189">
        <f>HO!V70</f>
        <v>355921</v>
      </c>
      <c r="H21" s="186"/>
      <c r="I21" s="189">
        <f>HO!X70</f>
        <v>367923</v>
      </c>
      <c r="J21" s="186"/>
      <c r="K21" s="262">
        <f t="shared" si="47"/>
        <v>5539096.667</v>
      </c>
      <c r="L21" s="263">
        <f t="shared" si="48"/>
        <v>0.09930071464</v>
      </c>
      <c r="M21" s="262" t="str">
        <f t="shared" si="49"/>
        <v>#REF!</v>
      </c>
      <c r="N21" s="270" t="str">
        <f t="shared" si="50"/>
        <v>#REF!</v>
      </c>
      <c r="O21" s="189">
        <f>'The Table'!V76</f>
        <v>1679246</v>
      </c>
      <c r="P21" s="264">
        <f t="shared" si="51"/>
        <v>0.115873048</v>
      </c>
      <c r="Q21" s="189">
        <f>'The Table'!X76</f>
        <v>1754717</v>
      </c>
      <c r="R21" s="264">
        <f t="shared" si="52"/>
        <v>0.1307424763</v>
      </c>
      <c r="S21" s="189">
        <f>Iktara!K76</f>
        <v>87582</v>
      </c>
      <c r="T21" s="264">
        <f t="shared" si="53"/>
        <v>0.130888331</v>
      </c>
      <c r="U21" s="189" t="str">
        <f t="shared" si="54"/>
        <v>#REF!</v>
      </c>
      <c r="V21" s="264" t="str">
        <f t="shared" si="55"/>
        <v>#REF!</v>
      </c>
      <c r="W21" s="189">
        <f>'Mg St Colaba'!V107</f>
        <v>1460849</v>
      </c>
      <c r="X21" s="264">
        <f t="shared" si="56"/>
        <v>0.1041593836</v>
      </c>
      <c r="Y21" s="189">
        <f>'Mg St Colaba'!X107</f>
        <v>1339237</v>
      </c>
      <c r="Z21" s="264">
        <f t="shared" si="57"/>
        <v>0.09868269827</v>
      </c>
      <c r="AA21" s="189">
        <f>'Mg St LP'!V108</f>
        <v>412377</v>
      </c>
      <c r="AB21" s="264">
        <f t="shared" si="58"/>
        <v>0.04335263671</v>
      </c>
      <c r="AC21" s="189">
        <f>'Mg St LP'!X108</f>
        <v>413372</v>
      </c>
      <c r="AD21" s="264">
        <f t="shared" si="59"/>
        <v>0.04592807526</v>
      </c>
      <c r="AE21" s="189">
        <f>'Mg St Bandra'!V105</f>
        <v>1475958</v>
      </c>
      <c r="AF21" s="264">
        <f t="shared" si="60"/>
        <v>0.09144205058</v>
      </c>
      <c r="AG21" s="189">
        <f>'Mg St Bandra'!X105</f>
        <v>1610520</v>
      </c>
      <c r="AH21" s="264">
        <f t="shared" si="61"/>
        <v>0.101574361</v>
      </c>
      <c r="AI21" s="186">
        <f>'MSK Events'!G98</f>
        <v>131421</v>
      </c>
      <c r="AJ21" s="186"/>
      <c r="AK21" s="186" t="str">
        <f t="shared" si="62"/>
        <v>#REF!</v>
      </c>
      <c r="AL21" s="186"/>
      <c r="AM21" s="189">
        <f>MSBC!V90</f>
        <v>248457</v>
      </c>
      <c r="AN21" s="186"/>
      <c r="AO21" s="265">
        <f>MSBC!X90</f>
        <v>0</v>
      </c>
      <c r="AP21" s="186"/>
      <c r="AQ21" s="189">
        <f>Kaspers!P90</f>
        <v>43206.66667</v>
      </c>
      <c r="AR21" s="186"/>
      <c r="AS21" s="189">
        <f>Kaspers!R90</f>
        <v>0</v>
      </c>
      <c r="AT21" s="186"/>
      <c r="AU21" s="189">
        <f>'MSBC Andheri'!G100</f>
        <v>0</v>
      </c>
      <c r="AV21" s="186"/>
      <c r="AW21" s="186"/>
      <c r="AX21" s="186"/>
      <c r="AY21" s="189">
        <f>'MSBC Dahisar'!G89</f>
        <v>0</v>
      </c>
      <c r="AZ21" s="186"/>
      <c r="BA21" s="186"/>
      <c r="BB21" s="186"/>
      <c r="BC21" s="266">
        <v>0.0</v>
      </c>
      <c r="BD21" s="186"/>
      <c r="BE21" s="186"/>
      <c r="BF21" s="186"/>
      <c r="BG21" s="114">
        <f>'LOUD MOUTH'!G101</f>
        <v>0</v>
      </c>
      <c r="BH21" s="43"/>
      <c r="BI21" s="43"/>
      <c r="BJ21" s="43"/>
    </row>
    <row r="22" ht="15.75" customHeight="1">
      <c r="B22" s="188" t="s">
        <v>38</v>
      </c>
      <c r="C22" s="262">
        <f t="shared" si="43"/>
        <v>19934965.76</v>
      </c>
      <c r="D22" s="263">
        <f t="shared" si="44"/>
        <v>0.3573789131</v>
      </c>
      <c r="E22" s="262" t="str">
        <f t="shared" si="45"/>
        <v>#REF!</v>
      </c>
      <c r="F22" s="263" t="str">
        <f t="shared" si="46"/>
        <v>#REF!</v>
      </c>
      <c r="G22" s="189">
        <f>HO!V77</f>
        <v>4013463.461</v>
      </c>
      <c r="H22" s="186"/>
      <c r="I22" s="189">
        <f>HO!X77</f>
        <v>4043806</v>
      </c>
      <c r="J22" s="186"/>
      <c r="K22" s="262">
        <f t="shared" si="47"/>
        <v>15921502.3</v>
      </c>
      <c r="L22" s="263">
        <f t="shared" si="48"/>
        <v>0.2854285909</v>
      </c>
      <c r="M22" s="262" t="str">
        <f t="shared" si="49"/>
        <v>#REF!</v>
      </c>
      <c r="N22" s="270" t="str">
        <f t="shared" si="50"/>
        <v>#REF!</v>
      </c>
      <c r="O22" s="189">
        <f>'The Table'!V82</f>
        <v>5194668.301</v>
      </c>
      <c r="P22" s="264">
        <f t="shared" si="51"/>
        <v>0.3584478088</v>
      </c>
      <c r="Q22" s="189">
        <f>'The Table'!X82</f>
        <v>5195964.577</v>
      </c>
      <c r="R22" s="264">
        <f t="shared" si="52"/>
        <v>0.3871469162</v>
      </c>
      <c r="S22" s="189">
        <f>Iktara!K82</f>
        <v>261651.6362</v>
      </c>
      <c r="T22" s="264">
        <f t="shared" si="53"/>
        <v>0.3910295033</v>
      </c>
      <c r="U22" s="189" t="str">
        <f t="shared" si="54"/>
        <v>#REF!</v>
      </c>
      <c r="V22" s="264" t="str">
        <f t="shared" si="55"/>
        <v>#REF!</v>
      </c>
      <c r="W22" s="189">
        <f>'Mg St Colaba'!V113</f>
        <v>3138083.897</v>
      </c>
      <c r="X22" s="264">
        <f t="shared" si="56"/>
        <v>0.2237472075</v>
      </c>
      <c r="Y22" s="189">
        <f>'Mg St Colaba'!X113</f>
        <v>3319027.494</v>
      </c>
      <c r="Z22" s="264">
        <f t="shared" si="57"/>
        <v>0.2445650686</v>
      </c>
      <c r="AA22" s="189">
        <f>'Mg St LP'!V115</f>
        <v>1532138.4</v>
      </c>
      <c r="AB22" s="264">
        <f t="shared" si="58"/>
        <v>0.1610716394</v>
      </c>
      <c r="AC22" s="189">
        <f>'Mg St LP'!X115</f>
        <v>1766732.447</v>
      </c>
      <c r="AD22" s="264">
        <f t="shared" si="59"/>
        <v>0.1962944292</v>
      </c>
      <c r="AE22" s="189">
        <f>'Mg St Bandra'!V114</f>
        <v>3761246.67</v>
      </c>
      <c r="AF22" s="264">
        <f t="shared" si="60"/>
        <v>0.2330256743</v>
      </c>
      <c r="AG22" s="189">
        <f>'Mg St Bandra'!X114</f>
        <v>3806083.75</v>
      </c>
      <c r="AH22" s="264">
        <f t="shared" si="61"/>
        <v>0.2400470188</v>
      </c>
      <c r="AI22" s="186">
        <f>'MSK Events'!G104</f>
        <v>145976</v>
      </c>
      <c r="AJ22" s="186"/>
      <c r="AK22" s="186" t="str">
        <f t="shared" si="62"/>
        <v>#REF!</v>
      </c>
      <c r="AL22" s="186"/>
      <c r="AM22" s="189">
        <f>MSBC!V96</f>
        <v>1229756.397</v>
      </c>
      <c r="AN22" s="186"/>
      <c r="AO22" s="265">
        <f>MSBC!X96</f>
        <v>0</v>
      </c>
      <c r="AP22" s="186"/>
      <c r="AQ22" s="189">
        <f>Kaspers!P97</f>
        <v>657981</v>
      </c>
      <c r="AR22" s="186"/>
      <c r="AS22" s="189">
        <f>Kaspers!R97</f>
        <v>0</v>
      </c>
      <c r="AT22" s="186"/>
      <c r="AU22" s="189">
        <f>'MSBC Andheri'!G106</f>
        <v>0</v>
      </c>
      <c r="AV22" s="186"/>
      <c r="AW22" s="186"/>
      <c r="AX22" s="186"/>
      <c r="AY22" s="189">
        <f>'MSBC Dahisar'!G95</f>
        <v>0</v>
      </c>
      <c r="AZ22" s="186"/>
      <c r="BA22" s="186"/>
      <c r="BB22" s="186"/>
      <c r="BC22" s="266">
        <v>0.0</v>
      </c>
      <c r="BD22" s="186"/>
      <c r="BE22" s="186"/>
      <c r="BF22" s="186"/>
      <c r="BG22" s="114">
        <f>'LOUD MOUTH'!G108</f>
        <v>0</v>
      </c>
      <c r="BH22" s="43"/>
      <c r="BI22" s="114"/>
      <c r="BJ22" s="43"/>
    </row>
    <row r="23" ht="15.75" customHeight="1">
      <c r="B23" s="188" t="s">
        <v>39</v>
      </c>
      <c r="C23" s="262">
        <f t="shared" si="43"/>
        <v>1027189.26</v>
      </c>
      <c r="D23" s="263">
        <f t="shared" si="44"/>
        <v>0.01841466826</v>
      </c>
      <c r="E23" s="262" t="str">
        <f t="shared" si="45"/>
        <v>#REF!</v>
      </c>
      <c r="F23" s="263" t="str">
        <f t="shared" si="46"/>
        <v>#REF!</v>
      </c>
      <c r="G23" s="189">
        <f>HO!V88</f>
        <v>536935</v>
      </c>
      <c r="H23" s="186"/>
      <c r="I23" s="189">
        <f>HO!X88</f>
        <v>12500</v>
      </c>
      <c r="J23" s="186"/>
      <c r="K23" s="262">
        <f t="shared" si="47"/>
        <v>490254.26</v>
      </c>
      <c r="L23" s="263">
        <f t="shared" si="48"/>
        <v>0.008788905719</v>
      </c>
      <c r="M23" s="262" t="str">
        <f t="shared" si="49"/>
        <v>#REF!</v>
      </c>
      <c r="N23" s="270" t="str">
        <f t="shared" si="50"/>
        <v>#REF!</v>
      </c>
      <c r="O23" s="189">
        <f>'The Table'!V91</f>
        <v>192265.66</v>
      </c>
      <c r="P23" s="264">
        <f t="shared" si="51"/>
        <v>0.01326691148</v>
      </c>
      <c r="Q23" s="189">
        <f>'The Table'!X91</f>
        <v>184909.84</v>
      </c>
      <c r="R23" s="264">
        <f t="shared" si="52"/>
        <v>0.01377747544</v>
      </c>
      <c r="S23" s="189">
        <f>Iktara!K92</f>
        <v>0</v>
      </c>
      <c r="T23" s="264">
        <f t="shared" si="53"/>
        <v>0</v>
      </c>
      <c r="U23" s="186" t="str">
        <f t="shared" si="54"/>
        <v>#REF!</v>
      </c>
      <c r="V23" s="264" t="str">
        <f t="shared" si="55"/>
        <v>#REF!</v>
      </c>
      <c r="W23" s="189">
        <f>'Mg St Colaba'!V124</f>
        <v>103606.09</v>
      </c>
      <c r="X23" s="264">
        <f t="shared" si="56"/>
        <v>0.007387174494</v>
      </c>
      <c r="Y23" s="189">
        <f>'Mg St Colaba'!X124</f>
        <v>121631.6346</v>
      </c>
      <c r="Z23" s="264">
        <f t="shared" si="57"/>
        <v>0.008962519624</v>
      </c>
      <c r="AA23" s="189">
        <f>'Mg St LP'!V125</f>
        <v>45137.35</v>
      </c>
      <c r="AB23" s="264">
        <f t="shared" si="58"/>
        <v>0.004745228605</v>
      </c>
      <c r="AC23" s="189">
        <f>'Mg St LP'!X125</f>
        <v>40957.188</v>
      </c>
      <c r="AD23" s="264">
        <f t="shared" si="59"/>
        <v>0.004550585944</v>
      </c>
      <c r="AE23" s="189">
        <f>'Mg St Bandra'!V125</f>
        <v>149245.16</v>
      </c>
      <c r="AF23" s="264">
        <f t="shared" si="60"/>
        <v>0.00924639012</v>
      </c>
      <c r="AG23" s="189">
        <f>'Mg St Bandra'!X125</f>
        <v>121894.95</v>
      </c>
      <c r="AH23" s="264">
        <f t="shared" si="61"/>
        <v>0.007687828559</v>
      </c>
      <c r="AI23" s="186">
        <f>'MSK Events'!G114</f>
        <v>0</v>
      </c>
      <c r="AJ23" s="186"/>
      <c r="AK23" s="186" t="str">
        <f t="shared" si="62"/>
        <v>#REF!</v>
      </c>
      <c r="AL23" s="186"/>
      <c r="AM23" s="189">
        <f>MSBC!V106</f>
        <v>0</v>
      </c>
      <c r="AN23" s="186"/>
      <c r="AO23" s="265">
        <f>MSBC!X106</f>
        <v>0</v>
      </c>
      <c r="AP23" s="186"/>
      <c r="AQ23" s="189">
        <f>Kaspers!P109</f>
        <v>0</v>
      </c>
      <c r="AR23" s="186"/>
      <c r="AS23" s="189">
        <f>Kaspers!R109</f>
        <v>0</v>
      </c>
      <c r="AT23" s="186"/>
      <c r="AU23" s="186"/>
      <c r="AV23" s="186"/>
      <c r="AW23" s="186"/>
      <c r="AX23" s="186"/>
      <c r="AY23" s="189">
        <f>'MSBC Dahisar'!G105</f>
        <v>0</v>
      </c>
      <c r="AZ23" s="186"/>
      <c r="BA23" s="186"/>
      <c r="BB23" s="186"/>
      <c r="BC23" s="266">
        <v>0.0</v>
      </c>
      <c r="BD23" s="186"/>
      <c r="BE23" s="186"/>
      <c r="BF23" s="186"/>
      <c r="BG23" s="114">
        <v>0.0</v>
      </c>
      <c r="BH23" s="43"/>
      <c r="BI23" s="114"/>
      <c r="BJ23" s="43"/>
    </row>
    <row r="24" ht="15.75" customHeight="1">
      <c r="B24" s="188" t="s">
        <v>40</v>
      </c>
      <c r="C24" s="262">
        <f t="shared" si="43"/>
        <v>255840.0833</v>
      </c>
      <c r="D24" s="263">
        <f t="shared" si="44"/>
        <v>0.004586506544</v>
      </c>
      <c r="E24" s="262" t="str">
        <f t="shared" si="45"/>
        <v>#REF!</v>
      </c>
      <c r="F24" s="263" t="str">
        <f t="shared" si="46"/>
        <v>#REF!</v>
      </c>
      <c r="G24" s="189">
        <f>HO!V95</f>
        <v>117022.1667</v>
      </c>
      <c r="H24" s="186"/>
      <c r="I24" s="189">
        <f>HO!X95</f>
        <v>121381.8333</v>
      </c>
      <c r="J24" s="186"/>
      <c r="K24" s="262">
        <f t="shared" si="47"/>
        <v>138817.9167</v>
      </c>
      <c r="L24" s="263">
        <f t="shared" si="48"/>
        <v>0.002488622091</v>
      </c>
      <c r="M24" s="262" t="str">
        <f t="shared" si="49"/>
        <v>#REF!</v>
      </c>
      <c r="N24" s="270" t="str">
        <f t="shared" si="50"/>
        <v>#REF!</v>
      </c>
      <c r="O24" s="189">
        <f>'The Table'!V94</f>
        <v>35400</v>
      </c>
      <c r="P24" s="264">
        <f t="shared" si="51"/>
        <v>0.002442706964</v>
      </c>
      <c r="Q24" s="189">
        <f>'The Table'!X94</f>
        <v>36400</v>
      </c>
      <c r="R24" s="264">
        <f t="shared" si="52"/>
        <v>0.002712133145</v>
      </c>
      <c r="S24" s="189">
        <f>Iktara!K95</f>
        <v>688.3333333</v>
      </c>
      <c r="T24" s="264">
        <f t="shared" si="53"/>
        <v>0.00102869084</v>
      </c>
      <c r="U24" s="186" t="str">
        <f t="shared" si="54"/>
        <v>#REF!</v>
      </c>
      <c r="V24" s="264" t="str">
        <f t="shared" si="55"/>
        <v>#REF!</v>
      </c>
      <c r="W24" s="189">
        <f>'Mg St Colaba'!V127</f>
        <v>30188.33333</v>
      </c>
      <c r="X24" s="264">
        <f t="shared" si="56"/>
        <v>0.00215244573</v>
      </c>
      <c r="Y24" s="186">
        <f>'Mg St Colaba'!X127</f>
        <v>30188.33333</v>
      </c>
      <c r="Z24" s="264">
        <f t="shared" si="57"/>
        <v>0.002224450332</v>
      </c>
      <c r="AA24" s="189">
        <f>'Mg St LP'!V128</f>
        <v>3638.333333</v>
      </c>
      <c r="AB24" s="264">
        <f t="shared" si="58"/>
        <v>0.0003824930663</v>
      </c>
      <c r="AC24" s="189">
        <f>'Mg St LP'!X128</f>
        <v>3638</v>
      </c>
      <c r="AD24" s="264">
        <f t="shared" si="59"/>
        <v>0.0004042033273</v>
      </c>
      <c r="AE24" s="189">
        <f>'Mg St Bandra'!V128</f>
        <v>48035.33333</v>
      </c>
      <c r="AF24" s="264">
        <f t="shared" si="60"/>
        <v>0.002975998897</v>
      </c>
      <c r="AG24" s="189">
        <f>'Mg St Bandra'!X128</f>
        <v>23000</v>
      </c>
      <c r="AH24" s="264">
        <f t="shared" si="61"/>
        <v>0.001450593785</v>
      </c>
      <c r="AI24" s="186">
        <f>'MSK Events'!G117</f>
        <v>10346.25</v>
      </c>
      <c r="AJ24" s="186"/>
      <c r="AK24" s="186" t="str">
        <f t="shared" si="62"/>
        <v>#REF!</v>
      </c>
      <c r="AL24" s="186"/>
      <c r="AM24" s="189">
        <f>MSBC!V109</f>
        <v>10521.33333</v>
      </c>
      <c r="AN24" s="186"/>
      <c r="AO24" s="265">
        <f>MSBC!X109</f>
        <v>0</v>
      </c>
      <c r="AP24" s="186"/>
      <c r="AQ24" s="189">
        <f>Kaspers!P113</f>
        <v>0</v>
      </c>
      <c r="AR24" s="186"/>
      <c r="AS24" s="189">
        <f>Kaspers!R113</f>
        <v>0</v>
      </c>
      <c r="AT24" s="186"/>
      <c r="AU24" s="186"/>
      <c r="AV24" s="186"/>
      <c r="AW24" s="186"/>
      <c r="AX24" s="186"/>
      <c r="AY24" s="189">
        <f>'MSBC Dahisar'!G108</f>
        <v>0</v>
      </c>
      <c r="AZ24" s="186"/>
      <c r="BA24" s="186"/>
      <c r="BB24" s="186"/>
      <c r="BC24" s="189">
        <f>'MSBC Juhu  Goregoan'!G109</f>
        <v>1179</v>
      </c>
      <c r="BD24" s="186"/>
      <c r="BE24" s="186"/>
      <c r="BF24" s="186"/>
      <c r="BG24" s="114">
        <v>0.0</v>
      </c>
      <c r="BH24" s="43"/>
      <c r="BI24" s="114"/>
      <c r="BJ24" s="43"/>
    </row>
    <row r="25" ht="15.75" customHeight="1">
      <c r="B25" s="188" t="s">
        <v>41</v>
      </c>
      <c r="C25" s="262">
        <f t="shared" si="43"/>
        <v>1798195.333</v>
      </c>
      <c r="D25" s="263">
        <f t="shared" si="44"/>
        <v>0.03223667908</v>
      </c>
      <c r="E25" s="262" t="str">
        <f t="shared" si="45"/>
        <v>#REF!</v>
      </c>
      <c r="F25" s="263" t="str">
        <f t="shared" si="46"/>
        <v>#REF!</v>
      </c>
      <c r="G25" s="189">
        <f>HO!V106</f>
        <v>109139.3333</v>
      </c>
      <c r="H25" s="186"/>
      <c r="I25" s="189">
        <f>HO!X106</f>
        <v>76500</v>
      </c>
      <c r="J25" s="186"/>
      <c r="K25" s="262">
        <f t="shared" si="47"/>
        <v>1689056</v>
      </c>
      <c r="L25" s="263">
        <f t="shared" si="48"/>
        <v>0.03028011208</v>
      </c>
      <c r="M25" s="262" t="str">
        <f t="shared" si="49"/>
        <v>#REF!</v>
      </c>
      <c r="N25" s="270" t="str">
        <f t="shared" si="50"/>
        <v>#REF!</v>
      </c>
      <c r="O25" s="189">
        <f>'The Table'!V99</f>
        <v>375080.0833</v>
      </c>
      <c r="P25" s="264">
        <f t="shared" si="51"/>
        <v>0.02588165908</v>
      </c>
      <c r="Q25" s="189">
        <f>'The Table'!X99</f>
        <v>283203</v>
      </c>
      <c r="R25" s="264">
        <f t="shared" si="52"/>
        <v>0.02110121547</v>
      </c>
      <c r="S25" s="189">
        <f>Iktara!K99</f>
        <v>13763.41667</v>
      </c>
      <c r="T25" s="264">
        <f t="shared" si="53"/>
        <v>0.02056895979</v>
      </c>
      <c r="U25" s="186" t="str">
        <f t="shared" si="54"/>
        <v>#REF!</v>
      </c>
      <c r="V25" s="264" t="str">
        <f t="shared" si="55"/>
        <v>#REF!</v>
      </c>
      <c r="W25" s="189">
        <f>'Mg St Colaba'!V132</f>
        <v>338825.6667</v>
      </c>
      <c r="X25" s="264">
        <f t="shared" si="56"/>
        <v>0.02415846716</v>
      </c>
      <c r="Y25" s="189">
        <f>'Mg St Colaba'!X132</f>
        <v>407563.0833</v>
      </c>
      <c r="Z25" s="264">
        <f t="shared" si="57"/>
        <v>0.03003159618</v>
      </c>
      <c r="AA25" s="189">
        <f>'Mg St LP'!V132</f>
        <v>106737.5</v>
      </c>
      <c r="AB25" s="264">
        <f t="shared" si="58"/>
        <v>0.01122116913</v>
      </c>
      <c r="AC25" s="189">
        <f>'Mg St LP'!X132</f>
        <v>94242.5</v>
      </c>
      <c r="AD25" s="264">
        <f t="shared" si="59"/>
        <v>0.01047089942</v>
      </c>
      <c r="AE25" s="189">
        <f>'Mg St Bandra'!V132</f>
        <v>402798.6667</v>
      </c>
      <c r="AF25" s="264">
        <f t="shared" si="60"/>
        <v>0.02495513832</v>
      </c>
      <c r="AG25" s="189">
        <f>'Mg St Bandra'!X132</f>
        <v>455458.3333</v>
      </c>
      <c r="AH25" s="264">
        <f t="shared" si="61"/>
        <v>0.02872543598</v>
      </c>
      <c r="AI25" s="186">
        <f>'MSK Events'!G121</f>
        <v>38427.66667</v>
      </c>
      <c r="AJ25" s="186"/>
      <c r="AK25" s="186" t="str">
        <f t="shared" si="62"/>
        <v>#REF!</v>
      </c>
      <c r="AL25" s="186"/>
      <c r="AM25" s="189">
        <f>MSBC!V114</f>
        <v>56001</v>
      </c>
      <c r="AN25" s="186"/>
      <c r="AO25" s="265">
        <f>MSBC!X114</f>
        <v>0</v>
      </c>
      <c r="AP25" s="186"/>
      <c r="AQ25" s="189">
        <f>Kaspers!P117</f>
        <v>335822</v>
      </c>
      <c r="AR25" s="186"/>
      <c r="AS25" s="189">
        <f>Kaspers!R117</f>
        <v>0</v>
      </c>
      <c r="AT25" s="186"/>
      <c r="AU25" s="189">
        <f>'MSBC Andheri'!G123</f>
        <v>10800</v>
      </c>
      <c r="AV25" s="186"/>
      <c r="AW25" s="186"/>
      <c r="AX25" s="186"/>
      <c r="AY25" s="189">
        <f>'MSBC Dahisar'!G112</f>
        <v>10800</v>
      </c>
      <c r="AZ25" s="186"/>
      <c r="BA25" s="186"/>
      <c r="BB25" s="186"/>
      <c r="BC25" s="189">
        <f>'MSBC Juhu  Goregoan'!G113</f>
        <v>10800</v>
      </c>
      <c r="BD25" s="186"/>
      <c r="BE25" s="186"/>
      <c r="BF25" s="186"/>
      <c r="BG25" s="114">
        <f>'LOUD MOUTH'!G128</f>
        <v>0</v>
      </c>
      <c r="BH25" s="43"/>
      <c r="BI25" s="114"/>
      <c r="BJ25" s="43"/>
    </row>
    <row r="26" ht="15.75" customHeight="1">
      <c r="B26" s="188" t="s">
        <v>42</v>
      </c>
      <c r="C26" s="262">
        <f t="shared" si="43"/>
        <v>124420</v>
      </c>
      <c r="D26" s="263">
        <f t="shared" si="44"/>
        <v>0.002230507185</v>
      </c>
      <c r="E26" s="262" t="str">
        <f t="shared" si="45"/>
        <v>#REF!</v>
      </c>
      <c r="F26" s="263" t="str">
        <f t="shared" si="46"/>
        <v>#REF!</v>
      </c>
      <c r="G26" s="189">
        <f>HO!V123</f>
        <v>64300</v>
      </c>
      <c r="H26" s="186"/>
      <c r="I26" s="189">
        <f>HO!X123</f>
        <v>100000</v>
      </c>
      <c r="J26" s="186"/>
      <c r="K26" s="262">
        <f t="shared" si="47"/>
        <v>60120</v>
      </c>
      <c r="L26" s="263">
        <f t="shared" si="48"/>
        <v>0.001077785661</v>
      </c>
      <c r="M26" s="262" t="str">
        <f t="shared" si="49"/>
        <v>#REF!</v>
      </c>
      <c r="N26" s="270" t="str">
        <f t="shared" si="50"/>
        <v>#REF!</v>
      </c>
      <c r="O26" s="189">
        <f>'The Table'!V122</f>
        <v>0</v>
      </c>
      <c r="P26" s="264">
        <f t="shared" si="51"/>
        <v>0</v>
      </c>
      <c r="Q26" s="189">
        <f>'The Table'!X122</f>
        <v>0</v>
      </c>
      <c r="R26" s="264">
        <f t="shared" si="52"/>
        <v>0</v>
      </c>
      <c r="S26" s="189">
        <f>Iktara!K112</f>
        <v>0</v>
      </c>
      <c r="T26" s="264">
        <f t="shared" si="53"/>
        <v>0</v>
      </c>
      <c r="U26" s="186" t="str">
        <f t="shared" si="54"/>
        <v>#REF!</v>
      </c>
      <c r="V26" s="264" t="str">
        <f t="shared" si="55"/>
        <v>#REF!</v>
      </c>
      <c r="W26" s="189">
        <f>'Mg St Colaba'!V148</f>
        <v>0</v>
      </c>
      <c r="X26" s="264">
        <f t="shared" si="56"/>
        <v>0</v>
      </c>
      <c r="Y26" s="186">
        <f>'Mg St Colaba'!X148</f>
        <v>0</v>
      </c>
      <c r="Z26" s="264">
        <f t="shared" si="57"/>
        <v>0</v>
      </c>
      <c r="AA26" s="189">
        <f>'Mg St LP'!V148</f>
        <v>0</v>
      </c>
      <c r="AB26" s="264">
        <f t="shared" si="58"/>
        <v>0</v>
      </c>
      <c r="AC26" s="186">
        <f>'Mg St LP'!X148</f>
        <v>0</v>
      </c>
      <c r="AD26" s="264">
        <f t="shared" si="59"/>
        <v>0</v>
      </c>
      <c r="AE26" s="189">
        <f>'Mg St Bandra'!V149</f>
        <v>0</v>
      </c>
      <c r="AF26" s="264">
        <f t="shared" si="60"/>
        <v>0</v>
      </c>
      <c r="AG26" s="189">
        <f>'Mg St Bandra'!X149</f>
        <v>0</v>
      </c>
      <c r="AH26" s="264">
        <f t="shared" si="61"/>
        <v>0</v>
      </c>
      <c r="AI26" s="186">
        <f>'MSK Events'!G138</f>
        <v>0</v>
      </c>
      <c r="AJ26" s="186"/>
      <c r="AK26" s="186" t="str">
        <f t="shared" si="62"/>
        <v>#REF!</v>
      </c>
      <c r="AL26" s="186"/>
      <c r="AM26" s="189">
        <f>MSBC!V131</f>
        <v>0</v>
      </c>
      <c r="AN26" s="186"/>
      <c r="AO26" s="265">
        <f>MSBC!X131</f>
        <v>0</v>
      </c>
      <c r="AP26" s="186"/>
      <c r="AQ26" s="189">
        <f>Kaspers!P141</f>
        <v>60120</v>
      </c>
      <c r="AR26" s="186"/>
      <c r="AS26" s="189">
        <f>Kaspers!R141</f>
        <v>0</v>
      </c>
      <c r="AT26" s="186"/>
      <c r="AU26" s="189">
        <f>'MSBC Andheri'!G138</f>
        <v>0</v>
      </c>
      <c r="AV26" s="186"/>
      <c r="AW26" s="186"/>
      <c r="AX26" s="186"/>
      <c r="AY26" s="189">
        <f>'MSBC Dahisar'!G127</f>
        <v>0</v>
      </c>
      <c r="AZ26" s="186"/>
      <c r="BA26" s="186"/>
      <c r="BB26" s="186"/>
      <c r="BC26" s="266">
        <v>0.0</v>
      </c>
      <c r="BD26" s="186"/>
      <c r="BE26" s="186"/>
      <c r="BF26" s="186"/>
      <c r="BG26" s="114"/>
      <c r="BH26" s="43"/>
      <c r="BI26" s="114"/>
      <c r="BJ26" s="43"/>
    </row>
    <row r="27" ht="15.75" customHeight="1">
      <c r="B27" s="188" t="s">
        <v>43</v>
      </c>
      <c r="C27" s="262">
        <f t="shared" si="43"/>
        <v>-1304626.725</v>
      </c>
      <c r="D27" s="263">
        <f t="shared" si="44"/>
        <v>-0.02338835625</v>
      </c>
      <c r="E27" s="262" t="str">
        <f t="shared" si="45"/>
        <v>#REF!</v>
      </c>
      <c r="F27" s="263" t="str">
        <f t="shared" si="46"/>
        <v>#REF!</v>
      </c>
      <c r="G27" s="189">
        <f>HO!V130</f>
        <v>65233</v>
      </c>
      <c r="H27" s="186"/>
      <c r="I27" s="189">
        <f>HO!X130</f>
        <v>0</v>
      </c>
      <c r="J27" s="186"/>
      <c r="K27" s="262">
        <f t="shared" si="47"/>
        <v>-1369859.725</v>
      </c>
      <c r="L27" s="263">
        <f t="shared" si="48"/>
        <v>-0.02455780389</v>
      </c>
      <c r="M27" s="262" t="str">
        <f t="shared" si="49"/>
        <v>#REF!</v>
      </c>
      <c r="N27" s="270" t="str">
        <f t="shared" si="50"/>
        <v>#REF!</v>
      </c>
      <c r="O27" s="189">
        <f>'The Table'!V127</f>
        <v>0</v>
      </c>
      <c r="P27" s="264">
        <f t="shared" si="51"/>
        <v>0</v>
      </c>
      <c r="Q27" s="189">
        <f>'The Table'!X127</f>
        <v>0</v>
      </c>
      <c r="R27" s="264">
        <f t="shared" si="52"/>
        <v>0</v>
      </c>
      <c r="S27" s="189">
        <f>Iktara!K116</f>
        <v>0</v>
      </c>
      <c r="T27" s="264">
        <f t="shared" si="53"/>
        <v>0</v>
      </c>
      <c r="U27" s="189" t="str">
        <f t="shared" si="54"/>
        <v>#REF!</v>
      </c>
      <c r="V27" s="264" t="str">
        <f t="shared" si="55"/>
        <v>#REF!</v>
      </c>
      <c r="W27" s="189">
        <f>'Mg St Colaba'!V153</f>
        <v>0</v>
      </c>
      <c r="X27" s="264">
        <f t="shared" si="56"/>
        <v>0</v>
      </c>
      <c r="Y27" s="189">
        <f>'Mg St Colaba'!X153</f>
        <v>0</v>
      </c>
      <c r="Z27" s="264">
        <f t="shared" si="57"/>
        <v>0</v>
      </c>
      <c r="AA27" s="189">
        <f>'Mg St LP'!V152</f>
        <v>0</v>
      </c>
      <c r="AB27" s="264">
        <f t="shared" si="58"/>
        <v>0</v>
      </c>
      <c r="AC27" s="189">
        <f>'Mg St LP'!X152</f>
        <v>0</v>
      </c>
      <c r="AD27" s="264">
        <f t="shared" si="59"/>
        <v>0</v>
      </c>
      <c r="AE27" s="189">
        <f>'Mg St Bandra'!V153</f>
        <v>0</v>
      </c>
      <c r="AF27" s="264">
        <f t="shared" si="60"/>
        <v>0</v>
      </c>
      <c r="AG27" s="189">
        <f>'Mg St Bandra'!X153</f>
        <v>0</v>
      </c>
      <c r="AH27" s="264">
        <f t="shared" si="61"/>
        <v>0</v>
      </c>
      <c r="AI27" s="186">
        <f>'MSK Events'!G142</f>
        <v>0</v>
      </c>
      <c r="AJ27" s="186"/>
      <c r="AK27" s="186" t="str">
        <f t="shared" si="62"/>
        <v>#REF!</v>
      </c>
      <c r="AL27" s="186"/>
      <c r="AM27" s="189">
        <f>MSBC!V135</f>
        <v>-1369859.725</v>
      </c>
      <c r="AN27" s="186"/>
      <c r="AO27" s="265">
        <f>MSBC!X135</f>
        <v>0</v>
      </c>
      <c r="AP27" s="186"/>
      <c r="AQ27" s="189">
        <f>Kaspers!P145</f>
        <v>0</v>
      </c>
      <c r="AR27" s="186"/>
      <c r="AS27" s="189">
        <f>Kaspers!R145</f>
        <v>0</v>
      </c>
      <c r="AT27" s="186"/>
      <c r="AU27" s="186"/>
      <c r="AV27" s="186"/>
      <c r="AW27" s="186"/>
      <c r="AX27" s="186"/>
      <c r="AY27" s="189">
        <f>'MSBC Dahisar'!G131</f>
        <v>0</v>
      </c>
      <c r="AZ27" s="186"/>
      <c r="BA27" s="186"/>
      <c r="BB27" s="186"/>
      <c r="BC27" s="266">
        <v>0.0</v>
      </c>
      <c r="BD27" s="186"/>
      <c r="BE27" s="186"/>
      <c r="BF27" s="186"/>
      <c r="BG27" s="62">
        <f>'LOUD MOUTH'!G148</f>
        <v>0</v>
      </c>
      <c r="BH27" s="62"/>
      <c r="BI27" s="62"/>
      <c r="BJ27" s="62"/>
    </row>
    <row r="28" ht="15.75" customHeight="1">
      <c r="B28" s="188" t="s">
        <v>44</v>
      </c>
      <c r="C28" s="262">
        <f>SUM(C18:C27)</f>
        <v>31864735.4</v>
      </c>
      <c r="D28" s="263">
        <f t="shared" si="44"/>
        <v>0.5712467551</v>
      </c>
      <c r="E28" s="262" t="str">
        <f t="shared" si="45"/>
        <v>#REF!</v>
      </c>
      <c r="F28" s="263" t="str">
        <f t="shared" si="46"/>
        <v>#REF!</v>
      </c>
      <c r="G28" s="265">
        <f>SUM(G18:G27)</f>
        <v>5304403.961</v>
      </c>
      <c r="H28" s="186"/>
      <c r="I28" s="189">
        <f>SUM(I18:I27)</f>
        <v>4734984.833</v>
      </c>
      <c r="J28" s="186"/>
      <c r="K28" s="262">
        <f>SUM(K18:K27)</f>
        <v>26560331.44</v>
      </c>
      <c r="L28" s="263">
        <f t="shared" si="48"/>
        <v>0.4761534329</v>
      </c>
      <c r="M28" s="262" t="str">
        <f>SUM(M18:M27)</f>
        <v>#REF!</v>
      </c>
      <c r="N28" s="270" t="str">
        <f t="shared" si="50"/>
        <v>#REF!</v>
      </c>
      <c r="O28" s="189">
        <f>SUM(O18:O27)</f>
        <v>8354033.541</v>
      </c>
      <c r="P28" s="264">
        <f t="shared" si="51"/>
        <v>0.5764535567</v>
      </c>
      <c r="Q28" s="189">
        <f>SUM(Q18:Q27)</f>
        <v>8140853.081</v>
      </c>
      <c r="R28" s="264">
        <f t="shared" si="52"/>
        <v>0.6065680624</v>
      </c>
      <c r="S28" s="189">
        <f>SUM(S18:S27)</f>
        <v>534297.9662</v>
      </c>
      <c r="T28" s="264">
        <f t="shared" si="53"/>
        <v>0.7984902039</v>
      </c>
      <c r="U28" s="189" t="str">
        <f>SUM(U18:U27)</f>
        <v>#REF!</v>
      </c>
      <c r="V28" s="264" t="str">
        <f t="shared" si="55"/>
        <v>#REF!</v>
      </c>
      <c r="W28" s="189">
        <f>SUM(W18:W27)</f>
        <v>5967415.293</v>
      </c>
      <c r="X28" s="264">
        <f t="shared" si="56"/>
        <v>0.4254801822</v>
      </c>
      <c r="Y28" s="189">
        <f>SUM(Y18:Y27)</f>
        <v>6131063.947</v>
      </c>
      <c r="Z28" s="264">
        <f t="shared" si="57"/>
        <v>0.4517721162</v>
      </c>
      <c r="AA28" s="189">
        <f>SUM(AA18:AA27)</f>
        <v>2957732.2</v>
      </c>
      <c r="AB28" s="264">
        <f t="shared" si="58"/>
        <v>0.310942389</v>
      </c>
      <c r="AC28" s="189">
        <f>SUM(AC18:AC27)</f>
        <v>3278112.482</v>
      </c>
      <c r="AD28" s="264">
        <f t="shared" si="59"/>
        <v>0.3642176944</v>
      </c>
      <c r="AE28" s="189">
        <f>SUM(AE18:AE27)</f>
        <v>6754775.067</v>
      </c>
      <c r="AF28" s="264">
        <f t="shared" si="60"/>
        <v>0.4184878454</v>
      </c>
      <c r="AG28" s="189">
        <f>SUM(AG18:AG27)</f>
        <v>7064747.562</v>
      </c>
      <c r="AH28" s="264">
        <f t="shared" si="61"/>
        <v>0.445568648</v>
      </c>
      <c r="AI28" s="265">
        <f>SUM(AI18:AI27)</f>
        <v>326170.9167</v>
      </c>
      <c r="AJ28" s="186"/>
      <c r="AK28" s="189" t="str">
        <f>SUM(AK18:AK27)</f>
        <v>#REF!</v>
      </c>
      <c r="AL28" s="186"/>
      <c r="AM28" s="189">
        <f>SUM(AM18:AM27)</f>
        <v>300385.0749</v>
      </c>
      <c r="AN28" s="186"/>
      <c r="AO28" s="189">
        <f>SUM(AO18:AO27)</f>
        <v>41533</v>
      </c>
      <c r="AP28" s="186"/>
      <c r="AQ28" s="189">
        <f>SUM(AQ18:AQ27)</f>
        <v>1118539.667</v>
      </c>
      <c r="AR28" s="186"/>
      <c r="AS28" s="189">
        <f>SUM(AS18:AS27)</f>
        <v>26833.33333</v>
      </c>
      <c r="AT28" s="186"/>
      <c r="AU28" s="189">
        <f>SUM(AU18:AU27)</f>
        <v>159305.45</v>
      </c>
      <c r="AV28" s="186"/>
      <c r="AW28" s="186"/>
      <c r="AX28" s="186"/>
      <c r="AY28" s="189">
        <f>SUM(AY18:AY27)</f>
        <v>87676.26333</v>
      </c>
      <c r="AZ28" s="186"/>
      <c r="BA28" s="186"/>
      <c r="BB28" s="186"/>
      <c r="BC28" s="189">
        <f>SUM(BC18:BC27)</f>
        <v>76912.69333</v>
      </c>
      <c r="BD28" s="186"/>
      <c r="BE28" s="186"/>
      <c r="BF28" s="186"/>
      <c r="BG28" s="146">
        <f>SUM(BG18:BG27)</f>
        <v>451946</v>
      </c>
      <c r="BH28" s="62"/>
      <c r="BI28" s="62"/>
      <c r="BJ28" s="62"/>
    </row>
    <row r="29" ht="15.75" customHeight="1">
      <c r="B29" s="188"/>
      <c r="C29" s="268"/>
      <c r="D29" s="268"/>
      <c r="E29" s="268"/>
      <c r="F29" s="268"/>
      <c r="G29" s="186"/>
      <c r="H29" s="186"/>
      <c r="I29" s="186"/>
      <c r="J29" s="186"/>
      <c r="K29" s="268"/>
      <c r="L29" s="268"/>
      <c r="M29" s="268"/>
      <c r="N29" s="268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186"/>
      <c r="AM29" s="186"/>
      <c r="AN29" s="186"/>
      <c r="AO29" s="186"/>
      <c r="AP29" s="186"/>
      <c r="AQ29" s="186"/>
      <c r="AR29" s="186"/>
      <c r="AS29" s="186"/>
      <c r="AT29" s="186"/>
      <c r="AU29" s="186"/>
      <c r="AV29" s="186"/>
      <c r="AW29" s="186"/>
      <c r="AX29" s="186"/>
      <c r="AY29" s="186"/>
      <c r="AZ29" s="186"/>
      <c r="BA29" s="186"/>
      <c r="BB29" s="186"/>
      <c r="BC29" s="186"/>
      <c r="BD29" s="186"/>
      <c r="BE29" s="186"/>
      <c r="BF29" s="186"/>
      <c r="BG29" s="96"/>
      <c r="BH29" s="62"/>
      <c r="BI29" s="62"/>
      <c r="BJ29" s="62"/>
    </row>
    <row r="30" ht="15.75" customHeight="1">
      <c r="B30" s="188" t="s">
        <v>45</v>
      </c>
      <c r="C30" s="262">
        <f>C16-C28</f>
        <v>5838577.661</v>
      </c>
      <c r="D30" s="263">
        <f>C30/C$10</f>
        <v>0.1046695823</v>
      </c>
      <c r="E30" s="262" t="str">
        <f>E16-E28</f>
        <v>#REF!</v>
      </c>
      <c r="F30" s="263" t="str">
        <f>E30/E$10</f>
        <v>#REF!</v>
      </c>
      <c r="G30" s="189">
        <f>G16-G28</f>
        <v>-5304403.961</v>
      </c>
      <c r="H30" s="186"/>
      <c r="I30" s="189">
        <f>I16-I28</f>
        <v>-4734984.833</v>
      </c>
      <c r="J30" s="186"/>
      <c r="K30" s="262">
        <f>K16-K28</f>
        <v>11142981.62</v>
      </c>
      <c r="L30" s="263">
        <f>K30/K$10</f>
        <v>0.1997629045</v>
      </c>
      <c r="M30" s="262" t="str">
        <f>M16-M28</f>
        <v>#REF!</v>
      </c>
      <c r="N30" s="270" t="str">
        <f>M30/M$10</f>
        <v>#REF!</v>
      </c>
      <c r="O30" s="189">
        <f>O16-O28</f>
        <v>42852.98554</v>
      </c>
      <c r="P30" s="264">
        <f>O30/O$10</f>
        <v>0.002956985486</v>
      </c>
      <c r="Q30" s="189">
        <f>Q16-Q28</f>
        <v>782493.4196</v>
      </c>
      <c r="R30" s="264">
        <f>Q30/Q$10</f>
        <v>0.0583029214</v>
      </c>
      <c r="S30" s="189">
        <f>S16-S28</f>
        <v>-146905.8824</v>
      </c>
      <c r="T30" s="264">
        <f>S30/S$10</f>
        <v>-0.2195458628</v>
      </c>
      <c r="U30" s="189" t="str">
        <f>U16-U28</f>
        <v>#REF!</v>
      </c>
      <c r="V30" s="264" t="str">
        <f>U30/U$10</f>
        <v>#REF!</v>
      </c>
      <c r="W30" s="189">
        <f>W16-W28</f>
        <v>4077909.552</v>
      </c>
      <c r="X30" s="264">
        <f>W30/W$10</f>
        <v>0.2907573236</v>
      </c>
      <c r="Y30" s="189">
        <f>Y16-Y28</f>
        <v>3583677.842</v>
      </c>
      <c r="Z30" s="264">
        <f>Y30/Y$10</f>
        <v>0.264066031</v>
      </c>
      <c r="AA30" s="189">
        <f>AA16-AA28</f>
        <v>3736348.224</v>
      </c>
      <c r="AB30" s="264">
        <f>AA30/AA$10</f>
        <v>0.3927972393</v>
      </c>
      <c r="AC30" s="189">
        <f>AC16-AC28</f>
        <v>3465635.33</v>
      </c>
      <c r="AD30" s="264">
        <f>AC30/AC$10</f>
        <v>0.3850525925</v>
      </c>
      <c r="AE30" s="189">
        <f>AE16-AE28</f>
        <v>5242287.823</v>
      </c>
      <c r="AF30" s="264">
        <f>AE30/AE$10</f>
        <v>0.3247826485</v>
      </c>
      <c r="AG30" s="189">
        <f>AG16-AG28</f>
        <v>4072386.864</v>
      </c>
      <c r="AH30" s="264">
        <f>AG30/AG$10</f>
        <v>0.2568425684</v>
      </c>
      <c r="AI30" s="189">
        <f>AI16-AI28</f>
        <v>-326170.9167</v>
      </c>
      <c r="AJ30" s="186"/>
      <c r="AK30" s="189" t="str">
        <f>AK16-AK28</f>
        <v>#REF!</v>
      </c>
      <c r="AL30" s="186"/>
      <c r="AM30" s="189">
        <f>AM16-AM28</f>
        <v>-174887.7831</v>
      </c>
      <c r="AN30" s="186"/>
      <c r="AO30" s="186"/>
      <c r="AP30" s="186"/>
      <c r="AQ30" s="189">
        <f>AQ16-AQ28</f>
        <v>-1118539.667</v>
      </c>
      <c r="AR30" s="186"/>
      <c r="AS30" s="189">
        <f>AS16-AS28</f>
        <v>-26833.33333</v>
      </c>
      <c r="AT30" s="186"/>
      <c r="AU30" s="189">
        <f>AU16-AU28</f>
        <v>-58978.87919</v>
      </c>
      <c r="AV30" s="186"/>
      <c r="AW30" s="186"/>
      <c r="AX30" s="186"/>
      <c r="AY30" s="189">
        <f>AY16-AY28</f>
        <v>-230067.3358</v>
      </c>
      <c r="AZ30" s="186"/>
      <c r="BA30" s="186"/>
      <c r="BB30" s="186"/>
      <c r="BC30" s="189">
        <f>BC16-BC28</f>
        <v>-46724.69333</v>
      </c>
      <c r="BD30" s="186"/>
      <c r="BE30" s="186"/>
      <c r="BF30" s="186"/>
      <c r="BG30" s="146">
        <f>BG16-BG28</f>
        <v>-451946</v>
      </c>
      <c r="BH30" s="62"/>
      <c r="BI30" s="62"/>
      <c r="BJ30" s="62"/>
    </row>
    <row r="31" ht="15.75" customHeight="1">
      <c r="BG31" s="274"/>
      <c r="BH31" s="274"/>
      <c r="BI31" s="274"/>
      <c r="BJ31" s="274"/>
    </row>
    <row r="32" ht="15.75" customHeight="1">
      <c r="AM32" s="129">
        <f>MSBC!V142</f>
        <v>-174887.7831</v>
      </c>
      <c r="BG32" s="3"/>
      <c r="BH32" s="3"/>
      <c r="BI32" s="3"/>
      <c r="BJ32" s="3"/>
    </row>
    <row r="33" ht="15.75" customHeight="1">
      <c r="BG33" s="3"/>
      <c r="BH33" s="3"/>
      <c r="BI33" s="3"/>
      <c r="BJ33" s="3"/>
    </row>
    <row r="34" ht="15.75" customHeight="1">
      <c r="BG34" s="3"/>
      <c r="BH34" s="3"/>
      <c r="BI34" s="3"/>
      <c r="BJ34" s="3"/>
    </row>
    <row r="35" ht="15.75" customHeight="1">
      <c r="BG35" s="3"/>
      <c r="BH35" s="3"/>
      <c r="BI35" s="3"/>
      <c r="BJ35" s="3"/>
    </row>
    <row r="36" ht="15.75" customHeight="1">
      <c r="BG36" s="3"/>
      <c r="BH36" s="3"/>
      <c r="BI36" s="3"/>
      <c r="BJ36" s="3"/>
    </row>
    <row r="37" ht="15.75" customHeight="1">
      <c r="BG37" s="3"/>
      <c r="BH37" s="3"/>
      <c r="BI37" s="3"/>
      <c r="BJ37" s="3"/>
    </row>
    <row r="38" ht="15.75" customHeight="1">
      <c r="BG38" s="3"/>
      <c r="BH38" s="3"/>
      <c r="BI38" s="3"/>
      <c r="BJ38" s="3"/>
    </row>
    <row r="39" ht="15.75" customHeight="1">
      <c r="BG39" s="3"/>
      <c r="BH39" s="3"/>
      <c r="BI39" s="3"/>
      <c r="BJ39" s="3"/>
    </row>
    <row r="40" ht="15.75" customHeight="1">
      <c r="BG40" s="3"/>
      <c r="BH40" s="3"/>
      <c r="BI40" s="3"/>
      <c r="BJ40" s="3"/>
    </row>
    <row r="41" ht="15.75" customHeight="1">
      <c r="BG41" s="3"/>
      <c r="BH41" s="3"/>
      <c r="BI41" s="3"/>
      <c r="BJ41" s="3"/>
    </row>
    <row r="42" ht="15.75" customHeight="1">
      <c r="BG42" s="3"/>
      <c r="BH42" s="3"/>
      <c r="BI42" s="3"/>
      <c r="BJ42" s="3"/>
    </row>
    <row r="43" ht="15.75" customHeight="1">
      <c r="BG43" s="3"/>
      <c r="BH43" s="3"/>
      <c r="BI43" s="3"/>
      <c r="BJ43" s="3"/>
    </row>
    <row r="44" ht="15.75" customHeight="1">
      <c r="BG44" s="3"/>
      <c r="BH44" s="3"/>
      <c r="BI44" s="3"/>
      <c r="BJ44" s="3"/>
    </row>
    <row r="45" ht="15.75" customHeight="1">
      <c r="BG45" s="3"/>
      <c r="BH45" s="3"/>
      <c r="BI45" s="3"/>
      <c r="BJ45" s="3"/>
    </row>
    <row r="46" ht="15.75" customHeight="1">
      <c r="BG46" s="3"/>
      <c r="BH46" s="3"/>
      <c r="BI46" s="3"/>
      <c r="BJ46" s="3"/>
    </row>
    <row r="47" ht="15.75" customHeight="1">
      <c r="BG47" s="3"/>
      <c r="BH47" s="3"/>
      <c r="BI47" s="3"/>
      <c r="BJ47" s="3"/>
    </row>
    <row r="48" ht="15.75" customHeight="1">
      <c r="BG48" s="3"/>
      <c r="BH48" s="3"/>
      <c r="BI48" s="3"/>
      <c r="BJ48" s="3"/>
    </row>
    <row r="49" ht="15.75" customHeight="1">
      <c r="BG49" s="3"/>
      <c r="BH49" s="3"/>
      <c r="BI49" s="3"/>
      <c r="BJ49" s="3"/>
    </row>
    <row r="50" ht="15.75" customHeight="1">
      <c r="BG50" s="3"/>
      <c r="BH50" s="3"/>
      <c r="BI50" s="3"/>
      <c r="BJ50" s="3"/>
    </row>
    <row r="51" ht="15.75" customHeight="1">
      <c r="BG51" s="3"/>
      <c r="BH51" s="3"/>
      <c r="BI51" s="3"/>
      <c r="BJ51" s="3"/>
    </row>
    <row r="52" ht="15.75" customHeight="1">
      <c r="BG52" s="3"/>
      <c r="BH52" s="3"/>
      <c r="BI52" s="3"/>
      <c r="BJ52" s="3"/>
    </row>
    <row r="53" ht="15.75" customHeight="1">
      <c r="BG53" s="3"/>
      <c r="BH53" s="3"/>
      <c r="BI53" s="3"/>
      <c r="BJ53" s="3"/>
    </row>
    <row r="54" ht="15.75" customHeight="1">
      <c r="BG54" s="3"/>
      <c r="BH54" s="3"/>
      <c r="BI54" s="3"/>
      <c r="BJ54" s="3"/>
    </row>
    <row r="55" ht="15.75" customHeight="1">
      <c r="BG55" s="3"/>
      <c r="BH55" s="3"/>
      <c r="BI55" s="3"/>
      <c r="BJ55" s="3"/>
    </row>
    <row r="56" ht="15.75" customHeight="1">
      <c r="BG56" s="3"/>
      <c r="BH56" s="3"/>
      <c r="BI56" s="3"/>
      <c r="BJ56" s="3"/>
    </row>
    <row r="57" ht="15.75" customHeight="1">
      <c r="BG57" s="3"/>
      <c r="BH57" s="3"/>
      <c r="BI57" s="3"/>
      <c r="BJ57" s="3"/>
    </row>
    <row r="58" ht="15.75" customHeight="1">
      <c r="BG58" s="3"/>
      <c r="BH58" s="3"/>
      <c r="BI58" s="3"/>
      <c r="BJ58" s="3"/>
    </row>
    <row r="59" ht="15.75" customHeight="1">
      <c r="BG59" s="3"/>
      <c r="BH59" s="3"/>
      <c r="BI59" s="3"/>
      <c r="BJ59" s="3"/>
    </row>
    <row r="60" ht="15.75" customHeight="1">
      <c r="BG60" s="3"/>
      <c r="BH60" s="3"/>
      <c r="BI60" s="3"/>
      <c r="BJ60" s="3"/>
    </row>
    <row r="61" ht="15.75" customHeight="1">
      <c r="BG61" s="3"/>
      <c r="BH61" s="3"/>
      <c r="BI61" s="3"/>
      <c r="BJ61" s="3"/>
    </row>
    <row r="62" ht="15.75" customHeight="1">
      <c r="BG62" s="3"/>
      <c r="BH62" s="3"/>
      <c r="BI62" s="3"/>
      <c r="BJ62" s="3"/>
    </row>
    <row r="63" ht="15.75" customHeight="1">
      <c r="BG63" s="3"/>
      <c r="BH63" s="3"/>
      <c r="BI63" s="3"/>
      <c r="BJ63" s="3"/>
    </row>
    <row r="64" ht="15.75" customHeight="1">
      <c r="BG64" s="3"/>
      <c r="BH64" s="3"/>
      <c r="BI64" s="3"/>
      <c r="BJ64" s="3"/>
    </row>
    <row r="65" ht="15.75" customHeight="1">
      <c r="BG65" s="3"/>
      <c r="BH65" s="3"/>
      <c r="BI65" s="3"/>
      <c r="BJ65" s="3"/>
    </row>
    <row r="66" ht="15.75" customHeight="1">
      <c r="BG66" s="3"/>
      <c r="BH66" s="3"/>
      <c r="BI66" s="3"/>
      <c r="BJ66" s="3"/>
    </row>
    <row r="67" ht="15.75" customHeight="1">
      <c r="BG67" s="3"/>
      <c r="BH67" s="3"/>
      <c r="BI67" s="3"/>
      <c r="BJ67" s="3"/>
    </row>
    <row r="68" ht="15.75" customHeight="1">
      <c r="BG68" s="3"/>
      <c r="BH68" s="3"/>
      <c r="BI68" s="3"/>
      <c r="BJ68" s="3"/>
    </row>
    <row r="69" ht="15.75" customHeight="1">
      <c r="BG69" s="3"/>
      <c r="BH69" s="3"/>
      <c r="BI69" s="3"/>
      <c r="BJ69" s="3"/>
    </row>
    <row r="70" ht="15.75" customHeight="1">
      <c r="BG70" s="3"/>
      <c r="BH70" s="3"/>
      <c r="BI70" s="3"/>
      <c r="BJ70" s="3"/>
    </row>
    <row r="71" ht="15.75" customHeight="1">
      <c r="BG71" s="3"/>
      <c r="BH71" s="3"/>
      <c r="BI71" s="3"/>
      <c r="BJ71" s="3"/>
    </row>
    <row r="72" ht="15.75" customHeight="1">
      <c r="BG72" s="3"/>
      <c r="BH72" s="3"/>
      <c r="BI72" s="3"/>
      <c r="BJ72" s="3"/>
    </row>
    <row r="73" ht="15.75" customHeight="1">
      <c r="BG73" s="3"/>
      <c r="BH73" s="3"/>
      <c r="BI73" s="3"/>
      <c r="BJ73" s="3"/>
    </row>
    <row r="74" ht="15.75" customHeight="1">
      <c r="BG74" s="3"/>
      <c r="BH74" s="3"/>
      <c r="BI74" s="3"/>
      <c r="BJ74" s="3"/>
    </row>
    <row r="75" ht="15.75" customHeight="1">
      <c r="BG75" s="3"/>
      <c r="BH75" s="3"/>
      <c r="BI75" s="3"/>
      <c r="BJ75" s="3"/>
    </row>
    <row r="76" ht="15.75" customHeight="1">
      <c r="BG76" s="3"/>
      <c r="BH76" s="3"/>
      <c r="BI76" s="3"/>
      <c r="BJ76" s="3"/>
    </row>
    <row r="77" ht="15.75" customHeight="1">
      <c r="BG77" s="3"/>
      <c r="BH77" s="3"/>
      <c r="BI77" s="3"/>
      <c r="BJ77" s="3"/>
    </row>
    <row r="78" ht="15.75" customHeight="1">
      <c r="BG78" s="3"/>
      <c r="BH78" s="3"/>
      <c r="BI78" s="3"/>
      <c r="BJ78" s="3"/>
    </row>
    <row r="79" ht="15.75" customHeight="1">
      <c r="BG79" s="3"/>
      <c r="BH79" s="3"/>
      <c r="BI79" s="3"/>
      <c r="BJ79" s="3"/>
    </row>
    <row r="80" ht="15.75" customHeight="1">
      <c r="BG80" s="3"/>
      <c r="BH80" s="3"/>
      <c r="BI80" s="3"/>
      <c r="BJ80" s="3"/>
    </row>
    <row r="81" ht="15.75" customHeight="1">
      <c r="BG81" s="3"/>
      <c r="BH81" s="3"/>
      <c r="BI81" s="3"/>
      <c r="BJ81" s="3"/>
    </row>
    <row r="82" ht="15.75" customHeight="1">
      <c r="BG82" s="3"/>
      <c r="BH82" s="3"/>
      <c r="BI82" s="3"/>
      <c r="BJ82" s="3"/>
    </row>
    <row r="83" ht="15.75" customHeight="1">
      <c r="BG83" s="3"/>
      <c r="BH83" s="3"/>
      <c r="BI83" s="3"/>
      <c r="BJ83" s="3"/>
    </row>
    <row r="84" ht="15.75" customHeight="1">
      <c r="BG84" s="3"/>
      <c r="BH84" s="3"/>
      <c r="BI84" s="3"/>
      <c r="BJ84" s="3"/>
    </row>
    <row r="85" ht="15.75" customHeight="1">
      <c r="BG85" s="3"/>
      <c r="BH85" s="3"/>
      <c r="BI85" s="3"/>
      <c r="BJ85" s="3"/>
    </row>
    <row r="86" ht="15.75" customHeight="1">
      <c r="BG86" s="3"/>
      <c r="BH86" s="3"/>
      <c r="BI86" s="3"/>
      <c r="BJ86" s="3"/>
    </row>
    <row r="87" ht="15.75" customHeight="1">
      <c r="BG87" s="3"/>
      <c r="BH87" s="3"/>
      <c r="BI87" s="3"/>
      <c r="BJ87" s="3"/>
    </row>
    <row r="88" ht="15.75" customHeight="1">
      <c r="BG88" s="3"/>
      <c r="BH88" s="3"/>
      <c r="BI88" s="3"/>
      <c r="BJ88" s="3"/>
    </row>
    <row r="89" ht="15.75" customHeight="1">
      <c r="BG89" s="3"/>
      <c r="BH89" s="3"/>
      <c r="BI89" s="3"/>
      <c r="BJ89" s="3"/>
    </row>
    <row r="90" ht="15.75" customHeight="1">
      <c r="BG90" s="3"/>
      <c r="BH90" s="3"/>
      <c r="BI90" s="3"/>
      <c r="BJ90" s="3"/>
    </row>
    <row r="91" ht="15.75" customHeight="1">
      <c r="BG91" s="3"/>
      <c r="BH91" s="3"/>
      <c r="BI91" s="3"/>
      <c r="BJ91" s="3"/>
    </row>
    <row r="92" ht="15.75" customHeight="1">
      <c r="BG92" s="3"/>
      <c r="BH92" s="3"/>
      <c r="BI92" s="3"/>
      <c r="BJ92" s="3"/>
    </row>
    <row r="93" ht="15.75" customHeight="1">
      <c r="BG93" s="3"/>
      <c r="BH93" s="3"/>
      <c r="BI93" s="3"/>
      <c r="BJ93" s="3"/>
    </row>
    <row r="94" ht="15.75" customHeight="1">
      <c r="BG94" s="3"/>
      <c r="BH94" s="3"/>
      <c r="BI94" s="3"/>
      <c r="BJ94" s="3"/>
    </row>
    <row r="95" ht="15.75" customHeight="1">
      <c r="BG95" s="3"/>
      <c r="BH95" s="3"/>
      <c r="BI95" s="3"/>
      <c r="BJ95" s="3"/>
    </row>
    <row r="96" ht="15.75" customHeight="1">
      <c r="BG96" s="3"/>
      <c r="BH96" s="3"/>
      <c r="BI96" s="3"/>
      <c r="BJ96" s="3"/>
    </row>
    <row r="97" ht="15.75" customHeight="1">
      <c r="BG97" s="3"/>
      <c r="BH97" s="3"/>
      <c r="BI97" s="3"/>
      <c r="BJ97" s="3"/>
    </row>
    <row r="98" ht="15.75" customHeight="1">
      <c r="BG98" s="3"/>
      <c r="BH98" s="3"/>
      <c r="BI98" s="3"/>
      <c r="BJ98" s="3"/>
    </row>
    <row r="99" ht="15.75" customHeight="1">
      <c r="BG99" s="3"/>
      <c r="BH99" s="3"/>
      <c r="BI99" s="3"/>
      <c r="BJ99" s="3"/>
    </row>
    <row r="100" ht="15.75" customHeight="1">
      <c r="BG100" s="3"/>
      <c r="BH100" s="3"/>
      <c r="BI100" s="3"/>
      <c r="BJ100" s="3"/>
    </row>
    <row r="101" ht="15.75" customHeight="1">
      <c r="BG101" s="3"/>
      <c r="BH101" s="3"/>
      <c r="BI101" s="3"/>
      <c r="BJ101" s="3"/>
    </row>
    <row r="102" ht="15.75" customHeight="1">
      <c r="BG102" s="3"/>
      <c r="BH102" s="3"/>
      <c r="BI102" s="3"/>
      <c r="BJ102" s="3"/>
    </row>
    <row r="103" ht="15.75" customHeight="1">
      <c r="BG103" s="3"/>
      <c r="BH103" s="3"/>
      <c r="BI103" s="3"/>
      <c r="BJ103" s="3"/>
    </row>
    <row r="104" ht="15.75" customHeight="1">
      <c r="BG104" s="3"/>
      <c r="BH104" s="3"/>
      <c r="BI104" s="3"/>
      <c r="BJ104" s="3"/>
    </row>
    <row r="105" ht="15.75" customHeight="1">
      <c r="BG105" s="3"/>
      <c r="BH105" s="3"/>
      <c r="BI105" s="3"/>
      <c r="BJ105" s="3"/>
    </row>
    <row r="106" ht="15.75" customHeight="1">
      <c r="BG106" s="3"/>
      <c r="BH106" s="3"/>
      <c r="BI106" s="3"/>
      <c r="BJ106" s="3"/>
    </row>
    <row r="107" ht="15.75" customHeight="1">
      <c r="BG107" s="3"/>
      <c r="BH107" s="3"/>
      <c r="BI107" s="3"/>
      <c r="BJ107" s="3"/>
    </row>
    <row r="108" ht="15.75" customHeight="1">
      <c r="BG108" s="3"/>
      <c r="BH108" s="3"/>
      <c r="BI108" s="3"/>
      <c r="BJ108" s="3"/>
    </row>
    <row r="109" ht="15.75" customHeight="1">
      <c r="BG109" s="3"/>
      <c r="BH109" s="3"/>
      <c r="BI109" s="3"/>
      <c r="BJ109" s="3"/>
    </row>
    <row r="110" ht="15.75" customHeight="1">
      <c r="BG110" s="3"/>
      <c r="BH110" s="3"/>
      <c r="BI110" s="3"/>
      <c r="BJ110" s="3"/>
    </row>
    <row r="111" ht="15.75" customHeight="1">
      <c r="BG111" s="3"/>
      <c r="BH111" s="3"/>
      <c r="BI111" s="3"/>
      <c r="BJ111" s="3"/>
    </row>
    <row r="112" ht="15.75" customHeight="1">
      <c r="BG112" s="3"/>
      <c r="BH112" s="3"/>
      <c r="BI112" s="3"/>
      <c r="BJ112" s="3"/>
    </row>
    <row r="113" ht="15.75" customHeight="1">
      <c r="BG113" s="3"/>
      <c r="BH113" s="3"/>
      <c r="BI113" s="3"/>
      <c r="BJ113" s="3"/>
    </row>
    <row r="114" ht="15.75" customHeight="1">
      <c r="BG114" s="3"/>
      <c r="BH114" s="3"/>
      <c r="BI114" s="3"/>
      <c r="BJ114" s="3"/>
    </row>
    <row r="115" ht="15.75" customHeight="1">
      <c r="BG115" s="3"/>
      <c r="BH115" s="3"/>
      <c r="BI115" s="3"/>
      <c r="BJ115" s="3"/>
    </row>
    <row r="116" ht="15.75" customHeight="1">
      <c r="BG116" s="3"/>
      <c r="BH116" s="3"/>
      <c r="BI116" s="3"/>
      <c r="BJ116" s="3"/>
    </row>
    <row r="117" ht="15.75" customHeight="1">
      <c r="BG117" s="3"/>
      <c r="BH117" s="3"/>
      <c r="BI117" s="3"/>
      <c r="BJ117" s="3"/>
    </row>
    <row r="118" ht="15.75" customHeight="1">
      <c r="BG118" s="3"/>
      <c r="BH118" s="3"/>
      <c r="BI118" s="3"/>
      <c r="BJ118" s="3"/>
    </row>
    <row r="119" ht="15.75" customHeight="1">
      <c r="BG119" s="3"/>
      <c r="BH119" s="3"/>
      <c r="BI119" s="3"/>
      <c r="BJ119" s="3"/>
    </row>
    <row r="120" ht="15.75" customHeight="1">
      <c r="BG120" s="3"/>
      <c r="BH120" s="3"/>
      <c r="BI120" s="3"/>
      <c r="BJ120" s="3"/>
    </row>
    <row r="121" ht="15.75" customHeight="1">
      <c r="BG121" s="3"/>
      <c r="BH121" s="3"/>
      <c r="BI121" s="3"/>
      <c r="BJ121" s="3"/>
    </row>
    <row r="122" ht="15.75" customHeight="1">
      <c r="BG122" s="3"/>
      <c r="BH122" s="3"/>
      <c r="BI122" s="3"/>
      <c r="BJ122" s="3"/>
    </row>
    <row r="123" ht="15.75" customHeight="1">
      <c r="BG123" s="3"/>
      <c r="BH123" s="3"/>
      <c r="BI123" s="3"/>
      <c r="BJ123" s="3"/>
    </row>
    <row r="124" ht="15.75" customHeight="1">
      <c r="BG124" s="3"/>
      <c r="BH124" s="3"/>
      <c r="BI124" s="3"/>
      <c r="BJ124" s="3"/>
    </row>
    <row r="125" ht="15.75" customHeight="1">
      <c r="BG125" s="3"/>
      <c r="BH125" s="3"/>
      <c r="BI125" s="3"/>
      <c r="BJ125" s="3"/>
    </row>
    <row r="126" ht="15.75" customHeight="1">
      <c r="BG126" s="3"/>
      <c r="BH126" s="3"/>
      <c r="BI126" s="3"/>
      <c r="BJ126" s="3"/>
    </row>
    <row r="127" ht="15.75" customHeight="1">
      <c r="BG127" s="3"/>
      <c r="BH127" s="3"/>
      <c r="BI127" s="3"/>
      <c r="BJ127" s="3"/>
    </row>
    <row r="128" ht="15.75" customHeight="1">
      <c r="BG128" s="3"/>
      <c r="BH128" s="3"/>
      <c r="BI128" s="3"/>
      <c r="BJ128" s="3"/>
    </row>
    <row r="129" ht="15.75" customHeight="1">
      <c r="BG129" s="3"/>
      <c r="BH129" s="3"/>
      <c r="BI129" s="3"/>
      <c r="BJ129" s="3"/>
    </row>
    <row r="130" ht="15.75" customHeight="1">
      <c r="BG130" s="3"/>
      <c r="BH130" s="3"/>
      <c r="BI130" s="3"/>
      <c r="BJ130" s="3"/>
    </row>
    <row r="131" ht="15.75" customHeight="1">
      <c r="BG131" s="3"/>
      <c r="BH131" s="3"/>
      <c r="BI131" s="3"/>
      <c r="BJ131" s="3"/>
    </row>
    <row r="132" ht="15.75" customHeight="1">
      <c r="BG132" s="3"/>
      <c r="BH132" s="3"/>
      <c r="BI132" s="3"/>
      <c r="BJ132" s="3"/>
    </row>
    <row r="133" ht="15.75" customHeight="1">
      <c r="BG133" s="3"/>
      <c r="BH133" s="3"/>
      <c r="BI133" s="3"/>
      <c r="BJ133" s="3"/>
    </row>
    <row r="134" ht="15.75" customHeight="1">
      <c r="BG134" s="3"/>
      <c r="BH134" s="3"/>
      <c r="BI134" s="3"/>
      <c r="BJ134" s="3"/>
    </row>
    <row r="135" ht="15.75" customHeight="1">
      <c r="BG135" s="3"/>
      <c r="BH135" s="3"/>
      <c r="BI135" s="3"/>
      <c r="BJ135" s="3"/>
    </row>
    <row r="136" ht="15.75" customHeight="1">
      <c r="BG136" s="3"/>
      <c r="BH136" s="3"/>
      <c r="BI136" s="3"/>
      <c r="BJ136" s="3"/>
    </row>
    <row r="137" ht="15.75" customHeight="1">
      <c r="BG137" s="3"/>
      <c r="BH137" s="3"/>
      <c r="BI137" s="3"/>
      <c r="BJ137" s="3"/>
    </row>
    <row r="138" ht="15.75" customHeight="1">
      <c r="BG138" s="3"/>
      <c r="BH138" s="3"/>
      <c r="BI138" s="3"/>
      <c r="BJ138" s="3"/>
    </row>
    <row r="139" ht="15.75" customHeight="1">
      <c r="BG139" s="3"/>
      <c r="BH139" s="3"/>
      <c r="BI139" s="3"/>
      <c r="BJ139" s="3"/>
    </row>
    <row r="140" ht="15.75" customHeight="1">
      <c r="BG140" s="3"/>
      <c r="BH140" s="3"/>
      <c r="BI140" s="3"/>
      <c r="BJ140" s="3"/>
    </row>
    <row r="141" ht="15.75" customHeight="1">
      <c r="BG141" s="3"/>
      <c r="BH141" s="3"/>
      <c r="BI141" s="3"/>
      <c r="BJ141" s="3"/>
    </row>
    <row r="142" ht="15.75" customHeight="1">
      <c r="BG142" s="3"/>
      <c r="BH142" s="3"/>
      <c r="BI142" s="3"/>
      <c r="BJ142" s="3"/>
    </row>
    <row r="143" ht="15.75" customHeight="1">
      <c r="BG143" s="3"/>
      <c r="BH143" s="3"/>
      <c r="BI143" s="3"/>
      <c r="BJ143" s="3"/>
    </row>
    <row r="144" ht="15.75" customHeight="1">
      <c r="BG144" s="3"/>
      <c r="BH144" s="3"/>
      <c r="BI144" s="3"/>
      <c r="BJ144" s="3"/>
    </row>
    <row r="145" ht="15.75" customHeight="1">
      <c r="BG145" s="3"/>
      <c r="BH145" s="3"/>
      <c r="BI145" s="3"/>
      <c r="BJ145" s="3"/>
    </row>
    <row r="146" ht="15.75" customHeight="1">
      <c r="BG146" s="3"/>
      <c r="BH146" s="3"/>
      <c r="BI146" s="3"/>
      <c r="BJ146" s="3"/>
    </row>
    <row r="147" ht="15.75" customHeight="1">
      <c r="BG147" s="3"/>
      <c r="BH147" s="3"/>
      <c r="BI147" s="3"/>
      <c r="BJ147" s="3"/>
    </row>
    <row r="148" ht="15.75" customHeight="1">
      <c r="BG148" s="3"/>
      <c r="BH148" s="3"/>
      <c r="BI148" s="3"/>
      <c r="BJ148" s="3"/>
    </row>
    <row r="149" ht="15.75" customHeight="1">
      <c r="BG149" s="3"/>
      <c r="BH149" s="3"/>
      <c r="BI149" s="3"/>
      <c r="BJ149" s="3"/>
    </row>
    <row r="150" ht="15.75" customHeight="1">
      <c r="BG150" s="3"/>
      <c r="BH150" s="3"/>
      <c r="BI150" s="3"/>
      <c r="BJ150" s="3"/>
    </row>
    <row r="151" ht="15.75" customHeight="1">
      <c r="BG151" s="3"/>
      <c r="BH151" s="3"/>
      <c r="BI151" s="3"/>
      <c r="BJ151" s="3"/>
    </row>
    <row r="152" ht="15.75" customHeight="1">
      <c r="BG152" s="3"/>
      <c r="BH152" s="3"/>
      <c r="BI152" s="3"/>
      <c r="BJ152" s="3"/>
    </row>
    <row r="153" ht="15.75" customHeight="1">
      <c r="BG153" s="3"/>
      <c r="BH153" s="3"/>
      <c r="BI153" s="3"/>
      <c r="BJ153" s="3"/>
    </row>
    <row r="154" ht="15.75" customHeight="1">
      <c r="BG154" s="3"/>
      <c r="BH154" s="3"/>
      <c r="BI154" s="3"/>
      <c r="BJ154" s="3"/>
    </row>
    <row r="155" ht="15.75" customHeight="1">
      <c r="BG155" s="3"/>
      <c r="BH155" s="3"/>
      <c r="BI155" s="3"/>
      <c r="BJ155" s="3"/>
    </row>
    <row r="156" ht="15.75" customHeight="1">
      <c r="BG156" s="3"/>
      <c r="BH156" s="3"/>
      <c r="BI156" s="3"/>
      <c r="BJ156" s="3"/>
    </row>
    <row r="157" ht="15.75" customHeight="1">
      <c r="BG157" s="3"/>
      <c r="BH157" s="3"/>
      <c r="BI157" s="3"/>
      <c r="BJ157" s="3"/>
    </row>
    <row r="158" ht="15.75" customHeight="1">
      <c r="BG158" s="3"/>
      <c r="BH158" s="3"/>
      <c r="BI158" s="3"/>
      <c r="BJ158" s="3"/>
    </row>
    <row r="159" ht="15.75" customHeight="1">
      <c r="BG159" s="3"/>
      <c r="BH159" s="3"/>
      <c r="BI159" s="3"/>
      <c r="BJ159" s="3"/>
    </row>
    <row r="160" ht="15.75" customHeight="1">
      <c r="BG160" s="3"/>
      <c r="BH160" s="3"/>
      <c r="BI160" s="3"/>
      <c r="BJ160" s="3"/>
    </row>
    <row r="161" ht="15.75" customHeight="1">
      <c r="BG161" s="3"/>
      <c r="BH161" s="3"/>
      <c r="BI161" s="3"/>
      <c r="BJ161" s="3"/>
    </row>
    <row r="162" ht="15.75" customHeight="1">
      <c r="BG162" s="3"/>
      <c r="BH162" s="3"/>
      <c r="BI162" s="3"/>
      <c r="BJ162" s="3"/>
    </row>
    <row r="163" ht="15.75" customHeight="1">
      <c r="BG163" s="3"/>
      <c r="BH163" s="3"/>
      <c r="BI163" s="3"/>
      <c r="BJ163" s="3"/>
    </row>
    <row r="164" ht="15.75" customHeight="1">
      <c r="BG164" s="3"/>
      <c r="BH164" s="3"/>
      <c r="BI164" s="3"/>
      <c r="BJ164" s="3"/>
    </row>
    <row r="165" ht="15.75" customHeight="1">
      <c r="BG165" s="3"/>
      <c r="BH165" s="3"/>
      <c r="BI165" s="3"/>
      <c r="BJ165" s="3"/>
    </row>
    <row r="166" ht="15.75" customHeight="1">
      <c r="BG166" s="3"/>
      <c r="BH166" s="3"/>
      <c r="BI166" s="3"/>
      <c r="BJ166" s="3"/>
    </row>
    <row r="167" ht="15.75" customHeight="1">
      <c r="BG167" s="3"/>
      <c r="BH167" s="3"/>
      <c r="BI167" s="3"/>
      <c r="BJ167" s="3"/>
    </row>
    <row r="168" ht="15.75" customHeight="1">
      <c r="BG168" s="3"/>
      <c r="BH168" s="3"/>
      <c r="BI168" s="3"/>
      <c r="BJ168" s="3"/>
    </row>
    <row r="169" ht="15.75" customHeight="1">
      <c r="BG169" s="3"/>
      <c r="BH169" s="3"/>
      <c r="BI169" s="3"/>
      <c r="BJ169" s="3"/>
    </row>
    <row r="170" ht="15.75" customHeight="1">
      <c r="BG170" s="3"/>
      <c r="BH170" s="3"/>
      <c r="BI170" s="3"/>
      <c r="BJ170" s="3"/>
    </row>
    <row r="171" ht="15.75" customHeight="1">
      <c r="BG171" s="3"/>
      <c r="BH171" s="3"/>
      <c r="BI171" s="3"/>
      <c r="BJ171" s="3"/>
    </row>
    <row r="172" ht="15.75" customHeight="1">
      <c r="BG172" s="3"/>
      <c r="BH172" s="3"/>
      <c r="BI172" s="3"/>
      <c r="BJ172" s="3"/>
    </row>
    <row r="173" ht="15.75" customHeight="1">
      <c r="BG173" s="3"/>
      <c r="BH173" s="3"/>
      <c r="BI173" s="3"/>
      <c r="BJ173" s="3"/>
    </row>
    <row r="174" ht="15.75" customHeight="1">
      <c r="BG174" s="3"/>
      <c r="BH174" s="3"/>
      <c r="BI174" s="3"/>
      <c r="BJ174" s="3"/>
    </row>
    <row r="175" ht="15.75" customHeight="1">
      <c r="BG175" s="3"/>
      <c r="BH175" s="3"/>
      <c r="BI175" s="3"/>
      <c r="BJ175" s="3"/>
    </row>
    <row r="176" ht="15.75" customHeight="1">
      <c r="BG176" s="3"/>
      <c r="BH176" s="3"/>
      <c r="BI176" s="3"/>
      <c r="BJ176" s="3"/>
    </row>
    <row r="177" ht="15.75" customHeight="1">
      <c r="BG177" s="3"/>
      <c r="BH177" s="3"/>
      <c r="BI177" s="3"/>
      <c r="BJ177" s="3"/>
    </row>
    <row r="178" ht="15.75" customHeight="1">
      <c r="BG178" s="3"/>
      <c r="BH178" s="3"/>
      <c r="BI178" s="3"/>
      <c r="BJ178" s="3"/>
    </row>
    <row r="179" ht="15.75" customHeight="1">
      <c r="BG179" s="3"/>
      <c r="BH179" s="3"/>
      <c r="BI179" s="3"/>
      <c r="BJ179" s="3"/>
    </row>
    <row r="180" ht="15.75" customHeight="1">
      <c r="BG180" s="3"/>
      <c r="BH180" s="3"/>
      <c r="BI180" s="3"/>
      <c r="BJ180" s="3"/>
    </row>
    <row r="181" ht="15.75" customHeight="1">
      <c r="BG181" s="3"/>
      <c r="BH181" s="3"/>
      <c r="BI181" s="3"/>
      <c r="BJ181" s="3"/>
    </row>
    <row r="182" ht="15.75" customHeight="1">
      <c r="BG182" s="3"/>
      <c r="BH182" s="3"/>
      <c r="BI182" s="3"/>
      <c r="BJ182" s="3"/>
    </row>
    <row r="183" ht="15.75" customHeight="1">
      <c r="BG183" s="3"/>
      <c r="BH183" s="3"/>
      <c r="BI183" s="3"/>
      <c r="BJ183" s="3"/>
    </row>
    <row r="184" ht="15.75" customHeight="1">
      <c r="BG184" s="3"/>
      <c r="BH184" s="3"/>
      <c r="BI184" s="3"/>
      <c r="BJ184" s="3"/>
    </row>
    <row r="185" ht="15.75" customHeight="1">
      <c r="BG185" s="3"/>
      <c r="BH185" s="3"/>
      <c r="BI185" s="3"/>
      <c r="BJ185" s="3"/>
    </row>
    <row r="186" ht="15.75" customHeight="1">
      <c r="BG186" s="3"/>
      <c r="BH186" s="3"/>
      <c r="BI186" s="3"/>
      <c r="BJ186" s="3"/>
    </row>
    <row r="187" ht="15.75" customHeight="1">
      <c r="BG187" s="3"/>
      <c r="BH187" s="3"/>
      <c r="BI187" s="3"/>
      <c r="BJ187" s="3"/>
    </row>
    <row r="188" ht="15.75" customHeight="1">
      <c r="BG188" s="3"/>
      <c r="BH188" s="3"/>
      <c r="BI188" s="3"/>
      <c r="BJ188" s="3"/>
    </row>
    <row r="189" ht="15.75" customHeight="1">
      <c r="BG189" s="3"/>
      <c r="BH189" s="3"/>
      <c r="BI189" s="3"/>
      <c r="BJ189" s="3"/>
    </row>
    <row r="190" ht="15.75" customHeight="1">
      <c r="BG190" s="3"/>
      <c r="BH190" s="3"/>
      <c r="BI190" s="3"/>
      <c r="BJ190" s="3"/>
    </row>
    <row r="191" ht="15.75" customHeight="1">
      <c r="BG191" s="3"/>
      <c r="BH191" s="3"/>
      <c r="BI191" s="3"/>
      <c r="BJ191" s="3"/>
    </row>
    <row r="192" ht="15.75" customHeight="1">
      <c r="BG192" s="3"/>
      <c r="BH192" s="3"/>
      <c r="BI192" s="3"/>
      <c r="BJ192" s="3"/>
    </row>
    <row r="193" ht="15.75" customHeight="1">
      <c r="BG193" s="3"/>
      <c r="BH193" s="3"/>
      <c r="BI193" s="3"/>
      <c r="BJ193" s="3"/>
    </row>
    <row r="194" ht="15.75" customHeight="1">
      <c r="BG194" s="3"/>
      <c r="BH194" s="3"/>
      <c r="BI194" s="3"/>
      <c r="BJ194" s="3"/>
    </row>
    <row r="195" ht="15.75" customHeight="1">
      <c r="BG195" s="3"/>
      <c r="BH195" s="3"/>
      <c r="BI195" s="3"/>
      <c r="BJ195" s="3"/>
    </row>
    <row r="196" ht="15.75" customHeight="1">
      <c r="BG196" s="3"/>
      <c r="BH196" s="3"/>
      <c r="BI196" s="3"/>
      <c r="BJ196" s="3"/>
    </row>
    <row r="197" ht="15.75" customHeight="1">
      <c r="BG197" s="3"/>
      <c r="BH197" s="3"/>
      <c r="BI197" s="3"/>
      <c r="BJ197" s="3"/>
    </row>
    <row r="198" ht="15.75" customHeight="1">
      <c r="BG198" s="3"/>
      <c r="BH198" s="3"/>
      <c r="BI198" s="3"/>
      <c r="BJ198" s="3"/>
    </row>
    <row r="199" ht="15.75" customHeight="1">
      <c r="BG199" s="3"/>
      <c r="BH199" s="3"/>
      <c r="BI199" s="3"/>
      <c r="BJ199" s="3"/>
    </row>
    <row r="200" ht="15.75" customHeight="1">
      <c r="BG200" s="3"/>
      <c r="BH200" s="3"/>
      <c r="BI200" s="3"/>
      <c r="BJ200" s="3"/>
    </row>
    <row r="201" ht="15.75" customHeight="1">
      <c r="BG201" s="3"/>
      <c r="BH201" s="3"/>
      <c r="BI201" s="3"/>
      <c r="BJ201" s="3"/>
    </row>
    <row r="202" ht="15.75" customHeight="1">
      <c r="BG202" s="3"/>
      <c r="BH202" s="3"/>
      <c r="BI202" s="3"/>
      <c r="BJ202" s="3"/>
    </row>
    <row r="203" ht="15.75" customHeight="1">
      <c r="BG203" s="3"/>
      <c r="BH203" s="3"/>
      <c r="BI203" s="3"/>
      <c r="BJ203" s="3"/>
    </row>
    <row r="204" ht="15.75" customHeight="1">
      <c r="BG204" s="3"/>
      <c r="BH204" s="3"/>
      <c r="BI204" s="3"/>
      <c r="BJ204" s="3"/>
    </row>
    <row r="205" ht="15.75" customHeight="1">
      <c r="BG205" s="3"/>
      <c r="BH205" s="3"/>
      <c r="BI205" s="3"/>
      <c r="BJ205" s="3"/>
    </row>
    <row r="206" ht="15.75" customHeight="1">
      <c r="BG206" s="3"/>
      <c r="BH206" s="3"/>
      <c r="BI206" s="3"/>
      <c r="BJ206" s="3"/>
    </row>
    <row r="207" ht="15.75" customHeight="1">
      <c r="BG207" s="3"/>
      <c r="BH207" s="3"/>
      <c r="BI207" s="3"/>
      <c r="BJ207" s="3"/>
    </row>
    <row r="208" ht="15.75" customHeight="1">
      <c r="BG208" s="3"/>
      <c r="BH208" s="3"/>
      <c r="BI208" s="3"/>
      <c r="BJ208" s="3"/>
    </row>
    <row r="209" ht="15.75" customHeight="1">
      <c r="BG209" s="3"/>
      <c r="BH209" s="3"/>
      <c r="BI209" s="3"/>
      <c r="BJ209" s="3"/>
    </row>
    <row r="210" ht="15.75" customHeight="1">
      <c r="BG210" s="3"/>
      <c r="BH210" s="3"/>
      <c r="BI210" s="3"/>
      <c r="BJ210" s="3"/>
    </row>
    <row r="211" ht="15.75" customHeight="1">
      <c r="BG211" s="3"/>
      <c r="BH211" s="3"/>
      <c r="BI211" s="3"/>
      <c r="BJ211" s="3"/>
    </row>
    <row r="212" ht="15.75" customHeight="1">
      <c r="BG212" s="3"/>
      <c r="BH212" s="3"/>
      <c r="BI212" s="3"/>
      <c r="BJ212" s="3"/>
    </row>
    <row r="213" ht="15.75" customHeight="1">
      <c r="BG213" s="3"/>
      <c r="BH213" s="3"/>
      <c r="BI213" s="3"/>
      <c r="BJ213" s="3"/>
    </row>
    <row r="214" ht="15.75" customHeight="1">
      <c r="BG214" s="3"/>
      <c r="BH214" s="3"/>
      <c r="BI214" s="3"/>
      <c r="BJ214" s="3"/>
    </row>
    <row r="215" ht="15.75" customHeight="1">
      <c r="BG215" s="3"/>
      <c r="BH215" s="3"/>
      <c r="BI215" s="3"/>
      <c r="BJ215" s="3"/>
    </row>
    <row r="216" ht="15.75" customHeight="1">
      <c r="BG216" s="3"/>
      <c r="BH216" s="3"/>
      <c r="BI216" s="3"/>
      <c r="BJ216" s="3"/>
    </row>
    <row r="217" ht="15.75" customHeight="1">
      <c r="BG217" s="3"/>
      <c r="BH217" s="3"/>
      <c r="BI217" s="3"/>
      <c r="BJ217" s="3"/>
    </row>
    <row r="218" ht="15.75" customHeight="1">
      <c r="BG218" s="3"/>
      <c r="BH218" s="3"/>
      <c r="BI218" s="3"/>
      <c r="BJ218" s="3"/>
    </row>
    <row r="219" ht="15.75" customHeight="1">
      <c r="BG219" s="3"/>
      <c r="BH219" s="3"/>
      <c r="BI219" s="3"/>
      <c r="BJ219" s="3"/>
    </row>
    <row r="220" ht="15.75" customHeight="1">
      <c r="BG220" s="3"/>
      <c r="BH220" s="3"/>
      <c r="BI220" s="3"/>
      <c r="BJ220" s="3"/>
    </row>
    <row r="221" ht="15.75" customHeight="1">
      <c r="BG221" s="3"/>
      <c r="BH221" s="3"/>
      <c r="BI221" s="3"/>
      <c r="BJ221" s="3"/>
    </row>
    <row r="222" ht="15.75" customHeight="1">
      <c r="BG222" s="3"/>
      <c r="BH222" s="3"/>
      <c r="BI222" s="3"/>
      <c r="BJ222" s="3"/>
    </row>
    <row r="223" ht="15.75" customHeight="1">
      <c r="BG223" s="3"/>
      <c r="BH223" s="3"/>
      <c r="BI223" s="3"/>
      <c r="BJ223" s="3"/>
    </row>
    <row r="224" ht="15.75" customHeight="1">
      <c r="BG224" s="3"/>
      <c r="BH224" s="3"/>
      <c r="BI224" s="3"/>
      <c r="BJ224" s="3"/>
    </row>
    <row r="225" ht="15.75" customHeight="1">
      <c r="BG225" s="3"/>
      <c r="BH225" s="3"/>
      <c r="BI225" s="3"/>
      <c r="BJ225" s="3"/>
    </row>
    <row r="226" ht="15.75" customHeight="1">
      <c r="BG226" s="3"/>
      <c r="BH226" s="3"/>
      <c r="BI226" s="3"/>
      <c r="BJ226" s="3"/>
    </row>
    <row r="227" ht="15.75" customHeight="1">
      <c r="BG227" s="3"/>
      <c r="BH227" s="3"/>
      <c r="BI227" s="3"/>
      <c r="BJ227" s="3"/>
    </row>
    <row r="228" ht="15.75" customHeight="1">
      <c r="BG228" s="3"/>
      <c r="BH228" s="3"/>
      <c r="BI228" s="3"/>
      <c r="BJ228" s="3"/>
    </row>
    <row r="229" ht="15.75" customHeight="1">
      <c r="BG229" s="3"/>
      <c r="BH229" s="3"/>
      <c r="BI229" s="3"/>
      <c r="BJ229" s="3"/>
    </row>
    <row r="230" ht="15.75" customHeight="1">
      <c r="BG230" s="3"/>
      <c r="BH230" s="3"/>
      <c r="BI230" s="3"/>
      <c r="BJ230" s="3"/>
    </row>
    <row r="231" ht="15.75" customHeight="1">
      <c r="BG231" s="3"/>
      <c r="BH231" s="3"/>
      <c r="BI231" s="3"/>
      <c r="BJ231" s="3"/>
    </row>
    <row r="232" ht="15.75" customHeight="1">
      <c r="BG232" s="3"/>
      <c r="BH232" s="3"/>
      <c r="BI232" s="3"/>
      <c r="BJ232" s="3"/>
    </row>
    <row r="233" ht="15.75" customHeight="1">
      <c r="BG233" s="3"/>
      <c r="BH233" s="3"/>
      <c r="BI233" s="3"/>
      <c r="BJ233" s="3"/>
    </row>
    <row r="234" ht="15.75" customHeight="1">
      <c r="BG234" s="3"/>
      <c r="BH234" s="3"/>
      <c r="BI234" s="3"/>
      <c r="BJ234" s="3"/>
    </row>
    <row r="235" ht="15.75" customHeight="1">
      <c r="BG235" s="3"/>
      <c r="BH235" s="3"/>
      <c r="BI235" s="3"/>
      <c r="BJ235" s="3"/>
    </row>
    <row r="236" ht="15.75" customHeight="1">
      <c r="BG236" s="3"/>
      <c r="BH236" s="3"/>
      <c r="BI236" s="3"/>
      <c r="BJ236" s="3"/>
    </row>
    <row r="237" ht="15.75" customHeight="1">
      <c r="BG237" s="3"/>
      <c r="BH237" s="3"/>
      <c r="BI237" s="3"/>
      <c r="BJ237" s="3"/>
    </row>
    <row r="238" ht="15.75" customHeight="1">
      <c r="BG238" s="3"/>
      <c r="BH238" s="3"/>
      <c r="BI238" s="3"/>
      <c r="BJ238" s="3"/>
    </row>
    <row r="239" ht="15.75" customHeight="1">
      <c r="BG239" s="3"/>
      <c r="BH239" s="3"/>
      <c r="BI239" s="3"/>
      <c r="BJ239" s="3"/>
    </row>
    <row r="240" ht="15.75" customHeight="1">
      <c r="BG240" s="3"/>
      <c r="BH240" s="3"/>
      <c r="BI240" s="3"/>
      <c r="BJ240" s="3"/>
    </row>
    <row r="241" ht="15.75" customHeight="1">
      <c r="BG241" s="3"/>
      <c r="BH241" s="3"/>
      <c r="BI241" s="3"/>
      <c r="BJ241" s="3"/>
    </row>
    <row r="242" ht="15.75" customHeight="1">
      <c r="BG242" s="3"/>
      <c r="BH242" s="3"/>
      <c r="BI242" s="3"/>
      <c r="BJ242" s="3"/>
    </row>
    <row r="243" ht="15.75" customHeight="1">
      <c r="BG243" s="3"/>
      <c r="BH243" s="3"/>
      <c r="BI243" s="3"/>
      <c r="BJ243" s="3"/>
    </row>
    <row r="244" ht="15.75" customHeight="1">
      <c r="BG244" s="3"/>
      <c r="BH244" s="3"/>
      <c r="BI244" s="3"/>
      <c r="BJ244" s="3"/>
    </row>
    <row r="245" ht="15.75" customHeight="1">
      <c r="BG245" s="3"/>
      <c r="BH245" s="3"/>
      <c r="BI245" s="3"/>
      <c r="BJ245" s="3"/>
    </row>
    <row r="246" ht="15.75" customHeight="1">
      <c r="BG246" s="3"/>
      <c r="BH246" s="3"/>
      <c r="BI246" s="3"/>
      <c r="BJ246" s="3"/>
    </row>
    <row r="247" ht="15.75" customHeight="1">
      <c r="BG247" s="3"/>
      <c r="BH247" s="3"/>
      <c r="BI247" s="3"/>
      <c r="BJ247" s="3"/>
    </row>
    <row r="248" ht="15.75" customHeight="1">
      <c r="BG248" s="3"/>
      <c r="BH248" s="3"/>
      <c r="BI248" s="3"/>
      <c r="BJ248" s="3"/>
    </row>
    <row r="249" ht="15.75" customHeight="1">
      <c r="BG249" s="3"/>
      <c r="BH249" s="3"/>
      <c r="BI249" s="3"/>
      <c r="BJ249" s="3"/>
    </row>
    <row r="250" ht="15.75" customHeight="1">
      <c r="BG250" s="3"/>
      <c r="BH250" s="3"/>
      <c r="BI250" s="3"/>
      <c r="BJ250" s="3"/>
    </row>
    <row r="251" ht="15.75" customHeight="1">
      <c r="BG251" s="3"/>
      <c r="BH251" s="3"/>
      <c r="BI251" s="3"/>
      <c r="BJ251" s="3"/>
    </row>
    <row r="252" ht="15.75" customHeight="1">
      <c r="BG252" s="3"/>
      <c r="BH252" s="3"/>
      <c r="BI252" s="3"/>
      <c r="BJ252" s="3"/>
    </row>
    <row r="253" ht="15.75" customHeight="1">
      <c r="BG253" s="3"/>
      <c r="BH253" s="3"/>
      <c r="BI253" s="3"/>
      <c r="BJ253" s="3"/>
    </row>
    <row r="254" ht="15.75" customHeight="1">
      <c r="BG254" s="3"/>
      <c r="BH254" s="3"/>
      <c r="BI254" s="3"/>
      <c r="BJ254" s="3"/>
    </row>
    <row r="255" ht="15.75" customHeight="1">
      <c r="BG255" s="3"/>
      <c r="BH255" s="3"/>
      <c r="BI255" s="3"/>
      <c r="BJ255" s="3"/>
    </row>
    <row r="256" ht="15.75" customHeight="1">
      <c r="BG256" s="3"/>
      <c r="BH256" s="3"/>
      <c r="BI256" s="3"/>
      <c r="BJ256" s="3"/>
    </row>
    <row r="257" ht="15.75" customHeight="1">
      <c r="BG257" s="3"/>
      <c r="BH257" s="3"/>
      <c r="BI257" s="3"/>
      <c r="BJ257" s="3"/>
    </row>
    <row r="258" ht="15.75" customHeight="1">
      <c r="BG258" s="3"/>
      <c r="BH258" s="3"/>
      <c r="BI258" s="3"/>
      <c r="BJ258" s="3"/>
    </row>
    <row r="259" ht="15.75" customHeight="1">
      <c r="BG259" s="3"/>
      <c r="BH259" s="3"/>
      <c r="BI259" s="3"/>
      <c r="BJ259" s="3"/>
    </row>
    <row r="260" ht="15.75" customHeight="1">
      <c r="BG260" s="3"/>
      <c r="BH260" s="3"/>
      <c r="BI260" s="3"/>
      <c r="BJ260" s="3"/>
    </row>
    <row r="261" ht="15.75" customHeight="1">
      <c r="BG261" s="3"/>
      <c r="BH261" s="3"/>
      <c r="BI261" s="3"/>
      <c r="BJ261" s="3"/>
    </row>
    <row r="262" ht="15.75" customHeight="1">
      <c r="BG262" s="3"/>
      <c r="BH262" s="3"/>
      <c r="BI262" s="3"/>
      <c r="BJ262" s="3"/>
    </row>
    <row r="263" ht="15.75" customHeight="1">
      <c r="BG263" s="3"/>
      <c r="BH263" s="3"/>
      <c r="BI263" s="3"/>
      <c r="BJ263" s="3"/>
    </row>
    <row r="264" ht="15.75" customHeight="1">
      <c r="BG264" s="3"/>
      <c r="BH264" s="3"/>
      <c r="BI264" s="3"/>
      <c r="BJ264" s="3"/>
    </row>
    <row r="265" ht="15.75" customHeight="1">
      <c r="BG265" s="3"/>
      <c r="BH265" s="3"/>
      <c r="BI265" s="3"/>
      <c r="BJ265" s="3"/>
    </row>
    <row r="266" ht="15.75" customHeight="1">
      <c r="BG266" s="3"/>
      <c r="BH266" s="3"/>
      <c r="BI266" s="3"/>
      <c r="BJ266" s="3"/>
    </row>
    <row r="267" ht="15.75" customHeight="1">
      <c r="BG267" s="3"/>
      <c r="BH267" s="3"/>
      <c r="BI267" s="3"/>
      <c r="BJ267" s="3"/>
    </row>
    <row r="268" ht="15.75" customHeight="1">
      <c r="BG268" s="3"/>
      <c r="BH268" s="3"/>
      <c r="BI268" s="3"/>
      <c r="BJ268" s="3"/>
    </row>
    <row r="269" ht="15.75" customHeight="1">
      <c r="BG269" s="3"/>
      <c r="BH269" s="3"/>
      <c r="BI269" s="3"/>
      <c r="BJ269" s="3"/>
    </row>
    <row r="270" ht="15.75" customHeight="1">
      <c r="BG270" s="3"/>
      <c r="BH270" s="3"/>
      <c r="BI270" s="3"/>
      <c r="BJ270" s="3"/>
    </row>
    <row r="271" ht="15.75" customHeight="1">
      <c r="BG271" s="3"/>
      <c r="BH271" s="3"/>
      <c r="BI271" s="3"/>
      <c r="BJ271" s="3"/>
    </row>
    <row r="272" ht="15.75" customHeight="1">
      <c r="BG272" s="3"/>
      <c r="BH272" s="3"/>
      <c r="BI272" s="3"/>
      <c r="BJ272" s="3"/>
    </row>
    <row r="273" ht="15.75" customHeight="1">
      <c r="BG273" s="3"/>
      <c r="BH273" s="3"/>
      <c r="BI273" s="3"/>
      <c r="BJ273" s="3"/>
    </row>
    <row r="274" ht="15.75" customHeight="1">
      <c r="BG274" s="3"/>
      <c r="BH274" s="3"/>
      <c r="BI274" s="3"/>
      <c r="BJ274" s="3"/>
    </row>
    <row r="275" ht="15.75" customHeight="1">
      <c r="BG275" s="3"/>
      <c r="BH275" s="3"/>
      <c r="BI275" s="3"/>
      <c r="BJ275" s="3"/>
    </row>
    <row r="276" ht="15.75" customHeight="1">
      <c r="BG276" s="3"/>
      <c r="BH276" s="3"/>
      <c r="BI276" s="3"/>
      <c r="BJ276" s="3"/>
    </row>
    <row r="277" ht="15.75" customHeight="1">
      <c r="BG277" s="3"/>
      <c r="BH277" s="3"/>
      <c r="BI277" s="3"/>
      <c r="BJ277" s="3"/>
    </row>
    <row r="278" ht="15.75" customHeight="1">
      <c r="BG278" s="3"/>
      <c r="BH278" s="3"/>
      <c r="BI278" s="3"/>
      <c r="BJ278" s="3"/>
    </row>
    <row r="279" ht="15.75" customHeight="1">
      <c r="BG279" s="3"/>
      <c r="BH279" s="3"/>
      <c r="BI279" s="3"/>
      <c r="BJ279" s="3"/>
    </row>
    <row r="280" ht="15.75" customHeight="1">
      <c r="BG280" s="3"/>
      <c r="BH280" s="3"/>
      <c r="BI280" s="3"/>
      <c r="BJ280" s="3"/>
    </row>
    <row r="281" ht="15.75" customHeight="1">
      <c r="BG281" s="3"/>
      <c r="BH281" s="3"/>
      <c r="BI281" s="3"/>
      <c r="BJ281" s="3"/>
    </row>
    <row r="282" ht="15.75" customHeight="1">
      <c r="BG282" s="3"/>
      <c r="BH282" s="3"/>
      <c r="BI282" s="3"/>
      <c r="BJ282" s="3"/>
    </row>
    <row r="283" ht="15.75" customHeight="1">
      <c r="BG283" s="3"/>
      <c r="BH283" s="3"/>
      <c r="BI283" s="3"/>
      <c r="BJ283" s="3"/>
    </row>
    <row r="284" ht="15.75" customHeight="1">
      <c r="BG284" s="3"/>
      <c r="BH284" s="3"/>
      <c r="BI284" s="3"/>
      <c r="BJ284" s="3"/>
    </row>
    <row r="285" ht="15.75" customHeight="1">
      <c r="BG285" s="3"/>
      <c r="BH285" s="3"/>
      <c r="BI285" s="3"/>
      <c r="BJ285" s="3"/>
    </row>
    <row r="286" ht="15.75" customHeight="1">
      <c r="BG286" s="3"/>
      <c r="BH286" s="3"/>
      <c r="BI286" s="3"/>
      <c r="BJ286" s="3"/>
    </row>
    <row r="287" ht="15.75" customHeight="1">
      <c r="BG287" s="3"/>
      <c r="BH287" s="3"/>
      <c r="BI287" s="3"/>
      <c r="BJ287" s="3"/>
    </row>
    <row r="288" ht="15.75" customHeight="1">
      <c r="BG288" s="3"/>
      <c r="BH288" s="3"/>
      <c r="BI288" s="3"/>
      <c r="BJ288" s="3"/>
    </row>
    <row r="289" ht="15.75" customHeight="1">
      <c r="BG289" s="3"/>
      <c r="BH289" s="3"/>
      <c r="BI289" s="3"/>
      <c r="BJ289" s="3"/>
    </row>
    <row r="290" ht="15.75" customHeight="1">
      <c r="BG290" s="3"/>
      <c r="BH290" s="3"/>
      <c r="BI290" s="3"/>
      <c r="BJ290" s="3"/>
    </row>
    <row r="291" ht="15.75" customHeight="1">
      <c r="BG291" s="3"/>
      <c r="BH291" s="3"/>
      <c r="BI291" s="3"/>
      <c r="BJ291" s="3"/>
    </row>
    <row r="292" ht="15.75" customHeight="1">
      <c r="BG292" s="3"/>
      <c r="BH292" s="3"/>
      <c r="BI292" s="3"/>
      <c r="BJ292" s="3"/>
    </row>
    <row r="293" ht="15.75" customHeight="1">
      <c r="BG293" s="3"/>
      <c r="BH293" s="3"/>
      <c r="BI293" s="3"/>
      <c r="BJ293" s="3"/>
    </row>
    <row r="294" ht="15.75" customHeight="1">
      <c r="BG294" s="3"/>
      <c r="BH294" s="3"/>
      <c r="BI294" s="3"/>
      <c r="BJ294" s="3"/>
    </row>
    <row r="295" ht="15.75" customHeight="1">
      <c r="BG295" s="3"/>
      <c r="BH295" s="3"/>
      <c r="BI295" s="3"/>
      <c r="BJ295" s="3"/>
    </row>
    <row r="296" ht="15.75" customHeight="1">
      <c r="BG296" s="3"/>
      <c r="BH296" s="3"/>
      <c r="BI296" s="3"/>
      <c r="BJ296" s="3"/>
    </row>
    <row r="297" ht="15.75" customHeight="1">
      <c r="BG297" s="3"/>
      <c r="BH297" s="3"/>
      <c r="BI297" s="3"/>
      <c r="BJ297" s="3"/>
    </row>
    <row r="298" ht="15.75" customHeight="1">
      <c r="BG298" s="3"/>
      <c r="BH298" s="3"/>
      <c r="BI298" s="3"/>
      <c r="BJ298" s="3"/>
    </row>
    <row r="299" ht="15.75" customHeight="1">
      <c r="BG299" s="3"/>
      <c r="BH299" s="3"/>
      <c r="BI299" s="3"/>
      <c r="BJ299" s="3"/>
    </row>
    <row r="300" ht="15.75" customHeight="1">
      <c r="BG300" s="3"/>
      <c r="BH300" s="3"/>
      <c r="BI300" s="3"/>
      <c r="BJ300" s="3"/>
    </row>
    <row r="301" ht="15.75" customHeight="1">
      <c r="BG301" s="3"/>
      <c r="BH301" s="3"/>
      <c r="BI301" s="3"/>
      <c r="BJ301" s="3"/>
    </row>
    <row r="302" ht="15.75" customHeight="1">
      <c r="BG302" s="3"/>
      <c r="BH302" s="3"/>
      <c r="BI302" s="3"/>
      <c r="BJ302" s="3"/>
    </row>
    <row r="303" ht="15.75" customHeight="1">
      <c r="BG303" s="3"/>
      <c r="BH303" s="3"/>
      <c r="BI303" s="3"/>
      <c r="BJ303" s="3"/>
    </row>
    <row r="304" ht="15.75" customHeight="1">
      <c r="BG304" s="3"/>
      <c r="BH304" s="3"/>
      <c r="BI304" s="3"/>
      <c r="BJ304" s="3"/>
    </row>
    <row r="305" ht="15.75" customHeight="1">
      <c r="BG305" s="3"/>
      <c r="BH305" s="3"/>
      <c r="BI305" s="3"/>
      <c r="BJ305" s="3"/>
    </row>
    <row r="306" ht="15.75" customHeight="1">
      <c r="BG306" s="3"/>
      <c r="BH306" s="3"/>
      <c r="BI306" s="3"/>
      <c r="BJ306" s="3"/>
    </row>
    <row r="307" ht="15.75" customHeight="1">
      <c r="BG307" s="3"/>
      <c r="BH307" s="3"/>
      <c r="BI307" s="3"/>
      <c r="BJ307" s="3"/>
    </row>
    <row r="308" ht="15.75" customHeight="1">
      <c r="BG308" s="3"/>
      <c r="BH308" s="3"/>
      <c r="BI308" s="3"/>
      <c r="BJ308" s="3"/>
    </row>
    <row r="309" ht="15.75" customHeight="1">
      <c r="BG309" s="3"/>
      <c r="BH309" s="3"/>
      <c r="BI309" s="3"/>
      <c r="BJ309" s="3"/>
    </row>
    <row r="310" ht="15.75" customHeight="1">
      <c r="BG310" s="3"/>
      <c r="BH310" s="3"/>
      <c r="BI310" s="3"/>
      <c r="BJ310" s="3"/>
    </row>
    <row r="311" ht="15.75" customHeight="1">
      <c r="BG311" s="3"/>
      <c r="BH311" s="3"/>
      <c r="BI311" s="3"/>
      <c r="BJ311" s="3"/>
    </row>
    <row r="312" ht="15.75" customHeight="1">
      <c r="BG312" s="3"/>
      <c r="BH312" s="3"/>
      <c r="BI312" s="3"/>
      <c r="BJ312" s="3"/>
    </row>
    <row r="313" ht="15.75" customHeight="1">
      <c r="BG313" s="3"/>
      <c r="BH313" s="3"/>
      <c r="BI313" s="3"/>
      <c r="BJ313" s="3"/>
    </row>
    <row r="314" ht="15.75" customHeight="1">
      <c r="BG314" s="3"/>
      <c r="BH314" s="3"/>
      <c r="BI314" s="3"/>
      <c r="BJ314" s="3"/>
    </row>
    <row r="315" ht="15.75" customHeight="1">
      <c r="BG315" s="3"/>
      <c r="BH315" s="3"/>
      <c r="BI315" s="3"/>
      <c r="BJ315" s="3"/>
    </row>
    <row r="316" ht="15.75" customHeight="1">
      <c r="BG316" s="3"/>
      <c r="BH316" s="3"/>
      <c r="BI316" s="3"/>
      <c r="BJ316" s="3"/>
    </row>
    <row r="317" ht="15.75" customHeight="1">
      <c r="BG317" s="3"/>
      <c r="BH317" s="3"/>
      <c r="BI317" s="3"/>
      <c r="BJ317" s="3"/>
    </row>
    <row r="318" ht="15.75" customHeight="1">
      <c r="BG318" s="3"/>
      <c r="BH318" s="3"/>
      <c r="BI318" s="3"/>
      <c r="BJ318" s="3"/>
    </row>
    <row r="319" ht="15.75" customHeight="1">
      <c r="BG319" s="3"/>
      <c r="BH319" s="3"/>
      <c r="BI319" s="3"/>
      <c r="BJ319" s="3"/>
    </row>
    <row r="320" ht="15.75" customHeight="1">
      <c r="BG320" s="3"/>
      <c r="BH320" s="3"/>
      <c r="BI320" s="3"/>
      <c r="BJ320" s="3"/>
    </row>
    <row r="321" ht="15.75" customHeight="1">
      <c r="BG321" s="3"/>
      <c r="BH321" s="3"/>
      <c r="BI321" s="3"/>
      <c r="BJ321" s="3"/>
    </row>
    <row r="322" ht="15.75" customHeight="1">
      <c r="BG322" s="3"/>
      <c r="BH322" s="3"/>
      <c r="BI322" s="3"/>
      <c r="BJ322" s="3"/>
    </row>
    <row r="323" ht="15.75" customHeight="1">
      <c r="BG323" s="3"/>
      <c r="BH323" s="3"/>
      <c r="BI323" s="3"/>
      <c r="BJ323" s="3"/>
    </row>
    <row r="324" ht="15.75" customHeight="1">
      <c r="BG324" s="3"/>
      <c r="BH324" s="3"/>
      <c r="BI324" s="3"/>
      <c r="BJ324" s="3"/>
    </row>
    <row r="325" ht="15.75" customHeight="1">
      <c r="BG325" s="3"/>
      <c r="BH325" s="3"/>
      <c r="BI325" s="3"/>
      <c r="BJ325" s="3"/>
    </row>
    <row r="326" ht="15.75" customHeight="1">
      <c r="BG326" s="3"/>
      <c r="BH326" s="3"/>
      <c r="BI326" s="3"/>
      <c r="BJ326" s="3"/>
    </row>
    <row r="327" ht="15.75" customHeight="1">
      <c r="BG327" s="3"/>
      <c r="BH327" s="3"/>
      <c r="BI327" s="3"/>
      <c r="BJ327" s="3"/>
    </row>
    <row r="328" ht="15.75" customHeight="1">
      <c r="BG328" s="3"/>
      <c r="BH328" s="3"/>
      <c r="BI328" s="3"/>
      <c r="BJ328" s="3"/>
    </row>
    <row r="329" ht="15.75" customHeight="1">
      <c r="BG329" s="3"/>
      <c r="BH329" s="3"/>
      <c r="BI329" s="3"/>
      <c r="BJ329" s="3"/>
    </row>
    <row r="330" ht="15.75" customHeight="1">
      <c r="BG330" s="3"/>
      <c r="BH330" s="3"/>
      <c r="BI330" s="3"/>
      <c r="BJ330" s="3"/>
    </row>
    <row r="331" ht="15.75" customHeight="1">
      <c r="BG331" s="3"/>
      <c r="BH331" s="3"/>
      <c r="BI331" s="3"/>
      <c r="BJ331" s="3"/>
    </row>
    <row r="332" ht="15.75" customHeight="1">
      <c r="BG332" s="3"/>
      <c r="BH332" s="3"/>
      <c r="BI332" s="3"/>
      <c r="BJ332" s="3"/>
    </row>
    <row r="333" ht="15.75" customHeight="1">
      <c r="BG333" s="3"/>
      <c r="BH333" s="3"/>
      <c r="BI333" s="3"/>
      <c r="BJ333" s="3"/>
    </row>
    <row r="334" ht="15.75" customHeight="1">
      <c r="BG334" s="3"/>
      <c r="BH334" s="3"/>
      <c r="BI334" s="3"/>
      <c r="BJ334" s="3"/>
    </row>
    <row r="335" ht="15.75" customHeight="1">
      <c r="BG335" s="3"/>
      <c r="BH335" s="3"/>
      <c r="BI335" s="3"/>
      <c r="BJ335" s="3"/>
    </row>
    <row r="336" ht="15.75" customHeight="1">
      <c r="BG336" s="3"/>
      <c r="BH336" s="3"/>
      <c r="BI336" s="3"/>
      <c r="BJ336" s="3"/>
    </row>
    <row r="337" ht="15.75" customHeight="1">
      <c r="BG337" s="3"/>
      <c r="BH337" s="3"/>
      <c r="BI337" s="3"/>
      <c r="BJ337" s="3"/>
    </row>
    <row r="338" ht="15.75" customHeight="1">
      <c r="BG338" s="3"/>
      <c r="BH338" s="3"/>
      <c r="BI338" s="3"/>
      <c r="BJ338" s="3"/>
    </row>
    <row r="339" ht="15.75" customHeight="1">
      <c r="BG339" s="3"/>
      <c r="BH339" s="3"/>
      <c r="BI339" s="3"/>
      <c r="BJ339" s="3"/>
    </row>
    <row r="340" ht="15.75" customHeight="1">
      <c r="BG340" s="3"/>
      <c r="BH340" s="3"/>
      <c r="BI340" s="3"/>
      <c r="BJ340" s="3"/>
    </row>
    <row r="341" ht="15.75" customHeight="1">
      <c r="BG341" s="3"/>
      <c r="BH341" s="3"/>
      <c r="BI341" s="3"/>
      <c r="BJ341" s="3"/>
    </row>
    <row r="342" ht="15.75" customHeight="1">
      <c r="BG342" s="3"/>
      <c r="BH342" s="3"/>
      <c r="BI342" s="3"/>
      <c r="BJ342" s="3"/>
    </row>
    <row r="343" ht="15.75" customHeight="1">
      <c r="BG343" s="3"/>
      <c r="BH343" s="3"/>
      <c r="BI343" s="3"/>
      <c r="BJ343" s="3"/>
    </row>
    <row r="344" ht="15.75" customHeight="1">
      <c r="BG344" s="3"/>
      <c r="BH344" s="3"/>
      <c r="BI344" s="3"/>
      <c r="BJ344" s="3"/>
    </row>
    <row r="345" ht="15.75" customHeight="1">
      <c r="BG345" s="3"/>
      <c r="BH345" s="3"/>
      <c r="BI345" s="3"/>
      <c r="BJ345" s="3"/>
    </row>
    <row r="346" ht="15.75" customHeight="1">
      <c r="BG346" s="3"/>
      <c r="BH346" s="3"/>
      <c r="BI346" s="3"/>
      <c r="BJ346" s="3"/>
    </row>
    <row r="347" ht="15.75" customHeight="1">
      <c r="BG347" s="3"/>
      <c r="BH347" s="3"/>
      <c r="BI347" s="3"/>
      <c r="BJ347" s="3"/>
    </row>
    <row r="348" ht="15.75" customHeight="1">
      <c r="BG348" s="3"/>
      <c r="BH348" s="3"/>
      <c r="BI348" s="3"/>
      <c r="BJ348" s="3"/>
    </row>
    <row r="349" ht="15.75" customHeight="1">
      <c r="BG349" s="3"/>
      <c r="BH349" s="3"/>
      <c r="BI349" s="3"/>
      <c r="BJ349" s="3"/>
    </row>
    <row r="350" ht="15.75" customHeight="1">
      <c r="BG350" s="3"/>
      <c r="BH350" s="3"/>
      <c r="BI350" s="3"/>
      <c r="BJ350" s="3"/>
    </row>
    <row r="351" ht="15.75" customHeight="1">
      <c r="BG351" s="3"/>
      <c r="BH351" s="3"/>
      <c r="BI351" s="3"/>
      <c r="BJ351" s="3"/>
    </row>
    <row r="352" ht="15.75" customHeight="1">
      <c r="BG352" s="3"/>
      <c r="BH352" s="3"/>
      <c r="BI352" s="3"/>
      <c r="BJ352" s="3"/>
    </row>
    <row r="353" ht="15.75" customHeight="1">
      <c r="BG353" s="3"/>
      <c r="BH353" s="3"/>
      <c r="BI353" s="3"/>
      <c r="BJ353" s="3"/>
    </row>
    <row r="354" ht="15.75" customHeight="1">
      <c r="BG354" s="3"/>
      <c r="BH354" s="3"/>
      <c r="BI354" s="3"/>
      <c r="BJ354" s="3"/>
    </row>
    <row r="355" ht="15.75" customHeight="1">
      <c r="BG355" s="3"/>
      <c r="BH355" s="3"/>
      <c r="BI355" s="3"/>
      <c r="BJ355" s="3"/>
    </row>
    <row r="356" ht="15.75" customHeight="1">
      <c r="BG356" s="3"/>
      <c r="BH356" s="3"/>
      <c r="BI356" s="3"/>
      <c r="BJ356" s="3"/>
    </row>
    <row r="357" ht="15.75" customHeight="1">
      <c r="BG357" s="3"/>
      <c r="BH357" s="3"/>
      <c r="BI357" s="3"/>
      <c r="BJ357" s="3"/>
    </row>
    <row r="358" ht="15.75" customHeight="1">
      <c r="BG358" s="3"/>
      <c r="BH358" s="3"/>
      <c r="BI358" s="3"/>
      <c r="BJ358" s="3"/>
    </row>
    <row r="359" ht="15.75" customHeight="1">
      <c r="BG359" s="3"/>
      <c r="BH359" s="3"/>
      <c r="BI359" s="3"/>
      <c r="BJ359" s="3"/>
    </row>
    <row r="360" ht="15.75" customHeight="1">
      <c r="BG360" s="3"/>
      <c r="BH360" s="3"/>
      <c r="BI360" s="3"/>
      <c r="BJ360" s="3"/>
    </row>
    <row r="361" ht="15.75" customHeight="1">
      <c r="BG361" s="3"/>
      <c r="BH361" s="3"/>
      <c r="BI361" s="3"/>
      <c r="BJ361" s="3"/>
    </row>
    <row r="362" ht="15.75" customHeight="1">
      <c r="BG362" s="3"/>
      <c r="BH362" s="3"/>
      <c r="BI362" s="3"/>
      <c r="BJ362" s="3"/>
    </row>
    <row r="363" ht="15.75" customHeight="1">
      <c r="BG363" s="3"/>
      <c r="BH363" s="3"/>
      <c r="BI363" s="3"/>
      <c r="BJ363" s="3"/>
    </row>
    <row r="364" ht="15.75" customHeight="1">
      <c r="BG364" s="3"/>
      <c r="BH364" s="3"/>
      <c r="BI364" s="3"/>
      <c r="BJ364" s="3"/>
    </row>
    <row r="365" ht="15.75" customHeight="1">
      <c r="BG365" s="3"/>
      <c r="BH365" s="3"/>
      <c r="BI365" s="3"/>
      <c r="BJ365" s="3"/>
    </row>
    <row r="366" ht="15.75" customHeight="1">
      <c r="BG366" s="3"/>
      <c r="BH366" s="3"/>
      <c r="BI366" s="3"/>
      <c r="BJ366" s="3"/>
    </row>
    <row r="367" ht="15.75" customHeight="1">
      <c r="BG367" s="3"/>
      <c r="BH367" s="3"/>
      <c r="BI367" s="3"/>
      <c r="BJ367" s="3"/>
    </row>
    <row r="368" ht="15.75" customHeight="1">
      <c r="BG368" s="3"/>
      <c r="BH368" s="3"/>
      <c r="BI368" s="3"/>
      <c r="BJ368" s="3"/>
    </row>
    <row r="369" ht="15.75" customHeight="1">
      <c r="BG369" s="3"/>
      <c r="BH369" s="3"/>
      <c r="BI369" s="3"/>
      <c r="BJ369" s="3"/>
    </row>
    <row r="370" ht="15.75" customHeight="1">
      <c r="BG370" s="3"/>
      <c r="BH370" s="3"/>
      <c r="BI370" s="3"/>
      <c r="BJ370" s="3"/>
    </row>
    <row r="371" ht="15.75" customHeight="1">
      <c r="BG371" s="3"/>
      <c r="BH371" s="3"/>
      <c r="BI371" s="3"/>
      <c r="BJ371" s="3"/>
    </row>
    <row r="372" ht="15.75" customHeight="1">
      <c r="BG372" s="3"/>
      <c r="BH372" s="3"/>
      <c r="BI372" s="3"/>
      <c r="BJ372" s="3"/>
    </row>
    <row r="373" ht="15.75" customHeight="1">
      <c r="BG373" s="3"/>
      <c r="BH373" s="3"/>
      <c r="BI373" s="3"/>
      <c r="BJ373" s="3"/>
    </row>
    <row r="374" ht="15.75" customHeight="1">
      <c r="BG374" s="3"/>
      <c r="BH374" s="3"/>
      <c r="BI374" s="3"/>
      <c r="BJ374" s="3"/>
    </row>
    <row r="375" ht="15.75" customHeight="1">
      <c r="BG375" s="3"/>
      <c r="BH375" s="3"/>
      <c r="BI375" s="3"/>
      <c r="BJ375" s="3"/>
    </row>
    <row r="376" ht="15.75" customHeight="1">
      <c r="BG376" s="3"/>
      <c r="BH376" s="3"/>
      <c r="BI376" s="3"/>
      <c r="BJ376" s="3"/>
    </row>
    <row r="377" ht="15.75" customHeight="1">
      <c r="BG377" s="3"/>
      <c r="BH377" s="3"/>
      <c r="BI377" s="3"/>
      <c r="BJ377" s="3"/>
    </row>
    <row r="378" ht="15.75" customHeight="1">
      <c r="BG378" s="3"/>
      <c r="BH378" s="3"/>
      <c r="BI378" s="3"/>
      <c r="BJ378" s="3"/>
    </row>
    <row r="379" ht="15.75" customHeight="1">
      <c r="BG379" s="3"/>
      <c r="BH379" s="3"/>
      <c r="BI379" s="3"/>
      <c r="BJ379" s="3"/>
    </row>
    <row r="380" ht="15.75" customHeight="1">
      <c r="BG380" s="3"/>
      <c r="BH380" s="3"/>
      <c r="BI380" s="3"/>
      <c r="BJ380" s="3"/>
    </row>
    <row r="381" ht="15.75" customHeight="1">
      <c r="BG381" s="3"/>
      <c r="BH381" s="3"/>
      <c r="BI381" s="3"/>
      <c r="BJ381" s="3"/>
    </row>
    <row r="382" ht="15.75" customHeight="1">
      <c r="BG382" s="3"/>
      <c r="BH382" s="3"/>
      <c r="BI382" s="3"/>
      <c r="BJ382" s="3"/>
    </row>
    <row r="383" ht="15.75" customHeight="1">
      <c r="BG383" s="3"/>
      <c r="BH383" s="3"/>
      <c r="BI383" s="3"/>
      <c r="BJ383" s="3"/>
    </row>
    <row r="384" ht="15.75" customHeight="1">
      <c r="BG384" s="3"/>
      <c r="BH384" s="3"/>
      <c r="BI384" s="3"/>
      <c r="BJ384" s="3"/>
    </row>
    <row r="385" ht="15.75" customHeight="1">
      <c r="BG385" s="3"/>
      <c r="BH385" s="3"/>
      <c r="BI385" s="3"/>
      <c r="BJ385" s="3"/>
    </row>
    <row r="386" ht="15.75" customHeight="1">
      <c r="BG386" s="3"/>
      <c r="BH386" s="3"/>
      <c r="BI386" s="3"/>
      <c r="BJ386" s="3"/>
    </row>
    <row r="387" ht="15.75" customHeight="1">
      <c r="BG387" s="3"/>
      <c r="BH387" s="3"/>
      <c r="BI387" s="3"/>
      <c r="BJ387" s="3"/>
    </row>
    <row r="388" ht="15.75" customHeight="1">
      <c r="BG388" s="3"/>
      <c r="BH388" s="3"/>
      <c r="BI388" s="3"/>
      <c r="BJ388" s="3"/>
    </row>
    <row r="389" ht="15.75" customHeight="1">
      <c r="BG389" s="3"/>
      <c r="BH389" s="3"/>
      <c r="BI389" s="3"/>
      <c r="BJ389" s="3"/>
    </row>
    <row r="390" ht="15.75" customHeight="1">
      <c r="BG390" s="3"/>
      <c r="BH390" s="3"/>
      <c r="BI390" s="3"/>
      <c r="BJ390" s="3"/>
    </row>
    <row r="391" ht="15.75" customHeight="1">
      <c r="BG391" s="3"/>
      <c r="BH391" s="3"/>
      <c r="BI391" s="3"/>
      <c r="BJ391" s="3"/>
    </row>
    <row r="392" ht="15.75" customHeight="1">
      <c r="BG392" s="3"/>
      <c r="BH392" s="3"/>
      <c r="BI392" s="3"/>
      <c r="BJ392" s="3"/>
    </row>
    <row r="393" ht="15.75" customHeight="1">
      <c r="BG393" s="3"/>
      <c r="BH393" s="3"/>
      <c r="BI393" s="3"/>
      <c r="BJ393" s="3"/>
    </row>
    <row r="394" ht="15.75" customHeight="1">
      <c r="BG394" s="3"/>
      <c r="BH394" s="3"/>
      <c r="BI394" s="3"/>
      <c r="BJ394" s="3"/>
    </row>
    <row r="395" ht="15.75" customHeight="1">
      <c r="BG395" s="3"/>
      <c r="BH395" s="3"/>
      <c r="BI395" s="3"/>
      <c r="BJ395" s="3"/>
    </row>
    <row r="396" ht="15.75" customHeight="1">
      <c r="BG396" s="3"/>
      <c r="BH396" s="3"/>
      <c r="BI396" s="3"/>
      <c r="BJ396" s="3"/>
    </row>
    <row r="397" ht="15.75" customHeight="1">
      <c r="BG397" s="3"/>
      <c r="BH397" s="3"/>
      <c r="BI397" s="3"/>
      <c r="BJ397" s="3"/>
    </row>
    <row r="398" ht="15.75" customHeight="1">
      <c r="BG398" s="3"/>
      <c r="BH398" s="3"/>
      <c r="BI398" s="3"/>
      <c r="BJ398" s="3"/>
    </row>
    <row r="399" ht="15.75" customHeight="1">
      <c r="BG399" s="3"/>
      <c r="BH399" s="3"/>
      <c r="BI399" s="3"/>
      <c r="BJ399" s="3"/>
    </row>
    <row r="400" ht="15.75" customHeight="1">
      <c r="BG400" s="3"/>
      <c r="BH400" s="3"/>
      <c r="BI400" s="3"/>
      <c r="BJ400" s="3"/>
    </row>
    <row r="401" ht="15.75" customHeight="1">
      <c r="BG401" s="3"/>
      <c r="BH401" s="3"/>
      <c r="BI401" s="3"/>
      <c r="BJ401" s="3"/>
    </row>
    <row r="402" ht="15.75" customHeight="1">
      <c r="BG402" s="3"/>
      <c r="BH402" s="3"/>
      <c r="BI402" s="3"/>
      <c r="BJ402" s="3"/>
    </row>
    <row r="403" ht="15.75" customHeight="1">
      <c r="BG403" s="3"/>
      <c r="BH403" s="3"/>
      <c r="BI403" s="3"/>
      <c r="BJ403" s="3"/>
    </row>
    <row r="404" ht="15.75" customHeight="1">
      <c r="BG404" s="3"/>
      <c r="BH404" s="3"/>
      <c r="BI404" s="3"/>
      <c r="BJ404" s="3"/>
    </row>
    <row r="405" ht="15.75" customHeight="1">
      <c r="BG405" s="3"/>
      <c r="BH405" s="3"/>
      <c r="BI405" s="3"/>
      <c r="BJ405" s="3"/>
    </row>
    <row r="406" ht="15.75" customHeight="1">
      <c r="BG406" s="3"/>
      <c r="BH406" s="3"/>
      <c r="BI406" s="3"/>
      <c r="BJ406" s="3"/>
    </row>
    <row r="407" ht="15.75" customHeight="1">
      <c r="BG407" s="3"/>
      <c r="BH407" s="3"/>
      <c r="BI407" s="3"/>
      <c r="BJ407" s="3"/>
    </row>
    <row r="408" ht="15.75" customHeight="1">
      <c r="BG408" s="3"/>
      <c r="BH408" s="3"/>
      <c r="BI408" s="3"/>
      <c r="BJ408" s="3"/>
    </row>
    <row r="409" ht="15.75" customHeight="1">
      <c r="BG409" s="3"/>
      <c r="BH409" s="3"/>
      <c r="BI409" s="3"/>
      <c r="BJ409" s="3"/>
    </row>
    <row r="410" ht="15.75" customHeight="1">
      <c r="BG410" s="3"/>
      <c r="BH410" s="3"/>
      <c r="BI410" s="3"/>
      <c r="BJ410" s="3"/>
    </row>
    <row r="411" ht="15.75" customHeight="1">
      <c r="BG411" s="3"/>
      <c r="BH411" s="3"/>
      <c r="BI411" s="3"/>
      <c r="BJ411" s="3"/>
    </row>
    <row r="412" ht="15.75" customHeight="1">
      <c r="BG412" s="3"/>
      <c r="BH412" s="3"/>
      <c r="BI412" s="3"/>
      <c r="BJ412" s="3"/>
    </row>
    <row r="413" ht="15.75" customHeight="1">
      <c r="BG413" s="3"/>
      <c r="BH413" s="3"/>
      <c r="BI413" s="3"/>
      <c r="BJ413" s="3"/>
    </row>
    <row r="414" ht="15.75" customHeight="1">
      <c r="BG414" s="3"/>
      <c r="BH414" s="3"/>
      <c r="BI414" s="3"/>
      <c r="BJ414" s="3"/>
    </row>
    <row r="415" ht="15.75" customHeight="1">
      <c r="BG415" s="3"/>
      <c r="BH415" s="3"/>
      <c r="BI415" s="3"/>
      <c r="BJ415" s="3"/>
    </row>
    <row r="416" ht="15.75" customHeight="1">
      <c r="BG416" s="3"/>
      <c r="BH416" s="3"/>
      <c r="BI416" s="3"/>
      <c r="BJ416" s="3"/>
    </row>
    <row r="417" ht="15.75" customHeight="1">
      <c r="BG417" s="3"/>
      <c r="BH417" s="3"/>
      <c r="BI417" s="3"/>
      <c r="BJ417" s="3"/>
    </row>
    <row r="418" ht="15.75" customHeight="1">
      <c r="BG418" s="3"/>
      <c r="BH418" s="3"/>
      <c r="BI418" s="3"/>
      <c r="BJ418" s="3"/>
    </row>
    <row r="419" ht="15.75" customHeight="1">
      <c r="BG419" s="3"/>
      <c r="BH419" s="3"/>
      <c r="BI419" s="3"/>
      <c r="BJ419" s="3"/>
    </row>
    <row r="420" ht="15.75" customHeight="1">
      <c r="BG420" s="3"/>
      <c r="BH420" s="3"/>
      <c r="BI420" s="3"/>
      <c r="BJ420" s="3"/>
    </row>
    <row r="421" ht="15.75" customHeight="1">
      <c r="BG421" s="3"/>
      <c r="BH421" s="3"/>
      <c r="BI421" s="3"/>
      <c r="BJ421" s="3"/>
    </row>
    <row r="422" ht="15.75" customHeight="1">
      <c r="BG422" s="3"/>
      <c r="BH422" s="3"/>
      <c r="BI422" s="3"/>
      <c r="BJ422" s="3"/>
    </row>
    <row r="423" ht="15.75" customHeight="1">
      <c r="BG423" s="3"/>
      <c r="BH423" s="3"/>
      <c r="BI423" s="3"/>
      <c r="BJ423" s="3"/>
    </row>
    <row r="424" ht="15.75" customHeight="1">
      <c r="BG424" s="3"/>
      <c r="BH424" s="3"/>
      <c r="BI424" s="3"/>
      <c r="BJ424" s="3"/>
    </row>
    <row r="425" ht="15.75" customHeight="1">
      <c r="BG425" s="3"/>
      <c r="BH425" s="3"/>
      <c r="BI425" s="3"/>
      <c r="BJ425" s="3"/>
    </row>
    <row r="426" ht="15.75" customHeight="1">
      <c r="BG426" s="3"/>
      <c r="BH426" s="3"/>
      <c r="BI426" s="3"/>
      <c r="BJ426" s="3"/>
    </row>
    <row r="427" ht="15.75" customHeight="1">
      <c r="BG427" s="3"/>
      <c r="BH427" s="3"/>
      <c r="BI427" s="3"/>
      <c r="BJ427" s="3"/>
    </row>
    <row r="428" ht="15.75" customHeight="1">
      <c r="BG428" s="3"/>
      <c r="BH428" s="3"/>
      <c r="BI428" s="3"/>
      <c r="BJ428" s="3"/>
    </row>
    <row r="429" ht="15.75" customHeight="1">
      <c r="BG429" s="3"/>
      <c r="BH429" s="3"/>
      <c r="BI429" s="3"/>
      <c r="BJ429" s="3"/>
    </row>
    <row r="430" ht="15.75" customHeight="1">
      <c r="BG430" s="3"/>
      <c r="BH430" s="3"/>
      <c r="BI430" s="3"/>
      <c r="BJ430" s="3"/>
    </row>
    <row r="431" ht="15.75" customHeight="1">
      <c r="BG431" s="3"/>
      <c r="BH431" s="3"/>
      <c r="BI431" s="3"/>
      <c r="BJ431" s="3"/>
    </row>
    <row r="432" ht="15.75" customHeight="1">
      <c r="BG432" s="3"/>
      <c r="BH432" s="3"/>
      <c r="BI432" s="3"/>
      <c r="BJ432" s="3"/>
    </row>
    <row r="433" ht="15.75" customHeight="1">
      <c r="BG433" s="3"/>
      <c r="BH433" s="3"/>
      <c r="BI433" s="3"/>
      <c r="BJ433" s="3"/>
    </row>
    <row r="434" ht="15.75" customHeight="1">
      <c r="BG434" s="3"/>
      <c r="BH434" s="3"/>
      <c r="BI434" s="3"/>
      <c r="BJ434" s="3"/>
    </row>
    <row r="435" ht="15.75" customHeight="1">
      <c r="BG435" s="3"/>
      <c r="BH435" s="3"/>
      <c r="BI435" s="3"/>
      <c r="BJ435" s="3"/>
    </row>
    <row r="436" ht="15.75" customHeight="1">
      <c r="BG436" s="3"/>
      <c r="BH436" s="3"/>
      <c r="BI436" s="3"/>
      <c r="BJ436" s="3"/>
    </row>
    <row r="437" ht="15.75" customHeight="1">
      <c r="BG437" s="3"/>
      <c r="BH437" s="3"/>
      <c r="BI437" s="3"/>
      <c r="BJ437" s="3"/>
    </row>
    <row r="438" ht="15.75" customHeight="1">
      <c r="BG438" s="3"/>
      <c r="BH438" s="3"/>
      <c r="BI438" s="3"/>
      <c r="BJ438" s="3"/>
    </row>
    <row r="439" ht="15.75" customHeight="1">
      <c r="BG439" s="3"/>
      <c r="BH439" s="3"/>
      <c r="BI439" s="3"/>
      <c r="BJ439" s="3"/>
    </row>
    <row r="440" ht="15.75" customHeight="1">
      <c r="BG440" s="3"/>
      <c r="BH440" s="3"/>
      <c r="BI440" s="3"/>
      <c r="BJ440" s="3"/>
    </row>
    <row r="441" ht="15.75" customHeight="1">
      <c r="BG441" s="3"/>
      <c r="BH441" s="3"/>
      <c r="BI441" s="3"/>
      <c r="BJ441" s="3"/>
    </row>
    <row r="442" ht="15.75" customHeight="1">
      <c r="BG442" s="3"/>
      <c r="BH442" s="3"/>
      <c r="BI442" s="3"/>
      <c r="BJ442" s="3"/>
    </row>
    <row r="443" ht="15.75" customHeight="1">
      <c r="BG443" s="3"/>
      <c r="BH443" s="3"/>
      <c r="BI443" s="3"/>
      <c r="BJ443" s="3"/>
    </row>
    <row r="444" ht="15.75" customHeight="1">
      <c r="BG444" s="3"/>
      <c r="BH444" s="3"/>
      <c r="BI444" s="3"/>
      <c r="BJ444" s="3"/>
    </row>
    <row r="445" ht="15.75" customHeight="1">
      <c r="BG445" s="3"/>
      <c r="BH445" s="3"/>
      <c r="BI445" s="3"/>
      <c r="BJ445" s="3"/>
    </row>
    <row r="446" ht="15.75" customHeight="1">
      <c r="BG446" s="3"/>
      <c r="BH446" s="3"/>
      <c r="BI446" s="3"/>
      <c r="BJ446" s="3"/>
    </row>
    <row r="447" ht="15.75" customHeight="1">
      <c r="BG447" s="3"/>
      <c r="BH447" s="3"/>
      <c r="BI447" s="3"/>
      <c r="BJ447" s="3"/>
    </row>
    <row r="448" ht="15.75" customHeight="1">
      <c r="BG448" s="3"/>
      <c r="BH448" s="3"/>
      <c r="BI448" s="3"/>
      <c r="BJ448" s="3"/>
    </row>
    <row r="449" ht="15.75" customHeight="1">
      <c r="BG449" s="3"/>
      <c r="BH449" s="3"/>
      <c r="BI449" s="3"/>
      <c r="BJ449" s="3"/>
    </row>
    <row r="450" ht="15.75" customHeight="1">
      <c r="BG450" s="3"/>
      <c r="BH450" s="3"/>
      <c r="BI450" s="3"/>
      <c r="BJ450" s="3"/>
    </row>
    <row r="451" ht="15.75" customHeight="1">
      <c r="BG451" s="3"/>
      <c r="BH451" s="3"/>
      <c r="BI451" s="3"/>
      <c r="BJ451" s="3"/>
    </row>
    <row r="452" ht="15.75" customHeight="1">
      <c r="BG452" s="3"/>
      <c r="BH452" s="3"/>
      <c r="BI452" s="3"/>
      <c r="BJ452" s="3"/>
    </row>
    <row r="453" ht="15.75" customHeight="1">
      <c r="BG453" s="3"/>
      <c r="BH453" s="3"/>
      <c r="BI453" s="3"/>
      <c r="BJ453" s="3"/>
    </row>
    <row r="454" ht="15.75" customHeight="1">
      <c r="BG454" s="3"/>
      <c r="BH454" s="3"/>
      <c r="BI454" s="3"/>
      <c r="BJ454" s="3"/>
    </row>
    <row r="455" ht="15.75" customHeight="1">
      <c r="BG455" s="3"/>
      <c r="BH455" s="3"/>
      <c r="BI455" s="3"/>
      <c r="BJ455" s="3"/>
    </row>
    <row r="456" ht="15.75" customHeight="1">
      <c r="BG456" s="3"/>
      <c r="BH456" s="3"/>
      <c r="BI456" s="3"/>
      <c r="BJ456" s="3"/>
    </row>
    <row r="457" ht="15.75" customHeight="1">
      <c r="BG457" s="3"/>
      <c r="BH457" s="3"/>
      <c r="BI457" s="3"/>
      <c r="BJ457" s="3"/>
    </row>
    <row r="458" ht="15.75" customHeight="1">
      <c r="BG458" s="3"/>
      <c r="BH458" s="3"/>
      <c r="BI458" s="3"/>
      <c r="BJ458" s="3"/>
    </row>
    <row r="459" ht="15.75" customHeight="1">
      <c r="BG459" s="3"/>
      <c r="BH459" s="3"/>
      <c r="BI459" s="3"/>
      <c r="BJ459" s="3"/>
    </row>
    <row r="460" ht="15.75" customHeight="1">
      <c r="BG460" s="3"/>
      <c r="BH460" s="3"/>
      <c r="BI460" s="3"/>
      <c r="BJ460" s="3"/>
    </row>
    <row r="461" ht="15.75" customHeight="1">
      <c r="BG461" s="3"/>
      <c r="BH461" s="3"/>
      <c r="BI461" s="3"/>
      <c r="BJ461" s="3"/>
    </row>
    <row r="462" ht="15.75" customHeight="1">
      <c r="BG462" s="3"/>
      <c r="BH462" s="3"/>
      <c r="BI462" s="3"/>
      <c r="BJ462" s="3"/>
    </row>
    <row r="463" ht="15.75" customHeight="1">
      <c r="BG463" s="3"/>
      <c r="BH463" s="3"/>
      <c r="BI463" s="3"/>
      <c r="BJ463" s="3"/>
    </row>
    <row r="464" ht="15.75" customHeight="1">
      <c r="BG464" s="3"/>
      <c r="BH464" s="3"/>
      <c r="BI464" s="3"/>
      <c r="BJ464" s="3"/>
    </row>
    <row r="465" ht="15.75" customHeight="1">
      <c r="BG465" s="3"/>
      <c r="BH465" s="3"/>
      <c r="BI465" s="3"/>
      <c r="BJ465" s="3"/>
    </row>
    <row r="466" ht="15.75" customHeight="1">
      <c r="BG466" s="3"/>
      <c r="BH466" s="3"/>
      <c r="BI466" s="3"/>
      <c r="BJ466" s="3"/>
    </row>
    <row r="467" ht="15.75" customHeight="1">
      <c r="BG467" s="3"/>
      <c r="BH467" s="3"/>
      <c r="BI467" s="3"/>
      <c r="BJ467" s="3"/>
    </row>
    <row r="468" ht="15.75" customHeight="1">
      <c r="BG468" s="3"/>
      <c r="BH468" s="3"/>
      <c r="BI468" s="3"/>
      <c r="BJ468" s="3"/>
    </row>
    <row r="469" ht="15.75" customHeight="1">
      <c r="BG469" s="3"/>
      <c r="BH469" s="3"/>
      <c r="BI469" s="3"/>
      <c r="BJ469" s="3"/>
    </row>
    <row r="470" ht="15.75" customHeight="1">
      <c r="BG470" s="3"/>
      <c r="BH470" s="3"/>
      <c r="BI470" s="3"/>
      <c r="BJ470" s="3"/>
    </row>
    <row r="471" ht="15.75" customHeight="1">
      <c r="BG471" s="3"/>
      <c r="BH471" s="3"/>
      <c r="BI471" s="3"/>
      <c r="BJ471" s="3"/>
    </row>
    <row r="472" ht="15.75" customHeight="1">
      <c r="BG472" s="3"/>
      <c r="BH472" s="3"/>
      <c r="BI472" s="3"/>
      <c r="BJ472" s="3"/>
    </row>
    <row r="473" ht="15.75" customHeight="1">
      <c r="BG473" s="3"/>
      <c r="BH473" s="3"/>
      <c r="BI473" s="3"/>
      <c r="BJ473" s="3"/>
    </row>
    <row r="474" ht="15.75" customHeight="1">
      <c r="BG474" s="3"/>
      <c r="BH474" s="3"/>
      <c r="BI474" s="3"/>
      <c r="BJ474" s="3"/>
    </row>
    <row r="475" ht="15.75" customHeight="1">
      <c r="BG475" s="3"/>
      <c r="BH475" s="3"/>
      <c r="BI475" s="3"/>
      <c r="BJ475" s="3"/>
    </row>
    <row r="476" ht="15.75" customHeight="1">
      <c r="BG476" s="3"/>
      <c r="BH476" s="3"/>
      <c r="BI476" s="3"/>
      <c r="BJ476" s="3"/>
    </row>
    <row r="477" ht="15.75" customHeight="1">
      <c r="BG477" s="3"/>
      <c r="BH477" s="3"/>
      <c r="BI477" s="3"/>
      <c r="BJ477" s="3"/>
    </row>
    <row r="478" ht="15.75" customHeight="1">
      <c r="BG478" s="3"/>
      <c r="BH478" s="3"/>
      <c r="BI478" s="3"/>
      <c r="BJ478" s="3"/>
    </row>
    <row r="479" ht="15.75" customHeight="1">
      <c r="BG479" s="3"/>
      <c r="BH479" s="3"/>
      <c r="BI479" s="3"/>
      <c r="BJ479" s="3"/>
    </row>
    <row r="480" ht="15.75" customHeight="1">
      <c r="BG480" s="3"/>
      <c r="BH480" s="3"/>
      <c r="BI480" s="3"/>
      <c r="BJ480" s="3"/>
    </row>
    <row r="481" ht="15.75" customHeight="1">
      <c r="BG481" s="3"/>
      <c r="BH481" s="3"/>
      <c r="BI481" s="3"/>
      <c r="BJ481" s="3"/>
    </row>
    <row r="482" ht="15.75" customHeight="1">
      <c r="BG482" s="3"/>
      <c r="BH482" s="3"/>
      <c r="BI482" s="3"/>
      <c r="BJ482" s="3"/>
    </row>
    <row r="483" ht="15.75" customHeight="1">
      <c r="BG483" s="3"/>
      <c r="BH483" s="3"/>
      <c r="BI483" s="3"/>
      <c r="BJ483" s="3"/>
    </row>
    <row r="484" ht="15.75" customHeight="1">
      <c r="BG484" s="3"/>
      <c r="BH484" s="3"/>
      <c r="BI484" s="3"/>
      <c r="BJ484" s="3"/>
    </row>
    <row r="485" ht="15.75" customHeight="1">
      <c r="BG485" s="3"/>
      <c r="BH485" s="3"/>
      <c r="BI485" s="3"/>
      <c r="BJ485" s="3"/>
    </row>
    <row r="486" ht="15.75" customHeight="1">
      <c r="BG486" s="3"/>
      <c r="BH486" s="3"/>
      <c r="BI486" s="3"/>
      <c r="BJ486" s="3"/>
    </row>
    <row r="487" ht="15.75" customHeight="1">
      <c r="BG487" s="3"/>
      <c r="BH487" s="3"/>
      <c r="BI487" s="3"/>
      <c r="BJ487" s="3"/>
    </row>
    <row r="488" ht="15.75" customHeight="1">
      <c r="BG488" s="3"/>
      <c r="BH488" s="3"/>
      <c r="BI488" s="3"/>
      <c r="BJ488" s="3"/>
    </row>
    <row r="489" ht="15.75" customHeight="1">
      <c r="BG489" s="3"/>
      <c r="BH489" s="3"/>
      <c r="BI489" s="3"/>
      <c r="BJ489" s="3"/>
    </row>
    <row r="490" ht="15.75" customHeight="1">
      <c r="BG490" s="3"/>
      <c r="BH490" s="3"/>
      <c r="BI490" s="3"/>
      <c r="BJ490" s="3"/>
    </row>
    <row r="491" ht="15.75" customHeight="1">
      <c r="BG491" s="3"/>
      <c r="BH491" s="3"/>
      <c r="BI491" s="3"/>
      <c r="BJ491" s="3"/>
    </row>
    <row r="492" ht="15.75" customHeight="1">
      <c r="BG492" s="3"/>
      <c r="BH492" s="3"/>
      <c r="BI492" s="3"/>
      <c r="BJ492" s="3"/>
    </row>
    <row r="493" ht="15.75" customHeight="1">
      <c r="BG493" s="3"/>
      <c r="BH493" s="3"/>
      <c r="BI493" s="3"/>
      <c r="BJ493" s="3"/>
    </row>
    <row r="494" ht="15.75" customHeight="1">
      <c r="BG494" s="3"/>
      <c r="BH494" s="3"/>
      <c r="BI494" s="3"/>
      <c r="BJ494" s="3"/>
    </row>
    <row r="495" ht="15.75" customHeight="1">
      <c r="BG495" s="3"/>
      <c r="BH495" s="3"/>
      <c r="BI495" s="3"/>
      <c r="BJ495" s="3"/>
    </row>
    <row r="496" ht="15.75" customHeight="1">
      <c r="BG496" s="3"/>
      <c r="BH496" s="3"/>
      <c r="BI496" s="3"/>
      <c r="BJ496" s="3"/>
    </row>
    <row r="497" ht="15.75" customHeight="1">
      <c r="BG497" s="3"/>
      <c r="BH497" s="3"/>
      <c r="BI497" s="3"/>
      <c r="BJ497" s="3"/>
    </row>
    <row r="498" ht="15.75" customHeight="1">
      <c r="BG498" s="3"/>
      <c r="BH498" s="3"/>
      <c r="BI498" s="3"/>
      <c r="BJ498" s="3"/>
    </row>
    <row r="499" ht="15.75" customHeight="1">
      <c r="BG499" s="3"/>
      <c r="BH499" s="3"/>
      <c r="BI499" s="3"/>
      <c r="BJ499" s="3"/>
    </row>
    <row r="500" ht="15.75" customHeight="1">
      <c r="BG500" s="3"/>
      <c r="BH500" s="3"/>
      <c r="BI500" s="3"/>
      <c r="BJ500" s="3"/>
    </row>
    <row r="501" ht="15.75" customHeight="1">
      <c r="BG501" s="3"/>
      <c r="BH501" s="3"/>
      <c r="BI501" s="3"/>
      <c r="BJ501" s="3"/>
    </row>
    <row r="502" ht="15.75" customHeight="1">
      <c r="BG502" s="3"/>
      <c r="BH502" s="3"/>
      <c r="BI502" s="3"/>
      <c r="BJ502" s="3"/>
    </row>
    <row r="503" ht="15.75" customHeight="1">
      <c r="BG503" s="3"/>
      <c r="BH503" s="3"/>
      <c r="BI503" s="3"/>
      <c r="BJ503" s="3"/>
    </row>
    <row r="504" ht="15.75" customHeight="1">
      <c r="BG504" s="3"/>
      <c r="BH504" s="3"/>
      <c r="BI504" s="3"/>
      <c r="BJ504" s="3"/>
    </row>
    <row r="505" ht="15.75" customHeight="1">
      <c r="BG505" s="3"/>
      <c r="BH505" s="3"/>
      <c r="BI505" s="3"/>
      <c r="BJ505" s="3"/>
    </row>
    <row r="506" ht="15.75" customHeight="1">
      <c r="BG506" s="3"/>
      <c r="BH506" s="3"/>
      <c r="BI506" s="3"/>
      <c r="BJ506" s="3"/>
    </row>
    <row r="507" ht="15.75" customHeight="1">
      <c r="BG507" s="3"/>
      <c r="BH507" s="3"/>
      <c r="BI507" s="3"/>
      <c r="BJ507" s="3"/>
    </row>
    <row r="508" ht="15.75" customHeight="1">
      <c r="BG508" s="3"/>
      <c r="BH508" s="3"/>
      <c r="BI508" s="3"/>
      <c r="BJ508" s="3"/>
    </row>
    <row r="509" ht="15.75" customHeight="1">
      <c r="BG509" s="3"/>
      <c r="BH509" s="3"/>
      <c r="BI509" s="3"/>
      <c r="BJ509" s="3"/>
    </row>
    <row r="510" ht="15.75" customHeight="1">
      <c r="BG510" s="3"/>
      <c r="BH510" s="3"/>
      <c r="BI510" s="3"/>
      <c r="BJ510" s="3"/>
    </row>
    <row r="511" ht="15.75" customHeight="1">
      <c r="BG511" s="3"/>
      <c r="BH511" s="3"/>
      <c r="BI511" s="3"/>
      <c r="BJ511" s="3"/>
    </row>
    <row r="512" ht="15.75" customHeight="1">
      <c r="BG512" s="3"/>
      <c r="BH512" s="3"/>
      <c r="BI512" s="3"/>
      <c r="BJ512" s="3"/>
    </row>
    <row r="513" ht="15.75" customHeight="1">
      <c r="BG513" s="3"/>
      <c r="BH513" s="3"/>
      <c r="BI513" s="3"/>
      <c r="BJ513" s="3"/>
    </row>
    <row r="514" ht="15.75" customHeight="1">
      <c r="BG514" s="3"/>
      <c r="BH514" s="3"/>
      <c r="BI514" s="3"/>
      <c r="BJ514" s="3"/>
    </row>
    <row r="515" ht="15.75" customHeight="1">
      <c r="BG515" s="3"/>
      <c r="BH515" s="3"/>
      <c r="BI515" s="3"/>
      <c r="BJ515" s="3"/>
    </row>
    <row r="516" ht="15.75" customHeight="1">
      <c r="BG516" s="3"/>
      <c r="BH516" s="3"/>
      <c r="BI516" s="3"/>
      <c r="BJ516" s="3"/>
    </row>
    <row r="517" ht="15.75" customHeight="1">
      <c r="BG517" s="3"/>
      <c r="BH517" s="3"/>
      <c r="BI517" s="3"/>
      <c r="BJ517" s="3"/>
    </row>
    <row r="518" ht="15.75" customHeight="1">
      <c r="BG518" s="3"/>
      <c r="BH518" s="3"/>
      <c r="BI518" s="3"/>
      <c r="BJ518" s="3"/>
    </row>
    <row r="519" ht="15.75" customHeight="1">
      <c r="BG519" s="3"/>
      <c r="BH519" s="3"/>
      <c r="BI519" s="3"/>
      <c r="BJ519" s="3"/>
    </row>
    <row r="520" ht="15.75" customHeight="1">
      <c r="BG520" s="3"/>
      <c r="BH520" s="3"/>
      <c r="BI520" s="3"/>
      <c r="BJ520" s="3"/>
    </row>
    <row r="521" ht="15.75" customHeight="1">
      <c r="BG521" s="3"/>
      <c r="BH521" s="3"/>
      <c r="BI521" s="3"/>
      <c r="BJ521" s="3"/>
    </row>
    <row r="522" ht="15.75" customHeight="1">
      <c r="BG522" s="3"/>
      <c r="BH522" s="3"/>
      <c r="BI522" s="3"/>
      <c r="BJ522" s="3"/>
    </row>
    <row r="523" ht="15.75" customHeight="1">
      <c r="BG523" s="3"/>
      <c r="BH523" s="3"/>
      <c r="BI523" s="3"/>
      <c r="BJ523" s="3"/>
    </row>
    <row r="524" ht="15.75" customHeight="1">
      <c r="BG524" s="3"/>
      <c r="BH524" s="3"/>
      <c r="BI524" s="3"/>
      <c r="BJ524" s="3"/>
    </row>
    <row r="525" ht="15.75" customHeight="1">
      <c r="BG525" s="3"/>
      <c r="BH525" s="3"/>
      <c r="BI525" s="3"/>
      <c r="BJ525" s="3"/>
    </row>
    <row r="526" ht="15.75" customHeight="1">
      <c r="BG526" s="3"/>
      <c r="BH526" s="3"/>
      <c r="BI526" s="3"/>
      <c r="BJ526" s="3"/>
    </row>
    <row r="527" ht="15.75" customHeight="1">
      <c r="BG527" s="3"/>
      <c r="BH527" s="3"/>
      <c r="BI527" s="3"/>
      <c r="BJ527" s="3"/>
    </row>
    <row r="528" ht="15.75" customHeight="1">
      <c r="BG528" s="3"/>
      <c r="BH528" s="3"/>
      <c r="BI528" s="3"/>
      <c r="BJ528" s="3"/>
    </row>
    <row r="529" ht="15.75" customHeight="1">
      <c r="BG529" s="3"/>
      <c r="BH529" s="3"/>
      <c r="BI529" s="3"/>
      <c r="BJ529" s="3"/>
    </row>
    <row r="530" ht="15.75" customHeight="1">
      <c r="BG530" s="3"/>
      <c r="BH530" s="3"/>
      <c r="BI530" s="3"/>
      <c r="BJ530" s="3"/>
    </row>
    <row r="531" ht="15.75" customHeight="1">
      <c r="BG531" s="3"/>
      <c r="BH531" s="3"/>
      <c r="BI531" s="3"/>
      <c r="BJ531" s="3"/>
    </row>
    <row r="532" ht="15.75" customHeight="1">
      <c r="BG532" s="3"/>
      <c r="BH532" s="3"/>
      <c r="BI532" s="3"/>
      <c r="BJ532" s="3"/>
    </row>
    <row r="533" ht="15.75" customHeight="1">
      <c r="BG533" s="3"/>
      <c r="BH533" s="3"/>
      <c r="BI533" s="3"/>
      <c r="BJ533" s="3"/>
    </row>
    <row r="534" ht="15.75" customHeight="1">
      <c r="BG534" s="3"/>
      <c r="BH534" s="3"/>
      <c r="BI534" s="3"/>
      <c r="BJ534" s="3"/>
    </row>
    <row r="535" ht="15.75" customHeight="1">
      <c r="BG535" s="3"/>
      <c r="BH535" s="3"/>
      <c r="BI535" s="3"/>
      <c r="BJ535" s="3"/>
    </row>
    <row r="536" ht="15.75" customHeight="1">
      <c r="BG536" s="3"/>
      <c r="BH536" s="3"/>
      <c r="BI536" s="3"/>
      <c r="BJ536" s="3"/>
    </row>
    <row r="537" ht="15.75" customHeight="1">
      <c r="BG537" s="3"/>
      <c r="BH537" s="3"/>
      <c r="BI537" s="3"/>
      <c r="BJ537" s="3"/>
    </row>
    <row r="538" ht="15.75" customHeight="1">
      <c r="BG538" s="3"/>
      <c r="BH538" s="3"/>
      <c r="BI538" s="3"/>
      <c r="BJ538" s="3"/>
    </row>
    <row r="539" ht="15.75" customHeight="1">
      <c r="BG539" s="3"/>
      <c r="BH539" s="3"/>
      <c r="BI539" s="3"/>
      <c r="BJ539" s="3"/>
    </row>
    <row r="540" ht="15.75" customHeight="1">
      <c r="BG540" s="3"/>
      <c r="BH540" s="3"/>
      <c r="BI540" s="3"/>
      <c r="BJ540" s="3"/>
    </row>
    <row r="541" ht="15.75" customHeight="1">
      <c r="BG541" s="3"/>
      <c r="BH541" s="3"/>
      <c r="BI541" s="3"/>
      <c r="BJ541" s="3"/>
    </row>
    <row r="542" ht="15.75" customHeight="1">
      <c r="BG542" s="3"/>
      <c r="BH542" s="3"/>
      <c r="BI542" s="3"/>
      <c r="BJ542" s="3"/>
    </row>
    <row r="543" ht="15.75" customHeight="1">
      <c r="BG543" s="3"/>
      <c r="BH543" s="3"/>
      <c r="BI543" s="3"/>
      <c r="BJ543" s="3"/>
    </row>
    <row r="544" ht="15.75" customHeight="1">
      <c r="BG544" s="3"/>
      <c r="BH544" s="3"/>
      <c r="BI544" s="3"/>
      <c r="BJ544" s="3"/>
    </row>
    <row r="545" ht="15.75" customHeight="1">
      <c r="BG545" s="3"/>
      <c r="BH545" s="3"/>
      <c r="BI545" s="3"/>
      <c r="BJ545" s="3"/>
    </row>
    <row r="546" ht="15.75" customHeight="1">
      <c r="BG546" s="3"/>
      <c r="BH546" s="3"/>
      <c r="BI546" s="3"/>
      <c r="BJ546" s="3"/>
    </row>
    <row r="547" ht="15.75" customHeight="1">
      <c r="BG547" s="3"/>
      <c r="BH547" s="3"/>
      <c r="BI547" s="3"/>
      <c r="BJ547" s="3"/>
    </row>
    <row r="548" ht="15.75" customHeight="1">
      <c r="BG548" s="3"/>
      <c r="BH548" s="3"/>
      <c r="BI548" s="3"/>
      <c r="BJ548" s="3"/>
    </row>
    <row r="549" ht="15.75" customHeight="1">
      <c r="BG549" s="3"/>
      <c r="BH549" s="3"/>
      <c r="BI549" s="3"/>
      <c r="BJ549" s="3"/>
    </row>
    <row r="550" ht="15.75" customHeight="1">
      <c r="BG550" s="3"/>
      <c r="BH550" s="3"/>
      <c r="BI550" s="3"/>
      <c r="BJ550" s="3"/>
    </row>
    <row r="551" ht="15.75" customHeight="1">
      <c r="BG551" s="3"/>
      <c r="BH551" s="3"/>
      <c r="BI551" s="3"/>
      <c r="BJ551" s="3"/>
    </row>
    <row r="552" ht="15.75" customHeight="1">
      <c r="BG552" s="3"/>
      <c r="BH552" s="3"/>
      <c r="BI552" s="3"/>
      <c r="BJ552" s="3"/>
    </row>
    <row r="553" ht="15.75" customHeight="1">
      <c r="BG553" s="3"/>
      <c r="BH553" s="3"/>
      <c r="BI553" s="3"/>
      <c r="BJ553" s="3"/>
    </row>
    <row r="554" ht="15.75" customHeight="1">
      <c r="BG554" s="3"/>
      <c r="BH554" s="3"/>
      <c r="BI554" s="3"/>
      <c r="BJ554" s="3"/>
    </row>
    <row r="555" ht="15.75" customHeight="1">
      <c r="BG555" s="3"/>
      <c r="BH555" s="3"/>
      <c r="BI555" s="3"/>
      <c r="BJ555" s="3"/>
    </row>
    <row r="556" ht="15.75" customHeight="1">
      <c r="BG556" s="3"/>
      <c r="BH556" s="3"/>
      <c r="BI556" s="3"/>
      <c r="BJ556" s="3"/>
    </row>
    <row r="557" ht="15.75" customHeight="1">
      <c r="BG557" s="3"/>
      <c r="BH557" s="3"/>
      <c r="BI557" s="3"/>
      <c r="BJ557" s="3"/>
    </row>
    <row r="558" ht="15.75" customHeight="1">
      <c r="BG558" s="3"/>
      <c r="BH558" s="3"/>
      <c r="BI558" s="3"/>
      <c r="BJ558" s="3"/>
    </row>
    <row r="559" ht="15.75" customHeight="1">
      <c r="BG559" s="3"/>
      <c r="BH559" s="3"/>
      <c r="BI559" s="3"/>
      <c r="BJ559" s="3"/>
    </row>
    <row r="560" ht="15.75" customHeight="1">
      <c r="BG560" s="3"/>
      <c r="BH560" s="3"/>
      <c r="BI560" s="3"/>
      <c r="BJ560" s="3"/>
    </row>
    <row r="561" ht="15.75" customHeight="1">
      <c r="BG561" s="3"/>
      <c r="BH561" s="3"/>
      <c r="BI561" s="3"/>
      <c r="BJ561" s="3"/>
    </row>
    <row r="562" ht="15.75" customHeight="1">
      <c r="BG562" s="3"/>
      <c r="BH562" s="3"/>
      <c r="BI562" s="3"/>
      <c r="BJ562" s="3"/>
    </row>
    <row r="563" ht="15.75" customHeight="1">
      <c r="BG563" s="3"/>
      <c r="BH563" s="3"/>
      <c r="BI563" s="3"/>
      <c r="BJ563" s="3"/>
    </row>
    <row r="564" ht="15.75" customHeight="1">
      <c r="BG564" s="3"/>
      <c r="BH564" s="3"/>
      <c r="BI564" s="3"/>
      <c r="BJ564" s="3"/>
    </row>
    <row r="565" ht="15.75" customHeight="1">
      <c r="BG565" s="3"/>
      <c r="BH565" s="3"/>
      <c r="BI565" s="3"/>
      <c r="BJ565" s="3"/>
    </row>
    <row r="566" ht="15.75" customHeight="1">
      <c r="BG566" s="3"/>
      <c r="BH566" s="3"/>
      <c r="BI566" s="3"/>
      <c r="BJ566" s="3"/>
    </row>
    <row r="567" ht="15.75" customHeight="1">
      <c r="BG567" s="3"/>
      <c r="BH567" s="3"/>
      <c r="BI567" s="3"/>
      <c r="BJ567" s="3"/>
    </row>
    <row r="568" ht="15.75" customHeight="1">
      <c r="BG568" s="3"/>
      <c r="BH568" s="3"/>
      <c r="BI568" s="3"/>
      <c r="BJ568" s="3"/>
    </row>
    <row r="569" ht="15.75" customHeight="1">
      <c r="BG569" s="3"/>
      <c r="BH569" s="3"/>
      <c r="BI569" s="3"/>
      <c r="BJ569" s="3"/>
    </row>
    <row r="570" ht="15.75" customHeight="1">
      <c r="BG570" s="3"/>
      <c r="BH570" s="3"/>
      <c r="BI570" s="3"/>
      <c r="BJ570" s="3"/>
    </row>
    <row r="571" ht="15.75" customHeight="1">
      <c r="BG571" s="3"/>
      <c r="BH571" s="3"/>
      <c r="BI571" s="3"/>
      <c r="BJ571" s="3"/>
    </row>
    <row r="572" ht="15.75" customHeight="1">
      <c r="BG572" s="3"/>
      <c r="BH572" s="3"/>
      <c r="BI572" s="3"/>
      <c r="BJ572" s="3"/>
    </row>
    <row r="573" ht="15.75" customHeight="1">
      <c r="BG573" s="3"/>
      <c r="BH573" s="3"/>
      <c r="BI573" s="3"/>
      <c r="BJ573" s="3"/>
    </row>
    <row r="574" ht="15.75" customHeight="1">
      <c r="BG574" s="3"/>
      <c r="BH574" s="3"/>
      <c r="BI574" s="3"/>
      <c r="BJ574" s="3"/>
    </row>
    <row r="575" ht="15.75" customHeight="1">
      <c r="BG575" s="3"/>
      <c r="BH575" s="3"/>
      <c r="BI575" s="3"/>
      <c r="BJ575" s="3"/>
    </row>
    <row r="576" ht="15.75" customHeight="1">
      <c r="BG576" s="3"/>
      <c r="BH576" s="3"/>
      <c r="BI576" s="3"/>
      <c r="BJ576" s="3"/>
    </row>
    <row r="577" ht="15.75" customHeight="1">
      <c r="BG577" s="3"/>
      <c r="BH577" s="3"/>
      <c r="BI577" s="3"/>
      <c r="BJ577" s="3"/>
    </row>
    <row r="578" ht="15.75" customHeight="1">
      <c r="BG578" s="3"/>
      <c r="BH578" s="3"/>
      <c r="BI578" s="3"/>
      <c r="BJ578" s="3"/>
    </row>
    <row r="579" ht="15.75" customHeight="1">
      <c r="BG579" s="3"/>
      <c r="BH579" s="3"/>
      <c r="BI579" s="3"/>
      <c r="BJ579" s="3"/>
    </row>
    <row r="580" ht="15.75" customHeight="1">
      <c r="BG580" s="3"/>
      <c r="BH580" s="3"/>
      <c r="BI580" s="3"/>
      <c r="BJ580" s="3"/>
    </row>
    <row r="581" ht="15.75" customHeight="1">
      <c r="BG581" s="3"/>
      <c r="BH581" s="3"/>
      <c r="BI581" s="3"/>
      <c r="BJ581" s="3"/>
    </row>
    <row r="582" ht="15.75" customHeight="1">
      <c r="BG582" s="3"/>
      <c r="BH582" s="3"/>
      <c r="BI582" s="3"/>
      <c r="BJ582" s="3"/>
    </row>
    <row r="583" ht="15.75" customHeight="1">
      <c r="BG583" s="3"/>
      <c r="BH583" s="3"/>
      <c r="BI583" s="3"/>
      <c r="BJ583" s="3"/>
    </row>
    <row r="584" ht="15.75" customHeight="1">
      <c r="BG584" s="3"/>
      <c r="BH584" s="3"/>
      <c r="BI584" s="3"/>
      <c r="BJ584" s="3"/>
    </row>
    <row r="585" ht="15.75" customHeight="1">
      <c r="BG585" s="3"/>
      <c r="BH585" s="3"/>
      <c r="BI585" s="3"/>
      <c r="BJ585" s="3"/>
    </row>
    <row r="586" ht="15.75" customHeight="1">
      <c r="BG586" s="3"/>
      <c r="BH586" s="3"/>
      <c r="BI586" s="3"/>
      <c r="BJ586" s="3"/>
    </row>
    <row r="587" ht="15.75" customHeight="1">
      <c r="BG587" s="3"/>
      <c r="BH587" s="3"/>
      <c r="BI587" s="3"/>
      <c r="BJ587" s="3"/>
    </row>
    <row r="588" ht="15.75" customHeight="1">
      <c r="BG588" s="3"/>
      <c r="BH588" s="3"/>
      <c r="BI588" s="3"/>
      <c r="BJ588" s="3"/>
    </row>
    <row r="589" ht="15.75" customHeight="1">
      <c r="BG589" s="3"/>
      <c r="BH589" s="3"/>
      <c r="BI589" s="3"/>
      <c r="BJ589" s="3"/>
    </row>
    <row r="590" ht="15.75" customHeight="1">
      <c r="BG590" s="3"/>
      <c r="BH590" s="3"/>
      <c r="BI590" s="3"/>
      <c r="BJ590" s="3"/>
    </row>
    <row r="591" ht="15.75" customHeight="1">
      <c r="BG591" s="3"/>
      <c r="BH591" s="3"/>
      <c r="BI591" s="3"/>
      <c r="BJ591" s="3"/>
    </row>
    <row r="592" ht="15.75" customHeight="1">
      <c r="BG592" s="3"/>
      <c r="BH592" s="3"/>
      <c r="BI592" s="3"/>
      <c r="BJ592" s="3"/>
    </row>
    <row r="593" ht="15.75" customHeight="1">
      <c r="BG593" s="3"/>
      <c r="BH593" s="3"/>
      <c r="BI593" s="3"/>
      <c r="BJ593" s="3"/>
    </row>
    <row r="594" ht="15.75" customHeight="1">
      <c r="BG594" s="3"/>
      <c r="BH594" s="3"/>
      <c r="BI594" s="3"/>
      <c r="BJ594" s="3"/>
    </row>
    <row r="595" ht="15.75" customHeight="1">
      <c r="BG595" s="3"/>
      <c r="BH595" s="3"/>
      <c r="BI595" s="3"/>
      <c r="BJ595" s="3"/>
    </row>
    <row r="596" ht="15.75" customHeight="1">
      <c r="BG596" s="3"/>
      <c r="BH596" s="3"/>
      <c r="BI596" s="3"/>
      <c r="BJ596" s="3"/>
    </row>
    <row r="597" ht="15.75" customHeight="1">
      <c r="BG597" s="3"/>
      <c r="BH597" s="3"/>
      <c r="BI597" s="3"/>
      <c r="BJ597" s="3"/>
    </row>
    <row r="598" ht="15.75" customHeight="1">
      <c r="BG598" s="3"/>
      <c r="BH598" s="3"/>
      <c r="BI598" s="3"/>
      <c r="BJ598" s="3"/>
    </row>
    <row r="599" ht="15.75" customHeight="1">
      <c r="BG599" s="3"/>
      <c r="BH599" s="3"/>
      <c r="BI599" s="3"/>
      <c r="BJ599" s="3"/>
    </row>
    <row r="600" ht="15.75" customHeight="1">
      <c r="BG600" s="3"/>
      <c r="BH600" s="3"/>
      <c r="BI600" s="3"/>
      <c r="BJ600" s="3"/>
    </row>
    <row r="601" ht="15.75" customHeight="1">
      <c r="BG601" s="3"/>
      <c r="BH601" s="3"/>
      <c r="BI601" s="3"/>
      <c r="BJ601" s="3"/>
    </row>
    <row r="602" ht="15.75" customHeight="1">
      <c r="BG602" s="3"/>
      <c r="BH602" s="3"/>
      <c r="BI602" s="3"/>
      <c r="BJ602" s="3"/>
    </row>
    <row r="603" ht="15.75" customHeight="1">
      <c r="BG603" s="3"/>
      <c r="BH603" s="3"/>
      <c r="BI603" s="3"/>
      <c r="BJ603" s="3"/>
    </row>
    <row r="604" ht="15.75" customHeight="1">
      <c r="BG604" s="3"/>
      <c r="BH604" s="3"/>
      <c r="BI604" s="3"/>
      <c r="BJ604" s="3"/>
    </row>
    <row r="605" ht="15.75" customHeight="1">
      <c r="BG605" s="3"/>
      <c r="BH605" s="3"/>
      <c r="BI605" s="3"/>
      <c r="BJ605" s="3"/>
    </row>
    <row r="606" ht="15.75" customHeight="1">
      <c r="BG606" s="3"/>
      <c r="BH606" s="3"/>
      <c r="BI606" s="3"/>
      <c r="BJ606" s="3"/>
    </row>
    <row r="607" ht="15.75" customHeight="1">
      <c r="BG607" s="3"/>
      <c r="BH607" s="3"/>
      <c r="BI607" s="3"/>
      <c r="BJ607" s="3"/>
    </row>
    <row r="608" ht="15.75" customHeight="1">
      <c r="BG608" s="3"/>
      <c r="BH608" s="3"/>
      <c r="BI608" s="3"/>
      <c r="BJ608" s="3"/>
    </row>
    <row r="609" ht="15.75" customHeight="1">
      <c r="BG609" s="3"/>
      <c r="BH609" s="3"/>
      <c r="BI609" s="3"/>
      <c r="BJ609" s="3"/>
    </row>
    <row r="610" ht="15.75" customHeight="1">
      <c r="BG610" s="3"/>
      <c r="BH610" s="3"/>
      <c r="BI610" s="3"/>
      <c r="BJ610" s="3"/>
    </row>
    <row r="611" ht="15.75" customHeight="1">
      <c r="BG611" s="3"/>
      <c r="BH611" s="3"/>
      <c r="BI611" s="3"/>
      <c r="BJ611" s="3"/>
    </row>
    <row r="612" ht="15.75" customHeight="1">
      <c r="BG612" s="3"/>
      <c r="BH612" s="3"/>
      <c r="BI612" s="3"/>
      <c r="BJ612" s="3"/>
    </row>
    <row r="613" ht="15.75" customHeight="1">
      <c r="BG613" s="3"/>
      <c r="BH613" s="3"/>
      <c r="BI613" s="3"/>
      <c r="BJ613" s="3"/>
    </row>
    <row r="614" ht="15.75" customHeight="1">
      <c r="BG614" s="3"/>
      <c r="BH614" s="3"/>
      <c r="BI614" s="3"/>
      <c r="BJ614" s="3"/>
    </row>
    <row r="615" ht="15.75" customHeight="1">
      <c r="BG615" s="3"/>
      <c r="BH615" s="3"/>
      <c r="BI615" s="3"/>
      <c r="BJ615" s="3"/>
    </row>
    <row r="616" ht="15.75" customHeight="1">
      <c r="BG616" s="3"/>
      <c r="BH616" s="3"/>
      <c r="BI616" s="3"/>
      <c r="BJ616" s="3"/>
    </row>
    <row r="617" ht="15.75" customHeight="1">
      <c r="BG617" s="3"/>
      <c r="BH617" s="3"/>
      <c r="BI617" s="3"/>
      <c r="BJ617" s="3"/>
    </row>
    <row r="618" ht="15.75" customHeight="1">
      <c r="BG618" s="3"/>
      <c r="BH618" s="3"/>
      <c r="BI618" s="3"/>
      <c r="BJ618" s="3"/>
    </row>
    <row r="619" ht="15.75" customHeight="1">
      <c r="BG619" s="3"/>
      <c r="BH619" s="3"/>
      <c r="BI619" s="3"/>
      <c r="BJ619" s="3"/>
    </row>
    <row r="620" ht="15.75" customHeight="1">
      <c r="BG620" s="3"/>
      <c r="BH620" s="3"/>
      <c r="BI620" s="3"/>
      <c r="BJ620" s="3"/>
    </row>
    <row r="621" ht="15.75" customHeight="1">
      <c r="BG621" s="3"/>
      <c r="BH621" s="3"/>
      <c r="BI621" s="3"/>
      <c r="BJ621" s="3"/>
    </row>
    <row r="622" ht="15.75" customHeight="1">
      <c r="BG622" s="3"/>
      <c r="BH622" s="3"/>
      <c r="BI622" s="3"/>
      <c r="BJ622" s="3"/>
    </row>
    <row r="623" ht="15.75" customHeight="1">
      <c r="BG623" s="3"/>
      <c r="BH623" s="3"/>
      <c r="BI623" s="3"/>
      <c r="BJ623" s="3"/>
    </row>
    <row r="624" ht="15.75" customHeight="1">
      <c r="BG624" s="3"/>
      <c r="BH624" s="3"/>
      <c r="BI624" s="3"/>
      <c r="BJ624" s="3"/>
    </row>
    <row r="625" ht="15.75" customHeight="1">
      <c r="BG625" s="3"/>
      <c r="BH625" s="3"/>
      <c r="BI625" s="3"/>
      <c r="BJ625" s="3"/>
    </row>
    <row r="626" ht="15.75" customHeight="1">
      <c r="BG626" s="3"/>
      <c r="BH626" s="3"/>
      <c r="BI626" s="3"/>
      <c r="BJ626" s="3"/>
    </row>
    <row r="627" ht="15.75" customHeight="1">
      <c r="BG627" s="3"/>
      <c r="BH627" s="3"/>
      <c r="BI627" s="3"/>
      <c r="BJ627" s="3"/>
    </row>
    <row r="628" ht="15.75" customHeight="1">
      <c r="BG628" s="3"/>
      <c r="BH628" s="3"/>
      <c r="BI628" s="3"/>
      <c r="BJ628" s="3"/>
    </row>
    <row r="629" ht="15.75" customHeight="1">
      <c r="BG629" s="3"/>
      <c r="BH629" s="3"/>
      <c r="BI629" s="3"/>
      <c r="BJ629" s="3"/>
    </row>
    <row r="630" ht="15.75" customHeight="1">
      <c r="BG630" s="3"/>
      <c r="BH630" s="3"/>
      <c r="BI630" s="3"/>
      <c r="BJ630" s="3"/>
    </row>
    <row r="631" ht="15.75" customHeight="1">
      <c r="BG631" s="3"/>
      <c r="BH631" s="3"/>
      <c r="BI631" s="3"/>
      <c r="BJ631" s="3"/>
    </row>
    <row r="632" ht="15.75" customHeight="1">
      <c r="BG632" s="3"/>
      <c r="BH632" s="3"/>
      <c r="BI632" s="3"/>
      <c r="BJ632" s="3"/>
    </row>
    <row r="633" ht="15.75" customHeight="1">
      <c r="BG633" s="3"/>
      <c r="BH633" s="3"/>
      <c r="BI633" s="3"/>
      <c r="BJ633" s="3"/>
    </row>
    <row r="634" ht="15.75" customHeight="1">
      <c r="BG634" s="3"/>
      <c r="BH634" s="3"/>
      <c r="BI634" s="3"/>
      <c r="BJ634" s="3"/>
    </row>
    <row r="635" ht="15.75" customHeight="1">
      <c r="BG635" s="3"/>
      <c r="BH635" s="3"/>
      <c r="BI635" s="3"/>
      <c r="BJ635" s="3"/>
    </row>
    <row r="636" ht="15.75" customHeight="1">
      <c r="BG636" s="3"/>
      <c r="BH636" s="3"/>
      <c r="BI636" s="3"/>
      <c r="BJ636" s="3"/>
    </row>
    <row r="637" ht="15.75" customHeight="1">
      <c r="BG637" s="3"/>
      <c r="BH637" s="3"/>
      <c r="BI637" s="3"/>
      <c r="BJ637" s="3"/>
    </row>
    <row r="638" ht="15.75" customHeight="1">
      <c r="BG638" s="3"/>
      <c r="BH638" s="3"/>
      <c r="BI638" s="3"/>
      <c r="BJ638" s="3"/>
    </row>
    <row r="639" ht="15.75" customHeight="1">
      <c r="BG639" s="3"/>
      <c r="BH639" s="3"/>
      <c r="BI639" s="3"/>
      <c r="BJ639" s="3"/>
    </row>
    <row r="640" ht="15.75" customHeight="1">
      <c r="BG640" s="3"/>
      <c r="BH640" s="3"/>
      <c r="BI640" s="3"/>
      <c r="BJ640" s="3"/>
    </row>
    <row r="641" ht="15.75" customHeight="1">
      <c r="BG641" s="3"/>
      <c r="BH641" s="3"/>
      <c r="BI641" s="3"/>
      <c r="BJ641" s="3"/>
    </row>
    <row r="642" ht="15.75" customHeight="1">
      <c r="BG642" s="3"/>
      <c r="BH642" s="3"/>
      <c r="BI642" s="3"/>
      <c r="BJ642" s="3"/>
    </row>
    <row r="643" ht="15.75" customHeight="1">
      <c r="BG643" s="3"/>
      <c r="BH643" s="3"/>
      <c r="BI643" s="3"/>
      <c r="BJ643" s="3"/>
    </row>
    <row r="644" ht="15.75" customHeight="1">
      <c r="BG644" s="3"/>
      <c r="BH644" s="3"/>
      <c r="BI644" s="3"/>
      <c r="BJ644" s="3"/>
    </row>
    <row r="645" ht="15.75" customHeight="1">
      <c r="BG645" s="3"/>
      <c r="BH645" s="3"/>
      <c r="BI645" s="3"/>
      <c r="BJ645" s="3"/>
    </row>
    <row r="646" ht="15.75" customHeight="1">
      <c r="BG646" s="3"/>
      <c r="BH646" s="3"/>
      <c r="BI646" s="3"/>
      <c r="BJ646" s="3"/>
    </row>
    <row r="647" ht="15.75" customHeight="1">
      <c r="BG647" s="3"/>
      <c r="BH647" s="3"/>
      <c r="BI647" s="3"/>
      <c r="BJ647" s="3"/>
    </row>
    <row r="648" ht="15.75" customHeight="1">
      <c r="BG648" s="3"/>
      <c r="BH648" s="3"/>
      <c r="BI648" s="3"/>
      <c r="BJ648" s="3"/>
    </row>
    <row r="649" ht="15.75" customHeight="1">
      <c r="BG649" s="3"/>
      <c r="BH649" s="3"/>
      <c r="BI649" s="3"/>
      <c r="BJ649" s="3"/>
    </row>
    <row r="650" ht="15.75" customHeight="1">
      <c r="BG650" s="3"/>
      <c r="BH650" s="3"/>
      <c r="BI650" s="3"/>
      <c r="BJ650" s="3"/>
    </row>
    <row r="651" ht="15.75" customHeight="1">
      <c r="BG651" s="3"/>
      <c r="BH651" s="3"/>
      <c r="BI651" s="3"/>
      <c r="BJ651" s="3"/>
    </row>
    <row r="652" ht="15.75" customHeight="1">
      <c r="BG652" s="3"/>
      <c r="BH652" s="3"/>
      <c r="BI652" s="3"/>
      <c r="BJ652" s="3"/>
    </row>
    <row r="653" ht="15.75" customHeight="1">
      <c r="BG653" s="3"/>
      <c r="BH653" s="3"/>
      <c r="BI653" s="3"/>
      <c r="BJ653" s="3"/>
    </row>
    <row r="654" ht="15.75" customHeight="1">
      <c r="BG654" s="3"/>
      <c r="BH654" s="3"/>
      <c r="BI654" s="3"/>
      <c r="BJ654" s="3"/>
    </row>
    <row r="655" ht="15.75" customHeight="1">
      <c r="BG655" s="3"/>
      <c r="BH655" s="3"/>
      <c r="BI655" s="3"/>
      <c r="BJ655" s="3"/>
    </row>
    <row r="656" ht="15.75" customHeight="1">
      <c r="BG656" s="3"/>
      <c r="BH656" s="3"/>
      <c r="BI656" s="3"/>
      <c r="BJ656" s="3"/>
    </row>
    <row r="657" ht="15.75" customHeight="1">
      <c r="BG657" s="3"/>
      <c r="BH657" s="3"/>
      <c r="BI657" s="3"/>
      <c r="BJ657" s="3"/>
    </row>
    <row r="658" ht="15.75" customHeight="1">
      <c r="BG658" s="3"/>
      <c r="BH658" s="3"/>
      <c r="BI658" s="3"/>
      <c r="BJ658" s="3"/>
    </row>
    <row r="659" ht="15.75" customHeight="1">
      <c r="BG659" s="3"/>
      <c r="BH659" s="3"/>
      <c r="BI659" s="3"/>
      <c r="BJ659" s="3"/>
    </row>
    <row r="660" ht="15.75" customHeight="1">
      <c r="BG660" s="3"/>
      <c r="BH660" s="3"/>
      <c r="BI660" s="3"/>
      <c r="BJ660" s="3"/>
    </row>
    <row r="661" ht="15.75" customHeight="1">
      <c r="BG661" s="3"/>
      <c r="BH661" s="3"/>
      <c r="BI661" s="3"/>
      <c r="BJ661" s="3"/>
    </row>
    <row r="662" ht="15.75" customHeight="1">
      <c r="BG662" s="3"/>
      <c r="BH662" s="3"/>
      <c r="BI662" s="3"/>
      <c r="BJ662" s="3"/>
    </row>
    <row r="663" ht="15.75" customHeight="1">
      <c r="BG663" s="3"/>
      <c r="BH663" s="3"/>
      <c r="BI663" s="3"/>
      <c r="BJ663" s="3"/>
    </row>
    <row r="664" ht="15.75" customHeight="1">
      <c r="BG664" s="3"/>
      <c r="BH664" s="3"/>
      <c r="BI664" s="3"/>
      <c r="BJ664" s="3"/>
    </row>
    <row r="665" ht="15.75" customHeight="1">
      <c r="BG665" s="3"/>
      <c r="BH665" s="3"/>
      <c r="BI665" s="3"/>
      <c r="BJ665" s="3"/>
    </row>
    <row r="666" ht="15.75" customHeight="1">
      <c r="BG666" s="3"/>
      <c r="BH666" s="3"/>
      <c r="BI666" s="3"/>
      <c r="BJ666" s="3"/>
    </row>
    <row r="667" ht="15.75" customHeight="1">
      <c r="BG667" s="3"/>
      <c r="BH667" s="3"/>
      <c r="BI667" s="3"/>
      <c r="BJ667" s="3"/>
    </row>
    <row r="668" ht="15.75" customHeight="1">
      <c r="BG668" s="3"/>
      <c r="BH668" s="3"/>
      <c r="BI668" s="3"/>
      <c r="BJ668" s="3"/>
    </row>
    <row r="669" ht="15.75" customHeight="1">
      <c r="BG669" s="3"/>
      <c r="BH669" s="3"/>
      <c r="BI669" s="3"/>
      <c r="BJ669" s="3"/>
    </row>
    <row r="670" ht="15.75" customHeight="1">
      <c r="BG670" s="3"/>
      <c r="BH670" s="3"/>
      <c r="BI670" s="3"/>
      <c r="BJ670" s="3"/>
    </row>
    <row r="671" ht="15.75" customHeight="1">
      <c r="BG671" s="3"/>
      <c r="BH671" s="3"/>
      <c r="BI671" s="3"/>
      <c r="BJ671" s="3"/>
    </row>
    <row r="672" ht="15.75" customHeight="1">
      <c r="BG672" s="3"/>
      <c r="BH672" s="3"/>
      <c r="BI672" s="3"/>
      <c r="BJ672" s="3"/>
    </row>
    <row r="673" ht="15.75" customHeight="1">
      <c r="BG673" s="3"/>
      <c r="BH673" s="3"/>
      <c r="BI673" s="3"/>
      <c r="BJ673" s="3"/>
    </row>
    <row r="674" ht="15.75" customHeight="1">
      <c r="BG674" s="3"/>
      <c r="BH674" s="3"/>
      <c r="BI674" s="3"/>
      <c r="BJ674" s="3"/>
    </row>
    <row r="675" ht="15.75" customHeight="1">
      <c r="BG675" s="3"/>
      <c r="BH675" s="3"/>
      <c r="BI675" s="3"/>
      <c r="BJ675" s="3"/>
    </row>
    <row r="676" ht="15.75" customHeight="1">
      <c r="BG676" s="3"/>
      <c r="BH676" s="3"/>
      <c r="BI676" s="3"/>
      <c r="BJ676" s="3"/>
    </row>
    <row r="677" ht="15.75" customHeight="1">
      <c r="BG677" s="3"/>
      <c r="BH677" s="3"/>
      <c r="BI677" s="3"/>
      <c r="BJ677" s="3"/>
    </row>
    <row r="678" ht="15.75" customHeight="1">
      <c r="BG678" s="3"/>
      <c r="BH678" s="3"/>
      <c r="BI678" s="3"/>
      <c r="BJ678" s="3"/>
    </row>
    <row r="679" ht="15.75" customHeight="1">
      <c r="BG679" s="3"/>
      <c r="BH679" s="3"/>
      <c r="BI679" s="3"/>
      <c r="BJ679" s="3"/>
    </row>
    <row r="680" ht="15.75" customHeight="1">
      <c r="BG680" s="3"/>
      <c r="BH680" s="3"/>
      <c r="BI680" s="3"/>
      <c r="BJ680" s="3"/>
    </row>
    <row r="681" ht="15.75" customHeight="1">
      <c r="BG681" s="3"/>
      <c r="BH681" s="3"/>
      <c r="BI681" s="3"/>
      <c r="BJ681" s="3"/>
    </row>
    <row r="682" ht="15.75" customHeight="1">
      <c r="BG682" s="3"/>
      <c r="BH682" s="3"/>
      <c r="BI682" s="3"/>
      <c r="BJ682" s="3"/>
    </row>
    <row r="683" ht="15.75" customHeight="1">
      <c r="BG683" s="3"/>
      <c r="BH683" s="3"/>
      <c r="BI683" s="3"/>
      <c r="BJ683" s="3"/>
    </row>
    <row r="684" ht="15.75" customHeight="1">
      <c r="BG684" s="3"/>
      <c r="BH684" s="3"/>
      <c r="BI684" s="3"/>
      <c r="BJ684" s="3"/>
    </row>
    <row r="685" ht="15.75" customHeight="1">
      <c r="BG685" s="3"/>
      <c r="BH685" s="3"/>
      <c r="BI685" s="3"/>
      <c r="BJ685" s="3"/>
    </row>
    <row r="686" ht="15.75" customHeight="1">
      <c r="BG686" s="3"/>
      <c r="BH686" s="3"/>
      <c r="BI686" s="3"/>
      <c r="BJ686" s="3"/>
    </row>
    <row r="687" ht="15.75" customHeight="1">
      <c r="BG687" s="3"/>
      <c r="BH687" s="3"/>
      <c r="BI687" s="3"/>
      <c r="BJ687" s="3"/>
    </row>
    <row r="688" ht="15.75" customHeight="1">
      <c r="BG688" s="3"/>
      <c r="BH688" s="3"/>
      <c r="BI688" s="3"/>
      <c r="BJ688" s="3"/>
    </row>
    <row r="689" ht="15.75" customHeight="1">
      <c r="BG689" s="3"/>
      <c r="BH689" s="3"/>
      <c r="BI689" s="3"/>
      <c r="BJ689" s="3"/>
    </row>
    <row r="690" ht="15.75" customHeight="1">
      <c r="BG690" s="3"/>
      <c r="BH690" s="3"/>
      <c r="BI690" s="3"/>
      <c r="BJ690" s="3"/>
    </row>
    <row r="691" ht="15.75" customHeight="1">
      <c r="BG691" s="3"/>
      <c r="BH691" s="3"/>
      <c r="BI691" s="3"/>
      <c r="BJ691" s="3"/>
    </row>
    <row r="692" ht="15.75" customHeight="1">
      <c r="BG692" s="3"/>
      <c r="BH692" s="3"/>
      <c r="BI692" s="3"/>
      <c r="BJ692" s="3"/>
    </row>
    <row r="693" ht="15.75" customHeight="1">
      <c r="BG693" s="3"/>
      <c r="BH693" s="3"/>
      <c r="BI693" s="3"/>
      <c r="BJ693" s="3"/>
    </row>
    <row r="694" ht="15.75" customHeight="1">
      <c r="BG694" s="3"/>
      <c r="BH694" s="3"/>
      <c r="BI694" s="3"/>
      <c r="BJ694" s="3"/>
    </row>
    <row r="695" ht="15.75" customHeight="1">
      <c r="BG695" s="3"/>
      <c r="BH695" s="3"/>
      <c r="BI695" s="3"/>
      <c r="BJ695" s="3"/>
    </row>
    <row r="696" ht="15.75" customHeight="1">
      <c r="BG696" s="3"/>
      <c r="BH696" s="3"/>
      <c r="BI696" s="3"/>
      <c r="BJ696" s="3"/>
    </row>
    <row r="697" ht="15.75" customHeight="1">
      <c r="BG697" s="3"/>
      <c r="BH697" s="3"/>
      <c r="BI697" s="3"/>
      <c r="BJ697" s="3"/>
    </row>
    <row r="698" ht="15.75" customHeight="1">
      <c r="BG698" s="3"/>
      <c r="BH698" s="3"/>
      <c r="BI698" s="3"/>
      <c r="BJ698" s="3"/>
    </row>
    <row r="699" ht="15.75" customHeight="1">
      <c r="BG699" s="3"/>
      <c r="BH699" s="3"/>
      <c r="BI699" s="3"/>
      <c r="BJ699" s="3"/>
    </row>
    <row r="700" ht="15.75" customHeight="1">
      <c r="BG700" s="3"/>
      <c r="BH700" s="3"/>
      <c r="BI700" s="3"/>
      <c r="BJ700" s="3"/>
    </row>
    <row r="701" ht="15.75" customHeight="1">
      <c r="BG701" s="3"/>
      <c r="BH701" s="3"/>
      <c r="BI701" s="3"/>
      <c r="BJ701" s="3"/>
    </row>
    <row r="702" ht="15.75" customHeight="1">
      <c r="BG702" s="3"/>
      <c r="BH702" s="3"/>
      <c r="BI702" s="3"/>
      <c r="BJ702" s="3"/>
    </row>
    <row r="703" ht="15.75" customHeight="1">
      <c r="BG703" s="3"/>
      <c r="BH703" s="3"/>
      <c r="BI703" s="3"/>
      <c r="BJ703" s="3"/>
    </row>
    <row r="704" ht="15.75" customHeight="1">
      <c r="BG704" s="3"/>
      <c r="BH704" s="3"/>
      <c r="BI704" s="3"/>
      <c r="BJ704" s="3"/>
    </row>
    <row r="705" ht="15.75" customHeight="1">
      <c r="BG705" s="3"/>
      <c r="BH705" s="3"/>
      <c r="BI705" s="3"/>
      <c r="BJ705" s="3"/>
    </row>
    <row r="706" ht="15.75" customHeight="1">
      <c r="BG706" s="3"/>
      <c r="BH706" s="3"/>
      <c r="BI706" s="3"/>
      <c r="BJ706" s="3"/>
    </row>
    <row r="707" ht="15.75" customHeight="1">
      <c r="BG707" s="3"/>
      <c r="BH707" s="3"/>
      <c r="BI707" s="3"/>
      <c r="BJ707" s="3"/>
    </row>
    <row r="708" ht="15.75" customHeight="1">
      <c r="BG708" s="3"/>
      <c r="BH708" s="3"/>
      <c r="BI708" s="3"/>
      <c r="BJ708" s="3"/>
    </row>
    <row r="709" ht="15.75" customHeight="1">
      <c r="BG709" s="3"/>
      <c r="BH709" s="3"/>
      <c r="BI709" s="3"/>
      <c r="BJ709" s="3"/>
    </row>
    <row r="710" ht="15.75" customHeight="1">
      <c r="BG710" s="3"/>
      <c r="BH710" s="3"/>
      <c r="BI710" s="3"/>
      <c r="BJ710" s="3"/>
    </row>
    <row r="711" ht="15.75" customHeight="1">
      <c r="BG711" s="3"/>
      <c r="BH711" s="3"/>
      <c r="BI711" s="3"/>
      <c r="BJ711" s="3"/>
    </row>
    <row r="712" ht="15.75" customHeight="1">
      <c r="BG712" s="3"/>
      <c r="BH712" s="3"/>
      <c r="BI712" s="3"/>
      <c r="BJ712" s="3"/>
    </row>
    <row r="713" ht="15.75" customHeight="1">
      <c r="BG713" s="3"/>
      <c r="BH713" s="3"/>
      <c r="BI713" s="3"/>
      <c r="BJ713" s="3"/>
    </row>
    <row r="714" ht="15.75" customHeight="1">
      <c r="BG714" s="3"/>
      <c r="BH714" s="3"/>
      <c r="BI714" s="3"/>
      <c r="BJ714" s="3"/>
    </row>
    <row r="715" ht="15.75" customHeight="1">
      <c r="BG715" s="3"/>
      <c r="BH715" s="3"/>
      <c r="BI715" s="3"/>
      <c r="BJ715" s="3"/>
    </row>
    <row r="716" ht="15.75" customHeight="1">
      <c r="BG716" s="3"/>
      <c r="BH716" s="3"/>
      <c r="BI716" s="3"/>
      <c r="BJ716" s="3"/>
    </row>
    <row r="717" ht="15.75" customHeight="1">
      <c r="BG717" s="3"/>
      <c r="BH717" s="3"/>
      <c r="BI717" s="3"/>
      <c r="BJ717" s="3"/>
    </row>
    <row r="718" ht="15.75" customHeight="1">
      <c r="BG718" s="3"/>
      <c r="BH718" s="3"/>
      <c r="BI718" s="3"/>
      <c r="BJ718" s="3"/>
    </row>
    <row r="719" ht="15.75" customHeight="1">
      <c r="BG719" s="3"/>
      <c r="BH719" s="3"/>
      <c r="BI719" s="3"/>
      <c r="BJ719" s="3"/>
    </row>
    <row r="720" ht="15.75" customHeight="1">
      <c r="BG720" s="3"/>
      <c r="BH720" s="3"/>
      <c r="BI720" s="3"/>
      <c r="BJ720" s="3"/>
    </row>
    <row r="721" ht="15.75" customHeight="1">
      <c r="BG721" s="3"/>
      <c r="BH721" s="3"/>
      <c r="BI721" s="3"/>
      <c r="BJ721" s="3"/>
    </row>
    <row r="722" ht="15.75" customHeight="1">
      <c r="BG722" s="3"/>
      <c r="BH722" s="3"/>
      <c r="BI722" s="3"/>
      <c r="BJ722" s="3"/>
    </row>
    <row r="723" ht="15.75" customHeight="1">
      <c r="BG723" s="3"/>
      <c r="BH723" s="3"/>
      <c r="BI723" s="3"/>
      <c r="BJ723" s="3"/>
    </row>
    <row r="724" ht="15.75" customHeight="1">
      <c r="BG724" s="3"/>
      <c r="BH724" s="3"/>
      <c r="BI724" s="3"/>
      <c r="BJ724" s="3"/>
    </row>
    <row r="725" ht="15.75" customHeight="1">
      <c r="BG725" s="3"/>
      <c r="BH725" s="3"/>
      <c r="BI725" s="3"/>
      <c r="BJ725" s="3"/>
    </row>
    <row r="726" ht="15.75" customHeight="1">
      <c r="BG726" s="3"/>
      <c r="BH726" s="3"/>
      <c r="BI726" s="3"/>
      <c r="BJ726" s="3"/>
    </row>
    <row r="727" ht="15.75" customHeight="1">
      <c r="BG727" s="3"/>
      <c r="BH727" s="3"/>
      <c r="BI727" s="3"/>
      <c r="BJ727" s="3"/>
    </row>
    <row r="728" ht="15.75" customHeight="1">
      <c r="BG728" s="3"/>
      <c r="BH728" s="3"/>
      <c r="BI728" s="3"/>
      <c r="BJ728" s="3"/>
    </row>
    <row r="729" ht="15.75" customHeight="1">
      <c r="BG729" s="3"/>
      <c r="BH729" s="3"/>
      <c r="BI729" s="3"/>
      <c r="BJ729" s="3"/>
    </row>
    <row r="730" ht="15.75" customHeight="1">
      <c r="BG730" s="3"/>
      <c r="BH730" s="3"/>
      <c r="BI730" s="3"/>
      <c r="BJ730" s="3"/>
    </row>
    <row r="731" ht="15.75" customHeight="1">
      <c r="BG731" s="3"/>
      <c r="BH731" s="3"/>
      <c r="BI731" s="3"/>
      <c r="BJ731" s="3"/>
    </row>
    <row r="732" ht="15.75" customHeight="1">
      <c r="BG732" s="3"/>
      <c r="BH732" s="3"/>
      <c r="BI732" s="3"/>
      <c r="BJ732" s="3"/>
    </row>
    <row r="733" ht="15.75" customHeight="1">
      <c r="BG733" s="3"/>
      <c r="BH733" s="3"/>
      <c r="BI733" s="3"/>
      <c r="BJ733" s="3"/>
    </row>
    <row r="734" ht="15.75" customHeight="1">
      <c r="BG734" s="3"/>
      <c r="BH734" s="3"/>
      <c r="BI734" s="3"/>
      <c r="BJ734" s="3"/>
    </row>
    <row r="735" ht="15.75" customHeight="1">
      <c r="BG735" s="3"/>
      <c r="BH735" s="3"/>
      <c r="BI735" s="3"/>
      <c r="BJ735" s="3"/>
    </row>
    <row r="736" ht="15.75" customHeight="1">
      <c r="BG736" s="3"/>
      <c r="BH736" s="3"/>
      <c r="BI736" s="3"/>
      <c r="BJ736" s="3"/>
    </row>
    <row r="737" ht="15.75" customHeight="1">
      <c r="BG737" s="3"/>
      <c r="BH737" s="3"/>
      <c r="BI737" s="3"/>
      <c r="BJ737" s="3"/>
    </row>
    <row r="738" ht="15.75" customHeight="1">
      <c r="BG738" s="3"/>
      <c r="BH738" s="3"/>
      <c r="BI738" s="3"/>
      <c r="BJ738" s="3"/>
    </row>
    <row r="739" ht="15.75" customHeight="1">
      <c r="BG739" s="3"/>
      <c r="BH739" s="3"/>
      <c r="BI739" s="3"/>
      <c r="BJ739" s="3"/>
    </row>
    <row r="740" ht="15.75" customHeight="1">
      <c r="BG740" s="3"/>
      <c r="BH740" s="3"/>
      <c r="BI740" s="3"/>
      <c r="BJ740" s="3"/>
    </row>
    <row r="741" ht="15.75" customHeight="1">
      <c r="BG741" s="3"/>
      <c r="BH741" s="3"/>
      <c r="BI741" s="3"/>
      <c r="BJ741" s="3"/>
    </row>
    <row r="742" ht="15.75" customHeight="1">
      <c r="BG742" s="3"/>
      <c r="BH742" s="3"/>
      <c r="BI742" s="3"/>
      <c r="BJ742" s="3"/>
    </row>
    <row r="743" ht="15.75" customHeight="1">
      <c r="BG743" s="3"/>
      <c r="BH743" s="3"/>
      <c r="BI743" s="3"/>
      <c r="BJ743" s="3"/>
    </row>
    <row r="744" ht="15.75" customHeight="1">
      <c r="BG744" s="3"/>
      <c r="BH744" s="3"/>
      <c r="BI744" s="3"/>
      <c r="BJ744" s="3"/>
    </row>
    <row r="745" ht="15.75" customHeight="1">
      <c r="BG745" s="3"/>
      <c r="BH745" s="3"/>
      <c r="BI745" s="3"/>
      <c r="BJ745" s="3"/>
    </row>
    <row r="746" ht="15.75" customHeight="1">
      <c r="BG746" s="3"/>
      <c r="BH746" s="3"/>
      <c r="BI746" s="3"/>
      <c r="BJ746" s="3"/>
    </row>
    <row r="747" ht="15.75" customHeight="1">
      <c r="BG747" s="3"/>
      <c r="BH747" s="3"/>
      <c r="BI747" s="3"/>
      <c r="BJ747" s="3"/>
    </row>
    <row r="748" ht="15.75" customHeight="1">
      <c r="BG748" s="3"/>
      <c r="BH748" s="3"/>
      <c r="BI748" s="3"/>
      <c r="BJ748" s="3"/>
    </row>
    <row r="749" ht="15.75" customHeight="1">
      <c r="BG749" s="3"/>
      <c r="BH749" s="3"/>
      <c r="BI749" s="3"/>
      <c r="BJ749" s="3"/>
    </row>
    <row r="750" ht="15.75" customHeight="1">
      <c r="BG750" s="3"/>
      <c r="BH750" s="3"/>
      <c r="BI750" s="3"/>
      <c r="BJ750" s="3"/>
    </row>
    <row r="751" ht="15.75" customHeight="1">
      <c r="BG751" s="3"/>
      <c r="BH751" s="3"/>
      <c r="BI751" s="3"/>
      <c r="BJ751" s="3"/>
    </row>
    <row r="752" ht="15.75" customHeight="1">
      <c r="BG752" s="3"/>
      <c r="BH752" s="3"/>
      <c r="BI752" s="3"/>
      <c r="BJ752" s="3"/>
    </row>
    <row r="753" ht="15.75" customHeight="1">
      <c r="BG753" s="3"/>
      <c r="BH753" s="3"/>
      <c r="BI753" s="3"/>
      <c r="BJ753" s="3"/>
    </row>
    <row r="754" ht="15.75" customHeight="1">
      <c r="BG754" s="3"/>
      <c r="BH754" s="3"/>
      <c r="BI754" s="3"/>
      <c r="BJ754" s="3"/>
    </row>
    <row r="755" ht="15.75" customHeight="1">
      <c r="BG755" s="3"/>
      <c r="BH755" s="3"/>
      <c r="BI755" s="3"/>
      <c r="BJ755" s="3"/>
    </row>
    <row r="756" ht="15.75" customHeight="1">
      <c r="BG756" s="3"/>
      <c r="BH756" s="3"/>
      <c r="BI756" s="3"/>
      <c r="BJ756" s="3"/>
    </row>
    <row r="757" ht="15.75" customHeight="1">
      <c r="BG757" s="3"/>
      <c r="BH757" s="3"/>
      <c r="BI757" s="3"/>
      <c r="BJ757" s="3"/>
    </row>
    <row r="758" ht="15.75" customHeight="1">
      <c r="BG758" s="3"/>
      <c r="BH758" s="3"/>
      <c r="BI758" s="3"/>
      <c r="BJ758" s="3"/>
    </row>
    <row r="759" ht="15.75" customHeight="1">
      <c r="BG759" s="3"/>
      <c r="BH759" s="3"/>
      <c r="BI759" s="3"/>
      <c r="BJ759" s="3"/>
    </row>
    <row r="760" ht="15.75" customHeight="1">
      <c r="BG760" s="3"/>
      <c r="BH760" s="3"/>
      <c r="BI760" s="3"/>
      <c r="BJ760" s="3"/>
    </row>
    <row r="761" ht="15.75" customHeight="1">
      <c r="BG761" s="3"/>
      <c r="BH761" s="3"/>
      <c r="BI761" s="3"/>
      <c r="BJ761" s="3"/>
    </row>
    <row r="762" ht="15.75" customHeight="1">
      <c r="BG762" s="3"/>
      <c r="BH762" s="3"/>
      <c r="BI762" s="3"/>
      <c r="BJ762" s="3"/>
    </row>
    <row r="763" ht="15.75" customHeight="1">
      <c r="BG763" s="3"/>
      <c r="BH763" s="3"/>
      <c r="BI763" s="3"/>
      <c r="BJ763" s="3"/>
    </row>
    <row r="764" ht="15.75" customHeight="1">
      <c r="BG764" s="3"/>
      <c r="BH764" s="3"/>
      <c r="BI764" s="3"/>
      <c r="BJ764" s="3"/>
    </row>
    <row r="765" ht="15.75" customHeight="1">
      <c r="BG765" s="3"/>
      <c r="BH765" s="3"/>
      <c r="BI765" s="3"/>
      <c r="BJ765" s="3"/>
    </row>
    <row r="766" ht="15.75" customHeight="1">
      <c r="BG766" s="3"/>
      <c r="BH766" s="3"/>
      <c r="BI766" s="3"/>
      <c r="BJ766" s="3"/>
    </row>
    <row r="767" ht="15.75" customHeight="1">
      <c r="BG767" s="3"/>
      <c r="BH767" s="3"/>
      <c r="BI767" s="3"/>
      <c r="BJ767" s="3"/>
    </row>
    <row r="768" ht="15.75" customHeight="1">
      <c r="BG768" s="3"/>
      <c r="BH768" s="3"/>
      <c r="BI768" s="3"/>
      <c r="BJ768" s="3"/>
    </row>
    <row r="769" ht="15.75" customHeight="1">
      <c r="BG769" s="3"/>
      <c r="BH769" s="3"/>
      <c r="BI769" s="3"/>
      <c r="BJ769" s="3"/>
    </row>
    <row r="770" ht="15.75" customHeight="1">
      <c r="BG770" s="3"/>
      <c r="BH770" s="3"/>
      <c r="BI770" s="3"/>
      <c r="BJ770" s="3"/>
    </row>
    <row r="771" ht="15.75" customHeight="1">
      <c r="BG771" s="3"/>
      <c r="BH771" s="3"/>
      <c r="BI771" s="3"/>
      <c r="BJ771" s="3"/>
    </row>
    <row r="772" ht="15.75" customHeight="1">
      <c r="BG772" s="3"/>
      <c r="BH772" s="3"/>
      <c r="BI772" s="3"/>
      <c r="BJ772" s="3"/>
    </row>
    <row r="773" ht="15.75" customHeight="1">
      <c r="BG773" s="3"/>
      <c r="BH773" s="3"/>
      <c r="BI773" s="3"/>
      <c r="BJ773" s="3"/>
    </row>
    <row r="774" ht="15.75" customHeight="1">
      <c r="BG774" s="3"/>
      <c r="BH774" s="3"/>
      <c r="BI774" s="3"/>
      <c r="BJ774" s="3"/>
    </row>
    <row r="775" ht="15.75" customHeight="1">
      <c r="BG775" s="3"/>
      <c r="BH775" s="3"/>
      <c r="BI775" s="3"/>
      <c r="BJ775" s="3"/>
    </row>
    <row r="776" ht="15.75" customHeight="1">
      <c r="BG776" s="3"/>
      <c r="BH776" s="3"/>
      <c r="BI776" s="3"/>
      <c r="BJ776" s="3"/>
    </row>
    <row r="777" ht="15.75" customHeight="1">
      <c r="BG777" s="3"/>
      <c r="BH777" s="3"/>
      <c r="BI777" s="3"/>
      <c r="BJ777" s="3"/>
    </row>
    <row r="778" ht="15.75" customHeight="1">
      <c r="BG778" s="3"/>
      <c r="BH778" s="3"/>
      <c r="BI778" s="3"/>
      <c r="BJ778" s="3"/>
    </row>
    <row r="779" ht="15.75" customHeight="1">
      <c r="BG779" s="3"/>
      <c r="BH779" s="3"/>
      <c r="BI779" s="3"/>
      <c r="BJ779" s="3"/>
    </row>
    <row r="780" ht="15.75" customHeight="1">
      <c r="BG780" s="3"/>
      <c r="BH780" s="3"/>
      <c r="BI780" s="3"/>
      <c r="BJ780" s="3"/>
    </row>
    <row r="781" ht="15.75" customHeight="1">
      <c r="BG781" s="3"/>
      <c r="BH781" s="3"/>
      <c r="BI781" s="3"/>
      <c r="BJ781" s="3"/>
    </row>
    <row r="782" ht="15.75" customHeight="1">
      <c r="BG782" s="3"/>
      <c r="BH782" s="3"/>
      <c r="BI782" s="3"/>
      <c r="BJ782" s="3"/>
    </row>
    <row r="783" ht="15.75" customHeight="1">
      <c r="BG783" s="3"/>
      <c r="BH783" s="3"/>
      <c r="BI783" s="3"/>
      <c r="BJ783" s="3"/>
    </row>
    <row r="784" ht="15.75" customHeight="1">
      <c r="BG784" s="3"/>
      <c r="BH784" s="3"/>
      <c r="BI784" s="3"/>
      <c r="BJ784" s="3"/>
    </row>
    <row r="785" ht="15.75" customHeight="1">
      <c r="BG785" s="3"/>
      <c r="BH785" s="3"/>
      <c r="BI785" s="3"/>
      <c r="BJ785" s="3"/>
    </row>
    <row r="786" ht="15.75" customHeight="1">
      <c r="BG786" s="3"/>
      <c r="BH786" s="3"/>
      <c r="BI786" s="3"/>
      <c r="BJ786" s="3"/>
    </row>
    <row r="787" ht="15.75" customHeight="1">
      <c r="BG787" s="3"/>
      <c r="BH787" s="3"/>
      <c r="BI787" s="3"/>
      <c r="BJ787" s="3"/>
    </row>
    <row r="788" ht="15.75" customHeight="1">
      <c r="BG788" s="3"/>
      <c r="BH788" s="3"/>
      <c r="BI788" s="3"/>
      <c r="BJ788" s="3"/>
    </row>
    <row r="789" ht="15.75" customHeight="1">
      <c r="BG789" s="3"/>
      <c r="BH789" s="3"/>
      <c r="BI789" s="3"/>
      <c r="BJ789" s="3"/>
    </row>
    <row r="790" ht="15.75" customHeight="1">
      <c r="BG790" s="3"/>
      <c r="BH790" s="3"/>
      <c r="BI790" s="3"/>
      <c r="BJ790" s="3"/>
    </row>
    <row r="791" ht="15.75" customHeight="1">
      <c r="BG791" s="3"/>
      <c r="BH791" s="3"/>
      <c r="BI791" s="3"/>
      <c r="BJ791" s="3"/>
    </row>
    <row r="792" ht="15.75" customHeight="1">
      <c r="BG792" s="3"/>
      <c r="BH792" s="3"/>
      <c r="BI792" s="3"/>
      <c r="BJ792" s="3"/>
    </row>
    <row r="793" ht="15.75" customHeight="1">
      <c r="BG793" s="3"/>
      <c r="BH793" s="3"/>
      <c r="BI793" s="3"/>
      <c r="BJ793" s="3"/>
    </row>
    <row r="794" ht="15.75" customHeight="1">
      <c r="BG794" s="3"/>
      <c r="BH794" s="3"/>
      <c r="BI794" s="3"/>
      <c r="BJ794" s="3"/>
    </row>
    <row r="795" ht="15.75" customHeight="1">
      <c r="BG795" s="3"/>
      <c r="BH795" s="3"/>
      <c r="BI795" s="3"/>
      <c r="BJ795" s="3"/>
    </row>
    <row r="796" ht="15.75" customHeight="1">
      <c r="BG796" s="3"/>
      <c r="BH796" s="3"/>
      <c r="BI796" s="3"/>
      <c r="BJ796" s="3"/>
    </row>
    <row r="797" ht="15.75" customHeight="1">
      <c r="BG797" s="3"/>
      <c r="BH797" s="3"/>
      <c r="BI797" s="3"/>
      <c r="BJ797" s="3"/>
    </row>
    <row r="798" ht="15.75" customHeight="1">
      <c r="BG798" s="3"/>
      <c r="BH798" s="3"/>
      <c r="BI798" s="3"/>
      <c r="BJ798" s="3"/>
    </row>
    <row r="799" ht="15.75" customHeight="1">
      <c r="BG799" s="3"/>
      <c r="BH799" s="3"/>
      <c r="BI799" s="3"/>
      <c r="BJ799" s="3"/>
    </row>
    <row r="800" ht="15.75" customHeight="1">
      <c r="BG800" s="3"/>
      <c r="BH800" s="3"/>
      <c r="BI800" s="3"/>
      <c r="BJ800" s="3"/>
    </row>
    <row r="801" ht="15.75" customHeight="1">
      <c r="BG801" s="3"/>
      <c r="BH801" s="3"/>
      <c r="BI801" s="3"/>
      <c r="BJ801" s="3"/>
    </row>
    <row r="802" ht="15.75" customHeight="1">
      <c r="BG802" s="3"/>
      <c r="BH802" s="3"/>
      <c r="BI802" s="3"/>
      <c r="BJ802" s="3"/>
    </row>
    <row r="803" ht="15.75" customHeight="1">
      <c r="BG803" s="3"/>
      <c r="BH803" s="3"/>
      <c r="BI803" s="3"/>
      <c r="BJ803" s="3"/>
    </row>
    <row r="804" ht="15.75" customHeight="1">
      <c r="BG804" s="3"/>
      <c r="BH804" s="3"/>
      <c r="BI804" s="3"/>
      <c r="BJ804" s="3"/>
    </row>
    <row r="805" ht="15.75" customHeight="1">
      <c r="BG805" s="3"/>
      <c r="BH805" s="3"/>
      <c r="BI805" s="3"/>
      <c r="BJ805" s="3"/>
    </row>
    <row r="806" ht="15.75" customHeight="1">
      <c r="BG806" s="3"/>
      <c r="BH806" s="3"/>
      <c r="BI806" s="3"/>
      <c r="BJ806" s="3"/>
    </row>
    <row r="807" ht="15.75" customHeight="1">
      <c r="BG807" s="3"/>
      <c r="BH807" s="3"/>
      <c r="BI807" s="3"/>
      <c r="BJ807" s="3"/>
    </row>
    <row r="808" ht="15.75" customHeight="1">
      <c r="BG808" s="3"/>
      <c r="BH808" s="3"/>
      <c r="BI808" s="3"/>
      <c r="BJ808" s="3"/>
    </row>
    <row r="809" ht="15.75" customHeight="1">
      <c r="BG809" s="3"/>
      <c r="BH809" s="3"/>
      <c r="BI809" s="3"/>
      <c r="BJ809" s="3"/>
    </row>
    <row r="810" ht="15.75" customHeight="1">
      <c r="BG810" s="3"/>
      <c r="BH810" s="3"/>
      <c r="BI810" s="3"/>
      <c r="BJ810" s="3"/>
    </row>
    <row r="811" ht="15.75" customHeight="1">
      <c r="BG811" s="3"/>
      <c r="BH811" s="3"/>
      <c r="BI811" s="3"/>
      <c r="BJ811" s="3"/>
    </row>
    <row r="812" ht="15.75" customHeight="1">
      <c r="BG812" s="3"/>
      <c r="BH812" s="3"/>
      <c r="BI812" s="3"/>
      <c r="BJ812" s="3"/>
    </row>
    <row r="813" ht="15.75" customHeight="1">
      <c r="BG813" s="3"/>
      <c r="BH813" s="3"/>
      <c r="BI813" s="3"/>
      <c r="BJ813" s="3"/>
    </row>
    <row r="814" ht="15.75" customHeight="1">
      <c r="BG814" s="3"/>
      <c r="BH814" s="3"/>
      <c r="BI814" s="3"/>
      <c r="BJ814" s="3"/>
    </row>
    <row r="815" ht="15.75" customHeight="1">
      <c r="BG815" s="3"/>
      <c r="BH815" s="3"/>
      <c r="BI815" s="3"/>
      <c r="BJ815" s="3"/>
    </row>
    <row r="816" ht="15.75" customHeight="1">
      <c r="BG816" s="3"/>
      <c r="BH816" s="3"/>
      <c r="BI816" s="3"/>
      <c r="BJ816" s="3"/>
    </row>
    <row r="817" ht="15.75" customHeight="1">
      <c r="BG817" s="3"/>
      <c r="BH817" s="3"/>
      <c r="BI817" s="3"/>
      <c r="BJ817" s="3"/>
    </row>
    <row r="818" ht="15.75" customHeight="1">
      <c r="BG818" s="3"/>
      <c r="BH818" s="3"/>
      <c r="BI818" s="3"/>
      <c r="BJ818" s="3"/>
    </row>
    <row r="819" ht="15.75" customHeight="1">
      <c r="BG819" s="3"/>
      <c r="BH819" s="3"/>
      <c r="BI819" s="3"/>
      <c r="BJ819" s="3"/>
    </row>
    <row r="820" ht="15.75" customHeight="1">
      <c r="BG820" s="3"/>
      <c r="BH820" s="3"/>
      <c r="BI820" s="3"/>
      <c r="BJ820" s="3"/>
    </row>
    <row r="821" ht="15.75" customHeight="1">
      <c r="BG821" s="3"/>
      <c r="BH821" s="3"/>
      <c r="BI821" s="3"/>
      <c r="BJ821" s="3"/>
    </row>
    <row r="822" ht="15.75" customHeight="1">
      <c r="BG822" s="3"/>
      <c r="BH822" s="3"/>
      <c r="BI822" s="3"/>
      <c r="BJ822" s="3"/>
    </row>
    <row r="823" ht="15.75" customHeight="1">
      <c r="BG823" s="3"/>
      <c r="BH823" s="3"/>
      <c r="BI823" s="3"/>
      <c r="BJ823" s="3"/>
    </row>
    <row r="824" ht="15.75" customHeight="1">
      <c r="BG824" s="3"/>
      <c r="BH824" s="3"/>
      <c r="BI824" s="3"/>
      <c r="BJ824" s="3"/>
    </row>
    <row r="825" ht="15.75" customHeight="1">
      <c r="BG825" s="3"/>
      <c r="BH825" s="3"/>
      <c r="BI825" s="3"/>
      <c r="BJ825" s="3"/>
    </row>
    <row r="826" ht="15.75" customHeight="1">
      <c r="BG826" s="3"/>
      <c r="BH826" s="3"/>
      <c r="BI826" s="3"/>
      <c r="BJ826" s="3"/>
    </row>
    <row r="827" ht="15.75" customHeight="1">
      <c r="BG827" s="3"/>
      <c r="BH827" s="3"/>
      <c r="BI827" s="3"/>
      <c r="BJ827" s="3"/>
    </row>
    <row r="828" ht="15.75" customHeight="1">
      <c r="BG828" s="3"/>
      <c r="BH828" s="3"/>
      <c r="BI828" s="3"/>
      <c r="BJ828" s="3"/>
    </row>
    <row r="829" ht="15.75" customHeight="1">
      <c r="BG829" s="3"/>
      <c r="BH829" s="3"/>
      <c r="BI829" s="3"/>
      <c r="BJ829" s="3"/>
    </row>
    <row r="830" ht="15.75" customHeight="1">
      <c r="BG830" s="3"/>
      <c r="BH830" s="3"/>
      <c r="BI830" s="3"/>
      <c r="BJ830" s="3"/>
    </row>
    <row r="831" ht="15.75" customHeight="1">
      <c r="BG831" s="3"/>
      <c r="BH831" s="3"/>
      <c r="BI831" s="3"/>
      <c r="BJ831" s="3"/>
    </row>
    <row r="832" ht="15.75" customHeight="1">
      <c r="BG832" s="3"/>
      <c r="BH832" s="3"/>
      <c r="BI832" s="3"/>
      <c r="BJ832" s="3"/>
    </row>
    <row r="833" ht="15.75" customHeight="1">
      <c r="BG833" s="3"/>
      <c r="BH833" s="3"/>
      <c r="BI833" s="3"/>
      <c r="BJ833" s="3"/>
    </row>
    <row r="834" ht="15.75" customHeight="1">
      <c r="BG834" s="3"/>
      <c r="BH834" s="3"/>
      <c r="BI834" s="3"/>
      <c r="BJ834" s="3"/>
    </row>
    <row r="835" ht="15.75" customHeight="1">
      <c r="BG835" s="3"/>
      <c r="BH835" s="3"/>
      <c r="BI835" s="3"/>
      <c r="BJ835" s="3"/>
    </row>
    <row r="836" ht="15.75" customHeight="1">
      <c r="BG836" s="3"/>
      <c r="BH836" s="3"/>
      <c r="BI836" s="3"/>
      <c r="BJ836" s="3"/>
    </row>
    <row r="837" ht="15.75" customHeight="1">
      <c r="BG837" s="3"/>
      <c r="BH837" s="3"/>
      <c r="BI837" s="3"/>
      <c r="BJ837" s="3"/>
    </row>
    <row r="838" ht="15.75" customHeight="1">
      <c r="BG838" s="3"/>
      <c r="BH838" s="3"/>
      <c r="BI838" s="3"/>
      <c r="BJ838" s="3"/>
    </row>
    <row r="839" ht="15.75" customHeight="1">
      <c r="BG839" s="3"/>
      <c r="BH839" s="3"/>
      <c r="BI839" s="3"/>
      <c r="BJ839" s="3"/>
    </row>
    <row r="840" ht="15.75" customHeight="1">
      <c r="BG840" s="3"/>
      <c r="BH840" s="3"/>
      <c r="BI840" s="3"/>
      <c r="BJ840" s="3"/>
    </row>
    <row r="841" ht="15.75" customHeight="1">
      <c r="BG841" s="3"/>
      <c r="BH841" s="3"/>
      <c r="BI841" s="3"/>
      <c r="BJ841" s="3"/>
    </row>
    <row r="842" ht="15.75" customHeight="1">
      <c r="BG842" s="3"/>
      <c r="BH842" s="3"/>
      <c r="BI842" s="3"/>
      <c r="BJ842" s="3"/>
    </row>
    <row r="843" ht="15.75" customHeight="1">
      <c r="BG843" s="3"/>
      <c r="BH843" s="3"/>
      <c r="BI843" s="3"/>
      <c r="BJ843" s="3"/>
    </row>
    <row r="844" ht="15.75" customHeight="1">
      <c r="BG844" s="3"/>
      <c r="BH844" s="3"/>
      <c r="BI844" s="3"/>
      <c r="BJ844" s="3"/>
    </row>
    <row r="845" ht="15.75" customHeight="1">
      <c r="BG845" s="3"/>
      <c r="BH845" s="3"/>
      <c r="BI845" s="3"/>
      <c r="BJ845" s="3"/>
    </row>
    <row r="846" ht="15.75" customHeight="1">
      <c r="BG846" s="3"/>
      <c r="BH846" s="3"/>
      <c r="BI846" s="3"/>
      <c r="BJ846" s="3"/>
    </row>
    <row r="847" ht="15.75" customHeight="1">
      <c r="BG847" s="3"/>
      <c r="BH847" s="3"/>
      <c r="BI847" s="3"/>
      <c r="BJ847" s="3"/>
    </row>
    <row r="848" ht="15.75" customHeight="1">
      <c r="BG848" s="3"/>
      <c r="BH848" s="3"/>
      <c r="BI848" s="3"/>
      <c r="BJ848" s="3"/>
    </row>
    <row r="849" ht="15.75" customHeight="1">
      <c r="BG849" s="3"/>
      <c r="BH849" s="3"/>
      <c r="BI849" s="3"/>
      <c r="BJ849" s="3"/>
    </row>
    <row r="850" ht="15.75" customHeight="1">
      <c r="BG850" s="3"/>
      <c r="BH850" s="3"/>
      <c r="BI850" s="3"/>
      <c r="BJ850" s="3"/>
    </row>
    <row r="851" ht="15.75" customHeight="1">
      <c r="BG851" s="3"/>
      <c r="BH851" s="3"/>
      <c r="BI851" s="3"/>
      <c r="BJ851" s="3"/>
    </row>
    <row r="852" ht="15.75" customHeight="1">
      <c r="BG852" s="3"/>
      <c r="BH852" s="3"/>
      <c r="BI852" s="3"/>
      <c r="BJ852" s="3"/>
    </row>
    <row r="853" ht="15.75" customHeight="1">
      <c r="BG853" s="3"/>
      <c r="BH853" s="3"/>
      <c r="BI853" s="3"/>
      <c r="BJ853" s="3"/>
    </row>
    <row r="854" ht="15.75" customHeight="1">
      <c r="BG854" s="3"/>
      <c r="BH854" s="3"/>
      <c r="BI854" s="3"/>
      <c r="BJ854" s="3"/>
    </row>
    <row r="855" ht="15.75" customHeight="1">
      <c r="BG855" s="3"/>
      <c r="BH855" s="3"/>
      <c r="BI855" s="3"/>
      <c r="BJ855" s="3"/>
    </row>
    <row r="856" ht="15.75" customHeight="1">
      <c r="BG856" s="3"/>
      <c r="BH856" s="3"/>
      <c r="BI856" s="3"/>
      <c r="BJ856" s="3"/>
    </row>
    <row r="857" ht="15.75" customHeight="1">
      <c r="BG857" s="3"/>
      <c r="BH857" s="3"/>
      <c r="BI857" s="3"/>
      <c r="BJ857" s="3"/>
    </row>
    <row r="858" ht="15.75" customHeight="1">
      <c r="BG858" s="3"/>
      <c r="BH858" s="3"/>
      <c r="BI858" s="3"/>
      <c r="BJ858" s="3"/>
    </row>
    <row r="859" ht="15.75" customHeight="1">
      <c r="BG859" s="3"/>
      <c r="BH859" s="3"/>
      <c r="BI859" s="3"/>
      <c r="BJ859" s="3"/>
    </row>
    <row r="860" ht="15.75" customHeight="1">
      <c r="BG860" s="3"/>
      <c r="BH860" s="3"/>
      <c r="BI860" s="3"/>
      <c r="BJ860" s="3"/>
    </row>
    <row r="861" ht="15.75" customHeight="1">
      <c r="BG861" s="3"/>
      <c r="BH861" s="3"/>
      <c r="BI861" s="3"/>
      <c r="BJ861" s="3"/>
    </row>
    <row r="862" ht="15.75" customHeight="1">
      <c r="BG862" s="3"/>
      <c r="BH862" s="3"/>
      <c r="BI862" s="3"/>
      <c r="BJ862" s="3"/>
    </row>
    <row r="863" ht="15.75" customHeight="1">
      <c r="BG863" s="3"/>
      <c r="BH863" s="3"/>
      <c r="BI863" s="3"/>
      <c r="BJ863" s="3"/>
    </row>
    <row r="864" ht="15.75" customHeight="1">
      <c r="BG864" s="3"/>
      <c r="BH864" s="3"/>
      <c r="BI864" s="3"/>
      <c r="BJ864" s="3"/>
    </row>
    <row r="865" ht="15.75" customHeight="1">
      <c r="BG865" s="3"/>
      <c r="BH865" s="3"/>
      <c r="BI865" s="3"/>
      <c r="BJ865" s="3"/>
    </row>
    <row r="866" ht="15.75" customHeight="1">
      <c r="BG866" s="3"/>
      <c r="BH866" s="3"/>
      <c r="BI866" s="3"/>
      <c r="BJ866" s="3"/>
    </row>
    <row r="867" ht="15.75" customHeight="1">
      <c r="BG867" s="3"/>
      <c r="BH867" s="3"/>
      <c r="BI867" s="3"/>
      <c r="BJ867" s="3"/>
    </row>
    <row r="868" ht="15.75" customHeight="1">
      <c r="BG868" s="3"/>
      <c r="BH868" s="3"/>
      <c r="BI868" s="3"/>
      <c r="BJ868" s="3"/>
    </row>
    <row r="869" ht="15.75" customHeight="1">
      <c r="BG869" s="3"/>
      <c r="BH869" s="3"/>
      <c r="BI869" s="3"/>
      <c r="BJ869" s="3"/>
    </row>
    <row r="870" ht="15.75" customHeight="1">
      <c r="BG870" s="3"/>
      <c r="BH870" s="3"/>
      <c r="BI870" s="3"/>
      <c r="BJ870" s="3"/>
    </row>
    <row r="871" ht="15.75" customHeight="1">
      <c r="BG871" s="3"/>
      <c r="BH871" s="3"/>
      <c r="BI871" s="3"/>
      <c r="BJ871" s="3"/>
    </row>
    <row r="872" ht="15.75" customHeight="1">
      <c r="BG872" s="3"/>
      <c r="BH872" s="3"/>
      <c r="BI872" s="3"/>
      <c r="BJ872" s="3"/>
    </row>
    <row r="873" ht="15.75" customHeight="1">
      <c r="BG873" s="3"/>
      <c r="BH873" s="3"/>
      <c r="BI873" s="3"/>
      <c r="BJ873" s="3"/>
    </row>
    <row r="874" ht="15.75" customHeight="1">
      <c r="BG874" s="3"/>
      <c r="BH874" s="3"/>
      <c r="BI874" s="3"/>
      <c r="BJ874" s="3"/>
    </row>
    <row r="875" ht="15.75" customHeight="1">
      <c r="BG875" s="3"/>
      <c r="BH875" s="3"/>
      <c r="BI875" s="3"/>
      <c r="BJ875" s="3"/>
    </row>
    <row r="876" ht="15.75" customHeight="1">
      <c r="BG876" s="3"/>
      <c r="BH876" s="3"/>
      <c r="BI876" s="3"/>
      <c r="BJ876" s="3"/>
    </row>
    <row r="877" ht="15.75" customHeight="1">
      <c r="BG877" s="3"/>
      <c r="BH877" s="3"/>
      <c r="BI877" s="3"/>
      <c r="BJ877" s="3"/>
    </row>
    <row r="878" ht="15.75" customHeight="1">
      <c r="BG878" s="3"/>
      <c r="BH878" s="3"/>
      <c r="BI878" s="3"/>
      <c r="BJ878" s="3"/>
    </row>
    <row r="879" ht="15.75" customHeight="1">
      <c r="BG879" s="3"/>
      <c r="BH879" s="3"/>
      <c r="BI879" s="3"/>
      <c r="BJ879" s="3"/>
    </row>
    <row r="880" ht="15.75" customHeight="1">
      <c r="BG880" s="3"/>
      <c r="BH880" s="3"/>
      <c r="BI880" s="3"/>
      <c r="BJ880" s="3"/>
    </row>
    <row r="881" ht="15.75" customHeight="1">
      <c r="BG881" s="3"/>
      <c r="BH881" s="3"/>
      <c r="BI881" s="3"/>
      <c r="BJ881" s="3"/>
    </row>
    <row r="882" ht="15.75" customHeight="1">
      <c r="BG882" s="3"/>
      <c r="BH882" s="3"/>
      <c r="BI882" s="3"/>
      <c r="BJ882" s="3"/>
    </row>
    <row r="883" ht="15.75" customHeight="1">
      <c r="BG883" s="3"/>
      <c r="BH883" s="3"/>
      <c r="BI883" s="3"/>
      <c r="BJ883" s="3"/>
    </row>
    <row r="884" ht="15.75" customHeight="1">
      <c r="BG884" s="3"/>
      <c r="BH884" s="3"/>
      <c r="BI884" s="3"/>
      <c r="BJ884" s="3"/>
    </row>
    <row r="885" ht="15.75" customHeight="1">
      <c r="BG885" s="3"/>
      <c r="BH885" s="3"/>
      <c r="BI885" s="3"/>
      <c r="BJ885" s="3"/>
    </row>
    <row r="886" ht="15.75" customHeight="1">
      <c r="BG886" s="3"/>
      <c r="BH886" s="3"/>
      <c r="BI886" s="3"/>
      <c r="BJ886" s="3"/>
    </row>
    <row r="887" ht="15.75" customHeight="1">
      <c r="BG887" s="3"/>
      <c r="BH887" s="3"/>
      <c r="BI887" s="3"/>
      <c r="BJ887" s="3"/>
    </row>
    <row r="888" ht="15.75" customHeight="1">
      <c r="BG888" s="3"/>
      <c r="BH888" s="3"/>
      <c r="BI888" s="3"/>
      <c r="BJ888" s="3"/>
    </row>
    <row r="889" ht="15.75" customHeight="1">
      <c r="BG889" s="3"/>
      <c r="BH889" s="3"/>
      <c r="BI889" s="3"/>
      <c r="BJ889" s="3"/>
    </row>
    <row r="890" ht="15.75" customHeight="1">
      <c r="BG890" s="3"/>
      <c r="BH890" s="3"/>
      <c r="BI890" s="3"/>
      <c r="BJ890" s="3"/>
    </row>
    <row r="891" ht="15.75" customHeight="1">
      <c r="BG891" s="3"/>
      <c r="BH891" s="3"/>
      <c r="BI891" s="3"/>
      <c r="BJ891" s="3"/>
    </row>
    <row r="892" ht="15.75" customHeight="1">
      <c r="BG892" s="3"/>
      <c r="BH892" s="3"/>
      <c r="BI892" s="3"/>
      <c r="BJ892" s="3"/>
    </row>
    <row r="893" ht="15.75" customHeight="1">
      <c r="BG893" s="3"/>
      <c r="BH893" s="3"/>
      <c r="BI893" s="3"/>
      <c r="BJ893" s="3"/>
    </row>
    <row r="894" ht="15.75" customHeight="1">
      <c r="BG894" s="3"/>
      <c r="BH894" s="3"/>
      <c r="BI894" s="3"/>
      <c r="BJ894" s="3"/>
    </row>
    <row r="895" ht="15.75" customHeight="1">
      <c r="BG895" s="3"/>
      <c r="BH895" s="3"/>
      <c r="BI895" s="3"/>
      <c r="BJ895" s="3"/>
    </row>
    <row r="896" ht="15.75" customHeight="1">
      <c r="BG896" s="3"/>
      <c r="BH896" s="3"/>
      <c r="BI896" s="3"/>
      <c r="BJ896" s="3"/>
    </row>
    <row r="897" ht="15.75" customHeight="1">
      <c r="BG897" s="3"/>
      <c r="BH897" s="3"/>
      <c r="BI897" s="3"/>
      <c r="BJ897" s="3"/>
    </row>
    <row r="898" ht="15.75" customHeight="1">
      <c r="BG898" s="3"/>
      <c r="BH898" s="3"/>
      <c r="BI898" s="3"/>
      <c r="BJ898" s="3"/>
    </row>
    <row r="899" ht="15.75" customHeight="1">
      <c r="BG899" s="3"/>
      <c r="BH899" s="3"/>
      <c r="BI899" s="3"/>
      <c r="BJ899" s="3"/>
    </row>
    <row r="900" ht="15.75" customHeight="1">
      <c r="BG900" s="3"/>
      <c r="BH900" s="3"/>
      <c r="BI900" s="3"/>
      <c r="BJ900" s="3"/>
    </row>
    <row r="901" ht="15.75" customHeight="1">
      <c r="BG901" s="3"/>
      <c r="BH901" s="3"/>
      <c r="BI901" s="3"/>
      <c r="BJ901" s="3"/>
    </row>
    <row r="902" ht="15.75" customHeight="1">
      <c r="BG902" s="3"/>
      <c r="BH902" s="3"/>
      <c r="BI902" s="3"/>
      <c r="BJ902" s="3"/>
    </row>
    <row r="903" ht="15.75" customHeight="1">
      <c r="BG903" s="3"/>
      <c r="BH903" s="3"/>
      <c r="BI903" s="3"/>
      <c r="BJ903" s="3"/>
    </row>
    <row r="904" ht="15.75" customHeight="1">
      <c r="BG904" s="3"/>
      <c r="BH904" s="3"/>
      <c r="BI904" s="3"/>
      <c r="BJ904" s="3"/>
    </row>
    <row r="905" ht="15.75" customHeight="1">
      <c r="BG905" s="3"/>
      <c r="BH905" s="3"/>
      <c r="BI905" s="3"/>
      <c r="BJ905" s="3"/>
    </row>
    <row r="906" ht="15.75" customHeight="1">
      <c r="BG906" s="3"/>
      <c r="BH906" s="3"/>
      <c r="BI906" s="3"/>
      <c r="BJ906" s="3"/>
    </row>
    <row r="907" ht="15.75" customHeight="1">
      <c r="BG907" s="3"/>
      <c r="BH907" s="3"/>
      <c r="BI907" s="3"/>
      <c r="BJ907" s="3"/>
    </row>
    <row r="908" ht="15.75" customHeight="1">
      <c r="BG908" s="3"/>
      <c r="BH908" s="3"/>
      <c r="BI908" s="3"/>
      <c r="BJ908" s="3"/>
    </row>
    <row r="909" ht="15.75" customHeight="1">
      <c r="BG909" s="3"/>
      <c r="BH909" s="3"/>
      <c r="BI909" s="3"/>
      <c r="BJ909" s="3"/>
    </row>
    <row r="910" ht="15.75" customHeight="1">
      <c r="BG910" s="3"/>
      <c r="BH910" s="3"/>
      <c r="BI910" s="3"/>
      <c r="BJ910" s="3"/>
    </row>
    <row r="911" ht="15.75" customHeight="1">
      <c r="BG911" s="3"/>
      <c r="BH911" s="3"/>
      <c r="BI911" s="3"/>
      <c r="BJ911" s="3"/>
    </row>
    <row r="912" ht="15.75" customHeight="1">
      <c r="BG912" s="3"/>
      <c r="BH912" s="3"/>
      <c r="BI912" s="3"/>
      <c r="BJ912" s="3"/>
    </row>
    <row r="913" ht="15.75" customHeight="1">
      <c r="BG913" s="3"/>
      <c r="BH913" s="3"/>
      <c r="BI913" s="3"/>
      <c r="BJ913" s="3"/>
    </row>
    <row r="914" ht="15.75" customHeight="1">
      <c r="BG914" s="3"/>
      <c r="BH914" s="3"/>
      <c r="BI914" s="3"/>
      <c r="BJ914" s="3"/>
    </row>
    <row r="915" ht="15.75" customHeight="1">
      <c r="BG915" s="3"/>
      <c r="BH915" s="3"/>
      <c r="BI915" s="3"/>
      <c r="BJ915" s="3"/>
    </row>
    <row r="916" ht="15.75" customHeight="1">
      <c r="BG916" s="3"/>
      <c r="BH916" s="3"/>
      <c r="BI916" s="3"/>
      <c r="BJ916" s="3"/>
    </row>
    <row r="917" ht="15.75" customHeight="1">
      <c r="BG917" s="3"/>
      <c r="BH917" s="3"/>
      <c r="BI917" s="3"/>
      <c r="BJ917" s="3"/>
    </row>
    <row r="918" ht="15.75" customHeight="1">
      <c r="BG918" s="3"/>
      <c r="BH918" s="3"/>
      <c r="BI918" s="3"/>
      <c r="BJ918" s="3"/>
    </row>
    <row r="919" ht="15.75" customHeight="1">
      <c r="BG919" s="3"/>
      <c r="BH919" s="3"/>
      <c r="BI919" s="3"/>
      <c r="BJ919" s="3"/>
    </row>
    <row r="920" ht="15.75" customHeight="1">
      <c r="BG920" s="3"/>
      <c r="BH920" s="3"/>
      <c r="BI920" s="3"/>
      <c r="BJ920" s="3"/>
    </row>
    <row r="921" ht="15.75" customHeight="1">
      <c r="BG921" s="3"/>
      <c r="BH921" s="3"/>
      <c r="BI921" s="3"/>
      <c r="BJ921" s="3"/>
    </row>
    <row r="922" ht="15.75" customHeight="1">
      <c r="BG922" s="3"/>
      <c r="BH922" s="3"/>
      <c r="BI922" s="3"/>
      <c r="BJ922" s="3"/>
    </row>
    <row r="923" ht="15.75" customHeight="1">
      <c r="BG923" s="3"/>
      <c r="BH923" s="3"/>
      <c r="BI923" s="3"/>
      <c r="BJ923" s="3"/>
    </row>
    <row r="924" ht="15.75" customHeight="1">
      <c r="BG924" s="3"/>
      <c r="BH924" s="3"/>
      <c r="BI924" s="3"/>
      <c r="BJ924" s="3"/>
    </row>
    <row r="925" ht="15.75" customHeight="1">
      <c r="BG925" s="3"/>
      <c r="BH925" s="3"/>
      <c r="BI925" s="3"/>
      <c r="BJ925" s="3"/>
    </row>
    <row r="926" ht="15.75" customHeight="1">
      <c r="BG926" s="3"/>
      <c r="BH926" s="3"/>
      <c r="BI926" s="3"/>
      <c r="BJ926" s="3"/>
    </row>
    <row r="927" ht="15.75" customHeight="1">
      <c r="BG927" s="3"/>
      <c r="BH927" s="3"/>
      <c r="BI927" s="3"/>
      <c r="BJ927" s="3"/>
    </row>
    <row r="928" ht="15.75" customHeight="1">
      <c r="BG928" s="3"/>
      <c r="BH928" s="3"/>
      <c r="BI928" s="3"/>
      <c r="BJ928" s="3"/>
    </row>
    <row r="929" ht="15.75" customHeight="1">
      <c r="BG929" s="3"/>
      <c r="BH929" s="3"/>
      <c r="BI929" s="3"/>
      <c r="BJ929" s="3"/>
    </row>
    <row r="930" ht="15.75" customHeight="1">
      <c r="BG930" s="3"/>
      <c r="BH930" s="3"/>
      <c r="BI930" s="3"/>
      <c r="BJ930" s="3"/>
    </row>
    <row r="931" ht="15.75" customHeight="1">
      <c r="BG931" s="3"/>
      <c r="BH931" s="3"/>
      <c r="BI931" s="3"/>
      <c r="BJ931" s="3"/>
    </row>
    <row r="932" ht="15.75" customHeight="1">
      <c r="BG932" s="3"/>
      <c r="BH932" s="3"/>
      <c r="BI932" s="3"/>
      <c r="BJ932" s="3"/>
    </row>
    <row r="933" ht="15.75" customHeight="1">
      <c r="BG933" s="3"/>
      <c r="BH933" s="3"/>
      <c r="BI933" s="3"/>
      <c r="BJ933" s="3"/>
    </row>
    <row r="934" ht="15.75" customHeight="1">
      <c r="BG934" s="3"/>
      <c r="BH934" s="3"/>
      <c r="BI934" s="3"/>
      <c r="BJ934" s="3"/>
    </row>
    <row r="935" ht="15.75" customHeight="1">
      <c r="BG935" s="3"/>
      <c r="BH935" s="3"/>
      <c r="BI935" s="3"/>
      <c r="BJ935" s="3"/>
    </row>
    <row r="936" ht="15.75" customHeight="1">
      <c r="BG936" s="3"/>
      <c r="BH936" s="3"/>
      <c r="BI936" s="3"/>
      <c r="BJ936" s="3"/>
    </row>
    <row r="937" ht="15.75" customHeight="1">
      <c r="BG937" s="3"/>
      <c r="BH937" s="3"/>
      <c r="BI937" s="3"/>
      <c r="BJ937" s="3"/>
    </row>
    <row r="938" ht="15.75" customHeight="1">
      <c r="BG938" s="3"/>
      <c r="BH938" s="3"/>
      <c r="BI938" s="3"/>
      <c r="BJ938" s="3"/>
    </row>
    <row r="939" ht="15.75" customHeight="1">
      <c r="BG939" s="3"/>
      <c r="BH939" s="3"/>
      <c r="BI939" s="3"/>
      <c r="BJ939" s="3"/>
    </row>
    <row r="940" ht="15.75" customHeight="1">
      <c r="BG940" s="3"/>
      <c r="BH940" s="3"/>
      <c r="BI940" s="3"/>
      <c r="BJ940" s="3"/>
    </row>
    <row r="941" ht="15.75" customHeight="1">
      <c r="BG941" s="3"/>
      <c r="BH941" s="3"/>
      <c r="BI941" s="3"/>
      <c r="BJ941" s="3"/>
    </row>
    <row r="942" ht="15.75" customHeight="1">
      <c r="BG942" s="3"/>
      <c r="BH942" s="3"/>
      <c r="BI942" s="3"/>
      <c r="BJ942" s="3"/>
    </row>
    <row r="943" ht="15.75" customHeight="1">
      <c r="BG943" s="3"/>
      <c r="BH943" s="3"/>
      <c r="BI943" s="3"/>
      <c r="BJ943" s="3"/>
    </row>
    <row r="944" ht="15.75" customHeight="1">
      <c r="BG944" s="3"/>
      <c r="BH944" s="3"/>
      <c r="BI944" s="3"/>
      <c r="BJ944" s="3"/>
    </row>
    <row r="945" ht="15.75" customHeight="1">
      <c r="BG945" s="3"/>
      <c r="BH945" s="3"/>
      <c r="BI945" s="3"/>
      <c r="BJ945" s="3"/>
    </row>
    <row r="946" ht="15.75" customHeight="1">
      <c r="BG946" s="3"/>
      <c r="BH946" s="3"/>
      <c r="BI946" s="3"/>
      <c r="BJ946" s="3"/>
    </row>
    <row r="947" ht="15.75" customHeight="1">
      <c r="BG947" s="3"/>
      <c r="BH947" s="3"/>
      <c r="BI947" s="3"/>
      <c r="BJ947" s="3"/>
    </row>
    <row r="948" ht="15.75" customHeight="1">
      <c r="BG948" s="3"/>
      <c r="BH948" s="3"/>
      <c r="BI948" s="3"/>
      <c r="BJ948" s="3"/>
    </row>
    <row r="949" ht="15.75" customHeight="1">
      <c r="BG949" s="3"/>
      <c r="BH949" s="3"/>
      <c r="BI949" s="3"/>
      <c r="BJ949" s="3"/>
    </row>
    <row r="950" ht="15.75" customHeight="1">
      <c r="BG950" s="3"/>
      <c r="BH950" s="3"/>
      <c r="BI950" s="3"/>
      <c r="BJ950" s="3"/>
    </row>
    <row r="951" ht="15.75" customHeight="1">
      <c r="BG951" s="3"/>
      <c r="BH951" s="3"/>
      <c r="BI951" s="3"/>
      <c r="BJ951" s="3"/>
    </row>
    <row r="952" ht="15.75" customHeight="1">
      <c r="BG952" s="3"/>
      <c r="BH952" s="3"/>
      <c r="BI952" s="3"/>
      <c r="BJ952" s="3"/>
    </row>
    <row r="953" ht="15.75" customHeight="1">
      <c r="BG953" s="3"/>
      <c r="BH953" s="3"/>
      <c r="BI953" s="3"/>
      <c r="BJ953" s="3"/>
    </row>
    <row r="954" ht="15.75" customHeight="1">
      <c r="BG954" s="3"/>
      <c r="BH954" s="3"/>
      <c r="BI954" s="3"/>
      <c r="BJ954" s="3"/>
    </row>
    <row r="955" ht="15.75" customHeight="1">
      <c r="BG955" s="3"/>
      <c r="BH955" s="3"/>
      <c r="BI955" s="3"/>
      <c r="BJ955" s="3"/>
    </row>
    <row r="956" ht="15.75" customHeight="1">
      <c r="BG956" s="3"/>
      <c r="BH956" s="3"/>
      <c r="BI956" s="3"/>
      <c r="BJ956" s="3"/>
    </row>
    <row r="957" ht="15.75" customHeight="1">
      <c r="BG957" s="3"/>
      <c r="BH957" s="3"/>
      <c r="BI957" s="3"/>
      <c r="BJ957" s="3"/>
    </row>
    <row r="958" ht="15.75" customHeight="1">
      <c r="BG958" s="3"/>
      <c r="BH958" s="3"/>
      <c r="BI958" s="3"/>
      <c r="BJ958" s="3"/>
    </row>
    <row r="959" ht="15.75" customHeight="1">
      <c r="BG959" s="3"/>
      <c r="BH959" s="3"/>
      <c r="BI959" s="3"/>
      <c r="BJ959" s="3"/>
    </row>
    <row r="960" ht="15.75" customHeight="1">
      <c r="BG960" s="3"/>
      <c r="BH960" s="3"/>
      <c r="BI960" s="3"/>
      <c r="BJ960" s="3"/>
    </row>
    <row r="961" ht="15.75" customHeight="1">
      <c r="BG961" s="3"/>
      <c r="BH961" s="3"/>
      <c r="BI961" s="3"/>
      <c r="BJ961" s="3"/>
    </row>
    <row r="962" ht="15.75" customHeight="1">
      <c r="BG962" s="3"/>
      <c r="BH962" s="3"/>
      <c r="BI962" s="3"/>
      <c r="BJ962" s="3"/>
    </row>
    <row r="963" ht="15.75" customHeight="1">
      <c r="BG963" s="3"/>
      <c r="BH963" s="3"/>
      <c r="BI963" s="3"/>
      <c r="BJ963" s="3"/>
    </row>
    <row r="964" ht="15.75" customHeight="1">
      <c r="BG964" s="3"/>
      <c r="BH964" s="3"/>
      <c r="BI964" s="3"/>
      <c r="BJ964" s="3"/>
    </row>
    <row r="965" ht="15.75" customHeight="1">
      <c r="BG965" s="3"/>
      <c r="BH965" s="3"/>
      <c r="BI965" s="3"/>
      <c r="BJ965" s="3"/>
    </row>
    <row r="966" ht="15.75" customHeight="1">
      <c r="BG966" s="3"/>
      <c r="BH966" s="3"/>
      <c r="BI966" s="3"/>
      <c r="BJ966" s="3"/>
    </row>
    <row r="967" ht="15.75" customHeight="1">
      <c r="BG967" s="3"/>
      <c r="BH967" s="3"/>
      <c r="BI967" s="3"/>
      <c r="BJ967" s="3"/>
    </row>
    <row r="968" ht="15.75" customHeight="1">
      <c r="BG968" s="3"/>
      <c r="BH968" s="3"/>
      <c r="BI968" s="3"/>
      <c r="BJ968" s="3"/>
    </row>
    <row r="969" ht="15.75" customHeight="1">
      <c r="BG969" s="3"/>
      <c r="BH969" s="3"/>
      <c r="BI969" s="3"/>
      <c r="BJ969" s="3"/>
    </row>
    <row r="970" ht="15.75" customHeight="1">
      <c r="BG970" s="3"/>
      <c r="BH970" s="3"/>
      <c r="BI970" s="3"/>
      <c r="BJ970" s="3"/>
    </row>
    <row r="971" ht="15.75" customHeight="1">
      <c r="BG971" s="3"/>
      <c r="BH971" s="3"/>
      <c r="BI971" s="3"/>
      <c r="BJ971" s="3"/>
    </row>
    <row r="972" ht="15.75" customHeight="1">
      <c r="BG972" s="3"/>
      <c r="BH972" s="3"/>
      <c r="BI972" s="3"/>
      <c r="BJ972" s="3"/>
    </row>
    <row r="973" ht="15.75" customHeight="1">
      <c r="BG973" s="3"/>
      <c r="BH973" s="3"/>
      <c r="BI973" s="3"/>
      <c r="BJ973" s="3"/>
    </row>
    <row r="974" ht="15.75" customHeight="1">
      <c r="BG974" s="3"/>
      <c r="BH974" s="3"/>
      <c r="BI974" s="3"/>
      <c r="BJ974" s="3"/>
    </row>
    <row r="975" ht="15.75" customHeight="1">
      <c r="BG975" s="3"/>
      <c r="BH975" s="3"/>
      <c r="BI975" s="3"/>
      <c r="BJ975" s="3"/>
    </row>
    <row r="976" ht="15.75" customHeight="1">
      <c r="BG976" s="3"/>
      <c r="BH976" s="3"/>
      <c r="BI976" s="3"/>
      <c r="BJ976" s="3"/>
    </row>
    <row r="977" ht="15.75" customHeight="1">
      <c r="BG977" s="3"/>
      <c r="BH977" s="3"/>
      <c r="BI977" s="3"/>
      <c r="BJ977" s="3"/>
    </row>
    <row r="978" ht="15.75" customHeight="1">
      <c r="BG978" s="3"/>
      <c r="BH978" s="3"/>
      <c r="BI978" s="3"/>
      <c r="BJ978" s="3"/>
    </row>
    <row r="979" ht="15.75" customHeight="1">
      <c r="BG979" s="3"/>
      <c r="BH979" s="3"/>
      <c r="BI979" s="3"/>
      <c r="BJ979" s="3"/>
    </row>
    <row r="980" ht="15.75" customHeight="1">
      <c r="BG980" s="3"/>
      <c r="BH980" s="3"/>
      <c r="BI980" s="3"/>
      <c r="BJ980" s="3"/>
    </row>
    <row r="981" ht="15.75" customHeight="1">
      <c r="BG981" s="3"/>
      <c r="BH981" s="3"/>
      <c r="BI981" s="3"/>
      <c r="BJ981" s="3"/>
    </row>
    <row r="982" ht="15.75" customHeight="1">
      <c r="BG982" s="3"/>
      <c r="BH982" s="3"/>
      <c r="BI982" s="3"/>
      <c r="BJ982" s="3"/>
    </row>
    <row r="983" ht="15.75" customHeight="1">
      <c r="BG983" s="3"/>
      <c r="BH983" s="3"/>
      <c r="BI983" s="3"/>
      <c r="BJ983" s="3"/>
    </row>
    <row r="984" ht="15.75" customHeight="1">
      <c r="BG984" s="3"/>
      <c r="BH984" s="3"/>
      <c r="BI984" s="3"/>
      <c r="BJ984" s="3"/>
    </row>
    <row r="985" ht="15.75" customHeight="1">
      <c r="BG985" s="3"/>
      <c r="BH985" s="3"/>
      <c r="BI985" s="3"/>
      <c r="BJ985" s="3"/>
    </row>
    <row r="986" ht="15.75" customHeight="1">
      <c r="BG986" s="3"/>
      <c r="BH986" s="3"/>
      <c r="BI986" s="3"/>
      <c r="BJ986" s="3"/>
    </row>
    <row r="987" ht="15.75" customHeight="1">
      <c r="BG987" s="3"/>
      <c r="BH987" s="3"/>
      <c r="BI987" s="3"/>
      <c r="BJ987" s="3"/>
    </row>
    <row r="988" ht="15.75" customHeight="1">
      <c r="BG988" s="3"/>
      <c r="BH988" s="3"/>
      <c r="BI988" s="3"/>
      <c r="BJ988" s="3"/>
    </row>
    <row r="989" ht="15.75" customHeight="1">
      <c r="BG989" s="3"/>
      <c r="BH989" s="3"/>
      <c r="BI989" s="3"/>
      <c r="BJ989" s="3"/>
    </row>
    <row r="990" ht="15.75" customHeight="1">
      <c r="BG990" s="3"/>
      <c r="BH990" s="3"/>
      <c r="BI990" s="3"/>
      <c r="BJ990" s="3"/>
    </row>
    <row r="991" ht="15.75" customHeight="1">
      <c r="BG991" s="3"/>
      <c r="BH991" s="3"/>
      <c r="BI991" s="3"/>
      <c r="BJ991" s="3"/>
    </row>
    <row r="992" ht="15.75" customHeight="1">
      <c r="BG992" s="3"/>
      <c r="BH992" s="3"/>
      <c r="BI992" s="3"/>
      <c r="BJ992" s="3"/>
    </row>
    <row r="993" ht="15.75" customHeight="1">
      <c r="BG993" s="3"/>
      <c r="BH993" s="3"/>
      <c r="BI993" s="3"/>
      <c r="BJ993" s="3"/>
    </row>
    <row r="994" ht="15.75" customHeight="1">
      <c r="BG994" s="3"/>
      <c r="BH994" s="3"/>
      <c r="BI994" s="3"/>
      <c r="BJ994" s="3"/>
    </row>
    <row r="995" ht="15.75" customHeight="1">
      <c r="BG995" s="3"/>
      <c r="BH995" s="3"/>
      <c r="BI995" s="3"/>
      <c r="BJ995" s="3"/>
    </row>
    <row r="996" ht="15.75" customHeight="1">
      <c r="BG996" s="3"/>
      <c r="BH996" s="3"/>
      <c r="BI996" s="3"/>
      <c r="BJ996" s="3"/>
    </row>
    <row r="997" ht="15.75" customHeight="1">
      <c r="BG997" s="3"/>
      <c r="BH997" s="3"/>
      <c r="BI997" s="3"/>
      <c r="BJ997" s="3"/>
    </row>
    <row r="998" ht="15.75" customHeight="1">
      <c r="BG998" s="3"/>
      <c r="BH998" s="3"/>
      <c r="BI998" s="3"/>
      <c r="BJ998" s="3"/>
    </row>
    <row r="999" ht="15.75" customHeight="1">
      <c r="BG999" s="3"/>
      <c r="BH999" s="3"/>
      <c r="BI999" s="3"/>
      <c r="BJ999" s="3"/>
    </row>
    <row r="1000" ht="15.75" customHeight="1">
      <c r="BG1000" s="3"/>
      <c r="BH1000" s="3"/>
      <c r="BI1000" s="3"/>
      <c r="BJ1000" s="3"/>
    </row>
    <row r="1001" ht="15.75" customHeight="1">
      <c r="BG1001" s="3"/>
      <c r="BH1001" s="3"/>
      <c r="BI1001" s="3"/>
      <c r="BJ1001" s="3"/>
    </row>
  </sheetData>
  <mergeCells count="15">
    <mergeCell ref="AE3:AH3"/>
    <mergeCell ref="AI3:AL3"/>
    <mergeCell ref="AM3:AP3"/>
    <mergeCell ref="AQ3:AT3"/>
    <mergeCell ref="AU3:AX3"/>
    <mergeCell ref="AY3:BB3"/>
    <mergeCell ref="BC3:BF3"/>
    <mergeCell ref="BG3:BJ3"/>
    <mergeCell ref="C3:F3"/>
    <mergeCell ref="G3:J3"/>
    <mergeCell ref="K3:N3"/>
    <mergeCell ref="O3:R3"/>
    <mergeCell ref="S3:V3"/>
    <mergeCell ref="W3:Z3"/>
    <mergeCell ref="AA3:AD3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6" width="12.63"/>
    <col customWidth="1" min="59" max="62" width="12.63"/>
  </cols>
  <sheetData>
    <row r="1" ht="15.75" customHeight="1">
      <c r="A1" s="184" t="s">
        <v>1</v>
      </c>
      <c r="BG1" s="3"/>
      <c r="BH1" s="3"/>
      <c r="BI1" s="3"/>
      <c r="BJ1" s="3"/>
    </row>
    <row r="2" ht="15.75" customHeight="1">
      <c r="A2" s="128" t="s">
        <v>168</v>
      </c>
      <c r="BG2" s="3"/>
      <c r="BH2" s="3"/>
      <c r="BI2" s="3"/>
      <c r="BJ2" s="3"/>
    </row>
    <row r="3" ht="15.75" customHeight="1">
      <c r="B3" s="188"/>
      <c r="C3" s="259" t="s">
        <v>48</v>
      </c>
      <c r="D3" s="260"/>
      <c r="E3" s="260"/>
      <c r="F3" s="261"/>
      <c r="G3" s="259" t="s">
        <v>49</v>
      </c>
      <c r="H3" s="260"/>
      <c r="I3" s="260"/>
      <c r="J3" s="261"/>
      <c r="K3" s="259" t="s">
        <v>5</v>
      </c>
      <c r="L3" s="260"/>
      <c r="M3" s="260"/>
      <c r="N3" s="261"/>
      <c r="O3" s="259" t="s">
        <v>6</v>
      </c>
      <c r="P3" s="260"/>
      <c r="Q3" s="260"/>
      <c r="R3" s="261"/>
      <c r="S3" s="259" t="s">
        <v>7</v>
      </c>
      <c r="T3" s="260"/>
      <c r="U3" s="260"/>
      <c r="V3" s="261"/>
      <c r="W3" s="259" t="s">
        <v>8</v>
      </c>
      <c r="X3" s="260"/>
      <c r="Y3" s="260"/>
      <c r="Z3" s="261"/>
      <c r="AA3" s="259" t="s">
        <v>9</v>
      </c>
      <c r="AB3" s="260"/>
      <c r="AC3" s="260"/>
      <c r="AD3" s="261"/>
      <c r="AE3" s="259" t="s">
        <v>10</v>
      </c>
      <c r="AF3" s="260"/>
      <c r="AG3" s="260"/>
      <c r="AH3" s="261"/>
      <c r="AI3" s="259" t="s">
        <v>11</v>
      </c>
      <c r="AJ3" s="260"/>
      <c r="AK3" s="260"/>
      <c r="AL3" s="261"/>
      <c r="AM3" s="259" t="s">
        <v>12</v>
      </c>
      <c r="AN3" s="260"/>
      <c r="AO3" s="260"/>
      <c r="AP3" s="261"/>
      <c r="AQ3" s="259" t="s">
        <v>13</v>
      </c>
      <c r="AR3" s="260"/>
      <c r="AS3" s="260"/>
      <c r="AT3" s="261"/>
      <c r="AU3" s="259" t="s">
        <v>14</v>
      </c>
      <c r="AV3" s="260"/>
      <c r="AW3" s="260"/>
      <c r="AX3" s="261"/>
      <c r="AY3" s="259" t="s">
        <v>15</v>
      </c>
      <c r="AZ3" s="260"/>
      <c r="BA3" s="260"/>
      <c r="BB3" s="261"/>
      <c r="BC3" s="283" t="s">
        <v>171</v>
      </c>
      <c r="BD3" s="260"/>
      <c r="BE3" s="260"/>
      <c r="BF3" s="261"/>
      <c r="BG3" s="259" t="s">
        <v>17</v>
      </c>
      <c r="BH3" s="260"/>
      <c r="BI3" s="260"/>
      <c r="BJ3" s="261"/>
    </row>
    <row r="4" ht="15.75" customHeight="1">
      <c r="B4" s="188"/>
      <c r="C4" s="188" t="s">
        <v>21</v>
      </c>
      <c r="D4" s="188" t="s">
        <v>19</v>
      </c>
      <c r="E4" s="188" t="s">
        <v>20</v>
      </c>
      <c r="F4" s="188" t="s">
        <v>19</v>
      </c>
      <c r="G4" s="188" t="s">
        <v>21</v>
      </c>
      <c r="H4" s="188" t="s">
        <v>19</v>
      </c>
      <c r="I4" s="188" t="s">
        <v>20</v>
      </c>
      <c r="J4" s="188" t="s">
        <v>19</v>
      </c>
      <c r="K4" s="188" t="s">
        <v>21</v>
      </c>
      <c r="L4" s="188" t="s">
        <v>19</v>
      </c>
      <c r="M4" s="188" t="s">
        <v>20</v>
      </c>
      <c r="N4" s="188" t="s">
        <v>19</v>
      </c>
      <c r="O4" s="188" t="s">
        <v>21</v>
      </c>
      <c r="P4" s="188" t="s">
        <v>19</v>
      </c>
      <c r="Q4" s="188" t="s">
        <v>20</v>
      </c>
      <c r="R4" s="188" t="s">
        <v>19</v>
      </c>
      <c r="S4" s="188" t="s">
        <v>21</v>
      </c>
      <c r="T4" s="188" t="s">
        <v>19</v>
      </c>
      <c r="U4" s="188" t="s">
        <v>20</v>
      </c>
      <c r="V4" s="188" t="s">
        <v>19</v>
      </c>
      <c r="W4" s="188" t="s">
        <v>21</v>
      </c>
      <c r="X4" s="188" t="s">
        <v>19</v>
      </c>
      <c r="Y4" s="188" t="s">
        <v>20</v>
      </c>
      <c r="Z4" s="188" t="s">
        <v>19</v>
      </c>
      <c r="AA4" s="188" t="s">
        <v>21</v>
      </c>
      <c r="AB4" s="188" t="s">
        <v>19</v>
      </c>
      <c r="AC4" s="188" t="s">
        <v>20</v>
      </c>
      <c r="AD4" s="188" t="s">
        <v>19</v>
      </c>
      <c r="AE4" s="188" t="s">
        <v>21</v>
      </c>
      <c r="AF4" s="188" t="s">
        <v>19</v>
      </c>
      <c r="AG4" s="188" t="s">
        <v>20</v>
      </c>
      <c r="AH4" s="188" t="s">
        <v>19</v>
      </c>
      <c r="AI4" s="188" t="s">
        <v>21</v>
      </c>
      <c r="AJ4" s="188" t="s">
        <v>19</v>
      </c>
      <c r="AK4" s="188" t="s">
        <v>20</v>
      </c>
      <c r="AL4" s="188" t="s">
        <v>19</v>
      </c>
      <c r="AM4" s="188" t="s">
        <v>21</v>
      </c>
      <c r="AN4" s="188" t="s">
        <v>19</v>
      </c>
      <c r="AO4" s="188" t="s">
        <v>20</v>
      </c>
      <c r="AP4" s="188" t="s">
        <v>19</v>
      </c>
      <c r="AQ4" s="188" t="s">
        <v>21</v>
      </c>
      <c r="AR4" s="188" t="s">
        <v>19</v>
      </c>
      <c r="AS4" s="188" t="s">
        <v>20</v>
      </c>
      <c r="AT4" s="188" t="s">
        <v>19</v>
      </c>
      <c r="AU4" s="188" t="s">
        <v>21</v>
      </c>
      <c r="AV4" s="188" t="s">
        <v>19</v>
      </c>
      <c r="AW4" s="188" t="s">
        <v>20</v>
      </c>
      <c r="AX4" s="188" t="s">
        <v>19</v>
      </c>
      <c r="AY4" s="188" t="s">
        <v>21</v>
      </c>
      <c r="AZ4" s="188" t="s">
        <v>19</v>
      </c>
      <c r="BA4" s="188" t="s">
        <v>20</v>
      </c>
      <c r="BB4" s="188" t="s">
        <v>19</v>
      </c>
      <c r="BC4" s="188" t="s">
        <v>21</v>
      </c>
      <c r="BD4" s="188" t="s">
        <v>19</v>
      </c>
      <c r="BE4" s="188" t="s">
        <v>20</v>
      </c>
      <c r="BF4" s="188" t="s">
        <v>19</v>
      </c>
      <c r="BG4" s="188" t="s">
        <v>21</v>
      </c>
      <c r="BH4" s="188" t="s">
        <v>19</v>
      </c>
      <c r="BI4" s="188" t="s">
        <v>20</v>
      </c>
      <c r="BJ4" s="188" t="s">
        <v>19</v>
      </c>
    </row>
    <row r="5" ht="15.75" customHeight="1">
      <c r="B5" s="188" t="s">
        <v>22</v>
      </c>
      <c r="C5" s="262">
        <f t="shared" ref="C5:C9" si="2">G5+K5</f>
        <v>5872578</v>
      </c>
      <c r="D5" s="268"/>
      <c r="E5" s="262" t="str">
        <f t="shared" ref="E5:E9" si="3">I5+M5</f>
        <v>#REF!</v>
      </c>
      <c r="F5" s="268"/>
      <c r="G5" s="189">
        <f>HO!AB14</f>
        <v>0</v>
      </c>
      <c r="H5" s="186"/>
      <c r="I5" s="189">
        <f>HO!AD14</f>
        <v>0</v>
      </c>
      <c r="J5" s="186"/>
      <c r="K5" s="262">
        <f t="shared" ref="K5:K9" si="4">O5+S5+W5+AA5+AE5+AI5+AM5+AQ5+AU5+AY5</f>
        <v>5872578</v>
      </c>
      <c r="L5" s="268"/>
      <c r="M5" s="262" t="str">
        <f t="shared" ref="M5:M9" si="5">Q5+U5+Y5+AC5+AG5+AK5+AO5</f>
        <v>#REF!</v>
      </c>
      <c r="N5" s="268"/>
      <c r="O5" s="189">
        <f>'The Table'!AB26</f>
        <v>1000568</v>
      </c>
      <c r="P5" s="186"/>
      <c r="Q5" s="189">
        <f>'The Table'!AD26</f>
        <v>1800760</v>
      </c>
      <c r="R5" s="186"/>
      <c r="S5" s="189">
        <f>Iktara!P22</f>
        <v>0</v>
      </c>
      <c r="T5" s="186"/>
      <c r="U5" s="189" t="str">
        <f t="shared" ref="U5:U8" si="6">#REF!</f>
        <v>#REF!</v>
      </c>
      <c r="V5" s="186"/>
      <c r="W5" s="189">
        <f>'Mg St Colaba'!AB28</f>
        <v>1655560</v>
      </c>
      <c r="X5" s="186"/>
      <c r="Y5" s="189">
        <f>'Mg St Colaba'!AD28</f>
        <v>1537650</v>
      </c>
      <c r="Z5" s="186"/>
      <c r="AA5" s="189">
        <f>'Mg St LP'!AB27</f>
        <v>1378277</v>
      </c>
      <c r="AB5" s="186"/>
      <c r="AC5" s="189">
        <f>'Mg St LP'!AD27</f>
        <v>1172853</v>
      </c>
      <c r="AD5" s="186"/>
      <c r="AE5" s="189">
        <f>'Mg St Bandra'!AB28</f>
        <v>1838173</v>
      </c>
      <c r="AF5" s="186"/>
      <c r="AG5" s="189">
        <f>'Mg St Bandra'!AD28</f>
        <v>1786354</v>
      </c>
      <c r="AH5" s="186"/>
      <c r="AI5" s="189">
        <f>'MSK Events'!H23</f>
        <v>0</v>
      </c>
      <c r="AJ5" s="186"/>
      <c r="AK5" s="189" t="str">
        <f t="shared" ref="AK5:AK8" si="7">#REF!</f>
        <v>#REF!</v>
      </c>
      <c r="AL5" s="186"/>
      <c r="AM5" s="189">
        <f>MSBC!AB24</f>
        <v>0</v>
      </c>
      <c r="AN5" s="186"/>
      <c r="AO5" s="189">
        <f>MSBC!AD24</f>
        <v>0</v>
      </c>
      <c r="AP5" s="186"/>
      <c r="AQ5" s="265">
        <f>Kaspers!T26</f>
        <v>0</v>
      </c>
      <c r="AR5" s="186"/>
      <c r="AS5" s="189">
        <f>Kaspers!V26</f>
        <v>1000000</v>
      </c>
      <c r="AT5" s="186"/>
      <c r="AU5" s="189">
        <f>'MSBC Andheri'!H24</f>
        <v>0</v>
      </c>
      <c r="AV5" s="186"/>
      <c r="AW5" s="189" t="str">
        <f t="shared" ref="AW5:AW8" si="8">#REF!</f>
        <v>#REF!</v>
      </c>
      <c r="AX5" s="186"/>
      <c r="AY5" s="189">
        <f>'MSBC Dahisar'!H22</f>
        <v>0</v>
      </c>
      <c r="AZ5" s="186" t="str">
        <f t="shared" ref="AZ5:BA5" si="1">#REF!</f>
        <v>#REF!</v>
      </c>
      <c r="BA5" s="189" t="str">
        <f t="shared" si="1"/>
        <v>#REF!</v>
      </c>
      <c r="BB5" s="186"/>
      <c r="BC5" s="189"/>
      <c r="BD5" s="186"/>
      <c r="BE5" s="189"/>
      <c r="BF5" s="186"/>
      <c r="BG5" s="83"/>
      <c r="BH5" s="28"/>
      <c r="BI5" s="83"/>
      <c r="BJ5" s="28"/>
    </row>
    <row r="6" ht="15.75" customHeight="1">
      <c r="B6" s="188" t="s">
        <v>23</v>
      </c>
      <c r="C6" s="262">
        <f t="shared" si="2"/>
        <v>6220306</v>
      </c>
      <c r="D6" s="268"/>
      <c r="E6" s="262" t="str">
        <f t="shared" si="3"/>
        <v>#REF!</v>
      </c>
      <c r="F6" s="268"/>
      <c r="G6" s="189">
        <f>HO!AB15</f>
        <v>0</v>
      </c>
      <c r="H6" s="186"/>
      <c r="I6" s="189">
        <f>HO!AD15</f>
        <v>0</v>
      </c>
      <c r="J6" s="186"/>
      <c r="K6" s="262">
        <f t="shared" si="4"/>
        <v>6220306</v>
      </c>
      <c r="L6" s="268"/>
      <c r="M6" s="262" t="str">
        <f t="shared" si="5"/>
        <v>#REF!</v>
      </c>
      <c r="N6" s="268"/>
      <c r="O6" s="189">
        <f>'The Table'!AB27</f>
        <v>3270094</v>
      </c>
      <c r="P6" s="186"/>
      <c r="Q6" s="189">
        <f>'The Table'!AD27</f>
        <v>3157405</v>
      </c>
      <c r="R6" s="186"/>
      <c r="S6" s="189">
        <f>Iktara!P23</f>
        <v>0</v>
      </c>
      <c r="T6" s="186"/>
      <c r="U6" s="189" t="str">
        <f t="shared" si="6"/>
        <v>#REF!</v>
      </c>
      <c r="V6" s="186"/>
      <c r="W6" s="189">
        <f>'Mg St Colaba'!AB29</f>
        <v>658509</v>
      </c>
      <c r="X6" s="186"/>
      <c r="Y6" s="189">
        <f>'Mg St Colaba'!AD29</f>
        <v>1016550</v>
      </c>
      <c r="Z6" s="186"/>
      <c r="AA6" s="189">
        <f>'Mg St LP'!AB28</f>
        <v>0</v>
      </c>
      <c r="AB6" s="186"/>
      <c r="AC6" s="189">
        <f>'Mg St LP'!AD28</f>
        <v>0</v>
      </c>
      <c r="AD6" s="186"/>
      <c r="AE6" s="189">
        <f>'Mg St Bandra'!AB29</f>
        <v>2291703</v>
      </c>
      <c r="AF6" s="186"/>
      <c r="AG6" s="189">
        <f>'Mg St Bandra'!AD29</f>
        <v>2238793</v>
      </c>
      <c r="AH6" s="186"/>
      <c r="AI6" s="189">
        <f>'MSK Events'!H24</f>
        <v>0</v>
      </c>
      <c r="AJ6" s="186"/>
      <c r="AK6" s="189" t="str">
        <f t="shared" si="7"/>
        <v>#REF!</v>
      </c>
      <c r="AL6" s="186"/>
      <c r="AM6" s="189">
        <f>MSBC!AB25</f>
        <v>0</v>
      </c>
      <c r="AN6" s="186"/>
      <c r="AO6" s="189">
        <f>MSBC!AD25</f>
        <v>0</v>
      </c>
      <c r="AP6" s="186"/>
      <c r="AQ6" s="265">
        <f>Kaspers!T27</f>
        <v>0</v>
      </c>
      <c r="AR6" s="186"/>
      <c r="AS6" s="189" t="str">
        <f>Kaspers!V27</f>
        <v/>
      </c>
      <c r="AT6" s="186"/>
      <c r="AU6" s="189">
        <f>'MSBC Andheri'!H25</f>
        <v>0</v>
      </c>
      <c r="AV6" s="186"/>
      <c r="AW6" s="189" t="str">
        <f t="shared" si="8"/>
        <v>#REF!</v>
      </c>
      <c r="AX6" s="186"/>
      <c r="AY6" s="189">
        <f>'MSBC Dahisar'!H23</f>
        <v>0</v>
      </c>
      <c r="AZ6" s="186"/>
      <c r="BA6" s="189" t="str">
        <f t="shared" ref="BA6:BA8" si="9">#REF!</f>
        <v>#REF!</v>
      </c>
      <c r="BB6" s="186"/>
      <c r="BC6" s="189"/>
      <c r="BD6" s="186"/>
      <c r="BE6" s="189"/>
      <c r="BF6" s="186"/>
      <c r="BG6" s="114"/>
      <c r="BH6" s="43"/>
      <c r="BI6" s="114"/>
      <c r="BJ6" s="43"/>
    </row>
    <row r="7" ht="15.75" customHeight="1">
      <c r="B7" s="188" t="s">
        <v>24</v>
      </c>
      <c r="C7" s="262">
        <f t="shared" si="2"/>
        <v>41985608</v>
      </c>
      <c r="D7" s="268"/>
      <c r="E7" s="262" t="str">
        <f t="shared" si="3"/>
        <v>#REF!</v>
      </c>
      <c r="F7" s="268"/>
      <c r="G7" s="189">
        <f>HO!AB16</f>
        <v>0</v>
      </c>
      <c r="H7" s="186"/>
      <c r="I7" s="189">
        <f>HO!AD16</f>
        <v>0</v>
      </c>
      <c r="J7" s="186"/>
      <c r="K7" s="262">
        <f t="shared" si="4"/>
        <v>41985608</v>
      </c>
      <c r="L7" s="268"/>
      <c r="M7" s="262" t="str">
        <f t="shared" si="5"/>
        <v>#REF!</v>
      </c>
      <c r="N7" s="268"/>
      <c r="O7" s="189">
        <f>'The Table'!AB28</f>
        <v>9760471</v>
      </c>
      <c r="P7" s="186"/>
      <c r="Q7" s="189">
        <f>'The Table'!AD28</f>
        <v>8540788</v>
      </c>
      <c r="R7" s="186"/>
      <c r="S7" s="189">
        <f>Iktara!P24</f>
        <v>638872</v>
      </c>
      <c r="T7" s="186"/>
      <c r="U7" s="189" t="str">
        <f t="shared" si="6"/>
        <v>#REF!</v>
      </c>
      <c r="V7" s="186"/>
      <c r="W7" s="189">
        <f>'Mg St Colaba'!AB30</f>
        <v>10895557</v>
      </c>
      <c r="X7" s="186"/>
      <c r="Y7" s="189">
        <f>'Mg St Colaba'!AD30</f>
        <v>10865091.08</v>
      </c>
      <c r="Z7" s="186"/>
      <c r="AA7" s="189">
        <f>'Mg St LP'!AB29</f>
        <v>7596375</v>
      </c>
      <c r="AB7" s="186"/>
      <c r="AC7" s="189">
        <f>'Mg St LP'!AD29</f>
        <v>7416101</v>
      </c>
      <c r="AD7" s="186"/>
      <c r="AE7" s="189">
        <f>'Mg St Bandra'!AB30</f>
        <v>12128792</v>
      </c>
      <c r="AF7" s="186"/>
      <c r="AG7" s="189">
        <f>'Mg St Bandra'!AD30</f>
        <v>12199863</v>
      </c>
      <c r="AH7" s="186"/>
      <c r="AI7" s="189">
        <f>'MSK Events'!H25</f>
        <v>0</v>
      </c>
      <c r="AJ7" s="186"/>
      <c r="AK7" s="189" t="str">
        <f t="shared" si="7"/>
        <v>#REF!</v>
      </c>
      <c r="AL7" s="186"/>
      <c r="AM7" s="189">
        <f>MSBC!AB26</f>
        <v>440346</v>
      </c>
      <c r="AN7" s="186"/>
      <c r="AO7" s="189">
        <f>MSBC!AD26</f>
        <v>84000</v>
      </c>
      <c r="AP7" s="186"/>
      <c r="AQ7" s="265">
        <f>Kaspers!T28</f>
        <v>0</v>
      </c>
      <c r="AR7" s="186"/>
      <c r="AS7" s="189">
        <f>Kaspers!V28</f>
        <v>4000000</v>
      </c>
      <c r="AT7" s="186"/>
      <c r="AU7" s="189">
        <f>'MSBC Andheri'!H26</f>
        <v>324062</v>
      </c>
      <c r="AV7" s="186"/>
      <c r="AW7" s="189" t="str">
        <f t="shared" si="8"/>
        <v>#REF!</v>
      </c>
      <c r="AX7" s="186"/>
      <c r="AY7" s="189">
        <f>'MSBC Dahisar'!H24</f>
        <v>201133</v>
      </c>
      <c r="AZ7" s="186"/>
      <c r="BA7" s="189" t="str">
        <f t="shared" si="9"/>
        <v>#REF!</v>
      </c>
      <c r="BB7" s="186"/>
      <c r="BC7" s="189">
        <f>'MSBC Juhu  Goregoan'!H23</f>
        <v>100835</v>
      </c>
      <c r="BD7" s="186"/>
      <c r="BE7" s="189"/>
      <c r="BF7" s="186"/>
      <c r="BG7" s="114"/>
      <c r="BH7" s="43"/>
      <c r="BI7" s="114"/>
      <c r="BJ7" s="43"/>
    </row>
    <row r="8" ht="15.75" customHeight="1">
      <c r="B8" s="188" t="s">
        <v>25</v>
      </c>
      <c r="C8" s="262">
        <f t="shared" si="2"/>
        <v>3832039</v>
      </c>
      <c r="D8" s="268"/>
      <c r="E8" s="262" t="str">
        <f t="shared" si="3"/>
        <v>#REF!</v>
      </c>
      <c r="F8" s="268"/>
      <c r="G8" s="265" t="str">
        <f>HO!AB18</f>
        <v/>
      </c>
      <c r="H8" s="186"/>
      <c r="I8" s="265" t="str">
        <f>HO!AD18</f>
        <v/>
      </c>
      <c r="J8" s="186"/>
      <c r="K8" s="262">
        <f t="shared" si="4"/>
        <v>3832039</v>
      </c>
      <c r="L8" s="268"/>
      <c r="M8" s="262" t="str">
        <f t="shared" si="5"/>
        <v>#REF!</v>
      </c>
      <c r="N8" s="268"/>
      <c r="O8" s="189">
        <f>'The Table'!AB30</f>
        <v>1323258</v>
      </c>
      <c r="P8" s="186"/>
      <c r="Q8" s="189">
        <f>'The Table'!AD30</f>
        <v>1097465</v>
      </c>
      <c r="R8" s="186"/>
      <c r="S8" s="265" t="str">
        <f>Iktara!P26</f>
        <v/>
      </c>
      <c r="T8" s="186"/>
      <c r="U8" s="186" t="str">
        <f t="shared" si="6"/>
        <v>#REF!</v>
      </c>
      <c r="V8" s="186"/>
      <c r="W8" s="189">
        <f>'Mg St Colaba'!AB32</f>
        <v>931222</v>
      </c>
      <c r="X8" s="186"/>
      <c r="Y8" s="189">
        <f>'Mg St Colaba'!AD32</f>
        <v>960821.2413</v>
      </c>
      <c r="Z8" s="186"/>
      <c r="AA8" s="189">
        <f>'Mg St LP'!AB31</f>
        <v>387346</v>
      </c>
      <c r="AB8" s="186"/>
      <c r="AC8" s="189">
        <f>'Mg St LP'!AD31</f>
        <v>511042.763</v>
      </c>
      <c r="AD8" s="186"/>
      <c r="AE8" s="189">
        <f>'Mg St Bandra'!AB32</f>
        <v>1190213</v>
      </c>
      <c r="AF8" s="186"/>
      <c r="AG8" s="189">
        <f>'Mg St Bandra'!AD32</f>
        <v>1460250.9</v>
      </c>
      <c r="AH8" s="186"/>
      <c r="AI8" s="186" t="str">
        <f>'MSK Events'!H27</f>
        <v/>
      </c>
      <c r="AJ8" s="186"/>
      <c r="AK8" s="186" t="str">
        <f t="shared" si="7"/>
        <v>#REF!</v>
      </c>
      <c r="AL8" s="186"/>
      <c r="AM8" s="186" t="str">
        <f>MSBC!AB28</f>
        <v/>
      </c>
      <c r="AN8" s="186"/>
      <c r="AO8" s="265" t="str">
        <f>MSBC!AD28</f>
        <v/>
      </c>
      <c r="AP8" s="186"/>
      <c r="AQ8" s="265" t="str">
        <f>Kaspers!T30</f>
        <v/>
      </c>
      <c r="AR8" s="186"/>
      <c r="AS8" s="189" t="str">
        <f>Kaspers!V30</f>
        <v/>
      </c>
      <c r="AT8" s="186"/>
      <c r="AU8" s="189" t="str">
        <f>'MSBC Andheri'!H27</f>
        <v/>
      </c>
      <c r="AV8" s="186"/>
      <c r="AW8" s="186" t="str">
        <f t="shared" si="8"/>
        <v>#REF!</v>
      </c>
      <c r="AX8" s="186"/>
      <c r="AY8" s="186" t="str">
        <f>'MSBC Dahisar'!H25</f>
        <v/>
      </c>
      <c r="AZ8" s="186"/>
      <c r="BA8" s="186" t="str">
        <f t="shared" si="9"/>
        <v>#REF!</v>
      </c>
      <c r="BB8" s="186"/>
      <c r="BC8" s="186"/>
      <c r="BD8" s="186"/>
      <c r="BE8" s="186"/>
      <c r="BF8" s="186"/>
      <c r="BG8" s="114"/>
      <c r="BH8" s="43"/>
      <c r="BI8" s="114"/>
      <c r="BJ8" s="43"/>
    </row>
    <row r="9" ht="15.75" customHeight="1">
      <c r="B9" s="188" t="s">
        <v>169</v>
      </c>
      <c r="C9" s="262">
        <f t="shared" si="2"/>
        <v>63400</v>
      </c>
      <c r="D9" s="268"/>
      <c r="E9" s="262">
        <f t="shared" si="3"/>
        <v>0</v>
      </c>
      <c r="F9" s="268"/>
      <c r="G9" s="265">
        <f>HO!AB19</f>
        <v>0</v>
      </c>
      <c r="H9" s="186"/>
      <c r="I9" s="265">
        <f>HO!AD19</f>
        <v>0</v>
      </c>
      <c r="J9" s="186"/>
      <c r="K9" s="262">
        <f t="shared" si="4"/>
        <v>63400</v>
      </c>
      <c r="L9" s="268"/>
      <c r="M9" s="262">
        <f t="shared" si="5"/>
        <v>0</v>
      </c>
      <c r="N9" s="268"/>
      <c r="O9" s="189">
        <f>'The Table'!AB22+'The Table'!AB23+'The Table'!AB24</f>
        <v>20900</v>
      </c>
      <c r="P9" s="186"/>
      <c r="Q9" s="189">
        <f>'The Table'!AD22+'The Table'!AD23+'The Table'!AD24</f>
        <v>0</v>
      </c>
      <c r="R9" s="186"/>
      <c r="S9" s="267">
        <v>0.0</v>
      </c>
      <c r="T9" s="186"/>
      <c r="U9" s="267">
        <v>0.0</v>
      </c>
      <c r="V9" s="186"/>
      <c r="W9" s="189">
        <f>'Mg St Colaba'!AB24+'Mg St Colaba'!AB25+'Mg St Colaba'!AB26</f>
        <v>20900</v>
      </c>
      <c r="X9" s="186"/>
      <c r="Y9" s="189">
        <f>'Mg St Colaba'!AD24+'Mg St Colaba'!AD25+'Mg St Colaba'!AD26</f>
        <v>0</v>
      </c>
      <c r="Z9" s="186"/>
      <c r="AA9" s="189">
        <f>'Mg St LP'!AB23+'Mg St LP'!AB24+'Mg St LP'!AB25</f>
        <v>8800</v>
      </c>
      <c r="AB9" s="186"/>
      <c r="AC9" s="189">
        <f>'Mg St LP'!AD23+'Mg St LP'!AD24+'Mg St LP'!AD25</f>
        <v>0</v>
      </c>
      <c r="AD9" s="186"/>
      <c r="AE9" s="189">
        <f>'Mg St Bandra'!AB24+'Mg St Bandra'!AB25+'Mg St Bandra'!AB26</f>
        <v>12800</v>
      </c>
      <c r="AF9" s="186"/>
      <c r="AG9" s="189">
        <f>'Mg St Bandra'!AD24+'Mg St Bandra'!AD25+'Mg St Bandra'!AD26</f>
        <v>0</v>
      </c>
      <c r="AH9" s="186"/>
      <c r="AI9" s="267">
        <v>0.0</v>
      </c>
      <c r="AJ9" s="186"/>
      <c r="AK9" s="267">
        <v>0.0</v>
      </c>
      <c r="AL9" s="186"/>
      <c r="AM9" s="267">
        <v>0.0</v>
      </c>
      <c r="AN9" s="186"/>
      <c r="AO9" s="267">
        <v>0.0</v>
      </c>
      <c r="AP9" s="186"/>
      <c r="AQ9" s="267">
        <v>0.0</v>
      </c>
      <c r="AR9" s="186"/>
      <c r="AS9" s="189"/>
      <c r="AT9" s="186"/>
      <c r="AU9" s="266">
        <v>0.0</v>
      </c>
      <c r="AV9" s="186"/>
      <c r="AW9" s="186"/>
      <c r="AX9" s="186"/>
      <c r="AY9" s="267">
        <v>0.0</v>
      </c>
      <c r="AZ9" s="186"/>
      <c r="BA9" s="267">
        <v>0.0</v>
      </c>
      <c r="BB9" s="186"/>
      <c r="BC9" s="267"/>
      <c r="BD9" s="186"/>
      <c r="BE9" s="267"/>
      <c r="BF9" s="186"/>
      <c r="BG9" s="62"/>
      <c r="BH9" s="43"/>
      <c r="BI9" s="114"/>
      <c r="BJ9" s="43"/>
    </row>
    <row r="10" ht="15.75" customHeight="1">
      <c r="B10" s="188" t="s">
        <v>27</v>
      </c>
      <c r="C10" s="262">
        <f>SUM(C5:C9)</f>
        <v>57973931</v>
      </c>
      <c r="D10" s="263" t="str">
        <f>(C10-E10)/E10</f>
        <v>#REF!</v>
      </c>
      <c r="E10" s="262" t="str">
        <f>SUM(E5:E9)</f>
        <v>#REF!</v>
      </c>
      <c r="F10" s="268"/>
      <c r="G10" s="189">
        <f>SUM(G5:G8)</f>
        <v>0</v>
      </c>
      <c r="H10" s="186"/>
      <c r="I10" s="189">
        <f>SUM(I5:I8)</f>
        <v>0</v>
      </c>
      <c r="J10" s="186"/>
      <c r="K10" s="262">
        <f>SUM(K5:K9)</f>
        <v>57973931</v>
      </c>
      <c r="L10" s="268"/>
      <c r="M10" s="262" t="str">
        <f>SUM(M5:M9)</f>
        <v>#REF!</v>
      </c>
      <c r="N10" s="268"/>
      <c r="O10" s="189">
        <f>SUM(O5:O9)</f>
        <v>15375291</v>
      </c>
      <c r="P10" s="186"/>
      <c r="Q10" s="189">
        <f>SUM(Q5:Q9)</f>
        <v>14596418</v>
      </c>
      <c r="R10" s="186"/>
      <c r="S10" s="189">
        <f>SUM(S5:S9)</f>
        <v>638872</v>
      </c>
      <c r="T10" s="186"/>
      <c r="U10" s="189" t="str">
        <f>SUM(U5:U9)</f>
        <v>#REF!</v>
      </c>
      <c r="V10" s="186"/>
      <c r="W10" s="189">
        <f>SUM(W5:W9)</f>
        <v>14161748</v>
      </c>
      <c r="X10" s="186"/>
      <c r="Y10" s="189">
        <f>SUM(Y5:Y9)</f>
        <v>14380112.32</v>
      </c>
      <c r="Z10" s="186"/>
      <c r="AA10" s="189">
        <f>SUM(AA5:AA9)</f>
        <v>9370798</v>
      </c>
      <c r="AB10" s="186"/>
      <c r="AC10" s="189">
        <f>SUM(AC5:AC9)</f>
        <v>9099996.763</v>
      </c>
      <c r="AD10" s="186"/>
      <c r="AE10" s="189">
        <f>SUM(AE5:AE9)</f>
        <v>17461681</v>
      </c>
      <c r="AF10" s="186"/>
      <c r="AG10" s="189">
        <f>SUM(AG5:AG9)</f>
        <v>17685260.9</v>
      </c>
      <c r="AH10" s="186"/>
      <c r="AI10" s="189">
        <f>SUM(AI5:AI9)</f>
        <v>0</v>
      </c>
      <c r="AJ10" s="186"/>
      <c r="AK10" s="189" t="str">
        <f>SUM(AK5:AK9)</f>
        <v>#REF!</v>
      </c>
      <c r="AL10" s="186"/>
      <c r="AM10" s="189">
        <f>SUM(AM5:AM9)</f>
        <v>440346</v>
      </c>
      <c r="AN10" s="186"/>
      <c r="AO10" s="189">
        <f>SUM(AO5:AO9)</f>
        <v>84000</v>
      </c>
      <c r="AP10" s="186"/>
      <c r="AQ10" s="190">
        <f>SUM(AQ5:AQ9)</f>
        <v>0</v>
      </c>
      <c r="AR10" s="186"/>
      <c r="AS10" s="189">
        <f>SUM(AS5:AS9)</f>
        <v>5000000</v>
      </c>
      <c r="AT10" s="186"/>
      <c r="AU10" s="189">
        <f>SUM(AU5:AU9)</f>
        <v>324062</v>
      </c>
      <c r="AV10" s="186"/>
      <c r="AW10" s="189" t="str">
        <f>SUM(AW5:AW9)</f>
        <v>#REF!</v>
      </c>
      <c r="AX10" s="186"/>
      <c r="AY10" s="189">
        <f>SUM(AY5:AY9)</f>
        <v>201133</v>
      </c>
      <c r="AZ10" s="186"/>
      <c r="BA10" s="189" t="str">
        <f>SUM(BA5:BA9)</f>
        <v>#REF!</v>
      </c>
      <c r="BB10" s="186"/>
      <c r="BC10" s="189">
        <f>SUM(BC5:BC9)</f>
        <v>100835</v>
      </c>
      <c r="BD10" s="186"/>
      <c r="BE10" s="189"/>
      <c r="BF10" s="186"/>
      <c r="BG10" s="146">
        <f>SUM(BG5:BG9)</f>
        <v>0</v>
      </c>
      <c r="BH10" s="188"/>
      <c r="BI10" s="262">
        <f>SUM(BI5:BI9)</f>
        <v>0</v>
      </c>
      <c r="BJ10" s="188"/>
    </row>
    <row r="11" ht="15.75" customHeight="1">
      <c r="B11" s="188"/>
      <c r="C11" s="268"/>
      <c r="D11" s="268"/>
      <c r="E11" s="268"/>
      <c r="F11" s="268"/>
      <c r="G11" s="186"/>
      <c r="H11" s="186"/>
      <c r="I11" s="186"/>
      <c r="J11" s="186"/>
      <c r="K11" s="268"/>
      <c r="L11" s="268"/>
      <c r="M11" s="268"/>
      <c r="N11" s="268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  <c r="AA11" s="186"/>
      <c r="AB11" s="186"/>
      <c r="AC11" s="186"/>
      <c r="AD11" s="186"/>
      <c r="AE11" s="186"/>
      <c r="AF11" s="186"/>
      <c r="AG11" s="186"/>
      <c r="AH11" s="186"/>
      <c r="AI11" s="186"/>
      <c r="AJ11" s="186"/>
      <c r="AK11" s="186"/>
      <c r="AL11" s="186"/>
      <c r="AM11" s="186"/>
      <c r="AN11" s="186"/>
      <c r="AO11" s="186"/>
      <c r="AP11" s="186"/>
      <c r="AQ11" s="186"/>
      <c r="AR11" s="186"/>
      <c r="AS11" s="186"/>
      <c r="AT11" s="186"/>
      <c r="AU11" s="186"/>
      <c r="AV11" s="186"/>
      <c r="AW11" s="186"/>
      <c r="AX11" s="186"/>
      <c r="AY11" s="186"/>
      <c r="AZ11" s="186"/>
      <c r="BA11" s="186"/>
      <c r="BB11" s="186"/>
      <c r="BC11" s="186"/>
      <c r="BD11" s="186"/>
      <c r="BE11" s="186"/>
      <c r="BF11" s="186"/>
      <c r="BG11" s="83"/>
      <c r="BH11" s="43"/>
      <c r="BI11" s="114"/>
      <c r="BJ11" s="43"/>
    </row>
    <row r="12" ht="15.75" customHeight="1">
      <c r="B12" s="188" t="s">
        <v>29</v>
      </c>
      <c r="C12" s="262">
        <f t="shared" ref="C12:C13" si="11">G12+K12</f>
        <v>20241288.29</v>
      </c>
      <c r="D12" s="268"/>
      <c r="E12" s="262" t="str">
        <f t="shared" ref="E12:E13" si="12">I12+M12</f>
        <v>#REF!</v>
      </c>
      <c r="F12" s="268"/>
      <c r="G12" s="265">
        <f>HO!AB32</f>
        <v>1468610</v>
      </c>
      <c r="H12" s="186"/>
      <c r="I12" s="265">
        <f>HO!AD32</f>
        <v>0</v>
      </c>
      <c r="J12" s="186"/>
      <c r="K12" s="262">
        <f t="shared" ref="K12:K13" si="13">O12+S12+W12+AA12+AE12+AI12+AM12+AQ12+AU12+AY12</f>
        <v>18772678.29</v>
      </c>
      <c r="L12" s="268"/>
      <c r="M12" s="262" t="str">
        <f t="shared" ref="M12:M13" si="14">Q12+U12+Y12+AC12+AG12+AK12+AO12</f>
        <v>#REF!</v>
      </c>
      <c r="N12" s="268"/>
      <c r="O12" s="189">
        <f>'The Table'!AB41</f>
        <v>6345823.356</v>
      </c>
      <c r="P12" s="186"/>
      <c r="Q12" s="189">
        <f>'The Table'!AD41</f>
        <v>4849836.385</v>
      </c>
      <c r="R12" s="186"/>
      <c r="S12" s="189">
        <f>Iktara!P38</f>
        <v>235058.8959</v>
      </c>
      <c r="T12" s="186"/>
      <c r="U12" s="189" t="str">
        <f t="shared" ref="U12:U13" si="15">#REF!</f>
        <v>#REF!</v>
      </c>
      <c r="V12" s="186"/>
      <c r="W12" s="189">
        <f>'Mg St Colaba'!AB51</f>
        <v>4024646.837</v>
      </c>
      <c r="X12" s="186"/>
      <c r="Y12" s="189">
        <f>'Mg St Colaba'!AD51</f>
        <v>3958506.912</v>
      </c>
      <c r="Z12" s="186"/>
      <c r="AA12" s="189">
        <f>'Mg St LP'!AB52</f>
        <v>2685015.913</v>
      </c>
      <c r="AB12" s="186"/>
      <c r="AC12" s="189">
        <f>'Mg St LP'!AD52</f>
        <v>2186795.558</v>
      </c>
      <c r="AD12" s="186"/>
      <c r="AE12" s="189">
        <f>'Mg St Bandra'!AB51</f>
        <v>4821919.283</v>
      </c>
      <c r="AF12" s="186"/>
      <c r="AG12" s="189">
        <f>'Mg St Bandra'!AD51</f>
        <v>5158596.528</v>
      </c>
      <c r="AH12" s="186"/>
      <c r="AI12" s="186">
        <f>'MSK Events'!H46</f>
        <v>0</v>
      </c>
      <c r="AJ12" s="186"/>
      <c r="AK12" s="186" t="str">
        <f t="shared" ref="AK12:AK13" si="16">#REF!</f>
        <v>#REF!</v>
      </c>
      <c r="AL12" s="186"/>
      <c r="AM12" s="189">
        <f>MSBC!AB47</f>
        <v>233255.192</v>
      </c>
      <c r="AN12" s="186"/>
      <c r="AO12" s="265">
        <f>MSBC!AD47</f>
        <v>0</v>
      </c>
      <c r="AP12" s="186"/>
      <c r="AQ12" s="186" t="str">
        <f>Kaspers!TL9</f>
        <v/>
      </c>
      <c r="AR12" s="186"/>
      <c r="AS12" s="189">
        <f>Kaspers!V49</f>
        <v>2143500</v>
      </c>
      <c r="AT12" s="186"/>
      <c r="AU12" s="189">
        <f>'MSBC Andheri'!H47</f>
        <v>222608.8089</v>
      </c>
      <c r="AV12" s="186"/>
      <c r="AW12" s="186" t="str">
        <f t="shared" ref="AW12:AW13" si="17">#REF!</f>
        <v>#REF!</v>
      </c>
      <c r="AX12" s="186"/>
      <c r="AY12" s="189">
        <f>'MSBC Dahisar'!H45</f>
        <v>204350.0051</v>
      </c>
      <c r="AZ12" s="186" t="str">
        <f t="shared" ref="AZ12:BA12" si="10">#REF!</f>
        <v>#REF!</v>
      </c>
      <c r="BA12" s="186" t="str">
        <f t="shared" si="10"/>
        <v>#REF!</v>
      </c>
      <c r="BB12" s="186"/>
      <c r="BC12" s="189">
        <f>'MSBC Juhu  Goregoan'!H36</f>
        <v>186262.7955</v>
      </c>
      <c r="BD12" s="186"/>
      <c r="BE12" s="186"/>
      <c r="BF12" s="186"/>
      <c r="BG12" s="114" t="str">
        <f>'LOUD MOUTH'!H47</f>
        <v/>
      </c>
      <c r="BH12" s="28"/>
      <c r="BI12" s="83"/>
      <c r="BJ12" s="28"/>
    </row>
    <row r="13" ht="15.75" customHeight="1">
      <c r="B13" s="188" t="s">
        <v>30</v>
      </c>
      <c r="C13" s="262">
        <f t="shared" si="11"/>
        <v>686193</v>
      </c>
      <c r="D13" s="268"/>
      <c r="E13" s="262" t="str">
        <f t="shared" si="12"/>
        <v>#REF!</v>
      </c>
      <c r="F13" s="268"/>
      <c r="G13" s="265" t="str">
        <f>HO!AB33</f>
        <v/>
      </c>
      <c r="H13" s="186"/>
      <c r="I13" s="265" t="str">
        <f>HO!AD33</f>
        <v/>
      </c>
      <c r="J13" s="186"/>
      <c r="K13" s="262">
        <f t="shared" si="13"/>
        <v>686193</v>
      </c>
      <c r="L13" s="268"/>
      <c r="M13" s="262" t="str">
        <f t="shared" si="14"/>
        <v>#REF!</v>
      </c>
      <c r="N13" s="268"/>
      <c r="O13" s="189">
        <f>'The Table'!AB42</f>
        <v>36266</v>
      </c>
      <c r="P13" s="186"/>
      <c r="Q13" s="189">
        <f>'The Table'!AD42</f>
        <v>41846.7543</v>
      </c>
      <c r="R13" s="186"/>
      <c r="S13" s="189">
        <f>Iktara!P39</f>
        <v>16362</v>
      </c>
      <c r="T13" s="186"/>
      <c r="U13" s="189" t="str">
        <f t="shared" si="15"/>
        <v>#REF!</v>
      </c>
      <c r="V13" s="186"/>
      <c r="W13" s="189">
        <f>'Mg St Colaba'!AB52</f>
        <v>158935</v>
      </c>
      <c r="X13" s="186"/>
      <c r="Y13" s="189">
        <f>'Mg St Colaba'!AD52</f>
        <v>126544.9884</v>
      </c>
      <c r="Z13" s="186"/>
      <c r="AA13" s="189">
        <f>'Mg St LP'!AB53</f>
        <v>168318</v>
      </c>
      <c r="AB13" s="186"/>
      <c r="AC13" s="189">
        <f>'Mg St LP'!AD53</f>
        <v>87607.3308</v>
      </c>
      <c r="AD13" s="186"/>
      <c r="AE13" s="189">
        <f>'Mg St Bandra'!AB52</f>
        <v>133041</v>
      </c>
      <c r="AF13" s="186"/>
      <c r="AG13" s="189">
        <f>'Mg St Bandra'!AD52</f>
        <v>97268.93495</v>
      </c>
      <c r="AH13" s="186"/>
      <c r="AI13" s="186" t="str">
        <f>'MSK Events'!H47</f>
        <v/>
      </c>
      <c r="AJ13" s="186"/>
      <c r="AK13" s="186" t="str">
        <f t="shared" si="16"/>
        <v>#REF!</v>
      </c>
      <c r="AL13" s="186"/>
      <c r="AM13" s="189">
        <f>MSBC!AB48</f>
        <v>139980</v>
      </c>
      <c r="AN13" s="186"/>
      <c r="AO13" s="265" t="str">
        <f>MSBC!X48</f>
        <v/>
      </c>
      <c r="AP13" s="186"/>
      <c r="AQ13" s="265" t="str">
        <f>Kaspers!T50</f>
        <v/>
      </c>
      <c r="AR13" s="186"/>
      <c r="AS13" s="189">
        <f>Kaspers!V50</f>
        <v>15500</v>
      </c>
      <c r="AT13" s="186"/>
      <c r="AU13" s="189">
        <f>'MSBC Andheri'!H48</f>
        <v>23230</v>
      </c>
      <c r="AV13" s="186"/>
      <c r="AW13" s="186" t="str">
        <f t="shared" si="17"/>
        <v>#REF!</v>
      </c>
      <c r="AX13" s="186"/>
      <c r="AY13" s="189">
        <f>'MSBC Dahisar'!H46</f>
        <v>10061</v>
      </c>
      <c r="AZ13" s="186"/>
      <c r="BA13" s="186" t="str">
        <f>#REF!</f>
        <v>#REF!</v>
      </c>
      <c r="BB13" s="186"/>
      <c r="BC13" s="189">
        <f>'MSBC Juhu  Goregoan'!H37</f>
        <v>1336</v>
      </c>
      <c r="BD13" s="186"/>
      <c r="BE13" s="186"/>
      <c r="BF13" s="186"/>
      <c r="BG13" s="114" t="str">
        <f>'LOUD MOUTH'!H48</f>
        <v/>
      </c>
      <c r="BH13" s="43"/>
      <c r="BI13" s="114"/>
      <c r="BJ13" s="43"/>
    </row>
    <row r="14" ht="15.75" customHeight="1">
      <c r="B14" s="188" t="s">
        <v>31</v>
      </c>
      <c r="C14" s="262">
        <f>C12+C13</f>
        <v>20927481.29</v>
      </c>
      <c r="D14" s="268"/>
      <c r="E14" s="262" t="str">
        <f>E12+E13</f>
        <v>#REF!</v>
      </c>
      <c r="F14" s="268"/>
      <c r="G14" s="265">
        <f>G12+G13</f>
        <v>1468610</v>
      </c>
      <c r="H14" s="186"/>
      <c r="I14" s="265">
        <f>I12+I13</f>
        <v>0</v>
      </c>
      <c r="J14" s="186"/>
      <c r="K14" s="262">
        <f>sum(K12:K13)</f>
        <v>19458871.29</v>
      </c>
      <c r="L14" s="268"/>
      <c r="M14" s="268"/>
      <c r="N14" s="268"/>
      <c r="O14" s="189">
        <f>O12+O13</f>
        <v>6382089.356</v>
      </c>
      <c r="P14" s="186"/>
      <c r="Q14" s="189">
        <f>Q12+Q13</f>
        <v>4891683.139</v>
      </c>
      <c r="R14" s="186"/>
      <c r="S14" s="189">
        <f>S12+S13</f>
        <v>251420.8959</v>
      </c>
      <c r="T14" s="186"/>
      <c r="U14" s="189" t="str">
        <f>U12+U13</f>
        <v>#REF!</v>
      </c>
      <c r="V14" s="186"/>
      <c r="W14" s="189">
        <f>W12+W13</f>
        <v>4183581.837</v>
      </c>
      <c r="X14" s="186"/>
      <c r="Y14" s="189">
        <f>Y12+Y13</f>
        <v>4085051.901</v>
      </c>
      <c r="Z14" s="186"/>
      <c r="AA14" s="189">
        <f>AA12+AA13</f>
        <v>2853333.913</v>
      </c>
      <c r="AB14" s="186"/>
      <c r="AC14" s="189">
        <f>AC12+AC13</f>
        <v>2274402.889</v>
      </c>
      <c r="AD14" s="186"/>
      <c r="AE14" s="189">
        <f>SUM(AE12:AE13)</f>
        <v>4954960.283</v>
      </c>
      <c r="AF14" s="186"/>
      <c r="AG14" s="189">
        <f>SUM(AG12:AG13)</f>
        <v>5255865.463</v>
      </c>
      <c r="AH14" s="186"/>
      <c r="AI14" s="186">
        <f>SUM(AI12:AI13)</f>
        <v>0</v>
      </c>
      <c r="AJ14" s="186"/>
      <c r="AK14" s="186" t="str">
        <f>SUM(AK12:AK13)</f>
        <v>#REF!</v>
      </c>
      <c r="AL14" s="186"/>
      <c r="AM14" s="189">
        <f>sum(AM12:AM13)</f>
        <v>373235.192</v>
      </c>
      <c r="AN14" s="186"/>
      <c r="AO14" s="265">
        <f>MSBC!AD49</f>
        <v>0</v>
      </c>
      <c r="AP14" s="186"/>
      <c r="AQ14" s="190">
        <f>SUM(AQ12:AQ13)</f>
        <v>0</v>
      </c>
      <c r="AR14" s="186"/>
      <c r="AS14" s="189">
        <f>SUM(AS12:AS13)</f>
        <v>2159000</v>
      </c>
      <c r="AT14" s="186"/>
      <c r="AU14" s="190">
        <f>SUM(AU12:AU13)</f>
        <v>245838.8089</v>
      </c>
      <c r="AV14" s="188"/>
      <c r="AW14" s="188" t="str">
        <f>SUM(AW12:AW13)</f>
        <v>#REF!</v>
      </c>
      <c r="AX14" s="188"/>
      <c r="AY14" s="190">
        <f>SUM(AY12:AY13)</f>
        <v>214411.0051</v>
      </c>
      <c r="AZ14" s="188"/>
      <c r="BA14" s="188" t="str">
        <f>SUM(BA12:BA13)</f>
        <v>#REF!</v>
      </c>
      <c r="BB14" s="188"/>
      <c r="BC14" s="190">
        <f>SUM(BC12:BC13)</f>
        <v>187598.7955</v>
      </c>
      <c r="BD14" s="188"/>
      <c r="BE14" s="188">
        <f>SUM(BE12:BE13)</f>
        <v>0</v>
      </c>
      <c r="BF14" s="188"/>
      <c r="BG14" s="146">
        <f>SUM(BG12:BG13)</f>
        <v>0</v>
      </c>
      <c r="BH14" s="188"/>
      <c r="BI14" s="188"/>
      <c r="BJ14" s="188"/>
    </row>
    <row r="15" ht="15.75" customHeight="1">
      <c r="B15" s="188" t="s">
        <v>32</v>
      </c>
      <c r="C15" s="268"/>
      <c r="D15" s="268"/>
      <c r="E15" s="268"/>
      <c r="F15" s="268"/>
      <c r="G15" s="186"/>
      <c r="H15" s="186"/>
      <c r="I15" s="186"/>
      <c r="J15" s="186"/>
      <c r="K15" s="268"/>
      <c r="L15" s="268"/>
      <c r="M15" s="268"/>
      <c r="N15" s="268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  <c r="AA15" s="186"/>
      <c r="AB15" s="186"/>
      <c r="AC15" s="186"/>
      <c r="AD15" s="186"/>
      <c r="AE15" s="186"/>
      <c r="AF15" s="186"/>
      <c r="AG15" s="186"/>
      <c r="AH15" s="186"/>
      <c r="AI15" s="186"/>
      <c r="AJ15" s="186"/>
      <c r="AK15" s="186"/>
      <c r="AL15" s="186"/>
      <c r="AM15" s="186"/>
      <c r="AN15" s="186"/>
      <c r="AO15" s="186"/>
      <c r="AP15" s="186"/>
      <c r="AQ15" s="186"/>
      <c r="AR15" s="186"/>
      <c r="AS15" s="186"/>
      <c r="AT15" s="186"/>
      <c r="AU15" s="189">
        <f>'MSBC Andheri'!H60</f>
        <v>40729.83</v>
      </c>
      <c r="AV15" s="186"/>
      <c r="AW15" s="186" t="str">
        <f>#REF!</f>
        <v>#REF!</v>
      </c>
      <c r="AX15" s="186"/>
      <c r="AY15" s="189">
        <f>'MSBC Dahisar'!H58</f>
        <v>52218.22</v>
      </c>
      <c r="AZ15" s="186"/>
      <c r="BA15" s="186"/>
      <c r="BB15" s="186"/>
      <c r="BC15" s="189">
        <f>'MSBC Dahisar'!K58</f>
        <v>0</v>
      </c>
      <c r="BD15" s="186"/>
      <c r="BE15" s="186"/>
      <c r="BF15" s="186"/>
      <c r="BG15" s="96"/>
      <c r="BH15" s="55"/>
      <c r="BI15" s="62"/>
      <c r="BJ15" s="55"/>
    </row>
    <row r="16" ht="15.75" customHeight="1">
      <c r="B16" s="188" t="s">
        <v>33</v>
      </c>
      <c r="C16" s="262">
        <f>C10-C14</f>
        <v>37046449.71</v>
      </c>
      <c r="D16" s="268"/>
      <c r="E16" s="262" t="str">
        <f>E10-E14</f>
        <v>#REF!</v>
      </c>
      <c r="F16" s="268"/>
      <c r="G16" s="189">
        <f>G10-G14</f>
        <v>-1468610</v>
      </c>
      <c r="H16" s="186"/>
      <c r="I16" s="189">
        <f>I10-I14</f>
        <v>0</v>
      </c>
      <c r="J16" s="186"/>
      <c r="K16" s="262">
        <f>K10-K14</f>
        <v>38515059.71</v>
      </c>
      <c r="L16" s="268"/>
      <c r="M16" s="262" t="str">
        <f>Q16+U16+Y16+AC16+AG16+AK16+AO16</f>
        <v>#REF!</v>
      </c>
      <c r="N16" s="268"/>
      <c r="O16" s="189">
        <f>O10-O14</f>
        <v>8993201.644</v>
      </c>
      <c r="P16" s="186"/>
      <c r="Q16" s="189">
        <f>Q10-Q14</f>
        <v>9704734.861</v>
      </c>
      <c r="R16" s="186"/>
      <c r="S16" s="189">
        <f>S10-S14</f>
        <v>387451.1041</v>
      </c>
      <c r="T16" s="186"/>
      <c r="U16" s="189" t="str">
        <f>U10-U14</f>
        <v>#REF!</v>
      </c>
      <c r="V16" s="186"/>
      <c r="W16" s="189">
        <f>W10-W14</f>
        <v>9978166.163</v>
      </c>
      <c r="X16" s="186"/>
      <c r="Y16" s="189">
        <f>Y10-Y14</f>
        <v>10295060.42</v>
      </c>
      <c r="Z16" s="186"/>
      <c r="AA16" s="189">
        <f>AA10-AA14</f>
        <v>6517464.087</v>
      </c>
      <c r="AB16" s="186"/>
      <c r="AC16" s="189">
        <f>AC10-AC14</f>
        <v>6825593.874</v>
      </c>
      <c r="AD16" s="186"/>
      <c r="AE16" s="189">
        <f>AE10-AE14</f>
        <v>12506720.72</v>
      </c>
      <c r="AF16" s="186"/>
      <c r="AG16" s="189">
        <f>AG10-AG14</f>
        <v>12429395.44</v>
      </c>
      <c r="AH16" s="186"/>
      <c r="AI16" s="189">
        <f>AI10-AI14</f>
        <v>0</v>
      </c>
      <c r="AJ16" s="186"/>
      <c r="AK16" s="189" t="str">
        <f>AK10-AK14</f>
        <v>#REF!</v>
      </c>
      <c r="AL16" s="186"/>
      <c r="AM16" s="189">
        <f>AM10-AM14</f>
        <v>67110.80803</v>
      </c>
      <c r="AN16" s="186"/>
      <c r="AO16" s="189">
        <f>AO10-AO14</f>
        <v>84000</v>
      </c>
      <c r="AP16" s="186"/>
      <c r="AQ16" s="190">
        <f>AQ10-AQ14-AQ15</f>
        <v>0</v>
      </c>
      <c r="AR16" s="186"/>
      <c r="AS16" s="189">
        <f>AS10-AS14</f>
        <v>2841000</v>
      </c>
      <c r="AT16" s="186"/>
      <c r="AU16" s="262">
        <f>AU10-AU14-AU15</f>
        <v>37493.3611</v>
      </c>
      <c r="AV16" s="268"/>
      <c r="AW16" s="262" t="str">
        <f>AW10-AW14-AW15</f>
        <v>#REF!</v>
      </c>
      <c r="AX16" s="268"/>
      <c r="AY16" s="262">
        <f>AY10-AY14-AY15</f>
        <v>-65496.22506</v>
      </c>
      <c r="AZ16" s="268"/>
      <c r="BA16" s="262" t="str">
        <f>BA10-BA14-BA15</f>
        <v>#REF!</v>
      </c>
      <c r="BB16" s="268"/>
      <c r="BC16" s="262">
        <f>BC10-BC14-BC15</f>
        <v>-86763.79547</v>
      </c>
      <c r="BD16" s="268"/>
      <c r="BE16" s="262"/>
      <c r="BF16" s="268"/>
      <c r="BG16" s="146">
        <f>BG10-BG14</f>
        <v>0</v>
      </c>
      <c r="BH16" s="188"/>
      <c r="BI16" s="188"/>
      <c r="BJ16" s="188"/>
    </row>
    <row r="17" ht="15.75" customHeight="1">
      <c r="B17" s="188"/>
      <c r="C17" s="268"/>
      <c r="D17" s="268"/>
      <c r="E17" s="268"/>
      <c r="F17" s="268"/>
      <c r="G17" s="186"/>
      <c r="H17" s="186"/>
      <c r="I17" s="186"/>
      <c r="J17" s="186"/>
      <c r="K17" s="268"/>
      <c r="L17" s="268"/>
      <c r="M17" s="268"/>
      <c r="N17" s="268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  <c r="AA17" s="186"/>
      <c r="AB17" s="186"/>
      <c r="AC17" s="186"/>
      <c r="AD17" s="186"/>
      <c r="AE17" s="186"/>
      <c r="AF17" s="186"/>
      <c r="AG17" s="186"/>
      <c r="AH17" s="186"/>
      <c r="AI17" s="186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6"/>
      <c r="AU17" s="186"/>
      <c r="AV17" s="186"/>
      <c r="AW17" s="186"/>
      <c r="AX17" s="186"/>
      <c r="AY17" s="186"/>
      <c r="AZ17" s="186"/>
      <c r="BA17" s="186"/>
      <c r="BB17" s="186"/>
      <c r="BC17" s="186"/>
      <c r="BD17" s="186"/>
      <c r="BE17" s="186"/>
      <c r="BF17" s="186"/>
      <c r="BG17" s="83"/>
      <c r="BH17" s="186"/>
      <c r="BI17" s="186"/>
      <c r="BJ17" s="186"/>
    </row>
    <row r="18" ht="15.75" customHeight="1">
      <c r="B18" s="188" t="s">
        <v>34</v>
      </c>
      <c r="C18" s="262">
        <f t="shared" ref="C18:C27" si="18">G18+K18</f>
        <v>1311503</v>
      </c>
      <c r="D18" s="268"/>
      <c r="E18" s="262" t="str">
        <f t="shared" ref="E18:E28" si="19">I18+M18</f>
        <v>#REF!</v>
      </c>
      <c r="F18" s="268"/>
      <c r="G18" s="265">
        <f>HO!AB44</f>
        <v>0</v>
      </c>
      <c r="H18" s="186"/>
      <c r="I18" s="189">
        <f>HO!AD44</f>
        <v>0</v>
      </c>
      <c r="J18" s="186"/>
      <c r="K18" s="262">
        <f t="shared" ref="K18:K27" si="20">O18+S18+W18+AA18+AE18+AI18+AM18+AQ18+AU18+AY18</f>
        <v>1311503</v>
      </c>
      <c r="L18" s="268"/>
      <c r="M18" s="262" t="str">
        <f t="shared" ref="M18:M27" si="21">Q18+U18+Y18+AC18+AG18+AK18+AO18</f>
        <v>#REF!</v>
      </c>
      <c r="N18" s="268"/>
      <c r="O18" s="189">
        <f>'The Table'!AB53</f>
        <v>312032</v>
      </c>
      <c r="P18" s="186"/>
      <c r="Q18" s="189">
        <f>'The Table'!AD53</f>
        <v>333543.1208</v>
      </c>
      <c r="R18" s="186"/>
      <c r="S18" s="189">
        <f>Iktara!P50</f>
        <v>21102</v>
      </c>
      <c r="T18" s="186"/>
      <c r="U18" s="189" t="str">
        <f t="shared" ref="U18:U27" si="22">#REF!</f>
        <v>#REF!</v>
      </c>
      <c r="V18" s="186"/>
      <c r="W18" s="189">
        <f>'Mg St Colaba'!AB77</f>
        <v>223244</v>
      </c>
      <c r="X18" s="186"/>
      <c r="Y18" s="189">
        <f>'Mg St Colaba'!AD77</f>
        <v>332180.5946</v>
      </c>
      <c r="Z18" s="186"/>
      <c r="AA18" s="189">
        <f>'Mg St LP'!AB78</f>
        <v>163134</v>
      </c>
      <c r="AB18" s="186"/>
      <c r="AC18" s="189">
        <f>'Mg St LP'!AD78</f>
        <v>169259.9466</v>
      </c>
      <c r="AD18" s="186"/>
      <c r="AE18" s="189">
        <f>'Mg St Bandra'!AB75</f>
        <v>561413</v>
      </c>
      <c r="AF18" s="186"/>
      <c r="AG18" s="189">
        <f>'Mg St Bandra'!AD75</f>
        <v>488113.005</v>
      </c>
      <c r="AH18" s="186"/>
      <c r="AI18" s="265">
        <f>'MSK Events'!H72</f>
        <v>0</v>
      </c>
      <c r="AJ18" s="186"/>
      <c r="AK18" s="189" t="str">
        <f t="shared" ref="AK18:AK27" si="23">#REF!</f>
        <v>#REF!</v>
      </c>
      <c r="AL18" s="186"/>
      <c r="AM18" s="189">
        <f>MSBC!AB73</f>
        <v>30578</v>
      </c>
      <c r="AN18" s="186"/>
      <c r="AO18" s="189">
        <f>MSBC!AD73</f>
        <v>0</v>
      </c>
      <c r="AP18" s="186"/>
      <c r="AQ18" s="189">
        <f>Kaspers!T64</f>
        <v>0</v>
      </c>
      <c r="AR18" s="186"/>
      <c r="AS18" s="189">
        <f>Kaspers!V64</f>
        <v>80000</v>
      </c>
      <c r="AT18" s="186"/>
      <c r="AU18" s="186"/>
      <c r="AV18" s="186"/>
      <c r="AW18" s="186"/>
      <c r="AX18" s="186"/>
      <c r="AY18" s="189">
        <f>'MSBC Dahisar'!H71</f>
        <v>0</v>
      </c>
      <c r="AZ18" s="186"/>
      <c r="BA18" s="186"/>
      <c r="BB18" s="186"/>
      <c r="BC18" s="189" t="str">
        <f>'MSBC Juhu  Goregoan'!H55</f>
        <v/>
      </c>
      <c r="BD18" s="186"/>
      <c r="BE18" s="186"/>
      <c r="BF18" s="186"/>
      <c r="BG18" s="114">
        <v>0.0</v>
      </c>
      <c r="BH18" s="186"/>
      <c r="BI18" s="186"/>
      <c r="BJ18" s="186"/>
    </row>
    <row r="19" ht="15.75" customHeight="1">
      <c r="B19" s="188" t="s">
        <v>35</v>
      </c>
      <c r="C19" s="280">
        <f t="shared" si="18"/>
        <v>689449.1429</v>
      </c>
      <c r="D19" s="268"/>
      <c r="E19" s="280" t="str">
        <f t="shared" si="19"/>
        <v>#REF!</v>
      </c>
      <c r="F19" s="268"/>
      <c r="G19" s="281">
        <f>HO!AB53</f>
        <v>41300</v>
      </c>
      <c r="H19" s="186"/>
      <c r="I19" s="281">
        <f>HO!AD53</f>
        <v>12874</v>
      </c>
      <c r="J19" s="186"/>
      <c r="K19" s="262">
        <f t="shared" si="20"/>
        <v>648149.1429</v>
      </c>
      <c r="L19" s="268"/>
      <c r="M19" s="262" t="str">
        <f t="shared" si="21"/>
        <v>#REF!</v>
      </c>
      <c r="N19" s="268"/>
      <c r="O19" s="189">
        <f>'The Table'!AB62</f>
        <v>82778.66667</v>
      </c>
      <c r="P19" s="186"/>
      <c r="Q19" s="189">
        <f>'The Table'!AD62</f>
        <v>241775</v>
      </c>
      <c r="R19" s="186"/>
      <c r="S19" s="189">
        <f>Iktara!P62</f>
        <v>45543</v>
      </c>
      <c r="T19" s="186"/>
      <c r="U19" s="189" t="str">
        <f t="shared" si="22"/>
        <v>#REF!</v>
      </c>
      <c r="V19" s="186"/>
      <c r="W19" s="189">
        <f>'Mg St Colaba'!AB89</f>
        <v>122697.5238</v>
      </c>
      <c r="X19" s="186"/>
      <c r="Y19" s="189">
        <f>'Mg St Colaba'!AD89</f>
        <v>172068</v>
      </c>
      <c r="Z19" s="186"/>
      <c r="AA19" s="189">
        <f>'Mg St LP'!AB89</f>
        <v>125811.5238</v>
      </c>
      <c r="AB19" s="186"/>
      <c r="AC19" s="189">
        <f>'Mg St LP'!AD89</f>
        <v>170058</v>
      </c>
      <c r="AD19" s="186"/>
      <c r="AE19" s="189">
        <f>'Mg St Bandra'!AB87</f>
        <v>116535.5238</v>
      </c>
      <c r="AF19" s="186"/>
      <c r="AG19" s="189">
        <f>'Mg St Bandra'!AD87</f>
        <v>162578</v>
      </c>
      <c r="AH19" s="186"/>
      <c r="AI19" s="186">
        <f>'MSK Events'!H84</f>
        <v>0</v>
      </c>
      <c r="AJ19" s="186"/>
      <c r="AK19" s="186" t="str">
        <f t="shared" si="23"/>
        <v>#REF!</v>
      </c>
      <c r="AL19" s="186"/>
      <c r="AM19" s="189">
        <f>MSBC!AB75</f>
        <v>46155.85714</v>
      </c>
      <c r="AN19" s="186"/>
      <c r="AO19" s="265">
        <f>MSBC!AD75</f>
        <v>38600</v>
      </c>
      <c r="AP19" s="186"/>
      <c r="AQ19" s="189">
        <f>Kaspers!T76</f>
        <v>0</v>
      </c>
      <c r="AR19" s="186"/>
      <c r="AS19" s="189">
        <f>Kaspers!V76</f>
        <v>26833.33333</v>
      </c>
      <c r="AT19" s="186"/>
      <c r="AU19" s="189">
        <f>'MSBC Andheri'!H85</f>
        <v>46001.85714</v>
      </c>
      <c r="AV19" s="186"/>
      <c r="AW19" s="186"/>
      <c r="AX19" s="186"/>
      <c r="AY19" s="189">
        <f>'MSBC Dahisar'!H73</f>
        <v>62625.19048</v>
      </c>
      <c r="AZ19" s="186"/>
      <c r="BA19" s="186"/>
      <c r="BB19" s="186"/>
      <c r="BC19" s="189">
        <f>'MSBC Juhu  Goregoan'!H74</f>
        <v>63966.19048</v>
      </c>
      <c r="BD19" s="186"/>
      <c r="BE19" s="186"/>
      <c r="BF19" s="186"/>
      <c r="BG19" s="114">
        <f>'LOUD MOUTH'!H85</f>
        <v>0</v>
      </c>
      <c r="BH19" s="43"/>
      <c r="BI19" s="114"/>
      <c r="BJ19" s="43"/>
    </row>
    <row r="20" ht="15.75" customHeight="1">
      <c r="B20" s="188" t="s">
        <v>36</v>
      </c>
      <c r="C20" s="262">
        <f t="shared" si="18"/>
        <v>1976942.8</v>
      </c>
      <c r="D20" s="268"/>
      <c r="E20" s="262" t="str">
        <f t="shared" si="19"/>
        <v>#REF!</v>
      </c>
      <c r="F20" s="268"/>
      <c r="G20" s="265">
        <f>HO!AB63</f>
        <v>0</v>
      </c>
      <c r="H20" s="186"/>
      <c r="I20" s="265">
        <f>HO!AD63</f>
        <v>0</v>
      </c>
      <c r="J20" s="186"/>
      <c r="K20" s="262">
        <f t="shared" si="20"/>
        <v>1976942.8</v>
      </c>
      <c r="L20" s="268"/>
      <c r="M20" s="262" t="str">
        <f t="shared" si="21"/>
        <v>#REF!</v>
      </c>
      <c r="N20" s="268"/>
      <c r="O20" s="189">
        <f>'The Table'!AB70</f>
        <v>78585.23</v>
      </c>
      <c r="P20" s="186"/>
      <c r="Q20" s="265">
        <f>'The Table'!AD70</f>
        <v>131421.292</v>
      </c>
      <c r="R20" s="186"/>
      <c r="S20" s="189">
        <f>Iktara!P70</f>
        <v>78027.35</v>
      </c>
      <c r="T20" s="186"/>
      <c r="U20" s="189" t="str">
        <f t="shared" si="22"/>
        <v>#REF!</v>
      </c>
      <c r="V20" s="186"/>
      <c r="W20" s="189">
        <f>'Mg St Colaba'!AB100</f>
        <v>485444.61</v>
      </c>
      <c r="X20" s="186"/>
      <c r="Y20" s="189">
        <f>'Mg St Colaba'!AD100</f>
        <v>458320</v>
      </c>
      <c r="Z20" s="186"/>
      <c r="AA20" s="189">
        <f>'Mg St LP'!AB101</f>
        <v>597683.79</v>
      </c>
      <c r="AB20" s="186"/>
      <c r="AC20" s="189">
        <f>'Mg St LP'!AD101</f>
        <v>683669.7095</v>
      </c>
      <c r="AD20" s="186"/>
      <c r="AE20" s="189">
        <f>'Mg St Bandra'!AB98</f>
        <v>556420.65</v>
      </c>
      <c r="AF20" s="186"/>
      <c r="AG20" s="189">
        <f>'Mg St Bandra'!AD98</f>
        <v>482331.25</v>
      </c>
      <c r="AH20" s="186"/>
      <c r="AI20" s="186">
        <f>'MSK Events'!H91</f>
        <v>0</v>
      </c>
      <c r="AJ20" s="186"/>
      <c r="AK20" s="186" t="str">
        <f t="shared" si="23"/>
        <v>#REF!</v>
      </c>
      <c r="AL20" s="186"/>
      <c r="AM20" s="186">
        <f>MSBC!AB83</f>
        <v>32700.6</v>
      </c>
      <c r="AN20" s="186"/>
      <c r="AO20" s="265">
        <f>MSBC!AD83</f>
        <v>0</v>
      </c>
      <c r="AP20" s="186"/>
      <c r="AQ20" s="189">
        <f>Kaspers!T83</f>
        <v>0</v>
      </c>
      <c r="AR20" s="186"/>
      <c r="AS20" s="265">
        <f>Kaspers!V83</f>
        <v>0</v>
      </c>
      <c r="AT20" s="186"/>
      <c r="AU20" s="189">
        <f>'MSBC Andheri'!H93</f>
        <v>92163.54</v>
      </c>
      <c r="AV20" s="186"/>
      <c r="AW20" s="186"/>
      <c r="AX20" s="186"/>
      <c r="AY20" s="189">
        <f>'MSBC Dahisar'!H80</f>
        <v>55917.03</v>
      </c>
      <c r="AZ20" s="186"/>
      <c r="BA20" s="186"/>
      <c r="BB20" s="186"/>
      <c r="BC20" s="189">
        <f>'MSBC Juhu  Goregoan'!H81</f>
        <v>38520.76</v>
      </c>
      <c r="BD20" s="186"/>
      <c r="BE20" s="186"/>
      <c r="BF20" s="186"/>
      <c r="BG20" s="114">
        <v>0.0</v>
      </c>
      <c r="BH20" s="43"/>
      <c r="BI20" s="114"/>
      <c r="BJ20" s="43"/>
    </row>
    <row r="21" ht="15.75" customHeight="1">
      <c r="B21" s="188" t="s">
        <v>37</v>
      </c>
      <c r="C21" s="262">
        <f t="shared" si="18"/>
        <v>6133554.083</v>
      </c>
      <c r="D21" s="268"/>
      <c r="E21" s="262" t="str">
        <f t="shared" si="19"/>
        <v>#REF!</v>
      </c>
      <c r="F21" s="268"/>
      <c r="G21" s="189">
        <f>HO!AB70</f>
        <v>357421</v>
      </c>
      <c r="H21" s="186"/>
      <c r="I21" s="189">
        <f>HO!AD70</f>
        <v>364773</v>
      </c>
      <c r="J21" s="186"/>
      <c r="K21" s="262">
        <f t="shared" si="20"/>
        <v>5776133.083</v>
      </c>
      <c r="L21" s="268"/>
      <c r="M21" s="262" t="str">
        <f t="shared" si="21"/>
        <v>#REF!</v>
      </c>
      <c r="N21" s="268"/>
      <c r="O21" s="189">
        <f>'The Table'!AB76</f>
        <v>1686002</v>
      </c>
      <c r="P21" s="186"/>
      <c r="Q21" s="189">
        <f>'The Table'!AD76</f>
        <v>1754717</v>
      </c>
      <c r="R21" s="186"/>
      <c r="S21" s="189">
        <f>Iktara!P76</f>
        <v>88148</v>
      </c>
      <c r="T21" s="186"/>
      <c r="U21" s="186" t="str">
        <f t="shared" si="22"/>
        <v>#REF!</v>
      </c>
      <c r="V21" s="186"/>
      <c r="W21" s="189">
        <f>'Mg St Colaba'!AB107</f>
        <v>1494511</v>
      </c>
      <c r="X21" s="186"/>
      <c r="Y21" s="189">
        <f>'Mg St Colaba'!AD107</f>
        <v>1507009</v>
      </c>
      <c r="Z21" s="186"/>
      <c r="AA21" s="189">
        <f>'Mg St LP'!AB108</f>
        <v>499285</v>
      </c>
      <c r="AB21" s="186"/>
      <c r="AC21" s="189">
        <f>'Mg St LP'!AD108</f>
        <v>434720</v>
      </c>
      <c r="AD21" s="186"/>
      <c r="AE21" s="189">
        <f>'Mg St Bandra'!AB105</f>
        <v>1572300</v>
      </c>
      <c r="AF21" s="186"/>
      <c r="AG21" s="189">
        <f>'Mg St Bandra'!AD105</f>
        <v>1618760</v>
      </c>
      <c r="AH21" s="186"/>
      <c r="AI21" s="186">
        <f>'MSK Events'!H98</f>
        <v>131577</v>
      </c>
      <c r="AJ21" s="186"/>
      <c r="AK21" s="186" t="str">
        <f t="shared" si="23"/>
        <v>#REF!</v>
      </c>
      <c r="AL21" s="186"/>
      <c r="AM21" s="186">
        <f>MSBC!AB90</f>
        <v>250421</v>
      </c>
      <c r="AN21" s="186"/>
      <c r="AO21" s="265">
        <f>MSBC!AD90</f>
        <v>0</v>
      </c>
      <c r="AP21" s="186"/>
      <c r="AQ21" s="189">
        <f>Kaspers!T90</f>
        <v>53889.08333</v>
      </c>
      <c r="AR21" s="186"/>
      <c r="AS21" s="189">
        <f>Kaspers!V90</f>
        <v>0</v>
      </c>
      <c r="AT21" s="186"/>
      <c r="AU21" s="189">
        <f>'MSBC Andheri'!H100</f>
        <v>0</v>
      </c>
      <c r="AV21" s="186"/>
      <c r="AW21" s="186"/>
      <c r="AX21" s="186"/>
      <c r="AY21" s="189">
        <f>'MSBC Dahisar'!H89</f>
        <v>0</v>
      </c>
      <c r="AZ21" s="186"/>
      <c r="BA21" s="186"/>
      <c r="BB21" s="186"/>
      <c r="BC21" s="266">
        <v>0.0</v>
      </c>
      <c r="BD21" s="186"/>
      <c r="BE21" s="186"/>
      <c r="BF21" s="186"/>
      <c r="BG21" s="114">
        <f>'LOUD MOUTH'!H101</f>
        <v>0</v>
      </c>
      <c r="BH21" s="43"/>
      <c r="BI21" s="43"/>
      <c r="BJ21" s="43"/>
    </row>
    <row r="22" ht="15.75" customHeight="1">
      <c r="B22" s="188" t="s">
        <v>38</v>
      </c>
      <c r="C22" s="262">
        <f t="shared" si="18"/>
        <v>19544833.66</v>
      </c>
      <c r="D22" s="268"/>
      <c r="E22" s="262" t="str">
        <f t="shared" si="19"/>
        <v>#REF!</v>
      </c>
      <c r="F22" s="268"/>
      <c r="G22" s="189">
        <f>HO!AB77</f>
        <v>3974626.667</v>
      </c>
      <c r="H22" s="186"/>
      <c r="I22" s="189">
        <f>HO!AD77</f>
        <v>4043806</v>
      </c>
      <c r="J22" s="186"/>
      <c r="K22" s="262">
        <f t="shared" si="20"/>
        <v>15570207</v>
      </c>
      <c r="L22" s="268"/>
      <c r="M22" s="262" t="str">
        <f t="shared" si="21"/>
        <v>#REF!</v>
      </c>
      <c r="N22" s="268"/>
      <c r="O22" s="189">
        <f>'The Table'!AB82</f>
        <v>5324960.865</v>
      </c>
      <c r="P22" s="186"/>
      <c r="Q22" s="189">
        <f>'The Table'!AD82</f>
        <v>5266655.777</v>
      </c>
      <c r="R22" s="186"/>
      <c r="S22" s="265">
        <f>Iktara!P82</f>
        <v>247052</v>
      </c>
      <c r="T22" s="186"/>
      <c r="U22" s="189" t="str">
        <f t="shared" si="22"/>
        <v>#REF!</v>
      </c>
      <c r="V22" s="186"/>
      <c r="W22" s="189">
        <f>'Mg St Colaba'!AB113</f>
        <v>3284714.657</v>
      </c>
      <c r="X22" s="186"/>
      <c r="Y22" s="189">
        <f>'Mg St Colaba'!AD113</f>
        <v>3362269.16</v>
      </c>
      <c r="Z22" s="186"/>
      <c r="AA22" s="189">
        <f>'Mg St LP'!AB115</f>
        <v>1558066.91</v>
      </c>
      <c r="AB22" s="186"/>
      <c r="AC22" s="189">
        <f>'Mg St LP'!AD115</f>
        <v>1362371.875</v>
      </c>
      <c r="AD22" s="186"/>
      <c r="AE22" s="189">
        <f>'Mg St Bandra'!AB114</f>
        <v>3823289.02</v>
      </c>
      <c r="AF22" s="186"/>
      <c r="AG22" s="189">
        <f>'Mg St Bandra'!AD114</f>
        <v>3806083.75</v>
      </c>
      <c r="AH22" s="186"/>
      <c r="AI22" s="186">
        <f>'MSK Events'!H104</f>
        <v>0</v>
      </c>
      <c r="AJ22" s="186"/>
      <c r="AK22" s="186" t="str">
        <f t="shared" si="23"/>
        <v>#REF!</v>
      </c>
      <c r="AL22" s="186"/>
      <c r="AM22" s="189">
        <f>MSBC!AB96</f>
        <v>1306212.547</v>
      </c>
      <c r="AN22" s="186"/>
      <c r="AO22" s="265">
        <f>MSBC!AD96</f>
        <v>0</v>
      </c>
      <c r="AP22" s="186"/>
      <c r="AQ22" s="189">
        <f>Kaspers!T97</f>
        <v>25911</v>
      </c>
      <c r="AR22" s="186"/>
      <c r="AS22" s="189">
        <f>Kaspers!V97</f>
        <v>0</v>
      </c>
      <c r="AT22" s="186"/>
      <c r="AU22" s="189">
        <f>'MSBC Andheri'!H106</f>
        <v>0</v>
      </c>
      <c r="AV22" s="186"/>
      <c r="AW22" s="186"/>
      <c r="AX22" s="186"/>
      <c r="AY22" s="189">
        <f>'MSBC Dahisar'!H95</f>
        <v>0</v>
      </c>
      <c r="AZ22" s="186"/>
      <c r="BA22" s="186"/>
      <c r="BB22" s="186"/>
      <c r="BC22" s="266">
        <v>0.0</v>
      </c>
      <c r="BD22" s="186"/>
      <c r="BE22" s="186"/>
      <c r="BF22" s="186"/>
      <c r="BG22" s="114">
        <f>'LOUD MOUTH'!H108</f>
        <v>0</v>
      </c>
      <c r="BH22" s="43"/>
      <c r="BI22" s="114"/>
      <c r="BJ22" s="43"/>
    </row>
    <row r="23" ht="15.75" customHeight="1">
      <c r="B23" s="188" t="s">
        <v>39</v>
      </c>
      <c r="C23" s="262">
        <f t="shared" si="18"/>
        <v>1033903.44</v>
      </c>
      <c r="D23" s="268"/>
      <c r="E23" s="262" t="str">
        <f t="shared" si="19"/>
        <v>#REF!</v>
      </c>
      <c r="F23" s="268"/>
      <c r="G23" s="189">
        <f>HO!AB88</f>
        <v>526579.85</v>
      </c>
      <c r="H23" s="186"/>
      <c r="I23" s="189">
        <f>HO!AD88</f>
        <v>12500</v>
      </c>
      <c r="J23" s="186"/>
      <c r="K23" s="262">
        <f t="shared" si="20"/>
        <v>507323.59</v>
      </c>
      <c r="L23" s="268"/>
      <c r="M23" s="262" t="str">
        <f t="shared" si="21"/>
        <v>#REF!</v>
      </c>
      <c r="N23" s="268"/>
      <c r="O23" s="189">
        <f>'The Table'!AB91</f>
        <v>213360</v>
      </c>
      <c r="P23" s="186"/>
      <c r="Q23" s="189">
        <f>'The Table'!AD91</f>
        <v>201101.776</v>
      </c>
      <c r="R23" s="186"/>
      <c r="S23" s="265">
        <f>Iktara!P92</f>
        <v>0</v>
      </c>
      <c r="T23" s="186"/>
      <c r="U23" s="186" t="str">
        <f t="shared" si="22"/>
        <v>#REF!</v>
      </c>
      <c r="V23" s="186"/>
      <c r="W23" s="189">
        <f>'Mg St Colaba'!AB124</f>
        <v>112317.25</v>
      </c>
      <c r="X23" s="186"/>
      <c r="Y23" s="189">
        <f>'Mg St Colaba'!AD124</f>
        <v>129691.4285</v>
      </c>
      <c r="Z23" s="186"/>
      <c r="AA23" s="189">
        <f>'Mg St LP'!AB125</f>
        <v>45482.22</v>
      </c>
      <c r="AB23" s="186"/>
      <c r="AC23" s="189">
        <f>'Mg St LP'!AD125</f>
        <v>38485.236</v>
      </c>
      <c r="AD23" s="186"/>
      <c r="AE23" s="189">
        <f>'Mg St Bandra'!AB125</f>
        <v>136164.12</v>
      </c>
      <c r="AF23" s="186"/>
      <c r="AG23" s="189">
        <f>'Mg St Bandra'!AD125</f>
        <v>138497.655</v>
      </c>
      <c r="AH23" s="186"/>
      <c r="AI23" s="186">
        <f>'MSK Events'!H114</f>
        <v>0</v>
      </c>
      <c r="AJ23" s="186"/>
      <c r="AK23" s="186" t="str">
        <f t="shared" si="23"/>
        <v>#REF!</v>
      </c>
      <c r="AL23" s="186"/>
      <c r="AM23" s="186">
        <f>MSBC!AB106</f>
        <v>0</v>
      </c>
      <c r="AN23" s="186"/>
      <c r="AO23" s="265">
        <f>MSBC!AD106</f>
        <v>0</v>
      </c>
      <c r="AP23" s="186"/>
      <c r="AQ23" s="189">
        <f>Kaspers!T109</f>
        <v>0</v>
      </c>
      <c r="AR23" s="186"/>
      <c r="AS23" s="189">
        <f>Kaspers!V109</f>
        <v>0</v>
      </c>
      <c r="AT23" s="186"/>
      <c r="AU23" s="186"/>
      <c r="AV23" s="186"/>
      <c r="AW23" s="186"/>
      <c r="AX23" s="186"/>
      <c r="AY23" s="189">
        <f>'MSBC Dahisar'!H105</f>
        <v>0</v>
      </c>
      <c r="AZ23" s="186"/>
      <c r="BA23" s="186"/>
      <c r="BB23" s="186"/>
      <c r="BC23" s="266">
        <v>0.0</v>
      </c>
      <c r="BD23" s="186"/>
      <c r="BE23" s="186"/>
      <c r="BF23" s="186"/>
      <c r="BG23" s="114">
        <v>0.0</v>
      </c>
      <c r="BH23" s="43"/>
      <c r="BI23" s="114"/>
      <c r="BJ23" s="43"/>
    </row>
    <row r="24" ht="15.75" customHeight="1">
      <c r="B24" s="188" t="s">
        <v>40</v>
      </c>
      <c r="C24" s="262">
        <f t="shared" si="18"/>
        <v>242062.0833</v>
      </c>
      <c r="D24" s="268"/>
      <c r="E24" s="262" t="str">
        <f t="shared" si="19"/>
        <v>#REF!</v>
      </c>
      <c r="F24" s="268"/>
      <c r="G24" s="189">
        <f>HO!AB95</f>
        <v>117256.1667</v>
      </c>
      <c r="H24" s="186"/>
      <c r="I24" s="189">
        <f>HO!AD95</f>
        <v>121381.8333</v>
      </c>
      <c r="J24" s="186"/>
      <c r="K24" s="262">
        <f t="shared" si="20"/>
        <v>124805.9167</v>
      </c>
      <c r="L24" s="268"/>
      <c r="M24" s="262" t="str">
        <f t="shared" si="21"/>
        <v>#REF!</v>
      </c>
      <c r="N24" s="268"/>
      <c r="O24" s="189">
        <f>'The Table'!AB94</f>
        <v>35400</v>
      </c>
      <c r="P24" s="186"/>
      <c r="Q24" s="189">
        <f>'The Table'!AD94</f>
        <v>35400</v>
      </c>
      <c r="R24" s="186"/>
      <c r="S24" s="265">
        <f>Iktara!P95</f>
        <v>688.3333333</v>
      </c>
      <c r="T24" s="186"/>
      <c r="U24" s="186" t="str">
        <f t="shared" si="22"/>
        <v>#REF!</v>
      </c>
      <c r="V24" s="186"/>
      <c r="W24" s="189">
        <f>'Mg St Colaba'!AB127</f>
        <v>30188.33333</v>
      </c>
      <c r="X24" s="186"/>
      <c r="Y24" s="189">
        <f>'Mg St Colaba'!AD127</f>
        <v>30188.33333</v>
      </c>
      <c r="Z24" s="186"/>
      <c r="AA24" s="189">
        <f>'Mg St LP'!AB128</f>
        <v>3638.333333</v>
      </c>
      <c r="AB24" s="186"/>
      <c r="AC24" s="189">
        <f>'Mg St LP'!AD128</f>
        <v>3638</v>
      </c>
      <c r="AD24" s="186"/>
      <c r="AE24" s="189">
        <f>'Mg St Bandra'!AB128</f>
        <v>37563.33333</v>
      </c>
      <c r="AF24" s="186"/>
      <c r="AG24" s="189">
        <f>'Mg St Bandra'!AD128</f>
        <v>23000</v>
      </c>
      <c r="AH24" s="186"/>
      <c r="AI24" s="186">
        <f>'MSK Events'!H117</f>
        <v>6806.25</v>
      </c>
      <c r="AJ24" s="186"/>
      <c r="AK24" s="186" t="str">
        <f t="shared" si="23"/>
        <v>#REF!</v>
      </c>
      <c r="AL24" s="186"/>
      <c r="AM24" s="189">
        <f>MSBC!AB109</f>
        <v>10521.33333</v>
      </c>
      <c r="AN24" s="186"/>
      <c r="AO24" s="265">
        <f>MSBC!AD109</f>
        <v>0</v>
      </c>
      <c r="AP24" s="186"/>
      <c r="AQ24" s="189">
        <f>Kaspers!T113</f>
        <v>0</v>
      </c>
      <c r="AR24" s="186"/>
      <c r="AS24" s="189">
        <f>Kaspers!V113</f>
        <v>0</v>
      </c>
      <c r="AT24" s="186"/>
      <c r="AU24" s="186"/>
      <c r="AV24" s="186"/>
      <c r="AW24" s="186"/>
      <c r="AX24" s="186"/>
      <c r="AY24" s="189">
        <f>'MSBC Dahisar'!H108</f>
        <v>0</v>
      </c>
      <c r="AZ24" s="186"/>
      <c r="BA24" s="186"/>
      <c r="BB24" s="186"/>
      <c r="BC24" s="189">
        <f>'MSBC Juhu  Goregoan'!H109</f>
        <v>0</v>
      </c>
      <c r="BD24" s="186"/>
      <c r="BE24" s="186"/>
      <c r="BF24" s="186"/>
      <c r="BG24" s="114">
        <v>0.0</v>
      </c>
      <c r="BH24" s="43"/>
      <c r="BI24" s="114"/>
      <c r="BJ24" s="43"/>
    </row>
    <row r="25" ht="15.75" customHeight="1">
      <c r="B25" s="188" t="s">
        <v>41</v>
      </c>
      <c r="C25" s="262">
        <f t="shared" si="18"/>
        <v>2419403.25</v>
      </c>
      <c r="D25" s="268"/>
      <c r="E25" s="262" t="str">
        <f t="shared" si="19"/>
        <v>#REF!</v>
      </c>
      <c r="F25" s="268"/>
      <c r="G25" s="189">
        <f>HO!AB106</f>
        <v>138804.3333</v>
      </c>
      <c r="H25" s="186"/>
      <c r="I25" s="189">
        <f>HO!AD106</f>
        <v>76500</v>
      </c>
      <c r="J25" s="186"/>
      <c r="K25" s="262">
        <f t="shared" si="20"/>
        <v>2280598.917</v>
      </c>
      <c r="L25" s="268"/>
      <c r="M25" s="262" t="str">
        <f t="shared" si="21"/>
        <v>#REF!</v>
      </c>
      <c r="N25" s="268"/>
      <c r="O25" s="189">
        <f>'The Table'!AB99</f>
        <v>302694.0833</v>
      </c>
      <c r="P25" s="186"/>
      <c r="Q25" s="189">
        <f>'The Table'!AD99</f>
        <v>283203</v>
      </c>
      <c r="R25" s="186"/>
      <c r="S25" s="265">
        <f>Iktara!P99</f>
        <v>22459.41667</v>
      </c>
      <c r="T25" s="186"/>
      <c r="U25" s="186" t="str">
        <f t="shared" si="22"/>
        <v>#REF!</v>
      </c>
      <c r="V25" s="186"/>
      <c r="W25" s="189">
        <f>'Mg St Colaba'!AB132</f>
        <v>272200.3333</v>
      </c>
      <c r="X25" s="186"/>
      <c r="Y25" s="189">
        <f>'Mg St Colaba'!AD132</f>
        <v>407563.0833</v>
      </c>
      <c r="Z25" s="186"/>
      <c r="AA25" s="189">
        <f>'Mg St LP'!AB132</f>
        <v>135149.75</v>
      </c>
      <c r="AB25" s="186"/>
      <c r="AC25" s="189">
        <f>'Mg St LP'!AD132</f>
        <v>103538</v>
      </c>
      <c r="AD25" s="186"/>
      <c r="AE25" s="189">
        <f>'Mg St Bandra'!AB132</f>
        <v>607212.6667</v>
      </c>
      <c r="AF25" s="186"/>
      <c r="AG25" s="189">
        <f>'Mg St Bandra'!AD132</f>
        <v>455458.3333</v>
      </c>
      <c r="AH25" s="186"/>
      <c r="AI25" s="186">
        <f>'MSK Events'!H121</f>
        <v>462551.6667</v>
      </c>
      <c r="AJ25" s="186"/>
      <c r="AK25" s="186" t="str">
        <f t="shared" si="23"/>
        <v>#REF!</v>
      </c>
      <c r="AL25" s="186"/>
      <c r="AM25" s="189">
        <f>MSBC!AB114</f>
        <v>236581</v>
      </c>
      <c r="AN25" s="186"/>
      <c r="AO25" s="265">
        <f>MSBC!AD114</f>
        <v>0</v>
      </c>
      <c r="AP25" s="186"/>
      <c r="AQ25" s="189">
        <f>Kaspers!T117</f>
        <v>220150</v>
      </c>
      <c r="AR25" s="186"/>
      <c r="AS25" s="189">
        <f>Kaspers!V117</f>
        <v>0</v>
      </c>
      <c r="AT25" s="186"/>
      <c r="AU25" s="189">
        <f>'MSBC Andheri'!H123</f>
        <v>10800</v>
      </c>
      <c r="AV25" s="186"/>
      <c r="AW25" s="186"/>
      <c r="AX25" s="186"/>
      <c r="AY25" s="189">
        <f>'MSBC Dahisar'!H112</f>
        <v>10800</v>
      </c>
      <c r="AZ25" s="186"/>
      <c r="BA25" s="186"/>
      <c r="BB25" s="186"/>
      <c r="BC25" s="189">
        <f>'MSBC Juhu  Goregoan'!H113</f>
        <v>10800</v>
      </c>
      <c r="BD25" s="186"/>
      <c r="BE25" s="186"/>
      <c r="BF25" s="186"/>
      <c r="BG25" s="114">
        <f>'LOUD MOUTH'!H128</f>
        <v>0</v>
      </c>
      <c r="BH25" s="43"/>
      <c r="BI25" s="114"/>
      <c r="BJ25" s="43"/>
    </row>
    <row r="26" ht="15.75" customHeight="1">
      <c r="B26" s="188" t="s">
        <v>42</v>
      </c>
      <c r="C26" s="262">
        <f t="shared" si="18"/>
        <v>98100</v>
      </c>
      <c r="D26" s="268"/>
      <c r="E26" s="262" t="str">
        <f t="shared" si="19"/>
        <v>#REF!</v>
      </c>
      <c r="F26" s="268"/>
      <c r="G26" s="189">
        <f>HO!AB123</f>
        <v>63100</v>
      </c>
      <c r="H26" s="186"/>
      <c r="I26" s="189">
        <f>HO!AD123</f>
        <v>100000</v>
      </c>
      <c r="J26" s="186"/>
      <c r="K26" s="262">
        <f t="shared" si="20"/>
        <v>35000</v>
      </c>
      <c r="L26" s="268"/>
      <c r="M26" s="262" t="str">
        <f t="shared" si="21"/>
        <v>#REF!</v>
      </c>
      <c r="N26" s="268"/>
      <c r="O26" s="189">
        <f>'The Table'!AB122</f>
        <v>0</v>
      </c>
      <c r="P26" s="186"/>
      <c r="Q26" s="189">
        <f>'The Table'!AD122</f>
        <v>0</v>
      </c>
      <c r="R26" s="186"/>
      <c r="S26" s="265">
        <f>Iktara!P112</f>
        <v>0</v>
      </c>
      <c r="T26" s="186"/>
      <c r="U26" s="186" t="str">
        <f t="shared" si="22"/>
        <v>#REF!</v>
      </c>
      <c r="V26" s="186"/>
      <c r="W26" s="189">
        <f>'Mg St Colaba'!AB148</f>
        <v>0</v>
      </c>
      <c r="X26" s="186"/>
      <c r="Y26" s="189">
        <f>'Mg St Colaba'!AD148</f>
        <v>0</v>
      </c>
      <c r="Z26" s="186"/>
      <c r="AA26" s="189">
        <f>'Mg St LP'!AB148</f>
        <v>0</v>
      </c>
      <c r="AB26" s="186"/>
      <c r="AC26" s="186">
        <f>'Mg St LP'!AD148</f>
        <v>0</v>
      </c>
      <c r="AD26" s="186"/>
      <c r="AE26" s="189">
        <f>'Mg St Bandra'!AB149</f>
        <v>0</v>
      </c>
      <c r="AF26" s="186"/>
      <c r="AG26" s="282">
        <f>'Mg St Bandra'!AD149</f>
        <v>0</v>
      </c>
      <c r="AH26" s="186"/>
      <c r="AI26" s="186">
        <f>'MSK Events'!H138</f>
        <v>0</v>
      </c>
      <c r="AJ26" s="186"/>
      <c r="AK26" s="186" t="str">
        <f t="shared" si="23"/>
        <v>#REF!</v>
      </c>
      <c r="AL26" s="186"/>
      <c r="AM26" s="189">
        <f>MSBC!AB131</f>
        <v>3000</v>
      </c>
      <c r="AN26" s="186"/>
      <c r="AO26" s="265">
        <f>MSBC!AD131</f>
        <v>0</v>
      </c>
      <c r="AP26" s="186"/>
      <c r="AQ26" s="189">
        <f>Kaspers!T141</f>
        <v>32000</v>
      </c>
      <c r="AR26" s="186"/>
      <c r="AS26" s="189">
        <f>Kaspers!V141</f>
        <v>0</v>
      </c>
      <c r="AT26" s="186"/>
      <c r="AU26" s="189">
        <f>'MSBC Andheri'!H138</f>
        <v>0</v>
      </c>
      <c r="AV26" s="186"/>
      <c r="AW26" s="186"/>
      <c r="AX26" s="186"/>
      <c r="AY26" s="189">
        <f>'MSBC Dahisar'!H127</f>
        <v>0</v>
      </c>
      <c r="AZ26" s="186"/>
      <c r="BA26" s="186"/>
      <c r="BB26" s="186"/>
      <c r="BC26" s="266">
        <v>0.0</v>
      </c>
      <c r="BD26" s="186"/>
      <c r="BE26" s="186"/>
      <c r="BF26" s="186"/>
      <c r="BG26" s="114"/>
      <c r="BH26" s="43"/>
      <c r="BI26" s="114"/>
      <c r="BJ26" s="43"/>
    </row>
    <row r="27" ht="15.75" customHeight="1">
      <c r="B27" s="188" t="s">
        <v>43</v>
      </c>
      <c r="C27" s="262">
        <f t="shared" si="18"/>
        <v>-1567924.905</v>
      </c>
      <c r="D27" s="268"/>
      <c r="E27" s="262" t="str">
        <f t="shared" si="19"/>
        <v>#REF!</v>
      </c>
      <c r="F27" s="268"/>
      <c r="G27" s="189">
        <f>HO!AB130</f>
        <v>32836</v>
      </c>
      <c r="H27" s="186"/>
      <c r="I27" s="189">
        <f>HO!AD130</f>
        <v>0</v>
      </c>
      <c r="J27" s="186"/>
      <c r="K27" s="262">
        <f t="shared" si="20"/>
        <v>-1600760.905</v>
      </c>
      <c r="L27" s="268"/>
      <c r="M27" s="262" t="str">
        <f t="shared" si="21"/>
        <v>#REF!</v>
      </c>
      <c r="N27" s="268"/>
      <c r="O27" s="189">
        <f>'The Table'!AB127</f>
        <v>0</v>
      </c>
      <c r="P27" s="186"/>
      <c r="Q27" s="189">
        <f>'The Table'!AD127</f>
        <v>0</v>
      </c>
      <c r="R27" s="186"/>
      <c r="S27" s="265">
        <f>Iktara!P116</f>
        <v>0</v>
      </c>
      <c r="T27" s="186"/>
      <c r="U27" s="189" t="str">
        <f t="shared" si="22"/>
        <v>#REF!</v>
      </c>
      <c r="V27" s="186"/>
      <c r="W27" s="189">
        <f>'Mg St Colaba'!AB153</f>
        <v>0</v>
      </c>
      <c r="X27" s="186"/>
      <c r="Y27" s="189">
        <f>'Mg St Colaba'!AD153</f>
        <v>0</v>
      </c>
      <c r="Z27" s="186"/>
      <c r="AA27" s="189">
        <f>'Mg St LP'!AB152</f>
        <v>0</v>
      </c>
      <c r="AB27" s="186"/>
      <c r="AC27" s="189">
        <f>'Mg St LP'!AD152</f>
        <v>0</v>
      </c>
      <c r="AD27" s="186"/>
      <c r="AE27" s="189">
        <f>'Mg St Bandra'!AB153</f>
        <v>0</v>
      </c>
      <c r="AF27" s="186"/>
      <c r="AG27" s="189">
        <f>'Mg St Bandra'!AD153</f>
        <v>0</v>
      </c>
      <c r="AH27" s="186"/>
      <c r="AI27" s="186">
        <f>'MSK Events'!H142</f>
        <v>0</v>
      </c>
      <c r="AJ27" s="186"/>
      <c r="AK27" s="186" t="str">
        <f t="shared" si="23"/>
        <v>#REF!</v>
      </c>
      <c r="AL27" s="186"/>
      <c r="AM27" s="189">
        <f>MSBC!AB135</f>
        <v>-1600760.905</v>
      </c>
      <c r="AN27" s="186"/>
      <c r="AO27" s="265">
        <f>MSBC!AD135</f>
        <v>0</v>
      </c>
      <c r="AP27" s="186"/>
      <c r="AQ27" s="189">
        <f>Kaspers!T145</f>
        <v>0</v>
      </c>
      <c r="AR27" s="186"/>
      <c r="AS27" s="189">
        <f>Kaspers!V145</f>
        <v>25000</v>
      </c>
      <c r="AT27" s="186"/>
      <c r="AU27" s="186"/>
      <c r="AV27" s="186"/>
      <c r="AW27" s="186"/>
      <c r="AX27" s="186"/>
      <c r="AY27" s="189">
        <f>'MSBC Dahisar'!H131</f>
        <v>0</v>
      </c>
      <c r="AZ27" s="186"/>
      <c r="BA27" s="186"/>
      <c r="BB27" s="186"/>
      <c r="BC27" s="266">
        <v>0.0</v>
      </c>
      <c r="BD27" s="186"/>
      <c r="BE27" s="186"/>
      <c r="BF27" s="186"/>
      <c r="BG27" s="62">
        <f>'LOUD MOUTH'!H148</f>
        <v>0</v>
      </c>
      <c r="BH27" s="62"/>
      <c r="BI27" s="62"/>
      <c r="BJ27" s="62"/>
    </row>
    <row r="28" ht="15.75" customHeight="1">
      <c r="B28" s="188" t="s">
        <v>44</v>
      </c>
      <c r="C28" s="262">
        <f>SUM(C18:C27)</f>
        <v>31881826.56</v>
      </c>
      <c r="D28" s="268"/>
      <c r="E28" s="262" t="str">
        <f t="shared" si="19"/>
        <v>#REF!</v>
      </c>
      <c r="F28" s="268"/>
      <c r="G28" s="265">
        <f>SUM(G18:G27)</f>
        <v>5251924.017</v>
      </c>
      <c r="H28" s="186"/>
      <c r="I28" s="189">
        <f>SUM(I18:I27)</f>
        <v>4731834.833</v>
      </c>
      <c r="J28" s="186"/>
      <c r="K28" s="262">
        <f>SUM(K18:K27)</f>
        <v>26629902.54</v>
      </c>
      <c r="L28" s="268"/>
      <c r="M28" s="262" t="str">
        <f>SUM(M18:M27)</f>
        <v>#REF!</v>
      </c>
      <c r="N28" s="268"/>
      <c r="O28" s="189">
        <f>SUM(O18:O27)</f>
        <v>8035812.845</v>
      </c>
      <c r="P28" s="186"/>
      <c r="Q28" s="189">
        <f>SUM(Q18:Q27)</f>
        <v>8247816.965</v>
      </c>
      <c r="R28" s="186"/>
      <c r="S28" s="189">
        <f>SUM(S18:S27)</f>
        <v>503020.1</v>
      </c>
      <c r="T28" s="186"/>
      <c r="U28" s="189" t="str">
        <f>SUM(U18:U27)</f>
        <v>#REF!</v>
      </c>
      <c r="V28" s="186"/>
      <c r="W28" s="189">
        <f>SUM(W18:W27)</f>
        <v>6025317.707</v>
      </c>
      <c r="X28" s="186"/>
      <c r="Y28" s="189">
        <f>SUM(Y18:Y27)</f>
        <v>6399289.599</v>
      </c>
      <c r="Z28" s="186"/>
      <c r="AA28" s="189">
        <f>SUM(AA18:AA27)</f>
        <v>3128251.527</v>
      </c>
      <c r="AB28" s="186"/>
      <c r="AC28" s="189">
        <f>SUM(AC18:AC27)</f>
        <v>2965740.767</v>
      </c>
      <c r="AD28" s="186"/>
      <c r="AE28" s="189">
        <f>SUM(AE18:AE27)</f>
        <v>7410898.314</v>
      </c>
      <c r="AF28" s="186"/>
      <c r="AG28" s="189">
        <f>SUM(AG18:AG27)</f>
        <v>7174821.993</v>
      </c>
      <c r="AH28" s="186"/>
      <c r="AI28" s="265">
        <f>SUM(AI18:AI27)</f>
        <v>600934.9167</v>
      </c>
      <c r="AJ28" s="186"/>
      <c r="AK28" s="189" t="str">
        <f>SUM(AK18:AK27)</f>
        <v>#REF!</v>
      </c>
      <c r="AL28" s="186"/>
      <c r="AM28" s="189">
        <f>SUM(AM18:AM27)</f>
        <v>315409.432</v>
      </c>
      <c r="AN28" s="186"/>
      <c r="AO28" s="189">
        <f>SUM(AO18:AO27)</f>
        <v>38600</v>
      </c>
      <c r="AP28" s="186"/>
      <c r="AQ28" s="189">
        <f>SUM(AQ18:AQ27)</f>
        <v>331950.0833</v>
      </c>
      <c r="AR28" s="186"/>
      <c r="AS28" s="189">
        <f>SUM(AS18:AS27)</f>
        <v>131833.3333</v>
      </c>
      <c r="AT28" s="186"/>
      <c r="AU28" s="189">
        <f>SUM(AU18:AU27)</f>
        <v>148965.3971</v>
      </c>
      <c r="AV28" s="186"/>
      <c r="AW28" s="186"/>
      <c r="AX28" s="186"/>
      <c r="AY28" s="189">
        <f>SUM(AY18:AY27)</f>
        <v>129342.2205</v>
      </c>
      <c r="AZ28" s="186"/>
      <c r="BA28" s="186"/>
      <c r="BB28" s="186"/>
      <c r="BC28" s="189">
        <f>SUM(BC18:BC27)</f>
        <v>113286.9505</v>
      </c>
      <c r="BD28" s="186"/>
      <c r="BE28" s="186"/>
      <c r="BF28" s="186"/>
      <c r="BG28" s="146">
        <f>SUM(BG18:BG27)</f>
        <v>0</v>
      </c>
      <c r="BH28" s="62"/>
      <c r="BI28" s="62"/>
      <c r="BJ28" s="62"/>
    </row>
    <row r="29" ht="15.75" customHeight="1">
      <c r="B29" s="188"/>
      <c r="C29" s="268"/>
      <c r="D29" s="268"/>
      <c r="E29" s="268"/>
      <c r="F29" s="268"/>
      <c r="G29" s="186"/>
      <c r="H29" s="186"/>
      <c r="I29" s="186"/>
      <c r="J29" s="186"/>
      <c r="K29" s="268"/>
      <c r="L29" s="268"/>
      <c r="M29" s="268"/>
      <c r="N29" s="268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186"/>
      <c r="AM29" s="186"/>
      <c r="AN29" s="186"/>
      <c r="AO29" s="186"/>
      <c r="AP29" s="186"/>
      <c r="AQ29" s="186"/>
      <c r="AR29" s="186"/>
      <c r="AS29" s="186"/>
      <c r="AT29" s="186"/>
      <c r="AU29" s="186"/>
      <c r="AV29" s="186"/>
      <c r="AW29" s="186"/>
      <c r="AX29" s="186"/>
      <c r="AY29" s="186"/>
      <c r="AZ29" s="186"/>
      <c r="BA29" s="186"/>
      <c r="BB29" s="186"/>
      <c r="BC29" s="186"/>
      <c r="BD29" s="186"/>
      <c r="BE29" s="186"/>
      <c r="BF29" s="186"/>
      <c r="BG29" s="96"/>
      <c r="BH29" s="62"/>
      <c r="BI29" s="62"/>
      <c r="BJ29" s="62"/>
    </row>
    <row r="30" ht="15.75" customHeight="1">
      <c r="B30" s="188" t="s">
        <v>45</v>
      </c>
      <c r="C30" s="262">
        <f>C16-C28</f>
        <v>5164623.151</v>
      </c>
      <c r="D30" s="268"/>
      <c r="E30" s="262" t="str">
        <f>E16-E28</f>
        <v>#REF!</v>
      </c>
      <c r="F30" s="268"/>
      <c r="G30" s="189">
        <f>G16-G28</f>
        <v>-6720534.017</v>
      </c>
      <c r="H30" s="186"/>
      <c r="I30" s="189">
        <f>I16-I28</f>
        <v>-4731834.833</v>
      </c>
      <c r="J30" s="186"/>
      <c r="K30" s="262">
        <f>K16-K28</f>
        <v>11885157.17</v>
      </c>
      <c r="L30" s="268"/>
      <c r="M30" s="262" t="str">
        <f>M16-M28</f>
        <v>#REF!</v>
      </c>
      <c r="N30" s="268"/>
      <c r="O30" s="189">
        <f>O16-O28</f>
        <v>957388.7998</v>
      </c>
      <c r="P30" s="186"/>
      <c r="Q30" s="189">
        <f>Q16-Q28</f>
        <v>1456917.895</v>
      </c>
      <c r="R30" s="186"/>
      <c r="S30" s="189">
        <f>S16-S28</f>
        <v>-115568.9959</v>
      </c>
      <c r="T30" s="186"/>
      <c r="U30" s="189" t="str">
        <f>U16-U28</f>
        <v>#REF!</v>
      </c>
      <c r="V30" s="186"/>
      <c r="W30" s="189">
        <f>W16-W28</f>
        <v>3952848.456</v>
      </c>
      <c r="X30" s="186"/>
      <c r="Y30" s="189">
        <f>Y16-Y28</f>
        <v>3895770.821</v>
      </c>
      <c r="Z30" s="186"/>
      <c r="AA30" s="189">
        <f>AA16-AA28</f>
        <v>3389212.56</v>
      </c>
      <c r="AB30" s="186"/>
      <c r="AC30" s="189">
        <f>AC16-AC28</f>
        <v>3859853.107</v>
      </c>
      <c r="AD30" s="186"/>
      <c r="AE30" s="189">
        <f>AE16-AE28</f>
        <v>5095822.403</v>
      </c>
      <c r="AF30" s="186"/>
      <c r="AG30" s="186"/>
      <c r="AH30" s="186"/>
      <c r="AI30" s="189">
        <f>AI16-AI28</f>
        <v>-600934.9167</v>
      </c>
      <c r="AJ30" s="186"/>
      <c r="AK30" s="189" t="str">
        <f>AK16-AK28</f>
        <v>#REF!</v>
      </c>
      <c r="AL30" s="186"/>
      <c r="AM30" s="189">
        <f>AM16-AM28</f>
        <v>-248298.624</v>
      </c>
      <c r="AN30" s="186"/>
      <c r="AO30" s="186"/>
      <c r="AP30" s="186"/>
      <c r="AQ30" s="189">
        <f>AQ16-AQ28</f>
        <v>-331950.0833</v>
      </c>
      <c r="AR30" s="186"/>
      <c r="AS30" s="189">
        <f>AS16-AS28</f>
        <v>2709166.667</v>
      </c>
      <c r="AT30" s="186"/>
      <c r="AU30" s="189">
        <f>AU16-AU28</f>
        <v>-111472.036</v>
      </c>
      <c r="AV30" s="186"/>
      <c r="AW30" s="186"/>
      <c r="AX30" s="186"/>
      <c r="AY30" s="189">
        <f>AY16-AY28</f>
        <v>-194838.4455</v>
      </c>
      <c r="AZ30" s="186"/>
      <c r="BA30" s="186"/>
      <c r="BB30" s="186"/>
      <c r="BC30" s="189">
        <f>BC16-BC28</f>
        <v>-200050.7459</v>
      </c>
      <c r="BD30" s="186"/>
      <c r="BE30" s="186"/>
      <c r="BF30" s="186"/>
      <c r="BG30" s="146">
        <f>BG16-BG28</f>
        <v>0</v>
      </c>
      <c r="BH30" s="62"/>
      <c r="BI30" s="62"/>
      <c r="BJ30" s="62"/>
    </row>
    <row r="31" ht="15.75" customHeight="1">
      <c r="BG31" s="274"/>
      <c r="BH31" s="274"/>
      <c r="BI31" s="274"/>
      <c r="BJ31" s="274"/>
    </row>
    <row r="32" ht="15.75" hidden="1" customHeight="1">
      <c r="AM32" s="129">
        <f>MSBC!AB142</f>
        <v>-248298.624</v>
      </c>
      <c r="BG32" s="3"/>
      <c r="BH32" s="3"/>
      <c r="BI32" s="3"/>
      <c r="BJ32" s="3"/>
    </row>
    <row r="33" ht="15.75" customHeight="1">
      <c r="BG33" s="3"/>
      <c r="BH33" s="3"/>
      <c r="BI33" s="3"/>
      <c r="BJ33" s="3"/>
    </row>
    <row r="34" ht="15.75" customHeight="1">
      <c r="BG34" s="3"/>
      <c r="BH34" s="3"/>
      <c r="BI34" s="3"/>
      <c r="BJ34" s="3"/>
    </row>
    <row r="35" ht="15.75" customHeight="1">
      <c r="BG35" s="3"/>
      <c r="BH35" s="3"/>
      <c r="BI35" s="3"/>
      <c r="BJ35" s="3"/>
    </row>
    <row r="36" ht="15.75" customHeight="1">
      <c r="BG36" s="3"/>
      <c r="BH36" s="3"/>
      <c r="BI36" s="3"/>
      <c r="BJ36" s="3"/>
    </row>
    <row r="37" ht="15.75" customHeight="1">
      <c r="BG37" s="3"/>
      <c r="BH37" s="3"/>
      <c r="BI37" s="3"/>
      <c r="BJ37" s="3"/>
    </row>
    <row r="38" ht="15.75" customHeight="1">
      <c r="BG38" s="3"/>
      <c r="BH38" s="3"/>
      <c r="BI38" s="3"/>
      <c r="BJ38" s="3"/>
    </row>
    <row r="39" ht="15.75" customHeight="1">
      <c r="BG39" s="3"/>
      <c r="BH39" s="3"/>
      <c r="BI39" s="3"/>
      <c r="BJ39" s="3"/>
    </row>
    <row r="40" ht="15.75" customHeight="1">
      <c r="BG40" s="3"/>
      <c r="BH40" s="3"/>
      <c r="BI40" s="3"/>
      <c r="BJ40" s="3"/>
    </row>
    <row r="41" ht="15.75" customHeight="1">
      <c r="BG41" s="3"/>
      <c r="BH41" s="3"/>
      <c r="BI41" s="3"/>
      <c r="BJ41" s="3"/>
    </row>
    <row r="42" ht="15.75" customHeight="1">
      <c r="BG42" s="3"/>
      <c r="BH42" s="3"/>
      <c r="BI42" s="3"/>
      <c r="BJ42" s="3"/>
    </row>
    <row r="43" ht="15.75" customHeight="1">
      <c r="BG43" s="3"/>
      <c r="BH43" s="3"/>
      <c r="BI43" s="3"/>
      <c r="BJ43" s="3"/>
    </row>
    <row r="44" ht="15.75" customHeight="1">
      <c r="BG44" s="3"/>
      <c r="BH44" s="3"/>
      <c r="BI44" s="3"/>
      <c r="BJ44" s="3"/>
    </row>
    <row r="45" ht="15.75" customHeight="1">
      <c r="BG45" s="3"/>
      <c r="BH45" s="3"/>
      <c r="BI45" s="3"/>
      <c r="BJ45" s="3"/>
    </row>
    <row r="46" ht="15.75" customHeight="1">
      <c r="BG46" s="3"/>
      <c r="BH46" s="3"/>
      <c r="BI46" s="3"/>
      <c r="BJ46" s="3"/>
    </row>
    <row r="47" ht="15.75" customHeight="1">
      <c r="BG47" s="3"/>
      <c r="BH47" s="3"/>
      <c r="BI47" s="3"/>
      <c r="BJ47" s="3"/>
    </row>
    <row r="48" ht="15.75" customHeight="1">
      <c r="BG48" s="3"/>
      <c r="BH48" s="3"/>
      <c r="BI48" s="3"/>
      <c r="BJ48" s="3"/>
    </row>
    <row r="49" ht="15.75" customHeight="1">
      <c r="BG49" s="3"/>
      <c r="BH49" s="3"/>
      <c r="BI49" s="3"/>
      <c r="BJ49" s="3"/>
    </row>
    <row r="50" ht="15.75" customHeight="1">
      <c r="BG50" s="3"/>
      <c r="BH50" s="3"/>
      <c r="BI50" s="3"/>
      <c r="BJ50" s="3"/>
    </row>
    <row r="51" ht="15.75" customHeight="1">
      <c r="BG51" s="3"/>
      <c r="BH51" s="3"/>
      <c r="BI51" s="3"/>
      <c r="BJ51" s="3"/>
    </row>
    <row r="52" ht="15.75" customHeight="1">
      <c r="BG52" s="3"/>
      <c r="BH52" s="3"/>
      <c r="BI52" s="3"/>
      <c r="BJ52" s="3"/>
    </row>
    <row r="53" ht="15.75" customHeight="1">
      <c r="BG53" s="3"/>
      <c r="BH53" s="3"/>
      <c r="BI53" s="3"/>
      <c r="BJ53" s="3"/>
    </row>
    <row r="54" ht="15.75" customHeight="1">
      <c r="BG54" s="3"/>
      <c r="BH54" s="3"/>
      <c r="BI54" s="3"/>
      <c r="BJ54" s="3"/>
    </row>
    <row r="55" ht="15.75" customHeight="1">
      <c r="BG55" s="3"/>
      <c r="BH55" s="3"/>
      <c r="BI55" s="3"/>
      <c r="BJ55" s="3"/>
    </row>
    <row r="56" ht="15.75" customHeight="1">
      <c r="BG56" s="3"/>
      <c r="BH56" s="3"/>
      <c r="BI56" s="3"/>
      <c r="BJ56" s="3"/>
    </row>
    <row r="57" ht="15.75" customHeight="1">
      <c r="BG57" s="3"/>
      <c r="BH57" s="3"/>
      <c r="BI57" s="3"/>
      <c r="BJ57" s="3"/>
    </row>
    <row r="58" ht="15.75" customHeight="1">
      <c r="BG58" s="3"/>
      <c r="BH58" s="3"/>
      <c r="BI58" s="3"/>
      <c r="BJ58" s="3"/>
    </row>
    <row r="59" ht="15.75" customHeight="1">
      <c r="BG59" s="3"/>
      <c r="BH59" s="3"/>
      <c r="BI59" s="3"/>
      <c r="BJ59" s="3"/>
    </row>
    <row r="60" ht="15.75" customHeight="1">
      <c r="BG60" s="3"/>
      <c r="BH60" s="3"/>
      <c r="BI60" s="3"/>
      <c r="BJ60" s="3"/>
    </row>
    <row r="61" ht="15.75" customHeight="1">
      <c r="BG61" s="3"/>
      <c r="BH61" s="3"/>
      <c r="BI61" s="3"/>
      <c r="BJ61" s="3"/>
    </row>
    <row r="62" ht="15.75" customHeight="1">
      <c r="BG62" s="3"/>
      <c r="BH62" s="3"/>
      <c r="BI62" s="3"/>
      <c r="BJ62" s="3"/>
    </row>
    <row r="63" ht="15.75" customHeight="1">
      <c r="BG63" s="3"/>
      <c r="BH63" s="3"/>
      <c r="BI63" s="3"/>
      <c r="BJ63" s="3"/>
    </row>
    <row r="64" ht="15.75" customHeight="1">
      <c r="BG64" s="3"/>
      <c r="BH64" s="3"/>
      <c r="BI64" s="3"/>
      <c r="BJ64" s="3"/>
    </row>
    <row r="65" ht="15.75" customHeight="1">
      <c r="BG65" s="3"/>
      <c r="BH65" s="3"/>
      <c r="BI65" s="3"/>
      <c r="BJ65" s="3"/>
    </row>
    <row r="66" ht="15.75" customHeight="1">
      <c r="BG66" s="3"/>
      <c r="BH66" s="3"/>
      <c r="BI66" s="3"/>
      <c r="BJ66" s="3"/>
    </row>
    <row r="67" ht="15.75" customHeight="1">
      <c r="BG67" s="3"/>
      <c r="BH67" s="3"/>
      <c r="BI67" s="3"/>
      <c r="BJ67" s="3"/>
    </row>
    <row r="68" ht="15.75" customHeight="1">
      <c r="BG68" s="3"/>
      <c r="BH68" s="3"/>
      <c r="BI68" s="3"/>
      <c r="BJ68" s="3"/>
    </row>
    <row r="69" ht="15.75" customHeight="1">
      <c r="BG69" s="3"/>
      <c r="BH69" s="3"/>
      <c r="BI69" s="3"/>
      <c r="BJ69" s="3"/>
    </row>
    <row r="70" ht="15.75" customHeight="1">
      <c r="BG70" s="3"/>
      <c r="BH70" s="3"/>
      <c r="BI70" s="3"/>
      <c r="BJ70" s="3"/>
    </row>
    <row r="71" ht="15.75" customHeight="1">
      <c r="BG71" s="3"/>
      <c r="BH71" s="3"/>
      <c r="BI71" s="3"/>
      <c r="BJ71" s="3"/>
    </row>
    <row r="72" ht="15.75" customHeight="1">
      <c r="BG72" s="3"/>
      <c r="BH72" s="3"/>
      <c r="BI72" s="3"/>
      <c r="BJ72" s="3"/>
    </row>
    <row r="73" ht="15.75" customHeight="1">
      <c r="BG73" s="3"/>
      <c r="BH73" s="3"/>
      <c r="BI73" s="3"/>
      <c r="BJ73" s="3"/>
    </row>
    <row r="74" ht="15.75" customHeight="1">
      <c r="BG74" s="3"/>
      <c r="BH74" s="3"/>
      <c r="BI74" s="3"/>
      <c r="BJ74" s="3"/>
    </row>
    <row r="75" ht="15.75" customHeight="1">
      <c r="BG75" s="3"/>
      <c r="BH75" s="3"/>
      <c r="BI75" s="3"/>
      <c r="BJ75" s="3"/>
    </row>
    <row r="76" ht="15.75" customHeight="1">
      <c r="BG76" s="3"/>
      <c r="BH76" s="3"/>
      <c r="BI76" s="3"/>
      <c r="BJ76" s="3"/>
    </row>
    <row r="77" ht="15.75" customHeight="1">
      <c r="BG77" s="3"/>
      <c r="BH77" s="3"/>
      <c r="BI77" s="3"/>
      <c r="BJ77" s="3"/>
    </row>
    <row r="78" ht="15.75" customHeight="1">
      <c r="BG78" s="3"/>
      <c r="BH78" s="3"/>
      <c r="BI78" s="3"/>
      <c r="BJ78" s="3"/>
    </row>
    <row r="79" ht="15.75" customHeight="1">
      <c r="BG79" s="3"/>
      <c r="BH79" s="3"/>
      <c r="BI79" s="3"/>
      <c r="BJ79" s="3"/>
    </row>
    <row r="80" ht="15.75" customHeight="1">
      <c r="BG80" s="3"/>
      <c r="BH80" s="3"/>
      <c r="BI80" s="3"/>
      <c r="BJ80" s="3"/>
    </row>
    <row r="81" ht="15.75" customHeight="1">
      <c r="BG81" s="3"/>
      <c r="BH81" s="3"/>
      <c r="BI81" s="3"/>
      <c r="BJ81" s="3"/>
    </row>
    <row r="82" ht="15.75" customHeight="1">
      <c r="BG82" s="3"/>
      <c r="BH82" s="3"/>
      <c r="BI82" s="3"/>
      <c r="BJ82" s="3"/>
    </row>
    <row r="83" ht="15.75" customHeight="1">
      <c r="BG83" s="3"/>
      <c r="BH83" s="3"/>
      <c r="BI83" s="3"/>
      <c r="BJ83" s="3"/>
    </row>
    <row r="84" ht="15.75" customHeight="1">
      <c r="BG84" s="3"/>
      <c r="BH84" s="3"/>
      <c r="BI84" s="3"/>
      <c r="BJ84" s="3"/>
    </row>
    <row r="85" ht="15.75" customHeight="1">
      <c r="BG85" s="3"/>
      <c r="BH85" s="3"/>
      <c r="BI85" s="3"/>
      <c r="BJ85" s="3"/>
    </row>
    <row r="86" ht="15.75" customHeight="1">
      <c r="BG86" s="3"/>
      <c r="BH86" s="3"/>
      <c r="BI86" s="3"/>
      <c r="BJ86" s="3"/>
    </row>
    <row r="87" ht="15.75" customHeight="1">
      <c r="BG87" s="3"/>
      <c r="BH87" s="3"/>
      <c r="BI87" s="3"/>
      <c r="BJ87" s="3"/>
    </row>
    <row r="88" ht="15.75" customHeight="1">
      <c r="BG88" s="3"/>
      <c r="BH88" s="3"/>
      <c r="BI88" s="3"/>
      <c r="BJ88" s="3"/>
    </row>
    <row r="89" ht="15.75" customHeight="1">
      <c r="BG89" s="3"/>
      <c r="BH89" s="3"/>
      <c r="BI89" s="3"/>
      <c r="BJ89" s="3"/>
    </row>
    <row r="90" ht="15.75" customHeight="1">
      <c r="BG90" s="3"/>
      <c r="BH90" s="3"/>
      <c r="BI90" s="3"/>
      <c r="BJ90" s="3"/>
    </row>
    <row r="91" ht="15.75" customHeight="1">
      <c r="BG91" s="3"/>
      <c r="BH91" s="3"/>
      <c r="BI91" s="3"/>
      <c r="BJ91" s="3"/>
    </row>
    <row r="92" ht="15.75" customHeight="1">
      <c r="BG92" s="3"/>
      <c r="BH92" s="3"/>
      <c r="BI92" s="3"/>
      <c r="BJ92" s="3"/>
    </row>
    <row r="93" ht="15.75" customHeight="1">
      <c r="BG93" s="3"/>
      <c r="BH93" s="3"/>
      <c r="BI93" s="3"/>
      <c r="BJ93" s="3"/>
    </row>
    <row r="94" ht="15.75" customHeight="1">
      <c r="BG94" s="3"/>
      <c r="BH94" s="3"/>
      <c r="BI94" s="3"/>
      <c r="BJ94" s="3"/>
    </row>
    <row r="95" ht="15.75" customHeight="1">
      <c r="BG95" s="3"/>
      <c r="BH95" s="3"/>
      <c r="BI95" s="3"/>
      <c r="BJ95" s="3"/>
    </row>
    <row r="96" ht="15.75" customHeight="1">
      <c r="BG96" s="3"/>
      <c r="BH96" s="3"/>
      <c r="BI96" s="3"/>
      <c r="BJ96" s="3"/>
    </row>
    <row r="97" ht="15.75" customHeight="1">
      <c r="BG97" s="3"/>
      <c r="BH97" s="3"/>
      <c r="BI97" s="3"/>
      <c r="BJ97" s="3"/>
    </row>
    <row r="98" ht="15.75" customHeight="1">
      <c r="BG98" s="3"/>
      <c r="BH98" s="3"/>
      <c r="BI98" s="3"/>
      <c r="BJ98" s="3"/>
    </row>
    <row r="99" ht="15.75" customHeight="1">
      <c r="BG99" s="3"/>
      <c r="BH99" s="3"/>
      <c r="BI99" s="3"/>
      <c r="BJ99" s="3"/>
    </row>
    <row r="100" ht="15.75" customHeight="1">
      <c r="BG100" s="3"/>
      <c r="BH100" s="3"/>
      <c r="BI100" s="3"/>
      <c r="BJ100" s="3"/>
    </row>
    <row r="101" ht="15.75" customHeight="1">
      <c r="BG101" s="3"/>
      <c r="BH101" s="3"/>
      <c r="BI101" s="3"/>
      <c r="BJ101" s="3"/>
    </row>
    <row r="102" ht="15.75" customHeight="1">
      <c r="BG102" s="3"/>
      <c r="BH102" s="3"/>
      <c r="BI102" s="3"/>
      <c r="BJ102" s="3"/>
    </row>
    <row r="103" ht="15.75" customHeight="1">
      <c r="BG103" s="3"/>
      <c r="BH103" s="3"/>
      <c r="BI103" s="3"/>
      <c r="BJ103" s="3"/>
    </row>
    <row r="104" ht="15.75" customHeight="1">
      <c r="BG104" s="3"/>
      <c r="BH104" s="3"/>
      <c r="BI104" s="3"/>
      <c r="BJ104" s="3"/>
    </row>
    <row r="105" ht="15.75" customHeight="1">
      <c r="BG105" s="3"/>
      <c r="BH105" s="3"/>
      <c r="BI105" s="3"/>
      <c r="BJ105" s="3"/>
    </row>
    <row r="106" ht="15.75" customHeight="1">
      <c r="BG106" s="3"/>
      <c r="BH106" s="3"/>
      <c r="BI106" s="3"/>
      <c r="BJ106" s="3"/>
    </row>
    <row r="107" ht="15.75" customHeight="1">
      <c r="BG107" s="3"/>
      <c r="BH107" s="3"/>
      <c r="BI107" s="3"/>
      <c r="BJ107" s="3"/>
    </row>
    <row r="108" ht="15.75" customHeight="1">
      <c r="BG108" s="3"/>
      <c r="BH108" s="3"/>
      <c r="BI108" s="3"/>
      <c r="BJ108" s="3"/>
    </row>
    <row r="109" ht="15.75" customHeight="1">
      <c r="BG109" s="3"/>
      <c r="BH109" s="3"/>
      <c r="BI109" s="3"/>
      <c r="BJ109" s="3"/>
    </row>
    <row r="110" ht="15.75" customHeight="1">
      <c r="BG110" s="3"/>
      <c r="BH110" s="3"/>
      <c r="BI110" s="3"/>
      <c r="BJ110" s="3"/>
    </row>
    <row r="111" ht="15.75" customHeight="1">
      <c r="BG111" s="3"/>
      <c r="BH111" s="3"/>
      <c r="BI111" s="3"/>
      <c r="BJ111" s="3"/>
    </row>
    <row r="112" ht="15.75" customHeight="1">
      <c r="BG112" s="3"/>
      <c r="BH112" s="3"/>
      <c r="BI112" s="3"/>
      <c r="BJ112" s="3"/>
    </row>
    <row r="113" ht="15.75" customHeight="1">
      <c r="BG113" s="3"/>
      <c r="BH113" s="3"/>
      <c r="BI113" s="3"/>
      <c r="BJ113" s="3"/>
    </row>
    <row r="114" ht="15.75" customHeight="1">
      <c r="BG114" s="3"/>
      <c r="BH114" s="3"/>
      <c r="BI114" s="3"/>
      <c r="BJ114" s="3"/>
    </row>
    <row r="115" ht="15.75" customHeight="1">
      <c r="BG115" s="3"/>
      <c r="BH115" s="3"/>
      <c r="BI115" s="3"/>
      <c r="BJ115" s="3"/>
    </row>
    <row r="116" ht="15.75" customHeight="1">
      <c r="BG116" s="3"/>
      <c r="BH116" s="3"/>
      <c r="BI116" s="3"/>
      <c r="BJ116" s="3"/>
    </row>
    <row r="117" ht="15.75" customHeight="1">
      <c r="BG117" s="3"/>
      <c r="BH117" s="3"/>
      <c r="BI117" s="3"/>
      <c r="BJ117" s="3"/>
    </row>
    <row r="118" ht="15.75" customHeight="1">
      <c r="BG118" s="3"/>
      <c r="BH118" s="3"/>
      <c r="BI118" s="3"/>
      <c r="BJ118" s="3"/>
    </row>
    <row r="119" ht="15.75" customHeight="1">
      <c r="BG119" s="3"/>
      <c r="BH119" s="3"/>
      <c r="BI119" s="3"/>
      <c r="BJ119" s="3"/>
    </row>
    <row r="120" ht="15.75" customHeight="1">
      <c r="BG120" s="3"/>
      <c r="BH120" s="3"/>
      <c r="BI120" s="3"/>
      <c r="BJ120" s="3"/>
    </row>
    <row r="121" ht="15.75" customHeight="1">
      <c r="BG121" s="3"/>
      <c r="BH121" s="3"/>
      <c r="BI121" s="3"/>
      <c r="BJ121" s="3"/>
    </row>
    <row r="122" ht="15.75" customHeight="1">
      <c r="BG122" s="3"/>
      <c r="BH122" s="3"/>
      <c r="BI122" s="3"/>
      <c r="BJ122" s="3"/>
    </row>
    <row r="123" ht="15.75" customHeight="1">
      <c r="BG123" s="3"/>
      <c r="BH123" s="3"/>
      <c r="BI123" s="3"/>
      <c r="BJ123" s="3"/>
    </row>
    <row r="124" ht="15.75" customHeight="1">
      <c r="BG124" s="3"/>
      <c r="BH124" s="3"/>
      <c r="BI124" s="3"/>
      <c r="BJ124" s="3"/>
    </row>
    <row r="125" ht="15.75" customHeight="1">
      <c r="BG125" s="3"/>
      <c r="BH125" s="3"/>
      <c r="BI125" s="3"/>
      <c r="BJ125" s="3"/>
    </row>
    <row r="126" ht="15.75" customHeight="1">
      <c r="BG126" s="3"/>
      <c r="BH126" s="3"/>
      <c r="BI126" s="3"/>
      <c r="BJ126" s="3"/>
    </row>
    <row r="127" ht="15.75" customHeight="1">
      <c r="BG127" s="3"/>
      <c r="BH127" s="3"/>
      <c r="BI127" s="3"/>
      <c r="BJ127" s="3"/>
    </row>
    <row r="128" ht="15.75" customHeight="1">
      <c r="BG128" s="3"/>
      <c r="BH128" s="3"/>
      <c r="BI128" s="3"/>
      <c r="BJ128" s="3"/>
    </row>
    <row r="129" ht="15.75" customHeight="1">
      <c r="BG129" s="3"/>
      <c r="BH129" s="3"/>
      <c r="BI129" s="3"/>
      <c r="BJ129" s="3"/>
    </row>
    <row r="130" ht="15.75" customHeight="1">
      <c r="BG130" s="3"/>
      <c r="BH130" s="3"/>
      <c r="BI130" s="3"/>
      <c r="BJ130" s="3"/>
    </row>
    <row r="131" ht="15.75" customHeight="1">
      <c r="BG131" s="3"/>
      <c r="BH131" s="3"/>
      <c r="BI131" s="3"/>
      <c r="BJ131" s="3"/>
    </row>
    <row r="132" ht="15.75" customHeight="1">
      <c r="BG132" s="3"/>
      <c r="BH132" s="3"/>
      <c r="BI132" s="3"/>
      <c r="BJ132" s="3"/>
    </row>
    <row r="133" ht="15.75" customHeight="1">
      <c r="BG133" s="3"/>
      <c r="BH133" s="3"/>
      <c r="BI133" s="3"/>
      <c r="BJ133" s="3"/>
    </row>
    <row r="134" ht="15.75" customHeight="1">
      <c r="BG134" s="3"/>
      <c r="BH134" s="3"/>
      <c r="BI134" s="3"/>
      <c r="BJ134" s="3"/>
    </row>
    <row r="135" ht="15.75" customHeight="1">
      <c r="BG135" s="3"/>
      <c r="BH135" s="3"/>
      <c r="BI135" s="3"/>
      <c r="BJ135" s="3"/>
    </row>
    <row r="136" ht="15.75" customHeight="1">
      <c r="BG136" s="3"/>
      <c r="BH136" s="3"/>
      <c r="BI136" s="3"/>
      <c r="BJ136" s="3"/>
    </row>
    <row r="137" ht="15.75" customHeight="1">
      <c r="BG137" s="3"/>
      <c r="BH137" s="3"/>
      <c r="BI137" s="3"/>
      <c r="BJ137" s="3"/>
    </row>
    <row r="138" ht="15.75" customHeight="1">
      <c r="BG138" s="3"/>
      <c r="BH138" s="3"/>
      <c r="BI138" s="3"/>
      <c r="BJ138" s="3"/>
    </row>
    <row r="139" ht="15.75" customHeight="1">
      <c r="BG139" s="3"/>
      <c r="BH139" s="3"/>
      <c r="BI139" s="3"/>
      <c r="BJ139" s="3"/>
    </row>
    <row r="140" ht="15.75" customHeight="1">
      <c r="BG140" s="3"/>
      <c r="BH140" s="3"/>
      <c r="BI140" s="3"/>
      <c r="BJ140" s="3"/>
    </row>
    <row r="141" ht="15.75" customHeight="1">
      <c r="BG141" s="3"/>
      <c r="BH141" s="3"/>
      <c r="BI141" s="3"/>
      <c r="BJ141" s="3"/>
    </row>
    <row r="142" ht="15.75" customHeight="1">
      <c r="BG142" s="3"/>
      <c r="BH142" s="3"/>
      <c r="BI142" s="3"/>
      <c r="BJ142" s="3"/>
    </row>
    <row r="143" ht="15.75" customHeight="1">
      <c r="BG143" s="3"/>
      <c r="BH143" s="3"/>
      <c r="BI143" s="3"/>
      <c r="BJ143" s="3"/>
    </row>
    <row r="144" ht="15.75" customHeight="1">
      <c r="BG144" s="3"/>
      <c r="BH144" s="3"/>
      <c r="BI144" s="3"/>
      <c r="BJ144" s="3"/>
    </row>
    <row r="145" ht="15.75" customHeight="1">
      <c r="BG145" s="3"/>
      <c r="BH145" s="3"/>
      <c r="BI145" s="3"/>
      <c r="BJ145" s="3"/>
    </row>
    <row r="146" ht="15.75" customHeight="1">
      <c r="BG146" s="3"/>
      <c r="BH146" s="3"/>
      <c r="BI146" s="3"/>
      <c r="BJ146" s="3"/>
    </row>
    <row r="147" ht="15.75" customHeight="1">
      <c r="BG147" s="3"/>
      <c r="BH147" s="3"/>
      <c r="BI147" s="3"/>
      <c r="BJ147" s="3"/>
    </row>
    <row r="148" ht="15.75" customHeight="1">
      <c r="BG148" s="3"/>
      <c r="BH148" s="3"/>
      <c r="BI148" s="3"/>
      <c r="BJ148" s="3"/>
    </row>
    <row r="149" ht="15.75" customHeight="1">
      <c r="BG149" s="3"/>
      <c r="BH149" s="3"/>
      <c r="BI149" s="3"/>
      <c r="BJ149" s="3"/>
    </row>
    <row r="150" ht="15.75" customHeight="1">
      <c r="BG150" s="3"/>
      <c r="BH150" s="3"/>
      <c r="BI150" s="3"/>
      <c r="BJ150" s="3"/>
    </row>
    <row r="151" ht="15.75" customHeight="1">
      <c r="BG151" s="3"/>
      <c r="BH151" s="3"/>
      <c r="BI151" s="3"/>
      <c r="BJ151" s="3"/>
    </row>
    <row r="152" ht="15.75" customHeight="1">
      <c r="BG152" s="3"/>
      <c r="BH152" s="3"/>
      <c r="BI152" s="3"/>
      <c r="BJ152" s="3"/>
    </row>
    <row r="153" ht="15.75" customHeight="1">
      <c r="BG153" s="3"/>
      <c r="BH153" s="3"/>
      <c r="BI153" s="3"/>
      <c r="BJ153" s="3"/>
    </row>
    <row r="154" ht="15.75" customHeight="1">
      <c r="BG154" s="3"/>
      <c r="BH154" s="3"/>
      <c r="BI154" s="3"/>
      <c r="BJ154" s="3"/>
    </row>
    <row r="155" ht="15.75" customHeight="1">
      <c r="BG155" s="3"/>
      <c r="BH155" s="3"/>
      <c r="BI155" s="3"/>
      <c r="BJ155" s="3"/>
    </row>
    <row r="156" ht="15.75" customHeight="1">
      <c r="BG156" s="3"/>
      <c r="BH156" s="3"/>
      <c r="BI156" s="3"/>
      <c r="BJ156" s="3"/>
    </row>
    <row r="157" ht="15.75" customHeight="1">
      <c r="BG157" s="3"/>
      <c r="BH157" s="3"/>
      <c r="BI157" s="3"/>
      <c r="BJ157" s="3"/>
    </row>
    <row r="158" ht="15.75" customHeight="1">
      <c r="BG158" s="3"/>
      <c r="BH158" s="3"/>
      <c r="BI158" s="3"/>
      <c r="BJ158" s="3"/>
    </row>
    <row r="159" ht="15.75" customHeight="1">
      <c r="BG159" s="3"/>
      <c r="BH159" s="3"/>
      <c r="BI159" s="3"/>
      <c r="BJ159" s="3"/>
    </row>
    <row r="160" ht="15.75" customHeight="1">
      <c r="BG160" s="3"/>
      <c r="BH160" s="3"/>
      <c r="BI160" s="3"/>
      <c r="BJ160" s="3"/>
    </row>
    <row r="161" ht="15.75" customHeight="1">
      <c r="BG161" s="3"/>
      <c r="BH161" s="3"/>
      <c r="BI161" s="3"/>
      <c r="BJ161" s="3"/>
    </row>
    <row r="162" ht="15.75" customHeight="1">
      <c r="BG162" s="3"/>
      <c r="BH162" s="3"/>
      <c r="BI162" s="3"/>
      <c r="BJ162" s="3"/>
    </row>
    <row r="163" ht="15.75" customHeight="1">
      <c r="BG163" s="3"/>
      <c r="BH163" s="3"/>
      <c r="BI163" s="3"/>
      <c r="BJ163" s="3"/>
    </row>
    <row r="164" ht="15.75" customHeight="1">
      <c r="BG164" s="3"/>
      <c r="BH164" s="3"/>
      <c r="BI164" s="3"/>
      <c r="BJ164" s="3"/>
    </row>
    <row r="165" ht="15.75" customHeight="1">
      <c r="BG165" s="3"/>
      <c r="BH165" s="3"/>
      <c r="BI165" s="3"/>
      <c r="BJ165" s="3"/>
    </row>
    <row r="166" ht="15.75" customHeight="1">
      <c r="BG166" s="3"/>
      <c r="BH166" s="3"/>
      <c r="BI166" s="3"/>
      <c r="BJ166" s="3"/>
    </row>
    <row r="167" ht="15.75" customHeight="1">
      <c r="BG167" s="3"/>
      <c r="BH167" s="3"/>
      <c r="BI167" s="3"/>
      <c r="BJ167" s="3"/>
    </row>
    <row r="168" ht="15.75" customHeight="1">
      <c r="BG168" s="3"/>
      <c r="BH168" s="3"/>
      <c r="BI168" s="3"/>
      <c r="BJ168" s="3"/>
    </row>
    <row r="169" ht="15.75" customHeight="1">
      <c r="BG169" s="3"/>
      <c r="BH169" s="3"/>
      <c r="BI169" s="3"/>
      <c r="BJ169" s="3"/>
    </row>
    <row r="170" ht="15.75" customHeight="1">
      <c r="BG170" s="3"/>
      <c r="BH170" s="3"/>
      <c r="BI170" s="3"/>
      <c r="BJ170" s="3"/>
    </row>
    <row r="171" ht="15.75" customHeight="1">
      <c r="BG171" s="3"/>
      <c r="BH171" s="3"/>
      <c r="BI171" s="3"/>
      <c r="BJ171" s="3"/>
    </row>
    <row r="172" ht="15.75" customHeight="1">
      <c r="BG172" s="3"/>
      <c r="BH172" s="3"/>
      <c r="BI172" s="3"/>
      <c r="BJ172" s="3"/>
    </row>
    <row r="173" ht="15.75" customHeight="1">
      <c r="BG173" s="3"/>
      <c r="BH173" s="3"/>
      <c r="BI173" s="3"/>
      <c r="BJ173" s="3"/>
    </row>
    <row r="174" ht="15.75" customHeight="1">
      <c r="BG174" s="3"/>
      <c r="BH174" s="3"/>
      <c r="BI174" s="3"/>
      <c r="BJ174" s="3"/>
    </row>
    <row r="175" ht="15.75" customHeight="1">
      <c r="BG175" s="3"/>
      <c r="BH175" s="3"/>
      <c r="BI175" s="3"/>
      <c r="BJ175" s="3"/>
    </row>
    <row r="176" ht="15.75" customHeight="1">
      <c r="BG176" s="3"/>
      <c r="BH176" s="3"/>
      <c r="BI176" s="3"/>
      <c r="BJ176" s="3"/>
    </row>
    <row r="177" ht="15.75" customHeight="1">
      <c r="BG177" s="3"/>
      <c r="BH177" s="3"/>
      <c r="BI177" s="3"/>
      <c r="BJ177" s="3"/>
    </row>
    <row r="178" ht="15.75" customHeight="1">
      <c r="BG178" s="3"/>
      <c r="BH178" s="3"/>
      <c r="BI178" s="3"/>
      <c r="BJ178" s="3"/>
    </row>
    <row r="179" ht="15.75" customHeight="1">
      <c r="BG179" s="3"/>
      <c r="BH179" s="3"/>
      <c r="BI179" s="3"/>
      <c r="BJ179" s="3"/>
    </row>
    <row r="180" ht="15.75" customHeight="1">
      <c r="BG180" s="3"/>
      <c r="BH180" s="3"/>
      <c r="BI180" s="3"/>
      <c r="BJ180" s="3"/>
    </row>
    <row r="181" ht="15.75" customHeight="1">
      <c r="BG181" s="3"/>
      <c r="BH181" s="3"/>
      <c r="BI181" s="3"/>
      <c r="BJ181" s="3"/>
    </row>
    <row r="182" ht="15.75" customHeight="1">
      <c r="BG182" s="3"/>
      <c r="BH182" s="3"/>
      <c r="BI182" s="3"/>
      <c r="BJ182" s="3"/>
    </row>
    <row r="183" ht="15.75" customHeight="1">
      <c r="BG183" s="3"/>
      <c r="BH183" s="3"/>
      <c r="BI183" s="3"/>
      <c r="BJ183" s="3"/>
    </row>
    <row r="184" ht="15.75" customHeight="1">
      <c r="BG184" s="3"/>
      <c r="BH184" s="3"/>
      <c r="BI184" s="3"/>
      <c r="BJ184" s="3"/>
    </row>
    <row r="185" ht="15.75" customHeight="1">
      <c r="BG185" s="3"/>
      <c r="BH185" s="3"/>
      <c r="BI185" s="3"/>
      <c r="BJ185" s="3"/>
    </row>
    <row r="186" ht="15.75" customHeight="1">
      <c r="BG186" s="3"/>
      <c r="BH186" s="3"/>
      <c r="BI186" s="3"/>
      <c r="BJ186" s="3"/>
    </row>
    <row r="187" ht="15.75" customHeight="1">
      <c r="BG187" s="3"/>
      <c r="BH187" s="3"/>
      <c r="BI187" s="3"/>
      <c r="BJ187" s="3"/>
    </row>
    <row r="188" ht="15.75" customHeight="1">
      <c r="BG188" s="3"/>
      <c r="BH188" s="3"/>
      <c r="BI188" s="3"/>
      <c r="BJ188" s="3"/>
    </row>
    <row r="189" ht="15.75" customHeight="1">
      <c r="BG189" s="3"/>
      <c r="BH189" s="3"/>
      <c r="BI189" s="3"/>
      <c r="BJ189" s="3"/>
    </row>
    <row r="190" ht="15.75" customHeight="1">
      <c r="BG190" s="3"/>
      <c r="BH190" s="3"/>
      <c r="BI190" s="3"/>
      <c r="BJ190" s="3"/>
    </row>
    <row r="191" ht="15.75" customHeight="1">
      <c r="BG191" s="3"/>
      <c r="BH191" s="3"/>
      <c r="BI191" s="3"/>
      <c r="BJ191" s="3"/>
    </row>
    <row r="192" ht="15.75" customHeight="1">
      <c r="BG192" s="3"/>
      <c r="BH192" s="3"/>
      <c r="BI192" s="3"/>
      <c r="BJ192" s="3"/>
    </row>
    <row r="193" ht="15.75" customHeight="1">
      <c r="BG193" s="3"/>
      <c r="BH193" s="3"/>
      <c r="BI193" s="3"/>
      <c r="BJ193" s="3"/>
    </row>
    <row r="194" ht="15.75" customHeight="1">
      <c r="BG194" s="3"/>
      <c r="BH194" s="3"/>
      <c r="BI194" s="3"/>
      <c r="BJ194" s="3"/>
    </row>
    <row r="195" ht="15.75" customHeight="1">
      <c r="BG195" s="3"/>
      <c r="BH195" s="3"/>
      <c r="BI195" s="3"/>
      <c r="BJ195" s="3"/>
    </row>
    <row r="196" ht="15.75" customHeight="1">
      <c r="BG196" s="3"/>
      <c r="BH196" s="3"/>
      <c r="BI196" s="3"/>
      <c r="BJ196" s="3"/>
    </row>
    <row r="197" ht="15.75" customHeight="1">
      <c r="BG197" s="3"/>
      <c r="BH197" s="3"/>
      <c r="BI197" s="3"/>
      <c r="BJ197" s="3"/>
    </row>
    <row r="198" ht="15.75" customHeight="1">
      <c r="BG198" s="3"/>
      <c r="BH198" s="3"/>
      <c r="BI198" s="3"/>
      <c r="BJ198" s="3"/>
    </row>
    <row r="199" ht="15.75" customHeight="1">
      <c r="BG199" s="3"/>
      <c r="BH199" s="3"/>
      <c r="BI199" s="3"/>
      <c r="BJ199" s="3"/>
    </row>
    <row r="200" ht="15.75" customHeight="1">
      <c r="BG200" s="3"/>
      <c r="BH200" s="3"/>
      <c r="BI200" s="3"/>
      <c r="BJ200" s="3"/>
    </row>
    <row r="201" ht="15.75" customHeight="1">
      <c r="BG201" s="3"/>
      <c r="BH201" s="3"/>
      <c r="BI201" s="3"/>
      <c r="BJ201" s="3"/>
    </row>
    <row r="202" ht="15.75" customHeight="1">
      <c r="BG202" s="3"/>
      <c r="BH202" s="3"/>
      <c r="BI202" s="3"/>
      <c r="BJ202" s="3"/>
    </row>
    <row r="203" ht="15.75" customHeight="1">
      <c r="BG203" s="3"/>
      <c r="BH203" s="3"/>
      <c r="BI203" s="3"/>
      <c r="BJ203" s="3"/>
    </row>
    <row r="204" ht="15.75" customHeight="1">
      <c r="BG204" s="3"/>
      <c r="BH204" s="3"/>
      <c r="BI204" s="3"/>
      <c r="BJ204" s="3"/>
    </row>
    <row r="205" ht="15.75" customHeight="1">
      <c r="BG205" s="3"/>
      <c r="BH205" s="3"/>
      <c r="BI205" s="3"/>
      <c r="BJ205" s="3"/>
    </row>
    <row r="206" ht="15.75" customHeight="1">
      <c r="BG206" s="3"/>
      <c r="BH206" s="3"/>
      <c r="BI206" s="3"/>
      <c r="BJ206" s="3"/>
    </row>
    <row r="207" ht="15.75" customHeight="1">
      <c r="BG207" s="3"/>
      <c r="BH207" s="3"/>
      <c r="BI207" s="3"/>
      <c r="BJ207" s="3"/>
    </row>
    <row r="208" ht="15.75" customHeight="1">
      <c r="BG208" s="3"/>
      <c r="BH208" s="3"/>
      <c r="BI208" s="3"/>
      <c r="BJ208" s="3"/>
    </row>
    <row r="209" ht="15.75" customHeight="1">
      <c r="BG209" s="3"/>
      <c r="BH209" s="3"/>
      <c r="BI209" s="3"/>
      <c r="BJ209" s="3"/>
    </row>
    <row r="210" ht="15.75" customHeight="1">
      <c r="BG210" s="3"/>
      <c r="BH210" s="3"/>
      <c r="BI210" s="3"/>
      <c r="BJ210" s="3"/>
    </row>
    <row r="211" ht="15.75" customHeight="1">
      <c r="BG211" s="3"/>
      <c r="BH211" s="3"/>
      <c r="BI211" s="3"/>
      <c r="BJ211" s="3"/>
    </row>
    <row r="212" ht="15.75" customHeight="1">
      <c r="BG212" s="3"/>
      <c r="BH212" s="3"/>
      <c r="BI212" s="3"/>
      <c r="BJ212" s="3"/>
    </row>
    <row r="213" ht="15.75" customHeight="1">
      <c r="BG213" s="3"/>
      <c r="BH213" s="3"/>
      <c r="BI213" s="3"/>
      <c r="BJ213" s="3"/>
    </row>
    <row r="214" ht="15.75" customHeight="1">
      <c r="BG214" s="3"/>
      <c r="BH214" s="3"/>
      <c r="BI214" s="3"/>
      <c r="BJ214" s="3"/>
    </row>
    <row r="215" ht="15.75" customHeight="1">
      <c r="BG215" s="3"/>
      <c r="BH215" s="3"/>
      <c r="BI215" s="3"/>
      <c r="BJ215" s="3"/>
    </row>
    <row r="216" ht="15.75" customHeight="1">
      <c r="BG216" s="3"/>
      <c r="BH216" s="3"/>
      <c r="BI216" s="3"/>
      <c r="BJ216" s="3"/>
    </row>
    <row r="217" ht="15.75" customHeight="1">
      <c r="BG217" s="3"/>
      <c r="BH217" s="3"/>
      <c r="BI217" s="3"/>
      <c r="BJ217" s="3"/>
    </row>
    <row r="218" ht="15.75" customHeight="1">
      <c r="BG218" s="3"/>
      <c r="BH218" s="3"/>
      <c r="BI218" s="3"/>
      <c r="BJ218" s="3"/>
    </row>
    <row r="219" ht="15.75" customHeight="1">
      <c r="BG219" s="3"/>
      <c r="BH219" s="3"/>
      <c r="BI219" s="3"/>
      <c r="BJ219" s="3"/>
    </row>
    <row r="220" ht="15.75" customHeight="1">
      <c r="BG220" s="3"/>
      <c r="BH220" s="3"/>
      <c r="BI220" s="3"/>
      <c r="BJ220" s="3"/>
    </row>
    <row r="221" ht="15.75" customHeight="1">
      <c r="BG221" s="3"/>
      <c r="BH221" s="3"/>
      <c r="BI221" s="3"/>
      <c r="BJ221" s="3"/>
    </row>
    <row r="222" ht="15.75" customHeight="1">
      <c r="BG222" s="3"/>
      <c r="BH222" s="3"/>
      <c r="BI222" s="3"/>
      <c r="BJ222" s="3"/>
    </row>
    <row r="223" ht="15.75" customHeight="1">
      <c r="BG223" s="3"/>
      <c r="BH223" s="3"/>
      <c r="BI223" s="3"/>
      <c r="BJ223" s="3"/>
    </row>
    <row r="224" ht="15.75" customHeight="1">
      <c r="BG224" s="3"/>
      <c r="BH224" s="3"/>
      <c r="BI224" s="3"/>
      <c r="BJ224" s="3"/>
    </row>
    <row r="225" ht="15.75" customHeight="1">
      <c r="BG225" s="3"/>
      <c r="BH225" s="3"/>
      <c r="BI225" s="3"/>
      <c r="BJ225" s="3"/>
    </row>
    <row r="226" ht="15.75" customHeight="1">
      <c r="BG226" s="3"/>
      <c r="BH226" s="3"/>
      <c r="BI226" s="3"/>
      <c r="BJ226" s="3"/>
    </row>
    <row r="227" ht="15.75" customHeight="1">
      <c r="BG227" s="3"/>
      <c r="BH227" s="3"/>
      <c r="BI227" s="3"/>
      <c r="BJ227" s="3"/>
    </row>
    <row r="228" ht="15.75" customHeight="1">
      <c r="BG228" s="3"/>
      <c r="BH228" s="3"/>
      <c r="BI228" s="3"/>
      <c r="BJ228" s="3"/>
    </row>
    <row r="229" ht="15.75" customHeight="1">
      <c r="BG229" s="3"/>
      <c r="BH229" s="3"/>
      <c r="BI229" s="3"/>
      <c r="BJ229" s="3"/>
    </row>
    <row r="230" ht="15.75" customHeight="1">
      <c r="BG230" s="3"/>
      <c r="BH230" s="3"/>
      <c r="BI230" s="3"/>
      <c r="BJ230" s="3"/>
    </row>
    <row r="231" ht="15.75" customHeight="1">
      <c r="BG231" s="3"/>
      <c r="BH231" s="3"/>
      <c r="BI231" s="3"/>
      <c r="BJ231" s="3"/>
    </row>
    <row r="232" ht="15.75" customHeight="1">
      <c r="BG232" s="3"/>
      <c r="BH232" s="3"/>
      <c r="BI232" s="3"/>
      <c r="BJ232" s="3"/>
    </row>
    <row r="233" ht="15.75" customHeight="1">
      <c r="BG233" s="3"/>
      <c r="BH233" s="3"/>
      <c r="BI233" s="3"/>
      <c r="BJ233" s="3"/>
    </row>
    <row r="234" ht="15.75" customHeight="1">
      <c r="BG234" s="3"/>
      <c r="BH234" s="3"/>
      <c r="BI234" s="3"/>
      <c r="BJ234" s="3"/>
    </row>
    <row r="235" ht="15.75" customHeight="1">
      <c r="BG235" s="3"/>
      <c r="BH235" s="3"/>
      <c r="BI235" s="3"/>
      <c r="BJ235" s="3"/>
    </row>
    <row r="236" ht="15.75" customHeight="1">
      <c r="BG236" s="3"/>
      <c r="BH236" s="3"/>
      <c r="BI236" s="3"/>
      <c r="BJ236" s="3"/>
    </row>
    <row r="237" ht="15.75" customHeight="1">
      <c r="BG237" s="3"/>
      <c r="BH237" s="3"/>
      <c r="BI237" s="3"/>
      <c r="BJ237" s="3"/>
    </row>
    <row r="238" ht="15.75" customHeight="1">
      <c r="BG238" s="3"/>
      <c r="BH238" s="3"/>
      <c r="BI238" s="3"/>
      <c r="BJ238" s="3"/>
    </row>
    <row r="239" ht="15.75" customHeight="1">
      <c r="BG239" s="3"/>
      <c r="BH239" s="3"/>
      <c r="BI239" s="3"/>
      <c r="BJ239" s="3"/>
    </row>
    <row r="240" ht="15.75" customHeight="1">
      <c r="BG240" s="3"/>
      <c r="BH240" s="3"/>
      <c r="BI240" s="3"/>
      <c r="BJ240" s="3"/>
    </row>
    <row r="241" ht="15.75" customHeight="1">
      <c r="BG241" s="3"/>
      <c r="BH241" s="3"/>
      <c r="BI241" s="3"/>
      <c r="BJ241" s="3"/>
    </row>
    <row r="242" ht="15.75" customHeight="1">
      <c r="BG242" s="3"/>
      <c r="BH242" s="3"/>
      <c r="BI242" s="3"/>
      <c r="BJ242" s="3"/>
    </row>
    <row r="243" ht="15.75" customHeight="1">
      <c r="BG243" s="3"/>
      <c r="BH243" s="3"/>
      <c r="BI243" s="3"/>
      <c r="BJ243" s="3"/>
    </row>
    <row r="244" ht="15.75" customHeight="1">
      <c r="BG244" s="3"/>
      <c r="BH244" s="3"/>
      <c r="BI244" s="3"/>
      <c r="BJ244" s="3"/>
    </row>
    <row r="245" ht="15.75" customHeight="1">
      <c r="BG245" s="3"/>
      <c r="BH245" s="3"/>
      <c r="BI245" s="3"/>
      <c r="BJ245" s="3"/>
    </row>
    <row r="246" ht="15.75" customHeight="1">
      <c r="BG246" s="3"/>
      <c r="BH246" s="3"/>
      <c r="BI246" s="3"/>
      <c r="BJ246" s="3"/>
    </row>
    <row r="247" ht="15.75" customHeight="1">
      <c r="BG247" s="3"/>
      <c r="BH247" s="3"/>
      <c r="BI247" s="3"/>
      <c r="BJ247" s="3"/>
    </row>
    <row r="248" ht="15.75" customHeight="1">
      <c r="BG248" s="3"/>
      <c r="BH248" s="3"/>
      <c r="BI248" s="3"/>
      <c r="BJ248" s="3"/>
    </row>
    <row r="249" ht="15.75" customHeight="1">
      <c r="BG249" s="3"/>
      <c r="BH249" s="3"/>
      <c r="BI249" s="3"/>
      <c r="BJ249" s="3"/>
    </row>
    <row r="250" ht="15.75" customHeight="1">
      <c r="BG250" s="3"/>
      <c r="BH250" s="3"/>
      <c r="BI250" s="3"/>
      <c r="BJ250" s="3"/>
    </row>
    <row r="251" ht="15.75" customHeight="1">
      <c r="BG251" s="3"/>
      <c r="BH251" s="3"/>
      <c r="BI251" s="3"/>
      <c r="BJ251" s="3"/>
    </row>
    <row r="252" ht="15.75" customHeight="1">
      <c r="BG252" s="3"/>
      <c r="BH252" s="3"/>
      <c r="BI252" s="3"/>
      <c r="BJ252" s="3"/>
    </row>
    <row r="253" ht="15.75" customHeight="1">
      <c r="BG253" s="3"/>
      <c r="BH253" s="3"/>
      <c r="BI253" s="3"/>
      <c r="BJ253" s="3"/>
    </row>
    <row r="254" ht="15.75" customHeight="1">
      <c r="BG254" s="3"/>
      <c r="BH254" s="3"/>
      <c r="BI254" s="3"/>
      <c r="BJ254" s="3"/>
    </row>
    <row r="255" ht="15.75" customHeight="1">
      <c r="BG255" s="3"/>
      <c r="BH255" s="3"/>
      <c r="BI255" s="3"/>
      <c r="BJ255" s="3"/>
    </row>
    <row r="256" ht="15.75" customHeight="1">
      <c r="BG256" s="3"/>
      <c r="BH256" s="3"/>
      <c r="BI256" s="3"/>
      <c r="BJ256" s="3"/>
    </row>
    <row r="257" ht="15.75" customHeight="1">
      <c r="BG257" s="3"/>
      <c r="BH257" s="3"/>
      <c r="BI257" s="3"/>
      <c r="BJ257" s="3"/>
    </row>
    <row r="258" ht="15.75" customHeight="1">
      <c r="BG258" s="3"/>
      <c r="BH258" s="3"/>
      <c r="BI258" s="3"/>
      <c r="BJ258" s="3"/>
    </row>
    <row r="259" ht="15.75" customHeight="1">
      <c r="BG259" s="3"/>
      <c r="BH259" s="3"/>
      <c r="BI259" s="3"/>
      <c r="BJ259" s="3"/>
    </row>
    <row r="260" ht="15.75" customHeight="1">
      <c r="BG260" s="3"/>
      <c r="BH260" s="3"/>
      <c r="BI260" s="3"/>
      <c r="BJ260" s="3"/>
    </row>
    <row r="261" ht="15.75" customHeight="1">
      <c r="BG261" s="3"/>
      <c r="BH261" s="3"/>
      <c r="BI261" s="3"/>
      <c r="BJ261" s="3"/>
    </row>
    <row r="262" ht="15.75" customHeight="1">
      <c r="BG262" s="3"/>
      <c r="BH262" s="3"/>
      <c r="BI262" s="3"/>
      <c r="BJ262" s="3"/>
    </row>
    <row r="263" ht="15.75" customHeight="1">
      <c r="BG263" s="3"/>
      <c r="BH263" s="3"/>
      <c r="BI263" s="3"/>
      <c r="BJ263" s="3"/>
    </row>
    <row r="264" ht="15.75" customHeight="1">
      <c r="BG264" s="3"/>
      <c r="BH264" s="3"/>
      <c r="BI264" s="3"/>
      <c r="BJ264" s="3"/>
    </row>
    <row r="265" ht="15.75" customHeight="1">
      <c r="BG265" s="3"/>
      <c r="BH265" s="3"/>
      <c r="BI265" s="3"/>
      <c r="BJ265" s="3"/>
    </row>
    <row r="266" ht="15.75" customHeight="1">
      <c r="BG266" s="3"/>
      <c r="BH266" s="3"/>
      <c r="BI266" s="3"/>
      <c r="BJ266" s="3"/>
    </row>
    <row r="267" ht="15.75" customHeight="1">
      <c r="BG267" s="3"/>
      <c r="BH267" s="3"/>
      <c r="BI267" s="3"/>
      <c r="BJ267" s="3"/>
    </row>
    <row r="268" ht="15.75" customHeight="1">
      <c r="BG268" s="3"/>
      <c r="BH268" s="3"/>
      <c r="BI268" s="3"/>
      <c r="BJ268" s="3"/>
    </row>
    <row r="269" ht="15.75" customHeight="1">
      <c r="BG269" s="3"/>
      <c r="BH269" s="3"/>
      <c r="BI269" s="3"/>
      <c r="BJ269" s="3"/>
    </row>
    <row r="270" ht="15.75" customHeight="1">
      <c r="BG270" s="3"/>
      <c r="BH270" s="3"/>
      <c r="BI270" s="3"/>
      <c r="BJ270" s="3"/>
    </row>
    <row r="271" ht="15.75" customHeight="1">
      <c r="BG271" s="3"/>
      <c r="BH271" s="3"/>
      <c r="BI271" s="3"/>
      <c r="BJ271" s="3"/>
    </row>
    <row r="272" ht="15.75" customHeight="1">
      <c r="BG272" s="3"/>
      <c r="BH272" s="3"/>
      <c r="BI272" s="3"/>
      <c r="BJ272" s="3"/>
    </row>
    <row r="273" ht="15.75" customHeight="1">
      <c r="BG273" s="3"/>
      <c r="BH273" s="3"/>
      <c r="BI273" s="3"/>
      <c r="BJ273" s="3"/>
    </row>
    <row r="274" ht="15.75" customHeight="1">
      <c r="BG274" s="3"/>
      <c r="BH274" s="3"/>
      <c r="BI274" s="3"/>
      <c r="BJ274" s="3"/>
    </row>
    <row r="275" ht="15.75" customHeight="1">
      <c r="BG275" s="3"/>
      <c r="BH275" s="3"/>
      <c r="BI275" s="3"/>
      <c r="BJ275" s="3"/>
    </row>
    <row r="276" ht="15.75" customHeight="1">
      <c r="BG276" s="3"/>
      <c r="BH276" s="3"/>
      <c r="BI276" s="3"/>
      <c r="BJ276" s="3"/>
    </row>
    <row r="277" ht="15.75" customHeight="1">
      <c r="BG277" s="3"/>
      <c r="BH277" s="3"/>
      <c r="BI277" s="3"/>
      <c r="BJ277" s="3"/>
    </row>
    <row r="278" ht="15.75" customHeight="1">
      <c r="BG278" s="3"/>
      <c r="BH278" s="3"/>
      <c r="BI278" s="3"/>
      <c r="BJ278" s="3"/>
    </row>
    <row r="279" ht="15.75" customHeight="1">
      <c r="BG279" s="3"/>
      <c r="BH279" s="3"/>
      <c r="BI279" s="3"/>
      <c r="BJ279" s="3"/>
    </row>
    <row r="280" ht="15.75" customHeight="1">
      <c r="BG280" s="3"/>
      <c r="BH280" s="3"/>
      <c r="BI280" s="3"/>
      <c r="BJ280" s="3"/>
    </row>
    <row r="281" ht="15.75" customHeight="1">
      <c r="BG281" s="3"/>
      <c r="BH281" s="3"/>
      <c r="BI281" s="3"/>
      <c r="BJ281" s="3"/>
    </row>
    <row r="282" ht="15.75" customHeight="1">
      <c r="BG282" s="3"/>
      <c r="BH282" s="3"/>
      <c r="BI282" s="3"/>
      <c r="BJ282" s="3"/>
    </row>
    <row r="283" ht="15.75" customHeight="1">
      <c r="BG283" s="3"/>
      <c r="BH283" s="3"/>
      <c r="BI283" s="3"/>
      <c r="BJ283" s="3"/>
    </row>
    <row r="284" ht="15.75" customHeight="1">
      <c r="BG284" s="3"/>
      <c r="BH284" s="3"/>
      <c r="BI284" s="3"/>
      <c r="BJ284" s="3"/>
    </row>
    <row r="285" ht="15.75" customHeight="1">
      <c r="BG285" s="3"/>
      <c r="BH285" s="3"/>
      <c r="BI285" s="3"/>
      <c r="BJ285" s="3"/>
    </row>
    <row r="286" ht="15.75" customHeight="1">
      <c r="BG286" s="3"/>
      <c r="BH286" s="3"/>
      <c r="BI286" s="3"/>
      <c r="BJ286" s="3"/>
    </row>
    <row r="287" ht="15.75" customHeight="1">
      <c r="BG287" s="3"/>
      <c r="BH287" s="3"/>
      <c r="BI287" s="3"/>
      <c r="BJ287" s="3"/>
    </row>
    <row r="288" ht="15.75" customHeight="1">
      <c r="BG288" s="3"/>
      <c r="BH288" s="3"/>
      <c r="BI288" s="3"/>
      <c r="BJ288" s="3"/>
    </row>
    <row r="289" ht="15.75" customHeight="1">
      <c r="BG289" s="3"/>
      <c r="BH289" s="3"/>
      <c r="BI289" s="3"/>
      <c r="BJ289" s="3"/>
    </row>
    <row r="290" ht="15.75" customHeight="1">
      <c r="BG290" s="3"/>
      <c r="BH290" s="3"/>
      <c r="BI290" s="3"/>
      <c r="BJ290" s="3"/>
    </row>
    <row r="291" ht="15.75" customHeight="1">
      <c r="BG291" s="3"/>
      <c r="BH291" s="3"/>
      <c r="BI291" s="3"/>
      <c r="BJ291" s="3"/>
    </row>
    <row r="292" ht="15.75" customHeight="1">
      <c r="BG292" s="3"/>
      <c r="BH292" s="3"/>
      <c r="BI292" s="3"/>
      <c r="BJ292" s="3"/>
    </row>
    <row r="293" ht="15.75" customHeight="1">
      <c r="BG293" s="3"/>
      <c r="BH293" s="3"/>
      <c r="BI293" s="3"/>
      <c r="BJ293" s="3"/>
    </row>
    <row r="294" ht="15.75" customHeight="1">
      <c r="BG294" s="3"/>
      <c r="BH294" s="3"/>
      <c r="BI294" s="3"/>
      <c r="BJ294" s="3"/>
    </row>
    <row r="295" ht="15.75" customHeight="1">
      <c r="BG295" s="3"/>
      <c r="BH295" s="3"/>
      <c r="BI295" s="3"/>
      <c r="BJ295" s="3"/>
    </row>
    <row r="296" ht="15.75" customHeight="1">
      <c r="BG296" s="3"/>
      <c r="BH296" s="3"/>
      <c r="BI296" s="3"/>
      <c r="BJ296" s="3"/>
    </row>
    <row r="297" ht="15.75" customHeight="1">
      <c r="BG297" s="3"/>
      <c r="BH297" s="3"/>
      <c r="BI297" s="3"/>
      <c r="BJ297" s="3"/>
    </row>
    <row r="298" ht="15.75" customHeight="1">
      <c r="BG298" s="3"/>
      <c r="BH298" s="3"/>
      <c r="BI298" s="3"/>
      <c r="BJ298" s="3"/>
    </row>
    <row r="299" ht="15.75" customHeight="1">
      <c r="BG299" s="3"/>
      <c r="BH299" s="3"/>
      <c r="BI299" s="3"/>
      <c r="BJ299" s="3"/>
    </row>
    <row r="300" ht="15.75" customHeight="1">
      <c r="BG300" s="3"/>
      <c r="BH300" s="3"/>
      <c r="BI300" s="3"/>
      <c r="BJ300" s="3"/>
    </row>
    <row r="301" ht="15.75" customHeight="1">
      <c r="BG301" s="3"/>
      <c r="BH301" s="3"/>
      <c r="BI301" s="3"/>
      <c r="BJ301" s="3"/>
    </row>
    <row r="302" ht="15.75" customHeight="1">
      <c r="BG302" s="3"/>
      <c r="BH302" s="3"/>
      <c r="BI302" s="3"/>
      <c r="BJ302" s="3"/>
    </row>
    <row r="303" ht="15.75" customHeight="1">
      <c r="BG303" s="3"/>
      <c r="BH303" s="3"/>
      <c r="BI303" s="3"/>
      <c r="BJ303" s="3"/>
    </row>
    <row r="304" ht="15.75" customHeight="1">
      <c r="BG304" s="3"/>
      <c r="BH304" s="3"/>
      <c r="BI304" s="3"/>
      <c r="BJ304" s="3"/>
    </row>
    <row r="305" ht="15.75" customHeight="1">
      <c r="BG305" s="3"/>
      <c r="BH305" s="3"/>
      <c r="BI305" s="3"/>
      <c r="BJ305" s="3"/>
    </row>
    <row r="306" ht="15.75" customHeight="1">
      <c r="BG306" s="3"/>
      <c r="BH306" s="3"/>
      <c r="BI306" s="3"/>
      <c r="BJ306" s="3"/>
    </row>
    <row r="307" ht="15.75" customHeight="1">
      <c r="BG307" s="3"/>
      <c r="BH307" s="3"/>
      <c r="BI307" s="3"/>
      <c r="BJ307" s="3"/>
    </row>
    <row r="308" ht="15.75" customHeight="1">
      <c r="BG308" s="3"/>
      <c r="BH308" s="3"/>
      <c r="BI308" s="3"/>
      <c r="BJ308" s="3"/>
    </row>
    <row r="309" ht="15.75" customHeight="1">
      <c r="BG309" s="3"/>
      <c r="BH309" s="3"/>
      <c r="BI309" s="3"/>
      <c r="BJ309" s="3"/>
    </row>
    <row r="310" ht="15.75" customHeight="1">
      <c r="BG310" s="3"/>
      <c r="BH310" s="3"/>
      <c r="BI310" s="3"/>
      <c r="BJ310" s="3"/>
    </row>
    <row r="311" ht="15.75" customHeight="1">
      <c r="BG311" s="3"/>
      <c r="BH311" s="3"/>
      <c r="BI311" s="3"/>
      <c r="BJ311" s="3"/>
    </row>
    <row r="312" ht="15.75" customHeight="1">
      <c r="BG312" s="3"/>
      <c r="BH312" s="3"/>
      <c r="BI312" s="3"/>
      <c r="BJ312" s="3"/>
    </row>
    <row r="313" ht="15.75" customHeight="1">
      <c r="BG313" s="3"/>
      <c r="BH313" s="3"/>
      <c r="BI313" s="3"/>
      <c r="BJ313" s="3"/>
    </row>
    <row r="314" ht="15.75" customHeight="1">
      <c r="BG314" s="3"/>
      <c r="BH314" s="3"/>
      <c r="BI314" s="3"/>
      <c r="BJ314" s="3"/>
    </row>
    <row r="315" ht="15.75" customHeight="1">
      <c r="BG315" s="3"/>
      <c r="BH315" s="3"/>
      <c r="BI315" s="3"/>
      <c r="BJ315" s="3"/>
    </row>
    <row r="316" ht="15.75" customHeight="1">
      <c r="BG316" s="3"/>
      <c r="BH316" s="3"/>
      <c r="BI316" s="3"/>
      <c r="BJ316" s="3"/>
    </row>
    <row r="317" ht="15.75" customHeight="1">
      <c r="BG317" s="3"/>
      <c r="BH317" s="3"/>
      <c r="BI317" s="3"/>
      <c r="BJ317" s="3"/>
    </row>
    <row r="318" ht="15.75" customHeight="1">
      <c r="BG318" s="3"/>
      <c r="BH318" s="3"/>
      <c r="BI318" s="3"/>
      <c r="BJ318" s="3"/>
    </row>
    <row r="319" ht="15.75" customHeight="1">
      <c r="BG319" s="3"/>
      <c r="BH319" s="3"/>
      <c r="BI319" s="3"/>
      <c r="BJ319" s="3"/>
    </row>
    <row r="320" ht="15.75" customHeight="1">
      <c r="BG320" s="3"/>
      <c r="BH320" s="3"/>
      <c r="BI320" s="3"/>
      <c r="BJ320" s="3"/>
    </row>
    <row r="321" ht="15.75" customHeight="1">
      <c r="BG321" s="3"/>
      <c r="BH321" s="3"/>
      <c r="BI321" s="3"/>
      <c r="BJ321" s="3"/>
    </row>
    <row r="322" ht="15.75" customHeight="1">
      <c r="BG322" s="3"/>
      <c r="BH322" s="3"/>
      <c r="BI322" s="3"/>
      <c r="BJ322" s="3"/>
    </row>
    <row r="323" ht="15.75" customHeight="1">
      <c r="BG323" s="3"/>
      <c r="BH323" s="3"/>
      <c r="BI323" s="3"/>
      <c r="BJ323" s="3"/>
    </row>
    <row r="324" ht="15.75" customHeight="1">
      <c r="BG324" s="3"/>
      <c r="BH324" s="3"/>
      <c r="BI324" s="3"/>
      <c r="BJ324" s="3"/>
    </row>
    <row r="325" ht="15.75" customHeight="1">
      <c r="BG325" s="3"/>
      <c r="BH325" s="3"/>
      <c r="BI325" s="3"/>
      <c r="BJ325" s="3"/>
    </row>
    <row r="326" ht="15.75" customHeight="1">
      <c r="BG326" s="3"/>
      <c r="BH326" s="3"/>
      <c r="BI326" s="3"/>
      <c r="BJ326" s="3"/>
    </row>
    <row r="327" ht="15.75" customHeight="1">
      <c r="BG327" s="3"/>
      <c r="BH327" s="3"/>
      <c r="BI327" s="3"/>
      <c r="BJ327" s="3"/>
    </row>
    <row r="328" ht="15.75" customHeight="1">
      <c r="BG328" s="3"/>
      <c r="BH328" s="3"/>
      <c r="BI328" s="3"/>
      <c r="BJ328" s="3"/>
    </row>
    <row r="329" ht="15.75" customHeight="1">
      <c r="BG329" s="3"/>
      <c r="BH329" s="3"/>
      <c r="BI329" s="3"/>
      <c r="BJ329" s="3"/>
    </row>
    <row r="330" ht="15.75" customHeight="1">
      <c r="BG330" s="3"/>
      <c r="BH330" s="3"/>
      <c r="BI330" s="3"/>
      <c r="BJ330" s="3"/>
    </row>
    <row r="331" ht="15.75" customHeight="1">
      <c r="BG331" s="3"/>
      <c r="BH331" s="3"/>
      <c r="BI331" s="3"/>
      <c r="BJ331" s="3"/>
    </row>
    <row r="332" ht="15.75" customHeight="1">
      <c r="BG332" s="3"/>
      <c r="BH332" s="3"/>
      <c r="BI332" s="3"/>
      <c r="BJ332" s="3"/>
    </row>
    <row r="333" ht="15.75" customHeight="1">
      <c r="BG333" s="3"/>
      <c r="BH333" s="3"/>
      <c r="BI333" s="3"/>
      <c r="BJ333" s="3"/>
    </row>
    <row r="334" ht="15.75" customHeight="1">
      <c r="BG334" s="3"/>
      <c r="BH334" s="3"/>
      <c r="BI334" s="3"/>
      <c r="BJ334" s="3"/>
    </row>
    <row r="335" ht="15.75" customHeight="1">
      <c r="BG335" s="3"/>
      <c r="BH335" s="3"/>
      <c r="BI335" s="3"/>
      <c r="BJ335" s="3"/>
    </row>
    <row r="336" ht="15.75" customHeight="1">
      <c r="BG336" s="3"/>
      <c r="BH336" s="3"/>
      <c r="BI336" s="3"/>
      <c r="BJ336" s="3"/>
    </row>
    <row r="337" ht="15.75" customHeight="1">
      <c r="BG337" s="3"/>
      <c r="BH337" s="3"/>
      <c r="BI337" s="3"/>
      <c r="BJ337" s="3"/>
    </row>
    <row r="338" ht="15.75" customHeight="1">
      <c r="BG338" s="3"/>
      <c r="BH338" s="3"/>
      <c r="BI338" s="3"/>
      <c r="BJ338" s="3"/>
    </row>
    <row r="339" ht="15.75" customHeight="1">
      <c r="BG339" s="3"/>
      <c r="BH339" s="3"/>
      <c r="BI339" s="3"/>
      <c r="BJ339" s="3"/>
    </row>
    <row r="340" ht="15.75" customHeight="1">
      <c r="BG340" s="3"/>
      <c r="BH340" s="3"/>
      <c r="BI340" s="3"/>
      <c r="BJ340" s="3"/>
    </row>
    <row r="341" ht="15.75" customHeight="1">
      <c r="BG341" s="3"/>
      <c r="BH341" s="3"/>
      <c r="BI341" s="3"/>
      <c r="BJ341" s="3"/>
    </row>
    <row r="342" ht="15.75" customHeight="1">
      <c r="BG342" s="3"/>
      <c r="BH342" s="3"/>
      <c r="BI342" s="3"/>
      <c r="BJ342" s="3"/>
    </row>
    <row r="343" ht="15.75" customHeight="1">
      <c r="BG343" s="3"/>
      <c r="BH343" s="3"/>
      <c r="BI343" s="3"/>
      <c r="BJ343" s="3"/>
    </row>
    <row r="344" ht="15.75" customHeight="1">
      <c r="BG344" s="3"/>
      <c r="BH344" s="3"/>
      <c r="BI344" s="3"/>
      <c r="BJ344" s="3"/>
    </row>
    <row r="345" ht="15.75" customHeight="1">
      <c r="BG345" s="3"/>
      <c r="BH345" s="3"/>
      <c r="BI345" s="3"/>
      <c r="BJ345" s="3"/>
    </row>
    <row r="346" ht="15.75" customHeight="1">
      <c r="BG346" s="3"/>
      <c r="BH346" s="3"/>
      <c r="BI346" s="3"/>
      <c r="BJ346" s="3"/>
    </row>
    <row r="347" ht="15.75" customHeight="1">
      <c r="BG347" s="3"/>
      <c r="BH347" s="3"/>
      <c r="BI347" s="3"/>
      <c r="BJ347" s="3"/>
    </row>
    <row r="348" ht="15.75" customHeight="1">
      <c r="BG348" s="3"/>
      <c r="BH348" s="3"/>
      <c r="BI348" s="3"/>
      <c r="BJ348" s="3"/>
    </row>
    <row r="349" ht="15.75" customHeight="1">
      <c r="BG349" s="3"/>
      <c r="BH349" s="3"/>
      <c r="BI349" s="3"/>
      <c r="BJ349" s="3"/>
    </row>
    <row r="350" ht="15.75" customHeight="1">
      <c r="BG350" s="3"/>
      <c r="BH350" s="3"/>
      <c r="BI350" s="3"/>
      <c r="BJ350" s="3"/>
    </row>
    <row r="351" ht="15.75" customHeight="1">
      <c r="BG351" s="3"/>
      <c r="BH351" s="3"/>
      <c r="BI351" s="3"/>
      <c r="BJ351" s="3"/>
    </row>
    <row r="352" ht="15.75" customHeight="1">
      <c r="BG352" s="3"/>
      <c r="BH352" s="3"/>
      <c r="BI352" s="3"/>
      <c r="BJ352" s="3"/>
    </row>
    <row r="353" ht="15.75" customHeight="1">
      <c r="BG353" s="3"/>
      <c r="BH353" s="3"/>
      <c r="BI353" s="3"/>
      <c r="BJ353" s="3"/>
    </row>
    <row r="354" ht="15.75" customHeight="1">
      <c r="BG354" s="3"/>
      <c r="BH354" s="3"/>
      <c r="BI354" s="3"/>
      <c r="BJ354" s="3"/>
    </row>
    <row r="355" ht="15.75" customHeight="1">
      <c r="BG355" s="3"/>
      <c r="BH355" s="3"/>
      <c r="BI355" s="3"/>
      <c r="BJ355" s="3"/>
    </row>
    <row r="356" ht="15.75" customHeight="1">
      <c r="BG356" s="3"/>
      <c r="BH356" s="3"/>
      <c r="BI356" s="3"/>
      <c r="BJ356" s="3"/>
    </row>
    <row r="357" ht="15.75" customHeight="1">
      <c r="BG357" s="3"/>
      <c r="BH357" s="3"/>
      <c r="BI357" s="3"/>
      <c r="BJ357" s="3"/>
    </row>
    <row r="358" ht="15.75" customHeight="1">
      <c r="BG358" s="3"/>
      <c r="BH358" s="3"/>
      <c r="BI358" s="3"/>
      <c r="BJ358" s="3"/>
    </row>
    <row r="359" ht="15.75" customHeight="1">
      <c r="BG359" s="3"/>
      <c r="BH359" s="3"/>
      <c r="BI359" s="3"/>
      <c r="BJ359" s="3"/>
    </row>
    <row r="360" ht="15.75" customHeight="1">
      <c r="BG360" s="3"/>
      <c r="BH360" s="3"/>
      <c r="BI360" s="3"/>
      <c r="BJ360" s="3"/>
    </row>
    <row r="361" ht="15.75" customHeight="1">
      <c r="BG361" s="3"/>
      <c r="BH361" s="3"/>
      <c r="BI361" s="3"/>
      <c r="BJ361" s="3"/>
    </row>
    <row r="362" ht="15.75" customHeight="1">
      <c r="BG362" s="3"/>
      <c r="BH362" s="3"/>
      <c r="BI362" s="3"/>
      <c r="BJ362" s="3"/>
    </row>
    <row r="363" ht="15.75" customHeight="1">
      <c r="BG363" s="3"/>
      <c r="BH363" s="3"/>
      <c r="BI363" s="3"/>
      <c r="BJ363" s="3"/>
    </row>
    <row r="364" ht="15.75" customHeight="1">
      <c r="BG364" s="3"/>
      <c r="BH364" s="3"/>
      <c r="BI364" s="3"/>
      <c r="BJ364" s="3"/>
    </row>
    <row r="365" ht="15.75" customHeight="1">
      <c r="BG365" s="3"/>
      <c r="BH365" s="3"/>
      <c r="BI365" s="3"/>
      <c r="BJ365" s="3"/>
    </row>
    <row r="366" ht="15.75" customHeight="1">
      <c r="BG366" s="3"/>
      <c r="BH366" s="3"/>
      <c r="BI366" s="3"/>
      <c r="BJ366" s="3"/>
    </row>
    <row r="367" ht="15.75" customHeight="1">
      <c r="BG367" s="3"/>
      <c r="BH367" s="3"/>
      <c r="BI367" s="3"/>
      <c r="BJ367" s="3"/>
    </row>
    <row r="368" ht="15.75" customHeight="1">
      <c r="BG368" s="3"/>
      <c r="BH368" s="3"/>
      <c r="BI368" s="3"/>
      <c r="BJ368" s="3"/>
    </row>
    <row r="369" ht="15.75" customHeight="1">
      <c r="BG369" s="3"/>
      <c r="BH369" s="3"/>
      <c r="BI369" s="3"/>
      <c r="BJ369" s="3"/>
    </row>
    <row r="370" ht="15.75" customHeight="1">
      <c r="BG370" s="3"/>
      <c r="BH370" s="3"/>
      <c r="BI370" s="3"/>
      <c r="BJ370" s="3"/>
    </row>
    <row r="371" ht="15.75" customHeight="1">
      <c r="BG371" s="3"/>
      <c r="BH371" s="3"/>
      <c r="BI371" s="3"/>
      <c r="BJ371" s="3"/>
    </row>
    <row r="372" ht="15.75" customHeight="1">
      <c r="BG372" s="3"/>
      <c r="BH372" s="3"/>
      <c r="BI372" s="3"/>
      <c r="BJ372" s="3"/>
    </row>
    <row r="373" ht="15.75" customHeight="1">
      <c r="BG373" s="3"/>
      <c r="BH373" s="3"/>
      <c r="BI373" s="3"/>
      <c r="BJ373" s="3"/>
    </row>
    <row r="374" ht="15.75" customHeight="1">
      <c r="BG374" s="3"/>
      <c r="BH374" s="3"/>
      <c r="BI374" s="3"/>
      <c r="BJ374" s="3"/>
    </row>
    <row r="375" ht="15.75" customHeight="1">
      <c r="BG375" s="3"/>
      <c r="BH375" s="3"/>
      <c r="BI375" s="3"/>
      <c r="BJ375" s="3"/>
    </row>
    <row r="376" ht="15.75" customHeight="1">
      <c r="BG376" s="3"/>
      <c r="BH376" s="3"/>
      <c r="BI376" s="3"/>
      <c r="BJ376" s="3"/>
    </row>
    <row r="377" ht="15.75" customHeight="1">
      <c r="BG377" s="3"/>
      <c r="BH377" s="3"/>
      <c r="BI377" s="3"/>
      <c r="BJ377" s="3"/>
    </row>
    <row r="378" ht="15.75" customHeight="1">
      <c r="BG378" s="3"/>
      <c r="BH378" s="3"/>
      <c r="BI378" s="3"/>
      <c r="BJ378" s="3"/>
    </row>
    <row r="379" ht="15.75" customHeight="1">
      <c r="BG379" s="3"/>
      <c r="BH379" s="3"/>
      <c r="BI379" s="3"/>
      <c r="BJ379" s="3"/>
    </row>
    <row r="380" ht="15.75" customHeight="1">
      <c r="BG380" s="3"/>
      <c r="BH380" s="3"/>
      <c r="BI380" s="3"/>
      <c r="BJ380" s="3"/>
    </row>
    <row r="381" ht="15.75" customHeight="1">
      <c r="BG381" s="3"/>
      <c r="BH381" s="3"/>
      <c r="BI381" s="3"/>
      <c r="BJ381" s="3"/>
    </row>
    <row r="382" ht="15.75" customHeight="1">
      <c r="BG382" s="3"/>
      <c r="BH382" s="3"/>
      <c r="BI382" s="3"/>
      <c r="BJ382" s="3"/>
    </row>
    <row r="383" ht="15.75" customHeight="1">
      <c r="BG383" s="3"/>
      <c r="BH383" s="3"/>
      <c r="BI383" s="3"/>
      <c r="BJ383" s="3"/>
    </row>
    <row r="384" ht="15.75" customHeight="1">
      <c r="BG384" s="3"/>
      <c r="BH384" s="3"/>
      <c r="BI384" s="3"/>
      <c r="BJ384" s="3"/>
    </row>
    <row r="385" ht="15.75" customHeight="1">
      <c r="BG385" s="3"/>
      <c r="BH385" s="3"/>
      <c r="BI385" s="3"/>
      <c r="BJ385" s="3"/>
    </row>
    <row r="386" ht="15.75" customHeight="1">
      <c r="BG386" s="3"/>
      <c r="BH386" s="3"/>
      <c r="BI386" s="3"/>
      <c r="BJ386" s="3"/>
    </row>
    <row r="387" ht="15.75" customHeight="1">
      <c r="BG387" s="3"/>
      <c r="BH387" s="3"/>
      <c r="BI387" s="3"/>
      <c r="BJ387" s="3"/>
    </row>
    <row r="388" ht="15.75" customHeight="1">
      <c r="BG388" s="3"/>
      <c r="BH388" s="3"/>
      <c r="BI388" s="3"/>
      <c r="BJ388" s="3"/>
    </row>
    <row r="389" ht="15.75" customHeight="1">
      <c r="BG389" s="3"/>
      <c r="BH389" s="3"/>
      <c r="BI389" s="3"/>
      <c r="BJ389" s="3"/>
    </row>
    <row r="390" ht="15.75" customHeight="1">
      <c r="BG390" s="3"/>
      <c r="BH390" s="3"/>
      <c r="BI390" s="3"/>
      <c r="BJ390" s="3"/>
    </row>
    <row r="391" ht="15.75" customHeight="1">
      <c r="BG391" s="3"/>
      <c r="BH391" s="3"/>
      <c r="BI391" s="3"/>
      <c r="BJ391" s="3"/>
    </row>
    <row r="392" ht="15.75" customHeight="1">
      <c r="BG392" s="3"/>
      <c r="BH392" s="3"/>
      <c r="BI392" s="3"/>
      <c r="BJ392" s="3"/>
    </row>
    <row r="393" ht="15.75" customHeight="1">
      <c r="BG393" s="3"/>
      <c r="BH393" s="3"/>
      <c r="BI393" s="3"/>
      <c r="BJ393" s="3"/>
    </row>
    <row r="394" ht="15.75" customHeight="1">
      <c r="BG394" s="3"/>
      <c r="BH394" s="3"/>
      <c r="BI394" s="3"/>
      <c r="BJ394" s="3"/>
    </row>
    <row r="395" ht="15.75" customHeight="1">
      <c r="BG395" s="3"/>
      <c r="BH395" s="3"/>
      <c r="BI395" s="3"/>
      <c r="BJ395" s="3"/>
    </row>
    <row r="396" ht="15.75" customHeight="1">
      <c r="BG396" s="3"/>
      <c r="BH396" s="3"/>
      <c r="BI396" s="3"/>
      <c r="BJ396" s="3"/>
    </row>
    <row r="397" ht="15.75" customHeight="1">
      <c r="BG397" s="3"/>
      <c r="BH397" s="3"/>
      <c r="BI397" s="3"/>
      <c r="BJ397" s="3"/>
    </row>
    <row r="398" ht="15.75" customHeight="1">
      <c r="BG398" s="3"/>
      <c r="BH398" s="3"/>
      <c r="BI398" s="3"/>
      <c r="BJ398" s="3"/>
    </row>
    <row r="399" ht="15.75" customHeight="1">
      <c r="BG399" s="3"/>
      <c r="BH399" s="3"/>
      <c r="BI399" s="3"/>
      <c r="BJ399" s="3"/>
    </row>
    <row r="400" ht="15.75" customHeight="1">
      <c r="BG400" s="3"/>
      <c r="BH400" s="3"/>
      <c r="BI400" s="3"/>
      <c r="BJ400" s="3"/>
    </row>
    <row r="401" ht="15.75" customHeight="1">
      <c r="BG401" s="3"/>
      <c r="BH401" s="3"/>
      <c r="BI401" s="3"/>
      <c r="BJ401" s="3"/>
    </row>
    <row r="402" ht="15.75" customHeight="1">
      <c r="BG402" s="3"/>
      <c r="BH402" s="3"/>
      <c r="BI402" s="3"/>
      <c r="BJ402" s="3"/>
    </row>
    <row r="403" ht="15.75" customHeight="1">
      <c r="BG403" s="3"/>
      <c r="BH403" s="3"/>
      <c r="BI403" s="3"/>
      <c r="BJ403" s="3"/>
    </row>
    <row r="404" ht="15.75" customHeight="1">
      <c r="BG404" s="3"/>
      <c r="BH404" s="3"/>
      <c r="BI404" s="3"/>
      <c r="BJ404" s="3"/>
    </row>
    <row r="405" ht="15.75" customHeight="1">
      <c r="BG405" s="3"/>
      <c r="BH405" s="3"/>
      <c r="BI405" s="3"/>
      <c r="BJ405" s="3"/>
    </row>
    <row r="406" ht="15.75" customHeight="1">
      <c r="BG406" s="3"/>
      <c r="BH406" s="3"/>
      <c r="BI406" s="3"/>
      <c r="BJ406" s="3"/>
    </row>
    <row r="407" ht="15.75" customHeight="1">
      <c r="BG407" s="3"/>
      <c r="BH407" s="3"/>
      <c r="BI407" s="3"/>
      <c r="BJ407" s="3"/>
    </row>
    <row r="408" ht="15.75" customHeight="1">
      <c r="BG408" s="3"/>
      <c r="BH408" s="3"/>
      <c r="BI408" s="3"/>
      <c r="BJ408" s="3"/>
    </row>
    <row r="409" ht="15.75" customHeight="1">
      <c r="BG409" s="3"/>
      <c r="BH409" s="3"/>
      <c r="BI409" s="3"/>
      <c r="BJ409" s="3"/>
    </row>
    <row r="410" ht="15.75" customHeight="1">
      <c r="BG410" s="3"/>
      <c r="BH410" s="3"/>
      <c r="BI410" s="3"/>
      <c r="BJ410" s="3"/>
    </row>
    <row r="411" ht="15.75" customHeight="1">
      <c r="BG411" s="3"/>
      <c r="BH411" s="3"/>
      <c r="BI411" s="3"/>
      <c r="BJ411" s="3"/>
    </row>
    <row r="412" ht="15.75" customHeight="1">
      <c r="BG412" s="3"/>
      <c r="BH412" s="3"/>
      <c r="BI412" s="3"/>
      <c r="BJ412" s="3"/>
    </row>
    <row r="413" ht="15.75" customHeight="1">
      <c r="BG413" s="3"/>
      <c r="BH413" s="3"/>
      <c r="BI413" s="3"/>
      <c r="BJ413" s="3"/>
    </row>
    <row r="414" ht="15.75" customHeight="1">
      <c r="BG414" s="3"/>
      <c r="BH414" s="3"/>
      <c r="BI414" s="3"/>
      <c r="BJ414" s="3"/>
    </row>
    <row r="415" ht="15.75" customHeight="1">
      <c r="BG415" s="3"/>
      <c r="BH415" s="3"/>
      <c r="BI415" s="3"/>
      <c r="BJ415" s="3"/>
    </row>
    <row r="416" ht="15.75" customHeight="1">
      <c r="BG416" s="3"/>
      <c r="BH416" s="3"/>
      <c r="BI416" s="3"/>
      <c r="BJ416" s="3"/>
    </row>
    <row r="417" ht="15.75" customHeight="1">
      <c r="BG417" s="3"/>
      <c r="BH417" s="3"/>
      <c r="BI417" s="3"/>
      <c r="BJ417" s="3"/>
    </row>
    <row r="418" ht="15.75" customHeight="1">
      <c r="BG418" s="3"/>
      <c r="BH418" s="3"/>
      <c r="BI418" s="3"/>
      <c r="BJ418" s="3"/>
    </row>
    <row r="419" ht="15.75" customHeight="1">
      <c r="BG419" s="3"/>
      <c r="BH419" s="3"/>
      <c r="BI419" s="3"/>
      <c r="BJ419" s="3"/>
    </row>
    <row r="420" ht="15.75" customHeight="1">
      <c r="BG420" s="3"/>
      <c r="BH420" s="3"/>
      <c r="BI420" s="3"/>
      <c r="BJ420" s="3"/>
    </row>
    <row r="421" ht="15.75" customHeight="1">
      <c r="BG421" s="3"/>
      <c r="BH421" s="3"/>
      <c r="BI421" s="3"/>
      <c r="BJ421" s="3"/>
    </row>
    <row r="422" ht="15.75" customHeight="1">
      <c r="BG422" s="3"/>
      <c r="BH422" s="3"/>
      <c r="BI422" s="3"/>
      <c r="BJ422" s="3"/>
    </row>
    <row r="423" ht="15.75" customHeight="1">
      <c r="BG423" s="3"/>
      <c r="BH423" s="3"/>
      <c r="BI423" s="3"/>
      <c r="BJ423" s="3"/>
    </row>
    <row r="424" ht="15.75" customHeight="1">
      <c r="BG424" s="3"/>
      <c r="BH424" s="3"/>
      <c r="BI424" s="3"/>
      <c r="BJ424" s="3"/>
    </row>
    <row r="425" ht="15.75" customHeight="1">
      <c r="BG425" s="3"/>
      <c r="BH425" s="3"/>
      <c r="BI425" s="3"/>
      <c r="BJ425" s="3"/>
    </row>
    <row r="426" ht="15.75" customHeight="1">
      <c r="BG426" s="3"/>
      <c r="BH426" s="3"/>
      <c r="BI426" s="3"/>
      <c r="BJ426" s="3"/>
    </row>
    <row r="427" ht="15.75" customHeight="1">
      <c r="BG427" s="3"/>
      <c r="BH427" s="3"/>
      <c r="BI427" s="3"/>
      <c r="BJ427" s="3"/>
    </row>
    <row r="428" ht="15.75" customHeight="1">
      <c r="BG428" s="3"/>
      <c r="BH428" s="3"/>
      <c r="BI428" s="3"/>
      <c r="BJ428" s="3"/>
    </row>
    <row r="429" ht="15.75" customHeight="1">
      <c r="BG429" s="3"/>
      <c r="BH429" s="3"/>
      <c r="BI429" s="3"/>
      <c r="BJ429" s="3"/>
    </row>
    <row r="430" ht="15.75" customHeight="1">
      <c r="BG430" s="3"/>
      <c r="BH430" s="3"/>
      <c r="BI430" s="3"/>
      <c r="BJ430" s="3"/>
    </row>
    <row r="431" ht="15.75" customHeight="1">
      <c r="BG431" s="3"/>
      <c r="BH431" s="3"/>
      <c r="BI431" s="3"/>
      <c r="BJ431" s="3"/>
    </row>
    <row r="432" ht="15.75" customHeight="1">
      <c r="BG432" s="3"/>
      <c r="BH432" s="3"/>
      <c r="BI432" s="3"/>
      <c r="BJ432" s="3"/>
    </row>
    <row r="433" ht="15.75" customHeight="1">
      <c r="BG433" s="3"/>
      <c r="BH433" s="3"/>
      <c r="BI433" s="3"/>
      <c r="BJ433" s="3"/>
    </row>
    <row r="434" ht="15.75" customHeight="1">
      <c r="BG434" s="3"/>
      <c r="BH434" s="3"/>
      <c r="BI434" s="3"/>
      <c r="BJ434" s="3"/>
    </row>
    <row r="435" ht="15.75" customHeight="1">
      <c r="BG435" s="3"/>
      <c r="BH435" s="3"/>
      <c r="BI435" s="3"/>
      <c r="BJ435" s="3"/>
    </row>
    <row r="436" ht="15.75" customHeight="1">
      <c r="BG436" s="3"/>
      <c r="BH436" s="3"/>
      <c r="BI436" s="3"/>
      <c r="BJ436" s="3"/>
    </row>
    <row r="437" ht="15.75" customHeight="1">
      <c r="BG437" s="3"/>
      <c r="BH437" s="3"/>
      <c r="BI437" s="3"/>
      <c r="BJ437" s="3"/>
    </row>
    <row r="438" ht="15.75" customHeight="1">
      <c r="BG438" s="3"/>
      <c r="BH438" s="3"/>
      <c r="BI438" s="3"/>
      <c r="BJ438" s="3"/>
    </row>
    <row r="439" ht="15.75" customHeight="1">
      <c r="BG439" s="3"/>
      <c r="BH439" s="3"/>
      <c r="BI439" s="3"/>
      <c r="BJ439" s="3"/>
    </row>
    <row r="440" ht="15.75" customHeight="1">
      <c r="BG440" s="3"/>
      <c r="BH440" s="3"/>
      <c r="BI440" s="3"/>
      <c r="BJ440" s="3"/>
    </row>
    <row r="441" ht="15.75" customHeight="1">
      <c r="BG441" s="3"/>
      <c r="BH441" s="3"/>
      <c r="BI441" s="3"/>
      <c r="BJ441" s="3"/>
    </row>
    <row r="442" ht="15.75" customHeight="1">
      <c r="BG442" s="3"/>
      <c r="BH442" s="3"/>
      <c r="BI442" s="3"/>
      <c r="BJ442" s="3"/>
    </row>
    <row r="443" ht="15.75" customHeight="1">
      <c r="BG443" s="3"/>
      <c r="BH443" s="3"/>
      <c r="BI443" s="3"/>
      <c r="BJ443" s="3"/>
    </row>
    <row r="444" ht="15.75" customHeight="1">
      <c r="BG444" s="3"/>
      <c r="BH444" s="3"/>
      <c r="BI444" s="3"/>
      <c r="BJ444" s="3"/>
    </row>
    <row r="445" ht="15.75" customHeight="1">
      <c r="BG445" s="3"/>
      <c r="BH445" s="3"/>
      <c r="BI445" s="3"/>
      <c r="BJ445" s="3"/>
    </row>
    <row r="446" ht="15.75" customHeight="1">
      <c r="BG446" s="3"/>
      <c r="BH446" s="3"/>
      <c r="BI446" s="3"/>
      <c r="BJ446" s="3"/>
    </row>
    <row r="447" ht="15.75" customHeight="1">
      <c r="BG447" s="3"/>
      <c r="BH447" s="3"/>
      <c r="BI447" s="3"/>
      <c r="BJ447" s="3"/>
    </row>
    <row r="448" ht="15.75" customHeight="1">
      <c r="BG448" s="3"/>
      <c r="BH448" s="3"/>
      <c r="BI448" s="3"/>
      <c r="BJ448" s="3"/>
    </row>
    <row r="449" ht="15.75" customHeight="1">
      <c r="BG449" s="3"/>
      <c r="BH449" s="3"/>
      <c r="BI449" s="3"/>
      <c r="BJ449" s="3"/>
    </row>
    <row r="450" ht="15.75" customHeight="1">
      <c r="BG450" s="3"/>
      <c r="BH450" s="3"/>
      <c r="BI450" s="3"/>
      <c r="BJ450" s="3"/>
    </row>
    <row r="451" ht="15.75" customHeight="1">
      <c r="BG451" s="3"/>
      <c r="BH451" s="3"/>
      <c r="BI451" s="3"/>
      <c r="BJ451" s="3"/>
    </row>
    <row r="452" ht="15.75" customHeight="1">
      <c r="BG452" s="3"/>
      <c r="BH452" s="3"/>
      <c r="BI452" s="3"/>
      <c r="BJ452" s="3"/>
    </row>
    <row r="453" ht="15.75" customHeight="1">
      <c r="BG453" s="3"/>
      <c r="BH453" s="3"/>
      <c r="BI453" s="3"/>
      <c r="BJ453" s="3"/>
    </row>
    <row r="454" ht="15.75" customHeight="1">
      <c r="BG454" s="3"/>
      <c r="BH454" s="3"/>
      <c r="BI454" s="3"/>
      <c r="BJ454" s="3"/>
    </row>
    <row r="455" ht="15.75" customHeight="1">
      <c r="BG455" s="3"/>
      <c r="BH455" s="3"/>
      <c r="BI455" s="3"/>
      <c r="BJ455" s="3"/>
    </row>
    <row r="456" ht="15.75" customHeight="1">
      <c r="BG456" s="3"/>
      <c r="BH456" s="3"/>
      <c r="BI456" s="3"/>
      <c r="BJ456" s="3"/>
    </row>
    <row r="457" ht="15.75" customHeight="1">
      <c r="BG457" s="3"/>
      <c r="BH457" s="3"/>
      <c r="BI457" s="3"/>
      <c r="BJ457" s="3"/>
    </row>
    <row r="458" ht="15.75" customHeight="1">
      <c r="BG458" s="3"/>
      <c r="BH458" s="3"/>
      <c r="BI458" s="3"/>
      <c r="BJ458" s="3"/>
    </row>
    <row r="459" ht="15.75" customHeight="1">
      <c r="BG459" s="3"/>
      <c r="BH459" s="3"/>
      <c r="BI459" s="3"/>
      <c r="BJ459" s="3"/>
    </row>
    <row r="460" ht="15.75" customHeight="1">
      <c r="BG460" s="3"/>
      <c r="BH460" s="3"/>
      <c r="BI460" s="3"/>
      <c r="BJ460" s="3"/>
    </row>
    <row r="461" ht="15.75" customHeight="1">
      <c r="BG461" s="3"/>
      <c r="BH461" s="3"/>
      <c r="BI461" s="3"/>
      <c r="BJ461" s="3"/>
    </row>
    <row r="462" ht="15.75" customHeight="1">
      <c r="BG462" s="3"/>
      <c r="BH462" s="3"/>
      <c r="BI462" s="3"/>
      <c r="BJ462" s="3"/>
    </row>
    <row r="463" ht="15.75" customHeight="1">
      <c r="BG463" s="3"/>
      <c r="BH463" s="3"/>
      <c r="BI463" s="3"/>
      <c r="BJ463" s="3"/>
    </row>
    <row r="464" ht="15.75" customHeight="1">
      <c r="BG464" s="3"/>
      <c r="BH464" s="3"/>
      <c r="BI464" s="3"/>
      <c r="BJ464" s="3"/>
    </row>
    <row r="465" ht="15.75" customHeight="1">
      <c r="BG465" s="3"/>
      <c r="BH465" s="3"/>
      <c r="BI465" s="3"/>
      <c r="BJ465" s="3"/>
    </row>
    <row r="466" ht="15.75" customHeight="1">
      <c r="BG466" s="3"/>
      <c r="BH466" s="3"/>
      <c r="BI466" s="3"/>
      <c r="BJ466" s="3"/>
    </row>
    <row r="467" ht="15.75" customHeight="1">
      <c r="BG467" s="3"/>
      <c r="BH467" s="3"/>
      <c r="BI467" s="3"/>
      <c r="BJ467" s="3"/>
    </row>
    <row r="468" ht="15.75" customHeight="1">
      <c r="BG468" s="3"/>
      <c r="BH468" s="3"/>
      <c r="BI468" s="3"/>
      <c r="BJ468" s="3"/>
    </row>
    <row r="469" ht="15.75" customHeight="1">
      <c r="BG469" s="3"/>
      <c r="BH469" s="3"/>
      <c r="BI469" s="3"/>
      <c r="BJ469" s="3"/>
    </row>
    <row r="470" ht="15.75" customHeight="1">
      <c r="BG470" s="3"/>
      <c r="BH470" s="3"/>
      <c r="BI470" s="3"/>
      <c r="BJ470" s="3"/>
    </row>
    <row r="471" ht="15.75" customHeight="1">
      <c r="BG471" s="3"/>
      <c r="BH471" s="3"/>
      <c r="BI471" s="3"/>
      <c r="BJ471" s="3"/>
    </row>
    <row r="472" ht="15.75" customHeight="1">
      <c r="BG472" s="3"/>
      <c r="BH472" s="3"/>
      <c r="BI472" s="3"/>
      <c r="BJ472" s="3"/>
    </row>
    <row r="473" ht="15.75" customHeight="1">
      <c r="BG473" s="3"/>
      <c r="BH473" s="3"/>
      <c r="BI473" s="3"/>
      <c r="BJ473" s="3"/>
    </row>
    <row r="474" ht="15.75" customHeight="1">
      <c r="BG474" s="3"/>
      <c r="BH474" s="3"/>
      <c r="BI474" s="3"/>
      <c r="BJ474" s="3"/>
    </row>
    <row r="475" ht="15.75" customHeight="1">
      <c r="BG475" s="3"/>
      <c r="BH475" s="3"/>
      <c r="BI475" s="3"/>
      <c r="BJ475" s="3"/>
    </row>
    <row r="476" ht="15.75" customHeight="1">
      <c r="BG476" s="3"/>
      <c r="BH476" s="3"/>
      <c r="BI476" s="3"/>
      <c r="BJ476" s="3"/>
    </row>
    <row r="477" ht="15.75" customHeight="1">
      <c r="BG477" s="3"/>
      <c r="BH477" s="3"/>
      <c r="BI477" s="3"/>
      <c r="BJ477" s="3"/>
    </row>
    <row r="478" ht="15.75" customHeight="1">
      <c r="BG478" s="3"/>
      <c r="BH478" s="3"/>
      <c r="BI478" s="3"/>
      <c r="BJ478" s="3"/>
    </row>
    <row r="479" ht="15.75" customHeight="1">
      <c r="BG479" s="3"/>
      <c r="BH479" s="3"/>
      <c r="BI479" s="3"/>
      <c r="BJ479" s="3"/>
    </row>
    <row r="480" ht="15.75" customHeight="1">
      <c r="BG480" s="3"/>
      <c r="BH480" s="3"/>
      <c r="BI480" s="3"/>
      <c r="BJ480" s="3"/>
    </row>
    <row r="481" ht="15.75" customHeight="1">
      <c r="BG481" s="3"/>
      <c r="BH481" s="3"/>
      <c r="BI481" s="3"/>
      <c r="BJ481" s="3"/>
    </row>
    <row r="482" ht="15.75" customHeight="1">
      <c r="BG482" s="3"/>
      <c r="BH482" s="3"/>
      <c r="BI482" s="3"/>
      <c r="BJ482" s="3"/>
    </row>
    <row r="483" ht="15.75" customHeight="1">
      <c r="BG483" s="3"/>
      <c r="BH483" s="3"/>
      <c r="BI483" s="3"/>
      <c r="BJ483" s="3"/>
    </row>
    <row r="484" ht="15.75" customHeight="1">
      <c r="BG484" s="3"/>
      <c r="BH484" s="3"/>
      <c r="BI484" s="3"/>
      <c r="BJ484" s="3"/>
    </row>
    <row r="485" ht="15.75" customHeight="1">
      <c r="BG485" s="3"/>
      <c r="BH485" s="3"/>
      <c r="BI485" s="3"/>
      <c r="BJ485" s="3"/>
    </row>
    <row r="486" ht="15.75" customHeight="1">
      <c r="BG486" s="3"/>
      <c r="BH486" s="3"/>
      <c r="BI486" s="3"/>
      <c r="BJ486" s="3"/>
    </row>
    <row r="487" ht="15.75" customHeight="1">
      <c r="BG487" s="3"/>
      <c r="BH487" s="3"/>
      <c r="BI487" s="3"/>
      <c r="BJ487" s="3"/>
    </row>
    <row r="488" ht="15.75" customHeight="1">
      <c r="BG488" s="3"/>
      <c r="BH488" s="3"/>
      <c r="BI488" s="3"/>
      <c r="BJ488" s="3"/>
    </row>
    <row r="489" ht="15.75" customHeight="1">
      <c r="BG489" s="3"/>
      <c r="BH489" s="3"/>
      <c r="BI489" s="3"/>
      <c r="BJ489" s="3"/>
    </row>
    <row r="490" ht="15.75" customHeight="1">
      <c r="BG490" s="3"/>
      <c r="BH490" s="3"/>
      <c r="BI490" s="3"/>
      <c r="BJ490" s="3"/>
    </row>
    <row r="491" ht="15.75" customHeight="1">
      <c r="BG491" s="3"/>
      <c r="BH491" s="3"/>
      <c r="BI491" s="3"/>
      <c r="BJ491" s="3"/>
    </row>
    <row r="492" ht="15.75" customHeight="1">
      <c r="BG492" s="3"/>
      <c r="BH492" s="3"/>
      <c r="BI492" s="3"/>
      <c r="BJ492" s="3"/>
    </row>
    <row r="493" ht="15.75" customHeight="1">
      <c r="BG493" s="3"/>
      <c r="BH493" s="3"/>
      <c r="BI493" s="3"/>
      <c r="BJ493" s="3"/>
    </row>
    <row r="494" ht="15.75" customHeight="1">
      <c r="BG494" s="3"/>
      <c r="BH494" s="3"/>
      <c r="BI494" s="3"/>
      <c r="BJ494" s="3"/>
    </row>
    <row r="495" ht="15.75" customHeight="1">
      <c r="BG495" s="3"/>
      <c r="BH495" s="3"/>
      <c r="BI495" s="3"/>
      <c r="BJ495" s="3"/>
    </row>
    <row r="496" ht="15.75" customHeight="1">
      <c r="BG496" s="3"/>
      <c r="BH496" s="3"/>
      <c r="BI496" s="3"/>
      <c r="BJ496" s="3"/>
    </row>
    <row r="497" ht="15.75" customHeight="1">
      <c r="BG497" s="3"/>
      <c r="BH497" s="3"/>
      <c r="BI497" s="3"/>
      <c r="BJ497" s="3"/>
    </row>
    <row r="498" ht="15.75" customHeight="1">
      <c r="BG498" s="3"/>
      <c r="BH498" s="3"/>
      <c r="BI498" s="3"/>
      <c r="BJ498" s="3"/>
    </row>
    <row r="499" ht="15.75" customHeight="1">
      <c r="BG499" s="3"/>
      <c r="BH499" s="3"/>
      <c r="BI499" s="3"/>
      <c r="BJ499" s="3"/>
    </row>
    <row r="500" ht="15.75" customHeight="1">
      <c r="BG500" s="3"/>
      <c r="BH500" s="3"/>
      <c r="BI500" s="3"/>
      <c r="BJ500" s="3"/>
    </row>
    <row r="501" ht="15.75" customHeight="1">
      <c r="BG501" s="3"/>
      <c r="BH501" s="3"/>
      <c r="BI501" s="3"/>
      <c r="BJ501" s="3"/>
    </row>
    <row r="502" ht="15.75" customHeight="1">
      <c r="BG502" s="3"/>
      <c r="BH502" s="3"/>
      <c r="BI502" s="3"/>
      <c r="BJ502" s="3"/>
    </row>
    <row r="503" ht="15.75" customHeight="1">
      <c r="BG503" s="3"/>
      <c r="BH503" s="3"/>
      <c r="BI503" s="3"/>
      <c r="BJ503" s="3"/>
    </row>
    <row r="504" ht="15.75" customHeight="1">
      <c r="BG504" s="3"/>
      <c r="BH504" s="3"/>
      <c r="BI504" s="3"/>
      <c r="BJ504" s="3"/>
    </row>
    <row r="505" ht="15.75" customHeight="1">
      <c r="BG505" s="3"/>
      <c r="BH505" s="3"/>
      <c r="BI505" s="3"/>
      <c r="BJ505" s="3"/>
    </row>
    <row r="506" ht="15.75" customHeight="1">
      <c r="BG506" s="3"/>
      <c r="BH506" s="3"/>
      <c r="BI506" s="3"/>
      <c r="BJ506" s="3"/>
    </row>
    <row r="507" ht="15.75" customHeight="1">
      <c r="BG507" s="3"/>
      <c r="BH507" s="3"/>
      <c r="BI507" s="3"/>
      <c r="BJ507" s="3"/>
    </row>
    <row r="508" ht="15.75" customHeight="1">
      <c r="BG508" s="3"/>
      <c r="BH508" s="3"/>
      <c r="BI508" s="3"/>
      <c r="BJ508" s="3"/>
    </row>
    <row r="509" ht="15.75" customHeight="1">
      <c r="BG509" s="3"/>
      <c r="BH509" s="3"/>
      <c r="BI509" s="3"/>
      <c r="BJ509" s="3"/>
    </row>
    <row r="510" ht="15.75" customHeight="1">
      <c r="BG510" s="3"/>
      <c r="BH510" s="3"/>
      <c r="BI510" s="3"/>
      <c r="BJ510" s="3"/>
    </row>
    <row r="511" ht="15.75" customHeight="1">
      <c r="BG511" s="3"/>
      <c r="BH511" s="3"/>
      <c r="BI511" s="3"/>
      <c r="BJ511" s="3"/>
    </row>
    <row r="512" ht="15.75" customHeight="1">
      <c r="BG512" s="3"/>
      <c r="BH512" s="3"/>
      <c r="BI512" s="3"/>
      <c r="BJ512" s="3"/>
    </row>
    <row r="513" ht="15.75" customHeight="1">
      <c r="BG513" s="3"/>
      <c r="BH513" s="3"/>
      <c r="BI513" s="3"/>
      <c r="BJ513" s="3"/>
    </row>
    <row r="514" ht="15.75" customHeight="1">
      <c r="BG514" s="3"/>
      <c r="BH514" s="3"/>
      <c r="BI514" s="3"/>
      <c r="BJ514" s="3"/>
    </row>
    <row r="515" ht="15.75" customHeight="1">
      <c r="BG515" s="3"/>
      <c r="BH515" s="3"/>
      <c r="BI515" s="3"/>
      <c r="BJ515" s="3"/>
    </row>
    <row r="516" ht="15.75" customHeight="1">
      <c r="BG516" s="3"/>
      <c r="BH516" s="3"/>
      <c r="BI516" s="3"/>
      <c r="BJ516" s="3"/>
    </row>
    <row r="517" ht="15.75" customHeight="1">
      <c r="BG517" s="3"/>
      <c r="BH517" s="3"/>
      <c r="BI517" s="3"/>
      <c r="BJ517" s="3"/>
    </row>
    <row r="518" ht="15.75" customHeight="1">
      <c r="BG518" s="3"/>
      <c r="BH518" s="3"/>
      <c r="BI518" s="3"/>
      <c r="BJ518" s="3"/>
    </row>
    <row r="519" ht="15.75" customHeight="1">
      <c r="BG519" s="3"/>
      <c r="BH519" s="3"/>
      <c r="BI519" s="3"/>
      <c r="BJ519" s="3"/>
    </row>
    <row r="520" ht="15.75" customHeight="1">
      <c r="BG520" s="3"/>
      <c r="BH520" s="3"/>
      <c r="BI520" s="3"/>
      <c r="BJ520" s="3"/>
    </row>
    <row r="521" ht="15.75" customHeight="1">
      <c r="BG521" s="3"/>
      <c r="BH521" s="3"/>
      <c r="BI521" s="3"/>
      <c r="BJ521" s="3"/>
    </row>
    <row r="522" ht="15.75" customHeight="1">
      <c r="BG522" s="3"/>
      <c r="BH522" s="3"/>
      <c r="BI522" s="3"/>
      <c r="BJ522" s="3"/>
    </row>
    <row r="523" ht="15.75" customHeight="1">
      <c r="BG523" s="3"/>
      <c r="BH523" s="3"/>
      <c r="BI523" s="3"/>
      <c r="BJ523" s="3"/>
    </row>
    <row r="524" ht="15.75" customHeight="1">
      <c r="BG524" s="3"/>
      <c r="BH524" s="3"/>
      <c r="BI524" s="3"/>
      <c r="BJ524" s="3"/>
    </row>
    <row r="525" ht="15.75" customHeight="1">
      <c r="BG525" s="3"/>
      <c r="BH525" s="3"/>
      <c r="BI525" s="3"/>
      <c r="BJ525" s="3"/>
    </row>
    <row r="526" ht="15.75" customHeight="1">
      <c r="BG526" s="3"/>
      <c r="BH526" s="3"/>
      <c r="BI526" s="3"/>
      <c r="BJ526" s="3"/>
    </row>
    <row r="527" ht="15.75" customHeight="1">
      <c r="BG527" s="3"/>
      <c r="BH527" s="3"/>
      <c r="BI527" s="3"/>
      <c r="BJ527" s="3"/>
    </row>
    <row r="528" ht="15.75" customHeight="1">
      <c r="BG528" s="3"/>
      <c r="BH528" s="3"/>
      <c r="BI528" s="3"/>
      <c r="BJ528" s="3"/>
    </row>
    <row r="529" ht="15.75" customHeight="1">
      <c r="BG529" s="3"/>
      <c r="BH529" s="3"/>
      <c r="BI529" s="3"/>
      <c r="BJ529" s="3"/>
    </row>
    <row r="530" ht="15.75" customHeight="1">
      <c r="BG530" s="3"/>
      <c r="BH530" s="3"/>
      <c r="BI530" s="3"/>
      <c r="BJ530" s="3"/>
    </row>
    <row r="531" ht="15.75" customHeight="1">
      <c r="BG531" s="3"/>
      <c r="BH531" s="3"/>
      <c r="BI531" s="3"/>
      <c r="BJ531" s="3"/>
    </row>
    <row r="532" ht="15.75" customHeight="1">
      <c r="BG532" s="3"/>
      <c r="BH532" s="3"/>
      <c r="BI532" s="3"/>
      <c r="BJ532" s="3"/>
    </row>
    <row r="533" ht="15.75" customHeight="1">
      <c r="BG533" s="3"/>
      <c r="BH533" s="3"/>
      <c r="BI533" s="3"/>
      <c r="BJ533" s="3"/>
    </row>
    <row r="534" ht="15.75" customHeight="1">
      <c r="BG534" s="3"/>
      <c r="BH534" s="3"/>
      <c r="BI534" s="3"/>
      <c r="BJ534" s="3"/>
    </row>
    <row r="535" ht="15.75" customHeight="1">
      <c r="BG535" s="3"/>
      <c r="BH535" s="3"/>
      <c r="BI535" s="3"/>
      <c r="BJ535" s="3"/>
    </row>
    <row r="536" ht="15.75" customHeight="1">
      <c r="BG536" s="3"/>
      <c r="BH536" s="3"/>
      <c r="BI536" s="3"/>
      <c r="BJ536" s="3"/>
    </row>
    <row r="537" ht="15.75" customHeight="1">
      <c r="BG537" s="3"/>
      <c r="BH537" s="3"/>
      <c r="BI537" s="3"/>
      <c r="BJ537" s="3"/>
    </row>
    <row r="538" ht="15.75" customHeight="1">
      <c r="BG538" s="3"/>
      <c r="BH538" s="3"/>
      <c r="BI538" s="3"/>
      <c r="BJ538" s="3"/>
    </row>
    <row r="539" ht="15.75" customHeight="1">
      <c r="BG539" s="3"/>
      <c r="BH539" s="3"/>
      <c r="BI539" s="3"/>
      <c r="BJ539" s="3"/>
    </row>
    <row r="540" ht="15.75" customHeight="1">
      <c r="BG540" s="3"/>
      <c r="BH540" s="3"/>
      <c r="BI540" s="3"/>
      <c r="BJ540" s="3"/>
    </row>
    <row r="541" ht="15.75" customHeight="1">
      <c r="BG541" s="3"/>
      <c r="BH541" s="3"/>
      <c r="BI541" s="3"/>
      <c r="BJ541" s="3"/>
    </row>
    <row r="542" ht="15.75" customHeight="1">
      <c r="BG542" s="3"/>
      <c r="BH542" s="3"/>
      <c r="BI542" s="3"/>
      <c r="BJ542" s="3"/>
    </row>
    <row r="543" ht="15.75" customHeight="1">
      <c r="BG543" s="3"/>
      <c r="BH543" s="3"/>
      <c r="BI543" s="3"/>
      <c r="BJ543" s="3"/>
    </row>
    <row r="544" ht="15.75" customHeight="1">
      <c r="BG544" s="3"/>
      <c r="BH544" s="3"/>
      <c r="BI544" s="3"/>
      <c r="BJ544" s="3"/>
    </row>
    <row r="545" ht="15.75" customHeight="1">
      <c r="BG545" s="3"/>
      <c r="BH545" s="3"/>
      <c r="BI545" s="3"/>
      <c r="BJ545" s="3"/>
    </row>
    <row r="546" ht="15.75" customHeight="1">
      <c r="BG546" s="3"/>
      <c r="BH546" s="3"/>
      <c r="BI546" s="3"/>
      <c r="BJ546" s="3"/>
    </row>
    <row r="547" ht="15.75" customHeight="1">
      <c r="BG547" s="3"/>
      <c r="BH547" s="3"/>
      <c r="BI547" s="3"/>
      <c r="BJ547" s="3"/>
    </row>
    <row r="548" ht="15.75" customHeight="1">
      <c r="BG548" s="3"/>
      <c r="BH548" s="3"/>
      <c r="BI548" s="3"/>
      <c r="BJ548" s="3"/>
    </row>
    <row r="549" ht="15.75" customHeight="1">
      <c r="BG549" s="3"/>
      <c r="BH549" s="3"/>
      <c r="BI549" s="3"/>
      <c r="BJ549" s="3"/>
    </row>
    <row r="550" ht="15.75" customHeight="1">
      <c r="BG550" s="3"/>
      <c r="BH550" s="3"/>
      <c r="BI550" s="3"/>
      <c r="BJ550" s="3"/>
    </row>
    <row r="551" ht="15.75" customHeight="1">
      <c r="BG551" s="3"/>
      <c r="BH551" s="3"/>
      <c r="BI551" s="3"/>
      <c r="BJ551" s="3"/>
    </row>
    <row r="552" ht="15.75" customHeight="1">
      <c r="BG552" s="3"/>
      <c r="BH552" s="3"/>
      <c r="BI552" s="3"/>
      <c r="BJ552" s="3"/>
    </row>
    <row r="553" ht="15.75" customHeight="1">
      <c r="BG553" s="3"/>
      <c r="BH553" s="3"/>
      <c r="BI553" s="3"/>
      <c r="BJ553" s="3"/>
    </row>
    <row r="554" ht="15.75" customHeight="1">
      <c r="BG554" s="3"/>
      <c r="BH554" s="3"/>
      <c r="BI554" s="3"/>
      <c r="BJ554" s="3"/>
    </row>
    <row r="555" ht="15.75" customHeight="1">
      <c r="BG555" s="3"/>
      <c r="BH555" s="3"/>
      <c r="BI555" s="3"/>
      <c r="BJ555" s="3"/>
    </row>
    <row r="556" ht="15.75" customHeight="1">
      <c r="BG556" s="3"/>
      <c r="BH556" s="3"/>
      <c r="BI556" s="3"/>
      <c r="BJ556" s="3"/>
    </row>
    <row r="557" ht="15.75" customHeight="1">
      <c r="BG557" s="3"/>
      <c r="BH557" s="3"/>
      <c r="BI557" s="3"/>
      <c r="BJ557" s="3"/>
    </row>
    <row r="558" ht="15.75" customHeight="1">
      <c r="BG558" s="3"/>
      <c r="BH558" s="3"/>
      <c r="BI558" s="3"/>
      <c r="BJ558" s="3"/>
    </row>
    <row r="559" ht="15.75" customHeight="1">
      <c r="BG559" s="3"/>
      <c r="BH559" s="3"/>
      <c r="BI559" s="3"/>
      <c r="BJ559" s="3"/>
    </row>
    <row r="560" ht="15.75" customHeight="1">
      <c r="BG560" s="3"/>
      <c r="BH560" s="3"/>
      <c r="BI560" s="3"/>
      <c r="BJ560" s="3"/>
    </row>
    <row r="561" ht="15.75" customHeight="1">
      <c r="BG561" s="3"/>
      <c r="BH561" s="3"/>
      <c r="BI561" s="3"/>
      <c r="BJ561" s="3"/>
    </row>
    <row r="562" ht="15.75" customHeight="1">
      <c r="BG562" s="3"/>
      <c r="BH562" s="3"/>
      <c r="BI562" s="3"/>
      <c r="BJ562" s="3"/>
    </row>
    <row r="563" ht="15.75" customHeight="1">
      <c r="BG563" s="3"/>
      <c r="BH563" s="3"/>
      <c r="BI563" s="3"/>
      <c r="BJ563" s="3"/>
    </row>
    <row r="564" ht="15.75" customHeight="1">
      <c r="BG564" s="3"/>
      <c r="BH564" s="3"/>
      <c r="BI564" s="3"/>
      <c r="BJ564" s="3"/>
    </row>
    <row r="565" ht="15.75" customHeight="1">
      <c r="BG565" s="3"/>
      <c r="BH565" s="3"/>
      <c r="BI565" s="3"/>
      <c r="BJ565" s="3"/>
    </row>
    <row r="566" ht="15.75" customHeight="1">
      <c r="BG566" s="3"/>
      <c r="BH566" s="3"/>
      <c r="BI566" s="3"/>
      <c r="BJ566" s="3"/>
    </row>
    <row r="567" ht="15.75" customHeight="1">
      <c r="BG567" s="3"/>
      <c r="BH567" s="3"/>
      <c r="BI567" s="3"/>
      <c r="BJ567" s="3"/>
    </row>
    <row r="568" ht="15.75" customHeight="1">
      <c r="BG568" s="3"/>
      <c r="BH568" s="3"/>
      <c r="BI568" s="3"/>
      <c r="BJ568" s="3"/>
    </row>
    <row r="569" ht="15.75" customHeight="1">
      <c r="BG569" s="3"/>
      <c r="BH569" s="3"/>
      <c r="BI569" s="3"/>
      <c r="BJ569" s="3"/>
    </row>
    <row r="570" ht="15.75" customHeight="1">
      <c r="BG570" s="3"/>
      <c r="BH570" s="3"/>
      <c r="BI570" s="3"/>
      <c r="BJ570" s="3"/>
    </row>
    <row r="571" ht="15.75" customHeight="1">
      <c r="BG571" s="3"/>
      <c r="BH571" s="3"/>
      <c r="BI571" s="3"/>
      <c r="BJ571" s="3"/>
    </row>
    <row r="572" ht="15.75" customHeight="1">
      <c r="BG572" s="3"/>
      <c r="BH572" s="3"/>
      <c r="BI572" s="3"/>
      <c r="BJ572" s="3"/>
    </row>
    <row r="573" ht="15.75" customHeight="1">
      <c r="BG573" s="3"/>
      <c r="BH573" s="3"/>
      <c r="BI573" s="3"/>
      <c r="BJ573" s="3"/>
    </row>
    <row r="574" ht="15.75" customHeight="1">
      <c r="BG574" s="3"/>
      <c r="BH574" s="3"/>
      <c r="BI574" s="3"/>
      <c r="BJ574" s="3"/>
    </row>
    <row r="575" ht="15.75" customHeight="1">
      <c r="BG575" s="3"/>
      <c r="BH575" s="3"/>
      <c r="BI575" s="3"/>
      <c r="BJ575" s="3"/>
    </row>
    <row r="576" ht="15.75" customHeight="1">
      <c r="BG576" s="3"/>
      <c r="BH576" s="3"/>
      <c r="BI576" s="3"/>
      <c r="BJ576" s="3"/>
    </row>
    <row r="577" ht="15.75" customHeight="1">
      <c r="BG577" s="3"/>
      <c r="BH577" s="3"/>
      <c r="BI577" s="3"/>
      <c r="BJ577" s="3"/>
    </row>
    <row r="578" ht="15.75" customHeight="1">
      <c r="BG578" s="3"/>
      <c r="BH578" s="3"/>
      <c r="BI578" s="3"/>
      <c r="BJ578" s="3"/>
    </row>
    <row r="579" ht="15.75" customHeight="1">
      <c r="BG579" s="3"/>
      <c r="BH579" s="3"/>
      <c r="BI579" s="3"/>
      <c r="BJ579" s="3"/>
    </row>
    <row r="580" ht="15.75" customHeight="1">
      <c r="BG580" s="3"/>
      <c r="BH580" s="3"/>
      <c r="BI580" s="3"/>
      <c r="BJ580" s="3"/>
    </row>
    <row r="581" ht="15.75" customHeight="1">
      <c r="BG581" s="3"/>
      <c r="BH581" s="3"/>
      <c r="BI581" s="3"/>
      <c r="BJ581" s="3"/>
    </row>
    <row r="582" ht="15.75" customHeight="1">
      <c r="BG582" s="3"/>
      <c r="BH582" s="3"/>
      <c r="BI582" s="3"/>
      <c r="BJ582" s="3"/>
    </row>
    <row r="583" ht="15.75" customHeight="1">
      <c r="BG583" s="3"/>
      <c r="BH583" s="3"/>
      <c r="BI583" s="3"/>
      <c r="BJ583" s="3"/>
    </row>
    <row r="584" ht="15.75" customHeight="1">
      <c r="BG584" s="3"/>
      <c r="BH584" s="3"/>
      <c r="BI584" s="3"/>
      <c r="BJ584" s="3"/>
    </row>
    <row r="585" ht="15.75" customHeight="1">
      <c r="BG585" s="3"/>
      <c r="BH585" s="3"/>
      <c r="BI585" s="3"/>
      <c r="BJ585" s="3"/>
    </row>
    <row r="586" ht="15.75" customHeight="1">
      <c r="BG586" s="3"/>
      <c r="BH586" s="3"/>
      <c r="BI586" s="3"/>
      <c r="BJ586" s="3"/>
    </row>
    <row r="587" ht="15.75" customHeight="1">
      <c r="BG587" s="3"/>
      <c r="BH587" s="3"/>
      <c r="BI587" s="3"/>
      <c r="BJ587" s="3"/>
    </row>
    <row r="588" ht="15.75" customHeight="1">
      <c r="BG588" s="3"/>
      <c r="BH588" s="3"/>
      <c r="BI588" s="3"/>
      <c r="BJ588" s="3"/>
    </row>
    <row r="589" ht="15.75" customHeight="1">
      <c r="BG589" s="3"/>
      <c r="BH589" s="3"/>
      <c r="BI589" s="3"/>
      <c r="BJ589" s="3"/>
    </row>
    <row r="590" ht="15.75" customHeight="1">
      <c r="BG590" s="3"/>
      <c r="BH590" s="3"/>
      <c r="BI590" s="3"/>
      <c r="BJ590" s="3"/>
    </row>
    <row r="591" ht="15.75" customHeight="1">
      <c r="BG591" s="3"/>
      <c r="BH591" s="3"/>
      <c r="BI591" s="3"/>
      <c r="BJ591" s="3"/>
    </row>
    <row r="592" ht="15.75" customHeight="1">
      <c r="BG592" s="3"/>
      <c r="BH592" s="3"/>
      <c r="BI592" s="3"/>
      <c r="BJ592" s="3"/>
    </row>
    <row r="593" ht="15.75" customHeight="1">
      <c r="BG593" s="3"/>
      <c r="BH593" s="3"/>
      <c r="BI593" s="3"/>
      <c r="BJ593" s="3"/>
    </row>
    <row r="594" ht="15.75" customHeight="1">
      <c r="BG594" s="3"/>
      <c r="BH594" s="3"/>
      <c r="BI594" s="3"/>
      <c r="BJ594" s="3"/>
    </row>
    <row r="595" ht="15.75" customHeight="1">
      <c r="BG595" s="3"/>
      <c r="BH595" s="3"/>
      <c r="BI595" s="3"/>
      <c r="BJ595" s="3"/>
    </row>
    <row r="596" ht="15.75" customHeight="1">
      <c r="BG596" s="3"/>
      <c r="BH596" s="3"/>
      <c r="BI596" s="3"/>
      <c r="BJ596" s="3"/>
    </row>
    <row r="597" ht="15.75" customHeight="1">
      <c r="BG597" s="3"/>
      <c r="BH597" s="3"/>
      <c r="BI597" s="3"/>
      <c r="BJ597" s="3"/>
    </row>
    <row r="598" ht="15.75" customHeight="1">
      <c r="BG598" s="3"/>
      <c r="BH598" s="3"/>
      <c r="BI598" s="3"/>
      <c r="BJ598" s="3"/>
    </row>
    <row r="599" ht="15.75" customHeight="1">
      <c r="BG599" s="3"/>
      <c r="BH599" s="3"/>
      <c r="BI599" s="3"/>
      <c r="BJ599" s="3"/>
    </row>
    <row r="600" ht="15.75" customHeight="1">
      <c r="BG600" s="3"/>
      <c r="BH600" s="3"/>
      <c r="BI600" s="3"/>
      <c r="BJ600" s="3"/>
    </row>
    <row r="601" ht="15.75" customHeight="1">
      <c r="BG601" s="3"/>
      <c r="BH601" s="3"/>
      <c r="BI601" s="3"/>
      <c r="BJ601" s="3"/>
    </row>
    <row r="602" ht="15.75" customHeight="1">
      <c r="BG602" s="3"/>
      <c r="BH602" s="3"/>
      <c r="BI602" s="3"/>
      <c r="BJ602" s="3"/>
    </row>
    <row r="603" ht="15.75" customHeight="1">
      <c r="BG603" s="3"/>
      <c r="BH603" s="3"/>
      <c r="BI603" s="3"/>
      <c r="BJ603" s="3"/>
    </row>
    <row r="604" ht="15.75" customHeight="1">
      <c r="BG604" s="3"/>
      <c r="BH604" s="3"/>
      <c r="BI604" s="3"/>
      <c r="BJ604" s="3"/>
    </row>
    <row r="605" ht="15.75" customHeight="1">
      <c r="BG605" s="3"/>
      <c r="BH605" s="3"/>
      <c r="BI605" s="3"/>
      <c r="BJ605" s="3"/>
    </row>
    <row r="606" ht="15.75" customHeight="1">
      <c r="BG606" s="3"/>
      <c r="BH606" s="3"/>
      <c r="BI606" s="3"/>
      <c r="BJ606" s="3"/>
    </row>
    <row r="607" ht="15.75" customHeight="1">
      <c r="BG607" s="3"/>
      <c r="BH607" s="3"/>
      <c r="BI607" s="3"/>
      <c r="BJ607" s="3"/>
    </row>
    <row r="608" ht="15.75" customHeight="1">
      <c r="BG608" s="3"/>
      <c r="BH608" s="3"/>
      <c r="BI608" s="3"/>
      <c r="BJ608" s="3"/>
    </row>
    <row r="609" ht="15.75" customHeight="1">
      <c r="BG609" s="3"/>
      <c r="BH609" s="3"/>
      <c r="BI609" s="3"/>
      <c r="BJ609" s="3"/>
    </row>
    <row r="610" ht="15.75" customHeight="1">
      <c r="BG610" s="3"/>
      <c r="BH610" s="3"/>
      <c r="BI610" s="3"/>
      <c r="BJ610" s="3"/>
    </row>
    <row r="611" ht="15.75" customHeight="1">
      <c r="BG611" s="3"/>
      <c r="BH611" s="3"/>
      <c r="BI611" s="3"/>
      <c r="BJ611" s="3"/>
    </row>
    <row r="612" ht="15.75" customHeight="1">
      <c r="BG612" s="3"/>
      <c r="BH612" s="3"/>
      <c r="BI612" s="3"/>
      <c r="BJ612" s="3"/>
    </row>
    <row r="613" ht="15.75" customHeight="1">
      <c r="BG613" s="3"/>
      <c r="BH613" s="3"/>
      <c r="BI613" s="3"/>
      <c r="BJ613" s="3"/>
    </row>
    <row r="614" ht="15.75" customHeight="1">
      <c r="BG614" s="3"/>
      <c r="BH614" s="3"/>
      <c r="BI614" s="3"/>
      <c r="BJ614" s="3"/>
    </row>
    <row r="615" ht="15.75" customHeight="1">
      <c r="BG615" s="3"/>
      <c r="BH615" s="3"/>
      <c r="BI615" s="3"/>
      <c r="BJ615" s="3"/>
    </row>
    <row r="616" ht="15.75" customHeight="1">
      <c r="BG616" s="3"/>
      <c r="BH616" s="3"/>
      <c r="BI616" s="3"/>
      <c r="BJ616" s="3"/>
    </row>
    <row r="617" ht="15.75" customHeight="1">
      <c r="BG617" s="3"/>
      <c r="BH617" s="3"/>
      <c r="BI617" s="3"/>
      <c r="BJ617" s="3"/>
    </row>
    <row r="618" ht="15.75" customHeight="1">
      <c r="BG618" s="3"/>
      <c r="BH618" s="3"/>
      <c r="BI618" s="3"/>
      <c r="BJ618" s="3"/>
    </row>
    <row r="619" ht="15.75" customHeight="1">
      <c r="BG619" s="3"/>
      <c r="BH619" s="3"/>
      <c r="BI619" s="3"/>
      <c r="BJ619" s="3"/>
    </row>
    <row r="620" ht="15.75" customHeight="1">
      <c r="BG620" s="3"/>
      <c r="BH620" s="3"/>
      <c r="BI620" s="3"/>
      <c r="BJ620" s="3"/>
    </row>
    <row r="621" ht="15.75" customHeight="1">
      <c r="BG621" s="3"/>
      <c r="BH621" s="3"/>
      <c r="BI621" s="3"/>
      <c r="BJ621" s="3"/>
    </row>
    <row r="622" ht="15.75" customHeight="1">
      <c r="BG622" s="3"/>
      <c r="BH622" s="3"/>
      <c r="BI622" s="3"/>
      <c r="BJ622" s="3"/>
    </row>
    <row r="623" ht="15.75" customHeight="1">
      <c r="BG623" s="3"/>
      <c r="BH623" s="3"/>
      <c r="BI623" s="3"/>
      <c r="BJ623" s="3"/>
    </row>
    <row r="624" ht="15.75" customHeight="1">
      <c r="BG624" s="3"/>
      <c r="BH624" s="3"/>
      <c r="BI624" s="3"/>
      <c r="BJ624" s="3"/>
    </row>
    <row r="625" ht="15.75" customHeight="1">
      <c r="BG625" s="3"/>
      <c r="BH625" s="3"/>
      <c r="BI625" s="3"/>
      <c r="BJ625" s="3"/>
    </row>
    <row r="626" ht="15.75" customHeight="1">
      <c r="BG626" s="3"/>
      <c r="BH626" s="3"/>
      <c r="BI626" s="3"/>
      <c r="BJ626" s="3"/>
    </row>
    <row r="627" ht="15.75" customHeight="1">
      <c r="BG627" s="3"/>
      <c r="BH627" s="3"/>
      <c r="BI627" s="3"/>
      <c r="BJ627" s="3"/>
    </row>
    <row r="628" ht="15.75" customHeight="1">
      <c r="BG628" s="3"/>
      <c r="BH628" s="3"/>
      <c r="BI628" s="3"/>
      <c r="BJ628" s="3"/>
    </row>
    <row r="629" ht="15.75" customHeight="1">
      <c r="BG629" s="3"/>
      <c r="BH629" s="3"/>
      <c r="BI629" s="3"/>
      <c r="BJ629" s="3"/>
    </row>
    <row r="630" ht="15.75" customHeight="1">
      <c r="BG630" s="3"/>
      <c r="BH630" s="3"/>
      <c r="BI630" s="3"/>
      <c r="BJ630" s="3"/>
    </row>
    <row r="631" ht="15.75" customHeight="1">
      <c r="BG631" s="3"/>
      <c r="BH631" s="3"/>
      <c r="BI631" s="3"/>
      <c r="BJ631" s="3"/>
    </row>
    <row r="632" ht="15.75" customHeight="1">
      <c r="BG632" s="3"/>
      <c r="BH632" s="3"/>
      <c r="BI632" s="3"/>
      <c r="BJ632" s="3"/>
    </row>
    <row r="633" ht="15.75" customHeight="1">
      <c r="BG633" s="3"/>
      <c r="BH633" s="3"/>
      <c r="BI633" s="3"/>
      <c r="BJ633" s="3"/>
    </row>
    <row r="634" ht="15.75" customHeight="1">
      <c r="BG634" s="3"/>
      <c r="BH634" s="3"/>
      <c r="BI634" s="3"/>
      <c r="BJ634" s="3"/>
    </row>
    <row r="635" ht="15.75" customHeight="1">
      <c r="BG635" s="3"/>
      <c r="BH635" s="3"/>
      <c r="BI635" s="3"/>
      <c r="BJ635" s="3"/>
    </row>
    <row r="636" ht="15.75" customHeight="1">
      <c r="BG636" s="3"/>
      <c r="BH636" s="3"/>
      <c r="BI636" s="3"/>
      <c r="BJ636" s="3"/>
    </row>
    <row r="637" ht="15.75" customHeight="1">
      <c r="BG637" s="3"/>
      <c r="BH637" s="3"/>
      <c r="BI637" s="3"/>
      <c r="BJ637" s="3"/>
    </row>
    <row r="638" ht="15.75" customHeight="1">
      <c r="BG638" s="3"/>
      <c r="BH638" s="3"/>
      <c r="BI638" s="3"/>
      <c r="BJ638" s="3"/>
    </row>
    <row r="639" ht="15.75" customHeight="1">
      <c r="BG639" s="3"/>
      <c r="BH639" s="3"/>
      <c r="BI639" s="3"/>
      <c r="BJ639" s="3"/>
    </row>
    <row r="640" ht="15.75" customHeight="1">
      <c r="BG640" s="3"/>
      <c r="BH640" s="3"/>
      <c r="BI640" s="3"/>
      <c r="BJ640" s="3"/>
    </row>
    <row r="641" ht="15.75" customHeight="1">
      <c r="BG641" s="3"/>
      <c r="BH641" s="3"/>
      <c r="BI641" s="3"/>
      <c r="BJ641" s="3"/>
    </row>
    <row r="642" ht="15.75" customHeight="1">
      <c r="BG642" s="3"/>
      <c r="BH642" s="3"/>
      <c r="BI642" s="3"/>
      <c r="BJ642" s="3"/>
    </row>
    <row r="643" ht="15.75" customHeight="1">
      <c r="BG643" s="3"/>
      <c r="BH643" s="3"/>
      <c r="BI643" s="3"/>
      <c r="BJ643" s="3"/>
    </row>
    <row r="644" ht="15.75" customHeight="1">
      <c r="BG644" s="3"/>
      <c r="BH644" s="3"/>
      <c r="BI644" s="3"/>
      <c r="BJ644" s="3"/>
    </row>
    <row r="645" ht="15.75" customHeight="1">
      <c r="BG645" s="3"/>
      <c r="BH645" s="3"/>
      <c r="BI645" s="3"/>
      <c r="BJ645" s="3"/>
    </row>
    <row r="646" ht="15.75" customHeight="1">
      <c r="BG646" s="3"/>
      <c r="BH646" s="3"/>
      <c r="BI646" s="3"/>
      <c r="BJ646" s="3"/>
    </row>
    <row r="647" ht="15.75" customHeight="1">
      <c r="BG647" s="3"/>
      <c r="BH647" s="3"/>
      <c r="BI647" s="3"/>
      <c r="BJ647" s="3"/>
    </row>
    <row r="648" ht="15.75" customHeight="1">
      <c r="BG648" s="3"/>
      <c r="BH648" s="3"/>
      <c r="BI648" s="3"/>
      <c r="BJ648" s="3"/>
    </row>
    <row r="649" ht="15.75" customHeight="1">
      <c r="BG649" s="3"/>
      <c r="BH649" s="3"/>
      <c r="BI649" s="3"/>
      <c r="BJ649" s="3"/>
    </row>
    <row r="650" ht="15.75" customHeight="1">
      <c r="BG650" s="3"/>
      <c r="BH650" s="3"/>
      <c r="BI650" s="3"/>
      <c r="BJ650" s="3"/>
    </row>
    <row r="651" ht="15.75" customHeight="1">
      <c r="BG651" s="3"/>
      <c r="BH651" s="3"/>
      <c r="BI651" s="3"/>
      <c r="BJ651" s="3"/>
    </row>
    <row r="652" ht="15.75" customHeight="1">
      <c r="BG652" s="3"/>
      <c r="BH652" s="3"/>
      <c r="BI652" s="3"/>
      <c r="BJ652" s="3"/>
    </row>
    <row r="653" ht="15.75" customHeight="1">
      <c r="BG653" s="3"/>
      <c r="BH653" s="3"/>
      <c r="BI653" s="3"/>
      <c r="BJ653" s="3"/>
    </row>
    <row r="654" ht="15.75" customHeight="1">
      <c r="BG654" s="3"/>
      <c r="BH654" s="3"/>
      <c r="BI654" s="3"/>
      <c r="BJ654" s="3"/>
    </row>
    <row r="655" ht="15.75" customHeight="1">
      <c r="BG655" s="3"/>
      <c r="BH655" s="3"/>
      <c r="BI655" s="3"/>
      <c r="BJ655" s="3"/>
    </row>
    <row r="656" ht="15.75" customHeight="1">
      <c r="BG656" s="3"/>
      <c r="BH656" s="3"/>
      <c r="BI656" s="3"/>
      <c r="BJ656" s="3"/>
    </row>
    <row r="657" ht="15.75" customHeight="1">
      <c r="BG657" s="3"/>
      <c r="BH657" s="3"/>
      <c r="BI657" s="3"/>
      <c r="BJ657" s="3"/>
    </row>
    <row r="658" ht="15.75" customHeight="1">
      <c r="BG658" s="3"/>
      <c r="BH658" s="3"/>
      <c r="BI658" s="3"/>
      <c r="BJ658" s="3"/>
    </row>
    <row r="659" ht="15.75" customHeight="1">
      <c r="BG659" s="3"/>
      <c r="BH659" s="3"/>
      <c r="BI659" s="3"/>
      <c r="BJ659" s="3"/>
    </row>
    <row r="660" ht="15.75" customHeight="1">
      <c r="BG660" s="3"/>
      <c r="BH660" s="3"/>
      <c r="BI660" s="3"/>
      <c r="BJ660" s="3"/>
    </row>
    <row r="661" ht="15.75" customHeight="1">
      <c r="BG661" s="3"/>
      <c r="BH661" s="3"/>
      <c r="BI661" s="3"/>
      <c r="BJ661" s="3"/>
    </row>
    <row r="662" ht="15.75" customHeight="1">
      <c r="BG662" s="3"/>
      <c r="BH662" s="3"/>
      <c r="BI662" s="3"/>
      <c r="BJ662" s="3"/>
    </row>
    <row r="663" ht="15.75" customHeight="1">
      <c r="BG663" s="3"/>
      <c r="BH663" s="3"/>
      <c r="BI663" s="3"/>
      <c r="BJ663" s="3"/>
    </row>
    <row r="664" ht="15.75" customHeight="1">
      <c r="BG664" s="3"/>
      <c r="BH664" s="3"/>
      <c r="BI664" s="3"/>
      <c r="BJ664" s="3"/>
    </row>
    <row r="665" ht="15.75" customHeight="1">
      <c r="BG665" s="3"/>
      <c r="BH665" s="3"/>
      <c r="BI665" s="3"/>
      <c r="BJ665" s="3"/>
    </row>
    <row r="666" ht="15.75" customHeight="1">
      <c r="BG666" s="3"/>
      <c r="BH666" s="3"/>
      <c r="BI666" s="3"/>
      <c r="BJ666" s="3"/>
    </row>
    <row r="667" ht="15.75" customHeight="1">
      <c r="BG667" s="3"/>
      <c r="BH667" s="3"/>
      <c r="BI667" s="3"/>
      <c r="BJ667" s="3"/>
    </row>
    <row r="668" ht="15.75" customHeight="1">
      <c r="BG668" s="3"/>
      <c r="BH668" s="3"/>
      <c r="BI668" s="3"/>
      <c r="BJ668" s="3"/>
    </row>
    <row r="669" ht="15.75" customHeight="1">
      <c r="BG669" s="3"/>
      <c r="BH669" s="3"/>
      <c r="BI669" s="3"/>
      <c r="BJ669" s="3"/>
    </row>
    <row r="670" ht="15.75" customHeight="1">
      <c r="BG670" s="3"/>
      <c r="BH670" s="3"/>
      <c r="BI670" s="3"/>
      <c r="BJ670" s="3"/>
    </row>
    <row r="671" ht="15.75" customHeight="1">
      <c r="BG671" s="3"/>
      <c r="BH671" s="3"/>
      <c r="BI671" s="3"/>
      <c r="BJ671" s="3"/>
    </row>
    <row r="672" ht="15.75" customHeight="1">
      <c r="BG672" s="3"/>
      <c r="BH672" s="3"/>
      <c r="BI672" s="3"/>
      <c r="BJ672" s="3"/>
    </row>
    <row r="673" ht="15.75" customHeight="1">
      <c r="BG673" s="3"/>
      <c r="BH673" s="3"/>
      <c r="BI673" s="3"/>
      <c r="BJ673" s="3"/>
    </row>
    <row r="674" ht="15.75" customHeight="1">
      <c r="BG674" s="3"/>
      <c r="BH674" s="3"/>
      <c r="BI674" s="3"/>
      <c r="BJ674" s="3"/>
    </row>
    <row r="675" ht="15.75" customHeight="1">
      <c r="BG675" s="3"/>
      <c r="BH675" s="3"/>
      <c r="BI675" s="3"/>
      <c r="BJ675" s="3"/>
    </row>
    <row r="676" ht="15.75" customHeight="1">
      <c r="BG676" s="3"/>
      <c r="BH676" s="3"/>
      <c r="BI676" s="3"/>
      <c r="BJ676" s="3"/>
    </row>
    <row r="677" ht="15.75" customHeight="1">
      <c r="BG677" s="3"/>
      <c r="BH677" s="3"/>
      <c r="BI677" s="3"/>
      <c r="BJ677" s="3"/>
    </row>
    <row r="678" ht="15.75" customHeight="1">
      <c r="BG678" s="3"/>
      <c r="BH678" s="3"/>
      <c r="BI678" s="3"/>
      <c r="BJ678" s="3"/>
    </row>
    <row r="679" ht="15.75" customHeight="1">
      <c r="BG679" s="3"/>
      <c r="BH679" s="3"/>
      <c r="BI679" s="3"/>
      <c r="BJ679" s="3"/>
    </row>
    <row r="680" ht="15.75" customHeight="1">
      <c r="BG680" s="3"/>
      <c r="BH680" s="3"/>
      <c r="BI680" s="3"/>
      <c r="BJ680" s="3"/>
    </row>
    <row r="681" ht="15.75" customHeight="1">
      <c r="BG681" s="3"/>
      <c r="BH681" s="3"/>
      <c r="BI681" s="3"/>
      <c r="BJ681" s="3"/>
    </row>
    <row r="682" ht="15.75" customHeight="1">
      <c r="BG682" s="3"/>
      <c r="BH682" s="3"/>
      <c r="BI682" s="3"/>
      <c r="BJ682" s="3"/>
    </row>
    <row r="683" ht="15.75" customHeight="1">
      <c r="BG683" s="3"/>
      <c r="BH683" s="3"/>
      <c r="BI683" s="3"/>
      <c r="BJ683" s="3"/>
    </row>
    <row r="684" ht="15.75" customHeight="1">
      <c r="BG684" s="3"/>
      <c r="BH684" s="3"/>
      <c r="BI684" s="3"/>
      <c r="BJ684" s="3"/>
    </row>
    <row r="685" ht="15.75" customHeight="1">
      <c r="BG685" s="3"/>
      <c r="BH685" s="3"/>
      <c r="BI685" s="3"/>
      <c r="BJ685" s="3"/>
    </row>
    <row r="686" ht="15.75" customHeight="1">
      <c r="BG686" s="3"/>
      <c r="BH686" s="3"/>
      <c r="BI686" s="3"/>
      <c r="BJ686" s="3"/>
    </row>
    <row r="687" ht="15.75" customHeight="1">
      <c r="BG687" s="3"/>
      <c r="BH687" s="3"/>
      <c r="BI687" s="3"/>
      <c r="BJ687" s="3"/>
    </row>
    <row r="688" ht="15.75" customHeight="1">
      <c r="BG688" s="3"/>
      <c r="BH688" s="3"/>
      <c r="BI688" s="3"/>
      <c r="BJ688" s="3"/>
    </row>
    <row r="689" ht="15.75" customHeight="1">
      <c r="BG689" s="3"/>
      <c r="BH689" s="3"/>
      <c r="BI689" s="3"/>
      <c r="BJ689" s="3"/>
    </row>
    <row r="690" ht="15.75" customHeight="1">
      <c r="BG690" s="3"/>
      <c r="BH690" s="3"/>
      <c r="BI690" s="3"/>
      <c r="BJ690" s="3"/>
    </row>
    <row r="691" ht="15.75" customHeight="1">
      <c r="BG691" s="3"/>
      <c r="BH691" s="3"/>
      <c r="BI691" s="3"/>
      <c r="BJ691" s="3"/>
    </row>
    <row r="692" ht="15.75" customHeight="1">
      <c r="BG692" s="3"/>
      <c r="BH692" s="3"/>
      <c r="BI692" s="3"/>
      <c r="BJ692" s="3"/>
    </row>
    <row r="693" ht="15.75" customHeight="1">
      <c r="BG693" s="3"/>
      <c r="BH693" s="3"/>
      <c r="BI693" s="3"/>
      <c r="BJ693" s="3"/>
    </row>
    <row r="694" ht="15.75" customHeight="1">
      <c r="BG694" s="3"/>
      <c r="BH694" s="3"/>
      <c r="BI694" s="3"/>
      <c r="BJ694" s="3"/>
    </row>
    <row r="695" ht="15.75" customHeight="1">
      <c r="BG695" s="3"/>
      <c r="BH695" s="3"/>
      <c r="BI695" s="3"/>
      <c r="BJ695" s="3"/>
    </row>
    <row r="696" ht="15.75" customHeight="1">
      <c r="BG696" s="3"/>
      <c r="BH696" s="3"/>
      <c r="BI696" s="3"/>
      <c r="BJ696" s="3"/>
    </row>
    <row r="697" ht="15.75" customHeight="1">
      <c r="BG697" s="3"/>
      <c r="BH697" s="3"/>
      <c r="BI697" s="3"/>
      <c r="BJ697" s="3"/>
    </row>
    <row r="698" ht="15.75" customHeight="1">
      <c r="BG698" s="3"/>
      <c r="BH698" s="3"/>
      <c r="BI698" s="3"/>
      <c r="BJ698" s="3"/>
    </row>
    <row r="699" ht="15.75" customHeight="1">
      <c r="BG699" s="3"/>
      <c r="BH699" s="3"/>
      <c r="BI699" s="3"/>
      <c r="BJ699" s="3"/>
    </row>
    <row r="700" ht="15.75" customHeight="1">
      <c r="BG700" s="3"/>
      <c r="BH700" s="3"/>
      <c r="BI700" s="3"/>
      <c r="BJ700" s="3"/>
    </row>
    <row r="701" ht="15.75" customHeight="1">
      <c r="BG701" s="3"/>
      <c r="BH701" s="3"/>
      <c r="BI701" s="3"/>
      <c r="BJ701" s="3"/>
    </row>
    <row r="702" ht="15.75" customHeight="1">
      <c r="BG702" s="3"/>
      <c r="BH702" s="3"/>
      <c r="BI702" s="3"/>
      <c r="BJ702" s="3"/>
    </row>
    <row r="703" ht="15.75" customHeight="1">
      <c r="BG703" s="3"/>
      <c r="BH703" s="3"/>
      <c r="BI703" s="3"/>
      <c r="BJ703" s="3"/>
    </row>
    <row r="704" ht="15.75" customHeight="1">
      <c r="BG704" s="3"/>
      <c r="BH704" s="3"/>
      <c r="BI704" s="3"/>
      <c r="BJ704" s="3"/>
    </row>
    <row r="705" ht="15.75" customHeight="1">
      <c r="BG705" s="3"/>
      <c r="BH705" s="3"/>
      <c r="BI705" s="3"/>
      <c r="BJ705" s="3"/>
    </row>
    <row r="706" ht="15.75" customHeight="1">
      <c r="BG706" s="3"/>
      <c r="BH706" s="3"/>
      <c r="BI706" s="3"/>
      <c r="BJ706" s="3"/>
    </row>
    <row r="707" ht="15.75" customHeight="1">
      <c r="BG707" s="3"/>
      <c r="BH707" s="3"/>
      <c r="BI707" s="3"/>
      <c r="BJ707" s="3"/>
    </row>
    <row r="708" ht="15.75" customHeight="1">
      <c r="BG708" s="3"/>
      <c r="BH708" s="3"/>
      <c r="BI708" s="3"/>
      <c r="BJ708" s="3"/>
    </row>
    <row r="709" ht="15.75" customHeight="1">
      <c r="BG709" s="3"/>
      <c r="BH709" s="3"/>
      <c r="BI709" s="3"/>
      <c r="BJ709" s="3"/>
    </row>
    <row r="710" ht="15.75" customHeight="1">
      <c r="BG710" s="3"/>
      <c r="BH710" s="3"/>
      <c r="BI710" s="3"/>
      <c r="BJ710" s="3"/>
    </row>
    <row r="711" ht="15.75" customHeight="1">
      <c r="BG711" s="3"/>
      <c r="BH711" s="3"/>
      <c r="BI711" s="3"/>
      <c r="BJ711" s="3"/>
    </row>
    <row r="712" ht="15.75" customHeight="1">
      <c r="BG712" s="3"/>
      <c r="BH712" s="3"/>
      <c r="BI712" s="3"/>
      <c r="BJ712" s="3"/>
    </row>
    <row r="713" ht="15.75" customHeight="1">
      <c r="BG713" s="3"/>
      <c r="BH713" s="3"/>
      <c r="BI713" s="3"/>
      <c r="BJ713" s="3"/>
    </row>
    <row r="714" ht="15.75" customHeight="1">
      <c r="BG714" s="3"/>
      <c r="BH714" s="3"/>
      <c r="BI714" s="3"/>
      <c r="BJ714" s="3"/>
    </row>
    <row r="715" ht="15.75" customHeight="1">
      <c r="BG715" s="3"/>
      <c r="BH715" s="3"/>
      <c r="BI715" s="3"/>
      <c r="BJ715" s="3"/>
    </row>
    <row r="716" ht="15.75" customHeight="1">
      <c r="BG716" s="3"/>
      <c r="BH716" s="3"/>
      <c r="BI716" s="3"/>
      <c r="BJ716" s="3"/>
    </row>
    <row r="717" ht="15.75" customHeight="1">
      <c r="BG717" s="3"/>
      <c r="BH717" s="3"/>
      <c r="BI717" s="3"/>
      <c r="BJ717" s="3"/>
    </row>
    <row r="718" ht="15.75" customHeight="1">
      <c r="BG718" s="3"/>
      <c r="BH718" s="3"/>
      <c r="BI718" s="3"/>
      <c r="BJ718" s="3"/>
    </row>
    <row r="719" ht="15.75" customHeight="1">
      <c r="BG719" s="3"/>
      <c r="BH719" s="3"/>
      <c r="BI719" s="3"/>
      <c r="BJ719" s="3"/>
    </row>
    <row r="720" ht="15.75" customHeight="1">
      <c r="BG720" s="3"/>
      <c r="BH720" s="3"/>
      <c r="BI720" s="3"/>
      <c r="BJ720" s="3"/>
    </row>
    <row r="721" ht="15.75" customHeight="1">
      <c r="BG721" s="3"/>
      <c r="BH721" s="3"/>
      <c r="BI721" s="3"/>
      <c r="BJ721" s="3"/>
    </row>
    <row r="722" ht="15.75" customHeight="1">
      <c r="BG722" s="3"/>
      <c r="BH722" s="3"/>
      <c r="BI722" s="3"/>
      <c r="BJ722" s="3"/>
    </row>
    <row r="723" ht="15.75" customHeight="1">
      <c r="BG723" s="3"/>
      <c r="BH723" s="3"/>
      <c r="BI723" s="3"/>
      <c r="BJ723" s="3"/>
    </row>
    <row r="724" ht="15.75" customHeight="1">
      <c r="BG724" s="3"/>
      <c r="BH724" s="3"/>
      <c r="BI724" s="3"/>
      <c r="BJ724" s="3"/>
    </row>
    <row r="725" ht="15.75" customHeight="1">
      <c r="BG725" s="3"/>
      <c r="BH725" s="3"/>
      <c r="BI725" s="3"/>
      <c r="BJ725" s="3"/>
    </row>
    <row r="726" ht="15.75" customHeight="1">
      <c r="BG726" s="3"/>
      <c r="BH726" s="3"/>
      <c r="BI726" s="3"/>
      <c r="BJ726" s="3"/>
    </row>
    <row r="727" ht="15.75" customHeight="1">
      <c r="BG727" s="3"/>
      <c r="BH727" s="3"/>
      <c r="BI727" s="3"/>
      <c r="BJ727" s="3"/>
    </row>
    <row r="728" ht="15.75" customHeight="1">
      <c r="BG728" s="3"/>
      <c r="BH728" s="3"/>
      <c r="BI728" s="3"/>
      <c r="BJ728" s="3"/>
    </row>
    <row r="729" ht="15.75" customHeight="1">
      <c r="BG729" s="3"/>
      <c r="BH729" s="3"/>
      <c r="BI729" s="3"/>
      <c r="BJ729" s="3"/>
    </row>
    <row r="730" ht="15.75" customHeight="1">
      <c r="BG730" s="3"/>
      <c r="BH730" s="3"/>
      <c r="BI730" s="3"/>
      <c r="BJ730" s="3"/>
    </row>
    <row r="731" ht="15.75" customHeight="1">
      <c r="BG731" s="3"/>
      <c r="BH731" s="3"/>
      <c r="BI731" s="3"/>
      <c r="BJ731" s="3"/>
    </row>
    <row r="732" ht="15.75" customHeight="1">
      <c r="BG732" s="3"/>
      <c r="BH732" s="3"/>
      <c r="BI732" s="3"/>
      <c r="BJ732" s="3"/>
    </row>
    <row r="733" ht="15.75" customHeight="1">
      <c r="BG733" s="3"/>
      <c r="BH733" s="3"/>
      <c r="BI733" s="3"/>
      <c r="BJ733" s="3"/>
    </row>
    <row r="734" ht="15.75" customHeight="1">
      <c r="BG734" s="3"/>
      <c r="BH734" s="3"/>
      <c r="BI734" s="3"/>
      <c r="BJ734" s="3"/>
    </row>
    <row r="735" ht="15.75" customHeight="1">
      <c r="BG735" s="3"/>
      <c r="BH735" s="3"/>
      <c r="BI735" s="3"/>
      <c r="BJ735" s="3"/>
    </row>
    <row r="736" ht="15.75" customHeight="1">
      <c r="BG736" s="3"/>
      <c r="BH736" s="3"/>
      <c r="BI736" s="3"/>
      <c r="BJ736" s="3"/>
    </row>
    <row r="737" ht="15.75" customHeight="1">
      <c r="BG737" s="3"/>
      <c r="BH737" s="3"/>
      <c r="BI737" s="3"/>
      <c r="BJ737" s="3"/>
    </row>
    <row r="738" ht="15.75" customHeight="1">
      <c r="BG738" s="3"/>
      <c r="BH738" s="3"/>
      <c r="BI738" s="3"/>
      <c r="BJ738" s="3"/>
    </row>
    <row r="739" ht="15.75" customHeight="1">
      <c r="BG739" s="3"/>
      <c r="BH739" s="3"/>
      <c r="BI739" s="3"/>
      <c r="BJ739" s="3"/>
    </row>
    <row r="740" ht="15.75" customHeight="1">
      <c r="BG740" s="3"/>
      <c r="BH740" s="3"/>
      <c r="BI740" s="3"/>
      <c r="BJ740" s="3"/>
    </row>
    <row r="741" ht="15.75" customHeight="1">
      <c r="BG741" s="3"/>
      <c r="BH741" s="3"/>
      <c r="BI741" s="3"/>
      <c r="BJ741" s="3"/>
    </row>
    <row r="742" ht="15.75" customHeight="1">
      <c r="BG742" s="3"/>
      <c r="BH742" s="3"/>
      <c r="BI742" s="3"/>
      <c r="BJ742" s="3"/>
    </row>
    <row r="743" ht="15.75" customHeight="1">
      <c r="BG743" s="3"/>
      <c r="BH743" s="3"/>
      <c r="BI743" s="3"/>
      <c r="BJ743" s="3"/>
    </row>
    <row r="744" ht="15.75" customHeight="1">
      <c r="BG744" s="3"/>
      <c r="BH744" s="3"/>
      <c r="BI744" s="3"/>
      <c r="BJ744" s="3"/>
    </row>
    <row r="745" ht="15.75" customHeight="1">
      <c r="BG745" s="3"/>
      <c r="BH745" s="3"/>
      <c r="BI745" s="3"/>
      <c r="BJ745" s="3"/>
    </row>
    <row r="746" ht="15.75" customHeight="1">
      <c r="BG746" s="3"/>
      <c r="BH746" s="3"/>
      <c r="BI746" s="3"/>
      <c r="BJ746" s="3"/>
    </row>
    <row r="747" ht="15.75" customHeight="1">
      <c r="BG747" s="3"/>
      <c r="BH747" s="3"/>
      <c r="BI747" s="3"/>
      <c r="BJ747" s="3"/>
    </row>
    <row r="748" ht="15.75" customHeight="1">
      <c r="BG748" s="3"/>
      <c r="BH748" s="3"/>
      <c r="BI748" s="3"/>
      <c r="BJ748" s="3"/>
    </row>
    <row r="749" ht="15.75" customHeight="1">
      <c r="BG749" s="3"/>
      <c r="BH749" s="3"/>
      <c r="BI749" s="3"/>
      <c r="BJ749" s="3"/>
    </row>
    <row r="750" ht="15.75" customHeight="1">
      <c r="BG750" s="3"/>
      <c r="BH750" s="3"/>
      <c r="BI750" s="3"/>
      <c r="BJ750" s="3"/>
    </row>
    <row r="751" ht="15.75" customHeight="1">
      <c r="BG751" s="3"/>
      <c r="BH751" s="3"/>
      <c r="BI751" s="3"/>
      <c r="BJ751" s="3"/>
    </row>
    <row r="752" ht="15.75" customHeight="1">
      <c r="BG752" s="3"/>
      <c r="BH752" s="3"/>
      <c r="BI752" s="3"/>
      <c r="BJ752" s="3"/>
    </row>
    <row r="753" ht="15.75" customHeight="1">
      <c r="BG753" s="3"/>
      <c r="BH753" s="3"/>
      <c r="BI753" s="3"/>
      <c r="BJ753" s="3"/>
    </row>
    <row r="754" ht="15.75" customHeight="1">
      <c r="BG754" s="3"/>
      <c r="BH754" s="3"/>
      <c r="BI754" s="3"/>
      <c r="BJ754" s="3"/>
    </row>
    <row r="755" ht="15.75" customHeight="1">
      <c r="BG755" s="3"/>
      <c r="BH755" s="3"/>
      <c r="BI755" s="3"/>
      <c r="BJ755" s="3"/>
    </row>
    <row r="756" ht="15.75" customHeight="1">
      <c r="BG756" s="3"/>
      <c r="BH756" s="3"/>
      <c r="BI756" s="3"/>
      <c r="BJ756" s="3"/>
    </row>
    <row r="757" ht="15.75" customHeight="1">
      <c r="BG757" s="3"/>
      <c r="BH757" s="3"/>
      <c r="BI757" s="3"/>
      <c r="BJ757" s="3"/>
    </row>
    <row r="758" ht="15.75" customHeight="1">
      <c r="BG758" s="3"/>
      <c r="BH758" s="3"/>
      <c r="BI758" s="3"/>
      <c r="BJ758" s="3"/>
    </row>
    <row r="759" ht="15.75" customHeight="1">
      <c r="BG759" s="3"/>
      <c r="BH759" s="3"/>
      <c r="BI759" s="3"/>
      <c r="BJ759" s="3"/>
    </row>
    <row r="760" ht="15.75" customHeight="1">
      <c r="BG760" s="3"/>
      <c r="BH760" s="3"/>
      <c r="BI760" s="3"/>
      <c r="BJ760" s="3"/>
    </row>
    <row r="761" ht="15.75" customHeight="1">
      <c r="BG761" s="3"/>
      <c r="BH761" s="3"/>
      <c r="BI761" s="3"/>
      <c r="BJ761" s="3"/>
    </row>
    <row r="762" ht="15.75" customHeight="1">
      <c r="BG762" s="3"/>
      <c r="BH762" s="3"/>
      <c r="BI762" s="3"/>
      <c r="BJ762" s="3"/>
    </row>
    <row r="763" ht="15.75" customHeight="1">
      <c r="BG763" s="3"/>
      <c r="BH763" s="3"/>
      <c r="BI763" s="3"/>
      <c r="BJ763" s="3"/>
    </row>
    <row r="764" ht="15.75" customHeight="1">
      <c r="BG764" s="3"/>
      <c r="BH764" s="3"/>
      <c r="BI764" s="3"/>
      <c r="BJ764" s="3"/>
    </row>
    <row r="765" ht="15.75" customHeight="1">
      <c r="BG765" s="3"/>
      <c r="BH765" s="3"/>
      <c r="BI765" s="3"/>
      <c r="BJ765" s="3"/>
    </row>
    <row r="766" ht="15.75" customHeight="1">
      <c r="BG766" s="3"/>
      <c r="BH766" s="3"/>
      <c r="BI766" s="3"/>
      <c r="BJ766" s="3"/>
    </row>
    <row r="767" ht="15.75" customHeight="1">
      <c r="BG767" s="3"/>
      <c r="BH767" s="3"/>
      <c r="BI767" s="3"/>
      <c r="BJ767" s="3"/>
    </row>
    <row r="768" ht="15.75" customHeight="1">
      <c r="BG768" s="3"/>
      <c r="BH768" s="3"/>
      <c r="BI768" s="3"/>
      <c r="BJ768" s="3"/>
    </row>
    <row r="769" ht="15.75" customHeight="1">
      <c r="BG769" s="3"/>
      <c r="BH769" s="3"/>
      <c r="BI769" s="3"/>
      <c r="BJ769" s="3"/>
    </row>
    <row r="770" ht="15.75" customHeight="1">
      <c r="BG770" s="3"/>
      <c r="BH770" s="3"/>
      <c r="BI770" s="3"/>
      <c r="BJ770" s="3"/>
    </row>
    <row r="771" ht="15.75" customHeight="1">
      <c r="BG771" s="3"/>
      <c r="BH771" s="3"/>
      <c r="BI771" s="3"/>
      <c r="BJ771" s="3"/>
    </row>
    <row r="772" ht="15.75" customHeight="1">
      <c r="BG772" s="3"/>
      <c r="BH772" s="3"/>
      <c r="BI772" s="3"/>
      <c r="BJ772" s="3"/>
    </row>
    <row r="773" ht="15.75" customHeight="1">
      <c r="BG773" s="3"/>
      <c r="BH773" s="3"/>
      <c r="BI773" s="3"/>
      <c r="BJ773" s="3"/>
    </row>
    <row r="774" ht="15.75" customHeight="1">
      <c r="BG774" s="3"/>
      <c r="BH774" s="3"/>
      <c r="BI774" s="3"/>
      <c r="BJ774" s="3"/>
    </row>
    <row r="775" ht="15.75" customHeight="1">
      <c r="BG775" s="3"/>
      <c r="BH775" s="3"/>
      <c r="BI775" s="3"/>
      <c r="BJ775" s="3"/>
    </row>
    <row r="776" ht="15.75" customHeight="1">
      <c r="BG776" s="3"/>
      <c r="BH776" s="3"/>
      <c r="BI776" s="3"/>
      <c r="BJ776" s="3"/>
    </row>
    <row r="777" ht="15.75" customHeight="1">
      <c r="BG777" s="3"/>
      <c r="BH777" s="3"/>
      <c r="BI777" s="3"/>
      <c r="BJ777" s="3"/>
    </row>
    <row r="778" ht="15.75" customHeight="1">
      <c r="BG778" s="3"/>
      <c r="BH778" s="3"/>
      <c r="BI778" s="3"/>
      <c r="BJ778" s="3"/>
    </row>
    <row r="779" ht="15.75" customHeight="1">
      <c r="BG779" s="3"/>
      <c r="BH779" s="3"/>
      <c r="BI779" s="3"/>
      <c r="BJ779" s="3"/>
    </row>
    <row r="780" ht="15.75" customHeight="1">
      <c r="BG780" s="3"/>
      <c r="BH780" s="3"/>
      <c r="BI780" s="3"/>
      <c r="BJ780" s="3"/>
    </row>
    <row r="781" ht="15.75" customHeight="1">
      <c r="BG781" s="3"/>
      <c r="BH781" s="3"/>
      <c r="BI781" s="3"/>
      <c r="BJ781" s="3"/>
    </row>
    <row r="782" ht="15.75" customHeight="1">
      <c r="BG782" s="3"/>
      <c r="BH782" s="3"/>
      <c r="BI782" s="3"/>
      <c r="BJ782" s="3"/>
    </row>
    <row r="783" ht="15.75" customHeight="1">
      <c r="BG783" s="3"/>
      <c r="BH783" s="3"/>
      <c r="BI783" s="3"/>
      <c r="BJ783" s="3"/>
    </row>
    <row r="784" ht="15.75" customHeight="1">
      <c r="BG784" s="3"/>
      <c r="BH784" s="3"/>
      <c r="BI784" s="3"/>
      <c r="BJ784" s="3"/>
    </row>
    <row r="785" ht="15.75" customHeight="1">
      <c r="BG785" s="3"/>
      <c r="BH785" s="3"/>
      <c r="BI785" s="3"/>
      <c r="BJ785" s="3"/>
    </row>
    <row r="786" ht="15.75" customHeight="1">
      <c r="BG786" s="3"/>
      <c r="BH786" s="3"/>
      <c r="BI786" s="3"/>
      <c r="BJ786" s="3"/>
    </row>
    <row r="787" ht="15.75" customHeight="1">
      <c r="BG787" s="3"/>
      <c r="BH787" s="3"/>
      <c r="BI787" s="3"/>
      <c r="BJ787" s="3"/>
    </row>
    <row r="788" ht="15.75" customHeight="1">
      <c r="BG788" s="3"/>
      <c r="BH788" s="3"/>
      <c r="BI788" s="3"/>
      <c r="BJ788" s="3"/>
    </row>
    <row r="789" ht="15.75" customHeight="1">
      <c r="BG789" s="3"/>
      <c r="BH789" s="3"/>
      <c r="BI789" s="3"/>
      <c r="BJ789" s="3"/>
    </row>
    <row r="790" ht="15.75" customHeight="1">
      <c r="BG790" s="3"/>
      <c r="BH790" s="3"/>
      <c r="BI790" s="3"/>
      <c r="BJ790" s="3"/>
    </row>
    <row r="791" ht="15.75" customHeight="1">
      <c r="BG791" s="3"/>
      <c r="BH791" s="3"/>
      <c r="BI791" s="3"/>
      <c r="BJ791" s="3"/>
    </row>
    <row r="792" ht="15.75" customHeight="1">
      <c r="BG792" s="3"/>
      <c r="BH792" s="3"/>
      <c r="BI792" s="3"/>
      <c r="BJ792" s="3"/>
    </row>
    <row r="793" ht="15.75" customHeight="1">
      <c r="BG793" s="3"/>
      <c r="BH793" s="3"/>
      <c r="BI793" s="3"/>
      <c r="BJ793" s="3"/>
    </row>
    <row r="794" ht="15.75" customHeight="1">
      <c r="BG794" s="3"/>
      <c r="BH794" s="3"/>
      <c r="BI794" s="3"/>
      <c r="BJ794" s="3"/>
    </row>
    <row r="795" ht="15.75" customHeight="1">
      <c r="BG795" s="3"/>
      <c r="BH795" s="3"/>
      <c r="BI795" s="3"/>
      <c r="BJ795" s="3"/>
    </row>
    <row r="796" ht="15.75" customHeight="1">
      <c r="BG796" s="3"/>
      <c r="BH796" s="3"/>
      <c r="BI796" s="3"/>
      <c r="BJ796" s="3"/>
    </row>
    <row r="797" ht="15.75" customHeight="1">
      <c r="BG797" s="3"/>
      <c r="BH797" s="3"/>
      <c r="BI797" s="3"/>
      <c r="BJ797" s="3"/>
    </row>
    <row r="798" ht="15.75" customHeight="1">
      <c r="BG798" s="3"/>
      <c r="BH798" s="3"/>
      <c r="BI798" s="3"/>
      <c r="BJ798" s="3"/>
    </row>
    <row r="799" ht="15.75" customHeight="1">
      <c r="BG799" s="3"/>
      <c r="BH799" s="3"/>
      <c r="BI799" s="3"/>
      <c r="BJ799" s="3"/>
    </row>
    <row r="800" ht="15.75" customHeight="1">
      <c r="BG800" s="3"/>
      <c r="BH800" s="3"/>
      <c r="BI800" s="3"/>
      <c r="BJ800" s="3"/>
    </row>
    <row r="801" ht="15.75" customHeight="1">
      <c r="BG801" s="3"/>
      <c r="BH801" s="3"/>
      <c r="BI801" s="3"/>
      <c r="BJ801" s="3"/>
    </row>
    <row r="802" ht="15.75" customHeight="1">
      <c r="BG802" s="3"/>
      <c r="BH802" s="3"/>
      <c r="BI802" s="3"/>
      <c r="BJ802" s="3"/>
    </row>
    <row r="803" ht="15.75" customHeight="1">
      <c r="BG803" s="3"/>
      <c r="BH803" s="3"/>
      <c r="BI803" s="3"/>
      <c r="BJ803" s="3"/>
    </row>
    <row r="804" ht="15.75" customHeight="1">
      <c r="BG804" s="3"/>
      <c r="BH804" s="3"/>
      <c r="BI804" s="3"/>
      <c r="BJ804" s="3"/>
    </row>
    <row r="805" ht="15.75" customHeight="1">
      <c r="BG805" s="3"/>
      <c r="BH805" s="3"/>
      <c r="BI805" s="3"/>
      <c r="BJ805" s="3"/>
    </row>
    <row r="806" ht="15.75" customHeight="1">
      <c r="BG806" s="3"/>
      <c r="BH806" s="3"/>
      <c r="BI806" s="3"/>
      <c r="BJ806" s="3"/>
    </row>
    <row r="807" ht="15.75" customHeight="1">
      <c r="BG807" s="3"/>
      <c r="BH807" s="3"/>
      <c r="BI807" s="3"/>
      <c r="BJ807" s="3"/>
    </row>
    <row r="808" ht="15.75" customHeight="1">
      <c r="BG808" s="3"/>
      <c r="BH808" s="3"/>
      <c r="BI808" s="3"/>
      <c r="BJ808" s="3"/>
    </row>
    <row r="809" ht="15.75" customHeight="1">
      <c r="BG809" s="3"/>
      <c r="BH809" s="3"/>
      <c r="BI809" s="3"/>
      <c r="BJ809" s="3"/>
    </row>
    <row r="810" ht="15.75" customHeight="1">
      <c r="BG810" s="3"/>
      <c r="BH810" s="3"/>
      <c r="BI810" s="3"/>
      <c r="BJ810" s="3"/>
    </row>
    <row r="811" ht="15.75" customHeight="1">
      <c r="BG811" s="3"/>
      <c r="BH811" s="3"/>
      <c r="BI811" s="3"/>
      <c r="BJ811" s="3"/>
    </row>
    <row r="812" ht="15.75" customHeight="1">
      <c r="BG812" s="3"/>
      <c r="BH812" s="3"/>
      <c r="BI812" s="3"/>
      <c r="BJ812" s="3"/>
    </row>
    <row r="813" ht="15.75" customHeight="1">
      <c r="BG813" s="3"/>
      <c r="BH813" s="3"/>
      <c r="BI813" s="3"/>
      <c r="BJ813" s="3"/>
    </row>
    <row r="814" ht="15.75" customHeight="1">
      <c r="BG814" s="3"/>
      <c r="BH814" s="3"/>
      <c r="BI814" s="3"/>
      <c r="BJ814" s="3"/>
    </row>
    <row r="815" ht="15.75" customHeight="1">
      <c r="BG815" s="3"/>
      <c r="BH815" s="3"/>
      <c r="BI815" s="3"/>
      <c r="BJ815" s="3"/>
    </row>
    <row r="816" ht="15.75" customHeight="1">
      <c r="BG816" s="3"/>
      <c r="BH816" s="3"/>
      <c r="BI816" s="3"/>
      <c r="BJ816" s="3"/>
    </row>
    <row r="817" ht="15.75" customHeight="1">
      <c r="BG817" s="3"/>
      <c r="BH817" s="3"/>
      <c r="BI817" s="3"/>
      <c r="BJ817" s="3"/>
    </row>
    <row r="818" ht="15.75" customHeight="1">
      <c r="BG818" s="3"/>
      <c r="BH818" s="3"/>
      <c r="BI818" s="3"/>
      <c r="BJ818" s="3"/>
    </row>
    <row r="819" ht="15.75" customHeight="1">
      <c r="BG819" s="3"/>
      <c r="BH819" s="3"/>
      <c r="BI819" s="3"/>
      <c r="BJ819" s="3"/>
    </row>
    <row r="820" ht="15.75" customHeight="1">
      <c r="BG820" s="3"/>
      <c r="BH820" s="3"/>
      <c r="BI820" s="3"/>
      <c r="BJ820" s="3"/>
    </row>
    <row r="821" ht="15.75" customHeight="1">
      <c r="BG821" s="3"/>
      <c r="BH821" s="3"/>
      <c r="BI821" s="3"/>
      <c r="BJ821" s="3"/>
    </row>
    <row r="822" ht="15.75" customHeight="1">
      <c r="BG822" s="3"/>
      <c r="BH822" s="3"/>
      <c r="BI822" s="3"/>
      <c r="BJ822" s="3"/>
    </row>
    <row r="823" ht="15.75" customHeight="1">
      <c r="BG823" s="3"/>
      <c r="BH823" s="3"/>
      <c r="BI823" s="3"/>
      <c r="BJ823" s="3"/>
    </row>
    <row r="824" ht="15.75" customHeight="1">
      <c r="BG824" s="3"/>
      <c r="BH824" s="3"/>
      <c r="BI824" s="3"/>
      <c r="BJ824" s="3"/>
    </row>
    <row r="825" ht="15.75" customHeight="1">
      <c r="BG825" s="3"/>
      <c r="BH825" s="3"/>
      <c r="BI825" s="3"/>
      <c r="BJ825" s="3"/>
    </row>
    <row r="826" ht="15.75" customHeight="1">
      <c r="BG826" s="3"/>
      <c r="BH826" s="3"/>
      <c r="BI826" s="3"/>
      <c r="BJ826" s="3"/>
    </row>
    <row r="827" ht="15.75" customHeight="1">
      <c r="BG827" s="3"/>
      <c r="BH827" s="3"/>
      <c r="BI827" s="3"/>
      <c r="BJ827" s="3"/>
    </row>
    <row r="828" ht="15.75" customHeight="1">
      <c r="BG828" s="3"/>
      <c r="BH828" s="3"/>
      <c r="BI828" s="3"/>
      <c r="BJ828" s="3"/>
    </row>
    <row r="829" ht="15.75" customHeight="1">
      <c r="BG829" s="3"/>
      <c r="BH829" s="3"/>
      <c r="BI829" s="3"/>
      <c r="BJ829" s="3"/>
    </row>
    <row r="830" ht="15.75" customHeight="1">
      <c r="BG830" s="3"/>
      <c r="BH830" s="3"/>
      <c r="BI830" s="3"/>
      <c r="BJ830" s="3"/>
    </row>
    <row r="831" ht="15.75" customHeight="1">
      <c r="BG831" s="3"/>
      <c r="BH831" s="3"/>
      <c r="BI831" s="3"/>
      <c r="BJ831" s="3"/>
    </row>
    <row r="832" ht="15.75" customHeight="1">
      <c r="BG832" s="3"/>
      <c r="BH832" s="3"/>
      <c r="BI832" s="3"/>
      <c r="BJ832" s="3"/>
    </row>
    <row r="833" ht="15.75" customHeight="1">
      <c r="BG833" s="3"/>
      <c r="BH833" s="3"/>
      <c r="BI833" s="3"/>
      <c r="BJ833" s="3"/>
    </row>
    <row r="834" ht="15.75" customHeight="1">
      <c r="BG834" s="3"/>
      <c r="BH834" s="3"/>
      <c r="BI834" s="3"/>
      <c r="BJ834" s="3"/>
    </row>
    <row r="835" ht="15.75" customHeight="1">
      <c r="BG835" s="3"/>
      <c r="BH835" s="3"/>
      <c r="BI835" s="3"/>
      <c r="BJ835" s="3"/>
    </row>
    <row r="836" ht="15.75" customHeight="1">
      <c r="BG836" s="3"/>
      <c r="BH836" s="3"/>
      <c r="BI836" s="3"/>
      <c r="BJ836" s="3"/>
    </row>
    <row r="837" ht="15.75" customHeight="1">
      <c r="BG837" s="3"/>
      <c r="BH837" s="3"/>
      <c r="BI837" s="3"/>
      <c r="BJ837" s="3"/>
    </row>
    <row r="838" ht="15.75" customHeight="1">
      <c r="BG838" s="3"/>
      <c r="BH838" s="3"/>
      <c r="BI838" s="3"/>
      <c r="BJ838" s="3"/>
    </row>
    <row r="839" ht="15.75" customHeight="1">
      <c r="BG839" s="3"/>
      <c r="BH839" s="3"/>
      <c r="BI839" s="3"/>
      <c r="BJ839" s="3"/>
    </row>
    <row r="840" ht="15.75" customHeight="1">
      <c r="BG840" s="3"/>
      <c r="BH840" s="3"/>
      <c r="BI840" s="3"/>
      <c r="BJ840" s="3"/>
    </row>
    <row r="841" ht="15.75" customHeight="1">
      <c r="BG841" s="3"/>
      <c r="BH841" s="3"/>
      <c r="BI841" s="3"/>
      <c r="BJ841" s="3"/>
    </row>
    <row r="842" ht="15.75" customHeight="1">
      <c r="BG842" s="3"/>
      <c r="BH842" s="3"/>
      <c r="BI842" s="3"/>
      <c r="BJ842" s="3"/>
    </row>
    <row r="843" ht="15.75" customHeight="1">
      <c r="BG843" s="3"/>
      <c r="BH843" s="3"/>
      <c r="BI843" s="3"/>
      <c r="BJ843" s="3"/>
    </row>
    <row r="844" ht="15.75" customHeight="1">
      <c r="BG844" s="3"/>
      <c r="BH844" s="3"/>
      <c r="BI844" s="3"/>
      <c r="BJ844" s="3"/>
    </row>
    <row r="845" ht="15.75" customHeight="1">
      <c r="BG845" s="3"/>
      <c r="BH845" s="3"/>
      <c r="BI845" s="3"/>
      <c r="BJ845" s="3"/>
    </row>
    <row r="846" ht="15.75" customHeight="1">
      <c r="BG846" s="3"/>
      <c r="BH846" s="3"/>
      <c r="BI846" s="3"/>
      <c r="BJ846" s="3"/>
    </row>
    <row r="847" ht="15.75" customHeight="1">
      <c r="BG847" s="3"/>
      <c r="BH847" s="3"/>
      <c r="BI847" s="3"/>
      <c r="BJ847" s="3"/>
    </row>
    <row r="848" ht="15.75" customHeight="1">
      <c r="BG848" s="3"/>
      <c r="BH848" s="3"/>
      <c r="BI848" s="3"/>
      <c r="BJ848" s="3"/>
    </row>
    <row r="849" ht="15.75" customHeight="1">
      <c r="BG849" s="3"/>
      <c r="BH849" s="3"/>
      <c r="BI849" s="3"/>
      <c r="BJ849" s="3"/>
    </row>
    <row r="850" ht="15.75" customHeight="1">
      <c r="BG850" s="3"/>
      <c r="BH850" s="3"/>
      <c r="BI850" s="3"/>
      <c r="BJ850" s="3"/>
    </row>
    <row r="851" ht="15.75" customHeight="1">
      <c r="BG851" s="3"/>
      <c r="BH851" s="3"/>
      <c r="BI851" s="3"/>
      <c r="BJ851" s="3"/>
    </row>
    <row r="852" ht="15.75" customHeight="1">
      <c r="BG852" s="3"/>
      <c r="BH852" s="3"/>
      <c r="BI852" s="3"/>
      <c r="BJ852" s="3"/>
    </row>
    <row r="853" ht="15.75" customHeight="1">
      <c r="BG853" s="3"/>
      <c r="BH853" s="3"/>
      <c r="BI853" s="3"/>
      <c r="BJ853" s="3"/>
    </row>
    <row r="854" ht="15.75" customHeight="1">
      <c r="BG854" s="3"/>
      <c r="BH854" s="3"/>
      <c r="BI854" s="3"/>
      <c r="BJ854" s="3"/>
    </row>
    <row r="855" ht="15.75" customHeight="1">
      <c r="BG855" s="3"/>
      <c r="BH855" s="3"/>
      <c r="BI855" s="3"/>
      <c r="BJ855" s="3"/>
    </row>
    <row r="856" ht="15.75" customHeight="1">
      <c r="BG856" s="3"/>
      <c r="BH856" s="3"/>
      <c r="BI856" s="3"/>
      <c r="BJ856" s="3"/>
    </row>
    <row r="857" ht="15.75" customHeight="1">
      <c r="BG857" s="3"/>
      <c r="BH857" s="3"/>
      <c r="BI857" s="3"/>
      <c r="BJ857" s="3"/>
    </row>
    <row r="858" ht="15.75" customHeight="1">
      <c r="BG858" s="3"/>
      <c r="BH858" s="3"/>
      <c r="BI858" s="3"/>
      <c r="BJ858" s="3"/>
    </row>
    <row r="859" ht="15.75" customHeight="1">
      <c r="BG859" s="3"/>
      <c r="BH859" s="3"/>
      <c r="BI859" s="3"/>
      <c r="BJ859" s="3"/>
    </row>
    <row r="860" ht="15.75" customHeight="1">
      <c r="BG860" s="3"/>
      <c r="BH860" s="3"/>
      <c r="BI860" s="3"/>
      <c r="BJ860" s="3"/>
    </row>
    <row r="861" ht="15.75" customHeight="1">
      <c r="BG861" s="3"/>
      <c r="BH861" s="3"/>
      <c r="BI861" s="3"/>
      <c r="BJ861" s="3"/>
    </row>
    <row r="862" ht="15.75" customHeight="1">
      <c r="BG862" s="3"/>
      <c r="BH862" s="3"/>
      <c r="BI862" s="3"/>
      <c r="BJ862" s="3"/>
    </row>
    <row r="863" ht="15.75" customHeight="1">
      <c r="BG863" s="3"/>
      <c r="BH863" s="3"/>
      <c r="BI863" s="3"/>
      <c r="BJ863" s="3"/>
    </row>
    <row r="864" ht="15.75" customHeight="1">
      <c r="BG864" s="3"/>
      <c r="BH864" s="3"/>
      <c r="BI864" s="3"/>
      <c r="BJ864" s="3"/>
    </row>
    <row r="865" ht="15.75" customHeight="1">
      <c r="BG865" s="3"/>
      <c r="BH865" s="3"/>
      <c r="BI865" s="3"/>
      <c r="BJ865" s="3"/>
    </row>
    <row r="866" ht="15.75" customHeight="1">
      <c r="BG866" s="3"/>
      <c r="BH866" s="3"/>
      <c r="BI866" s="3"/>
      <c r="BJ866" s="3"/>
    </row>
    <row r="867" ht="15.75" customHeight="1">
      <c r="BG867" s="3"/>
      <c r="BH867" s="3"/>
      <c r="BI867" s="3"/>
      <c r="BJ867" s="3"/>
    </row>
    <row r="868" ht="15.75" customHeight="1">
      <c r="BG868" s="3"/>
      <c r="BH868" s="3"/>
      <c r="BI868" s="3"/>
      <c r="BJ868" s="3"/>
    </row>
    <row r="869" ht="15.75" customHeight="1">
      <c r="BG869" s="3"/>
      <c r="BH869" s="3"/>
      <c r="BI869" s="3"/>
      <c r="BJ869" s="3"/>
    </row>
    <row r="870" ht="15.75" customHeight="1">
      <c r="BG870" s="3"/>
      <c r="BH870" s="3"/>
      <c r="BI870" s="3"/>
      <c r="BJ870" s="3"/>
    </row>
    <row r="871" ht="15.75" customHeight="1">
      <c r="BG871" s="3"/>
      <c r="BH871" s="3"/>
      <c r="BI871" s="3"/>
      <c r="BJ871" s="3"/>
    </row>
    <row r="872" ht="15.75" customHeight="1">
      <c r="BG872" s="3"/>
      <c r="BH872" s="3"/>
      <c r="BI872" s="3"/>
      <c r="BJ872" s="3"/>
    </row>
    <row r="873" ht="15.75" customHeight="1">
      <c r="BG873" s="3"/>
      <c r="BH873" s="3"/>
      <c r="BI873" s="3"/>
      <c r="BJ873" s="3"/>
    </row>
    <row r="874" ht="15.75" customHeight="1">
      <c r="BG874" s="3"/>
      <c r="BH874" s="3"/>
      <c r="BI874" s="3"/>
      <c r="BJ874" s="3"/>
    </row>
    <row r="875" ht="15.75" customHeight="1">
      <c r="BG875" s="3"/>
      <c r="BH875" s="3"/>
      <c r="BI875" s="3"/>
      <c r="BJ875" s="3"/>
    </row>
    <row r="876" ht="15.75" customHeight="1">
      <c r="BG876" s="3"/>
      <c r="BH876" s="3"/>
      <c r="BI876" s="3"/>
      <c r="BJ876" s="3"/>
    </row>
    <row r="877" ht="15.75" customHeight="1">
      <c r="BG877" s="3"/>
      <c r="BH877" s="3"/>
      <c r="BI877" s="3"/>
      <c r="BJ877" s="3"/>
    </row>
    <row r="878" ht="15.75" customHeight="1">
      <c r="BG878" s="3"/>
      <c r="BH878" s="3"/>
      <c r="BI878" s="3"/>
      <c r="BJ878" s="3"/>
    </row>
    <row r="879" ht="15.75" customHeight="1">
      <c r="BG879" s="3"/>
      <c r="BH879" s="3"/>
      <c r="BI879" s="3"/>
      <c r="BJ879" s="3"/>
    </row>
    <row r="880" ht="15.75" customHeight="1">
      <c r="BG880" s="3"/>
      <c r="BH880" s="3"/>
      <c r="BI880" s="3"/>
      <c r="BJ880" s="3"/>
    </row>
    <row r="881" ht="15.75" customHeight="1">
      <c r="BG881" s="3"/>
      <c r="BH881" s="3"/>
      <c r="BI881" s="3"/>
      <c r="BJ881" s="3"/>
    </row>
    <row r="882" ht="15.75" customHeight="1">
      <c r="BG882" s="3"/>
      <c r="BH882" s="3"/>
      <c r="BI882" s="3"/>
      <c r="BJ882" s="3"/>
    </row>
    <row r="883" ht="15.75" customHeight="1">
      <c r="BG883" s="3"/>
      <c r="BH883" s="3"/>
      <c r="BI883" s="3"/>
      <c r="BJ883" s="3"/>
    </row>
    <row r="884" ht="15.75" customHeight="1">
      <c r="BG884" s="3"/>
      <c r="BH884" s="3"/>
      <c r="BI884" s="3"/>
      <c r="BJ884" s="3"/>
    </row>
    <row r="885" ht="15.75" customHeight="1">
      <c r="BG885" s="3"/>
      <c r="BH885" s="3"/>
      <c r="BI885" s="3"/>
      <c r="BJ885" s="3"/>
    </row>
    <row r="886" ht="15.75" customHeight="1">
      <c r="BG886" s="3"/>
      <c r="BH886" s="3"/>
      <c r="BI886" s="3"/>
      <c r="BJ886" s="3"/>
    </row>
    <row r="887" ht="15.75" customHeight="1">
      <c r="BG887" s="3"/>
      <c r="BH887" s="3"/>
      <c r="BI887" s="3"/>
      <c r="BJ887" s="3"/>
    </row>
    <row r="888" ht="15.75" customHeight="1">
      <c r="BG888" s="3"/>
      <c r="BH888" s="3"/>
      <c r="BI888" s="3"/>
      <c r="BJ888" s="3"/>
    </row>
    <row r="889" ht="15.75" customHeight="1">
      <c r="BG889" s="3"/>
      <c r="BH889" s="3"/>
      <c r="BI889" s="3"/>
      <c r="BJ889" s="3"/>
    </row>
    <row r="890" ht="15.75" customHeight="1">
      <c r="BG890" s="3"/>
      <c r="BH890" s="3"/>
      <c r="BI890" s="3"/>
      <c r="BJ890" s="3"/>
    </row>
    <row r="891" ht="15.75" customHeight="1">
      <c r="BG891" s="3"/>
      <c r="BH891" s="3"/>
      <c r="BI891" s="3"/>
      <c r="BJ891" s="3"/>
    </row>
    <row r="892" ht="15.75" customHeight="1">
      <c r="BG892" s="3"/>
      <c r="BH892" s="3"/>
      <c r="BI892" s="3"/>
      <c r="BJ892" s="3"/>
    </row>
    <row r="893" ht="15.75" customHeight="1">
      <c r="BG893" s="3"/>
      <c r="BH893" s="3"/>
      <c r="BI893" s="3"/>
      <c r="BJ893" s="3"/>
    </row>
    <row r="894" ht="15.75" customHeight="1">
      <c r="BG894" s="3"/>
      <c r="BH894" s="3"/>
      <c r="BI894" s="3"/>
      <c r="BJ894" s="3"/>
    </row>
    <row r="895" ht="15.75" customHeight="1">
      <c r="BG895" s="3"/>
      <c r="BH895" s="3"/>
      <c r="BI895" s="3"/>
      <c r="BJ895" s="3"/>
    </row>
    <row r="896" ht="15.75" customHeight="1">
      <c r="BG896" s="3"/>
      <c r="BH896" s="3"/>
      <c r="BI896" s="3"/>
      <c r="BJ896" s="3"/>
    </row>
    <row r="897" ht="15.75" customHeight="1">
      <c r="BG897" s="3"/>
      <c r="BH897" s="3"/>
      <c r="BI897" s="3"/>
      <c r="BJ897" s="3"/>
    </row>
    <row r="898" ht="15.75" customHeight="1">
      <c r="BG898" s="3"/>
      <c r="BH898" s="3"/>
      <c r="BI898" s="3"/>
      <c r="BJ898" s="3"/>
    </row>
    <row r="899" ht="15.75" customHeight="1">
      <c r="BG899" s="3"/>
      <c r="BH899" s="3"/>
      <c r="BI899" s="3"/>
      <c r="BJ899" s="3"/>
    </row>
    <row r="900" ht="15.75" customHeight="1">
      <c r="BG900" s="3"/>
      <c r="BH900" s="3"/>
      <c r="BI900" s="3"/>
      <c r="BJ900" s="3"/>
    </row>
    <row r="901" ht="15.75" customHeight="1">
      <c r="BG901" s="3"/>
      <c r="BH901" s="3"/>
      <c r="BI901" s="3"/>
      <c r="BJ901" s="3"/>
    </row>
    <row r="902" ht="15.75" customHeight="1">
      <c r="BG902" s="3"/>
      <c r="BH902" s="3"/>
      <c r="BI902" s="3"/>
      <c r="BJ902" s="3"/>
    </row>
    <row r="903" ht="15.75" customHeight="1">
      <c r="BG903" s="3"/>
      <c r="BH903" s="3"/>
      <c r="BI903" s="3"/>
      <c r="BJ903" s="3"/>
    </row>
    <row r="904" ht="15.75" customHeight="1">
      <c r="BG904" s="3"/>
      <c r="BH904" s="3"/>
      <c r="BI904" s="3"/>
      <c r="BJ904" s="3"/>
    </row>
    <row r="905" ht="15.75" customHeight="1">
      <c r="BG905" s="3"/>
      <c r="BH905" s="3"/>
      <c r="BI905" s="3"/>
      <c r="BJ905" s="3"/>
    </row>
    <row r="906" ht="15.75" customHeight="1">
      <c r="BG906" s="3"/>
      <c r="BH906" s="3"/>
      <c r="BI906" s="3"/>
      <c r="BJ906" s="3"/>
    </row>
    <row r="907" ht="15.75" customHeight="1">
      <c r="BG907" s="3"/>
      <c r="BH907" s="3"/>
      <c r="BI907" s="3"/>
      <c r="BJ907" s="3"/>
    </row>
    <row r="908" ht="15.75" customHeight="1">
      <c r="BG908" s="3"/>
      <c r="BH908" s="3"/>
      <c r="BI908" s="3"/>
      <c r="BJ908" s="3"/>
    </row>
    <row r="909" ht="15.75" customHeight="1">
      <c r="BG909" s="3"/>
      <c r="BH909" s="3"/>
      <c r="BI909" s="3"/>
      <c r="BJ909" s="3"/>
    </row>
    <row r="910" ht="15.75" customHeight="1">
      <c r="BG910" s="3"/>
      <c r="BH910" s="3"/>
      <c r="BI910" s="3"/>
      <c r="BJ910" s="3"/>
    </row>
    <row r="911" ht="15.75" customHeight="1">
      <c r="BG911" s="3"/>
      <c r="BH911" s="3"/>
      <c r="BI911" s="3"/>
      <c r="BJ911" s="3"/>
    </row>
    <row r="912" ht="15.75" customHeight="1">
      <c r="BG912" s="3"/>
      <c r="BH912" s="3"/>
      <c r="BI912" s="3"/>
      <c r="BJ912" s="3"/>
    </row>
    <row r="913" ht="15.75" customHeight="1">
      <c r="BG913" s="3"/>
      <c r="BH913" s="3"/>
      <c r="BI913" s="3"/>
      <c r="BJ913" s="3"/>
    </row>
    <row r="914" ht="15.75" customHeight="1">
      <c r="BG914" s="3"/>
      <c r="BH914" s="3"/>
      <c r="BI914" s="3"/>
      <c r="BJ914" s="3"/>
    </row>
    <row r="915" ht="15.75" customHeight="1">
      <c r="BG915" s="3"/>
      <c r="BH915" s="3"/>
      <c r="BI915" s="3"/>
      <c r="BJ915" s="3"/>
    </row>
    <row r="916" ht="15.75" customHeight="1">
      <c r="BG916" s="3"/>
      <c r="BH916" s="3"/>
      <c r="BI916" s="3"/>
      <c r="BJ916" s="3"/>
    </row>
    <row r="917" ht="15.75" customHeight="1">
      <c r="BG917" s="3"/>
      <c r="BH917" s="3"/>
      <c r="BI917" s="3"/>
      <c r="BJ917" s="3"/>
    </row>
    <row r="918" ht="15.75" customHeight="1">
      <c r="BG918" s="3"/>
      <c r="BH918" s="3"/>
      <c r="BI918" s="3"/>
      <c r="BJ918" s="3"/>
    </row>
    <row r="919" ht="15.75" customHeight="1">
      <c r="BG919" s="3"/>
      <c r="BH919" s="3"/>
      <c r="BI919" s="3"/>
      <c r="BJ919" s="3"/>
    </row>
    <row r="920" ht="15.75" customHeight="1">
      <c r="BG920" s="3"/>
      <c r="BH920" s="3"/>
      <c r="BI920" s="3"/>
      <c r="BJ920" s="3"/>
    </row>
    <row r="921" ht="15.75" customHeight="1">
      <c r="BG921" s="3"/>
      <c r="BH921" s="3"/>
      <c r="BI921" s="3"/>
      <c r="BJ921" s="3"/>
    </row>
    <row r="922" ht="15.75" customHeight="1">
      <c r="BG922" s="3"/>
      <c r="BH922" s="3"/>
      <c r="BI922" s="3"/>
      <c r="BJ922" s="3"/>
    </row>
    <row r="923" ht="15.75" customHeight="1">
      <c r="BG923" s="3"/>
      <c r="BH923" s="3"/>
      <c r="BI923" s="3"/>
      <c r="BJ923" s="3"/>
    </row>
    <row r="924" ht="15.75" customHeight="1">
      <c r="BG924" s="3"/>
      <c r="BH924" s="3"/>
      <c r="BI924" s="3"/>
      <c r="BJ924" s="3"/>
    </row>
    <row r="925" ht="15.75" customHeight="1">
      <c r="BG925" s="3"/>
      <c r="BH925" s="3"/>
      <c r="BI925" s="3"/>
      <c r="BJ925" s="3"/>
    </row>
    <row r="926" ht="15.75" customHeight="1">
      <c r="BG926" s="3"/>
      <c r="BH926" s="3"/>
      <c r="BI926" s="3"/>
      <c r="BJ926" s="3"/>
    </row>
    <row r="927" ht="15.75" customHeight="1">
      <c r="BG927" s="3"/>
      <c r="BH927" s="3"/>
      <c r="BI927" s="3"/>
      <c r="BJ927" s="3"/>
    </row>
    <row r="928" ht="15.75" customHeight="1">
      <c r="BG928" s="3"/>
      <c r="BH928" s="3"/>
      <c r="BI928" s="3"/>
      <c r="BJ928" s="3"/>
    </row>
    <row r="929" ht="15.75" customHeight="1">
      <c r="BG929" s="3"/>
      <c r="BH929" s="3"/>
      <c r="BI929" s="3"/>
      <c r="BJ929" s="3"/>
    </row>
    <row r="930" ht="15.75" customHeight="1">
      <c r="BG930" s="3"/>
      <c r="BH930" s="3"/>
      <c r="BI930" s="3"/>
      <c r="BJ930" s="3"/>
    </row>
    <row r="931" ht="15.75" customHeight="1">
      <c r="BG931" s="3"/>
      <c r="BH931" s="3"/>
      <c r="BI931" s="3"/>
      <c r="BJ931" s="3"/>
    </row>
    <row r="932" ht="15.75" customHeight="1">
      <c r="BG932" s="3"/>
      <c r="BH932" s="3"/>
      <c r="BI932" s="3"/>
      <c r="BJ932" s="3"/>
    </row>
    <row r="933" ht="15.75" customHeight="1">
      <c r="BG933" s="3"/>
      <c r="BH933" s="3"/>
      <c r="BI933" s="3"/>
      <c r="BJ933" s="3"/>
    </row>
    <row r="934" ht="15.75" customHeight="1">
      <c r="BG934" s="3"/>
      <c r="BH934" s="3"/>
      <c r="BI934" s="3"/>
      <c r="BJ934" s="3"/>
    </row>
    <row r="935" ht="15.75" customHeight="1">
      <c r="BG935" s="3"/>
      <c r="BH935" s="3"/>
      <c r="BI935" s="3"/>
      <c r="BJ935" s="3"/>
    </row>
    <row r="936" ht="15.75" customHeight="1">
      <c r="BG936" s="3"/>
      <c r="BH936" s="3"/>
      <c r="BI936" s="3"/>
      <c r="BJ936" s="3"/>
    </row>
    <row r="937" ht="15.75" customHeight="1">
      <c r="BG937" s="3"/>
      <c r="BH937" s="3"/>
      <c r="BI937" s="3"/>
      <c r="BJ937" s="3"/>
    </row>
    <row r="938" ht="15.75" customHeight="1">
      <c r="BG938" s="3"/>
      <c r="BH938" s="3"/>
      <c r="BI938" s="3"/>
      <c r="BJ938" s="3"/>
    </row>
    <row r="939" ht="15.75" customHeight="1">
      <c r="BG939" s="3"/>
      <c r="BH939" s="3"/>
      <c r="BI939" s="3"/>
      <c r="BJ939" s="3"/>
    </row>
    <row r="940" ht="15.75" customHeight="1">
      <c r="BG940" s="3"/>
      <c r="BH940" s="3"/>
      <c r="BI940" s="3"/>
      <c r="BJ940" s="3"/>
    </row>
    <row r="941" ht="15.75" customHeight="1">
      <c r="BG941" s="3"/>
      <c r="BH941" s="3"/>
      <c r="BI941" s="3"/>
      <c r="BJ941" s="3"/>
    </row>
    <row r="942" ht="15.75" customHeight="1">
      <c r="BG942" s="3"/>
      <c r="BH942" s="3"/>
      <c r="BI942" s="3"/>
      <c r="BJ942" s="3"/>
    </row>
    <row r="943" ht="15.75" customHeight="1">
      <c r="BG943" s="3"/>
      <c r="BH943" s="3"/>
      <c r="BI943" s="3"/>
      <c r="BJ943" s="3"/>
    </row>
    <row r="944" ht="15.75" customHeight="1">
      <c r="BG944" s="3"/>
      <c r="BH944" s="3"/>
      <c r="BI944" s="3"/>
      <c r="BJ944" s="3"/>
    </row>
    <row r="945" ht="15.75" customHeight="1">
      <c r="BG945" s="3"/>
      <c r="BH945" s="3"/>
      <c r="BI945" s="3"/>
      <c r="BJ945" s="3"/>
    </row>
    <row r="946" ht="15.75" customHeight="1">
      <c r="BG946" s="3"/>
      <c r="BH946" s="3"/>
      <c r="BI946" s="3"/>
      <c r="BJ946" s="3"/>
    </row>
    <row r="947" ht="15.75" customHeight="1">
      <c r="BG947" s="3"/>
      <c r="BH947" s="3"/>
      <c r="BI947" s="3"/>
      <c r="BJ947" s="3"/>
    </row>
    <row r="948" ht="15.75" customHeight="1">
      <c r="BG948" s="3"/>
      <c r="BH948" s="3"/>
      <c r="BI948" s="3"/>
      <c r="BJ948" s="3"/>
    </row>
    <row r="949" ht="15.75" customHeight="1">
      <c r="BG949" s="3"/>
      <c r="BH949" s="3"/>
      <c r="BI949" s="3"/>
      <c r="BJ949" s="3"/>
    </row>
    <row r="950" ht="15.75" customHeight="1">
      <c r="BG950" s="3"/>
      <c r="BH950" s="3"/>
      <c r="BI950" s="3"/>
      <c r="BJ950" s="3"/>
    </row>
    <row r="951" ht="15.75" customHeight="1">
      <c r="BG951" s="3"/>
      <c r="BH951" s="3"/>
      <c r="BI951" s="3"/>
      <c r="BJ951" s="3"/>
    </row>
    <row r="952" ht="15.75" customHeight="1">
      <c r="BG952" s="3"/>
      <c r="BH952" s="3"/>
      <c r="BI952" s="3"/>
      <c r="BJ952" s="3"/>
    </row>
    <row r="953" ht="15.75" customHeight="1">
      <c r="BG953" s="3"/>
      <c r="BH953" s="3"/>
      <c r="BI953" s="3"/>
      <c r="BJ953" s="3"/>
    </row>
    <row r="954" ht="15.75" customHeight="1">
      <c r="BG954" s="3"/>
      <c r="BH954" s="3"/>
      <c r="BI954" s="3"/>
      <c r="BJ954" s="3"/>
    </row>
    <row r="955" ht="15.75" customHeight="1">
      <c r="BG955" s="3"/>
      <c r="BH955" s="3"/>
      <c r="BI955" s="3"/>
      <c r="BJ955" s="3"/>
    </row>
    <row r="956" ht="15.75" customHeight="1">
      <c r="BG956" s="3"/>
      <c r="BH956" s="3"/>
      <c r="BI956" s="3"/>
      <c r="BJ956" s="3"/>
    </row>
    <row r="957" ht="15.75" customHeight="1">
      <c r="BG957" s="3"/>
      <c r="BH957" s="3"/>
      <c r="BI957" s="3"/>
      <c r="BJ957" s="3"/>
    </row>
    <row r="958" ht="15.75" customHeight="1">
      <c r="BG958" s="3"/>
      <c r="BH958" s="3"/>
      <c r="BI958" s="3"/>
      <c r="BJ958" s="3"/>
    </row>
    <row r="959" ht="15.75" customHeight="1">
      <c r="BG959" s="3"/>
      <c r="BH959" s="3"/>
      <c r="BI959" s="3"/>
      <c r="BJ959" s="3"/>
    </row>
    <row r="960" ht="15.75" customHeight="1">
      <c r="BG960" s="3"/>
      <c r="BH960" s="3"/>
      <c r="BI960" s="3"/>
      <c r="BJ960" s="3"/>
    </row>
    <row r="961" ht="15.75" customHeight="1">
      <c r="BG961" s="3"/>
      <c r="BH961" s="3"/>
      <c r="BI961" s="3"/>
      <c r="BJ961" s="3"/>
    </row>
    <row r="962" ht="15.75" customHeight="1">
      <c r="BG962" s="3"/>
      <c r="BH962" s="3"/>
      <c r="BI962" s="3"/>
      <c r="BJ962" s="3"/>
    </row>
    <row r="963" ht="15.75" customHeight="1">
      <c r="BG963" s="3"/>
      <c r="BH963" s="3"/>
      <c r="BI963" s="3"/>
      <c r="BJ963" s="3"/>
    </row>
    <row r="964" ht="15.75" customHeight="1">
      <c r="BG964" s="3"/>
      <c r="BH964" s="3"/>
      <c r="BI964" s="3"/>
      <c r="BJ964" s="3"/>
    </row>
    <row r="965" ht="15.75" customHeight="1">
      <c r="BG965" s="3"/>
      <c r="BH965" s="3"/>
      <c r="BI965" s="3"/>
      <c r="BJ965" s="3"/>
    </row>
    <row r="966" ht="15.75" customHeight="1">
      <c r="BG966" s="3"/>
      <c r="BH966" s="3"/>
      <c r="BI966" s="3"/>
      <c r="BJ966" s="3"/>
    </row>
    <row r="967" ht="15.75" customHeight="1">
      <c r="BG967" s="3"/>
      <c r="BH967" s="3"/>
      <c r="BI967" s="3"/>
      <c r="BJ967" s="3"/>
    </row>
    <row r="968" ht="15.75" customHeight="1">
      <c r="BG968" s="3"/>
      <c r="BH968" s="3"/>
      <c r="BI968" s="3"/>
      <c r="BJ968" s="3"/>
    </row>
    <row r="969" ht="15.75" customHeight="1">
      <c r="BG969" s="3"/>
      <c r="BH969" s="3"/>
      <c r="BI969" s="3"/>
      <c r="BJ969" s="3"/>
    </row>
    <row r="970" ht="15.75" customHeight="1">
      <c r="BG970" s="3"/>
      <c r="BH970" s="3"/>
      <c r="BI970" s="3"/>
      <c r="BJ970" s="3"/>
    </row>
    <row r="971" ht="15.75" customHeight="1">
      <c r="BG971" s="3"/>
      <c r="BH971" s="3"/>
      <c r="BI971" s="3"/>
      <c r="BJ971" s="3"/>
    </row>
    <row r="972" ht="15.75" customHeight="1">
      <c r="BG972" s="3"/>
      <c r="BH972" s="3"/>
      <c r="BI972" s="3"/>
      <c r="BJ972" s="3"/>
    </row>
    <row r="973" ht="15.75" customHeight="1">
      <c r="BG973" s="3"/>
      <c r="BH973" s="3"/>
      <c r="BI973" s="3"/>
      <c r="BJ973" s="3"/>
    </row>
    <row r="974" ht="15.75" customHeight="1">
      <c r="BG974" s="3"/>
      <c r="BH974" s="3"/>
      <c r="BI974" s="3"/>
      <c r="BJ974" s="3"/>
    </row>
    <row r="975" ht="15.75" customHeight="1">
      <c r="BG975" s="3"/>
      <c r="BH975" s="3"/>
      <c r="BI975" s="3"/>
      <c r="BJ975" s="3"/>
    </row>
    <row r="976" ht="15.75" customHeight="1">
      <c r="BG976" s="3"/>
      <c r="BH976" s="3"/>
      <c r="BI976" s="3"/>
      <c r="BJ976" s="3"/>
    </row>
    <row r="977" ht="15.75" customHeight="1">
      <c r="BG977" s="3"/>
      <c r="BH977" s="3"/>
      <c r="BI977" s="3"/>
      <c r="BJ977" s="3"/>
    </row>
    <row r="978" ht="15.75" customHeight="1">
      <c r="BG978" s="3"/>
      <c r="BH978" s="3"/>
      <c r="BI978" s="3"/>
      <c r="BJ978" s="3"/>
    </row>
    <row r="979" ht="15.75" customHeight="1">
      <c r="BG979" s="3"/>
      <c r="BH979" s="3"/>
      <c r="BI979" s="3"/>
      <c r="BJ979" s="3"/>
    </row>
    <row r="980" ht="15.75" customHeight="1">
      <c r="BG980" s="3"/>
      <c r="BH980" s="3"/>
      <c r="BI980" s="3"/>
      <c r="BJ980" s="3"/>
    </row>
    <row r="981" ht="15.75" customHeight="1">
      <c r="BG981" s="3"/>
      <c r="BH981" s="3"/>
      <c r="BI981" s="3"/>
      <c r="BJ981" s="3"/>
    </row>
    <row r="982" ht="15.75" customHeight="1">
      <c r="BG982" s="3"/>
      <c r="BH982" s="3"/>
      <c r="BI982" s="3"/>
      <c r="BJ982" s="3"/>
    </row>
    <row r="983" ht="15.75" customHeight="1">
      <c r="BG983" s="3"/>
      <c r="BH983" s="3"/>
      <c r="BI983" s="3"/>
      <c r="BJ983" s="3"/>
    </row>
    <row r="984" ht="15.75" customHeight="1">
      <c r="BG984" s="3"/>
      <c r="BH984" s="3"/>
      <c r="BI984" s="3"/>
      <c r="BJ984" s="3"/>
    </row>
    <row r="985" ht="15.75" customHeight="1">
      <c r="BG985" s="3"/>
      <c r="BH985" s="3"/>
      <c r="BI985" s="3"/>
      <c r="BJ985" s="3"/>
    </row>
    <row r="986" ht="15.75" customHeight="1">
      <c r="BG986" s="3"/>
      <c r="BH986" s="3"/>
      <c r="BI986" s="3"/>
      <c r="BJ986" s="3"/>
    </row>
    <row r="987" ht="15.75" customHeight="1">
      <c r="BG987" s="3"/>
      <c r="BH987" s="3"/>
      <c r="BI987" s="3"/>
      <c r="BJ987" s="3"/>
    </row>
    <row r="988" ht="15.75" customHeight="1">
      <c r="BG988" s="3"/>
      <c r="BH988" s="3"/>
      <c r="BI988" s="3"/>
      <c r="BJ988" s="3"/>
    </row>
    <row r="989" ht="15.75" customHeight="1">
      <c r="BG989" s="3"/>
      <c r="BH989" s="3"/>
      <c r="BI989" s="3"/>
      <c r="BJ989" s="3"/>
    </row>
    <row r="990" ht="15.75" customHeight="1">
      <c r="BG990" s="3"/>
      <c r="BH990" s="3"/>
      <c r="BI990" s="3"/>
      <c r="BJ990" s="3"/>
    </row>
    <row r="991" ht="15.75" customHeight="1">
      <c r="BG991" s="3"/>
      <c r="BH991" s="3"/>
      <c r="BI991" s="3"/>
      <c r="BJ991" s="3"/>
    </row>
    <row r="992" ht="15.75" customHeight="1">
      <c r="BG992" s="3"/>
      <c r="BH992" s="3"/>
      <c r="BI992" s="3"/>
      <c r="BJ992" s="3"/>
    </row>
    <row r="993" ht="15.75" customHeight="1">
      <c r="BG993" s="3"/>
      <c r="BH993" s="3"/>
      <c r="BI993" s="3"/>
      <c r="BJ993" s="3"/>
    </row>
    <row r="994" ht="15.75" customHeight="1">
      <c r="BG994" s="3"/>
      <c r="BH994" s="3"/>
      <c r="BI994" s="3"/>
      <c r="BJ994" s="3"/>
    </row>
    <row r="995" ht="15.75" customHeight="1">
      <c r="BG995" s="3"/>
      <c r="BH995" s="3"/>
      <c r="BI995" s="3"/>
      <c r="BJ995" s="3"/>
    </row>
    <row r="996" ht="15.75" customHeight="1">
      <c r="BG996" s="3"/>
      <c r="BH996" s="3"/>
      <c r="BI996" s="3"/>
      <c r="BJ996" s="3"/>
    </row>
    <row r="997" ht="15.75" customHeight="1">
      <c r="BG997" s="3"/>
      <c r="BH997" s="3"/>
      <c r="BI997" s="3"/>
      <c r="BJ997" s="3"/>
    </row>
    <row r="998" ht="15.75" customHeight="1">
      <c r="BG998" s="3"/>
      <c r="BH998" s="3"/>
      <c r="BI998" s="3"/>
      <c r="BJ998" s="3"/>
    </row>
    <row r="999" ht="15.75" customHeight="1">
      <c r="BG999" s="3"/>
      <c r="BH999" s="3"/>
      <c r="BI999" s="3"/>
      <c r="BJ999" s="3"/>
    </row>
    <row r="1000" ht="15.75" customHeight="1">
      <c r="BG1000" s="3"/>
      <c r="BH1000" s="3"/>
      <c r="BI1000" s="3"/>
      <c r="BJ1000" s="3"/>
    </row>
    <row r="1001" ht="15.75" customHeight="1">
      <c r="BG1001" s="3"/>
      <c r="BH1001" s="3"/>
      <c r="BI1001" s="3"/>
      <c r="BJ1001" s="3"/>
    </row>
  </sheetData>
  <mergeCells count="15">
    <mergeCell ref="AE3:AH3"/>
    <mergeCell ref="AI3:AL3"/>
    <mergeCell ref="AM3:AP3"/>
    <mergeCell ref="AQ3:AT3"/>
    <mergeCell ref="AU3:AX3"/>
    <mergeCell ref="AY3:BB3"/>
    <mergeCell ref="BC3:BF3"/>
    <mergeCell ref="BG3:BJ3"/>
    <mergeCell ref="C3:F3"/>
    <mergeCell ref="G3:J3"/>
    <mergeCell ref="K3:N3"/>
    <mergeCell ref="O3:R3"/>
    <mergeCell ref="S3:V3"/>
    <mergeCell ref="W3:Z3"/>
    <mergeCell ref="AA3:AD3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4" width="12.63"/>
    <col customWidth="1" hidden="1" min="5" max="6" width="12.63"/>
    <col customWidth="1" min="63" max="66" width="12.63"/>
  </cols>
  <sheetData>
    <row r="1" ht="15.75" customHeight="1">
      <c r="A1" s="184" t="s">
        <v>1</v>
      </c>
      <c r="BK1" s="3"/>
      <c r="BL1" s="3"/>
      <c r="BM1" s="3"/>
      <c r="BN1" s="3"/>
    </row>
    <row r="2" ht="15.75" customHeight="1">
      <c r="A2" s="128" t="s">
        <v>168</v>
      </c>
      <c r="BK2" s="3"/>
      <c r="BL2" s="3"/>
      <c r="BM2" s="3"/>
      <c r="BN2" s="3"/>
    </row>
    <row r="3" ht="15.75" customHeight="1">
      <c r="B3" s="188"/>
      <c r="C3" s="259" t="s">
        <v>48</v>
      </c>
      <c r="D3" s="260"/>
      <c r="E3" s="260"/>
      <c r="F3" s="261"/>
      <c r="G3" s="259" t="s">
        <v>49</v>
      </c>
      <c r="H3" s="260"/>
      <c r="I3" s="260"/>
      <c r="J3" s="261"/>
      <c r="K3" s="259" t="s">
        <v>5</v>
      </c>
      <c r="L3" s="260"/>
      <c r="M3" s="260"/>
      <c r="N3" s="261"/>
      <c r="O3" s="259" t="s">
        <v>6</v>
      </c>
      <c r="P3" s="260"/>
      <c r="Q3" s="260"/>
      <c r="R3" s="261"/>
      <c r="S3" s="259" t="s">
        <v>7</v>
      </c>
      <c r="T3" s="260"/>
      <c r="U3" s="260"/>
      <c r="V3" s="261"/>
      <c r="W3" s="259" t="s">
        <v>8</v>
      </c>
      <c r="X3" s="260"/>
      <c r="Y3" s="260"/>
      <c r="Z3" s="261"/>
      <c r="AA3" s="259" t="s">
        <v>9</v>
      </c>
      <c r="AB3" s="260"/>
      <c r="AC3" s="260"/>
      <c r="AD3" s="261"/>
      <c r="AE3" s="259" t="s">
        <v>10</v>
      </c>
      <c r="AF3" s="260"/>
      <c r="AG3" s="260"/>
      <c r="AH3" s="261"/>
      <c r="AI3" s="259" t="s">
        <v>11</v>
      </c>
      <c r="AJ3" s="260"/>
      <c r="AK3" s="260"/>
      <c r="AL3" s="261"/>
      <c r="AM3" s="259" t="s">
        <v>12</v>
      </c>
      <c r="AN3" s="260"/>
      <c r="AO3" s="260"/>
      <c r="AP3" s="261"/>
      <c r="AQ3" s="259" t="s">
        <v>58</v>
      </c>
      <c r="AR3" s="260"/>
      <c r="AS3" s="260"/>
      <c r="AT3" s="261"/>
      <c r="AU3" s="259" t="s">
        <v>13</v>
      </c>
      <c r="AV3" s="260"/>
      <c r="AW3" s="260"/>
      <c r="AX3" s="261"/>
      <c r="AY3" s="259" t="s">
        <v>14</v>
      </c>
      <c r="AZ3" s="260"/>
      <c r="BA3" s="260"/>
      <c r="BB3" s="261"/>
      <c r="BC3" s="259" t="s">
        <v>15</v>
      </c>
      <c r="BD3" s="260"/>
      <c r="BE3" s="260"/>
      <c r="BF3" s="261"/>
      <c r="BG3" s="283" t="s">
        <v>171</v>
      </c>
      <c r="BH3" s="260"/>
      <c r="BI3" s="260"/>
      <c r="BJ3" s="261"/>
      <c r="BK3" s="259" t="s">
        <v>17</v>
      </c>
      <c r="BL3" s="260"/>
      <c r="BM3" s="260"/>
      <c r="BN3" s="261"/>
    </row>
    <row r="4" ht="15.75" customHeight="1">
      <c r="B4" s="188"/>
      <c r="C4" s="188" t="s">
        <v>21</v>
      </c>
      <c r="D4" s="188" t="s">
        <v>19</v>
      </c>
      <c r="E4" s="188" t="s">
        <v>20</v>
      </c>
      <c r="F4" s="188" t="s">
        <v>19</v>
      </c>
      <c r="G4" s="188" t="s">
        <v>21</v>
      </c>
      <c r="H4" s="188" t="s">
        <v>19</v>
      </c>
      <c r="I4" s="188" t="s">
        <v>20</v>
      </c>
      <c r="J4" s="188" t="s">
        <v>19</v>
      </c>
      <c r="K4" s="188" t="s">
        <v>21</v>
      </c>
      <c r="L4" s="188" t="s">
        <v>19</v>
      </c>
      <c r="M4" s="188"/>
      <c r="N4" s="188"/>
      <c r="O4" s="188" t="s">
        <v>21</v>
      </c>
      <c r="P4" s="188" t="s">
        <v>19</v>
      </c>
      <c r="Q4" s="188" t="s">
        <v>20</v>
      </c>
      <c r="R4" s="188" t="s">
        <v>19</v>
      </c>
      <c r="S4" s="188" t="s">
        <v>21</v>
      </c>
      <c r="T4" s="188" t="s">
        <v>19</v>
      </c>
      <c r="U4" s="188" t="s">
        <v>20</v>
      </c>
      <c r="V4" s="188" t="s">
        <v>19</v>
      </c>
      <c r="W4" s="188" t="s">
        <v>21</v>
      </c>
      <c r="X4" s="188" t="s">
        <v>19</v>
      </c>
      <c r="Y4" s="188" t="s">
        <v>20</v>
      </c>
      <c r="Z4" s="188" t="s">
        <v>19</v>
      </c>
      <c r="AA4" s="188" t="s">
        <v>21</v>
      </c>
      <c r="AB4" s="188" t="s">
        <v>19</v>
      </c>
      <c r="AC4" s="188" t="s">
        <v>20</v>
      </c>
      <c r="AD4" s="188" t="s">
        <v>19</v>
      </c>
      <c r="AE4" s="188" t="s">
        <v>21</v>
      </c>
      <c r="AF4" s="188" t="s">
        <v>19</v>
      </c>
      <c r="AG4" s="188" t="s">
        <v>20</v>
      </c>
      <c r="AH4" s="188" t="s">
        <v>19</v>
      </c>
      <c r="AI4" s="188" t="s">
        <v>21</v>
      </c>
      <c r="AJ4" s="188" t="s">
        <v>19</v>
      </c>
      <c r="AK4" s="188" t="s">
        <v>20</v>
      </c>
      <c r="AL4" s="188" t="s">
        <v>19</v>
      </c>
      <c r="AM4" s="188" t="s">
        <v>21</v>
      </c>
      <c r="AN4" s="188" t="s">
        <v>19</v>
      </c>
      <c r="AO4" s="188" t="s">
        <v>20</v>
      </c>
      <c r="AP4" s="188" t="s">
        <v>19</v>
      </c>
      <c r="AQ4" s="188" t="s">
        <v>21</v>
      </c>
      <c r="AR4" s="188" t="s">
        <v>19</v>
      </c>
      <c r="AS4" s="188" t="s">
        <v>20</v>
      </c>
      <c r="AT4" s="188" t="s">
        <v>19</v>
      </c>
      <c r="AU4" s="188" t="s">
        <v>21</v>
      </c>
      <c r="AV4" s="188" t="s">
        <v>19</v>
      </c>
      <c r="AW4" s="188" t="s">
        <v>20</v>
      </c>
      <c r="AX4" s="188" t="s">
        <v>19</v>
      </c>
      <c r="AY4" s="188" t="s">
        <v>21</v>
      </c>
      <c r="AZ4" s="188" t="s">
        <v>19</v>
      </c>
      <c r="BA4" s="188" t="s">
        <v>20</v>
      </c>
      <c r="BB4" s="188" t="s">
        <v>19</v>
      </c>
      <c r="BC4" s="188" t="s">
        <v>21</v>
      </c>
      <c r="BD4" s="188" t="s">
        <v>19</v>
      </c>
      <c r="BE4" s="188" t="s">
        <v>20</v>
      </c>
      <c r="BF4" s="188" t="s">
        <v>19</v>
      </c>
      <c r="BG4" s="188" t="s">
        <v>21</v>
      </c>
      <c r="BH4" s="188" t="s">
        <v>19</v>
      </c>
      <c r="BI4" s="188" t="s">
        <v>20</v>
      </c>
      <c r="BJ4" s="188" t="s">
        <v>19</v>
      </c>
      <c r="BK4" s="188" t="s">
        <v>21</v>
      </c>
      <c r="BL4" s="188" t="s">
        <v>19</v>
      </c>
      <c r="BM4" s="188" t="s">
        <v>20</v>
      </c>
      <c r="BN4" s="188" t="s">
        <v>19</v>
      </c>
    </row>
    <row r="5" ht="15.75" customHeight="1">
      <c r="B5" s="188" t="s">
        <v>22</v>
      </c>
      <c r="C5" s="262">
        <f t="shared" ref="C5:C9" si="3">G5+K5</f>
        <v>5216106</v>
      </c>
      <c r="D5" s="263">
        <f t="shared" ref="D5:D10" si="4">C5/C$10</f>
        <v>0.09940476432</v>
      </c>
      <c r="E5" s="262">
        <f t="shared" ref="E5:E9" si="5">I5+M5</f>
        <v>0</v>
      </c>
      <c r="F5" s="268"/>
      <c r="G5" s="189">
        <f>HO!AH14</f>
        <v>0</v>
      </c>
      <c r="H5" s="186"/>
      <c r="I5" s="189">
        <f>HO!AJ14</f>
        <v>0</v>
      </c>
      <c r="J5" s="186"/>
      <c r="K5" s="262">
        <f t="shared" ref="K5:K9" si="6">O5+S5+W5+AA5+AE5+AI5+AM5+AQ5+AU5+AY5+BC5</f>
        <v>5216106</v>
      </c>
      <c r="L5" s="263">
        <f t="shared" ref="L5:L10" si="7">K5/K$10</f>
        <v>0.09940476432</v>
      </c>
      <c r="M5" s="262"/>
      <c r="N5" s="263"/>
      <c r="O5" s="189">
        <f>'The Table'!AH26</f>
        <v>900598</v>
      </c>
      <c r="P5" s="264">
        <f t="shared" ref="P5:P10" si="8">O5/O$10</f>
        <v>0.06472376596</v>
      </c>
      <c r="Q5" s="189">
        <f>'The Table'!AJ26</f>
        <v>1734593</v>
      </c>
      <c r="R5" s="264">
        <f t="shared" ref="R5:R10" si="9">Q5/Q$10</f>
        <v>0.1233700135</v>
      </c>
      <c r="S5" s="189">
        <f>Iktara!S22</f>
        <v>0</v>
      </c>
      <c r="T5" s="264">
        <f t="shared" ref="T5:T10" si="10">S5/S$10</f>
        <v>0</v>
      </c>
      <c r="U5" s="189" t="str">
        <f t="shared" ref="U5:U8" si="11">#REF!</f>
        <v>#REF!</v>
      </c>
      <c r="V5" s="264" t="str">
        <f t="shared" ref="V5:V10" si="12">U5/U$10</f>
        <v>#REF!</v>
      </c>
      <c r="W5" s="189">
        <f>'Mg St Colaba'!AH28</f>
        <v>1234191</v>
      </c>
      <c r="X5" s="264">
        <f t="shared" ref="X5:X10" si="13">W5/W$10</f>
        <v>0.1034449913</v>
      </c>
      <c r="Y5" s="189">
        <f>'Mg St Colaba'!AJ28</f>
        <v>1423750</v>
      </c>
      <c r="Z5" s="264">
        <f t="shared" ref="Z5:Z10" si="14">Y5/Y$10</f>
        <v>0.1044615744</v>
      </c>
      <c r="AA5" s="189">
        <f>'Mg St LP'!AH27</f>
        <v>1502492</v>
      </c>
      <c r="AB5" s="264">
        <f t="shared" ref="AB5:AB10" si="15">AA5/AA$10</f>
        <v>0.1632329001</v>
      </c>
      <c r="AC5" s="189">
        <f>'Mg St LP'!AJ27</f>
        <v>1112471</v>
      </c>
      <c r="AD5" s="264">
        <f t="shared" ref="AD5:AD10" si="16">AC5/AC$10</f>
        <v>0.1231746738</v>
      </c>
      <c r="AE5" s="189">
        <f>'Mg St Bandra'!AH28</f>
        <v>1578825</v>
      </c>
      <c r="AF5" s="264">
        <f t="shared" ref="AF5:AF10" si="17">AE5/AE$10</f>
        <v>0.1009208354</v>
      </c>
      <c r="AG5" s="189">
        <f>'Mg St Bandra'!AJ28</f>
        <v>1713920</v>
      </c>
      <c r="AH5" s="264">
        <f t="shared" ref="AH5:AH10" si="18">AG5/AG$10</f>
        <v>0.1013791178</v>
      </c>
      <c r="AI5" s="189">
        <f>'MSK Events'!I23</f>
        <v>0</v>
      </c>
      <c r="AJ5" s="186"/>
      <c r="AK5" s="189" t="str">
        <f t="shared" ref="AK5:AK8" si="19">#REF!</f>
        <v>#REF!</v>
      </c>
      <c r="AL5" s="186"/>
      <c r="AM5" s="189">
        <f>MSBC!AH24</f>
        <v>0</v>
      </c>
      <c r="AN5" s="186"/>
      <c r="AO5" s="189">
        <f>MSBC!AJ24</f>
        <v>0</v>
      </c>
      <c r="AP5" s="186"/>
      <c r="AQ5" s="189"/>
      <c r="AR5" s="186"/>
      <c r="AS5" s="189"/>
      <c r="AT5" s="186"/>
      <c r="AU5" s="278">
        <f>Kaspers!X26</f>
        <v>0</v>
      </c>
      <c r="AV5" s="186"/>
      <c r="AW5" s="189">
        <f>Kaspers!Z26</f>
        <v>1000000</v>
      </c>
      <c r="AX5" s="186"/>
      <c r="AY5" s="189">
        <f>'MSBC Andheri'!I24</f>
        <v>0</v>
      </c>
      <c r="AZ5" s="186" t="str">
        <f t="shared" ref="AZ5:BA5" si="1">#REF!</f>
        <v>#REF!</v>
      </c>
      <c r="BA5" s="189" t="str">
        <f t="shared" si="1"/>
        <v>#REF!</v>
      </c>
      <c r="BB5" s="186"/>
      <c r="BC5" s="189">
        <f>'MSBC Dahisar'!I22</f>
        <v>0</v>
      </c>
      <c r="BD5" s="186" t="str">
        <f t="shared" ref="BD5:BE5" si="2">#REF!</f>
        <v>#REF!</v>
      </c>
      <c r="BE5" s="189" t="str">
        <f t="shared" si="2"/>
        <v>#REF!</v>
      </c>
      <c r="BF5" s="186"/>
      <c r="BG5" s="189"/>
      <c r="BH5" s="186"/>
      <c r="BI5" s="189"/>
      <c r="BJ5" s="186"/>
      <c r="BK5" s="83"/>
      <c r="BL5" s="28"/>
      <c r="BM5" s="83"/>
      <c r="BN5" s="28"/>
    </row>
    <row r="6" ht="15.75" customHeight="1">
      <c r="B6" s="188" t="s">
        <v>23</v>
      </c>
      <c r="C6" s="262">
        <f t="shared" si="3"/>
        <v>5684223</v>
      </c>
      <c r="D6" s="263">
        <f t="shared" si="4"/>
        <v>0.1083257985</v>
      </c>
      <c r="E6" s="262">
        <f t="shared" si="5"/>
        <v>0</v>
      </c>
      <c r="F6" s="268"/>
      <c r="G6" s="189">
        <f>HO!AH15</f>
        <v>0</v>
      </c>
      <c r="H6" s="186"/>
      <c r="I6" s="189">
        <f>HO!AJ15</f>
        <v>0</v>
      </c>
      <c r="J6" s="186"/>
      <c r="K6" s="262">
        <f t="shared" si="6"/>
        <v>5684223</v>
      </c>
      <c r="L6" s="263">
        <f t="shared" si="7"/>
        <v>0.1083257985</v>
      </c>
      <c r="M6" s="262"/>
      <c r="N6" s="263"/>
      <c r="O6" s="189">
        <f>'The Table'!AH27</f>
        <v>3225798</v>
      </c>
      <c r="P6" s="264">
        <f t="shared" si="8"/>
        <v>0.2318301781</v>
      </c>
      <c r="Q6" s="189">
        <f>'The Table'!AJ27</f>
        <v>3041389</v>
      </c>
      <c r="R6" s="264">
        <f t="shared" si="9"/>
        <v>0.216313684</v>
      </c>
      <c r="S6" s="189">
        <f>Iktara!S23</f>
        <v>0</v>
      </c>
      <c r="T6" s="264">
        <f t="shared" si="10"/>
        <v>0</v>
      </c>
      <c r="U6" s="189" t="str">
        <f t="shared" si="11"/>
        <v>#REF!</v>
      </c>
      <c r="V6" s="264" t="str">
        <f t="shared" si="12"/>
        <v>#REF!</v>
      </c>
      <c r="W6" s="189">
        <f>'Mg St Colaba'!AH29</f>
        <v>570166</v>
      </c>
      <c r="X6" s="264">
        <f t="shared" si="13"/>
        <v>0.0477890512</v>
      </c>
      <c r="Y6" s="189">
        <f>'Mg St Colaba'!AJ29</f>
        <v>941250</v>
      </c>
      <c r="Z6" s="264">
        <f t="shared" si="14"/>
        <v>0.06906019801</v>
      </c>
      <c r="AA6" s="189">
        <f>'Mg St LP'!AH28</f>
        <v>0</v>
      </c>
      <c r="AB6" s="264">
        <f t="shared" si="15"/>
        <v>0</v>
      </c>
      <c r="AC6" s="189">
        <f>'Mg St LP'!AJ28</f>
        <v>0</v>
      </c>
      <c r="AD6" s="264">
        <f t="shared" si="16"/>
        <v>0</v>
      </c>
      <c r="AE6" s="189">
        <f>'Mg St Bandra'!AH29</f>
        <v>1888259</v>
      </c>
      <c r="AF6" s="264">
        <f t="shared" si="17"/>
        <v>0.1207003156</v>
      </c>
      <c r="AG6" s="189">
        <f>'Mg St Bandra'!AJ29</f>
        <v>2148014</v>
      </c>
      <c r="AH6" s="264">
        <f t="shared" si="18"/>
        <v>0.1270559678</v>
      </c>
      <c r="AI6" s="189">
        <f>'MSK Events'!I24</f>
        <v>0</v>
      </c>
      <c r="AJ6" s="186"/>
      <c r="AK6" s="189" t="str">
        <f t="shared" si="19"/>
        <v>#REF!</v>
      </c>
      <c r="AL6" s="186"/>
      <c r="AM6" s="189">
        <f>MSBC!AH25</f>
        <v>0</v>
      </c>
      <c r="AN6" s="186"/>
      <c r="AO6" s="189">
        <f>MSBC!AJ25</f>
        <v>0</v>
      </c>
      <c r="AP6" s="186"/>
      <c r="AQ6" s="189"/>
      <c r="AR6" s="186"/>
      <c r="AS6" s="189"/>
      <c r="AT6" s="186"/>
      <c r="AU6" s="278">
        <f>Kaspers!X27</f>
        <v>0</v>
      </c>
      <c r="AV6" s="186"/>
      <c r="AW6" s="189" t="str">
        <f>Kaspers!Z27</f>
        <v/>
      </c>
      <c r="AX6" s="186"/>
      <c r="AY6" s="189">
        <f>'MSBC Andheri'!I25</f>
        <v>0</v>
      </c>
      <c r="AZ6" s="186"/>
      <c r="BA6" s="189" t="str">
        <f t="shared" ref="BA6:BA7" si="20">#REF!</f>
        <v>#REF!</v>
      </c>
      <c r="BB6" s="186"/>
      <c r="BC6" s="189">
        <f>'MSBC Dahisar'!I23</f>
        <v>0</v>
      </c>
      <c r="BD6" s="186"/>
      <c r="BE6" s="189" t="str">
        <f t="shared" ref="BE6:BE8" si="21">#REF!</f>
        <v>#REF!</v>
      </c>
      <c r="BF6" s="186"/>
      <c r="BG6" s="189"/>
      <c r="BH6" s="186"/>
      <c r="BI6" s="189"/>
      <c r="BJ6" s="186"/>
      <c r="BK6" s="114"/>
      <c r="BL6" s="43"/>
      <c r="BM6" s="114"/>
      <c r="BN6" s="43"/>
    </row>
    <row r="7" ht="15.75" customHeight="1">
      <c r="B7" s="188" t="s">
        <v>24</v>
      </c>
      <c r="C7" s="262">
        <f t="shared" si="3"/>
        <v>38152918.4</v>
      </c>
      <c r="D7" s="263">
        <f t="shared" si="4"/>
        <v>0.7270906423</v>
      </c>
      <c r="E7" s="262">
        <f t="shared" si="5"/>
        <v>0</v>
      </c>
      <c r="F7" s="268"/>
      <c r="G7" s="189">
        <f>HO!AH16</f>
        <v>0</v>
      </c>
      <c r="H7" s="186"/>
      <c r="I7" s="189">
        <f>HO!AJ16</f>
        <v>0</v>
      </c>
      <c r="J7" s="186"/>
      <c r="K7" s="262">
        <f t="shared" si="6"/>
        <v>38152918.4</v>
      </c>
      <c r="L7" s="263">
        <f t="shared" si="7"/>
        <v>0.7270906423</v>
      </c>
      <c r="M7" s="262"/>
      <c r="N7" s="263"/>
      <c r="O7" s="189">
        <f>'The Table'!AH28</f>
        <v>8573606</v>
      </c>
      <c r="P7" s="264">
        <f t="shared" si="8"/>
        <v>0.6161640023</v>
      </c>
      <c r="Q7" s="189">
        <f>'The Table'!AJ28</f>
        <v>8226964</v>
      </c>
      <c r="R7" s="264">
        <f t="shared" si="9"/>
        <v>0.5851289957</v>
      </c>
      <c r="S7" s="189">
        <f>Iktara!S24</f>
        <v>549775.35</v>
      </c>
      <c r="T7" s="264">
        <f t="shared" si="10"/>
        <v>1</v>
      </c>
      <c r="U7" s="189" t="str">
        <f t="shared" si="11"/>
        <v>#REF!</v>
      </c>
      <c r="V7" s="264" t="str">
        <f t="shared" si="12"/>
        <v>#REF!</v>
      </c>
      <c r="W7" s="189">
        <f>'Mg St Colaba'!AH30</f>
        <v>9376534.82</v>
      </c>
      <c r="X7" s="264">
        <f t="shared" si="13"/>
        <v>0.7859039342</v>
      </c>
      <c r="Y7" s="189">
        <f>'Mg St Colaba'!AJ30</f>
        <v>10353751</v>
      </c>
      <c r="Z7" s="264">
        <f t="shared" si="14"/>
        <v>0.7596622515</v>
      </c>
      <c r="AA7" s="189">
        <f>'Mg St LP'!AH29</f>
        <v>7294731.49</v>
      </c>
      <c r="AB7" s="264">
        <f t="shared" si="15"/>
        <v>0.7925101609</v>
      </c>
      <c r="AC7" s="189">
        <f>'Mg St LP'!AJ29</f>
        <v>7411978</v>
      </c>
      <c r="AD7" s="264">
        <f t="shared" si="16"/>
        <v>0.8206667609</v>
      </c>
      <c r="AE7" s="189">
        <f>'Mg St Bandra'!AH30</f>
        <v>11128807.73</v>
      </c>
      <c r="AF7" s="264">
        <f t="shared" si="17"/>
        <v>0.7113698944</v>
      </c>
      <c r="AG7" s="189">
        <f>'Mg St Bandra'!AJ30</f>
        <v>11899247</v>
      </c>
      <c r="AH7" s="264">
        <f t="shared" si="18"/>
        <v>0.7038456659</v>
      </c>
      <c r="AI7" s="189">
        <f>'MSK Events'!I25</f>
        <v>0</v>
      </c>
      <c r="AJ7" s="186"/>
      <c r="AK7" s="189" t="str">
        <f t="shared" si="19"/>
        <v>#REF!</v>
      </c>
      <c r="AL7" s="186"/>
      <c r="AM7" s="189">
        <f>MSBC!AH29</f>
        <v>379403.58</v>
      </c>
      <c r="AN7" s="186"/>
      <c r="AO7" s="189">
        <f>MSBC!AJ26</f>
        <v>84000</v>
      </c>
      <c r="AP7" s="186"/>
      <c r="AQ7" s="189">
        <f>'MSBC Andheri'!I26</f>
        <v>345464.23</v>
      </c>
      <c r="AR7" s="186"/>
      <c r="AS7" s="189" t="str">
        <f>#REF!</f>
        <v>#REF!</v>
      </c>
      <c r="AU7" s="278">
        <f>Kaspers!X28</f>
        <v>0</v>
      </c>
      <c r="AV7" s="186"/>
      <c r="AW7" s="189">
        <f>Kaspers!Z28</f>
        <v>4000000</v>
      </c>
      <c r="AX7" s="186"/>
      <c r="AY7" s="189">
        <f>'MSBC Andheri'!I26</f>
        <v>345464.23</v>
      </c>
      <c r="AZ7" s="186"/>
      <c r="BA7" s="189" t="str">
        <f t="shared" si="20"/>
        <v>#REF!</v>
      </c>
      <c r="BB7" s="186"/>
      <c r="BC7" s="189">
        <f>'MSBC Dahisar'!I24</f>
        <v>159130.97</v>
      </c>
      <c r="BD7" s="186"/>
      <c r="BE7" s="189" t="str">
        <f t="shared" si="21"/>
        <v>#REF!</v>
      </c>
      <c r="BF7" s="186"/>
      <c r="BG7" s="189">
        <f>'MSBC Juhu  Goregoan'!I23</f>
        <v>105196</v>
      </c>
      <c r="BH7" s="186"/>
      <c r="BI7" s="189"/>
      <c r="BJ7" s="186"/>
      <c r="BK7" s="114"/>
      <c r="BL7" s="43"/>
      <c r="BM7" s="114"/>
      <c r="BN7" s="43"/>
    </row>
    <row r="8" ht="15.75" customHeight="1">
      <c r="B8" s="188" t="s">
        <v>25</v>
      </c>
      <c r="C8" s="262">
        <f t="shared" si="3"/>
        <v>3363153</v>
      </c>
      <c r="D8" s="263">
        <f t="shared" si="4"/>
        <v>0.0640925302</v>
      </c>
      <c r="E8" s="262">
        <f t="shared" si="5"/>
        <v>0</v>
      </c>
      <c r="F8" s="268"/>
      <c r="G8" s="265" t="str">
        <f>HO!AH18</f>
        <v/>
      </c>
      <c r="H8" s="186"/>
      <c r="I8" s="265" t="str">
        <f>HO!AJ18</f>
        <v/>
      </c>
      <c r="J8" s="186"/>
      <c r="K8" s="262">
        <f t="shared" si="6"/>
        <v>3363153</v>
      </c>
      <c r="L8" s="263">
        <f t="shared" si="7"/>
        <v>0.0640925302</v>
      </c>
      <c r="M8" s="262"/>
      <c r="N8" s="263"/>
      <c r="O8" s="189">
        <f>'The Table'!AH30</f>
        <v>1199185</v>
      </c>
      <c r="P8" s="264">
        <f t="shared" si="8"/>
        <v>0.08618248017</v>
      </c>
      <c r="Q8" s="265">
        <f>'The Table'!AJ30</f>
        <v>1057140</v>
      </c>
      <c r="R8" s="264">
        <f t="shared" si="9"/>
        <v>0.07518730682</v>
      </c>
      <c r="S8" s="186" t="str">
        <f>Iktara!S26</f>
        <v/>
      </c>
      <c r="T8" s="264">
        <f t="shared" si="10"/>
        <v>0</v>
      </c>
      <c r="U8" s="186" t="str">
        <f t="shared" si="11"/>
        <v>#REF!</v>
      </c>
      <c r="V8" s="264" t="str">
        <f t="shared" si="12"/>
        <v>#REF!</v>
      </c>
      <c r="W8" s="189">
        <f>'Mg St Colaba'!AH32</f>
        <v>731800</v>
      </c>
      <c r="X8" s="264">
        <f t="shared" si="13"/>
        <v>0.06133657157</v>
      </c>
      <c r="Y8" s="189">
        <f>'Mg St Colaba'!AJ32</f>
        <v>910662.5716</v>
      </c>
      <c r="Z8" s="264">
        <f t="shared" si="14"/>
        <v>0.06681597611</v>
      </c>
      <c r="AA8" s="189">
        <f>'Mg St LP'!AH31</f>
        <v>399667</v>
      </c>
      <c r="AB8" s="264">
        <f t="shared" si="15"/>
        <v>0.0434203999</v>
      </c>
      <c r="AC8" s="189">
        <f>'Mg St LP'!AJ31</f>
        <v>507204.7155</v>
      </c>
      <c r="AD8" s="264">
        <f t="shared" si="16"/>
        <v>0.05615856536</v>
      </c>
      <c r="AE8" s="189">
        <f>'Mg St Bandra'!AH32</f>
        <v>1032501</v>
      </c>
      <c r="AF8" s="264">
        <f t="shared" si="17"/>
        <v>0.06599899514</v>
      </c>
      <c r="AG8" s="189">
        <f>'Mg St Bandra'!AJ32</f>
        <v>1144864.71</v>
      </c>
      <c r="AH8" s="264">
        <f t="shared" si="18"/>
        <v>0.06771924847</v>
      </c>
      <c r="AI8" s="189" t="str">
        <f>'MSK Events'!I27</f>
        <v/>
      </c>
      <c r="AJ8" s="186"/>
      <c r="AK8" s="186" t="str">
        <f t="shared" si="19"/>
        <v>#REF!</v>
      </c>
      <c r="AL8" s="186"/>
      <c r="AM8" s="189" t="str">
        <f>MSBC!AH28</f>
        <v/>
      </c>
      <c r="AN8" s="186"/>
      <c r="AO8" s="265" t="str">
        <f>MSBC!AJ28</f>
        <v/>
      </c>
      <c r="AP8" s="186"/>
      <c r="AQ8" s="189"/>
      <c r="AR8" s="186"/>
      <c r="AS8" s="189"/>
      <c r="AT8" s="186"/>
      <c r="AU8" s="278" t="str">
        <f>Kaspers!X30</f>
        <v/>
      </c>
      <c r="AV8" s="186"/>
      <c r="AW8" s="265" t="str">
        <f>Kaspers!Z30</f>
        <v/>
      </c>
      <c r="AX8" s="186"/>
      <c r="AY8" s="267">
        <v>0.0</v>
      </c>
      <c r="AZ8" s="186"/>
      <c r="BA8" s="189" t="str">
        <f>'MSBC Andheri'!I27</f>
        <v/>
      </c>
      <c r="BB8" s="186"/>
      <c r="BC8" s="186" t="str">
        <f>'MSBC Dahisar'!I25</f>
        <v/>
      </c>
      <c r="BD8" s="186"/>
      <c r="BE8" s="186" t="str">
        <f t="shared" si="21"/>
        <v>#REF!</v>
      </c>
      <c r="BF8" s="186"/>
      <c r="BG8" s="186"/>
      <c r="BH8" s="186"/>
      <c r="BI8" s="186"/>
      <c r="BJ8" s="186"/>
      <c r="BK8" s="114"/>
      <c r="BL8" s="43"/>
      <c r="BM8" s="114"/>
      <c r="BN8" s="43"/>
    </row>
    <row r="9" ht="15.75" customHeight="1">
      <c r="B9" s="188" t="s">
        <v>169</v>
      </c>
      <c r="C9" s="262">
        <f t="shared" si="3"/>
        <v>57000</v>
      </c>
      <c r="D9" s="263">
        <f t="shared" si="4"/>
        <v>0.001086264652</v>
      </c>
      <c r="E9" s="262">
        <f t="shared" si="5"/>
        <v>0</v>
      </c>
      <c r="F9" s="268"/>
      <c r="G9" s="265">
        <f>HO!AH19</f>
        <v>0</v>
      </c>
      <c r="H9" s="186"/>
      <c r="I9" s="265">
        <f>HO!AJ19</f>
        <v>0</v>
      </c>
      <c r="J9" s="186"/>
      <c r="K9" s="262">
        <f t="shared" si="6"/>
        <v>57000</v>
      </c>
      <c r="L9" s="263">
        <f t="shared" si="7"/>
        <v>0.001086264652</v>
      </c>
      <c r="M9" s="262"/>
      <c r="N9" s="263"/>
      <c r="O9" s="189">
        <f>'The Table'!AH22+'The Table'!AH23+'The Table'!AH24</f>
        <v>15300</v>
      </c>
      <c r="P9" s="264">
        <f t="shared" si="8"/>
        <v>0.001099573416</v>
      </c>
      <c r="Q9" s="189">
        <f>'The Table'!AJ22+'The Table'!AJ23+'The Table'!AJ24</f>
        <v>0</v>
      </c>
      <c r="R9" s="264">
        <f t="shared" si="9"/>
        <v>0</v>
      </c>
      <c r="S9" s="267">
        <v>0.0</v>
      </c>
      <c r="T9" s="264">
        <f t="shared" si="10"/>
        <v>0</v>
      </c>
      <c r="U9" s="267">
        <v>0.0</v>
      </c>
      <c r="V9" s="264" t="str">
        <f t="shared" si="12"/>
        <v>#REF!</v>
      </c>
      <c r="W9" s="189">
        <f>'Mg St Colaba'!AH24+'Mg St Colaba'!AH25+'Mg St Colaba'!AH26</f>
        <v>18200</v>
      </c>
      <c r="X9" s="264">
        <f t="shared" si="13"/>
        <v>0.001525451766</v>
      </c>
      <c r="Y9" s="189">
        <f>'Mg St Colaba'!AJ24+'Mg St Colaba'!AJ25+'Mg St Colaba'!AJ26</f>
        <v>0</v>
      </c>
      <c r="Z9" s="264">
        <f t="shared" si="14"/>
        <v>0</v>
      </c>
      <c r="AA9" s="189">
        <f>'Mg St LP'!AH23+'Mg St LP'!AH24+'Mg St LP'!AH25</f>
        <v>7700</v>
      </c>
      <c r="AB9" s="264">
        <f t="shared" si="15"/>
        <v>0.0008365391169</v>
      </c>
      <c r="AC9" s="189">
        <f>'Mg St LP'!AJ23+'Mg St LP'!AJ24+'Mg St LP'!AJ25</f>
        <v>0</v>
      </c>
      <c r="AD9" s="264">
        <f t="shared" si="16"/>
        <v>0</v>
      </c>
      <c r="AE9" s="189">
        <f>'Mg St Bandra'!AH24+'Mg St Bandra'!AH25+'Mg St Bandra'!AH26</f>
        <v>15800</v>
      </c>
      <c r="AF9" s="264">
        <f t="shared" si="17"/>
        <v>0.001009959432</v>
      </c>
      <c r="AG9" s="189">
        <f>'Mg St Bandra'!AJ24+'Mg St Bandra'!AJ25+'Mg St Bandra'!AJ26</f>
        <v>0</v>
      </c>
      <c r="AH9" s="264">
        <f t="shared" si="18"/>
        <v>0</v>
      </c>
      <c r="AI9" s="266">
        <v>0.0</v>
      </c>
      <c r="AJ9" s="186"/>
      <c r="AK9" s="267">
        <v>0.0</v>
      </c>
      <c r="AL9" s="186"/>
      <c r="AM9" s="266">
        <v>0.0</v>
      </c>
      <c r="AN9" s="186"/>
      <c r="AO9" s="267">
        <v>0.0</v>
      </c>
      <c r="AP9" s="186"/>
      <c r="AQ9" s="266">
        <v>0.0</v>
      </c>
      <c r="AR9" s="186"/>
      <c r="AS9" s="266">
        <v>0.0</v>
      </c>
      <c r="AT9" s="186"/>
      <c r="AU9" s="267">
        <v>0.0</v>
      </c>
      <c r="AV9" s="186"/>
      <c r="AW9" s="267">
        <v>0.0</v>
      </c>
      <c r="AX9" s="186"/>
      <c r="AY9" s="267">
        <v>0.0</v>
      </c>
      <c r="AZ9" s="186"/>
      <c r="BA9" s="266">
        <v>0.0</v>
      </c>
      <c r="BB9" s="186"/>
      <c r="BC9" s="267">
        <v>0.0</v>
      </c>
      <c r="BD9" s="186"/>
      <c r="BE9" s="267">
        <v>0.0</v>
      </c>
      <c r="BF9" s="186"/>
      <c r="BG9" s="267"/>
      <c r="BH9" s="186"/>
      <c r="BI9" s="267"/>
      <c r="BJ9" s="186"/>
      <c r="BK9" s="62"/>
      <c r="BL9" s="43"/>
      <c r="BM9" s="114"/>
      <c r="BN9" s="43"/>
    </row>
    <row r="10" ht="15.75" customHeight="1">
      <c r="B10" s="188" t="s">
        <v>27</v>
      </c>
      <c r="C10" s="262">
        <f>SUM(C5:C9)</f>
        <v>52473400.4</v>
      </c>
      <c r="D10" s="263">
        <f t="shared" si="4"/>
        <v>1</v>
      </c>
      <c r="E10" s="262">
        <f>SUM(E5:E9)</f>
        <v>0</v>
      </c>
      <c r="F10" s="268"/>
      <c r="G10" s="189">
        <f>SUM(G5:G9)</f>
        <v>0</v>
      </c>
      <c r="H10" s="186"/>
      <c r="I10" s="189">
        <f>SUM(I5:I9)</f>
        <v>0</v>
      </c>
      <c r="J10" s="186"/>
      <c r="K10" s="262">
        <f>SUM(K5:K9)</f>
        <v>52473400.4</v>
      </c>
      <c r="L10" s="263">
        <f t="shared" si="7"/>
        <v>1</v>
      </c>
      <c r="M10" s="262"/>
      <c r="N10" s="263"/>
      <c r="O10" s="189">
        <f>SUM(O5:O9)</f>
        <v>13914487</v>
      </c>
      <c r="P10" s="264">
        <f t="shared" si="8"/>
        <v>1</v>
      </c>
      <c r="Q10" s="189">
        <f>SUM(Q5:Q9)</f>
        <v>14060086</v>
      </c>
      <c r="R10" s="264">
        <f t="shared" si="9"/>
        <v>1</v>
      </c>
      <c r="S10" s="189">
        <f>SUM(S5:S9)</f>
        <v>549775.35</v>
      </c>
      <c r="T10" s="264">
        <f t="shared" si="10"/>
        <v>1</v>
      </c>
      <c r="U10" s="189" t="str">
        <f>SUM(U5:U9)</f>
        <v>#REF!</v>
      </c>
      <c r="V10" s="264" t="str">
        <f t="shared" si="12"/>
        <v>#REF!</v>
      </c>
      <c r="W10" s="189">
        <f>SUM(W5:W9)</f>
        <v>11930891.82</v>
      </c>
      <c r="X10" s="264">
        <f t="shared" si="13"/>
        <v>1</v>
      </c>
      <c r="Y10" s="189">
        <f>SUM(Y5:Y9)</f>
        <v>13629413.57</v>
      </c>
      <c r="Z10" s="264">
        <f t="shared" si="14"/>
        <v>1</v>
      </c>
      <c r="AA10" s="189">
        <f>SUM(AA5:AA9)</f>
        <v>9204590.49</v>
      </c>
      <c r="AB10" s="264">
        <f t="shared" si="15"/>
        <v>1</v>
      </c>
      <c r="AC10" s="189">
        <f>SUM(AC5:AC9)</f>
        <v>9031653.716</v>
      </c>
      <c r="AD10" s="264">
        <f t="shared" si="16"/>
        <v>1</v>
      </c>
      <c r="AE10" s="189">
        <f>SUM(AE5:AE9)</f>
        <v>15644192.73</v>
      </c>
      <c r="AF10" s="264">
        <f t="shared" si="17"/>
        <v>1</v>
      </c>
      <c r="AG10" s="189">
        <f>SUM(AG5:AG9)</f>
        <v>16906045.71</v>
      </c>
      <c r="AH10" s="264">
        <f t="shared" si="18"/>
        <v>1</v>
      </c>
      <c r="AI10" s="189">
        <f>SUM(AI5:AI9)</f>
        <v>0</v>
      </c>
      <c r="AJ10" s="186"/>
      <c r="AK10" s="189" t="str">
        <f>SUM(AK5:AK9)</f>
        <v>#REF!</v>
      </c>
      <c r="AL10" s="186"/>
      <c r="AM10" s="189">
        <f>SUM(AM5:AM9)</f>
        <v>379403.58</v>
      </c>
      <c r="AN10" s="186"/>
      <c r="AO10" s="189">
        <f>SUM(AO5:AO9)</f>
        <v>84000</v>
      </c>
      <c r="AP10" s="186"/>
      <c r="AQ10" s="189">
        <f>SUM(AQ5:AQ9)</f>
        <v>345464.23</v>
      </c>
      <c r="AR10" s="264">
        <f>AQ10/AQ$10</f>
        <v>1</v>
      </c>
      <c r="AS10" s="189" t="str">
        <f>SUM(AS5:AS9)</f>
        <v>#REF!</v>
      </c>
      <c r="AT10" s="264" t="str">
        <f>AS10/AS$10</f>
        <v>#REF!</v>
      </c>
      <c r="AU10" s="190">
        <f>SUM(AU5:AU9)</f>
        <v>0</v>
      </c>
      <c r="AV10" s="186"/>
      <c r="AW10" s="189">
        <f>SUM(AW5:AW9)</f>
        <v>5000000</v>
      </c>
      <c r="AX10" s="186"/>
      <c r="AY10" s="189">
        <f>SUM(AY5:AY9)</f>
        <v>345464.23</v>
      </c>
      <c r="AZ10" s="186"/>
      <c r="BA10" s="189" t="str">
        <f>SUM(BA5:BA9)</f>
        <v>#REF!</v>
      </c>
      <c r="BB10" s="186"/>
      <c r="BC10" s="189">
        <f>SUM(BC5:BC9)</f>
        <v>159130.97</v>
      </c>
      <c r="BD10" s="186"/>
      <c r="BE10" s="189" t="str">
        <f t="shared" ref="BE10:BG10" si="22">SUM(BE5:BE9)</f>
        <v>#REF!</v>
      </c>
      <c r="BF10" s="189">
        <f t="shared" si="22"/>
        <v>0</v>
      </c>
      <c r="BG10" s="189">
        <f t="shared" si="22"/>
        <v>105196</v>
      </c>
      <c r="BH10" s="186"/>
      <c r="BI10" s="189"/>
      <c r="BJ10" s="186"/>
      <c r="BK10" s="146">
        <f>SUM(BK5:BK9)</f>
        <v>0</v>
      </c>
      <c r="BL10" s="188"/>
      <c r="BM10" s="262">
        <f>SUM(BM5:BM9)</f>
        <v>0</v>
      </c>
      <c r="BN10" s="188"/>
    </row>
    <row r="11" ht="15.75" customHeight="1">
      <c r="B11" s="188"/>
      <c r="C11" s="268"/>
      <c r="D11" s="268"/>
      <c r="E11" s="268"/>
      <c r="F11" s="268"/>
      <c r="G11" s="186"/>
      <c r="H11" s="186"/>
      <c r="I11" s="186"/>
      <c r="J11" s="186"/>
      <c r="K11" s="268"/>
      <c r="L11" s="268"/>
      <c r="M11" s="268"/>
      <c r="N11" s="268"/>
      <c r="O11" s="186"/>
      <c r="P11" s="264"/>
      <c r="Q11" s="186"/>
      <c r="R11" s="264"/>
      <c r="S11" s="186"/>
      <c r="T11" s="264"/>
      <c r="U11" s="186"/>
      <c r="V11" s="264"/>
      <c r="W11" s="186"/>
      <c r="X11" s="264"/>
      <c r="Y11" s="186"/>
      <c r="Z11" s="264"/>
      <c r="AA11" s="186"/>
      <c r="AB11" s="264"/>
      <c r="AC11" s="186"/>
      <c r="AD11" s="264"/>
      <c r="AE11" s="186"/>
      <c r="AF11" s="264"/>
      <c r="AG11" s="186"/>
      <c r="AH11" s="264"/>
      <c r="AI11" s="189"/>
      <c r="AJ11" s="186"/>
      <c r="AK11" s="186"/>
      <c r="AL11" s="186"/>
      <c r="AM11" s="189"/>
      <c r="AN11" s="186"/>
      <c r="AO11" s="186"/>
      <c r="AP11" s="186"/>
      <c r="AQ11" s="189"/>
      <c r="AR11" s="186"/>
      <c r="AS11" s="189"/>
      <c r="AT11" s="186"/>
      <c r="AU11" s="186"/>
      <c r="AV11" s="186"/>
      <c r="AW11" s="186"/>
      <c r="AX11" s="186"/>
      <c r="AY11" s="186"/>
      <c r="AZ11" s="186"/>
      <c r="BA11" s="186"/>
      <c r="BB11" s="186"/>
      <c r="BC11" s="186"/>
      <c r="BD11" s="186"/>
      <c r="BE11" s="186"/>
      <c r="BF11" s="186"/>
      <c r="BG11" s="186"/>
      <c r="BH11" s="186"/>
      <c r="BI11" s="186"/>
      <c r="BJ11" s="186"/>
      <c r="BK11" s="83"/>
      <c r="BL11" s="43"/>
      <c r="BM11" s="114"/>
      <c r="BN11" s="43"/>
    </row>
    <row r="12" ht="15.75" customHeight="1">
      <c r="B12" s="188" t="s">
        <v>29</v>
      </c>
      <c r="C12" s="262">
        <f t="shared" ref="C12:C13" si="25">G12+K12</f>
        <v>18111240.17</v>
      </c>
      <c r="D12" s="263">
        <f t="shared" ref="D12:D14" si="26">C12/C$10</f>
        <v>0.3451508771</v>
      </c>
      <c r="E12" s="262">
        <f t="shared" ref="E12:E13" si="27">I12+M12</f>
        <v>0</v>
      </c>
      <c r="F12" s="268"/>
      <c r="G12" s="265">
        <f>HO!AH32</f>
        <v>0</v>
      </c>
      <c r="H12" s="186"/>
      <c r="I12" s="265">
        <f>HO!AJ32</f>
        <v>0</v>
      </c>
      <c r="J12" s="186"/>
      <c r="K12" s="262">
        <f t="shared" ref="K12:K13" si="28">O12+S12+W12+AA12+AE12+AI12+AM12+AQ12+AU12+AY12+BC12</f>
        <v>18111240.17</v>
      </c>
      <c r="L12" s="263">
        <f t="shared" ref="L12:L14" si="29">K12/K$10</f>
        <v>0.3451508771</v>
      </c>
      <c r="M12" s="262"/>
      <c r="N12" s="263"/>
      <c r="O12" s="189">
        <f>'The Table'!AH41</f>
        <v>5882122.409</v>
      </c>
      <c r="P12" s="264">
        <f t="shared" ref="P12:P14" si="30">O12/O$10</f>
        <v>0.4227336882</v>
      </c>
      <c r="Q12" s="189">
        <f>'The Table'!AJ41</f>
        <v>4732461.21</v>
      </c>
      <c r="R12" s="264">
        <f t="shared" ref="R12:R14" si="31">Q12/Q$10</f>
        <v>0.3365883544</v>
      </c>
      <c r="S12" s="189">
        <f>Iktara!S38</f>
        <v>218576.7732</v>
      </c>
      <c r="T12" s="264">
        <f t="shared" ref="T12:T14" si="32">S12/S$10</f>
        <v>0.3975747061</v>
      </c>
      <c r="U12" s="189" t="str">
        <f t="shared" ref="U12:U13" si="33">#REF!</f>
        <v>#REF!</v>
      </c>
      <c r="V12" s="264" t="str">
        <f t="shared" ref="V12:V14" si="34">U12/U$10</f>
        <v>#REF!</v>
      </c>
      <c r="W12" s="189">
        <f>'Mg St Colaba'!AH51</f>
        <v>3810337.532</v>
      </c>
      <c r="X12" s="264">
        <f t="shared" ref="X12:X14" si="35">W12/W$10</f>
        <v>0.3193673691</v>
      </c>
      <c r="Y12" s="189">
        <f>'Mg St Colaba'!AJ51</f>
        <v>3756158.618</v>
      </c>
      <c r="Z12" s="264">
        <f t="shared" ref="Z12:Z14" si="36">Y12/Y$10</f>
        <v>0.2755920934</v>
      </c>
      <c r="AA12" s="189">
        <f>'Mg St LP'!AH52</f>
        <v>2780181.145</v>
      </c>
      <c r="AB12" s="264">
        <f t="shared" ref="AB12:AB14" si="37">AA12/AA$10</f>
        <v>0.3020428935</v>
      </c>
      <c r="AC12" s="189">
        <f>'Mg St LP'!AJ52</f>
        <v>2176261.932</v>
      </c>
      <c r="AD12" s="264">
        <f t="shared" ref="AD12:AD14" si="38">AC12/AC$10</f>
        <v>0.2409594079</v>
      </c>
      <c r="AE12" s="189">
        <f>'Mg St Bandra'!AH51</f>
        <v>4555089.107</v>
      </c>
      <c r="AF12" s="264">
        <f t="shared" ref="AF12:AF14" si="39">AE12/AE$10</f>
        <v>0.291168051</v>
      </c>
      <c r="AG12" s="189">
        <f>'Mg St Bandra'!AJ51</f>
        <v>5015743.729</v>
      </c>
      <c r="AH12" s="264">
        <f t="shared" ref="AH12:AH14" si="40">AG12/AG$10</f>
        <v>0.2966834359</v>
      </c>
      <c r="AI12" s="189">
        <f>'MSK Events'!I46</f>
        <v>0</v>
      </c>
      <c r="AJ12" s="186"/>
      <c r="AK12" s="186" t="str">
        <f t="shared" ref="AK12:AK13" si="41">#REF!</f>
        <v>#REF!</v>
      </c>
      <c r="AL12" s="186"/>
      <c r="AM12" s="189">
        <f>MSBC!AH47</f>
        <v>227497.1731</v>
      </c>
      <c r="AN12" s="186"/>
      <c r="AO12" s="265">
        <f>MSBC!AJ47</f>
        <v>0</v>
      </c>
      <c r="AP12" s="186"/>
      <c r="AQ12" s="189">
        <f>'MSBC Andheri'!I47</f>
        <v>227300.7394</v>
      </c>
      <c r="AR12" s="186"/>
      <c r="AS12" s="189"/>
      <c r="AT12" s="186"/>
      <c r="AU12" s="278">
        <f>Kaspers!X49</f>
        <v>0</v>
      </c>
      <c r="AV12" s="186"/>
      <c r="AW12" s="189">
        <f>Kaspers!Z49</f>
        <v>2143500</v>
      </c>
      <c r="AX12" s="186"/>
      <c r="AY12" s="189">
        <f>'MSBC Andheri'!I47</f>
        <v>227300.7394</v>
      </c>
      <c r="AZ12" s="186" t="str">
        <f t="shared" ref="AZ12:BA12" si="23">#REF!</f>
        <v>#REF!</v>
      </c>
      <c r="BA12" s="186" t="str">
        <f t="shared" si="23"/>
        <v>#REF!</v>
      </c>
      <c r="BB12" s="186"/>
      <c r="BC12" s="189">
        <f>'MSBC Dahisar'!I45</f>
        <v>182834.5544</v>
      </c>
      <c r="BD12" s="186" t="str">
        <f t="shared" ref="BD12:BE12" si="24">#REF!</f>
        <v>#REF!</v>
      </c>
      <c r="BE12" s="186" t="str">
        <f t="shared" si="24"/>
        <v>#REF!</v>
      </c>
      <c r="BF12" s="186"/>
      <c r="BG12" s="189">
        <f>'MSBC Juhu  Goregoan'!I36</f>
        <v>180432.8727</v>
      </c>
      <c r="BH12" s="186"/>
      <c r="BI12" s="186"/>
      <c r="BJ12" s="186"/>
      <c r="BK12" s="114" t="str">
        <f>'LOUD MOUTH'!I47</f>
        <v/>
      </c>
      <c r="BL12" s="28"/>
      <c r="BM12" s="83"/>
      <c r="BN12" s="28"/>
    </row>
    <row r="13" ht="15.75" customHeight="1">
      <c r="B13" s="188" t="s">
        <v>30</v>
      </c>
      <c r="C13" s="262">
        <f t="shared" si="25"/>
        <v>699730.32</v>
      </c>
      <c r="D13" s="263">
        <f t="shared" si="26"/>
        <v>0.01333495285</v>
      </c>
      <c r="E13" s="262">
        <f t="shared" si="27"/>
        <v>0</v>
      </c>
      <c r="F13" s="268"/>
      <c r="G13" s="265" t="str">
        <f>HO!AH33</f>
        <v/>
      </c>
      <c r="H13" s="186"/>
      <c r="I13" s="265" t="str">
        <f>HO!AJ33</f>
        <v/>
      </c>
      <c r="J13" s="186"/>
      <c r="K13" s="262">
        <f t="shared" si="28"/>
        <v>699730.32</v>
      </c>
      <c r="L13" s="263">
        <f t="shared" si="29"/>
        <v>0.01333495285</v>
      </c>
      <c r="M13" s="262"/>
      <c r="N13" s="263"/>
      <c r="O13" s="189">
        <f>'The Table'!AH42</f>
        <v>36263.6</v>
      </c>
      <c r="P13" s="264">
        <f t="shared" si="30"/>
        <v>0.002606175851</v>
      </c>
      <c r="Q13" s="189">
        <f>'The Table'!AJ42</f>
        <v>40309.1326</v>
      </c>
      <c r="R13" s="264">
        <f t="shared" si="31"/>
        <v>0.002866919349</v>
      </c>
      <c r="S13" s="189">
        <f>Iktara!S39</f>
        <v>11915</v>
      </c>
      <c r="T13" s="264">
        <f t="shared" si="32"/>
        <v>0.02167248859</v>
      </c>
      <c r="U13" s="189" t="str">
        <f t="shared" si="33"/>
        <v>#REF!</v>
      </c>
      <c r="V13" s="264" t="str">
        <f t="shared" si="34"/>
        <v>#REF!</v>
      </c>
      <c r="W13" s="189">
        <f>'Mg St Colaba'!AH52</f>
        <v>152113.1</v>
      </c>
      <c r="X13" s="264">
        <f t="shared" si="35"/>
        <v>0.01274951632</v>
      </c>
      <c r="Y13" s="189">
        <f>'Mg St Colaba'!AJ52</f>
        <v>119938.8394</v>
      </c>
      <c r="Z13" s="264">
        <f t="shared" si="36"/>
        <v>0.0088</v>
      </c>
      <c r="AA13" s="189">
        <f>'Mg St LP'!AH53</f>
        <v>178707.6</v>
      </c>
      <c r="AB13" s="264">
        <f t="shared" si="37"/>
        <v>0.01941505167</v>
      </c>
      <c r="AC13" s="189">
        <f>'Mg St LP'!AJ53</f>
        <v>86949.3798</v>
      </c>
      <c r="AD13" s="264">
        <f t="shared" si="38"/>
        <v>0.009627182633</v>
      </c>
      <c r="AE13" s="189">
        <f>'Mg St Bandra'!AH52</f>
        <v>188348</v>
      </c>
      <c r="AF13" s="264">
        <f t="shared" si="39"/>
        <v>0.01203948348</v>
      </c>
      <c r="AG13" s="189">
        <f>'Mg St Bandra'!AJ52</f>
        <v>92983.25141</v>
      </c>
      <c r="AH13" s="264">
        <f t="shared" si="40"/>
        <v>0.0055</v>
      </c>
      <c r="AI13" s="189" t="str">
        <f>'MSK Events'!I47</f>
        <v/>
      </c>
      <c r="AJ13" s="186"/>
      <c r="AK13" s="186" t="str">
        <f t="shared" si="41"/>
        <v>#REF!</v>
      </c>
      <c r="AL13" s="186"/>
      <c r="AM13" s="189">
        <f>MSBC!AH48</f>
        <v>108781.02</v>
      </c>
      <c r="AN13" s="186"/>
      <c r="AO13" s="265" t="str">
        <f>MSBC!X48</f>
        <v/>
      </c>
      <c r="AP13" s="186"/>
      <c r="AQ13" s="189">
        <f>'MSBC Andheri'!I48</f>
        <v>10233</v>
      </c>
      <c r="AR13" s="186"/>
      <c r="AS13" s="189"/>
      <c r="AT13" s="186"/>
      <c r="AU13" s="278" t="str">
        <f>Kaspers!X50</f>
        <v/>
      </c>
      <c r="AV13" s="186"/>
      <c r="AW13" s="189">
        <f>Kaspers!Z50</f>
        <v>15500</v>
      </c>
      <c r="AX13" s="186"/>
      <c r="AY13" s="189">
        <f>'MSBC Andheri'!I48</f>
        <v>10233</v>
      </c>
      <c r="AZ13" s="186"/>
      <c r="BA13" s="186" t="str">
        <f>#REF!</f>
        <v>#REF!</v>
      </c>
      <c r="BB13" s="186"/>
      <c r="BC13" s="189">
        <f>'MSBC Dahisar'!I46</f>
        <v>3136</v>
      </c>
      <c r="BD13" s="186"/>
      <c r="BE13" s="186" t="str">
        <f>#REF!</f>
        <v>#REF!</v>
      </c>
      <c r="BF13" s="186"/>
      <c r="BG13" s="189">
        <f>'MSBC Juhu  Goregoan'!I37</f>
        <v>8572</v>
      </c>
      <c r="BH13" s="186"/>
      <c r="BI13" s="186"/>
      <c r="BJ13" s="186"/>
      <c r="BK13" s="114" t="str">
        <f>'LOUD MOUTH'!I48</f>
        <v/>
      </c>
      <c r="BL13" s="43"/>
      <c r="BM13" s="114"/>
      <c r="BN13" s="43"/>
    </row>
    <row r="14" ht="15.75" customHeight="1">
      <c r="B14" s="188" t="s">
        <v>31</v>
      </c>
      <c r="C14" s="262">
        <f>C12+C13</f>
        <v>18810970.49</v>
      </c>
      <c r="D14" s="263">
        <f t="shared" si="26"/>
        <v>0.35848583</v>
      </c>
      <c r="E14" s="262">
        <f>E12+E13</f>
        <v>0</v>
      </c>
      <c r="F14" s="268"/>
      <c r="G14" s="265">
        <f>G12+G13</f>
        <v>0</v>
      </c>
      <c r="H14" s="186"/>
      <c r="I14" s="265">
        <f>I12+I13</f>
        <v>0</v>
      </c>
      <c r="J14" s="186"/>
      <c r="K14" s="262">
        <f>sum(K12:K13)</f>
        <v>18810970.49</v>
      </c>
      <c r="L14" s="263">
        <f t="shared" si="29"/>
        <v>0.35848583</v>
      </c>
      <c r="M14" s="262"/>
      <c r="N14" s="263"/>
      <c r="O14" s="189">
        <f>O12+O13</f>
        <v>5918386.009</v>
      </c>
      <c r="P14" s="264">
        <f t="shared" si="30"/>
        <v>0.4253398641</v>
      </c>
      <c r="Q14" s="189">
        <f>Q12+Q13</f>
        <v>4772770.343</v>
      </c>
      <c r="R14" s="264">
        <f t="shared" si="31"/>
        <v>0.3394552738</v>
      </c>
      <c r="S14" s="189">
        <f>S12+S13</f>
        <v>230491.7732</v>
      </c>
      <c r="T14" s="264">
        <f t="shared" si="32"/>
        <v>0.4192471947</v>
      </c>
      <c r="U14" s="189" t="str">
        <f>U12+U13</f>
        <v>#REF!</v>
      </c>
      <c r="V14" s="264" t="str">
        <f t="shared" si="34"/>
        <v>#REF!</v>
      </c>
      <c r="W14" s="189">
        <f>W12+W13</f>
        <v>3962450.632</v>
      </c>
      <c r="X14" s="264">
        <f t="shared" si="35"/>
        <v>0.3321168855</v>
      </c>
      <c r="Y14" s="189">
        <f>Y12+Y13</f>
        <v>3876097.457</v>
      </c>
      <c r="Z14" s="264">
        <f t="shared" si="36"/>
        <v>0.2843920934</v>
      </c>
      <c r="AA14" s="189">
        <f>AA12+AA13</f>
        <v>2958888.745</v>
      </c>
      <c r="AB14" s="264">
        <f t="shared" si="37"/>
        <v>0.3214579452</v>
      </c>
      <c r="AC14" s="189">
        <f>AC12+AC13</f>
        <v>2263211.311</v>
      </c>
      <c r="AD14" s="264">
        <f t="shared" si="38"/>
        <v>0.2505865905</v>
      </c>
      <c r="AE14" s="189">
        <f>SUM(AE12:AE13)</f>
        <v>4743437.107</v>
      </c>
      <c r="AF14" s="264">
        <f t="shared" si="39"/>
        <v>0.3032075345</v>
      </c>
      <c r="AG14" s="189">
        <f>SUM(AG12:AG13)</f>
        <v>5108726.98</v>
      </c>
      <c r="AH14" s="264">
        <f t="shared" si="40"/>
        <v>0.3021834359</v>
      </c>
      <c r="AI14" s="189">
        <f>SUM(AI12:AI13)</f>
        <v>0</v>
      </c>
      <c r="AJ14" s="186"/>
      <c r="AK14" s="186" t="str">
        <f>SUM(AK12:AK13)</f>
        <v>#REF!</v>
      </c>
      <c r="AL14" s="186"/>
      <c r="AM14" s="189">
        <f>sum(AM12:AM13)</f>
        <v>336278.1931</v>
      </c>
      <c r="AN14" s="186"/>
      <c r="AO14" s="265">
        <f>MSBC!AD49</f>
        <v>0</v>
      </c>
      <c r="AP14" s="186"/>
      <c r="AQ14" s="189">
        <f>SUM(AQ12:AQ13)</f>
        <v>237533.7394</v>
      </c>
      <c r="AR14" s="264">
        <f>AQ14/AQ$10</f>
        <v>0.6875783908</v>
      </c>
      <c r="AS14" s="189">
        <f>SUM(AS12:AS13)</f>
        <v>0</v>
      </c>
      <c r="AT14" s="264" t="str">
        <f>AS14/AS$10</f>
        <v>#REF!</v>
      </c>
      <c r="AU14" s="190">
        <f>SUM(AU12:AU13)</f>
        <v>0</v>
      </c>
      <c r="AV14" s="186"/>
      <c r="AW14" s="189">
        <f>SUM(AW12:AW13)</f>
        <v>2159000</v>
      </c>
      <c r="AX14" s="186"/>
      <c r="AY14" s="190">
        <f>SUM(AY12:AY13)</f>
        <v>237533.7394</v>
      </c>
      <c r="AZ14" s="188"/>
      <c r="BA14" s="188" t="str">
        <f>SUM(BA12:BA13)</f>
        <v>#REF!</v>
      </c>
      <c r="BB14" s="188"/>
      <c r="BC14" s="190">
        <f>SUM(BC12:BC13)</f>
        <v>185970.5544</v>
      </c>
      <c r="BD14" s="188"/>
      <c r="BE14" s="188" t="str">
        <f>SUM(BE12:BE13)</f>
        <v>#REF!</v>
      </c>
      <c r="BF14" s="188"/>
      <c r="BG14" s="190">
        <f>SUM(BG12:BG13)</f>
        <v>189004.8727</v>
      </c>
      <c r="BH14" s="188"/>
      <c r="BI14" s="188">
        <f>SUM(BI12:BI13)</f>
        <v>0</v>
      </c>
      <c r="BJ14" s="188"/>
      <c r="BK14" s="146">
        <f>SUM(BK12:BK13)</f>
        <v>0</v>
      </c>
      <c r="BL14" s="188"/>
      <c r="BM14" s="188"/>
      <c r="BN14" s="188"/>
    </row>
    <row r="15" ht="15.75" customHeight="1">
      <c r="B15" s="188" t="s">
        <v>32</v>
      </c>
      <c r="C15" s="262"/>
      <c r="D15" s="268"/>
      <c r="E15" s="268"/>
      <c r="F15" s="268"/>
      <c r="G15" s="186"/>
      <c r="H15" s="186"/>
      <c r="I15" s="186"/>
      <c r="J15" s="186"/>
      <c r="K15" s="262"/>
      <c r="L15" s="263"/>
      <c r="M15" s="268"/>
      <c r="N15" s="263"/>
      <c r="O15" s="189"/>
      <c r="P15" s="264"/>
      <c r="Q15" s="186"/>
      <c r="R15" s="264"/>
      <c r="S15" s="186"/>
      <c r="T15" s="264"/>
      <c r="U15" s="186"/>
      <c r="V15" s="264"/>
      <c r="W15" s="189"/>
      <c r="X15" s="264"/>
      <c r="Y15" s="186"/>
      <c r="Z15" s="264"/>
      <c r="AA15" s="186"/>
      <c r="AB15" s="264"/>
      <c r="AC15" s="186"/>
      <c r="AD15" s="264"/>
      <c r="AE15" s="186"/>
      <c r="AF15" s="264"/>
      <c r="AG15" s="186"/>
      <c r="AH15" s="264"/>
      <c r="AI15" s="189"/>
      <c r="AJ15" s="186"/>
      <c r="AK15" s="186"/>
      <c r="AL15" s="186"/>
      <c r="AM15" s="189"/>
      <c r="AN15" s="186"/>
      <c r="AO15" s="186"/>
      <c r="AP15" s="186"/>
      <c r="AQ15" s="189"/>
      <c r="AR15" s="264"/>
      <c r="AS15" s="189"/>
      <c r="AT15" s="264"/>
      <c r="AU15" s="186"/>
      <c r="AV15" s="186"/>
      <c r="AW15" s="186"/>
      <c r="AX15" s="186"/>
      <c r="AY15" s="189"/>
      <c r="AZ15" s="186"/>
      <c r="BA15" s="186"/>
      <c r="BB15" s="186"/>
      <c r="BC15" s="189"/>
      <c r="BD15" s="186"/>
      <c r="BE15" s="186"/>
      <c r="BF15" s="186"/>
      <c r="BG15" s="189">
        <f>'MSBC Dahisar'!O58</f>
        <v>0</v>
      </c>
      <c r="BH15" s="186"/>
      <c r="BI15" s="186"/>
      <c r="BJ15" s="186"/>
      <c r="BK15" s="96"/>
      <c r="BL15" s="55"/>
      <c r="BM15" s="62"/>
      <c r="BN15" s="55"/>
    </row>
    <row r="16" ht="15.75" customHeight="1">
      <c r="B16" s="188" t="s">
        <v>33</v>
      </c>
      <c r="C16" s="262">
        <f>C10-C14-C15</f>
        <v>33662429.91</v>
      </c>
      <c r="D16" s="263">
        <f>C16/C$10</f>
        <v>0.64151417</v>
      </c>
      <c r="E16" s="262">
        <f>E10-E14-E15</f>
        <v>0</v>
      </c>
      <c r="F16" s="268"/>
      <c r="G16" s="189">
        <f>G10-G14</f>
        <v>0</v>
      </c>
      <c r="H16" s="186"/>
      <c r="I16" s="189">
        <f>I10-I14</f>
        <v>0</v>
      </c>
      <c r="J16" s="186"/>
      <c r="K16" s="262">
        <f>K10-K14-K15</f>
        <v>33662429.91</v>
      </c>
      <c r="L16" s="263">
        <f>K16/K$10</f>
        <v>0.64151417</v>
      </c>
      <c r="M16" s="262"/>
      <c r="N16" s="263"/>
      <c r="O16" s="189">
        <f>O10-O14-O15</f>
        <v>7996100.991</v>
      </c>
      <c r="P16" s="264">
        <f>O16/O$10</f>
        <v>0.5746601359</v>
      </c>
      <c r="Q16" s="189">
        <f>Q10-Q14-Q15</f>
        <v>9287315.657</v>
      </c>
      <c r="R16" s="264">
        <f>Q16/Q$10</f>
        <v>0.6605447262</v>
      </c>
      <c r="S16" s="189">
        <f>S10-S14-S15</f>
        <v>319283.5768</v>
      </c>
      <c r="T16" s="264">
        <f>S16/S$10</f>
        <v>0.5807528053</v>
      </c>
      <c r="U16" s="189" t="str">
        <f>U10-U14-U15</f>
        <v>#REF!</v>
      </c>
      <c r="V16" s="264" t="str">
        <f>U16/U$10</f>
        <v>#REF!</v>
      </c>
      <c r="W16" s="189">
        <f>W10-W14-W15</f>
        <v>7968441.188</v>
      </c>
      <c r="X16" s="264">
        <f>W16/W$10</f>
        <v>0.6678831145</v>
      </c>
      <c r="Y16" s="189">
        <f>Y10-Y14-Y15</f>
        <v>9753316.115</v>
      </c>
      <c r="Z16" s="264">
        <f>Y16/Y$10</f>
        <v>0.7156079066</v>
      </c>
      <c r="AA16" s="189">
        <f>AA10-AA14-AA15</f>
        <v>6245701.745</v>
      </c>
      <c r="AB16" s="264">
        <f>AA16/AA$10</f>
        <v>0.6785420548</v>
      </c>
      <c r="AC16" s="189">
        <f>AC10-AC14-AC15</f>
        <v>6768442.404</v>
      </c>
      <c r="AD16" s="264">
        <f>AC16/AC$10</f>
        <v>0.7494134095</v>
      </c>
      <c r="AE16" s="189">
        <f>AE10-AE14-AE15</f>
        <v>10900755.62</v>
      </c>
      <c r="AF16" s="264">
        <f>AE16/AE$10</f>
        <v>0.6967924655</v>
      </c>
      <c r="AG16" s="189">
        <f>AG10-AG14-AG15</f>
        <v>11797318.73</v>
      </c>
      <c r="AH16" s="264">
        <f>AG16/AG$10</f>
        <v>0.6978165641</v>
      </c>
      <c r="AI16" s="189">
        <f>AI10-AI14</f>
        <v>0</v>
      </c>
      <c r="AJ16" s="186"/>
      <c r="AK16" s="189" t="str">
        <f>AK10-AK14</f>
        <v>#REF!</v>
      </c>
      <c r="AL16" s="186"/>
      <c r="AM16" s="189">
        <f>AM10-AM14-AM15</f>
        <v>43125.38687</v>
      </c>
      <c r="AN16" s="186"/>
      <c r="AO16" s="189">
        <f>AO10-AO14-AO15</f>
        <v>84000</v>
      </c>
      <c r="AP16" s="186"/>
      <c r="AQ16" s="189">
        <f>AQ10-AQ14-AQ15</f>
        <v>107930.4906</v>
      </c>
      <c r="AR16" s="264">
        <f>AQ16/AQ$10</f>
        <v>0.3124216092</v>
      </c>
      <c r="AS16" s="189" t="str">
        <f>AS10-AS14-AS15</f>
        <v>#REF!</v>
      </c>
      <c r="AT16" s="264" t="str">
        <f>AS16/AS$10</f>
        <v>#REF!</v>
      </c>
      <c r="AU16" s="190">
        <f>AU10-AU14-AU15</f>
        <v>0</v>
      </c>
      <c r="AV16" s="186"/>
      <c r="AW16" s="189">
        <f>AW10-AW14-AW15</f>
        <v>2841000</v>
      </c>
      <c r="AX16" s="186"/>
      <c r="AY16" s="262">
        <f>AY10-AY14-AY15</f>
        <v>107930.4906</v>
      </c>
      <c r="AZ16" s="268"/>
      <c r="BA16" s="262" t="str">
        <f>BA10-BA14-BA15</f>
        <v>#REF!</v>
      </c>
      <c r="BB16" s="268"/>
      <c r="BC16" s="262">
        <f>BC10-BC14-BC15</f>
        <v>-26839.58439</v>
      </c>
      <c r="BD16" s="268"/>
      <c r="BE16" s="262" t="str">
        <f>BE10-BE14-BE15</f>
        <v>#REF!</v>
      </c>
      <c r="BF16" s="268"/>
      <c r="BG16" s="262">
        <f>BG10-BG14-BG15</f>
        <v>-83808.87267</v>
      </c>
      <c r="BH16" s="268"/>
      <c r="BI16" s="262"/>
      <c r="BJ16" s="268"/>
      <c r="BK16" s="146">
        <f>BK10-BK14</f>
        <v>0</v>
      </c>
      <c r="BL16" s="188"/>
      <c r="BM16" s="188"/>
      <c r="BN16" s="188"/>
    </row>
    <row r="17" ht="15.75" customHeight="1">
      <c r="B17" s="188"/>
      <c r="C17" s="268"/>
      <c r="D17" s="268"/>
      <c r="E17" s="268"/>
      <c r="F17" s="268"/>
      <c r="G17" s="186"/>
      <c r="H17" s="186"/>
      <c r="I17" s="186"/>
      <c r="J17" s="186"/>
      <c r="K17" s="268"/>
      <c r="L17" s="268"/>
      <c r="M17" s="268"/>
      <c r="N17" s="268"/>
      <c r="O17" s="186"/>
      <c r="P17" s="264"/>
      <c r="Q17" s="186"/>
      <c r="R17" s="264"/>
      <c r="S17" s="186"/>
      <c r="T17" s="264"/>
      <c r="U17" s="186"/>
      <c r="V17" s="264"/>
      <c r="W17" s="186"/>
      <c r="X17" s="264"/>
      <c r="Y17" s="186"/>
      <c r="Z17" s="264"/>
      <c r="AA17" s="186"/>
      <c r="AB17" s="264"/>
      <c r="AC17" s="186"/>
      <c r="AD17" s="264"/>
      <c r="AE17" s="186"/>
      <c r="AF17" s="264"/>
      <c r="AG17" s="186"/>
      <c r="AH17" s="264"/>
      <c r="AI17" s="189"/>
      <c r="AJ17" s="186"/>
      <c r="AK17" s="186"/>
      <c r="AL17" s="186"/>
      <c r="AM17" s="189"/>
      <c r="AN17" s="186"/>
      <c r="AO17" s="186"/>
      <c r="AP17" s="186"/>
      <c r="AQ17" s="189"/>
      <c r="AR17" s="186"/>
      <c r="AS17" s="189"/>
      <c r="AT17" s="186"/>
      <c r="AU17" s="186"/>
      <c r="AV17" s="186"/>
      <c r="AW17" s="186"/>
      <c r="AX17" s="186"/>
      <c r="AY17" s="186"/>
      <c r="AZ17" s="186"/>
      <c r="BA17" s="186"/>
      <c r="BB17" s="186"/>
      <c r="BC17" s="186"/>
      <c r="BD17" s="186"/>
      <c r="BE17" s="186"/>
      <c r="BF17" s="186"/>
      <c r="BG17" s="186"/>
      <c r="BH17" s="186"/>
      <c r="BI17" s="186"/>
      <c r="BJ17" s="186"/>
      <c r="BK17" s="83"/>
      <c r="BL17" s="186"/>
      <c r="BM17" s="186"/>
      <c r="BN17" s="186"/>
    </row>
    <row r="18" ht="15.75" customHeight="1">
      <c r="B18" s="188" t="s">
        <v>34</v>
      </c>
      <c r="C18" s="262">
        <f t="shared" ref="C18:C27" si="42">G18+K18</f>
        <v>1171201.46</v>
      </c>
      <c r="D18" s="263">
        <f t="shared" ref="D18:D28" si="43">C18/C$10</f>
        <v>0.02231990782</v>
      </c>
      <c r="E18" s="262">
        <f t="shared" ref="E18:E28" si="44">I18+M18</f>
        <v>0</v>
      </c>
      <c r="F18" s="268"/>
      <c r="G18" s="265">
        <f>HO!AH44</f>
        <v>0</v>
      </c>
      <c r="H18" s="186"/>
      <c r="I18" s="189">
        <f>HO!AJ44</f>
        <v>0</v>
      </c>
      <c r="J18" s="186"/>
      <c r="K18" s="262">
        <f t="shared" ref="K18:K27" si="45">O18+S18+W18+AA18+AE18+AI18+AM18+AQ18+AU18+AY18+BC18</f>
        <v>1171201.46</v>
      </c>
      <c r="L18" s="263">
        <f t="shared" ref="L18:L28" si="46">K18/K$10</f>
        <v>0.02231990782</v>
      </c>
      <c r="M18" s="262"/>
      <c r="N18" s="263"/>
      <c r="O18" s="189">
        <f>'The Table'!AH53</f>
        <v>334132.52</v>
      </c>
      <c r="P18" s="264">
        <f t="shared" ref="P18:P25" si="47">O18/O$10</f>
        <v>0.02401328342</v>
      </c>
      <c r="Q18" s="189">
        <f>'The Table'!AJ53</f>
        <v>324961.376</v>
      </c>
      <c r="R18" s="264">
        <f t="shared" ref="R18:R25" si="48">Q18/Q$10</f>
        <v>0.02311233203</v>
      </c>
      <c r="S18" s="189">
        <f>Iktara!S50</f>
        <v>20177.04</v>
      </c>
      <c r="T18" s="264">
        <f t="shared" ref="T18:T25" si="49">S18/S$10</f>
        <v>0.03670051777</v>
      </c>
      <c r="U18" s="189" t="str">
        <f t="shared" ref="U18:U27" si="50">#REF!</f>
        <v>#REF!</v>
      </c>
      <c r="V18" s="264" t="str">
        <f t="shared" ref="V18:V25" si="51">U18/U$10</f>
        <v>#REF!</v>
      </c>
      <c r="W18" s="189">
        <f>'Mg St Colaba'!AH77</f>
        <v>257979.46</v>
      </c>
      <c r="X18" s="264">
        <f t="shared" ref="X18:X25" si="52">W18/W$10</f>
        <v>0.02162281445</v>
      </c>
      <c r="Y18" s="189">
        <f>'Mg St Colaba'!AJ77</f>
        <v>314839.4535</v>
      </c>
      <c r="Z18" s="264">
        <f t="shared" ref="Z18:Z25" si="53">Y18/Y$10</f>
        <v>0.0231</v>
      </c>
      <c r="AA18" s="189">
        <f>'Mg St LP'!AH78</f>
        <v>179667.24</v>
      </c>
      <c r="AB18" s="264">
        <f t="shared" ref="AB18:AB25" si="54">AA18/AA$10</f>
        <v>0.01951930835</v>
      </c>
      <c r="AC18" s="189">
        <f>'Mg St LP'!AJ78</f>
        <v>167988.7591</v>
      </c>
      <c r="AD18" s="264">
        <f t="shared" ref="AD18:AD25" si="55">AC18/AC$10</f>
        <v>0.0186</v>
      </c>
      <c r="AE18" s="189">
        <f>'Mg St Bandra'!AH75</f>
        <v>333779.44</v>
      </c>
      <c r="AF18" s="264">
        <f t="shared" ref="AF18:AF25" si="56">AE18/AE$10</f>
        <v>0.02133567681</v>
      </c>
      <c r="AG18" s="189">
        <f>'Mg St Bandra'!AJ75</f>
        <v>466606.5645</v>
      </c>
      <c r="AH18" s="264">
        <f t="shared" ref="AH18:AH25" si="57">AG18/AG$10</f>
        <v>0.02759998243</v>
      </c>
      <c r="AI18" s="189">
        <f>'MSK Events'!I72</f>
        <v>0</v>
      </c>
      <c r="AJ18" s="186"/>
      <c r="AK18" s="189" t="str">
        <f t="shared" ref="AK18:AK27" si="58">#REF!</f>
        <v>#REF!</v>
      </c>
      <c r="AL18" s="186"/>
      <c r="AM18" s="189">
        <f>MSBC!AH73</f>
        <v>45465.76</v>
      </c>
      <c r="AN18" s="186"/>
      <c r="AO18" s="189">
        <f>MSBC!AJ73</f>
        <v>0</v>
      </c>
      <c r="AP18" s="186"/>
      <c r="AQ18" s="189"/>
      <c r="AR18" s="186"/>
      <c r="AS18" s="189"/>
      <c r="AT18" s="186"/>
      <c r="AU18" s="189">
        <f>Kaspers!X64</f>
        <v>0</v>
      </c>
      <c r="AV18" s="186"/>
      <c r="AW18" s="189">
        <f>Kaspers!Z64</f>
        <v>80000</v>
      </c>
      <c r="AX18" s="186"/>
      <c r="AY18" s="186"/>
      <c r="AZ18" s="186"/>
      <c r="BA18" s="186"/>
      <c r="BB18" s="186"/>
      <c r="BC18" s="189">
        <f>'MSBC Dahisar'!I71</f>
        <v>0</v>
      </c>
      <c r="BD18" s="186"/>
      <c r="BE18" s="186"/>
      <c r="BF18" s="186"/>
      <c r="BG18" s="189" t="str">
        <f>'MSBC Juhu  Goregoan'!I55</f>
        <v/>
      </c>
      <c r="BH18" s="186"/>
      <c r="BI18" s="186"/>
      <c r="BJ18" s="186"/>
      <c r="BK18" s="114">
        <v>0.0</v>
      </c>
      <c r="BL18" s="186"/>
      <c r="BM18" s="186"/>
      <c r="BN18" s="186"/>
    </row>
    <row r="19" ht="15.75" customHeight="1">
      <c r="B19" s="188" t="s">
        <v>35</v>
      </c>
      <c r="C19" s="280">
        <f t="shared" si="42"/>
        <v>1212332.714</v>
      </c>
      <c r="D19" s="263">
        <f t="shared" si="43"/>
        <v>0.02310375743</v>
      </c>
      <c r="E19" s="280">
        <f t="shared" si="44"/>
        <v>12874</v>
      </c>
      <c r="F19" s="268"/>
      <c r="G19" s="281">
        <f>HO!AH53</f>
        <v>48588</v>
      </c>
      <c r="H19" s="186"/>
      <c r="I19" s="281">
        <f>HO!AJ53</f>
        <v>12874</v>
      </c>
      <c r="J19" s="186"/>
      <c r="K19" s="262">
        <f t="shared" si="45"/>
        <v>1163744.714</v>
      </c>
      <c r="L19" s="263">
        <f t="shared" si="46"/>
        <v>0.02217780257</v>
      </c>
      <c r="M19" s="262"/>
      <c r="N19" s="263"/>
      <c r="O19" s="189">
        <f>'The Table'!AH62</f>
        <v>150288.6667</v>
      </c>
      <c r="P19" s="264">
        <f t="shared" si="47"/>
        <v>0.01080087729</v>
      </c>
      <c r="Q19" s="189">
        <f>'The Table'!AJ62</f>
        <v>241775.3333</v>
      </c>
      <c r="R19" s="264">
        <f t="shared" si="48"/>
        <v>0.01719586447</v>
      </c>
      <c r="S19" s="189">
        <f>Iktara!S62</f>
        <v>83892</v>
      </c>
      <c r="T19" s="264">
        <f t="shared" si="49"/>
        <v>0.1525932365</v>
      </c>
      <c r="U19" s="189" t="str">
        <f t="shared" si="50"/>
        <v>#REF!</v>
      </c>
      <c r="V19" s="264" t="str">
        <f t="shared" si="51"/>
        <v>#REF!</v>
      </c>
      <c r="W19" s="189">
        <f>'Mg St Colaba'!AH89</f>
        <v>231711.9524</v>
      </c>
      <c r="X19" s="264">
        <f t="shared" si="52"/>
        <v>0.01942117621</v>
      </c>
      <c r="Y19" s="189">
        <f>'Mg St Colaba'!AJ89</f>
        <v>200368</v>
      </c>
      <c r="Z19" s="264">
        <f t="shared" si="53"/>
        <v>0.01470114609</v>
      </c>
      <c r="AA19" s="189">
        <f>'Mg St LP'!AH89</f>
        <v>220509.9524</v>
      </c>
      <c r="AB19" s="264">
        <f t="shared" si="54"/>
        <v>0.02395651959</v>
      </c>
      <c r="AC19" s="189">
        <f>'Mg St LP'!AJ89</f>
        <v>198358</v>
      </c>
      <c r="AD19" s="264">
        <f t="shared" si="55"/>
        <v>0.0219625338</v>
      </c>
      <c r="AE19" s="189">
        <f>'Mg St Bandra'!AH87</f>
        <v>205359.9524</v>
      </c>
      <c r="AF19" s="264">
        <f t="shared" si="56"/>
        <v>0.01312691271</v>
      </c>
      <c r="AG19" s="189">
        <f>'Mg St Bandra'!AJ87</f>
        <v>184378</v>
      </c>
      <c r="AH19" s="264">
        <f t="shared" si="57"/>
        <v>0.01090603936</v>
      </c>
      <c r="AI19" s="189">
        <f>'MSK Events'!I84</f>
        <v>0</v>
      </c>
      <c r="AJ19" s="186"/>
      <c r="AK19" s="186" t="str">
        <f t="shared" si="58"/>
        <v>#REF!</v>
      </c>
      <c r="AL19" s="186"/>
      <c r="AM19" s="189">
        <f>MSBC!AH75</f>
        <v>129983.2857</v>
      </c>
      <c r="AN19" s="186"/>
      <c r="AO19" s="265">
        <f>MSBC!AJ75</f>
        <v>70866</v>
      </c>
      <c r="AP19" s="186"/>
      <c r="AQ19" s="189"/>
      <c r="AR19" s="186"/>
      <c r="AS19" s="189"/>
      <c r="AT19" s="186"/>
      <c r="AU19" s="189">
        <f>Kaspers!X76</f>
        <v>0</v>
      </c>
      <c r="AV19" s="186"/>
      <c r="AW19" s="189">
        <f>Kaspers!Z76</f>
        <v>26833.33333</v>
      </c>
      <c r="AX19" s="186"/>
      <c r="AY19" s="189">
        <f>'MSBC Andheri'!I85</f>
        <v>75996.28571</v>
      </c>
      <c r="AZ19" s="186"/>
      <c r="BA19" s="186"/>
      <c r="BB19" s="186"/>
      <c r="BC19" s="189">
        <f>'MSBC Dahisar'!I73</f>
        <v>66002.61905</v>
      </c>
      <c r="BD19" s="186"/>
      <c r="BE19" s="186"/>
      <c r="BF19" s="186"/>
      <c r="BG19" s="189">
        <f>'MSBC Juhu  Goregoan'!I74</f>
        <v>61580.61905</v>
      </c>
      <c r="BH19" s="186"/>
      <c r="BI19" s="186"/>
      <c r="BJ19" s="186"/>
      <c r="BK19" s="114">
        <f>'LOUD MOUTH'!I85</f>
        <v>1489</v>
      </c>
      <c r="BL19" s="43"/>
      <c r="BM19" s="114"/>
      <c r="BN19" s="43"/>
    </row>
    <row r="20" ht="15.75" customHeight="1">
      <c r="B20" s="188" t="s">
        <v>36</v>
      </c>
      <c r="C20" s="262">
        <f t="shared" si="42"/>
        <v>1897468.33</v>
      </c>
      <c r="D20" s="263">
        <f t="shared" si="43"/>
        <v>0.03616057499</v>
      </c>
      <c r="E20" s="262">
        <f t="shared" si="44"/>
        <v>0</v>
      </c>
      <c r="F20" s="268"/>
      <c r="G20" s="265">
        <f>HO!AH63</f>
        <v>0</v>
      </c>
      <c r="H20" s="186"/>
      <c r="I20" s="265">
        <f>HO!AJ63</f>
        <v>0</v>
      </c>
      <c r="J20" s="186"/>
      <c r="K20" s="262">
        <f t="shared" si="45"/>
        <v>1897468.33</v>
      </c>
      <c r="L20" s="263">
        <f t="shared" si="46"/>
        <v>0.03616057499</v>
      </c>
      <c r="M20" s="262"/>
      <c r="N20" s="263"/>
      <c r="O20" s="189">
        <f>'The Table'!AH70</f>
        <v>88742.33</v>
      </c>
      <c r="P20" s="264">
        <f t="shared" si="47"/>
        <v>0.006377693263</v>
      </c>
      <c r="Q20" s="189">
        <f>'The Table'!AJ70</f>
        <v>157025.686</v>
      </c>
      <c r="R20" s="264">
        <f t="shared" si="48"/>
        <v>0.01116818816</v>
      </c>
      <c r="S20" s="189">
        <f>Iktara!S70</f>
        <v>74015.75</v>
      </c>
      <c r="T20" s="264">
        <f t="shared" si="49"/>
        <v>0.1346290808</v>
      </c>
      <c r="U20" s="189" t="str">
        <f t="shared" si="50"/>
        <v>#REF!</v>
      </c>
      <c r="V20" s="264" t="str">
        <f t="shared" si="51"/>
        <v>#REF!</v>
      </c>
      <c r="W20" s="189">
        <f>'Mg St Colaba'!AH100</f>
        <v>464690.76</v>
      </c>
      <c r="X20" s="264">
        <f t="shared" si="52"/>
        <v>0.0389485352</v>
      </c>
      <c r="Y20" s="189">
        <f>'Mg St Colaba'!AJ100</f>
        <v>473822</v>
      </c>
      <c r="Z20" s="264">
        <f t="shared" si="53"/>
        <v>0.03476466522</v>
      </c>
      <c r="AA20" s="189">
        <f>'Mg St LP'!AH101</f>
        <v>572905.78</v>
      </c>
      <c r="AB20" s="264">
        <f t="shared" si="54"/>
        <v>0.06224131107</v>
      </c>
      <c r="AC20" s="186">
        <f>'Mg St LP'!AJ101</f>
        <v>712111.667</v>
      </c>
      <c r="AD20" s="264">
        <f t="shared" si="55"/>
        <v>0.07884621017</v>
      </c>
      <c r="AE20" s="189">
        <f>'Mg St Bandra'!AH98</f>
        <v>547012.03</v>
      </c>
      <c r="AF20" s="264">
        <f t="shared" si="56"/>
        <v>0.03496582019</v>
      </c>
      <c r="AG20" s="189">
        <f>'Mg St Bandra'!AJ98</f>
        <v>495474.25</v>
      </c>
      <c r="AH20" s="264">
        <f t="shared" si="57"/>
        <v>0.02930751865</v>
      </c>
      <c r="AI20" s="189">
        <f>'MSK Events'!I91</f>
        <v>0</v>
      </c>
      <c r="AJ20" s="186"/>
      <c r="AK20" s="186" t="str">
        <f t="shared" si="58"/>
        <v>#REF!</v>
      </c>
      <c r="AL20" s="186"/>
      <c r="AM20" s="189">
        <f>MSBC!AH83</f>
        <v>29739.56</v>
      </c>
      <c r="AN20" s="186"/>
      <c r="AO20" s="265">
        <f>MSBC!AJ83</f>
        <v>0</v>
      </c>
      <c r="AP20" s="186"/>
      <c r="AQ20" s="189"/>
      <c r="AR20" s="186"/>
      <c r="AS20" s="189"/>
      <c r="AT20" s="186"/>
      <c r="AU20" s="189">
        <f>Kaspers!X83</f>
        <v>0</v>
      </c>
      <c r="AV20" s="186"/>
      <c r="AW20" s="265">
        <f>Kaspers!Z83</f>
        <v>0</v>
      </c>
      <c r="AX20" s="186"/>
      <c r="AY20" s="189">
        <f>'MSBC Andheri'!I93</f>
        <v>97815.97</v>
      </c>
      <c r="AZ20" s="186"/>
      <c r="BA20" s="186"/>
      <c r="BB20" s="186"/>
      <c r="BC20" s="189">
        <f>'MSBC Dahisar'!I80</f>
        <v>22546.15</v>
      </c>
      <c r="BD20" s="186"/>
      <c r="BE20" s="186"/>
      <c r="BF20" s="186"/>
      <c r="BG20" s="189">
        <f>'MSBC Juhu  Goregoan'!I81</f>
        <v>39330</v>
      </c>
      <c r="BH20" s="186"/>
      <c r="BI20" s="186"/>
      <c r="BJ20" s="186"/>
      <c r="BK20" s="114">
        <v>0.0</v>
      </c>
      <c r="BL20" s="43"/>
      <c r="BM20" s="114"/>
      <c r="BN20" s="43"/>
    </row>
    <row r="21" ht="15.75" customHeight="1">
      <c r="B21" s="188" t="s">
        <v>37</v>
      </c>
      <c r="C21" s="262">
        <f t="shared" si="42"/>
        <v>6120341.083</v>
      </c>
      <c r="D21" s="263">
        <f t="shared" si="43"/>
        <v>0.1166370206</v>
      </c>
      <c r="E21" s="262">
        <f t="shared" si="44"/>
        <v>380880</v>
      </c>
      <c r="F21" s="268"/>
      <c r="G21" s="189">
        <f>HO!AH70</f>
        <v>372385</v>
      </c>
      <c r="H21" s="186"/>
      <c r="I21" s="189">
        <f>HO!AJ70</f>
        <v>380880</v>
      </c>
      <c r="J21" s="186"/>
      <c r="K21" s="262">
        <f t="shared" si="45"/>
        <v>5747956.083</v>
      </c>
      <c r="L21" s="263">
        <f t="shared" si="46"/>
        <v>0.1095403774</v>
      </c>
      <c r="M21" s="262"/>
      <c r="N21" s="263"/>
      <c r="O21" s="189">
        <f>'The Table'!AH76</f>
        <v>1791521</v>
      </c>
      <c r="P21" s="264">
        <f t="shared" si="47"/>
        <v>0.1287522134</v>
      </c>
      <c r="Q21" s="189">
        <f>'The Table'!AJ76</f>
        <v>1739717</v>
      </c>
      <c r="R21" s="264">
        <f t="shared" si="48"/>
        <v>0.1237344494</v>
      </c>
      <c r="S21" s="189">
        <f>Iktara!S76</f>
        <v>86138</v>
      </c>
      <c r="T21" s="264">
        <f t="shared" si="49"/>
        <v>0.1566785415</v>
      </c>
      <c r="U21" s="186" t="str">
        <f t="shared" si="50"/>
        <v>#REF!</v>
      </c>
      <c r="V21" s="264" t="str">
        <f t="shared" si="51"/>
        <v>#REF!</v>
      </c>
      <c r="W21" s="189">
        <f>'Mg St Colaba'!AH107</f>
        <v>1511616</v>
      </c>
      <c r="X21" s="264">
        <f t="shared" si="52"/>
        <v>0.1266976537</v>
      </c>
      <c r="Y21" s="189">
        <f>'Mg St Colaba'!AJ107</f>
        <v>1484187</v>
      </c>
      <c r="Z21" s="264">
        <f t="shared" si="53"/>
        <v>0.1088958811</v>
      </c>
      <c r="AA21" s="189">
        <f>'Mg St LP'!AH108</f>
        <v>260228</v>
      </c>
      <c r="AB21" s="264">
        <f t="shared" si="54"/>
        <v>0.02827154563</v>
      </c>
      <c r="AC21" s="189">
        <f>'Mg St LP'!AJ108</f>
        <v>261295.4</v>
      </c>
      <c r="AD21" s="264">
        <f t="shared" si="55"/>
        <v>0.02893106935</v>
      </c>
      <c r="AE21" s="189">
        <f>'Mg St Bandra'!AH105</f>
        <v>1572830</v>
      </c>
      <c r="AF21" s="264">
        <f t="shared" si="56"/>
        <v>0.1005376261</v>
      </c>
      <c r="AG21" s="189">
        <f>'Mg St Bandra'!AJ105</f>
        <v>1597600</v>
      </c>
      <c r="AH21" s="264">
        <f t="shared" si="57"/>
        <v>0.09449873894</v>
      </c>
      <c r="AI21" s="189">
        <f>'MSK Events'!I98</f>
        <v>127170</v>
      </c>
      <c r="AJ21" s="186"/>
      <c r="AK21" s="186" t="str">
        <f t="shared" si="58"/>
        <v>#REF!</v>
      </c>
      <c r="AL21" s="186"/>
      <c r="AM21" s="189">
        <f>MSBC!AH90</f>
        <v>240517</v>
      </c>
      <c r="AN21" s="186"/>
      <c r="AO21" s="265">
        <f>MSBC!AJ90</f>
        <v>0</v>
      </c>
      <c r="AP21" s="186"/>
      <c r="AQ21" s="189"/>
      <c r="AR21" s="186"/>
      <c r="AS21" s="189"/>
      <c r="AT21" s="186"/>
      <c r="AU21" s="189">
        <f>Kaspers!X90</f>
        <v>157936.0833</v>
      </c>
      <c r="AV21" s="186"/>
      <c r="AW21" s="189">
        <f>Kaspers!Z90</f>
        <v>0</v>
      </c>
      <c r="AX21" s="186"/>
      <c r="AY21" s="189">
        <f>'MSBC Andheri'!I100</f>
        <v>0</v>
      </c>
      <c r="AZ21" s="186"/>
      <c r="BA21" s="186"/>
      <c r="BB21" s="186"/>
      <c r="BC21" s="189">
        <f>'MSBC Dahisar'!I89</f>
        <v>0</v>
      </c>
      <c r="BD21" s="186"/>
      <c r="BE21" s="186"/>
      <c r="BF21" s="186"/>
      <c r="BG21" s="266">
        <v>0.0</v>
      </c>
      <c r="BH21" s="186"/>
      <c r="BI21" s="186"/>
      <c r="BJ21" s="186"/>
      <c r="BK21" s="114">
        <f>'LOUD MOUTH'!I101</f>
        <v>0</v>
      </c>
      <c r="BL21" s="43"/>
      <c r="BM21" s="43"/>
      <c r="BN21" s="43"/>
    </row>
    <row r="22" ht="15.75" customHeight="1">
      <c r="B22" s="188" t="s">
        <v>38</v>
      </c>
      <c r="C22" s="262">
        <f t="shared" si="42"/>
        <v>19237748.66</v>
      </c>
      <c r="D22" s="263">
        <f t="shared" si="43"/>
        <v>0.3666190586</v>
      </c>
      <c r="E22" s="262">
        <f t="shared" si="44"/>
        <v>4043806</v>
      </c>
      <c r="F22" s="268"/>
      <c r="G22" s="189">
        <f>HO!AH77</f>
        <v>4021922.297</v>
      </c>
      <c r="H22" s="186"/>
      <c r="I22" s="189">
        <f>HO!AJ77</f>
        <v>4043806</v>
      </c>
      <c r="J22" s="186"/>
      <c r="K22" s="262">
        <f t="shared" si="45"/>
        <v>15215826.36</v>
      </c>
      <c r="L22" s="263">
        <f t="shared" si="46"/>
        <v>0.289972181</v>
      </c>
      <c r="M22" s="262"/>
      <c r="N22" s="263"/>
      <c r="O22" s="189">
        <f>'The Table'!AH82</f>
        <v>5164915.017</v>
      </c>
      <c r="P22" s="264">
        <f t="shared" si="47"/>
        <v>0.3711897547</v>
      </c>
      <c r="Q22" s="189">
        <f>'The Table'!AJ82</f>
        <v>5234395.777</v>
      </c>
      <c r="R22" s="264">
        <f t="shared" si="48"/>
        <v>0.3722876074</v>
      </c>
      <c r="S22" s="186">
        <f>Iktara!S82</f>
        <v>245382.15</v>
      </c>
      <c r="T22" s="264">
        <f t="shared" si="49"/>
        <v>0.4463316698</v>
      </c>
      <c r="U22" s="189" t="str">
        <f t="shared" si="50"/>
        <v>#REF!</v>
      </c>
      <c r="V22" s="264" t="str">
        <f t="shared" si="51"/>
        <v>#REF!</v>
      </c>
      <c r="W22" s="189">
        <f>'Mg St Colaba'!AH113</f>
        <v>3144920.946</v>
      </c>
      <c r="X22" s="264">
        <f t="shared" si="52"/>
        <v>0.2635947919</v>
      </c>
      <c r="Y22" s="189">
        <f>'Mg St Colaba'!AJ113</f>
        <v>3322142.224</v>
      </c>
      <c r="Z22" s="264">
        <f t="shared" si="53"/>
        <v>0.2437479945</v>
      </c>
      <c r="AA22" s="189">
        <f>'Mg St LP'!AH115</f>
        <v>1536455.11</v>
      </c>
      <c r="AB22" s="264">
        <f t="shared" si="54"/>
        <v>0.1669227014</v>
      </c>
      <c r="AC22" s="189">
        <f>'Mg St LP'!AJ115</f>
        <v>1362371.875</v>
      </c>
      <c r="AD22" s="264">
        <f t="shared" si="55"/>
        <v>0.150844122</v>
      </c>
      <c r="AE22" s="189">
        <f>'Mg St Bandra'!AH114</f>
        <v>3711246.65</v>
      </c>
      <c r="AF22" s="264">
        <f t="shared" si="56"/>
        <v>0.2372283897</v>
      </c>
      <c r="AG22" s="189">
        <f>'Mg St Bandra'!AJ114</f>
        <v>3806083.75</v>
      </c>
      <c r="AH22" s="264">
        <f t="shared" si="57"/>
        <v>0.2251315189</v>
      </c>
      <c r="AI22" s="189">
        <f>'MSK Events'!I104</f>
        <v>39500</v>
      </c>
      <c r="AJ22" s="186"/>
      <c r="AK22" s="186" t="str">
        <f t="shared" si="58"/>
        <v>#REF!</v>
      </c>
      <c r="AL22" s="186"/>
      <c r="AM22" s="189">
        <f>MSBC!AH96</f>
        <v>1335824.487</v>
      </c>
      <c r="AN22" s="186"/>
      <c r="AO22" s="265">
        <f>MSBC!AJ96</f>
        <v>0</v>
      </c>
      <c r="AP22" s="186"/>
      <c r="AQ22" s="189"/>
      <c r="AR22" s="186"/>
      <c r="AS22" s="189"/>
      <c r="AT22" s="186"/>
      <c r="AU22" s="189">
        <f>Kaspers!X97</f>
        <v>37582</v>
      </c>
      <c r="AV22" s="186"/>
      <c r="AW22" s="189">
        <f>Kaspers!Z97</f>
        <v>0</v>
      </c>
      <c r="AX22" s="186"/>
      <c r="AY22" s="189">
        <f>'MSBC Andheri'!I106</f>
        <v>0</v>
      </c>
      <c r="AZ22" s="186"/>
      <c r="BA22" s="186"/>
      <c r="BB22" s="186"/>
      <c r="BC22" s="189">
        <f>'MSBC Dahisar'!I95</f>
        <v>0</v>
      </c>
      <c r="BD22" s="186"/>
      <c r="BE22" s="186"/>
      <c r="BF22" s="186"/>
      <c r="BG22" s="266">
        <v>0.0</v>
      </c>
      <c r="BH22" s="186"/>
      <c r="BI22" s="186"/>
      <c r="BJ22" s="186"/>
      <c r="BK22" s="114">
        <f>'LOUD MOUTH'!I108</f>
        <v>0</v>
      </c>
      <c r="BL22" s="43"/>
      <c r="BM22" s="114"/>
      <c r="BN22" s="43"/>
    </row>
    <row r="23" ht="15.75" customHeight="1">
      <c r="B23" s="188" t="s">
        <v>39</v>
      </c>
      <c r="C23" s="262">
        <f t="shared" si="42"/>
        <v>1000447.4</v>
      </c>
      <c r="D23" s="263">
        <f t="shared" si="43"/>
        <v>0.01906580081</v>
      </c>
      <c r="E23" s="262">
        <f t="shared" si="44"/>
        <v>12500</v>
      </c>
      <c r="F23" s="268"/>
      <c r="G23" s="189">
        <f>HO!AH88</f>
        <v>527137</v>
      </c>
      <c r="H23" s="186"/>
      <c r="I23" s="189">
        <f>HO!AJ88</f>
        <v>12500</v>
      </c>
      <c r="J23" s="186"/>
      <c r="K23" s="262">
        <f t="shared" si="45"/>
        <v>473310.4</v>
      </c>
      <c r="L23" s="263">
        <f t="shared" si="46"/>
        <v>0.009020006258</v>
      </c>
      <c r="M23" s="262"/>
      <c r="N23" s="263"/>
      <c r="O23" s="189">
        <f>'The Table'!AH91</f>
        <v>206543.96</v>
      </c>
      <c r="P23" s="264">
        <f t="shared" si="47"/>
        <v>0.01484380703</v>
      </c>
      <c r="Q23" s="189">
        <f>'The Table'!AJ91</f>
        <v>193712.48</v>
      </c>
      <c r="R23" s="264">
        <f t="shared" si="48"/>
        <v>0.01377747476</v>
      </c>
      <c r="S23" s="186">
        <f>Iktara!S92</f>
        <v>0</v>
      </c>
      <c r="T23" s="264">
        <f t="shared" si="49"/>
        <v>0</v>
      </c>
      <c r="U23" s="186" t="str">
        <f t="shared" si="50"/>
        <v>#REF!</v>
      </c>
      <c r="V23" s="264" t="str">
        <f t="shared" si="51"/>
        <v>#REF!</v>
      </c>
      <c r="W23" s="189">
        <f>'Mg St Colaba'!AH124</f>
        <v>89671.22</v>
      </c>
      <c r="X23" s="264">
        <f t="shared" si="52"/>
        <v>0.007515885766</v>
      </c>
      <c r="Y23" s="189">
        <f>'Mg St Colaba'!AJ124</f>
        <v>120084.656</v>
      </c>
      <c r="Z23" s="264">
        <f t="shared" si="53"/>
        <v>0.008810698668</v>
      </c>
      <c r="AA23" s="189">
        <f>'Mg St LP'!AH125</f>
        <v>45786.63</v>
      </c>
      <c r="AB23" s="264">
        <f t="shared" si="54"/>
        <v>0.004974325588</v>
      </c>
      <c r="AC23" s="186">
        <f>'Mg St LP'!AJ125</f>
        <v>36503.892</v>
      </c>
      <c r="AD23" s="264">
        <f t="shared" si="55"/>
        <v>0.004041772764</v>
      </c>
      <c r="AE23" s="189">
        <f>'Mg St Bandra'!AH125</f>
        <v>130407.59</v>
      </c>
      <c r="AF23" s="264">
        <f t="shared" si="56"/>
        <v>0.00833584655</v>
      </c>
      <c r="AG23" s="189">
        <f>'Mg St Bandra'!AJ125</f>
        <v>132881.775</v>
      </c>
      <c r="AH23" s="264">
        <f t="shared" si="57"/>
        <v>0.007860015126</v>
      </c>
      <c r="AI23" s="189">
        <f>'MSK Events'!I114</f>
        <v>0</v>
      </c>
      <c r="AJ23" s="186"/>
      <c r="AK23" s="186" t="str">
        <f t="shared" si="58"/>
        <v>#REF!</v>
      </c>
      <c r="AL23" s="186"/>
      <c r="AM23" s="189">
        <f>MSBC!AH106</f>
        <v>0</v>
      </c>
      <c r="AN23" s="186"/>
      <c r="AO23" s="265">
        <f>MSBC!AJ106</f>
        <v>0</v>
      </c>
      <c r="AP23" s="186"/>
      <c r="AQ23" s="189"/>
      <c r="AR23" s="186"/>
      <c r="AS23" s="189"/>
      <c r="AT23" s="186"/>
      <c r="AU23" s="189">
        <f>Kaspers!X109</f>
        <v>901</v>
      </c>
      <c r="AV23" s="186"/>
      <c r="AW23" s="189">
        <f>Kaspers!Z109</f>
        <v>0</v>
      </c>
      <c r="AX23" s="186"/>
      <c r="AY23" s="186"/>
      <c r="AZ23" s="186"/>
      <c r="BA23" s="186"/>
      <c r="BB23" s="186"/>
      <c r="BC23" s="189">
        <f>'MSBC Dahisar'!I105</f>
        <v>0</v>
      </c>
      <c r="BD23" s="186"/>
      <c r="BE23" s="186"/>
      <c r="BF23" s="186"/>
      <c r="BG23" s="266">
        <v>0.0</v>
      </c>
      <c r="BH23" s="186"/>
      <c r="BI23" s="186"/>
      <c r="BJ23" s="186"/>
      <c r="BK23" s="114">
        <v>0.0</v>
      </c>
      <c r="BL23" s="43"/>
      <c r="BM23" s="114"/>
      <c r="BN23" s="43"/>
    </row>
    <row r="24" ht="15.75" customHeight="1">
      <c r="B24" s="188" t="s">
        <v>40</v>
      </c>
      <c r="C24" s="262">
        <f t="shared" si="42"/>
        <v>255130.75</v>
      </c>
      <c r="D24" s="263">
        <f t="shared" si="43"/>
        <v>0.004862096759</v>
      </c>
      <c r="E24" s="262">
        <f t="shared" si="44"/>
        <v>114596.8333</v>
      </c>
      <c r="F24" s="268"/>
      <c r="G24" s="189">
        <f>HO!AH95</f>
        <v>118053.1667</v>
      </c>
      <c r="H24" s="186"/>
      <c r="I24" s="189">
        <f>HO!AJ95</f>
        <v>114596.8333</v>
      </c>
      <c r="J24" s="186"/>
      <c r="K24" s="262">
        <f t="shared" si="45"/>
        <v>137077.5833</v>
      </c>
      <c r="L24" s="263">
        <f t="shared" si="46"/>
        <v>0.002612325145</v>
      </c>
      <c r="M24" s="262"/>
      <c r="N24" s="263"/>
      <c r="O24" s="189">
        <f>'The Table'!AH94</f>
        <v>35400</v>
      </c>
      <c r="P24" s="264">
        <f t="shared" si="47"/>
        <v>0.002544111041</v>
      </c>
      <c r="Q24" s="189">
        <f>'The Table'!AJ94</f>
        <v>35400</v>
      </c>
      <c r="R24" s="264">
        <f t="shared" si="48"/>
        <v>0.002517765539</v>
      </c>
      <c r="S24" s="186">
        <f>Iktara!S95</f>
        <v>688</v>
      </c>
      <c r="T24" s="264">
        <f t="shared" si="49"/>
        <v>0.001251420239</v>
      </c>
      <c r="U24" s="186" t="str">
        <f t="shared" si="50"/>
        <v>#REF!</v>
      </c>
      <c r="V24" s="264" t="str">
        <f t="shared" si="51"/>
        <v>#REF!</v>
      </c>
      <c r="W24" s="189">
        <f>'Mg St Colaba'!AH127</f>
        <v>30188.33333</v>
      </c>
      <c r="X24" s="264">
        <f t="shared" si="52"/>
        <v>0.002530266286</v>
      </c>
      <c r="Y24" s="189">
        <f>'Mg St Colaba'!AJ127</f>
        <v>30188.33333</v>
      </c>
      <c r="Z24" s="264">
        <f t="shared" si="53"/>
        <v>0.002214940003</v>
      </c>
      <c r="AA24" s="189">
        <f>'Mg St LP'!AH128</f>
        <v>3638.333333</v>
      </c>
      <c r="AB24" s="264">
        <f t="shared" si="54"/>
        <v>0.0003952737862</v>
      </c>
      <c r="AC24" s="186">
        <f>'Mg St LP'!AJ128</f>
        <v>3638</v>
      </c>
      <c r="AD24" s="264">
        <f t="shared" si="55"/>
        <v>0.0004028055232</v>
      </c>
      <c r="AE24" s="189">
        <f>'Mg St Bandra'!AH128</f>
        <v>31663.33333</v>
      </c>
      <c r="AF24" s="264">
        <f t="shared" si="56"/>
        <v>0.002023967224</v>
      </c>
      <c r="AG24" s="189">
        <f>'Mg St Bandra'!AJ128</f>
        <v>23000</v>
      </c>
      <c r="AH24" s="264">
        <f t="shared" si="57"/>
        <v>0.001360460062</v>
      </c>
      <c r="AI24" s="189">
        <f>'MSK Events'!I117</f>
        <v>6806.25</v>
      </c>
      <c r="AJ24" s="186"/>
      <c r="AK24" s="186" t="str">
        <f t="shared" si="58"/>
        <v>#REF!</v>
      </c>
      <c r="AL24" s="186"/>
      <c r="AM24" s="189">
        <f>MSBC!AH109</f>
        <v>10521.33333</v>
      </c>
      <c r="AN24" s="186"/>
      <c r="AO24" s="265">
        <f>MSBC!AJ109</f>
        <v>0</v>
      </c>
      <c r="AP24" s="186"/>
      <c r="AQ24" s="189"/>
      <c r="AR24" s="186"/>
      <c r="AS24" s="189"/>
      <c r="AT24" s="186"/>
      <c r="AU24" s="189">
        <f>Kaspers!X113</f>
        <v>18172</v>
      </c>
      <c r="AV24" s="186"/>
      <c r="AW24" s="189">
        <f>Kaspers!Z113</f>
        <v>0</v>
      </c>
      <c r="AX24" s="186"/>
      <c r="AY24" s="186"/>
      <c r="AZ24" s="186"/>
      <c r="BA24" s="186"/>
      <c r="BB24" s="186"/>
      <c r="BC24" s="189">
        <f>'MSBC Dahisar'!I108</f>
        <v>0</v>
      </c>
      <c r="BD24" s="186"/>
      <c r="BE24" s="186"/>
      <c r="BF24" s="186"/>
      <c r="BG24" s="189">
        <f>'MSBC Juhu  Goregoan'!L109</f>
        <v>0</v>
      </c>
      <c r="BH24" s="186"/>
      <c r="BI24" s="186"/>
      <c r="BJ24" s="186"/>
      <c r="BK24" s="114">
        <v>0.0</v>
      </c>
      <c r="BL24" s="43"/>
      <c r="BM24" s="114"/>
      <c r="BN24" s="43"/>
    </row>
    <row r="25" ht="15.75" customHeight="1">
      <c r="B25" s="188" t="s">
        <v>41</v>
      </c>
      <c r="C25" s="262">
        <f t="shared" si="42"/>
        <v>3092425.25</v>
      </c>
      <c r="D25" s="263">
        <f t="shared" si="43"/>
        <v>0.05893319713</v>
      </c>
      <c r="E25" s="262">
        <f t="shared" si="44"/>
        <v>76500</v>
      </c>
      <c r="F25" s="268"/>
      <c r="G25" s="189">
        <f>HO!AH106</f>
        <v>112855.3333</v>
      </c>
      <c r="H25" s="186"/>
      <c r="I25" s="189">
        <f>HO!AJ106</f>
        <v>76500</v>
      </c>
      <c r="J25" s="186"/>
      <c r="K25" s="262">
        <f t="shared" si="45"/>
        <v>2979569.917</v>
      </c>
      <c r="L25" s="263">
        <f t="shared" si="46"/>
        <v>0.05678248206</v>
      </c>
      <c r="M25" s="262"/>
      <c r="N25" s="263"/>
      <c r="O25" s="189">
        <f>'The Table'!AH99</f>
        <v>378490.0833</v>
      </c>
      <c r="P25" s="264">
        <f t="shared" si="47"/>
        <v>0.02720115254</v>
      </c>
      <c r="Q25" s="189">
        <f>'The Table'!AJ99</f>
        <v>283203</v>
      </c>
      <c r="R25" s="264">
        <f t="shared" si="48"/>
        <v>0.02014233768</v>
      </c>
      <c r="S25" s="282">
        <f>Iktara!S99</f>
        <v>8136.416667</v>
      </c>
      <c r="T25" s="264">
        <f t="shared" si="49"/>
        <v>0.01479952978</v>
      </c>
      <c r="U25" s="186" t="str">
        <f t="shared" si="50"/>
        <v>#REF!</v>
      </c>
      <c r="V25" s="264" t="str">
        <f t="shared" si="51"/>
        <v>#REF!</v>
      </c>
      <c r="W25" s="189">
        <f>'Mg St Colaba'!AH132</f>
        <v>305441.3333</v>
      </c>
      <c r="X25" s="264">
        <f t="shared" si="52"/>
        <v>0.0256008803</v>
      </c>
      <c r="Y25" s="189">
        <f>'Mg St Colaba'!AJ132</f>
        <v>407563.0833</v>
      </c>
      <c r="Z25" s="264">
        <f t="shared" si="53"/>
        <v>0.02990320025</v>
      </c>
      <c r="AA25" s="189">
        <f>'Mg St LP'!AH132</f>
        <v>123272.75</v>
      </c>
      <c r="AB25" s="264">
        <f t="shared" si="54"/>
        <v>0.01339252954</v>
      </c>
      <c r="AC25" s="189">
        <f>'Mg St LP'!AJ132</f>
        <v>59538</v>
      </c>
      <c r="AD25" s="264">
        <f t="shared" si="55"/>
        <v>0.006592148224</v>
      </c>
      <c r="AE25" s="189">
        <f>'Mg St Bandra'!AH132</f>
        <v>1034030.667</v>
      </c>
      <c r="AF25" s="264">
        <f t="shared" si="56"/>
        <v>0.0660967737</v>
      </c>
      <c r="AG25" s="189">
        <f>'Mg St Bandra'!AJ132</f>
        <v>423797</v>
      </c>
      <c r="AH25" s="264">
        <f t="shared" si="57"/>
        <v>0.02506777796</v>
      </c>
      <c r="AI25" s="189">
        <f>'MSK Events'!I121</f>
        <v>349628.6667</v>
      </c>
      <c r="AJ25" s="186"/>
      <c r="AK25" s="186" t="str">
        <f t="shared" si="58"/>
        <v>#REF!</v>
      </c>
      <c r="AL25" s="186"/>
      <c r="AM25" s="189">
        <f>MSBC!AH114</f>
        <v>43771</v>
      </c>
      <c r="AN25" s="186"/>
      <c r="AO25" s="265">
        <f>MSBC!AJ114</f>
        <v>0</v>
      </c>
      <c r="AP25" s="186"/>
      <c r="AQ25" s="189"/>
      <c r="AR25" s="186"/>
      <c r="AS25" s="189"/>
      <c r="AT25" s="186"/>
      <c r="AU25" s="189">
        <f>Kaspers!X117</f>
        <v>715199</v>
      </c>
      <c r="AV25" s="186"/>
      <c r="AW25" s="189">
        <f>Kaspers!Z117</f>
        <v>0</v>
      </c>
      <c r="AX25" s="186"/>
      <c r="AY25" s="189">
        <f>'MSBC Andheri'!I123</f>
        <v>10800</v>
      </c>
      <c r="AZ25" s="186"/>
      <c r="BA25" s="186"/>
      <c r="BB25" s="186"/>
      <c r="BC25" s="189">
        <f>'MSBC Dahisar'!I112</f>
        <v>10800</v>
      </c>
      <c r="BD25" s="186"/>
      <c r="BE25" s="186"/>
      <c r="BF25" s="186"/>
      <c r="BG25" s="189">
        <f>'MSBC Juhu  Goregoan'!I113</f>
        <v>10800</v>
      </c>
      <c r="BH25" s="186"/>
      <c r="BI25" s="186"/>
      <c r="BJ25" s="186"/>
      <c r="BK25" s="114">
        <f>'LOUD MOUTH'!I128</f>
        <v>0</v>
      </c>
      <c r="BL25" s="43"/>
      <c r="BM25" s="114"/>
      <c r="BN25" s="43"/>
    </row>
    <row r="26" ht="15.75" customHeight="1">
      <c r="B26" s="188" t="s">
        <v>42</v>
      </c>
      <c r="C26" s="262">
        <f t="shared" si="42"/>
        <v>85100</v>
      </c>
      <c r="D26" s="263">
        <f t="shared" si="43"/>
        <v>0.001621774067</v>
      </c>
      <c r="E26" s="262">
        <f t="shared" si="44"/>
        <v>100000</v>
      </c>
      <c r="F26" s="268"/>
      <c r="G26" s="189">
        <f>HO!AH123</f>
        <v>63100</v>
      </c>
      <c r="H26" s="186"/>
      <c r="I26" s="189">
        <f>HO!AJ123</f>
        <v>100000</v>
      </c>
      <c r="J26" s="186"/>
      <c r="K26" s="262">
        <f t="shared" si="45"/>
        <v>22000</v>
      </c>
      <c r="L26" s="263">
        <f t="shared" si="46"/>
        <v>0.0004192600409</v>
      </c>
      <c r="M26" s="262"/>
      <c r="N26" s="263"/>
      <c r="O26" s="189">
        <f>'The Table'!AH122</f>
        <v>0</v>
      </c>
      <c r="P26" s="264"/>
      <c r="Q26" s="189">
        <f>'The Table'!AJ122</f>
        <v>0</v>
      </c>
      <c r="R26" s="264"/>
      <c r="S26" s="186">
        <f>Iktara!S112</f>
        <v>0</v>
      </c>
      <c r="T26" s="264"/>
      <c r="U26" s="186" t="str">
        <f t="shared" si="50"/>
        <v>#REF!</v>
      </c>
      <c r="V26" s="264"/>
      <c r="W26" s="189">
        <f>'Mg St Colaba'!AH148</f>
        <v>0</v>
      </c>
      <c r="X26" s="264"/>
      <c r="Y26" s="186">
        <f>'Mg St Colaba'!AJ148</f>
        <v>0</v>
      </c>
      <c r="Z26" s="264"/>
      <c r="AA26" s="189">
        <f>'Mg St LP'!AH148</f>
        <v>22000</v>
      </c>
      <c r="AB26" s="264"/>
      <c r="AC26" s="282">
        <f>'Mg St LP'!AJ148</f>
        <v>0</v>
      </c>
      <c r="AD26" s="264"/>
      <c r="AE26" s="189">
        <f>'Mg St Bandra'!AH149</f>
        <v>0</v>
      </c>
      <c r="AF26" s="264"/>
      <c r="AG26" s="282">
        <f>'Mg St Bandra'!AJ149</f>
        <v>0</v>
      </c>
      <c r="AH26" s="264"/>
      <c r="AI26" s="189">
        <f>'MSK Events'!I138</f>
        <v>0</v>
      </c>
      <c r="AJ26" s="186"/>
      <c r="AK26" s="186" t="str">
        <f t="shared" si="58"/>
        <v>#REF!</v>
      </c>
      <c r="AL26" s="186"/>
      <c r="AM26" s="189">
        <f>MSBC!AH131</f>
        <v>0</v>
      </c>
      <c r="AN26" s="186"/>
      <c r="AO26" s="265">
        <f>MSBC!AJ131</f>
        <v>0</v>
      </c>
      <c r="AP26" s="186"/>
      <c r="AQ26" s="189"/>
      <c r="AR26" s="186"/>
      <c r="AS26" s="189"/>
      <c r="AT26" s="186"/>
      <c r="AU26" s="189">
        <f>Kaspers!X141</f>
        <v>0</v>
      </c>
      <c r="AV26" s="186"/>
      <c r="AW26" s="189">
        <f>Kaspers!Z141</f>
        <v>0</v>
      </c>
      <c r="AX26" s="186"/>
      <c r="AY26" s="189">
        <f>'MSBC Andheri'!I138</f>
        <v>0</v>
      </c>
      <c r="AZ26" s="186"/>
      <c r="BA26" s="186"/>
      <c r="BB26" s="186"/>
      <c r="BC26" s="189">
        <f>'MSBC Dahisar'!I127</f>
        <v>0</v>
      </c>
      <c r="BD26" s="186"/>
      <c r="BE26" s="186"/>
      <c r="BF26" s="186"/>
      <c r="BG26" s="266">
        <v>0.0</v>
      </c>
      <c r="BH26" s="186"/>
      <c r="BI26" s="186"/>
      <c r="BJ26" s="186"/>
      <c r="BK26" s="114"/>
      <c r="BL26" s="43"/>
      <c r="BM26" s="114"/>
      <c r="BN26" s="43"/>
    </row>
    <row r="27" ht="15.75" customHeight="1">
      <c r="B27" s="188" t="s">
        <v>43</v>
      </c>
      <c r="C27" s="262">
        <f t="shared" si="42"/>
        <v>-1499863.867</v>
      </c>
      <c r="D27" s="263">
        <f t="shared" si="43"/>
        <v>-0.02858331755</v>
      </c>
      <c r="E27" s="262">
        <f t="shared" si="44"/>
        <v>0</v>
      </c>
      <c r="F27" s="268"/>
      <c r="G27" s="189">
        <f>HO!AH130</f>
        <v>0</v>
      </c>
      <c r="H27" s="186"/>
      <c r="I27" s="189">
        <f>HO!AJ130</f>
        <v>0</v>
      </c>
      <c r="J27" s="186"/>
      <c r="K27" s="262">
        <f t="shared" si="45"/>
        <v>-1499863.867</v>
      </c>
      <c r="L27" s="263">
        <f t="shared" si="46"/>
        <v>-0.02858331755</v>
      </c>
      <c r="M27" s="262"/>
      <c r="N27" s="263"/>
      <c r="O27" s="189">
        <f>'The Table'!AH127</f>
        <v>0</v>
      </c>
      <c r="P27" s="264"/>
      <c r="Q27" s="189">
        <f>'The Table'!AJ127</f>
        <v>0</v>
      </c>
      <c r="R27" s="264"/>
      <c r="S27" s="186">
        <f>Iktara!S116</f>
        <v>0</v>
      </c>
      <c r="T27" s="264"/>
      <c r="U27" s="189" t="str">
        <f t="shared" si="50"/>
        <v>#REF!</v>
      </c>
      <c r="V27" s="264"/>
      <c r="W27" s="189">
        <f>'Mg St Colaba'!AH153</f>
        <v>0</v>
      </c>
      <c r="X27" s="264"/>
      <c r="Y27" s="189">
        <f>'Mg St Colaba'!AJ153</f>
        <v>0</v>
      </c>
      <c r="Z27" s="264"/>
      <c r="AA27" s="189">
        <f>'Mg St LP'!AH152</f>
        <v>0</v>
      </c>
      <c r="AB27" s="264"/>
      <c r="AC27" s="282">
        <f>'Mg St LP'!AJ152</f>
        <v>0</v>
      </c>
      <c r="AD27" s="264"/>
      <c r="AE27" s="189">
        <f>'Mg St Bandra'!AH153</f>
        <v>0</v>
      </c>
      <c r="AF27" s="264"/>
      <c r="AG27" s="189">
        <f>'Mg St Bandra'!AJ153</f>
        <v>0</v>
      </c>
      <c r="AH27" s="264"/>
      <c r="AI27" s="189">
        <f>'MSK Events'!I142</f>
        <v>0</v>
      </c>
      <c r="AJ27" s="186"/>
      <c r="AK27" s="186" t="str">
        <f t="shared" si="58"/>
        <v>#REF!</v>
      </c>
      <c r="AL27" s="186"/>
      <c r="AM27" s="189">
        <f>MSBC!AH135</f>
        <v>-1499863.867</v>
      </c>
      <c r="AN27" s="186"/>
      <c r="AO27" s="265">
        <f>MSBC!AJ135</f>
        <v>0</v>
      </c>
      <c r="AP27" s="186"/>
      <c r="AQ27" s="189"/>
      <c r="AR27" s="186"/>
      <c r="AS27" s="189"/>
      <c r="AT27" s="186"/>
      <c r="AU27" s="189">
        <f>Kaspers!X145</f>
        <v>0</v>
      </c>
      <c r="AV27" s="186"/>
      <c r="AW27" s="189">
        <f>Kaspers!Z145</f>
        <v>25000</v>
      </c>
      <c r="AX27" s="186"/>
      <c r="AY27" s="186"/>
      <c r="AZ27" s="186"/>
      <c r="BA27" s="186"/>
      <c r="BB27" s="186"/>
      <c r="BC27" s="189">
        <f>'MSBC Dahisar'!I131</f>
        <v>0</v>
      </c>
      <c r="BD27" s="186"/>
      <c r="BE27" s="186"/>
      <c r="BF27" s="186"/>
      <c r="BG27" s="266">
        <v>0.0</v>
      </c>
      <c r="BH27" s="186"/>
      <c r="BI27" s="186"/>
      <c r="BJ27" s="186"/>
      <c r="BK27" s="62">
        <f>'LOUD MOUTH'!I148</f>
        <v>0</v>
      </c>
      <c r="BL27" s="62"/>
      <c r="BM27" s="62"/>
      <c r="BN27" s="62"/>
    </row>
    <row r="28" ht="15.75" customHeight="1">
      <c r="B28" s="188" t="s">
        <v>44</v>
      </c>
      <c r="C28" s="262">
        <f>SUM(C18:C27)</f>
        <v>32572331.78</v>
      </c>
      <c r="D28" s="263">
        <f t="shared" si="43"/>
        <v>0.6207398707</v>
      </c>
      <c r="E28" s="262">
        <f t="shared" si="44"/>
        <v>4741156.833</v>
      </c>
      <c r="F28" s="268"/>
      <c r="G28" s="265">
        <f>SUM(G18:G27)</f>
        <v>5264040.797</v>
      </c>
      <c r="H28" s="186"/>
      <c r="I28" s="189">
        <f>SUM(I18:I27)</f>
        <v>4741156.833</v>
      </c>
      <c r="J28" s="186"/>
      <c r="K28" s="262">
        <f>SUM(K18:K27)</f>
        <v>27308290.98</v>
      </c>
      <c r="L28" s="263">
        <f t="shared" si="46"/>
        <v>0.5204215998</v>
      </c>
      <c r="M28" s="262"/>
      <c r="N28" s="263"/>
      <c r="O28" s="189">
        <f>SUM(O18:O27)</f>
        <v>8150033.577</v>
      </c>
      <c r="P28" s="264">
        <f>O28/O$10</f>
        <v>0.5857228927</v>
      </c>
      <c r="Q28" s="189">
        <f>SUM(Q18:Q27)</f>
        <v>8210190.652</v>
      </c>
      <c r="R28" s="264">
        <f>Q28/Q$10</f>
        <v>0.5839360195</v>
      </c>
      <c r="S28" s="189">
        <f>SUM(S18:S27)</f>
        <v>518429.3567</v>
      </c>
      <c r="T28" s="264">
        <f>S28/S$10</f>
        <v>0.9429839964</v>
      </c>
      <c r="U28" s="189" t="str">
        <f>SUM(U18:U27)</f>
        <v>#REF!</v>
      </c>
      <c r="V28" s="264" t="str">
        <f>U28/U$10</f>
        <v>#REF!</v>
      </c>
      <c r="W28" s="189">
        <f>SUM(W18:W27)</f>
        <v>6036220.005</v>
      </c>
      <c r="X28" s="264">
        <f>W28/W$10</f>
        <v>0.5059320038</v>
      </c>
      <c r="Y28" s="189">
        <f>SUM(Y18:Y27)</f>
        <v>6353194.75</v>
      </c>
      <c r="Z28" s="264">
        <f>Y28/Y$10</f>
        <v>0.4661385258</v>
      </c>
      <c r="AA28" s="189">
        <f>SUM(AA18:AA27)</f>
        <v>2964463.796</v>
      </c>
      <c r="AB28" s="264">
        <f>AA28/AA$10</f>
        <v>0.3220636267</v>
      </c>
      <c r="AC28" s="189">
        <f>SUM(AC18:AC27)</f>
        <v>2801805.593</v>
      </c>
      <c r="AD28" s="264">
        <f>AC28/AC$10</f>
        <v>0.3102206618</v>
      </c>
      <c r="AE28" s="189">
        <f>SUM(AE18:AE27)</f>
        <v>7566329.662</v>
      </c>
      <c r="AF28" s="264">
        <f>AE28/AE$10</f>
        <v>0.4836510131</v>
      </c>
      <c r="AG28" s="189">
        <f>SUM(AG18:AG27)</f>
        <v>7129821.339</v>
      </c>
      <c r="AH28" s="264">
        <f>AG28/AG$10</f>
        <v>0.4217320515</v>
      </c>
      <c r="AI28" s="189">
        <f>SUM(AI18:AI27)</f>
        <v>523104.9167</v>
      </c>
      <c r="AJ28" s="186"/>
      <c r="AK28" s="189" t="str">
        <f>SUM(AK18:AK27)</f>
        <v>#REF!</v>
      </c>
      <c r="AL28" s="186"/>
      <c r="AM28" s="189">
        <f>SUM(AM18:AM27)</f>
        <v>335958.559</v>
      </c>
      <c r="AN28" s="186"/>
      <c r="AO28" s="189">
        <f>SUM(AO18:AO27)</f>
        <v>70866</v>
      </c>
      <c r="AP28" s="186"/>
      <c r="AQ28" s="189">
        <f t="shared" ref="AQ28:AR28" si="59">SUM(AQ18:AQ27)</f>
        <v>0</v>
      </c>
      <c r="AR28" s="186">
        <f t="shared" si="59"/>
        <v>0</v>
      </c>
      <c r="AS28" s="189">
        <f>AR28/AR$10</f>
        <v>0</v>
      </c>
      <c r="AT28" s="186">
        <f t="shared" ref="AT28:AU28" si="60">SUM(AT18:AT27)</f>
        <v>0</v>
      </c>
      <c r="AU28" s="189">
        <f t="shared" si="60"/>
        <v>929790.0833</v>
      </c>
      <c r="AV28" s="186"/>
      <c r="AW28" s="189">
        <f>SUM(AW18:AW27)</f>
        <v>131833.3333</v>
      </c>
      <c r="AX28" s="186"/>
      <c r="AY28" s="189">
        <f>SUM(AY18:AY27)</f>
        <v>184612.2557</v>
      </c>
      <c r="AZ28" s="186"/>
      <c r="BA28" s="186"/>
      <c r="BB28" s="186"/>
      <c r="BC28" s="189">
        <f>SUM(BC18:BC27)</f>
        <v>99348.76905</v>
      </c>
      <c r="BD28" s="186"/>
      <c r="BE28" s="186"/>
      <c r="BF28" s="186"/>
      <c r="BG28" s="189">
        <f>SUM(BG18:BG27)</f>
        <v>111710.619</v>
      </c>
      <c r="BH28" s="186"/>
      <c r="BI28" s="186"/>
      <c r="BJ28" s="186"/>
      <c r="BK28" s="146">
        <f>SUM(BK18:BK27)</f>
        <v>1489</v>
      </c>
      <c r="BL28" s="62"/>
      <c r="BM28" s="62"/>
      <c r="BN28" s="62"/>
    </row>
    <row r="29" ht="15.75" customHeight="1">
      <c r="B29" s="188"/>
      <c r="C29" s="268"/>
      <c r="D29" s="268"/>
      <c r="E29" s="268"/>
      <c r="F29" s="268"/>
      <c r="G29" s="186"/>
      <c r="H29" s="186"/>
      <c r="I29" s="186"/>
      <c r="J29" s="186"/>
      <c r="K29" s="268"/>
      <c r="L29" s="268"/>
      <c r="M29" s="268"/>
      <c r="N29" s="268"/>
      <c r="O29" s="186"/>
      <c r="P29" s="264"/>
      <c r="Q29" s="186"/>
      <c r="R29" s="264"/>
      <c r="S29" s="186"/>
      <c r="T29" s="264"/>
      <c r="U29" s="186"/>
      <c r="V29" s="264"/>
      <c r="W29" s="186"/>
      <c r="X29" s="264"/>
      <c r="Y29" s="186"/>
      <c r="Z29" s="264"/>
      <c r="AA29" s="186"/>
      <c r="AB29" s="264"/>
      <c r="AC29" s="186"/>
      <c r="AD29" s="264"/>
      <c r="AE29" s="186"/>
      <c r="AF29" s="264"/>
      <c r="AG29" s="186"/>
      <c r="AH29" s="264"/>
      <c r="AI29" s="189"/>
      <c r="AJ29" s="186"/>
      <c r="AK29" s="186"/>
      <c r="AL29" s="186"/>
      <c r="AM29" s="189"/>
      <c r="AN29" s="186"/>
      <c r="AO29" s="186"/>
      <c r="AP29" s="186"/>
      <c r="AQ29" s="189"/>
      <c r="AR29" s="186"/>
      <c r="AS29" s="189"/>
      <c r="AT29" s="186"/>
      <c r="AU29" s="186"/>
      <c r="AV29" s="186"/>
      <c r="AW29" s="186"/>
      <c r="AX29" s="186"/>
      <c r="AY29" s="186"/>
      <c r="AZ29" s="186"/>
      <c r="BA29" s="186"/>
      <c r="BB29" s="186"/>
      <c r="BC29" s="186"/>
      <c r="BD29" s="186"/>
      <c r="BE29" s="186"/>
      <c r="BF29" s="186"/>
      <c r="BG29" s="186"/>
      <c r="BH29" s="186"/>
      <c r="BI29" s="186"/>
      <c r="BJ29" s="186"/>
      <c r="BK29" s="96"/>
      <c r="BL29" s="62"/>
      <c r="BM29" s="62"/>
      <c r="BN29" s="62"/>
    </row>
    <row r="30" ht="15.75" customHeight="1">
      <c r="B30" s="188" t="s">
        <v>45</v>
      </c>
      <c r="C30" s="262">
        <f>C16-C28</f>
        <v>1090098.129</v>
      </c>
      <c r="D30" s="263">
        <f>C30/C$10</f>
        <v>0.02077429938</v>
      </c>
      <c r="E30" s="262">
        <f>E16-E28</f>
        <v>-4741156.833</v>
      </c>
      <c r="F30" s="268"/>
      <c r="G30" s="189">
        <f>G16-G28</f>
        <v>-5264040.797</v>
      </c>
      <c r="H30" s="186"/>
      <c r="I30" s="189">
        <f>I16-I28</f>
        <v>-4741156.833</v>
      </c>
      <c r="J30" s="186"/>
      <c r="K30" s="262">
        <f>K16-K28</f>
        <v>6354138.926</v>
      </c>
      <c r="L30" s="263">
        <f>K30/K$10</f>
        <v>0.1210925703</v>
      </c>
      <c r="M30" s="262"/>
      <c r="N30" s="263"/>
      <c r="O30" s="189">
        <f>O16-O28</f>
        <v>-153932.5861</v>
      </c>
      <c r="P30" s="264">
        <f>O30/O$10</f>
        <v>-0.01106275683</v>
      </c>
      <c r="Q30" s="189">
        <f>Q16-Q28</f>
        <v>1077125.005</v>
      </c>
      <c r="R30" s="264">
        <f>Q30/Q$10</f>
        <v>0.07660870676</v>
      </c>
      <c r="S30" s="189">
        <f>S16-S28</f>
        <v>-199145.7799</v>
      </c>
      <c r="T30" s="264">
        <f>S30/S$10</f>
        <v>-0.3622311911</v>
      </c>
      <c r="U30" s="189" t="str">
        <f>U16-U28</f>
        <v>#REF!</v>
      </c>
      <c r="V30" s="264" t="str">
        <f>U30/U$10</f>
        <v>#REF!</v>
      </c>
      <c r="W30" s="189">
        <f>W16-W28</f>
        <v>1932221.183</v>
      </c>
      <c r="X30" s="264">
        <f>W30/W$10</f>
        <v>0.1619511108</v>
      </c>
      <c r="Y30" s="189">
        <f>Y16-Y28</f>
        <v>3400121.365</v>
      </c>
      <c r="Z30" s="264">
        <f>Y30/Y$10</f>
        <v>0.2494693808</v>
      </c>
      <c r="AA30" s="189">
        <f>AA16-AA28</f>
        <v>3281237.949</v>
      </c>
      <c r="AB30" s="264">
        <f>AA30/AA$10</f>
        <v>0.3564784281</v>
      </c>
      <c r="AC30" s="189">
        <f>AC16-AC28</f>
        <v>3966636.811</v>
      </c>
      <c r="AD30" s="264">
        <f>AC30/AC$10</f>
        <v>0.4391927476</v>
      </c>
      <c r="AE30" s="189">
        <f>AE16-AE28</f>
        <v>3334425.961</v>
      </c>
      <c r="AF30" s="264">
        <f>AE30/AE$10</f>
        <v>0.2131414524</v>
      </c>
      <c r="AG30" s="189">
        <f>AG16-AG28</f>
        <v>4667497.391</v>
      </c>
      <c r="AH30" s="264">
        <f>AG30/AG$10</f>
        <v>0.2760845126</v>
      </c>
      <c r="AI30" s="189">
        <f>AI16-AI28</f>
        <v>-523104.9167</v>
      </c>
      <c r="AJ30" s="186"/>
      <c r="AK30" s="189" t="str">
        <f>AK16-AK28</f>
        <v>#REF!</v>
      </c>
      <c r="AL30" s="186"/>
      <c r="AM30" s="189">
        <f>AM16-AM28</f>
        <v>-292833.1722</v>
      </c>
      <c r="AN30" s="186"/>
      <c r="AO30" s="186"/>
      <c r="AP30" s="186"/>
      <c r="AQ30" s="189">
        <f t="shared" ref="AQ30:AU30" si="61">AQ16-AQ28</f>
        <v>107930.4906</v>
      </c>
      <c r="AR30" s="264">
        <f t="shared" si="61"/>
        <v>0.3124216092</v>
      </c>
      <c r="AS30" s="189" t="str">
        <f t="shared" si="61"/>
        <v>#REF!</v>
      </c>
      <c r="AT30" s="264" t="str">
        <f t="shared" si="61"/>
        <v>#REF!</v>
      </c>
      <c r="AU30" s="189">
        <f t="shared" si="61"/>
        <v>-929790.0833</v>
      </c>
      <c r="AV30" s="186"/>
      <c r="AW30" s="189">
        <f>AW16-AW28</f>
        <v>2709166.667</v>
      </c>
      <c r="AX30" s="186"/>
      <c r="AY30" s="189">
        <f>AY16-AY28</f>
        <v>-76681.76506</v>
      </c>
      <c r="AZ30" s="186"/>
      <c r="BA30" s="186"/>
      <c r="BB30" s="186"/>
      <c r="BC30" s="189">
        <f>BC16-BC28</f>
        <v>-126188.3534</v>
      </c>
      <c r="BD30" s="186"/>
      <c r="BE30" s="186"/>
      <c r="BF30" s="186"/>
      <c r="BG30" s="189">
        <f>BG16-BG28</f>
        <v>-195519.4917</v>
      </c>
      <c r="BH30" s="186"/>
      <c r="BI30" s="186"/>
      <c r="BJ30" s="186"/>
      <c r="BK30" s="146">
        <f>BK16-BK28</f>
        <v>-1489</v>
      </c>
      <c r="BL30" s="62"/>
      <c r="BM30" s="62"/>
      <c r="BN30" s="62"/>
    </row>
    <row r="31" ht="15.75" customHeight="1">
      <c r="BK31" s="274"/>
      <c r="BL31" s="274"/>
      <c r="BM31" s="274"/>
      <c r="BN31" s="274"/>
    </row>
    <row r="32" ht="15.75" customHeight="1">
      <c r="AM32" s="129">
        <f>MSBC!AH142</f>
        <v>-292833.1722</v>
      </c>
      <c r="BK32" s="3"/>
      <c r="BL32" s="3"/>
      <c r="BM32" s="3"/>
      <c r="BN32" s="3"/>
    </row>
    <row r="33" ht="15.75" customHeight="1">
      <c r="BK33" s="3"/>
      <c r="BL33" s="3"/>
      <c r="BM33" s="3"/>
      <c r="BN33" s="3"/>
    </row>
    <row r="34" ht="15.75" customHeight="1">
      <c r="BK34" s="3"/>
      <c r="BL34" s="3"/>
      <c r="BM34" s="3"/>
      <c r="BN34" s="3"/>
    </row>
    <row r="35" ht="15.75" customHeight="1">
      <c r="BK35" s="3"/>
      <c r="BL35" s="3"/>
      <c r="BM35" s="3"/>
      <c r="BN35" s="3"/>
    </row>
    <row r="36" ht="15.75" customHeight="1">
      <c r="BK36" s="3"/>
      <c r="BL36" s="3"/>
      <c r="BM36" s="3"/>
      <c r="BN36" s="3"/>
    </row>
    <row r="37" ht="15.75" customHeight="1">
      <c r="BK37" s="3"/>
      <c r="BL37" s="3"/>
      <c r="BM37" s="3"/>
      <c r="BN37" s="3"/>
    </row>
    <row r="38" ht="15.75" customHeight="1">
      <c r="BK38" s="3"/>
      <c r="BL38" s="3"/>
      <c r="BM38" s="3"/>
      <c r="BN38" s="3"/>
    </row>
    <row r="39" ht="15.75" customHeight="1">
      <c r="BK39" s="3"/>
      <c r="BL39" s="3"/>
      <c r="BM39" s="3"/>
      <c r="BN39" s="3"/>
    </row>
    <row r="40" ht="15.75" customHeight="1">
      <c r="BK40" s="3"/>
      <c r="BL40" s="3"/>
      <c r="BM40" s="3"/>
      <c r="BN40" s="3"/>
    </row>
    <row r="41" ht="15.75" customHeight="1">
      <c r="BK41" s="3"/>
      <c r="BL41" s="3"/>
      <c r="BM41" s="3"/>
      <c r="BN41" s="3"/>
    </row>
    <row r="42" ht="15.75" customHeight="1">
      <c r="BK42" s="3"/>
      <c r="BL42" s="3"/>
      <c r="BM42" s="3"/>
      <c r="BN42" s="3"/>
    </row>
    <row r="43" ht="15.75" customHeight="1">
      <c r="BK43" s="3"/>
      <c r="BL43" s="3"/>
      <c r="BM43" s="3"/>
      <c r="BN43" s="3"/>
    </row>
    <row r="44" ht="15.75" customHeight="1">
      <c r="BK44" s="3"/>
      <c r="BL44" s="3"/>
      <c r="BM44" s="3"/>
      <c r="BN44" s="3"/>
    </row>
    <row r="45" ht="15.75" customHeight="1">
      <c r="BK45" s="3"/>
      <c r="BL45" s="3"/>
      <c r="BM45" s="3"/>
      <c r="BN45" s="3"/>
    </row>
    <row r="46" ht="15.75" customHeight="1">
      <c r="BK46" s="3"/>
      <c r="BL46" s="3"/>
      <c r="BM46" s="3"/>
      <c r="BN46" s="3"/>
    </row>
    <row r="47" ht="15.75" customHeight="1">
      <c r="BK47" s="3"/>
      <c r="BL47" s="3"/>
      <c r="BM47" s="3"/>
      <c r="BN47" s="3"/>
    </row>
    <row r="48" ht="15.75" customHeight="1">
      <c r="BK48" s="3"/>
      <c r="BL48" s="3"/>
      <c r="BM48" s="3"/>
      <c r="BN48" s="3"/>
    </row>
    <row r="49" ht="15.75" customHeight="1">
      <c r="BK49" s="3"/>
      <c r="BL49" s="3"/>
      <c r="BM49" s="3"/>
      <c r="BN49" s="3"/>
    </row>
    <row r="50" ht="15.75" customHeight="1">
      <c r="BK50" s="3"/>
      <c r="BL50" s="3"/>
      <c r="BM50" s="3"/>
      <c r="BN50" s="3"/>
    </row>
    <row r="51" ht="15.75" customHeight="1">
      <c r="BK51" s="3"/>
      <c r="BL51" s="3"/>
      <c r="BM51" s="3"/>
      <c r="BN51" s="3"/>
    </row>
    <row r="52" ht="15.75" customHeight="1">
      <c r="BK52" s="3"/>
      <c r="BL52" s="3"/>
      <c r="BM52" s="3"/>
      <c r="BN52" s="3"/>
    </row>
    <row r="53" ht="15.75" customHeight="1">
      <c r="BK53" s="3"/>
      <c r="BL53" s="3"/>
      <c r="BM53" s="3"/>
      <c r="BN53" s="3"/>
    </row>
    <row r="54" ht="15.75" customHeight="1">
      <c r="BK54" s="3"/>
      <c r="BL54" s="3"/>
      <c r="BM54" s="3"/>
      <c r="BN54" s="3"/>
    </row>
    <row r="55" ht="15.75" customHeight="1">
      <c r="BK55" s="3"/>
      <c r="BL55" s="3"/>
      <c r="BM55" s="3"/>
      <c r="BN55" s="3"/>
    </row>
    <row r="56" ht="15.75" customHeight="1">
      <c r="BK56" s="3"/>
      <c r="BL56" s="3"/>
      <c r="BM56" s="3"/>
      <c r="BN56" s="3"/>
    </row>
    <row r="57" ht="15.75" customHeight="1">
      <c r="BK57" s="3"/>
      <c r="BL57" s="3"/>
      <c r="BM57" s="3"/>
      <c r="BN57" s="3"/>
    </row>
    <row r="58" ht="15.75" customHeight="1">
      <c r="BK58" s="3"/>
      <c r="BL58" s="3"/>
      <c r="BM58" s="3"/>
      <c r="BN58" s="3"/>
    </row>
    <row r="59" ht="15.75" customHeight="1">
      <c r="BK59" s="3"/>
      <c r="BL59" s="3"/>
      <c r="BM59" s="3"/>
      <c r="BN59" s="3"/>
    </row>
    <row r="60" ht="15.75" customHeight="1">
      <c r="BK60" s="3"/>
      <c r="BL60" s="3"/>
      <c r="BM60" s="3"/>
      <c r="BN60" s="3"/>
    </row>
    <row r="61" ht="15.75" customHeight="1">
      <c r="BK61" s="3"/>
      <c r="BL61" s="3"/>
      <c r="BM61" s="3"/>
      <c r="BN61" s="3"/>
    </row>
    <row r="62" ht="15.75" customHeight="1">
      <c r="BK62" s="3"/>
      <c r="BL62" s="3"/>
      <c r="BM62" s="3"/>
      <c r="BN62" s="3"/>
    </row>
    <row r="63" ht="15.75" customHeight="1">
      <c r="BK63" s="3"/>
      <c r="BL63" s="3"/>
      <c r="BM63" s="3"/>
      <c r="BN63" s="3"/>
    </row>
    <row r="64" ht="15.75" customHeight="1">
      <c r="BK64" s="3"/>
      <c r="BL64" s="3"/>
      <c r="BM64" s="3"/>
      <c r="BN64" s="3"/>
    </row>
    <row r="65" ht="15.75" customHeight="1">
      <c r="BK65" s="3"/>
      <c r="BL65" s="3"/>
      <c r="BM65" s="3"/>
      <c r="BN65" s="3"/>
    </row>
    <row r="66" ht="15.75" customHeight="1">
      <c r="BK66" s="3"/>
      <c r="BL66" s="3"/>
      <c r="BM66" s="3"/>
      <c r="BN66" s="3"/>
    </row>
    <row r="67" ht="15.75" customHeight="1">
      <c r="BK67" s="3"/>
      <c r="BL67" s="3"/>
      <c r="BM67" s="3"/>
      <c r="BN67" s="3"/>
    </row>
    <row r="68" ht="15.75" customHeight="1">
      <c r="BK68" s="3"/>
      <c r="BL68" s="3"/>
      <c r="BM68" s="3"/>
      <c r="BN68" s="3"/>
    </row>
    <row r="69" ht="15.75" customHeight="1">
      <c r="BK69" s="3"/>
      <c r="BL69" s="3"/>
      <c r="BM69" s="3"/>
      <c r="BN69" s="3"/>
    </row>
    <row r="70" ht="15.75" customHeight="1">
      <c r="BK70" s="3"/>
      <c r="BL70" s="3"/>
      <c r="BM70" s="3"/>
      <c r="BN70" s="3"/>
    </row>
    <row r="71" ht="15.75" customHeight="1">
      <c r="BK71" s="3"/>
      <c r="BL71" s="3"/>
      <c r="BM71" s="3"/>
      <c r="BN71" s="3"/>
    </row>
    <row r="72" ht="15.75" customHeight="1">
      <c r="BK72" s="3"/>
      <c r="BL72" s="3"/>
      <c r="BM72" s="3"/>
      <c r="BN72" s="3"/>
    </row>
    <row r="73" ht="15.75" customHeight="1">
      <c r="BK73" s="3"/>
      <c r="BL73" s="3"/>
      <c r="BM73" s="3"/>
      <c r="BN73" s="3"/>
    </row>
    <row r="74" ht="15.75" customHeight="1">
      <c r="BK74" s="3"/>
      <c r="BL74" s="3"/>
      <c r="BM74" s="3"/>
      <c r="BN74" s="3"/>
    </row>
    <row r="75" ht="15.75" customHeight="1">
      <c r="BK75" s="3"/>
      <c r="BL75" s="3"/>
      <c r="BM75" s="3"/>
      <c r="BN75" s="3"/>
    </row>
    <row r="76" ht="15.75" customHeight="1">
      <c r="BK76" s="3"/>
      <c r="BL76" s="3"/>
      <c r="BM76" s="3"/>
      <c r="BN76" s="3"/>
    </row>
    <row r="77" ht="15.75" customHeight="1">
      <c r="BK77" s="3"/>
      <c r="BL77" s="3"/>
      <c r="BM77" s="3"/>
      <c r="BN77" s="3"/>
    </row>
    <row r="78" ht="15.75" customHeight="1">
      <c r="BK78" s="3"/>
      <c r="BL78" s="3"/>
      <c r="BM78" s="3"/>
      <c r="BN78" s="3"/>
    </row>
    <row r="79" ht="15.75" customHeight="1">
      <c r="BK79" s="3"/>
      <c r="BL79" s="3"/>
      <c r="BM79" s="3"/>
      <c r="BN79" s="3"/>
    </row>
    <row r="80" ht="15.75" customHeight="1">
      <c r="BK80" s="3"/>
      <c r="BL80" s="3"/>
      <c r="BM80" s="3"/>
      <c r="BN80" s="3"/>
    </row>
    <row r="81" ht="15.75" customHeight="1">
      <c r="BK81" s="3"/>
      <c r="BL81" s="3"/>
      <c r="BM81" s="3"/>
      <c r="BN81" s="3"/>
    </row>
    <row r="82" ht="15.75" customHeight="1">
      <c r="BK82" s="3"/>
      <c r="BL82" s="3"/>
      <c r="BM82" s="3"/>
      <c r="BN82" s="3"/>
    </row>
    <row r="83" ht="15.75" customHeight="1">
      <c r="BK83" s="3"/>
      <c r="BL83" s="3"/>
      <c r="BM83" s="3"/>
      <c r="BN83" s="3"/>
    </row>
    <row r="84" ht="15.75" customHeight="1">
      <c r="BK84" s="3"/>
      <c r="BL84" s="3"/>
      <c r="BM84" s="3"/>
      <c r="BN84" s="3"/>
    </row>
    <row r="85" ht="15.75" customHeight="1">
      <c r="BK85" s="3"/>
      <c r="BL85" s="3"/>
      <c r="BM85" s="3"/>
      <c r="BN85" s="3"/>
    </row>
    <row r="86" ht="15.75" customHeight="1">
      <c r="BK86" s="3"/>
      <c r="BL86" s="3"/>
      <c r="BM86" s="3"/>
      <c r="BN86" s="3"/>
    </row>
    <row r="87" ht="15.75" customHeight="1">
      <c r="BK87" s="3"/>
      <c r="BL87" s="3"/>
      <c r="BM87" s="3"/>
      <c r="BN87" s="3"/>
    </row>
    <row r="88" ht="15.75" customHeight="1">
      <c r="BK88" s="3"/>
      <c r="BL88" s="3"/>
      <c r="BM88" s="3"/>
      <c r="BN88" s="3"/>
    </row>
    <row r="89" ht="15.75" customHeight="1">
      <c r="BK89" s="3"/>
      <c r="BL89" s="3"/>
      <c r="BM89" s="3"/>
      <c r="BN89" s="3"/>
    </row>
    <row r="90" ht="15.75" customHeight="1">
      <c r="BK90" s="3"/>
      <c r="BL90" s="3"/>
      <c r="BM90" s="3"/>
      <c r="BN90" s="3"/>
    </row>
    <row r="91" ht="15.75" customHeight="1">
      <c r="BK91" s="3"/>
      <c r="BL91" s="3"/>
      <c r="BM91" s="3"/>
      <c r="BN91" s="3"/>
    </row>
    <row r="92" ht="15.75" customHeight="1">
      <c r="BK92" s="3"/>
      <c r="BL92" s="3"/>
      <c r="BM92" s="3"/>
      <c r="BN92" s="3"/>
    </row>
    <row r="93" ht="15.75" customHeight="1">
      <c r="BK93" s="3"/>
      <c r="BL93" s="3"/>
      <c r="BM93" s="3"/>
      <c r="BN93" s="3"/>
    </row>
    <row r="94" ht="15.75" customHeight="1">
      <c r="BK94" s="3"/>
      <c r="BL94" s="3"/>
      <c r="BM94" s="3"/>
      <c r="BN94" s="3"/>
    </row>
    <row r="95" ht="15.75" customHeight="1">
      <c r="BK95" s="3"/>
      <c r="BL95" s="3"/>
      <c r="BM95" s="3"/>
      <c r="BN95" s="3"/>
    </row>
    <row r="96" ht="15.75" customHeight="1">
      <c r="BK96" s="3"/>
      <c r="BL96" s="3"/>
      <c r="BM96" s="3"/>
      <c r="BN96" s="3"/>
    </row>
    <row r="97" ht="15.75" customHeight="1">
      <c r="BK97" s="3"/>
      <c r="BL97" s="3"/>
      <c r="BM97" s="3"/>
      <c r="BN97" s="3"/>
    </row>
    <row r="98" ht="15.75" customHeight="1">
      <c r="BK98" s="3"/>
      <c r="BL98" s="3"/>
      <c r="BM98" s="3"/>
      <c r="BN98" s="3"/>
    </row>
    <row r="99" ht="15.75" customHeight="1">
      <c r="BK99" s="3"/>
      <c r="BL99" s="3"/>
      <c r="BM99" s="3"/>
      <c r="BN99" s="3"/>
    </row>
    <row r="100" ht="15.75" customHeight="1">
      <c r="BK100" s="3"/>
      <c r="BL100" s="3"/>
      <c r="BM100" s="3"/>
      <c r="BN100" s="3"/>
    </row>
    <row r="101" ht="15.75" customHeight="1">
      <c r="BK101" s="3"/>
      <c r="BL101" s="3"/>
      <c r="BM101" s="3"/>
      <c r="BN101" s="3"/>
    </row>
    <row r="102" ht="15.75" customHeight="1">
      <c r="BK102" s="3"/>
      <c r="BL102" s="3"/>
      <c r="BM102" s="3"/>
      <c r="BN102" s="3"/>
    </row>
    <row r="103" ht="15.75" customHeight="1">
      <c r="BK103" s="3"/>
      <c r="BL103" s="3"/>
      <c r="BM103" s="3"/>
      <c r="BN103" s="3"/>
    </row>
    <row r="104" ht="15.75" customHeight="1">
      <c r="BK104" s="3"/>
      <c r="BL104" s="3"/>
      <c r="BM104" s="3"/>
      <c r="BN104" s="3"/>
    </row>
    <row r="105" ht="15.75" customHeight="1">
      <c r="BK105" s="3"/>
      <c r="BL105" s="3"/>
      <c r="BM105" s="3"/>
      <c r="BN105" s="3"/>
    </row>
    <row r="106" ht="15.75" customHeight="1">
      <c r="BK106" s="3"/>
      <c r="BL106" s="3"/>
      <c r="BM106" s="3"/>
      <c r="BN106" s="3"/>
    </row>
    <row r="107" ht="15.75" customHeight="1">
      <c r="BK107" s="3"/>
      <c r="BL107" s="3"/>
      <c r="BM107" s="3"/>
      <c r="BN107" s="3"/>
    </row>
    <row r="108" ht="15.75" customHeight="1">
      <c r="BK108" s="3"/>
      <c r="BL108" s="3"/>
      <c r="BM108" s="3"/>
      <c r="BN108" s="3"/>
    </row>
    <row r="109" ht="15.75" customHeight="1">
      <c r="BK109" s="3"/>
      <c r="BL109" s="3"/>
      <c r="BM109" s="3"/>
      <c r="BN109" s="3"/>
    </row>
    <row r="110" ht="15.75" customHeight="1">
      <c r="BK110" s="3"/>
      <c r="BL110" s="3"/>
      <c r="BM110" s="3"/>
      <c r="BN110" s="3"/>
    </row>
    <row r="111" ht="15.75" customHeight="1">
      <c r="BK111" s="3"/>
      <c r="BL111" s="3"/>
      <c r="BM111" s="3"/>
      <c r="BN111" s="3"/>
    </row>
    <row r="112" ht="15.75" customHeight="1">
      <c r="BK112" s="3"/>
      <c r="BL112" s="3"/>
      <c r="BM112" s="3"/>
      <c r="BN112" s="3"/>
    </row>
    <row r="113" ht="15.75" customHeight="1">
      <c r="BK113" s="3"/>
      <c r="BL113" s="3"/>
      <c r="BM113" s="3"/>
      <c r="BN113" s="3"/>
    </row>
    <row r="114" ht="15.75" customHeight="1">
      <c r="BK114" s="3"/>
      <c r="BL114" s="3"/>
      <c r="BM114" s="3"/>
      <c r="BN114" s="3"/>
    </row>
    <row r="115" ht="15.75" customHeight="1">
      <c r="BK115" s="3"/>
      <c r="BL115" s="3"/>
      <c r="BM115" s="3"/>
      <c r="BN115" s="3"/>
    </row>
    <row r="116" ht="15.75" customHeight="1">
      <c r="BK116" s="3"/>
      <c r="BL116" s="3"/>
      <c r="BM116" s="3"/>
      <c r="BN116" s="3"/>
    </row>
    <row r="117" ht="15.75" customHeight="1">
      <c r="BK117" s="3"/>
      <c r="BL117" s="3"/>
      <c r="BM117" s="3"/>
      <c r="BN117" s="3"/>
    </row>
    <row r="118" ht="15.75" customHeight="1">
      <c r="BK118" s="3"/>
      <c r="BL118" s="3"/>
      <c r="BM118" s="3"/>
      <c r="BN118" s="3"/>
    </row>
    <row r="119" ht="15.75" customHeight="1">
      <c r="BK119" s="3"/>
      <c r="BL119" s="3"/>
      <c r="BM119" s="3"/>
      <c r="BN119" s="3"/>
    </row>
    <row r="120" ht="15.75" customHeight="1">
      <c r="BK120" s="3"/>
      <c r="BL120" s="3"/>
      <c r="BM120" s="3"/>
      <c r="BN120" s="3"/>
    </row>
    <row r="121" ht="15.75" customHeight="1">
      <c r="BK121" s="3"/>
      <c r="BL121" s="3"/>
      <c r="BM121" s="3"/>
      <c r="BN121" s="3"/>
    </row>
    <row r="122" ht="15.75" customHeight="1">
      <c r="BK122" s="3"/>
      <c r="BL122" s="3"/>
      <c r="BM122" s="3"/>
      <c r="BN122" s="3"/>
    </row>
    <row r="123" ht="15.75" customHeight="1">
      <c r="BK123" s="3"/>
      <c r="BL123" s="3"/>
      <c r="BM123" s="3"/>
      <c r="BN123" s="3"/>
    </row>
    <row r="124" ht="15.75" customHeight="1">
      <c r="BK124" s="3"/>
      <c r="BL124" s="3"/>
      <c r="BM124" s="3"/>
      <c r="BN124" s="3"/>
    </row>
    <row r="125" ht="15.75" customHeight="1">
      <c r="BK125" s="3"/>
      <c r="BL125" s="3"/>
      <c r="BM125" s="3"/>
      <c r="BN125" s="3"/>
    </row>
    <row r="126" ht="15.75" customHeight="1">
      <c r="BK126" s="3"/>
      <c r="BL126" s="3"/>
      <c r="BM126" s="3"/>
      <c r="BN126" s="3"/>
    </row>
    <row r="127" ht="15.75" customHeight="1">
      <c r="BK127" s="3"/>
      <c r="BL127" s="3"/>
      <c r="BM127" s="3"/>
      <c r="BN127" s="3"/>
    </row>
    <row r="128" ht="15.75" customHeight="1">
      <c r="BK128" s="3"/>
      <c r="BL128" s="3"/>
      <c r="BM128" s="3"/>
      <c r="BN128" s="3"/>
    </row>
    <row r="129" ht="15.75" customHeight="1">
      <c r="BK129" s="3"/>
      <c r="BL129" s="3"/>
      <c r="BM129" s="3"/>
      <c r="BN129" s="3"/>
    </row>
    <row r="130" ht="15.75" customHeight="1">
      <c r="BK130" s="3"/>
      <c r="BL130" s="3"/>
      <c r="BM130" s="3"/>
      <c r="BN130" s="3"/>
    </row>
    <row r="131" ht="15.75" customHeight="1">
      <c r="BK131" s="3"/>
      <c r="BL131" s="3"/>
      <c r="BM131" s="3"/>
      <c r="BN131" s="3"/>
    </row>
    <row r="132" ht="15.75" customHeight="1">
      <c r="BK132" s="3"/>
      <c r="BL132" s="3"/>
      <c r="BM132" s="3"/>
      <c r="BN132" s="3"/>
    </row>
    <row r="133" ht="15.75" customHeight="1">
      <c r="BK133" s="3"/>
      <c r="BL133" s="3"/>
      <c r="BM133" s="3"/>
      <c r="BN133" s="3"/>
    </row>
    <row r="134" ht="15.75" customHeight="1">
      <c r="BK134" s="3"/>
      <c r="BL134" s="3"/>
      <c r="BM134" s="3"/>
      <c r="BN134" s="3"/>
    </row>
    <row r="135" ht="15.75" customHeight="1">
      <c r="BK135" s="3"/>
      <c r="BL135" s="3"/>
      <c r="BM135" s="3"/>
      <c r="BN135" s="3"/>
    </row>
    <row r="136" ht="15.75" customHeight="1">
      <c r="BK136" s="3"/>
      <c r="BL136" s="3"/>
      <c r="BM136" s="3"/>
      <c r="BN136" s="3"/>
    </row>
    <row r="137" ht="15.75" customHeight="1">
      <c r="BK137" s="3"/>
      <c r="BL137" s="3"/>
      <c r="BM137" s="3"/>
      <c r="BN137" s="3"/>
    </row>
    <row r="138" ht="15.75" customHeight="1">
      <c r="BK138" s="3"/>
      <c r="BL138" s="3"/>
      <c r="BM138" s="3"/>
      <c r="BN138" s="3"/>
    </row>
    <row r="139" ht="15.75" customHeight="1">
      <c r="BK139" s="3"/>
      <c r="BL139" s="3"/>
      <c r="BM139" s="3"/>
      <c r="BN139" s="3"/>
    </row>
    <row r="140" ht="15.75" customHeight="1">
      <c r="BK140" s="3"/>
      <c r="BL140" s="3"/>
      <c r="BM140" s="3"/>
      <c r="BN140" s="3"/>
    </row>
    <row r="141" ht="15.75" customHeight="1">
      <c r="BK141" s="3"/>
      <c r="BL141" s="3"/>
      <c r="BM141" s="3"/>
      <c r="BN141" s="3"/>
    </row>
    <row r="142" ht="15.75" customHeight="1">
      <c r="BK142" s="3"/>
      <c r="BL142" s="3"/>
      <c r="BM142" s="3"/>
      <c r="BN142" s="3"/>
    </row>
    <row r="143" ht="15.75" customHeight="1">
      <c r="BK143" s="3"/>
      <c r="BL143" s="3"/>
      <c r="BM143" s="3"/>
      <c r="BN143" s="3"/>
    </row>
    <row r="144" ht="15.75" customHeight="1">
      <c r="BK144" s="3"/>
      <c r="BL144" s="3"/>
      <c r="BM144" s="3"/>
      <c r="BN144" s="3"/>
    </row>
    <row r="145" ht="15.75" customHeight="1">
      <c r="BK145" s="3"/>
      <c r="BL145" s="3"/>
      <c r="BM145" s="3"/>
      <c r="BN145" s="3"/>
    </row>
    <row r="146" ht="15.75" customHeight="1">
      <c r="BK146" s="3"/>
      <c r="BL146" s="3"/>
      <c r="BM146" s="3"/>
      <c r="BN146" s="3"/>
    </row>
    <row r="147" ht="15.75" customHeight="1">
      <c r="BK147" s="3"/>
      <c r="BL147" s="3"/>
      <c r="BM147" s="3"/>
      <c r="BN147" s="3"/>
    </row>
    <row r="148" ht="15.75" customHeight="1">
      <c r="BK148" s="3"/>
      <c r="BL148" s="3"/>
      <c r="BM148" s="3"/>
      <c r="BN148" s="3"/>
    </row>
    <row r="149" ht="15.75" customHeight="1">
      <c r="BK149" s="3"/>
      <c r="BL149" s="3"/>
      <c r="BM149" s="3"/>
      <c r="BN149" s="3"/>
    </row>
    <row r="150" ht="15.75" customHeight="1">
      <c r="BK150" s="3"/>
      <c r="BL150" s="3"/>
      <c r="BM150" s="3"/>
      <c r="BN150" s="3"/>
    </row>
    <row r="151" ht="15.75" customHeight="1">
      <c r="BK151" s="3"/>
      <c r="BL151" s="3"/>
      <c r="BM151" s="3"/>
      <c r="BN151" s="3"/>
    </row>
    <row r="152" ht="15.75" customHeight="1">
      <c r="BK152" s="3"/>
      <c r="BL152" s="3"/>
      <c r="BM152" s="3"/>
      <c r="BN152" s="3"/>
    </row>
    <row r="153" ht="15.75" customHeight="1">
      <c r="BK153" s="3"/>
      <c r="BL153" s="3"/>
      <c r="BM153" s="3"/>
      <c r="BN153" s="3"/>
    </row>
    <row r="154" ht="15.75" customHeight="1">
      <c r="BK154" s="3"/>
      <c r="BL154" s="3"/>
      <c r="BM154" s="3"/>
      <c r="BN154" s="3"/>
    </row>
    <row r="155" ht="15.75" customHeight="1">
      <c r="BK155" s="3"/>
      <c r="BL155" s="3"/>
      <c r="BM155" s="3"/>
      <c r="BN155" s="3"/>
    </row>
    <row r="156" ht="15.75" customHeight="1">
      <c r="BK156" s="3"/>
      <c r="BL156" s="3"/>
      <c r="BM156" s="3"/>
      <c r="BN156" s="3"/>
    </row>
    <row r="157" ht="15.75" customHeight="1">
      <c r="BK157" s="3"/>
      <c r="BL157" s="3"/>
      <c r="BM157" s="3"/>
      <c r="BN157" s="3"/>
    </row>
    <row r="158" ht="15.75" customHeight="1">
      <c r="BK158" s="3"/>
      <c r="BL158" s="3"/>
      <c r="BM158" s="3"/>
      <c r="BN158" s="3"/>
    </row>
    <row r="159" ht="15.75" customHeight="1">
      <c r="BK159" s="3"/>
      <c r="BL159" s="3"/>
      <c r="BM159" s="3"/>
      <c r="BN159" s="3"/>
    </row>
    <row r="160" ht="15.75" customHeight="1">
      <c r="BK160" s="3"/>
      <c r="BL160" s="3"/>
      <c r="BM160" s="3"/>
      <c r="BN160" s="3"/>
    </row>
    <row r="161" ht="15.75" customHeight="1">
      <c r="BK161" s="3"/>
      <c r="BL161" s="3"/>
      <c r="BM161" s="3"/>
      <c r="BN161" s="3"/>
    </row>
    <row r="162" ht="15.75" customHeight="1">
      <c r="BK162" s="3"/>
      <c r="BL162" s="3"/>
      <c r="BM162" s="3"/>
      <c r="BN162" s="3"/>
    </row>
    <row r="163" ht="15.75" customHeight="1">
      <c r="BK163" s="3"/>
      <c r="BL163" s="3"/>
      <c r="BM163" s="3"/>
      <c r="BN163" s="3"/>
    </row>
    <row r="164" ht="15.75" customHeight="1">
      <c r="BK164" s="3"/>
      <c r="BL164" s="3"/>
      <c r="BM164" s="3"/>
      <c r="BN164" s="3"/>
    </row>
    <row r="165" ht="15.75" customHeight="1">
      <c r="BK165" s="3"/>
      <c r="BL165" s="3"/>
      <c r="BM165" s="3"/>
      <c r="BN165" s="3"/>
    </row>
    <row r="166" ht="15.75" customHeight="1">
      <c r="BK166" s="3"/>
      <c r="BL166" s="3"/>
      <c r="BM166" s="3"/>
      <c r="BN166" s="3"/>
    </row>
    <row r="167" ht="15.75" customHeight="1">
      <c r="BK167" s="3"/>
      <c r="BL167" s="3"/>
      <c r="BM167" s="3"/>
      <c r="BN167" s="3"/>
    </row>
    <row r="168" ht="15.75" customHeight="1">
      <c r="BK168" s="3"/>
      <c r="BL168" s="3"/>
      <c r="BM168" s="3"/>
      <c r="BN168" s="3"/>
    </row>
    <row r="169" ht="15.75" customHeight="1">
      <c r="BK169" s="3"/>
      <c r="BL169" s="3"/>
      <c r="BM169" s="3"/>
      <c r="BN169" s="3"/>
    </row>
    <row r="170" ht="15.75" customHeight="1">
      <c r="BK170" s="3"/>
      <c r="BL170" s="3"/>
      <c r="BM170" s="3"/>
      <c r="BN170" s="3"/>
    </row>
    <row r="171" ht="15.75" customHeight="1">
      <c r="BK171" s="3"/>
      <c r="BL171" s="3"/>
      <c r="BM171" s="3"/>
      <c r="BN171" s="3"/>
    </row>
    <row r="172" ht="15.75" customHeight="1">
      <c r="BK172" s="3"/>
      <c r="BL172" s="3"/>
      <c r="BM172" s="3"/>
      <c r="BN172" s="3"/>
    </row>
    <row r="173" ht="15.75" customHeight="1">
      <c r="BK173" s="3"/>
      <c r="BL173" s="3"/>
      <c r="BM173" s="3"/>
      <c r="BN173" s="3"/>
    </row>
    <row r="174" ht="15.75" customHeight="1">
      <c r="BK174" s="3"/>
      <c r="BL174" s="3"/>
      <c r="BM174" s="3"/>
      <c r="BN174" s="3"/>
    </row>
    <row r="175" ht="15.75" customHeight="1">
      <c r="BK175" s="3"/>
      <c r="BL175" s="3"/>
      <c r="BM175" s="3"/>
      <c r="BN175" s="3"/>
    </row>
    <row r="176" ht="15.75" customHeight="1">
      <c r="BK176" s="3"/>
      <c r="BL176" s="3"/>
      <c r="BM176" s="3"/>
      <c r="BN176" s="3"/>
    </row>
    <row r="177" ht="15.75" customHeight="1">
      <c r="BK177" s="3"/>
      <c r="BL177" s="3"/>
      <c r="BM177" s="3"/>
      <c r="BN177" s="3"/>
    </row>
    <row r="178" ht="15.75" customHeight="1">
      <c r="BK178" s="3"/>
      <c r="BL178" s="3"/>
      <c r="BM178" s="3"/>
      <c r="BN178" s="3"/>
    </row>
    <row r="179" ht="15.75" customHeight="1">
      <c r="BK179" s="3"/>
      <c r="BL179" s="3"/>
      <c r="BM179" s="3"/>
      <c r="BN179" s="3"/>
    </row>
    <row r="180" ht="15.75" customHeight="1">
      <c r="BK180" s="3"/>
      <c r="BL180" s="3"/>
      <c r="BM180" s="3"/>
      <c r="BN180" s="3"/>
    </row>
    <row r="181" ht="15.75" customHeight="1">
      <c r="BK181" s="3"/>
      <c r="BL181" s="3"/>
      <c r="BM181" s="3"/>
      <c r="BN181" s="3"/>
    </row>
    <row r="182" ht="15.75" customHeight="1">
      <c r="BK182" s="3"/>
      <c r="BL182" s="3"/>
      <c r="BM182" s="3"/>
      <c r="BN182" s="3"/>
    </row>
    <row r="183" ht="15.75" customHeight="1">
      <c r="BK183" s="3"/>
      <c r="BL183" s="3"/>
      <c r="BM183" s="3"/>
      <c r="BN183" s="3"/>
    </row>
    <row r="184" ht="15.75" customHeight="1">
      <c r="BK184" s="3"/>
      <c r="BL184" s="3"/>
      <c r="BM184" s="3"/>
      <c r="BN184" s="3"/>
    </row>
    <row r="185" ht="15.75" customHeight="1">
      <c r="BK185" s="3"/>
      <c r="BL185" s="3"/>
      <c r="BM185" s="3"/>
      <c r="BN185" s="3"/>
    </row>
    <row r="186" ht="15.75" customHeight="1">
      <c r="BK186" s="3"/>
      <c r="BL186" s="3"/>
      <c r="BM186" s="3"/>
      <c r="BN186" s="3"/>
    </row>
    <row r="187" ht="15.75" customHeight="1">
      <c r="BK187" s="3"/>
      <c r="BL187" s="3"/>
      <c r="BM187" s="3"/>
      <c r="BN187" s="3"/>
    </row>
    <row r="188" ht="15.75" customHeight="1">
      <c r="BK188" s="3"/>
      <c r="BL188" s="3"/>
      <c r="BM188" s="3"/>
      <c r="BN188" s="3"/>
    </row>
    <row r="189" ht="15.75" customHeight="1">
      <c r="BK189" s="3"/>
      <c r="BL189" s="3"/>
      <c r="BM189" s="3"/>
      <c r="BN189" s="3"/>
    </row>
    <row r="190" ht="15.75" customHeight="1">
      <c r="BK190" s="3"/>
      <c r="BL190" s="3"/>
      <c r="BM190" s="3"/>
      <c r="BN190" s="3"/>
    </row>
    <row r="191" ht="15.75" customHeight="1">
      <c r="BK191" s="3"/>
      <c r="BL191" s="3"/>
      <c r="BM191" s="3"/>
      <c r="BN191" s="3"/>
    </row>
    <row r="192" ht="15.75" customHeight="1">
      <c r="BK192" s="3"/>
      <c r="BL192" s="3"/>
      <c r="BM192" s="3"/>
      <c r="BN192" s="3"/>
    </row>
    <row r="193" ht="15.75" customHeight="1">
      <c r="BK193" s="3"/>
      <c r="BL193" s="3"/>
      <c r="BM193" s="3"/>
      <c r="BN193" s="3"/>
    </row>
    <row r="194" ht="15.75" customHeight="1">
      <c r="BK194" s="3"/>
      <c r="BL194" s="3"/>
      <c r="BM194" s="3"/>
      <c r="BN194" s="3"/>
    </row>
    <row r="195" ht="15.75" customHeight="1">
      <c r="BK195" s="3"/>
      <c r="BL195" s="3"/>
      <c r="BM195" s="3"/>
      <c r="BN195" s="3"/>
    </row>
    <row r="196" ht="15.75" customHeight="1">
      <c r="BK196" s="3"/>
      <c r="BL196" s="3"/>
      <c r="BM196" s="3"/>
      <c r="BN196" s="3"/>
    </row>
    <row r="197" ht="15.75" customHeight="1">
      <c r="BK197" s="3"/>
      <c r="BL197" s="3"/>
      <c r="BM197" s="3"/>
      <c r="BN197" s="3"/>
    </row>
    <row r="198" ht="15.75" customHeight="1">
      <c r="BK198" s="3"/>
      <c r="BL198" s="3"/>
      <c r="BM198" s="3"/>
      <c r="BN198" s="3"/>
    </row>
    <row r="199" ht="15.75" customHeight="1">
      <c r="BK199" s="3"/>
      <c r="BL199" s="3"/>
      <c r="BM199" s="3"/>
      <c r="BN199" s="3"/>
    </row>
    <row r="200" ht="15.75" customHeight="1">
      <c r="BK200" s="3"/>
      <c r="BL200" s="3"/>
      <c r="BM200" s="3"/>
      <c r="BN200" s="3"/>
    </row>
    <row r="201" ht="15.75" customHeight="1">
      <c r="BK201" s="3"/>
      <c r="BL201" s="3"/>
      <c r="BM201" s="3"/>
      <c r="BN201" s="3"/>
    </row>
    <row r="202" ht="15.75" customHeight="1">
      <c r="BK202" s="3"/>
      <c r="BL202" s="3"/>
      <c r="BM202" s="3"/>
      <c r="BN202" s="3"/>
    </row>
    <row r="203" ht="15.75" customHeight="1">
      <c r="BK203" s="3"/>
      <c r="BL203" s="3"/>
      <c r="BM203" s="3"/>
      <c r="BN203" s="3"/>
    </row>
    <row r="204" ht="15.75" customHeight="1">
      <c r="BK204" s="3"/>
      <c r="BL204" s="3"/>
      <c r="BM204" s="3"/>
      <c r="BN204" s="3"/>
    </row>
    <row r="205" ht="15.75" customHeight="1">
      <c r="BK205" s="3"/>
      <c r="BL205" s="3"/>
      <c r="BM205" s="3"/>
      <c r="BN205" s="3"/>
    </row>
    <row r="206" ht="15.75" customHeight="1">
      <c r="BK206" s="3"/>
      <c r="BL206" s="3"/>
      <c r="BM206" s="3"/>
      <c r="BN206" s="3"/>
    </row>
    <row r="207" ht="15.75" customHeight="1">
      <c r="BK207" s="3"/>
      <c r="BL207" s="3"/>
      <c r="BM207" s="3"/>
      <c r="BN207" s="3"/>
    </row>
    <row r="208" ht="15.75" customHeight="1">
      <c r="BK208" s="3"/>
      <c r="BL208" s="3"/>
      <c r="BM208" s="3"/>
      <c r="BN208" s="3"/>
    </row>
    <row r="209" ht="15.75" customHeight="1">
      <c r="BK209" s="3"/>
      <c r="BL209" s="3"/>
      <c r="BM209" s="3"/>
      <c r="BN209" s="3"/>
    </row>
    <row r="210" ht="15.75" customHeight="1">
      <c r="BK210" s="3"/>
      <c r="BL210" s="3"/>
      <c r="BM210" s="3"/>
      <c r="BN210" s="3"/>
    </row>
    <row r="211" ht="15.75" customHeight="1">
      <c r="BK211" s="3"/>
      <c r="BL211" s="3"/>
      <c r="BM211" s="3"/>
      <c r="BN211" s="3"/>
    </row>
    <row r="212" ht="15.75" customHeight="1">
      <c r="BK212" s="3"/>
      <c r="BL212" s="3"/>
      <c r="BM212" s="3"/>
      <c r="BN212" s="3"/>
    </row>
    <row r="213" ht="15.75" customHeight="1">
      <c r="BK213" s="3"/>
      <c r="BL213" s="3"/>
      <c r="BM213" s="3"/>
      <c r="BN213" s="3"/>
    </row>
    <row r="214" ht="15.75" customHeight="1">
      <c r="BK214" s="3"/>
      <c r="BL214" s="3"/>
      <c r="BM214" s="3"/>
      <c r="BN214" s="3"/>
    </row>
    <row r="215" ht="15.75" customHeight="1">
      <c r="BK215" s="3"/>
      <c r="BL215" s="3"/>
      <c r="BM215" s="3"/>
      <c r="BN215" s="3"/>
    </row>
    <row r="216" ht="15.75" customHeight="1">
      <c r="BK216" s="3"/>
      <c r="BL216" s="3"/>
      <c r="BM216" s="3"/>
      <c r="BN216" s="3"/>
    </row>
    <row r="217" ht="15.75" customHeight="1">
      <c r="BK217" s="3"/>
      <c r="BL217" s="3"/>
      <c r="BM217" s="3"/>
      <c r="BN217" s="3"/>
    </row>
    <row r="218" ht="15.75" customHeight="1">
      <c r="BK218" s="3"/>
      <c r="BL218" s="3"/>
      <c r="BM218" s="3"/>
      <c r="BN218" s="3"/>
    </row>
    <row r="219" ht="15.75" customHeight="1">
      <c r="BK219" s="3"/>
      <c r="BL219" s="3"/>
      <c r="BM219" s="3"/>
      <c r="BN219" s="3"/>
    </row>
    <row r="220" ht="15.75" customHeight="1">
      <c r="BK220" s="3"/>
      <c r="BL220" s="3"/>
      <c r="BM220" s="3"/>
      <c r="BN220" s="3"/>
    </row>
    <row r="221" ht="15.75" customHeight="1">
      <c r="BK221" s="3"/>
      <c r="BL221" s="3"/>
      <c r="BM221" s="3"/>
      <c r="BN221" s="3"/>
    </row>
    <row r="222" ht="15.75" customHeight="1">
      <c r="BK222" s="3"/>
      <c r="BL222" s="3"/>
      <c r="BM222" s="3"/>
      <c r="BN222" s="3"/>
    </row>
    <row r="223" ht="15.75" customHeight="1">
      <c r="BK223" s="3"/>
      <c r="BL223" s="3"/>
      <c r="BM223" s="3"/>
      <c r="BN223" s="3"/>
    </row>
    <row r="224" ht="15.75" customHeight="1">
      <c r="BK224" s="3"/>
      <c r="BL224" s="3"/>
      <c r="BM224" s="3"/>
      <c r="BN224" s="3"/>
    </row>
    <row r="225" ht="15.75" customHeight="1">
      <c r="BK225" s="3"/>
      <c r="BL225" s="3"/>
      <c r="BM225" s="3"/>
      <c r="BN225" s="3"/>
    </row>
    <row r="226" ht="15.75" customHeight="1">
      <c r="BK226" s="3"/>
      <c r="BL226" s="3"/>
      <c r="BM226" s="3"/>
      <c r="BN226" s="3"/>
    </row>
    <row r="227" ht="15.75" customHeight="1">
      <c r="BK227" s="3"/>
      <c r="BL227" s="3"/>
      <c r="BM227" s="3"/>
      <c r="BN227" s="3"/>
    </row>
    <row r="228" ht="15.75" customHeight="1">
      <c r="BK228" s="3"/>
      <c r="BL228" s="3"/>
      <c r="BM228" s="3"/>
      <c r="BN228" s="3"/>
    </row>
    <row r="229" ht="15.75" customHeight="1">
      <c r="BK229" s="3"/>
      <c r="BL229" s="3"/>
      <c r="BM229" s="3"/>
      <c r="BN229" s="3"/>
    </row>
    <row r="230" ht="15.75" customHeight="1">
      <c r="BK230" s="3"/>
      <c r="BL230" s="3"/>
      <c r="BM230" s="3"/>
      <c r="BN230" s="3"/>
    </row>
    <row r="231" ht="15.75" customHeight="1">
      <c r="BK231" s="3"/>
      <c r="BL231" s="3"/>
      <c r="BM231" s="3"/>
      <c r="BN231" s="3"/>
    </row>
    <row r="232" ht="15.75" customHeight="1">
      <c r="BK232" s="3"/>
      <c r="BL232" s="3"/>
      <c r="BM232" s="3"/>
      <c r="BN232" s="3"/>
    </row>
    <row r="233" ht="15.75" customHeight="1">
      <c r="BK233" s="3"/>
      <c r="BL233" s="3"/>
      <c r="BM233" s="3"/>
      <c r="BN233" s="3"/>
    </row>
    <row r="234" ht="15.75" customHeight="1">
      <c r="BK234" s="3"/>
      <c r="BL234" s="3"/>
      <c r="BM234" s="3"/>
      <c r="BN234" s="3"/>
    </row>
    <row r="235" ht="15.75" customHeight="1">
      <c r="BK235" s="3"/>
      <c r="BL235" s="3"/>
      <c r="BM235" s="3"/>
      <c r="BN235" s="3"/>
    </row>
    <row r="236" ht="15.75" customHeight="1">
      <c r="BK236" s="3"/>
      <c r="BL236" s="3"/>
      <c r="BM236" s="3"/>
      <c r="BN236" s="3"/>
    </row>
    <row r="237" ht="15.75" customHeight="1">
      <c r="BK237" s="3"/>
      <c r="BL237" s="3"/>
      <c r="BM237" s="3"/>
      <c r="BN237" s="3"/>
    </row>
    <row r="238" ht="15.75" customHeight="1">
      <c r="BK238" s="3"/>
      <c r="BL238" s="3"/>
      <c r="BM238" s="3"/>
      <c r="BN238" s="3"/>
    </row>
    <row r="239" ht="15.75" customHeight="1">
      <c r="BK239" s="3"/>
      <c r="BL239" s="3"/>
      <c r="BM239" s="3"/>
      <c r="BN239" s="3"/>
    </row>
    <row r="240" ht="15.75" customHeight="1">
      <c r="BK240" s="3"/>
      <c r="BL240" s="3"/>
      <c r="BM240" s="3"/>
      <c r="BN240" s="3"/>
    </row>
    <row r="241" ht="15.75" customHeight="1">
      <c r="BK241" s="3"/>
      <c r="BL241" s="3"/>
      <c r="BM241" s="3"/>
      <c r="BN241" s="3"/>
    </row>
    <row r="242" ht="15.75" customHeight="1">
      <c r="BK242" s="3"/>
      <c r="BL242" s="3"/>
      <c r="BM242" s="3"/>
      <c r="BN242" s="3"/>
    </row>
    <row r="243" ht="15.75" customHeight="1">
      <c r="BK243" s="3"/>
      <c r="BL243" s="3"/>
      <c r="BM243" s="3"/>
      <c r="BN243" s="3"/>
    </row>
    <row r="244" ht="15.75" customHeight="1">
      <c r="BK244" s="3"/>
      <c r="BL244" s="3"/>
      <c r="BM244" s="3"/>
      <c r="BN244" s="3"/>
    </row>
    <row r="245" ht="15.75" customHeight="1">
      <c r="BK245" s="3"/>
      <c r="BL245" s="3"/>
      <c r="BM245" s="3"/>
      <c r="BN245" s="3"/>
    </row>
    <row r="246" ht="15.75" customHeight="1">
      <c r="BK246" s="3"/>
      <c r="BL246" s="3"/>
      <c r="BM246" s="3"/>
      <c r="BN246" s="3"/>
    </row>
    <row r="247" ht="15.75" customHeight="1">
      <c r="BK247" s="3"/>
      <c r="BL247" s="3"/>
      <c r="BM247" s="3"/>
      <c r="BN247" s="3"/>
    </row>
    <row r="248" ht="15.75" customHeight="1">
      <c r="BK248" s="3"/>
      <c r="BL248" s="3"/>
      <c r="BM248" s="3"/>
      <c r="BN248" s="3"/>
    </row>
    <row r="249" ht="15.75" customHeight="1">
      <c r="BK249" s="3"/>
      <c r="BL249" s="3"/>
      <c r="BM249" s="3"/>
      <c r="BN249" s="3"/>
    </row>
    <row r="250" ht="15.75" customHeight="1">
      <c r="BK250" s="3"/>
      <c r="BL250" s="3"/>
      <c r="BM250" s="3"/>
      <c r="BN250" s="3"/>
    </row>
    <row r="251" ht="15.75" customHeight="1">
      <c r="BK251" s="3"/>
      <c r="BL251" s="3"/>
      <c r="BM251" s="3"/>
      <c r="BN251" s="3"/>
    </row>
    <row r="252" ht="15.75" customHeight="1">
      <c r="BK252" s="3"/>
      <c r="BL252" s="3"/>
      <c r="BM252" s="3"/>
      <c r="BN252" s="3"/>
    </row>
    <row r="253" ht="15.75" customHeight="1">
      <c r="BK253" s="3"/>
      <c r="BL253" s="3"/>
      <c r="BM253" s="3"/>
      <c r="BN253" s="3"/>
    </row>
    <row r="254" ht="15.75" customHeight="1">
      <c r="BK254" s="3"/>
      <c r="BL254" s="3"/>
      <c r="BM254" s="3"/>
      <c r="BN254" s="3"/>
    </row>
    <row r="255" ht="15.75" customHeight="1">
      <c r="BK255" s="3"/>
      <c r="BL255" s="3"/>
      <c r="BM255" s="3"/>
      <c r="BN255" s="3"/>
    </row>
    <row r="256" ht="15.75" customHeight="1">
      <c r="BK256" s="3"/>
      <c r="BL256" s="3"/>
      <c r="BM256" s="3"/>
      <c r="BN256" s="3"/>
    </row>
    <row r="257" ht="15.75" customHeight="1">
      <c r="BK257" s="3"/>
      <c r="BL257" s="3"/>
      <c r="BM257" s="3"/>
      <c r="BN257" s="3"/>
    </row>
    <row r="258" ht="15.75" customHeight="1">
      <c r="BK258" s="3"/>
      <c r="BL258" s="3"/>
      <c r="BM258" s="3"/>
      <c r="BN258" s="3"/>
    </row>
    <row r="259" ht="15.75" customHeight="1">
      <c r="BK259" s="3"/>
      <c r="BL259" s="3"/>
      <c r="BM259" s="3"/>
      <c r="BN259" s="3"/>
    </row>
    <row r="260" ht="15.75" customHeight="1">
      <c r="BK260" s="3"/>
      <c r="BL260" s="3"/>
      <c r="BM260" s="3"/>
      <c r="BN260" s="3"/>
    </row>
    <row r="261" ht="15.75" customHeight="1">
      <c r="BK261" s="3"/>
      <c r="BL261" s="3"/>
      <c r="BM261" s="3"/>
      <c r="BN261" s="3"/>
    </row>
    <row r="262" ht="15.75" customHeight="1">
      <c r="BK262" s="3"/>
      <c r="BL262" s="3"/>
      <c r="BM262" s="3"/>
      <c r="BN262" s="3"/>
    </row>
    <row r="263" ht="15.75" customHeight="1">
      <c r="BK263" s="3"/>
      <c r="BL263" s="3"/>
      <c r="BM263" s="3"/>
      <c r="BN263" s="3"/>
    </row>
    <row r="264" ht="15.75" customHeight="1">
      <c r="BK264" s="3"/>
      <c r="BL264" s="3"/>
      <c r="BM264" s="3"/>
      <c r="BN264" s="3"/>
    </row>
    <row r="265" ht="15.75" customHeight="1">
      <c r="BK265" s="3"/>
      <c r="BL265" s="3"/>
      <c r="BM265" s="3"/>
      <c r="BN265" s="3"/>
    </row>
    <row r="266" ht="15.75" customHeight="1">
      <c r="BK266" s="3"/>
      <c r="BL266" s="3"/>
      <c r="BM266" s="3"/>
      <c r="BN266" s="3"/>
    </row>
    <row r="267" ht="15.75" customHeight="1">
      <c r="BK267" s="3"/>
      <c r="BL267" s="3"/>
      <c r="BM267" s="3"/>
      <c r="BN267" s="3"/>
    </row>
    <row r="268" ht="15.75" customHeight="1">
      <c r="BK268" s="3"/>
      <c r="BL268" s="3"/>
      <c r="BM268" s="3"/>
      <c r="BN268" s="3"/>
    </row>
    <row r="269" ht="15.75" customHeight="1">
      <c r="BK269" s="3"/>
      <c r="BL269" s="3"/>
      <c r="BM269" s="3"/>
      <c r="BN269" s="3"/>
    </row>
    <row r="270" ht="15.75" customHeight="1">
      <c r="BK270" s="3"/>
      <c r="BL270" s="3"/>
      <c r="BM270" s="3"/>
      <c r="BN270" s="3"/>
    </row>
    <row r="271" ht="15.75" customHeight="1">
      <c r="BK271" s="3"/>
      <c r="BL271" s="3"/>
      <c r="BM271" s="3"/>
      <c r="BN271" s="3"/>
    </row>
    <row r="272" ht="15.75" customHeight="1">
      <c r="BK272" s="3"/>
      <c r="BL272" s="3"/>
      <c r="BM272" s="3"/>
      <c r="BN272" s="3"/>
    </row>
    <row r="273" ht="15.75" customHeight="1">
      <c r="BK273" s="3"/>
      <c r="BL273" s="3"/>
      <c r="BM273" s="3"/>
      <c r="BN273" s="3"/>
    </row>
    <row r="274" ht="15.75" customHeight="1">
      <c r="BK274" s="3"/>
      <c r="BL274" s="3"/>
      <c r="BM274" s="3"/>
      <c r="BN274" s="3"/>
    </row>
    <row r="275" ht="15.75" customHeight="1">
      <c r="BK275" s="3"/>
      <c r="BL275" s="3"/>
      <c r="BM275" s="3"/>
      <c r="BN275" s="3"/>
    </row>
    <row r="276" ht="15.75" customHeight="1">
      <c r="BK276" s="3"/>
      <c r="BL276" s="3"/>
      <c r="BM276" s="3"/>
      <c r="BN276" s="3"/>
    </row>
    <row r="277" ht="15.75" customHeight="1">
      <c r="BK277" s="3"/>
      <c r="BL277" s="3"/>
      <c r="BM277" s="3"/>
      <c r="BN277" s="3"/>
    </row>
    <row r="278" ht="15.75" customHeight="1">
      <c r="BK278" s="3"/>
      <c r="BL278" s="3"/>
      <c r="BM278" s="3"/>
      <c r="BN278" s="3"/>
    </row>
    <row r="279" ht="15.75" customHeight="1">
      <c r="BK279" s="3"/>
      <c r="BL279" s="3"/>
      <c r="BM279" s="3"/>
      <c r="BN279" s="3"/>
    </row>
    <row r="280" ht="15.75" customHeight="1">
      <c r="BK280" s="3"/>
      <c r="BL280" s="3"/>
      <c r="BM280" s="3"/>
      <c r="BN280" s="3"/>
    </row>
    <row r="281" ht="15.75" customHeight="1">
      <c r="BK281" s="3"/>
      <c r="BL281" s="3"/>
      <c r="BM281" s="3"/>
      <c r="BN281" s="3"/>
    </row>
    <row r="282" ht="15.75" customHeight="1">
      <c r="BK282" s="3"/>
      <c r="BL282" s="3"/>
      <c r="BM282" s="3"/>
      <c r="BN282" s="3"/>
    </row>
    <row r="283" ht="15.75" customHeight="1">
      <c r="BK283" s="3"/>
      <c r="BL283" s="3"/>
      <c r="BM283" s="3"/>
      <c r="BN283" s="3"/>
    </row>
    <row r="284" ht="15.75" customHeight="1">
      <c r="BK284" s="3"/>
      <c r="BL284" s="3"/>
      <c r="BM284" s="3"/>
      <c r="BN284" s="3"/>
    </row>
    <row r="285" ht="15.75" customHeight="1">
      <c r="BK285" s="3"/>
      <c r="BL285" s="3"/>
      <c r="BM285" s="3"/>
      <c r="BN285" s="3"/>
    </row>
    <row r="286" ht="15.75" customHeight="1">
      <c r="BK286" s="3"/>
      <c r="BL286" s="3"/>
      <c r="BM286" s="3"/>
      <c r="BN286" s="3"/>
    </row>
    <row r="287" ht="15.75" customHeight="1">
      <c r="BK287" s="3"/>
      <c r="BL287" s="3"/>
      <c r="BM287" s="3"/>
      <c r="BN287" s="3"/>
    </row>
    <row r="288" ht="15.75" customHeight="1">
      <c r="BK288" s="3"/>
      <c r="BL288" s="3"/>
      <c r="BM288" s="3"/>
      <c r="BN288" s="3"/>
    </row>
    <row r="289" ht="15.75" customHeight="1">
      <c r="BK289" s="3"/>
      <c r="BL289" s="3"/>
      <c r="BM289" s="3"/>
      <c r="BN289" s="3"/>
    </row>
    <row r="290" ht="15.75" customHeight="1">
      <c r="BK290" s="3"/>
      <c r="BL290" s="3"/>
      <c r="BM290" s="3"/>
      <c r="BN290" s="3"/>
    </row>
    <row r="291" ht="15.75" customHeight="1">
      <c r="BK291" s="3"/>
      <c r="BL291" s="3"/>
      <c r="BM291" s="3"/>
      <c r="BN291" s="3"/>
    </row>
    <row r="292" ht="15.75" customHeight="1">
      <c r="BK292" s="3"/>
      <c r="BL292" s="3"/>
      <c r="BM292" s="3"/>
      <c r="BN292" s="3"/>
    </row>
    <row r="293" ht="15.75" customHeight="1">
      <c r="BK293" s="3"/>
      <c r="BL293" s="3"/>
      <c r="BM293" s="3"/>
      <c r="BN293" s="3"/>
    </row>
    <row r="294" ht="15.75" customHeight="1">
      <c r="BK294" s="3"/>
      <c r="BL294" s="3"/>
      <c r="BM294" s="3"/>
      <c r="BN294" s="3"/>
    </row>
    <row r="295" ht="15.75" customHeight="1">
      <c r="BK295" s="3"/>
      <c r="BL295" s="3"/>
      <c r="BM295" s="3"/>
      <c r="BN295" s="3"/>
    </row>
    <row r="296" ht="15.75" customHeight="1">
      <c r="BK296" s="3"/>
      <c r="BL296" s="3"/>
      <c r="BM296" s="3"/>
      <c r="BN296" s="3"/>
    </row>
    <row r="297" ht="15.75" customHeight="1">
      <c r="BK297" s="3"/>
      <c r="BL297" s="3"/>
      <c r="BM297" s="3"/>
      <c r="BN297" s="3"/>
    </row>
    <row r="298" ht="15.75" customHeight="1">
      <c r="BK298" s="3"/>
      <c r="BL298" s="3"/>
      <c r="BM298" s="3"/>
      <c r="BN298" s="3"/>
    </row>
    <row r="299" ht="15.75" customHeight="1">
      <c r="BK299" s="3"/>
      <c r="BL299" s="3"/>
      <c r="BM299" s="3"/>
      <c r="BN299" s="3"/>
    </row>
    <row r="300" ht="15.75" customHeight="1">
      <c r="BK300" s="3"/>
      <c r="BL300" s="3"/>
      <c r="BM300" s="3"/>
      <c r="BN300" s="3"/>
    </row>
    <row r="301" ht="15.75" customHeight="1">
      <c r="BK301" s="3"/>
      <c r="BL301" s="3"/>
      <c r="BM301" s="3"/>
      <c r="BN301" s="3"/>
    </row>
    <row r="302" ht="15.75" customHeight="1">
      <c r="BK302" s="3"/>
      <c r="BL302" s="3"/>
      <c r="BM302" s="3"/>
      <c r="BN302" s="3"/>
    </row>
    <row r="303" ht="15.75" customHeight="1">
      <c r="BK303" s="3"/>
      <c r="BL303" s="3"/>
      <c r="BM303" s="3"/>
      <c r="BN303" s="3"/>
    </row>
    <row r="304" ht="15.75" customHeight="1">
      <c r="BK304" s="3"/>
      <c r="BL304" s="3"/>
      <c r="BM304" s="3"/>
      <c r="BN304" s="3"/>
    </row>
    <row r="305" ht="15.75" customHeight="1">
      <c r="BK305" s="3"/>
      <c r="BL305" s="3"/>
      <c r="BM305" s="3"/>
      <c r="BN305" s="3"/>
    </row>
    <row r="306" ht="15.75" customHeight="1">
      <c r="BK306" s="3"/>
      <c r="BL306" s="3"/>
      <c r="BM306" s="3"/>
      <c r="BN306" s="3"/>
    </row>
    <row r="307" ht="15.75" customHeight="1">
      <c r="BK307" s="3"/>
      <c r="BL307" s="3"/>
      <c r="BM307" s="3"/>
      <c r="BN307" s="3"/>
    </row>
    <row r="308" ht="15.75" customHeight="1">
      <c r="BK308" s="3"/>
      <c r="BL308" s="3"/>
      <c r="BM308" s="3"/>
      <c r="BN308" s="3"/>
    </row>
    <row r="309" ht="15.75" customHeight="1">
      <c r="BK309" s="3"/>
      <c r="BL309" s="3"/>
      <c r="BM309" s="3"/>
      <c r="BN309" s="3"/>
    </row>
    <row r="310" ht="15.75" customHeight="1">
      <c r="BK310" s="3"/>
      <c r="BL310" s="3"/>
      <c r="BM310" s="3"/>
      <c r="BN310" s="3"/>
    </row>
    <row r="311" ht="15.75" customHeight="1">
      <c r="BK311" s="3"/>
      <c r="BL311" s="3"/>
      <c r="BM311" s="3"/>
      <c r="BN311" s="3"/>
    </row>
    <row r="312" ht="15.75" customHeight="1">
      <c r="BK312" s="3"/>
      <c r="BL312" s="3"/>
      <c r="BM312" s="3"/>
      <c r="BN312" s="3"/>
    </row>
    <row r="313" ht="15.75" customHeight="1">
      <c r="BK313" s="3"/>
      <c r="BL313" s="3"/>
      <c r="BM313" s="3"/>
      <c r="BN313" s="3"/>
    </row>
    <row r="314" ht="15.75" customHeight="1">
      <c r="BK314" s="3"/>
      <c r="BL314" s="3"/>
      <c r="BM314" s="3"/>
      <c r="BN314" s="3"/>
    </row>
    <row r="315" ht="15.75" customHeight="1">
      <c r="BK315" s="3"/>
      <c r="BL315" s="3"/>
      <c r="BM315" s="3"/>
      <c r="BN315" s="3"/>
    </row>
    <row r="316" ht="15.75" customHeight="1">
      <c r="BK316" s="3"/>
      <c r="BL316" s="3"/>
      <c r="BM316" s="3"/>
      <c r="BN316" s="3"/>
    </row>
    <row r="317" ht="15.75" customHeight="1">
      <c r="BK317" s="3"/>
      <c r="BL317" s="3"/>
      <c r="BM317" s="3"/>
      <c r="BN317" s="3"/>
    </row>
    <row r="318" ht="15.75" customHeight="1">
      <c r="BK318" s="3"/>
      <c r="BL318" s="3"/>
      <c r="BM318" s="3"/>
      <c r="BN318" s="3"/>
    </row>
    <row r="319" ht="15.75" customHeight="1">
      <c r="BK319" s="3"/>
      <c r="BL319" s="3"/>
      <c r="BM319" s="3"/>
      <c r="BN319" s="3"/>
    </row>
    <row r="320" ht="15.75" customHeight="1">
      <c r="BK320" s="3"/>
      <c r="BL320" s="3"/>
      <c r="BM320" s="3"/>
      <c r="BN320" s="3"/>
    </row>
    <row r="321" ht="15.75" customHeight="1">
      <c r="BK321" s="3"/>
      <c r="BL321" s="3"/>
      <c r="BM321" s="3"/>
      <c r="BN321" s="3"/>
    </row>
    <row r="322" ht="15.75" customHeight="1">
      <c r="BK322" s="3"/>
      <c r="BL322" s="3"/>
      <c r="BM322" s="3"/>
      <c r="BN322" s="3"/>
    </row>
    <row r="323" ht="15.75" customHeight="1">
      <c r="BK323" s="3"/>
      <c r="BL323" s="3"/>
      <c r="BM323" s="3"/>
      <c r="BN323" s="3"/>
    </row>
    <row r="324" ht="15.75" customHeight="1">
      <c r="BK324" s="3"/>
      <c r="BL324" s="3"/>
      <c r="BM324" s="3"/>
      <c r="BN324" s="3"/>
    </row>
    <row r="325" ht="15.75" customHeight="1">
      <c r="BK325" s="3"/>
      <c r="BL325" s="3"/>
      <c r="BM325" s="3"/>
      <c r="BN325" s="3"/>
    </row>
    <row r="326" ht="15.75" customHeight="1">
      <c r="BK326" s="3"/>
      <c r="BL326" s="3"/>
      <c r="BM326" s="3"/>
      <c r="BN326" s="3"/>
    </row>
    <row r="327" ht="15.75" customHeight="1">
      <c r="BK327" s="3"/>
      <c r="BL327" s="3"/>
      <c r="BM327" s="3"/>
      <c r="BN327" s="3"/>
    </row>
    <row r="328" ht="15.75" customHeight="1">
      <c r="BK328" s="3"/>
      <c r="BL328" s="3"/>
      <c r="BM328" s="3"/>
      <c r="BN328" s="3"/>
    </row>
    <row r="329" ht="15.75" customHeight="1">
      <c r="BK329" s="3"/>
      <c r="BL329" s="3"/>
      <c r="BM329" s="3"/>
      <c r="BN329" s="3"/>
    </row>
    <row r="330" ht="15.75" customHeight="1">
      <c r="BK330" s="3"/>
      <c r="BL330" s="3"/>
      <c r="BM330" s="3"/>
      <c r="BN330" s="3"/>
    </row>
    <row r="331" ht="15.75" customHeight="1">
      <c r="BK331" s="3"/>
      <c r="BL331" s="3"/>
      <c r="BM331" s="3"/>
      <c r="BN331" s="3"/>
    </row>
    <row r="332" ht="15.75" customHeight="1">
      <c r="BK332" s="3"/>
      <c r="BL332" s="3"/>
      <c r="BM332" s="3"/>
      <c r="BN332" s="3"/>
    </row>
    <row r="333" ht="15.75" customHeight="1">
      <c r="BK333" s="3"/>
      <c r="BL333" s="3"/>
      <c r="BM333" s="3"/>
      <c r="BN333" s="3"/>
    </row>
    <row r="334" ht="15.75" customHeight="1">
      <c r="BK334" s="3"/>
      <c r="BL334" s="3"/>
      <c r="BM334" s="3"/>
      <c r="BN334" s="3"/>
    </row>
    <row r="335" ht="15.75" customHeight="1">
      <c r="BK335" s="3"/>
      <c r="BL335" s="3"/>
      <c r="BM335" s="3"/>
      <c r="BN335" s="3"/>
    </row>
    <row r="336" ht="15.75" customHeight="1">
      <c r="BK336" s="3"/>
      <c r="BL336" s="3"/>
      <c r="BM336" s="3"/>
      <c r="BN336" s="3"/>
    </row>
    <row r="337" ht="15.75" customHeight="1">
      <c r="BK337" s="3"/>
      <c r="BL337" s="3"/>
      <c r="BM337" s="3"/>
      <c r="BN337" s="3"/>
    </row>
    <row r="338" ht="15.75" customHeight="1">
      <c r="BK338" s="3"/>
      <c r="BL338" s="3"/>
      <c r="BM338" s="3"/>
      <c r="BN338" s="3"/>
    </row>
    <row r="339" ht="15.75" customHeight="1">
      <c r="BK339" s="3"/>
      <c r="BL339" s="3"/>
      <c r="BM339" s="3"/>
      <c r="BN339" s="3"/>
    </row>
    <row r="340" ht="15.75" customHeight="1">
      <c r="BK340" s="3"/>
      <c r="BL340" s="3"/>
      <c r="BM340" s="3"/>
      <c r="BN340" s="3"/>
    </row>
    <row r="341" ht="15.75" customHeight="1">
      <c r="BK341" s="3"/>
      <c r="BL341" s="3"/>
      <c r="BM341" s="3"/>
      <c r="BN341" s="3"/>
    </row>
    <row r="342" ht="15.75" customHeight="1">
      <c r="BK342" s="3"/>
      <c r="BL342" s="3"/>
      <c r="BM342" s="3"/>
      <c r="BN342" s="3"/>
    </row>
    <row r="343" ht="15.75" customHeight="1">
      <c r="BK343" s="3"/>
      <c r="BL343" s="3"/>
      <c r="BM343" s="3"/>
      <c r="BN343" s="3"/>
    </row>
    <row r="344" ht="15.75" customHeight="1">
      <c r="BK344" s="3"/>
      <c r="BL344" s="3"/>
      <c r="BM344" s="3"/>
      <c r="BN344" s="3"/>
    </row>
    <row r="345" ht="15.75" customHeight="1">
      <c r="BK345" s="3"/>
      <c r="BL345" s="3"/>
      <c r="BM345" s="3"/>
      <c r="BN345" s="3"/>
    </row>
    <row r="346" ht="15.75" customHeight="1">
      <c r="BK346" s="3"/>
      <c r="BL346" s="3"/>
      <c r="BM346" s="3"/>
      <c r="BN346" s="3"/>
    </row>
    <row r="347" ht="15.75" customHeight="1">
      <c r="BK347" s="3"/>
      <c r="BL347" s="3"/>
      <c r="BM347" s="3"/>
      <c r="BN347" s="3"/>
    </row>
    <row r="348" ht="15.75" customHeight="1">
      <c r="BK348" s="3"/>
      <c r="BL348" s="3"/>
      <c r="BM348" s="3"/>
      <c r="BN348" s="3"/>
    </row>
    <row r="349" ht="15.75" customHeight="1">
      <c r="BK349" s="3"/>
      <c r="BL349" s="3"/>
      <c r="BM349" s="3"/>
      <c r="BN349" s="3"/>
    </row>
    <row r="350" ht="15.75" customHeight="1">
      <c r="BK350" s="3"/>
      <c r="BL350" s="3"/>
      <c r="BM350" s="3"/>
      <c r="BN350" s="3"/>
    </row>
    <row r="351" ht="15.75" customHeight="1">
      <c r="BK351" s="3"/>
      <c r="BL351" s="3"/>
      <c r="BM351" s="3"/>
      <c r="BN351" s="3"/>
    </row>
    <row r="352" ht="15.75" customHeight="1">
      <c r="BK352" s="3"/>
      <c r="BL352" s="3"/>
      <c r="BM352" s="3"/>
      <c r="BN352" s="3"/>
    </row>
    <row r="353" ht="15.75" customHeight="1">
      <c r="BK353" s="3"/>
      <c r="BL353" s="3"/>
      <c r="BM353" s="3"/>
      <c r="BN353" s="3"/>
    </row>
    <row r="354" ht="15.75" customHeight="1">
      <c r="BK354" s="3"/>
      <c r="BL354" s="3"/>
      <c r="BM354" s="3"/>
      <c r="BN354" s="3"/>
    </row>
    <row r="355" ht="15.75" customHeight="1">
      <c r="BK355" s="3"/>
      <c r="BL355" s="3"/>
      <c r="BM355" s="3"/>
      <c r="BN355" s="3"/>
    </row>
    <row r="356" ht="15.75" customHeight="1">
      <c r="BK356" s="3"/>
      <c r="BL356" s="3"/>
      <c r="BM356" s="3"/>
      <c r="BN356" s="3"/>
    </row>
    <row r="357" ht="15.75" customHeight="1">
      <c r="BK357" s="3"/>
      <c r="BL357" s="3"/>
      <c r="BM357" s="3"/>
      <c r="BN357" s="3"/>
    </row>
    <row r="358" ht="15.75" customHeight="1">
      <c r="BK358" s="3"/>
      <c r="BL358" s="3"/>
      <c r="BM358" s="3"/>
      <c r="BN358" s="3"/>
    </row>
    <row r="359" ht="15.75" customHeight="1">
      <c r="BK359" s="3"/>
      <c r="BL359" s="3"/>
      <c r="BM359" s="3"/>
      <c r="BN359" s="3"/>
    </row>
    <row r="360" ht="15.75" customHeight="1">
      <c r="BK360" s="3"/>
      <c r="BL360" s="3"/>
      <c r="BM360" s="3"/>
      <c r="BN360" s="3"/>
    </row>
    <row r="361" ht="15.75" customHeight="1">
      <c r="BK361" s="3"/>
      <c r="BL361" s="3"/>
      <c r="BM361" s="3"/>
      <c r="BN361" s="3"/>
    </row>
    <row r="362" ht="15.75" customHeight="1">
      <c r="BK362" s="3"/>
      <c r="BL362" s="3"/>
      <c r="BM362" s="3"/>
      <c r="BN362" s="3"/>
    </row>
    <row r="363" ht="15.75" customHeight="1">
      <c r="BK363" s="3"/>
      <c r="BL363" s="3"/>
      <c r="BM363" s="3"/>
      <c r="BN363" s="3"/>
    </row>
    <row r="364" ht="15.75" customHeight="1">
      <c r="BK364" s="3"/>
      <c r="BL364" s="3"/>
      <c r="BM364" s="3"/>
      <c r="BN364" s="3"/>
    </row>
    <row r="365" ht="15.75" customHeight="1">
      <c r="BK365" s="3"/>
      <c r="BL365" s="3"/>
      <c r="BM365" s="3"/>
      <c r="BN365" s="3"/>
    </row>
    <row r="366" ht="15.75" customHeight="1">
      <c r="BK366" s="3"/>
      <c r="BL366" s="3"/>
      <c r="BM366" s="3"/>
      <c r="BN366" s="3"/>
    </row>
    <row r="367" ht="15.75" customHeight="1">
      <c r="BK367" s="3"/>
      <c r="BL367" s="3"/>
      <c r="BM367" s="3"/>
      <c r="BN367" s="3"/>
    </row>
    <row r="368" ht="15.75" customHeight="1">
      <c r="BK368" s="3"/>
      <c r="BL368" s="3"/>
      <c r="BM368" s="3"/>
      <c r="BN368" s="3"/>
    </row>
    <row r="369" ht="15.75" customHeight="1">
      <c r="BK369" s="3"/>
      <c r="BL369" s="3"/>
      <c r="BM369" s="3"/>
      <c r="BN369" s="3"/>
    </row>
    <row r="370" ht="15.75" customHeight="1">
      <c r="BK370" s="3"/>
      <c r="BL370" s="3"/>
      <c r="BM370" s="3"/>
      <c r="BN370" s="3"/>
    </row>
    <row r="371" ht="15.75" customHeight="1">
      <c r="BK371" s="3"/>
      <c r="BL371" s="3"/>
      <c r="BM371" s="3"/>
      <c r="BN371" s="3"/>
    </row>
    <row r="372" ht="15.75" customHeight="1">
      <c r="BK372" s="3"/>
      <c r="BL372" s="3"/>
      <c r="BM372" s="3"/>
      <c r="BN372" s="3"/>
    </row>
    <row r="373" ht="15.75" customHeight="1">
      <c r="BK373" s="3"/>
      <c r="BL373" s="3"/>
      <c r="BM373" s="3"/>
      <c r="BN373" s="3"/>
    </row>
    <row r="374" ht="15.75" customHeight="1">
      <c r="BK374" s="3"/>
      <c r="BL374" s="3"/>
      <c r="BM374" s="3"/>
      <c r="BN374" s="3"/>
    </row>
    <row r="375" ht="15.75" customHeight="1">
      <c r="BK375" s="3"/>
      <c r="BL375" s="3"/>
      <c r="BM375" s="3"/>
      <c r="BN375" s="3"/>
    </row>
    <row r="376" ht="15.75" customHeight="1">
      <c r="BK376" s="3"/>
      <c r="BL376" s="3"/>
      <c r="BM376" s="3"/>
      <c r="BN376" s="3"/>
    </row>
    <row r="377" ht="15.75" customHeight="1">
      <c r="BK377" s="3"/>
      <c r="BL377" s="3"/>
      <c r="BM377" s="3"/>
      <c r="BN377" s="3"/>
    </row>
    <row r="378" ht="15.75" customHeight="1">
      <c r="BK378" s="3"/>
      <c r="BL378" s="3"/>
      <c r="BM378" s="3"/>
      <c r="BN378" s="3"/>
    </row>
    <row r="379" ht="15.75" customHeight="1">
      <c r="BK379" s="3"/>
      <c r="BL379" s="3"/>
      <c r="BM379" s="3"/>
      <c r="BN379" s="3"/>
    </row>
    <row r="380" ht="15.75" customHeight="1">
      <c r="BK380" s="3"/>
      <c r="BL380" s="3"/>
      <c r="BM380" s="3"/>
      <c r="BN380" s="3"/>
    </row>
    <row r="381" ht="15.75" customHeight="1">
      <c r="BK381" s="3"/>
      <c r="BL381" s="3"/>
      <c r="BM381" s="3"/>
      <c r="BN381" s="3"/>
    </row>
    <row r="382" ht="15.75" customHeight="1">
      <c r="BK382" s="3"/>
      <c r="BL382" s="3"/>
      <c r="BM382" s="3"/>
      <c r="BN382" s="3"/>
    </row>
    <row r="383" ht="15.75" customHeight="1">
      <c r="BK383" s="3"/>
      <c r="BL383" s="3"/>
      <c r="BM383" s="3"/>
      <c r="BN383" s="3"/>
    </row>
    <row r="384" ht="15.75" customHeight="1">
      <c r="BK384" s="3"/>
      <c r="BL384" s="3"/>
      <c r="BM384" s="3"/>
      <c r="BN384" s="3"/>
    </row>
    <row r="385" ht="15.75" customHeight="1">
      <c r="BK385" s="3"/>
      <c r="BL385" s="3"/>
      <c r="BM385" s="3"/>
      <c r="BN385" s="3"/>
    </row>
    <row r="386" ht="15.75" customHeight="1">
      <c r="BK386" s="3"/>
      <c r="BL386" s="3"/>
      <c r="BM386" s="3"/>
      <c r="BN386" s="3"/>
    </row>
    <row r="387" ht="15.75" customHeight="1">
      <c r="BK387" s="3"/>
      <c r="BL387" s="3"/>
      <c r="BM387" s="3"/>
      <c r="BN387" s="3"/>
    </row>
    <row r="388" ht="15.75" customHeight="1">
      <c r="BK388" s="3"/>
      <c r="BL388" s="3"/>
      <c r="BM388" s="3"/>
      <c r="BN388" s="3"/>
    </row>
    <row r="389" ht="15.75" customHeight="1">
      <c r="BK389" s="3"/>
      <c r="BL389" s="3"/>
      <c r="BM389" s="3"/>
      <c r="BN389" s="3"/>
    </row>
    <row r="390" ht="15.75" customHeight="1">
      <c r="BK390" s="3"/>
      <c r="BL390" s="3"/>
      <c r="BM390" s="3"/>
      <c r="BN390" s="3"/>
    </row>
    <row r="391" ht="15.75" customHeight="1">
      <c r="BK391" s="3"/>
      <c r="BL391" s="3"/>
      <c r="BM391" s="3"/>
      <c r="BN391" s="3"/>
    </row>
    <row r="392" ht="15.75" customHeight="1">
      <c r="BK392" s="3"/>
      <c r="BL392" s="3"/>
      <c r="BM392" s="3"/>
      <c r="BN392" s="3"/>
    </row>
    <row r="393" ht="15.75" customHeight="1">
      <c r="BK393" s="3"/>
      <c r="BL393" s="3"/>
      <c r="BM393" s="3"/>
      <c r="BN393" s="3"/>
    </row>
    <row r="394" ht="15.75" customHeight="1">
      <c r="BK394" s="3"/>
      <c r="BL394" s="3"/>
      <c r="BM394" s="3"/>
      <c r="BN394" s="3"/>
    </row>
    <row r="395" ht="15.75" customHeight="1">
      <c r="BK395" s="3"/>
      <c r="BL395" s="3"/>
      <c r="BM395" s="3"/>
      <c r="BN395" s="3"/>
    </row>
    <row r="396" ht="15.75" customHeight="1">
      <c r="BK396" s="3"/>
      <c r="BL396" s="3"/>
      <c r="BM396" s="3"/>
      <c r="BN396" s="3"/>
    </row>
    <row r="397" ht="15.75" customHeight="1">
      <c r="BK397" s="3"/>
      <c r="BL397" s="3"/>
      <c r="BM397" s="3"/>
      <c r="BN397" s="3"/>
    </row>
    <row r="398" ht="15.75" customHeight="1">
      <c r="BK398" s="3"/>
      <c r="BL398" s="3"/>
      <c r="BM398" s="3"/>
      <c r="BN398" s="3"/>
    </row>
    <row r="399" ht="15.75" customHeight="1">
      <c r="BK399" s="3"/>
      <c r="BL399" s="3"/>
      <c r="BM399" s="3"/>
      <c r="BN399" s="3"/>
    </row>
    <row r="400" ht="15.75" customHeight="1">
      <c r="BK400" s="3"/>
      <c r="BL400" s="3"/>
      <c r="BM400" s="3"/>
      <c r="BN400" s="3"/>
    </row>
    <row r="401" ht="15.75" customHeight="1">
      <c r="BK401" s="3"/>
      <c r="BL401" s="3"/>
      <c r="BM401" s="3"/>
      <c r="BN401" s="3"/>
    </row>
    <row r="402" ht="15.75" customHeight="1">
      <c r="BK402" s="3"/>
      <c r="BL402" s="3"/>
      <c r="BM402" s="3"/>
      <c r="BN402" s="3"/>
    </row>
    <row r="403" ht="15.75" customHeight="1">
      <c r="BK403" s="3"/>
      <c r="BL403" s="3"/>
      <c r="BM403" s="3"/>
      <c r="BN403" s="3"/>
    </row>
    <row r="404" ht="15.75" customHeight="1">
      <c r="BK404" s="3"/>
      <c r="BL404" s="3"/>
      <c r="BM404" s="3"/>
      <c r="BN404" s="3"/>
    </row>
    <row r="405" ht="15.75" customHeight="1">
      <c r="BK405" s="3"/>
      <c r="BL405" s="3"/>
      <c r="BM405" s="3"/>
      <c r="BN405" s="3"/>
    </row>
    <row r="406" ht="15.75" customHeight="1">
      <c r="BK406" s="3"/>
      <c r="BL406" s="3"/>
      <c r="BM406" s="3"/>
      <c r="BN406" s="3"/>
    </row>
    <row r="407" ht="15.75" customHeight="1">
      <c r="BK407" s="3"/>
      <c r="BL407" s="3"/>
      <c r="BM407" s="3"/>
      <c r="BN407" s="3"/>
    </row>
    <row r="408" ht="15.75" customHeight="1">
      <c r="BK408" s="3"/>
      <c r="BL408" s="3"/>
      <c r="BM408" s="3"/>
      <c r="BN408" s="3"/>
    </row>
    <row r="409" ht="15.75" customHeight="1">
      <c r="BK409" s="3"/>
      <c r="BL409" s="3"/>
      <c r="BM409" s="3"/>
      <c r="BN409" s="3"/>
    </row>
    <row r="410" ht="15.75" customHeight="1">
      <c r="BK410" s="3"/>
      <c r="BL410" s="3"/>
      <c r="BM410" s="3"/>
      <c r="BN410" s="3"/>
    </row>
    <row r="411" ht="15.75" customHeight="1">
      <c r="BK411" s="3"/>
      <c r="BL411" s="3"/>
      <c r="BM411" s="3"/>
      <c r="BN411" s="3"/>
    </row>
    <row r="412" ht="15.75" customHeight="1">
      <c r="BK412" s="3"/>
      <c r="BL412" s="3"/>
      <c r="BM412" s="3"/>
      <c r="BN412" s="3"/>
    </row>
    <row r="413" ht="15.75" customHeight="1">
      <c r="BK413" s="3"/>
      <c r="BL413" s="3"/>
      <c r="BM413" s="3"/>
      <c r="BN413" s="3"/>
    </row>
    <row r="414" ht="15.75" customHeight="1">
      <c r="BK414" s="3"/>
      <c r="BL414" s="3"/>
      <c r="BM414" s="3"/>
      <c r="BN414" s="3"/>
    </row>
    <row r="415" ht="15.75" customHeight="1">
      <c r="BK415" s="3"/>
      <c r="BL415" s="3"/>
      <c r="BM415" s="3"/>
      <c r="BN415" s="3"/>
    </row>
    <row r="416" ht="15.75" customHeight="1">
      <c r="BK416" s="3"/>
      <c r="BL416" s="3"/>
      <c r="BM416" s="3"/>
      <c r="BN416" s="3"/>
    </row>
    <row r="417" ht="15.75" customHeight="1">
      <c r="BK417" s="3"/>
      <c r="BL417" s="3"/>
      <c r="BM417" s="3"/>
      <c r="BN417" s="3"/>
    </row>
    <row r="418" ht="15.75" customHeight="1">
      <c r="BK418" s="3"/>
      <c r="BL418" s="3"/>
      <c r="BM418" s="3"/>
      <c r="BN418" s="3"/>
    </row>
    <row r="419" ht="15.75" customHeight="1">
      <c r="BK419" s="3"/>
      <c r="BL419" s="3"/>
      <c r="BM419" s="3"/>
      <c r="BN419" s="3"/>
    </row>
    <row r="420" ht="15.75" customHeight="1">
      <c r="BK420" s="3"/>
      <c r="BL420" s="3"/>
      <c r="BM420" s="3"/>
      <c r="BN420" s="3"/>
    </row>
    <row r="421" ht="15.75" customHeight="1">
      <c r="BK421" s="3"/>
      <c r="BL421" s="3"/>
      <c r="BM421" s="3"/>
      <c r="BN421" s="3"/>
    </row>
    <row r="422" ht="15.75" customHeight="1">
      <c r="BK422" s="3"/>
      <c r="BL422" s="3"/>
      <c r="BM422" s="3"/>
      <c r="BN422" s="3"/>
    </row>
    <row r="423" ht="15.75" customHeight="1">
      <c r="BK423" s="3"/>
      <c r="BL423" s="3"/>
      <c r="BM423" s="3"/>
      <c r="BN423" s="3"/>
    </row>
    <row r="424" ht="15.75" customHeight="1">
      <c r="BK424" s="3"/>
      <c r="BL424" s="3"/>
      <c r="BM424" s="3"/>
      <c r="BN424" s="3"/>
    </row>
    <row r="425" ht="15.75" customHeight="1">
      <c r="BK425" s="3"/>
      <c r="BL425" s="3"/>
      <c r="BM425" s="3"/>
      <c r="BN425" s="3"/>
    </row>
    <row r="426" ht="15.75" customHeight="1">
      <c r="BK426" s="3"/>
      <c r="BL426" s="3"/>
      <c r="BM426" s="3"/>
      <c r="BN426" s="3"/>
    </row>
    <row r="427" ht="15.75" customHeight="1">
      <c r="BK427" s="3"/>
      <c r="BL427" s="3"/>
      <c r="BM427" s="3"/>
      <c r="BN427" s="3"/>
    </row>
    <row r="428" ht="15.75" customHeight="1">
      <c r="BK428" s="3"/>
      <c r="BL428" s="3"/>
      <c r="BM428" s="3"/>
      <c r="BN428" s="3"/>
    </row>
    <row r="429" ht="15.75" customHeight="1">
      <c r="BK429" s="3"/>
      <c r="BL429" s="3"/>
      <c r="BM429" s="3"/>
      <c r="BN429" s="3"/>
    </row>
    <row r="430" ht="15.75" customHeight="1">
      <c r="BK430" s="3"/>
      <c r="BL430" s="3"/>
      <c r="BM430" s="3"/>
      <c r="BN430" s="3"/>
    </row>
    <row r="431" ht="15.75" customHeight="1">
      <c r="BK431" s="3"/>
      <c r="BL431" s="3"/>
      <c r="BM431" s="3"/>
      <c r="BN431" s="3"/>
    </row>
    <row r="432" ht="15.75" customHeight="1">
      <c r="BK432" s="3"/>
      <c r="BL432" s="3"/>
      <c r="BM432" s="3"/>
      <c r="BN432" s="3"/>
    </row>
    <row r="433" ht="15.75" customHeight="1">
      <c r="BK433" s="3"/>
      <c r="BL433" s="3"/>
      <c r="BM433" s="3"/>
      <c r="BN433" s="3"/>
    </row>
    <row r="434" ht="15.75" customHeight="1">
      <c r="BK434" s="3"/>
      <c r="BL434" s="3"/>
      <c r="BM434" s="3"/>
      <c r="BN434" s="3"/>
    </row>
    <row r="435" ht="15.75" customHeight="1">
      <c r="BK435" s="3"/>
      <c r="BL435" s="3"/>
      <c r="BM435" s="3"/>
      <c r="BN435" s="3"/>
    </row>
    <row r="436" ht="15.75" customHeight="1">
      <c r="BK436" s="3"/>
      <c r="BL436" s="3"/>
      <c r="BM436" s="3"/>
      <c r="BN436" s="3"/>
    </row>
    <row r="437" ht="15.75" customHeight="1">
      <c r="BK437" s="3"/>
      <c r="BL437" s="3"/>
      <c r="BM437" s="3"/>
      <c r="BN437" s="3"/>
    </row>
    <row r="438" ht="15.75" customHeight="1">
      <c r="BK438" s="3"/>
      <c r="BL438" s="3"/>
      <c r="BM438" s="3"/>
      <c r="BN438" s="3"/>
    </row>
    <row r="439" ht="15.75" customHeight="1">
      <c r="BK439" s="3"/>
      <c r="BL439" s="3"/>
      <c r="BM439" s="3"/>
      <c r="BN439" s="3"/>
    </row>
    <row r="440" ht="15.75" customHeight="1">
      <c r="BK440" s="3"/>
      <c r="BL440" s="3"/>
      <c r="BM440" s="3"/>
      <c r="BN440" s="3"/>
    </row>
    <row r="441" ht="15.75" customHeight="1">
      <c r="BK441" s="3"/>
      <c r="BL441" s="3"/>
      <c r="BM441" s="3"/>
      <c r="BN441" s="3"/>
    </row>
    <row r="442" ht="15.75" customHeight="1">
      <c r="BK442" s="3"/>
      <c r="BL442" s="3"/>
      <c r="BM442" s="3"/>
      <c r="BN442" s="3"/>
    </row>
    <row r="443" ht="15.75" customHeight="1">
      <c r="BK443" s="3"/>
      <c r="BL443" s="3"/>
      <c r="BM443" s="3"/>
      <c r="BN443" s="3"/>
    </row>
    <row r="444" ht="15.75" customHeight="1">
      <c r="BK444" s="3"/>
      <c r="BL444" s="3"/>
      <c r="BM444" s="3"/>
      <c r="BN444" s="3"/>
    </row>
    <row r="445" ht="15.75" customHeight="1">
      <c r="BK445" s="3"/>
      <c r="BL445" s="3"/>
      <c r="BM445" s="3"/>
      <c r="BN445" s="3"/>
    </row>
    <row r="446" ht="15.75" customHeight="1">
      <c r="BK446" s="3"/>
      <c r="BL446" s="3"/>
      <c r="BM446" s="3"/>
      <c r="BN446" s="3"/>
    </row>
    <row r="447" ht="15.75" customHeight="1">
      <c r="BK447" s="3"/>
      <c r="BL447" s="3"/>
      <c r="BM447" s="3"/>
      <c r="BN447" s="3"/>
    </row>
    <row r="448" ht="15.75" customHeight="1">
      <c r="BK448" s="3"/>
      <c r="BL448" s="3"/>
      <c r="BM448" s="3"/>
      <c r="BN448" s="3"/>
    </row>
    <row r="449" ht="15.75" customHeight="1">
      <c r="BK449" s="3"/>
      <c r="BL449" s="3"/>
      <c r="BM449" s="3"/>
      <c r="BN449" s="3"/>
    </row>
    <row r="450" ht="15.75" customHeight="1">
      <c r="BK450" s="3"/>
      <c r="BL450" s="3"/>
      <c r="BM450" s="3"/>
      <c r="BN450" s="3"/>
    </row>
    <row r="451" ht="15.75" customHeight="1">
      <c r="BK451" s="3"/>
      <c r="BL451" s="3"/>
      <c r="BM451" s="3"/>
      <c r="BN451" s="3"/>
    </row>
    <row r="452" ht="15.75" customHeight="1">
      <c r="BK452" s="3"/>
      <c r="BL452" s="3"/>
      <c r="BM452" s="3"/>
      <c r="BN452" s="3"/>
    </row>
    <row r="453" ht="15.75" customHeight="1">
      <c r="BK453" s="3"/>
      <c r="BL453" s="3"/>
      <c r="BM453" s="3"/>
      <c r="BN453" s="3"/>
    </row>
    <row r="454" ht="15.75" customHeight="1">
      <c r="BK454" s="3"/>
      <c r="BL454" s="3"/>
      <c r="BM454" s="3"/>
      <c r="BN454" s="3"/>
    </row>
    <row r="455" ht="15.75" customHeight="1">
      <c r="BK455" s="3"/>
      <c r="BL455" s="3"/>
      <c r="BM455" s="3"/>
      <c r="BN455" s="3"/>
    </row>
    <row r="456" ht="15.75" customHeight="1">
      <c r="BK456" s="3"/>
      <c r="BL456" s="3"/>
      <c r="BM456" s="3"/>
      <c r="BN456" s="3"/>
    </row>
    <row r="457" ht="15.75" customHeight="1">
      <c r="BK457" s="3"/>
      <c r="BL457" s="3"/>
      <c r="BM457" s="3"/>
      <c r="BN457" s="3"/>
    </row>
    <row r="458" ht="15.75" customHeight="1">
      <c r="BK458" s="3"/>
      <c r="BL458" s="3"/>
      <c r="BM458" s="3"/>
      <c r="BN458" s="3"/>
    </row>
    <row r="459" ht="15.75" customHeight="1">
      <c r="BK459" s="3"/>
      <c r="BL459" s="3"/>
      <c r="BM459" s="3"/>
      <c r="BN459" s="3"/>
    </row>
    <row r="460" ht="15.75" customHeight="1">
      <c r="BK460" s="3"/>
      <c r="BL460" s="3"/>
      <c r="BM460" s="3"/>
      <c r="BN460" s="3"/>
    </row>
    <row r="461" ht="15.75" customHeight="1">
      <c r="BK461" s="3"/>
      <c r="BL461" s="3"/>
      <c r="BM461" s="3"/>
      <c r="BN461" s="3"/>
    </row>
    <row r="462" ht="15.75" customHeight="1">
      <c r="BK462" s="3"/>
      <c r="BL462" s="3"/>
      <c r="BM462" s="3"/>
      <c r="BN462" s="3"/>
    </row>
    <row r="463" ht="15.75" customHeight="1">
      <c r="BK463" s="3"/>
      <c r="BL463" s="3"/>
      <c r="BM463" s="3"/>
      <c r="BN463" s="3"/>
    </row>
    <row r="464" ht="15.75" customHeight="1">
      <c r="BK464" s="3"/>
      <c r="BL464" s="3"/>
      <c r="BM464" s="3"/>
      <c r="BN464" s="3"/>
    </row>
    <row r="465" ht="15.75" customHeight="1">
      <c r="BK465" s="3"/>
      <c r="BL465" s="3"/>
      <c r="BM465" s="3"/>
      <c r="BN465" s="3"/>
    </row>
    <row r="466" ht="15.75" customHeight="1">
      <c r="BK466" s="3"/>
      <c r="BL466" s="3"/>
      <c r="BM466" s="3"/>
      <c r="BN466" s="3"/>
    </row>
    <row r="467" ht="15.75" customHeight="1">
      <c r="BK467" s="3"/>
      <c r="BL467" s="3"/>
      <c r="BM467" s="3"/>
      <c r="BN467" s="3"/>
    </row>
    <row r="468" ht="15.75" customHeight="1">
      <c r="BK468" s="3"/>
      <c r="BL468" s="3"/>
      <c r="BM468" s="3"/>
      <c r="BN468" s="3"/>
    </row>
    <row r="469" ht="15.75" customHeight="1">
      <c r="BK469" s="3"/>
      <c r="BL469" s="3"/>
      <c r="BM469" s="3"/>
      <c r="BN469" s="3"/>
    </row>
    <row r="470" ht="15.75" customHeight="1">
      <c r="BK470" s="3"/>
      <c r="BL470" s="3"/>
      <c r="BM470" s="3"/>
      <c r="BN470" s="3"/>
    </row>
    <row r="471" ht="15.75" customHeight="1">
      <c r="BK471" s="3"/>
      <c r="BL471" s="3"/>
      <c r="BM471" s="3"/>
      <c r="BN471" s="3"/>
    </row>
    <row r="472" ht="15.75" customHeight="1">
      <c r="BK472" s="3"/>
      <c r="BL472" s="3"/>
      <c r="BM472" s="3"/>
      <c r="BN472" s="3"/>
    </row>
    <row r="473" ht="15.75" customHeight="1">
      <c r="BK473" s="3"/>
      <c r="BL473" s="3"/>
      <c r="BM473" s="3"/>
      <c r="BN473" s="3"/>
    </row>
    <row r="474" ht="15.75" customHeight="1">
      <c r="BK474" s="3"/>
      <c r="BL474" s="3"/>
      <c r="BM474" s="3"/>
      <c r="BN474" s="3"/>
    </row>
    <row r="475" ht="15.75" customHeight="1">
      <c r="BK475" s="3"/>
      <c r="BL475" s="3"/>
      <c r="BM475" s="3"/>
      <c r="BN475" s="3"/>
    </row>
    <row r="476" ht="15.75" customHeight="1">
      <c r="BK476" s="3"/>
      <c r="BL476" s="3"/>
      <c r="BM476" s="3"/>
      <c r="BN476" s="3"/>
    </row>
    <row r="477" ht="15.75" customHeight="1">
      <c r="BK477" s="3"/>
      <c r="BL477" s="3"/>
      <c r="BM477" s="3"/>
      <c r="BN477" s="3"/>
    </row>
    <row r="478" ht="15.75" customHeight="1">
      <c r="BK478" s="3"/>
      <c r="BL478" s="3"/>
      <c r="BM478" s="3"/>
      <c r="BN478" s="3"/>
    </row>
    <row r="479" ht="15.75" customHeight="1">
      <c r="BK479" s="3"/>
      <c r="BL479" s="3"/>
      <c r="BM479" s="3"/>
      <c r="BN479" s="3"/>
    </row>
    <row r="480" ht="15.75" customHeight="1">
      <c r="BK480" s="3"/>
      <c r="BL480" s="3"/>
      <c r="BM480" s="3"/>
      <c r="BN480" s="3"/>
    </row>
    <row r="481" ht="15.75" customHeight="1">
      <c r="BK481" s="3"/>
      <c r="BL481" s="3"/>
      <c r="BM481" s="3"/>
      <c r="BN481" s="3"/>
    </row>
    <row r="482" ht="15.75" customHeight="1">
      <c r="BK482" s="3"/>
      <c r="BL482" s="3"/>
      <c r="BM482" s="3"/>
      <c r="BN482" s="3"/>
    </row>
    <row r="483" ht="15.75" customHeight="1">
      <c r="BK483" s="3"/>
      <c r="BL483" s="3"/>
      <c r="BM483" s="3"/>
      <c r="BN483" s="3"/>
    </row>
    <row r="484" ht="15.75" customHeight="1">
      <c r="BK484" s="3"/>
      <c r="BL484" s="3"/>
      <c r="BM484" s="3"/>
      <c r="BN484" s="3"/>
    </row>
    <row r="485" ht="15.75" customHeight="1">
      <c r="BK485" s="3"/>
      <c r="BL485" s="3"/>
      <c r="BM485" s="3"/>
      <c r="BN485" s="3"/>
    </row>
    <row r="486" ht="15.75" customHeight="1">
      <c r="BK486" s="3"/>
      <c r="BL486" s="3"/>
      <c r="BM486" s="3"/>
      <c r="BN486" s="3"/>
    </row>
    <row r="487" ht="15.75" customHeight="1">
      <c r="BK487" s="3"/>
      <c r="BL487" s="3"/>
      <c r="BM487" s="3"/>
      <c r="BN487" s="3"/>
    </row>
    <row r="488" ht="15.75" customHeight="1">
      <c r="BK488" s="3"/>
      <c r="BL488" s="3"/>
      <c r="BM488" s="3"/>
      <c r="BN488" s="3"/>
    </row>
    <row r="489" ht="15.75" customHeight="1">
      <c r="BK489" s="3"/>
      <c r="BL489" s="3"/>
      <c r="BM489" s="3"/>
      <c r="BN489" s="3"/>
    </row>
    <row r="490" ht="15.75" customHeight="1">
      <c r="BK490" s="3"/>
      <c r="BL490" s="3"/>
      <c r="BM490" s="3"/>
      <c r="BN490" s="3"/>
    </row>
    <row r="491" ht="15.75" customHeight="1">
      <c r="BK491" s="3"/>
      <c r="BL491" s="3"/>
      <c r="BM491" s="3"/>
      <c r="BN491" s="3"/>
    </row>
    <row r="492" ht="15.75" customHeight="1">
      <c r="BK492" s="3"/>
      <c r="BL492" s="3"/>
      <c r="BM492" s="3"/>
      <c r="BN492" s="3"/>
    </row>
    <row r="493" ht="15.75" customHeight="1">
      <c r="BK493" s="3"/>
      <c r="BL493" s="3"/>
      <c r="BM493" s="3"/>
      <c r="BN493" s="3"/>
    </row>
    <row r="494" ht="15.75" customHeight="1">
      <c r="BK494" s="3"/>
      <c r="BL494" s="3"/>
      <c r="BM494" s="3"/>
      <c r="BN494" s="3"/>
    </row>
    <row r="495" ht="15.75" customHeight="1">
      <c r="BK495" s="3"/>
      <c r="BL495" s="3"/>
      <c r="BM495" s="3"/>
      <c r="BN495" s="3"/>
    </row>
    <row r="496" ht="15.75" customHeight="1">
      <c r="BK496" s="3"/>
      <c r="BL496" s="3"/>
      <c r="BM496" s="3"/>
      <c r="BN496" s="3"/>
    </row>
    <row r="497" ht="15.75" customHeight="1">
      <c r="BK497" s="3"/>
      <c r="BL497" s="3"/>
      <c r="BM497" s="3"/>
      <c r="BN497" s="3"/>
    </row>
    <row r="498" ht="15.75" customHeight="1">
      <c r="BK498" s="3"/>
      <c r="BL498" s="3"/>
      <c r="BM498" s="3"/>
      <c r="BN498" s="3"/>
    </row>
    <row r="499" ht="15.75" customHeight="1">
      <c r="BK499" s="3"/>
      <c r="BL499" s="3"/>
      <c r="BM499" s="3"/>
      <c r="BN499" s="3"/>
    </row>
    <row r="500" ht="15.75" customHeight="1">
      <c r="BK500" s="3"/>
      <c r="BL500" s="3"/>
      <c r="BM500" s="3"/>
      <c r="BN500" s="3"/>
    </row>
    <row r="501" ht="15.75" customHeight="1">
      <c r="BK501" s="3"/>
      <c r="BL501" s="3"/>
      <c r="BM501" s="3"/>
      <c r="BN501" s="3"/>
    </row>
    <row r="502" ht="15.75" customHeight="1">
      <c r="BK502" s="3"/>
      <c r="BL502" s="3"/>
      <c r="BM502" s="3"/>
      <c r="BN502" s="3"/>
    </row>
    <row r="503" ht="15.75" customHeight="1">
      <c r="BK503" s="3"/>
      <c r="BL503" s="3"/>
      <c r="BM503" s="3"/>
      <c r="BN503" s="3"/>
    </row>
    <row r="504" ht="15.75" customHeight="1">
      <c r="BK504" s="3"/>
      <c r="BL504" s="3"/>
      <c r="BM504" s="3"/>
      <c r="BN504" s="3"/>
    </row>
    <row r="505" ht="15.75" customHeight="1">
      <c r="BK505" s="3"/>
      <c r="BL505" s="3"/>
      <c r="BM505" s="3"/>
      <c r="BN505" s="3"/>
    </row>
    <row r="506" ht="15.75" customHeight="1">
      <c r="BK506" s="3"/>
      <c r="BL506" s="3"/>
      <c r="BM506" s="3"/>
      <c r="BN506" s="3"/>
    </row>
    <row r="507" ht="15.75" customHeight="1">
      <c r="BK507" s="3"/>
      <c r="BL507" s="3"/>
      <c r="BM507" s="3"/>
      <c r="BN507" s="3"/>
    </row>
    <row r="508" ht="15.75" customHeight="1">
      <c r="BK508" s="3"/>
      <c r="BL508" s="3"/>
      <c r="BM508" s="3"/>
      <c r="BN508" s="3"/>
    </row>
    <row r="509" ht="15.75" customHeight="1">
      <c r="BK509" s="3"/>
      <c r="BL509" s="3"/>
      <c r="BM509" s="3"/>
      <c r="BN509" s="3"/>
    </row>
    <row r="510" ht="15.75" customHeight="1">
      <c r="BK510" s="3"/>
      <c r="BL510" s="3"/>
      <c r="BM510" s="3"/>
      <c r="BN510" s="3"/>
    </row>
    <row r="511" ht="15.75" customHeight="1">
      <c r="BK511" s="3"/>
      <c r="BL511" s="3"/>
      <c r="BM511" s="3"/>
      <c r="BN511" s="3"/>
    </row>
    <row r="512" ht="15.75" customHeight="1">
      <c r="BK512" s="3"/>
      <c r="BL512" s="3"/>
      <c r="BM512" s="3"/>
      <c r="BN512" s="3"/>
    </row>
    <row r="513" ht="15.75" customHeight="1">
      <c r="BK513" s="3"/>
      <c r="BL513" s="3"/>
      <c r="BM513" s="3"/>
      <c r="BN513" s="3"/>
    </row>
    <row r="514" ht="15.75" customHeight="1">
      <c r="BK514" s="3"/>
      <c r="BL514" s="3"/>
      <c r="BM514" s="3"/>
      <c r="BN514" s="3"/>
    </row>
    <row r="515" ht="15.75" customHeight="1">
      <c r="BK515" s="3"/>
      <c r="BL515" s="3"/>
      <c r="BM515" s="3"/>
      <c r="BN515" s="3"/>
    </row>
    <row r="516" ht="15.75" customHeight="1">
      <c r="BK516" s="3"/>
      <c r="BL516" s="3"/>
      <c r="BM516" s="3"/>
      <c r="BN516" s="3"/>
    </row>
    <row r="517" ht="15.75" customHeight="1">
      <c r="BK517" s="3"/>
      <c r="BL517" s="3"/>
      <c r="BM517" s="3"/>
      <c r="BN517" s="3"/>
    </row>
    <row r="518" ht="15.75" customHeight="1">
      <c r="BK518" s="3"/>
      <c r="BL518" s="3"/>
      <c r="BM518" s="3"/>
      <c r="BN518" s="3"/>
    </row>
    <row r="519" ht="15.75" customHeight="1">
      <c r="BK519" s="3"/>
      <c r="BL519" s="3"/>
      <c r="BM519" s="3"/>
      <c r="BN519" s="3"/>
    </row>
    <row r="520" ht="15.75" customHeight="1">
      <c r="BK520" s="3"/>
      <c r="BL520" s="3"/>
      <c r="BM520" s="3"/>
      <c r="BN520" s="3"/>
    </row>
    <row r="521" ht="15.75" customHeight="1">
      <c r="BK521" s="3"/>
      <c r="BL521" s="3"/>
      <c r="BM521" s="3"/>
      <c r="BN521" s="3"/>
    </row>
    <row r="522" ht="15.75" customHeight="1">
      <c r="BK522" s="3"/>
      <c r="BL522" s="3"/>
      <c r="BM522" s="3"/>
      <c r="BN522" s="3"/>
    </row>
    <row r="523" ht="15.75" customHeight="1">
      <c r="BK523" s="3"/>
      <c r="BL523" s="3"/>
      <c r="BM523" s="3"/>
      <c r="BN523" s="3"/>
    </row>
    <row r="524" ht="15.75" customHeight="1">
      <c r="BK524" s="3"/>
      <c r="BL524" s="3"/>
      <c r="BM524" s="3"/>
      <c r="BN524" s="3"/>
    </row>
    <row r="525" ht="15.75" customHeight="1">
      <c r="BK525" s="3"/>
      <c r="BL525" s="3"/>
      <c r="BM525" s="3"/>
      <c r="BN525" s="3"/>
    </row>
    <row r="526" ht="15.75" customHeight="1">
      <c r="BK526" s="3"/>
      <c r="BL526" s="3"/>
      <c r="BM526" s="3"/>
      <c r="BN526" s="3"/>
    </row>
    <row r="527" ht="15.75" customHeight="1">
      <c r="BK527" s="3"/>
      <c r="BL527" s="3"/>
      <c r="BM527" s="3"/>
      <c r="BN527" s="3"/>
    </row>
    <row r="528" ht="15.75" customHeight="1">
      <c r="BK528" s="3"/>
      <c r="BL528" s="3"/>
      <c r="BM528" s="3"/>
      <c r="BN528" s="3"/>
    </row>
    <row r="529" ht="15.75" customHeight="1">
      <c r="BK529" s="3"/>
      <c r="BL529" s="3"/>
      <c r="BM529" s="3"/>
      <c r="BN529" s="3"/>
    </row>
    <row r="530" ht="15.75" customHeight="1">
      <c r="BK530" s="3"/>
      <c r="BL530" s="3"/>
      <c r="BM530" s="3"/>
      <c r="BN530" s="3"/>
    </row>
    <row r="531" ht="15.75" customHeight="1">
      <c r="BK531" s="3"/>
      <c r="BL531" s="3"/>
      <c r="BM531" s="3"/>
      <c r="BN531" s="3"/>
    </row>
    <row r="532" ht="15.75" customHeight="1">
      <c r="BK532" s="3"/>
      <c r="BL532" s="3"/>
      <c r="BM532" s="3"/>
      <c r="BN532" s="3"/>
    </row>
    <row r="533" ht="15.75" customHeight="1">
      <c r="BK533" s="3"/>
      <c r="BL533" s="3"/>
      <c r="BM533" s="3"/>
      <c r="BN533" s="3"/>
    </row>
    <row r="534" ht="15.75" customHeight="1">
      <c r="BK534" s="3"/>
      <c r="BL534" s="3"/>
      <c r="BM534" s="3"/>
      <c r="BN534" s="3"/>
    </row>
    <row r="535" ht="15.75" customHeight="1">
      <c r="BK535" s="3"/>
      <c r="BL535" s="3"/>
      <c r="BM535" s="3"/>
      <c r="BN535" s="3"/>
    </row>
    <row r="536" ht="15.75" customHeight="1">
      <c r="BK536" s="3"/>
      <c r="BL536" s="3"/>
      <c r="BM536" s="3"/>
      <c r="BN536" s="3"/>
    </row>
    <row r="537" ht="15.75" customHeight="1">
      <c r="BK537" s="3"/>
      <c r="BL537" s="3"/>
      <c r="BM537" s="3"/>
      <c r="BN537" s="3"/>
    </row>
    <row r="538" ht="15.75" customHeight="1">
      <c r="BK538" s="3"/>
      <c r="BL538" s="3"/>
      <c r="BM538" s="3"/>
      <c r="BN538" s="3"/>
    </row>
    <row r="539" ht="15.75" customHeight="1">
      <c r="BK539" s="3"/>
      <c r="BL539" s="3"/>
      <c r="BM539" s="3"/>
      <c r="BN539" s="3"/>
    </row>
    <row r="540" ht="15.75" customHeight="1">
      <c r="BK540" s="3"/>
      <c r="BL540" s="3"/>
      <c r="BM540" s="3"/>
      <c r="BN540" s="3"/>
    </row>
    <row r="541" ht="15.75" customHeight="1">
      <c r="BK541" s="3"/>
      <c r="BL541" s="3"/>
      <c r="BM541" s="3"/>
      <c r="BN541" s="3"/>
    </row>
    <row r="542" ht="15.75" customHeight="1">
      <c r="BK542" s="3"/>
      <c r="BL542" s="3"/>
      <c r="BM542" s="3"/>
      <c r="BN542" s="3"/>
    </row>
    <row r="543" ht="15.75" customHeight="1">
      <c r="BK543" s="3"/>
      <c r="BL543" s="3"/>
      <c r="BM543" s="3"/>
      <c r="BN543" s="3"/>
    </row>
    <row r="544" ht="15.75" customHeight="1">
      <c r="BK544" s="3"/>
      <c r="BL544" s="3"/>
      <c r="BM544" s="3"/>
      <c r="BN544" s="3"/>
    </row>
    <row r="545" ht="15.75" customHeight="1">
      <c r="BK545" s="3"/>
      <c r="BL545" s="3"/>
      <c r="BM545" s="3"/>
      <c r="BN545" s="3"/>
    </row>
    <row r="546" ht="15.75" customHeight="1">
      <c r="BK546" s="3"/>
      <c r="BL546" s="3"/>
      <c r="BM546" s="3"/>
      <c r="BN546" s="3"/>
    </row>
    <row r="547" ht="15.75" customHeight="1">
      <c r="BK547" s="3"/>
      <c r="BL547" s="3"/>
      <c r="BM547" s="3"/>
      <c r="BN547" s="3"/>
    </row>
    <row r="548" ht="15.75" customHeight="1">
      <c r="BK548" s="3"/>
      <c r="BL548" s="3"/>
      <c r="BM548" s="3"/>
      <c r="BN548" s="3"/>
    </row>
    <row r="549" ht="15.75" customHeight="1">
      <c r="BK549" s="3"/>
      <c r="BL549" s="3"/>
      <c r="BM549" s="3"/>
      <c r="BN549" s="3"/>
    </row>
    <row r="550" ht="15.75" customHeight="1">
      <c r="BK550" s="3"/>
      <c r="BL550" s="3"/>
      <c r="BM550" s="3"/>
      <c r="BN550" s="3"/>
    </row>
    <row r="551" ht="15.75" customHeight="1">
      <c r="BK551" s="3"/>
      <c r="BL551" s="3"/>
      <c r="BM551" s="3"/>
      <c r="BN551" s="3"/>
    </row>
    <row r="552" ht="15.75" customHeight="1">
      <c r="BK552" s="3"/>
      <c r="BL552" s="3"/>
      <c r="BM552" s="3"/>
      <c r="BN552" s="3"/>
    </row>
    <row r="553" ht="15.75" customHeight="1">
      <c r="BK553" s="3"/>
      <c r="BL553" s="3"/>
      <c r="BM553" s="3"/>
      <c r="BN553" s="3"/>
    </row>
    <row r="554" ht="15.75" customHeight="1">
      <c r="BK554" s="3"/>
      <c r="BL554" s="3"/>
      <c r="BM554" s="3"/>
      <c r="BN554" s="3"/>
    </row>
    <row r="555" ht="15.75" customHeight="1">
      <c r="BK555" s="3"/>
      <c r="BL555" s="3"/>
      <c r="BM555" s="3"/>
      <c r="BN555" s="3"/>
    </row>
    <row r="556" ht="15.75" customHeight="1">
      <c r="BK556" s="3"/>
      <c r="BL556" s="3"/>
      <c r="BM556" s="3"/>
      <c r="BN556" s="3"/>
    </row>
    <row r="557" ht="15.75" customHeight="1">
      <c r="BK557" s="3"/>
      <c r="BL557" s="3"/>
      <c r="BM557" s="3"/>
      <c r="BN557" s="3"/>
    </row>
    <row r="558" ht="15.75" customHeight="1">
      <c r="BK558" s="3"/>
      <c r="BL558" s="3"/>
      <c r="BM558" s="3"/>
      <c r="BN558" s="3"/>
    </row>
    <row r="559" ht="15.75" customHeight="1">
      <c r="BK559" s="3"/>
      <c r="BL559" s="3"/>
      <c r="BM559" s="3"/>
      <c r="BN559" s="3"/>
    </row>
    <row r="560" ht="15.75" customHeight="1">
      <c r="BK560" s="3"/>
      <c r="BL560" s="3"/>
      <c r="BM560" s="3"/>
      <c r="BN560" s="3"/>
    </row>
    <row r="561" ht="15.75" customHeight="1">
      <c r="BK561" s="3"/>
      <c r="BL561" s="3"/>
      <c r="BM561" s="3"/>
      <c r="BN561" s="3"/>
    </row>
    <row r="562" ht="15.75" customHeight="1">
      <c r="BK562" s="3"/>
      <c r="BL562" s="3"/>
      <c r="BM562" s="3"/>
      <c r="BN562" s="3"/>
    </row>
    <row r="563" ht="15.75" customHeight="1">
      <c r="BK563" s="3"/>
      <c r="BL563" s="3"/>
      <c r="BM563" s="3"/>
      <c r="BN563" s="3"/>
    </row>
    <row r="564" ht="15.75" customHeight="1">
      <c r="BK564" s="3"/>
      <c r="BL564" s="3"/>
      <c r="BM564" s="3"/>
      <c r="BN564" s="3"/>
    </row>
    <row r="565" ht="15.75" customHeight="1">
      <c r="BK565" s="3"/>
      <c r="BL565" s="3"/>
      <c r="BM565" s="3"/>
      <c r="BN565" s="3"/>
    </row>
    <row r="566" ht="15.75" customHeight="1">
      <c r="BK566" s="3"/>
      <c r="BL566" s="3"/>
      <c r="BM566" s="3"/>
      <c r="BN566" s="3"/>
    </row>
    <row r="567" ht="15.75" customHeight="1">
      <c r="BK567" s="3"/>
      <c r="BL567" s="3"/>
      <c r="BM567" s="3"/>
      <c r="BN567" s="3"/>
    </row>
    <row r="568" ht="15.75" customHeight="1">
      <c r="BK568" s="3"/>
      <c r="BL568" s="3"/>
      <c r="BM568" s="3"/>
      <c r="BN568" s="3"/>
    </row>
    <row r="569" ht="15.75" customHeight="1">
      <c r="BK569" s="3"/>
      <c r="BL569" s="3"/>
      <c r="BM569" s="3"/>
      <c r="BN569" s="3"/>
    </row>
    <row r="570" ht="15.75" customHeight="1">
      <c r="BK570" s="3"/>
      <c r="BL570" s="3"/>
      <c r="BM570" s="3"/>
      <c r="BN570" s="3"/>
    </row>
    <row r="571" ht="15.75" customHeight="1">
      <c r="BK571" s="3"/>
      <c r="BL571" s="3"/>
      <c r="BM571" s="3"/>
      <c r="BN571" s="3"/>
    </row>
    <row r="572" ht="15.75" customHeight="1">
      <c r="BK572" s="3"/>
      <c r="BL572" s="3"/>
      <c r="BM572" s="3"/>
      <c r="BN572" s="3"/>
    </row>
    <row r="573" ht="15.75" customHeight="1">
      <c r="BK573" s="3"/>
      <c r="BL573" s="3"/>
      <c r="BM573" s="3"/>
      <c r="BN573" s="3"/>
    </row>
    <row r="574" ht="15.75" customHeight="1">
      <c r="BK574" s="3"/>
      <c r="BL574" s="3"/>
      <c r="BM574" s="3"/>
      <c r="BN574" s="3"/>
    </row>
    <row r="575" ht="15.75" customHeight="1">
      <c r="BK575" s="3"/>
      <c r="BL575" s="3"/>
      <c r="BM575" s="3"/>
      <c r="BN575" s="3"/>
    </row>
    <row r="576" ht="15.75" customHeight="1">
      <c r="BK576" s="3"/>
      <c r="BL576" s="3"/>
      <c r="BM576" s="3"/>
      <c r="BN576" s="3"/>
    </row>
    <row r="577" ht="15.75" customHeight="1">
      <c r="BK577" s="3"/>
      <c r="BL577" s="3"/>
      <c r="BM577" s="3"/>
      <c r="BN577" s="3"/>
    </row>
    <row r="578" ht="15.75" customHeight="1">
      <c r="BK578" s="3"/>
      <c r="BL578" s="3"/>
      <c r="BM578" s="3"/>
      <c r="BN578" s="3"/>
    </row>
    <row r="579" ht="15.75" customHeight="1">
      <c r="BK579" s="3"/>
      <c r="BL579" s="3"/>
      <c r="BM579" s="3"/>
      <c r="BN579" s="3"/>
    </row>
    <row r="580" ht="15.75" customHeight="1">
      <c r="BK580" s="3"/>
      <c r="BL580" s="3"/>
      <c r="BM580" s="3"/>
      <c r="BN580" s="3"/>
    </row>
    <row r="581" ht="15.75" customHeight="1">
      <c r="BK581" s="3"/>
      <c r="BL581" s="3"/>
      <c r="BM581" s="3"/>
      <c r="BN581" s="3"/>
    </row>
    <row r="582" ht="15.75" customHeight="1">
      <c r="BK582" s="3"/>
      <c r="BL582" s="3"/>
      <c r="BM582" s="3"/>
      <c r="BN582" s="3"/>
    </row>
    <row r="583" ht="15.75" customHeight="1">
      <c r="BK583" s="3"/>
      <c r="BL583" s="3"/>
      <c r="BM583" s="3"/>
      <c r="BN583" s="3"/>
    </row>
    <row r="584" ht="15.75" customHeight="1">
      <c r="BK584" s="3"/>
      <c r="BL584" s="3"/>
      <c r="BM584" s="3"/>
      <c r="BN584" s="3"/>
    </row>
    <row r="585" ht="15.75" customHeight="1">
      <c r="BK585" s="3"/>
      <c r="BL585" s="3"/>
      <c r="BM585" s="3"/>
      <c r="BN585" s="3"/>
    </row>
    <row r="586" ht="15.75" customHeight="1">
      <c r="BK586" s="3"/>
      <c r="BL586" s="3"/>
      <c r="BM586" s="3"/>
      <c r="BN586" s="3"/>
    </row>
    <row r="587" ht="15.75" customHeight="1">
      <c r="BK587" s="3"/>
      <c r="BL587" s="3"/>
      <c r="BM587" s="3"/>
      <c r="BN587" s="3"/>
    </row>
    <row r="588" ht="15.75" customHeight="1">
      <c r="BK588" s="3"/>
      <c r="BL588" s="3"/>
      <c r="BM588" s="3"/>
      <c r="BN588" s="3"/>
    </row>
    <row r="589" ht="15.75" customHeight="1">
      <c r="BK589" s="3"/>
      <c r="BL589" s="3"/>
      <c r="BM589" s="3"/>
      <c r="BN589" s="3"/>
    </row>
    <row r="590" ht="15.75" customHeight="1">
      <c r="BK590" s="3"/>
      <c r="BL590" s="3"/>
      <c r="BM590" s="3"/>
      <c r="BN590" s="3"/>
    </row>
    <row r="591" ht="15.75" customHeight="1">
      <c r="BK591" s="3"/>
      <c r="BL591" s="3"/>
      <c r="BM591" s="3"/>
      <c r="BN591" s="3"/>
    </row>
    <row r="592" ht="15.75" customHeight="1">
      <c r="BK592" s="3"/>
      <c r="BL592" s="3"/>
      <c r="BM592" s="3"/>
      <c r="BN592" s="3"/>
    </row>
    <row r="593" ht="15.75" customHeight="1">
      <c r="BK593" s="3"/>
      <c r="BL593" s="3"/>
      <c r="BM593" s="3"/>
      <c r="BN593" s="3"/>
    </row>
    <row r="594" ht="15.75" customHeight="1">
      <c r="BK594" s="3"/>
      <c r="BL594" s="3"/>
      <c r="BM594" s="3"/>
      <c r="BN594" s="3"/>
    </row>
    <row r="595" ht="15.75" customHeight="1">
      <c r="BK595" s="3"/>
      <c r="BL595" s="3"/>
      <c r="BM595" s="3"/>
      <c r="BN595" s="3"/>
    </row>
    <row r="596" ht="15.75" customHeight="1">
      <c r="BK596" s="3"/>
      <c r="BL596" s="3"/>
      <c r="BM596" s="3"/>
      <c r="BN596" s="3"/>
    </row>
    <row r="597" ht="15.75" customHeight="1">
      <c r="BK597" s="3"/>
      <c r="BL597" s="3"/>
      <c r="BM597" s="3"/>
      <c r="BN597" s="3"/>
    </row>
    <row r="598" ht="15.75" customHeight="1">
      <c r="BK598" s="3"/>
      <c r="BL598" s="3"/>
      <c r="BM598" s="3"/>
      <c r="BN598" s="3"/>
    </row>
    <row r="599" ht="15.75" customHeight="1">
      <c r="BK599" s="3"/>
      <c r="BL599" s="3"/>
      <c r="BM599" s="3"/>
      <c r="BN599" s="3"/>
    </row>
    <row r="600" ht="15.75" customHeight="1">
      <c r="BK600" s="3"/>
      <c r="BL600" s="3"/>
      <c r="BM600" s="3"/>
      <c r="BN600" s="3"/>
    </row>
    <row r="601" ht="15.75" customHeight="1">
      <c r="BK601" s="3"/>
      <c r="BL601" s="3"/>
      <c r="BM601" s="3"/>
      <c r="BN601" s="3"/>
    </row>
    <row r="602" ht="15.75" customHeight="1">
      <c r="BK602" s="3"/>
      <c r="BL602" s="3"/>
      <c r="BM602" s="3"/>
      <c r="BN602" s="3"/>
    </row>
    <row r="603" ht="15.75" customHeight="1">
      <c r="BK603" s="3"/>
      <c r="BL603" s="3"/>
      <c r="BM603" s="3"/>
      <c r="BN603" s="3"/>
    </row>
    <row r="604" ht="15.75" customHeight="1">
      <c r="BK604" s="3"/>
      <c r="BL604" s="3"/>
      <c r="BM604" s="3"/>
      <c r="BN604" s="3"/>
    </row>
    <row r="605" ht="15.75" customHeight="1">
      <c r="BK605" s="3"/>
      <c r="BL605" s="3"/>
      <c r="BM605" s="3"/>
      <c r="BN605" s="3"/>
    </row>
    <row r="606" ht="15.75" customHeight="1">
      <c r="BK606" s="3"/>
      <c r="BL606" s="3"/>
      <c r="BM606" s="3"/>
      <c r="BN606" s="3"/>
    </row>
    <row r="607" ht="15.75" customHeight="1">
      <c r="BK607" s="3"/>
      <c r="BL607" s="3"/>
      <c r="BM607" s="3"/>
      <c r="BN607" s="3"/>
    </row>
    <row r="608" ht="15.75" customHeight="1">
      <c r="BK608" s="3"/>
      <c r="BL608" s="3"/>
      <c r="BM608" s="3"/>
      <c r="BN608" s="3"/>
    </row>
    <row r="609" ht="15.75" customHeight="1">
      <c r="BK609" s="3"/>
      <c r="BL609" s="3"/>
      <c r="BM609" s="3"/>
      <c r="BN609" s="3"/>
    </row>
    <row r="610" ht="15.75" customHeight="1">
      <c r="BK610" s="3"/>
      <c r="BL610" s="3"/>
      <c r="BM610" s="3"/>
      <c r="BN610" s="3"/>
    </row>
    <row r="611" ht="15.75" customHeight="1">
      <c r="BK611" s="3"/>
      <c r="BL611" s="3"/>
      <c r="BM611" s="3"/>
      <c r="BN611" s="3"/>
    </row>
    <row r="612" ht="15.75" customHeight="1">
      <c r="BK612" s="3"/>
      <c r="BL612" s="3"/>
      <c r="BM612" s="3"/>
      <c r="BN612" s="3"/>
    </row>
    <row r="613" ht="15.75" customHeight="1">
      <c r="BK613" s="3"/>
      <c r="BL613" s="3"/>
      <c r="BM613" s="3"/>
      <c r="BN613" s="3"/>
    </row>
    <row r="614" ht="15.75" customHeight="1">
      <c r="BK614" s="3"/>
      <c r="BL614" s="3"/>
      <c r="BM614" s="3"/>
      <c r="BN614" s="3"/>
    </row>
    <row r="615" ht="15.75" customHeight="1">
      <c r="BK615" s="3"/>
      <c r="BL615" s="3"/>
      <c r="BM615" s="3"/>
      <c r="BN615" s="3"/>
    </row>
    <row r="616" ht="15.75" customHeight="1">
      <c r="BK616" s="3"/>
      <c r="BL616" s="3"/>
      <c r="BM616" s="3"/>
      <c r="BN616" s="3"/>
    </row>
    <row r="617" ht="15.75" customHeight="1">
      <c r="BK617" s="3"/>
      <c r="BL617" s="3"/>
      <c r="BM617" s="3"/>
      <c r="BN617" s="3"/>
    </row>
    <row r="618" ht="15.75" customHeight="1">
      <c r="BK618" s="3"/>
      <c r="BL618" s="3"/>
      <c r="BM618" s="3"/>
      <c r="BN618" s="3"/>
    </row>
    <row r="619" ht="15.75" customHeight="1">
      <c r="BK619" s="3"/>
      <c r="BL619" s="3"/>
      <c r="BM619" s="3"/>
      <c r="BN619" s="3"/>
    </row>
    <row r="620" ht="15.75" customHeight="1">
      <c r="BK620" s="3"/>
      <c r="BL620" s="3"/>
      <c r="BM620" s="3"/>
      <c r="BN620" s="3"/>
    </row>
    <row r="621" ht="15.75" customHeight="1">
      <c r="BK621" s="3"/>
      <c r="BL621" s="3"/>
      <c r="BM621" s="3"/>
      <c r="BN621" s="3"/>
    </row>
    <row r="622" ht="15.75" customHeight="1">
      <c r="BK622" s="3"/>
      <c r="BL622" s="3"/>
      <c r="BM622" s="3"/>
      <c r="BN622" s="3"/>
    </row>
    <row r="623" ht="15.75" customHeight="1">
      <c r="BK623" s="3"/>
      <c r="BL623" s="3"/>
      <c r="BM623" s="3"/>
      <c r="BN623" s="3"/>
    </row>
    <row r="624" ht="15.75" customHeight="1">
      <c r="BK624" s="3"/>
      <c r="BL624" s="3"/>
      <c r="BM624" s="3"/>
      <c r="BN624" s="3"/>
    </row>
    <row r="625" ht="15.75" customHeight="1">
      <c r="BK625" s="3"/>
      <c r="BL625" s="3"/>
      <c r="BM625" s="3"/>
      <c r="BN625" s="3"/>
    </row>
    <row r="626" ht="15.75" customHeight="1">
      <c r="BK626" s="3"/>
      <c r="BL626" s="3"/>
      <c r="BM626" s="3"/>
      <c r="BN626" s="3"/>
    </row>
    <row r="627" ht="15.75" customHeight="1">
      <c r="BK627" s="3"/>
      <c r="BL627" s="3"/>
      <c r="BM627" s="3"/>
      <c r="BN627" s="3"/>
    </row>
    <row r="628" ht="15.75" customHeight="1">
      <c r="BK628" s="3"/>
      <c r="BL628" s="3"/>
      <c r="BM628" s="3"/>
      <c r="BN628" s="3"/>
    </row>
    <row r="629" ht="15.75" customHeight="1">
      <c r="BK629" s="3"/>
      <c r="BL629" s="3"/>
      <c r="BM629" s="3"/>
      <c r="BN629" s="3"/>
    </row>
    <row r="630" ht="15.75" customHeight="1">
      <c r="BK630" s="3"/>
      <c r="BL630" s="3"/>
      <c r="BM630" s="3"/>
      <c r="BN630" s="3"/>
    </row>
    <row r="631" ht="15.75" customHeight="1">
      <c r="BK631" s="3"/>
      <c r="BL631" s="3"/>
      <c r="BM631" s="3"/>
      <c r="BN631" s="3"/>
    </row>
    <row r="632" ht="15.75" customHeight="1">
      <c r="BK632" s="3"/>
      <c r="BL632" s="3"/>
      <c r="BM632" s="3"/>
      <c r="BN632" s="3"/>
    </row>
    <row r="633" ht="15.75" customHeight="1">
      <c r="BK633" s="3"/>
      <c r="BL633" s="3"/>
      <c r="BM633" s="3"/>
      <c r="BN633" s="3"/>
    </row>
    <row r="634" ht="15.75" customHeight="1">
      <c r="BK634" s="3"/>
      <c r="BL634" s="3"/>
      <c r="BM634" s="3"/>
      <c r="BN634" s="3"/>
    </row>
    <row r="635" ht="15.75" customHeight="1">
      <c r="BK635" s="3"/>
      <c r="BL635" s="3"/>
      <c r="BM635" s="3"/>
      <c r="BN635" s="3"/>
    </row>
    <row r="636" ht="15.75" customHeight="1">
      <c r="BK636" s="3"/>
      <c r="BL636" s="3"/>
      <c r="BM636" s="3"/>
      <c r="BN636" s="3"/>
    </row>
    <row r="637" ht="15.75" customHeight="1">
      <c r="BK637" s="3"/>
      <c r="BL637" s="3"/>
      <c r="BM637" s="3"/>
      <c r="BN637" s="3"/>
    </row>
    <row r="638" ht="15.75" customHeight="1">
      <c r="BK638" s="3"/>
      <c r="BL638" s="3"/>
      <c r="BM638" s="3"/>
      <c r="BN638" s="3"/>
    </row>
    <row r="639" ht="15.75" customHeight="1">
      <c r="BK639" s="3"/>
      <c r="BL639" s="3"/>
      <c r="BM639" s="3"/>
      <c r="BN639" s="3"/>
    </row>
    <row r="640" ht="15.75" customHeight="1">
      <c r="BK640" s="3"/>
      <c r="BL640" s="3"/>
      <c r="BM640" s="3"/>
      <c r="BN640" s="3"/>
    </row>
    <row r="641" ht="15.75" customHeight="1">
      <c r="BK641" s="3"/>
      <c r="BL641" s="3"/>
      <c r="BM641" s="3"/>
      <c r="BN641" s="3"/>
    </row>
    <row r="642" ht="15.75" customHeight="1">
      <c r="BK642" s="3"/>
      <c r="BL642" s="3"/>
      <c r="BM642" s="3"/>
      <c r="BN642" s="3"/>
    </row>
    <row r="643" ht="15.75" customHeight="1">
      <c r="BK643" s="3"/>
      <c r="BL643" s="3"/>
      <c r="BM643" s="3"/>
      <c r="BN643" s="3"/>
    </row>
    <row r="644" ht="15.75" customHeight="1">
      <c r="BK644" s="3"/>
      <c r="BL644" s="3"/>
      <c r="BM644" s="3"/>
      <c r="BN644" s="3"/>
    </row>
    <row r="645" ht="15.75" customHeight="1">
      <c r="BK645" s="3"/>
      <c r="BL645" s="3"/>
      <c r="BM645" s="3"/>
      <c r="BN645" s="3"/>
    </row>
    <row r="646" ht="15.75" customHeight="1">
      <c r="BK646" s="3"/>
      <c r="BL646" s="3"/>
      <c r="BM646" s="3"/>
      <c r="BN646" s="3"/>
    </row>
    <row r="647" ht="15.75" customHeight="1">
      <c r="BK647" s="3"/>
      <c r="BL647" s="3"/>
      <c r="BM647" s="3"/>
      <c r="BN647" s="3"/>
    </row>
    <row r="648" ht="15.75" customHeight="1">
      <c r="BK648" s="3"/>
      <c r="BL648" s="3"/>
      <c r="BM648" s="3"/>
      <c r="BN648" s="3"/>
    </row>
    <row r="649" ht="15.75" customHeight="1">
      <c r="BK649" s="3"/>
      <c r="BL649" s="3"/>
      <c r="BM649" s="3"/>
      <c r="BN649" s="3"/>
    </row>
    <row r="650" ht="15.75" customHeight="1">
      <c r="BK650" s="3"/>
      <c r="BL650" s="3"/>
      <c r="BM650" s="3"/>
      <c r="BN650" s="3"/>
    </row>
    <row r="651" ht="15.75" customHeight="1">
      <c r="BK651" s="3"/>
      <c r="BL651" s="3"/>
      <c r="BM651" s="3"/>
      <c r="BN651" s="3"/>
    </row>
    <row r="652" ht="15.75" customHeight="1">
      <c r="BK652" s="3"/>
      <c r="BL652" s="3"/>
      <c r="BM652" s="3"/>
      <c r="BN652" s="3"/>
    </row>
    <row r="653" ht="15.75" customHeight="1">
      <c r="BK653" s="3"/>
      <c r="BL653" s="3"/>
      <c r="BM653" s="3"/>
      <c r="BN653" s="3"/>
    </row>
    <row r="654" ht="15.75" customHeight="1">
      <c r="BK654" s="3"/>
      <c r="BL654" s="3"/>
      <c r="BM654" s="3"/>
      <c r="BN654" s="3"/>
    </row>
    <row r="655" ht="15.75" customHeight="1">
      <c r="BK655" s="3"/>
      <c r="BL655" s="3"/>
      <c r="BM655" s="3"/>
      <c r="BN655" s="3"/>
    </row>
    <row r="656" ht="15.75" customHeight="1">
      <c r="BK656" s="3"/>
      <c r="BL656" s="3"/>
      <c r="BM656" s="3"/>
      <c r="BN656" s="3"/>
    </row>
    <row r="657" ht="15.75" customHeight="1">
      <c r="BK657" s="3"/>
      <c r="BL657" s="3"/>
      <c r="BM657" s="3"/>
      <c r="BN657" s="3"/>
    </row>
    <row r="658" ht="15.75" customHeight="1">
      <c r="BK658" s="3"/>
      <c r="BL658" s="3"/>
      <c r="BM658" s="3"/>
      <c r="BN658" s="3"/>
    </row>
    <row r="659" ht="15.75" customHeight="1">
      <c r="BK659" s="3"/>
      <c r="BL659" s="3"/>
      <c r="BM659" s="3"/>
      <c r="BN659" s="3"/>
    </row>
    <row r="660" ht="15.75" customHeight="1">
      <c r="BK660" s="3"/>
      <c r="BL660" s="3"/>
      <c r="BM660" s="3"/>
      <c r="BN660" s="3"/>
    </row>
    <row r="661" ht="15.75" customHeight="1">
      <c r="BK661" s="3"/>
      <c r="BL661" s="3"/>
      <c r="BM661" s="3"/>
      <c r="BN661" s="3"/>
    </row>
    <row r="662" ht="15.75" customHeight="1">
      <c r="BK662" s="3"/>
      <c r="BL662" s="3"/>
      <c r="BM662" s="3"/>
      <c r="BN662" s="3"/>
    </row>
    <row r="663" ht="15.75" customHeight="1">
      <c r="BK663" s="3"/>
      <c r="BL663" s="3"/>
      <c r="BM663" s="3"/>
      <c r="BN663" s="3"/>
    </row>
    <row r="664" ht="15.75" customHeight="1">
      <c r="BK664" s="3"/>
      <c r="BL664" s="3"/>
      <c r="BM664" s="3"/>
      <c r="BN664" s="3"/>
    </row>
    <row r="665" ht="15.75" customHeight="1">
      <c r="BK665" s="3"/>
      <c r="BL665" s="3"/>
      <c r="BM665" s="3"/>
      <c r="BN665" s="3"/>
    </row>
    <row r="666" ht="15.75" customHeight="1">
      <c r="BK666" s="3"/>
      <c r="BL666" s="3"/>
      <c r="BM666" s="3"/>
      <c r="BN666" s="3"/>
    </row>
    <row r="667" ht="15.75" customHeight="1">
      <c r="BK667" s="3"/>
      <c r="BL667" s="3"/>
      <c r="BM667" s="3"/>
      <c r="BN667" s="3"/>
    </row>
    <row r="668" ht="15.75" customHeight="1">
      <c r="BK668" s="3"/>
      <c r="BL668" s="3"/>
      <c r="BM668" s="3"/>
      <c r="BN668" s="3"/>
    </row>
    <row r="669" ht="15.75" customHeight="1">
      <c r="BK669" s="3"/>
      <c r="BL669" s="3"/>
      <c r="BM669" s="3"/>
      <c r="BN669" s="3"/>
    </row>
    <row r="670" ht="15.75" customHeight="1">
      <c r="BK670" s="3"/>
      <c r="BL670" s="3"/>
      <c r="BM670" s="3"/>
      <c r="BN670" s="3"/>
    </row>
    <row r="671" ht="15.75" customHeight="1">
      <c r="BK671" s="3"/>
      <c r="BL671" s="3"/>
      <c r="BM671" s="3"/>
      <c r="BN671" s="3"/>
    </row>
    <row r="672" ht="15.75" customHeight="1">
      <c r="BK672" s="3"/>
      <c r="BL672" s="3"/>
      <c r="BM672" s="3"/>
      <c r="BN672" s="3"/>
    </row>
    <row r="673" ht="15.75" customHeight="1">
      <c r="BK673" s="3"/>
      <c r="BL673" s="3"/>
      <c r="BM673" s="3"/>
      <c r="BN673" s="3"/>
    </row>
    <row r="674" ht="15.75" customHeight="1">
      <c r="BK674" s="3"/>
      <c r="BL674" s="3"/>
      <c r="BM674" s="3"/>
      <c r="BN674" s="3"/>
    </row>
    <row r="675" ht="15.75" customHeight="1">
      <c r="BK675" s="3"/>
      <c r="BL675" s="3"/>
      <c r="BM675" s="3"/>
      <c r="BN675" s="3"/>
    </row>
    <row r="676" ht="15.75" customHeight="1">
      <c r="BK676" s="3"/>
      <c r="BL676" s="3"/>
      <c r="BM676" s="3"/>
      <c r="BN676" s="3"/>
    </row>
    <row r="677" ht="15.75" customHeight="1">
      <c r="BK677" s="3"/>
      <c r="BL677" s="3"/>
      <c r="BM677" s="3"/>
      <c r="BN677" s="3"/>
    </row>
    <row r="678" ht="15.75" customHeight="1">
      <c r="BK678" s="3"/>
      <c r="BL678" s="3"/>
      <c r="BM678" s="3"/>
      <c r="BN678" s="3"/>
    </row>
    <row r="679" ht="15.75" customHeight="1">
      <c r="BK679" s="3"/>
      <c r="BL679" s="3"/>
      <c r="BM679" s="3"/>
      <c r="BN679" s="3"/>
    </row>
    <row r="680" ht="15.75" customHeight="1">
      <c r="BK680" s="3"/>
      <c r="BL680" s="3"/>
      <c r="BM680" s="3"/>
      <c r="BN680" s="3"/>
    </row>
    <row r="681" ht="15.75" customHeight="1">
      <c r="BK681" s="3"/>
      <c r="BL681" s="3"/>
      <c r="BM681" s="3"/>
      <c r="BN681" s="3"/>
    </row>
    <row r="682" ht="15.75" customHeight="1">
      <c r="BK682" s="3"/>
      <c r="BL682" s="3"/>
      <c r="BM682" s="3"/>
      <c r="BN682" s="3"/>
    </row>
    <row r="683" ht="15.75" customHeight="1">
      <c r="BK683" s="3"/>
      <c r="BL683" s="3"/>
      <c r="BM683" s="3"/>
      <c r="BN683" s="3"/>
    </row>
    <row r="684" ht="15.75" customHeight="1">
      <c r="BK684" s="3"/>
      <c r="BL684" s="3"/>
      <c r="BM684" s="3"/>
      <c r="BN684" s="3"/>
    </row>
    <row r="685" ht="15.75" customHeight="1">
      <c r="BK685" s="3"/>
      <c r="BL685" s="3"/>
      <c r="BM685" s="3"/>
      <c r="BN685" s="3"/>
    </row>
    <row r="686" ht="15.75" customHeight="1">
      <c r="BK686" s="3"/>
      <c r="BL686" s="3"/>
      <c r="BM686" s="3"/>
      <c r="BN686" s="3"/>
    </row>
    <row r="687" ht="15.75" customHeight="1">
      <c r="BK687" s="3"/>
      <c r="BL687" s="3"/>
      <c r="BM687" s="3"/>
      <c r="BN687" s="3"/>
    </row>
    <row r="688" ht="15.75" customHeight="1">
      <c r="BK688" s="3"/>
      <c r="BL688" s="3"/>
      <c r="BM688" s="3"/>
      <c r="BN688" s="3"/>
    </row>
    <row r="689" ht="15.75" customHeight="1">
      <c r="BK689" s="3"/>
      <c r="BL689" s="3"/>
      <c r="BM689" s="3"/>
      <c r="BN689" s="3"/>
    </row>
    <row r="690" ht="15.75" customHeight="1">
      <c r="BK690" s="3"/>
      <c r="BL690" s="3"/>
      <c r="BM690" s="3"/>
      <c r="BN690" s="3"/>
    </row>
    <row r="691" ht="15.75" customHeight="1">
      <c r="BK691" s="3"/>
      <c r="BL691" s="3"/>
      <c r="BM691" s="3"/>
      <c r="BN691" s="3"/>
    </row>
    <row r="692" ht="15.75" customHeight="1">
      <c r="BK692" s="3"/>
      <c r="BL692" s="3"/>
      <c r="BM692" s="3"/>
      <c r="BN692" s="3"/>
    </row>
    <row r="693" ht="15.75" customHeight="1">
      <c r="BK693" s="3"/>
      <c r="BL693" s="3"/>
      <c r="BM693" s="3"/>
      <c r="BN693" s="3"/>
    </row>
    <row r="694" ht="15.75" customHeight="1">
      <c r="BK694" s="3"/>
      <c r="BL694" s="3"/>
      <c r="BM694" s="3"/>
      <c r="BN694" s="3"/>
    </row>
    <row r="695" ht="15.75" customHeight="1">
      <c r="BK695" s="3"/>
      <c r="BL695" s="3"/>
      <c r="BM695" s="3"/>
      <c r="BN695" s="3"/>
    </row>
    <row r="696" ht="15.75" customHeight="1">
      <c r="BK696" s="3"/>
      <c r="BL696" s="3"/>
      <c r="BM696" s="3"/>
      <c r="BN696" s="3"/>
    </row>
    <row r="697" ht="15.75" customHeight="1">
      <c r="BK697" s="3"/>
      <c r="BL697" s="3"/>
      <c r="BM697" s="3"/>
      <c r="BN697" s="3"/>
    </row>
    <row r="698" ht="15.75" customHeight="1">
      <c r="BK698" s="3"/>
      <c r="BL698" s="3"/>
      <c r="BM698" s="3"/>
      <c r="BN698" s="3"/>
    </row>
    <row r="699" ht="15.75" customHeight="1">
      <c r="BK699" s="3"/>
      <c r="BL699" s="3"/>
      <c r="BM699" s="3"/>
      <c r="BN699" s="3"/>
    </row>
    <row r="700" ht="15.75" customHeight="1">
      <c r="BK700" s="3"/>
      <c r="BL700" s="3"/>
      <c r="BM700" s="3"/>
      <c r="BN700" s="3"/>
    </row>
    <row r="701" ht="15.75" customHeight="1">
      <c r="BK701" s="3"/>
      <c r="BL701" s="3"/>
      <c r="BM701" s="3"/>
      <c r="BN701" s="3"/>
    </row>
    <row r="702" ht="15.75" customHeight="1">
      <c r="BK702" s="3"/>
      <c r="BL702" s="3"/>
      <c r="BM702" s="3"/>
      <c r="BN702" s="3"/>
    </row>
    <row r="703" ht="15.75" customHeight="1">
      <c r="BK703" s="3"/>
      <c r="BL703" s="3"/>
      <c r="BM703" s="3"/>
      <c r="BN703" s="3"/>
    </row>
    <row r="704" ht="15.75" customHeight="1">
      <c r="BK704" s="3"/>
      <c r="BL704" s="3"/>
      <c r="BM704" s="3"/>
      <c r="BN704" s="3"/>
    </row>
    <row r="705" ht="15.75" customHeight="1">
      <c r="BK705" s="3"/>
      <c r="BL705" s="3"/>
      <c r="BM705" s="3"/>
      <c r="BN705" s="3"/>
    </row>
    <row r="706" ht="15.75" customHeight="1">
      <c r="BK706" s="3"/>
      <c r="BL706" s="3"/>
      <c r="BM706" s="3"/>
      <c r="BN706" s="3"/>
    </row>
    <row r="707" ht="15.75" customHeight="1">
      <c r="BK707" s="3"/>
      <c r="BL707" s="3"/>
      <c r="BM707" s="3"/>
      <c r="BN707" s="3"/>
    </row>
    <row r="708" ht="15.75" customHeight="1">
      <c r="BK708" s="3"/>
      <c r="BL708" s="3"/>
      <c r="BM708" s="3"/>
      <c r="BN708" s="3"/>
    </row>
    <row r="709" ht="15.75" customHeight="1">
      <c r="BK709" s="3"/>
      <c r="BL709" s="3"/>
      <c r="BM709" s="3"/>
      <c r="BN709" s="3"/>
    </row>
    <row r="710" ht="15.75" customHeight="1">
      <c r="BK710" s="3"/>
      <c r="BL710" s="3"/>
      <c r="BM710" s="3"/>
      <c r="BN710" s="3"/>
    </row>
    <row r="711" ht="15.75" customHeight="1">
      <c r="BK711" s="3"/>
      <c r="BL711" s="3"/>
      <c r="BM711" s="3"/>
      <c r="BN711" s="3"/>
    </row>
    <row r="712" ht="15.75" customHeight="1">
      <c r="BK712" s="3"/>
      <c r="BL712" s="3"/>
      <c r="BM712" s="3"/>
      <c r="BN712" s="3"/>
    </row>
    <row r="713" ht="15.75" customHeight="1">
      <c r="BK713" s="3"/>
      <c r="BL713" s="3"/>
      <c r="BM713" s="3"/>
      <c r="BN713" s="3"/>
    </row>
    <row r="714" ht="15.75" customHeight="1">
      <c r="BK714" s="3"/>
      <c r="BL714" s="3"/>
      <c r="BM714" s="3"/>
      <c r="BN714" s="3"/>
    </row>
    <row r="715" ht="15.75" customHeight="1">
      <c r="BK715" s="3"/>
      <c r="BL715" s="3"/>
      <c r="BM715" s="3"/>
      <c r="BN715" s="3"/>
    </row>
    <row r="716" ht="15.75" customHeight="1">
      <c r="BK716" s="3"/>
      <c r="BL716" s="3"/>
      <c r="BM716" s="3"/>
      <c r="BN716" s="3"/>
    </row>
    <row r="717" ht="15.75" customHeight="1">
      <c r="BK717" s="3"/>
      <c r="BL717" s="3"/>
      <c r="BM717" s="3"/>
      <c r="BN717" s="3"/>
    </row>
    <row r="718" ht="15.75" customHeight="1">
      <c r="BK718" s="3"/>
      <c r="BL718" s="3"/>
      <c r="BM718" s="3"/>
      <c r="BN718" s="3"/>
    </row>
    <row r="719" ht="15.75" customHeight="1">
      <c r="BK719" s="3"/>
      <c r="BL719" s="3"/>
      <c r="BM719" s="3"/>
      <c r="BN719" s="3"/>
    </row>
    <row r="720" ht="15.75" customHeight="1">
      <c r="BK720" s="3"/>
      <c r="BL720" s="3"/>
      <c r="BM720" s="3"/>
      <c r="BN720" s="3"/>
    </row>
    <row r="721" ht="15.75" customHeight="1">
      <c r="BK721" s="3"/>
      <c r="BL721" s="3"/>
      <c r="BM721" s="3"/>
      <c r="BN721" s="3"/>
    </row>
    <row r="722" ht="15.75" customHeight="1">
      <c r="BK722" s="3"/>
      <c r="BL722" s="3"/>
      <c r="BM722" s="3"/>
      <c r="BN722" s="3"/>
    </row>
    <row r="723" ht="15.75" customHeight="1">
      <c r="BK723" s="3"/>
      <c r="BL723" s="3"/>
      <c r="BM723" s="3"/>
      <c r="BN723" s="3"/>
    </row>
    <row r="724" ht="15.75" customHeight="1">
      <c r="BK724" s="3"/>
      <c r="BL724" s="3"/>
      <c r="BM724" s="3"/>
      <c r="BN724" s="3"/>
    </row>
    <row r="725" ht="15.75" customHeight="1">
      <c r="BK725" s="3"/>
      <c r="BL725" s="3"/>
      <c r="BM725" s="3"/>
      <c r="BN725" s="3"/>
    </row>
    <row r="726" ht="15.75" customHeight="1">
      <c r="BK726" s="3"/>
      <c r="BL726" s="3"/>
      <c r="BM726" s="3"/>
      <c r="BN726" s="3"/>
    </row>
    <row r="727" ht="15.75" customHeight="1">
      <c r="BK727" s="3"/>
      <c r="BL727" s="3"/>
      <c r="BM727" s="3"/>
      <c r="BN727" s="3"/>
    </row>
    <row r="728" ht="15.75" customHeight="1">
      <c r="BK728" s="3"/>
      <c r="BL728" s="3"/>
      <c r="BM728" s="3"/>
      <c r="BN728" s="3"/>
    </row>
    <row r="729" ht="15.75" customHeight="1">
      <c r="BK729" s="3"/>
      <c r="BL729" s="3"/>
      <c r="BM729" s="3"/>
      <c r="BN729" s="3"/>
    </row>
    <row r="730" ht="15.75" customHeight="1">
      <c r="BK730" s="3"/>
      <c r="BL730" s="3"/>
      <c r="BM730" s="3"/>
      <c r="BN730" s="3"/>
    </row>
    <row r="731" ht="15.75" customHeight="1">
      <c r="BK731" s="3"/>
      <c r="BL731" s="3"/>
      <c r="BM731" s="3"/>
      <c r="BN731" s="3"/>
    </row>
    <row r="732" ht="15.75" customHeight="1">
      <c r="BK732" s="3"/>
      <c r="BL732" s="3"/>
      <c r="BM732" s="3"/>
      <c r="BN732" s="3"/>
    </row>
    <row r="733" ht="15.75" customHeight="1">
      <c r="BK733" s="3"/>
      <c r="BL733" s="3"/>
      <c r="BM733" s="3"/>
      <c r="BN733" s="3"/>
    </row>
    <row r="734" ht="15.75" customHeight="1">
      <c r="BK734" s="3"/>
      <c r="BL734" s="3"/>
      <c r="BM734" s="3"/>
      <c r="BN734" s="3"/>
    </row>
    <row r="735" ht="15.75" customHeight="1">
      <c r="BK735" s="3"/>
      <c r="BL735" s="3"/>
      <c r="BM735" s="3"/>
      <c r="BN735" s="3"/>
    </row>
    <row r="736" ht="15.75" customHeight="1">
      <c r="BK736" s="3"/>
      <c r="BL736" s="3"/>
      <c r="BM736" s="3"/>
      <c r="BN736" s="3"/>
    </row>
    <row r="737" ht="15.75" customHeight="1">
      <c r="BK737" s="3"/>
      <c r="BL737" s="3"/>
      <c r="BM737" s="3"/>
      <c r="BN737" s="3"/>
    </row>
    <row r="738" ht="15.75" customHeight="1">
      <c r="BK738" s="3"/>
      <c r="BL738" s="3"/>
      <c r="BM738" s="3"/>
      <c r="BN738" s="3"/>
    </row>
    <row r="739" ht="15.75" customHeight="1">
      <c r="BK739" s="3"/>
      <c r="BL739" s="3"/>
      <c r="BM739" s="3"/>
      <c r="BN739" s="3"/>
    </row>
    <row r="740" ht="15.75" customHeight="1">
      <c r="BK740" s="3"/>
      <c r="BL740" s="3"/>
      <c r="BM740" s="3"/>
      <c r="BN740" s="3"/>
    </row>
    <row r="741" ht="15.75" customHeight="1">
      <c r="BK741" s="3"/>
      <c r="BL741" s="3"/>
      <c r="BM741" s="3"/>
      <c r="BN741" s="3"/>
    </row>
    <row r="742" ht="15.75" customHeight="1">
      <c r="BK742" s="3"/>
      <c r="BL742" s="3"/>
      <c r="BM742" s="3"/>
      <c r="BN742" s="3"/>
    </row>
    <row r="743" ht="15.75" customHeight="1">
      <c r="BK743" s="3"/>
      <c r="BL743" s="3"/>
      <c r="BM743" s="3"/>
      <c r="BN743" s="3"/>
    </row>
    <row r="744" ht="15.75" customHeight="1">
      <c r="BK744" s="3"/>
      <c r="BL744" s="3"/>
      <c r="BM744" s="3"/>
      <c r="BN744" s="3"/>
    </row>
    <row r="745" ht="15.75" customHeight="1">
      <c r="BK745" s="3"/>
      <c r="BL745" s="3"/>
      <c r="BM745" s="3"/>
      <c r="BN745" s="3"/>
    </row>
    <row r="746" ht="15.75" customHeight="1">
      <c r="BK746" s="3"/>
      <c r="BL746" s="3"/>
      <c r="BM746" s="3"/>
      <c r="BN746" s="3"/>
    </row>
    <row r="747" ht="15.75" customHeight="1">
      <c r="BK747" s="3"/>
      <c r="BL747" s="3"/>
      <c r="BM747" s="3"/>
      <c r="BN747" s="3"/>
    </row>
    <row r="748" ht="15.75" customHeight="1">
      <c r="BK748" s="3"/>
      <c r="BL748" s="3"/>
      <c r="BM748" s="3"/>
      <c r="BN748" s="3"/>
    </row>
    <row r="749" ht="15.75" customHeight="1">
      <c r="BK749" s="3"/>
      <c r="BL749" s="3"/>
      <c r="BM749" s="3"/>
      <c r="BN749" s="3"/>
    </row>
    <row r="750" ht="15.75" customHeight="1">
      <c r="BK750" s="3"/>
      <c r="BL750" s="3"/>
      <c r="BM750" s="3"/>
      <c r="BN750" s="3"/>
    </row>
    <row r="751" ht="15.75" customHeight="1">
      <c r="BK751" s="3"/>
      <c r="BL751" s="3"/>
      <c r="BM751" s="3"/>
      <c r="BN751" s="3"/>
    </row>
    <row r="752" ht="15.75" customHeight="1">
      <c r="BK752" s="3"/>
      <c r="BL752" s="3"/>
      <c r="BM752" s="3"/>
      <c r="BN752" s="3"/>
    </row>
    <row r="753" ht="15.75" customHeight="1">
      <c r="BK753" s="3"/>
      <c r="BL753" s="3"/>
      <c r="BM753" s="3"/>
      <c r="BN753" s="3"/>
    </row>
    <row r="754" ht="15.75" customHeight="1">
      <c r="BK754" s="3"/>
      <c r="BL754" s="3"/>
      <c r="BM754" s="3"/>
      <c r="BN754" s="3"/>
    </row>
    <row r="755" ht="15.75" customHeight="1">
      <c r="BK755" s="3"/>
      <c r="BL755" s="3"/>
      <c r="BM755" s="3"/>
      <c r="BN755" s="3"/>
    </row>
    <row r="756" ht="15.75" customHeight="1">
      <c r="BK756" s="3"/>
      <c r="BL756" s="3"/>
      <c r="BM756" s="3"/>
      <c r="BN756" s="3"/>
    </row>
    <row r="757" ht="15.75" customHeight="1">
      <c r="BK757" s="3"/>
      <c r="BL757" s="3"/>
      <c r="BM757" s="3"/>
      <c r="BN757" s="3"/>
    </row>
    <row r="758" ht="15.75" customHeight="1">
      <c r="BK758" s="3"/>
      <c r="BL758" s="3"/>
      <c r="BM758" s="3"/>
      <c r="BN758" s="3"/>
    </row>
    <row r="759" ht="15.75" customHeight="1">
      <c r="BK759" s="3"/>
      <c r="BL759" s="3"/>
      <c r="BM759" s="3"/>
      <c r="BN759" s="3"/>
    </row>
    <row r="760" ht="15.75" customHeight="1">
      <c r="BK760" s="3"/>
      <c r="BL760" s="3"/>
      <c r="BM760" s="3"/>
      <c r="BN760" s="3"/>
    </row>
    <row r="761" ht="15.75" customHeight="1">
      <c r="BK761" s="3"/>
      <c r="BL761" s="3"/>
      <c r="BM761" s="3"/>
      <c r="BN761" s="3"/>
    </row>
    <row r="762" ht="15.75" customHeight="1">
      <c r="BK762" s="3"/>
      <c r="BL762" s="3"/>
      <c r="BM762" s="3"/>
      <c r="BN762" s="3"/>
    </row>
    <row r="763" ht="15.75" customHeight="1">
      <c r="BK763" s="3"/>
      <c r="BL763" s="3"/>
      <c r="BM763" s="3"/>
      <c r="BN763" s="3"/>
    </row>
    <row r="764" ht="15.75" customHeight="1">
      <c r="BK764" s="3"/>
      <c r="BL764" s="3"/>
      <c r="BM764" s="3"/>
      <c r="BN764" s="3"/>
    </row>
    <row r="765" ht="15.75" customHeight="1">
      <c r="BK765" s="3"/>
      <c r="BL765" s="3"/>
      <c r="BM765" s="3"/>
      <c r="BN765" s="3"/>
    </row>
    <row r="766" ht="15.75" customHeight="1">
      <c r="BK766" s="3"/>
      <c r="BL766" s="3"/>
      <c r="BM766" s="3"/>
      <c r="BN766" s="3"/>
    </row>
    <row r="767" ht="15.75" customHeight="1">
      <c r="BK767" s="3"/>
      <c r="BL767" s="3"/>
      <c r="BM767" s="3"/>
      <c r="BN767" s="3"/>
    </row>
    <row r="768" ht="15.75" customHeight="1">
      <c r="BK768" s="3"/>
      <c r="BL768" s="3"/>
      <c r="BM768" s="3"/>
      <c r="BN768" s="3"/>
    </row>
    <row r="769" ht="15.75" customHeight="1">
      <c r="BK769" s="3"/>
      <c r="BL769" s="3"/>
      <c r="BM769" s="3"/>
      <c r="BN769" s="3"/>
    </row>
    <row r="770" ht="15.75" customHeight="1">
      <c r="BK770" s="3"/>
      <c r="BL770" s="3"/>
      <c r="BM770" s="3"/>
      <c r="BN770" s="3"/>
    </row>
    <row r="771" ht="15.75" customHeight="1">
      <c r="BK771" s="3"/>
      <c r="BL771" s="3"/>
      <c r="BM771" s="3"/>
      <c r="BN771" s="3"/>
    </row>
    <row r="772" ht="15.75" customHeight="1">
      <c r="BK772" s="3"/>
      <c r="BL772" s="3"/>
      <c r="BM772" s="3"/>
      <c r="BN772" s="3"/>
    </row>
    <row r="773" ht="15.75" customHeight="1">
      <c r="BK773" s="3"/>
      <c r="BL773" s="3"/>
      <c r="BM773" s="3"/>
      <c r="BN773" s="3"/>
    </row>
    <row r="774" ht="15.75" customHeight="1">
      <c r="BK774" s="3"/>
      <c r="BL774" s="3"/>
      <c r="BM774" s="3"/>
      <c r="BN774" s="3"/>
    </row>
    <row r="775" ht="15.75" customHeight="1">
      <c r="BK775" s="3"/>
      <c r="BL775" s="3"/>
      <c r="BM775" s="3"/>
      <c r="BN775" s="3"/>
    </row>
    <row r="776" ht="15.75" customHeight="1">
      <c r="BK776" s="3"/>
      <c r="BL776" s="3"/>
      <c r="BM776" s="3"/>
      <c r="BN776" s="3"/>
    </row>
    <row r="777" ht="15.75" customHeight="1">
      <c r="BK777" s="3"/>
      <c r="BL777" s="3"/>
      <c r="BM777" s="3"/>
      <c r="BN777" s="3"/>
    </row>
    <row r="778" ht="15.75" customHeight="1">
      <c r="BK778" s="3"/>
      <c r="BL778" s="3"/>
      <c r="BM778" s="3"/>
      <c r="BN778" s="3"/>
    </row>
    <row r="779" ht="15.75" customHeight="1">
      <c r="BK779" s="3"/>
      <c r="BL779" s="3"/>
      <c r="BM779" s="3"/>
      <c r="BN779" s="3"/>
    </row>
    <row r="780" ht="15.75" customHeight="1">
      <c r="BK780" s="3"/>
      <c r="BL780" s="3"/>
      <c r="BM780" s="3"/>
      <c r="BN780" s="3"/>
    </row>
    <row r="781" ht="15.75" customHeight="1">
      <c r="BK781" s="3"/>
      <c r="BL781" s="3"/>
      <c r="BM781" s="3"/>
      <c r="BN781" s="3"/>
    </row>
    <row r="782" ht="15.75" customHeight="1">
      <c r="BK782" s="3"/>
      <c r="BL782" s="3"/>
      <c r="BM782" s="3"/>
      <c r="BN782" s="3"/>
    </row>
    <row r="783" ht="15.75" customHeight="1">
      <c r="BK783" s="3"/>
      <c r="BL783" s="3"/>
      <c r="BM783" s="3"/>
      <c r="BN783" s="3"/>
    </row>
    <row r="784" ht="15.75" customHeight="1">
      <c r="BK784" s="3"/>
      <c r="BL784" s="3"/>
      <c r="BM784" s="3"/>
      <c r="BN784" s="3"/>
    </row>
    <row r="785" ht="15.75" customHeight="1">
      <c r="BK785" s="3"/>
      <c r="BL785" s="3"/>
      <c r="BM785" s="3"/>
      <c r="BN785" s="3"/>
    </row>
    <row r="786" ht="15.75" customHeight="1">
      <c r="BK786" s="3"/>
      <c r="BL786" s="3"/>
      <c r="BM786" s="3"/>
      <c r="BN786" s="3"/>
    </row>
    <row r="787" ht="15.75" customHeight="1">
      <c r="BK787" s="3"/>
      <c r="BL787" s="3"/>
      <c r="BM787" s="3"/>
      <c r="BN787" s="3"/>
    </row>
    <row r="788" ht="15.75" customHeight="1">
      <c r="BK788" s="3"/>
      <c r="BL788" s="3"/>
      <c r="BM788" s="3"/>
      <c r="BN788" s="3"/>
    </row>
    <row r="789" ht="15.75" customHeight="1">
      <c r="BK789" s="3"/>
      <c r="BL789" s="3"/>
      <c r="BM789" s="3"/>
      <c r="BN789" s="3"/>
    </row>
    <row r="790" ht="15.75" customHeight="1">
      <c r="BK790" s="3"/>
      <c r="BL790" s="3"/>
      <c r="BM790" s="3"/>
      <c r="BN790" s="3"/>
    </row>
    <row r="791" ht="15.75" customHeight="1">
      <c r="BK791" s="3"/>
      <c r="BL791" s="3"/>
      <c r="BM791" s="3"/>
      <c r="BN791" s="3"/>
    </row>
    <row r="792" ht="15.75" customHeight="1">
      <c r="BK792" s="3"/>
      <c r="BL792" s="3"/>
      <c r="BM792" s="3"/>
      <c r="BN792" s="3"/>
    </row>
    <row r="793" ht="15.75" customHeight="1">
      <c r="BK793" s="3"/>
      <c r="BL793" s="3"/>
      <c r="BM793" s="3"/>
      <c r="BN793" s="3"/>
    </row>
    <row r="794" ht="15.75" customHeight="1">
      <c r="BK794" s="3"/>
      <c r="BL794" s="3"/>
      <c r="BM794" s="3"/>
      <c r="BN794" s="3"/>
    </row>
    <row r="795" ht="15.75" customHeight="1">
      <c r="BK795" s="3"/>
      <c r="BL795" s="3"/>
      <c r="BM795" s="3"/>
      <c r="BN795" s="3"/>
    </row>
    <row r="796" ht="15.75" customHeight="1">
      <c r="BK796" s="3"/>
      <c r="BL796" s="3"/>
      <c r="BM796" s="3"/>
      <c r="BN796" s="3"/>
    </row>
    <row r="797" ht="15.75" customHeight="1">
      <c r="BK797" s="3"/>
      <c r="BL797" s="3"/>
      <c r="BM797" s="3"/>
      <c r="BN797" s="3"/>
    </row>
    <row r="798" ht="15.75" customHeight="1">
      <c r="BK798" s="3"/>
      <c r="BL798" s="3"/>
      <c r="BM798" s="3"/>
      <c r="BN798" s="3"/>
    </row>
    <row r="799" ht="15.75" customHeight="1">
      <c r="BK799" s="3"/>
      <c r="BL799" s="3"/>
      <c r="BM799" s="3"/>
      <c r="BN799" s="3"/>
    </row>
    <row r="800" ht="15.75" customHeight="1">
      <c r="BK800" s="3"/>
      <c r="BL800" s="3"/>
      <c r="BM800" s="3"/>
      <c r="BN800" s="3"/>
    </row>
    <row r="801" ht="15.75" customHeight="1">
      <c r="BK801" s="3"/>
      <c r="BL801" s="3"/>
      <c r="BM801" s="3"/>
      <c r="BN801" s="3"/>
    </row>
    <row r="802" ht="15.75" customHeight="1">
      <c r="BK802" s="3"/>
      <c r="BL802" s="3"/>
      <c r="BM802" s="3"/>
      <c r="BN802" s="3"/>
    </row>
    <row r="803" ht="15.75" customHeight="1">
      <c r="BK803" s="3"/>
      <c r="BL803" s="3"/>
      <c r="BM803" s="3"/>
      <c r="BN803" s="3"/>
    </row>
    <row r="804" ht="15.75" customHeight="1">
      <c r="BK804" s="3"/>
      <c r="BL804" s="3"/>
      <c r="BM804" s="3"/>
      <c r="BN804" s="3"/>
    </row>
    <row r="805" ht="15.75" customHeight="1">
      <c r="BK805" s="3"/>
      <c r="BL805" s="3"/>
      <c r="BM805" s="3"/>
      <c r="BN805" s="3"/>
    </row>
    <row r="806" ht="15.75" customHeight="1">
      <c r="BK806" s="3"/>
      <c r="BL806" s="3"/>
      <c r="BM806" s="3"/>
      <c r="BN806" s="3"/>
    </row>
    <row r="807" ht="15.75" customHeight="1">
      <c r="BK807" s="3"/>
      <c r="BL807" s="3"/>
      <c r="BM807" s="3"/>
      <c r="BN807" s="3"/>
    </row>
    <row r="808" ht="15.75" customHeight="1">
      <c r="BK808" s="3"/>
      <c r="BL808" s="3"/>
      <c r="BM808" s="3"/>
      <c r="BN808" s="3"/>
    </row>
    <row r="809" ht="15.75" customHeight="1">
      <c r="BK809" s="3"/>
      <c r="BL809" s="3"/>
      <c r="BM809" s="3"/>
      <c r="BN809" s="3"/>
    </row>
    <row r="810" ht="15.75" customHeight="1">
      <c r="BK810" s="3"/>
      <c r="BL810" s="3"/>
      <c r="BM810" s="3"/>
      <c r="BN810" s="3"/>
    </row>
    <row r="811" ht="15.75" customHeight="1">
      <c r="BK811" s="3"/>
      <c r="BL811" s="3"/>
      <c r="BM811" s="3"/>
      <c r="BN811" s="3"/>
    </row>
    <row r="812" ht="15.75" customHeight="1">
      <c r="BK812" s="3"/>
      <c r="BL812" s="3"/>
      <c r="BM812" s="3"/>
      <c r="BN812" s="3"/>
    </row>
    <row r="813" ht="15.75" customHeight="1">
      <c r="BK813" s="3"/>
      <c r="BL813" s="3"/>
      <c r="BM813" s="3"/>
      <c r="BN813" s="3"/>
    </row>
    <row r="814" ht="15.75" customHeight="1">
      <c r="BK814" s="3"/>
      <c r="BL814" s="3"/>
      <c r="BM814" s="3"/>
      <c r="BN814" s="3"/>
    </row>
    <row r="815" ht="15.75" customHeight="1">
      <c r="BK815" s="3"/>
      <c r="BL815" s="3"/>
      <c r="BM815" s="3"/>
      <c r="BN815" s="3"/>
    </row>
    <row r="816" ht="15.75" customHeight="1">
      <c r="BK816" s="3"/>
      <c r="BL816" s="3"/>
      <c r="BM816" s="3"/>
      <c r="BN816" s="3"/>
    </row>
    <row r="817" ht="15.75" customHeight="1">
      <c r="BK817" s="3"/>
      <c r="BL817" s="3"/>
      <c r="BM817" s="3"/>
      <c r="BN817" s="3"/>
    </row>
    <row r="818" ht="15.75" customHeight="1">
      <c r="BK818" s="3"/>
      <c r="BL818" s="3"/>
      <c r="BM818" s="3"/>
      <c r="BN818" s="3"/>
    </row>
    <row r="819" ht="15.75" customHeight="1">
      <c r="BK819" s="3"/>
      <c r="BL819" s="3"/>
      <c r="BM819" s="3"/>
      <c r="BN819" s="3"/>
    </row>
    <row r="820" ht="15.75" customHeight="1">
      <c r="BK820" s="3"/>
      <c r="BL820" s="3"/>
      <c r="BM820" s="3"/>
      <c r="BN820" s="3"/>
    </row>
    <row r="821" ht="15.75" customHeight="1">
      <c r="BK821" s="3"/>
      <c r="BL821" s="3"/>
      <c r="BM821" s="3"/>
      <c r="BN821" s="3"/>
    </row>
    <row r="822" ht="15.75" customHeight="1">
      <c r="BK822" s="3"/>
      <c r="BL822" s="3"/>
      <c r="BM822" s="3"/>
      <c r="BN822" s="3"/>
    </row>
    <row r="823" ht="15.75" customHeight="1">
      <c r="BK823" s="3"/>
      <c r="BL823" s="3"/>
      <c r="BM823" s="3"/>
      <c r="BN823" s="3"/>
    </row>
    <row r="824" ht="15.75" customHeight="1">
      <c r="BK824" s="3"/>
      <c r="BL824" s="3"/>
      <c r="BM824" s="3"/>
      <c r="BN824" s="3"/>
    </row>
    <row r="825" ht="15.75" customHeight="1">
      <c r="BK825" s="3"/>
      <c r="BL825" s="3"/>
      <c r="BM825" s="3"/>
      <c r="BN825" s="3"/>
    </row>
    <row r="826" ht="15.75" customHeight="1">
      <c r="BK826" s="3"/>
      <c r="BL826" s="3"/>
      <c r="BM826" s="3"/>
      <c r="BN826" s="3"/>
    </row>
    <row r="827" ht="15.75" customHeight="1">
      <c r="BK827" s="3"/>
      <c r="BL827" s="3"/>
      <c r="BM827" s="3"/>
      <c r="BN827" s="3"/>
    </row>
    <row r="828" ht="15.75" customHeight="1">
      <c r="BK828" s="3"/>
      <c r="BL828" s="3"/>
      <c r="BM828" s="3"/>
      <c r="BN828" s="3"/>
    </row>
    <row r="829" ht="15.75" customHeight="1">
      <c r="BK829" s="3"/>
      <c r="BL829" s="3"/>
      <c r="BM829" s="3"/>
      <c r="BN829" s="3"/>
    </row>
    <row r="830" ht="15.75" customHeight="1">
      <c r="BK830" s="3"/>
      <c r="BL830" s="3"/>
      <c r="BM830" s="3"/>
      <c r="BN830" s="3"/>
    </row>
    <row r="831" ht="15.75" customHeight="1">
      <c r="BK831" s="3"/>
      <c r="BL831" s="3"/>
      <c r="BM831" s="3"/>
      <c r="BN831" s="3"/>
    </row>
    <row r="832" ht="15.75" customHeight="1">
      <c r="BK832" s="3"/>
      <c r="BL832" s="3"/>
      <c r="BM832" s="3"/>
      <c r="BN832" s="3"/>
    </row>
    <row r="833" ht="15.75" customHeight="1">
      <c r="BK833" s="3"/>
      <c r="BL833" s="3"/>
      <c r="BM833" s="3"/>
      <c r="BN833" s="3"/>
    </row>
    <row r="834" ht="15.75" customHeight="1">
      <c r="BK834" s="3"/>
      <c r="BL834" s="3"/>
      <c r="BM834" s="3"/>
      <c r="BN834" s="3"/>
    </row>
    <row r="835" ht="15.75" customHeight="1">
      <c r="BK835" s="3"/>
      <c r="BL835" s="3"/>
      <c r="BM835" s="3"/>
      <c r="BN835" s="3"/>
    </row>
    <row r="836" ht="15.75" customHeight="1">
      <c r="BK836" s="3"/>
      <c r="BL836" s="3"/>
      <c r="BM836" s="3"/>
      <c r="BN836" s="3"/>
    </row>
    <row r="837" ht="15.75" customHeight="1">
      <c r="BK837" s="3"/>
      <c r="BL837" s="3"/>
      <c r="BM837" s="3"/>
      <c r="BN837" s="3"/>
    </row>
    <row r="838" ht="15.75" customHeight="1">
      <c r="BK838" s="3"/>
      <c r="BL838" s="3"/>
      <c r="BM838" s="3"/>
      <c r="BN838" s="3"/>
    </row>
    <row r="839" ht="15.75" customHeight="1">
      <c r="BK839" s="3"/>
      <c r="BL839" s="3"/>
      <c r="BM839" s="3"/>
      <c r="BN839" s="3"/>
    </row>
    <row r="840" ht="15.75" customHeight="1">
      <c r="BK840" s="3"/>
      <c r="BL840" s="3"/>
      <c r="BM840" s="3"/>
      <c r="BN840" s="3"/>
    </row>
    <row r="841" ht="15.75" customHeight="1">
      <c r="BK841" s="3"/>
      <c r="BL841" s="3"/>
      <c r="BM841" s="3"/>
      <c r="BN841" s="3"/>
    </row>
    <row r="842" ht="15.75" customHeight="1">
      <c r="BK842" s="3"/>
      <c r="BL842" s="3"/>
      <c r="BM842" s="3"/>
      <c r="BN842" s="3"/>
    </row>
    <row r="843" ht="15.75" customHeight="1">
      <c r="BK843" s="3"/>
      <c r="BL843" s="3"/>
      <c r="BM843" s="3"/>
      <c r="BN843" s="3"/>
    </row>
    <row r="844" ht="15.75" customHeight="1">
      <c r="BK844" s="3"/>
      <c r="BL844" s="3"/>
      <c r="BM844" s="3"/>
      <c r="BN844" s="3"/>
    </row>
    <row r="845" ht="15.75" customHeight="1">
      <c r="BK845" s="3"/>
      <c r="BL845" s="3"/>
      <c r="BM845" s="3"/>
      <c r="BN845" s="3"/>
    </row>
    <row r="846" ht="15.75" customHeight="1">
      <c r="BK846" s="3"/>
      <c r="BL846" s="3"/>
      <c r="BM846" s="3"/>
      <c r="BN846" s="3"/>
    </row>
    <row r="847" ht="15.75" customHeight="1">
      <c r="BK847" s="3"/>
      <c r="BL847" s="3"/>
      <c r="BM847" s="3"/>
      <c r="BN847" s="3"/>
    </row>
    <row r="848" ht="15.75" customHeight="1">
      <c r="BK848" s="3"/>
      <c r="BL848" s="3"/>
      <c r="BM848" s="3"/>
      <c r="BN848" s="3"/>
    </row>
    <row r="849" ht="15.75" customHeight="1">
      <c r="BK849" s="3"/>
      <c r="BL849" s="3"/>
      <c r="BM849" s="3"/>
      <c r="BN849" s="3"/>
    </row>
    <row r="850" ht="15.75" customHeight="1">
      <c r="BK850" s="3"/>
      <c r="BL850" s="3"/>
      <c r="BM850" s="3"/>
      <c r="BN850" s="3"/>
    </row>
    <row r="851" ht="15.75" customHeight="1">
      <c r="BK851" s="3"/>
      <c r="BL851" s="3"/>
      <c r="BM851" s="3"/>
      <c r="BN851" s="3"/>
    </row>
    <row r="852" ht="15.75" customHeight="1">
      <c r="BK852" s="3"/>
      <c r="BL852" s="3"/>
      <c r="BM852" s="3"/>
      <c r="BN852" s="3"/>
    </row>
    <row r="853" ht="15.75" customHeight="1">
      <c r="BK853" s="3"/>
      <c r="BL853" s="3"/>
      <c r="BM853" s="3"/>
      <c r="BN853" s="3"/>
    </row>
    <row r="854" ht="15.75" customHeight="1">
      <c r="BK854" s="3"/>
      <c r="BL854" s="3"/>
      <c r="BM854" s="3"/>
      <c r="BN854" s="3"/>
    </row>
    <row r="855" ht="15.75" customHeight="1">
      <c r="BK855" s="3"/>
      <c r="BL855" s="3"/>
      <c r="BM855" s="3"/>
      <c r="BN855" s="3"/>
    </row>
    <row r="856" ht="15.75" customHeight="1">
      <c r="BK856" s="3"/>
      <c r="BL856" s="3"/>
      <c r="BM856" s="3"/>
      <c r="BN856" s="3"/>
    </row>
    <row r="857" ht="15.75" customHeight="1">
      <c r="BK857" s="3"/>
      <c r="BL857" s="3"/>
      <c r="BM857" s="3"/>
      <c r="BN857" s="3"/>
    </row>
    <row r="858" ht="15.75" customHeight="1">
      <c r="BK858" s="3"/>
      <c r="BL858" s="3"/>
      <c r="BM858" s="3"/>
      <c r="BN858" s="3"/>
    </row>
    <row r="859" ht="15.75" customHeight="1">
      <c r="BK859" s="3"/>
      <c r="BL859" s="3"/>
      <c r="BM859" s="3"/>
      <c r="BN859" s="3"/>
    </row>
    <row r="860" ht="15.75" customHeight="1">
      <c r="BK860" s="3"/>
      <c r="BL860" s="3"/>
      <c r="BM860" s="3"/>
      <c r="BN860" s="3"/>
    </row>
    <row r="861" ht="15.75" customHeight="1">
      <c r="BK861" s="3"/>
      <c r="BL861" s="3"/>
      <c r="BM861" s="3"/>
      <c r="BN861" s="3"/>
    </row>
    <row r="862" ht="15.75" customHeight="1">
      <c r="BK862" s="3"/>
      <c r="BL862" s="3"/>
      <c r="BM862" s="3"/>
      <c r="BN862" s="3"/>
    </row>
    <row r="863" ht="15.75" customHeight="1">
      <c r="BK863" s="3"/>
      <c r="BL863" s="3"/>
      <c r="BM863" s="3"/>
      <c r="BN863" s="3"/>
    </row>
    <row r="864" ht="15.75" customHeight="1">
      <c r="BK864" s="3"/>
      <c r="BL864" s="3"/>
      <c r="BM864" s="3"/>
      <c r="BN864" s="3"/>
    </row>
    <row r="865" ht="15.75" customHeight="1">
      <c r="BK865" s="3"/>
      <c r="BL865" s="3"/>
      <c r="BM865" s="3"/>
      <c r="BN865" s="3"/>
    </row>
    <row r="866" ht="15.75" customHeight="1">
      <c r="BK866" s="3"/>
      <c r="BL866" s="3"/>
      <c r="BM866" s="3"/>
      <c r="BN866" s="3"/>
    </row>
    <row r="867" ht="15.75" customHeight="1">
      <c r="BK867" s="3"/>
      <c r="BL867" s="3"/>
      <c r="BM867" s="3"/>
      <c r="BN867" s="3"/>
    </row>
    <row r="868" ht="15.75" customHeight="1">
      <c r="BK868" s="3"/>
      <c r="BL868" s="3"/>
      <c r="BM868" s="3"/>
      <c r="BN868" s="3"/>
    </row>
    <row r="869" ht="15.75" customHeight="1">
      <c r="BK869" s="3"/>
      <c r="BL869" s="3"/>
      <c r="BM869" s="3"/>
      <c r="BN869" s="3"/>
    </row>
    <row r="870" ht="15.75" customHeight="1">
      <c r="BK870" s="3"/>
      <c r="BL870" s="3"/>
      <c r="BM870" s="3"/>
      <c r="BN870" s="3"/>
    </row>
    <row r="871" ht="15.75" customHeight="1">
      <c r="BK871" s="3"/>
      <c r="BL871" s="3"/>
      <c r="BM871" s="3"/>
      <c r="BN871" s="3"/>
    </row>
    <row r="872" ht="15.75" customHeight="1">
      <c r="BK872" s="3"/>
      <c r="BL872" s="3"/>
      <c r="BM872" s="3"/>
      <c r="BN872" s="3"/>
    </row>
    <row r="873" ht="15.75" customHeight="1">
      <c r="BK873" s="3"/>
      <c r="BL873" s="3"/>
      <c r="BM873" s="3"/>
      <c r="BN873" s="3"/>
    </row>
    <row r="874" ht="15.75" customHeight="1">
      <c r="BK874" s="3"/>
      <c r="BL874" s="3"/>
      <c r="BM874" s="3"/>
      <c r="BN874" s="3"/>
    </row>
    <row r="875" ht="15.75" customHeight="1">
      <c r="BK875" s="3"/>
      <c r="BL875" s="3"/>
      <c r="BM875" s="3"/>
      <c r="BN875" s="3"/>
    </row>
    <row r="876" ht="15.75" customHeight="1">
      <c r="BK876" s="3"/>
      <c r="BL876" s="3"/>
      <c r="BM876" s="3"/>
      <c r="BN876" s="3"/>
    </row>
    <row r="877" ht="15.75" customHeight="1">
      <c r="BK877" s="3"/>
      <c r="BL877" s="3"/>
      <c r="BM877" s="3"/>
      <c r="BN877" s="3"/>
    </row>
    <row r="878" ht="15.75" customHeight="1">
      <c r="BK878" s="3"/>
      <c r="BL878" s="3"/>
      <c r="BM878" s="3"/>
      <c r="BN878" s="3"/>
    </row>
    <row r="879" ht="15.75" customHeight="1">
      <c r="BK879" s="3"/>
      <c r="BL879" s="3"/>
      <c r="BM879" s="3"/>
      <c r="BN879" s="3"/>
    </row>
    <row r="880" ht="15.75" customHeight="1">
      <c r="BK880" s="3"/>
      <c r="BL880" s="3"/>
      <c r="BM880" s="3"/>
      <c r="BN880" s="3"/>
    </row>
    <row r="881" ht="15.75" customHeight="1">
      <c r="BK881" s="3"/>
      <c r="BL881" s="3"/>
      <c r="BM881" s="3"/>
      <c r="BN881" s="3"/>
    </row>
    <row r="882" ht="15.75" customHeight="1">
      <c r="BK882" s="3"/>
      <c r="BL882" s="3"/>
      <c r="BM882" s="3"/>
      <c r="BN882" s="3"/>
    </row>
    <row r="883" ht="15.75" customHeight="1">
      <c r="BK883" s="3"/>
      <c r="BL883" s="3"/>
      <c r="BM883" s="3"/>
      <c r="BN883" s="3"/>
    </row>
    <row r="884" ht="15.75" customHeight="1">
      <c r="BK884" s="3"/>
      <c r="BL884" s="3"/>
      <c r="BM884" s="3"/>
      <c r="BN884" s="3"/>
    </row>
    <row r="885" ht="15.75" customHeight="1">
      <c r="BK885" s="3"/>
      <c r="BL885" s="3"/>
      <c r="BM885" s="3"/>
      <c r="BN885" s="3"/>
    </row>
    <row r="886" ht="15.75" customHeight="1">
      <c r="BK886" s="3"/>
      <c r="BL886" s="3"/>
      <c r="BM886" s="3"/>
      <c r="BN886" s="3"/>
    </row>
    <row r="887" ht="15.75" customHeight="1">
      <c r="BK887" s="3"/>
      <c r="BL887" s="3"/>
      <c r="BM887" s="3"/>
      <c r="BN887" s="3"/>
    </row>
    <row r="888" ht="15.75" customHeight="1">
      <c r="BK888" s="3"/>
      <c r="BL888" s="3"/>
      <c r="BM888" s="3"/>
      <c r="BN888" s="3"/>
    </row>
    <row r="889" ht="15.75" customHeight="1">
      <c r="BK889" s="3"/>
      <c r="BL889" s="3"/>
      <c r="BM889" s="3"/>
      <c r="BN889" s="3"/>
    </row>
    <row r="890" ht="15.75" customHeight="1">
      <c r="BK890" s="3"/>
      <c r="BL890" s="3"/>
      <c r="BM890" s="3"/>
      <c r="BN890" s="3"/>
    </row>
    <row r="891" ht="15.75" customHeight="1">
      <c r="BK891" s="3"/>
      <c r="BL891" s="3"/>
      <c r="BM891" s="3"/>
      <c r="BN891" s="3"/>
    </row>
    <row r="892" ht="15.75" customHeight="1">
      <c r="BK892" s="3"/>
      <c r="BL892" s="3"/>
      <c r="BM892" s="3"/>
      <c r="BN892" s="3"/>
    </row>
    <row r="893" ht="15.75" customHeight="1">
      <c r="BK893" s="3"/>
      <c r="BL893" s="3"/>
      <c r="BM893" s="3"/>
      <c r="BN893" s="3"/>
    </row>
    <row r="894" ht="15.75" customHeight="1">
      <c r="BK894" s="3"/>
      <c r="BL894" s="3"/>
      <c r="BM894" s="3"/>
      <c r="BN894" s="3"/>
    </row>
    <row r="895" ht="15.75" customHeight="1">
      <c r="BK895" s="3"/>
      <c r="BL895" s="3"/>
      <c r="BM895" s="3"/>
      <c r="BN895" s="3"/>
    </row>
    <row r="896" ht="15.75" customHeight="1">
      <c r="BK896" s="3"/>
      <c r="BL896" s="3"/>
      <c r="BM896" s="3"/>
      <c r="BN896" s="3"/>
    </row>
    <row r="897" ht="15.75" customHeight="1">
      <c r="BK897" s="3"/>
      <c r="BL897" s="3"/>
      <c r="BM897" s="3"/>
      <c r="BN897" s="3"/>
    </row>
    <row r="898" ht="15.75" customHeight="1">
      <c r="BK898" s="3"/>
      <c r="BL898" s="3"/>
      <c r="BM898" s="3"/>
      <c r="BN898" s="3"/>
    </row>
    <row r="899" ht="15.75" customHeight="1">
      <c r="BK899" s="3"/>
      <c r="BL899" s="3"/>
      <c r="BM899" s="3"/>
      <c r="BN899" s="3"/>
    </row>
    <row r="900" ht="15.75" customHeight="1">
      <c r="BK900" s="3"/>
      <c r="BL900" s="3"/>
      <c r="BM900" s="3"/>
      <c r="BN900" s="3"/>
    </row>
    <row r="901" ht="15.75" customHeight="1">
      <c r="BK901" s="3"/>
      <c r="BL901" s="3"/>
      <c r="BM901" s="3"/>
      <c r="BN901" s="3"/>
    </row>
    <row r="902" ht="15.75" customHeight="1">
      <c r="BK902" s="3"/>
      <c r="BL902" s="3"/>
      <c r="BM902" s="3"/>
      <c r="BN902" s="3"/>
    </row>
    <row r="903" ht="15.75" customHeight="1">
      <c r="BK903" s="3"/>
      <c r="BL903" s="3"/>
      <c r="BM903" s="3"/>
      <c r="BN903" s="3"/>
    </row>
    <row r="904" ht="15.75" customHeight="1">
      <c r="BK904" s="3"/>
      <c r="BL904" s="3"/>
      <c r="BM904" s="3"/>
      <c r="BN904" s="3"/>
    </row>
    <row r="905" ht="15.75" customHeight="1">
      <c r="BK905" s="3"/>
      <c r="BL905" s="3"/>
      <c r="BM905" s="3"/>
      <c r="BN905" s="3"/>
    </row>
    <row r="906" ht="15.75" customHeight="1">
      <c r="BK906" s="3"/>
      <c r="BL906" s="3"/>
      <c r="BM906" s="3"/>
      <c r="BN906" s="3"/>
    </row>
    <row r="907" ht="15.75" customHeight="1">
      <c r="BK907" s="3"/>
      <c r="BL907" s="3"/>
      <c r="BM907" s="3"/>
      <c r="BN907" s="3"/>
    </row>
    <row r="908" ht="15.75" customHeight="1">
      <c r="BK908" s="3"/>
      <c r="BL908" s="3"/>
      <c r="BM908" s="3"/>
      <c r="BN908" s="3"/>
    </row>
    <row r="909" ht="15.75" customHeight="1">
      <c r="BK909" s="3"/>
      <c r="BL909" s="3"/>
      <c r="BM909" s="3"/>
      <c r="BN909" s="3"/>
    </row>
    <row r="910" ht="15.75" customHeight="1">
      <c r="BK910" s="3"/>
      <c r="BL910" s="3"/>
      <c r="BM910" s="3"/>
      <c r="BN910" s="3"/>
    </row>
    <row r="911" ht="15.75" customHeight="1">
      <c r="BK911" s="3"/>
      <c r="BL911" s="3"/>
      <c r="BM911" s="3"/>
      <c r="BN911" s="3"/>
    </row>
    <row r="912" ht="15.75" customHeight="1">
      <c r="BK912" s="3"/>
      <c r="BL912" s="3"/>
      <c r="BM912" s="3"/>
      <c r="BN912" s="3"/>
    </row>
    <row r="913" ht="15.75" customHeight="1">
      <c r="BK913" s="3"/>
      <c r="BL913" s="3"/>
      <c r="BM913" s="3"/>
      <c r="BN913" s="3"/>
    </row>
    <row r="914" ht="15.75" customHeight="1">
      <c r="BK914" s="3"/>
      <c r="BL914" s="3"/>
      <c r="BM914" s="3"/>
      <c r="BN914" s="3"/>
    </row>
    <row r="915" ht="15.75" customHeight="1">
      <c r="BK915" s="3"/>
      <c r="BL915" s="3"/>
      <c r="BM915" s="3"/>
      <c r="BN915" s="3"/>
    </row>
    <row r="916" ht="15.75" customHeight="1">
      <c r="BK916" s="3"/>
      <c r="BL916" s="3"/>
      <c r="BM916" s="3"/>
      <c r="BN916" s="3"/>
    </row>
    <row r="917" ht="15.75" customHeight="1">
      <c r="BK917" s="3"/>
      <c r="BL917" s="3"/>
      <c r="BM917" s="3"/>
      <c r="BN917" s="3"/>
    </row>
    <row r="918" ht="15.75" customHeight="1">
      <c r="BK918" s="3"/>
      <c r="BL918" s="3"/>
      <c r="BM918" s="3"/>
      <c r="BN918" s="3"/>
    </row>
    <row r="919" ht="15.75" customHeight="1">
      <c r="BK919" s="3"/>
      <c r="BL919" s="3"/>
      <c r="BM919" s="3"/>
      <c r="BN919" s="3"/>
    </row>
    <row r="920" ht="15.75" customHeight="1">
      <c r="BK920" s="3"/>
      <c r="BL920" s="3"/>
      <c r="BM920" s="3"/>
      <c r="BN920" s="3"/>
    </row>
    <row r="921" ht="15.75" customHeight="1">
      <c r="BK921" s="3"/>
      <c r="BL921" s="3"/>
      <c r="BM921" s="3"/>
      <c r="BN921" s="3"/>
    </row>
    <row r="922" ht="15.75" customHeight="1">
      <c r="BK922" s="3"/>
      <c r="BL922" s="3"/>
      <c r="BM922" s="3"/>
      <c r="BN922" s="3"/>
    </row>
    <row r="923" ht="15.75" customHeight="1">
      <c r="BK923" s="3"/>
      <c r="BL923" s="3"/>
      <c r="BM923" s="3"/>
      <c r="BN923" s="3"/>
    </row>
    <row r="924" ht="15.75" customHeight="1">
      <c r="BK924" s="3"/>
      <c r="BL924" s="3"/>
      <c r="BM924" s="3"/>
      <c r="BN924" s="3"/>
    </row>
    <row r="925" ht="15.75" customHeight="1">
      <c r="BK925" s="3"/>
      <c r="BL925" s="3"/>
      <c r="BM925" s="3"/>
      <c r="BN925" s="3"/>
    </row>
    <row r="926" ht="15.75" customHeight="1">
      <c r="BK926" s="3"/>
      <c r="BL926" s="3"/>
      <c r="BM926" s="3"/>
      <c r="BN926" s="3"/>
    </row>
    <row r="927" ht="15.75" customHeight="1">
      <c r="BK927" s="3"/>
      <c r="BL927" s="3"/>
      <c r="BM927" s="3"/>
      <c r="BN927" s="3"/>
    </row>
    <row r="928" ht="15.75" customHeight="1">
      <c r="BK928" s="3"/>
      <c r="BL928" s="3"/>
      <c r="BM928" s="3"/>
      <c r="BN928" s="3"/>
    </row>
    <row r="929" ht="15.75" customHeight="1">
      <c r="BK929" s="3"/>
      <c r="BL929" s="3"/>
      <c r="BM929" s="3"/>
      <c r="BN929" s="3"/>
    </row>
    <row r="930" ht="15.75" customHeight="1">
      <c r="BK930" s="3"/>
      <c r="BL930" s="3"/>
      <c r="BM930" s="3"/>
      <c r="BN930" s="3"/>
    </row>
    <row r="931" ht="15.75" customHeight="1">
      <c r="BK931" s="3"/>
      <c r="BL931" s="3"/>
      <c r="BM931" s="3"/>
      <c r="BN931" s="3"/>
    </row>
    <row r="932" ht="15.75" customHeight="1">
      <c r="BK932" s="3"/>
      <c r="BL932" s="3"/>
      <c r="BM932" s="3"/>
      <c r="BN932" s="3"/>
    </row>
    <row r="933" ht="15.75" customHeight="1">
      <c r="BK933" s="3"/>
      <c r="BL933" s="3"/>
      <c r="BM933" s="3"/>
      <c r="BN933" s="3"/>
    </row>
    <row r="934" ht="15.75" customHeight="1">
      <c r="BK934" s="3"/>
      <c r="BL934" s="3"/>
      <c r="BM934" s="3"/>
      <c r="BN934" s="3"/>
    </row>
    <row r="935" ht="15.75" customHeight="1">
      <c r="BK935" s="3"/>
      <c r="BL935" s="3"/>
      <c r="BM935" s="3"/>
      <c r="BN935" s="3"/>
    </row>
    <row r="936" ht="15.75" customHeight="1">
      <c r="BK936" s="3"/>
      <c r="BL936" s="3"/>
      <c r="BM936" s="3"/>
      <c r="BN936" s="3"/>
    </row>
    <row r="937" ht="15.75" customHeight="1">
      <c r="BK937" s="3"/>
      <c r="BL937" s="3"/>
      <c r="BM937" s="3"/>
      <c r="BN937" s="3"/>
    </row>
    <row r="938" ht="15.75" customHeight="1">
      <c r="BK938" s="3"/>
      <c r="BL938" s="3"/>
      <c r="BM938" s="3"/>
      <c r="BN938" s="3"/>
    </row>
    <row r="939" ht="15.75" customHeight="1">
      <c r="BK939" s="3"/>
      <c r="BL939" s="3"/>
      <c r="BM939" s="3"/>
      <c r="BN939" s="3"/>
    </row>
    <row r="940" ht="15.75" customHeight="1">
      <c r="BK940" s="3"/>
      <c r="BL940" s="3"/>
      <c r="BM940" s="3"/>
      <c r="BN940" s="3"/>
    </row>
    <row r="941" ht="15.75" customHeight="1">
      <c r="BK941" s="3"/>
      <c r="BL941" s="3"/>
      <c r="BM941" s="3"/>
      <c r="BN941" s="3"/>
    </row>
    <row r="942" ht="15.75" customHeight="1">
      <c r="BK942" s="3"/>
      <c r="BL942" s="3"/>
      <c r="BM942" s="3"/>
      <c r="BN942" s="3"/>
    </row>
    <row r="943" ht="15.75" customHeight="1">
      <c r="BK943" s="3"/>
      <c r="BL943" s="3"/>
      <c r="BM943" s="3"/>
      <c r="BN943" s="3"/>
    </row>
    <row r="944" ht="15.75" customHeight="1">
      <c r="BK944" s="3"/>
      <c r="BL944" s="3"/>
      <c r="BM944" s="3"/>
      <c r="BN944" s="3"/>
    </row>
    <row r="945" ht="15.75" customHeight="1">
      <c r="BK945" s="3"/>
      <c r="BL945" s="3"/>
      <c r="BM945" s="3"/>
      <c r="BN945" s="3"/>
    </row>
    <row r="946" ht="15.75" customHeight="1">
      <c r="BK946" s="3"/>
      <c r="BL946" s="3"/>
      <c r="BM946" s="3"/>
      <c r="BN946" s="3"/>
    </row>
    <row r="947" ht="15.75" customHeight="1">
      <c r="BK947" s="3"/>
      <c r="BL947" s="3"/>
      <c r="BM947" s="3"/>
      <c r="BN947" s="3"/>
    </row>
    <row r="948" ht="15.75" customHeight="1">
      <c r="BK948" s="3"/>
      <c r="BL948" s="3"/>
      <c r="BM948" s="3"/>
      <c r="BN948" s="3"/>
    </row>
    <row r="949" ht="15.75" customHeight="1">
      <c r="BK949" s="3"/>
      <c r="BL949" s="3"/>
      <c r="BM949" s="3"/>
      <c r="BN949" s="3"/>
    </row>
    <row r="950" ht="15.75" customHeight="1">
      <c r="BK950" s="3"/>
      <c r="BL950" s="3"/>
      <c r="BM950" s="3"/>
      <c r="BN950" s="3"/>
    </row>
    <row r="951" ht="15.75" customHeight="1">
      <c r="BK951" s="3"/>
      <c r="BL951" s="3"/>
      <c r="BM951" s="3"/>
      <c r="BN951" s="3"/>
    </row>
    <row r="952" ht="15.75" customHeight="1">
      <c r="BK952" s="3"/>
      <c r="BL952" s="3"/>
      <c r="BM952" s="3"/>
      <c r="BN952" s="3"/>
    </row>
    <row r="953" ht="15.75" customHeight="1">
      <c r="BK953" s="3"/>
      <c r="BL953" s="3"/>
      <c r="BM953" s="3"/>
      <c r="BN953" s="3"/>
    </row>
    <row r="954" ht="15.75" customHeight="1">
      <c r="BK954" s="3"/>
      <c r="BL954" s="3"/>
      <c r="BM954" s="3"/>
      <c r="BN954" s="3"/>
    </row>
    <row r="955" ht="15.75" customHeight="1">
      <c r="BK955" s="3"/>
      <c r="BL955" s="3"/>
      <c r="BM955" s="3"/>
      <c r="BN955" s="3"/>
    </row>
    <row r="956" ht="15.75" customHeight="1">
      <c r="BK956" s="3"/>
      <c r="BL956" s="3"/>
      <c r="BM956" s="3"/>
      <c r="BN956" s="3"/>
    </row>
    <row r="957" ht="15.75" customHeight="1">
      <c r="BK957" s="3"/>
      <c r="BL957" s="3"/>
      <c r="BM957" s="3"/>
      <c r="BN957" s="3"/>
    </row>
    <row r="958" ht="15.75" customHeight="1">
      <c r="BK958" s="3"/>
      <c r="BL958" s="3"/>
      <c r="BM958" s="3"/>
      <c r="BN958" s="3"/>
    </row>
    <row r="959" ht="15.75" customHeight="1">
      <c r="BK959" s="3"/>
      <c r="BL959" s="3"/>
      <c r="BM959" s="3"/>
      <c r="BN959" s="3"/>
    </row>
    <row r="960" ht="15.75" customHeight="1">
      <c r="BK960" s="3"/>
      <c r="BL960" s="3"/>
      <c r="BM960" s="3"/>
      <c r="BN960" s="3"/>
    </row>
    <row r="961" ht="15.75" customHeight="1">
      <c r="BK961" s="3"/>
      <c r="BL961" s="3"/>
      <c r="BM961" s="3"/>
      <c r="BN961" s="3"/>
    </row>
    <row r="962" ht="15.75" customHeight="1">
      <c r="BK962" s="3"/>
      <c r="BL962" s="3"/>
      <c r="BM962" s="3"/>
      <c r="BN962" s="3"/>
    </row>
    <row r="963" ht="15.75" customHeight="1">
      <c r="BK963" s="3"/>
      <c r="BL963" s="3"/>
      <c r="BM963" s="3"/>
      <c r="BN963" s="3"/>
    </row>
    <row r="964" ht="15.75" customHeight="1">
      <c r="BK964" s="3"/>
      <c r="BL964" s="3"/>
      <c r="BM964" s="3"/>
      <c r="BN964" s="3"/>
    </row>
    <row r="965" ht="15.75" customHeight="1">
      <c r="BK965" s="3"/>
      <c r="BL965" s="3"/>
      <c r="BM965" s="3"/>
      <c r="BN965" s="3"/>
    </row>
    <row r="966" ht="15.75" customHeight="1">
      <c r="BK966" s="3"/>
      <c r="BL966" s="3"/>
      <c r="BM966" s="3"/>
      <c r="BN966" s="3"/>
    </row>
    <row r="967" ht="15.75" customHeight="1">
      <c r="BK967" s="3"/>
      <c r="BL967" s="3"/>
      <c r="BM967" s="3"/>
      <c r="BN967" s="3"/>
    </row>
    <row r="968" ht="15.75" customHeight="1">
      <c r="BK968" s="3"/>
      <c r="BL968" s="3"/>
      <c r="BM968" s="3"/>
      <c r="BN968" s="3"/>
    </row>
    <row r="969" ht="15.75" customHeight="1">
      <c r="BK969" s="3"/>
      <c r="BL969" s="3"/>
      <c r="BM969" s="3"/>
      <c r="BN969" s="3"/>
    </row>
    <row r="970" ht="15.75" customHeight="1">
      <c r="BK970" s="3"/>
      <c r="BL970" s="3"/>
      <c r="BM970" s="3"/>
      <c r="BN970" s="3"/>
    </row>
    <row r="971" ht="15.75" customHeight="1">
      <c r="BK971" s="3"/>
      <c r="BL971" s="3"/>
      <c r="BM971" s="3"/>
      <c r="BN971" s="3"/>
    </row>
    <row r="972" ht="15.75" customHeight="1">
      <c r="BK972" s="3"/>
      <c r="BL972" s="3"/>
      <c r="BM972" s="3"/>
      <c r="BN972" s="3"/>
    </row>
    <row r="973" ht="15.75" customHeight="1">
      <c r="BK973" s="3"/>
      <c r="BL973" s="3"/>
      <c r="BM973" s="3"/>
      <c r="BN973" s="3"/>
    </row>
    <row r="974" ht="15.75" customHeight="1">
      <c r="BK974" s="3"/>
      <c r="BL974" s="3"/>
      <c r="BM974" s="3"/>
      <c r="BN974" s="3"/>
    </row>
    <row r="975" ht="15.75" customHeight="1">
      <c r="BK975" s="3"/>
      <c r="BL975" s="3"/>
      <c r="BM975" s="3"/>
      <c r="BN975" s="3"/>
    </row>
    <row r="976" ht="15.75" customHeight="1">
      <c r="BK976" s="3"/>
      <c r="BL976" s="3"/>
      <c r="BM976" s="3"/>
      <c r="BN976" s="3"/>
    </row>
    <row r="977" ht="15.75" customHeight="1">
      <c r="BK977" s="3"/>
      <c r="BL977" s="3"/>
      <c r="BM977" s="3"/>
      <c r="BN977" s="3"/>
    </row>
    <row r="978" ht="15.75" customHeight="1">
      <c r="BK978" s="3"/>
      <c r="BL978" s="3"/>
      <c r="BM978" s="3"/>
      <c r="BN978" s="3"/>
    </row>
    <row r="979" ht="15.75" customHeight="1">
      <c r="BK979" s="3"/>
      <c r="BL979" s="3"/>
      <c r="BM979" s="3"/>
      <c r="BN979" s="3"/>
    </row>
    <row r="980" ht="15.75" customHeight="1">
      <c r="BK980" s="3"/>
      <c r="BL980" s="3"/>
      <c r="BM980" s="3"/>
      <c r="BN980" s="3"/>
    </row>
    <row r="981" ht="15.75" customHeight="1">
      <c r="BK981" s="3"/>
      <c r="BL981" s="3"/>
      <c r="BM981" s="3"/>
      <c r="BN981" s="3"/>
    </row>
    <row r="982" ht="15.75" customHeight="1">
      <c r="BK982" s="3"/>
      <c r="BL982" s="3"/>
      <c r="BM982" s="3"/>
      <c r="BN982" s="3"/>
    </row>
    <row r="983" ht="15.75" customHeight="1">
      <c r="BK983" s="3"/>
      <c r="BL983" s="3"/>
      <c r="BM983" s="3"/>
      <c r="BN983" s="3"/>
    </row>
    <row r="984" ht="15.75" customHeight="1">
      <c r="BK984" s="3"/>
      <c r="BL984" s="3"/>
      <c r="BM984" s="3"/>
      <c r="BN984" s="3"/>
    </row>
    <row r="985" ht="15.75" customHeight="1">
      <c r="BK985" s="3"/>
      <c r="BL985" s="3"/>
      <c r="BM985" s="3"/>
      <c r="BN985" s="3"/>
    </row>
    <row r="986" ht="15.75" customHeight="1">
      <c r="BK986" s="3"/>
      <c r="BL986" s="3"/>
      <c r="BM986" s="3"/>
      <c r="BN986" s="3"/>
    </row>
    <row r="987" ht="15.75" customHeight="1">
      <c r="BK987" s="3"/>
      <c r="BL987" s="3"/>
      <c r="BM987" s="3"/>
      <c r="BN987" s="3"/>
    </row>
    <row r="988" ht="15.75" customHeight="1">
      <c r="BK988" s="3"/>
      <c r="BL988" s="3"/>
      <c r="BM988" s="3"/>
      <c r="BN988" s="3"/>
    </row>
    <row r="989" ht="15.75" customHeight="1">
      <c r="BK989" s="3"/>
      <c r="BL989" s="3"/>
      <c r="BM989" s="3"/>
      <c r="BN989" s="3"/>
    </row>
    <row r="990" ht="15.75" customHeight="1">
      <c r="BK990" s="3"/>
      <c r="BL990" s="3"/>
      <c r="BM990" s="3"/>
      <c r="BN990" s="3"/>
    </row>
    <row r="991" ht="15.75" customHeight="1">
      <c r="BK991" s="3"/>
      <c r="BL991" s="3"/>
      <c r="BM991" s="3"/>
      <c r="BN991" s="3"/>
    </row>
    <row r="992" ht="15.75" customHeight="1">
      <c r="BK992" s="3"/>
      <c r="BL992" s="3"/>
      <c r="BM992" s="3"/>
      <c r="BN992" s="3"/>
    </row>
    <row r="993" ht="15.75" customHeight="1">
      <c r="BK993" s="3"/>
      <c r="BL993" s="3"/>
      <c r="BM993" s="3"/>
      <c r="BN993" s="3"/>
    </row>
    <row r="994" ht="15.75" customHeight="1">
      <c r="BK994" s="3"/>
      <c r="BL994" s="3"/>
      <c r="BM994" s="3"/>
      <c r="BN994" s="3"/>
    </row>
    <row r="995" ht="15.75" customHeight="1">
      <c r="BK995" s="3"/>
      <c r="BL995" s="3"/>
      <c r="BM995" s="3"/>
      <c r="BN995" s="3"/>
    </row>
    <row r="996" ht="15.75" customHeight="1">
      <c r="BK996" s="3"/>
      <c r="BL996" s="3"/>
      <c r="BM996" s="3"/>
      <c r="BN996" s="3"/>
    </row>
    <row r="997" ht="15.75" customHeight="1">
      <c r="BK997" s="3"/>
      <c r="BL997" s="3"/>
      <c r="BM997" s="3"/>
      <c r="BN997" s="3"/>
    </row>
    <row r="998" ht="15.75" customHeight="1">
      <c r="BK998" s="3"/>
      <c r="BL998" s="3"/>
      <c r="BM998" s="3"/>
      <c r="BN998" s="3"/>
    </row>
    <row r="999" ht="15.75" customHeight="1">
      <c r="BK999" s="3"/>
      <c r="BL999" s="3"/>
      <c r="BM999" s="3"/>
      <c r="BN999" s="3"/>
    </row>
    <row r="1000" ht="15.75" customHeight="1">
      <c r="BK1000" s="3"/>
      <c r="BL1000" s="3"/>
      <c r="BM1000" s="3"/>
      <c r="BN1000" s="3"/>
    </row>
    <row r="1001" ht="15.75" customHeight="1">
      <c r="BK1001" s="3"/>
      <c r="BL1001" s="3"/>
      <c r="BM1001" s="3"/>
      <c r="BN1001" s="3"/>
    </row>
  </sheetData>
  <mergeCells count="16">
    <mergeCell ref="C3:F3"/>
    <mergeCell ref="G3:J3"/>
    <mergeCell ref="K3:N3"/>
    <mergeCell ref="O3:R3"/>
    <mergeCell ref="S3:V3"/>
    <mergeCell ref="W3:Z3"/>
    <mergeCell ref="AA3:AD3"/>
    <mergeCell ref="BG3:BJ3"/>
    <mergeCell ref="BK3:BN3"/>
    <mergeCell ref="AE3:AH3"/>
    <mergeCell ref="AI3:AL3"/>
    <mergeCell ref="AM3:AP3"/>
    <mergeCell ref="AQ3:AT3"/>
    <mergeCell ref="AU3:AX3"/>
    <mergeCell ref="AY3:BB3"/>
    <mergeCell ref="BC3:BF3"/>
  </mergeCells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6" width="12.63"/>
    <col customWidth="1" min="55" max="62" width="12.63"/>
  </cols>
  <sheetData>
    <row r="1" ht="15.75" customHeight="1">
      <c r="A1" s="184" t="s">
        <v>1</v>
      </c>
      <c r="BC1" s="3"/>
      <c r="BD1" s="3"/>
      <c r="BE1" s="3"/>
      <c r="BF1" s="3"/>
      <c r="BG1" s="3"/>
      <c r="BH1" s="3"/>
      <c r="BI1" s="3"/>
      <c r="BJ1" s="3"/>
    </row>
    <row r="2" ht="15.75" customHeight="1">
      <c r="A2" s="128" t="s">
        <v>168</v>
      </c>
      <c r="BC2" s="3"/>
      <c r="BD2" s="3"/>
      <c r="BE2" s="3"/>
      <c r="BF2" s="3"/>
      <c r="BG2" s="3"/>
      <c r="BH2" s="3"/>
      <c r="BI2" s="3"/>
      <c r="BJ2" s="3"/>
    </row>
    <row r="3" ht="15.75" customHeight="1">
      <c r="B3" s="188"/>
      <c r="C3" s="259" t="s">
        <v>48</v>
      </c>
      <c r="D3" s="260"/>
      <c r="E3" s="260"/>
      <c r="F3" s="261"/>
      <c r="G3" s="259" t="s">
        <v>49</v>
      </c>
      <c r="H3" s="260"/>
      <c r="I3" s="260"/>
      <c r="J3" s="261"/>
      <c r="K3" s="259" t="s">
        <v>5</v>
      </c>
      <c r="L3" s="260"/>
      <c r="M3" s="260"/>
      <c r="N3" s="261"/>
      <c r="O3" s="259" t="s">
        <v>6</v>
      </c>
      <c r="P3" s="260"/>
      <c r="Q3" s="260"/>
      <c r="R3" s="261"/>
      <c r="S3" s="259" t="s">
        <v>7</v>
      </c>
      <c r="T3" s="260"/>
      <c r="U3" s="260"/>
      <c r="V3" s="261"/>
      <c r="W3" s="259" t="s">
        <v>8</v>
      </c>
      <c r="X3" s="260"/>
      <c r="Y3" s="260"/>
      <c r="Z3" s="261"/>
      <c r="AA3" s="259" t="s">
        <v>9</v>
      </c>
      <c r="AB3" s="260"/>
      <c r="AC3" s="260"/>
      <c r="AD3" s="261"/>
      <c r="AE3" s="259" t="s">
        <v>10</v>
      </c>
      <c r="AF3" s="260"/>
      <c r="AG3" s="260"/>
      <c r="AH3" s="261"/>
      <c r="AI3" s="259" t="s">
        <v>11</v>
      </c>
      <c r="AJ3" s="260"/>
      <c r="AK3" s="260"/>
      <c r="AL3" s="261"/>
      <c r="AM3" s="259" t="s">
        <v>12</v>
      </c>
      <c r="AN3" s="260"/>
      <c r="AO3" s="260"/>
      <c r="AP3" s="261"/>
      <c r="AQ3" s="259" t="s">
        <v>13</v>
      </c>
      <c r="AR3" s="260"/>
      <c r="AS3" s="260"/>
      <c r="AT3" s="261"/>
      <c r="AU3" s="259" t="s">
        <v>14</v>
      </c>
      <c r="AV3" s="260"/>
      <c r="AW3" s="260"/>
      <c r="AX3" s="261"/>
      <c r="AY3" s="259" t="s">
        <v>15</v>
      </c>
      <c r="AZ3" s="260"/>
      <c r="BA3" s="260"/>
      <c r="BB3" s="261"/>
      <c r="BC3" s="259" t="s">
        <v>60</v>
      </c>
      <c r="BD3" s="260"/>
      <c r="BE3" s="260"/>
      <c r="BF3" s="261"/>
      <c r="BG3" s="259" t="s">
        <v>17</v>
      </c>
      <c r="BH3" s="260"/>
      <c r="BI3" s="260"/>
      <c r="BJ3" s="261"/>
    </row>
    <row r="4" ht="15.75" customHeight="1">
      <c r="B4" s="188"/>
      <c r="C4" s="188" t="s">
        <v>21</v>
      </c>
      <c r="D4" s="188" t="s">
        <v>19</v>
      </c>
      <c r="E4" s="188" t="s">
        <v>20</v>
      </c>
      <c r="F4" s="188" t="s">
        <v>19</v>
      </c>
      <c r="G4" s="188" t="s">
        <v>21</v>
      </c>
      <c r="H4" s="188" t="s">
        <v>19</v>
      </c>
      <c r="I4" s="188" t="s">
        <v>20</v>
      </c>
      <c r="J4" s="188" t="s">
        <v>19</v>
      </c>
      <c r="K4" s="188" t="s">
        <v>21</v>
      </c>
      <c r="L4" s="188" t="s">
        <v>19</v>
      </c>
      <c r="M4" s="188" t="s">
        <v>20</v>
      </c>
      <c r="N4" s="188" t="s">
        <v>19</v>
      </c>
      <c r="O4" s="188" t="s">
        <v>21</v>
      </c>
      <c r="P4" s="188" t="s">
        <v>19</v>
      </c>
      <c r="Q4" s="188" t="s">
        <v>20</v>
      </c>
      <c r="R4" s="188" t="s">
        <v>19</v>
      </c>
      <c r="S4" s="188" t="s">
        <v>21</v>
      </c>
      <c r="T4" s="188" t="s">
        <v>19</v>
      </c>
      <c r="U4" s="188" t="s">
        <v>20</v>
      </c>
      <c r="V4" s="188" t="s">
        <v>19</v>
      </c>
      <c r="W4" s="188" t="s">
        <v>21</v>
      </c>
      <c r="X4" s="188" t="s">
        <v>19</v>
      </c>
      <c r="Y4" s="188" t="s">
        <v>20</v>
      </c>
      <c r="Z4" s="188" t="s">
        <v>19</v>
      </c>
      <c r="AA4" s="188" t="s">
        <v>21</v>
      </c>
      <c r="AB4" s="188" t="s">
        <v>19</v>
      </c>
      <c r="AC4" s="188" t="s">
        <v>20</v>
      </c>
      <c r="AD4" s="188" t="s">
        <v>19</v>
      </c>
      <c r="AE4" s="188" t="s">
        <v>21</v>
      </c>
      <c r="AF4" s="188" t="s">
        <v>19</v>
      </c>
      <c r="AG4" s="188" t="s">
        <v>20</v>
      </c>
      <c r="AH4" s="188" t="s">
        <v>19</v>
      </c>
      <c r="AI4" s="188" t="s">
        <v>21</v>
      </c>
      <c r="AJ4" s="188" t="s">
        <v>19</v>
      </c>
      <c r="AK4" s="188" t="s">
        <v>20</v>
      </c>
      <c r="AL4" s="188" t="s">
        <v>19</v>
      </c>
      <c r="AM4" s="188" t="s">
        <v>21</v>
      </c>
      <c r="AN4" s="188" t="s">
        <v>19</v>
      </c>
      <c r="AO4" s="188" t="s">
        <v>20</v>
      </c>
      <c r="AP4" s="188" t="s">
        <v>19</v>
      </c>
      <c r="AQ4" s="188" t="s">
        <v>21</v>
      </c>
      <c r="AR4" s="188" t="s">
        <v>19</v>
      </c>
      <c r="AS4" s="188" t="s">
        <v>20</v>
      </c>
      <c r="AT4" s="188" t="s">
        <v>19</v>
      </c>
      <c r="AU4" s="188" t="s">
        <v>21</v>
      </c>
      <c r="AV4" s="188" t="s">
        <v>19</v>
      </c>
      <c r="AW4" s="188" t="s">
        <v>20</v>
      </c>
      <c r="AX4" s="188" t="s">
        <v>19</v>
      </c>
      <c r="AY4" s="188" t="s">
        <v>21</v>
      </c>
      <c r="AZ4" s="188" t="s">
        <v>19</v>
      </c>
      <c r="BA4" s="188" t="s">
        <v>20</v>
      </c>
      <c r="BB4" s="188" t="s">
        <v>19</v>
      </c>
      <c r="BC4" s="188" t="s">
        <v>21</v>
      </c>
      <c r="BD4" s="188" t="s">
        <v>19</v>
      </c>
      <c r="BE4" s="188" t="s">
        <v>20</v>
      </c>
      <c r="BF4" s="188" t="s">
        <v>19</v>
      </c>
      <c r="BG4" s="188" t="s">
        <v>21</v>
      </c>
      <c r="BH4" s="188" t="s">
        <v>19</v>
      </c>
      <c r="BI4" s="188" t="s">
        <v>20</v>
      </c>
      <c r="BJ4" s="188" t="s">
        <v>19</v>
      </c>
    </row>
    <row r="5" ht="15.75" customHeight="1">
      <c r="B5" s="188" t="s">
        <v>22</v>
      </c>
      <c r="C5" s="262">
        <f t="shared" ref="C5:C9" si="3">G5+K5</f>
        <v>5432458</v>
      </c>
      <c r="D5" s="268"/>
      <c r="E5" s="262" t="str">
        <f t="shared" ref="E5:E9" si="4">I5+M5</f>
        <v>#REF!</v>
      </c>
      <c r="F5" s="268"/>
      <c r="G5" s="189">
        <f>HO!AN14</f>
        <v>0</v>
      </c>
      <c r="H5" s="186"/>
      <c r="I5" s="189">
        <f>HO!AP14</f>
        <v>0</v>
      </c>
      <c r="J5" s="186"/>
      <c r="K5" s="262">
        <f t="shared" ref="K5:K9" si="5">O5+S5+W5+AA5+AE5+AI5+AM5+AQ5+AU5+AY5+BC5+BG5</f>
        <v>5432458</v>
      </c>
      <c r="L5" s="268"/>
      <c r="M5" s="262" t="str">
        <f t="shared" ref="M5:M9" si="6">Q5+U5+Y5+AC5+AG5+AK5+AO5</f>
        <v>#REF!</v>
      </c>
      <c r="N5" s="268"/>
      <c r="O5" s="189">
        <f>'The Table'!AN26</f>
        <v>1172858</v>
      </c>
      <c r="P5" s="186"/>
      <c r="Q5" s="189">
        <f>'The Table'!AP26</f>
        <v>2087294</v>
      </c>
      <c r="R5" s="186"/>
      <c r="S5" s="189">
        <f>Iktara!V22</f>
        <v>0</v>
      </c>
      <c r="T5" s="186"/>
      <c r="U5" s="189" t="str">
        <f t="shared" ref="U5:U8" si="7">#REF!</f>
        <v>#REF!</v>
      </c>
      <c r="V5" s="186"/>
      <c r="W5" s="189">
        <f>'Mg St Colaba'!AN28</f>
        <v>1314301.25</v>
      </c>
      <c r="X5" s="186"/>
      <c r="Y5" s="189">
        <f>'Mg St Colaba'!AP28</f>
        <v>1594600</v>
      </c>
      <c r="Z5" s="186"/>
      <c r="AA5" s="189">
        <f>'Mg St LP'!AN27</f>
        <v>1223996.25</v>
      </c>
      <c r="AB5" s="186"/>
      <c r="AC5" s="189">
        <f>'Mg St LP'!AP27</f>
        <v>1245072</v>
      </c>
      <c r="AD5" s="186"/>
      <c r="AE5" s="189">
        <f>'Mg St Bandra'!AN28</f>
        <v>1721302.5</v>
      </c>
      <c r="AF5" s="186"/>
      <c r="AG5" s="189">
        <f>'Mg St Bandra'!AP28</f>
        <v>1729018</v>
      </c>
      <c r="AH5" s="186"/>
      <c r="AI5" s="189">
        <f>'MSK Events'!J23</f>
        <v>0</v>
      </c>
      <c r="AJ5" s="186"/>
      <c r="AK5" s="189" t="str">
        <f t="shared" ref="AK5:AK8" si="8">#REF!</f>
        <v>#REF!</v>
      </c>
      <c r="AL5" s="186"/>
      <c r="AM5" s="189">
        <f>MSBC!AN24</f>
        <v>0</v>
      </c>
      <c r="AN5" s="186"/>
      <c r="AO5" s="189">
        <f>MSBC!AP24</f>
        <v>0</v>
      </c>
      <c r="AP5" s="186"/>
      <c r="AQ5" s="189">
        <f>Kaspers!AB26</f>
        <v>0</v>
      </c>
      <c r="AR5" s="186"/>
      <c r="AS5" s="189">
        <f>Kaspers!AD26</f>
        <v>1000000</v>
      </c>
      <c r="AT5" s="186"/>
      <c r="AU5" s="189">
        <f>'MSBC Andheri'!J24</f>
        <v>0</v>
      </c>
      <c r="AV5" s="186" t="str">
        <f t="shared" ref="AV5:AW5" si="1">#REF!</f>
        <v>#REF!</v>
      </c>
      <c r="AW5" s="189" t="str">
        <f t="shared" si="1"/>
        <v>#REF!</v>
      </c>
      <c r="AX5" s="186"/>
      <c r="AY5" s="189">
        <f>'MSBC Dahisar'!J22</f>
        <v>0</v>
      </c>
      <c r="AZ5" s="186" t="str">
        <f t="shared" ref="AZ5:BA5" si="2">#REF!</f>
        <v>#REF!</v>
      </c>
      <c r="BA5" s="189" t="str">
        <f t="shared" si="2"/>
        <v>#REF!</v>
      </c>
      <c r="BB5" s="186"/>
      <c r="BC5" s="189"/>
      <c r="BD5" s="186"/>
      <c r="BE5" s="189"/>
      <c r="BF5" s="186"/>
      <c r="BG5" s="83"/>
      <c r="BH5" s="28"/>
      <c r="BI5" s="83"/>
      <c r="BJ5" s="28"/>
    </row>
    <row r="6" ht="15.75" customHeight="1">
      <c r="B6" s="188" t="s">
        <v>23</v>
      </c>
      <c r="C6" s="262">
        <f t="shared" si="3"/>
        <v>7524932</v>
      </c>
      <c r="D6" s="268"/>
      <c r="E6" s="262" t="str">
        <f t="shared" si="4"/>
        <v>#REF!</v>
      </c>
      <c r="F6" s="268"/>
      <c r="G6" s="189">
        <f>HO!AN15</f>
        <v>0</v>
      </c>
      <c r="H6" s="186"/>
      <c r="I6" s="189">
        <f>HO!AP15</f>
        <v>0</v>
      </c>
      <c r="J6" s="186"/>
      <c r="K6" s="262">
        <f t="shared" si="5"/>
        <v>7524932</v>
      </c>
      <c r="L6" s="268"/>
      <c r="M6" s="262" t="str">
        <f t="shared" si="6"/>
        <v>#REF!</v>
      </c>
      <c r="N6" s="268"/>
      <c r="O6" s="189">
        <f>'The Table'!AN27</f>
        <v>4756212</v>
      </c>
      <c r="P6" s="186"/>
      <c r="Q6" s="189">
        <f>'The Table'!AP27</f>
        <v>3659806</v>
      </c>
      <c r="R6" s="186"/>
      <c r="S6" s="189">
        <f>Iktara!V23</f>
        <v>0</v>
      </c>
      <c r="T6" s="186"/>
      <c r="U6" s="189" t="str">
        <f t="shared" si="7"/>
        <v>#REF!</v>
      </c>
      <c r="V6" s="186"/>
      <c r="W6" s="189">
        <f>'Mg St Colaba'!AN29</f>
        <v>823816</v>
      </c>
      <c r="X6" s="186"/>
      <c r="Y6" s="189">
        <f>'Mg St Colaba'!AP29</f>
        <v>1054200</v>
      </c>
      <c r="Z6" s="186"/>
      <c r="AA6" s="189">
        <f>'Mg St LP'!AN28</f>
        <v>0</v>
      </c>
      <c r="AB6" s="186"/>
      <c r="AC6" s="189">
        <f>'Mg St LP'!AP28</f>
        <v>0</v>
      </c>
      <c r="AD6" s="186"/>
      <c r="AE6" s="189">
        <f>'Mg St Bandra'!AN29</f>
        <v>1944904</v>
      </c>
      <c r="AF6" s="186"/>
      <c r="AG6" s="189">
        <f>'Mg St Bandra'!AP29</f>
        <v>2166935</v>
      </c>
      <c r="AH6" s="186"/>
      <c r="AI6" s="189">
        <f>'MSK Events'!J24</f>
        <v>0</v>
      </c>
      <c r="AJ6" s="186"/>
      <c r="AK6" s="189" t="str">
        <f t="shared" si="8"/>
        <v>#REF!</v>
      </c>
      <c r="AL6" s="186"/>
      <c r="AM6" s="189">
        <f>MSBC!AN25</f>
        <v>0</v>
      </c>
      <c r="AN6" s="186"/>
      <c r="AO6" s="189">
        <f>MSBC!AP25</f>
        <v>0</v>
      </c>
      <c r="AP6" s="186"/>
      <c r="AQ6" s="189">
        <f>Kaspers!AB27</f>
        <v>0</v>
      </c>
      <c r="AR6" s="186"/>
      <c r="AS6" s="189" t="str">
        <f>Kaspers!AD27</f>
        <v/>
      </c>
      <c r="AT6" s="186"/>
      <c r="AU6" s="189">
        <f>'MSBC Andheri'!J25</f>
        <v>0</v>
      </c>
      <c r="AV6" s="186"/>
      <c r="AW6" s="189" t="str">
        <f t="shared" ref="AW6:AW8" si="9">#REF!</f>
        <v>#REF!</v>
      </c>
      <c r="AX6" s="186"/>
      <c r="AY6" s="189">
        <f>'MSBC Dahisar'!J23</f>
        <v>0</v>
      </c>
      <c r="AZ6" s="186"/>
      <c r="BA6" s="189" t="str">
        <f t="shared" ref="BA6:BA8" si="10">#REF!</f>
        <v>#REF!</v>
      </c>
      <c r="BB6" s="186"/>
      <c r="BC6" s="189"/>
      <c r="BD6" s="186"/>
      <c r="BE6" s="189"/>
      <c r="BF6" s="186"/>
      <c r="BG6" s="114"/>
      <c r="BH6" s="43"/>
      <c r="BI6" s="114"/>
      <c r="BJ6" s="43"/>
    </row>
    <row r="7" ht="15.75" customHeight="1">
      <c r="B7" s="188" t="s">
        <v>24</v>
      </c>
      <c r="C7" s="262">
        <f t="shared" si="3"/>
        <v>44082031.01</v>
      </c>
      <c r="D7" s="268"/>
      <c r="E7" s="262" t="str">
        <f t="shared" si="4"/>
        <v>#REF!</v>
      </c>
      <c r="F7" s="268"/>
      <c r="G7" s="189">
        <f>HO!AN16</f>
        <v>0</v>
      </c>
      <c r="H7" s="186"/>
      <c r="I7" s="189">
        <f>HO!AP16</f>
        <v>0</v>
      </c>
      <c r="J7" s="186"/>
      <c r="K7" s="262">
        <f t="shared" si="5"/>
        <v>44082031.01</v>
      </c>
      <c r="L7" s="268"/>
      <c r="M7" s="262" t="str">
        <f t="shared" si="6"/>
        <v>#REF!</v>
      </c>
      <c r="N7" s="268"/>
      <c r="O7" s="189">
        <f>'The Table'!AN28</f>
        <v>13904084.75</v>
      </c>
      <c r="P7" s="186"/>
      <c r="Q7" s="189">
        <f>'The Table'!AP28</f>
        <v>9899784</v>
      </c>
      <c r="R7" s="186"/>
      <c r="S7" s="189">
        <f>Iktara!V24</f>
        <v>826772.79</v>
      </c>
      <c r="T7" s="186"/>
      <c r="U7" s="189" t="str">
        <f t="shared" si="7"/>
        <v>#REF!</v>
      </c>
      <c r="V7" s="186"/>
      <c r="W7" s="189">
        <f>'Mg St Colaba'!AN30</f>
        <v>9694493.74</v>
      </c>
      <c r="X7" s="186"/>
      <c r="Y7" s="189">
        <f>'Mg St Colaba'!AP30</f>
        <v>11420761.12</v>
      </c>
      <c r="Z7" s="186"/>
      <c r="AA7" s="189">
        <f>'Mg St LP'!AN29</f>
        <v>6842254.94</v>
      </c>
      <c r="AB7" s="186"/>
      <c r="AC7" s="189">
        <f>'Mg St LP'!AP29</f>
        <v>8037276</v>
      </c>
      <c r="AD7" s="186"/>
      <c r="AE7" s="189">
        <f>'Mg St Bandra'!AN30</f>
        <v>11770491.75</v>
      </c>
      <c r="AF7" s="186"/>
      <c r="AG7" s="189">
        <f>'Mg St Bandra'!AP30</f>
        <v>12138413</v>
      </c>
      <c r="AH7" s="186"/>
      <c r="AI7" s="189">
        <f>'MSK Events'!J25</f>
        <v>0</v>
      </c>
      <c r="AJ7" s="186"/>
      <c r="AK7" s="189" t="str">
        <f t="shared" si="8"/>
        <v>#REF!</v>
      </c>
      <c r="AL7" s="186"/>
      <c r="AM7" s="189">
        <f>MSBC!AN26</f>
        <v>467188.27</v>
      </c>
      <c r="AN7" s="186"/>
      <c r="AO7" s="189">
        <f>MSBC!AP26</f>
        <v>88200</v>
      </c>
      <c r="AP7" s="186"/>
      <c r="AQ7" s="189">
        <f>Kaspers!AB28</f>
        <v>0</v>
      </c>
      <c r="AR7" s="186"/>
      <c r="AS7" s="189">
        <f>Kaspers!AD28</f>
        <v>4000000</v>
      </c>
      <c r="AT7" s="186"/>
      <c r="AU7" s="189">
        <f>'MSBC Andheri'!J26</f>
        <v>320362.8</v>
      </c>
      <c r="AV7" s="186"/>
      <c r="AW7" s="189" t="str">
        <f t="shared" si="9"/>
        <v>#REF!</v>
      </c>
      <c r="AX7" s="186"/>
      <c r="AY7" s="189">
        <f>'MSBC Dahisar'!J24</f>
        <v>158049.45</v>
      </c>
      <c r="AZ7" s="186"/>
      <c r="BA7" s="189" t="str">
        <f t="shared" si="10"/>
        <v>#REF!</v>
      </c>
      <c r="BB7" s="186"/>
      <c r="BC7" s="189">
        <f>'MSBC Juhu  Goregoan'!J23</f>
        <v>98332.52</v>
      </c>
      <c r="BD7" s="186"/>
      <c r="BE7" s="189"/>
      <c r="BF7" s="186"/>
      <c r="BG7" s="114"/>
      <c r="BH7" s="43"/>
      <c r="BI7" s="114"/>
      <c r="BJ7" s="43"/>
    </row>
    <row r="8" ht="15.75" customHeight="1">
      <c r="B8" s="188" t="s">
        <v>25</v>
      </c>
      <c r="C8" s="262">
        <f t="shared" si="3"/>
        <v>4040705</v>
      </c>
      <c r="D8" s="268"/>
      <c r="E8" s="262" t="str">
        <f t="shared" si="4"/>
        <v>#REF!</v>
      </c>
      <c r="F8" s="268"/>
      <c r="G8" s="265" t="str">
        <f>HO!AN18</f>
        <v/>
      </c>
      <c r="H8" s="186"/>
      <c r="I8" s="265" t="str">
        <f>HO!AP18</f>
        <v/>
      </c>
      <c r="J8" s="186"/>
      <c r="K8" s="262">
        <f t="shared" si="5"/>
        <v>4040705</v>
      </c>
      <c r="L8" s="268"/>
      <c r="M8" s="262" t="str">
        <f t="shared" si="6"/>
        <v>#REF!</v>
      </c>
      <c r="N8" s="268"/>
      <c r="O8" s="189">
        <f>'The Table'!AN30</f>
        <v>1743352</v>
      </c>
      <c r="P8" s="186"/>
      <c r="Q8" s="265">
        <f>'The Table'!AP30</f>
        <v>1272092</v>
      </c>
      <c r="R8" s="186"/>
      <c r="S8" s="186" t="str">
        <f>Iktara!V26</f>
        <v/>
      </c>
      <c r="T8" s="186"/>
      <c r="U8" s="186" t="str">
        <f t="shared" si="7"/>
        <v>#REF!</v>
      </c>
      <c r="V8" s="186"/>
      <c r="W8" s="189">
        <f>'Mg St Colaba'!AN32</f>
        <v>825385</v>
      </c>
      <c r="X8" s="186"/>
      <c r="Y8" s="189">
        <f>'Mg St Colaba'!AP32</f>
        <v>1007380.576</v>
      </c>
      <c r="Z8" s="186"/>
      <c r="AA8" s="189">
        <f>'Mg St LP'!AN31</f>
        <v>347826</v>
      </c>
      <c r="AB8" s="186"/>
      <c r="AC8" s="189">
        <f>'Mg St LP'!AP31</f>
        <v>552299.706</v>
      </c>
      <c r="AD8" s="186"/>
      <c r="AE8" s="189">
        <f>'Mg St Bandra'!AN32</f>
        <v>1124142</v>
      </c>
      <c r="AF8" s="186"/>
      <c r="AG8" s="189">
        <f>'Mg St Bandra'!AP32</f>
        <v>1443092.94</v>
      </c>
      <c r="AH8" s="186"/>
      <c r="AI8" s="186" t="str">
        <f>'MSK Events'!J27</f>
        <v/>
      </c>
      <c r="AJ8" s="186"/>
      <c r="AK8" s="186" t="str">
        <f t="shared" si="8"/>
        <v>#REF!</v>
      </c>
      <c r="AL8" s="186"/>
      <c r="AM8" s="189" t="str">
        <f>MSBC!AN28</f>
        <v/>
      </c>
      <c r="AN8" s="186"/>
      <c r="AO8" s="265" t="str">
        <f>MSBC!AP28</f>
        <v/>
      </c>
      <c r="AP8" s="186"/>
      <c r="AQ8" s="265" t="str">
        <f>Kaspers!AB30</f>
        <v/>
      </c>
      <c r="AR8" s="186"/>
      <c r="AS8" s="265" t="str">
        <f>Kaspers!AD30</f>
        <v/>
      </c>
      <c r="AT8" s="186"/>
      <c r="AU8" s="189" t="str">
        <f>'MSBC Andheri'!J27</f>
        <v/>
      </c>
      <c r="AV8" s="186"/>
      <c r="AW8" s="186" t="str">
        <f t="shared" si="9"/>
        <v>#REF!</v>
      </c>
      <c r="AX8" s="186"/>
      <c r="AY8" s="186" t="str">
        <f>'MSBC Dahisar'!J25</f>
        <v/>
      </c>
      <c r="AZ8" s="186"/>
      <c r="BA8" s="186" t="str">
        <f t="shared" si="10"/>
        <v>#REF!</v>
      </c>
      <c r="BB8" s="186"/>
      <c r="BC8" s="186"/>
      <c r="BD8" s="186"/>
      <c r="BE8" s="186"/>
      <c r="BF8" s="186"/>
      <c r="BG8" s="114"/>
      <c r="BH8" s="43"/>
      <c r="BI8" s="114"/>
      <c r="BJ8" s="43"/>
    </row>
    <row r="9" ht="15.75" customHeight="1">
      <c r="B9" s="188" t="s">
        <v>169</v>
      </c>
      <c r="C9" s="262">
        <f t="shared" si="3"/>
        <v>52200</v>
      </c>
      <c r="D9" s="268"/>
      <c r="E9" s="262">
        <f t="shared" si="4"/>
        <v>0</v>
      </c>
      <c r="F9" s="268"/>
      <c r="G9" s="265">
        <f>HO!AN19</f>
        <v>0</v>
      </c>
      <c r="H9" s="186"/>
      <c r="I9" s="265">
        <f>HO!AP19</f>
        <v>0</v>
      </c>
      <c r="J9" s="186"/>
      <c r="K9" s="262">
        <f t="shared" si="5"/>
        <v>52200</v>
      </c>
      <c r="L9" s="268"/>
      <c r="M9" s="262">
        <f t="shared" si="6"/>
        <v>0</v>
      </c>
      <c r="N9" s="268"/>
      <c r="O9" s="189">
        <f>'The Table'!AN22+'The Table'!AN23+'The Table'!AN24</f>
        <v>18000</v>
      </c>
      <c r="P9" s="186"/>
      <c r="Q9" s="189">
        <f>'The Table'!AP22+'The Table'!AP23+'The Table'!AP24</f>
        <v>0</v>
      </c>
      <c r="R9" s="186"/>
      <c r="S9" s="267">
        <v>0.0</v>
      </c>
      <c r="T9" s="186"/>
      <c r="U9" s="267">
        <v>0.0</v>
      </c>
      <c r="V9" s="186"/>
      <c r="W9" s="189">
        <f>'Mg St Colaba'!AN24+'Mg St Colaba'!AN25+'Mg St Colaba'!AN26</f>
        <v>15600</v>
      </c>
      <c r="X9" s="186"/>
      <c r="Y9" s="189">
        <f>'Mg St Colaba'!AP24+'Mg St Colaba'!AP25+'Mg St Colaba'!AP26</f>
        <v>0</v>
      </c>
      <c r="Z9" s="186"/>
      <c r="AA9" s="189">
        <f>'Mg St LP'!AN23+'Mg St LP'!AN24+'Mg St LP'!AN25</f>
        <v>6600</v>
      </c>
      <c r="AB9" s="186"/>
      <c r="AC9" s="189">
        <f>'Mg St LP'!AP23+'Mg St LP'!AP24+'Mg St LP'!AP25</f>
        <v>0</v>
      </c>
      <c r="AD9" s="186"/>
      <c r="AE9" s="189">
        <f>'Mg St Bandra'!AN24+'Mg St Bandra'!AN25+'Mg St Bandra'!AN26</f>
        <v>12000</v>
      </c>
      <c r="AF9" s="186"/>
      <c r="AG9" s="266">
        <v>0.0</v>
      </c>
      <c r="AH9" s="186"/>
      <c r="AI9" s="186"/>
      <c r="AJ9" s="186"/>
      <c r="AK9" s="186"/>
      <c r="AL9" s="186"/>
      <c r="AM9" s="189"/>
      <c r="AN9" s="186"/>
      <c r="AO9" s="186"/>
      <c r="AP9" s="186"/>
      <c r="AQ9" s="186"/>
      <c r="AR9" s="186"/>
      <c r="AS9" s="186"/>
      <c r="AT9" s="186"/>
      <c r="AU9" s="266">
        <v>0.0</v>
      </c>
      <c r="AV9" s="186"/>
      <c r="AW9" s="267">
        <v>0.0</v>
      </c>
      <c r="AX9" s="186"/>
      <c r="AY9" s="267">
        <v>0.0</v>
      </c>
      <c r="AZ9" s="186"/>
      <c r="BA9" s="267">
        <v>0.0</v>
      </c>
      <c r="BB9" s="186"/>
      <c r="BC9" s="267"/>
      <c r="BD9" s="186"/>
      <c r="BE9" s="267"/>
      <c r="BF9" s="186"/>
      <c r="BG9" s="62"/>
      <c r="BH9" s="43"/>
      <c r="BI9" s="114"/>
      <c r="BJ9" s="43"/>
    </row>
    <row r="10" ht="15.75" customHeight="1">
      <c r="B10" s="188" t="s">
        <v>27</v>
      </c>
      <c r="C10" s="262">
        <f>SUM(C5:C9)</f>
        <v>61132326.01</v>
      </c>
      <c r="D10" s="268"/>
      <c r="E10" s="262" t="str">
        <f>SUM(E5:E9)</f>
        <v>#REF!</v>
      </c>
      <c r="F10" s="268"/>
      <c r="G10" s="189">
        <f>SUM(G5:G9)</f>
        <v>0</v>
      </c>
      <c r="H10" s="186"/>
      <c r="I10" s="189">
        <f>SUM(I5:I9)</f>
        <v>0</v>
      </c>
      <c r="J10" s="186"/>
      <c r="K10" s="262">
        <f>SUM(K5:K9)</f>
        <v>61132326.01</v>
      </c>
      <c r="L10" s="268"/>
      <c r="M10" s="262" t="str">
        <f>SUM(M5:M9)</f>
        <v>#REF!</v>
      </c>
      <c r="N10" s="268"/>
      <c r="O10" s="189">
        <f>SUM(O5:O9)</f>
        <v>21594506.75</v>
      </c>
      <c r="P10" s="186"/>
      <c r="Q10" s="189">
        <f>SUM(Q5:Q9)</f>
        <v>16918976</v>
      </c>
      <c r="R10" s="186"/>
      <c r="S10" s="189">
        <f>SUM(S5:S9)</f>
        <v>826772.79</v>
      </c>
      <c r="T10" s="186"/>
      <c r="U10" s="189" t="str">
        <f>SUM(U5:U9)</f>
        <v>#REF!</v>
      </c>
      <c r="V10" s="186"/>
      <c r="W10" s="189">
        <f>SUM(W5:W9)</f>
        <v>12673595.99</v>
      </c>
      <c r="X10" s="186"/>
      <c r="Y10" s="189">
        <f>SUM(Y5:Y8)</f>
        <v>15076941.7</v>
      </c>
      <c r="Z10" s="186"/>
      <c r="AA10" s="189">
        <f>SUM(AA5:AA9)</f>
        <v>8420677.19</v>
      </c>
      <c r="AB10" s="186"/>
      <c r="AC10" s="189">
        <f>SUM(AC5:AC8)</f>
        <v>9834647.706</v>
      </c>
      <c r="AD10" s="186"/>
      <c r="AE10" s="189">
        <f>SUM(AE5:AE9)</f>
        <v>16572840.25</v>
      </c>
      <c r="AF10" s="186"/>
      <c r="AG10" s="189">
        <f>SUM(AG5:AG9)</f>
        <v>17477458.94</v>
      </c>
      <c r="AH10" s="186"/>
      <c r="AI10" s="189">
        <f>SUM(AI5:AI8)</f>
        <v>0</v>
      </c>
      <c r="AJ10" s="186"/>
      <c r="AK10" s="189" t="str">
        <f>SUM(AK5:AK8)</f>
        <v>#REF!</v>
      </c>
      <c r="AL10" s="186"/>
      <c r="AM10" s="189">
        <f>SUM(AM5:AM8)</f>
        <v>467188.27</v>
      </c>
      <c r="AN10" s="186"/>
      <c r="AO10" s="189">
        <f>SUM(AO5:AO8)</f>
        <v>88200</v>
      </c>
      <c r="AP10" s="186"/>
      <c r="AQ10" s="189">
        <f>SUM(AQ5:AQ8)</f>
        <v>0</v>
      </c>
      <c r="AR10" s="186"/>
      <c r="AS10" s="189">
        <f>SUM(AS5:AS8)</f>
        <v>5000000</v>
      </c>
      <c r="AT10" s="186"/>
      <c r="AU10" s="262">
        <f>SUM(AU5:AU9)</f>
        <v>320362.8</v>
      </c>
      <c r="AV10" s="188"/>
      <c r="AW10" s="262" t="str">
        <f>SUM(AW5:AW9)</f>
        <v>#REF!</v>
      </c>
      <c r="AX10" s="188"/>
      <c r="AY10" s="262">
        <f>SUM(AY5:AY9)</f>
        <v>158049.45</v>
      </c>
      <c r="AZ10" s="188"/>
      <c r="BA10" s="262" t="str">
        <f>SUM(BA5:BA9)</f>
        <v>#REF!</v>
      </c>
      <c r="BB10" s="188"/>
      <c r="BC10" s="285">
        <f>SUM(BC5:BC9)</f>
        <v>98332.52</v>
      </c>
      <c r="BD10" s="286"/>
      <c r="BE10" s="285"/>
      <c r="BF10" s="286"/>
      <c r="BG10" s="146">
        <f>SUM(BG5:BG9)</f>
        <v>0</v>
      </c>
      <c r="BH10" s="188"/>
      <c r="BI10" s="262">
        <f>SUM(BI5:BI9)</f>
        <v>0</v>
      </c>
      <c r="BJ10" s="188"/>
    </row>
    <row r="11" ht="15.75" customHeight="1">
      <c r="B11" s="188"/>
      <c r="C11" s="268"/>
      <c r="D11" s="268"/>
      <c r="E11" s="268"/>
      <c r="F11" s="268"/>
      <c r="G11" s="186"/>
      <c r="H11" s="186"/>
      <c r="I11" s="186"/>
      <c r="J11" s="186"/>
      <c r="K11" s="268"/>
      <c r="L11" s="268"/>
      <c r="M11" s="268"/>
      <c r="N11" s="268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  <c r="AA11" s="186"/>
      <c r="AB11" s="186"/>
      <c r="AC11" s="186"/>
      <c r="AD11" s="186"/>
      <c r="AE11" s="186"/>
      <c r="AF11" s="186"/>
      <c r="AG11" s="186"/>
      <c r="AH11" s="186"/>
      <c r="AI11" s="186"/>
      <c r="AJ11" s="186"/>
      <c r="AK11" s="186"/>
      <c r="AL11" s="186"/>
      <c r="AM11" s="186"/>
      <c r="AN11" s="186"/>
      <c r="AO11" s="186"/>
      <c r="AP11" s="186"/>
      <c r="AQ11" s="186"/>
      <c r="AR11" s="186"/>
      <c r="AS11" s="186"/>
      <c r="AT11" s="186"/>
      <c r="AU11" s="186"/>
      <c r="AV11" s="186"/>
      <c r="AW11" s="186"/>
      <c r="AX11" s="186"/>
      <c r="AY11" s="186"/>
      <c r="AZ11" s="186"/>
      <c r="BA11" s="186"/>
      <c r="BB11" s="186"/>
      <c r="BC11" s="186"/>
      <c r="BD11" s="186"/>
      <c r="BE11" s="186"/>
      <c r="BF11" s="186"/>
      <c r="BG11" s="83"/>
      <c r="BH11" s="43"/>
      <c r="BI11" s="114"/>
      <c r="BJ11" s="43"/>
    </row>
    <row r="12" ht="15.75" customHeight="1">
      <c r="B12" s="188" t="s">
        <v>29</v>
      </c>
      <c r="C12" s="262">
        <f t="shared" ref="C12:C13" si="13">G12+K12</f>
        <v>19360333.83</v>
      </c>
      <c r="D12" s="268"/>
      <c r="E12" s="262" t="str">
        <f t="shared" ref="E12:E13" si="14">I12+M12</f>
        <v>#REF!</v>
      </c>
      <c r="F12" s="268"/>
      <c r="G12" s="265">
        <f>HO!AN32</f>
        <v>0</v>
      </c>
      <c r="H12" s="186"/>
      <c r="I12" s="265">
        <f>HO!AP32</f>
        <v>0</v>
      </c>
      <c r="J12" s="186"/>
      <c r="K12" s="262">
        <f t="shared" ref="K12:K13" si="15">O12+S12+W12+AA12+AE12+AI12+AM12+AQ12+AU12+AY12+BC12+BG12</f>
        <v>19360333.83</v>
      </c>
      <c r="L12" s="268"/>
      <c r="M12" s="262" t="str">
        <f t="shared" ref="M12:M13" si="16">Q12+U12+Y12+AC12+AG12+AK12+AO12</f>
        <v>#REF!</v>
      </c>
      <c r="N12" s="268"/>
      <c r="O12" s="189">
        <f>'The Table'!AN41</f>
        <v>6534411.426</v>
      </c>
      <c r="P12" s="186"/>
      <c r="Q12" s="189">
        <f>'The Table'!AP41</f>
        <v>5621534.3</v>
      </c>
      <c r="R12" s="186"/>
      <c r="S12" s="189">
        <f>Iktara!V38</f>
        <v>313385.168</v>
      </c>
      <c r="T12" s="186"/>
      <c r="U12" s="189" t="str">
        <f t="shared" ref="U12:U13" si="17">#REF!</f>
        <v>#REF!</v>
      </c>
      <c r="V12" s="186"/>
      <c r="W12" s="189">
        <f>'Mg St Colaba'!AN51</f>
        <v>4085235.209</v>
      </c>
      <c r="X12" s="186"/>
      <c r="Y12" s="189">
        <f>'Mg St Colaba'!AP51</f>
        <v>4152573.912</v>
      </c>
      <c r="Z12" s="186"/>
      <c r="AA12" s="189">
        <f>'Mg St LP'!AN52</f>
        <v>2651495.466</v>
      </c>
      <c r="AB12" s="186"/>
      <c r="AC12" s="189">
        <f>'Mg St LP'!AP52</f>
        <v>2365903.207</v>
      </c>
      <c r="AD12" s="186"/>
      <c r="AE12" s="189">
        <f>'Mg St Bandra'!AN51</f>
        <v>4857557.993</v>
      </c>
      <c r="AF12" s="186"/>
      <c r="AG12" s="189">
        <f>'Mg St Bandra'!AP51</f>
        <v>5105837.635</v>
      </c>
      <c r="AH12" s="186"/>
      <c r="AI12" s="186">
        <f>'MSK Events'!J46</f>
        <v>0</v>
      </c>
      <c r="AJ12" s="186"/>
      <c r="AK12" s="186" t="str">
        <f t="shared" ref="AK12:AK13" si="18">#REF!</f>
        <v>#REF!</v>
      </c>
      <c r="AL12" s="186"/>
      <c r="AM12" s="189">
        <f>MSBC!AN47</f>
        <v>301357.9607</v>
      </c>
      <c r="AN12" s="186"/>
      <c r="AO12" s="265">
        <f>MSBC!AP47</f>
        <v>0</v>
      </c>
      <c r="AP12" s="186"/>
      <c r="AQ12" s="265">
        <f>Kaspers!AB49</f>
        <v>0</v>
      </c>
      <c r="AR12" s="186"/>
      <c r="AS12" s="189">
        <f>Kaspers!AD49</f>
        <v>2143500</v>
      </c>
      <c r="AT12" s="186"/>
      <c r="AU12" s="189">
        <f>'MSBC Andheri'!J47</f>
        <v>231737.3545</v>
      </c>
      <c r="AV12" s="186" t="str">
        <f t="shared" ref="AV12:AW12" si="11">#REF!</f>
        <v>#REF!</v>
      </c>
      <c r="AW12" s="282" t="str">
        <f t="shared" si="11"/>
        <v>#REF!</v>
      </c>
      <c r="AX12" s="186"/>
      <c r="AY12" s="189">
        <f>'MSBC Dahisar'!J45</f>
        <v>202857.488</v>
      </c>
      <c r="AZ12" s="186" t="str">
        <f t="shared" ref="AZ12:BA12" si="12">#REF!</f>
        <v>#REF!</v>
      </c>
      <c r="BA12" s="186" t="str">
        <f t="shared" si="12"/>
        <v>#REF!</v>
      </c>
      <c r="BB12" s="186"/>
      <c r="BC12" s="189">
        <f>'MSBC Juhu  Goregoan'!J36</f>
        <v>182295.7607</v>
      </c>
      <c r="BD12" s="186"/>
      <c r="BE12" s="186"/>
      <c r="BF12" s="186"/>
      <c r="BG12" s="114" t="str">
        <f>'LOUD MOUTH'!J47</f>
        <v/>
      </c>
      <c r="BH12" s="28"/>
      <c r="BI12" s="83"/>
      <c r="BJ12" s="28"/>
    </row>
    <row r="13" ht="15.75" customHeight="1">
      <c r="B13" s="188" t="s">
        <v>30</v>
      </c>
      <c r="C13" s="262">
        <f t="shared" si="13"/>
        <v>743602</v>
      </c>
      <c r="D13" s="268"/>
      <c r="E13" s="262" t="str">
        <f t="shared" si="14"/>
        <v>#REF!</v>
      </c>
      <c r="F13" s="268"/>
      <c r="G13" s="265" t="str">
        <f>HO!AN33</f>
        <v/>
      </c>
      <c r="H13" s="186"/>
      <c r="I13" s="265" t="str">
        <f>HO!AP33</f>
        <v/>
      </c>
      <c r="J13" s="186"/>
      <c r="K13" s="262">
        <f t="shared" si="15"/>
        <v>743602</v>
      </c>
      <c r="L13" s="268"/>
      <c r="M13" s="262" t="str">
        <f t="shared" si="16"/>
        <v>#REF!</v>
      </c>
      <c r="N13" s="268"/>
      <c r="O13" s="189">
        <f>'The Table'!AN42</f>
        <v>41995</v>
      </c>
      <c r="P13" s="186"/>
      <c r="Q13" s="189">
        <f>'The Table'!AP42</f>
        <v>48505.3404</v>
      </c>
      <c r="R13" s="186"/>
      <c r="S13" s="189">
        <f>Iktara!V39</f>
        <v>32820</v>
      </c>
      <c r="T13" s="186"/>
      <c r="U13" s="189" t="str">
        <f t="shared" si="17"/>
        <v>#REF!</v>
      </c>
      <c r="V13" s="186"/>
      <c r="W13" s="189">
        <f>'Mg St Colaba'!AN52</f>
        <v>165491</v>
      </c>
      <c r="X13" s="186"/>
      <c r="Y13" s="189">
        <f>'Mg St Colaba'!AP52</f>
        <v>132677.0869</v>
      </c>
      <c r="Z13" s="186"/>
      <c r="AA13" s="189">
        <f>'Mg St LP'!AN53</f>
        <v>211832</v>
      </c>
      <c r="AB13" s="186"/>
      <c r="AC13" s="189">
        <f>'Mg St LP'!AP53</f>
        <v>94679.9496</v>
      </c>
      <c r="AD13" s="186"/>
      <c r="AE13" s="189">
        <f>'Mg St Bandra'!AN52</f>
        <v>174569</v>
      </c>
      <c r="AF13" s="186"/>
      <c r="AG13" s="189">
        <f>'Mg St Bandra'!AP52</f>
        <v>96126.02417</v>
      </c>
      <c r="AH13" s="186"/>
      <c r="AI13" s="186" t="str">
        <f>'MSK Events'!J47</f>
        <v/>
      </c>
      <c r="AJ13" s="186"/>
      <c r="AK13" s="186" t="str">
        <f t="shared" si="18"/>
        <v>#REF!</v>
      </c>
      <c r="AL13" s="186"/>
      <c r="AM13" s="189">
        <f>MSBC!AN48</f>
        <v>101123</v>
      </c>
      <c r="AN13" s="186"/>
      <c r="AO13" s="265" t="str">
        <f>MSBC!AP48</f>
        <v/>
      </c>
      <c r="AP13" s="186"/>
      <c r="AQ13" s="265" t="str">
        <f>Kaspers!AB50</f>
        <v/>
      </c>
      <c r="AR13" s="186"/>
      <c r="AS13" s="189">
        <f>Kaspers!AD50</f>
        <v>15500</v>
      </c>
      <c r="AT13" s="186"/>
      <c r="AU13" s="189">
        <f>'MSBC Andheri'!J48</f>
        <v>7218</v>
      </c>
      <c r="AV13" s="186"/>
      <c r="AW13" s="282" t="str">
        <f>#REF!</f>
        <v>#REF!</v>
      </c>
      <c r="AX13" s="186"/>
      <c r="AY13" s="189">
        <f>'MSBC Dahisar'!J46</f>
        <v>8554</v>
      </c>
      <c r="AZ13" s="186"/>
      <c r="BA13" s="186" t="str">
        <f>#REF!</f>
        <v>#REF!</v>
      </c>
      <c r="BB13" s="186"/>
      <c r="BC13" s="189">
        <f>'MSBC Juhu  Goregoan'!J37</f>
        <v>0</v>
      </c>
      <c r="BD13" s="186"/>
      <c r="BE13" s="186"/>
      <c r="BF13" s="186"/>
      <c r="BG13" s="114" t="str">
        <f>'LOUD MOUTH'!J48</f>
        <v/>
      </c>
      <c r="BH13" s="43"/>
      <c r="BI13" s="114"/>
      <c r="BJ13" s="43"/>
    </row>
    <row r="14" ht="15.75" customHeight="1">
      <c r="B14" s="188" t="s">
        <v>31</v>
      </c>
      <c r="C14" s="262">
        <f>C12+C13</f>
        <v>20103935.83</v>
      </c>
      <c r="D14" s="268"/>
      <c r="E14" s="262" t="str">
        <f>E12+E13</f>
        <v>#REF!</v>
      </c>
      <c r="F14" s="268"/>
      <c r="G14" s="265">
        <f>G12+G13</f>
        <v>0</v>
      </c>
      <c r="H14" s="186"/>
      <c r="I14" s="265">
        <f>I12+I13</f>
        <v>0</v>
      </c>
      <c r="J14" s="186"/>
      <c r="K14" s="262">
        <f>sum(K12:K13)</f>
        <v>20103935.83</v>
      </c>
      <c r="L14" s="268"/>
      <c r="M14" s="268"/>
      <c r="N14" s="268"/>
      <c r="O14" s="189">
        <f>O12+O13</f>
        <v>6576406.426</v>
      </c>
      <c r="P14" s="186"/>
      <c r="Q14" s="189">
        <f>Q12+Q13</f>
        <v>5670039.64</v>
      </c>
      <c r="R14" s="186"/>
      <c r="S14" s="189">
        <f>S12+S13</f>
        <v>346205.168</v>
      </c>
      <c r="T14" s="186"/>
      <c r="U14" s="189" t="str">
        <f>U12+U13</f>
        <v>#REF!</v>
      </c>
      <c r="V14" s="186"/>
      <c r="W14" s="189">
        <f>W12+W13</f>
        <v>4250726.209</v>
      </c>
      <c r="X14" s="186"/>
      <c r="Y14" s="189">
        <f>Y12+Y13</f>
        <v>4285250.999</v>
      </c>
      <c r="Z14" s="186"/>
      <c r="AA14" s="189">
        <f>AA12+AA13</f>
        <v>2863327.466</v>
      </c>
      <c r="AB14" s="186"/>
      <c r="AC14" s="189">
        <f>AC12+AC13</f>
        <v>2460583.157</v>
      </c>
      <c r="AD14" s="186"/>
      <c r="AE14" s="189">
        <f>SUM(AE12:AE13)</f>
        <v>5032126.993</v>
      </c>
      <c r="AF14" s="186"/>
      <c r="AG14" s="189">
        <f>SUM(AG12:AG13)</f>
        <v>5201963.66</v>
      </c>
      <c r="AH14" s="186"/>
      <c r="AI14" s="186">
        <f>SUM(AI12:AI13)</f>
        <v>0</v>
      </c>
      <c r="AJ14" s="186"/>
      <c r="AK14" s="186" t="str">
        <f>SUM(AK12:AK13)</f>
        <v>#REF!</v>
      </c>
      <c r="AL14" s="186"/>
      <c r="AM14" s="189">
        <f>SUM(AM12:AM13)</f>
        <v>402480.9607</v>
      </c>
      <c r="AN14" s="186"/>
      <c r="AO14" s="189">
        <f>SUM(AO12:AO13)</f>
        <v>0</v>
      </c>
      <c r="AP14" s="186"/>
      <c r="AQ14" s="265">
        <f>SUM(AQ12:AQ13)</f>
        <v>0</v>
      </c>
      <c r="AR14" s="186"/>
      <c r="AS14" s="189">
        <f>SUM(AS12:AS13)</f>
        <v>2159000</v>
      </c>
      <c r="AT14" s="186"/>
      <c r="AU14" s="190">
        <f>SUM(AU12:AU13)</f>
        <v>238955.3545</v>
      </c>
      <c r="AV14" s="188"/>
      <c r="AW14" s="287" t="str">
        <f>SUM(AW12:AW13)</f>
        <v>#REF!</v>
      </c>
      <c r="AX14" s="188"/>
      <c r="AY14" s="190">
        <f>SUM(AY12:AY13)</f>
        <v>211411.488</v>
      </c>
      <c r="AZ14" s="188"/>
      <c r="BA14" s="188" t="str">
        <f>SUM(BA12:BA13)</f>
        <v>#REF!</v>
      </c>
      <c r="BB14" s="188"/>
      <c r="BC14" s="190">
        <f>SUM(BC12:BC13)</f>
        <v>182295.7607</v>
      </c>
      <c r="BD14" s="188"/>
      <c r="BE14" s="188">
        <f>SUM(BE12:BE13)</f>
        <v>0</v>
      </c>
      <c r="BF14" s="188"/>
      <c r="BG14" s="146">
        <f>SUM(BG12:BG13)</f>
        <v>0</v>
      </c>
      <c r="BH14" s="188"/>
      <c r="BI14" s="188"/>
      <c r="BJ14" s="188"/>
    </row>
    <row r="15" ht="15.75" customHeight="1">
      <c r="B15" s="188"/>
      <c r="C15" s="268"/>
      <c r="D15" s="268"/>
      <c r="E15" s="268"/>
      <c r="F15" s="268"/>
      <c r="G15" s="186"/>
      <c r="H15" s="186"/>
      <c r="I15" s="186"/>
      <c r="J15" s="186"/>
      <c r="K15" s="268"/>
      <c r="L15" s="268"/>
      <c r="M15" s="268"/>
      <c r="N15" s="268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  <c r="AA15" s="186"/>
      <c r="AB15" s="186"/>
      <c r="AC15" s="186"/>
      <c r="AD15" s="186"/>
      <c r="AE15" s="186"/>
      <c r="AF15" s="186"/>
      <c r="AG15" s="186"/>
      <c r="AH15" s="186"/>
      <c r="AI15" s="186"/>
      <c r="AJ15" s="186"/>
      <c r="AK15" s="186"/>
      <c r="AL15" s="186"/>
      <c r="AM15" s="186"/>
      <c r="AN15" s="186"/>
      <c r="AO15" s="186"/>
      <c r="AP15" s="186"/>
      <c r="AQ15" s="186"/>
      <c r="AR15" s="186"/>
      <c r="AS15" s="186"/>
      <c r="AT15" s="186"/>
      <c r="AU15" s="189">
        <f>'MSBC Andheri'!J60</f>
        <v>0</v>
      </c>
      <c r="AV15" s="186" t="str">
        <f t="shared" ref="AV15:AW15" si="19">#REF!</f>
        <v>#REF!</v>
      </c>
      <c r="AW15" s="186" t="str">
        <f t="shared" si="19"/>
        <v>#REF!</v>
      </c>
      <c r="AX15" s="186"/>
      <c r="AY15" s="189">
        <f>'MSBC Dahisar'!J58</f>
        <v>0</v>
      </c>
      <c r="AZ15" s="186" t="str">
        <f t="shared" ref="AZ15:BA15" si="20">#REF!</f>
        <v>#REF!</v>
      </c>
      <c r="BA15" s="186" t="str">
        <f t="shared" si="20"/>
        <v>#REF!</v>
      </c>
      <c r="BB15" s="186"/>
      <c r="BC15" s="189">
        <f>'MSBC Dahisar'!J58</f>
        <v>0</v>
      </c>
      <c r="BD15" s="186"/>
      <c r="BE15" s="186"/>
      <c r="BF15" s="186"/>
      <c r="BG15" s="96"/>
      <c r="BH15" s="55"/>
      <c r="BI15" s="62"/>
      <c r="BJ15" s="55"/>
    </row>
    <row r="16" ht="15.75" customHeight="1">
      <c r="B16" s="188" t="s">
        <v>33</v>
      </c>
      <c r="C16" s="262">
        <f>C10-C14</f>
        <v>41028390.18</v>
      </c>
      <c r="D16" s="268"/>
      <c r="E16" s="262" t="str">
        <f>E10-E14</f>
        <v>#REF!</v>
      </c>
      <c r="F16" s="268"/>
      <c r="G16" s="189">
        <f>G10-G14</f>
        <v>0</v>
      </c>
      <c r="H16" s="186"/>
      <c r="I16" s="189">
        <f>I10-I14</f>
        <v>0</v>
      </c>
      <c r="J16" s="186"/>
      <c r="K16" s="262">
        <f>K10-K14</f>
        <v>41028390.18</v>
      </c>
      <c r="L16" s="268"/>
      <c r="M16" s="262" t="str">
        <f>Q16+U16+Y16+AC16+AG16+AK16+AO16</f>
        <v>#REF!</v>
      </c>
      <c r="N16" s="268"/>
      <c r="O16" s="189">
        <f>O10-O14</f>
        <v>15018100.32</v>
      </c>
      <c r="P16" s="186"/>
      <c r="Q16" s="189">
        <f>Q10-Q14</f>
        <v>11248936.36</v>
      </c>
      <c r="R16" s="186"/>
      <c r="S16" s="189">
        <f>S10-S14</f>
        <v>480567.622</v>
      </c>
      <c r="T16" s="186"/>
      <c r="U16" s="189" t="str">
        <f>U10-U14</f>
        <v>#REF!</v>
      </c>
      <c r="V16" s="186"/>
      <c r="W16" s="189">
        <f>W10-W14</f>
        <v>8422869.781</v>
      </c>
      <c r="X16" s="186"/>
      <c r="Y16" s="189">
        <f>Y10-Y14</f>
        <v>10791690.7</v>
      </c>
      <c r="Z16" s="186"/>
      <c r="AA16" s="189">
        <f>AA10-AA14</f>
        <v>5557349.724</v>
      </c>
      <c r="AB16" s="186"/>
      <c r="AC16" s="189">
        <f>AC10-AC14</f>
        <v>7374064.549</v>
      </c>
      <c r="AD16" s="186"/>
      <c r="AE16" s="189">
        <f>AE10-AE14</f>
        <v>11540713.26</v>
      </c>
      <c r="AF16" s="186"/>
      <c r="AG16" s="189">
        <f>AG10-AG14</f>
        <v>12275495.28</v>
      </c>
      <c r="AH16" s="186"/>
      <c r="AI16" s="189">
        <f>AI10-AI14</f>
        <v>0</v>
      </c>
      <c r="AJ16" s="186"/>
      <c r="AK16" s="189" t="str">
        <f>AK10-AK14</f>
        <v>#REF!</v>
      </c>
      <c r="AL16" s="186"/>
      <c r="AM16" s="189">
        <f>AM10-AM14</f>
        <v>64707.30929</v>
      </c>
      <c r="AN16" s="186"/>
      <c r="AO16" s="189">
        <f>AO10-AO14</f>
        <v>88200</v>
      </c>
      <c r="AP16" s="186"/>
      <c r="AQ16" s="189">
        <f>AQ10-AQ14</f>
        <v>0</v>
      </c>
      <c r="AR16" s="186"/>
      <c r="AS16" s="189">
        <f>AS10-AS14</f>
        <v>2841000</v>
      </c>
      <c r="AT16" s="186"/>
      <c r="AU16" s="262">
        <f>AU10-AU14-AU15</f>
        <v>81407.44553</v>
      </c>
      <c r="AV16" s="268"/>
      <c r="AW16" s="262" t="str">
        <f>AW10-AW14-AW15</f>
        <v>#REF!</v>
      </c>
      <c r="AX16" s="268"/>
      <c r="AY16" s="262">
        <f>AY10-AY14-AY15</f>
        <v>-53362.03804</v>
      </c>
      <c r="AZ16" s="268"/>
      <c r="BA16" s="262" t="str">
        <f>BA10-BA14-BA15</f>
        <v>#REF!</v>
      </c>
      <c r="BB16" s="268"/>
      <c r="BC16" s="262">
        <f>BC10-BC14-BC15</f>
        <v>-83963.24073</v>
      </c>
      <c r="BD16" s="268"/>
      <c r="BE16" s="262"/>
      <c r="BF16" s="268"/>
      <c r="BG16" s="146">
        <f>BG10-BG14</f>
        <v>0</v>
      </c>
      <c r="BH16" s="188"/>
      <c r="BI16" s="188"/>
      <c r="BJ16" s="188"/>
    </row>
    <row r="17" ht="15.75" customHeight="1">
      <c r="B17" s="188"/>
      <c r="C17" s="268"/>
      <c r="D17" s="268"/>
      <c r="E17" s="268"/>
      <c r="F17" s="268"/>
      <c r="G17" s="186"/>
      <c r="H17" s="186"/>
      <c r="I17" s="186"/>
      <c r="J17" s="186"/>
      <c r="K17" s="268"/>
      <c r="L17" s="268"/>
      <c r="M17" s="268"/>
      <c r="N17" s="268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  <c r="AA17" s="186"/>
      <c r="AB17" s="186"/>
      <c r="AC17" s="186"/>
      <c r="AD17" s="186"/>
      <c r="AE17" s="186"/>
      <c r="AF17" s="186"/>
      <c r="AG17" s="186"/>
      <c r="AH17" s="186"/>
      <c r="AI17" s="186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6"/>
      <c r="AU17" s="186"/>
      <c r="AV17" s="186"/>
      <c r="AW17" s="186"/>
      <c r="AX17" s="186"/>
      <c r="AY17" s="186"/>
      <c r="AZ17" s="186"/>
      <c r="BA17" s="186"/>
      <c r="BB17" s="186"/>
      <c r="BC17" s="186"/>
      <c r="BD17" s="186"/>
      <c r="BE17" s="186"/>
      <c r="BF17" s="186"/>
      <c r="BG17" s="83"/>
      <c r="BH17" s="186"/>
      <c r="BI17" s="186"/>
      <c r="BJ17" s="186"/>
    </row>
    <row r="18" ht="15.75" customHeight="1">
      <c r="B18" s="188" t="s">
        <v>34</v>
      </c>
      <c r="C18" s="262">
        <f t="shared" ref="C18:C27" si="21">G18+K18</f>
        <v>1396080</v>
      </c>
      <c r="D18" s="268"/>
      <c r="E18" s="262" t="str">
        <f t="shared" ref="E18:E28" si="22">I18+M18</f>
        <v>#REF!</v>
      </c>
      <c r="F18" s="268"/>
      <c r="G18" s="265">
        <f>HO!AN44</f>
        <v>0</v>
      </c>
      <c r="H18" s="186"/>
      <c r="I18" s="189">
        <f>HO!AP44</f>
        <v>0</v>
      </c>
      <c r="J18" s="186"/>
      <c r="K18" s="262">
        <f t="shared" ref="K18:K27" si="23">O18+S18+W18+AA18+AE18+AI18+AM18+AQ18+AU18+AY18+BC18+BG18</f>
        <v>1396080</v>
      </c>
      <c r="L18" s="268"/>
      <c r="M18" s="262" t="str">
        <f t="shared" ref="M18:M27" si="24">Q18+U18+Y18+AC18+AG18+AK18+AO18</f>
        <v>#REF!</v>
      </c>
      <c r="N18" s="268"/>
      <c r="O18" s="189">
        <f>'The Table'!AN53</f>
        <v>458286</v>
      </c>
      <c r="P18" s="186"/>
      <c r="Q18" s="189">
        <f>'The Table'!AP53</f>
        <v>370703.616</v>
      </c>
      <c r="R18" s="186"/>
      <c r="S18" s="189">
        <f>Iktara!V50</f>
        <v>24624</v>
      </c>
      <c r="T18" s="186"/>
      <c r="U18" s="189" t="str">
        <f t="shared" ref="U18:U27" si="25">#REF!</f>
        <v>#REF!</v>
      </c>
      <c r="V18" s="186"/>
      <c r="W18" s="189">
        <f>'Mg St Colaba'!AN77</f>
        <v>311128</v>
      </c>
      <c r="X18" s="186"/>
      <c r="Y18" s="189">
        <f>'Mg St Colaba'!AP77</f>
        <v>348277.3532</v>
      </c>
      <c r="Z18" s="186"/>
      <c r="AA18" s="189">
        <f>'Mg St LP'!AN78</f>
        <v>159621</v>
      </c>
      <c r="AB18" s="186"/>
      <c r="AC18" s="189">
        <f>'Mg St LP'!AP78</f>
        <v>231114.2211</v>
      </c>
      <c r="AD18" s="186"/>
      <c r="AE18" s="189">
        <f>'Mg St Bandra'!AN75</f>
        <v>324916</v>
      </c>
      <c r="AF18" s="186"/>
      <c r="AG18" s="189">
        <f>'Mg St Bandra'!AP75</f>
        <v>368774.3836</v>
      </c>
      <c r="AH18" s="186"/>
      <c r="AI18" s="265">
        <f>'MSK Events'!J72</f>
        <v>0</v>
      </c>
      <c r="AJ18" s="186"/>
      <c r="AK18" s="189" t="str">
        <f t="shared" ref="AK18:AK27" si="26">#REF!</f>
        <v>#REF!</v>
      </c>
      <c r="AL18" s="186"/>
      <c r="AM18" s="189">
        <f>MSBC!AN73</f>
        <v>67547</v>
      </c>
      <c r="AN18" s="186"/>
      <c r="AO18" s="189">
        <f>MSBC!AP73</f>
        <v>0</v>
      </c>
      <c r="AP18" s="186"/>
      <c r="AQ18" s="265">
        <f>Kaspers!AB64</f>
        <v>49958</v>
      </c>
      <c r="AR18" s="186"/>
      <c r="AS18" s="189">
        <f>Kaspers!AD64</f>
        <v>80000</v>
      </c>
      <c r="AT18" s="186"/>
      <c r="AU18" s="189" t="str">
        <f>'MSBC Andheri'!J53</f>
        <v/>
      </c>
      <c r="AV18" s="186"/>
      <c r="AW18" s="189" t="str">
        <f t="shared" ref="AW18:AW27" si="27">#REF!</f>
        <v>#REF!</v>
      </c>
      <c r="AX18" s="186"/>
      <c r="AY18" s="189">
        <f>'MSBC Dahisar'!J71</f>
        <v>0</v>
      </c>
      <c r="AZ18" s="186"/>
      <c r="BA18" s="186"/>
      <c r="BB18" s="186"/>
      <c r="BC18" s="189" t="str">
        <f>'MSBC Juhu  Goregoan'!J55</f>
        <v/>
      </c>
      <c r="BD18" s="186"/>
      <c r="BE18" s="186"/>
      <c r="BF18" s="186"/>
      <c r="BG18" s="114">
        <v>0.0</v>
      </c>
      <c r="BH18" s="186"/>
      <c r="BI18" s="186"/>
      <c r="BJ18" s="186"/>
    </row>
    <row r="19" ht="15.75" customHeight="1">
      <c r="B19" s="188" t="s">
        <v>35</v>
      </c>
      <c r="C19" s="280">
        <f t="shared" si="21"/>
        <v>1325956.333</v>
      </c>
      <c r="D19" s="268"/>
      <c r="E19" s="280" t="str">
        <f t="shared" si="22"/>
        <v>#REF!</v>
      </c>
      <c r="F19" s="268"/>
      <c r="G19" s="281">
        <f>HO!AN53</f>
        <v>70638</v>
      </c>
      <c r="H19" s="186"/>
      <c r="I19" s="281">
        <f>HO!AP53</f>
        <v>12874</v>
      </c>
      <c r="J19" s="186"/>
      <c r="K19" s="262">
        <f t="shared" si="23"/>
        <v>1255318.333</v>
      </c>
      <c r="L19" s="268"/>
      <c r="M19" s="262" t="str">
        <f t="shared" si="24"/>
        <v>#REF!</v>
      </c>
      <c r="N19" s="268"/>
      <c r="O19" s="189">
        <f>'The Table'!AN62</f>
        <v>238775.6667</v>
      </c>
      <c r="P19" s="186"/>
      <c r="Q19" s="189">
        <f>'The Table'!AP62</f>
        <v>241775.3333</v>
      </c>
      <c r="R19" s="186"/>
      <c r="S19" s="189">
        <f>Iktara!V62</f>
        <v>100733</v>
      </c>
      <c r="T19" s="186"/>
      <c r="U19" s="189" t="str">
        <f t="shared" si="25"/>
        <v>#REF!</v>
      </c>
      <c r="V19" s="186"/>
      <c r="W19" s="189">
        <f>'Mg St Colaba'!AN89</f>
        <v>181780.6667</v>
      </c>
      <c r="X19" s="186"/>
      <c r="Y19" s="189">
        <f>'Mg St Colaba'!AP89</f>
        <v>219881</v>
      </c>
      <c r="Z19" s="186"/>
      <c r="AA19" s="189">
        <f>'Mg St LP'!AN89</f>
        <v>206392.6667</v>
      </c>
      <c r="AB19" s="186"/>
      <c r="AC19" s="189">
        <f>'Mg St LP'!AP89</f>
        <v>218658</v>
      </c>
      <c r="AD19" s="186"/>
      <c r="AE19" s="189">
        <f>'Mg St Bandra'!AN87</f>
        <v>157705.6667</v>
      </c>
      <c r="AF19" s="186"/>
      <c r="AG19" s="189">
        <f>'Mg St Bandra'!AP87</f>
        <v>217871</v>
      </c>
      <c r="AH19" s="186"/>
      <c r="AI19" s="186">
        <f>'MSK Events'!J84</f>
        <v>0</v>
      </c>
      <c r="AJ19" s="186"/>
      <c r="AK19" s="186" t="str">
        <f t="shared" si="26"/>
        <v>#REF!</v>
      </c>
      <c r="AL19" s="186"/>
      <c r="AM19" s="189">
        <f>MSBC!AN75</f>
        <v>66932</v>
      </c>
      <c r="AN19" s="186"/>
      <c r="AO19" s="265">
        <f>MSBC!AP75</f>
        <v>62344</v>
      </c>
      <c r="AP19" s="186"/>
      <c r="AQ19" s="265">
        <f>Kaspers!AB76</f>
        <v>48767</v>
      </c>
      <c r="AR19" s="186"/>
      <c r="AS19" s="189">
        <f>Kaspers!AD76</f>
        <v>26833.33333</v>
      </c>
      <c r="AT19" s="186"/>
      <c r="AU19" s="189">
        <f>'MSBC Andheri'!J85</f>
        <v>72867</v>
      </c>
      <c r="AV19" s="186"/>
      <c r="AW19" s="189" t="str">
        <f t="shared" si="27"/>
        <v>#REF!</v>
      </c>
      <c r="AX19" s="186"/>
      <c r="AY19" s="189">
        <f>'MSBC Dahisar'!J73</f>
        <v>69090.33333</v>
      </c>
      <c r="AZ19" s="186"/>
      <c r="BA19" s="186"/>
      <c r="BB19" s="186"/>
      <c r="BC19" s="189">
        <f>'MSBC Juhu  Goregoan'!J74</f>
        <v>63599.33333</v>
      </c>
      <c r="BD19" s="186"/>
      <c r="BE19" s="186"/>
      <c r="BF19" s="186"/>
      <c r="BG19" s="114">
        <f>'LOUD MOUTH'!J85</f>
        <v>48675</v>
      </c>
      <c r="BH19" s="43"/>
      <c r="BI19" s="114"/>
      <c r="BJ19" s="43"/>
    </row>
    <row r="20" ht="15.75" customHeight="1">
      <c r="B20" s="188" t="s">
        <v>36</v>
      </c>
      <c r="C20" s="262">
        <f t="shared" si="21"/>
        <v>1955673.383</v>
      </c>
      <c r="D20" s="268"/>
      <c r="E20" s="262" t="str">
        <f t="shared" si="22"/>
        <v>#REF!</v>
      </c>
      <c r="F20" s="268"/>
      <c r="G20" s="265">
        <f>HO!AN63</f>
        <v>0</v>
      </c>
      <c r="H20" s="186"/>
      <c r="I20" s="265">
        <f>HO!AP63</f>
        <v>0</v>
      </c>
      <c r="J20" s="186"/>
      <c r="K20" s="262">
        <f t="shared" si="23"/>
        <v>1955673.383</v>
      </c>
      <c r="L20" s="268"/>
      <c r="M20" s="262" t="str">
        <f t="shared" si="24"/>
        <v>#REF!</v>
      </c>
      <c r="N20" s="268"/>
      <c r="O20" s="189">
        <f>'The Table'!AN70</f>
        <v>88338.7125</v>
      </c>
      <c r="P20" s="186"/>
      <c r="Q20" s="265">
        <f>'The Table'!AP70</f>
        <v>191920.964</v>
      </c>
      <c r="R20" s="186"/>
      <c r="S20" s="189">
        <f>Iktara!V70</f>
        <v>95909.73</v>
      </c>
      <c r="T20" s="186"/>
      <c r="U20" s="189" t="str">
        <f t="shared" si="25"/>
        <v>#REF!</v>
      </c>
      <c r="V20" s="186"/>
      <c r="W20" s="189">
        <f>'Mg St Colaba'!AN100</f>
        <v>424154.14</v>
      </c>
      <c r="X20" s="186"/>
      <c r="Y20" s="189">
        <f>'Mg St Colaba'!AP100</f>
        <v>501119</v>
      </c>
      <c r="Z20" s="186"/>
      <c r="AA20" s="189">
        <f>'Mg St LP'!AN101</f>
        <v>578445.45</v>
      </c>
      <c r="AB20" s="186"/>
      <c r="AC20" s="189">
        <f>'Mg St LP'!AP101</f>
        <v>753489.875</v>
      </c>
      <c r="AD20" s="186"/>
      <c r="AE20" s="189">
        <f>'Mg St Bandra'!AN98</f>
        <v>571960.08</v>
      </c>
      <c r="AF20" s="186"/>
      <c r="AG20" s="189">
        <f>'Mg St Bandra'!AP98</f>
        <v>522476.375</v>
      </c>
      <c r="AH20" s="186"/>
      <c r="AI20" s="186">
        <f>'MSK Events'!J91</f>
        <v>0</v>
      </c>
      <c r="AJ20" s="186"/>
      <c r="AK20" s="186" t="str">
        <f t="shared" si="26"/>
        <v>#REF!</v>
      </c>
      <c r="AL20" s="186"/>
      <c r="AM20" s="189">
        <f>MSBC!AN83</f>
        <v>33688.74</v>
      </c>
      <c r="AN20" s="186"/>
      <c r="AO20" s="265">
        <f>MSBC!AP83</f>
        <v>0</v>
      </c>
      <c r="AP20" s="186"/>
      <c r="AQ20" s="265">
        <f>Kaspers!AB83</f>
        <v>0</v>
      </c>
      <c r="AR20" s="186"/>
      <c r="AS20" s="265">
        <f>Kaspers!AD83</f>
        <v>0</v>
      </c>
      <c r="AT20" s="186"/>
      <c r="AU20" s="189">
        <f>'MSBC Andheri'!J93</f>
        <v>90727.21</v>
      </c>
      <c r="AV20" s="186"/>
      <c r="AW20" s="189" t="str">
        <f t="shared" si="27"/>
        <v>#REF!</v>
      </c>
      <c r="AX20" s="186"/>
      <c r="AY20" s="189">
        <f>'MSBC Dahisar'!J80</f>
        <v>22513.89</v>
      </c>
      <c r="AZ20" s="186"/>
      <c r="BA20" s="186"/>
      <c r="BB20" s="186"/>
      <c r="BC20" s="189">
        <f>'MSBC Juhu  Goregoan'!J81</f>
        <v>49935.43</v>
      </c>
      <c r="BD20" s="186"/>
      <c r="BE20" s="186"/>
      <c r="BF20" s="186"/>
      <c r="BG20" s="114">
        <v>0.0</v>
      </c>
      <c r="BH20" s="43"/>
      <c r="BI20" s="114"/>
      <c r="BJ20" s="43"/>
    </row>
    <row r="21" ht="15.75" customHeight="1">
      <c r="B21" s="188" t="s">
        <v>37</v>
      </c>
      <c r="C21" s="262">
        <f t="shared" si="21"/>
        <v>7014995.417</v>
      </c>
      <c r="D21" s="268"/>
      <c r="E21" s="262" t="str">
        <f t="shared" si="22"/>
        <v>#REF!</v>
      </c>
      <c r="F21" s="268"/>
      <c r="G21" s="189">
        <f>HO!AN70</f>
        <v>374190</v>
      </c>
      <c r="H21" s="186"/>
      <c r="I21" s="189">
        <f>HO!AP70</f>
        <v>380880</v>
      </c>
      <c r="J21" s="186"/>
      <c r="K21" s="262">
        <f t="shared" si="23"/>
        <v>6640805.417</v>
      </c>
      <c r="L21" s="268"/>
      <c r="M21" s="262" t="str">
        <f t="shared" si="24"/>
        <v>#REF!</v>
      </c>
      <c r="N21" s="268"/>
      <c r="O21" s="189">
        <f>'The Table'!AN76</f>
        <v>1784992</v>
      </c>
      <c r="P21" s="186"/>
      <c r="Q21" s="189">
        <f>'The Table'!AP76</f>
        <v>1739717</v>
      </c>
      <c r="R21" s="186"/>
      <c r="S21" s="189">
        <f>Iktara!V76</f>
        <v>86449</v>
      </c>
      <c r="T21" s="186"/>
      <c r="U21" s="186" t="str">
        <f t="shared" si="25"/>
        <v>#REF!</v>
      </c>
      <c r="V21" s="186"/>
      <c r="W21" s="189">
        <f>'Mg St Colaba'!AN107</f>
        <v>1497058</v>
      </c>
      <c r="X21" s="186"/>
      <c r="Y21" s="189">
        <f>'Mg St Colaba'!AP107</f>
        <v>1504193</v>
      </c>
      <c r="Z21" s="186"/>
      <c r="AA21" s="189">
        <f>'Mg St LP'!AN108</f>
        <v>1059747</v>
      </c>
      <c r="AB21" s="186"/>
      <c r="AC21" s="189">
        <f>'Mg St LP'!AP108</f>
        <v>1033770.6</v>
      </c>
      <c r="AD21" s="186"/>
      <c r="AE21" s="189">
        <f>'Mg St Bandra'!AN105</f>
        <v>1521760</v>
      </c>
      <c r="AF21" s="186"/>
      <c r="AG21" s="189">
        <f>'Mg St Bandra'!AP105</f>
        <v>1507910</v>
      </c>
      <c r="AH21" s="186"/>
      <c r="AI21" s="186">
        <f>'MSK Events'!J98</f>
        <v>126948</v>
      </c>
      <c r="AJ21" s="186"/>
      <c r="AK21" s="186" t="str">
        <f t="shared" si="26"/>
        <v>#REF!</v>
      </c>
      <c r="AL21" s="186"/>
      <c r="AM21" s="189">
        <f>MSBC!AN90</f>
        <v>240520</v>
      </c>
      <c r="AN21" s="186"/>
      <c r="AO21" s="265">
        <f>MSBC!AP90</f>
        <v>0</v>
      </c>
      <c r="AP21" s="186"/>
      <c r="AQ21" s="282">
        <f>Kaspers!AB90</f>
        <v>323331.4167</v>
      </c>
      <c r="AR21" s="186"/>
      <c r="AS21" s="189">
        <f>Kaspers!AD90</f>
        <v>0</v>
      </c>
      <c r="AT21" s="186"/>
      <c r="AU21" s="189">
        <f>'MSBC Andheri'!J100</f>
        <v>0</v>
      </c>
      <c r="AV21" s="186"/>
      <c r="AW21" s="189" t="str">
        <f t="shared" si="27"/>
        <v>#REF!</v>
      </c>
      <c r="AX21" s="186"/>
      <c r="AY21" s="189">
        <f>'MSBC Dahisar'!J89</f>
        <v>0</v>
      </c>
      <c r="AZ21" s="186"/>
      <c r="BA21" s="186"/>
      <c r="BB21" s="186"/>
      <c r="BC21" s="266">
        <v>0.0</v>
      </c>
      <c r="BD21" s="186"/>
      <c r="BE21" s="186"/>
      <c r="BF21" s="186"/>
      <c r="BG21" s="114">
        <f>'LOUD MOUTH'!J101</f>
        <v>0</v>
      </c>
      <c r="BH21" s="43"/>
      <c r="BI21" s="43"/>
      <c r="BJ21" s="43"/>
    </row>
    <row r="22" ht="15.75" customHeight="1">
      <c r="B22" s="188" t="s">
        <v>38</v>
      </c>
      <c r="C22" s="262">
        <f t="shared" si="21"/>
        <v>24220568.76</v>
      </c>
      <c r="D22" s="268"/>
      <c r="E22" s="262" t="str">
        <f t="shared" si="22"/>
        <v>#REF!</v>
      </c>
      <c r="F22" s="268"/>
      <c r="G22" s="189">
        <f>HO!AN77</f>
        <v>6902122.657</v>
      </c>
      <c r="H22" s="186"/>
      <c r="I22" s="189">
        <f>HO!AP77</f>
        <v>6806784.99</v>
      </c>
      <c r="J22" s="186"/>
      <c r="K22" s="262">
        <f t="shared" si="23"/>
        <v>17318446.1</v>
      </c>
      <c r="L22" s="268"/>
      <c r="M22" s="262" t="str">
        <f t="shared" si="24"/>
        <v>#REF!</v>
      </c>
      <c r="N22" s="268"/>
      <c r="O22" s="189">
        <f>'The Table'!AN82</f>
        <v>5612045.647</v>
      </c>
      <c r="P22" s="186"/>
      <c r="Q22" s="189">
        <f>'The Table'!AP82</f>
        <v>4388683.777</v>
      </c>
      <c r="R22" s="186"/>
      <c r="S22" s="186">
        <f>Iktara!V82</f>
        <v>455212.2</v>
      </c>
      <c r="T22" s="186"/>
      <c r="U22" s="189" t="str">
        <f t="shared" si="25"/>
        <v>#REF!</v>
      </c>
      <c r="V22" s="186"/>
      <c r="W22" s="189">
        <f>'Mg St Colaba'!AN113</f>
        <v>3141796.207</v>
      </c>
      <c r="X22" s="186"/>
      <c r="Y22" s="189">
        <f>'Mg St Colaba'!AP113</f>
        <v>3399516.628</v>
      </c>
      <c r="Z22" s="186"/>
      <c r="AA22" s="189">
        <f>'Mg St LP'!AN115</f>
        <v>1619350.653</v>
      </c>
      <c r="AB22" s="186"/>
      <c r="AC22" s="189">
        <f>'Mg St LP'!AP115</f>
        <v>1386737.458</v>
      </c>
      <c r="AD22" s="186"/>
      <c r="AE22" s="189">
        <f>'Mg St Bandra'!AN114</f>
        <v>3692617.43</v>
      </c>
      <c r="AF22" s="186"/>
      <c r="AG22" s="189">
        <f>'Mg St Bandra'!AP114</f>
        <v>3806083.75</v>
      </c>
      <c r="AH22" s="186"/>
      <c r="AI22" s="186">
        <f>'MSK Events'!J104</f>
        <v>111300</v>
      </c>
      <c r="AJ22" s="186"/>
      <c r="AK22" s="186" t="str">
        <f t="shared" si="26"/>
        <v>#REF!</v>
      </c>
      <c r="AL22" s="186"/>
      <c r="AM22" s="189">
        <f>MSBC!AN96</f>
        <v>1340550.967</v>
      </c>
      <c r="AN22" s="186"/>
      <c r="AO22" s="265">
        <f>MSBC!AP96</f>
        <v>0</v>
      </c>
      <c r="AP22" s="186"/>
      <c r="AQ22" s="265">
        <f>Kaspers!AB97</f>
        <v>1345573</v>
      </c>
      <c r="AR22" s="186"/>
      <c r="AS22" s="189">
        <f>Kaspers!AD97</f>
        <v>0</v>
      </c>
      <c r="AT22" s="186"/>
      <c r="AU22" s="189">
        <f>'MSBC Andheri'!J106</f>
        <v>0</v>
      </c>
      <c r="AV22" s="186"/>
      <c r="AW22" s="189" t="str">
        <f t="shared" si="27"/>
        <v>#REF!</v>
      </c>
      <c r="AX22" s="186"/>
      <c r="AY22" s="189">
        <f>'MSBC Dahisar'!J95</f>
        <v>0</v>
      </c>
      <c r="AZ22" s="186"/>
      <c r="BA22" s="186"/>
      <c r="BB22" s="186"/>
      <c r="BC22" s="266">
        <v>0.0</v>
      </c>
      <c r="BD22" s="186"/>
      <c r="BE22" s="186"/>
      <c r="BF22" s="186"/>
      <c r="BG22" s="114">
        <f>'LOUD MOUTH'!J108</f>
        <v>0</v>
      </c>
      <c r="BH22" s="43"/>
      <c r="BI22" s="114"/>
      <c r="BJ22" s="43"/>
    </row>
    <row r="23" ht="15.75" customHeight="1">
      <c r="B23" s="188" t="s">
        <v>39</v>
      </c>
      <c r="C23" s="262">
        <f t="shared" si="21"/>
        <v>1086994.61</v>
      </c>
      <c r="D23" s="268"/>
      <c r="E23" s="262" t="str">
        <f t="shared" si="22"/>
        <v>#REF!</v>
      </c>
      <c r="F23" s="268"/>
      <c r="G23" s="189">
        <f>HO!AN88</f>
        <v>523055</v>
      </c>
      <c r="H23" s="186"/>
      <c r="I23" s="189">
        <f>HO!AP88</f>
        <v>12500</v>
      </c>
      <c r="J23" s="186"/>
      <c r="K23" s="262">
        <f t="shared" si="23"/>
        <v>563939.61</v>
      </c>
      <c r="L23" s="268"/>
      <c r="M23" s="262" t="str">
        <f t="shared" si="24"/>
        <v>#REF!</v>
      </c>
      <c r="N23" s="268"/>
      <c r="O23" s="189">
        <f>'The Table'!AN91</f>
        <v>297228.65</v>
      </c>
      <c r="P23" s="186"/>
      <c r="Q23" s="189">
        <f>'The Table'!AP91</f>
        <v>233100.752</v>
      </c>
      <c r="R23" s="186"/>
      <c r="S23" s="186">
        <f>Iktara!V92</f>
        <v>0</v>
      </c>
      <c r="T23" s="186"/>
      <c r="U23" s="186" t="str">
        <f t="shared" si="25"/>
        <v>#REF!</v>
      </c>
      <c r="V23" s="186"/>
      <c r="W23" s="189">
        <f>'Mg St Colaba'!AN124</f>
        <v>101304.43</v>
      </c>
      <c r="X23" s="186"/>
      <c r="Y23" s="189">
        <f>'Mg St Colaba'!AP124</f>
        <v>134494.8147</v>
      </c>
      <c r="Z23" s="186"/>
      <c r="AA23" s="189">
        <f>'Mg St LP'!AN125</f>
        <v>35219.16</v>
      </c>
      <c r="AB23" s="186"/>
      <c r="AC23" s="189">
        <f>'Mg St LP'!AP125</f>
        <v>40854.96</v>
      </c>
      <c r="AD23" s="186"/>
      <c r="AE23" s="189">
        <f>'Mg St Bandra'!AN125</f>
        <v>130187.37</v>
      </c>
      <c r="AF23" s="186"/>
      <c r="AG23" s="189">
        <f>'Mg St Bandra'!AP125</f>
        <v>134052.33</v>
      </c>
      <c r="AH23" s="186"/>
      <c r="AI23" s="186">
        <f>'MSK Events'!J114</f>
        <v>0</v>
      </c>
      <c r="AJ23" s="186"/>
      <c r="AK23" s="186" t="str">
        <f t="shared" si="26"/>
        <v>#REF!</v>
      </c>
      <c r="AL23" s="186"/>
      <c r="AM23" s="189">
        <f>MSBC!AN106</f>
        <v>0</v>
      </c>
      <c r="AN23" s="186"/>
      <c r="AO23" s="265">
        <f>MSBC!AP106</f>
        <v>0</v>
      </c>
      <c r="AP23" s="186"/>
      <c r="AQ23" s="265">
        <f>Kaspers!AB109</f>
        <v>0</v>
      </c>
      <c r="AR23" s="186"/>
      <c r="AS23" s="189">
        <f>Kaspers!AD109</f>
        <v>0</v>
      </c>
      <c r="AT23" s="186"/>
      <c r="AU23" s="186"/>
      <c r="AV23" s="186"/>
      <c r="AW23" s="189" t="str">
        <f t="shared" si="27"/>
        <v>#REF!</v>
      </c>
      <c r="AX23" s="186"/>
      <c r="AY23" s="189">
        <f>'MSBC Dahisar'!J105</f>
        <v>0</v>
      </c>
      <c r="AZ23" s="186"/>
      <c r="BA23" s="186"/>
      <c r="BB23" s="186"/>
      <c r="BC23" s="266">
        <v>0.0</v>
      </c>
      <c r="BD23" s="186"/>
      <c r="BE23" s="186"/>
      <c r="BF23" s="186"/>
      <c r="BG23" s="114">
        <v>0.0</v>
      </c>
      <c r="BH23" s="43"/>
      <c r="BI23" s="114"/>
      <c r="BJ23" s="43"/>
    </row>
    <row r="24" ht="15.75" customHeight="1">
      <c r="B24" s="188" t="s">
        <v>40</v>
      </c>
      <c r="C24" s="262">
        <f t="shared" si="21"/>
        <v>264798.5833</v>
      </c>
      <c r="D24" s="268"/>
      <c r="E24" s="262" t="str">
        <f t="shared" si="22"/>
        <v>#REF!</v>
      </c>
      <c r="F24" s="268"/>
      <c r="G24" s="189">
        <f>HO!AN95</f>
        <v>122763.1667</v>
      </c>
      <c r="H24" s="186"/>
      <c r="I24" s="189">
        <f>HO!AP95</f>
        <v>114596.8333</v>
      </c>
      <c r="J24" s="186"/>
      <c r="K24" s="262">
        <f t="shared" si="23"/>
        <v>142035.4167</v>
      </c>
      <c r="L24" s="268"/>
      <c r="M24" s="262" t="str">
        <f t="shared" si="24"/>
        <v>#REF!</v>
      </c>
      <c r="N24" s="268"/>
      <c r="O24" s="189">
        <f>'The Table'!AN94</f>
        <v>39203</v>
      </c>
      <c r="P24" s="186"/>
      <c r="Q24" s="189">
        <f>'The Table'!AP94</f>
        <v>29500</v>
      </c>
      <c r="R24" s="186"/>
      <c r="S24" s="186">
        <f>Iktara!V95</f>
        <v>688</v>
      </c>
      <c r="T24" s="186"/>
      <c r="U24" s="186" t="str">
        <f t="shared" si="25"/>
        <v>#REF!</v>
      </c>
      <c r="V24" s="186"/>
      <c r="W24" s="189">
        <f>'Mg St Colaba'!AN127</f>
        <v>30188.33333</v>
      </c>
      <c r="X24" s="186"/>
      <c r="Y24" s="186">
        <f>'Mg St Colaba'!AP127</f>
        <v>30188</v>
      </c>
      <c r="Z24" s="186"/>
      <c r="AA24" s="189">
        <f>'Mg St LP'!AN128</f>
        <v>3638.333333</v>
      </c>
      <c r="AB24" s="186"/>
      <c r="AC24" s="189">
        <f>'Mg St LP'!AP128</f>
        <v>1500</v>
      </c>
      <c r="AD24" s="186"/>
      <c r="AE24" s="189">
        <f>'Mg St Bandra'!AN128</f>
        <v>31663.33333</v>
      </c>
      <c r="AF24" s="186"/>
      <c r="AG24" s="189">
        <f>'Mg St Bandra'!AP128</f>
        <v>23000</v>
      </c>
      <c r="AH24" s="186"/>
      <c r="AI24" s="186">
        <f>'MSK Events'!J117</f>
        <v>6806.25</v>
      </c>
      <c r="AJ24" s="186"/>
      <c r="AK24" s="186" t="str">
        <f t="shared" si="26"/>
        <v>#REF!</v>
      </c>
      <c r="AL24" s="186"/>
      <c r="AM24" s="189">
        <f>MSBC!AN109</f>
        <v>10521.33333</v>
      </c>
      <c r="AN24" s="186"/>
      <c r="AO24" s="265">
        <f>MSBC!AP109</f>
        <v>0</v>
      </c>
      <c r="AP24" s="186"/>
      <c r="AQ24" s="265">
        <f>Kaspers!AB113</f>
        <v>19326.83333</v>
      </c>
      <c r="AR24" s="186"/>
      <c r="AS24" s="189">
        <f>Kaspers!AD113</f>
        <v>0</v>
      </c>
      <c r="AT24" s="186"/>
      <c r="AU24" s="186"/>
      <c r="AV24" s="186"/>
      <c r="AW24" s="189" t="str">
        <f t="shared" si="27"/>
        <v>#REF!</v>
      </c>
      <c r="AX24" s="186"/>
      <c r="AY24" s="189">
        <f>'MSBC Dahisar'!J108</f>
        <v>0</v>
      </c>
      <c r="AZ24" s="186"/>
      <c r="BA24" s="186"/>
      <c r="BB24" s="186"/>
      <c r="BC24" s="189">
        <f>'MSBC Juhu  Goregoan'!J109</f>
        <v>0</v>
      </c>
      <c r="BD24" s="186"/>
      <c r="BE24" s="186"/>
      <c r="BF24" s="186"/>
      <c r="BG24" s="114">
        <v>0.0</v>
      </c>
      <c r="BH24" s="43"/>
      <c r="BI24" s="114"/>
      <c r="BJ24" s="43"/>
    </row>
    <row r="25" ht="15.75" customHeight="1">
      <c r="B25" s="188" t="s">
        <v>41</v>
      </c>
      <c r="C25" s="262">
        <f t="shared" si="21"/>
        <v>3030186.917</v>
      </c>
      <c r="D25" s="268"/>
      <c r="E25" s="262" t="str">
        <f t="shared" si="22"/>
        <v>#REF!</v>
      </c>
      <c r="F25" s="268"/>
      <c r="G25" s="189">
        <f>HO!AN106</f>
        <v>222289.3333</v>
      </c>
      <c r="H25" s="186"/>
      <c r="I25" s="189">
        <f>HO!AP106</f>
        <v>76500</v>
      </c>
      <c r="J25" s="186"/>
      <c r="K25" s="262">
        <f t="shared" si="23"/>
        <v>2807897.583</v>
      </c>
      <c r="L25" s="268"/>
      <c r="M25" s="262" t="str">
        <f t="shared" si="24"/>
        <v>#REF!</v>
      </c>
      <c r="N25" s="268"/>
      <c r="O25" s="189">
        <f>'The Table'!AN99</f>
        <v>312345.0833</v>
      </c>
      <c r="P25" s="186"/>
      <c r="Q25" s="189">
        <f>'The Table'!AP99</f>
        <v>283203</v>
      </c>
      <c r="R25" s="186"/>
      <c r="S25" s="282">
        <f>Iktara!V99</f>
        <v>28892.41667</v>
      </c>
      <c r="T25" s="186"/>
      <c r="U25" s="186" t="str">
        <f t="shared" si="25"/>
        <v>#REF!</v>
      </c>
      <c r="V25" s="186"/>
      <c r="W25" s="189">
        <f>'Mg St Colaba'!AN132</f>
        <v>653985.3333</v>
      </c>
      <c r="X25" s="186"/>
      <c r="Y25" s="189">
        <f>'Mg St Colaba'!AP132</f>
        <v>424211.4167</v>
      </c>
      <c r="Z25" s="186"/>
      <c r="AA25" s="189">
        <f>'Mg St LP'!AN132</f>
        <v>127628.0833</v>
      </c>
      <c r="AB25" s="186"/>
      <c r="AC25" s="189">
        <f>'Mg St LP'!AP132</f>
        <v>82000</v>
      </c>
      <c r="AD25" s="186"/>
      <c r="AE25" s="189">
        <f>'Mg St Bandra'!AN132</f>
        <v>465383.3333</v>
      </c>
      <c r="AF25" s="186"/>
      <c r="AG25" s="189">
        <f>'Mg St Bandra'!AP132</f>
        <v>443797</v>
      </c>
      <c r="AH25" s="186"/>
      <c r="AI25" s="186">
        <f>'MSK Events'!J121</f>
        <v>501839.6667</v>
      </c>
      <c r="AJ25" s="186"/>
      <c r="AK25" s="186" t="str">
        <f t="shared" si="26"/>
        <v>#REF!</v>
      </c>
      <c r="AL25" s="186"/>
      <c r="AM25" s="189">
        <f>MSBC!AN114</f>
        <v>29197</v>
      </c>
      <c r="AN25" s="186"/>
      <c r="AO25" s="265">
        <f>MSBC!AP114</f>
        <v>0</v>
      </c>
      <c r="AP25" s="186"/>
      <c r="AQ25" s="278">
        <f>Kaspers!AB117</f>
        <v>664326.6667</v>
      </c>
      <c r="AR25" s="186"/>
      <c r="AS25" s="189">
        <f>Kaspers!AD117</f>
        <v>0</v>
      </c>
      <c r="AT25" s="186"/>
      <c r="AU25" s="189">
        <f>'MSBC Andheri'!J123</f>
        <v>8100</v>
      </c>
      <c r="AV25" s="186"/>
      <c r="AW25" s="189" t="str">
        <f t="shared" si="27"/>
        <v>#REF!</v>
      </c>
      <c r="AX25" s="186"/>
      <c r="AY25" s="189">
        <f>'MSBC Dahisar'!J112</f>
        <v>8100</v>
      </c>
      <c r="AZ25" s="186"/>
      <c r="BA25" s="186"/>
      <c r="BB25" s="186"/>
      <c r="BC25" s="189">
        <f>'MSBC Juhu  Goregoan'!J113</f>
        <v>8100</v>
      </c>
      <c r="BD25" s="186"/>
      <c r="BE25" s="186"/>
      <c r="BF25" s="186"/>
      <c r="BG25" s="114">
        <f>'LOUD MOUTH'!J128</f>
        <v>0</v>
      </c>
      <c r="BH25" s="43"/>
      <c r="BI25" s="114"/>
      <c r="BJ25" s="43"/>
    </row>
    <row r="26" ht="15.75" customHeight="1">
      <c r="B26" s="188" t="s">
        <v>42</v>
      </c>
      <c r="C26" s="262">
        <f t="shared" si="21"/>
        <v>85492.36111</v>
      </c>
      <c r="D26" s="268"/>
      <c r="E26" s="262" t="str">
        <f t="shared" si="22"/>
        <v>#REF!</v>
      </c>
      <c r="F26" s="268"/>
      <c r="G26" s="189">
        <f>HO!AN123</f>
        <v>63492.36111</v>
      </c>
      <c r="H26" s="186"/>
      <c r="I26" s="189">
        <f>HO!AP123</f>
        <v>100000</v>
      </c>
      <c r="J26" s="186"/>
      <c r="K26" s="262">
        <f t="shared" si="23"/>
        <v>22000</v>
      </c>
      <c r="L26" s="268"/>
      <c r="M26" s="262" t="str">
        <f t="shared" si="24"/>
        <v>#REF!</v>
      </c>
      <c r="N26" s="268"/>
      <c r="O26" s="189">
        <f>'The Table'!AN122</f>
        <v>0</v>
      </c>
      <c r="P26" s="186"/>
      <c r="Q26" s="189">
        <f>'The Table'!AP122</f>
        <v>0</v>
      </c>
      <c r="R26" s="186"/>
      <c r="S26" s="186">
        <f>Iktara!V112</f>
        <v>0</v>
      </c>
      <c r="T26" s="186"/>
      <c r="U26" s="186" t="str">
        <f t="shared" si="25"/>
        <v>#REF!</v>
      </c>
      <c r="V26" s="186"/>
      <c r="W26" s="189">
        <f>'Mg St Colaba'!AN148</f>
        <v>0</v>
      </c>
      <c r="X26" s="186"/>
      <c r="Y26" s="186">
        <f>'Mg St Colaba'!AP148</f>
        <v>0</v>
      </c>
      <c r="Z26" s="186"/>
      <c r="AA26" s="189">
        <f>'Mg St LP'!AN148</f>
        <v>22000</v>
      </c>
      <c r="AB26" s="186"/>
      <c r="AC26" s="186">
        <f>'Mg St LP'!AP148</f>
        <v>0</v>
      </c>
      <c r="AD26" s="186"/>
      <c r="AE26" s="189">
        <f>'Mg St Bandra'!AN149</f>
        <v>0</v>
      </c>
      <c r="AF26" s="186"/>
      <c r="AG26" s="282">
        <f>'Mg St Bandra'!AP149</f>
        <v>0</v>
      </c>
      <c r="AH26" s="186"/>
      <c r="AI26" s="186">
        <f>'MSK Events'!J138</f>
        <v>0</v>
      </c>
      <c r="AJ26" s="186"/>
      <c r="AK26" s="186" t="str">
        <f t="shared" si="26"/>
        <v>#REF!</v>
      </c>
      <c r="AL26" s="186"/>
      <c r="AM26" s="189">
        <f>MSBC!AN131</f>
        <v>0</v>
      </c>
      <c r="AN26" s="186"/>
      <c r="AO26" s="265">
        <f>MSBC!AP131</f>
        <v>0</v>
      </c>
      <c r="AP26" s="186"/>
      <c r="AQ26" s="265">
        <f>Kaspers!AB141</f>
        <v>0</v>
      </c>
      <c r="AR26" s="186"/>
      <c r="AS26" s="189">
        <f>Kaspers!AD141</f>
        <v>0</v>
      </c>
      <c r="AT26" s="186"/>
      <c r="AU26" s="189">
        <f>'MSBC Andheri'!J138</f>
        <v>0</v>
      </c>
      <c r="AV26" s="186"/>
      <c r="AW26" s="189" t="str">
        <f t="shared" si="27"/>
        <v>#REF!</v>
      </c>
      <c r="AX26" s="186"/>
      <c r="AY26" s="189">
        <f>'MSBC Dahisar'!J127</f>
        <v>0</v>
      </c>
      <c r="AZ26" s="186"/>
      <c r="BA26" s="186"/>
      <c r="BB26" s="186"/>
      <c r="BC26" s="266">
        <v>0.0</v>
      </c>
      <c r="BD26" s="186"/>
      <c r="BE26" s="186"/>
      <c r="BF26" s="186"/>
      <c r="BG26" s="114"/>
      <c r="BH26" s="43"/>
      <c r="BI26" s="114"/>
      <c r="BJ26" s="43"/>
    </row>
    <row r="27" ht="15.75" customHeight="1">
      <c r="B27" s="188" t="s">
        <v>43</v>
      </c>
      <c r="C27" s="262">
        <f t="shared" si="21"/>
        <v>-1772971</v>
      </c>
      <c r="D27" s="268"/>
      <c r="E27" s="262" t="str">
        <f t="shared" si="22"/>
        <v>#REF!</v>
      </c>
      <c r="F27" s="268"/>
      <c r="G27" s="189">
        <f>HO!AN130</f>
        <v>204505</v>
      </c>
      <c r="H27" s="186"/>
      <c r="I27" s="189">
        <f>HO!AP130</f>
        <v>0</v>
      </c>
      <c r="J27" s="186"/>
      <c r="K27" s="262">
        <f t="shared" si="23"/>
        <v>-1977476</v>
      </c>
      <c r="L27" s="268"/>
      <c r="M27" s="262" t="str">
        <f t="shared" si="24"/>
        <v>#REF!</v>
      </c>
      <c r="N27" s="268"/>
      <c r="O27" s="189">
        <f>'The Table'!AN127</f>
        <v>0</v>
      </c>
      <c r="P27" s="186"/>
      <c r="Q27" s="189">
        <f>'The Table'!AP127</f>
        <v>0</v>
      </c>
      <c r="R27" s="186"/>
      <c r="S27" s="186">
        <f>Iktara!V116</f>
        <v>0</v>
      </c>
      <c r="T27" s="186"/>
      <c r="U27" s="189" t="str">
        <f t="shared" si="25"/>
        <v>#REF!</v>
      </c>
      <c r="V27" s="186"/>
      <c r="W27" s="189">
        <f>'Mg St Colaba'!AN153</f>
        <v>0</v>
      </c>
      <c r="X27" s="186"/>
      <c r="Y27" s="189">
        <f>'Mg St Colaba'!AP153</f>
        <v>0</v>
      </c>
      <c r="Z27" s="186"/>
      <c r="AA27" s="189">
        <f>'Mg St LP'!AN152</f>
        <v>0</v>
      </c>
      <c r="AB27" s="186"/>
      <c r="AC27" s="189">
        <f>'Mg St LP'!AP152</f>
        <v>0</v>
      </c>
      <c r="AD27" s="186"/>
      <c r="AE27" s="189">
        <f>'Mg St Bandra'!AN153</f>
        <v>0</v>
      </c>
      <c r="AF27" s="186"/>
      <c r="AG27" s="189">
        <f>'Mg St Bandra'!AP153</f>
        <v>0</v>
      </c>
      <c r="AH27" s="186"/>
      <c r="AI27" s="186">
        <f>'MSK Events'!J142</f>
        <v>0</v>
      </c>
      <c r="AJ27" s="186"/>
      <c r="AK27" s="186" t="str">
        <f t="shared" si="26"/>
        <v>#REF!</v>
      </c>
      <c r="AL27" s="186"/>
      <c r="AM27" s="189">
        <f>MSBC!AN135</f>
        <v>-1977476</v>
      </c>
      <c r="AN27" s="186"/>
      <c r="AO27" s="265">
        <f>MSBC!AP135</f>
        <v>0</v>
      </c>
      <c r="AP27" s="186"/>
      <c r="AQ27" s="265">
        <f>Kaspers!AB145</f>
        <v>0</v>
      </c>
      <c r="AR27" s="186"/>
      <c r="AS27" s="189">
        <f>Kaspers!AD145</f>
        <v>25000</v>
      </c>
      <c r="AT27" s="186"/>
      <c r="AU27" s="186"/>
      <c r="AV27" s="186"/>
      <c r="AW27" s="189" t="str">
        <f t="shared" si="27"/>
        <v>#REF!</v>
      </c>
      <c r="AX27" s="186"/>
      <c r="AY27" s="189">
        <f>'MSBC Dahisar'!J131</f>
        <v>0</v>
      </c>
      <c r="AZ27" s="186"/>
      <c r="BA27" s="186"/>
      <c r="BB27" s="186"/>
      <c r="BC27" s="266">
        <v>0.0</v>
      </c>
      <c r="BD27" s="186"/>
      <c r="BE27" s="186"/>
      <c r="BF27" s="186"/>
      <c r="BG27" s="62">
        <f>'LOUD MOUTH'!J148</f>
        <v>0</v>
      </c>
      <c r="BH27" s="62"/>
      <c r="BI27" s="62"/>
      <c r="BJ27" s="62"/>
    </row>
    <row r="28" ht="15.75" customHeight="1">
      <c r="B28" s="188" t="s">
        <v>44</v>
      </c>
      <c r="C28" s="262">
        <f>SUM(C18:C27)</f>
        <v>38607775.36</v>
      </c>
      <c r="D28" s="268"/>
      <c r="E28" s="262" t="str">
        <f t="shared" si="22"/>
        <v>#REF!</v>
      </c>
      <c r="F28" s="268"/>
      <c r="G28" s="265">
        <f>SUM(G18:G27)</f>
        <v>8483055.518</v>
      </c>
      <c r="H28" s="186"/>
      <c r="I28" s="189">
        <f>SUM(I18:I27)</f>
        <v>7504135.823</v>
      </c>
      <c r="J28" s="186"/>
      <c r="K28" s="262">
        <f>SUM(K18:K27)</f>
        <v>30124719.85</v>
      </c>
      <c r="L28" s="268"/>
      <c r="M28" s="262" t="str">
        <f>SUM(M18:M27)</f>
        <v>#REF!</v>
      </c>
      <c r="N28" s="268"/>
      <c r="O28" s="189">
        <f>SUM(O18:O27)</f>
        <v>8831214.759</v>
      </c>
      <c r="P28" s="186"/>
      <c r="Q28" s="189">
        <f>SUM(Q18:Q27)</f>
        <v>7478604.442</v>
      </c>
      <c r="R28" s="186"/>
      <c r="S28" s="189">
        <f>SUM(S18:S27)</f>
        <v>792508.3467</v>
      </c>
      <c r="T28" s="186"/>
      <c r="U28" s="189" t="str">
        <f>SUM(U18:U27)</f>
        <v>#REF!</v>
      </c>
      <c r="V28" s="186"/>
      <c r="W28" s="189">
        <f>SUM(W18:W27)</f>
        <v>6341395.11</v>
      </c>
      <c r="X28" s="186"/>
      <c r="Y28" s="189">
        <f>SUM(Y18:Y27)</f>
        <v>6561881.212</v>
      </c>
      <c r="Z28" s="186"/>
      <c r="AA28" s="189">
        <f>SUM(AA18:AA27)</f>
        <v>3812042.347</v>
      </c>
      <c r="AB28" s="186"/>
      <c r="AC28" s="189">
        <f>SUM(AC18:AC27)</f>
        <v>3748125.114</v>
      </c>
      <c r="AD28" s="186"/>
      <c r="AE28" s="189">
        <f>SUM(AE18:AE27)</f>
        <v>6896193.213</v>
      </c>
      <c r="AF28" s="186"/>
      <c r="AG28" s="189">
        <f>SUM(AG18:AG27)</f>
        <v>7023964.839</v>
      </c>
      <c r="AH28" s="186"/>
      <c r="AI28" s="265">
        <f>SUM(AI18:AI27)</f>
        <v>746893.9167</v>
      </c>
      <c r="AJ28" s="186"/>
      <c r="AK28" s="189" t="str">
        <f>SUM(AK18:AK27)</f>
        <v>#REF!</v>
      </c>
      <c r="AL28" s="186"/>
      <c r="AM28" s="189">
        <f>SUM(AM18:AM27)</f>
        <v>-188518.96</v>
      </c>
      <c r="AN28" s="186"/>
      <c r="AO28" s="189">
        <f>SUM(AO18:AO27)</f>
        <v>62344</v>
      </c>
      <c r="AP28" s="186"/>
      <c r="AQ28" s="265">
        <f>SUM(AQ18:AQ27)</f>
        <v>2451282.917</v>
      </c>
      <c r="AR28" s="186"/>
      <c r="AS28" s="189">
        <f>SUM(AS18:AS27)</f>
        <v>131833.3333</v>
      </c>
      <c r="AT28" s="186"/>
      <c r="AU28" s="189">
        <f>SUM(AU18:AU27)</f>
        <v>171694.21</v>
      </c>
      <c r="AV28" s="186"/>
      <c r="AW28" s="262" t="str">
        <f>SUM(AW18:AW27)</f>
        <v>#REF!</v>
      </c>
      <c r="AX28" s="186"/>
      <c r="AY28" s="189">
        <f>SUM(AY18:AY27)</f>
        <v>99704.22333</v>
      </c>
      <c r="AZ28" s="186"/>
      <c r="BA28" s="186"/>
      <c r="BB28" s="186"/>
      <c r="BC28" s="189">
        <f>SUM(BC18:BC27)</f>
        <v>121634.7633</v>
      </c>
      <c r="BD28" s="186"/>
      <c r="BE28" s="186"/>
      <c r="BF28" s="186"/>
      <c r="BG28" s="146">
        <f>SUM(BG18:BG27)</f>
        <v>48675</v>
      </c>
      <c r="BH28" s="62"/>
      <c r="BI28" s="62"/>
      <c r="BJ28" s="62"/>
    </row>
    <row r="29" ht="15.75" customHeight="1">
      <c r="B29" s="188"/>
      <c r="C29" s="268"/>
      <c r="D29" s="268"/>
      <c r="E29" s="268"/>
      <c r="F29" s="268"/>
      <c r="G29" s="186"/>
      <c r="H29" s="186"/>
      <c r="I29" s="186"/>
      <c r="J29" s="186"/>
      <c r="K29" s="268"/>
      <c r="L29" s="268"/>
      <c r="M29" s="268"/>
      <c r="N29" s="268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186"/>
      <c r="AM29" s="186"/>
      <c r="AN29" s="186"/>
      <c r="AO29" s="186"/>
      <c r="AP29" s="186"/>
      <c r="AQ29" s="186"/>
      <c r="AR29" s="186"/>
      <c r="AS29" s="186"/>
      <c r="AT29" s="186"/>
      <c r="AU29" s="186"/>
      <c r="AV29" s="186"/>
      <c r="AW29" s="186"/>
      <c r="AX29" s="186"/>
      <c r="AY29" s="186"/>
      <c r="AZ29" s="186"/>
      <c r="BA29" s="186"/>
      <c r="BB29" s="186"/>
      <c r="BC29" s="186"/>
      <c r="BD29" s="186"/>
      <c r="BE29" s="186"/>
      <c r="BF29" s="186"/>
      <c r="BG29" s="96"/>
      <c r="BH29" s="62"/>
      <c r="BI29" s="62"/>
      <c r="BJ29" s="62"/>
    </row>
    <row r="30" ht="15.75" customHeight="1">
      <c r="B30" s="188" t="s">
        <v>45</v>
      </c>
      <c r="C30" s="262">
        <f>C16-C28</f>
        <v>2420614.82</v>
      </c>
      <c r="D30" s="268"/>
      <c r="E30" s="262" t="str">
        <f>E16-E28</f>
        <v>#REF!</v>
      </c>
      <c r="F30" s="268"/>
      <c r="G30" s="189">
        <f>G16-G28</f>
        <v>-8483055.518</v>
      </c>
      <c r="H30" s="186"/>
      <c r="I30" s="189">
        <f>I16-I28</f>
        <v>-7504135.823</v>
      </c>
      <c r="J30" s="186"/>
      <c r="K30" s="262">
        <f>K16-K28</f>
        <v>10903670.34</v>
      </c>
      <c r="L30" s="268"/>
      <c r="M30" s="262" t="str">
        <f>M16-M28</f>
        <v>#REF!</v>
      </c>
      <c r="N30" s="268"/>
      <c r="O30" s="189">
        <f>O16-O28</f>
        <v>6186885.565</v>
      </c>
      <c r="P30" s="186"/>
      <c r="Q30" s="189">
        <f>Q16-Q28</f>
        <v>3770331.918</v>
      </c>
      <c r="R30" s="186"/>
      <c r="S30" s="189">
        <f>S16-S28</f>
        <v>-311940.7246</v>
      </c>
      <c r="T30" s="186"/>
      <c r="U30" s="189" t="str">
        <f>U16-U28</f>
        <v>#REF!</v>
      </c>
      <c r="V30" s="186"/>
      <c r="W30" s="189">
        <f>W16-W28</f>
        <v>2081474.671</v>
      </c>
      <c r="X30" s="186"/>
      <c r="Y30" s="189">
        <f>Y16-Y28</f>
        <v>4229809.485</v>
      </c>
      <c r="Z30" s="186"/>
      <c r="AA30" s="189">
        <f>AA16-AA28</f>
        <v>1745307.377</v>
      </c>
      <c r="AB30" s="186"/>
      <c r="AC30" s="189">
        <f>AC16-AC28</f>
        <v>3625939.435</v>
      </c>
      <c r="AD30" s="186"/>
      <c r="AE30" s="189">
        <f>AE16-AE28</f>
        <v>4644520.043</v>
      </c>
      <c r="AF30" s="186"/>
      <c r="AG30" s="189">
        <f>AG16-AG28</f>
        <v>5251530.442</v>
      </c>
      <c r="AH30" s="186"/>
      <c r="AI30" s="189">
        <f>AI16-AI28</f>
        <v>-746893.9167</v>
      </c>
      <c r="AJ30" s="186"/>
      <c r="AK30" s="189" t="str">
        <f>AK16-AK28</f>
        <v>#REF!</v>
      </c>
      <c r="AL30" s="186"/>
      <c r="AM30" s="189">
        <f>AM16-AM28</f>
        <v>253226.2693</v>
      </c>
      <c r="AN30" s="186"/>
      <c r="AO30" s="189">
        <f>AO16-AO28</f>
        <v>25856</v>
      </c>
      <c r="AP30" s="186"/>
      <c r="AQ30" s="189">
        <f>AQ16-AQ28</f>
        <v>-2451282.917</v>
      </c>
      <c r="AR30" s="186"/>
      <c r="AS30" s="189">
        <f>AS16-AS28</f>
        <v>2709166.667</v>
      </c>
      <c r="AT30" s="186"/>
      <c r="AU30" s="189">
        <f>AU16-AU28</f>
        <v>-90286.76447</v>
      </c>
      <c r="AV30" s="186"/>
      <c r="AW30" s="186"/>
      <c r="AX30" s="186"/>
      <c r="AY30" s="189">
        <f>AY16-AY28</f>
        <v>-153066.2614</v>
      </c>
      <c r="AZ30" s="186"/>
      <c r="BA30" s="186"/>
      <c r="BB30" s="186"/>
      <c r="BC30" s="189">
        <f>BC16-BC28</f>
        <v>-205598.0041</v>
      </c>
      <c r="BD30" s="186"/>
      <c r="BE30" s="186"/>
      <c r="BF30" s="186"/>
      <c r="BG30" s="146">
        <f>BG16-BG28</f>
        <v>-48675</v>
      </c>
      <c r="BH30" s="62"/>
      <c r="BI30" s="62"/>
      <c r="BJ30" s="62"/>
    </row>
    <row r="31" ht="15.75" customHeight="1">
      <c r="BC31" s="274"/>
      <c r="BD31" s="274"/>
      <c r="BE31" s="274"/>
      <c r="BF31" s="274"/>
      <c r="BG31" s="274"/>
      <c r="BH31" s="274"/>
      <c r="BI31" s="274"/>
      <c r="BJ31" s="274"/>
    </row>
    <row r="32" ht="15.75" hidden="1" customHeight="1">
      <c r="AM32" s="129">
        <f>MSBC!AN142</f>
        <v>253226.2693</v>
      </c>
      <c r="BC32" s="3"/>
      <c r="BD32" s="3"/>
      <c r="BE32" s="3"/>
      <c r="BF32" s="3"/>
      <c r="BG32" s="3"/>
      <c r="BH32" s="3"/>
      <c r="BI32" s="3"/>
      <c r="BJ32" s="3"/>
    </row>
    <row r="33" ht="15.75" customHeight="1">
      <c r="BC33" s="3"/>
      <c r="BD33" s="3"/>
      <c r="BE33" s="3"/>
      <c r="BF33" s="3"/>
      <c r="BG33" s="3"/>
      <c r="BH33" s="3"/>
      <c r="BI33" s="3"/>
      <c r="BJ33" s="3"/>
    </row>
    <row r="34" ht="15.75" customHeight="1">
      <c r="BC34" s="3"/>
      <c r="BD34" s="3"/>
      <c r="BE34" s="3"/>
      <c r="BF34" s="3"/>
      <c r="BG34" s="3"/>
      <c r="BH34" s="3"/>
      <c r="BI34" s="3"/>
      <c r="BJ34" s="3"/>
    </row>
    <row r="35" ht="15.75" customHeight="1">
      <c r="BC35" s="3"/>
      <c r="BD35" s="3"/>
      <c r="BE35" s="3"/>
      <c r="BF35" s="3"/>
      <c r="BG35" s="3"/>
      <c r="BH35" s="3"/>
      <c r="BI35" s="3"/>
      <c r="BJ35" s="3"/>
    </row>
    <row r="36" ht="15.75" customHeight="1">
      <c r="BC36" s="3"/>
      <c r="BD36" s="3"/>
      <c r="BE36" s="3"/>
      <c r="BF36" s="3"/>
      <c r="BG36" s="3"/>
      <c r="BH36" s="3"/>
      <c r="BI36" s="3"/>
      <c r="BJ36" s="3"/>
    </row>
    <row r="37" ht="15.75" customHeight="1">
      <c r="BC37" s="3"/>
      <c r="BD37" s="3"/>
      <c r="BE37" s="3"/>
      <c r="BF37" s="3"/>
      <c r="BG37" s="3"/>
      <c r="BH37" s="3"/>
      <c r="BI37" s="3"/>
      <c r="BJ37" s="3"/>
    </row>
    <row r="38" ht="15.75" customHeight="1">
      <c r="BC38" s="3"/>
      <c r="BD38" s="3"/>
      <c r="BE38" s="3"/>
      <c r="BF38" s="3"/>
      <c r="BG38" s="3"/>
      <c r="BH38" s="3"/>
      <c r="BI38" s="3"/>
      <c r="BJ38" s="3"/>
    </row>
    <row r="39" ht="15.75" customHeight="1">
      <c r="BC39" s="3"/>
      <c r="BD39" s="3"/>
      <c r="BE39" s="3"/>
      <c r="BF39" s="3"/>
      <c r="BG39" s="3"/>
      <c r="BH39" s="3"/>
      <c r="BI39" s="3"/>
      <c r="BJ39" s="3"/>
    </row>
    <row r="40" ht="15.75" customHeight="1">
      <c r="BC40" s="3"/>
      <c r="BD40" s="3"/>
      <c r="BE40" s="3"/>
      <c r="BF40" s="3"/>
      <c r="BG40" s="3"/>
      <c r="BH40" s="3"/>
      <c r="BI40" s="3"/>
      <c r="BJ40" s="3"/>
    </row>
    <row r="41" ht="15.75" customHeight="1">
      <c r="BC41" s="3"/>
      <c r="BD41" s="3"/>
      <c r="BE41" s="3"/>
      <c r="BF41" s="3"/>
      <c r="BG41" s="3"/>
      <c r="BH41" s="3"/>
      <c r="BI41" s="3"/>
      <c r="BJ41" s="3"/>
    </row>
    <row r="42" ht="15.75" customHeight="1">
      <c r="BC42" s="3"/>
      <c r="BD42" s="3"/>
      <c r="BE42" s="3"/>
      <c r="BF42" s="3"/>
      <c r="BG42" s="3"/>
      <c r="BH42" s="3"/>
      <c r="BI42" s="3"/>
      <c r="BJ42" s="3"/>
    </row>
    <row r="43" ht="15.75" customHeight="1">
      <c r="BC43" s="3"/>
      <c r="BD43" s="3"/>
      <c r="BE43" s="3"/>
      <c r="BF43" s="3"/>
      <c r="BG43" s="3"/>
      <c r="BH43" s="3"/>
      <c r="BI43" s="3"/>
      <c r="BJ43" s="3"/>
    </row>
    <row r="44" ht="15.75" customHeight="1">
      <c r="BC44" s="3"/>
      <c r="BD44" s="3"/>
      <c r="BE44" s="3"/>
      <c r="BF44" s="3"/>
      <c r="BG44" s="3"/>
      <c r="BH44" s="3"/>
      <c r="BI44" s="3"/>
      <c r="BJ44" s="3"/>
    </row>
    <row r="45" ht="15.75" customHeight="1">
      <c r="BC45" s="3"/>
      <c r="BD45" s="3"/>
      <c r="BE45" s="3"/>
      <c r="BF45" s="3"/>
      <c r="BG45" s="3"/>
      <c r="BH45" s="3"/>
      <c r="BI45" s="3"/>
      <c r="BJ45" s="3"/>
    </row>
    <row r="46" ht="15.75" customHeight="1">
      <c r="BC46" s="3"/>
      <c r="BD46" s="3"/>
      <c r="BE46" s="3"/>
      <c r="BF46" s="3"/>
      <c r="BG46" s="3"/>
      <c r="BH46" s="3"/>
      <c r="BI46" s="3"/>
      <c r="BJ46" s="3"/>
    </row>
    <row r="47" ht="15.75" customHeight="1">
      <c r="BC47" s="3"/>
      <c r="BD47" s="3"/>
      <c r="BE47" s="3"/>
      <c r="BF47" s="3"/>
      <c r="BG47" s="3"/>
      <c r="BH47" s="3"/>
      <c r="BI47" s="3"/>
      <c r="BJ47" s="3"/>
    </row>
    <row r="48" ht="15.75" customHeight="1">
      <c r="BC48" s="3"/>
      <c r="BD48" s="3"/>
      <c r="BE48" s="3"/>
      <c r="BF48" s="3"/>
      <c r="BG48" s="3"/>
      <c r="BH48" s="3"/>
      <c r="BI48" s="3"/>
      <c r="BJ48" s="3"/>
    </row>
    <row r="49" ht="15.75" customHeight="1">
      <c r="BC49" s="3"/>
      <c r="BD49" s="3"/>
      <c r="BE49" s="3"/>
      <c r="BF49" s="3"/>
      <c r="BG49" s="3"/>
      <c r="BH49" s="3"/>
      <c r="BI49" s="3"/>
      <c r="BJ49" s="3"/>
    </row>
    <row r="50" ht="15.75" customHeight="1">
      <c r="BC50" s="3"/>
      <c r="BD50" s="3"/>
      <c r="BE50" s="3"/>
      <c r="BF50" s="3"/>
      <c r="BG50" s="3"/>
      <c r="BH50" s="3"/>
      <c r="BI50" s="3"/>
      <c r="BJ50" s="3"/>
    </row>
    <row r="51" ht="15.75" customHeight="1">
      <c r="BC51" s="3"/>
      <c r="BD51" s="3"/>
      <c r="BE51" s="3"/>
      <c r="BF51" s="3"/>
      <c r="BG51" s="3"/>
      <c r="BH51" s="3"/>
      <c r="BI51" s="3"/>
      <c r="BJ51" s="3"/>
    </row>
    <row r="52" ht="15.75" customHeight="1">
      <c r="BC52" s="3"/>
      <c r="BD52" s="3"/>
      <c r="BE52" s="3"/>
      <c r="BF52" s="3"/>
      <c r="BG52" s="3"/>
      <c r="BH52" s="3"/>
      <c r="BI52" s="3"/>
      <c r="BJ52" s="3"/>
    </row>
    <row r="53" ht="15.75" customHeight="1">
      <c r="BC53" s="3"/>
      <c r="BD53" s="3"/>
      <c r="BE53" s="3"/>
      <c r="BF53" s="3"/>
      <c r="BG53" s="3"/>
      <c r="BH53" s="3"/>
      <c r="BI53" s="3"/>
      <c r="BJ53" s="3"/>
    </row>
    <row r="54" ht="15.75" customHeight="1">
      <c r="BC54" s="3"/>
      <c r="BD54" s="3"/>
      <c r="BE54" s="3"/>
      <c r="BF54" s="3"/>
      <c r="BG54" s="3"/>
      <c r="BH54" s="3"/>
      <c r="BI54" s="3"/>
      <c r="BJ54" s="3"/>
    </row>
    <row r="55" ht="15.75" customHeight="1">
      <c r="BC55" s="3"/>
      <c r="BD55" s="3"/>
      <c r="BE55" s="3"/>
      <c r="BF55" s="3"/>
      <c r="BG55" s="3"/>
      <c r="BH55" s="3"/>
      <c r="BI55" s="3"/>
      <c r="BJ55" s="3"/>
    </row>
    <row r="56" ht="15.75" customHeight="1">
      <c r="BC56" s="3"/>
      <c r="BD56" s="3"/>
      <c r="BE56" s="3"/>
      <c r="BF56" s="3"/>
      <c r="BG56" s="3"/>
      <c r="BH56" s="3"/>
      <c r="BI56" s="3"/>
      <c r="BJ56" s="3"/>
    </row>
    <row r="57" ht="15.75" customHeight="1">
      <c r="BC57" s="3"/>
      <c r="BD57" s="3"/>
      <c r="BE57" s="3"/>
      <c r="BF57" s="3"/>
      <c r="BG57" s="3"/>
      <c r="BH57" s="3"/>
      <c r="BI57" s="3"/>
      <c r="BJ57" s="3"/>
    </row>
    <row r="58" ht="15.75" customHeight="1">
      <c r="BC58" s="3"/>
      <c r="BD58" s="3"/>
      <c r="BE58" s="3"/>
      <c r="BF58" s="3"/>
      <c r="BG58" s="3"/>
      <c r="BH58" s="3"/>
      <c r="BI58" s="3"/>
      <c r="BJ58" s="3"/>
    </row>
    <row r="59" ht="15.75" customHeight="1">
      <c r="BC59" s="3"/>
      <c r="BD59" s="3"/>
      <c r="BE59" s="3"/>
      <c r="BF59" s="3"/>
      <c r="BG59" s="3"/>
      <c r="BH59" s="3"/>
      <c r="BI59" s="3"/>
      <c r="BJ59" s="3"/>
    </row>
    <row r="60" ht="15.75" customHeight="1">
      <c r="BC60" s="3"/>
      <c r="BD60" s="3"/>
      <c r="BE60" s="3"/>
      <c r="BF60" s="3"/>
      <c r="BG60" s="3"/>
      <c r="BH60" s="3"/>
      <c r="BI60" s="3"/>
      <c r="BJ60" s="3"/>
    </row>
    <row r="61" ht="15.75" customHeight="1">
      <c r="BC61" s="3"/>
      <c r="BD61" s="3"/>
      <c r="BE61" s="3"/>
      <c r="BF61" s="3"/>
      <c r="BG61" s="3"/>
      <c r="BH61" s="3"/>
      <c r="BI61" s="3"/>
      <c r="BJ61" s="3"/>
    </row>
    <row r="62" ht="15.75" customHeight="1">
      <c r="BC62" s="3"/>
      <c r="BD62" s="3"/>
      <c r="BE62" s="3"/>
      <c r="BF62" s="3"/>
      <c r="BG62" s="3"/>
      <c r="BH62" s="3"/>
      <c r="BI62" s="3"/>
      <c r="BJ62" s="3"/>
    </row>
    <row r="63" ht="15.75" customHeight="1">
      <c r="BC63" s="3"/>
      <c r="BD63" s="3"/>
      <c r="BE63" s="3"/>
      <c r="BF63" s="3"/>
      <c r="BG63" s="3"/>
      <c r="BH63" s="3"/>
      <c r="BI63" s="3"/>
      <c r="BJ63" s="3"/>
    </row>
    <row r="64" ht="15.75" customHeight="1">
      <c r="BC64" s="3"/>
      <c r="BD64" s="3"/>
      <c r="BE64" s="3"/>
      <c r="BF64" s="3"/>
      <c r="BG64" s="3"/>
      <c r="BH64" s="3"/>
      <c r="BI64" s="3"/>
      <c r="BJ64" s="3"/>
    </row>
    <row r="65" ht="15.75" customHeight="1">
      <c r="BC65" s="3"/>
      <c r="BD65" s="3"/>
      <c r="BE65" s="3"/>
      <c r="BF65" s="3"/>
      <c r="BG65" s="3"/>
      <c r="BH65" s="3"/>
      <c r="BI65" s="3"/>
      <c r="BJ65" s="3"/>
    </row>
    <row r="66" ht="15.75" customHeight="1">
      <c r="BC66" s="3"/>
      <c r="BD66" s="3"/>
      <c r="BE66" s="3"/>
      <c r="BF66" s="3"/>
      <c r="BG66" s="3"/>
      <c r="BH66" s="3"/>
      <c r="BI66" s="3"/>
      <c r="BJ66" s="3"/>
    </row>
    <row r="67" ht="15.75" customHeight="1">
      <c r="BC67" s="3"/>
      <c r="BD67" s="3"/>
      <c r="BE67" s="3"/>
      <c r="BF67" s="3"/>
      <c r="BG67" s="3"/>
      <c r="BH67" s="3"/>
      <c r="BI67" s="3"/>
      <c r="BJ67" s="3"/>
    </row>
    <row r="68" ht="15.75" customHeight="1">
      <c r="BC68" s="3"/>
      <c r="BD68" s="3"/>
      <c r="BE68" s="3"/>
      <c r="BF68" s="3"/>
      <c r="BG68" s="3"/>
      <c r="BH68" s="3"/>
      <c r="BI68" s="3"/>
      <c r="BJ68" s="3"/>
    </row>
    <row r="69" ht="15.75" customHeight="1">
      <c r="BC69" s="3"/>
      <c r="BD69" s="3"/>
      <c r="BE69" s="3"/>
      <c r="BF69" s="3"/>
      <c r="BG69" s="3"/>
      <c r="BH69" s="3"/>
      <c r="BI69" s="3"/>
      <c r="BJ69" s="3"/>
    </row>
    <row r="70" ht="15.75" customHeight="1">
      <c r="BC70" s="3"/>
      <c r="BD70" s="3"/>
      <c r="BE70" s="3"/>
      <c r="BF70" s="3"/>
      <c r="BG70" s="3"/>
      <c r="BH70" s="3"/>
      <c r="BI70" s="3"/>
      <c r="BJ70" s="3"/>
    </row>
    <row r="71" ht="15.75" customHeight="1">
      <c r="BC71" s="3"/>
      <c r="BD71" s="3"/>
      <c r="BE71" s="3"/>
      <c r="BF71" s="3"/>
      <c r="BG71" s="3"/>
      <c r="BH71" s="3"/>
      <c r="BI71" s="3"/>
      <c r="BJ71" s="3"/>
    </row>
    <row r="72" ht="15.75" customHeight="1">
      <c r="BC72" s="3"/>
      <c r="BD72" s="3"/>
      <c r="BE72" s="3"/>
      <c r="BF72" s="3"/>
      <c r="BG72" s="3"/>
      <c r="BH72" s="3"/>
      <c r="BI72" s="3"/>
      <c r="BJ72" s="3"/>
    </row>
    <row r="73" ht="15.75" customHeight="1">
      <c r="BC73" s="3"/>
      <c r="BD73" s="3"/>
      <c r="BE73" s="3"/>
      <c r="BF73" s="3"/>
      <c r="BG73" s="3"/>
      <c r="BH73" s="3"/>
      <c r="BI73" s="3"/>
      <c r="BJ73" s="3"/>
    </row>
    <row r="74" ht="15.75" customHeight="1">
      <c r="BC74" s="3"/>
      <c r="BD74" s="3"/>
      <c r="BE74" s="3"/>
      <c r="BF74" s="3"/>
      <c r="BG74" s="3"/>
      <c r="BH74" s="3"/>
      <c r="BI74" s="3"/>
      <c r="BJ74" s="3"/>
    </row>
    <row r="75" ht="15.75" customHeight="1">
      <c r="BC75" s="3"/>
      <c r="BD75" s="3"/>
      <c r="BE75" s="3"/>
      <c r="BF75" s="3"/>
      <c r="BG75" s="3"/>
      <c r="BH75" s="3"/>
      <c r="BI75" s="3"/>
      <c r="BJ75" s="3"/>
    </row>
    <row r="76" ht="15.75" customHeight="1">
      <c r="BC76" s="3"/>
      <c r="BD76" s="3"/>
      <c r="BE76" s="3"/>
      <c r="BF76" s="3"/>
      <c r="BG76" s="3"/>
      <c r="BH76" s="3"/>
      <c r="BI76" s="3"/>
      <c r="BJ76" s="3"/>
    </row>
    <row r="77" ht="15.75" customHeight="1">
      <c r="BC77" s="3"/>
      <c r="BD77" s="3"/>
      <c r="BE77" s="3"/>
      <c r="BF77" s="3"/>
      <c r="BG77" s="3"/>
      <c r="BH77" s="3"/>
      <c r="BI77" s="3"/>
      <c r="BJ77" s="3"/>
    </row>
    <row r="78" ht="15.75" customHeight="1">
      <c r="BC78" s="3"/>
      <c r="BD78" s="3"/>
      <c r="BE78" s="3"/>
      <c r="BF78" s="3"/>
      <c r="BG78" s="3"/>
      <c r="BH78" s="3"/>
      <c r="BI78" s="3"/>
      <c r="BJ78" s="3"/>
    </row>
    <row r="79" ht="15.75" customHeight="1">
      <c r="BC79" s="3"/>
      <c r="BD79" s="3"/>
      <c r="BE79" s="3"/>
      <c r="BF79" s="3"/>
      <c r="BG79" s="3"/>
      <c r="BH79" s="3"/>
      <c r="BI79" s="3"/>
      <c r="BJ79" s="3"/>
    </row>
    <row r="80" ht="15.75" customHeight="1">
      <c r="BC80" s="3"/>
      <c r="BD80" s="3"/>
      <c r="BE80" s="3"/>
      <c r="BF80" s="3"/>
      <c r="BG80" s="3"/>
      <c r="BH80" s="3"/>
      <c r="BI80" s="3"/>
      <c r="BJ80" s="3"/>
    </row>
    <row r="81" ht="15.75" customHeight="1">
      <c r="BC81" s="3"/>
      <c r="BD81" s="3"/>
      <c r="BE81" s="3"/>
      <c r="BF81" s="3"/>
      <c r="BG81" s="3"/>
      <c r="BH81" s="3"/>
      <c r="BI81" s="3"/>
      <c r="BJ81" s="3"/>
    </row>
    <row r="82" ht="15.75" customHeight="1">
      <c r="BC82" s="3"/>
      <c r="BD82" s="3"/>
      <c r="BE82" s="3"/>
      <c r="BF82" s="3"/>
      <c r="BG82" s="3"/>
      <c r="BH82" s="3"/>
      <c r="BI82" s="3"/>
      <c r="BJ82" s="3"/>
    </row>
    <row r="83" ht="15.75" customHeight="1">
      <c r="BC83" s="3"/>
      <c r="BD83" s="3"/>
      <c r="BE83" s="3"/>
      <c r="BF83" s="3"/>
      <c r="BG83" s="3"/>
      <c r="BH83" s="3"/>
      <c r="BI83" s="3"/>
      <c r="BJ83" s="3"/>
    </row>
    <row r="84" ht="15.75" customHeight="1">
      <c r="BC84" s="3"/>
      <c r="BD84" s="3"/>
      <c r="BE84" s="3"/>
      <c r="BF84" s="3"/>
      <c r="BG84" s="3"/>
      <c r="BH84" s="3"/>
      <c r="BI84" s="3"/>
      <c r="BJ84" s="3"/>
    </row>
    <row r="85" ht="15.75" customHeight="1">
      <c r="BC85" s="3"/>
      <c r="BD85" s="3"/>
      <c r="BE85" s="3"/>
      <c r="BF85" s="3"/>
      <c r="BG85" s="3"/>
      <c r="BH85" s="3"/>
      <c r="BI85" s="3"/>
      <c r="BJ85" s="3"/>
    </row>
    <row r="86" ht="15.75" customHeight="1">
      <c r="BC86" s="3"/>
      <c r="BD86" s="3"/>
      <c r="BE86" s="3"/>
      <c r="BF86" s="3"/>
      <c r="BG86" s="3"/>
      <c r="BH86" s="3"/>
      <c r="BI86" s="3"/>
      <c r="BJ86" s="3"/>
    </row>
    <row r="87" ht="15.75" customHeight="1">
      <c r="BC87" s="3"/>
      <c r="BD87" s="3"/>
      <c r="BE87" s="3"/>
      <c r="BF87" s="3"/>
      <c r="BG87" s="3"/>
      <c r="BH87" s="3"/>
      <c r="BI87" s="3"/>
      <c r="BJ87" s="3"/>
    </row>
    <row r="88" ht="15.75" customHeight="1">
      <c r="BC88" s="3"/>
      <c r="BD88" s="3"/>
      <c r="BE88" s="3"/>
      <c r="BF88" s="3"/>
      <c r="BG88" s="3"/>
      <c r="BH88" s="3"/>
      <c r="BI88" s="3"/>
      <c r="BJ88" s="3"/>
    </row>
    <row r="89" ht="15.75" customHeight="1">
      <c r="BC89" s="3"/>
      <c r="BD89" s="3"/>
      <c r="BE89" s="3"/>
      <c r="BF89" s="3"/>
      <c r="BG89" s="3"/>
      <c r="BH89" s="3"/>
      <c r="BI89" s="3"/>
      <c r="BJ89" s="3"/>
    </row>
    <row r="90" ht="15.75" customHeight="1">
      <c r="BC90" s="3"/>
      <c r="BD90" s="3"/>
      <c r="BE90" s="3"/>
      <c r="BF90" s="3"/>
      <c r="BG90" s="3"/>
      <c r="BH90" s="3"/>
      <c r="BI90" s="3"/>
      <c r="BJ90" s="3"/>
    </row>
    <row r="91" ht="15.75" customHeight="1">
      <c r="BC91" s="3"/>
      <c r="BD91" s="3"/>
      <c r="BE91" s="3"/>
      <c r="BF91" s="3"/>
      <c r="BG91" s="3"/>
      <c r="BH91" s="3"/>
      <c r="BI91" s="3"/>
      <c r="BJ91" s="3"/>
    </row>
    <row r="92" ht="15.75" customHeight="1">
      <c r="BC92" s="3"/>
      <c r="BD92" s="3"/>
      <c r="BE92" s="3"/>
      <c r="BF92" s="3"/>
      <c r="BG92" s="3"/>
      <c r="BH92" s="3"/>
      <c r="BI92" s="3"/>
      <c r="BJ92" s="3"/>
    </row>
    <row r="93" ht="15.75" customHeight="1">
      <c r="BC93" s="3"/>
      <c r="BD93" s="3"/>
      <c r="BE93" s="3"/>
      <c r="BF93" s="3"/>
      <c r="BG93" s="3"/>
      <c r="BH93" s="3"/>
      <c r="BI93" s="3"/>
      <c r="BJ93" s="3"/>
    </row>
    <row r="94" ht="15.75" customHeight="1">
      <c r="BC94" s="3"/>
      <c r="BD94" s="3"/>
      <c r="BE94" s="3"/>
      <c r="BF94" s="3"/>
      <c r="BG94" s="3"/>
      <c r="BH94" s="3"/>
      <c r="BI94" s="3"/>
      <c r="BJ94" s="3"/>
    </row>
    <row r="95" ht="15.75" customHeight="1">
      <c r="BC95" s="3"/>
      <c r="BD95" s="3"/>
      <c r="BE95" s="3"/>
      <c r="BF95" s="3"/>
      <c r="BG95" s="3"/>
      <c r="BH95" s="3"/>
      <c r="BI95" s="3"/>
      <c r="BJ95" s="3"/>
    </row>
    <row r="96" ht="15.75" customHeight="1">
      <c r="BC96" s="3"/>
      <c r="BD96" s="3"/>
      <c r="BE96" s="3"/>
      <c r="BF96" s="3"/>
      <c r="BG96" s="3"/>
      <c r="BH96" s="3"/>
      <c r="BI96" s="3"/>
      <c r="BJ96" s="3"/>
    </row>
    <row r="97" ht="15.75" customHeight="1">
      <c r="BC97" s="3"/>
      <c r="BD97" s="3"/>
      <c r="BE97" s="3"/>
      <c r="BF97" s="3"/>
      <c r="BG97" s="3"/>
      <c r="BH97" s="3"/>
      <c r="BI97" s="3"/>
      <c r="BJ97" s="3"/>
    </row>
    <row r="98" ht="15.75" customHeight="1">
      <c r="BC98" s="3"/>
      <c r="BD98" s="3"/>
      <c r="BE98" s="3"/>
      <c r="BF98" s="3"/>
      <c r="BG98" s="3"/>
      <c r="BH98" s="3"/>
      <c r="BI98" s="3"/>
      <c r="BJ98" s="3"/>
    </row>
    <row r="99" ht="15.75" customHeight="1">
      <c r="BC99" s="3"/>
      <c r="BD99" s="3"/>
      <c r="BE99" s="3"/>
      <c r="BF99" s="3"/>
      <c r="BG99" s="3"/>
      <c r="BH99" s="3"/>
      <c r="BI99" s="3"/>
      <c r="BJ99" s="3"/>
    </row>
    <row r="100" ht="15.75" customHeight="1">
      <c r="BC100" s="3"/>
      <c r="BD100" s="3"/>
      <c r="BE100" s="3"/>
      <c r="BF100" s="3"/>
      <c r="BG100" s="3"/>
      <c r="BH100" s="3"/>
      <c r="BI100" s="3"/>
      <c r="BJ100" s="3"/>
    </row>
    <row r="101" ht="15.75" customHeight="1">
      <c r="BC101" s="3"/>
      <c r="BD101" s="3"/>
      <c r="BE101" s="3"/>
      <c r="BF101" s="3"/>
      <c r="BG101" s="3"/>
      <c r="BH101" s="3"/>
      <c r="BI101" s="3"/>
      <c r="BJ101" s="3"/>
    </row>
    <row r="102" ht="15.75" customHeight="1">
      <c r="BC102" s="3"/>
      <c r="BD102" s="3"/>
      <c r="BE102" s="3"/>
      <c r="BF102" s="3"/>
      <c r="BG102" s="3"/>
      <c r="BH102" s="3"/>
      <c r="BI102" s="3"/>
      <c r="BJ102" s="3"/>
    </row>
    <row r="103" ht="15.75" customHeight="1">
      <c r="BC103" s="3"/>
      <c r="BD103" s="3"/>
      <c r="BE103" s="3"/>
      <c r="BF103" s="3"/>
      <c r="BG103" s="3"/>
      <c r="BH103" s="3"/>
      <c r="BI103" s="3"/>
      <c r="BJ103" s="3"/>
    </row>
    <row r="104" ht="15.75" customHeight="1">
      <c r="BC104" s="3"/>
      <c r="BD104" s="3"/>
      <c r="BE104" s="3"/>
      <c r="BF104" s="3"/>
      <c r="BG104" s="3"/>
      <c r="BH104" s="3"/>
      <c r="BI104" s="3"/>
      <c r="BJ104" s="3"/>
    </row>
    <row r="105" ht="15.75" customHeight="1">
      <c r="BC105" s="3"/>
      <c r="BD105" s="3"/>
      <c r="BE105" s="3"/>
      <c r="BF105" s="3"/>
      <c r="BG105" s="3"/>
      <c r="BH105" s="3"/>
      <c r="BI105" s="3"/>
      <c r="BJ105" s="3"/>
    </row>
    <row r="106" ht="15.75" customHeight="1">
      <c r="BC106" s="3"/>
      <c r="BD106" s="3"/>
      <c r="BE106" s="3"/>
      <c r="BF106" s="3"/>
      <c r="BG106" s="3"/>
      <c r="BH106" s="3"/>
      <c r="BI106" s="3"/>
      <c r="BJ106" s="3"/>
    </row>
    <row r="107" ht="15.75" customHeight="1">
      <c r="BC107" s="3"/>
      <c r="BD107" s="3"/>
      <c r="BE107" s="3"/>
      <c r="BF107" s="3"/>
      <c r="BG107" s="3"/>
      <c r="BH107" s="3"/>
      <c r="BI107" s="3"/>
      <c r="BJ107" s="3"/>
    </row>
    <row r="108" ht="15.75" customHeight="1">
      <c r="BC108" s="3"/>
      <c r="BD108" s="3"/>
      <c r="BE108" s="3"/>
      <c r="BF108" s="3"/>
      <c r="BG108" s="3"/>
      <c r="BH108" s="3"/>
      <c r="BI108" s="3"/>
      <c r="BJ108" s="3"/>
    </row>
    <row r="109" ht="15.75" customHeight="1">
      <c r="BC109" s="3"/>
      <c r="BD109" s="3"/>
      <c r="BE109" s="3"/>
      <c r="BF109" s="3"/>
      <c r="BG109" s="3"/>
      <c r="BH109" s="3"/>
      <c r="BI109" s="3"/>
      <c r="BJ109" s="3"/>
    </row>
    <row r="110" ht="15.75" customHeight="1">
      <c r="BC110" s="3"/>
      <c r="BD110" s="3"/>
      <c r="BE110" s="3"/>
      <c r="BF110" s="3"/>
      <c r="BG110" s="3"/>
      <c r="BH110" s="3"/>
      <c r="BI110" s="3"/>
      <c r="BJ110" s="3"/>
    </row>
    <row r="111" ht="15.75" customHeight="1">
      <c r="BC111" s="3"/>
      <c r="BD111" s="3"/>
      <c r="BE111" s="3"/>
      <c r="BF111" s="3"/>
      <c r="BG111" s="3"/>
      <c r="BH111" s="3"/>
      <c r="BI111" s="3"/>
      <c r="BJ111" s="3"/>
    </row>
    <row r="112" ht="15.75" customHeight="1">
      <c r="BC112" s="3"/>
      <c r="BD112" s="3"/>
      <c r="BE112" s="3"/>
      <c r="BF112" s="3"/>
      <c r="BG112" s="3"/>
      <c r="BH112" s="3"/>
      <c r="BI112" s="3"/>
      <c r="BJ112" s="3"/>
    </row>
    <row r="113" ht="15.75" customHeight="1">
      <c r="BC113" s="3"/>
      <c r="BD113" s="3"/>
      <c r="BE113" s="3"/>
      <c r="BF113" s="3"/>
      <c r="BG113" s="3"/>
      <c r="BH113" s="3"/>
      <c r="BI113" s="3"/>
      <c r="BJ113" s="3"/>
    </row>
    <row r="114" ht="15.75" customHeight="1">
      <c r="BC114" s="3"/>
      <c r="BD114" s="3"/>
      <c r="BE114" s="3"/>
      <c r="BF114" s="3"/>
      <c r="BG114" s="3"/>
      <c r="BH114" s="3"/>
      <c r="BI114" s="3"/>
      <c r="BJ114" s="3"/>
    </row>
    <row r="115" ht="15.75" customHeight="1">
      <c r="BC115" s="3"/>
      <c r="BD115" s="3"/>
      <c r="BE115" s="3"/>
      <c r="BF115" s="3"/>
      <c r="BG115" s="3"/>
      <c r="BH115" s="3"/>
      <c r="BI115" s="3"/>
      <c r="BJ115" s="3"/>
    </row>
    <row r="116" ht="15.75" customHeight="1">
      <c r="BC116" s="3"/>
      <c r="BD116" s="3"/>
      <c r="BE116" s="3"/>
      <c r="BF116" s="3"/>
      <c r="BG116" s="3"/>
      <c r="BH116" s="3"/>
      <c r="BI116" s="3"/>
      <c r="BJ116" s="3"/>
    </row>
    <row r="117" ht="15.75" customHeight="1">
      <c r="BC117" s="3"/>
      <c r="BD117" s="3"/>
      <c r="BE117" s="3"/>
      <c r="BF117" s="3"/>
      <c r="BG117" s="3"/>
      <c r="BH117" s="3"/>
      <c r="BI117" s="3"/>
      <c r="BJ117" s="3"/>
    </row>
    <row r="118" ht="15.75" customHeight="1">
      <c r="BC118" s="3"/>
      <c r="BD118" s="3"/>
      <c r="BE118" s="3"/>
      <c r="BF118" s="3"/>
      <c r="BG118" s="3"/>
      <c r="BH118" s="3"/>
      <c r="BI118" s="3"/>
      <c r="BJ118" s="3"/>
    </row>
    <row r="119" ht="15.75" customHeight="1">
      <c r="BC119" s="3"/>
      <c r="BD119" s="3"/>
      <c r="BE119" s="3"/>
      <c r="BF119" s="3"/>
      <c r="BG119" s="3"/>
      <c r="BH119" s="3"/>
      <c r="BI119" s="3"/>
      <c r="BJ119" s="3"/>
    </row>
    <row r="120" ht="15.75" customHeight="1">
      <c r="BC120" s="3"/>
      <c r="BD120" s="3"/>
      <c r="BE120" s="3"/>
      <c r="BF120" s="3"/>
      <c r="BG120" s="3"/>
      <c r="BH120" s="3"/>
      <c r="BI120" s="3"/>
      <c r="BJ120" s="3"/>
    </row>
    <row r="121" ht="15.75" customHeight="1">
      <c r="BC121" s="3"/>
      <c r="BD121" s="3"/>
      <c r="BE121" s="3"/>
      <c r="BF121" s="3"/>
      <c r="BG121" s="3"/>
      <c r="BH121" s="3"/>
      <c r="BI121" s="3"/>
      <c r="BJ121" s="3"/>
    </row>
    <row r="122" ht="15.75" customHeight="1">
      <c r="BC122" s="3"/>
      <c r="BD122" s="3"/>
      <c r="BE122" s="3"/>
      <c r="BF122" s="3"/>
      <c r="BG122" s="3"/>
      <c r="BH122" s="3"/>
      <c r="BI122" s="3"/>
      <c r="BJ122" s="3"/>
    </row>
    <row r="123" ht="15.75" customHeight="1">
      <c r="BC123" s="3"/>
      <c r="BD123" s="3"/>
      <c r="BE123" s="3"/>
      <c r="BF123" s="3"/>
      <c r="BG123" s="3"/>
      <c r="BH123" s="3"/>
      <c r="BI123" s="3"/>
      <c r="BJ123" s="3"/>
    </row>
    <row r="124" ht="15.75" customHeight="1">
      <c r="BC124" s="3"/>
      <c r="BD124" s="3"/>
      <c r="BE124" s="3"/>
      <c r="BF124" s="3"/>
      <c r="BG124" s="3"/>
      <c r="BH124" s="3"/>
      <c r="BI124" s="3"/>
      <c r="BJ124" s="3"/>
    </row>
    <row r="125" ht="15.75" customHeight="1">
      <c r="BC125" s="3"/>
      <c r="BD125" s="3"/>
      <c r="BE125" s="3"/>
      <c r="BF125" s="3"/>
      <c r="BG125" s="3"/>
      <c r="BH125" s="3"/>
      <c r="BI125" s="3"/>
      <c r="BJ125" s="3"/>
    </row>
    <row r="126" ht="15.75" customHeight="1">
      <c r="BC126" s="3"/>
      <c r="BD126" s="3"/>
      <c r="BE126" s="3"/>
      <c r="BF126" s="3"/>
      <c r="BG126" s="3"/>
      <c r="BH126" s="3"/>
      <c r="BI126" s="3"/>
      <c r="BJ126" s="3"/>
    </row>
    <row r="127" ht="15.75" customHeight="1">
      <c r="BC127" s="3"/>
      <c r="BD127" s="3"/>
      <c r="BE127" s="3"/>
      <c r="BF127" s="3"/>
      <c r="BG127" s="3"/>
      <c r="BH127" s="3"/>
      <c r="BI127" s="3"/>
      <c r="BJ127" s="3"/>
    </row>
    <row r="128" ht="15.75" customHeight="1">
      <c r="BC128" s="3"/>
      <c r="BD128" s="3"/>
      <c r="BE128" s="3"/>
      <c r="BF128" s="3"/>
      <c r="BG128" s="3"/>
      <c r="BH128" s="3"/>
      <c r="BI128" s="3"/>
      <c r="BJ128" s="3"/>
    </row>
    <row r="129" ht="15.75" customHeight="1"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BC999" s="3"/>
      <c r="BD999" s="3"/>
      <c r="BE999" s="3"/>
      <c r="BF999" s="3"/>
      <c r="BG999" s="3"/>
      <c r="BH999" s="3"/>
      <c r="BI999" s="3"/>
      <c r="BJ999" s="3"/>
    </row>
    <row r="1000" ht="15.75" customHeight="1">
      <c r="BC1000" s="3"/>
      <c r="BD1000" s="3"/>
      <c r="BE1000" s="3"/>
      <c r="BF1000" s="3"/>
      <c r="BG1000" s="3"/>
      <c r="BH1000" s="3"/>
      <c r="BI1000" s="3"/>
      <c r="BJ1000" s="3"/>
    </row>
    <row r="1001" ht="15.75" customHeight="1">
      <c r="BC1001" s="3"/>
      <c r="BD1001" s="3"/>
      <c r="BE1001" s="3"/>
      <c r="BF1001" s="3"/>
      <c r="BG1001" s="3"/>
      <c r="BH1001" s="3"/>
      <c r="BI1001" s="3"/>
      <c r="BJ1001" s="3"/>
    </row>
  </sheetData>
  <mergeCells count="15">
    <mergeCell ref="AE3:AH3"/>
    <mergeCell ref="AI3:AL3"/>
    <mergeCell ref="AM3:AP3"/>
    <mergeCell ref="AQ3:AT3"/>
    <mergeCell ref="AU3:AX3"/>
    <mergeCell ref="AY3:BB3"/>
    <mergeCell ref="BC3:BF3"/>
    <mergeCell ref="BG3:BJ3"/>
    <mergeCell ref="C3:F3"/>
    <mergeCell ref="G3:J3"/>
    <mergeCell ref="K3:N3"/>
    <mergeCell ref="O3:R3"/>
    <mergeCell ref="S3:V3"/>
    <mergeCell ref="W3:Z3"/>
    <mergeCell ref="AA3:AD3"/>
  </mergeCells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2.38"/>
    <col customWidth="1" min="3" max="6" width="12.63"/>
    <col customWidth="1" min="8" max="8" width="13.75"/>
  </cols>
  <sheetData>
    <row r="1" ht="15.75" customHeight="1">
      <c r="A1" s="184" t="s">
        <v>172</v>
      </c>
    </row>
    <row r="2" ht="15.75" customHeight="1"/>
    <row r="3" ht="15.75" customHeight="1"/>
    <row r="4" ht="15.75" customHeight="1">
      <c r="B4" s="186"/>
      <c r="C4" s="187">
        <v>45748.0</v>
      </c>
      <c r="D4" s="187">
        <v>45778.0</v>
      </c>
      <c r="E4" s="187">
        <v>45809.0</v>
      </c>
      <c r="F4" s="187">
        <v>45839.0</v>
      </c>
      <c r="G4" s="187">
        <v>45870.0</v>
      </c>
      <c r="H4" s="187">
        <v>45901.0</v>
      </c>
      <c r="I4" s="187" t="s">
        <v>173</v>
      </c>
    </row>
    <row r="5" ht="15.75" customHeight="1">
      <c r="B5" s="188" t="s">
        <v>22</v>
      </c>
      <c r="C5" s="189"/>
      <c r="D5" s="189"/>
      <c r="E5" s="189"/>
      <c r="F5" s="189"/>
      <c r="G5" s="189"/>
      <c r="H5" s="189"/>
      <c r="I5" s="189"/>
    </row>
    <row r="6" ht="15.75" customHeight="1">
      <c r="B6" s="188" t="s">
        <v>23</v>
      </c>
      <c r="C6" s="189"/>
      <c r="D6" s="189"/>
      <c r="E6" s="189"/>
      <c r="F6" s="189"/>
      <c r="G6" s="189"/>
      <c r="H6" s="189"/>
      <c r="I6" s="189"/>
    </row>
    <row r="7" ht="15.75" customHeight="1">
      <c r="B7" s="188" t="s">
        <v>24</v>
      </c>
      <c r="C7" s="189">
        <f>MSBC!D29</f>
        <v>314020</v>
      </c>
      <c r="D7" s="189">
        <f>MSBC!J26</f>
        <v>385119.98</v>
      </c>
      <c r="E7" s="189">
        <f>MSBC!P26</f>
        <v>334806</v>
      </c>
      <c r="F7" s="189">
        <f>MSBC!V26</f>
        <v>428164</v>
      </c>
      <c r="G7" s="189">
        <f>MSBC!AB26</f>
        <v>440346</v>
      </c>
      <c r="H7" s="189">
        <f>MSBC!AH29</f>
        <v>379403.58</v>
      </c>
      <c r="I7" s="189">
        <f>SUM(C7:H7)</f>
        <v>2281859.56</v>
      </c>
    </row>
    <row r="8" ht="15.75" customHeight="1">
      <c r="B8" s="188" t="s">
        <v>25</v>
      </c>
      <c r="C8" s="189"/>
      <c r="D8" s="189"/>
      <c r="E8" s="189"/>
      <c r="F8" s="189"/>
      <c r="G8" s="189"/>
      <c r="H8" s="189"/>
      <c r="I8" s="189"/>
    </row>
    <row r="9" ht="15.75" customHeight="1">
      <c r="B9" s="188" t="s">
        <v>27</v>
      </c>
      <c r="C9" s="190">
        <f t="shared" ref="C9:H9" si="1">SUM(C5:C8)</f>
        <v>314020</v>
      </c>
      <c r="D9" s="190">
        <f t="shared" si="1"/>
        <v>385119.98</v>
      </c>
      <c r="E9" s="190">
        <f t="shared" si="1"/>
        <v>334806</v>
      </c>
      <c r="F9" s="190">
        <f t="shared" si="1"/>
        <v>428164</v>
      </c>
      <c r="G9" s="190">
        <f t="shared" si="1"/>
        <v>440346</v>
      </c>
      <c r="H9" s="190">
        <f t="shared" si="1"/>
        <v>379403.58</v>
      </c>
      <c r="I9" s="190">
        <f>SUM(C9:H9)</f>
        <v>2281859.56</v>
      </c>
    </row>
    <row r="10" ht="15.75" customHeight="1">
      <c r="B10" s="188"/>
      <c r="C10" s="189"/>
      <c r="D10" s="189"/>
      <c r="E10" s="189"/>
      <c r="F10" s="189"/>
      <c r="G10" s="189"/>
      <c r="H10" s="189"/>
      <c r="I10" s="189"/>
    </row>
    <row r="11" ht="15.75" customHeight="1">
      <c r="B11" s="188" t="s">
        <v>29</v>
      </c>
      <c r="C11" s="189">
        <f>MSBC!D47</f>
        <v>41633.01863</v>
      </c>
      <c r="D11" s="189">
        <f>MSBC!J47</f>
        <v>108620.0091</v>
      </c>
      <c r="E11" s="189">
        <f>MSBC!P47</f>
        <v>108362.4233</v>
      </c>
      <c r="F11" s="189">
        <f>MSBC!V47</f>
        <v>188001.7082</v>
      </c>
      <c r="G11" s="189">
        <f>MSBC!AB47</f>
        <v>233255.192</v>
      </c>
      <c r="H11" s="189">
        <f>MSBC!AH47</f>
        <v>227497.1731</v>
      </c>
      <c r="I11" s="189">
        <f t="shared" ref="I11:I13" si="2">SUM(C11:H11)</f>
        <v>907369.5243</v>
      </c>
    </row>
    <row r="12" ht="15.75" customHeight="1">
      <c r="B12" s="188" t="s">
        <v>30</v>
      </c>
      <c r="C12" s="189">
        <f>MSBC!D48</f>
        <v>96972</v>
      </c>
      <c r="D12" s="189">
        <f>MSBC!J48</f>
        <v>120622</v>
      </c>
      <c r="E12" s="189">
        <f>MSBC!P48</f>
        <v>137627</v>
      </c>
      <c r="F12" s="189">
        <f>MSBC!V48</f>
        <v>114665</v>
      </c>
      <c r="G12" s="189">
        <f>MSBC!AB48</f>
        <v>139980</v>
      </c>
      <c r="H12" s="189">
        <f>MSBC!AH48</f>
        <v>108781.02</v>
      </c>
      <c r="I12" s="189">
        <f t="shared" si="2"/>
        <v>718647.02</v>
      </c>
    </row>
    <row r="13" ht="15.75" customHeight="1">
      <c r="B13" s="188" t="s">
        <v>174</v>
      </c>
      <c r="C13" s="189">
        <f>MSBC!D60</f>
        <v>0</v>
      </c>
      <c r="D13" s="189">
        <f>MSBC!J60</f>
        <v>0</v>
      </c>
      <c r="E13" s="189">
        <f>MSBC!P60</f>
        <v>0</v>
      </c>
      <c r="F13" s="189">
        <f>MSBC!V60</f>
        <v>0</v>
      </c>
      <c r="G13" s="189">
        <f>MSBC!AB60</f>
        <v>0</v>
      </c>
      <c r="H13" s="189">
        <f>MSBC!AH60</f>
        <v>0</v>
      </c>
      <c r="I13" s="189">
        <f t="shared" si="2"/>
        <v>0</v>
      </c>
    </row>
    <row r="14" ht="15.75" customHeight="1">
      <c r="B14" s="188" t="s">
        <v>31</v>
      </c>
      <c r="C14" s="190">
        <f t="shared" ref="C14:I14" si="3">SUM(C11:C13)</f>
        <v>138605.0186</v>
      </c>
      <c r="D14" s="190">
        <f t="shared" si="3"/>
        <v>229242.0091</v>
      </c>
      <c r="E14" s="190">
        <f t="shared" si="3"/>
        <v>245989.4233</v>
      </c>
      <c r="F14" s="190">
        <f t="shared" si="3"/>
        <v>302666.7082</v>
      </c>
      <c r="G14" s="190">
        <f t="shared" si="3"/>
        <v>373235.192</v>
      </c>
      <c r="H14" s="190">
        <f t="shared" si="3"/>
        <v>336278.1931</v>
      </c>
      <c r="I14" s="190">
        <f t="shared" si="3"/>
        <v>1626016.544</v>
      </c>
    </row>
    <row r="15" ht="15.75" customHeight="1">
      <c r="B15" s="188"/>
      <c r="C15" s="186"/>
      <c r="D15" s="186"/>
      <c r="E15" s="186"/>
      <c r="F15" s="186"/>
      <c r="G15" s="186"/>
      <c r="H15" s="186"/>
      <c r="I15" s="186"/>
    </row>
    <row r="16" ht="15.75" customHeight="1">
      <c r="B16" s="188" t="s">
        <v>33</v>
      </c>
      <c r="C16" s="190">
        <f t="shared" ref="C16:I16" si="4">C9-C14</f>
        <v>175414.9814</v>
      </c>
      <c r="D16" s="190">
        <f t="shared" si="4"/>
        <v>155877.9709</v>
      </c>
      <c r="E16" s="190">
        <f t="shared" si="4"/>
        <v>88816.57675</v>
      </c>
      <c r="F16" s="190">
        <f t="shared" si="4"/>
        <v>125497.2918</v>
      </c>
      <c r="G16" s="190">
        <f t="shared" si="4"/>
        <v>67110.80803</v>
      </c>
      <c r="H16" s="190">
        <f t="shared" si="4"/>
        <v>43125.38687</v>
      </c>
      <c r="I16" s="190">
        <f t="shared" si="4"/>
        <v>655843.0157</v>
      </c>
    </row>
    <row r="17" ht="15.75" customHeight="1">
      <c r="B17" s="188" t="s">
        <v>54</v>
      </c>
      <c r="C17" s="191">
        <f t="shared" ref="C17:I17" si="5">C16/C9</f>
        <v>0.5586108572</v>
      </c>
      <c r="D17" s="191">
        <f t="shared" si="5"/>
        <v>0.4047517112</v>
      </c>
      <c r="E17" s="191">
        <f t="shared" si="5"/>
        <v>0.2652777332</v>
      </c>
      <c r="F17" s="191">
        <f t="shared" si="5"/>
        <v>0.29310566</v>
      </c>
      <c r="G17" s="191">
        <f t="shared" si="5"/>
        <v>0.1524047182</v>
      </c>
      <c r="H17" s="191">
        <f t="shared" si="5"/>
        <v>0.1136662624</v>
      </c>
      <c r="I17" s="191">
        <f t="shared" si="5"/>
        <v>0.28741603</v>
      </c>
    </row>
    <row r="18" ht="15.75" customHeight="1">
      <c r="B18" s="188"/>
      <c r="C18" s="186"/>
      <c r="D18" s="186"/>
      <c r="E18" s="186"/>
      <c r="F18" s="186"/>
      <c r="G18" s="186"/>
      <c r="H18" s="186"/>
      <c r="I18" s="186"/>
    </row>
    <row r="19" ht="15.75" customHeight="1">
      <c r="B19" s="188" t="s">
        <v>34</v>
      </c>
      <c r="C19" s="189">
        <f>MSBC!D73</f>
        <v>52088</v>
      </c>
      <c r="D19" s="189">
        <f>MSBC!J73</f>
        <v>130702</v>
      </c>
      <c r="E19" s="189">
        <f>MSBC!P73</f>
        <v>64999</v>
      </c>
      <c r="F19" s="189">
        <f>MSBC!V73</f>
        <v>48370.76</v>
      </c>
      <c r="G19" s="189">
        <f>MSBC!AB73</f>
        <v>30578</v>
      </c>
      <c r="H19" s="189">
        <f>MSBC!AH73</f>
        <v>45465.76</v>
      </c>
      <c r="I19" s="189">
        <f t="shared" ref="I19:I29" si="6">SUM(C19:H19)</f>
        <v>372203.52</v>
      </c>
    </row>
    <row r="20" ht="15.75" customHeight="1">
      <c r="B20" s="188" t="s">
        <v>35</v>
      </c>
      <c r="C20" s="189">
        <f>MSBC!D75</f>
        <v>49902.4</v>
      </c>
      <c r="D20" s="189">
        <f>MSBC!J75</f>
        <v>47256.6</v>
      </c>
      <c r="E20" s="189">
        <f>MSBC!P75</f>
        <v>48225.8</v>
      </c>
      <c r="F20" s="189">
        <f>MSBC!V75</f>
        <v>51054</v>
      </c>
      <c r="G20" s="189">
        <f>MSBC!AB75</f>
        <v>46155.85714</v>
      </c>
      <c r="H20" s="189">
        <f>MSBC!AH75</f>
        <v>129983.2857</v>
      </c>
      <c r="I20" s="189">
        <f t="shared" si="6"/>
        <v>372577.9429</v>
      </c>
    </row>
    <row r="21" ht="15.75" customHeight="1">
      <c r="B21" s="188" t="s">
        <v>36</v>
      </c>
      <c r="C21" s="189">
        <f>MSBC!D83</f>
        <v>24861.6796</v>
      </c>
      <c r="D21" s="189">
        <f>MSBC!J83</f>
        <v>18794.1458</v>
      </c>
      <c r="E21" s="189">
        <f>MSBC!P83</f>
        <v>10889.7054</v>
      </c>
      <c r="F21" s="189">
        <f>MSBC!V83</f>
        <v>26084.31</v>
      </c>
      <c r="G21" s="189">
        <f>MSBC!AB83</f>
        <v>32700.6</v>
      </c>
      <c r="H21" s="189">
        <f>MSBC!AH83</f>
        <v>29739.56</v>
      </c>
      <c r="I21" s="189">
        <f t="shared" si="6"/>
        <v>143070.0008</v>
      </c>
    </row>
    <row r="22" ht="15.75" customHeight="1">
      <c r="B22" s="188" t="s">
        <v>37</v>
      </c>
      <c r="C22" s="189">
        <f>MSBC!D90</f>
        <v>279573</v>
      </c>
      <c r="D22" s="189">
        <f>MSBC!J90</f>
        <v>272794</v>
      </c>
      <c r="E22" s="189">
        <f>MSBC!P90</f>
        <v>249120</v>
      </c>
      <c r="F22" s="189">
        <f>MSBC!V90</f>
        <v>248457</v>
      </c>
      <c r="G22" s="189">
        <f>MSBC!AB90</f>
        <v>250421</v>
      </c>
      <c r="H22" s="189">
        <f>MSBC!AH90</f>
        <v>240517</v>
      </c>
      <c r="I22" s="189">
        <f t="shared" si="6"/>
        <v>1540882</v>
      </c>
    </row>
    <row r="23" ht="15.75" customHeight="1">
      <c r="B23" s="188" t="s">
        <v>38</v>
      </c>
      <c r="C23" s="189">
        <f>MSBC!D96</f>
        <v>1004214.407</v>
      </c>
      <c r="D23" s="189">
        <f>MSBC!J96</f>
        <v>1260754.107</v>
      </c>
      <c r="E23" s="189">
        <f>MSBC!P96</f>
        <v>1212477.807</v>
      </c>
      <c r="F23" s="189">
        <f>MSBC!V96</f>
        <v>1229756.397</v>
      </c>
      <c r="G23" s="189">
        <f>MSBC!AB96</f>
        <v>1306212.547</v>
      </c>
      <c r="H23" s="189">
        <f>MSBC!AH96</f>
        <v>1335824.487</v>
      </c>
      <c r="I23" s="189">
        <f t="shared" si="6"/>
        <v>7349239.75</v>
      </c>
    </row>
    <row r="24" ht="15.75" customHeight="1">
      <c r="B24" s="188" t="s">
        <v>39</v>
      </c>
      <c r="C24" s="189">
        <f>MSBC!D106</f>
        <v>0</v>
      </c>
      <c r="D24" s="189">
        <f>MSBC!J106</f>
        <v>0</v>
      </c>
      <c r="E24" s="189">
        <f>MSBC!P106</f>
        <v>987.47</v>
      </c>
      <c r="F24" s="189">
        <f>MSBC!V106</f>
        <v>0</v>
      </c>
      <c r="G24" s="189">
        <f>MSBC!AB106</f>
        <v>0</v>
      </c>
      <c r="H24" s="189">
        <f>MSBC!AH106</f>
        <v>0</v>
      </c>
      <c r="I24" s="189">
        <f t="shared" si="6"/>
        <v>987.47</v>
      </c>
    </row>
    <row r="25" ht="15.75" customHeight="1">
      <c r="B25" s="188" t="s">
        <v>40</v>
      </c>
      <c r="C25" s="189">
        <f>MSBC!D109</f>
        <v>23993.33333</v>
      </c>
      <c r="D25" s="189">
        <f>MSBC!J109</f>
        <v>10521.33333</v>
      </c>
      <c r="E25" s="189">
        <f>MSBC!P109</f>
        <v>10521.33333</v>
      </c>
      <c r="F25" s="189">
        <f>MSBC!V109</f>
        <v>10521.33333</v>
      </c>
      <c r="G25" s="189">
        <f>MSBC!AB109</f>
        <v>10521.33333</v>
      </c>
      <c r="H25" s="189">
        <f>MSBC!AH109</f>
        <v>10521.33333</v>
      </c>
      <c r="I25" s="189">
        <f t="shared" si="6"/>
        <v>76600</v>
      </c>
    </row>
    <row r="26" ht="15.75" customHeight="1">
      <c r="B26" s="188" t="s">
        <v>41</v>
      </c>
      <c r="C26" s="189">
        <f>MSBC!D114</f>
        <v>54468</v>
      </c>
      <c r="D26" s="189">
        <f>MSBC!J114</f>
        <v>96234.5</v>
      </c>
      <c r="E26" s="189">
        <f>MSBC!P114</f>
        <v>161226</v>
      </c>
      <c r="F26" s="189">
        <f>MSBC!V114</f>
        <v>56001</v>
      </c>
      <c r="G26" s="189">
        <f>MSBC!AB114</f>
        <v>236581</v>
      </c>
      <c r="H26" s="189">
        <f>MSBC!AH114</f>
        <v>43771</v>
      </c>
      <c r="I26" s="189">
        <f t="shared" si="6"/>
        <v>648281.5</v>
      </c>
    </row>
    <row r="27" ht="15.75" customHeight="1">
      <c r="B27" s="188" t="s">
        <v>42</v>
      </c>
      <c r="C27" s="189">
        <v>0.0</v>
      </c>
      <c r="D27" s="189">
        <v>0.0</v>
      </c>
      <c r="E27" s="189">
        <v>0.0</v>
      </c>
      <c r="F27" s="189">
        <v>0.0</v>
      </c>
      <c r="G27" s="189">
        <f>MSBC!AB131</f>
        <v>3000</v>
      </c>
      <c r="H27" s="189">
        <v>0.0</v>
      </c>
      <c r="I27" s="189">
        <f t="shared" si="6"/>
        <v>3000</v>
      </c>
    </row>
    <row r="28" ht="15.75" customHeight="1">
      <c r="B28" s="188" t="s">
        <v>43</v>
      </c>
      <c r="C28" s="189">
        <f>MSBC!D135</f>
        <v>-1775161.34</v>
      </c>
      <c r="D28" s="189">
        <f>MSBC!J135</f>
        <v>-1609861.006</v>
      </c>
      <c r="E28" s="189">
        <f>MSBC!P135</f>
        <v>-1523801.669</v>
      </c>
      <c r="F28" s="189">
        <f>MSBC!V135</f>
        <v>-1369859.725</v>
      </c>
      <c r="G28" s="189">
        <f>MSBC!AB135</f>
        <v>-1600760.905</v>
      </c>
      <c r="H28" s="189">
        <f>MSBC!AH135</f>
        <v>-1499863.867</v>
      </c>
      <c r="I28" s="189">
        <f t="shared" si="6"/>
        <v>-9379308.512</v>
      </c>
    </row>
    <row r="29" ht="15.75" customHeight="1">
      <c r="B29" s="188" t="s">
        <v>44</v>
      </c>
      <c r="C29" s="190">
        <f t="shared" ref="C29:H29" si="7">SUM(C19:C28)</f>
        <v>-286060.5209</v>
      </c>
      <c r="D29" s="190">
        <f t="shared" si="7"/>
        <v>227195.6799</v>
      </c>
      <c r="E29" s="190">
        <f t="shared" si="7"/>
        <v>234645.4467</v>
      </c>
      <c r="F29" s="190">
        <f t="shared" si="7"/>
        <v>300385.0749</v>
      </c>
      <c r="G29" s="190">
        <f t="shared" si="7"/>
        <v>315409.432</v>
      </c>
      <c r="H29" s="190">
        <f t="shared" si="7"/>
        <v>335958.559</v>
      </c>
      <c r="I29" s="190">
        <f t="shared" si="6"/>
        <v>1127533.672</v>
      </c>
    </row>
    <row r="30" ht="15.75" customHeight="1">
      <c r="B30" s="188"/>
      <c r="C30" s="186"/>
      <c r="D30" s="186"/>
      <c r="E30" s="186"/>
      <c r="F30" s="186"/>
      <c r="G30" s="186"/>
      <c r="H30" s="186"/>
      <c r="I30" s="186"/>
    </row>
    <row r="31" ht="15.75" customHeight="1">
      <c r="B31" s="188" t="s">
        <v>45</v>
      </c>
      <c r="C31" s="190">
        <f t="shared" ref="C31:H31" si="8">C16-C29</f>
        <v>461475.5022</v>
      </c>
      <c r="D31" s="190">
        <f t="shared" si="8"/>
        <v>-71317.70897</v>
      </c>
      <c r="E31" s="190">
        <f t="shared" si="8"/>
        <v>-145828.87</v>
      </c>
      <c r="F31" s="190">
        <f t="shared" si="8"/>
        <v>-174887.7831</v>
      </c>
      <c r="G31" s="190">
        <f t="shared" si="8"/>
        <v>-248298.624</v>
      </c>
      <c r="H31" s="190">
        <f t="shared" si="8"/>
        <v>-292833.1722</v>
      </c>
      <c r="I31" s="190">
        <f>SUM(C31:H31)</f>
        <v>-471690.656</v>
      </c>
    </row>
    <row r="32" ht="15.75" customHeight="1">
      <c r="B32" s="188" t="s">
        <v>55</v>
      </c>
      <c r="C32" s="191">
        <f t="shared" ref="C32:I32" si="9">C31/C9</f>
        <v>1.469573601</v>
      </c>
      <c r="D32" s="191">
        <f t="shared" si="9"/>
        <v>-0.1851830927</v>
      </c>
      <c r="E32" s="191">
        <f t="shared" si="9"/>
        <v>-0.4355622956</v>
      </c>
      <c r="F32" s="191">
        <f t="shared" si="9"/>
        <v>-0.4084598031</v>
      </c>
      <c r="G32" s="191">
        <f t="shared" si="9"/>
        <v>-0.5638716464</v>
      </c>
      <c r="H32" s="191">
        <f t="shared" si="9"/>
        <v>-0.7718250106</v>
      </c>
      <c r="I32" s="191">
        <f t="shared" si="9"/>
        <v>-0.206713272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5.38"/>
    <col customWidth="1" min="2" max="6" width="12.63"/>
  </cols>
  <sheetData>
    <row r="1" ht="15.75" customHeight="1">
      <c r="A1" s="184" t="s">
        <v>175</v>
      </c>
    </row>
    <row r="2" ht="15.75" customHeight="1"/>
    <row r="3" ht="15.75" customHeight="1">
      <c r="B3" s="288">
        <v>45931.0</v>
      </c>
      <c r="C3" s="288">
        <v>45962.0</v>
      </c>
      <c r="D3" s="288">
        <v>45992.0</v>
      </c>
    </row>
    <row r="4" ht="15.75" customHeight="1">
      <c r="A4" s="128" t="s">
        <v>176</v>
      </c>
      <c r="B4" s="276">
        <f>'The Table'!AP31</f>
        <v>16918976</v>
      </c>
      <c r="C4" s="276">
        <f>'The Table'!AV31</f>
        <v>18682295</v>
      </c>
      <c r="D4" s="276">
        <f>'The Table'!BB31</f>
        <v>21810403</v>
      </c>
      <c r="F4" s="276">
        <f>SUM(B4:D4)</f>
        <v>57411674</v>
      </c>
    </row>
    <row r="5" ht="15.75" customHeight="1">
      <c r="A5" s="128" t="s">
        <v>177</v>
      </c>
      <c r="B5" s="276">
        <f>'The Table'!AP30</f>
        <v>1272092</v>
      </c>
      <c r="C5" s="276">
        <f>'The Table'!AV30</f>
        <v>1404671</v>
      </c>
      <c r="D5" s="276">
        <f>'The Table'!BB30</f>
        <v>1639865</v>
      </c>
    </row>
    <row r="6" ht="15.75" customHeight="1">
      <c r="A6" s="128" t="s">
        <v>178</v>
      </c>
      <c r="B6" s="276">
        <f t="shared" ref="B6:D6" si="1">B4-B5</f>
        <v>15646884</v>
      </c>
      <c r="C6" s="276">
        <f t="shared" si="1"/>
        <v>17277624</v>
      </c>
      <c r="D6" s="276">
        <f t="shared" si="1"/>
        <v>20170538</v>
      </c>
    </row>
    <row r="7" ht="15.75" customHeight="1">
      <c r="B7" s="276"/>
      <c r="C7" s="276"/>
      <c r="D7" s="276"/>
      <c r="F7" s="128" t="s">
        <v>179</v>
      </c>
    </row>
    <row r="8" ht="15.75" customHeight="1">
      <c r="A8" s="128" t="s">
        <v>180</v>
      </c>
      <c r="B8" s="276">
        <v>1.95E7</v>
      </c>
      <c r="C8" s="276">
        <f t="shared" ref="C8:D8" si="2">C4</f>
        <v>18682295</v>
      </c>
      <c r="D8" s="276">
        <f t="shared" si="2"/>
        <v>21810403</v>
      </c>
      <c r="F8" s="276">
        <f>SUM(B8:D8)</f>
        <v>59992698</v>
      </c>
    </row>
    <row r="9" ht="15.75" customHeight="1">
      <c r="A9" s="128" t="s">
        <v>181</v>
      </c>
      <c r="B9" s="276">
        <v>31.0</v>
      </c>
      <c r="C9" s="276">
        <v>30.0</v>
      </c>
      <c r="D9" s="276">
        <v>31.0</v>
      </c>
    </row>
    <row r="10" ht="15.75" customHeight="1">
      <c r="A10" s="128" t="s">
        <v>182</v>
      </c>
      <c r="B10" s="276">
        <f t="shared" ref="B10:D10" si="3">B8/B9</f>
        <v>629032.2581</v>
      </c>
      <c r="C10" s="276">
        <f t="shared" si="3"/>
        <v>622743.1667</v>
      </c>
      <c r="D10" s="276">
        <f t="shared" si="3"/>
        <v>703561.3871</v>
      </c>
      <c r="G10" s="275">
        <f>(F8-F4)/F4</f>
        <v>0.04495643168</v>
      </c>
      <c r="H10" s="276">
        <f>F8-F4</f>
        <v>2581024</v>
      </c>
    </row>
    <row r="11" ht="15.75" customHeight="1"/>
    <row r="12" ht="15.75" customHeight="1">
      <c r="B12" s="276">
        <f>B8-B6</f>
        <v>3853116</v>
      </c>
    </row>
    <row r="13" ht="15.75" customHeight="1">
      <c r="J13" s="128" t="s">
        <v>183</v>
      </c>
      <c r="K13" s="128" t="s">
        <v>184</v>
      </c>
    </row>
    <row r="14" ht="15.75" customHeight="1">
      <c r="A14" s="128" t="s">
        <v>10</v>
      </c>
      <c r="I14" s="128" t="s">
        <v>185</v>
      </c>
      <c r="J14" s="276">
        <f>F8</f>
        <v>59992698</v>
      </c>
    </row>
    <row r="15" ht="15.75" customHeight="1">
      <c r="B15" s="288">
        <v>45931.0</v>
      </c>
      <c r="C15" s="288">
        <v>45962.0</v>
      </c>
      <c r="D15" s="288">
        <v>45992.0</v>
      </c>
      <c r="F15" s="128" t="s">
        <v>183</v>
      </c>
      <c r="I15" s="128" t="s">
        <v>10</v>
      </c>
      <c r="J15" s="276">
        <f>F16</f>
        <v>54114812.53</v>
      </c>
    </row>
    <row r="16" ht="15.75" customHeight="1">
      <c r="A16" s="128" t="s">
        <v>186</v>
      </c>
      <c r="B16" s="276">
        <f>'Mg St Bandra'!AP33</f>
        <v>17477458.94</v>
      </c>
      <c r="C16" s="276">
        <f>'Mg St Bandra'!AV33</f>
        <v>17080879.88</v>
      </c>
      <c r="D16" s="276">
        <f>'Mg St Bandra'!BB33</f>
        <v>19556473.71</v>
      </c>
      <c r="F16" s="276">
        <f>SUM(B16:D16)</f>
        <v>54114812.53</v>
      </c>
      <c r="I16" s="128" t="s">
        <v>8</v>
      </c>
      <c r="J16" s="276">
        <f>F22</f>
        <v>47332681.86</v>
      </c>
    </row>
    <row r="17" ht="15.75" customHeight="1">
      <c r="A17" s="128" t="s">
        <v>181</v>
      </c>
      <c r="B17" s="128">
        <v>31.0</v>
      </c>
      <c r="C17" s="128">
        <v>30.0</v>
      </c>
      <c r="D17" s="128">
        <v>31.0</v>
      </c>
      <c r="I17" s="128" t="s">
        <v>187</v>
      </c>
      <c r="J17" s="276">
        <f>F27</f>
        <v>25985880.94</v>
      </c>
    </row>
    <row r="18" ht="15.75" customHeight="1">
      <c r="A18" s="128" t="s">
        <v>188</v>
      </c>
      <c r="B18" s="276">
        <f t="shared" ref="B18:D18" si="4">B16/B17</f>
        <v>563788.9981</v>
      </c>
      <c r="C18" s="276">
        <f t="shared" si="4"/>
        <v>569362.6627</v>
      </c>
      <c r="D18" s="276">
        <f t="shared" si="4"/>
        <v>630853.9906</v>
      </c>
      <c r="J18" s="289">
        <f>SUM(J14:J17)</f>
        <v>187426073.3</v>
      </c>
    </row>
    <row r="19" ht="15.75" customHeight="1"/>
    <row r="20" ht="15.75" customHeight="1"/>
    <row r="21" ht="15.75" customHeight="1">
      <c r="A21" s="128" t="s">
        <v>8</v>
      </c>
      <c r="B21" s="288">
        <v>45931.0</v>
      </c>
      <c r="C21" s="288">
        <v>45962.0</v>
      </c>
      <c r="D21" s="288">
        <v>45992.0</v>
      </c>
      <c r="F21" s="128" t="s">
        <v>183</v>
      </c>
      <c r="I21" s="290">
        <v>45954.0</v>
      </c>
      <c r="J21" s="290">
        <v>45985.0</v>
      </c>
      <c r="K21" s="290">
        <v>46015.0</v>
      </c>
    </row>
    <row r="22" ht="15.75" customHeight="1">
      <c r="A22" s="128" t="s">
        <v>189</v>
      </c>
      <c r="B22" s="276">
        <f>'Mg St Colaba'!AP33</f>
        <v>15076941.7</v>
      </c>
      <c r="C22" s="276">
        <f>'Mg St Colaba'!AV33</f>
        <v>15530667.9</v>
      </c>
      <c r="D22" s="276">
        <f>'Mg St Colaba'!BB33</f>
        <v>16725072.27</v>
      </c>
      <c r="F22" s="276">
        <f>SUM(B22:D22)</f>
        <v>47332681.86</v>
      </c>
      <c r="H22" s="128" t="s">
        <v>190</v>
      </c>
      <c r="I22" s="276">
        <v>8231983.0</v>
      </c>
      <c r="J22" s="276">
        <v>7928011.0</v>
      </c>
      <c r="K22" s="276">
        <v>8427932.0</v>
      </c>
      <c r="L22" s="276">
        <f>SUM(I22:K22)</f>
        <v>24587926</v>
      </c>
    </row>
    <row r="23" ht="15.75" customHeight="1">
      <c r="A23" s="128" t="s">
        <v>181</v>
      </c>
      <c r="B23" s="128">
        <v>31.0</v>
      </c>
      <c r="C23" s="128">
        <v>30.0</v>
      </c>
      <c r="D23" s="128">
        <v>31.0</v>
      </c>
      <c r="L23" s="276">
        <f>AVERAGE(I22:K22)</f>
        <v>8195975.333</v>
      </c>
    </row>
    <row r="24" ht="15.75" customHeight="1">
      <c r="A24" s="128" t="s">
        <v>188</v>
      </c>
      <c r="B24" s="276">
        <f t="shared" ref="B24:D24" si="5">B22/B23</f>
        <v>486352.9579</v>
      </c>
      <c r="C24" s="276">
        <f t="shared" si="5"/>
        <v>517688.9298</v>
      </c>
      <c r="D24" s="276">
        <f t="shared" si="5"/>
        <v>539518.4603</v>
      </c>
    </row>
    <row r="25" ht="15.75" customHeight="1"/>
    <row r="26" ht="15.75" customHeight="1">
      <c r="A26" s="291" t="s">
        <v>187</v>
      </c>
      <c r="B26" s="292">
        <v>45931.0</v>
      </c>
      <c r="C26" s="292">
        <v>45962.0</v>
      </c>
      <c r="D26" s="292">
        <v>45992.0</v>
      </c>
      <c r="F26" s="128" t="s">
        <v>183</v>
      </c>
    </row>
    <row r="27" ht="15.75" customHeight="1">
      <c r="A27" s="291" t="s">
        <v>191</v>
      </c>
      <c r="B27" s="293">
        <f t="shared" ref="B27:C27" si="6">I22*1.05</f>
        <v>8643582.15</v>
      </c>
      <c r="C27" s="293">
        <f t="shared" si="6"/>
        <v>8324411.55</v>
      </c>
      <c r="D27" s="293">
        <f>K22*1.07</f>
        <v>9017887.24</v>
      </c>
      <c r="F27" s="276">
        <f>SUM(B27:D27)</f>
        <v>25985880.94</v>
      </c>
      <c r="G27" s="276">
        <f>F27/3</f>
        <v>8661960.313</v>
      </c>
    </row>
    <row r="28" ht="15.75" customHeight="1">
      <c r="A28" s="291" t="s">
        <v>181</v>
      </c>
      <c r="B28" s="293">
        <v>31.0</v>
      </c>
      <c r="C28" s="293">
        <v>30.0</v>
      </c>
      <c r="D28" s="293">
        <v>31.0</v>
      </c>
    </row>
    <row r="29" ht="15.75" customHeight="1">
      <c r="A29" s="291" t="s">
        <v>188</v>
      </c>
      <c r="B29" s="293">
        <f t="shared" ref="B29:D29" si="7">B27/B28</f>
        <v>278825.2306</v>
      </c>
      <c r="C29" s="293">
        <f t="shared" si="7"/>
        <v>277480.385</v>
      </c>
      <c r="D29" s="293">
        <f t="shared" si="7"/>
        <v>290899.5884</v>
      </c>
    </row>
    <row r="30" ht="15.75" customHeight="1"/>
    <row r="31" ht="15.75" customHeight="1">
      <c r="B31" s="128" t="s">
        <v>192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6" width="12.63"/>
    <col customWidth="1" min="47" max="62" width="12.63"/>
  </cols>
  <sheetData>
    <row r="1" ht="15.75" customHeight="1">
      <c r="A1" s="184" t="s">
        <v>1</v>
      </c>
      <c r="BC1" s="3"/>
      <c r="BD1" s="3"/>
      <c r="BE1" s="3"/>
      <c r="BF1" s="3"/>
      <c r="BG1" s="3"/>
      <c r="BH1" s="3"/>
      <c r="BI1" s="3"/>
      <c r="BJ1" s="3"/>
    </row>
    <row r="2" ht="15.75" customHeight="1">
      <c r="A2" s="128" t="s">
        <v>168</v>
      </c>
      <c r="BC2" s="3"/>
      <c r="BD2" s="3"/>
      <c r="BE2" s="3"/>
      <c r="BF2" s="3"/>
      <c r="BG2" s="3"/>
      <c r="BH2" s="3"/>
      <c r="BI2" s="3"/>
      <c r="BJ2" s="3"/>
    </row>
    <row r="3" ht="15.75" customHeight="1">
      <c r="B3" s="188"/>
      <c r="C3" s="259" t="s">
        <v>48</v>
      </c>
      <c r="D3" s="260"/>
      <c r="E3" s="260"/>
      <c r="F3" s="261"/>
      <c r="G3" s="259" t="s">
        <v>49</v>
      </c>
      <c r="H3" s="260"/>
      <c r="I3" s="260"/>
      <c r="J3" s="261"/>
      <c r="K3" s="259" t="s">
        <v>5</v>
      </c>
      <c r="L3" s="260"/>
      <c r="M3" s="260"/>
      <c r="N3" s="261"/>
      <c r="O3" s="259" t="s">
        <v>6</v>
      </c>
      <c r="P3" s="260"/>
      <c r="Q3" s="260"/>
      <c r="R3" s="261"/>
      <c r="S3" s="259" t="s">
        <v>7</v>
      </c>
      <c r="T3" s="260"/>
      <c r="U3" s="260"/>
      <c r="V3" s="261"/>
      <c r="W3" s="259" t="s">
        <v>8</v>
      </c>
      <c r="X3" s="260"/>
      <c r="Y3" s="260"/>
      <c r="Z3" s="261"/>
      <c r="AA3" s="259" t="s">
        <v>9</v>
      </c>
      <c r="AB3" s="260"/>
      <c r="AC3" s="260"/>
      <c r="AD3" s="261"/>
      <c r="AE3" s="259" t="s">
        <v>10</v>
      </c>
      <c r="AF3" s="260"/>
      <c r="AG3" s="260"/>
      <c r="AH3" s="261"/>
      <c r="AI3" s="259" t="s">
        <v>11</v>
      </c>
      <c r="AJ3" s="260"/>
      <c r="AK3" s="260"/>
      <c r="AL3" s="261"/>
      <c r="AM3" s="259" t="s">
        <v>12</v>
      </c>
      <c r="AN3" s="260"/>
      <c r="AO3" s="260"/>
      <c r="AP3" s="261"/>
      <c r="AQ3" s="259" t="s">
        <v>13</v>
      </c>
      <c r="AR3" s="260"/>
      <c r="AS3" s="260"/>
      <c r="AT3" s="261"/>
      <c r="AU3" s="259" t="s">
        <v>14</v>
      </c>
      <c r="AV3" s="260"/>
      <c r="AW3" s="260"/>
      <c r="AX3" s="261"/>
      <c r="AY3" s="259" t="s">
        <v>15</v>
      </c>
      <c r="AZ3" s="260"/>
      <c r="BA3" s="260"/>
      <c r="BB3" s="261"/>
      <c r="BC3" s="259" t="s">
        <v>60</v>
      </c>
      <c r="BD3" s="260"/>
      <c r="BE3" s="260"/>
      <c r="BF3" s="261"/>
      <c r="BG3" s="259" t="s">
        <v>17</v>
      </c>
      <c r="BH3" s="260"/>
      <c r="BI3" s="260"/>
      <c r="BJ3" s="261"/>
      <c r="BK3" s="294"/>
    </row>
    <row r="4" ht="15.75" customHeight="1">
      <c r="B4" s="188"/>
      <c r="C4" s="188" t="s">
        <v>21</v>
      </c>
      <c r="D4" s="188" t="s">
        <v>19</v>
      </c>
      <c r="E4" s="188" t="s">
        <v>20</v>
      </c>
      <c r="F4" s="188" t="s">
        <v>19</v>
      </c>
      <c r="G4" s="188" t="s">
        <v>21</v>
      </c>
      <c r="H4" s="188" t="s">
        <v>19</v>
      </c>
      <c r="I4" s="188" t="s">
        <v>20</v>
      </c>
      <c r="J4" s="188" t="s">
        <v>19</v>
      </c>
      <c r="K4" s="188" t="s">
        <v>21</v>
      </c>
      <c r="L4" s="188" t="s">
        <v>19</v>
      </c>
      <c r="M4" s="188" t="s">
        <v>20</v>
      </c>
      <c r="N4" s="188" t="s">
        <v>19</v>
      </c>
      <c r="O4" s="188" t="s">
        <v>21</v>
      </c>
      <c r="P4" s="188" t="s">
        <v>19</v>
      </c>
      <c r="Q4" s="188" t="s">
        <v>20</v>
      </c>
      <c r="R4" s="188" t="s">
        <v>19</v>
      </c>
      <c r="S4" s="188" t="s">
        <v>21</v>
      </c>
      <c r="T4" s="188" t="s">
        <v>19</v>
      </c>
      <c r="U4" s="188" t="s">
        <v>20</v>
      </c>
      <c r="V4" s="188" t="s">
        <v>19</v>
      </c>
      <c r="W4" s="188" t="s">
        <v>21</v>
      </c>
      <c r="X4" s="188" t="s">
        <v>19</v>
      </c>
      <c r="Y4" s="188" t="s">
        <v>20</v>
      </c>
      <c r="Z4" s="188" t="s">
        <v>19</v>
      </c>
      <c r="AA4" s="188" t="s">
        <v>21</v>
      </c>
      <c r="AB4" s="188" t="s">
        <v>19</v>
      </c>
      <c r="AC4" s="188" t="s">
        <v>20</v>
      </c>
      <c r="AD4" s="188" t="s">
        <v>19</v>
      </c>
      <c r="AE4" s="188" t="s">
        <v>21</v>
      </c>
      <c r="AF4" s="188" t="s">
        <v>19</v>
      </c>
      <c r="AG4" s="188" t="s">
        <v>20</v>
      </c>
      <c r="AH4" s="188" t="s">
        <v>19</v>
      </c>
      <c r="AI4" s="188" t="s">
        <v>21</v>
      </c>
      <c r="AJ4" s="188" t="s">
        <v>19</v>
      </c>
      <c r="AK4" s="188" t="s">
        <v>20</v>
      </c>
      <c r="AL4" s="188" t="s">
        <v>19</v>
      </c>
      <c r="AM4" s="188" t="s">
        <v>21</v>
      </c>
      <c r="AN4" s="188" t="s">
        <v>19</v>
      </c>
      <c r="AO4" s="188" t="s">
        <v>20</v>
      </c>
      <c r="AP4" s="188" t="s">
        <v>19</v>
      </c>
      <c r="AQ4" s="188" t="s">
        <v>21</v>
      </c>
      <c r="AR4" s="188" t="s">
        <v>19</v>
      </c>
      <c r="AS4" s="188" t="s">
        <v>20</v>
      </c>
      <c r="AT4" s="188" t="s">
        <v>19</v>
      </c>
      <c r="AU4" s="188" t="s">
        <v>21</v>
      </c>
      <c r="AV4" s="188" t="s">
        <v>19</v>
      </c>
      <c r="AW4" s="188" t="s">
        <v>20</v>
      </c>
      <c r="AX4" s="188" t="s">
        <v>19</v>
      </c>
      <c r="AY4" s="188" t="s">
        <v>21</v>
      </c>
      <c r="AZ4" s="188" t="s">
        <v>19</v>
      </c>
      <c r="BA4" s="188" t="s">
        <v>20</v>
      </c>
      <c r="BB4" s="188" t="s">
        <v>19</v>
      </c>
      <c r="BC4" s="188" t="s">
        <v>21</v>
      </c>
      <c r="BD4" s="188" t="s">
        <v>19</v>
      </c>
      <c r="BE4" s="188" t="s">
        <v>20</v>
      </c>
      <c r="BF4" s="188" t="s">
        <v>19</v>
      </c>
      <c r="BG4" s="188" t="s">
        <v>21</v>
      </c>
      <c r="BH4" s="188" t="s">
        <v>19</v>
      </c>
      <c r="BI4" s="188" t="s">
        <v>20</v>
      </c>
      <c r="BJ4" s="188" t="s">
        <v>19</v>
      </c>
      <c r="BK4" s="295"/>
    </row>
    <row r="5" ht="15.75" customHeight="1">
      <c r="B5" s="188" t="s">
        <v>22</v>
      </c>
      <c r="C5" s="262">
        <f t="shared" ref="C5:C9" si="3">G5+K5</f>
        <v>5992520</v>
      </c>
      <c r="D5" s="268"/>
      <c r="E5" s="262" t="str">
        <f t="shared" ref="E5:E9" si="4">I5+M5</f>
        <v>#REF!</v>
      </c>
      <c r="F5" s="268"/>
      <c r="G5" s="189">
        <f>HO!AT14</f>
        <v>0</v>
      </c>
      <c r="H5" s="186"/>
      <c r="I5" s="189">
        <f>HO!AV14</f>
        <v>0</v>
      </c>
      <c r="J5" s="186"/>
      <c r="K5" s="262">
        <f t="shared" ref="K5:K9" si="5">O5+S5+W5+AA5+AE5+AI5+AM5</f>
        <v>5992520</v>
      </c>
      <c r="L5" s="268"/>
      <c r="M5" s="262" t="str">
        <f t="shared" ref="M5:M9" si="6">Q5+U5+Y5+AC5+AG5+AK5+AO5</f>
        <v>#REF!</v>
      </c>
      <c r="N5" s="268"/>
      <c r="O5" s="189">
        <f>'The Table'!AT26</f>
        <v>1351570</v>
      </c>
      <c r="P5" s="186"/>
      <c r="Q5" s="189">
        <f>'The Table'!AV26</f>
        <v>2304835</v>
      </c>
      <c r="R5" s="186"/>
      <c r="S5" s="189">
        <f>Iktara!Y22</f>
        <v>0</v>
      </c>
      <c r="T5" s="186"/>
      <c r="U5" s="189" t="str">
        <f t="shared" ref="U5:U8" si="7">#REF!</f>
        <v>#REF!</v>
      </c>
      <c r="V5" s="186"/>
      <c r="W5" s="189">
        <f>'Mg St Colaba'!AT28</f>
        <v>1414289</v>
      </c>
      <c r="X5" s="186"/>
      <c r="Y5" s="189">
        <f>'Mg St Colaba'!AV28</f>
        <v>1651550</v>
      </c>
      <c r="Z5" s="186"/>
      <c r="AA5" s="189">
        <f>'Mg St LP'!AT27</f>
        <v>1447686</v>
      </c>
      <c r="AB5" s="186"/>
      <c r="AC5" s="189">
        <f>'Mg St LP'!AV27</f>
        <v>1200409</v>
      </c>
      <c r="AD5" s="186"/>
      <c r="AE5" s="189">
        <f>'Mg St Bandra'!AT28</f>
        <v>1778975</v>
      </c>
      <c r="AF5" s="186"/>
      <c r="AG5" s="189">
        <f>'Mg St Bandra'!AV28</f>
        <v>1674791</v>
      </c>
      <c r="AH5" s="186"/>
      <c r="AI5" s="189">
        <f>'MSK Events'!K23</f>
        <v>0</v>
      </c>
      <c r="AJ5" s="186"/>
      <c r="AK5" s="189" t="str">
        <f t="shared" ref="AK5:AK8" si="8">#REF!</f>
        <v>#REF!</v>
      </c>
      <c r="AL5" s="186"/>
      <c r="AM5" s="189">
        <f>MSBC!AT24</f>
        <v>0</v>
      </c>
      <c r="AN5" s="186"/>
      <c r="AO5" s="189">
        <f>MSBC!AV24</f>
        <v>0</v>
      </c>
      <c r="AP5" s="186"/>
      <c r="AQ5" s="189">
        <f>Kaspers!AF26</f>
        <v>134900</v>
      </c>
      <c r="AR5" s="186"/>
      <c r="AS5" s="189">
        <f>Kaspers!AH26</f>
        <v>1000000</v>
      </c>
      <c r="AT5" s="186"/>
      <c r="AU5" s="189">
        <f>'MSBC Andheri'!K24</f>
        <v>0</v>
      </c>
      <c r="AV5" s="186" t="str">
        <f t="shared" ref="AV5:AW5" si="1">#REF!</f>
        <v>#REF!</v>
      </c>
      <c r="AW5" s="189" t="str">
        <f t="shared" si="1"/>
        <v>#REF!</v>
      </c>
      <c r="AX5" s="186"/>
      <c r="AY5" s="189">
        <f>'MSBC Dahisar'!K22</f>
        <v>0</v>
      </c>
      <c r="AZ5" s="186" t="str">
        <f t="shared" ref="AZ5:BA5" si="2">#REF!</f>
        <v>#REF!</v>
      </c>
      <c r="BA5" s="189" t="str">
        <f t="shared" si="2"/>
        <v>#REF!</v>
      </c>
      <c r="BB5" s="186"/>
      <c r="BC5" s="189"/>
      <c r="BD5" s="186"/>
      <c r="BE5" s="189"/>
      <c r="BF5" s="186"/>
      <c r="BG5" s="83"/>
      <c r="BH5" s="28"/>
      <c r="BI5" s="83"/>
      <c r="BJ5" s="28"/>
      <c r="BK5" s="128"/>
    </row>
    <row r="6" ht="15.75" customHeight="1">
      <c r="B6" s="188" t="s">
        <v>23</v>
      </c>
      <c r="C6" s="262">
        <f t="shared" si="3"/>
        <v>8164717</v>
      </c>
      <c r="D6" s="268"/>
      <c r="E6" s="262" t="str">
        <f t="shared" si="4"/>
        <v>#REF!</v>
      </c>
      <c r="F6" s="268"/>
      <c r="G6" s="189">
        <f>HO!AT15</f>
        <v>0</v>
      </c>
      <c r="H6" s="186"/>
      <c r="I6" s="189">
        <f>HO!AV15</f>
        <v>0</v>
      </c>
      <c r="J6" s="186"/>
      <c r="K6" s="262">
        <f t="shared" si="5"/>
        <v>8164717</v>
      </c>
      <c r="L6" s="268"/>
      <c r="M6" s="262" t="str">
        <f t="shared" si="6"/>
        <v>#REF!</v>
      </c>
      <c r="N6" s="268"/>
      <c r="O6" s="189">
        <f>'The Table'!AT27</f>
        <v>5280039</v>
      </c>
      <c r="P6" s="186"/>
      <c r="Q6" s="189">
        <f>'The Table'!AV27</f>
        <v>4041236</v>
      </c>
      <c r="R6" s="186"/>
      <c r="S6" s="189">
        <f>Iktara!Y23</f>
        <v>0</v>
      </c>
      <c r="T6" s="186"/>
      <c r="U6" s="189" t="str">
        <f t="shared" si="7"/>
        <v>#REF!</v>
      </c>
      <c r="V6" s="186"/>
      <c r="W6" s="189">
        <f>'Mg St Colaba'!AT29</f>
        <v>887426</v>
      </c>
      <c r="X6" s="186"/>
      <c r="Y6" s="189">
        <f>'Mg St Colaba'!AV29</f>
        <v>1091850</v>
      </c>
      <c r="Z6" s="186"/>
      <c r="AA6" s="189">
        <f>'Mg St LP'!AT28</f>
        <v>0</v>
      </c>
      <c r="AB6" s="186"/>
      <c r="AC6" s="189">
        <f>'Mg St LP'!AV28</f>
        <v>0</v>
      </c>
      <c r="AD6" s="186"/>
      <c r="AE6" s="189">
        <f>'Mg St Bandra'!AT29</f>
        <v>1997252</v>
      </c>
      <c r="AF6" s="186"/>
      <c r="AG6" s="189">
        <f>'Mg St Bandra'!AV29</f>
        <v>2098973</v>
      </c>
      <c r="AH6" s="186"/>
      <c r="AI6" s="189">
        <f>'MSK Events'!K24</f>
        <v>0</v>
      </c>
      <c r="AJ6" s="186"/>
      <c r="AK6" s="189" t="str">
        <f t="shared" si="8"/>
        <v>#REF!</v>
      </c>
      <c r="AL6" s="186"/>
      <c r="AM6" s="189">
        <f>MSBC!AT25</f>
        <v>0</v>
      </c>
      <c r="AN6" s="186"/>
      <c r="AO6" s="189">
        <f>MSBC!AV25</f>
        <v>0</v>
      </c>
      <c r="AP6" s="186"/>
      <c r="AQ6" s="189">
        <f>Kaspers!AF27</f>
        <v>2020249</v>
      </c>
      <c r="AR6" s="186"/>
      <c r="AS6" s="189" t="str">
        <f>Kaspers!AH27</f>
        <v/>
      </c>
      <c r="AT6" s="186"/>
      <c r="AU6" s="189">
        <f>'MSBC Andheri'!K25</f>
        <v>0</v>
      </c>
      <c r="AV6" s="186"/>
      <c r="AW6" s="189" t="str">
        <f t="shared" ref="AW6:AW8" si="9">#REF!</f>
        <v>#REF!</v>
      </c>
      <c r="AX6" s="186"/>
      <c r="AY6" s="189">
        <f>'MSBC Dahisar'!K23</f>
        <v>0</v>
      </c>
      <c r="AZ6" s="186"/>
      <c r="BA6" s="189" t="str">
        <f t="shared" ref="BA6:BA8" si="10">#REF!</f>
        <v>#REF!</v>
      </c>
      <c r="BB6" s="186"/>
      <c r="BC6" s="189"/>
      <c r="BD6" s="186"/>
      <c r="BE6" s="189"/>
      <c r="BF6" s="186"/>
      <c r="BG6" s="114"/>
      <c r="BH6" s="43"/>
      <c r="BI6" s="114"/>
      <c r="BJ6" s="43"/>
      <c r="BK6" s="128"/>
    </row>
    <row r="7" ht="15.75" customHeight="1">
      <c r="B7" s="188" t="s">
        <v>24</v>
      </c>
      <c r="C7" s="262">
        <f t="shared" si="3"/>
        <v>45814990.8</v>
      </c>
      <c r="D7" s="268"/>
      <c r="E7" s="262" t="str">
        <f t="shared" si="4"/>
        <v>#REF!</v>
      </c>
      <c r="F7" s="268"/>
      <c r="G7" s="189">
        <f>HO!AT16</f>
        <v>0</v>
      </c>
      <c r="H7" s="186"/>
      <c r="I7" s="189">
        <f>HO!AV16</f>
        <v>0</v>
      </c>
      <c r="J7" s="186"/>
      <c r="K7" s="262">
        <f t="shared" si="5"/>
        <v>45814990.8</v>
      </c>
      <c r="L7" s="268"/>
      <c r="M7" s="262" t="str">
        <f t="shared" si="6"/>
        <v>#REF!</v>
      </c>
      <c r="N7" s="268"/>
      <c r="O7" s="189">
        <f>'The Table'!AT28</f>
        <v>15326816.25</v>
      </c>
      <c r="P7" s="186"/>
      <c r="Q7" s="189">
        <f>'The Table'!AV28</f>
        <v>10931553</v>
      </c>
      <c r="R7" s="186"/>
      <c r="S7" s="189">
        <f>Iktara!Y24</f>
        <v>813256.33</v>
      </c>
      <c r="T7" s="186"/>
      <c r="U7" s="189" t="str">
        <f t="shared" si="7"/>
        <v>#REF!</v>
      </c>
      <c r="V7" s="186"/>
      <c r="W7" s="189">
        <f>'Mg St Colaba'!AT30</f>
        <v>9590081.22</v>
      </c>
      <c r="X7" s="186"/>
      <c r="Y7" s="189">
        <f>'Mg St Colaba'!AV30</f>
        <v>11749571.16</v>
      </c>
      <c r="Z7" s="186"/>
      <c r="AA7" s="189">
        <f>'Mg St LP'!AT29</f>
        <v>7495343.6</v>
      </c>
      <c r="AB7" s="186"/>
      <c r="AC7" s="189">
        <f>'Mg St LP'!AV29</f>
        <v>7946257</v>
      </c>
      <c r="AD7" s="186"/>
      <c r="AE7" s="189">
        <f>'Mg St Bandra'!AT30</f>
        <v>12026813.2</v>
      </c>
      <c r="AF7" s="186"/>
      <c r="AG7" s="189">
        <f>'Mg St Bandra'!AV30</f>
        <v>11896768</v>
      </c>
      <c r="AH7" s="186"/>
      <c r="AI7" s="189">
        <f>'MSK Events'!K25</f>
        <v>0</v>
      </c>
      <c r="AJ7" s="186"/>
      <c r="AK7" s="189" t="str">
        <f t="shared" si="8"/>
        <v>#REF!</v>
      </c>
      <c r="AL7" s="186"/>
      <c r="AM7" s="189">
        <f>MSBC!AT26</f>
        <v>562680.2</v>
      </c>
      <c r="AN7" s="186"/>
      <c r="AO7" s="189">
        <f>MSBC!AV26</f>
        <v>83790</v>
      </c>
      <c r="AP7" s="186"/>
      <c r="AQ7" s="189">
        <f>Kaspers!AF28</f>
        <v>2907975</v>
      </c>
      <c r="AR7" s="186"/>
      <c r="AS7" s="189">
        <f>Kaspers!AH28</f>
        <v>4000000</v>
      </c>
      <c r="AT7" s="186"/>
      <c r="AU7" s="189">
        <f>'MSBC Andheri'!K26</f>
        <v>331047.62</v>
      </c>
      <c r="AV7" s="186"/>
      <c r="AW7" s="189" t="str">
        <f t="shared" si="9"/>
        <v>#REF!</v>
      </c>
      <c r="AX7" s="186"/>
      <c r="AY7" s="189">
        <f>'MSBC Dahisar'!K24</f>
        <v>175195.92</v>
      </c>
      <c r="AZ7" s="186"/>
      <c r="BA7" s="189" t="str">
        <f t="shared" si="10"/>
        <v>#REF!</v>
      </c>
      <c r="BB7" s="186"/>
      <c r="BC7" s="189">
        <f>'MSBC Juhu  Goregoan'!K23</f>
        <v>126634.56</v>
      </c>
      <c r="BD7" s="186"/>
      <c r="BE7" s="189"/>
      <c r="BF7" s="186"/>
      <c r="BG7" s="114"/>
      <c r="BH7" s="43"/>
      <c r="BI7" s="114"/>
      <c r="BJ7" s="43"/>
      <c r="BK7" s="128"/>
    </row>
    <row r="8" ht="15.75" customHeight="1">
      <c r="B8" s="188" t="s">
        <v>25</v>
      </c>
      <c r="C8" s="262">
        <f t="shared" si="3"/>
        <v>4454526</v>
      </c>
      <c r="D8" s="268"/>
      <c r="E8" s="262" t="str">
        <f t="shared" si="4"/>
        <v>#REF!</v>
      </c>
      <c r="F8" s="268"/>
      <c r="G8" s="265" t="str">
        <f>HO!AT18</f>
        <v/>
      </c>
      <c r="H8" s="186"/>
      <c r="I8" s="265" t="str">
        <f>HO!AV18</f>
        <v/>
      </c>
      <c r="J8" s="186"/>
      <c r="K8" s="262">
        <f t="shared" si="5"/>
        <v>4454526</v>
      </c>
      <c r="L8" s="268"/>
      <c r="M8" s="262" t="str">
        <f t="shared" si="6"/>
        <v>#REF!</v>
      </c>
      <c r="N8" s="268"/>
      <c r="O8" s="189">
        <f>'The Table'!AT30</f>
        <v>2076832</v>
      </c>
      <c r="P8" s="186"/>
      <c r="Q8" s="265">
        <f>'The Table'!AV30</f>
        <v>1404671</v>
      </c>
      <c r="R8" s="186"/>
      <c r="S8" s="186" t="str">
        <f>Iktara!Y26</f>
        <v/>
      </c>
      <c r="T8" s="186"/>
      <c r="U8" s="186" t="str">
        <f t="shared" si="7"/>
        <v>#REF!</v>
      </c>
      <c r="V8" s="186"/>
      <c r="W8" s="189">
        <f>'Mg St Colaba'!AT32</f>
        <v>832514</v>
      </c>
      <c r="X8" s="186"/>
      <c r="Y8" s="189">
        <f>'Mg St Colaba'!AV32</f>
        <v>1037696.735</v>
      </c>
      <c r="Z8" s="186"/>
      <c r="AA8" s="189">
        <f>'Mg St LP'!AT31</f>
        <v>407914</v>
      </c>
      <c r="AB8" s="186"/>
      <c r="AC8" s="189">
        <f>'Mg St LP'!AV31</f>
        <v>544226.627</v>
      </c>
      <c r="AD8" s="186"/>
      <c r="AE8" s="189">
        <f>'Mg St Bandra'!AT32</f>
        <v>1137266</v>
      </c>
      <c r="AF8" s="186"/>
      <c r="AG8" s="189">
        <f>'Mg St Bandra'!AV32</f>
        <v>1410347.88</v>
      </c>
      <c r="AH8" s="186"/>
      <c r="AI8" s="186" t="str">
        <f>'MSK Events'!K27</f>
        <v/>
      </c>
      <c r="AJ8" s="186"/>
      <c r="AK8" s="186" t="str">
        <f t="shared" si="8"/>
        <v>#REF!</v>
      </c>
      <c r="AL8" s="186"/>
      <c r="AM8" s="189" t="str">
        <f>MSBC!AT28</f>
        <v/>
      </c>
      <c r="AN8" s="186"/>
      <c r="AO8" s="265" t="str">
        <f>MSBC!AV28</f>
        <v/>
      </c>
      <c r="AP8" s="186"/>
      <c r="AQ8" s="189">
        <f>Kaspers!AF30</f>
        <v>413804</v>
      </c>
      <c r="AR8" s="186"/>
      <c r="AS8" s="265" t="str">
        <f>Kaspers!AH30</f>
        <v/>
      </c>
      <c r="AT8" s="186"/>
      <c r="AU8" s="189" t="str">
        <f>'MSBC Andheri'!K27</f>
        <v/>
      </c>
      <c r="AV8" s="186"/>
      <c r="AW8" s="186" t="str">
        <f t="shared" si="9"/>
        <v>#REF!</v>
      </c>
      <c r="AX8" s="186"/>
      <c r="AY8" s="186" t="str">
        <f>'MSBC Dahisar'!K25</f>
        <v/>
      </c>
      <c r="AZ8" s="186"/>
      <c r="BA8" s="186" t="str">
        <f t="shared" si="10"/>
        <v>#REF!</v>
      </c>
      <c r="BB8" s="186"/>
      <c r="BC8" s="186"/>
      <c r="BD8" s="186"/>
      <c r="BE8" s="186"/>
      <c r="BF8" s="186"/>
      <c r="BG8" s="114"/>
      <c r="BH8" s="186"/>
      <c r="BI8" s="186"/>
      <c r="BJ8" s="186"/>
      <c r="BK8" s="128"/>
    </row>
    <row r="9" ht="15.75" customHeight="1">
      <c r="B9" s="188" t="s">
        <v>169</v>
      </c>
      <c r="C9" s="262">
        <f t="shared" si="3"/>
        <v>66800</v>
      </c>
      <c r="D9" s="268"/>
      <c r="E9" s="262">
        <f t="shared" si="4"/>
        <v>0</v>
      </c>
      <c r="F9" s="268"/>
      <c r="G9" s="265">
        <f>HO!AT19</f>
        <v>0</v>
      </c>
      <c r="H9" s="186"/>
      <c r="I9" s="265">
        <f>HO!AV19</f>
        <v>0</v>
      </c>
      <c r="J9" s="186"/>
      <c r="K9" s="262">
        <f t="shared" si="5"/>
        <v>66800</v>
      </c>
      <c r="L9" s="268"/>
      <c r="M9" s="262">
        <f t="shared" si="6"/>
        <v>0</v>
      </c>
      <c r="N9" s="268"/>
      <c r="O9" s="189">
        <f>'The Table'!AT22+'The Table'!AT23+'The Table'!AT24</f>
        <v>22800</v>
      </c>
      <c r="P9" s="186"/>
      <c r="Q9" s="189">
        <f>'The Table'!AV22+'The Table'!AV23+'The Table'!AV24</f>
        <v>0</v>
      </c>
      <c r="R9" s="186"/>
      <c r="S9" s="189"/>
      <c r="T9" s="186"/>
      <c r="U9" s="189"/>
      <c r="V9" s="186"/>
      <c r="W9" s="189">
        <f>'Mg St Colaba'!AT24</f>
        <v>19200</v>
      </c>
      <c r="X9" s="186"/>
      <c r="Y9" s="189"/>
      <c r="Z9" s="186"/>
      <c r="AA9" s="189">
        <f>'Mg St LP'!AT23</f>
        <v>8000</v>
      </c>
      <c r="AB9" s="186"/>
      <c r="AC9" s="189"/>
      <c r="AD9" s="186"/>
      <c r="AE9" s="189">
        <f>'Mg St Bandra'!AT24</f>
        <v>16800</v>
      </c>
      <c r="AF9" s="186"/>
      <c r="AG9" s="189"/>
      <c r="AH9" s="186"/>
      <c r="AI9" s="189"/>
      <c r="AJ9" s="186"/>
      <c r="AK9" s="189"/>
      <c r="AL9" s="186"/>
      <c r="AM9" s="189"/>
      <c r="AN9" s="186"/>
      <c r="AO9" s="189"/>
      <c r="AP9" s="186"/>
      <c r="AQ9" s="266">
        <f>Kaspers!AF21</f>
        <v>4140</v>
      </c>
      <c r="AR9" s="186"/>
      <c r="AS9" s="266">
        <v>0.0</v>
      </c>
      <c r="AT9" s="186"/>
      <c r="AU9" s="266">
        <v>0.0</v>
      </c>
      <c r="AV9" s="186"/>
      <c r="AW9" s="267">
        <v>0.0</v>
      </c>
      <c r="AX9" s="186"/>
      <c r="AY9" s="267">
        <v>0.0</v>
      </c>
      <c r="AZ9" s="186"/>
      <c r="BA9" s="267">
        <v>0.0</v>
      </c>
      <c r="BB9" s="186"/>
      <c r="BC9" s="267"/>
      <c r="BD9" s="186"/>
      <c r="BE9" s="267"/>
      <c r="BF9" s="186"/>
      <c r="BG9" s="62"/>
      <c r="BH9" s="186"/>
      <c r="BI9" s="186"/>
      <c r="BJ9" s="186"/>
      <c r="BK9" s="128"/>
    </row>
    <row r="10" ht="15.75" customHeight="1">
      <c r="B10" s="188" t="s">
        <v>27</v>
      </c>
      <c r="C10" s="262">
        <f>SUM(C5:C9)</f>
        <v>64493553.8</v>
      </c>
      <c r="D10" s="268"/>
      <c r="E10" s="262" t="str">
        <f>SUM(E5:E9)</f>
        <v>#REF!</v>
      </c>
      <c r="F10" s="268"/>
      <c r="G10" s="189">
        <f>SUM(G5:G8)</f>
        <v>0</v>
      </c>
      <c r="H10" s="186"/>
      <c r="I10" s="189">
        <f>SUM(I5:I8)</f>
        <v>0</v>
      </c>
      <c r="J10" s="186"/>
      <c r="K10" s="262">
        <f>SUM(K5:K9)</f>
        <v>64493553.8</v>
      </c>
      <c r="L10" s="268"/>
      <c r="M10" s="262" t="str">
        <f>SUM(M5:M9)</f>
        <v>#REF!</v>
      </c>
      <c r="N10" s="268"/>
      <c r="O10" s="189">
        <f>SUM(O5:O9)</f>
        <v>24058057.25</v>
      </c>
      <c r="P10" s="186"/>
      <c r="Q10" s="189">
        <f>SUM(Q5:Q9)</f>
        <v>18682295</v>
      </c>
      <c r="R10" s="186"/>
      <c r="S10" s="189">
        <f>SUM(S5:S9)</f>
        <v>813256.33</v>
      </c>
      <c r="T10" s="186"/>
      <c r="U10" s="189" t="str">
        <f>SUM(U5:U9)</f>
        <v>#REF!</v>
      </c>
      <c r="V10" s="186"/>
      <c r="W10" s="189">
        <f>SUM(W5:W9)</f>
        <v>12743510.22</v>
      </c>
      <c r="X10" s="186"/>
      <c r="Y10" s="189">
        <f>SUM(Y5:Y9)</f>
        <v>15530667.9</v>
      </c>
      <c r="Z10" s="186"/>
      <c r="AA10" s="189">
        <f>SUM(AA5:AA9)</f>
        <v>9358943.6</v>
      </c>
      <c r="AB10" s="186"/>
      <c r="AC10" s="189">
        <f>SUM(AC5:AC9)</f>
        <v>9690892.627</v>
      </c>
      <c r="AD10" s="186"/>
      <c r="AE10" s="189">
        <f>SUM(AE5:AE9)</f>
        <v>16957106.2</v>
      </c>
      <c r="AF10" s="186"/>
      <c r="AG10" s="189">
        <f>SUM(AG5:AG9)</f>
        <v>17080879.88</v>
      </c>
      <c r="AH10" s="186"/>
      <c r="AI10" s="189">
        <f>SUM(AI5:AI8)</f>
        <v>0</v>
      </c>
      <c r="AJ10" s="186"/>
      <c r="AK10" s="189" t="str">
        <f>SUM(AK5:AK8)</f>
        <v>#REF!</v>
      </c>
      <c r="AL10" s="186"/>
      <c r="AM10" s="189">
        <f>SUM(AM5:AM8)</f>
        <v>562680.2</v>
      </c>
      <c r="AN10" s="186"/>
      <c r="AO10" s="189">
        <f>SUM(AO5:AO8)</f>
        <v>83790</v>
      </c>
      <c r="AP10" s="186"/>
      <c r="AQ10" s="189">
        <f>SUM(AQ5:AQ9)</f>
        <v>5481068</v>
      </c>
      <c r="AR10" s="186"/>
      <c r="AS10" s="189">
        <f>SUM(AS5:AS9)</f>
        <v>5000000</v>
      </c>
      <c r="AT10" s="186"/>
      <c r="AU10" s="262">
        <f>SUM(AU5:AU9)</f>
        <v>331047.62</v>
      </c>
      <c r="AV10" s="188"/>
      <c r="AW10" s="262" t="str">
        <f>SUM(AW5:AW9)</f>
        <v>#REF!</v>
      </c>
      <c r="AX10" s="188"/>
      <c r="AY10" s="262">
        <f>SUM(AY5:AY9)</f>
        <v>175195.92</v>
      </c>
      <c r="AZ10" s="188"/>
      <c r="BA10" s="262" t="str">
        <f>SUM(BA5:BA9)</f>
        <v>#REF!</v>
      </c>
      <c r="BB10" s="188"/>
      <c r="BC10" s="285">
        <f>SUM(BC5:BC9)</f>
        <v>126634.56</v>
      </c>
      <c r="BD10" s="286"/>
      <c r="BE10" s="285"/>
      <c r="BF10" s="286"/>
      <c r="BG10" s="146">
        <f>SUM(BG5:BG9)</f>
        <v>0</v>
      </c>
      <c r="BH10" s="186"/>
      <c r="BI10" s="189">
        <f>SUM(BI5:BI9)</f>
        <v>0</v>
      </c>
      <c r="BJ10" s="186"/>
      <c r="BK10" s="128"/>
    </row>
    <row r="11" ht="15.75" customHeight="1">
      <c r="B11" s="188"/>
      <c r="C11" s="268"/>
      <c r="D11" s="268"/>
      <c r="E11" s="268"/>
      <c r="F11" s="268"/>
      <c r="G11" s="186"/>
      <c r="H11" s="186"/>
      <c r="I11" s="186"/>
      <c r="J11" s="186"/>
      <c r="K11" s="268"/>
      <c r="L11" s="268"/>
      <c r="M11" s="268"/>
      <c r="N11" s="268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  <c r="AA11" s="186"/>
      <c r="AB11" s="186"/>
      <c r="AC11" s="186"/>
      <c r="AD11" s="186"/>
      <c r="AE11" s="186"/>
      <c r="AF11" s="186"/>
      <c r="AG11" s="186"/>
      <c r="AH11" s="186"/>
      <c r="AI11" s="186"/>
      <c r="AJ11" s="186"/>
      <c r="AK11" s="186"/>
      <c r="AL11" s="186"/>
      <c r="AM11" s="186"/>
      <c r="AN11" s="186"/>
      <c r="AO11" s="186"/>
      <c r="AP11" s="186"/>
      <c r="AQ11" s="186"/>
      <c r="AR11" s="186"/>
      <c r="AS11" s="186"/>
      <c r="AT11" s="186"/>
      <c r="AU11" s="186"/>
      <c r="AV11" s="186"/>
      <c r="AW11" s="186"/>
      <c r="AX11" s="186"/>
      <c r="AY11" s="186"/>
      <c r="AZ11" s="186"/>
      <c r="BA11" s="186"/>
      <c r="BB11" s="186"/>
      <c r="BC11" s="186"/>
      <c r="BD11" s="186"/>
      <c r="BE11" s="186"/>
      <c r="BF11" s="186"/>
      <c r="BG11" s="83"/>
      <c r="BH11" s="186"/>
      <c r="BI11" s="186"/>
      <c r="BJ11" s="186"/>
      <c r="BK11" s="128"/>
    </row>
    <row r="12" ht="15.75" customHeight="1">
      <c r="B12" s="188" t="s">
        <v>29</v>
      </c>
      <c r="C12" s="262">
        <f t="shared" ref="C12:C13" si="13">G12+K12</f>
        <v>19602749.51</v>
      </c>
      <c r="D12" s="268"/>
      <c r="E12" s="262" t="str">
        <f t="shared" ref="E12:E13" si="14">I12+M12</f>
        <v>#REF!</v>
      </c>
      <c r="F12" s="268"/>
      <c r="G12" s="265">
        <f>HO!AT32</f>
        <v>0</v>
      </c>
      <c r="H12" s="186"/>
      <c r="I12" s="265">
        <f>HO!AV32</f>
        <v>0</v>
      </c>
      <c r="J12" s="186"/>
      <c r="K12" s="262">
        <f t="shared" ref="K12:K13" si="15">O12+S12+W12+AA12+AE12+AI12+AM12</f>
        <v>19602749.51</v>
      </c>
      <c r="L12" s="268"/>
      <c r="M12" s="262" t="str">
        <f t="shared" ref="M12:M13" si="16">Q12+U12+Y12+AC12+AG12+AK12+AO12</f>
        <v>#REF!</v>
      </c>
      <c r="N12" s="268"/>
      <c r="O12" s="189">
        <f>'The Table'!AT41</f>
        <v>7549109.649</v>
      </c>
      <c r="P12" s="186"/>
      <c r="Q12" s="189">
        <f>'The Table'!AV41</f>
        <v>6288243.11</v>
      </c>
      <c r="R12" s="186"/>
      <c r="S12" s="189">
        <f>Iktara!Y38</f>
        <v>331855.7628</v>
      </c>
      <c r="T12" s="186"/>
      <c r="U12" s="189" t="str">
        <f t="shared" ref="U12:U13" si="17">#REF!</f>
        <v>#REF!</v>
      </c>
      <c r="V12" s="186"/>
      <c r="W12" s="189">
        <f>'Mg St Colaba'!AT51</f>
        <v>4135409.617</v>
      </c>
      <c r="X12" s="186"/>
      <c r="Y12" s="189">
        <f>'Mg St Colaba'!AV51</f>
        <v>4276395.337</v>
      </c>
      <c r="Z12" s="186"/>
      <c r="AA12" s="189">
        <f>'Mg St LP'!AT52</f>
        <v>2581833.012</v>
      </c>
      <c r="AB12" s="186"/>
      <c r="AC12" s="189">
        <f>'Mg St LP'!AV52</f>
        <v>2334342.445</v>
      </c>
      <c r="AD12" s="186"/>
      <c r="AE12" s="189">
        <f>'Mg St Bandra'!AT51</f>
        <v>4736347.604</v>
      </c>
      <c r="AF12" s="186"/>
      <c r="AG12" s="189">
        <f>'Mg St Bandra'!AV51</f>
        <v>4993221.989</v>
      </c>
      <c r="AH12" s="186"/>
      <c r="AI12" s="186">
        <f>'MSK Events'!K46</f>
        <v>0</v>
      </c>
      <c r="AJ12" s="186"/>
      <c r="AK12" s="186" t="str">
        <f t="shared" ref="AK12:AK13" si="18">#REF!</f>
        <v>#REF!</v>
      </c>
      <c r="AL12" s="186"/>
      <c r="AM12" s="189">
        <f>MSBC!AT47</f>
        <v>268193.8694</v>
      </c>
      <c r="AN12" s="186"/>
      <c r="AO12" s="265">
        <f>MSBC!AV47</f>
        <v>0</v>
      </c>
      <c r="AP12" s="186"/>
      <c r="AQ12" s="189">
        <f>Kaspers!AF49</f>
        <v>2960570.583</v>
      </c>
      <c r="AR12" s="186"/>
      <c r="AS12" s="189">
        <f>Kaspers!AH49</f>
        <v>2143500</v>
      </c>
      <c r="AT12" s="186"/>
      <c r="AU12" s="189">
        <f>'MSBC Andheri'!K47</f>
        <v>273585.7024</v>
      </c>
      <c r="AV12" s="186" t="str">
        <f t="shared" ref="AV12:AW12" si="11">#REF!</f>
        <v>#REF!</v>
      </c>
      <c r="AW12" s="282" t="str">
        <f t="shared" si="11"/>
        <v>#REF!</v>
      </c>
      <c r="AX12" s="186"/>
      <c r="AY12" s="189">
        <f>'MSBC Dahisar'!K45</f>
        <v>195151.8634</v>
      </c>
      <c r="AZ12" s="186" t="str">
        <f t="shared" ref="AZ12:BA12" si="12">#REF!</f>
        <v>#REF!</v>
      </c>
      <c r="BA12" s="186" t="str">
        <f t="shared" si="12"/>
        <v>#REF!</v>
      </c>
      <c r="BB12" s="186"/>
      <c r="BC12" s="189">
        <f>'MSBC Juhu  Goregoan'!K36</f>
        <v>193426.5482</v>
      </c>
      <c r="BD12" s="186"/>
      <c r="BE12" s="186"/>
      <c r="BF12" s="186"/>
      <c r="BG12" s="114" t="str">
        <f>'LOUD MOUTH'!K47</f>
        <v/>
      </c>
      <c r="BH12" s="186"/>
      <c r="BI12" s="186"/>
      <c r="BJ12" s="186"/>
      <c r="BK12" s="128"/>
    </row>
    <row r="13" ht="15.75" customHeight="1">
      <c r="B13" s="188" t="s">
        <v>30</v>
      </c>
      <c r="C13" s="262">
        <f t="shared" si="13"/>
        <v>658773.26</v>
      </c>
      <c r="D13" s="268"/>
      <c r="E13" s="262" t="str">
        <f t="shared" si="14"/>
        <v>#REF!</v>
      </c>
      <c r="F13" s="268"/>
      <c r="G13" s="265" t="str">
        <f>HO!AT33</f>
        <v/>
      </c>
      <c r="H13" s="186"/>
      <c r="I13" s="265" t="str">
        <f>HO!AV33</f>
        <v/>
      </c>
      <c r="J13" s="186"/>
      <c r="K13" s="262">
        <f t="shared" si="15"/>
        <v>658773.26</v>
      </c>
      <c r="L13" s="268"/>
      <c r="M13" s="262" t="str">
        <f t="shared" si="16"/>
        <v>#REF!</v>
      </c>
      <c r="N13" s="268"/>
      <c r="O13" s="189">
        <f>'The Table'!AT42</f>
        <v>54343</v>
      </c>
      <c r="P13" s="186"/>
      <c r="Q13" s="189">
        <f>'The Table'!AV42</f>
        <v>53560.6344</v>
      </c>
      <c r="R13" s="186"/>
      <c r="S13" s="189">
        <f>Iktara!Y39</f>
        <v>15695</v>
      </c>
      <c r="T13" s="186"/>
      <c r="U13" s="189" t="str">
        <f t="shared" si="17"/>
        <v>#REF!</v>
      </c>
      <c r="V13" s="186"/>
      <c r="W13" s="189">
        <f>'Mg St Colaba'!AT52</f>
        <v>162405</v>
      </c>
      <c r="X13" s="186"/>
      <c r="Y13" s="189">
        <f>'Mg St Colaba'!AV52</f>
        <v>136669.8775</v>
      </c>
      <c r="Z13" s="186"/>
      <c r="AA13" s="189">
        <f>'Mg St LP'!AT53</f>
        <v>176963</v>
      </c>
      <c r="AB13" s="186"/>
      <c r="AC13" s="189">
        <f>'Mg St LP'!AV53</f>
        <v>93295.9932</v>
      </c>
      <c r="AD13" s="186"/>
      <c r="AE13" s="189">
        <f>'Mg St Bandra'!AT52</f>
        <v>159319</v>
      </c>
      <c r="AF13" s="186"/>
      <c r="AG13" s="189">
        <f>'Mg St Bandra'!AV52</f>
        <v>93944.83934</v>
      </c>
      <c r="AH13" s="186"/>
      <c r="AI13" s="186" t="str">
        <f>'MSK Events'!K47</f>
        <v/>
      </c>
      <c r="AJ13" s="186"/>
      <c r="AK13" s="186" t="str">
        <f t="shared" si="18"/>
        <v>#REF!</v>
      </c>
      <c r="AL13" s="186"/>
      <c r="AM13" s="189">
        <f>MSBC!AT48</f>
        <v>90048.26</v>
      </c>
      <c r="AN13" s="186"/>
      <c r="AO13" s="265" t="str">
        <f>MSBC!AV48</f>
        <v/>
      </c>
      <c r="AP13" s="186"/>
      <c r="AQ13" s="189">
        <f>Kaspers!AF50</f>
        <v>48343.28</v>
      </c>
      <c r="AR13" s="186"/>
      <c r="AS13" s="189">
        <f>Kaspers!AH50</f>
        <v>15500</v>
      </c>
      <c r="AT13" s="186"/>
      <c r="AU13" s="189">
        <f>'MSBC Andheri'!K48</f>
        <v>16115</v>
      </c>
      <c r="AV13" s="186"/>
      <c r="AW13" s="282" t="str">
        <f>#REF!</f>
        <v>#REF!</v>
      </c>
      <c r="AX13" s="186"/>
      <c r="AY13" s="189">
        <f>'MSBC Dahisar'!K46</f>
        <v>12011</v>
      </c>
      <c r="AZ13" s="186"/>
      <c r="BA13" s="186" t="str">
        <f>#REF!</f>
        <v>#REF!</v>
      </c>
      <c r="BB13" s="186"/>
      <c r="BC13" s="189">
        <f>'MSBC Juhu  Goregoan'!K37</f>
        <v>4611</v>
      </c>
      <c r="BD13" s="186"/>
      <c r="BE13" s="186"/>
      <c r="BF13" s="186"/>
      <c r="BG13" s="114" t="str">
        <f>'LOUD MOUTH'!K48</f>
        <v/>
      </c>
      <c r="BH13" s="186"/>
      <c r="BI13" s="186"/>
      <c r="BJ13" s="186"/>
      <c r="BK13" s="128"/>
    </row>
    <row r="14" ht="15.75" customHeight="1">
      <c r="B14" s="188" t="s">
        <v>31</v>
      </c>
      <c r="C14" s="262">
        <f>C12+C13</f>
        <v>20261522.77</v>
      </c>
      <c r="D14" s="268"/>
      <c r="E14" s="262" t="str">
        <f>E12+E13</f>
        <v>#REF!</v>
      </c>
      <c r="F14" s="268"/>
      <c r="G14" s="265">
        <f>G12+G13</f>
        <v>0</v>
      </c>
      <c r="H14" s="186"/>
      <c r="I14" s="265">
        <f>I12+I13</f>
        <v>0</v>
      </c>
      <c r="J14" s="186"/>
      <c r="K14" s="262">
        <f>sum(K12:K13)</f>
        <v>20261522.77</v>
      </c>
      <c r="L14" s="268"/>
      <c r="M14" s="268"/>
      <c r="N14" s="268"/>
      <c r="O14" s="189">
        <f>O12+O13</f>
        <v>7603452.649</v>
      </c>
      <c r="P14" s="186"/>
      <c r="Q14" s="189">
        <f>Q12+Q13</f>
        <v>6341803.744</v>
      </c>
      <c r="R14" s="186"/>
      <c r="S14" s="189">
        <f>S12+S13</f>
        <v>347550.7628</v>
      </c>
      <c r="T14" s="186"/>
      <c r="U14" s="189" t="str">
        <f>U12+U13</f>
        <v>#REF!</v>
      </c>
      <c r="V14" s="186"/>
      <c r="W14" s="189">
        <f>W12+W13</f>
        <v>4297814.617</v>
      </c>
      <c r="X14" s="186"/>
      <c r="Y14" s="189">
        <f>Y12+Y13</f>
        <v>4413065.214</v>
      </c>
      <c r="Z14" s="186"/>
      <c r="AA14" s="189">
        <f>AA12+AA13</f>
        <v>2758796.012</v>
      </c>
      <c r="AB14" s="186"/>
      <c r="AC14" s="189">
        <f>AC12+AC13</f>
        <v>2427638.439</v>
      </c>
      <c r="AD14" s="186"/>
      <c r="AE14" s="189">
        <f>SUM(AE12:AE13)</f>
        <v>4895666.604</v>
      </c>
      <c r="AF14" s="186"/>
      <c r="AG14" s="189">
        <f>SUM(AG12:AG13)</f>
        <v>5087166.828</v>
      </c>
      <c r="AH14" s="186"/>
      <c r="AI14" s="186">
        <f>SUM(AI12:AI13)</f>
        <v>0</v>
      </c>
      <c r="AJ14" s="186"/>
      <c r="AK14" s="186" t="str">
        <f>SUM(AK12:AK13)</f>
        <v>#REF!</v>
      </c>
      <c r="AL14" s="186"/>
      <c r="AM14" s="189">
        <f>AM12+AM13</f>
        <v>358242.1294</v>
      </c>
      <c r="AN14" s="186"/>
      <c r="AO14" s="189">
        <f>AO12+AO13</f>
        <v>0</v>
      </c>
      <c r="AP14" s="186"/>
      <c r="AQ14" s="189">
        <f>SUM(AQ12:AQ13)</f>
        <v>3008913.863</v>
      </c>
      <c r="AR14" s="186"/>
      <c r="AS14" s="189">
        <f>SUM(AS12:AS13)</f>
        <v>2159000</v>
      </c>
      <c r="AT14" s="186"/>
      <c r="AU14" s="190">
        <f>SUM(AU12:AU13)</f>
        <v>289700.7024</v>
      </c>
      <c r="AV14" s="188"/>
      <c r="AW14" s="287" t="str">
        <f>SUM(AW12:AW13)</f>
        <v>#REF!</v>
      </c>
      <c r="AX14" s="188"/>
      <c r="AY14" s="190">
        <f>SUM(AY12:AY13)</f>
        <v>207162.8634</v>
      </c>
      <c r="AZ14" s="188"/>
      <c r="BA14" s="188" t="str">
        <f>SUM(BA12:BA13)</f>
        <v>#REF!</v>
      </c>
      <c r="BB14" s="188"/>
      <c r="BC14" s="190">
        <f>SUM(BC12:BC13)</f>
        <v>198037.5482</v>
      </c>
      <c r="BD14" s="188"/>
      <c r="BE14" s="188">
        <f>SUM(BE12:BE13)</f>
        <v>0</v>
      </c>
      <c r="BF14" s="188"/>
      <c r="BG14" s="146">
        <f>SUM(BG12:BG13)</f>
        <v>0</v>
      </c>
      <c r="BH14" s="186"/>
      <c r="BI14" s="186"/>
      <c r="BJ14" s="186"/>
      <c r="BK14" s="128"/>
    </row>
    <row r="15" ht="15.75" customHeight="1">
      <c r="B15" s="188"/>
      <c r="C15" s="268"/>
      <c r="D15" s="268"/>
      <c r="E15" s="268"/>
      <c r="F15" s="268"/>
      <c r="G15" s="186"/>
      <c r="H15" s="186"/>
      <c r="I15" s="186"/>
      <c r="J15" s="186"/>
      <c r="K15" s="268"/>
      <c r="L15" s="268"/>
      <c r="M15" s="268"/>
      <c r="N15" s="268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  <c r="AA15" s="186"/>
      <c r="AB15" s="186"/>
      <c r="AC15" s="186"/>
      <c r="AD15" s="186"/>
      <c r="AE15" s="186"/>
      <c r="AF15" s="186"/>
      <c r="AG15" s="186"/>
      <c r="AH15" s="186"/>
      <c r="AI15" s="186"/>
      <c r="AJ15" s="186"/>
      <c r="AK15" s="186"/>
      <c r="AL15" s="186"/>
      <c r="AM15" s="186"/>
      <c r="AN15" s="186"/>
      <c r="AO15" s="186"/>
      <c r="AP15" s="186"/>
      <c r="AQ15" s="186"/>
      <c r="AR15" s="186"/>
      <c r="AS15" s="186"/>
      <c r="AT15" s="186"/>
      <c r="AU15" s="189">
        <f>'MSBC Andheri'!K60</f>
        <v>0</v>
      </c>
      <c r="AV15" s="186" t="str">
        <f t="shared" ref="AV15:AW15" si="19">#REF!</f>
        <v>#REF!</v>
      </c>
      <c r="AW15" s="186" t="str">
        <f t="shared" si="19"/>
        <v>#REF!</v>
      </c>
      <c r="AX15" s="186"/>
      <c r="AY15" s="189">
        <f>'MSBC Dahisar'!J58</f>
        <v>0</v>
      </c>
      <c r="AZ15" s="186" t="str">
        <f t="shared" ref="AZ15:BA15" si="20">#REF!</f>
        <v>#REF!</v>
      </c>
      <c r="BA15" s="186" t="str">
        <f t="shared" si="20"/>
        <v>#REF!</v>
      </c>
      <c r="BB15" s="186"/>
      <c r="BC15" s="189">
        <f>'MSBC Dahisar'!K58</f>
        <v>0</v>
      </c>
      <c r="BD15" s="186"/>
      <c r="BE15" s="186"/>
      <c r="BF15" s="186"/>
      <c r="BG15" s="96"/>
      <c r="BH15" s="186"/>
      <c r="BI15" s="186"/>
      <c r="BJ15" s="186"/>
      <c r="BK15" s="128"/>
    </row>
    <row r="16" ht="15.75" customHeight="1">
      <c r="B16" s="188" t="s">
        <v>33</v>
      </c>
      <c r="C16" s="262">
        <f>C10-C14</f>
        <v>44232031.03</v>
      </c>
      <c r="D16" s="268"/>
      <c r="E16" s="262" t="str">
        <f>E10-E14</f>
        <v>#REF!</v>
      </c>
      <c r="F16" s="268"/>
      <c r="G16" s="189">
        <f>G10-G14</f>
        <v>0</v>
      </c>
      <c r="H16" s="186"/>
      <c r="I16" s="189">
        <f>I10-I14</f>
        <v>0</v>
      </c>
      <c r="J16" s="186"/>
      <c r="K16" s="262">
        <f>K10-K14</f>
        <v>44232031.03</v>
      </c>
      <c r="L16" s="268"/>
      <c r="M16" s="262" t="str">
        <f>Q16+U16+Y16+AC16+AG16+AK16+AO16</f>
        <v>#REF!</v>
      </c>
      <c r="N16" s="268"/>
      <c r="O16" s="189">
        <f>O10-O14</f>
        <v>16454604.6</v>
      </c>
      <c r="P16" s="186"/>
      <c r="Q16" s="189">
        <f>Q10-Q14</f>
        <v>12340491.26</v>
      </c>
      <c r="R16" s="186"/>
      <c r="S16" s="189">
        <f>S10-S14</f>
        <v>465705.5672</v>
      </c>
      <c r="T16" s="186"/>
      <c r="U16" s="189" t="str">
        <f>U10-U14</f>
        <v>#REF!</v>
      </c>
      <c r="V16" s="186"/>
      <c r="W16" s="189">
        <f>W10-W14</f>
        <v>8445695.603</v>
      </c>
      <c r="X16" s="186"/>
      <c r="Y16" s="189">
        <f>Y10-Y14</f>
        <v>11117602.68</v>
      </c>
      <c r="Z16" s="186"/>
      <c r="AA16" s="189">
        <f>AA10-AA14</f>
        <v>6600147.588</v>
      </c>
      <c r="AB16" s="186"/>
      <c r="AC16" s="189">
        <f>AC10-AC14</f>
        <v>7263254.188</v>
      </c>
      <c r="AD16" s="186"/>
      <c r="AE16" s="189">
        <f>AE10-AE14</f>
        <v>12061439.6</v>
      </c>
      <c r="AF16" s="186"/>
      <c r="AG16" s="189">
        <f>AG10-AG14</f>
        <v>11993713.05</v>
      </c>
      <c r="AH16" s="186"/>
      <c r="AI16" s="189">
        <f>AI10-AI14</f>
        <v>0</v>
      </c>
      <c r="AJ16" s="186"/>
      <c r="AK16" s="189" t="str">
        <f>AK10-AK14</f>
        <v>#REF!</v>
      </c>
      <c r="AL16" s="186"/>
      <c r="AM16" s="189">
        <f>AM10-AM14</f>
        <v>204438.0706</v>
      </c>
      <c r="AN16" s="186"/>
      <c r="AO16" s="189">
        <f>AO10-AO14</f>
        <v>83790</v>
      </c>
      <c r="AP16" s="186"/>
      <c r="AQ16" s="189">
        <f>AQ10-AQ14</f>
        <v>2472154.137</v>
      </c>
      <c r="AR16" s="186"/>
      <c r="AS16" s="189">
        <f>AS10-AS14</f>
        <v>2841000</v>
      </c>
      <c r="AT16" s="186"/>
      <c r="AU16" s="262">
        <f>AU10-AU14-AU15</f>
        <v>41346.91759</v>
      </c>
      <c r="AV16" s="268"/>
      <c r="AW16" s="262" t="str">
        <f>AW10-AW14-AW15</f>
        <v>#REF!</v>
      </c>
      <c r="AX16" s="268"/>
      <c r="AY16" s="262">
        <f>AY10-AY14-AY15</f>
        <v>-31966.94337</v>
      </c>
      <c r="AZ16" s="268"/>
      <c r="BA16" s="262" t="str">
        <f>BA10-BA14-BA15</f>
        <v>#REF!</v>
      </c>
      <c r="BB16" s="268"/>
      <c r="BC16" s="262">
        <f>BC10-BC14-BC15</f>
        <v>-71402.98817</v>
      </c>
      <c r="BD16" s="268"/>
      <c r="BE16" s="262"/>
      <c r="BF16" s="268"/>
      <c r="BG16" s="146">
        <f>BG10-BG14</f>
        <v>0</v>
      </c>
      <c r="BH16" s="186"/>
      <c r="BI16" s="186"/>
      <c r="BJ16" s="186"/>
      <c r="BK16" s="128"/>
    </row>
    <row r="17" ht="15.75" customHeight="1">
      <c r="B17" s="188"/>
      <c r="C17" s="268"/>
      <c r="D17" s="268"/>
      <c r="E17" s="268"/>
      <c r="F17" s="268"/>
      <c r="G17" s="186"/>
      <c r="H17" s="186"/>
      <c r="I17" s="186"/>
      <c r="J17" s="186"/>
      <c r="K17" s="268"/>
      <c r="L17" s="268"/>
      <c r="M17" s="268"/>
      <c r="N17" s="268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  <c r="AA17" s="186"/>
      <c r="AB17" s="186"/>
      <c r="AC17" s="186"/>
      <c r="AD17" s="186"/>
      <c r="AE17" s="186"/>
      <c r="AF17" s="186"/>
      <c r="AG17" s="186"/>
      <c r="AH17" s="186"/>
      <c r="AI17" s="186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6"/>
      <c r="AU17" s="186"/>
      <c r="AV17" s="186"/>
      <c r="AW17" s="186"/>
      <c r="AX17" s="186"/>
      <c r="AY17" s="186"/>
      <c r="AZ17" s="186"/>
      <c r="BA17" s="186"/>
      <c r="BB17" s="186"/>
      <c r="BC17" s="186"/>
      <c r="BD17" s="186"/>
      <c r="BE17" s="186"/>
      <c r="BF17" s="186"/>
      <c r="BG17" s="83"/>
      <c r="BH17" s="186"/>
      <c r="BI17" s="186"/>
      <c r="BJ17" s="186"/>
      <c r="BK17" s="128"/>
    </row>
    <row r="18" ht="15.75" customHeight="1">
      <c r="B18" s="188" t="s">
        <v>34</v>
      </c>
      <c r="C18" s="262">
        <f t="shared" ref="C18:C27" si="21">G18+K18</f>
        <v>1492911.83</v>
      </c>
      <c r="D18" s="268"/>
      <c r="E18" s="262" t="str">
        <f t="shared" ref="E18:E28" si="22">I18+M18</f>
        <v>#REF!</v>
      </c>
      <c r="F18" s="268"/>
      <c r="G18" s="265">
        <f>HO!AT44</f>
        <v>0</v>
      </c>
      <c r="H18" s="186"/>
      <c r="I18" s="189">
        <f>HO!AV44</f>
        <v>0</v>
      </c>
      <c r="J18" s="186"/>
      <c r="K18" s="262">
        <f t="shared" ref="K18:K27" si="23">O18+S18+W18+AA18+AE18+AI18+AM18</f>
        <v>1492911.83</v>
      </c>
      <c r="L18" s="268"/>
      <c r="M18" s="262" t="str">
        <f t="shared" ref="M18:M27" si="24">Q18+U18+Y18+AC18+AG18+AK18+AO18</f>
        <v>#REF!</v>
      </c>
      <c r="N18" s="268"/>
      <c r="O18" s="189">
        <f>'The Table'!AT53</f>
        <v>462631</v>
      </c>
      <c r="P18" s="186"/>
      <c r="Q18" s="189">
        <f>'The Table'!AV53</f>
        <v>398916.72</v>
      </c>
      <c r="R18" s="186"/>
      <c r="S18" s="189">
        <f>Iktara!Y50</f>
        <v>22435</v>
      </c>
      <c r="T18" s="186"/>
      <c r="U18" s="189" t="str">
        <f t="shared" ref="U18:U27" si="25">#REF!</f>
        <v>#REF!</v>
      </c>
      <c r="V18" s="186"/>
      <c r="W18" s="189">
        <f>'Mg St Colaba'!AT77</f>
        <v>480527</v>
      </c>
      <c r="X18" s="186"/>
      <c r="Y18" s="189">
        <f>'Mg St Colaba'!AV77</f>
        <v>358758.4284</v>
      </c>
      <c r="Z18" s="186"/>
      <c r="AA18" s="189">
        <f>'Mg St LP'!AT78</f>
        <v>154262</v>
      </c>
      <c r="AB18" s="186"/>
      <c r="AC18" s="189">
        <f>'Mg St LP'!AV78</f>
        <v>227735.9767</v>
      </c>
      <c r="AD18" s="186"/>
      <c r="AE18" s="189">
        <f>'Mg St Bandra'!AT75</f>
        <v>343842</v>
      </c>
      <c r="AF18" s="186"/>
      <c r="AG18" s="189">
        <f>'Mg St Bandra'!AV75</f>
        <v>360406.5655</v>
      </c>
      <c r="AH18" s="186"/>
      <c r="AI18" s="265">
        <f>'MSK Events'!K72</f>
        <v>0</v>
      </c>
      <c r="AJ18" s="186"/>
      <c r="AK18" s="189" t="str">
        <f t="shared" ref="AK18:AK27" si="26">#REF!</f>
        <v>#REF!</v>
      </c>
      <c r="AL18" s="186"/>
      <c r="AM18" s="189">
        <f>MSBC!AT73</f>
        <v>29214.83</v>
      </c>
      <c r="AN18" s="186"/>
      <c r="AO18" s="189">
        <f>MSBC!AV73</f>
        <v>0</v>
      </c>
      <c r="AP18" s="186"/>
      <c r="AQ18" s="189">
        <f>Kaspers!AF64</f>
        <v>183756.16</v>
      </c>
      <c r="AR18" s="186"/>
      <c r="AS18" s="189">
        <f>Kaspers!AH64</f>
        <v>80000</v>
      </c>
      <c r="AT18" s="186"/>
      <c r="AU18" s="189" t="str">
        <f>'MSBC Andheri'!J53</f>
        <v/>
      </c>
      <c r="AV18" s="186"/>
      <c r="AW18" s="189" t="str">
        <f t="shared" ref="AW18:AW27" si="27">#REF!</f>
        <v>#REF!</v>
      </c>
      <c r="AX18" s="186"/>
      <c r="AY18" s="189">
        <f>'MSBC Dahisar'!K71</f>
        <v>0</v>
      </c>
      <c r="AZ18" s="186"/>
      <c r="BA18" s="186"/>
      <c r="BB18" s="186"/>
      <c r="BC18" s="189" t="str">
        <f>'MSBC Juhu  Goregoan'!K55</f>
        <v/>
      </c>
      <c r="BD18" s="186"/>
      <c r="BE18" s="186"/>
      <c r="BF18" s="186"/>
      <c r="BG18" s="114">
        <v>0.0</v>
      </c>
      <c r="BH18" s="186"/>
      <c r="BI18" s="186"/>
      <c r="BJ18" s="186"/>
      <c r="BK18" s="128"/>
    </row>
    <row r="19" ht="15.75" customHeight="1">
      <c r="B19" s="188" t="s">
        <v>35</v>
      </c>
      <c r="C19" s="280">
        <f t="shared" si="21"/>
        <v>989757.9048</v>
      </c>
      <c r="D19" s="268"/>
      <c r="E19" s="280" t="str">
        <f t="shared" si="22"/>
        <v>#REF!</v>
      </c>
      <c r="F19" s="268"/>
      <c r="G19" s="281">
        <f>HO!AT53</f>
        <v>43478</v>
      </c>
      <c r="H19" s="186"/>
      <c r="I19" s="281">
        <f>HO!AV53</f>
        <v>12874</v>
      </c>
      <c r="J19" s="186"/>
      <c r="K19" s="262">
        <f t="shared" si="23"/>
        <v>946279.9048</v>
      </c>
      <c r="L19" s="268"/>
      <c r="M19" s="262" t="str">
        <f t="shared" si="24"/>
        <v>#REF!</v>
      </c>
      <c r="N19" s="268"/>
      <c r="O19" s="189">
        <f>'The Table'!AT62</f>
        <v>174567.6667</v>
      </c>
      <c r="P19" s="186"/>
      <c r="Q19" s="189">
        <f>'The Table'!AV62</f>
        <v>213741</v>
      </c>
      <c r="R19" s="186"/>
      <c r="S19" s="189">
        <f>Iktara!Y62</f>
        <v>88889</v>
      </c>
      <c r="T19" s="186"/>
      <c r="U19" s="189" t="str">
        <f t="shared" si="25"/>
        <v>#REF!</v>
      </c>
      <c r="V19" s="186"/>
      <c r="W19" s="189">
        <f>'Mg St Colaba'!AT89</f>
        <v>206535.1429</v>
      </c>
      <c r="X19" s="186"/>
      <c r="Y19" s="189">
        <f>'Mg St Colaba'!AV89</f>
        <v>141981</v>
      </c>
      <c r="Z19" s="186"/>
      <c r="AA19" s="189">
        <f>'Mg St LP'!AT89</f>
        <v>241718.1429</v>
      </c>
      <c r="AB19" s="186"/>
      <c r="AC19" s="189">
        <f>'Mg St LP'!AV89</f>
        <v>246958</v>
      </c>
      <c r="AD19" s="186"/>
      <c r="AE19" s="189">
        <f>'Mg St Bandra'!AT87</f>
        <v>183509.8095</v>
      </c>
      <c r="AF19" s="186"/>
      <c r="AG19" s="189">
        <f>'Mg St Bandra'!AV87</f>
        <v>228657.6667</v>
      </c>
      <c r="AH19" s="186"/>
      <c r="AI19" s="186">
        <f>'MSK Events'!K84</f>
        <v>0</v>
      </c>
      <c r="AJ19" s="186"/>
      <c r="AK19" s="186" t="str">
        <f t="shared" si="26"/>
        <v>#REF!</v>
      </c>
      <c r="AL19" s="186"/>
      <c r="AM19" s="189">
        <f>MSBC!AT75</f>
        <v>51060.14286</v>
      </c>
      <c r="AN19" s="186"/>
      <c r="AO19" s="265">
        <f>MSBC!AV75</f>
        <v>74649</v>
      </c>
      <c r="AP19" s="186"/>
      <c r="AQ19" s="189">
        <f>Kaspers!AF76</f>
        <v>246107.3333</v>
      </c>
      <c r="AR19" s="186"/>
      <c r="AS19" s="189">
        <f>Kaspers!AH76</f>
        <v>28996.66667</v>
      </c>
      <c r="AT19" s="186"/>
      <c r="AU19" s="189">
        <f>'MSBC Andheri'!K85</f>
        <v>75132.14286</v>
      </c>
      <c r="AV19" s="186"/>
      <c r="AW19" s="189" t="str">
        <f t="shared" si="27"/>
        <v>#REF!</v>
      </c>
      <c r="AX19" s="186"/>
      <c r="AY19" s="189">
        <f>'MSBC Dahisar'!K73</f>
        <v>64918.47619</v>
      </c>
      <c r="AZ19" s="186"/>
      <c r="BA19" s="186"/>
      <c r="BB19" s="186"/>
      <c r="BC19" s="189">
        <f>'MSBC Juhu  Goregoan'!K74</f>
        <v>58023.47619</v>
      </c>
      <c r="BD19" s="186"/>
      <c r="BE19" s="186"/>
      <c r="BF19" s="186"/>
      <c r="BG19" s="114">
        <f>'LOUD MOUTH'!K85</f>
        <v>231810</v>
      </c>
      <c r="BH19" s="43"/>
      <c r="BI19" s="114"/>
      <c r="BJ19" s="43"/>
      <c r="BK19" s="128"/>
    </row>
    <row r="20" ht="15.75" customHeight="1">
      <c r="B20" s="188" t="s">
        <v>36</v>
      </c>
      <c r="C20" s="262">
        <f t="shared" si="21"/>
        <v>1890658.238</v>
      </c>
      <c r="D20" s="268"/>
      <c r="E20" s="262" t="str">
        <f t="shared" si="22"/>
        <v>#REF!</v>
      </c>
      <c r="F20" s="268"/>
      <c r="G20" s="265">
        <f>HO!AT63</f>
        <v>0</v>
      </c>
      <c r="H20" s="186"/>
      <c r="I20" s="265">
        <f>HO!AV63</f>
        <v>0</v>
      </c>
      <c r="J20" s="186"/>
      <c r="K20" s="262">
        <f t="shared" si="23"/>
        <v>1890658.238</v>
      </c>
      <c r="L20" s="268"/>
      <c r="M20" s="262" t="str">
        <f t="shared" si="24"/>
        <v>#REF!</v>
      </c>
      <c r="N20" s="268"/>
      <c r="O20" s="189">
        <f>'The Table'!AT70</f>
        <v>117983.9246</v>
      </c>
      <c r="P20" s="186"/>
      <c r="Q20" s="189">
        <f>'The Table'!AV70</f>
        <v>210359.984</v>
      </c>
      <c r="R20" s="186"/>
      <c r="S20" s="189">
        <f>Iktara!Y70</f>
        <v>89736.67</v>
      </c>
      <c r="T20" s="186"/>
      <c r="U20" s="189" t="str">
        <f t="shared" si="25"/>
        <v>#REF!</v>
      </c>
      <c r="V20" s="186"/>
      <c r="W20" s="189">
        <f>'Mg St Colaba'!AT100</f>
        <v>440470.5732</v>
      </c>
      <c r="X20" s="186"/>
      <c r="Y20" s="189">
        <f>'Mg St Colaba'!AV100</f>
        <v>505692.09</v>
      </c>
      <c r="Z20" s="186"/>
      <c r="AA20" s="189">
        <f>'Mg St LP'!AT101</f>
        <v>614233.79</v>
      </c>
      <c r="AB20" s="186"/>
      <c r="AC20" s="189">
        <f>'Mg St LP'!AV101</f>
        <v>759704.6605</v>
      </c>
      <c r="AD20" s="186"/>
      <c r="AE20" s="189">
        <f>'Mg St Bandra'!AT98</f>
        <v>589505.57</v>
      </c>
      <c r="AF20" s="186"/>
      <c r="AG20" s="189">
        <f>'Mg St Bandra'!AV98</f>
        <v>529520.1805</v>
      </c>
      <c r="AH20" s="186"/>
      <c r="AI20" s="186">
        <f>'MSK Events'!K91</f>
        <v>0</v>
      </c>
      <c r="AJ20" s="186"/>
      <c r="AK20" s="186" t="str">
        <f t="shared" si="26"/>
        <v>#REF!</v>
      </c>
      <c r="AL20" s="186"/>
      <c r="AM20" s="189">
        <f>MSBC!AT83</f>
        <v>38727.71</v>
      </c>
      <c r="AN20" s="186"/>
      <c r="AO20" s="265">
        <f>MSBC!AV83</f>
        <v>0</v>
      </c>
      <c r="AP20" s="186"/>
      <c r="AQ20" s="189">
        <f>Kaspers!AF83</f>
        <v>0</v>
      </c>
      <c r="AR20" s="186"/>
      <c r="AS20" s="265">
        <f>Kaspers!AH83</f>
        <v>0</v>
      </c>
      <c r="AT20" s="186"/>
      <c r="AU20" s="189">
        <f>'MSBC Andheri'!K93</f>
        <v>93621.36</v>
      </c>
      <c r="AV20" s="186"/>
      <c r="AW20" s="189" t="str">
        <f t="shared" si="27"/>
        <v>#REF!</v>
      </c>
      <c r="AX20" s="186"/>
      <c r="AY20" s="189">
        <f>'MSBC Dahisar'!K80</f>
        <v>60881.74</v>
      </c>
      <c r="AZ20" s="186"/>
      <c r="BA20" s="186"/>
      <c r="BB20" s="186"/>
      <c r="BC20" s="189">
        <f>'MSBC Juhu  Goregoan'!K81</f>
        <v>53962.59</v>
      </c>
      <c r="BD20" s="186"/>
      <c r="BE20" s="186"/>
      <c r="BF20" s="186"/>
      <c r="BG20" s="114">
        <v>0.0</v>
      </c>
      <c r="BH20" s="43"/>
      <c r="BI20" s="114"/>
      <c r="BJ20" s="43"/>
      <c r="BK20" s="128"/>
    </row>
    <row r="21" ht="15.75" customHeight="1">
      <c r="B21" s="188" t="s">
        <v>37</v>
      </c>
      <c r="C21" s="262">
        <f t="shared" si="21"/>
        <v>6709014</v>
      </c>
      <c r="D21" s="268"/>
      <c r="E21" s="262" t="str">
        <f t="shared" si="22"/>
        <v>#REF!</v>
      </c>
      <c r="F21" s="268"/>
      <c r="G21" s="189">
        <f>HO!AT70</f>
        <v>366100</v>
      </c>
      <c r="H21" s="186"/>
      <c r="I21" s="189">
        <f>HO!AV70</f>
        <v>380880</v>
      </c>
      <c r="J21" s="186"/>
      <c r="K21" s="262">
        <f t="shared" si="23"/>
        <v>6342914</v>
      </c>
      <c r="L21" s="268"/>
      <c r="M21" s="262" t="str">
        <f t="shared" si="24"/>
        <v>#REF!</v>
      </c>
      <c r="N21" s="268"/>
      <c r="O21" s="189">
        <f>'The Table'!AT76</f>
        <v>1774558</v>
      </c>
      <c r="P21" s="186"/>
      <c r="Q21" s="189">
        <f>'The Table'!AV76</f>
        <v>1827400.02</v>
      </c>
      <c r="R21" s="186"/>
      <c r="S21" s="189">
        <f>Iktara!Y76</f>
        <v>85504</v>
      </c>
      <c r="T21" s="186"/>
      <c r="U21" s="186" t="str">
        <f t="shared" si="25"/>
        <v>#REF!</v>
      </c>
      <c r="V21" s="186"/>
      <c r="W21" s="189">
        <f>'Mg St Colaba'!AT107</f>
        <v>1455572</v>
      </c>
      <c r="X21" s="186"/>
      <c r="Y21" s="189">
        <f>'Mg St Colaba'!AV107</f>
        <v>1487757</v>
      </c>
      <c r="Z21" s="186"/>
      <c r="AA21" s="189">
        <f>'Mg St LP'!AT108</f>
        <v>1062737</v>
      </c>
      <c r="AB21" s="186"/>
      <c r="AC21" s="186">
        <f>'Mg St LP'!AV108</f>
        <v>1027426.6</v>
      </c>
      <c r="AD21" s="186"/>
      <c r="AE21" s="189">
        <f>'Mg St Bandra'!AT105</f>
        <v>1575020</v>
      </c>
      <c r="AF21" s="186"/>
      <c r="AG21" s="189">
        <f>'Mg St Bandra'!AV105</f>
        <v>1499900</v>
      </c>
      <c r="AH21" s="186"/>
      <c r="AI21" s="186">
        <f>'MSK Events'!K98</f>
        <v>125890</v>
      </c>
      <c r="AJ21" s="186"/>
      <c r="AK21" s="186" t="str">
        <f t="shared" si="26"/>
        <v>#REF!</v>
      </c>
      <c r="AL21" s="186"/>
      <c r="AM21" s="189">
        <f>MSBC!AT90</f>
        <v>263633</v>
      </c>
      <c r="AN21" s="186"/>
      <c r="AO21" s="265">
        <f>MSBC!AV90</f>
        <v>0</v>
      </c>
      <c r="AP21" s="186"/>
      <c r="AQ21" s="189">
        <f>Kaspers!AF90</f>
        <v>332425.4167</v>
      </c>
      <c r="AR21" s="186"/>
      <c r="AS21" s="189">
        <f>Kaspers!AH90</f>
        <v>0</v>
      </c>
      <c r="AT21" s="186"/>
      <c r="AU21" s="189">
        <f>'MSBC Andheri'!K100</f>
        <v>0</v>
      </c>
      <c r="AV21" s="186"/>
      <c r="AW21" s="189" t="str">
        <f t="shared" si="27"/>
        <v>#REF!</v>
      </c>
      <c r="AX21" s="186"/>
      <c r="AY21" s="189">
        <f>'MSBC Dahisar'!K89</f>
        <v>0</v>
      </c>
      <c r="AZ21" s="186"/>
      <c r="BA21" s="186"/>
      <c r="BB21" s="186"/>
      <c r="BC21" s="266">
        <v>0.0</v>
      </c>
      <c r="BD21" s="186"/>
      <c r="BE21" s="186"/>
      <c r="BF21" s="186"/>
      <c r="BG21" s="114">
        <f>'LOUD MOUTH'!K101</f>
        <v>0</v>
      </c>
      <c r="BH21" s="43"/>
      <c r="BI21" s="43"/>
      <c r="BJ21" s="43"/>
      <c r="BK21" s="128"/>
    </row>
    <row r="22" ht="15.75" customHeight="1">
      <c r="B22" s="188" t="s">
        <v>38</v>
      </c>
      <c r="C22" s="262">
        <f t="shared" si="21"/>
        <v>19795556.27</v>
      </c>
      <c r="D22" s="268"/>
      <c r="E22" s="262" t="str">
        <f t="shared" si="22"/>
        <v>#REF!</v>
      </c>
      <c r="F22" s="268"/>
      <c r="G22" s="189">
        <f>HO!AT77</f>
        <v>4276440.997</v>
      </c>
      <c r="H22" s="186"/>
      <c r="I22" s="189">
        <f>HO!AV77</f>
        <v>4043806</v>
      </c>
      <c r="J22" s="186"/>
      <c r="K22" s="262">
        <f t="shared" si="23"/>
        <v>15519115.28</v>
      </c>
      <c r="L22" s="268"/>
      <c r="M22" s="262" t="str">
        <f t="shared" si="24"/>
        <v>#REF!</v>
      </c>
      <c r="N22" s="268"/>
      <c r="O22" s="189">
        <f>'The Table'!AT82</f>
        <v>5266901.517</v>
      </c>
      <c r="P22" s="186"/>
      <c r="Q22" s="189">
        <f>'The Table'!AV82</f>
        <v>4388683.777</v>
      </c>
      <c r="R22" s="186"/>
      <c r="S22" s="282">
        <f>Iktara!Y82</f>
        <v>298917.05</v>
      </c>
      <c r="T22" s="186"/>
      <c r="U22" s="189" t="str">
        <f t="shared" si="25"/>
        <v>#REF!</v>
      </c>
      <c r="V22" s="186"/>
      <c r="W22" s="189">
        <f>'Mg St Colaba'!AT113</f>
        <v>3082782.937</v>
      </c>
      <c r="X22" s="186"/>
      <c r="Y22" s="189">
        <f>'Mg St Colaba'!AV113</f>
        <v>3323769.555</v>
      </c>
      <c r="Z22" s="186"/>
      <c r="AA22" s="189">
        <f>'Mg St LP'!AT115</f>
        <v>1653788.223</v>
      </c>
      <c r="AB22" s="186"/>
      <c r="AC22" s="189">
        <f>'Mg St LP'!AV115</f>
        <v>1386737.458</v>
      </c>
      <c r="AD22" s="186"/>
      <c r="AE22" s="189">
        <f>'Mg St Bandra'!AT114</f>
        <v>3701541.09</v>
      </c>
      <c r="AF22" s="186"/>
      <c r="AG22" s="189">
        <f>'Mg St Bandra'!AV114</f>
        <v>3806083.75</v>
      </c>
      <c r="AH22" s="186"/>
      <c r="AI22" s="186">
        <f>'MSK Events'!K104</f>
        <v>1497</v>
      </c>
      <c r="AJ22" s="186"/>
      <c r="AK22" s="186" t="str">
        <f t="shared" si="26"/>
        <v>#REF!</v>
      </c>
      <c r="AL22" s="186"/>
      <c r="AM22" s="189">
        <f>MSBC!AT96</f>
        <v>1513687.46</v>
      </c>
      <c r="AN22" s="186"/>
      <c r="AO22" s="265">
        <f>MSBC!AV96</f>
        <v>0</v>
      </c>
      <c r="AP22" s="186"/>
      <c r="AQ22" s="189">
        <f>Kaspers!AF97</f>
        <v>2386450</v>
      </c>
      <c r="AR22" s="186"/>
      <c r="AS22" s="189">
        <f>Kaspers!AH97</f>
        <v>0</v>
      </c>
      <c r="AT22" s="186"/>
      <c r="AU22" s="189">
        <f>'MSBC Andheri'!K106</f>
        <v>0</v>
      </c>
      <c r="AV22" s="186"/>
      <c r="AW22" s="189" t="str">
        <f t="shared" si="27"/>
        <v>#REF!</v>
      </c>
      <c r="AX22" s="186"/>
      <c r="AY22" s="189" t="str">
        <f>'MSBC Dahisar'!K95</f>
        <v/>
      </c>
      <c r="AZ22" s="186"/>
      <c r="BA22" s="186"/>
      <c r="BB22" s="186"/>
      <c r="BC22" s="266">
        <v>0.0</v>
      </c>
      <c r="BD22" s="186"/>
      <c r="BE22" s="186"/>
      <c r="BF22" s="186"/>
      <c r="BG22" s="114">
        <f>'LOUD MOUTH'!K108</f>
        <v>0</v>
      </c>
      <c r="BH22" s="43"/>
      <c r="BI22" s="114"/>
      <c r="BJ22" s="43"/>
      <c r="BK22" s="128"/>
    </row>
    <row r="23" ht="15.75" customHeight="1">
      <c r="B23" s="188" t="s">
        <v>39</v>
      </c>
      <c r="C23" s="262">
        <f t="shared" si="21"/>
        <v>1118069.74</v>
      </c>
      <c r="D23" s="268"/>
      <c r="E23" s="262" t="str">
        <f t="shared" si="22"/>
        <v>#REF!</v>
      </c>
      <c r="F23" s="268"/>
      <c r="G23" s="189">
        <f>HO!AT88</f>
        <v>492093</v>
      </c>
      <c r="H23" s="186"/>
      <c r="I23" s="189">
        <f>HO!AV88</f>
        <v>12500</v>
      </c>
      <c r="J23" s="186"/>
      <c r="K23" s="262">
        <f t="shared" si="23"/>
        <v>625976.74</v>
      </c>
      <c r="L23" s="268"/>
      <c r="M23" s="262" t="str">
        <f t="shared" si="24"/>
        <v>#REF!</v>
      </c>
      <c r="N23" s="268"/>
      <c r="O23" s="189">
        <f>'The Table'!AT91</f>
        <v>341974.48</v>
      </c>
      <c r="P23" s="186"/>
      <c r="Q23" s="189">
        <f>'The Table'!AV91</f>
        <v>257394.848</v>
      </c>
      <c r="R23" s="186"/>
      <c r="S23" s="186">
        <f>Iktara!Y92</f>
        <v>0</v>
      </c>
      <c r="T23" s="186"/>
      <c r="U23" s="186" t="str">
        <f t="shared" si="25"/>
        <v>#REF!</v>
      </c>
      <c r="V23" s="186"/>
      <c r="W23" s="189">
        <f>'Mg St Colaba'!AT124</f>
        <v>100956.73</v>
      </c>
      <c r="X23" s="186"/>
      <c r="Y23" s="189">
        <f>'Mg St Colaba'!AV124</f>
        <v>139298.201</v>
      </c>
      <c r="Z23" s="186"/>
      <c r="AA23" s="189">
        <f>'Mg St LP'!AT125</f>
        <v>42721.39</v>
      </c>
      <c r="AB23" s="186"/>
      <c r="AC23" s="189">
        <f>'Mg St LP'!AV125</f>
        <v>39389.412</v>
      </c>
      <c r="AD23" s="186"/>
      <c r="AE23" s="189">
        <f>'Mg St Bandra'!AT125</f>
        <v>138642.34</v>
      </c>
      <c r="AF23" s="186"/>
      <c r="AG23" s="189">
        <f>'Mg St Bandra'!AV125</f>
        <v>129848.025</v>
      </c>
      <c r="AH23" s="186"/>
      <c r="AI23" s="186">
        <f>'MSK Events'!K114</f>
        <v>0</v>
      </c>
      <c r="AJ23" s="186"/>
      <c r="AK23" s="186" t="str">
        <f t="shared" si="26"/>
        <v>#REF!</v>
      </c>
      <c r="AL23" s="186"/>
      <c r="AM23" s="189">
        <f>MSBC!AT106</f>
        <v>1681.8</v>
      </c>
      <c r="AN23" s="186"/>
      <c r="AO23" s="265">
        <f>MSBC!AV106</f>
        <v>0</v>
      </c>
      <c r="AP23" s="186"/>
      <c r="AQ23" s="189">
        <f>Kaspers!AF109</f>
        <v>80141.11</v>
      </c>
      <c r="AR23" s="186"/>
      <c r="AS23" s="189">
        <f>Kaspers!AH109</f>
        <v>0</v>
      </c>
      <c r="AT23" s="186"/>
      <c r="AU23" s="186"/>
      <c r="AV23" s="186"/>
      <c r="AW23" s="189" t="str">
        <f t="shared" si="27"/>
        <v>#REF!</v>
      </c>
      <c r="AX23" s="186"/>
      <c r="AY23" s="189">
        <f>'MSBC Dahisar'!K105</f>
        <v>0</v>
      </c>
      <c r="AZ23" s="186"/>
      <c r="BA23" s="186"/>
      <c r="BB23" s="186"/>
      <c r="BC23" s="266">
        <v>0.0</v>
      </c>
      <c r="BD23" s="186"/>
      <c r="BE23" s="186"/>
      <c r="BF23" s="186"/>
      <c r="BG23" s="114">
        <v>0.0</v>
      </c>
      <c r="BH23" s="43"/>
      <c r="BI23" s="114"/>
      <c r="BJ23" s="43"/>
      <c r="BK23" s="128"/>
    </row>
    <row r="24" ht="15.75" customHeight="1">
      <c r="B24" s="188" t="s">
        <v>40</v>
      </c>
      <c r="C24" s="262">
        <f t="shared" si="21"/>
        <v>242459.1667</v>
      </c>
      <c r="D24" s="268"/>
      <c r="E24" s="262" t="str">
        <f t="shared" si="22"/>
        <v>#REF!</v>
      </c>
      <c r="F24" s="268"/>
      <c r="G24" s="189">
        <f>HO!AT95</f>
        <v>114253.5833</v>
      </c>
      <c r="H24" s="186"/>
      <c r="I24" s="189">
        <f>HO!AV95</f>
        <v>114596.8333</v>
      </c>
      <c r="J24" s="186"/>
      <c r="K24" s="262">
        <f t="shared" si="23"/>
        <v>128205.5833</v>
      </c>
      <c r="L24" s="268"/>
      <c r="M24" s="262" t="str">
        <f t="shared" si="24"/>
        <v>#REF!</v>
      </c>
      <c r="N24" s="268"/>
      <c r="O24" s="189">
        <f>'The Table'!AT94</f>
        <v>35400</v>
      </c>
      <c r="P24" s="186"/>
      <c r="Q24" s="189">
        <f>'The Table'!AV94</f>
        <v>29500</v>
      </c>
      <c r="R24" s="186"/>
      <c r="S24" s="186">
        <f>Iktara!Y95</f>
        <v>5408</v>
      </c>
      <c r="T24" s="186"/>
      <c r="U24" s="186" t="str">
        <f t="shared" si="25"/>
        <v>#REF!</v>
      </c>
      <c r="V24" s="186"/>
      <c r="W24" s="189">
        <f>'Mg St Colaba'!AT127</f>
        <v>34768.33333</v>
      </c>
      <c r="X24" s="186"/>
      <c r="Y24" s="186">
        <f>'Mg St Colaba'!AV127</f>
        <v>30188</v>
      </c>
      <c r="Z24" s="186"/>
      <c r="AA24" s="189">
        <f>'Mg St LP'!AT128</f>
        <v>3638.333333</v>
      </c>
      <c r="AB24" s="186"/>
      <c r="AC24" s="189">
        <f>'Mg St LP'!AV128</f>
        <v>1500</v>
      </c>
      <c r="AD24" s="186"/>
      <c r="AE24" s="189">
        <f>'Mg St Bandra'!AT128</f>
        <v>31663.33333</v>
      </c>
      <c r="AF24" s="186"/>
      <c r="AG24" s="189">
        <f>'Mg St Bandra'!AV128</f>
        <v>23000</v>
      </c>
      <c r="AH24" s="186"/>
      <c r="AI24" s="186">
        <f>'MSK Events'!K117</f>
        <v>6806.25</v>
      </c>
      <c r="AJ24" s="186"/>
      <c r="AK24" s="186" t="str">
        <f t="shared" si="26"/>
        <v>#REF!</v>
      </c>
      <c r="AL24" s="186"/>
      <c r="AM24" s="189">
        <f>MSBC!AT109</f>
        <v>10521.33333</v>
      </c>
      <c r="AN24" s="186"/>
      <c r="AO24" s="265">
        <f>MSBC!AV109</f>
        <v>0</v>
      </c>
      <c r="AP24" s="186"/>
      <c r="AQ24" s="189">
        <f>Kaspers!AF113</f>
        <v>23550.83333</v>
      </c>
      <c r="AR24" s="186"/>
      <c r="AS24" s="189">
        <f>Kaspers!AH113</f>
        <v>0</v>
      </c>
      <c r="AT24" s="186"/>
      <c r="AU24" s="186"/>
      <c r="AV24" s="186"/>
      <c r="AW24" s="189" t="str">
        <f t="shared" si="27"/>
        <v>#REF!</v>
      </c>
      <c r="AX24" s="186"/>
      <c r="AY24" s="189">
        <f>'MSBC Dahisar'!K108</f>
        <v>0</v>
      </c>
      <c r="AZ24" s="186"/>
      <c r="BA24" s="186"/>
      <c r="BB24" s="186"/>
      <c r="BC24" s="189">
        <f>'MSBC Juhu  Goregoan'!K109</f>
        <v>0</v>
      </c>
      <c r="BD24" s="186"/>
      <c r="BE24" s="186"/>
      <c r="BF24" s="186"/>
      <c r="BG24" s="114">
        <v>0.0</v>
      </c>
      <c r="BH24" s="43"/>
      <c r="BI24" s="114"/>
      <c r="BJ24" s="43"/>
      <c r="BK24" s="128"/>
    </row>
    <row r="25" ht="15.75" customHeight="1">
      <c r="B25" s="188" t="s">
        <v>41</v>
      </c>
      <c r="C25" s="262">
        <f t="shared" si="21"/>
        <v>3115900.75</v>
      </c>
      <c r="D25" s="268"/>
      <c r="E25" s="262" t="str">
        <f t="shared" si="22"/>
        <v>#REF!</v>
      </c>
      <c r="F25" s="268"/>
      <c r="G25" s="189">
        <f>HO!AT106</f>
        <v>308026.3333</v>
      </c>
      <c r="H25" s="186"/>
      <c r="I25" s="189">
        <f>HO!AV106</f>
        <v>76500</v>
      </c>
      <c r="J25" s="186"/>
      <c r="K25" s="262">
        <f t="shared" si="23"/>
        <v>2807874.417</v>
      </c>
      <c r="L25" s="268"/>
      <c r="M25" s="262" t="str">
        <f t="shared" si="24"/>
        <v>#REF!</v>
      </c>
      <c r="N25" s="268"/>
      <c r="O25" s="189">
        <f>'The Table'!AT99</f>
        <v>283929.25</v>
      </c>
      <c r="P25" s="186"/>
      <c r="Q25" s="189">
        <f>'The Table'!AV99</f>
        <v>287913.1667</v>
      </c>
      <c r="R25" s="186"/>
      <c r="S25" s="282">
        <f>Iktara!Y99</f>
        <v>11042.41667</v>
      </c>
      <c r="T25" s="186"/>
      <c r="U25" s="186" t="str">
        <f t="shared" si="25"/>
        <v>#REF!</v>
      </c>
      <c r="V25" s="186"/>
      <c r="W25" s="189">
        <f>'Mg St Colaba'!AT132</f>
        <v>1004769.333</v>
      </c>
      <c r="X25" s="186"/>
      <c r="Y25" s="189">
        <f>'Mg St Colaba'!AV132</f>
        <v>438211.4167</v>
      </c>
      <c r="Z25" s="186"/>
      <c r="AA25" s="189">
        <f>'Mg St LP'!AT132</f>
        <v>50492.08333</v>
      </c>
      <c r="AB25" s="186"/>
      <c r="AC25" s="189">
        <f>'Mg St LP'!AV132</f>
        <v>82000</v>
      </c>
      <c r="AD25" s="186"/>
      <c r="AE25" s="189">
        <f>'Mg St Bandra'!AT132</f>
        <v>460148.3333</v>
      </c>
      <c r="AF25" s="186"/>
      <c r="AG25" s="189">
        <f>'Mg St Bandra'!AV132</f>
        <v>443797</v>
      </c>
      <c r="AH25" s="186"/>
      <c r="AI25" s="186">
        <f>'MSK Events'!K121</f>
        <v>956147</v>
      </c>
      <c r="AJ25" s="186"/>
      <c r="AK25" s="186" t="str">
        <f t="shared" si="26"/>
        <v>#REF!</v>
      </c>
      <c r="AL25" s="186"/>
      <c r="AM25" s="189">
        <f>MSBC!AT114</f>
        <v>41346</v>
      </c>
      <c r="AN25" s="186"/>
      <c r="AO25" s="265">
        <f>MSBC!AV114</f>
        <v>0</v>
      </c>
      <c r="AP25" s="186"/>
      <c r="AQ25" s="189">
        <f>Kaspers!AF117</f>
        <v>786450</v>
      </c>
      <c r="AR25" s="186"/>
      <c r="AS25" s="189">
        <f>Kaspers!AH117</f>
        <v>0</v>
      </c>
      <c r="AT25" s="186"/>
      <c r="AU25" s="189">
        <f>'MSBC Andheri'!K123</f>
        <v>8100</v>
      </c>
      <c r="AV25" s="186"/>
      <c r="AW25" s="189" t="str">
        <f t="shared" si="27"/>
        <v>#REF!</v>
      </c>
      <c r="AX25" s="186"/>
      <c r="AY25" s="189">
        <f>'MSBC Dahisar'!K112</f>
        <v>8100</v>
      </c>
      <c r="AZ25" s="186"/>
      <c r="BA25" s="186"/>
      <c r="BB25" s="186"/>
      <c r="BC25" s="189">
        <f>'MSBC Juhu  Goregoan'!K113</f>
        <v>8100</v>
      </c>
      <c r="BD25" s="186"/>
      <c r="BE25" s="186"/>
      <c r="BF25" s="186"/>
      <c r="BG25" s="114">
        <f>'LOUD MOUTH'!K128</f>
        <v>0</v>
      </c>
      <c r="BH25" s="43"/>
      <c r="BI25" s="114"/>
      <c r="BJ25" s="43"/>
      <c r="BK25" s="128"/>
    </row>
    <row r="26" ht="15.75" customHeight="1">
      <c r="B26" s="188" t="s">
        <v>42</v>
      </c>
      <c r="C26" s="262">
        <f t="shared" si="21"/>
        <v>87944.36111</v>
      </c>
      <c r="D26" s="268"/>
      <c r="E26" s="262" t="str">
        <f t="shared" si="22"/>
        <v>#REF!</v>
      </c>
      <c r="F26" s="268"/>
      <c r="G26" s="189">
        <f>HO!AT123</f>
        <v>63492.36111</v>
      </c>
      <c r="H26" s="186"/>
      <c r="I26" s="189">
        <f>HO!AV123</f>
        <v>100000</v>
      </c>
      <c r="J26" s="186"/>
      <c r="K26" s="262">
        <f t="shared" si="23"/>
        <v>24452</v>
      </c>
      <c r="L26" s="268"/>
      <c r="M26" s="262" t="str">
        <f t="shared" si="24"/>
        <v>#REF!</v>
      </c>
      <c r="N26" s="268"/>
      <c r="O26" s="189">
        <f>'The Table'!AT122</f>
        <v>0</v>
      </c>
      <c r="P26" s="186"/>
      <c r="Q26" s="189">
        <f>'The Table'!AV122</f>
        <v>0</v>
      </c>
      <c r="R26" s="186"/>
      <c r="S26" s="186">
        <f>Iktara!Y112</f>
        <v>0</v>
      </c>
      <c r="T26" s="186"/>
      <c r="U26" s="186" t="str">
        <f t="shared" si="25"/>
        <v>#REF!</v>
      </c>
      <c r="V26" s="186"/>
      <c r="W26" s="189">
        <f>'Mg St Colaba'!AT148</f>
        <v>0</v>
      </c>
      <c r="X26" s="186"/>
      <c r="Y26" s="186">
        <f>'Mg St Colaba'!AV148</f>
        <v>0</v>
      </c>
      <c r="Z26" s="186"/>
      <c r="AA26" s="189">
        <f>'Mg St LP'!AT148</f>
        <v>22000</v>
      </c>
      <c r="AB26" s="186"/>
      <c r="AC26" s="186">
        <f>'Mg St LP'!AV148</f>
        <v>0</v>
      </c>
      <c r="AD26" s="186"/>
      <c r="AE26" s="189">
        <f>'Mg St Bandra'!AT149</f>
        <v>2452</v>
      </c>
      <c r="AF26" s="186"/>
      <c r="AG26" s="282">
        <f>'Mg St Bandra'!AV149</f>
        <v>0</v>
      </c>
      <c r="AH26" s="186"/>
      <c r="AI26" s="186">
        <f>'MSK Events'!K138</f>
        <v>0</v>
      </c>
      <c r="AJ26" s="186"/>
      <c r="AK26" s="186" t="str">
        <f t="shared" si="26"/>
        <v>#REF!</v>
      </c>
      <c r="AL26" s="186"/>
      <c r="AM26" s="189">
        <f>MSBC!AT131</f>
        <v>0</v>
      </c>
      <c r="AN26" s="186"/>
      <c r="AO26" s="265">
        <f>MSBC!AV131</f>
        <v>0</v>
      </c>
      <c r="AP26" s="186"/>
      <c r="AQ26" s="189">
        <f>Kaspers!AF141</f>
        <v>0</v>
      </c>
      <c r="AR26" s="186"/>
      <c r="AS26" s="189">
        <f>Kaspers!AH141</f>
        <v>0</v>
      </c>
      <c r="AT26" s="186"/>
      <c r="AU26" s="189">
        <f>'MSBC Andheri'!K138</f>
        <v>0</v>
      </c>
      <c r="AV26" s="186"/>
      <c r="AW26" s="189" t="str">
        <f t="shared" si="27"/>
        <v>#REF!</v>
      </c>
      <c r="AX26" s="186"/>
      <c r="AY26" s="189">
        <f>'MSBC Dahisar'!K127</f>
        <v>0</v>
      </c>
      <c r="AZ26" s="186"/>
      <c r="BA26" s="186"/>
      <c r="BB26" s="186"/>
      <c r="BC26" s="266">
        <v>0.0</v>
      </c>
      <c r="BD26" s="186"/>
      <c r="BE26" s="186"/>
      <c r="BF26" s="186"/>
      <c r="BG26" s="114"/>
      <c r="BH26" s="43"/>
      <c r="BI26" s="114"/>
      <c r="BJ26" s="43"/>
      <c r="BK26" s="128"/>
    </row>
    <row r="27" ht="15.75" customHeight="1">
      <c r="B27" s="188" t="s">
        <v>43</v>
      </c>
      <c r="C27" s="262">
        <f t="shared" si="21"/>
        <v>-1302236</v>
      </c>
      <c r="D27" s="268"/>
      <c r="E27" s="262" t="str">
        <f t="shared" si="22"/>
        <v>#REF!</v>
      </c>
      <c r="F27" s="268"/>
      <c r="G27" s="189">
        <f>HO!AT130</f>
        <v>271444</v>
      </c>
      <c r="H27" s="186"/>
      <c r="I27" s="189">
        <f>HO!AV130</f>
        <v>0</v>
      </c>
      <c r="J27" s="186"/>
      <c r="K27" s="262">
        <f t="shared" si="23"/>
        <v>-1573680</v>
      </c>
      <c r="L27" s="268"/>
      <c r="M27" s="262" t="str">
        <f t="shared" si="24"/>
        <v>#REF!</v>
      </c>
      <c r="N27" s="268"/>
      <c r="O27" s="189">
        <f>'The Table'!AT127</f>
        <v>0</v>
      </c>
      <c r="P27" s="186"/>
      <c r="Q27" s="189">
        <f>'The Table'!AV127</f>
        <v>0</v>
      </c>
      <c r="R27" s="186"/>
      <c r="S27" s="186">
        <f>Iktara!Y116</f>
        <v>0</v>
      </c>
      <c r="T27" s="186"/>
      <c r="U27" s="189" t="str">
        <f t="shared" si="25"/>
        <v>#REF!</v>
      </c>
      <c r="V27" s="186"/>
      <c r="W27" s="189">
        <f>'Mg St Colaba'!AT153</f>
        <v>0</v>
      </c>
      <c r="X27" s="186"/>
      <c r="Y27" s="189">
        <f>'Mg St Colaba'!AV153</f>
        <v>0</v>
      </c>
      <c r="Z27" s="186"/>
      <c r="AA27" s="189">
        <f>'Mg St LP'!AT152</f>
        <v>0</v>
      </c>
      <c r="AB27" s="186"/>
      <c r="AC27" s="189">
        <f>'Mg St LP'!AV152</f>
        <v>0</v>
      </c>
      <c r="AD27" s="186"/>
      <c r="AE27" s="189">
        <f>'Mg St Bandra'!AT153</f>
        <v>0</v>
      </c>
      <c r="AF27" s="186"/>
      <c r="AG27" s="189">
        <f>'Mg St Bandra'!AV153</f>
        <v>0</v>
      </c>
      <c r="AH27" s="186"/>
      <c r="AI27" s="186">
        <f>'MSK Events'!K142</f>
        <v>0</v>
      </c>
      <c r="AJ27" s="186"/>
      <c r="AK27" s="186" t="str">
        <f t="shared" si="26"/>
        <v>#REF!</v>
      </c>
      <c r="AL27" s="186"/>
      <c r="AM27" s="189">
        <f>MSBC!AT135</f>
        <v>-1573680</v>
      </c>
      <c r="AN27" s="186"/>
      <c r="AO27" s="265">
        <f>MSBC!AV135</f>
        <v>0</v>
      </c>
      <c r="AP27" s="186"/>
      <c r="AQ27" s="189">
        <f>Kaspers!AF145</f>
        <v>0</v>
      </c>
      <c r="AR27" s="186"/>
      <c r="AS27" s="189">
        <f>Kaspers!AH145</f>
        <v>25000</v>
      </c>
      <c r="AT27" s="186"/>
      <c r="AU27" s="186"/>
      <c r="AV27" s="186"/>
      <c r="AW27" s="189" t="str">
        <f t="shared" si="27"/>
        <v>#REF!</v>
      </c>
      <c r="AX27" s="186"/>
      <c r="AY27" s="189">
        <f>'MSBC Dahisar'!K131</f>
        <v>0</v>
      </c>
      <c r="AZ27" s="186"/>
      <c r="BA27" s="186"/>
      <c r="BB27" s="186"/>
      <c r="BC27" s="266">
        <v>0.0</v>
      </c>
      <c r="BD27" s="186"/>
      <c r="BE27" s="186"/>
      <c r="BF27" s="186"/>
      <c r="BG27" s="62">
        <f>'LOUD MOUTH'!K148</f>
        <v>0</v>
      </c>
      <c r="BH27" s="62"/>
      <c r="BI27" s="62"/>
      <c r="BJ27" s="62"/>
      <c r="BK27" s="128"/>
    </row>
    <row r="28" ht="15.75" customHeight="1">
      <c r="B28" s="188" t="s">
        <v>44</v>
      </c>
      <c r="C28" s="262">
        <f>SUM(C18:C27)</f>
        <v>34140036.26</v>
      </c>
      <c r="D28" s="268"/>
      <c r="E28" s="262" t="str">
        <f t="shared" si="22"/>
        <v>#REF!</v>
      </c>
      <c r="F28" s="268"/>
      <c r="G28" s="265">
        <f>SUM(G18:G27)</f>
        <v>5935328.274</v>
      </c>
      <c r="H28" s="186"/>
      <c r="I28" s="189">
        <f>SUM(I18:I27)</f>
        <v>4741156.833</v>
      </c>
      <c r="J28" s="186"/>
      <c r="K28" s="262">
        <f>SUM(K18:K27)</f>
        <v>28204707.99</v>
      </c>
      <c r="L28" s="268"/>
      <c r="M28" s="262" t="str">
        <f>SUM(M18:M27)</f>
        <v>#REF!</v>
      </c>
      <c r="N28" s="268"/>
      <c r="O28" s="189">
        <f>SUM(O18:O27)</f>
        <v>8457945.838</v>
      </c>
      <c r="P28" s="186"/>
      <c r="Q28" s="189">
        <f>SUM(Q18:Q27)</f>
        <v>7613909.515</v>
      </c>
      <c r="R28" s="186"/>
      <c r="S28" s="189">
        <f>SUM(S18:S27)</f>
        <v>601932.1367</v>
      </c>
      <c r="T28" s="186"/>
      <c r="U28" s="189" t="str">
        <f>SUM(U18:U27)</f>
        <v>#REF!</v>
      </c>
      <c r="V28" s="186"/>
      <c r="W28" s="189">
        <f>SUM(W18:W27)</f>
        <v>6806382.049</v>
      </c>
      <c r="X28" s="186"/>
      <c r="Y28" s="189">
        <f>SUM(Y18:Y27)</f>
        <v>6425655.691</v>
      </c>
      <c r="Z28" s="186"/>
      <c r="AA28" s="189">
        <f>SUM(AA18:AA27)</f>
        <v>3845590.963</v>
      </c>
      <c r="AB28" s="186"/>
      <c r="AC28" s="189">
        <f>SUM(AC18:AC27)</f>
        <v>3771452.108</v>
      </c>
      <c r="AD28" s="186"/>
      <c r="AE28" s="189">
        <f>SUM(AE18:AE27)</f>
        <v>7026324.476</v>
      </c>
      <c r="AF28" s="186"/>
      <c r="AG28" s="189">
        <f>SUM(AG18:AG27)</f>
        <v>7021213.188</v>
      </c>
      <c r="AH28" s="186"/>
      <c r="AI28" s="265">
        <f>SUM(AI18:AI27)</f>
        <v>1090340.25</v>
      </c>
      <c r="AJ28" s="186"/>
      <c r="AK28" s="189" t="str">
        <f>SUM(AK18:AK27)</f>
        <v>#REF!</v>
      </c>
      <c r="AL28" s="186"/>
      <c r="AM28" s="189">
        <f>SUM(AM18:AM27)</f>
        <v>376192.2762</v>
      </c>
      <c r="AN28" s="186"/>
      <c r="AO28" s="189">
        <f>SUM(AO18:AO27)</f>
        <v>74649</v>
      </c>
      <c r="AP28" s="186"/>
      <c r="AQ28" s="189">
        <f>SUM(AQ18:AQ27)</f>
        <v>4038880.853</v>
      </c>
      <c r="AR28" s="186"/>
      <c r="AS28" s="189">
        <f>SUM(AS18:AS27)</f>
        <v>133996.6667</v>
      </c>
      <c r="AT28" s="186"/>
      <c r="AU28" s="189">
        <f>SUM(AU18:AU27)</f>
        <v>176853.5029</v>
      </c>
      <c r="AV28" s="186"/>
      <c r="AW28" s="262" t="str">
        <f>SUM(AW18:AW27)</f>
        <v>#REF!</v>
      </c>
      <c r="AX28" s="186"/>
      <c r="AY28" s="189">
        <f>SUM(AY18:AY27)</f>
        <v>133900.2162</v>
      </c>
      <c r="AZ28" s="186"/>
      <c r="BA28" s="186"/>
      <c r="BB28" s="186"/>
      <c r="BC28" s="189">
        <f>SUM(BC18:BC27)</f>
        <v>120086.0662</v>
      </c>
      <c r="BD28" s="186"/>
      <c r="BE28" s="186"/>
      <c r="BF28" s="186"/>
      <c r="BG28" s="146">
        <f>SUM(BG18:BG27)</f>
        <v>231810</v>
      </c>
      <c r="BH28" s="62"/>
      <c r="BI28" s="62"/>
      <c r="BJ28" s="62"/>
      <c r="BK28" s="128"/>
    </row>
    <row r="29" ht="15.75" customHeight="1">
      <c r="B29" s="188"/>
      <c r="C29" s="268"/>
      <c r="D29" s="268"/>
      <c r="E29" s="268"/>
      <c r="F29" s="268"/>
      <c r="G29" s="186"/>
      <c r="H29" s="186"/>
      <c r="I29" s="186"/>
      <c r="J29" s="186"/>
      <c r="K29" s="268"/>
      <c r="L29" s="268"/>
      <c r="M29" s="268"/>
      <c r="N29" s="268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186"/>
      <c r="AM29" s="186"/>
      <c r="AN29" s="186"/>
      <c r="AO29" s="186"/>
      <c r="AP29" s="186"/>
      <c r="AQ29" s="186"/>
      <c r="AR29" s="186"/>
      <c r="AS29" s="186"/>
      <c r="AT29" s="186"/>
      <c r="AU29" s="186"/>
      <c r="AV29" s="186"/>
      <c r="AW29" s="186"/>
      <c r="AX29" s="186"/>
      <c r="AY29" s="186"/>
      <c r="AZ29" s="186"/>
      <c r="BA29" s="186"/>
      <c r="BB29" s="186"/>
      <c r="BC29" s="186"/>
      <c r="BD29" s="186"/>
      <c r="BE29" s="186"/>
      <c r="BF29" s="186"/>
      <c r="BG29" s="96"/>
      <c r="BH29" s="62"/>
      <c r="BI29" s="62"/>
      <c r="BJ29" s="62"/>
      <c r="BK29" s="128"/>
    </row>
    <row r="30" ht="15.75" customHeight="1">
      <c r="B30" s="188" t="s">
        <v>45</v>
      </c>
      <c r="C30" s="262">
        <f>C16-C28</f>
        <v>10091994.76</v>
      </c>
      <c r="D30" s="268"/>
      <c r="E30" s="262" t="str">
        <f>E16-E28</f>
        <v>#REF!</v>
      </c>
      <c r="F30" s="268"/>
      <c r="G30" s="189">
        <f>G16-G28</f>
        <v>-5935328.274</v>
      </c>
      <c r="H30" s="186"/>
      <c r="I30" s="189">
        <f>I16-I28</f>
        <v>-4741156.833</v>
      </c>
      <c r="J30" s="186"/>
      <c r="K30" s="262">
        <f>K16-K28</f>
        <v>16027323.04</v>
      </c>
      <c r="L30" s="268"/>
      <c r="M30" s="262" t="str">
        <f>M16-M28</f>
        <v>#REF!</v>
      </c>
      <c r="N30" s="268"/>
      <c r="O30" s="189">
        <f>O16-O28</f>
        <v>7996658.764</v>
      </c>
      <c r="P30" s="186"/>
      <c r="Q30" s="189">
        <f>Q16-Q28</f>
        <v>4726581.74</v>
      </c>
      <c r="R30" s="186"/>
      <c r="S30" s="189">
        <f>S16-S28</f>
        <v>-136226.5694</v>
      </c>
      <c r="T30" s="186"/>
      <c r="U30" s="189" t="str">
        <f>U16-U28</f>
        <v>#REF!</v>
      </c>
      <c r="V30" s="186"/>
      <c r="W30" s="189">
        <f>W16-W28</f>
        <v>1639313.554</v>
      </c>
      <c r="X30" s="186"/>
      <c r="Y30" s="189">
        <f>Y16-Y28</f>
        <v>4691946.99</v>
      </c>
      <c r="Z30" s="186"/>
      <c r="AA30" s="189">
        <f>AA16-AA28</f>
        <v>2754556.625</v>
      </c>
      <c r="AB30" s="186"/>
      <c r="AC30" s="189">
        <f>AC16-AC28</f>
        <v>3491802.081</v>
      </c>
      <c r="AD30" s="186"/>
      <c r="AE30" s="189">
        <f>AE16-AE28</f>
        <v>5035115.12</v>
      </c>
      <c r="AF30" s="186"/>
      <c r="AG30" s="189">
        <f>AG16-AG28</f>
        <v>4972499.864</v>
      </c>
      <c r="AH30" s="186"/>
      <c r="AI30" s="189">
        <f>AI16-AI28</f>
        <v>-1090340.25</v>
      </c>
      <c r="AJ30" s="186"/>
      <c r="AK30" s="189" t="str">
        <f>AK16-AK28</f>
        <v>#REF!</v>
      </c>
      <c r="AL30" s="186"/>
      <c r="AM30" s="189">
        <f>AM16-AM28</f>
        <v>-171754.2056</v>
      </c>
      <c r="AN30" s="186"/>
      <c r="AO30" s="189">
        <f>AO16-AO28</f>
        <v>9141</v>
      </c>
      <c r="AP30" s="186"/>
      <c r="AQ30" s="189">
        <f>AQ16-AQ28</f>
        <v>-1566726.717</v>
      </c>
      <c r="AR30" s="186"/>
      <c r="AS30" s="189">
        <f>AS16-AS28</f>
        <v>2707003.333</v>
      </c>
      <c r="AT30" s="186"/>
      <c r="AU30" s="189">
        <f>AU16-AU28</f>
        <v>-135506.5853</v>
      </c>
      <c r="AV30" s="186"/>
      <c r="AW30" s="186"/>
      <c r="AX30" s="186"/>
      <c r="AY30" s="189">
        <f>AY16-AY28</f>
        <v>-165867.1596</v>
      </c>
      <c r="AZ30" s="186"/>
      <c r="BA30" s="186"/>
      <c r="BB30" s="186"/>
      <c r="BC30" s="189">
        <f>BC16-BC28</f>
        <v>-191489.0544</v>
      </c>
      <c r="BD30" s="186"/>
      <c r="BE30" s="186"/>
      <c r="BF30" s="186"/>
      <c r="BG30" s="146">
        <f>BG16-BG28</f>
        <v>-231810</v>
      </c>
      <c r="BH30" s="62"/>
      <c r="BI30" s="62"/>
      <c r="BJ30" s="62"/>
      <c r="BK30" s="128"/>
    </row>
    <row r="31" ht="15.75" customHeight="1">
      <c r="BC31" s="274"/>
      <c r="BD31" s="274"/>
      <c r="BE31" s="274"/>
      <c r="BF31" s="274"/>
      <c r="BG31" s="274"/>
      <c r="BH31" s="274"/>
      <c r="BI31" s="274"/>
      <c r="BJ31" s="274"/>
    </row>
    <row r="32" ht="15.75" hidden="1" customHeight="1">
      <c r="AM32" s="129">
        <f>MSBC!AT142</f>
        <v>-171754.2056</v>
      </c>
      <c r="BC32" s="3"/>
      <c r="BD32" s="3"/>
      <c r="BE32" s="3"/>
      <c r="BF32" s="3"/>
      <c r="BG32" s="3"/>
      <c r="BH32" s="3"/>
      <c r="BI32" s="3"/>
      <c r="BJ32" s="3"/>
    </row>
    <row r="33" ht="15.75" customHeight="1">
      <c r="BC33" s="3"/>
      <c r="BD33" s="3"/>
      <c r="BE33" s="3"/>
      <c r="BF33" s="3"/>
      <c r="BG33" s="3"/>
      <c r="BH33" s="3"/>
      <c r="BI33" s="3"/>
      <c r="BJ33" s="3"/>
    </row>
    <row r="34" ht="15.75" customHeight="1">
      <c r="BC34" s="3"/>
      <c r="BD34" s="3"/>
      <c r="BE34" s="3"/>
      <c r="BF34" s="3"/>
      <c r="BG34" s="3"/>
      <c r="BH34" s="3"/>
      <c r="BI34" s="3"/>
      <c r="BJ34" s="3"/>
    </row>
    <row r="35" ht="15.75" customHeight="1">
      <c r="BC35" s="3"/>
      <c r="BD35" s="3"/>
      <c r="BE35" s="3"/>
      <c r="BF35" s="3"/>
      <c r="BG35" s="3"/>
      <c r="BH35" s="3"/>
      <c r="BI35" s="3"/>
      <c r="BJ35" s="3"/>
    </row>
    <row r="36" ht="15.75" customHeight="1">
      <c r="BC36" s="3"/>
      <c r="BD36" s="3"/>
      <c r="BE36" s="3"/>
      <c r="BF36" s="3"/>
      <c r="BG36" s="3"/>
      <c r="BH36" s="3"/>
      <c r="BI36" s="3"/>
      <c r="BJ36" s="3"/>
    </row>
    <row r="37" ht="15.75" customHeight="1">
      <c r="BC37" s="3"/>
      <c r="BD37" s="3"/>
      <c r="BE37" s="3"/>
      <c r="BF37" s="3"/>
      <c r="BG37" s="3"/>
      <c r="BH37" s="3"/>
      <c r="BI37" s="3"/>
      <c r="BJ37" s="3"/>
    </row>
    <row r="38" ht="15.75" customHeight="1">
      <c r="BC38" s="3"/>
      <c r="BD38" s="3"/>
      <c r="BE38" s="3"/>
      <c r="BF38" s="3"/>
      <c r="BG38" s="3"/>
      <c r="BH38" s="3"/>
      <c r="BI38" s="3"/>
      <c r="BJ38" s="3"/>
    </row>
    <row r="39" ht="15.75" customHeight="1">
      <c r="BC39" s="3"/>
      <c r="BD39" s="3"/>
      <c r="BE39" s="3"/>
      <c r="BF39" s="3"/>
      <c r="BG39" s="3"/>
      <c r="BH39" s="3"/>
      <c r="BI39" s="3"/>
      <c r="BJ39" s="3"/>
    </row>
    <row r="40" ht="15.75" customHeight="1">
      <c r="BC40" s="3"/>
      <c r="BD40" s="3"/>
      <c r="BE40" s="3"/>
      <c r="BF40" s="3"/>
      <c r="BG40" s="3"/>
      <c r="BH40" s="3"/>
      <c r="BI40" s="3"/>
      <c r="BJ40" s="3"/>
    </row>
    <row r="41" ht="15.75" customHeight="1">
      <c r="BC41" s="3"/>
      <c r="BD41" s="3"/>
      <c r="BE41" s="3"/>
      <c r="BF41" s="3"/>
      <c r="BG41" s="3"/>
      <c r="BH41" s="3"/>
      <c r="BI41" s="3"/>
      <c r="BJ41" s="3"/>
    </row>
    <row r="42" ht="15.75" customHeight="1">
      <c r="BC42" s="3"/>
      <c r="BD42" s="3"/>
      <c r="BE42" s="3"/>
      <c r="BF42" s="3"/>
      <c r="BG42" s="3"/>
      <c r="BH42" s="3"/>
      <c r="BI42" s="3"/>
      <c r="BJ42" s="3"/>
    </row>
    <row r="43" ht="15.75" customHeight="1">
      <c r="BC43" s="3"/>
      <c r="BD43" s="3"/>
      <c r="BE43" s="3"/>
      <c r="BF43" s="3"/>
      <c r="BG43" s="3"/>
      <c r="BH43" s="3"/>
      <c r="BI43" s="3"/>
      <c r="BJ43" s="3"/>
    </row>
    <row r="44" ht="15.75" customHeight="1">
      <c r="BC44" s="3"/>
      <c r="BD44" s="3"/>
      <c r="BE44" s="3"/>
      <c r="BF44" s="3"/>
      <c r="BG44" s="3"/>
      <c r="BH44" s="3"/>
      <c r="BI44" s="3"/>
      <c r="BJ44" s="3"/>
    </row>
    <row r="45" ht="15.75" customHeight="1">
      <c r="BC45" s="3"/>
      <c r="BD45" s="3"/>
      <c r="BE45" s="3"/>
      <c r="BF45" s="3"/>
      <c r="BG45" s="3"/>
      <c r="BH45" s="3"/>
      <c r="BI45" s="3"/>
      <c r="BJ45" s="3"/>
    </row>
    <row r="46" ht="15.75" customHeight="1">
      <c r="BC46" s="3"/>
      <c r="BD46" s="3"/>
      <c r="BE46" s="3"/>
      <c r="BF46" s="3"/>
      <c r="BG46" s="3"/>
      <c r="BH46" s="3"/>
      <c r="BI46" s="3"/>
      <c r="BJ46" s="3"/>
    </row>
    <row r="47" ht="15.75" customHeight="1">
      <c r="BC47" s="3"/>
      <c r="BD47" s="3"/>
      <c r="BE47" s="3"/>
      <c r="BF47" s="3"/>
      <c r="BG47" s="3"/>
      <c r="BH47" s="3"/>
      <c r="BI47" s="3"/>
      <c r="BJ47" s="3"/>
    </row>
    <row r="48" ht="15.75" customHeight="1">
      <c r="BC48" s="3"/>
      <c r="BD48" s="3"/>
      <c r="BE48" s="3"/>
      <c r="BF48" s="3"/>
      <c r="BG48" s="3"/>
      <c r="BH48" s="3"/>
      <c r="BI48" s="3"/>
      <c r="BJ48" s="3"/>
    </row>
    <row r="49" ht="15.75" customHeight="1">
      <c r="BC49" s="3"/>
      <c r="BD49" s="3"/>
      <c r="BE49" s="3"/>
      <c r="BF49" s="3"/>
      <c r="BG49" s="3"/>
      <c r="BH49" s="3"/>
      <c r="BI49" s="3"/>
      <c r="BJ49" s="3"/>
    </row>
    <row r="50" ht="15.75" customHeight="1">
      <c r="BC50" s="3"/>
      <c r="BD50" s="3"/>
      <c r="BE50" s="3"/>
      <c r="BF50" s="3"/>
      <c r="BG50" s="3"/>
      <c r="BH50" s="3"/>
      <c r="BI50" s="3"/>
      <c r="BJ50" s="3"/>
    </row>
    <row r="51" ht="15.75" customHeight="1">
      <c r="BC51" s="3"/>
      <c r="BD51" s="3"/>
      <c r="BE51" s="3"/>
      <c r="BF51" s="3"/>
      <c r="BG51" s="3"/>
      <c r="BH51" s="3"/>
      <c r="BI51" s="3"/>
      <c r="BJ51" s="3"/>
    </row>
    <row r="52" ht="15.75" customHeight="1">
      <c r="BC52" s="3"/>
      <c r="BD52" s="3"/>
      <c r="BE52" s="3"/>
      <c r="BF52" s="3"/>
      <c r="BG52" s="3"/>
      <c r="BH52" s="3"/>
      <c r="BI52" s="3"/>
      <c r="BJ52" s="3"/>
    </row>
    <row r="53" ht="15.75" customHeight="1">
      <c r="BC53" s="3"/>
      <c r="BD53" s="3"/>
      <c r="BE53" s="3"/>
      <c r="BF53" s="3"/>
      <c r="BG53" s="3"/>
      <c r="BH53" s="3"/>
      <c r="BI53" s="3"/>
      <c r="BJ53" s="3"/>
    </row>
    <row r="54" ht="15.75" customHeight="1">
      <c r="BC54" s="3"/>
      <c r="BD54" s="3"/>
      <c r="BE54" s="3"/>
      <c r="BF54" s="3"/>
      <c r="BG54" s="3"/>
      <c r="BH54" s="3"/>
      <c r="BI54" s="3"/>
      <c r="BJ54" s="3"/>
    </row>
    <row r="55" ht="15.75" customHeight="1">
      <c r="BC55" s="3"/>
      <c r="BD55" s="3"/>
      <c r="BE55" s="3"/>
      <c r="BF55" s="3"/>
      <c r="BG55" s="3"/>
      <c r="BH55" s="3"/>
      <c r="BI55" s="3"/>
      <c r="BJ55" s="3"/>
    </row>
    <row r="56" ht="15.75" customHeight="1">
      <c r="BC56" s="3"/>
      <c r="BD56" s="3"/>
      <c r="BE56" s="3"/>
      <c r="BF56" s="3"/>
      <c r="BG56" s="3"/>
      <c r="BH56" s="3"/>
      <c r="BI56" s="3"/>
      <c r="BJ56" s="3"/>
    </row>
    <row r="57" ht="15.75" customHeight="1">
      <c r="BC57" s="3"/>
      <c r="BD57" s="3"/>
      <c r="BE57" s="3"/>
      <c r="BF57" s="3"/>
      <c r="BG57" s="3"/>
      <c r="BH57" s="3"/>
      <c r="BI57" s="3"/>
      <c r="BJ57" s="3"/>
    </row>
    <row r="58" ht="15.75" customHeight="1">
      <c r="BC58" s="3"/>
      <c r="BD58" s="3"/>
      <c r="BE58" s="3"/>
      <c r="BF58" s="3"/>
      <c r="BG58" s="3"/>
      <c r="BH58" s="3"/>
      <c r="BI58" s="3"/>
      <c r="BJ58" s="3"/>
    </row>
    <row r="59" ht="15.75" customHeight="1">
      <c r="BC59" s="3"/>
      <c r="BD59" s="3"/>
      <c r="BE59" s="3"/>
      <c r="BF59" s="3"/>
      <c r="BG59" s="3"/>
      <c r="BH59" s="3"/>
      <c r="BI59" s="3"/>
      <c r="BJ59" s="3"/>
    </row>
    <row r="60" ht="15.75" customHeight="1">
      <c r="BC60" s="3"/>
      <c r="BD60" s="3"/>
      <c r="BE60" s="3"/>
      <c r="BF60" s="3"/>
      <c r="BG60" s="3"/>
      <c r="BH60" s="3"/>
      <c r="BI60" s="3"/>
      <c r="BJ60" s="3"/>
    </row>
    <row r="61" ht="15.75" customHeight="1">
      <c r="BC61" s="3"/>
      <c r="BD61" s="3"/>
      <c r="BE61" s="3"/>
      <c r="BF61" s="3"/>
      <c r="BG61" s="3"/>
      <c r="BH61" s="3"/>
      <c r="BI61" s="3"/>
      <c r="BJ61" s="3"/>
    </row>
    <row r="62" ht="15.75" customHeight="1">
      <c r="BC62" s="3"/>
      <c r="BD62" s="3"/>
      <c r="BE62" s="3"/>
      <c r="BF62" s="3"/>
      <c r="BG62" s="3"/>
      <c r="BH62" s="3"/>
      <c r="BI62" s="3"/>
      <c r="BJ62" s="3"/>
    </row>
    <row r="63" ht="15.75" customHeight="1">
      <c r="BC63" s="3"/>
      <c r="BD63" s="3"/>
      <c r="BE63" s="3"/>
      <c r="BF63" s="3"/>
      <c r="BG63" s="3"/>
      <c r="BH63" s="3"/>
      <c r="BI63" s="3"/>
      <c r="BJ63" s="3"/>
    </row>
    <row r="64" ht="15.75" customHeight="1">
      <c r="BC64" s="3"/>
      <c r="BD64" s="3"/>
      <c r="BE64" s="3"/>
      <c r="BF64" s="3"/>
      <c r="BG64" s="3"/>
      <c r="BH64" s="3"/>
      <c r="BI64" s="3"/>
      <c r="BJ64" s="3"/>
    </row>
    <row r="65" ht="15.75" customHeight="1">
      <c r="BC65" s="3"/>
      <c r="BD65" s="3"/>
      <c r="BE65" s="3"/>
      <c r="BF65" s="3"/>
      <c r="BG65" s="3"/>
      <c r="BH65" s="3"/>
      <c r="BI65" s="3"/>
      <c r="BJ65" s="3"/>
    </row>
    <row r="66" ht="15.75" customHeight="1">
      <c r="BC66" s="3"/>
      <c r="BD66" s="3"/>
      <c r="BE66" s="3"/>
      <c r="BF66" s="3"/>
      <c r="BG66" s="3"/>
      <c r="BH66" s="3"/>
      <c r="BI66" s="3"/>
      <c r="BJ66" s="3"/>
    </row>
    <row r="67" ht="15.75" customHeight="1">
      <c r="BC67" s="3"/>
      <c r="BD67" s="3"/>
      <c r="BE67" s="3"/>
      <c r="BF67" s="3"/>
      <c r="BG67" s="3"/>
      <c r="BH67" s="3"/>
      <c r="BI67" s="3"/>
      <c r="BJ67" s="3"/>
    </row>
    <row r="68" ht="15.75" customHeight="1">
      <c r="BC68" s="3"/>
      <c r="BD68" s="3"/>
      <c r="BE68" s="3"/>
      <c r="BF68" s="3"/>
      <c r="BG68" s="3"/>
      <c r="BH68" s="3"/>
      <c r="BI68" s="3"/>
      <c r="BJ68" s="3"/>
    </row>
    <row r="69" ht="15.75" customHeight="1">
      <c r="BC69" s="3"/>
      <c r="BD69" s="3"/>
      <c r="BE69" s="3"/>
      <c r="BF69" s="3"/>
      <c r="BG69" s="3"/>
      <c r="BH69" s="3"/>
      <c r="BI69" s="3"/>
      <c r="BJ69" s="3"/>
    </row>
    <row r="70" ht="15.75" customHeight="1">
      <c r="BC70" s="3"/>
      <c r="BD70" s="3"/>
      <c r="BE70" s="3"/>
      <c r="BF70" s="3"/>
      <c r="BG70" s="3"/>
      <c r="BH70" s="3"/>
      <c r="BI70" s="3"/>
      <c r="BJ70" s="3"/>
    </row>
    <row r="71" ht="15.75" customHeight="1">
      <c r="BC71" s="3"/>
      <c r="BD71" s="3"/>
      <c r="BE71" s="3"/>
      <c r="BF71" s="3"/>
      <c r="BG71" s="3"/>
      <c r="BH71" s="3"/>
      <c r="BI71" s="3"/>
      <c r="BJ71" s="3"/>
    </row>
    <row r="72" ht="15.75" customHeight="1">
      <c r="BC72" s="3"/>
      <c r="BD72" s="3"/>
      <c r="BE72" s="3"/>
      <c r="BF72" s="3"/>
      <c r="BG72" s="3"/>
      <c r="BH72" s="3"/>
      <c r="BI72" s="3"/>
      <c r="BJ72" s="3"/>
    </row>
    <row r="73" ht="15.75" customHeight="1">
      <c r="BC73" s="3"/>
      <c r="BD73" s="3"/>
      <c r="BE73" s="3"/>
      <c r="BF73" s="3"/>
      <c r="BG73" s="3"/>
      <c r="BH73" s="3"/>
      <c r="BI73" s="3"/>
      <c r="BJ73" s="3"/>
    </row>
    <row r="74" ht="15.75" customHeight="1">
      <c r="BC74" s="3"/>
      <c r="BD74" s="3"/>
      <c r="BE74" s="3"/>
      <c r="BF74" s="3"/>
      <c r="BG74" s="3"/>
      <c r="BH74" s="3"/>
      <c r="BI74" s="3"/>
      <c r="BJ74" s="3"/>
    </row>
    <row r="75" ht="15.75" customHeight="1">
      <c r="BC75" s="3"/>
      <c r="BD75" s="3"/>
      <c r="BE75" s="3"/>
      <c r="BF75" s="3"/>
      <c r="BG75" s="3"/>
      <c r="BH75" s="3"/>
      <c r="BI75" s="3"/>
      <c r="BJ75" s="3"/>
    </row>
    <row r="76" ht="15.75" customHeight="1">
      <c r="BC76" s="3"/>
      <c r="BD76" s="3"/>
      <c r="BE76" s="3"/>
      <c r="BF76" s="3"/>
      <c r="BG76" s="3"/>
      <c r="BH76" s="3"/>
      <c r="BI76" s="3"/>
      <c r="BJ76" s="3"/>
    </row>
    <row r="77" ht="15.75" customHeight="1">
      <c r="BC77" s="3"/>
      <c r="BD77" s="3"/>
      <c r="BE77" s="3"/>
      <c r="BF77" s="3"/>
      <c r="BG77" s="3"/>
      <c r="BH77" s="3"/>
      <c r="BI77" s="3"/>
      <c r="BJ77" s="3"/>
    </row>
    <row r="78" ht="15.75" customHeight="1">
      <c r="BC78" s="3"/>
      <c r="BD78" s="3"/>
      <c r="BE78" s="3"/>
      <c r="BF78" s="3"/>
      <c r="BG78" s="3"/>
      <c r="BH78" s="3"/>
      <c r="BI78" s="3"/>
      <c r="BJ78" s="3"/>
    </row>
    <row r="79" ht="15.75" customHeight="1">
      <c r="BC79" s="3"/>
      <c r="BD79" s="3"/>
      <c r="BE79" s="3"/>
      <c r="BF79" s="3"/>
      <c r="BG79" s="3"/>
      <c r="BH79" s="3"/>
      <c r="BI79" s="3"/>
      <c r="BJ79" s="3"/>
    </row>
    <row r="80" ht="15.75" customHeight="1">
      <c r="BC80" s="3"/>
      <c r="BD80" s="3"/>
      <c r="BE80" s="3"/>
      <c r="BF80" s="3"/>
      <c r="BG80" s="3"/>
      <c r="BH80" s="3"/>
      <c r="BI80" s="3"/>
      <c r="BJ80" s="3"/>
    </row>
    <row r="81" ht="15.75" customHeight="1">
      <c r="BC81" s="3"/>
      <c r="BD81" s="3"/>
      <c r="BE81" s="3"/>
      <c r="BF81" s="3"/>
      <c r="BG81" s="3"/>
      <c r="BH81" s="3"/>
      <c r="BI81" s="3"/>
      <c r="BJ81" s="3"/>
    </row>
    <row r="82" ht="15.75" customHeight="1">
      <c r="BC82" s="3"/>
      <c r="BD82" s="3"/>
      <c r="BE82" s="3"/>
      <c r="BF82" s="3"/>
      <c r="BG82" s="3"/>
      <c r="BH82" s="3"/>
      <c r="BI82" s="3"/>
      <c r="BJ82" s="3"/>
    </row>
    <row r="83" ht="15.75" customHeight="1">
      <c r="BC83" s="3"/>
      <c r="BD83" s="3"/>
      <c r="BE83" s="3"/>
      <c r="BF83" s="3"/>
      <c r="BG83" s="3"/>
      <c r="BH83" s="3"/>
      <c r="BI83" s="3"/>
      <c r="BJ83" s="3"/>
    </row>
    <row r="84" ht="15.75" customHeight="1">
      <c r="BC84" s="3"/>
      <c r="BD84" s="3"/>
      <c r="BE84" s="3"/>
      <c r="BF84" s="3"/>
      <c r="BG84" s="3"/>
      <c r="BH84" s="3"/>
      <c r="BI84" s="3"/>
      <c r="BJ84" s="3"/>
    </row>
    <row r="85" ht="15.75" customHeight="1">
      <c r="BC85" s="3"/>
      <c r="BD85" s="3"/>
      <c r="BE85" s="3"/>
      <c r="BF85" s="3"/>
      <c r="BG85" s="3"/>
      <c r="BH85" s="3"/>
      <c r="BI85" s="3"/>
      <c r="BJ85" s="3"/>
    </row>
    <row r="86" ht="15.75" customHeight="1">
      <c r="BC86" s="3"/>
      <c r="BD86" s="3"/>
      <c r="BE86" s="3"/>
      <c r="BF86" s="3"/>
      <c r="BG86" s="3"/>
      <c r="BH86" s="3"/>
      <c r="BI86" s="3"/>
      <c r="BJ86" s="3"/>
    </row>
    <row r="87" ht="15.75" customHeight="1">
      <c r="BC87" s="3"/>
      <c r="BD87" s="3"/>
      <c r="BE87" s="3"/>
      <c r="BF87" s="3"/>
      <c r="BG87" s="3"/>
      <c r="BH87" s="3"/>
      <c r="BI87" s="3"/>
      <c r="BJ87" s="3"/>
    </row>
    <row r="88" ht="15.75" customHeight="1">
      <c r="BC88" s="3"/>
      <c r="BD88" s="3"/>
      <c r="BE88" s="3"/>
      <c r="BF88" s="3"/>
      <c r="BG88" s="3"/>
      <c r="BH88" s="3"/>
      <c r="BI88" s="3"/>
      <c r="BJ88" s="3"/>
    </row>
    <row r="89" ht="15.75" customHeight="1">
      <c r="BC89" s="3"/>
      <c r="BD89" s="3"/>
      <c r="BE89" s="3"/>
      <c r="BF89" s="3"/>
      <c r="BG89" s="3"/>
      <c r="BH89" s="3"/>
      <c r="BI89" s="3"/>
      <c r="BJ89" s="3"/>
    </row>
    <row r="90" ht="15.75" customHeight="1">
      <c r="BC90" s="3"/>
      <c r="BD90" s="3"/>
      <c r="BE90" s="3"/>
      <c r="BF90" s="3"/>
      <c r="BG90" s="3"/>
      <c r="BH90" s="3"/>
      <c r="BI90" s="3"/>
      <c r="BJ90" s="3"/>
    </row>
    <row r="91" ht="15.75" customHeight="1">
      <c r="BC91" s="3"/>
      <c r="BD91" s="3"/>
      <c r="BE91" s="3"/>
      <c r="BF91" s="3"/>
      <c r="BG91" s="3"/>
      <c r="BH91" s="3"/>
      <c r="BI91" s="3"/>
      <c r="BJ91" s="3"/>
    </row>
    <row r="92" ht="15.75" customHeight="1">
      <c r="BC92" s="3"/>
      <c r="BD92" s="3"/>
      <c r="BE92" s="3"/>
      <c r="BF92" s="3"/>
      <c r="BG92" s="3"/>
      <c r="BH92" s="3"/>
      <c r="BI92" s="3"/>
      <c r="BJ92" s="3"/>
    </row>
    <row r="93" ht="15.75" customHeight="1">
      <c r="BC93" s="3"/>
      <c r="BD93" s="3"/>
      <c r="BE93" s="3"/>
      <c r="BF93" s="3"/>
      <c r="BG93" s="3"/>
      <c r="BH93" s="3"/>
      <c r="BI93" s="3"/>
      <c r="BJ93" s="3"/>
    </row>
    <row r="94" ht="15.75" customHeight="1">
      <c r="BC94" s="3"/>
      <c r="BD94" s="3"/>
      <c r="BE94" s="3"/>
      <c r="BF94" s="3"/>
      <c r="BG94" s="3"/>
      <c r="BH94" s="3"/>
      <c r="BI94" s="3"/>
      <c r="BJ94" s="3"/>
    </row>
    <row r="95" ht="15.75" customHeight="1">
      <c r="BC95" s="3"/>
      <c r="BD95" s="3"/>
      <c r="BE95" s="3"/>
      <c r="BF95" s="3"/>
      <c r="BG95" s="3"/>
      <c r="BH95" s="3"/>
      <c r="BI95" s="3"/>
      <c r="BJ95" s="3"/>
    </row>
    <row r="96" ht="15.75" customHeight="1">
      <c r="BC96" s="3"/>
      <c r="BD96" s="3"/>
      <c r="BE96" s="3"/>
      <c r="BF96" s="3"/>
      <c r="BG96" s="3"/>
      <c r="BH96" s="3"/>
      <c r="BI96" s="3"/>
      <c r="BJ96" s="3"/>
    </row>
    <row r="97" ht="15.75" customHeight="1">
      <c r="BC97" s="3"/>
      <c r="BD97" s="3"/>
      <c r="BE97" s="3"/>
      <c r="BF97" s="3"/>
      <c r="BG97" s="3"/>
      <c r="BH97" s="3"/>
      <c r="BI97" s="3"/>
      <c r="BJ97" s="3"/>
    </row>
    <row r="98" ht="15.75" customHeight="1">
      <c r="BC98" s="3"/>
      <c r="BD98" s="3"/>
      <c r="BE98" s="3"/>
      <c r="BF98" s="3"/>
      <c r="BG98" s="3"/>
      <c r="BH98" s="3"/>
      <c r="BI98" s="3"/>
      <c r="BJ98" s="3"/>
    </row>
    <row r="99" ht="15.75" customHeight="1">
      <c r="BC99" s="3"/>
      <c r="BD99" s="3"/>
      <c r="BE99" s="3"/>
      <c r="BF99" s="3"/>
      <c r="BG99" s="3"/>
      <c r="BH99" s="3"/>
      <c r="BI99" s="3"/>
      <c r="BJ99" s="3"/>
    </row>
    <row r="100" ht="15.75" customHeight="1">
      <c r="BC100" s="3"/>
      <c r="BD100" s="3"/>
      <c r="BE100" s="3"/>
      <c r="BF100" s="3"/>
      <c r="BG100" s="3"/>
      <c r="BH100" s="3"/>
      <c r="BI100" s="3"/>
      <c r="BJ100" s="3"/>
    </row>
    <row r="101" ht="15.75" customHeight="1">
      <c r="BC101" s="3"/>
      <c r="BD101" s="3"/>
      <c r="BE101" s="3"/>
      <c r="BF101" s="3"/>
      <c r="BG101" s="3"/>
      <c r="BH101" s="3"/>
      <c r="BI101" s="3"/>
      <c r="BJ101" s="3"/>
    </row>
    <row r="102" ht="15.75" customHeight="1">
      <c r="BC102" s="3"/>
      <c r="BD102" s="3"/>
      <c r="BE102" s="3"/>
      <c r="BF102" s="3"/>
      <c r="BG102" s="3"/>
      <c r="BH102" s="3"/>
      <c r="BI102" s="3"/>
      <c r="BJ102" s="3"/>
    </row>
    <row r="103" ht="15.75" customHeight="1">
      <c r="BC103" s="3"/>
      <c r="BD103" s="3"/>
      <c r="BE103" s="3"/>
      <c r="BF103" s="3"/>
      <c r="BG103" s="3"/>
      <c r="BH103" s="3"/>
      <c r="BI103" s="3"/>
      <c r="BJ103" s="3"/>
    </row>
    <row r="104" ht="15.75" customHeight="1">
      <c r="BC104" s="3"/>
      <c r="BD104" s="3"/>
      <c r="BE104" s="3"/>
      <c r="BF104" s="3"/>
      <c r="BG104" s="3"/>
      <c r="BH104" s="3"/>
      <c r="BI104" s="3"/>
      <c r="BJ104" s="3"/>
    </row>
    <row r="105" ht="15.75" customHeight="1">
      <c r="BC105" s="3"/>
      <c r="BD105" s="3"/>
      <c r="BE105" s="3"/>
      <c r="BF105" s="3"/>
      <c r="BG105" s="3"/>
      <c r="BH105" s="3"/>
      <c r="BI105" s="3"/>
      <c r="BJ105" s="3"/>
    </row>
    <row r="106" ht="15.75" customHeight="1">
      <c r="BC106" s="3"/>
      <c r="BD106" s="3"/>
      <c r="BE106" s="3"/>
      <c r="BF106" s="3"/>
      <c r="BG106" s="3"/>
      <c r="BH106" s="3"/>
      <c r="BI106" s="3"/>
      <c r="BJ106" s="3"/>
    </row>
    <row r="107" ht="15.75" customHeight="1">
      <c r="BC107" s="3"/>
      <c r="BD107" s="3"/>
      <c r="BE107" s="3"/>
      <c r="BF107" s="3"/>
      <c r="BG107" s="3"/>
      <c r="BH107" s="3"/>
      <c r="BI107" s="3"/>
      <c r="BJ107" s="3"/>
    </row>
    <row r="108" ht="15.75" customHeight="1">
      <c r="BC108" s="3"/>
      <c r="BD108" s="3"/>
      <c r="BE108" s="3"/>
      <c r="BF108" s="3"/>
      <c r="BG108" s="3"/>
      <c r="BH108" s="3"/>
      <c r="BI108" s="3"/>
      <c r="BJ108" s="3"/>
    </row>
    <row r="109" ht="15.75" customHeight="1">
      <c r="BC109" s="3"/>
      <c r="BD109" s="3"/>
      <c r="BE109" s="3"/>
      <c r="BF109" s="3"/>
      <c r="BG109" s="3"/>
      <c r="BH109" s="3"/>
      <c r="BI109" s="3"/>
      <c r="BJ109" s="3"/>
    </row>
    <row r="110" ht="15.75" customHeight="1">
      <c r="BC110" s="3"/>
      <c r="BD110" s="3"/>
      <c r="BE110" s="3"/>
      <c r="BF110" s="3"/>
      <c r="BG110" s="3"/>
      <c r="BH110" s="3"/>
      <c r="BI110" s="3"/>
      <c r="BJ110" s="3"/>
    </row>
    <row r="111" ht="15.75" customHeight="1">
      <c r="BC111" s="3"/>
      <c r="BD111" s="3"/>
      <c r="BE111" s="3"/>
      <c r="BF111" s="3"/>
      <c r="BG111" s="3"/>
      <c r="BH111" s="3"/>
      <c r="BI111" s="3"/>
      <c r="BJ111" s="3"/>
    </row>
    <row r="112" ht="15.75" customHeight="1">
      <c r="BC112" s="3"/>
      <c r="BD112" s="3"/>
      <c r="BE112" s="3"/>
      <c r="BF112" s="3"/>
      <c r="BG112" s="3"/>
      <c r="BH112" s="3"/>
      <c r="BI112" s="3"/>
      <c r="BJ112" s="3"/>
    </row>
    <row r="113" ht="15.75" customHeight="1">
      <c r="BC113" s="3"/>
      <c r="BD113" s="3"/>
      <c r="BE113" s="3"/>
      <c r="BF113" s="3"/>
      <c r="BG113" s="3"/>
      <c r="BH113" s="3"/>
      <c r="BI113" s="3"/>
      <c r="BJ113" s="3"/>
    </row>
    <row r="114" ht="15.75" customHeight="1">
      <c r="BC114" s="3"/>
      <c r="BD114" s="3"/>
      <c r="BE114" s="3"/>
      <c r="BF114" s="3"/>
      <c r="BG114" s="3"/>
      <c r="BH114" s="3"/>
      <c r="BI114" s="3"/>
      <c r="BJ114" s="3"/>
    </row>
    <row r="115" ht="15.75" customHeight="1">
      <c r="BC115" s="3"/>
      <c r="BD115" s="3"/>
      <c r="BE115" s="3"/>
      <c r="BF115" s="3"/>
      <c r="BG115" s="3"/>
      <c r="BH115" s="3"/>
      <c r="BI115" s="3"/>
      <c r="BJ115" s="3"/>
    </row>
    <row r="116" ht="15.75" customHeight="1">
      <c r="BC116" s="3"/>
      <c r="BD116" s="3"/>
      <c r="BE116" s="3"/>
      <c r="BF116" s="3"/>
      <c r="BG116" s="3"/>
      <c r="BH116" s="3"/>
      <c r="BI116" s="3"/>
      <c r="BJ116" s="3"/>
    </row>
    <row r="117" ht="15.75" customHeight="1">
      <c r="BC117" s="3"/>
      <c r="BD117" s="3"/>
      <c r="BE117" s="3"/>
      <c r="BF117" s="3"/>
      <c r="BG117" s="3"/>
      <c r="BH117" s="3"/>
      <c r="BI117" s="3"/>
      <c r="BJ117" s="3"/>
    </row>
    <row r="118" ht="15.75" customHeight="1">
      <c r="BC118" s="3"/>
      <c r="BD118" s="3"/>
      <c r="BE118" s="3"/>
      <c r="BF118" s="3"/>
      <c r="BG118" s="3"/>
      <c r="BH118" s="3"/>
      <c r="BI118" s="3"/>
      <c r="BJ118" s="3"/>
    </row>
    <row r="119" ht="15.75" customHeight="1">
      <c r="BC119" s="3"/>
      <c r="BD119" s="3"/>
      <c r="BE119" s="3"/>
      <c r="BF119" s="3"/>
      <c r="BG119" s="3"/>
      <c r="BH119" s="3"/>
      <c r="BI119" s="3"/>
      <c r="BJ119" s="3"/>
    </row>
    <row r="120" ht="15.75" customHeight="1">
      <c r="BC120" s="3"/>
      <c r="BD120" s="3"/>
      <c r="BE120" s="3"/>
      <c r="BF120" s="3"/>
      <c r="BG120" s="3"/>
      <c r="BH120" s="3"/>
      <c r="BI120" s="3"/>
      <c r="BJ120" s="3"/>
    </row>
    <row r="121" ht="15.75" customHeight="1">
      <c r="BC121" s="3"/>
      <c r="BD121" s="3"/>
      <c r="BE121" s="3"/>
      <c r="BF121" s="3"/>
      <c r="BG121" s="3"/>
      <c r="BH121" s="3"/>
      <c r="BI121" s="3"/>
      <c r="BJ121" s="3"/>
    </row>
    <row r="122" ht="15.75" customHeight="1">
      <c r="BC122" s="3"/>
      <c r="BD122" s="3"/>
      <c r="BE122" s="3"/>
      <c r="BF122" s="3"/>
      <c r="BG122" s="3"/>
      <c r="BH122" s="3"/>
      <c r="BI122" s="3"/>
      <c r="BJ122" s="3"/>
    </row>
    <row r="123" ht="15.75" customHeight="1">
      <c r="BC123" s="3"/>
      <c r="BD123" s="3"/>
      <c r="BE123" s="3"/>
      <c r="BF123" s="3"/>
      <c r="BG123" s="3"/>
      <c r="BH123" s="3"/>
      <c r="BI123" s="3"/>
      <c r="BJ123" s="3"/>
    </row>
    <row r="124" ht="15.75" customHeight="1">
      <c r="BC124" s="3"/>
      <c r="BD124" s="3"/>
      <c r="BE124" s="3"/>
      <c r="BF124" s="3"/>
      <c r="BG124" s="3"/>
      <c r="BH124" s="3"/>
      <c r="BI124" s="3"/>
      <c r="BJ124" s="3"/>
    </row>
    <row r="125" ht="15.75" customHeight="1">
      <c r="BC125" s="3"/>
      <c r="BD125" s="3"/>
      <c r="BE125" s="3"/>
      <c r="BF125" s="3"/>
      <c r="BG125" s="3"/>
      <c r="BH125" s="3"/>
      <c r="BI125" s="3"/>
      <c r="BJ125" s="3"/>
    </row>
    <row r="126" ht="15.75" customHeight="1">
      <c r="BC126" s="3"/>
      <c r="BD126" s="3"/>
      <c r="BE126" s="3"/>
      <c r="BF126" s="3"/>
      <c r="BG126" s="3"/>
      <c r="BH126" s="3"/>
      <c r="BI126" s="3"/>
      <c r="BJ126" s="3"/>
    </row>
    <row r="127" ht="15.75" customHeight="1">
      <c r="BC127" s="3"/>
      <c r="BD127" s="3"/>
      <c r="BE127" s="3"/>
      <c r="BF127" s="3"/>
      <c r="BG127" s="3"/>
      <c r="BH127" s="3"/>
      <c r="BI127" s="3"/>
      <c r="BJ127" s="3"/>
    </row>
    <row r="128" ht="15.75" customHeight="1">
      <c r="BC128" s="3"/>
      <c r="BD128" s="3"/>
      <c r="BE128" s="3"/>
      <c r="BF128" s="3"/>
      <c r="BG128" s="3"/>
      <c r="BH128" s="3"/>
      <c r="BI128" s="3"/>
      <c r="BJ128" s="3"/>
    </row>
    <row r="129" ht="15.75" customHeight="1"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BC999" s="3"/>
      <c r="BD999" s="3"/>
      <c r="BE999" s="3"/>
      <c r="BF999" s="3"/>
      <c r="BG999" s="3"/>
      <c r="BH999" s="3"/>
      <c r="BI999" s="3"/>
      <c r="BJ999" s="3"/>
    </row>
    <row r="1000" ht="15.75" customHeight="1">
      <c r="BC1000" s="3"/>
      <c r="BD1000" s="3"/>
      <c r="BE1000" s="3"/>
      <c r="BF1000" s="3"/>
      <c r="BG1000" s="3"/>
      <c r="BH1000" s="3"/>
      <c r="BI1000" s="3"/>
      <c r="BJ1000" s="3"/>
    </row>
    <row r="1001" ht="15.75" customHeight="1">
      <c r="BC1001" s="3"/>
      <c r="BD1001" s="3"/>
      <c r="BE1001" s="3"/>
      <c r="BF1001" s="3"/>
      <c r="BG1001" s="3"/>
      <c r="BH1001" s="3"/>
      <c r="BI1001" s="3"/>
      <c r="BJ1001" s="3"/>
    </row>
  </sheetData>
  <mergeCells count="15">
    <mergeCell ref="AE3:AH3"/>
    <mergeCell ref="AI3:AL3"/>
    <mergeCell ref="AM3:AP3"/>
    <mergeCell ref="AQ3:AT3"/>
    <mergeCell ref="AU3:AX3"/>
    <mergeCell ref="AY3:BB3"/>
    <mergeCell ref="BC3:BF3"/>
    <mergeCell ref="BG3:BJ3"/>
    <mergeCell ref="C3:F3"/>
    <mergeCell ref="G3:J3"/>
    <mergeCell ref="K3:N3"/>
    <mergeCell ref="O3:R3"/>
    <mergeCell ref="S3:V3"/>
    <mergeCell ref="W3:Z3"/>
    <mergeCell ref="AA3:AD3"/>
  </mergeCells>
  <printOptions/>
  <pageMargins bottom="0.75" footer="0.0" header="0.0" left="0.7" right="0.7" top="0.75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6" width="12.63"/>
    <col customWidth="1" min="47" max="62" width="12.63"/>
  </cols>
  <sheetData>
    <row r="1" ht="15.75" customHeight="1">
      <c r="A1" s="184" t="s">
        <v>1</v>
      </c>
      <c r="G1" s="128" t="s">
        <v>193</v>
      </c>
      <c r="BC1" s="3"/>
      <c r="BD1" s="3"/>
      <c r="BE1" s="3"/>
      <c r="BF1" s="3"/>
      <c r="BG1" s="3"/>
      <c r="BH1" s="3"/>
      <c r="BI1" s="3"/>
      <c r="BJ1" s="3"/>
    </row>
    <row r="2" ht="15.75" customHeight="1">
      <c r="A2" s="128" t="s">
        <v>168</v>
      </c>
      <c r="BC2" s="3"/>
      <c r="BD2" s="3"/>
      <c r="BE2" s="3"/>
      <c r="BF2" s="3"/>
      <c r="BG2" s="3"/>
      <c r="BH2" s="3"/>
      <c r="BI2" s="3"/>
      <c r="BJ2" s="3"/>
    </row>
    <row r="3" ht="15.75" customHeight="1">
      <c r="B3" s="188"/>
      <c r="C3" s="259" t="s">
        <v>48</v>
      </c>
      <c r="D3" s="260"/>
      <c r="E3" s="260"/>
      <c r="F3" s="261"/>
      <c r="G3" s="259" t="s">
        <v>49</v>
      </c>
      <c r="H3" s="260"/>
      <c r="I3" s="260"/>
      <c r="J3" s="261"/>
      <c r="K3" s="259" t="s">
        <v>5</v>
      </c>
      <c r="L3" s="260"/>
      <c r="M3" s="260"/>
      <c r="N3" s="261"/>
      <c r="O3" s="259" t="s">
        <v>6</v>
      </c>
      <c r="P3" s="260"/>
      <c r="Q3" s="260"/>
      <c r="R3" s="261"/>
      <c r="S3" s="259" t="s">
        <v>7</v>
      </c>
      <c r="T3" s="260"/>
      <c r="U3" s="260"/>
      <c r="V3" s="261"/>
      <c r="W3" s="259" t="s">
        <v>8</v>
      </c>
      <c r="X3" s="260"/>
      <c r="Y3" s="260"/>
      <c r="Z3" s="261"/>
      <c r="AA3" s="259" t="s">
        <v>9</v>
      </c>
      <c r="AB3" s="260"/>
      <c r="AC3" s="260"/>
      <c r="AD3" s="261"/>
      <c r="AE3" s="259" t="s">
        <v>10</v>
      </c>
      <c r="AF3" s="260"/>
      <c r="AG3" s="260"/>
      <c r="AH3" s="261"/>
      <c r="AI3" s="259" t="s">
        <v>11</v>
      </c>
      <c r="AJ3" s="260"/>
      <c r="AK3" s="260"/>
      <c r="AL3" s="261"/>
      <c r="AM3" s="259" t="s">
        <v>12</v>
      </c>
      <c r="AN3" s="260"/>
      <c r="AO3" s="260"/>
      <c r="AP3" s="261"/>
      <c r="AQ3" s="259" t="s">
        <v>13</v>
      </c>
      <c r="AR3" s="260"/>
      <c r="AS3" s="260"/>
      <c r="AT3" s="261"/>
      <c r="AU3" s="259" t="s">
        <v>14</v>
      </c>
      <c r="AV3" s="260"/>
      <c r="AW3" s="260"/>
      <c r="AX3" s="261"/>
      <c r="AY3" s="259" t="s">
        <v>15</v>
      </c>
      <c r="AZ3" s="260"/>
      <c r="BA3" s="260"/>
      <c r="BB3" s="261"/>
      <c r="BC3" s="259" t="s">
        <v>60</v>
      </c>
      <c r="BD3" s="260"/>
      <c r="BE3" s="260"/>
      <c r="BF3" s="261"/>
      <c r="BG3" s="259" t="s">
        <v>17</v>
      </c>
      <c r="BH3" s="260"/>
      <c r="BI3" s="260"/>
      <c r="BJ3" s="261"/>
      <c r="BK3" s="294"/>
      <c r="BL3" s="294"/>
      <c r="BM3" s="294"/>
      <c r="BN3" s="294"/>
    </row>
    <row r="4" ht="15.75" customHeight="1">
      <c r="B4" s="188"/>
      <c r="C4" s="188" t="s">
        <v>21</v>
      </c>
      <c r="D4" s="188" t="s">
        <v>19</v>
      </c>
      <c r="E4" s="188" t="s">
        <v>20</v>
      </c>
      <c r="F4" s="188" t="s">
        <v>19</v>
      </c>
      <c r="G4" s="188" t="s">
        <v>21</v>
      </c>
      <c r="H4" s="188" t="s">
        <v>19</v>
      </c>
      <c r="I4" s="188" t="s">
        <v>20</v>
      </c>
      <c r="J4" s="188" t="s">
        <v>19</v>
      </c>
      <c r="K4" s="188" t="s">
        <v>21</v>
      </c>
      <c r="L4" s="188" t="s">
        <v>19</v>
      </c>
      <c r="M4" s="188" t="s">
        <v>20</v>
      </c>
      <c r="N4" s="188" t="s">
        <v>19</v>
      </c>
      <c r="O4" s="188" t="s">
        <v>21</v>
      </c>
      <c r="P4" s="188" t="s">
        <v>19</v>
      </c>
      <c r="Q4" s="188" t="s">
        <v>20</v>
      </c>
      <c r="R4" s="188" t="s">
        <v>19</v>
      </c>
      <c r="S4" s="188" t="s">
        <v>21</v>
      </c>
      <c r="T4" s="188" t="s">
        <v>19</v>
      </c>
      <c r="U4" s="188" t="s">
        <v>20</v>
      </c>
      <c r="V4" s="188" t="s">
        <v>19</v>
      </c>
      <c r="W4" s="188" t="s">
        <v>21</v>
      </c>
      <c r="X4" s="188" t="s">
        <v>19</v>
      </c>
      <c r="Y4" s="188" t="s">
        <v>20</v>
      </c>
      <c r="Z4" s="188" t="s">
        <v>19</v>
      </c>
      <c r="AA4" s="188" t="s">
        <v>21</v>
      </c>
      <c r="AB4" s="188" t="s">
        <v>19</v>
      </c>
      <c r="AC4" s="188" t="s">
        <v>20</v>
      </c>
      <c r="AD4" s="188" t="s">
        <v>19</v>
      </c>
      <c r="AE4" s="188" t="s">
        <v>21</v>
      </c>
      <c r="AF4" s="188" t="s">
        <v>19</v>
      </c>
      <c r="AG4" s="188" t="s">
        <v>20</v>
      </c>
      <c r="AH4" s="188" t="s">
        <v>19</v>
      </c>
      <c r="AI4" s="188" t="s">
        <v>21</v>
      </c>
      <c r="AJ4" s="188" t="s">
        <v>19</v>
      </c>
      <c r="AK4" s="188" t="s">
        <v>20</v>
      </c>
      <c r="AL4" s="188" t="s">
        <v>19</v>
      </c>
      <c r="AM4" s="188" t="s">
        <v>21</v>
      </c>
      <c r="AN4" s="188" t="s">
        <v>19</v>
      </c>
      <c r="AO4" s="188" t="s">
        <v>20</v>
      </c>
      <c r="AP4" s="188" t="s">
        <v>19</v>
      </c>
      <c r="AQ4" s="188" t="s">
        <v>21</v>
      </c>
      <c r="AR4" s="188" t="s">
        <v>19</v>
      </c>
      <c r="AS4" s="188" t="s">
        <v>20</v>
      </c>
      <c r="AT4" s="188" t="s">
        <v>19</v>
      </c>
      <c r="AU4" s="188" t="s">
        <v>21</v>
      </c>
      <c r="AV4" s="188" t="s">
        <v>19</v>
      </c>
      <c r="AW4" s="188" t="s">
        <v>20</v>
      </c>
      <c r="AX4" s="188" t="s">
        <v>19</v>
      </c>
      <c r="AY4" s="188" t="s">
        <v>21</v>
      </c>
      <c r="AZ4" s="188" t="s">
        <v>19</v>
      </c>
      <c r="BA4" s="188" t="s">
        <v>20</v>
      </c>
      <c r="BB4" s="188" t="s">
        <v>19</v>
      </c>
      <c r="BC4" s="188" t="s">
        <v>21</v>
      </c>
      <c r="BD4" s="188" t="s">
        <v>19</v>
      </c>
      <c r="BE4" s="188" t="s">
        <v>20</v>
      </c>
      <c r="BF4" s="188" t="s">
        <v>19</v>
      </c>
      <c r="BG4" s="188" t="s">
        <v>21</v>
      </c>
      <c r="BH4" s="188" t="s">
        <v>19</v>
      </c>
      <c r="BI4" s="188" t="s">
        <v>20</v>
      </c>
      <c r="BJ4" s="188" t="s">
        <v>19</v>
      </c>
      <c r="BK4" s="295"/>
      <c r="BL4" s="295"/>
      <c r="BM4" s="295"/>
      <c r="BN4" s="295"/>
    </row>
    <row r="5" ht="15.75" customHeight="1">
      <c r="B5" s="188" t="s">
        <v>22</v>
      </c>
      <c r="C5" s="262">
        <f t="shared" ref="C5:C9" si="3">G5+K5</f>
        <v>6443010</v>
      </c>
      <c r="D5" s="268"/>
      <c r="E5" s="262" t="str">
        <f t="shared" ref="E5:E9" si="4">I5+M5</f>
        <v>#REF!</v>
      </c>
      <c r="F5" s="268"/>
      <c r="G5" s="189">
        <f>HO!AZ14</f>
        <v>0</v>
      </c>
      <c r="H5" s="186"/>
      <c r="I5" s="189">
        <f>HO!BB14</f>
        <v>0</v>
      </c>
      <c r="J5" s="186"/>
      <c r="K5" s="262">
        <f t="shared" ref="K5:K9" si="5">O5+S5+W5+AA5+AE5+AI5+AM5</f>
        <v>6443010</v>
      </c>
      <c r="L5" s="268"/>
      <c r="M5" s="262" t="str">
        <f t="shared" ref="M5:M9" si="6">Q5+U5+Y5+AC5+AG5+AK5+AO5</f>
        <v>#REF!</v>
      </c>
      <c r="N5" s="268"/>
      <c r="O5" s="189">
        <f>'The Table'!AZ26</f>
        <v>1384165</v>
      </c>
      <c r="P5" s="186"/>
      <c r="Q5" s="189">
        <f>'The Table'!BB26</f>
        <v>2690750</v>
      </c>
      <c r="R5" s="186"/>
      <c r="S5" s="189">
        <f>Iktara!Z22</f>
        <v>0</v>
      </c>
      <c r="T5" s="186"/>
      <c r="U5" s="189" t="str">
        <f t="shared" ref="U5:U8" si="7">#REF!</f>
        <v>#REF!</v>
      </c>
      <c r="V5" s="186"/>
      <c r="W5" s="189">
        <f>'Mg St Colaba'!AZ28</f>
        <v>1776191</v>
      </c>
      <c r="X5" s="186"/>
      <c r="Y5" s="189">
        <f>'Mg St Colaba'!BB28</f>
        <v>1765450</v>
      </c>
      <c r="Z5" s="186"/>
      <c r="AA5" s="189">
        <f>'Mg St LP'!AZ27</f>
        <v>1393314</v>
      </c>
      <c r="AB5" s="186"/>
      <c r="AC5" s="189">
        <f>'Mg St LP'!BB27</f>
        <v>1282211</v>
      </c>
      <c r="AD5" s="186"/>
      <c r="AE5" s="189">
        <f>'Mg St Bandra'!AZ28</f>
        <v>1889340</v>
      </c>
      <c r="AF5" s="186"/>
      <c r="AG5" s="189">
        <f>'Mg St Bandra'!BB28</f>
        <v>1934568</v>
      </c>
      <c r="AH5" s="186"/>
      <c r="AI5" s="189">
        <f>'MSK Events'!L23</f>
        <v>0</v>
      </c>
      <c r="AJ5" s="186"/>
      <c r="AK5" s="189" t="str">
        <f t="shared" ref="AK5:AK8" si="8">#REF!</f>
        <v>#REF!</v>
      </c>
      <c r="AL5" s="186"/>
      <c r="AM5" s="189">
        <f>MSBC!AZ24</f>
        <v>0</v>
      </c>
      <c r="AN5" s="186"/>
      <c r="AO5" s="189">
        <f>MSBC!BB24</f>
        <v>0</v>
      </c>
      <c r="AP5" s="186"/>
      <c r="AQ5" s="189">
        <f>Kaspers!AJ26</f>
        <v>227900</v>
      </c>
      <c r="AR5" s="186"/>
      <c r="AS5" s="189">
        <f>Kaspers!AL26</f>
        <v>1000000</v>
      </c>
      <c r="AT5" s="186"/>
      <c r="AU5" s="189">
        <f>'MSBC Andheri'!L24</f>
        <v>0</v>
      </c>
      <c r="AV5" s="186" t="str">
        <f t="shared" ref="AV5:AW5" si="1">#REF!</f>
        <v>#REF!</v>
      </c>
      <c r="AW5" s="189" t="str">
        <f t="shared" si="1"/>
        <v>#REF!</v>
      </c>
      <c r="AX5" s="186"/>
      <c r="AY5" s="189">
        <f>'MSBC Dahisar'!L22</f>
        <v>0</v>
      </c>
      <c r="AZ5" s="186" t="str">
        <f t="shared" ref="AZ5:BA5" si="2">#REF!</f>
        <v>#REF!</v>
      </c>
      <c r="BA5" s="189" t="str">
        <f t="shared" si="2"/>
        <v>#REF!</v>
      </c>
      <c r="BB5" s="186"/>
      <c r="BC5" s="189"/>
      <c r="BD5" s="186"/>
      <c r="BE5" s="189"/>
      <c r="BF5" s="186"/>
      <c r="BG5" s="83"/>
      <c r="BH5" s="28"/>
      <c r="BI5" s="83"/>
      <c r="BJ5" s="28"/>
      <c r="BK5" s="128"/>
      <c r="BL5" s="128"/>
      <c r="BM5" s="128"/>
      <c r="BN5" s="128"/>
    </row>
    <row r="6" ht="15.75" customHeight="1">
      <c r="B6" s="188" t="s">
        <v>23</v>
      </c>
      <c r="C6" s="262">
        <f t="shared" si="3"/>
        <v>9500218</v>
      </c>
      <c r="D6" s="268"/>
      <c r="E6" s="262" t="str">
        <f t="shared" si="4"/>
        <v>#REF!</v>
      </c>
      <c r="F6" s="268"/>
      <c r="G6" s="189">
        <f>HO!AZ15</f>
        <v>0</v>
      </c>
      <c r="H6" s="186"/>
      <c r="I6" s="189">
        <f>HO!BB15</f>
        <v>0</v>
      </c>
      <c r="J6" s="186"/>
      <c r="K6" s="262">
        <f t="shared" si="5"/>
        <v>9500218</v>
      </c>
      <c r="L6" s="268"/>
      <c r="M6" s="262" t="str">
        <f t="shared" si="6"/>
        <v>#REF!</v>
      </c>
      <c r="N6" s="268"/>
      <c r="O6" s="189">
        <f>'The Table'!AZ27</f>
        <v>5807862</v>
      </c>
      <c r="P6" s="186"/>
      <c r="Q6" s="189">
        <f>'The Table'!BB27</f>
        <v>4717889</v>
      </c>
      <c r="R6" s="186"/>
      <c r="S6" s="189">
        <f>Iktara!Z23</f>
        <v>0</v>
      </c>
      <c r="T6" s="186"/>
      <c r="U6" s="189" t="str">
        <f t="shared" si="7"/>
        <v>#REF!</v>
      </c>
      <c r="V6" s="186"/>
      <c r="W6" s="189">
        <f>'Mg St Colaba'!AZ29</f>
        <v>1341261</v>
      </c>
      <c r="X6" s="186"/>
      <c r="Y6" s="189">
        <f>'Mg St Colaba'!BB29</f>
        <v>1167150</v>
      </c>
      <c r="Z6" s="186"/>
      <c r="AA6" s="189">
        <f>'Mg St LP'!AZ28</f>
        <v>0</v>
      </c>
      <c r="AB6" s="186"/>
      <c r="AC6" s="189">
        <f>'Mg St LP'!BB28</f>
        <v>0</v>
      </c>
      <c r="AD6" s="186"/>
      <c r="AE6" s="189">
        <f>'Mg St Bandra'!AZ29</f>
        <v>2351095</v>
      </c>
      <c r="AF6" s="186"/>
      <c r="AG6" s="189">
        <f>'Mg St Bandra'!BB29</f>
        <v>2424546</v>
      </c>
      <c r="AH6" s="186"/>
      <c r="AI6" s="189">
        <f>'MSK Events'!L24</f>
        <v>0</v>
      </c>
      <c r="AJ6" s="186"/>
      <c r="AK6" s="189" t="str">
        <f t="shared" si="8"/>
        <v>#REF!</v>
      </c>
      <c r="AL6" s="186"/>
      <c r="AM6" s="189">
        <f>MSBC!AZ25</f>
        <v>0</v>
      </c>
      <c r="AN6" s="186"/>
      <c r="AO6" s="189">
        <f>MSBC!BB25</f>
        <v>0</v>
      </c>
      <c r="AP6" s="186"/>
      <c r="AQ6" s="189">
        <f>Kaspers!AJ27</f>
        <v>3431842</v>
      </c>
      <c r="AR6" s="186"/>
      <c r="AS6" s="189" t="str">
        <f>Kaspers!AL27</f>
        <v/>
      </c>
      <c r="AT6" s="186"/>
      <c r="AU6" s="189">
        <f>'MSBC Andheri'!L25</f>
        <v>0</v>
      </c>
      <c r="AV6" s="186"/>
      <c r="AW6" s="189" t="str">
        <f t="shared" ref="AW6:AW8" si="9">#REF!</f>
        <v>#REF!</v>
      </c>
      <c r="AX6" s="186"/>
      <c r="AY6" s="189">
        <f>'MSBC Dahisar'!L23</f>
        <v>0</v>
      </c>
      <c r="AZ6" s="186"/>
      <c r="BA6" s="189" t="str">
        <f t="shared" ref="BA6:BA8" si="10">#REF!</f>
        <v>#REF!</v>
      </c>
      <c r="BB6" s="186"/>
      <c r="BC6" s="189"/>
      <c r="BD6" s="186"/>
      <c r="BE6" s="189"/>
      <c r="BF6" s="186"/>
      <c r="BG6" s="114"/>
      <c r="BH6" s="43"/>
      <c r="BI6" s="114"/>
      <c r="BJ6" s="43"/>
      <c r="BK6" s="128"/>
      <c r="BL6" s="128"/>
      <c r="BM6" s="128"/>
      <c r="BN6" s="128"/>
    </row>
    <row r="7" ht="15.75" customHeight="1">
      <c r="B7" s="188" t="s">
        <v>24</v>
      </c>
      <c r="C7" s="262">
        <f t="shared" si="3"/>
        <v>54575516.88</v>
      </c>
      <c r="D7" s="268"/>
      <c r="E7" s="262" t="str">
        <f t="shared" si="4"/>
        <v>#REF!</v>
      </c>
      <c r="F7" s="268"/>
      <c r="G7" s="189">
        <f>HO!AZ16</f>
        <v>0</v>
      </c>
      <c r="H7" s="186"/>
      <c r="I7" s="189">
        <f>HO!BB16</f>
        <v>0</v>
      </c>
      <c r="J7" s="186"/>
      <c r="K7" s="262">
        <f t="shared" si="5"/>
        <v>54575516.88</v>
      </c>
      <c r="L7" s="268"/>
      <c r="M7" s="262" t="str">
        <f t="shared" si="6"/>
        <v>#REF!</v>
      </c>
      <c r="N7" s="268"/>
      <c r="O7" s="189">
        <f>'The Table'!AZ28</f>
        <v>15234767.63</v>
      </c>
      <c r="P7" s="186"/>
      <c r="Q7" s="189">
        <f>'The Table'!BB28</f>
        <v>12761899</v>
      </c>
      <c r="R7" s="186"/>
      <c r="S7" s="189">
        <f>Iktara!Z24</f>
        <v>1276355.84</v>
      </c>
      <c r="T7" s="186"/>
      <c r="U7" s="189" t="str">
        <f t="shared" si="7"/>
        <v>#REF!</v>
      </c>
      <c r="V7" s="186"/>
      <c r="W7" s="189">
        <f>'Mg St Colaba'!AZ30</f>
        <v>13665927.15</v>
      </c>
      <c r="X7" s="186"/>
      <c r="Y7" s="189">
        <f>'Mg St Colaba'!BB30</f>
        <v>12674970.24</v>
      </c>
      <c r="Z7" s="186"/>
      <c r="AA7" s="189">
        <f>'Mg St LP'!AZ29</f>
        <v>8276529.57</v>
      </c>
      <c r="AB7" s="186"/>
      <c r="AC7" s="189">
        <f>'Mg St LP'!BB29</f>
        <v>8595722</v>
      </c>
      <c r="AD7" s="186"/>
      <c r="AE7" s="189">
        <f>'Mg St Bandra'!AZ30</f>
        <v>15074546.38</v>
      </c>
      <c r="AF7" s="186"/>
      <c r="AG7" s="189">
        <f>'Mg St Bandra'!BB30</f>
        <v>13582605</v>
      </c>
      <c r="AH7" s="186"/>
      <c r="AI7" s="189">
        <f>'MSK Events'!L25</f>
        <v>42624</v>
      </c>
      <c r="AJ7" s="186"/>
      <c r="AK7" s="189" t="str">
        <f t="shared" si="8"/>
        <v>#REF!</v>
      </c>
      <c r="AL7" s="186"/>
      <c r="AM7" s="189">
        <f>MSBC!AZ26</f>
        <v>1004766.31</v>
      </c>
      <c r="AN7" s="186"/>
      <c r="AO7" s="189">
        <f>MSBC!BB26</f>
        <v>96359</v>
      </c>
      <c r="AP7" s="186"/>
      <c r="AQ7" s="189">
        <f>Kaspers!AJ28</f>
        <v>4171216</v>
      </c>
      <c r="AR7" s="186"/>
      <c r="AS7" s="189">
        <f>Kaspers!AL28</f>
        <v>4000000</v>
      </c>
      <c r="AT7" s="186"/>
      <c r="AU7" s="189">
        <f>'MSBC Andheri'!L26</f>
        <v>396424.91</v>
      </c>
      <c r="AV7" s="186"/>
      <c r="AW7" s="189" t="str">
        <f t="shared" si="9"/>
        <v>#REF!</v>
      </c>
      <c r="AX7" s="186"/>
      <c r="AY7" s="189">
        <f>'MSBC Dahisar'!L24</f>
        <v>233274.67</v>
      </c>
      <c r="AZ7" s="186"/>
      <c r="BA7" s="189" t="str">
        <f t="shared" si="10"/>
        <v>#REF!</v>
      </c>
      <c r="BB7" s="186"/>
      <c r="BC7" s="189">
        <f>'MSBC Juhu  Goregoan'!L23</f>
        <v>234177.32</v>
      </c>
      <c r="BD7" s="186"/>
      <c r="BE7" s="189"/>
      <c r="BF7" s="186"/>
      <c r="BG7" s="114"/>
      <c r="BH7" s="43"/>
      <c r="BI7" s="114"/>
      <c r="BJ7" s="43"/>
      <c r="BK7" s="128"/>
      <c r="BL7" s="128"/>
      <c r="BM7" s="128"/>
      <c r="BN7" s="128"/>
    </row>
    <row r="8" ht="15.75" customHeight="1">
      <c r="B8" s="188" t="s">
        <v>25</v>
      </c>
      <c r="C8" s="262">
        <f t="shared" si="3"/>
        <v>4855544</v>
      </c>
      <c r="D8" s="268"/>
      <c r="E8" s="262" t="str">
        <f t="shared" si="4"/>
        <v>#REF!</v>
      </c>
      <c r="F8" s="268"/>
      <c r="G8" s="265" t="str">
        <f>HO!AZ18</f>
        <v/>
      </c>
      <c r="H8" s="186"/>
      <c r="I8" s="265" t="str">
        <f>HO!BB18</f>
        <v/>
      </c>
      <c r="J8" s="186"/>
      <c r="K8" s="262">
        <f t="shared" si="5"/>
        <v>4855544</v>
      </c>
      <c r="L8" s="268"/>
      <c r="M8" s="262" t="str">
        <f t="shared" si="6"/>
        <v>#REF!</v>
      </c>
      <c r="N8" s="268"/>
      <c r="O8" s="189">
        <f>'The Table'!AZ30</f>
        <v>2092127</v>
      </c>
      <c r="P8" s="186"/>
      <c r="Q8" s="265">
        <f>'The Table'!BB30</f>
        <v>1639865</v>
      </c>
      <c r="R8" s="186"/>
      <c r="S8" s="186" t="str">
        <f>Iktara!Z26</f>
        <v/>
      </c>
      <c r="T8" s="186"/>
      <c r="U8" s="186" t="str">
        <f t="shared" si="7"/>
        <v>#REF!</v>
      </c>
      <c r="V8" s="186"/>
      <c r="W8" s="189">
        <f>'Mg St Colaba'!AZ32</f>
        <v>1103868</v>
      </c>
      <c r="X8" s="186"/>
      <c r="Y8" s="189">
        <f>'Mg St Colaba'!BB32</f>
        <v>1117502.029</v>
      </c>
      <c r="Z8" s="186"/>
      <c r="AA8" s="189">
        <f>'Mg St LP'!AZ31</f>
        <v>406982</v>
      </c>
      <c r="AB8" s="186"/>
      <c r="AC8" s="189">
        <f>'Mg St LP'!BB31</f>
        <v>587737.0135</v>
      </c>
      <c r="AD8" s="186"/>
      <c r="AE8" s="189">
        <f>'Mg St Bandra'!AZ32</f>
        <v>1252567</v>
      </c>
      <c r="AF8" s="186"/>
      <c r="AG8" s="189">
        <f>'Mg St Bandra'!BB32</f>
        <v>1614754.71</v>
      </c>
      <c r="AH8" s="186"/>
      <c r="AI8" s="186" t="str">
        <f>'MSK Events'!L27</f>
        <v/>
      </c>
      <c r="AJ8" s="186"/>
      <c r="AK8" s="186" t="str">
        <f t="shared" si="8"/>
        <v>#REF!</v>
      </c>
      <c r="AL8" s="186"/>
      <c r="AM8" s="189" t="str">
        <f>MSBC!AZ28</f>
        <v/>
      </c>
      <c r="AN8" s="186"/>
      <c r="AO8" s="265" t="str">
        <f>MSBC!BB28</f>
        <v/>
      </c>
      <c r="AP8" s="186"/>
      <c r="AQ8" s="189">
        <f>Kaspers!AJ30</f>
        <v>735821</v>
      </c>
      <c r="AR8" s="186"/>
      <c r="AS8" s="265" t="str">
        <f>Kaspers!AL30</f>
        <v/>
      </c>
      <c r="AT8" s="186"/>
      <c r="AU8" s="189" t="str">
        <f>'MSBC Andheri'!L27</f>
        <v/>
      </c>
      <c r="AV8" s="186"/>
      <c r="AW8" s="186" t="str">
        <f t="shared" si="9"/>
        <v>#REF!</v>
      </c>
      <c r="AX8" s="186"/>
      <c r="AY8" s="186" t="str">
        <f>'MSBC Dahisar'!L25</f>
        <v/>
      </c>
      <c r="AZ8" s="186"/>
      <c r="BA8" s="186" t="str">
        <f t="shared" si="10"/>
        <v>#REF!</v>
      </c>
      <c r="BB8" s="186"/>
      <c r="BC8" s="186"/>
      <c r="BD8" s="186"/>
      <c r="BE8" s="186"/>
      <c r="BF8" s="186"/>
      <c r="BG8" s="114"/>
      <c r="BH8" s="186"/>
      <c r="BI8" s="186"/>
      <c r="BJ8" s="186"/>
      <c r="BK8" s="128"/>
      <c r="BL8" s="128"/>
      <c r="BM8" s="128"/>
      <c r="BN8" s="128"/>
    </row>
    <row r="9" ht="15.75" customHeight="1">
      <c r="B9" s="188" t="s">
        <v>169</v>
      </c>
      <c r="C9" s="262">
        <f t="shared" si="3"/>
        <v>61600</v>
      </c>
      <c r="D9" s="268"/>
      <c r="E9" s="262">
        <f t="shared" si="4"/>
        <v>0</v>
      </c>
      <c r="F9" s="268"/>
      <c r="G9" s="265">
        <f>HO!AZ19</f>
        <v>0</v>
      </c>
      <c r="H9" s="186"/>
      <c r="I9" s="265">
        <f>HO!BB19</f>
        <v>0</v>
      </c>
      <c r="J9" s="186"/>
      <c r="K9" s="262">
        <f t="shared" si="5"/>
        <v>61600</v>
      </c>
      <c r="L9" s="268"/>
      <c r="M9" s="262">
        <f t="shared" si="6"/>
        <v>0</v>
      </c>
      <c r="N9" s="268"/>
      <c r="O9" s="189">
        <f>'The Table'!AZ22</f>
        <v>14400</v>
      </c>
      <c r="P9" s="186"/>
      <c r="Q9" s="189"/>
      <c r="R9" s="186"/>
      <c r="S9" s="189"/>
      <c r="T9" s="186"/>
      <c r="U9" s="189"/>
      <c r="V9" s="186"/>
      <c r="W9" s="189">
        <f>'Mg St Colaba'!AZ24</f>
        <v>19200</v>
      </c>
      <c r="X9" s="186"/>
      <c r="Y9" s="189"/>
      <c r="Z9" s="186"/>
      <c r="AA9" s="189">
        <f>'Mg St LP'!AZ23</f>
        <v>8800</v>
      </c>
      <c r="AB9" s="186"/>
      <c r="AC9" s="189"/>
      <c r="AD9" s="186"/>
      <c r="AE9" s="189">
        <f>'Mg St Bandra'!AZ24</f>
        <v>19200</v>
      </c>
      <c r="AF9" s="186"/>
      <c r="AG9" s="189"/>
      <c r="AH9" s="186"/>
      <c r="AI9" s="189"/>
      <c r="AJ9" s="186"/>
      <c r="AK9" s="189"/>
      <c r="AL9" s="186"/>
      <c r="AM9" s="189"/>
      <c r="AN9" s="186"/>
      <c r="AO9" s="189"/>
      <c r="AP9" s="186"/>
      <c r="AQ9" s="266">
        <f>Kaspers!AJ21</f>
        <v>14160</v>
      </c>
      <c r="AR9" s="186"/>
      <c r="AS9" s="266">
        <v>0.0</v>
      </c>
      <c r="AT9" s="186"/>
      <c r="AU9" s="266">
        <v>0.0</v>
      </c>
      <c r="AV9" s="186"/>
      <c r="AW9" s="267">
        <v>0.0</v>
      </c>
      <c r="AX9" s="186"/>
      <c r="AY9" s="267">
        <v>0.0</v>
      </c>
      <c r="AZ9" s="186"/>
      <c r="BA9" s="267">
        <v>0.0</v>
      </c>
      <c r="BB9" s="186"/>
      <c r="BC9" s="267"/>
      <c r="BD9" s="186"/>
      <c r="BE9" s="267"/>
      <c r="BF9" s="186"/>
      <c r="BG9" s="62"/>
      <c r="BH9" s="186"/>
      <c r="BI9" s="186"/>
      <c r="BJ9" s="186"/>
      <c r="BK9" s="128"/>
      <c r="BL9" s="128"/>
      <c r="BM9" s="128"/>
      <c r="BN9" s="128"/>
    </row>
    <row r="10" ht="15.75" customHeight="1">
      <c r="B10" s="188" t="s">
        <v>27</v>
      </c>
      <c r="C10" s="262">
        <f>SUM(C5:C9)</f>
        <v>75435888.88</v>
      </c>
      <c r="D10" s="268"/>
      <c r="E10" s="262" t="str">
        <f>SUM(E5:E9)</f>
        <v>#REF!</v>
      </c>
      <c r="F10" s="268"/>
      <c r="G10" s="189">
        <f>SUM(G5:G8)</f>
        <v>0</v>
      </c>
      <c r="H10" s="186"/>
      <c r="I10" s="189">
        <f>SUM(I5:I8)</f>
        <v>0</v>
      </c>
      <c r="J10" s="186"/>
      <c r="K10" s="262">
        <f>SUM(K5:K9)</f>
        <v>75435888.88</v>
      </c>
      <c r="L10" s="268"/>
      <c r="M10" s="262" t="str">
        <f>SUM(M5:M9)</f>
        <v>#REF!</v>
      </c>
      <c r="N10" s="268"/>
      <c r="O10" s="189">
        <f>SUM(O5:O9)</f>
        <v>24533321.63</v>
      </c>
      <c r="P10" s="186"/>
      <c r="Q10" s="189">
        <f>SUM(Q5:Q8)</f>
        <v>21810403</v>
      </c>
      <c r="R10" s="186"/>
      <c r="S10" s="189">
        <f>SUM(S5:S8)</f>
        <v>1276355.84</v>
      </c>
      <c r="T10" s="186"/>
      <c r="U10" s="189" t="str">
        <f>SUM(U5:U8)</f>
        <v>#REF!</v>
      </c>
      <c r="V10" s="186"/>
      <c r="W10" s="189">
        <f>SUM(W5:W9)</f>
        <v>17906447.15</v>
      </c>
      <c r="X10" s="186"/>
      <c r="Y10" s="189">
        <f>SUM(Y5:Y8)</f>
        <v>16725072.27</v>
      </c>
      <c r="Z10" s="186"/>
      <c r="AA10" s="189">
        <f>SUM(AA5:AA9)</f>
        <v>10085625.57</v>
      </c>
      <c r="AB10" s="186"/>
      <c r="AC10" s="189">
        <f>SUM(AC5:AC8)</f>
        <v>10465670.01</v>
      </c>
      <c r="AD10" s="186"/>
      <c r="AE10" s="189">
        <f>SUM(AE5:AE9)</f>
        <v>20586748.38</v>
      </c>
      <c r="AF10" s="186"/>
      <c r="AG10" s="189">
        <f>SUM(AG5:AG8)</f>
        <v>19556473.71</v>
      </c>
      <c r="AH10" s="186"/>
      <c r="AI10" s="189">
        <f>SUM(AI5:AI8)</f>
        <v>42624</v>
      </c>
      <c r="AJ10" s="186"/>
      <c r="AK10" s="189" t="str">
        <f>SUM(AK5:AK8)</f>
        <v>#REF!</v>
      </c>
      <c r="AL10" s="186"/>
      <c r="AM10" s="189">
        <f>SUM(AM5:AM8)</f>
        <v>1004766.31</v>
      </c>
      <c r="AN10" s="186"/>
      <c r="AO10" s="189">
        <f>SUM(AO5:AO8)</f>
        <v>96359</v>
      </c>
      <c r="AP10" s="186"/>
      <c r="AQ10" s="189">
        <f>SUM(AQ5:AQ9)</f>
        <v>8580939</v>
      </c>
      <c r="AR10" s="186"/>
      <c r="AS10" s="189">
        <f>SUM(AS5:AS9)</f>
        <v>5000000</v>
      </c>
      <c r="AT10" s="186"/>
      <c r="AU10" s="262">
        <f>SUM(AU5:AU9)</f>
        <v>396424.91</v>
      </c>
      <c r="AV10" s="188"/>
      <c r="AW10" s="262" t="str">
        <f>SUM(AW5:AW9)</f>
        <v>#REF!</v>
      </c>
      <c r="AX10" s="188"/>
      <c r="AY10" s="262">
        <f>SUM(AY5:AY9)</f>
        <v>233274.67</v>
      </c>
      <c r="AZ10" s="188"/>
      <c r="BA10" s="262" t="str">
        <f>SUM(BA5:BA9)</f>
        <v>#REF!</v>
      </c>
      <c r="BB10" s="188"/>
      <c r="BC10" s="285">
        <f>SUM(BC5:BC9)</f>
        <v>234177.32</v>
      </c>
      <c r="BD10" s="286"/>
      <c r="BE10" s="285"/>
      <c r="BF10" s="286"/>
      <c r="BG10" s="146">
        <f>SUM(BG5:BG9)</f>
        <v>0</v>
      </c>
      <c r="BH10" s="186"/>
      <c r="BI10" s="189">
        <f>SUM(BI5:BI9)</f>
        <v>0</v>
      </c>
      <c r="BJ10" s="186"/>
      <c r="BK10" s="128"/>
      <c r="BL10" s="128"/>
      <c r="BM10" s="128"/>
      <c r="BN10" s="128"/>
    </row>
    <row r="11" ht="15.75" customHeight="1">
      <c r="B11" s="188"/>
      <c r="C11" s="268"/>
      <c r="D11" s="268"/>
      <c r="E11" s="268"/>
      <c r="F11" s="268"/>
      <c r="G11" s="186"/>
      <c r="H11" s="186"/>
      <c r="I11" s="186"/>
      <c r="J11" s="186"/>
      <c r="K11" s="268"/>
      <c r="L11" s="268"/>
      <c r="M11" s="268"/>
      <c r="N11" s="268"/>
      <c r="O11" s="186"/>
      <c r="P11" s="186"/>
      <c r="Q11" s="186"/>
      <c r="R11" s="186"/>
      <c r="S11" s="186"/>
      <c r="T11" s="186"/>
      <c r="U11" s="186"/>
      <c r="V11" s="186"/>
      <c r="W11" s="186"/>
      <c r="X11" s="186"/>
      <c r="Y11" s="186"/>
      <c r="Z11" s="186"/>
      <c r="AA11" s="186"/>
      <c r="AB11" s="186"/>
      <c r="AC11" s="186"/>
      <c r="AD11" s="186"/>
      <c r="AE11" s="186"/>
      <c r="AF11" s="186"/>
      <c r="AG11" s="186"/>
      <c r="AH11" s="186"/>
      <c r="AI11" s="186"/>
      <c r="AJ11" s="186"/>
      <c r="AK11" s="186"/>
      <c r="AL11" s="186"/>
      <c r="AM11" s="186"/>
      <c r="AN11" s="186"/>
      <c r="AO11" s="186"/>
      <c r="AP11" s="186"/>
      <c r="AQ11" s="186"/>
      <c r="AR11" s="186"/>
      <c r="AS11" s="186"/>
      <c r="AT11" s="186"/>
      <c r="AU11" s="186"/>
      <c r="AV11" s="186"/>
      <c r="AW11" s="186"/>
      <c r="AX11" s="186"/>
      <c r="AY11" s="186"/>
      <c r="AZ11" s="186"/>
      <c r="BA11" s="186"/>
      <c r="BB11" s="186"/>
      <c r="BC11" s="186"/>
      <c r="BD11" s="186"/>
      <c r="BE11" s="186"/>
      <c r="BF11" s="186"/>
      <c r="BG11" s="83"/>
      <c r="BH11" s="186"/>
      <c r="BI11" s="186"/>
      <c r="BJ11" s="186"/>
      <c r="BK11" s="128"/>
      <c r="BL11" s="128"/>
      <c r="BM11" s="128"/>
      <c r="BN11" s="128"/>
    </row>
    <row r="12" ht="15.75" customHeight="1">
      <c r="B12" s="188" t="s">
        <v>29</v>
      </c>
      <c r="C12" s="262">
        <f t="shared" ref="C12:C13" si="13">G12+K12</f>
        <v>22157044.34</v>
      </c>
      <c r="D12" s="268"/>
      <c r="E12" s="262" t="str">
        <f t="shared" ref="E12:E13" si="14">I12+M12</f>
        <v>#REF!</v>
      </c>
      <c r="F12" s="268"/>
      <c r="G12" s="265">
        <f>HO!AZ32</f>
        <v>0</v>
      </c>
      <c r="H12" s="186"/>
      <c r="I12" s="265">
        <f>HO!BB32</f>
        <v>0</v>
      </c>
      <c r="J12" s="186"/>
      <c r="K12" s="262">
        <f t="shared" ref="K12:K13" si="15">O12+S12+W12+AA12+AE12+AI12+AM12</f>
        <v>22157044.34</v>
      </c>
      <c r="L12" s="268"/>
      <c r="M12" s="262" t="str">
        <f t="shared" ref="M12:M13" si="16">Q12+U12+Y12+AC12+AG12+AK12+AO12</f>
        <v>#REF!</v>
      </c>
      <c r="N12" s="268"/>
      <c r="O12" s="189">
        <f>'The Table'!AZ41</f>
        <v>7461512.55</v>
      </c>
      <c r="P12" s="186"/>
      <c r="Q12" s="189">
        <f>'The Table'!BB41</f>
        <v>7246770</v>
      </c>
      <c r="R12" s="186"/>
      <c r="S12" s="189">
        <f>Iktara!Z38</f>
        <v>467134.9109</v>
      </c>
      <c r="T12" s="186"/>
      <c r="U12" s="189" t="str">
        <f t="shared" ref="U12:U13" si="17">#REF!</f>
        <v>#REF!</v>
      </c>
      <c r="V12" s="186"/>
      <c r="W12" s="189">
        <f>'Mg St Colaba'!AZ51</f>
        <v>5385141.466</v>
      </c>
      <c r="X12" s="186"/>
      <c r="Y12" s="189">
        <f>'Mg St Colaba'!BB51</f>
        <v>4606954.036</v>
      </c>
      <c r="Z12" s="186"/>
      <c r="AA12" s="189">
        <f>'Mg St LP'!AZ52</f>
        <v>3003165.633</v>
      </c>
      <c r="AB12" s="186"/>
      <c r="AC12" s="189">
        <f>'Mg St LP'!BB52</f>
        <v>2522589</v>
      </c>
      <c r="AD12" s="186"/>
      <c r="AE12" s="189">
        <f>'Mg St Bandra'!AZ51</f>
        <v>5677580.276</v>
      </c>
      <c r="AF12" s="186"/>
      <c r="AG12" s="189">
        <f>'Mg St Bandra'!BB51</f>
        <v>5713224.486</v>
      </c>
      <c r="AH12" s="186"/>
      <c r="AI12" s="186">
        <f>'MSK Events'!L46</f>
        <v>0</v>
      </c>
      <c r="AJ12" s="186"/>
      <c r="AK12" s="186" t="str">
        <f t="shared" ref="AK12:AK13" si="18">#REF!</f>
        <v>#REF!</v>
      </c>
      <c r="AL12" s="186"/>
      <c r="AM12" s="189">
        <f>MSBC!AZ47</f>
        <v>162509.5045</v>
      </c>
      <c r="AN12" s="186"/>
      <c r="AO12" s="265">
        <f>MSBC!BB47</f>
        <v>0</v>
      </c>
      <c r="AP12" s="186"/>
      <c r="AQ12" s="189">
        <f>Kaspers!AJ49</f>
        <v>3536174.777</v>
      </c>
      <c r="AR12" s="186"/>
      <c r="AS12" s="189">
        <f>Kaspers!AL49</f>
        <v>2143500</v>
      </c>
      <c r="AT12" s="186"/>
      <c r="AU12" s="189">
        <f>'MSBC Andheri'!L47</f>
        <v>299474.0896</v>
      </c>
      <c r="AV12" s="186" t="str">
        <f t="shared" ref="AV12:AW12" si="11">#REF!</f>
        <v>#REF!</v>
      </c>
      <c r="AW12" s="282" t="str">
        <f t="shared" si="11"/>
        <v>#REF!</v>
      </c>
      <c r="AX12" s="186"/>
      <c r="AY12" s="189">
        <f>'MSBC Dahisar'!L45</f>
        <v>241202.1253</v>
      </c>
      <c r="AZ12" s="186" t="str">
        <f t="shared" ref="AZ12:BA12" si="12">#REF!</f>
        <v>#REF!</v>
      </c>
      <c r="BA12" s="186" t="str">
        <f t="shared" si="12"/>
        <v>#REF!</v>
      </c>
      <c r="BB12" s="186"/>
      <c r="BC12" s="189">
        <f>'MSBC Juhu  Goregoan'!L36</f>
        <v>237287.2539</v>
      </c>
      <c r="BD12" s="186"/>
      <c r="BE12" s="186"/>
      <c r="BF12" s="186"/>
      <c r="BG12" s="114" t="str">
        <f>'LOUD MOUTH'!L47</f>
        <v/>
      </c>
      <c r="BH12" s="186"/>
      <c r="BI12" s="186"/>
      <c r="BJ12" s="186"/>
      <c r="BK12" s="128"/>
      <c r="BL12" s="128"/>
      <c r="BM12" s="128"/>
      <c r="BN12" s="128"/>
    </row>
    <row r="13" ht="15.75" customHeight="1">
      <c r="B13" s="188" t="s">
        <v>30</v>
      </c>
      <c r="C13" s="262">
        <f t="shared" si="13"/>
        <v>828062.5</v>
      </c>
      <c r="D13" s="268"/>
      <c r="E13" s="262" t="str">
        <f t="shared" si="14"/>
        <v>#REF!</v>
      </c>
      <c r="F13" s="268"/>
      <c r="G13" s="265" t="str">
        <f>HO!AZ33</f>
        <v/>
      </c>
      <c r="H13" s="186"/>
      <c r="I13" s="265" t="str">
        <f>HO!BB33</f>
        <v/>
      </c>
      <c r="J13" s="186"/>
      <c r="K13" s="262">
        <f t="shared" si="15"/>
        <v>828062.5</v>
      </c>
      <c r="L13" s="268"/>
      <c r="M13" s="262" t="str">
        <f t="shared" si="16"/>
        <v>#REF!</v>
      </c>
      <c r="N13" s="268"/>
      <c r="O13" s="189">
        <f>'The Table'!AZ42</f>
        <v>36798</v>
      </c>
      <c r="P13" s="186"/>
      <c r="Q13" s="189">
        <f>'The Table'!BB42</f>
        <v>62528.6678</v>
      </c>
      <c r="R13" s="186"/>
      <c r="S13" s="189">
        <f>Iktara!Z39</f>
        <v>0</v>
      </c>
      <c r="T13" s="186"/>
      <c r="U13" s="189" t="str">
        <f t="shared" si="17"/>
        <v>#REF!</v>
      </c>
      <c r="V13" s="186"/>
      <c r="W13" s="189">
        <f>'Mg St Colaba'!AZ52</f>
        <v>198278</v>
      </c>
      <c r="X13" s="186"/>
      <c r="Y13" s="189">
        <f>'Mg St Colaba'!BB52</f>
        <v>147180.636</v>
      </c>
      <c r="Z13" s="186"/>
      <c r="AA13" s="189">
        <f>'Mg St LP'!AZ53</f>
        <v>227331</v>
      </c>
      <c r="AB13" s="186"/>
      <c r="AC13" s="189">
        <f>'Mg St LP'!BB53</f>
        <v>100754.9166</v>
      </c>
      <c r="AD13" s="186"/>
      <c r="AE13" s="189">
        <f>'Mg St Bandra'!AZ52</f>
        <v>210257</v>
      </c>
      <c r="AF13" s="186"/>
      <c r="AG13" s="189">
        <f>'Mg St Bandra'!BB52</f>
        <v>107560.6054</v>
      </c>
      <c r="AH13" s="186"/>
      <c r="AI13" s="186" t="str">
        <f>'MSK Events'!L47</f>
        <v/>
      </c>
      <c r="AJ13" s="186"/>
      <c r="AK13" s="186" t="str">
        <f t="shared" si="18"/>
        <v>#REF!</v>
      </c>
      <c r="AL13" s="186"/>
      <c r="AM13" s="189">
        <f>MSBC!AZ48</f>
        <v>155398.5</v>
      </c>
      <c r="AN13" s="186"/>
      <c r="AO13" s="265" t="str">
        <f>MSBC!BB48</f>
        <v/>
      </c>
      <c r="AP13" s="186"/>
      <c r="AQ13" s="189">
        <f>Kaspers!AJ50</f>
        <v>113923</v>
      </c>
      <c r="AR13" s="186"/>
      <c r="AS13" s="189">
        <f>Kaspers!AL50</f>
        <v>15500</v>
      </c>
      <c r="AT13" s="186"/>
      <c r="AU13" s="189">
        <f>'MSBC Andheri'!L48</f>
        <v>12058</v>
      </c>
      <c r="AV13" s="186"/>
      <c r="AW13" s="282" t="str">
        <f>#REF!</f>
        <v>#REF!</v>
      </c>
      <c r="AX13" s="186"/>
      <c r="AY13" s="189">
        <f>'MSBC Dahisar'!L46</f>
        <v>3972</v>
      </c>
      <c r="AZ13" s="186"/>
      <c r="BA13" s="186" t="str">
        <f>#REF!</f>
        <v>#REF!</v>
      </c>
      <c r="BB13" s="186"/>
      <c r="BC13" s="189">
        <f>'MSBC Juhu  Goregoan'!L37</f>
        <v>9222</v>
      </c>
      <c r="BD13" s="186"/>
      <c r="BE13" s="186"/>
      <c r="BF13" s="186"/>
      <c r="BG13" s="114" t="str">
        <f>'LOUD MOUTH'!L48</f>
        <v/>
      </c>
      <c r="BH13" s="186"/>
      <c r="BI13" s="186"/>
      <c r="BJ13" s="186"/>
      <c r="BK13" s="128"/>
      <c r="BL13" s="128"/>
      <c r="BM13" s="128"/>
      <c r="BN13" s="128"/>
    </row>
    <row r="14" ht="15.75" customHeight="1">
      <c r="B14" s="188" t="s">
        <v>31</v>
      </c>
      <c r="C14" s="262">
        <f>C12+C13</f>
        <v>22985106.84</v>
      </c>
      <c r="D14" s="268"/>
      <c r="E14" s="262" t="str">
        <f>E12+E13</f>
        <v>#REF!</v>
      </c>
      <c r="F14" s="268"/>
      <c r="G14" s="265">
        <f>G12+G13</f>
        <v>0</v>
      </c>
      <c r="H14" s="186"/>
      <c r="I14" s="265">
        <f>I12+I13</f>
        <v>0</v>
      </c>
      <c r="J14" s="186"/>
      <c r="K14" s="262">
        <f>sum(K12:K13)</f>
        <v>22985106.84</v>
      </c>
      <c r="L14" s="268"/>
      <c r="M14" s="268"/>
      <c r="N14" s="268"/>
      <c r="O14" s="189">
        <f>O12+O13</f>
        <v>7498310.55</v>
      </c>
      <c r="P14" s="186"/>
      <c r="Q14" s="189">
        <f>Q12+Q13</f>
        <v>7309298.668</v>
      </c>
      <c r="R14" s="186"/>
      <c r="S14" s="189">
        <f>S12+S13</f>
        <v>467134.9109</v>
      </c>
      <c r="T14" s="186"/>
      <c r="U14" s="189" t="str">
        <f>U12+U13</f>
        <v>#REF!</v>
      </c>
      <c r="V14" s="186"/>
      <c r="W14" s="189">
        <f>W12+W13</f>
        <v>5583419.466</v>
      </c>
      <c r="X14" s="186"/>
      <c r="Y14" s="189">
        <f>Y12+Y13</f>
        <v>4754134.672</v>
      </c>
      <c r="Z14" s="186"/>
      <c r="AA14" s="189">
        <f>AA12+AA13</f>
        <v>3230496.633</v>
      </c>
      <c r="AB14" s="186"/>
      <c r="AC14" s="189">
        <f>AC12+AC13</f>
        <v>2623343.917</v>
      </c>
      <c r="AD14" s="186"/>
      <c r="AE14" s="189">
        <f>SUM(AE12:AE13)</f>
        <v>5887837.276</v>
      </c>
      <c r="AF14" s="186"/>
      <c r="AG14" s="189">
        <f>SUM(AG12:AG13)</f>
        <v>5820785.091</v>
      </c>
      <c r="AH14" s="186"/>
      <c r="AI14" s="186">
        <f>SUM(AI12:AI13)</f>
        <v>0</v>
      </c>
      <c r="AJ14" s="186"/>
      <c r="AK14" s="186" t="str">
        <f>SUM(AK12:AK13)</f>
        <v>#REF!</v>
      </c>
      <c r="AL14" s="186"/>
      <c r="AM14" s="189">
        <f>SUM(AM12:AM13)</f>
        <v>317908.0045</v>
      </c>
      <c r="AN14" s="186"/>
      <c r="AO14" s="189">
        <f>SUM(AO12:AO13)</f>
        <v>0</v>
      </c>
      <c r="AP14" s="186"/>
      <c r="AQ14" s="189">
        <f>SUM(AQ12:AQ13)</f>
        <v>3650097.777</v>
      </c>
      <c r="AR14" s="186"/>
      <c r="AS14" s="189">
        <f>SUM(AS12:AS13)</f>
        <v>2159000</v>
      </c>
      <c r="AT14" s="186"/>
      <c r="AU14" s="190">
        <f>SUM(AU12:AU13)</f>
        <v>311532.0896</v>
      </c>
      <c r="AV14" s="188"/>
      <c r="AW14" s="287" t="str">
        <f>SUM(AW12:AW13)</f>
        <v>#REF!</v>
      </c>
      <c r="AX14" s="188"/>
      <c r="AY14" s="190">
        <f>SUM(AY12:AY13)</f>
        <v>245174.1253</v>
      </c>
      <c r="AZ14" s="188"/>
      <c r="BA14" s="188" t="str">
        <f>SUM(BA12:BA13)</f>
        <v>#REF!</v>
      </c>
      <c r="BB14" s="188"/>
      <c r="BC14" s="190">
        <f>SUM(BC12:BC13)</f>
        <v>246509.2539</v>
      </c>
      <c r="BD14" s="188"/>
      <c r="BE14" s="188">
        <f>SUM(BE12:BE13)</f>
        <v>0</v>
      </c>
      <c r="BF14" s="188"/>
      <c r="BG14" s="146">
        <f>SUM(BG12:BG13)</f>
        <v>0</v>
      </c>
      <c r="BH14" s="186"/>
      <c r="BI14" s="186"/>
      <c r="BJ14" s="186"/>
      <c r="BK14" s="128"/>
      <c r="BL14" s="128"/>
      <c r="BM14" s="128"/>
      <c r="BN14" s="128"/>
    </row>
    <row r="15" ht="15.75" customHeight="1">
      <c r="B15" s="188"/>
      <c r="C15" s="268"/>
      <c r="D15" s="268"/>
      <c r="E15" s="268"/>
      <c r="F15" s="268"/>
      <c r="G15" s="186"/>
      <c r="H15" s="186"/>
      <c r="I15" s="186"/>
      <c r="J15" s="186"/>
      <c r="K15" s="268"/>
      <c r="L15" s="268"/>
      <c r="M15" s="268"/>
      <c r="N15" s="268"/>
      <c r="O15" s="186"/>
      <c r="P15" s="186"/>
      <c r="Q15" s="186"/>
      <c r="R15" s="186"/>
      <c r="S15" s="186"/>
      <c r="T15" s="186"/>
      <c r="U15" s="186"/>
      <c r="V15" s="186"/>
      <c r="W15" s="186"/>
      <c r="X15" s="186"/>
      <c r="Y15" s="186"/>
      <c r="Z15" s="186"/>
      <c r="AA15" s="186"/>
      <c r="AB15" s="186"/>
      <c r="AC15" s="186"/>
      <c r="AD15" s="186"/>
      <c r="AE15" s="186"/>
      <c r="AF15" s="186"/>
      <c r="AG15" s="186"/>
      <c r="AH15" s="186"/>
      <c r="AI15" s="186"/>
      <c r="AJ15" s="186"/>
      <c r="AK15" s="186"/>
      <c r="AL15" s="186"/>
      <c r="AM15" s="186"/>
      <c r="AN15" s="186"/>
      <c r="AO15" s="186"/>
      <c r="AP15" s="186"/>
      <c r="AQ15" s="186"/>
      <c r="AR15" s="186"/>
      <c r="AS15" s="186"/>
      <c r="AT15" s="186"/>
      <c r="AU15" s="189">
        <f>'MSBC Andheri'!L60</f>
        <v>0</v>
      </c>
      <c r="AV15" s="186" t="str">
        <f t="shared" ref="AV15:AW15" si="19">#REF!</f>
        <v>#REF!</v>
      </c>
      <c r="AW15" s="186" t="str">
        <f t="shared" si="19"/>
        <v>#REF!</v>
      </c>
      <c r="AX15" s="186"/>
      <c r="AY15" s="189">
        <f>'MSBC Dahisar'!J58</f>
        <v>0</v>
      </c>
      <c r="AZ15" s="186" t="str">
        <f t="shared" ref="AZ15:BA15" si="20">#REF!</f>
        <v>#REF!</v>
      </c>
      <c r="BA15" s="186" t="str">
        <f t="shared" si="20"/>
        <v>#REF!</v>
      </c>
      <c r="BB15" s="186"/>
      <c r="BC15" s="189">
        <f>'MSBC Dahisar'!J58</f>
        <v>0</v>
      </c>
      <c r="BD15" s="186"/>
      <c r="BE15" s="186"/>
      <c r="BF15" s="186"/>
      <c r="BG15" s="96"/>
      <c r="BH15" s="186"/>
      <c r="BI15" s="186"/>
      <c r="BJ15" s="186"/>
      <c r="BK15" s="128"/>
      <c r="BL15" s="128"/>
      <c r="BM15" s="128"/>
      <c r="BN15" s="128"/>
    </row>
    <row r="16" ht="15.75" customHeight="1">
      <c r="B16" s="188" t="s">
        <v>33</v>
      </c>
      <c r="C16" s="262">
        <f>C10-C14</f>
        <v>52450782.04</v>
      </c>
      <c r="D16" s="268"/>
      <c r="E16" s="262" t="str">
        <f>E10-E14</f>
        <v>#REF!</v>
      </c>
      <c r="F16" s="268"/>
      <c r="G16" s="189">
        <f>G10-G14</f>
        <v>0</v>
      </c>
      <c r="H16" s="186"/>
      <c r="I16" s="189">
        <f>I10-I14</f>
        <v>0</v>
      </c>
      <c r="J16" s="186"/>
      <c r="K16" s="262">
        <f>K10-K14</f>
        <v>52450782.04</v>
      </c>
      <c r="L16" s="268"/>
      <c r="M16" s="262" t="str">
        <f>Q16+U16+Y16+AC16+AG16+AK16+AO16</f>
        <v>#REF!</v>
      </c>
      <c r="N16" s="268"/>
      <c r="O16" s="189">
        <f>O10-O14</f>
        <v>17035011.08</v>
      </c>
      <c r="P16" s="186"/>
      <c r="Q16" s="189">
        <f>Q10-Q14</f>
        <v>14501104.33</v>
      </c>
      <c r="R16" s="186"/>
      <c r="S16" s="189">
        <f>S10-S14</f>
        <v>809220.9291</v>
      </c>
      <c r="T16" s="186"/>
      <c r="U16" s="189" t="str">
        <f>U10-U14</f>
        <v>#REF!</v>
      </c>
      <c r="V16" s="186"/>
      <c r="W16" s="189">
        <f>W10-W14</f>
        <v>12323027.68</v>
      </c>
      <c r="X16" s="186"/>
      <c r="Y16" s="189">
        <f>Y10-Y14</f>
        <v>11970937.6</v>
      </c>
      <c r="Z16" s="186"/>
      <c r="AA16" s="189">
        <f>AA10-AA14</f>
        <v>6855128.937</v>
      </c>
      <c r="AB16" s="186"/>
      <c r="AC16" s="189">
        <f>AC10-AC14</f>
        <v>7842326.097</v>
      </c>
      <c r="AD16" s="186"/>
      <c r="AE16" s="189">
        <f>AE10-AE14</f>
        <v>14698911.1</v>
      </c>
      <c r="AF16" s="186"/>
      <c r="AG16" s="189">
        <f>AG10-AG14</f>
        <v>13735688.62</v>
      </c>
      <c r="AH16" s="186"/>
      <c r="AI16" s="189">
        <f>AI10-AI14</f>
        <v>42624</v>
      </c>
      <c r="AJ16" s="186"/>
      <c r="AK16" s="189" t="str">
        <f>AK10-AK14</f>
        <v>#REF!</v>
      </c>
      <c r="AL16" s="186"/>
      <c r="AM16" s="189">
        <f>AM10-AM14</f>
        <v>686858.3055</v>
      </c>
      <c r="AN16" s="186"/>
      <c r="AO16" s="189">
        <f>AO10-AO14</f>
        <v>96359</v>
      </c>
      <c r="AP16" s="186"/>
      <c r="AQ16" s="189">
        <f>AQ10-AQ14</f>
        <v>4930841.223</v>
      </c>
      <c r="AR16" s="186"/>
      <c r="AS16" s="189">
        <f>AS10-AS14</f>
        <v>2841000</v>
      </c>
      <c r="AT16" s="186"/>
      <c r="AU16" s="262">
        <f>AU10-AU14-AU15</f>
        <v>84892.82041</v>
      </c>
      <c r="AV16" s="268"/>
      <c r="AW16" s="262" t="str">
        <f>AW10-AW14-AW15</f>
        <v>#REF!</v>
      </c>
      <c r="AX16" s="268"/>
      <c r="AY16" s="262">
        <f>AY10-AY14-AY15</f>
        <v>-11899.45525</v>
      </c>
      <c r="AZ16" s="268"/>
      <c r="BA16" s="262" t="str">
        <f>BA10-BA14-BA15</f>
        <v>#REF!</v>
      </c>
      <c r="BB16" s="268"/>
      <c r="BC16" s="262">
        <f>BC10-BC14-BC15</f>
        <v>-12331.93394</v>
      </c>
      <c r="BD16" s="268"/>
      <c r="BE16" s="262"/>
      <c r="BF16" s="268"/>
      <c r="BG16" s="146">
        <f>BG10-BG14</f>
        <v>0</v>
      </c>
      <c r="BH16" s="186"/>
      <c r="BI16" s="186"/>
      <c r="BJ16" s="186"/>
      <c r="BK16" s="128"/>
      <c r="BL16" s="128"/>
      <c r="BM16" s="128"/>
      <c r="BN16" s="128"/>
    </row>
    <row r="17" ht="15.75" customHeight="1">
      <c r="B17" s="188"/>
      <c r="C17" s="268"/>
      <c r="D17" s="268"/>
      <c r="E17" s="268"/>
      <c r="F17" s="268"/>
      <c r="G17" s="186"/>
      <c r="H17" s="186"/>
      <c r="I17" s="186"/>
      <c r="J17" s="186"/>
      <c r="K17" s="268"/>
      <c r="L17" s="268"/>
      <c r="M17" s="268"/>
      <c r="N17" s="268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  <c r="AA17" s="186"/>
      <c r="AB17" s="186"/>
      <c r="AC17" s="186"/>
      <c r="AD17" s="186"/>
      <c r="AE17" s="186"/>
      <c r="AF17" s="186"/>
      <c r="AG17" s="186"/>
      <c r="AH17" s="186"/>
      <c r="AI17" s="186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6"/>
      <c r="AU17" s="186"/>
      <c r="AV17" s="186"/>
      <c r="AW17" s="186"/>
      <c r="AX17" s="186"/>
      <c r="AY17" s="186"/>
      <c r="AZ17" s="186"/>
      <c r="BA17" s="186"/>
      <c r="BB17" s="186"/>
      <c r="BC17" s="186"/>
      <c r="BD17" s="186"/>
      <c r="BE17" s="186"/>
      <c r="BF17" s="186"/>
      <c r="BG17" s="83"/>
      <c r="BH17" s="186"/>
      <c r="BI17" s="186"/>
      <c r="BJ17" s="186"/>
      <c r="BK17" s="128"/>
      <c r="BL17" s="128"/>
      <c r="BM17" s="128"/>
      <c r="BN17" s="128"/>
    </row>
    <row r="18" ht="15.75" customHeight="1">
      <c r="B18" s="188" t="s">
        <v>34</v>
      </c>
      <c r="C18" s="262">
        <f t="shared" ref="C18:C27" si="21">G18+K18</f>
        <v>1443296.04</v>
      </c>
      <c r="D18" s="268"/>
      <c r="E18" s="262" t="str">
        <f t="shared" ref="E18:E28" si="22">I18+M18</f>
        <v>#REF!</v>
      </c>
      <c r="F18" s="268"/>
      <c r="G18" s="265">
        <f>HO!AZ44</f>
        <v>0</v>
      </c>
      <c r="H18" s="186"/>
      <c r="I18" s="189">
        <f>HO!BB44</f>
        <v>0</v>
      </c>
      <c r="J18" s="186"/>
      <c r="K18" s="262">
        <f t="shared" ref="K18:K27" si="23">O18+S18+W18+AA18+AE18+AI18+AM18</f>
        <v>1443296.04</v>
      </c>
      <c r="L18" s="268"/>
      <c r="M18" s="262" t="str">
        <f t="shared" ref="M18:M27" si="24">Q18+U18+Y18+AC18+AG18+AK18+AO18</f>
        <v>#REF!</v>
      </c>
      <c r="N18" s="268"/>
      <c r="O18" s="189">
        <f>'The Table'!AZ53</f>
        <v>430259.32</v>
      </c>
      <c r="P18" s="186"/>
      <c r="Q18" s="189">
        <f>'The Table'!BB53</f>
        <v>448966.448</v>
      </c>
      <c r="R18" s="186"/>
      <c r="S18" s="189">
        <f>Iktara!Z50</f>
        <v>16872.44</v>
      </c>
      <c r="T18" s="186"/>
      <c r="U18" s="189" t="str">
        <f t="shared" ref="U18:U27" si="25">#REF!</f>
        <v>#REF!</v>
      </c>
      <c r="V18" s="186"/>
      <c r="W18" s="189">
        <f>'Mg St Colaba'!AZ77</f>
        <v>449382</v>
      </c>
      <c r="X18" s="186"/>
      <c r="Y18" s="189">
        <f>'Mg St Colaba'!BB77</f>
        <v>386349.1694</v>
      </c>
      <c r="Z18" s="186"/>
      <c r="AA18" s="189">
        <f>'Mg St LP'!AZ78</f>
        <v>174120.76</v>
      </c>
      <c r="AB18" s="186"/>
      <c r="AC18" s="189">
        <f>'Mg St LP'!BB78</f>
        <v>245943.2453</v>
      </c>
      <c r="AD18" s="186"/>
      <c r="AE18" s="189">
        <f>'Mg St Bandra'!AZ75</f>
        <v>337396</v>
      </c>
      <c r="AF18" s="186"/>
      <c r="AG18" s="189">
        <f>'Mg St Bandra'!BB75</f>
        <v>412641.5953</v>
      </c>
      <c r="AH18" s="186"/>
      <c r="AI18" s="265">
        <f>'MSK Events'!L72</f>
        <v>0</v>
      </c>
      <c r="AJ18" s="186"/>
      <c r="AK18" s="189" t="str">
        <f t="shared" ref="AK18:AK27" si="26">#REF!</f>
        <v>#REF!</v>
      </c>
      <c r="AL18" s="186"/>
      <c r="AM18" s="189">
        <f>MSBC!AZ73</f>
        <v>35265.52</v>
      </c>
      <c r="AN18" s="186"/>
      <c r="AO18" s="189">
        <f>MSBC!BB73</f>
        <v>0</v>
      </c>
      <c r="AP18" s="186"/>
      <c r="AQ18" s="189">
        <f>Kaspers!AJ64</f>
        <v>140013</v>
      </c>
      <c r="AR18" s="186"/>
      <c r="AS18" s="189">
        <f>Kaspers!AL64</f>
        <v>80000</v>
      </c>
      <c r="AT18" s="186"/>
      <c r="AU18" s="189" t="str">
        <f>'MSBC Andheri'!J53</f>
        <v/>
      </c>
      <c r="AV18" s="186"/>
      <c r="AW18" s="189" t="str">
        <f t="shared" ref="AW18:AW27" si="27">#REF!</f>
        <v>#REF!</v>
      </c>
      <c r="AX18" s="186"/>
      <c r="AY18" s="189">
        <f>'MSBC Dahisar'!L71</f>
        <v>0</v>
      </c>
      <c r="AZ18" s="186"/>
      <c r="BA18" s="186"/>
      <c r="BB18" s="186"/>
      <c r="BC18" s="189" t="str">
        <f>'MSBC Juhu  Goregoan'!L55</f>
        <v/>
      </c>
      <c r="BD18" s="186"/>
      <c r="BE18" s="186"/>
      <c r="BF18" s="186"/>
      <c r="BG18" s="114">
        <v>0.0</v>
      </c>
      <c r="BH18" s="186"/>
      <c r="BI18" s="186"/>
      <c r="BJ18" s="186"/>
      <c r="BK18" s="128"/>
      <c r="BL18" s="128"/>
      <c r="BM18" s="128"/>
      <c r="BN18" s="128"/>
    </row>
    <row r="19" ht="15.75" customHeight="1">
      <c r="B19" s="188" t="s">
        <v>35</v>
      </c>
      <c r="C19" s="280">
        <f t="shared" si="21"/>
        <v>1015026</v>
      </c>
      <c r="D19" s="268"/>
      <c r="E19" s="280" t="str">
        <f t="shared" si="22"/>
        <v>#REF!</v>
      </c>
      <c r="F19" s="268"/>
      <c r="G19" s="281">
        <f>HO!AZ53</f>
        <v>41300</v>
      </c>
      <c r="H19" s="186"/>
      <c r="I19" s="281">
        <f>HO!BB53</f>
        <v>12874</v>
      </c>
      <c r="J19" s="186"/>
      <c r="K19" s="262">
        <f t="shared" si="23"/>
        <v>973726</v>
      </c>
      <c r="L19" s="268"/>
      <c r="M19" s="262" t="str">
        <f t="shared" si="24"/>
        <v>#REF!</v>
      </c>
      <c r="N19" s="268"/>
      <c r="O19" s="189">
        <f>'The Table'!AZ62</f>
        <v>6721.666667</v>
      </c>
      <c r="P19" s="186"/>
      <c r="Q19" s="189">
        <f>'The Table'!BB62</f>
        <v>208333</v>
      </c>
      <c r="R19" s="186"/>
      <c r="S19" s="189">
        <f>Iktara!Z62</f>
        <v>115044</v>
      </c>
      <c r="T19" s="186"/>
      <c r="U19" s="189" t="str">
        <f t="shared" si="25"/>
        <v>#REF!</v>
      </c>
      <c r="V19" s="186"/>
      <c r="W19" s="189">
        <f>'Mg St Colaba'!AZ89</f>
        <v>228354.6667</v>
      </c>
      <c r="X19" s="186"/>
      <c r="Y19" s="186">
        <f>'Mg St Colaba'!BB89</f>
        <v>345481</v>
      </c>
      <c r="Z19" s="186"/>
      <c r="AA19" s="189">
        <f>'Mg St LP'!AZ89</f>
        <v>265186.6667</v>
      </c>
      <c r="AB19" s="186"/>
      <c r="AC19" s="189">
        <f>'Mg St LP'!BB89</f>
        <v>250458</v>
      </c>
      <c r="AD19" s="186"/>
      <c r="AE19" s="189">
        <f>'Mg St Bandra'!AZ87</f>
        <v>283493</v>
      </c>
      <c r="AF19" s="186"/>
      <c r="AG19" s="189">
        <f>'Mg St Bandra'!BB87</f>
        <v>393471</v>
      </c>
      <c r="AH19" s="186"/>
      <c r="AI19" s="186">
        <f>'MSK Events'!L84</f>
        <v>0</v>
      </c>
      <c r="AJ19" s="186"/>
      <c r="AK19" s="186" t="str">
        <f t="shared" si="26"/>
        <v>#REF!</v>
      </c>
      <c r="AL19" s="186"/>
      <c r="AM19" s="189">
        <f>MSBC!AZ75</f>
        <v>74926</v>
      </c>
      <c r="AN19" s="186"/>
      <c r="AO19" s="265">
        <f>MSBC!BB75</f>
        <v>100694</v>
      </c>
      <c r="AP19" s="186"/>
      <c r="AQ19" s="189">
        <f>Kaspers!AJ76</f>
        <v>5937.333333</v>
      </c>
      <c r="AR19" s="186"/>
      <c r="AS19" s="189">
        <f>Kaspers!AL76</f>
        <v>126833.3333</v>
      </c>
      <c r="AT19" s="186"/>
      <c r="AU19" s="189">
        <f>'MSBC Andheri'!L85</f>
        <v>81742</v>
      </c>
      <c r="AV19" s="186"/>
      <c r="AW19" s="189" t="str">
        <f t="shared" si="27"/>
        <v>#REF!</v>
      </c>
      <c r="AX19" s="186"/>
      <c r="AY19" s="189">
        <f>'MSBC Dahisar'!L73</f>
        <v>85915.33333</v>
      </c>
      <c r="AZ19" s="186"/>
      <c r="BA19" s="186"/>
      <c r="BB19" s="186"/>
      <c r="BC19" s="189">
        <f>'MSBC Juhu  Goregoan'!L74</f>
        <v>86778.33333</v>
      </c>
      <c r="BD19" s="186"/>
      <c r="BE19" s="186"/>
      <c r="BF19" s="186"/>
      <c r="BG19" s="114">
        <f>'LOUD MOUTH'!L85</f>
        <v>359822</v>
      </c>
      <c r="BH19" s="43"/>
      <c r="BI19" s="114"/>
      <c r="BJ19" s="43"/>
      <c r="BK19" s="128"/>
      <c r="BL19" s="128"/>
      <c r="BM19" s="128"/>
      <c r="BN19" s="128"/>
    </row>
    <row r="20" ht="15.75" customHeight="1">
      <c r="B20" s="188" t="s">
        <v>36</v>
      </c>
      <c r="C20" s="262">
        <f t="shared" si="21"/>
        <v>2172808.5</v>
      </c>
      <c r="D20" s="268"/>
      <c r="E20" s="262" t="str">
        <f t="shared" si="22"/>
        <v>#REF!</v>
      </c>
      <c r="F20" s="268"/>
      <c r="G20" s="265">
        <f>HO!AZ63</f>
        <v>0</v>
      </c>
      <c r="H20" s="186"/>
      <c r="I20" s="265">
        <f>HO!BB63</f>
        <v>0</v>
      </c>
      <c r="J20" s="186"/>
      <c r="K20" s="262">
        <f t="shared" si="23"/>
        <v>2172808.5</v>
      </c>
      <c r="L20" s="268"/>
      <c r="M20" s="262" t="str">
        <f t="shared" si="24"/>
        <v>#REF!</v>
      </c>
      <c r="N20" s="268"/>
      <c r="O20" s="189">
        <f>'The Table'!AZ70</f>
        <v>113293.23</v>
      </c>
      <c r="P20" s="186"/>
      <c r="Q20" s="265">
        <f>'The Table'!BB70</f>
        <v>243070.51</v>
      </c>
      <c r="R20" s="186"/>
      <c r="S20" s="189">
        <f>Iktara!Z70</f>
        <v>101389.49</v>
      </c>
      <c r="T20" s="186"/>
      <c r="U20" s="189" t="str">
        <f t="shared" si="25"/>
        <v>#REF!</v>
      </c>
      <c r="V20" s="186"/>
      <c r="W20" s="189">
        <f>'Mg St Colaba'!AZ100</f>
        <v>516737.3</v>
      </c>
      <c r="X20" s="186"/>
      <c r="Y20" s="189">
        <f>'Mg St Colaba'!BB100</f>
        <v>559959.0315</v>
      </c>
      <c r="Z20" s="186"/>
      <c r="AA20" s="189">
        <f>'Mg St LP'!AZ101</f>
        <v>701362.15</v>
      </c>
      <c r="AB20" s="186"/>
      <c r="AC20" s="189">
        <f>'Mg St LP'!BB101</f>
        <v>829666.5345</v>
      </c>
      <c r="AD20" s="186"/>
      <c r="AE20" s="189">
        <f>'Mg St Bandra'!AZ98</f>
        <v>705255.55</v>
      </c>
      <c r="AF20" s="186"/>
      <c r="AG20" s="189">
        <f>'Mg St Bandra'!BB98</f>
        <v>531628.284</v>
      </c>
      <c r="AH20" s="186"/>
      <c r="AI20" s="186">
        <f>'MSK Events'!L91</f>
        <v>0</v>
      </c>
      <c r="AJ20" s="186"/>
      <c r="AK20" s="186" t="str">
        <f t="shared" si="26"/>
        <v>#REF!</v>
      </c>
      <c r="AL20" s="186"/>
      <c r="AM20" s="189">
        <f>MSBC!AZ83</f>
        <v>34770.78</v>
      </c>
      <c r="AN20" s="186"/>
      <c r="AO20" s="265">
        <f>MSBC!BB83</f>
        <v>0</v>
      </c>
      <c r="AP20" s="186"/>
      <c r="AQ20" s="189">
        <f>Kaspers!AJ83</f>
        <v>0</v>
      </c>
      <c r="AR20" s="186"/>
      <c r="AS20" s="265">
        <f>Kaspers!AL83</f>
        <v>0</v>
      </c>
      <c r="AT20" s="186"/>
      <c r="AU20" s="189">
        <f>'MSBC Andheri'!L93</f>
        <v>112782.59</v>
      </c>
      <c r="AV20" s="186"/>
      <c r="AW20" s="189" t="str">
        <f t="shared" si="27"/>
        <v>#REF!</v>
      </c>
      <c r="AX20" s="186"/>
      <c r="AY20" s="189">
        <f>'MSBC Dahisar'!L80</f>
        <v>33010.94</v>
      </c>
      <c r="AZ20" s="186"/>
      <c r="BA20" s="186"/>
      <c r="BB20" s="186"/>
      <c r="BC20" s="189">
        <f>'MSBC Juhu  Goregoan'!L81</f>
        <v>82928.78</v>
      </c>
      <c r="BD20" s="186"/>
      <c r="BE20" s="186"/>
      <c r="BF20" s="186"/>
      <c r="BG20" s="114">
        <v>0.0</v>
      </c>
      <c r="BH20" s="43"/>
      <c r="BI20" s="114"/>
      <c r="BJ20" s="43"/>
      <c r="BK20" s="128"/>
      <c r="BL20" s="128"/>
      <c r="BM20" s="128"/>
      <c r="BN20" s="128"/>
    </row>
    <row r="21" ht="15.75" customHeight="1">
      <c r="B21" s="188" t="s">
        <v>37</v>
      </c>
      <c r="C21" s="262">
        <f t="shared" si="21"/>
        <v>6769653</v>
      </c>
      <c r="D21" s="268"/>
      <c r="E21" s="262" t="str">
        <f t="shared" si="22"/>
        <v>#REF!</v>
      </c>
      <c r="F21" s="268"/>
      <c r="G21" s="189">
        <f>HO!AZ70</f>
        <v>405195</v>
      </c>
      <c r="H21" s="186"/>
      <c r="I21" s="189">
        <f>HO!BB70</f>
        <v>380880</v>
      </c>
      <c r="J21" s="186"/>
      <c r="K21" s="262">
        <f t="shared" si="23"/>
        <v>6364458</v>
      </c>
      <c r="L21" s="268"/>
      <c r="M21" s="262" t="str">
        <f t="shared" si="24"/>
        <v>#REF!</v>
      </c>
      <c r="N21" s="268"/>
      <c r="O21" s="189">
        <f>'The Table'!AZ76</f>
        <v>1780414</v>
      </c>
      <c r="P21" s="186"/>
      <c r="Q21" s="189">
        <f>'The Table'!BB76</f>
        <v>1827400</v>
      </c>
      <c r="R21" s="186"/>
      <c r="S21" s="189">
        <f>Iktara!Z76</f>
        <v>94167</v>
      </c>
      <c r="T21" s="186"/>
      <c r="U21" s="186" t="str">
        <f t="shared" si="25"/>
        <v>#REF!</v>
      </c>
      <c r="V21" s="186"/>
      <c r="W21" s="189">
        <f>'Mg St Colaba'!AZ107</f>
        <v>1473577</v>
      </c>
      <c r="X21" s="186"/>
      <c r="Y21" s="189">
        <f>'Mg St Colaba'!BB107</f>
        <v>1373715</v>
      </c>
      <c r="Z21" s="186"/>
      <c r="AA21" s="189">
        <f>'Mg St LP'!AZ108</f>
        <v>1076257</v>
      </c>
      <c r="AB21" s="186"/>
      <c r="AC21" s="186">
        <f>'Mg St LP'!BB108</f>
        <v>1033770.6</v>
      </c>
      <c r="AD21" s="186"/>
      <c r="AE21" s="189">
        <f>'Mg St Bandra'!AZ105</f>
        <v>1573800</v>
      </c>
      <c r="AF21" s="186"/>
      <c r="AG21" s="189">
        <f>'Mg St Bandra'!BB105</f>
        <v>1500900</v>
      </c>
      <c r="AH21" s="186"/>
      <c r="AI21" s="186">
        <f>'MSK Events'!L98</f>
        <v>125261</v>
      </c>
      <c r="AJ21" s="186"/>
      <c r="AK21" s="186" t="str">
        <f t="shared" si="26"/>
        <v>#REF!</v>
      </c>
      <c r="AL21" s="186"/>
      <c r="AM21" s="189">
        <f>MSBC!AZ90</f>
        <v>240982</v>
      </c>
      <c r="AN21" s="186"/>
      <c r="AO21" s="265">
        <f>MSBC!BB90</f>
        <v>0</v>
      </c>
      <c r="AP21" s="186"/>
      <c r="AQ21" s="189">
        <f>Kaspers!AJ90</f>
        <v>375686.4167</v>
      </c>
      <c r="AR21" s="186"/>
      <c r="AS21" s="189">
        <f>Kaspers!AL90</f>
        <v>0</v>
      </c>
      <c r="AT21" s="186"/>
      <c r="AU21" s="189">
        <f>'MSBC Andheri'!L100</f>
        <v>0</v>
      </c>
      <c r="AV21" s="186"/>
      <c r="AW21" s="189" t="str">
        <f t="shared" si="27"/>
        <v>#REF!</v>
      </c>
      <c r="AX21" s="186"/>
      <c r="AY21" s="189">
        <f>'MSBC Dahisar'!L89</f>
        <v>0</v>
      </c>
      <c r="AZ21" s="186"/>
      <c r="BA21" s="186"/>
      <c r="BB21" s="186"/>
      <c r="BC21" s="266">
        <v>0.0</v>
      </c>
      <c r="BD21" s="186"/>
      <c r="BE21" s="186"/>
      <c r="BF21" s="186"/>
      <c r="BG21" s="114">
        <f>'LOUD MOUTH'!L101</f>
        <v>0</v>
      </c>
      <c r="BH21" s="43"/>
      <c r="BI21" s="43"/>
      <c r="BJ21" s="43"/>
      <c r="BK21" s="128"/>
      <c r="BL21" s="128"/>
      <c r="BM21" s="128"/>
      <c r="BN21" s="128"/>
    </row>
    <row r="22" ht="15.75" customHeight="1">
      <c r="B22" s="188" t="s">
        <v>38</v>
      </c>
      <c r="C22" s="262">
        <f t="shared" si="21"/>
        <v>16702614.52</v>
      </c>
      <c r="D22" s="268"/>
      <c r="E22" s="262" t="str">
        <f t="shared" si="22"/>
        <v>#REF!</v>
      </c>
      <c r="F22" s="268"/>
      <c r="G22" s="189">
        <f>HO!AZ77</f>
        <v>110549.6667</v>
      </c>
      <c r="H22" s="186"/>
      <c r="I22" s="189">
        <f>HO!BB77</f>
        <v>4043806</v>
      </c>
      <c r="J22" s="186"/>
      <c r="K22" s="262">
        <f t="shared" si="23"/>
        <v>16592064.86</v>
      </c>
      <c r="L22" s="268"/>
      <c r="M22" s="262" t="str">
        <f t="shared" si="24"/>
        <v>#REF!</v>
      </c>
      <c r="N22" s="268"/>
      <c r="O22" s="189">
        <f>'The Table'!AZ82</f>
        <v>5490794.947</v>
      </c>
      <c r="P22" s="186"/>
      <c r="Q22" s="189">
        <f>'The Table'!BB82</f>
        <v>4388683.777</v>
      </c>
      <c r="R22" s="186"/>
      <c r="S22" s="186">
        <f>Iktara!Z82</f>
        <v>382822</v>
      </c>
      <c r="T22" s="186"/>
      <c r="U22" s="189" t="str">
        <f t="shared" si="25"/>
        <v>#REF!</v>
      </c>
      <c r="V22" s="186"/>
      <c r="W22" s="189">
        <f>'Mg St Colaba'!AZ113</f>
        <v>3626342.537</v>
      </c>
      <c r="X22" s="186"/>
      <c r="Y22" s="189">
        <f>'Mg St Colaba'!BB113</f>
        <v>3387613.79</v>
      </c>
      <c r="Z22" s="186"/>
      <c r="AA22" s="189">
        <f>'Mg St LP'!AZ115</f>
        <v>1828331.993</v>
      </c>
      <c r="AB22" s="186"/>
      <c r="AC22" s="189">
        <f>'Mg St LP'!BB115</f>
        <v>1386737.458</v>
      </c>
      <c r="AD22" s="186"/>
      <c r="AE22" s="189">
        <f>'Mg St Bandra'!AZ114</f>
        <v>3828276</v>
      </c>
      <c r="AF22" s="186"/>
      <c r="AG22" s="189">
        <f>'Mg St Bandra'!BB114</f>
        <v>3629647</v>
      </c>
      <c r="AH22" s="186"/>
      <c r="AI22" s="186">
        <f>'MSK Events'!L104</f>
        <v>29310</v>
      </c>
      <c r="AJ22" s="186"/>
      <c r="AK22" s="186" t="str">
        <f t="shared" si="26"/>
        <v>#REF!</v>
      </c>
      <c r="AL22" s="186"/>
      <c r="AM22" s="189">
        <f>MSBC!AZ96</f>
        <v>1406187.38</v>
      </c>
      <c r="AN22" s="186"/>
      <c r="AO22" s="265">
        <f>MSBC!BB96</f>
        <v>0</v>
      </c>
      <c r="AP22" s="186"/>
      <c r="AQ22" s="189">
        <f>Kaspers!AJ97</f>
        <v>2733940</v>
      </c>
      <c r="AR22" s="186"/>
      <c r="AS22" s="189">
        <f>Kaspers!AL97</f>
        <v>0</v>
      </c>
      <c r="AT22" s="186"/>
      <c r="AU22" s="189">
        <f>'MSBC Andheri'!L106</f>
        <v>0</v>
      </c>
      <c r="AV22" s="186"/>
      <c r="AW22" s="189" t="str">
        <f t="shared" si="27"/>
        <v>#REF!</v>
      </c>
      <c r="AX22" s="186"/>
      <c r="AY22" s="189">
        <f>'MSBC Dahisar'!L95</f>
        <v>0</v>
      </c>
      <c r="AZ22" s="186"/>
      <c r="BA22" s="186"/>
      <c r="BB22" s="186"/>
      <c r="BC22" s="266">
        <v>0.0</v>
      </c>
      <c r="BD22" s="186"/>
      <c r="BE22" s="186"/>
      <c r="BF22" s="186"/>
      <c r="BG22" s="114">
        <f>'LOUD MOUTH'!L108</f>
        <v>0</v>
      </c>
      <c r="BH22" s="43"/>
      <c r="BI22" s="114"/>
      <c r="BJ22" s="43"/>
      <c r="BK22" s="128"/>
      <c r="BL22" s="128"/>
      <c r="BM22" s="128"/>
      <c r="BN22" s="128"/>
    </row>
    <row r="23" ht="15.75" customHeight="1">
      <c r="B23" s="188" t="s">
        <v>39</v>
      </c>
      <c r="C23" s="262">
        <f t="shared" si="21"/>
        <v>1222265.36</v>
      </c>
      <c r="D23" s="268"/>
      <c r="E23" s="262" t="str">
        <f t="shared" si="22"/>
        <v>#REF!</v>
      </c>
      <c r="F23" s="268"/>
      <c r="G23" s="189">
        <f>HO!AZ88</f>
        <v>483550</v>
      </c>
      <c r="H23" s="186"/>
      <c r="I23" s="189">
        <f>HO!BB88</f>
        <v>12500</v>
      </c>
      <c r="J23" s="186"/>
      <c r="K23" s="262">
        <f t="shared" si="23"/>
        <v>738715.36</v>
      </c>
      <c r="L23" s="268"/>
      <c r="M23" s="262" t="str">
        <f t="shared" si="24"/>
        <v>#REF!</v>
      </c>
      <c r="N23" s="268"/>
      <c r="O23" s="189">
        <f>'The Table'!AZ91</f>
        <v>379491.44</v>
      </c>
      <c r="P23" s="186"/>
      <c r="Q23" s="189">
        <f>'The Table'!BB91</f>
        <v>300492.272</v>
      </c>
      <c r="R23" s="186"/>
      <c r="S23" s="186">
        <f>Iktara!Z92</f>
        <v>0</v>
      </c>
      <c r="T23" s="186"/>
      <c r="U23" s="186" t="str">
        <f t="shared" si="25"/>
        <v>#REF!</v>
      </c>
      <c r="V23" s="186"/>
      <c r="W23" s="189">
        <f>'Mg St Colaba'!AZ124</f>
        <v>139861.34</v>
      </c>
      <c r="X23" s="186"/>
      <c r="Y23" s="189">
        <f>'Mg St Colaba'!BB124</f>
        <v>148904.9734</v>
      </c>
      <c r="Z23" s="186"/>
      <c r="AA23" s="189">
        <f>'Mg St LP'!AZ125</f>
        <v>39037.78</v>
      </c>
      <c r="AB23" s="186"/>
      <c r="AC23" s="189">
        <f>'Mg St LP'!BB125</f>
        <v>42073.644</v>
      </c>
      <c r="AD23" s="186"/>
      <c r="AE23" s="189">
        <f>'Mg St Bandra'!AZ125</f>
        <v>180324.8</v>
      </c>
      <c r="AF23" s="186"/>
      <c r="AG23" s="189">
        <f>'Mg St Bandra'!BB125</f>
        <v>149988.78</v>
      </c>
      <c r="AH23" s="186"/>
      <c r="AI23" s="186">
        <f>'MSK Events'!L114</f>
        <v>0</v>
      </c>
      <c r="AJ23" s="186"/>
      <c r="AK23" s="186" t="str">
        <f t="shared" si="26"/>
        <v>#REF!</v>
      </c>
      <c r="AL23" s="186"/>
      <c r="AM23" s="189">
        <f>MSBC!AZ106</f>
        <v>0</v>
      </c>
      <c r="AN23" s="186"/>
      <c r="AO23" s="265">
        <f>MSBC!BB106</f>
        <v>0</v>
      </c>
      <c r="AP23" s="186"/>
      <c r="AQ23" s="189">
        <f>Kaspers!AJ109</f>
        <v>126952.82</v>
      </c>
      <c r="AR23" s="186"/>
      <c r="AS23" s="189">
        <f>Kaspers!AL109</f>
        <v>0</v>
      </c>
      <c r="AT23" s="186"/>
      <c r="AU23" s="186"/>
      <c r="AV23" s="186"/>
      <c r="AW23" s="189" t="str">
        <f t="shared" si="27"/>
        <v>#REF!</v>
      </c>
      <c r="AX23" s="186"/>
      <c r="AY23" s="189">
        <f>'MSBC Dahisar'!L105</f>
        <v>0</v>
      </c>
      <c r="AZ23" s="186"/>
      <c r="BA23" s="186"/>
      <c r="BB23" s="186"/>
      <c r="BC23" s="266">
        <v>0.0</v>
      </c>
      <c r="BD23" s="186"/>
      <c r="BE23" s="186"/>
      <c r="BF23" s="186"/>
      <c r="BG23" s="114">
        <v>0.0</v>
      </c>
      <c r="BH23" s="43"/>
      <c r="BI23" s="114"/>
      <c r="BJ23" s="43"/>
      <c r="BK23" s="128"/>
      <c r="BL23" s="128"/>
      <c r="BM23" s="128"/>
      <c r="BN23" s="128"/>
    </row>
    <row r="24" ht="15.75" customHeight="1">
      <c r="B24" s="188" t="s">
        <v>40</v>
      </c>
      <c r="C24" s="262">
        <f t="shared" si="21"/>
        <v>250784.1667</v>
      </c>
      <c r="D24" s="268"/>
      <c r="E24" s="262" t="str">
        <f t="shared" si="22"/>
        <v>#REF!</v>
      </c>
      <c r="F24" s="268"/>
      <c r="G24" s="189">
        <f>HO!AZ95</f>
        <v>127123.5833</v>
      </c>
      <c r="H24" s="186"/>
      <c r="I24" s="189">
        <f>HO!BB95</f>
        <v>114596.8333</v>
      </c>
      <c r="J24" s="186"/>
      <c r="K24" s="262">
        <f t="shared" si="23"/>
        <v>123660.5833</v>
      </c>
      <c r="L24" s="268"/>
      <c r="M24" s="262" t="str">
        <f t="shared" si="24"/>
        <v>#REF!</v>
      </c>
      <c r="N24" s="268"/>
      <c r="O24" s="189">
        <f>'The Table'!AZ94</f>
        <v>39530</v>
      </c>
      <c r="P24" s="186"/>
      <c r="Q24" s="189">
        <f>'The Table'!BB94</f>
        <v>29500</v>
      </c>
      <c r="R24" s="186"/>
      <c r="S24" s="186">
        <f>Iktara!Z95</f>
        <v>688</v>
      </c>
      <c r="T24" s="186"/>
      <c r="U24" s="186" t="str">
        <f t="shared" si="25"/>
        <v>#REF!</v>
      </c>
      <c r="V24" s="186"/>
      <c r="W24" s="189">
        <f>'Mg St Colaba'!AZ127</f>
        <v>30188.33333</v>
      </c>
      <c r="X24" s="186"/>
      <c r="Y24" s="186">
        <f>'Mg St Colaba'!BB127</f>
        <v>30188</v>
      </c>
      <c r="Z24" s="186"/>
      <c r="AA24" s="189">
        <f>'Mg St LP'!AZ128</f>
        <v>3638.333333</v>
      </c>
      <c r="AB24" s="186"/>
      <c r="AC24" s="189">
        <f>'Mg St LP'!BB128</f>
        <v>1500</v>
      </c>
      <c r="AD24" s="186"/>
      <c r="AE24" s="189">
        <f>'Mg St Bandra'!AZ128</f>
        <v>31663.33333</v>
      </c>
      <c r="AF24" s="186"/>
      <c r="AG24" s="189">
        <f>'Mg St Bandra'!BB128</f>
        <v>23000</v>
      </c>
      <c r="AH24" s="186"/>
      <c r="AI24" s="186">
        <f>'MSK Events'!L117</f>
        <v>6806.25</v>
      </c>
      <c r="AJ24" s="186"/>
      <c r="AK24" s="186" t="str">
        <f t="shared" si="26"/>
        <v>#REF!</v>
      </c>
      <c r="AL24" s="186"/>
      <c r="AM24" s="189">
        <f>MSBC!AZ109</f>
        <v>11146.33333</v>
      </c>
      <c r="AN24" s="186"/>
      <c r="AO24" s="265">
        <f>MSBC!BB109</f>
        <v>0</v>
      </c>
      <c r="AP24" s="186"/>
      <c r="AQ24" s="189">
        <f>Kaspers!AJ113</f>
        <v>22075.83333</v>
      </c>
      <c r="AR24" s="186"/>
      <c r="AS24" s="189">
        <f>Kaspers!AL113</f>
        <v>0</v>
      </c>
      <c r="AT24" s="186"/>
      <c r="AU24" s="186"/>
      <c r="AV24" s="186"/>
      <c r="AW24" s="189" t="str">
        <f t="shared" si="27"/>
        <v>#REF!</v>
      </c>
      <c r="AX24" s="186"/>
      <c r="AY24" s="189">
        <f>'MSBC Dahisar'!L108</f>
        <v>0</v>
      </c>
      <c r="AZ24" s="186"/>
      <c r="BA24" s="186"/>
      <c r="BB24" s="186"/>
      <c r="BC24" s="189">
        <f>'MSBC Juhu  Goregoan'!J109</f>
        <v>0</v>
      </c>
      <c r="BD24" s="186"/>
      <c r="BE24" s="186"/>
      <c r="BF24" s="186"/>
      <c r="BG24" s="114">
        <v>0.0</v>
      </c>
      <c r="BH24" s="43"/>
      <c r="BI24" s="114"/>
      <c r="BJ24" s="43"/>
      <c r="BK24" s="128"/>
      <c r="BL24" s="128"/>
      <c r="BM24" s="128"/>
      <c r="BN24" s="128"/>
    </row>
    <row r="25" ht="15.75" customHeight="1">
      <c r="B25" s="188" t="s">
        <v>41</v>
      </c>
      <c r="C25" s="262">
        <f t="shared" si="21"/>
        <v>3865912.75</v>
      </c>
      <c r="D25" s="268"/>
      <c r="E25" s="262" t="str">
        <f t="shared" si="22"/>
        <v>#REF!</v>
      </c>
      <c r="F25" s="268"/>
      <c r="G25" s="189">
        <f>HO!AZ106</f>
        <v>518148.25</v>
      </c>
      <c r="H25" s="186"/>
      <c r="I25" s="189">
        <f>HO!BB106</f>
        <v>76500</v>
      </c>
      <c r="J25" s="186"/>
      <c r="K25" s="262">
        <f t="shared" si="23"/>
        <v>3347764.5</v>
      </c>
      <c r="L25" s="268"/>
      <c r="M25" s="262" t="str">
        <f t="shared" si="24"/>
        <v>#REF!</v>
      </c>
      <c r="N25" s="268"/>
      <c r="O25" s="189">
        <f>'The Table'!AZ99</f>
        <v>316546.4167</v>
      </c>
      <c r="P25" s="186"/>
      <c r="Q25" s="189">
        <f>'The Table'!BB99</f>
        <v>283203</v>
      </c>
      <c r="R25" s="186"/>
      <c r="S25" s="186">
        <f>Iktara!Z99</f>
        <v>65306</v>
      </c>
      <c r="T25" s="186"/>
      <c r="U25" s="186" t="str">
        <f t="shared" si="25"/>
        <v>#REF!</v>
      </c>
      <c r="V25" s="186"/>
      <c r="W25" s="189">
        <f>'Mg St Colaba'!AZ132</f>
        <v>911121.3333</v>
      </c>
      <c r="X25" s="186"/>
      <c r="Y25" s="189">
        <f>'Mg St Colaba'!BB132</f>
        <v>407563.0833</v>
      </c>
      <c r="Z25" s="186"/>
      <c r="AA25" s="189">
        <f>'Mg St LP'!AZ132</f>
        <v>99228.08333</v>
      </c>
      <c r="AB25" s="186"/>
      <c r="AC25" s="189">
        <f>'Mg St LP'!BB132</f>
        <v>82000</v>
      </c>
      <c r="AD25" s="186"/>
      <c r="AE25" s="189">
        <f>'Mg St Bandra'!AZ132</f>
        <v>1037130.333</v>
      </c>
      <c r="AF25" s="186"/>
      <c r="AG25" s="189">
        <f>'Mg St Bandra'!BB132</f>
        <v>423797</v>
      </c>
      <c r="AH25" s="186"/>
      <c r="AI25" s="186">
        <f>'MSK Events'!L121</f>
        <v>875547</v>
      </c>
      <c r="AJ25" s="186"/>
      <c r="AK25" s="186" t="str">
        <f t="shared" si="26"/>
        <v>#REF!</v>
      </c>
      <c r="AL25" s="186"/>
      <c r="AM25" s="189">
        <f>MSBC!AZ114</f>
        <v>42885.33333</v>
      </c>
      <c r="AN25" s="186"/>
      <c r="AO25" s="265">
        <f>MSBC!BB114</f>
        <v>0</v>
      </c>
      <c r="AP25" s="186"/>
      <c r="AQ25" s="189">
        <f>Kaspers!AJ117</f>
        <v>723703</v>
      </c>
      <c r="AR25" s="186"/>
      <c r="AS25" s="189">
        <f>Kaspers!AL117</f>
        <v>0</v>
      </c>
      <c r="AT25" s="186"/>
      <c r="AU25" s="189">
        <f>'MSBC Andheri'!L123</f>
        <v>8100</v>
      </c>
      <c r="AV25" s="186"/>
      <c r="AW25" s="189" t="str">
        <f t="shared" si="27"/>
        <v>#REF!</v>
      </c>
      <c r="AX25" s="186"/>
      <c r="AY25" s="189">
        <f>'MSBC Dahisar'!L112</f>
        <v>8100</v>
      </c>
      <c r="AZ25" s="186"/>
      <c r="BA25" s="186"/>
      <c r="BB25" s="186"/>
      <c r="BC25" s="189">
        <f>'MSBC Juhu  Goregoan'!L113</f>
        <v>8100</v>
      </c>
      <c r="BD25" s="186"/>
      <c r="BE25" s="186"/>
      <c r="BF25" s="186"/>
      <c r="BG25" s="114">
        <f>'LOUD MOUTH'!L128</f>
        <v>0</v>
      </c>
      <c r="BH25" s="43"/>
      <c r="BI25" s="114"/>
      <c r="BJ25" s="43"/>
      <c r="BK25" s="128"/>
      <c r="BL25" s="128"/>
      <c r="BM25" s="128"/>
      <c r="BN25" s="128"/>
    </row>
    <row r="26" ht="15.75" customHeight="1">
      <c r="B26" s="188" t="s">
        <v>42</v>
      </c>
      <c r="C26" s="262">
        <f t="shared" si="21"/>
        <v>85492.36111</v>
      </c>
      <c r="D26" s="268"/>
      <c r="E26" s="262" t="str">
        <f t="shared" si="22"/>
        <v>#REF!</v>
      </c>
      <c r="F26" s="268"/>
      <c r="G26" s="189">
        <f>HO!AZ123</f>
        <v>63492.36111</v>
      </c>
      <c r="H26" s="186"/>
      <c r="I26" s="189">
        <f>HO!BB123</f>
        <v>100000</v>
      </c>
      <c r="J26" s="186"/>
      <c r="K26" s="262">
        <f t="shared" si="23"/>
        <v>22000</v>
      </c>
      <c r="L26" s="268"/>
      <c r="M26" s="262" t="str">
        <f t="shared" si="24"/>
        <v>#REF!</v>
      </c>
      <c r="N26" s="268"/>
      <c r="O26" s="189">
        <f>'The Table'!AZ122</f>
        <v>0</v>
      </c>
      <c r="P26" s="186"/>
      <c r="Q26" s="189">
        <f>'The Table'!BB122</f>
        <v>0</v>
      </c>
      <c r="R26" s="186"/>
      <c r="S26" s="186">
        <f>Iktara!Z112</f>
        <v>0</v>
      </c>
      <c r="T26" s="186"/>
      <c r="U26" s="186" t="str">
        <f t="shared" si="25"/>
        <v>#REF!</v>
      </c>
      <c r="V26" s="186"/>
      <c r="W26" s="189">
        <f>'Mg St Colaba'!AZ148</f>
        <v>0</v>
      </c>
      <c r="X26" s="186"/>
      <c r="Y26" s="186">
        <f>'Mg St Colaba'!BB148</f>
        <v>0</v>
      </c>
      <c r="Z26" s="186"/>
      <c r="AA26" s="189">
        <f>'Mg St LP'!AZ148</f>
        <v>22000</v>
      </c>
      <c r="AB26" s="186"/>
      <c r="AC26" s="186">
        <f>'Mg St LP'!BB148</f>
        <v>0</v>
      </c>
      <c r="AD26" s="186"/>
      <c r="AE26" s="189">
        <f>'Mg St Bandra'!AZ149</f>
        <v>0</v>
      </c>
      <c r="AF26" s="186"/>
      <c r="AG26" s="282">
        <f>'Mg St Bandra'!BB149</f>
        <v>0</v>
      </c>
      <c r="AH26" s="186"/>
      <c r="AI26" s="186">
        <f>'MSK Events'!L138</f>
        <v>0</v>
      </c>
      <c r="AJ26" s="186"/>
      <c r="AK26" s="186" t="str">
        <f t="shared" si="26"/>
        <v>#REF!</v>
      </c>
      <c r="AL26" s="186"/>
      <c r="AM26" s="189">
        <f>MSBC!AZ131</f>
        <v>0</v>
      </c>
      <c r="AN26" s="186"/>
      <c r="AO26" s="189">
        <f>MSBC!BB131</f>
        <v>0</v>
      </c>
      <c r="AP26" s="186"/>
      <c r="AQ26" s="189">
        <f>Kaspers!AJ141</f>
        <v>25500</v>
      </c>
      <c r="AR26" s="186"/>
      <c r="AS26" s="189">
        <f>Kaspers!AL141</f>
        <v>0</v>
      </c>
      <c r="AT26" s="186"/>
      <c r="AU26" s="189">
        <f>'MSBC Andheri'!L138</f>
        <v>0</v>
      </c>
      <c r="AV26" s="186"/>
      <c r="AW26" s="189" t="str">
        <f t="shared" si="27"/>
        <v>#REF!</v>
      </c>
      <c r="AX26" s="186"/>
      <c r="AY26" s="189">
        <f>'MSBC Dahisar'!L127</f>
        <v>0</v>
      </c>
      <c r="AZ26" s="186"/>
      <c r="BA26" s="186"/>
      <c r="BB26" s="186"/>
      <c r="BC26" s="266">
        <v>0.0</v>
      </c>
      <c r="BD26" s="186"/>
      <c r="BE26" s="186"/>
      <c r="BF26" s="186"/>
      <c r="BG26" s="114"/>
      <c r="BH26" s="43"/>
      <c r="BI26" s="114"/>
      <c r="BJ26" s="43"/>
      <c r="BK26" s="128"/>
      <c r="BL26" s="128"/>
      <c r="BM26" s="128"/>
      <c r="BN26" s="128"/>
    </row>
    <row r="27" ht="15.75" customHeight="1">
      <c r="B27" s="188" t="s">
        <v>43</v>
      </c>
      <c r="C27" s="262">
        <f t="shared" si="21"/>
        <v>-1412379.907</v>
      </c>
      <c r="D27" s="268"/>
      <c r="E27" s="262" t="str">
        <f t="shared" si="22"/>
        <v>#REF!</v>
      </c>
      <c r="F27" s="268"/>
      <c r="G27" s="189">
        <f>HO!AZ130</f>
        <v>136648</v>
      </c>
      <c r="H27" s="186"/>
      <c r="I27" s="189">
        <f>HO!BB130</f>
        <v>0</v>
      </c>
      <c r="J27" s="186"/>
      <c r="K27" s="262">
        <f t="shared" si="23"/>
        <v>-1549027.907</v>
      </c>
      <c r="L27" s="268"/>
      <c r="M27" s="262" t="str">
        <f t="shared" si="24"/>
        <v>#REF!</v>
      </c>
      <c r="N27" s="268"/>
      <c r="O27" s="189">
        <f>'The Table'!AZ127</f>
        <v>0</v>
      </c>
      <c r="P27" s="186"/>
      <c r="Q27" s="189">
        <f>'The Table'!BB127</f>
        <v>0</v>
      </c>
      <c r="R27" s="186"/>
      <c r="S27" s="186">
        <f>Iktara!Z116</f>
        <v>0</v>
      </c>
      <c r="T27" s="186"/>
      <c r="U27" s="189" t="str">
        <f t="shared" si="25"/>
        <v>#REF!</v>
      </c>
      <c r="V27" s="186"/>
      <c r="W27" s="189">
        <f>'Mg St Colaba'!AZ153</f>
        <v>0</v>
      </c>
      <c r="X27" s="186"/>
      <c r="Y27" s="189">
        <f>'Mg St Colaba'!BB153</f>
        <v>0</v>
      </c>
      <c r="Z27" s="186"/>
      <c r="AA27" s="189">
        <f>'Mg St LP'!AZ152</f>
        <v>0</v>
      </c>
      <c r="AB27" s="186"/>
      <c r="AC27" s="189">
        <f>'Mg St LP'!BB152</f>
        <v>0</v>
      </c>
      <c r="AD27" s="186"/>
      <c r="AE27" s="189">
        <f>'Mg St Bandra'!AZ153</f>
        <v>0</v>
      </c>
      <c r="AF27" s="186"/>
      <c r="AG27" s="189">
        <f>'Mg St Bandra'!BB153</f>
        <v>0</v>
      </c>
      <c r="AH27" s="186"/>
      <c r="AI27" s="186">
        <f>'MSK Events'!L142</f>
        <v>0</v>
      </c>
      <c r="AJ27" s="186"/>
      <c r="AK27" s="186" t="str">
        <f t="shared" si="26"/>
        <v>#REF!</v>
      </c>
      <c r="AL27" s="186"/>
      <c r="AM27" s="189">
        <f>MSBC!AZ135</f>
        <v>-1549027.907</v>
      </c>
      <c r="AN27" s="186"/>
      <c r="AO27" s="265">
        <f>MSBC!BB135</f>
        <v>0</v>
      </c>
      <c r="AP27" s="186"/>
      <c r="AQ27" s="189">
        <f>Kaspers!AJ145</f>
        <v>0</v>
      </c>
      <c r="AR27" s="186"/>
      <c r="AS27" s="189">
        <f>Kaspers!AL145</f>
        <v>25000</v>
      </c>
      <c r="AT27" s="186"/>
      <c r="AU27" s="186"/>
      <c r="AV27" s="186"/>
      <c r="AW27" s="189" t="str">
        <f t="shared" si="27"/>
        <v>#REF!</v>
      </c>
      <c r="AX27" s="186"/>
      <c r="AY27" s="189">
        <f>'MSBC Dahisar'!L131</f>
        <v>0</v>
      </c>
      <c r="AZ27" s="186"/>
      <c r="BA27" s="186"/>
      <c r="BB27" s="186"/>
      <c r="BC27" s="266">
        <v>0.0</v>
      </c>
      <c r="BD27" s="186"/>
      <c r="BE27" s="186"/>
      <c r="BF27" s="186"/>
      <c r="BG27" s="62">
        <f>'LOUD MOUTH'!L148</f>
        <v>0</v>
      </c>
      <c r="BH27" s="62"/>
      <c r="BI27" s="62"/>
      <c r="BJ27" s="62"/>
      <c r="BK27" s="128"/>
      <c r="BL27" s="128"/>
      <c r="BM27" s="128"/>
      <c r="BN27" s="128"/>
    </row>
    <row r="28" ht="15.75" customHeight="1">
      <c r="B28" s="188" t="s">
        <v>44</v>
      </c>
      <c r="C28" s="262">
        <f>SUM(C18:C27)</f>
        <v>32115472.79</v>
      </c>
      <c r="D28" s="268"/>
      <c r="E28" s="262" t="str">
        <f t="shared" si="22"/>
        <v>#REF!</v>
      </c>
      <c r="F28" s="268"/>
      <c r="G28" s="265">
        <f>SUM(G18:G27)</f>
        <v>1886006.861</v>
      </c>
      <c r="H28" s="186"/>
      <c r="I28" s="189">
        <f>SUM(I18:I27)</f>
        <v>4741156.833</v>
      </c>
      <c r="J28" s="186"/>
      <c r="K28" s="262">
        <f>SUM(K18:K27)</f>
        <v>30229465.93</v>
      </c>
      <c r="L28" s="268"/>
      <c r="M28" s="262" t="str">
        <f>SUM(M18:M27)</f>
        <v>#REF!</v>
      </c>
      <c r="N28" s="268"/>
      <c r="O28" s="189">
        <f>SUM(O18:O27)</f>
        <v>8557051.02</v>
      </c>
      <c r="P28" s="186"/>
      <c r="Q28" s="189">
        <f>SUM(Q18:Q27)</f>
        <v>7729649.007</v>
      </c>
      <c r="R28" s="186"/>
      <c r="S28" s="189">
        <f>SUM(S18:S27)</f>
        <v>776288.93</v>
      </c>
      <c r="T28" s="186"/>
      <c r="U28" s="189" t="str">
        <f>SUM(U18:U27)</f>
        <v>#REF!</v>
      </c>
      <c r="V28" s="186"/>
      <c r="W28" s="189">
        <f>SUM(W18:W27)</f>
        <v>7375564.51</v>
      </c>
      <c r="X28" s="186"/>
      <c r="Y28" s="189">
        <f>SUM(Y18:Y27)</f>
        <v>6639774.048</v>
      </c>
      <c r="Z28" s="186"/>
      <c r="AA28" s="189">
        <f>SUM(AA18:AA27)</f>
        <v>4209162.767</v>
      </c>
      <c r="AB28" s="186"/>
      <c r="AC28" s="189">
        <f>SUM(AC18:AC27)</f>
        <v>3872149.482</v>
      </c>
      <c r="AD28" s="186"/>
      <c r="AE28" s="189">
        <f>SUM(AE18:AE27)</f>
        <v>7977339.017</v>
      </c>
      <c r="AF28" s="186"/>
      <c r="AG28" s="189">
        <f>SUM(AG18:AG27)</f>
        <v>7065073.659</v>
      </c>
      <c r="AH28" s="186"/>
      <c r="AI28" s="265">
        <f>SUM(AI18:AI27)</f>
        <v>1036924.25</v>
      </c>
      <c r="AJ28" s="186"/>
      <c r="AK28" s="189" t="str">
        <f>SUM(AK18:AK27)</f>
        <v>#REF!</v>
      </c>
      <c r="AL28" s="186"/>
      <c r="AM28" s="189">
        <f>SUM(AM18:AM27)</f>
        <v>297135.4399</v>
      </c>
      <c r="AN28" s="186"/>
      <c r="AO28" s="189">
        <f>SUM(AO18:AO27)</f>
        <v>100694</v>
      </c>
      <c r="AP28" s="186"/>
      <c r="AQ28" s="189">
        <f>SUM(AQ18:AQ27)</f>
        <v>4153808.403</v>
      </c>
      <c r="AR28" s="186"/>
      <c r="AS28" s="189">
        <f>SUM(AS18:AS27)</f>
        <v>231833.3333</v>
      </c>
      <c r="AT28" s="186"/>
      <c r="AU28" s="189">
        <f>SUM(AU18:AU27)</f>
        <v>202624.59</v>
      </c>
      <c r="AV28" s="186"/>
      <c r="AW28" s="262" t="str">
        <f>SUM(AW18:AW27)</f>
        <v>#REF!</v>
      </c>
      <c r="AX28" s="186"/>
      <c r="AY28" s="189">
        <f>SUM(AY18:AY27)</f>
        <v>127026.2733</v>
      </c>
      <c r="AZ28" s="186"/>
      <c r="BA28" s="186"/>
      <c r="BB28" s="186"/>
      <c r="BC28" s="189">
        <f>SUM(BC18:BC27)</f>
        <v>177807.1133</v>
      </c>
      <c r="BD28" s="186"/>
      <c r="BE28" s="186"/>
      <c r="BF28" s="186"/>
      <c r="BG28" s="146">
        <f>SUM(BG18:BG27)</f>
        <v>359822</v>
      </c>
      <c r="BH28" s="62"/>
      <c r="BI28" s="62"/>
      <c r="BJ28" s="62"/>
      <c r="BK28" s="128"/>
      <c r="BL28" s="128"/>
      <c r="BM28" s="128"/>
      <c r="BN28" s="128"/>
    </row>
    <row r="29" ht="15.75" customHeight="1">
      <c r="B29" s="188"/>
      <c r="C29" s="268"/>
      <c r="D29" s="268"/>
      <c r="E29" s="268"/>
      <c r="F29" s="268"/>
      <c r="G29" s="186"/>
      <c r="H29" s="186"/>
      <c r="I29" s="186"/>
      <c r="J29" s="186"/>
      <c r="K29" s="268"/>
      <c r="L29" s="268"/>
      <c r="M29" s="268"/>
      <c r="N29" s="268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186"/>
      <c r="AM29" s="186"/>
      <c r="AN29" s="186"/>
      <c r="AO29" s="186"/>
      <c r="AP29" s="186"/>
      <c r="AQ29" s="186"/>
      <c r="AR29" s="186"/>
      <c r="AS29" s="186"/>
      <c r="AT29" s="186"/>
      <c r="AU29" s="186"/>
      <c r="AV29" s="186"/>
      <c r="AW29" s="186"/>
      <c r="AX29" s="186"/>
      <c r="AY29" s="186"/>
      <c r="AZ29" s="186"/>
      <c r="BA29" s="186"/>
      <c r="BB29" s="186"/>
      <c r="BC29" s="186"/>
      <c r="BD29" s="186"/>
      <c r="BE29" s="186"/>
      <c r="BF29" s="186"/>
      <c r="BG29" s="96"/>
      <c r="BH29" s="62"/>
      <c r="BI29" s="62"/>
      <c r="BJ29" s="62"/>
      <c r="BK29" s="128"/>
      <c r="BL29" s="128"/>
      <c r="BM29" s="128"/>
      <c r="BN29" s="128"/>
    </row>
    <row r="30" ht="15.75" customHeight="1">
      <c r="B30" s="188" t="s">
        <v>45</v>
      </c>
      <c r="C30" s="262">
        <f>C16-C28</f>
        <v>20335309.24</v>
      </c>
      <c r="D30" s="268"/>
      <c r="E30" s="262" t="str">
        <f>E16-E28</f>
        <v>#REF!</v>
      </c>
      <c r="F30" s="268"/>
      <c r="G30" s="189">
        <f>G16-G28</f>
        <v>-1886006.861</v>
      </c>
      <c r="H30" s="186"/>
      <c r="I30" s="189">
        <f>I16-I28</f>
        <v>-4741156.833</v>
      </c>
      <c r="J30" s="186"/>
      <c r="K30" s="262">
        <f>K16-K28</f>
        <v>22221316.11</v>
      </c>
      <c r="L30" s="268"/>
      <c r="M30" s="262" t="str">
        <f>M16-M28</f>
        <v>#REF!</v>
      </c>
      <c r="N30" s="268"/>
      <c r="O30" s="189">
        <f>O16-O28</f>
        <v>8477960.06</v>
      </c>
      <c r="P30" s="186"/>
      <c r="Q30" s="189">
        <f>Q16-Q28</f>
        <v>6771455.326</v>
      </c>
      <c r="R30" s="186"/>
      <c r="S30" s="189">
        <f>S16-S28</f>
        <v>32931.99913</v>
      </c>
      <c r="T30" s="186"/>
      <c r="U30" s="189" t="str">
        <f>U16-U28</f>
        <v>#REF!</v>
      </c>
      <c r="V30" s="186"/>
      <c r="W30" s="189">
        <f>W16-W28</f>
        <v>4947463.174</v>
      </c>
      <c r="X30" s="186"/>
      <c r="Y30" s="189">
        <f>Y16-Y28</f>
        <v>5331163.549</v>
      </c>
      <c r="Z30" s="186"/>
      <c r="AA30" s="189">
        <f>AA16-AA28</f>
        <v>2645966.17</v>
      </c>
      <c r="AB30" s="186"/>
      <c r="AC30" s="189">
        <f>AC16-AC28</f>
        <v>3970176.614</v>
      </c>
      <c r="AD30" s="186"/>
      <c r="AE30" s="189">
        <f>AE16-AE28</f>
        <v>6721572.087</v>
      </c>
      <c r="AF30" s="186"/>
      <c r="AG30" s="189">
        <f>AG16-AG28</f>
        <v>6670614.96</v>
      </c>
      <c r="AH30" s="186"/>
      <c r="AI30" s="189">
        <f>AI16-AI28</f>
        <v>-994300.25</v>
      </c>
      <c r="AJ30" s="186"/>
      <c r="AK30" s="189" t="str">
        <f>AK16-AK28</f>
        <v>#REF!</v>
      </c>
      <c r="AL30" s="186"/>
      <c r="AM30" s="189">
        <f>AM16-AM28</f>
        <v>389722.8656</v>
      </c>
      <c r="AN30" s="186"/>
      <c r="AO30" s="189">
        <f>AO16-AO28</f>
        <v>-4335</v>
      </c>
      <c r="AP30" s="186"/>
      <c r="AQ30" s="189">
        <f>AQ16-AQ28</f>
        <v>777032.82</v>
      </c>
      <c r="AR30" s="186"/>
      <c r="AS30" s="189">
        <f>AS16-AS28</f>
        <v>2609166.667</v>
      </c>
      <c r="AT30" s="186"/>
      <c r="AU30" s="189">
        <f>AU16-AU28</f>
        <v>-117731.7696</v>
      </c>
      <c r="AV30" s="186"/>
      <c r="AW30" s="186"/>
      <c r="AX30" s="186"/>
      <c r="AY30" s="189">
        <f>AY16-AY28</f>
        <v>-138925.7286</v>
      </c>
      <c r="AZ30" s="186"/>
      <c r="BA30" s="186"/>
      <c r="BB30" s="186"/>
      <c r="BC30" s="189">
        <f>BC16-BC28</f>
        <v>-190139.0473</v>
      </c>
      <c r="BD30" s="186"/>
      <c r="BE30" s="186"/>
      <c r="BF30" s="186"/>
      <c r="BG30" s="146">
        <f>BG16-BG28</f>
        <v>-359822</v>
      </c>
      <c r="BH30" s="62"/>
      <c r="BI30" s="62"/>
      <c r="BJ30" s="62"/>
      <c r="BK30" s="128"/>
      <c r="BL30" s="128"/>
      <c r="BM30" s="128"/>
      <c r="BN30" s="128"/>
    </row>
    <row r="31" ht="15.75" customHeight="1">
      <c r="BC31" s="274"/>
      <c r="BD31" s="274"/>
      <c r="BE31" s="274"/>
      <c r="BF31" s="274"/>
      <c r="BG31" s="274"/>
      <c r="BH31" s="274"/>
      <c r="BI31" s="274"/>
      <c r="BJ31" s="274"/>
    </row>
    <row r="32" ht="15.75" hidden="1" customHeight="1">
      <c r="AM32" s="129">
        <f>MSBC!AZ142</f>
        <v>389722.8656</v>
      </c>
      <c r="BC32" s="3"/>
      <c r="BD32" s="3"/>
      <c r="BE32" s="3"/>
      <c r="BF32" s="3"/>
      <c r="BG32" s="3"/>
      <c r="BH32" s="3"/>
      <c r="BI32" s="3"/>
      <c r="BJ32" s="3"/>
    </row>
    <row r="33" ht="15.75" customHeight="1">
      <c r="BC33" s="3"/>
      <c r="BD33" s="3"/>
      <c r="BE33" s="3"/>
      <c r="BF33" s="3"/>
      <c r="BG33" s="3"/>
      <c r="BH33" s="3"/>
      <c r="BI33" s="3"/>
      <c r="BJ33" s="3"/>
    </row>
    <row r="34" ht="15.75" customHeight="1">
      <c r="BC34" s="3"/>
      <c r="BD34" s="3"/>
      <c r="BE34" s="3"/>
      <c r="BF34" s="3"/>
      <c r="BG34" s="3"/>
      <c r="BH34" s="3"/>
      <c r="BI34" s="3"/>
      <c r="BJ34" s="3"/>
    </row>
    <row r="35" ht="15.75" customHeight="1">
      <c r="BC35" s="3"/>
      <c r="BD35" s="3"/>
      <c r="BE35" s="3"/>
      <c r="BF35" s="3"/>
      <c r="BG35" s="3"/>
      <c r="BH35" s="3"/>
      <c r="BI35" s="3"/>
      <c r="BJ35" s="3"/>
    </row>
    <row r="36" ht="15.75" customHeight="1">
      <c r="BC36" s="3"/>
      <c r="BD36" s="3"/>
      <c r="BE36" s="3"/>
      <c r="BF36" s="3"/>
      <c r="BG36" s="3"/>
      <c r="BH36" s="3"/>
      <c r="BI36" s="3"/>
      <c r="BJ36" s="3"/>
    </row>
    <row r="37" ht="15.75" customHeight="1">
      <c r="BC37" s="3"/>
      <c r="BD37" s="3"/>
      <c r="BE37" s="3"/>
      <c r="BF37" s="3"/>
      <c r="BG37" s="3"/>
      <c r="BH37" s="3"/>
      <c r="BI37" s="3"/>
      <c r="BJ37" s="3"/>
    </row>
    <row r="38" ht="15.75" customHeight="1">
      <c r="BC38" s="3"/>
      <c r="BD38" s="3"/>
      <c r="BE38" s="3"/>
      <c r="BF38" s="3"/>
      <c r="BG38" s="3"/>
      <c r="BH38" s="3"/>
      <c r="BI38" s="3"/>
      <c r="BJ38" s="3"/>
    </row>
    <row r="39" ht="15.75" customHeight="1">
      <c r="BC39" s="3"/>
      <c r="BD39" s="3"/>
      <c r="BE39" s="3"/>
      <c r="BF39" s="3"/>
      <c r="BG39" s="3"/>
      <c r="BH39" s="3"/>
      <c r="BI39" s="3"/>
      <c r="BJ39" s="3"/>
    </row>
    <row r="40" ht="15.75" customHeight="1">
      <c r="BC40" s="3"/>
      <c r="BD40" s="3"/>
      <c r="BE40" s="3"/>
      <c r="BF40" s="3"/>
      <c r="BG40" s="3"/>
      <c r="BH40" s="3"/>
      <c r="BI40" s="3"/>
      <c r="BJ40" s="3"/>
    </row>
    <row r="41" ht="15.75" customHeight="1">
      <c r="BC41" s="3"/>
      <c r="BD41" s="3"/>
      <c r="BE41" s="3"/>
      <c r="BF41" s="3"/>
      <c r="BG41" s="3"/>
      <c r="BH41" s="3"/>
      <c r="BI41" s="3"/>
      <c r="BJ41" s="3"/>
    </row>
    <row r="42" ht="15.75" customHeight="1">
      <c r="BC42" s="3"/>
      <c r="BD42" s="3"/>
      <c r="BE42" s="3"/>
      <c r="BF42" s="3"/>
      <c r="BG42" s="3"/>
      <c r="BH42" s="3"/>
      <c r="BI42" s="3"/>
      <c r="BJ42" s="3"/>
    </row>
    <row r="43" ht="15.75" customHeight="1">
      <c r="BC43" s="3"/>
      <c r="BD43" s="3"/>
      <c r="BE43" s="3"/>
      <c r="BF43" s="3"/>
      <c r="BG43" s="3"/>
      <c r="BH43" s="3"/>
      <c r="BI43" s="3"/>
      <c r="BJ43" s="3"/>
    </row>
    <row r="44" ht="15.75" customHeight="1">
      <c r="BC44" s="3"/>
      <c r="BD44" s="3"/>
      <c r="BE44" s="3"/>
      <c r="BF44" s="3"/>
      <c r="BG44" s="3"/>
      <c r="BH44" s="3"/>
      <c r="BI44" s="3"/>
      <c r="BJ44" s="3"/>
    </row>
    <row r="45" ht="15.75" customHeight="1">
      <c r="BC45" s="3"/>
      <c r="BD45" s="3"/>
      <c r="BE45" s="3"/>
      <c r="BF45" s="3"/>
      <c r="BG45" s="3"/>
      <c r="BH45" s="3"/>
      <c r="BI45" s="3"/>
      <c r="BJ45" s="3"/>
    </row>
    <row r="46" ht="15.75" customHeight="1">
      <c r="BC46" s="3"/>
      <c r="BD46" s="3"/>
      <c r="BE46" s="3"/>
      <c r="BF46" s="3"/>
      <c r="BG46" s="3"/>
      <c r="BH46" s="3"/>
      <c r="BI46" s="3"/>
      <c r="BJ46" s="3"/>
    </row>
    <row r="47" ht="15.75" customHeight="1">
      <c r="BC47" s="3"/>
      <c r="BD47" s="3"/>
      <c r="BE47" s="3"/>
      <c r="BF47" s="3"/>
      <c r="BG47" s="3"/>
      <c r="BH47" s="3"/>
      <c r="BI47" s="3"/>
      <c r="BJ47" s="3"/>
    </row>
    <row r="48" ht="15.75" customHeight="1">
      <c r="BC48" s="3"/>
      <c r="BD48" s="3"/>
      <c r="BE48" s="3"/>
      <c r="BF48" s="3"/>
      <c r="BG48" s="3"/>
      <c r="BH48" s="3"/>
      <c r="BI48" s="3"/>
      <c r="BJ48" s="3"/>
    </row>
    <row r="49" ht="15.75" customHeight="1">
      <c r="BC49" s="3"/>
      <c r="BD49" s="3"/>
      <c r="BE49" s="3"/>
      <c r="BF49" s="3"/>
      <c r="BG49" s="3"/>
      <c r="BH49" s="3"/>
      <c r="BI49" s="3"/>
      <c r="BJ49" s="3"/>
    </row>
    <row r="50" ht="15.75" customHeight="1">
      <c r="BC50" s="3"/>
      <c r="BD50" s="3"/>
      <c r="BE50" s="3"/>
      <c r="BF50" s="3"/>
      <c r="BG50" s="3"/>
      <c r="BH50" s="3"/>
      <c r="BI50" s="3"/>
      <c r="BJ50" s="3"/>
    </row>
    <row r="51" ht="15.75" customHeight="1">
      <c r="BC51" s="3"/>
      <c r="BD51" s="3"/>
      <c r="BE51" s="3"/>
      <c r="BF51" s="3"/>
      <c r="BG51" s="3"/>
      <c r="BH51" s="3"/>
      <c r="BI51" s="3"/>
      <c r="BJ51" s="3"/>
    </row>
    <row r="52" ht="15.75" customHeight="1">
      <c r="BC52" s="3"/>
      <c r="BD52" s="3"/>
      <c r="BE52" s="3"/>
      <c r="BF52" s="3"/>
      <c r="BG52" s="3"/>
      <c r="BH52" s="3"/>
      <c r="BI52" s="3"/>
      <c r="BJ52" s="3"/>
    </row>
    <row r="53" ht="15.75" customHeight="1">
      <c r="BC53" s="3"/>
      <c r="BD53" s="3"/>
      <c r="BE53" s="3"/>
      <c r="BF53" s="3"/>
      <c r="BG53" s="3"/>
      <c r="BH53" s="3"/>
      <c r="BI53" s="3"/>
      <c r="BJ53" s="3"/>
    </row>
    <row r="54" ht="15.75" customHeight="1">
      <c r="BC54" s="3"/>
      <c r="BD54" s="3"/>
      <c r="BE54" s="3"/>
      <c r="BF54" s="3"/>
      <c r="BG54" s="3"/>
      <c r="BH54" s="3"/>
      <c r="BI54" s="3"/>
      <c r="BJ54" s="3"/>
    </row>
    <row r="55" ht="15.75" customHeight="1">
      <c r="BC55" s="3"/>
      <c r="BD55" s="3"/>
      <c r="BE55" s="3"/>
      <c r="BF55" s="3"/>
      <c r="BG55" s="3"/>
      <c r="BH55" s="3"/>
      <c r="BI55" s="3"/>
      <c r="BJ55" s="3"/>
    </row>
    <row r="56" ht="15.75" customHeight="1">
      <c r="BC56" s="3"/>
      <c r="BD56" s="3"/>
      <c r="BE56" s="3"/>
      <c r="BF56" s="3"/>
      <c r="BG56" s="3"/>
      <c r="BH56" s="3"/>
      <c r="BI56" s="3"/>
      <c r="BJ56" s="3"/>
    </row>
    <row r="57" ht="15.75" customHeight="1">
      <c r="BC57" s="3"/>
      <c r="BD57" s="3"/>
      <c r="BE57" s="3"/>
      <c r="BF57" s="3"/>
      <c r="BG57" s="3"/>
      <c r="BH57" s="3"/>
      <c r="BI57" s="3"/>
      <c r="BJ57" s="3"/>
    </row>
    <row r="58" ht="15.75" customHeight="1">
      <c r="BC58" s="3"/>
      <c r="BD58" s="3"/>
      <c r="BE58" s="3"/>
      <c r="BF58" s="3"/>
      <c r="BG58" s="3"/>
      <c r="BH58" s="3"/>
      <c r="BI58" s="3"/>
      <c r="BJ58" s="3"/>
    </row>
    <row r="59" ht="15.75" customHeight="1">
      <c r="BC59" s="3"/>
      <c r="BD59" s="3"/>
      <c r="BE59" s="3"/>
      <c r="BF59" s="3"/>
      <c r="BG59" s="3"/>
      <c r="BH59" s="3"/>
      <c r="BI59" s="3"/>
      <c r="BJ59" s="3"/>
    </row>
    <row r="60" ht="15.75" customHeight="1">
      <c r="BC60" s="3"/>
      <c r="BD60" s="3"/>
      <c r="BE60" s="3"/>
      <c r="BF60" s="3"/>
      <c r="BG60" s="3"/>
      <c r="BH60" s="3"/>
      <c r="BI60" s="3"/>
      <c r="BJ60" s="3"/>
    </row>
    <row r="61" ht="15.75" customHeight="1">
      <c r="BC61" s="3"/>
      <c r="BD61" s="3"/>
      <c r="BE61" s="3"/>
      <c r="BF61" s="3"/>
      <c r="BG61" s="3"/>
      <c r="BH61" s="3"/>
      <c r="BI61" s="3"/>
      <c r="BJ61" s="3"/>
    </row>
    <row r="62" ht="15.75" customHeight="1">
      <c r="BC62" s="3"/>
      <c r="BD62" s="3"/>
      <c r="BE62" s="3"/>
      <c r="BF62" s="3"/>
      <c r="BG62" s="3"/>
      <c r="BH62" s="3"/>
      <c r="BI62" s="3"/>
      <c r="BJ62" s="3"/>
    </row>
    <row r="63" ht="15.75" customHeight="1">
      <c r="BC63" s="3"/>
      <c r="BD63" s="3"/>
      <c r="BE63" s="3"/>
      <c r="BF63" s="3"/>
      <c r="BG63" s="3"/>
      <c r="BH63" s="3"/>
      <c r="BI63" s="3"/>
      <c r="BJ63" s="3"/>
    </row>
    <row r="64" ht="15.75" customHeight="1">
      <c r="BC64" s="3"/>
      <c r="BD64" s="3"/>
      <c r="BE64" s="3"/>
      <c r="BF64" s="3"/>
      <c r="BG64" s="3"/>
      <c r="BH64" s="3"/>
      <c r="BI64" s="3"/>
      <c r="BJ64" s="3"/>
    </row>
    <row r="65" ht="15.75" customHeight="1">
      <c r="BC65" s="3"/>
      <c r="BD65" s="3"/>
      <c r="BE65" s="3"/>
      <c r="BF65" s="3"/>
      <c r="BG65" s="3"/>
      <c r="BH65" s="3"/>
      <c r="BI65" s="3"/>
      <c r="BJ65" s="3"/>
    </row>
    <row r="66" ht="15.75" customHeight="1">
      <c r="BC66" s="3"/>
      <c r="BD66" s="3"/>
      <c r="BE66" s="3"/>
      <c r="BF66" s="3"/>
      <c r="BG66" s="3"/>
      <c r="BH66" s="3"/>
      <c r="BI66" s="3"/>
      <c r="BJ66" s="3"/>
    </row>
    <row r="67" ht="15.75" customHeight="1">
      <c r="BC67" s="3"/>
      <c r="BD67" s="3"/>
      <c r="BE67" s="3"/>
      <c r="BF67" s="3"/>
      <c r="BG67" s="3"/>
      <c r="BH67" s="3"/>
      <c r="BI67" s="3"/>
      <c r="BJ67" s="3"/>
    </row>
    <row r="68" ht="15.75" customHeight="1">
      <c r="BC68" s="3"/>
      <c r="BD68" s="3"/>
      <c r="BE68" s="3"/>
      <c r="BF68" s="3"/>
      <c r="BG68" s="3"/>
      <c r="BH68" s="3"/>
      <c r="BI68" s="3"/>
      <c r="BJ68" s="3"/>
    </row>
    <row r="69" ht="15.75" customHeight="1">
      <c r="BC69" s="3"/>
      <c r="BD69" s="3"/>
      <c r="BE69" s="3"/>
      <c r="BF69" s="3"/>
      <c r="BG69" s="3"/>
      <c r="BH69" s="3"/>
      <c r="BI69" s="3"/>
      <c r="BJ69" s="3"/>
    </row>
    <row r="70" ht="15.75" customHeight="1">
      <c r="BC70" s="3"/>
      <c r="BD70" s="3"/>
      <c r="BE70" s="3"/>
      <c r="BF70" s="3"/>
      <c r="BG70" s="3"/>
      <c r="BH70" s="3"/>
      <c r="BI70" s="3"/>
      <c r="BJ70" s="3"/>
    </row>
    <row r="71" ht="15.75" customHeight="1">
      <c r="BC71" s="3"/>
      <c r="BD71" s="3"/>
      <c r="BE71" s="3"/>
      <c r="BF71" s="3"/>
      <c r="BG71" s="3"/>
      <c r="BH71" s="3"/>
      <c r="BI71" s="3"/>
      <c r="BJ71" s="3"/>
    </row>
    <row r="72" ht="15.75" customHeight="1">
      <c r="BC72" s="3"/>
      <c r="BD72" s="3"/>
      <c r="BE72" s="3"/>
      <c r="BF72" s="3"/>
      <c r="BG72" s="3"/>
      <c r="BH72" s="3"/>
      <c r="BI72" s="3"/>
      <c r="BJ72" s="3"/>
    </row>
    <row r="73" ht="15.75" customHeight="1">
      <c r="BC73" s="3"/>
      <c r="BD73" s="3"/>
      <c r="BE73" s="3"/>
      <c r="BF73" s="3"/>
      <c r="BG73" s="3"/>
      <c r="BH73" s="3"/>
      <c r="BI73" s="3"/>
      <c r="BJ73" s="3"/>
    </row>
    <row r="74" ht="15.75" customHeight="1">
      <c r="BC74" s="3"/>
      <c r="BD74" s="3"/>
      <c r="BE74" s="3"/>
      <c r="BF74" s="3"/>
      <c r="BG74" s="3"/>
      <c r="BH74" s="3"/>
      <c r="BI74" s="3"/>
      <c r="BJ74" s="3"/>
    </row>
    <row r="75" ht="15.75" customHeight="1">
      <c r="BC75" s="3"/>
      <c r="BD75" s="3"/>
      <c r="BE75" s="3"/>
      <c r="BF75" s="3"/>
      <c r="BG75" s="3"/>
      <c r="BH75" s="3"/>
      <c r="BI75" s="3"/>
      <c r="BJ75" s="3"/>
    </row>
    <row r="76" ht="15.75" customHeight="1">
      <c r="BC76" s="3"/>
      <c r="BD76" s="3"/>
      <c r="BE76" s="3"/>
      <c r="BF76" s="3"/>
      <c r="BG76" s="3"/>
      <c r="BH76" s="3"/>
      <c r="BI76" s="3"/>
      <c r="BJ76" s="3"/>
    </row>
    <row r="77" ht="15.75" customHeight="1">
      <c r="BC77" s="3"/>
      <c r="BD77" s="3"/>
      <c r="BE77" s="3"/>
      <c r="BF77" s="3"/>
      <c r="BG77" s="3"/>
      <c r="BH77" s="3"/>
      <c r="BI77" s="3"/>
      <c r="BJ77" s="3"/>
    </row>
    <row r="78" ht="15.75" customHeight="1">
      <c r="BC78" s="3"/>
      <c r="BD78" s="3"/>
      <c r="BE78" s="3"/>
      <c r="BF78" s="3"/>
      <c r="BG78" s="3"/>
      <c r="BH78" s="3"/>
      <c r="BI78" s="3"/>
      <c r="BJ78" s="3"/>
    </row>
    <row r="79" ht="15.75" customHeight="1">
      <c r="BC79" s="3"/>
      <c r="BD79" s="3"/>
      <c r="BE79" s="3"/>
      <c r="BF79" s="3"/>
      <c r="BG79" s="3"/>
      <c r="BH79" s="3"/>
      <c r="BI79" s="3"/>
      <c r="BJ79" s="3"/>
    </row>
    <row r="80" ht="15.75" customHeight="1">
      <c r="BC80" s="3"/>
      <c r="BD80" s="3"/>
      <c r="BE80" s="3"/>
      <c r="BF80" s="3"/>
      <c r="BG80" s="3"/>
      <c r="BH80" s="3"/>
      <c r="BI80" s="3"/>
      <c r="BJ80" s="3"/>
    </row>
    <row r="81" ht="15.75" customHeight="1">
      <c r="BC81" s="3"/>
      <c r="BD81" s="3"/>
      <c r="BE81" s="3"/>
      <c r="BF81" s="3"/>
      <c r="BG81" s="3"/>
      <c r="BH81" s="3"/>
      <c r="BI81" s="3"/>
      <c r="BJ81" s="3"/>
    </row>
    <row r="82" ht="15.75" customHeight="1">
      <c r="BC82" s="3"/>
      <c r="BD82" s="3"/>
      <c r="BE82" s="3"/>
      <c r="BF82" s="3"/>
      <c r="BG82" s="3"/>
      <c r="BH82" s="3"/>
      <c r="BI82" s="3"/>
      <c r="BJ82" s="3"/>
    </row>
    <row r="83" ht="15.75" customHeight="1">
      <c r="BC83" s="3"/>
      <c r="BD83" s="3"/>
      <c r="BE83" s="3"/>
      <c r="BF83" s="3"/>
      <c r="BG83" s="3"/>
      <c r="BH83" s="3"/>
      <c r="BI83" s="3"/>
      <c r="BJ83" s="3"/>
    </row>
    <row r="84" ht="15.75" customHeight="1">
      <c r="BC84" s="3"/>
      <c r="BD84" s="3"/>
      <c r="BE84" s="3"/>
      <c r="BF84" s="3"/>
      <c r="BG84" s="3"/>
      <c r="BH84" s="3"/>
      <c r="BI84" s="3"/>
      <c r="BJ84" s="3"/>
    </row>
    <row r="85" ht="15.75" customHeight="1">
      <c r="BC85" s="3"/>
      <c r="BD85" s="3"/>
      <c r="BE85" s="3"/>
      <c r="BF85" s="3"/>
      <c r="BG85" s="3"/>
      <c r="BH85" s="3"/>
      <c r="BI85" s="3"/>
      <c r="BJ85" s="3"/>
    </row>
    <row r="86" ht="15.75" customHeight="1">
      <c r="BC86" s="3"/>
      <c r="BD86" s="3"/>
      <c r="BE86" s="3"/>
      <c r="BF86" s="3"/>
      <c r="BG86" s="3"/>
      <c r="BH86" s="3"/>
      <c r="BI86" s="3"/>
      <c r="BJ86" s="3"/>
    </row>
    <row r="87" ht="15.75" customHeight="1">
      <c r="BC87" s="3"/>
      <c r="BD87" s="3"/>
      <c r="BE87" s="3"/>
      <c r="BF87" s="3"/>
      <c r="BG87" s="3"/>
      <c r="BH87" s="3"/>
      <c r="BI87" s="3"/>
      <c r="BJ87" s="3"/>
    </row>
    <row r="88" ht="15.75" customHeight="1">
      <c r="BC88" s="3"/>
      <c r="BD88" s="3"/>
      <c r="BE88" s="3"/>
      <c r="BF88" s="3"/>
      <c r="BG88" s="3"/>
      <c r="BH88" s="3"/>
      <c r="BI88" s="3"/>
      <c r="BJ88" s="3"/>
    </row>
    <row r="89" ht="15.75" customHeight="1">
      <c r="BC89" s="3"/>
      <c r="BD89" s="3"/>
      <c r="BE89" s="3"/>
      <c r="BF89" s="3"/>
      <c r="BG89" s="3"/>
      <c r="BH89" s="3"/>
      <c r="BI89" s="3"/>
      <c r="BJ89" s="3"/>
    </row>
    <row r="90" ht="15.75" customHeight="1">
      <c r="BC90" s="3"/>
      <c r="BD90" s="3"/>
      <c r="BE90" s="3"/>
      <c r="BF90" s="3"/>
      <c r="BG90" s="3"/>
      <c r="BH90" s="3"/>
      <c r="BI90" s="3"/>
      <c r="BJ90" s="3"/>
    </row>
    <row r="91" ht="15.75" customHeight="1">
      <c r="BC91" s="3"/>
      <c r="BD91" s="3"/>
      <c r="BE91" s="3"/>
      <c r="BF91" s="3"/>
      <c r="BG91" s="3"/>
      <c r="BH91" s="3"/>
      <c r="BI91" s="3"/>
      <c r="BJ91" s="3"/>
    </row>
    <row r="92" ht="15.75" customHeight="1">
      <c r="BC92" s="3"/>
      <c r="BD92" s="3"/>
      <c r="BE92" s="3"/>
      <c r="BF92" s="3"/>
      <c r="BG92" s="3"/>
      <c r="BH92" s="3"/>
      <c r="BI92" s="3"/>
      <c r="BJ92" s="3"/>
    </row>
    <row r="93" ht="15.75" customHeight="1">
      <c r="BC93" s="3"/>
      <c r="BD93" s="3"/>
      <c r="BE93" s="3"/>
      <c r="BF93" s="3"/>
      <c r="BG93" s="3"/>
      <c r="BH93" s="3"/>
      <c r="BI93" s="3"/>
      <c r="BJ93" s="3"/>
    </row>
    <row r="94" ht="15.75" customHeight="1">
      <c r="BC94" s="3"/>
      <c r="BD94" s="3"/>
      <c r="BE94" s="3"/>
      <c r="BF94" s="3"/>
      <c r="BG94" s="3"/>
      <c r="BH94" s="3"/>
      <c r="BI94" s="3"/>
      <c r="BJ94" s="3"/>
    </row>
    <row r="95" ht="15.75" customHeight="1">
      <c r="BC95" s="3"/>
      <c r="BD95" s="3"/>
      <c r="BE95" s="3"/>
      <c r="BF95" s="3"/>
      <c r="BG95" s="3"/>
      <c r="BH95" s="3"/>
      <c r="BI95" s="3"/>
      <c r="BJ95" s="3"/>
    </row>
    <row r="96" ht="15.75" customHeight="1">
      <c r="BC96" s="3"/>
      <c r="BD96" s="3"/>
      <c r="BE96" s="3"/>
      <c r="BF96" s="3"/>
      <c r="BG96" s="3"/>
      <c r="BH96" s="3"/>
      <c r="BI96" s="3"/>
      <c r="BJ96" s="3"/>
    </row>
    <row r="97" ht="15.75" customHeight="1">
      <c r="BC97" s="3"/>
      <c r="BD97" s="3"/>
      <c r="BE97" s="3"/>
      <c r="BF97" s="3"/>
      <c r="BG97" s="3"/>
      <c r="BH97" s="3"/>
      <c r="BI97" s="3"/>
      <c r="BJ97" s="3"/>
    </row>
    <row r="98" ht="15.75" customHeight="1">
      <c r="BC98" s="3"/>
      <c r="BD98" s="3"/>
      <c r="BE98" s="3"/>
      <c r="BF98" s="3"/>
      <c r="BG98" s="3"/>
      <c r="BH98" s="3"/>
      <c r="BI98" s="3"/>
      <c r="BJ98" s="3"/>
    </row>
    <row r="99" ht="15.75" customHeight="1">
      <c r="BC99" s="3"/>
      <c r="BD99" s="3"/>
      <c r="BE99" s="3"/>
      <c r="BF99" s="3"/>
      <c r="BG99" s="3"/>
      <c r="BH99" s="3"/>
      <c r="BI99" s="3"/>
      <c r="BJ99" s="3"/>
    </row>
    <row r="100" ht="15.75" customHeight="1">
      <c r="BC100" s="3"/>
      <c r="BD100" s="3"/>
      <c r="BE100" s="3"/>
      <c r="BF100" s="3"/>
      <c r="BG100" s="3"/>
      <c r="BH100" s="3"/>
      <c r="BI100" s="3"/>
      <c r="BJ100" s="3"/>
    </row>
    <row r="101" ht="15.75" customHeight="1">
      <c r="BC101" s="3"/>
      <c r="BD101" s="3"/>
      <c r="BE101" s="3"/>
      <c r="BF101" s="3"/>
      <c r="BG101" s="3"/>
      <c r="BH101" s="3"/>
      <c r="BI101" s="3"/>
      <c r="BJ101" s="3"/>
    </row>
    <row r="102" ht="15.75" customHeight="1">
      <c r="BC102" s="3"/>
      <c r="BD102" s="3"/>
      <c r="BE102" s="3"/>
      <c r="BF102" s="3"/>
      <c r="BG102" s="3"/>
      <c r="BH102" s="3"/>
      <c r="BI102" s="3"/>
      <c r="BJ102" s="3"/>
    </row>
    <row r="103" ht="15.75" customHeight="1">
      <c r="BC103" s="3"/>
      <c r="BD103" s="3"/>
      <c r="BE103" s="3"/>
      <c r="BF103" s="3"/>
      <c r="BG103" s="3"/>
      <c r="BH103" s="3"/>
      <c r="BI103" s="3"/>
      <c r="BJ103" s="3"/>
    </row>
    <row r="104" ht="15.75" customHeight="1">
      <c r="BC104" s="3"/>
      <c r="BD104" s="3"/>
      <c r="BE104" s="3"/>
      <c r="BF104" s="3"/>
      <c r="BG104" s="3"/>
      <c r="BH104" s="3"/>
      <c r="BI104" s="3"/>
      <c r="BJ104" s="3"/>
    </row>
    <row r="105" ht="15.75" customHeight="1">
      <c r="BC105" s="3"/>
      <c r="BD105" s="3"/>
      <c r="BE105" s="3"/>
      <c r="BF105" s="3"/>
      <c r="BG105" s="3"/>
      <c r="BH105" s="3"/>
      <c r="BI105" s="3"/>
      <c r="BJ105" s="3"/>
    </row>
    <row r="106" ht="15.75" customHeight="1">
      <c r="BC106" s="3"/>
      <c r="BD106" s="3"/>
      <c r="BE106" s="3"/>
      <c r="BF106" s="3"/>
      <c r="BG106" s="3"/>
      <c r="BH106" s="3"/>
      <c r="BI106" s="3"/>
      <c r="BJ106" s="3"/>
    </row>
    <row r="107" ht="15.75" customHeight="1">
      <c r="BC107" s="3"/>
      <c r="BD107" s="3"/>
      <c r="BE107" s="3"/>
      <c r="BF107" s="3"/>
      <c r="BG107" s="3"/>
      <c r="BH107" s="3"/>
      <c r="BI107" s="3"/>
      <c r="BJ107" s="3"/>
    </row>
    <row r="108" ht="15.75" customHeight="1">
      <c r="BC108" s="3"/>
      <c r="BD108" s="3"/>
      <c r="BE108" s="3"/>
      <c r="BF108" s="3"/>
      <c r="BG108" s="3"/>
      <c r="BH108" s="3"/>
      <c r="BI108" s="3"/>
      <c r="BJ108" s="3"/>
    </row>
    <row r="109" ht="15.75" customHeight="1">
      <c r="BC109" s="3"/>
      <c r="BD109" s="3"/>
      <c r="BE109" s="3"/>
      <c r="BF109" s="3"/>
      <c r="BG109" s="3"/>
      <c r="BH109" s="3"/>
      <c r="BI109" s="3"/>
      <c r="BJ109" s="3"/>
    </row>
    <row r="110" ht="15.75" customHeight="1">
      <c r="BC110" s="3"/>
      <c r="BD110" s="3"/>
      <c r="BE110" s="3"/>
      <c r="BF110" s="3"/>
      <c r="BG110" s="3"/>
      <c r="BH110" s="3"/>
      <c r="BI110" s="3"/>
      <c r="BJ110" s="3"/>
    </row>
    <row r="111" ht="15.75" customHeight="1">
      <c r="BC111" s="3"/>
      <c r="BD111" s="3"/>
      <c r="BE111" s="3"/>
      <c r="BF111" s="3"/>
      <c r="BG111" s="3"/>
      <c r="BH111" s="3"/>
      <c r="BI111" s="3"/>
      <c r="BJ111" s="3"/>
    </row>
    <row r="112" ht="15.75" customHeight="1">
      <c r="BC112" s="3"/>
      <c r="BD112" s="3"/>
      <c r="BE112" s="3"/>
      <c r="BF112" s="3"/>
      <c r="BG112" s="3"/>
      <c r="BH112" s="3"/>
      <c r="BI112" s="3"/>
      <c r="BJ112" s="3"/>
    </row>
    <row r="113" ht="15.75" customHeight="1">
      <c r="BC113" s="3"/>
      <c r="BD113" s="3"/>
      <c r="BE113" s="3"/>
      <c r="BF113" s="3"/>
      <c r="BG113" s="3"/>
      <c r="BH113" s="3"/>
      <c r="BI113" s="3"/>
      <c r="BJ113" s="3"/>
    </row>
    <row r="114" ht="15.75" customHeight="1">
      <c r="BC114" s="3"/>
      <c r="BD114" s="3"/>
      <c r="BE114" s="3"/>
      <c r="BF114" s="3"/>
      <c r="BG114" s="3"/>
      <c r="BH114" s="3"/>
      <c r="BI114" s="3"/>
      <c r="BJ114" s="3"/>
    </row>
    <row r="115" ht="15.75" customHeight="1">
      <c r="BC115" s="3"/>
      <c r="BD115" s="3"/>
      <c r="BE115" s="3"/>
      <c r="BF115" s="3"/>
      <c r="BG115" s="3"/>
      <c r="BH115" s="3"/>
      <c r="BI115" s="3"/>
      <c r="BJ115" s="3"/>
    </row>
    <row r="116" ht="15.75" customHeight="1">
      <c r="BC116" s="3"/>
      <c r="BD116" s="3"/>
      <c r="BE116" s="3"/>
      <c r="BF116" s="3"/>
      <c r="BG116" s="3"/>
      <c r="BH116" s="3"/>
      <c r="BI116" s="3"/>
      <c r="BJ116" s="3"/>
    </row>
    <row r="117" ht="15.75" customHeight="1">
      <c r="BC117" s="3"/>
      <c r="BD117" s="3"/>
      <c r="BE117" s="3"/>
      <c r="BF117" s="3"/>
      <c r="BG117" s="3"/>
      <c r="BH117" s="3"/>
      <c r="BI117" s="3"/>
      <c r="BJ117" s="3"/>
    </row>
    <row r="118" ht="15.75" customHeight="1">
      <c r="BC118" s="3"/>
      <c r="BD118" s="3"/>
      <c r="BE118" s="3"/>
      <c r="BF118" s="3"/>
      <c r="BG118" s="3"/>
      <c r="BH118" s="3"/>
      <c r="BI118" s="3"/>
      <c r="BJ118" s="3"/>
    </row>
    <row r="119" ht="15.75" customHeight="1">
      <c r="BC119" s="3"/>
      <c r="BD119" s="3"/>
      <c r="BE119" s="3"/>
      <c r="BF119" s="3"/>
      <c r="BG119" s="3"/>
      <c r="BH119" s="3"/>
      <c r="BI119" s="3"/>
      <c r="BJ119" s="3"/>
    </row>
    <row r="120" ht="15.75" customHeight="1">
      <c r="BC120" s="3"/>
      <c r="BD120" s="3"/>
      <c r="BE120" s="3"/>
      <c r="BF120" s="3"/>
      <c r="BG120" s="3"/>
      <c r="BH120" s="3"/>
      <c r="BI120" s="3"/>
      <c r="BJ120" s="3"/>
    </row>
    <row r="121" ht="15.75" customHeight="1">
      <c r="BC121" s="3"/>
      <c r="BD121" s="3"/>
      <c r="BE121" s="3"/>
      <c r="BF121" s="3"/>
      <c r="BG121" s="3"/>
      <c r="BH121" s="3"/>
      <c r="BI121" s="3"/>
      <c r="BJ121" s="3"/>
    </row>
    <row r="122" ht="15.75" customHeight="1">
      <c r="BC122" s="3"/>
      <c r="BD122" s="3"/>
      <c r="BE122" s="3"/>
      <c r="BF122" s="3"/>
      <c r="BG122" s="3"/>
      <c r="BH122" s="3"/>
      <c r="BI122" s="3"/>
      <c r="BJ122" s="3"/>
    </row>
    <row r="123" ht="15.75" customHeight="1">
      <c r="BC123" s="3"/>
      <c r="BD123" s="3"/>
      <c r="BE123" s="3"/>
      <c r="BF123" s="3"/>
      <c r="BG123" s="3"/>
      <c r="BH123" s="3"/>
      <c r="BI123" s="3"/>
      <c r="BJ123" s="3"/>
    </row>
    <row r="124" ht="15.75" customHeight="1">
      <c r="BC124" s="3"/>
      <c r="BD124" s="3"/>
      <c r="BE124" s="3"/>
      <c r="BF124" s="3"/>
      <c r="BG124" s="3"/>
      <c r="BH124" s="3"/>
      <c r="BI124" s="3"/>
      <c r="BJ124" s="3"/>
    </row>
    <row r="125" ht="15.75" customHeight="1">
      <c r="BC125" s="3"/>
      <c r="BD125" s="3"/>
      <c r="BE125" s="3"/>
      <c r="BF125" s="3"/>
      <c r="BG125" s="3"/>
      <c r="BH125" s="3"/>
      <c r="BI125" s="3"/>
      <c r="BJ125" s="3"/>
    </row>
    <row r="126" ht="15.75" customHeight="1">
      <c r="BC126" s="3"/>
      <c r="BD126" s="3"/>
      <c r="BE126" s="3"/>
      <c r="BF126" s="3"/>
      <c r="BG126" s="3"/>
      <c r="BH126" s="3"/>
      <c r="BI126" s="3"/>
      <c r="BJ126" s="3"/>
    </row>
    <row r="127" ht="15.75" customHeight="1">
      <c r="BC127" s="3"/>
      <c r="BD127" s="3"/>
      <c r="BE127" s="3"/>
      <c r="BF127" s="3"/>
      <c r="BG127" s="3"/>
      <c r="BH127" s="3"/>
      <c r="BI127" s="3"/>
      <c r="BJ127" s="3"/>
    </row>
    <row r="128" ht="15.75" customHeight="1">
      <c r="BC128" s="3"/>
      <c r="BD128" s="3"/>
      <c r="BE128" s="3"/>
      <c r="BF128" s="3"/>
      <c r="BG128" s="3"/>
      <c r="BH128" s="3"/>
      <c r="BI128" s="3"/>
      <c r="BJ128" s="3"/>
    </row>
    <row r="129" ht="15.75" customHeight="1"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BC999" s="3"/>
      <c r="BD999" s="3"/>
      <c r="BE999" s="3"/>
      <c r="BF999" s="3"/>
      <c r="BG999" s="3"/>
      <c r="BH999" s="3"/>
      <c r="BI999" s="3"/>
      <c r="BJ999" s="3"/>
    </row>
    <row r="1000" ht="15.75" customHeight="1">
      <c r="BC1000" s="3"/>
      <c r="BD1000" s="3"/>
      <c r="BE1000" s="3"/>
      <c r="BF1000" s="3"/>
      <c r="BG1000" s="3"/>
      <c r="BH1000" s="3"/>
      <c r="BI1000" s="3"/>
      <c r="BJ1000" s="3"/>
    </row>
    <row r="1001" ht="15.75" customHeight="1">
      <c r="BC1001" s="3"/>
      <c r="BD1001" s="3"/>
      <c r="BE1001" s="3"/>
      <c r="BF1001" s="3"/>
      <c r="BG1001" s="3"/>
      <c r="BH1001" s="3"/>
      <c r="BI1001" s="3"/>
      <c r="BJ1001" s="3"/>
    </row>
  </sheetData>
  <mergeCells count="15">
    <mergeCell ref="AE3:AH3"/>
    <mergeCell ref="AI3:AL3"/>
    <mergeCell ref="AM3:AP3"/>
    <mergeCell ref="AQ3:AT3"/>
    <mergeCell ref="AU3:AX3"/>
    <mergeCell ref="AY3:BB3"/>
    <mergeCell ref="BC3:BF3"/>
    <mergeCell ref="BG3:BJ3"/>
    <mergeCell ref="C3:F3"/>
    <mergeCell ref="G3:J3"/>
    <mergeCell ref="K3:N3"/>
    <mergeCell ref="O3:R3"/>
    <mergeCell ref="S3:V3"/>
    <mergeCell ref="W3:Z3"/>
    <mergeCell ref="AA3:AD3"/>
  </mergeCells>
  <printOptions/>
  <pageMargins bottom="0.75" footer="0.0" header="0.0" left="0.7" right="0.7" top="0.75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6.25"/>
    <col customWidth="1" min="3" max="6" width="12.63"/>
    <col customWidth="1" min="7" max="7" width="13.38"/>
    <col customWidth="1" min="8" max="8" width="12.63"/>
    <col customWidth="1" min="9" max="9" width="10.75"/>
    <col customWidth="1" min="10" max="10" width="12.63"/>
    <col customWidth="1" min="11" max="11" width="14.25"/>
    <col customWidth="1" min="12" max="12" width="12.63"/>
    <col customWidth="1" min="13" max="13" width="14.25"/>
    <col customWidth="1" min="14" max="62" width="12.63"/>
  </cols>
  <sheetData>
    <row r="1" ht="15.75" customHeight="1">
      <c r="A1" s="3"/>
      <c r="B1" s="2" t="s">
        <v>1</v>
      </c>
      <c r="C1" s="3"/>
      <c r="D1" s="3"/>
      <c r="E1" s="3"/>
      <c r="F1" s="3"/>
      <c r="G1" s="296" t="s">
        <v>193</v>
      </c>
      <c r="H1" s="3"/>
      <c r="I1" s="175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175"/>
      <c r="AJ1" s="3"/>
      <c r="AK1" s="175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</row>
    <row r="2" ht="15.75" customHeight="1">
      <c r="A2" s="3"/>
      <c r="B2" s="4" t="s">
        <v>168</v>
      </c>
      <c r="C2" s="3"/>
      <c r="D2" s="3"/>
      <c r="E2" s="3"/>
      <c r="F2" s="3"/>
      <c r="G2" s="175"/>
      <c r="H2" s="3"/>
      <c r="I2" s="175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175"/>
      <c r="AJ2" s="3"/>
      <c r="AK2" s="175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ht="15.75" customHeight="1">
      <c r="A3" s="3"/>
      <c r="B3" s="297"/>
      <c r="C3" s="6" t="s">
        <v>48</v>
      </c>
      <c r="D3" s="7"/>
      <c r="E3" s="7"/>
      <c r="F3" s="8"/>
      <c r="G3" s="10" t="s">
        <v>49</v>
      </c>
      <c r="H3" s="11"/>
      <c r="I3" s="11"/>
      <c r="J3" s="298"/>
      <c r="K3" s="217" t="s">
        <v>5</v>
      </c>
      <c r="L3" s="11"/>
      <c r="M3" s="11"/>
      <c r="N3" s="298"/>
      <c r="O3" s="217" t="s">
        <v>6</v>
      </c>
      <c r="P3" s="11"/>
      <c r="Q3" s="11"/>
      <c r="R3" s="298"/>
      <c r="S3" s="217" t="s">
        <v>7</v>
      </c>
      <c r="T3" s="11"/>
      <c r="U3" s="11"/>
      <c r="V3" s="298"/>
      <c r="W3" s="217" t="s">
        <v>8</v>
      </c>
      <c r="X3" s="11"/>
      <c r="Y3" s="11"/>
      <c r="Z3" s="298"/>
      <c r="AA3" s="217" t="s">
        <v>9</v>
      </c>
      <c r="AB3" s="11"/>
      <c r="AC3" s="11"/>
      <c r="AD3" s="298"/>
      <c r="AE3" s="217" t="s">
        <v>10</v>
      </c>
      <c r="AF3" s="11"/>
      <c r="AG3" s="11"/>
      <c r="AH3" s="298"/>
      <c r="AI3" s="217" t="s">
        <v>11</v>
      </c>
      <c r="AJ3" s="11"/>
      <c r="AK3" s="11"/>
      <c r="AL3" s="298"/>
      <c r="AM3" s="217" t="s">
        <v>12</v>
      </c>
      <c r="AN3" s="11"/>
      <c r="AO3" s="11"/>
      <c r="AP3" s="298"/>
      <c r="AQ3" s="217" t="s">
        <v>13</v>
      </c>
      <c r="AR3" s="11"/>
      <c r="AS3" s="11"/>
      <c r="AT3" s="14"/>
      <c r="AU3" s="217" t="s">
        <v>58</v>
      </c>
      <c r="AV3" s="11"/>
      <c r="AW3" s="11"/>
      <c r="AX3" s="14"/>
      <c r="AY3" s="217" t="s">
        <v>59</v>
      </c>
      <c r="AZ3" s="11"/>
      <c r="BA3" s="11"/>
      <c r="BB3" s="14"/>
      <c r="BC3" s="217" t="s">
        <v>60</v>
      </c>
      <c r="BD3" s="11"/>
      <c r="BE3" s="11"/>
      <c r="BF3" s="14"/>
      <c r="BG3" s="217" t="s">
        <v>17</v>
      </c>
      <c r="BH3" s="11"/>
      <c r="BI3" s="11"/>
      <c r="BJ3" s="14"/>
    </row>
    <row r="4" ht="15.75" customHeight="1">
      <c r="A4" s="3"/>
      <c r="B4" s="299"/>
      <c r="C4" s="17" t="s">
        <v>21</v>
      </c>
      <c r="D4" s="18" t="s">
        <v>19</v>
      </c>
      <c r="E4" s="18" t="s">
        <v>20</v>
      </c>
      <c r="F4" s="19" t="s">
        <v>19</v>
      </c>
      <c r="G4" s="300" t="s">
        <v>21</v>
      </c>
      <c r="H4" s="301" t="s">
        <v>19</v>
      </c>
      <c r="I4" s="302" t="s">
        <v>20</v>
      </c>
      <c r="J4" s="301" t="s">
        <v>19</v>
      </c>
      <c r="K4" s="301" t="s">
        <v>21</v>
      </c>
      <c r="L4" s="301" t="s">
        <v>19</v>
      </c>
      <c r="M4" s="301" t="s">
        <v>20</v>
      </c>
      <c r="N4" s="301" t="s">
        <v>19</v>
      </c>
      <c r="O4" s="301" t="s">
        <v>21</v>
      </c>
      <c r="P4" s="301" t="s">
        <v>19</v>
      </c>
      <c r="Q4" s="301" t="s">
        <v>20</v>
      </c>
      <c r="R4" s="301" t="s">
        <v>19</v>
      </c>
      <c r="S4" s="301" t="s">
        <v>21</v>
      </c>
      <c r="T4" s="301" t="s">
        <v>19</v>
      </c>
      <c r="U4" s="301" t="s">
        <v>20</v>
      </c>
      <c r="V4" s="301" t="s">
        <v>19</v>
      </c>
      <c r="W4" s="301" t="s">
        <v>21</v>
      </c>
      <c r="X4" s="301" t="s">
        <v>19</v>
      </c>
      <c r="Y4" s="301" t="s">
        <v>20</v>
      </c>
      <c r="Z4" s="301" t="s">
        <v>19</v>
      </c>
      <c r="AA4" s="301" t="s">
        <v>21</v>
      </c>
      <c r="AB4" s="301" t="s">
        <v>19</v>
      </c>
      <c r="AC4" s="301" t="s">
        <v>20</v>
      </c>
      <c r="AD4" s="301" t="s">
        <v>19</v>
      </c>
      <c r="AE4" s="301" t="s">
        <v>21</v>
      </c>
      <c r="AF4" s="301" t="s">
        <v>19</v>
      </c>
      <c r="AG4" s="301" t="s">
        <v>20</v>
      </c>
      <c r="AH4" s="301" t="s">
        <v>19</v>
      </c>
      <c r="AI4" s="302" t="s">
        <v>21</v>
      </c>
      <c r="AJ4" s="301" t="s">
        <v>19</v>
      </c>
      <c r="AK4" s="302" t="s">
        <v>20</v>
      </c>
      <c r="AL4" s="301" t="s">
        <v>19</v>
      </c>
      <c r="AM4" s="301" t="s">
        <v>21</v>
      </c>
      <c r="AN4" s="301" t="s">
        <v>19</v>
      </c>
      <c r="AO4" s="301" t="s">
        <v>20</v>
      </c>
      <c r="AP4" s="301" t="s">
        <v>19</v>
      </c>
      <c r="AQ4" s="301" t="s">
        <v>21</v>
      </c>
      <c r="AR4" s="301" t="s">
        <v>19</v>
      </c>
      <c r="AS4" s="301" t="s">
        <v>20</v>
      </c>
      <c r="AT4" s="303" t="s">
        <v>19</v>
      </c>
      <c r="AU4" s="301" t="s">
        <v>21</v>
      </c>
      <c r="AV4" s="301" t="s">
        <v>19</v>
      </c>
      <c r="AW4" s="301" t="s">
        <v>20</v>
      </c>
      <c r="AX4" s="303" t="s">
        <v>19</v>
      </c>
      <c r="AY4" s="301" t="s">
        <v>21</v>
      </c>
      <c r="AZ4" s="301" t="s">
        <v>19</v>
      </c>
      <c r="BA4" s="301" t="s">
        <v>20</v>
      </c>
      <c r="BB4" s="303" t="s">
        <v>19</v>
      </c>
      <c r="BC4" s="301" t="s">
        <v>21</v>
      </c>
      <c r="BD4" s="301" t="s">
        <v>19</v>
      </c>
      <c r="BE4" s="301" t="s">
        <v>20</v>
      </c>
      <c r="BF4" s="303" t="s">
        <v>19</v>
      </c>
      <c r="BG4" s="301" t="s">
        <v>21</v>
      </c>
      <c r="BH4" s="301" t="s">
        <v>19</v>
      </c>
      <c r="BI4" s="301" t="s">
        <v>20</v>
      </c>
      <c r="BJ4" s="303" t="s">
        <v>19</v>
      </c>
    </row>
    <row r="5" ht="15.75" customHeight="1">
      <c r="A5" s="3"/>
      <c r="B5" s="304" t="s">
        <v>22</v>
      </c>
      <c r="C5" s="23">
        <f t="shared" ref="C5:C9" si="1">G5+K5</f>
        <v>6487313.75</v>
      </c>
      <c r="D5" s="137"/>
      <c r="E5" s="25" t="str">
        <f t="shared" ref="E5:E9" si="2">I5+M5</f>
        <v>#REF!</v>
      </c>
      <c r="F5" s="149"/>
      <c r="G5" s="135">
        <f>HO!BF14</f>
        <v>0</v>
      </c>
      <c r="H5" s="28"/>
      <c r="I5" s="83">
        <f>HO!BH14</f>
        <v>0</v>
      </c>
      <c r="J5" s="28"/>
      <c r="K5" s="25">
        <f t="shared" ref="K5:K9" si="3">O5+S5+W5+AA5+AE5+AI5+AM5+AQ5+AU5+AY5+BC5+BG5</f>
        <v>6487313.75</v>
      </c>
      <c r="L5" s="137"/>
      <c r="M5" s="25" t="str">
        <f t="shared" ref="M5:M9" si="4">Q5+U5+Y5+AC5+AG5+AK5+AO5+AS5+AW5+BA5+BE5+BI5</f>
        <v>#REF!</v>
      </c>
      <c r="N5" s="137"/>
      <c r="O5" s="34">
        <f>'The Table'!BF26</f>
        <v>1549628</v>
      </c>
      <c r="P5" s="28"/>
      <c r="Q5" s="34">
        <f>'The Table'!BH26</f>
        <v>2479952</v>
      </c>
      <c r="R5" s="28"/>
      <c r="S5" s="83">
        <f>Iktara!AA22</f>
        <v>0</v>
      </c>
      <c r="T5" s="28"/>
      <c r="U5" s="83" t="str">
        <f t="shared" ref="U5:U8" si="5">#REF!</f>
        <v>#REF!</v>
      </c>
      <c r="V5" s="28"/>
      <c r="W5" s="34">
        <f>'Mg St Colaba'!BF28</f>
        <v>1721404.5</v>
      </c>
      <c r="X5" s="28"/>
      <c r="Y5" s="34">
        <f>'Mg St Colaba'!BH28</f>
        <v>1708500</v>
      </c>
      <c r="Z5" s="28"/>
      <c r="AA5" s="34">
        <f>'Mg St LP'!BF27</f>
        <v>1065365</v>
      </c>
      <c r="AB5" s="28"/>
      <c r="AC5" s="34">
        <f>'Mg St LP'!BH27</f>
        <v>1228004</v>
      </c>
      <c r="AD5" s="28"/>
      <c r="AE5" s="34">
        <f>'Mg St Bandra'!BF28</f>
        <v>1781641.25</v>
      </c>
      <c r="AF5" s="28"/>
      <c r="AG5" s="34">
        <f>'Mg St Bandra'!BH28</f>
        <v>1739080</v>
      </c>
      <c r="AH5" s="28"/>
      <c r="AI5" s="83">
        <f>'MSK Events'!M23</f>
        <v>0</v>
      </c>
      <c r="AJ5" s="28"/>
      <c r="AK5" s="83" t="str">
        <f t="shared" ref="AK5:AK8" si="6">#REF!</f>
        <v>#REF!</v>
      </c>
      <c r="AL5" s="28"/>
      <c r="AM5" s="83">
        <f>MSBC!BF24</f>
        <v>0</v>
      </c>
      <c r="AN5" s="28"/>
      <c r="AO5" s="83">
        <f>MSBC!BH24</f>
        <v>0</v>
      </c>
      <c r="AP5" s="28"/>
      <c r="AQ5" s="34">
        <f>Kaspers!AN26</f>
        <v>369275</v>
      </c>
      <c r="AR5" s="28"/>
      <c r="AS5" s="34">
        <f>Kaspers!AP26</f>
        <v>1000000</v>
      </c>
      <c r="AT5" s="35"/>
      <c r="AU5" s="34"/>
      <c r="AV5" s="28"/>
      <c r="AW5" s="34"/>
      <c r="AX5" s="35"/>
      <c r="AY5" s="83"/>
      <c r="AZ5" s="28"/>
      <c r="BA5" s="83"/>
      <c r="BB5" s="35"/>
      <c r="BC5" s="83"/>
      <c r="BD5" s="28"/>
      <c r="BE5" s="83"/>
      <c r="BF5" s="35"/>
      <c r="BG5" s="83"/>
      <c r="BH5" s="28"/>
      <c r="BI5" s="83"/>
      <c r="BJ5" s="35"/>
    </row>
    <row r="6" ht="15.75" customHeight="1">
      <c r="A6" s="3"/>
      <c r="B6" s="305" t="s">
        <v>23</v>
      </c>
      <c r="C6" s="39">
        <f t="shared" si="1"/>
        <v>10718746.5</v>
      </c>
      <c r="D6" s="139"/>
      <c r="E6" s="40" t="str">
        <f t="shared" si="2"/>
        <v>#REF!</v>
      </c>
      <c r="F6" s="150"/>
      <c r="G6" s="138">
        <f>HO!BF15</f>
        <v>0</v>
      </c>
      <c r="H6" s="43"/>
      <c r="I6" s="114">
        <f>HO!BH15</f>
        <v>0</v>
      </c>
      <c r="J6" s="43"/>
      <c r="K6" s="25">
        <f t="shared" si="3"/>
        <v>10718746.5</v>
      </c>
      <c r="L6" s="139"/>
      <c r="M6" s="25" t="str">
        <f t="shared" si="4"/>
        <v>#REF!</v>
      </c>
      <c r="N6" s="139"/>
      <c r="O6" s="48">
        <f>'The Table'!BF27</f>
        <v>5163104</v>
      </c>
      <c r="P6" s="43"/>
      <c r="Q6" s="48">
        <f>'The Table'!BH27</f>
        <v>4348281</v>
      </c>
      <c r="R6" s="43"/>
      <c r="S6" s="114">
        <f>Iktara!AA23</f>
        <v>0</v>
      </c>
      <c r="T6" s="43"/>
      <c r="U6" s="114" t="str">
        <f t="shared" si="5"/>
        <v>#REF!</v>
      </c>
      <c r="V6" s="43"/>
      <c r="W6" s="48">
        <f>'Mg St Colaba'!BF29</f>
        <v>956285.5</v>
      </c>
      <c r="X6" s="43"/>
      <c r="Y6" s="48">
        <f>'Mg St Colaba'!BH29</f>
        <v>1129500</v>
      </c>
      <c r="Z6" s="43"/>
      <c r="AA6" s="183">
        <f>'Mg St LP'!BF28</f>
        <v>0</v>
      </c>
      <c r="AB6" s="43"/>
      <c r="AC6" s="48">
        <f>'Mg St LP'!BH28</f>
        <v>0</v>
      </c>
      <c r="AD6" s="43"/>
      <c r="AE6" s="48">
        <f>'Mg St Bandra'!BF29</f>
        <v>1720707</v>
      </c>
      <c r="AF6" s="43"/>
      <c r="AG6" s="48">
        <f>'Mg St Bandra'!BH29</f>
        <v>2179545</v>
      </c>
      <c r="AH6" s="43"/>
      <c r="AI6" s="114">
        <f>'MSK Events'!M24</f>
        <v>0</v>
      </c>
      <c r="AJ6" s="43"/>
      <c r="AK6" s="114" t="str">
        <f t="shared" si="6"/>
        <v>#REF!</v>
      </c>
      <c r="AL6" s="43"/>
      <c r="AM6" s="114">
        <f>MSBC!BF25</f>
        <v>0</v>
      </c>
      <c r="AN6" s="43"/>
      <c r="AO6" s="114">
        <f>MSBC!BH25</f>
        <v>0</v>
      </c>
      <c r="AP6" s="43"/>
      <c r="AQ6" s="48">
        <f>Kaspers!AN27</f>
        <v>2878650</v>
      </c>
      <c r="AR6" s="43"/>
      <c r="AS6" s="48" t="str">
        <f>Kaspers!AP27</f>
        <v/>
      </c>
      <c r="AT6" s="49"/>
      <c r="AU6" s="48"/>
      <c r="AV6" s="43"/>
      <c r="AW6" s="48"/>
      <c r="AX6" s="49"/>
      <c r="AY6" s="114"/>
      <c r="AZ6" s="43"/>
      <c r="BA6" s="114"/>
      <c r="BB6" s="49"/>
      <c r="BC6" s="114"/>
      <c r="BD6" s="43"/>
      <c r="BE6" s="114"/>
      <c r="BF6" s="49"/>
      <c r="BG6" s="114"/>
      <c r="BH6" s="43"/>
      <c r="BI6" s="114"/>
      <c r="BJ6" s="49"/>
    </row>
    <row r="7" ht="15.75" customHeight="1">
      <c r="A7" s="3"/>
      <c r="B7" s="305" t="s">
        <v>24</v>
      </c>
      <c r="C7" s="39">
        <f t="shared" si="1"/>
        <v>61191082.63</v>
      </c>
      <c r="D7" s="139"/>
      <c r="E7" s="40" t="str">
        <f t="shared" si="2"/>
        <v>#REF!</v>
      </c>
      <c r="F7" s="150"/>
      <c r="G7" s="138">
        <f>HO!BF16</f>
        <v>0</v>
      </c>
      <c r="H7" s="43"/>
      <c r="I7" s="114">
        <f>HO!BH16</f>
        <v>0</v>
      </c>
      <c r="J7" s="43"/>
      <c r="K7" s="25">
        <f t="shared" si="3"/>
        <v>61191082.63</v>
      </c>
      <c r="L7" s="139"/>
      <c r="M7" s="25" t="str">
        <f t="shared" si="4"/>
        <v>#REF!</v>
      </c>
      <c r="N7" s="139"/>
      <c r="O7" s="48">
        <f>'The Table'!BF28</f>
        <v>17427654.56</v>
      </c>
      <c r="P7" s="43"/>
      <c r="Q7" s="48">
        <f>'The Table'!BH28</f>
        <v>11762110</v>
      </c>
      <c r="R7" s="43"/>
      <c r="S7" s="114">
        <f>Iktara!AA24</f>
        <v>1754440.17</v>
      </c>
      <c r="T7" s="43"/>
      <c r="U7" s="114" t="str">
        <f t="shared" si="5"/>
        <v>#REF!</v>
      </c>
      <c r="V7" s="43"/>
      <c r="W7" s="48">
        <f>'Mg St Colaba'!BF30</f>
        <v>13489451.27</v>
      </c>
      <c r="X7" s="43"/>
      <c r="Y7" s="48">
        <f>'Mg St Colaba'!BH30</f>
        <v>12307465.2</v>
      </c>
      <c r="Z7" s="43"/>
      <c r="AA7" s="48">
        <f>'Mg St LP'!BF29</f>
        <v>8253221.35</v>
      </c>
      <c r="AB7" s="43"/>
      <c r="AC7" s="48">
        <f>'Mg St LP'!BH29</f>
        <v>8404824</v>
      </c>
      <c r="AD7" s="43"/>
      <c r="AE7" s="48">
        <f>'Mg St Bandra'!BF30</f>
        <v>14062801.72</v>
      </c>
      <c r="AF7" s="43"/>
      <c r="AG7" s="48">
        <f>'Mg St Bandra'!BH30</f>
        <v>12519634</v>
      </c>
      <c r="AH7" s="43"/>
      <c r="AI7" s="114">
        <f>'MSK Events'!M25</f>
        <v>476885</v>
      </c>
      <c r="AJ7" s="43"/>
      <c r="AK7" s="114" t="str">
        <f t="shared" si="6"/>
        <v>#REF!</v>
      </c>
      <c r="AL7" s="43"/>
      <c r="AM7" s="114">
        <f>MSBC!BF26</f>
        <v>683553.02</v>
      </c>
      <c r="AN7" s="43"/>
      <c r="AO7" s="114">
        <f>MSBC!BH26</f>
        <v>83790</v>
      </c>
      <c r="AP7" s="43"/>
      <c r="AQ7" s="48">
        <f>Kaspers!AN28</f>
        <v>4342452.5</v>
      </c>
      <c r="AR7" s="43"/>
      <c r="AS7" s="48">
        <f>Kaspers!AP28</f>
        <v>4000000</v>
      </c>
      <c r="AT7" s="49"/>
      <c r="AU7" s="48">
        <f>'MSBC Andheri'!M26</f>
        <v>346455.74</v>
      </c>
      <c r="AV7" s="43"/>
      <c r="AW7" s="48" t="str">
        <f t="shared" ref="AW7:AW8" si="7">#REF!</f>
        <v>#REF!</v>
      </c>
      <c r="AX7" s="49"/>
      <c r="AY7" s="114">
        <f>'MSBC Dahisar'!M24</f>
        <v>157355.46</v>
      </c>
      <c r="AZ7" s="43"/>
      <c r="BA7" s="114" t="str">
        <f>#REF!</f>
        <v>#REF!</v>
      </c>
      <c r="BB7" s="49"/>
      <c r="BC7" s="114">
        <f>'MSBC Juhu  Goregoan'!M23</f>
        <v>196811.84</v>
      </c>
      <c r="BD7" s="43"/>
      <c r="BE7" s="114" t="str">
        <f>#REF!</f>
        <v>#REF!</v>
      </c>
      <c r="BF7" s="49"/>
      <c r="BG7" s="114"/>
      <c r="BH7" s="43"/>
      <c r="BI7" s="114"/>
      <c r="BJ7" s="49"/>
    </row>
    <row r="8" ht="15.75" customHeight="1">
      <c r="A8" s="3"/>
      <c r="B8" s="305" t="s">
        <v>25</v>
      </c>
      <c r="C8" s="39">
        <f t="shared" si="1"/>
        <v>5440464.75</v>
      </c>
      <c r="D8" s="139"/>
      <c r="E8" s="40" t="str">
        <f t="shared" si="2"/>
        <v>#REF!</v>
      </c>
      <c r="F8" s="150"/>
      <c r="G8" s="138" t="str">
        <f>HO!BF17</f>
        <v/>
      </c>
      <c r="H8" s="43"/>
      <c r="I8" s="114" t="str">
        <f>HO!BH17</f>
        <v/>
      </c>
      <c r="J8" s="43"/>
      <c r="K8" s="25">
        <f t="shared" si="3"/>
        <v>5440464.75</v>
      </c>
      <c r="L8" s="139"/>
      <c r="M8" s="25" t="str">
        <f t="shared" si="4"/>
        <v>#REF!</v>
      </c>
      <c r="N8" s="139"/>
      <c r="O8" s="48">
        <f>'The Table'!BF30</f>
        <v>2066577.52</v>
      </c>
      <c r="P8" s="43"/>
      <c r="Q8" s="114">
        <f>'The Table'!BH30</f>
        <v>1511395</v>
      </c>
      <c r="R8" s="43"/>
      <c r="S8" s="114" t="str">
        <f>Iktara!AA26</f>
        <v/>
      </c>
      <c r="T8" s="43"/>
      <c r="U8" s="114" t="str">
        <f t="shared" si="5"/>
        <v>#REF!</v>
      </c>
      <c r="V8" s="43"/>
      <c r="W8" s="48">
        <f>'Mg St Colaba'!BF32</f>
        <v>1081179.87</v>
      </c>
      <c r="X8" s="43"/>
      <c r="Y8" s="48">
        <f>'Mg St Colaba'!BH32</f>
        <v>1084415.308</v>
      </c>
      <c r="Z8" s="43"/>
      <c r="AA8" s="48">
        <f>'Mg St LP'!BF31</f>
        <v>365848.63</v>
      </c>
      <c r="AB8" s="43"/>
      <c r="AC8" s="48">
        <f>'Mg St LP'!BH31</f>
        <v>573153.266</v>
      </c>
      <c r="AD8" s="43"/>
      <c r="AE8" s="48">
        <f>'Mg St Bandra'!BF32</f>
        <v>1178242.98</v>
      </c>
      <c r="AF8" s="43"/>
      <c r="AG8" s="48">
        <f>'Mg St Bandra'!BH32</f>
        <v>1479443.31</v>
      </c>
      <c r="AH8" s="43"/>
      <c r="AI8" s="114" t="str">
        <f>'MSK Events'!M27</f>
        <v/>
      </c>
      <c r="AJ8" s="43"/>
      <c r="AK8" s="114" t="str">
        <f t="shared" si="6"/>
        <v>#REF!</v>
      </c>
      <c r="AL8" s="43"/>
      <c r="AM8" s="114" t="str">
        <f>MSBC!BF28</f>
        <v/>
      </c>
      <c r="AN8" s="43"/>
      <c r="AO8" s="114" t="str">
        <f>MSBC!BH28</f>
        <v/>
      </c>
      <c r="AP8" s="43"/>
      <c r="AQ8" s="48">
        <f>Kaspers!AN30</f>
        <v>748615.75</v>
      </c>
      <c r="AR8" s="43"/>
      <c r="AS8" s="114" t="str">
        <f>Kaspers!AP29</f>
        <v/>
      </c>
      <c r="AT8" s="49"/>
      <c r="AU8" s="48" t="str">
        <f>'MSBC Andheri'!M28</f>
        <v/>
      </c>
      <c r="AV8" s="43"/>
      <c r="AW8" s="48" t="str">
        <f t="shared" si="7"/>
        <v>#REF!</v>
      </c>
      <c r="AX8" s="49"/>
      <c r="AY8" s="114"/>
      <c r="AZ8" s="43"/>
      <c r="BA8" s="114"/>
      <c r="BB8" s="49"/>
      <c r="BC8" s="114"/>
      <c r="BD8" s="43"/>
      <c r="BE8" s="114"/>
      <c r="BF8" s="49"/>
      <c r="BG8" s="114"/>
      <c r="BH8" s="43"/>
      <c r="BI8" s="114"/>
      <c r="BJ8" s="49"/>
    </row>
    <row r="9" ht="15.75" customHeight="1">
      <c r="A9" s="3"/>
      <c r="B9" s="306" t="s">
        <v>169</v>
      </c>
      <c r="C9" s="51">
        <f t="shared" si="1"/>
        <v>39300</v>
      </c>
      <c r="D9" s="142"/>
      <c r="E9" s="52">
        <f t="shared" si="2"/>
        <v>0</v>
      </c>
      <c r="F9" s="151"/>
      <c r="G9" s="141" t="str">
        <f>HO!BF18</f>
        <v/>
      </c>
      <c r="H9" s="55"/>
      <c r="I9" s="62" t="str">
        <f>HO!BH18</f>
        <v/>
      </c>
      <c r="J9" s="55"/>
      <c r="K9" s="25">
        <f t="shared" si="3"/>
        <v>39300</v>
      </c>
      <c r="L9" s="142"/>
      <c r="M9" s="25">
        <f t="shared" si="4"/>
        <v>0</v>
      </c>
      <c r="N9" s="142"/>
      <c r="O9" s="60">
        <f>'The Table'!BF22+'The Table'!BF23+'The Table'!BF24</f>
        <v>17700</v>
      </c>
      <c r="P9" s="55"/>
      <c r="Q9" s="62">
        <f>'The Table'!BH22+'The Table'!BH23+'The Table'!BH24</f>
        <v>0</v>
      </c>
      <c r="R9" s="55"/>
      <c r="S9" s="85">
        <v>0.0</v>
      </c>
      <c r="T9" s="55"/>
      <c r="U9" s="85">
        <v>0.0</v>
      </c>
      <c r="V9" s="55"/>
      <c r="W9" s="65">
        <f>'Mg St Colaba'!BF24+'Mg St Colaba'!BF25+'Mg St Colaba'!BF26</f>
        <v>21600</v>
      </c>
      <c r="X9" s="55"/>
      <c r="Y9" s="65">
        <v>0.0</v>
      </c>
      <c r="Z9" s="55"/>
      <c r="AA9" s="65">
        <f>'Mg St LP'!BF23+'Mg St LP'!BF24+'Mg St LP'!BF25</f>
        <v>0</v>
      </c>
      <c r="AB9" s="55"/>
      <c r="AC9" s="65">
        <f>'Mg St LP'!BH23+'Mg St LP'!BH24+'Mg St LP'!BH25</f>
        <v>0</v>
      </c>
      <c r="AD9" s="55"/>
      <c r="AE9" s="65">
        <f>'Mg St Bandra'!BF24+'Mg St Bandra'!BF25+'Mg St Bandra'!BF26</f>
        <v>0</v>
      </c>
      <c r="AF9" s="55"/>
      <c r="AG9" s="65">
        <f>'Mg St Bandra'!BH24+'Mg St Bandra'!BH25+'Mg St Bandra'!BH26</f>
        <v>0</v>
      </c>
      <c r="AH9" s="55"/>
      <c r="AI9" s="85">
        <v>0.0</v>
      </c>
      <c r="AJ9" s="55"/>
      <c r="AK9" s="85">
        <v>0.0</v>
      </c>
      <c r="AL9" s="55"/>
      <c r="AM9" s="85">
        <v>0.0</v>
      </c>
      <c r="AN9" s="55"/>
      <c r="AO9" s="85">
        <v>0.0</v>
      </c>
      <c r="AP9" s="55"/>
      <c r="AQ9" s="60">
        <v>0.0</v>
      </c>
      <c r="AR9" s="55"/>
      <c r="AS9" s="152">
        <v>0.0</v>
      </c>
      <c r="AT9" s="61"/>
      <c r="AU9" s="199">
        <v>0.0</v>
      </c>
      <c r="AV9" s="55"/>
      <c r="AW9" s="152">
        <v>0.0</v>
      </c>
      <c r="AX9" s="61"/>
      <c r="AY9" s="85">
        <v>0.0</v>
      </c>
      <c r="AZ9" s="55"/>
      <c r="BA9" s="85">
        <v>0.0</v>
      </c>
      <c r="BB9" s="61"/>
      <c r="BC9" s="85">
        <v>0.0</v>
      </c>
      <c r="BD9" s="55"/>
      <c r="BE9" s="85">
        <v>0.0</v>
      </c>
      <c r="BF9" s="61"/>
      <c r="BG9" s="62"/>
      <c r="BH9" s="55"/>
      <c r="BI9" s="62"/>
      <c r="BJ9" s="61"/>
    </row>
    <row r="10" ht="15.75" customHeight="1">
      <c r="A10" s="3"/>
      <c r="B10" s="307" t="s">
        <v>27</v>
      </c>
      <c r="C10" s="66">
        <f>SUM(C5:C9)</f>
        <v>83876907.63</v>
      </c>
      <c r="D10" s="70"/>
      <c r="E10" s="68" t="str">
        <f>SUM(E5:E9)</f>
        <v>#REF!</v>
      </c>
      <c r="F10" s="73"/>
      <c r="G10" s="145">
        <f>SUM(G5:G9)</f>
        <v>0</v>
      </c>
      <c r="H10" s="147"/>
      <c r="I10" s="146">
        <f>SUM(I5:I9)</f>
        <v>0</v>
      </c>
      <c r="J10" s="147"/>
      <c r="K10" s="68">
        <f>SUM(K5:K9)</f>
        <v>83876907.63</v>
      </c>
      <c r="L10" s="70"/>
      <c r="M10" s="68" t="str">
        <f>SUM(M5:M9)</f>
        <v>#REF!</v>
      </c>
      <c r="N10" s="70"/>
      <c r="O10" s="118">
        <f>SUM(O5:O9)</f>
        <v>26224664.08</v>
      </c>
      <c r="P10" s="147"/>
      <c r="Q10" s="118">
        <f>SUM(Q5:Q9)</f>
        <v>20101738</v>
      </c>
      <c r="R10" s="147"/>
      <c r="S10" s="146">
        <f>SUM(S5:S9)</f>
        <v>1754440.17</v>
      </c>
      <c r="T10" s="147"/>
      <c r="U10" s="146" t="str">
        <f>SUM(U5:U9)</f>
        <v>#REF!</v>
      </c>
      <c r="V10" s="147"/>
      <c r="W10" s="118">
        <f>SUM(W5:W9)</f>
        <v>17269921.14</v>
      </c>
      <c r="X10" s="147"/>
      <c r="Y10" s="118">
        <f>SUM(Y5:Y9)</f>
        <v>16229880.51</v>
      </c>
      <c r="Z10" s="147"/>
      <c r="AA10" s="118">
        <f>SUM(AA5:AA9)</f>
        <v>9684434.98</v>
      </c>
      <c r="AB10" s="147"/>
      <c r="AC10" s="118">
        <f>SUM(AC5:AC9)</f>
        <v>10205981.27</v>
      </c>
      <c r="AD10" s="147"/>
      <c r="AE10" s="118">
        <f>SUM(AE5:AE9)</f>
        <v>18743392.95</v>
      </c>
      <c r="AF10" s="147"/>
      <c r="AG10" s="118">
        <f>SUM(AG5:AG9)</f>
        <v>17917702.31</v>
      </c>
      <c r="AH10" s="147"/>
      <c r="AI10" s="146">
        <f>SUM(AI5:AI9)</f>
        <v>476885</v>
      </c>
      <c r="AJ10" s="147"/>
      <c r="AK10" s="146" t="str">
        <f>SUM(AK5:AK9)</f>
        <v>#REF!</v>
      </c>
      <c r="AL10" s="147"/>
      <c r="AM10" s="146">
        <f>SUM(AM5:AM9)</f>
        <v>683553.02</v>
      </c>
      <c r="AN10" s="147"/>
      <c r="AO10" s="146">
        <f>SUM(AO5:AO9)</f>
        <v>83790</v>
      </c>
      <c r="AP10" s="147"/>
      <c r="AQ10" s="118">
        <f>SUM(AQ5:AQ9)</f>
        <v>8338993.25</v>
      </c>
      <c r="AR10" s="147"/>
      <c r="AS10" s="118">
        <f>SUM(AS5:AS9)</f>
        <v>5000000</v>
      </c>
      <c r="AT10" s="120"/>
      <c r="AU10" s="118">
        <f>SUM(AU5:AU9)</f>
        <v>346455.74</v>
      </c>
      <c r="AV10" s="147"/>
      <c r="AW10" s="118" t="str">
        <f>SUM(AW5:AW9)</f>
        <v>#REF!</v>
      </c>
      <c r="AX10" s="120"/>
      <c r="AY10" s="146">
        <f>SUM(AY5:AY9)</f>
        <v>157355.46</v>
      </c>
      <c r="AZ10" s="147"/>
      <c r="BA10" s="146" t="str">
        <f>SUM(BA5:BA9)</f>
        <v>#REF!</v>
      </c>
      <c r="BB10" s="120"/>
      <c r="BC10" s="146">
        <f>SUM(BC5:BC9)</f>
        <v>196811.84</v>
      </c>
      <c r="BD10" s="147"/>
      <c r="BE10" s="146" t="str">
        <f>SUM(BE5:BE9)</f>
        <v>#REF!</v>
      </c>
      <c r="BF10" s="120"/>
      <c r="BG10" s="146">
        <f>SUM(BG5:BG9)</f>
        <v>0</v>
      </c>
      <c r="BH10" s="147"/>
      <c r="BI10" s="146">
        <f>SUM(BI5:BI9)</f>
        <v>0</v>
      </c>
      <c r="BJ10" s="120"/>
    </row>
    <row r="11" ht="15.75" customHeight="1">
      <c r="A11" s="3"/>
      <c r="B11" s="304"/>
      <c r="C11" s="148"/>
      <c r="D11" s="137"/>
      <c r="E11" s="137"/>
      <c r="F11" s="149"/>
      <c r="G11" s="135"/>
      <c r="H11" s="28"/>
      <c r="I11" s="83"/>
      <c r="J11" s="28"/>
      <c r="K11" s="137"/>
      <c r="L11" s="137"/>
      <c r="M11" s="137"/>
      <c r="N11" s="137"/>
      <c r="O11" s="28"/>
      <c r="P11" s="28"/>
      <c r="Q11" s="28"/>
      <c r="R11" s="28"/>
      <c r="S11" s="83"/>
      <c r="T11" s="28"/>
      <c r="U11" s="83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83"/>
      <c r="AJ11" s="28"/>
      <c r="AK11" s="83"/>
      <c r="AL11" s="28"/>
      <c r="AM11" s="83"/>
      <c r="AN11" s="28"/>
      <c r="AO11" s="83"/>
      <c r="AP11" s="28"/>
      <c r="AQ11" s="28"/>
      <c r="AR11" s="28"/>
      <c r="AS11" s="28"/>
      <c r="AT11" s="35"/>
      <c r="AU11" s="28"/>
      <c r="AV11" s="28"/>
      <c r="AW11" s="28"/>
      <c r="AX11" s="35"/>
      <c r="AY11" s="83"/>
      <c r="AZ11" s="28"/>
      <c r="BA11" s="83"/>
      <c r="BB11" s="35"/>
      <c r="BC11" s="83"/>
      <c r="BD11" s="28"/>
      <c r="BE11" s="83"/>
      <c r="BF11" s="35"/>
      <c r="BG11" s="83"/>
      <c r="BH11" s="28"/>
      <c r="BI11" s="83"/>
      <c r="BJ11" s="35"/>
    </row>
    <row r="12" ht="15.75" customHeight="1">
      <c r="A12" s="3"/>
      <c r="B12" s="305" t="s">
        <v>29</v>
      </c>
      <c r="C12" s="39">
        <f t="shared" ref="C12:C13" si="8">G12+K12</f>
        <v>26324994.88</v>
      </c>
      <c r="D12" s="139"/>
      <c r="E12" s="40" t="str">
        <f t="shared" ref="E12:E13" si="9">I12+M12</f>
        <v>#REF!</v>
      </c>
      <c r="F12" s="150"/>
      <c r="G12" s="138">
        <f>HO!BF32</f>
        <v>0</v>
      </c>
      <c r="H12" s="43"/>
      <c r="I12" s="114">
        <f>HO!BH32</f>
        <v>0</v>
      </c>
      <c r="J12" s="43"/>
      <c r="K12" s="25">
        <f t="shared" ref="K12:K13" si="10">O12+S12+W12+AA12+AE12+AI12+AM12+AQ12+AU12+AY12+BC12+BG12</f>
        <v>26324994.88</v>
      </c>
      <c r="L12" s="139"/>
      <c r="M12" s="25" t="str">
        <f t="shared" ref="M12:M13" si="11">Q12+U12+Y12+AC12+AG12+AK12+AO12+AS12+AW12+BA12+BE12+BI12</f>
        <v>#REF!</v>
      </c>
      <c r="N12" s="139"/>
      <c r="O12" s="48">
        <f>'The Table'!BF41</f>
        <v>7798808.919</v>
      </c>
      <c r="P12" s="43"/>
      <c r="Q12" s="48">
        <f>'The Table'!BH41</f>
        <v>7801493.2</v>
      </c>
      <c r="R12" s="43"/>
      <c r="S12" s="114">
        <f>Iktara!AA38</f>
        <v>394638.8296</v>
      </c>
      <c r="T12" s="43"/>
      <c r="U12" s="114" t="str">
        <f t="shared" ref="U12:U13" si="12">#REF!</f>
        <v>#REF!</v>
      </c>
      <c r="V12" s="43"/>
      <c r="W12" s="114">
        <f>'Mg St Colaba'!BF51</f>
        <v>5194307.277</v>
      </c>
      <c r="X12" s="43"/>
      <c r="Y12" s="48">
        <f>'Mg St Colaba'!BH51</f>
        <v>4471150.982</v>
      </c>
      <c r="Z12" s="43"/>
      <c r="AA12" s="114">
        <f>'Mg St LP'!BF52</f>
        <v>2414391.467</v>
      </c>
      <c r="AB12" s="114"/>
      <c r="AC12" s="114">
        <f>'Mg St LP'!BH52</f>
        <v>2462552.069</v>
      </c>
      <c r="AD12" s="43"/>
      <c r="AE12" s="48">
        <f>'Mg St Bandra'!BF51</f>
        <v>5163046.295</v>
      </c>
      <c r="AF12" s="43"/>
      <c r="AG12" s="48">
        <f>'Mg St Bandra'!BH51</f>
        <v>5241687.183</v>
      </c>
      <c r="AH12" s="43"/>
      <c r="AI12" s="114">
        <f>'MSK Events'!M46</f>
        <v>0</v>
      </c>
      <c r="AJ12" s="43"/>
      <c r="AK12" s="114" t="str">
        <f t="shared" ref="AK12:AK13" si="13">#REF!</f>
        <v>#REF!</v>
      </c>
      <c r="AL12" s="43"/>
      <c r="AM12" s="114">
        <f>MSBC!BF47</f>
        <v>1128613.67</v>
      </c>
      <c r="AN12" s="43"/>
      <c r="AO12" s="114">
        <f>MSBC!BH47</f>
        <v>0</v>
      </c>
      <c r="AP12" s="43"/>
      <c r="AQ12" s="48">
        <f>Kaspers!AN49</f>
        <v>3524158.125</v>
      </c>
      <c r="AR12" s="43"/>
      <c r="AS12" s="48">
        <f>Kaspers!AP49</f>
        <v>2143500</v>
      </c>
      <c r="AT12" s="49"/>
      <c r="AU12" s="48">
        <f>'MSBC Andheri'!M47</f>
        <v>256685.2959</v>
      </c>
      <c r="AV12" s="43"/>
      <c r="AW12" s="114"/>
      <c r="AX12" s="49"/>
      <c r="AY12" s="189">
        <f>'MSBC Dahisar'!M45</f>
        <v>216245.6004</v>
      </c>
      <c r="AZ12" s="43"/>
      <c r="BA12" s="114"/>
      <c r="BB12" s="49"/>
      <c r="BC12" s="189">
        <f>'MSBC Juhu  Goregoan'!M36</f>
        <v>234099.3999</v>
      </c>
      <c r="BD12" s="43"/>
      <c r="BE12" s="114"/>
      <c r="BF12" s="49"/>
      <c r="BG12" s="114">
        <f>'LOUD MOUTH'!M47</f>
        <v>0</v>
      </c>
      <c r="BH12" s="43"/>
      <c r="BI12" s="114"/>
      <c r="BJ12" s="49"/>
    </row>
    <row r="13" ht="15.75" customHeight="1">
      <c r="A13" s="3"/>
      <c r="B13" s="306" t="s">
        <v>30</v>
      </c>
      <c r="C13" s="51">
        <f t="shared" si="8"/>
        <v>845374.0808</v>
      </c>
      <c r="D13" s="142"/>
      <c r="E13" s="52" t="str">
        <f t="shared" si="9"/>
        <v>#REF!</v>
      </c>
      <c r="F13" s="151"/>
      <c r="G13" s="141" t="str">
        <f>HO!BF33</f>
        <v/>
      </c>
      <c r="H13" s="55"/>
      <c r="I13" s="62" t="str">
        <f>HO!BH33</f>
        <v/>
      </c>
      <c r="J13" s="55"/>
      <c r="K13" s="25">
        <f t="shared" si="10"/>
        <v>845374.0808</v>
      </c>
      <c r="L13" s="142"/>
      <c r="M13" s="25" t="str">
        <f t="shared" si="11"/>
        <v>#REF!</v>
      </c>
      <c r="N13" s="142"/>
      <c r="O13" s="60">
        <f>'The Table'!BF42</f>
        <v>52867.7</v>
      </c>
      <c r="P13" s="55"/>
      <c r="Q13" s="60">
        <f>'The Table'!BH42</f>
        <v>57630.0633</v>
      </c>
      <c r="R13" s="55"/>
      <c r="S13" s="62">
        <f>Iktara!AA39</f>
        <v>14432</v>
      </c>
      <c r="T13" s="55"/>
      <c r="U13" s="62" t="str">
        <f t="shared" si="12"/>
        <v>#REF!</v>
      </c>
      <c r="V13" s="55"/>
      <c r="W13" s="62">
        <f>'Mg St Colaba'!BF52</f>
        <v>210776</v>
      </c>
      <c r="X13" s="55"/>
      <c r="Y13" s="60">
        <f>'Mg St Colaba'!BH52</f>
        <v>142822.9485</v>
      </c>
      <c r="Z13" s="55"/>
      <c r="AA13" s="62">
        <f>'Mg St LP'!BF53</f>
        <v>95049.58077</v>
      </c>
      <c r="AB13" s="62"/>
      <c r="AC13" s="62">
        <f>'Mg St LP'!BH53</f>
        <v>98254.8456</v>
      </c>
      <c r="AD13" s="55"/>
      <c r="AE13" s="60">
        <f>'Mg St Bandra'!BF52</f>
        <v>192303.5</v>
      </c>
      <c r="AF13" s="55"/>
      <c r="AG13" s="60">
        <f>'Mg St Bandra'!BH52</f>
        <v>98547.36271</v>
      </c>
      <c r="AH13" s="55"/>
      <c r="AI13" s="62" t="str">
        <f>'MSK Events'!M47</f>
        <v/>
      </c>
      <c r="AJ13" s="55"/>
      <c r="AK13" s="62" t="str">
        <f t="shared" si="13"/>
        <v>#REF!</v>
      </c>
      <c r="AL13" s="55"/>
      <c r="AM13" s="62">
        <f>MSBC!BF48</f>
        <v>149116</v>
      </c>
      <c r="AN13" s="55"/>
      <c r="AO13" s="62" t="str">
        <f>MSBC!BH48</f>
        <v/>
      </c>
      <c r="AP13" s="55"/>
      <c r="AQ13" s="60">
        <f>Kaspers!AN50</f>
        <v>39707.3</v>
      </c>
      <c r="AR13" s="55"/>
      <c r="AS13" s="60">
        <f>Kaspers!AP50</f>
        <v>15500</v>
      </c>
      <c r="AT13" s="61"/>
      <c r="AU13" s="48">
        <f>'MSBC Andheri'!M48</f>
        <v>7897</v>
      </c>
      <c r="AV13" s="55"/>
      <c r="AW13" s="62"/>
      <c r="AX13" s="61"/>
      <c r="AY13" s="189">
        <f>'MSBC Dahisar'!M46</f>
        <v>2636</v>
      </c>
      <c r="AZ13" s="55"/>
      <c r="BA13" s="62"/>
      <c r="BB13" s="61"/>
      <c r="BC13" s="189">
        <f>'MSBC Juhu  Goregoan'!M37</f>
        <v>1336</v>
      </c>
      <c r="BD13" s="55"/>
      <c r="BE13" s="62"/>
      <c r="BF13" s="61"/>
      <c r="BG13" s="114">
        <f>'LOUD MOUTH'!M48</f>
        <v>79253</v>
      </c>
      <c r="BH13" s="55"/>
      <c r="BI13" s="62"/>
      <c r="BJ13" s="61"/>
    </row>
    <row r="14" ht="15.75" customHeight="1">
      <c r="A14" s="3"/>
      <c r="B14" s="307" t="s">
        <v>31</v>
      </c>
      <c r="C14" s="66">
        <f>C12+C13</f>
        <v>27170368.96</v>
      </c>
      <c r="D14" s="70"/>
      <c r="E14" s="68" t="str">
        <f>E12+E13</f>
        <v>#REF!</v>
      </c>
      <c r="F14" s="73"/>
      <c r="G14" s="145">
        <f>G12+G13</f>
        <v>0</v>
      </c>
      <c r="H14" s="147"/>
      <c r="I14" s="146">
        <f>I12+I13</f>
        <v>0</v>
      </c>
      <c r="J14" s="147"/>
      <c r="K14" s="68">
        <f>SUM(K12:K13)</f>
        <v>27170368.96</v>
      </c>
      <c r="L14" s="70"/>
      <c r="M14" s="68" t="str">
        <f>SUM(M12:M13)</f>
        <v>#REF!</v>
      </c>
      <c r="N14" s="70"/>
      <c r="O14" s="118">
        <f>O12+O13</f>
        <v>7851676.619</v>
      </c>
      <c r="P14" s="147"/>
      <c r="Q14" s="118">
        <f>Q12+Q13</f>
        <v>7859123.263</v>
      </c>
      <c r="R14" s="147"/>
      <c r="S14" s="146">
        <f>S12+S13</f>
        <v>409070.8296</v>
      </c>
      <c r="T14" s="147"/>
      <c r="U14" s="146" t="str">
        <f>U12+U13</f>
        <v>#REF!</v>
      </c>
      <c r="V14" s="147"/>
      <c r="W14" s="146">
        <f>W12+W13</f>
        <v>5405083.277</v>
      </c>
      <c r="X14" s="147"/>
      <c r="Y14" s="118">
        <f>Y12+Y13</f>
        <v>4613973.93</v>
      </c>
      <c r="Z14" s="147"/>
      <c r="AA14" s="146">
        <f>AA12+AA13</f>
        <v>2509441.047</v>
      </c>
      <c r="AB14" s="146"/>
      <c r="AC14" s="146">
        <f>AC12+AC13</f>
        <v>2560806.914</v>
      </c>
      <c r="AD14" s="147"/>
      <c r="AE14" s="118">
        <f>SUM(AE12:AE13)</f>
        <v>5355349.795</v>
      </c>
      <c r="AF14" s="147"/>
      <c r="AG14" s="118">
        <f>SUM(AG12:AG13)</f>
        <v>5340234.546</v>
      </c>
      <c r="AH14" s="147"/>
      <c r="AI14" s="146">
        <f>SUM(AI12:AI13)</f>
        <v>0</v>
      </c>
      <c r="AJ14" s="147"/>
      <c r="AK14" s="146" t="str">
        <f>SUM(AK12:AK13)</f>
        <v>#REF!</v>
      </c>
      <c r="AL14" s="147"/>
      <c r="AM14" s="146">
        <f>SUM(AM12:AM13)</f>
        <v>1277729.67</v>
      </c>
      <c r="AN14" s="147"/>
      <c r="AO14" s="146">
        <f>MSBC!AD49</f>
        <v>0</v>
      </c>
      <c r="AP14" s="147"/>
      <c r="AQ14" s="118">
        <f>SUM(AQ12:AQ13)</f>
        <v>3563865.425</v>
      </c>
      <c r="AR14" s="147"/>
      <c r="AS14" s="118">
        <f>SUM(AS12:AS13)</f>
        <v>2159000</v>
      </c>
      <c r="AT14" s="120"/>
      <c r="AU14" s="146">
        <f>SUM(AU12:AU13)</f>
        <v>264582.2959</v>
      </c>
      <c r="AV14" s="147"/>
      <c r="AW14" s="146">
        <f>SUM(AW12:AW13)</f>
        <v>0</v>
      </c>
      <c r="AX14" s="120"/>
      <c r="AY14" s="146">
        <f>SUM(AY12:AY13)</f>
        <v>218881.6004</v>
      </c>
      <c r="AZ14" s="147"/>
      <c r="BA14" s="146">
        <f>SUM(BA12:BA13)</f>
        <v>0</v>
      </c>
      <c r="BB14" s="120"/>
      <c r="BC14" s="146">
        <f>SUM(BC12:BC13)</f>
        <v>235435.3999</v>
      </c>
      <c r="BD14" s="147"/>
      <c r="BE14" s="146">
        <f>SUM(BE12:BE13)</f>
        <v>0</v>
      </c>
      <c r="BF14" s="120"/>
      <c r="BG14" s="146">
        <f>SUM(BG12:BG13)</f>
        <v>79253</v>
      </c>
      <c r="BH14" s="147"/>
      <c r="BI14" s="146">
        <f>SUM(BI12:BI13)</f>
        <v>0</v>
      </c>
      <c r="BJ14" s="120"/>
    </row>
    <row r="15" ht="15.75" customHeight="1">
      <c r="A15" s="3"/>
      <c r="B15" s="308"/>
      <c r="C15" s="91"/>
      <c r="D15" s="92"/>
      <c r="E15" s="92"/>
      <c r="F15" s="94"/>
      <c r="G15" s="144"/>
      <c r="H15" s="100"/>
      <c r="I15" s="96"/>
      <c r="J15" s="100"/>
      <c r="K15" s="92"/>
      <c r="L15" s="92"/>
      <c r="M15" s="92"/>
      <c r="N15" s="92"/>
      <c r="O15" s="100"/>
      <c r="P15" s="100"/>
      <c r="Q15" s="100"/>
      <c r="R15" s="100"/>
      <c r="S15" s="96"/>
      <c r="T15" s="100"/>
      <c r="U15" s="96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96"/>
      <c r="AJ15" s="100"/>
      <c r="AK15" s="96"/>
      <c r="AL15" s="100"/>
      <c r="AM15" s="96"/>
      <c r="AN15" s="100"/>
      <c r="AO15" s="96"/>
      <c r="AP15" s="100"/>
      <c r="AQ15" s="100"/>
      <c r="AR15" s="100"/>
      <c r="AS15" s="100"/>
      <c r="AT15" s="102"/>
      <c r="AU15" s="100"/>
      <c r="AV15" s="100"/>
      <c r="AW15" s="100"/>
      <c r="AX15" s="102"/>
      <c r="AY15" s="96"/>
      <c r="AZ15" s="100"/>
      <c r="BA15" s="96"/>
      <c r="BB15" s="102"/>
      <c r="BC15" s="96"/>
      <c r="BD15" s="100"/>
      <c r="BE15" s="96"/>
      <c r="BF15" s="102"/>
      <c r="BG15" s="96"/>
      <c r="BH15" s="100"/>
      <c r="BI15" s="96"/>
      <c r="BJ15" s="102"/>
    </row>
    <row r="16" ht="15.75" customHeight="1">
      <c r="A16" s="3"/>
      <c r="B16" s="307" t="s">
        <v>33</v>
      </c>
      <c r="C16" s="66">
        <f>C10-C14</f>
        <v>56706538.67</v>
      </c>
      <c r="D16" s="70"/>
      <c r="E16" s="68" t="str">
        <f>E10-E14</f>
        <v>#REF!</v>
      </c>
      <c r="F16" s="73"/>
      <c r="G16" s="145">
        <f>G10-G14</f>
        <v>0</v>
      </c>
      <c r="H16" s="147"/>
      <c r="I16" s="146">
        <f>I10-I14</f>
        <v>0</v>
      </c>
      <c r="J16" s="147"/>
      <c r="K16" s="68">
        <f>+K10-K14</f>
        <v>56706538.67</v>
      </c>
      <c r="L16" s="70"/>
      <c r="M16" s="68" t="str">
        <f>+M10-M14</f>
        <v>#REF!</v>
      </c>
      <c r="N16" s="70"/>
      <c r="O16" s="118">
        <f>O10-O14</f>
        <v>18372987.46</v>
      </c>
      <c r="P16" s="147"/>
      <c r="Q16" s="118">
        <f>Q10-Q14</f>
        <v>12242614.74</v>
      </c>
      <c r="R16" s="147"/>
      <c r="S16" s="146">
        <f>S10-S14</f>
        <v>1345369.34</v>
      </c>
      <c r="T16" s="147"/>
      <c r="U16" s="146" t="str">
        <f>U10-U14</f>
        <v>#REF!</v>
      </c>
      <c r="V16" s="147"/>
      <c r="W16" s="118">
        <f>W10-W14</f>
        <v>11864837.86</v>
      </c>
      <c r="X16" s="147"/>
      <c r="Y16" s="118">
        <f>Y10-Y14</f>
        <v>11615906.58</v>
      </c>
      <c r="Z16" s="147"/>
      <c r="AA16" s="118">
        <f>AA10-AA14</f>
        <v>7174993.933</v>
      </c>
      <c r="AB16" s="147"/>
      <c r="AC16" s="118">
        <f>AC10-AC14</f>
        <v>7645174.352</v>
      </c>
      <c r="AD16" s="147"/>
      <c r="AE16" s="118">
        <f>AE10-AE14</f>
        <v>13388043.15</v>
      </c>
      <c r="AF16" s="147"/>
      <c r="AG16" s="118">
        <f>AG10-AG14</f>
        <v>12577467.76</v>
      </c>
      <c r="AH16" s="147"/>
      <c r="AI16" s="146">
        <f>AI10-AI14</f>
        <v>476885</v>
      </c>
      <c r="AJ16" s="147"/>
      <c r="AK16" s="146" t="str">
        <f>AK10-AK14</f>
        <v>#REF!</v>
      </c>
      <c r="AL16" s="147"/>
      <c r="AM16" s="146">
        <f>AM10-AM14</f>
        <v>-594176.65</v>
      </c>
      <c r="AN16" s="147"/>
      <c r="AO16" s="146">
        <f>AO10-AO14</f>
        <v>83790</v>
      </c>
      <c r="AP16" s="147"/>
      <c r="AQ16" s="118">
        <f>AQ10-AQ14</f>
        <v>4775127.825</v>
      </c>
      <c r="AR16" s="147"/>
      <c r="AS16" s="118">
        <f>AS10-AS14</f>
        <v>2841000</v>
      </c>
      <c r="AT16" s="120"/>
      <c r="AU16" s="118">
        <f>AU10-AU14</f>
        <v>81873.44405</v>
      </c>
      <c r="AV16" s="147"/>
      <c r="AW16" s="118" t="str">
        <f>AW10-AW14</f>
        <v>#REF!</v>
      </c>
      <c r="AX16" s="120"/>
      <c r="AY16" s="146">
        <f>AY10-AY14</f>
        <v>-61526.1404</v>
      </c>
      <c r="AZ16" s="147"/>
      <c r="BA16" s="146" t="str">
        <f>BA10-BA14</f>
        <v>#REF!</v>
      </c>
      <c r="BB16" s="120"/>
      <c r="BC16" s="146">
        <f>BC10-BC14</f>
        <v>-38623.55987</v>
      </c>
      <c r="BD16" s="147"/>
      <c r="BE16" s="146" t="str">
        <f>BE10-BE14</f>
        <v>#REF!</v>
      </c>
      <c r="BF16" s="120"/>
      <c r="BG16" s="146">
        <f>BG10-BG14</f>
        <v>-79253</v>
      </c>
      <c r="BH16" s="147"/>
      <c r="BI16" s="146">
        <f>BI10-BI14</f>
        <v>0</v>
      </c>
      <c r="BJ16" s="120"/>
    </row>
    <row r="17" ht="15.75" customHeight="1">
      <c r="A17" s="3"/>
      <c r="B17" s="304"/>
      <c r="C17" s="148"/>
      <c r="D17" s="137"/>
      <c r="E17" s="137"/>
      <c r="F17" s="149"/>
      <c r="G17" s="135"/>
      <c r="H17" s="28"/>
      <c r="I17" s="83"/>
      <c r="J17" s="28"/>
      <c r="K17" s="137"/>
      <c r="L17" s="137"/>
      <c r="M17" s="137"/>
      <c r="N17" s="137"/>
      <c r="O17" s="28"/>
      <c r="P17" s="28"/>
      <c r="Q17" s="28"/>
      <c r="R17" s="28"/>
      <c r="S17" s="83"/>
      <c r="T17" s="28"/>
      <c r="U17" s="83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83"/>
      <c r="AJ17" s="28"/>
      <c r="AK17" s="83"/>
      <c r="AL17" s="28"/>
      <c r="AM17" s="83"/>
      <c r="AN17" s="28"/>
      <c r="AO17" s="83"/>
      <c r="AP17" s="28"/>
      <c r="AQ17" s="28"/>
      <c r="AR17" s="28"/>
      <c r="AS17" s="28"/>
      <c r="AT17" s="35"/>
      <c r="AU17" s="28"/>
      <c r="AV17" s="28"/>
      <c r="AW17" s="28"/>
      <c r="AX17" s="35"/>
      <c r="AY17" s="83"/>
      <c r="AZ17" s="28"/>
      <c r="BA17" s="83"/>
      <c r="BB17" s="35"/>
      <c r="BC17" s="83"/>
      <c r="BD17" s="28"/>
      <c r="BE17" s="83"/>
      <c r="BF17" s="35"/>
      <c r="BG17" s="83"/>
      <c r="BH17" s="28"/>
      <c r="BI17" s="83"/>
      <c r="BJ17" s="35"/>
    </row>
    <row r="18" ht="15.75" customHeight="1">
      <c r="A18" s="3"/>
      <c r="B18" s="305" t="s">
        <v>34</v>
      </c>
      <c r="C18" s="39">
        <f t="shared" ref="C18:C27" si="14">G18+K18</f>
        <v>1376843.59</v>
      </c>
      <c r="D18" s="139"/>
      <c r="E18" s="40" t="str">
        <f t="shared" ref="E18:E28" si="15">I18+M18</f>
        <v>#REF!</v>
      </c>
      <c r="F18" s="150"/>
      <c r="G18" s="138">
        <f>HO!BF44</f>
        <v>123157</v>
      </c>
      <c r="H18" s="43"/>
      <c r="I18" s="114">
        <f>HO!BH44</f>
        <v>0</v>
      </c>
      <c r="J18" s="43"/>
      <c r="K18" s="25">
        <f t="shared" ref="K18:K27" si="16">O18+S18+W18+AA18+AE18+AI18+AM18+AQ18+AU18+AY18+BC18+BG18</f>
        <v>1253686.59</v>
      </c>
      <c r="L18" s="139"/>
      <c r="M18" s="25" t="str">
        <f t="shared" ref="M18:M27" si="17">Q18+U18+Y18+AC18+AG18+AK18+AO18+AS18+AW18+BA18+BE18+BI18</f>
        <v>#REF!</v>
      </c>
      <c r="N18" s="139"/>
      <c r="O18" s="48">
        <f>'The Table'!BF53</f>
        <v>370441.41</v>
      </c>
      <c r="P18" s="43"/>
      <c r="Q18" s="48">
        <f>'The Table'!BH53</f>
        <v>421627.808</v>
      </c>
      <c r="R18" s="43"/>
      <c r="S18" s="114">
        <f>Iktara!AA50</f>
        <v>38881.4</v>
      </c>
      <c r="T18" s="43"/>
      <c r="U18" s="114" t="str">
        <f t="shared" ref="U18:U27" si="18">#REF!</f>
        <v>#REF!</v>
      </c>
      <c r="V18" s="43"/>
      <c r="W18" s="48">
        <f>'Mg St Colaba'!BF77</f>
        <v>511472.57</v>
      </c>
      <c r="X18" s="43"/>
      <c r="Y18" s="48">
        <f>'Mg St Colaba'!BH77</f>
        <v>374910.2397</v>
      </c>
      <c r="Z18" s="43"/>
      <c r="AA18" s="114">
        <f>'Mg St LP'!BF78</f>
        <v>0</v>
      </c>
      <c r="AB18" s="43"/>
      <c r="AC18" s="114">
        <f>'Mg St LP'!BH78</f>
        <v>239840.5598</v>
      </c>
      <c r="AD18" s="43"/>
      <c r="AE18" s="48">
        <f>'Mg St Bandra'!BF75</f>
        <v>199421.78</v>
      </c>
      <c r="AF18" s="43"/>
      <c r="AG18" s="48">
        <f>'Mg St Bandra'!BH75</f>
        <v>378063.5187</v>
      </c>
      <c r="AH18" s="43"/>
      <c r="AI18" s="114">
        <f>'MSK Events'!M72</f>
        <v>0</v>
      </c>
      <c r="AJ18" s="43"/>
      <c r="AK18" s="114" t="str">
        <f t="shared" ref="AK18:AK27" si="19">#REF!</f>
        <v>#REF!</v>
      </c>
      <c r="AL18" s="43"/>
      <c r="AM18" s="114">
        <f>MSBC!BF73</f>
        <v>32119</v>
      </c>
      <c r="AN18" s="43"/>
      <c r="AO18" s="114">
        <f>MSBC!BH73</f>
        <v>0</v>
      </c>
      <c r="AP18" s="43"/>
      <c r="AQ18" s="114">
        <f>Kaspers!AN64</f>
        <v>101350.43</v>
      </c>
      <c r="AR18" s="43"/>
      <c r="AS18" s="114">
        <f>Kaspers!AP64</f>
        <v>80000</v>
      </c>
      <c r="AT18" s="49"/>
      <c r="AU18" s="114">
        <f>'MSBC Andheri'!M73</f>
        <v>0</v>
      </c>
      <c r="AV18" s="43"/>
      <c r="AW18" s="114" t="str">
        <f t="shared" ref="AW18:AW27" si="20">#REF!</f>
        <v>#REF!</v>
      </c>
      <c r="AX18" s="49"/>
      <c r="AY18" s="114">
        <f>'MSBC Dahisar'!M71</f>
        <v>0</v>
      </c>
      <c r="AZ18" s="43"/>
      <c r="BA18" s="114" t="str">
        <f t="shared" ref="BA18:BA27" si="21">#REF!</f>
        <v>#REF!</v>
      </c>
      <c r="BB18" s="49"/>
      <c r="BC18" s="114" t="str">
        <f>'MSBC Juhu  Goregoan'!M55</f>
        <v/>
      </c>
      <c r="BD18" s="43"/>
      <c r="BE18" s="114" t="str">
        <f t="shared" ref="BE18:BE20" si="22">#REF!</f>
        <v>#REF!</v>
      </c>
      <c r="BF18" s="49"/>
      <c r="BG18" s="114">
        <v>0.0</v>
      </c>
      <c r="BH18" s="43"/>
      <c r="BI18" s="114">
        <v>0.0</v>
      </c>
      <c r="BJ18" s="49"/>
    </row>
    <row r="19" ht="15.75" customHeight="1">
      <c r="A19" s="3"/>
      <c r="B19" s="305" t="s">
        <v>35</v>
      </c>
      <c r="C19" s="309">
        <f t="shared" si="14"/>
        <v>1670301.455</v>
      </c>
      <c r="D19" s="139"/>
      <c r="E19" s="310" t="str">
        <f t="shared" si="15"/>
        <v>#REF!</v>
      </c>
      <c r="F19" s="150"/>
      <c r="G19" s="138">
        <f>HO!BF53</f>
        <v>46383</v>
      </c>
      <c r="H19" s="43"/>
      <c r="I19" s="114">
        <f>HO!BH53</f>
        <v>12874</v>
      </c>
      <c r="J19" s="43"/>
      <c r="K19" s="25">
        <f t="shared" si="16"/>
        <v>1623918.455</v>
      </c>
      <c r="L19" s="139"/>
      <c r="M19" s="25" t="str">
        <f t="shared" si="17"/>
        <v>#REF!</v>
      </c>
      <c r="N19" s="139"/>
      <c r="O19" s="48">
        <f>'The Table'!BF62</f>
        <v>248600</v>
      </c>
      <c r="P19" s="43"/>
      <c r="Q19" s="48">
        <f>'The Table'!BH62</f>
        <v>8333</v>
      </c>
      <c r="R19" s="43"/>
      <c r="S19" s="114">
        <f>Iktara!AA62</f>
        <v>108597</v>
      </c>
      <c r="T19" s="43"/>
      <c r="U19" s="114" t="str">
        <f t="shared" si="18"/>
        <v>#REF!</v>
      </c>
      <c r="V19" s="43"/>
      <c r="W19" s="48">
        <f>'Mg St Colaba'!BF89</f>
        <v>302108.0952</v>
      </c>
      <c r="X19" s="43"/>
      <c r="Y19" s="48">
        <f>'Mg St Colaba'!BH89</f>
        <v>181981</v>
      </c>
      <c r="Z19" s="43"/>
      <c r="AA19" s="114">
        <f>'Mg St LP'!BF89</f>
        <v>43430</v>
      </c>
      <c r="AB19" s="43"/>
      <c r="AC19" s="114">
        <f>'Mg St LP'!BH89</f>
        <v>322358</v>
      </c>
      <c r="AD19" s="43"/>
      <c r="AE19" s="48">
        <f>'Mg St Bandra'!BF87</f>
        <v>226310.0952</v>
      </c>
      <c r="AF19" s="43"/>
      <c r="AG19" s="48">
        <f>'Mg St Bandra'!BH87</f>
        <v>193471</v>
      </c>
      <c r="AH19" s="43"/>
      <c r="AI19" s="114">
        <f>'MSK Events'!M84</f>
        <v>0</v>
      </c>
      <c r="AJ19" s="43"/>
      <c r="AK19" s="114" t="str">
        <f t="shared" si="19"/>
        <v>#REF!</v>
      </c>
      <c r="AL19" s="43"/>
      <c r="AM19" s="114">
        <f>MSBC!BF75</f>
        <v>55436.42857</v>
      </c>
      <c r="AN19" s="43"/>
      <c r="AO19" s="114">
        <f>MSBC!BH75</f>
        <v>125081</v>
      </c>
      <c r="AP19" s="43"/>
      <c r="AQ19" s="114">
        <f>Kaspers!AN76</f>
        <v>190263.3333</v>
      </c>
      <c r="AR19" s="43"/>
      <c r="AS19" s="114">
        <f>Kaspers!AP76</f>
        <v>28996.66667</v>
      </c>
      <c r="AT19" s="49"/>
      <c r="AU19" s="114">
        <f>'MSBC Andheri'!M85</f>
        <v>79144.42857</v>
      </c>
      <c r="AV19" s="43"/>
      <c r="AW19" s="114" t="str">
        <f t="shared" si="20"/>
        <v>#REF!</v>
      </c>
      <c r="AX19" s="49"/>
      <c r="AY19" s="114">
        <f>'MSBC Dahisar'!M73</f>
        <v>74221.7619</v>
      </c>
      <c r="AZ19" s="43"/>
      <c r="BA19" s="114" t="str">
        <f t="shared" si="21"/>
        <v>#REF!</v>
      </c>
      <c r="BB19" s="49"/>
      <c r="BC19" s="114">
        <f>'MSBC Juhu  Goregoan'!M74</f>
        <v>69941.7619</v>
      </c>
      <c r="BD19" s="43"/>
      <c r="BE19" s="114" t="str">
        <f t="shared" si="22"/>
        <v>#REF!</v>
      </c>
      <c r="BF19" s="49"/>
      <c r="BG19" s="114">
        <f>'LOUD MOUTH'!M85</f>
        <v>225865.55</v>
      </c>
      <c r="BH19" s="43"/>
      <c r="BI19" s="114">
        <v>0.0</v>
      </c>
      <c r="BJ19" s="49"/>
    </row>
    <row r="20" ht="15.75" customHeight="1">
      <c r="A20" s="3"/>
      <c r="B20" s="305" t="s">
        <v>36</v>
      </c>
      <c r="C20" s="39">
        <f t="shared" si="14"/>
        <v>2285004.66</v>
      </c>
      <c r="D20" s="139"/>
      <c r="E20" s="40" t="str">
        <f t="shared" si="15"/>
        <v>#REF!</v>
      </c>
      <c r="F20" s="150"/>
      <c r="G20" s="138">
        <f>HO!BF63</f>
        <v>0</v>
      </c>
      <c r="H20" s="43"/>
      <c r="I20" s="114">
        <f>HO!BH63</f>
        <v>0</v>
      </c>
      <c r="J20" s="43"/>
      <c r="K20" s="25">
        <f t="shared" si="16"/>
        <v>2285004.66</v>
      </c>
      <c r="L20" s="139"/>
      <c r="M20" s="25" t="str">
        <f t="shared" si="17"/>
        <v>#REF!</v>
      </c>
      <c r="N20" s="139"/>
      <c r="O20" s="48">
        <f>'The Table'!BF70</f>
        <v>118037.58</v>
      </c>
      <c r="P20" s="43"/>
      <c r="Q20" s="114">
        <f>'The Table'!BH70</f>
        <v>225203.048</v>
      </c>
      <c r="R20" s="43"/>
      <c r="S20" s="114">
        <f>Iktara!AA70</f>
        <v>93283.08</v>
      </c>
      <c r="T20" s="43"/>
      <c r="U20" s="114" t="str">
        <f t="shared" si="18"/>
        <v>#REF!</v>
      </c>
      <c r="V20" s="43"/>
      <c r="W20" s="48">
        <f>'Mg St Colaba'!BF100</f>
        <v>459138.39</v>
      </c>
      <c r="X20" s="43"/>
      <c r="Y20" s="48">
        <f>'Mg St Colaba'!BH100</f>
        <v>548865.834</v>
      </c>
      <c r="Z20" s="43"/>
      <c r="AA20" s="114">
        <f>'Mg St LP'!BF101</f>
        <v>677334.48</v>
      </c>
      <c r="AB20" s="43"/>
      <c r="AC20" s="114">
        <f>'Mg St LP'!BH101</f>
        <v>823657.4875</v>
      </c>
      <c r="AD20" s="43"/>
      <c r="AE20" s="48">
        <f>'Mg St Bandra'!BF98</f>
        <v>686012.42</v>
      </c>
      <c r="AF20" s="43"/>
      <c r="AG20" s="48">
        <f>'Mg St Bandra'!BH98</f>
        <v>577850.0245</v>
      </c>
      <c r="AH20" s="43"/>
      <c r="AI20" s="114">
        <f>'MSK Events'!M91</f>
        <v>0</v>
      </c>
      <c r="AJ20" s="43"/>
      <c r="AK20" s="114" t="str">
        <f t="shared" si="19"/>
        <v>#REF!</v>
      </c>
      <c r="AL20" s="43"/>
      <c r="AM20" s="114">
        <f>MSBC!BF83</f>
        <v>29799.83</v>
      </c>
      <c r="AN20" s="43"/>
      <c r="AO20" s="114">
        <f>MSBC!BH83</f>
        <v>0</v>
      </c>
      <c r="AP20" s="43"/>
      <c r="AQ20" s="114">
        <f>Kaspers!AN83</f>
        <v>0</v>
      </c>
      <c r="AR20" s="43"/>
      <c r="AS20" s="114">
        <f>Kaspers!AP83</f>
        <v>0</v>
      </c>
      <c r="AT20" s="49"/>
      <c r="AU20" s="114">
        <f>'MSBC Andheri'!M93</f>
        <v>99091.46</v>
      </c>
      <c r="AV20" s="43"/>
      <c r="AW20" s="114" t="str">
        <f t="shared" si="20"/>
        <v>#REF!</v>
      </c>
      <c r="AX20" s="49"/>
      <c r="AY20" s="114">
        <f>'MSBC Dahisar'!M80</f>
        <v>58503.84</v>
      </c>
      <c r="AZ20" s="43"/>
      <c r="BA20" s="114" t="str">
        <f t="shared" si="21"/>
        <v>#REF!</v>
      </c>
      <c r="BB20" s="49"/>
      <c r="BC20" s="114">
        <f>'MSBC Juhu  Goregoan'!M81</f>
        <v>63803.58</v>
      </c>
      <c r="BD20" s="43"/>
      <c r="BE20" s="114" t="str">
        <f t="shared" si="22"/>
        <v>#REF!</v>
      </c>
      <c r="BF20" s="49"/>
      <c r="BG20" s="114">
        <v>0.0</v>
      </c>
      <c r="BH20" s="43"/>
      <c r="BI20" s="114">
        <v>0.0</v>
      </c>
      <c r="BJ20" s="49"/>
    </row>
    <row r="21" ht="15.75" customHeight="1">
      <c r="A21" s="3"/>
      <c r="B21" s="305" t="s">
        <v>37</v>
      </c>
      <c r="C21" s="39">
        <f t="shared" si="14"/>
        <v>7228794.417</v>
      </c>
      <c r="D21" s="139"/>
      <c r="E21" s="40" t="str">
        <f t="shared" si="15"/>
        <v>#REF!</v>
      </c>
      <c r="F21" s="150"/>
      <c r="G21" s="138">
        <f>HO!BF70</f>
        <v>452088</v>
      </c>
      <c r="H21" s="43"/>
      <c r="I21" s="114">
        <f>HO!BH70</f>
        <v>380880</v>
      </c>
      <c r="J21" s="43"/>
      <c r="K21" s="25">
        <f t="shared" si="16"/>
        <v>6776706.417</v>
      </c>
      <c r="L21" s="139"/>
      <c r="M21" s="25" t="str">
        <f t="shared" si="17"/>
        <v>#REF!</v>
      </c>
      <c r="N21" s="139"/>
      <c r="O21" s="48">
        <f>'The Table'!BF76</f>
        <v>1804122</v>
      </c>
      <c r="P21" s="43"/>
      <c r="Q21" s="48">
        <f>'The Table'!BH76</f>
        <v>1827400</v>
      </c>
      <c r="R21" s="43"/>
      <c r="S21" s="114">
        <f>Iktara!AA76</f>
        <v>97567</v>
      </c>
      <c r="T21" s="43"/>
      <c r="U21" s="114" t="str">
        <f t="shared" si="18"/>
        <v>#REF!</v>
      </c>
      <c r="V21" s="43"/>
      <c r="W21" s="48">
        <f>'Mg St Colaba'!BF107</f>
        <v>1568107</v>
      </c>
      <c r="X21" s="43"/>
      <c r="Y21" s="48">
        <f>'Mg St Colaba'!BH107</f>
        <v>1499510.5</v>
      </c>
      <c r="Z21" s="43"/>
      <c r="AA21" s="114">
        <f>'Mg St LP'!BF108</f>
        <v>1066315</v>
      </c>
      <c r="AB21" s="43"/>
      <c r="AC21" s="114">
        <f>'Mg St LP'!BH108</f>
        <v>1033770.6</v>
      </c>
      <c r="AD21" s="43"/>
      <c r="AE21" s="48">
        <f>'Mg St Bandra'!BF105</f>
        <v>1449821</v>
      </c>
      <c r="AF21" s="43"/>
      <c r="AG21" s="48">
        <f>'Mg St Bandra'!BH105</f>
        <v>1475700</v>
      </c>
      <c r="AH21" s="43"/>
      <c r="AI21" s="114">
        <f>'MSK Events'!M98</f>
        <v>139278</v>
      </c>
      <c r="AJ21" s="43"/>
      <c r="AK21" s="114" t="str">
        <f t="shared" si="19"/>
        <v>#REF!</v>
      </c>
      <c r="AL21" s="43"/>
      <c r="AM21" s="114">
        <f>MSBC!BF90</f>
        <v>237415</v>
      </c>
      <c r="AN21" s="43"/>
      <c r="AO21" s="114">
        <f>MSBC!BH90</f>
        <v>0</v>
      </c>
      <c r="AP21" s="43"/>
      <c r="AQ21" s="114">
        <f>Kaspers!AN90</f>
        <v>378681.4167</v>
      </c>
      <c r="AR21" s="43"/>
      <c r="AS21" s="114">
        <f>Kaspers!AP90</f>
        <v>0</v>
      </c>
      <c r="AT21" s="49"/>
      <c r="AU21" s="114">
        <f>'MSBC Andheri'!M100</f>
        <v>0</v>
      </c>
      <c r="AV21" s="43"/>
      <c r="AW21" s="114" t="str">
        <f t="shared" si="20"/>
        <v>#REF!</v>
      </c>
      <c r="AX21" s="49"/>
      <c r="AY21" s="114">
        <f>'MSBC Dahisar'!M89</f>
        <v>0</v>
      </c>
      <c r="AZ21" s="43"/>
      <c r="BA21" s="114" t="str">
        <f t="shared" si="21"/>
        <v>#REF!</v>
      </c>
      <c r="BB21" s="49"/>
      <c r="BC21" s="114">
        <v>0.0</v>
      </c>
      <c r="BD21" s="43"/>
      <c r="BE21" s="114">
        <v>0.0</v>
      </c>
      <c r="BF21" s="49"/>
      <c r="BG21" s="114">
        <f>'LOUD MOUTH'!M101</f>
        <v>35400</v>
      </c>
      <c r="BH21" s="43"/>
      <c r="BI21" s="114">
        <v>0.0</v>
      </c>
      <c r="BJ21" s="49"/>
    </row>
    <row r="22" ht="15.75" customHeight="1">
      <c r="A22" s="3"/>
      <c r="B22" s="305" t="s">
        <v>38</v>
      </c>
      <c r="C22" s="39">
        <f t="shared" si="14"/>
        <v>23628437.84</v>
      </c>
      <c r="D22" s="139"/>
      <c r="E22" s="40" t="str">
        <f t="shared" si="15"/>
        <v>#REF!</v>
      </c>
      <c r="F22" s="150"/>
      <c r="G22" s="138">
        <f>HO!BF77</f>
        <v>4278463.667</v>
      </c>
      <c r="H22" s="43"/>
      <c r="I22" s="114">
        <f>HO!BH77</f>
        <v>4043806</v>
      </c>
      <c r="J22" s="43"/>
      <c r="K22" s="25">
        <f t="shared" si="16"/>
        <v>19349974.18</v>
      </c>
      <c r="L22" s="139"/>
      <c r="M22" s="25" t="str">
        <f t="shared" si="17"/>
        <v>#REF!</v>
      </c>
      <c r="N22" s="139"/>
      <c r="O22" s="48">
        <f>'The Table'!BF82</f>
        <v>5630611.597</v>
      </c>
      <c r="P22" s="43"/>
      <c r="Q22" s="48">
        <f>'The Table'!BH82</f>
        <v>4388683.777</v>
      </c>
      <c r="R22" s="43"/>
      <c r="S22" s="114">
        <f>Iktara!AA82</f>
        <v>285607</v>
      </c>
      <c r="T22" s="43"/>
      <c r="U22" s="114" t="str">
        <f t="shared" si="18"/>
        <v>#REF!</v>
      </c>
      <c r="V22" s="43"/>
      <c r="W22" s="48">
        <f>'Mg St Colaba'!BF113</f>
        <v>3637279.197</v>
      </c>
      <c r="X22" s="43"/>
      <c r="Y22" s="43">
        <f>'Mg St Colaba'!BH113</f>
        <v>3361144.413</v>
      </c>
      <c r="Z22" s="43"/>
      <c r="AA22" s="114">
        <f>'Mg St LP'!BF115</f>
        <v>1557434.583</v>
      </c>
      <c r="AB22" s="43"/>
      <c r="AC22" s="114">
        <f>'Mg St LP'!BH115</f>
        <v>1386737.458</v>
      </c>
      <c r="AD22" s="43"/>
      <c r="AE22" s="48">
        <f>'Mg St Bandra'!BF114</f>
        <v>3676580.22</v>
      </c>
      <c r="AF22" s="43"/>
      <c r="AG22" s="48">
        <f>'Mg St Bandra'!BH114</f>
        <v>3806083.75</v>
      </c>
      <c r="AH22" s="43"/>
      <c r="AI22" s="114">
        <f>'MSK Events'!M104</f>
        <v>0</v>
      </c>
      <c r="AJ22" s="43"/>
      <c r="AK22" s="114" t="str">
        <f t="shared" si="19"/>
        <v>#REF!</v>
      </c>
      <c r="AL22" s="43"/>
      <c r="AM22" s="114">
        <f>MSBC!BF96</f>
        <v>1395785.58</v>
      </c>
      <c r="AN22" s="43"/>
      <c r="AO22" s="114">
        <f>MSBC!BH96</f>
        <v>0</v>
      </c>
      <c r="AP22" s="43"/>
      <c r="AQ22" s="114">
        <f>Kaspers!AN97</f>
        <v>2821922</v>
      </c>
      <c r="AR22" s="43"/>
      <c r="AS22" s="114">
        <f>Kaspers!AP97</f>
        <v>0</v>
      </c>
      <c r="AT22" s="49"/>
      <c r="AU22" s="114">
        <f>'MSBC Andheri'!M106</f>
        <v>0</v>
      </c>
      <c r="AV22" s="43"/>
      <c r="AW22" s="114" t="str">
        <f t="shared" si="20"/>
        <v>#REF!</v>
      </c>
      <c r="AX22" s="49"/>
      <c r="AY22" s="114">
        <f>'MSBC Dahisar'!M95</f>
        <v>0</v>
      </c>
      <c r="AZ22" s="43"/>
      <c r="BA22" s="114" t="str">
        <f t="shared" si="21"/>
        <v>#REF!</v>
      </c>
      <c r="BB22" s="49"/>
      <c r="BC22" s="114">
        <v>0.0</v>
      </c>
      <c r="BD22" s="43"/>
      <c r="BE22" s="114">
        <v>0.0</v>
      </c>
      <c r="BF22" s="49"/>
      <c r="BG22" s="114">
        <f>'LOUD MOUTH'!M108</f>
        <v>344754</v>
      </c>
      <c r="BH22" s="43"/>
      <c r="BI22" s="114">
        <v>0.0</v>
      </c>
      <c r="BJ22" s="49"/>
    </row>
    <row r="23" ht="15.75" customHeight="1">
      <c r="A23" s="3"/>
      <c r="B23" s="305" t="s">
        <v>39</v>
      </c>
      <c r="C23" s="39">
        <f t="shared" si="14"/>
        <v>1300655.16</v>
      </c>
      <c r="D23" s="139"/>
      <c r="E23" s="40" t="str">
        <f t="shared" si="15"/>
        <v>#REF!</v>
      </c>
      <c r="F23" s="150"/>
      <c r="G23" s="138">
        <f>HO!BF88</f>
        <v>414553.4</v>
      </c>
      <c r="H23" s="43"/>
      <c r="I23" s="114">
        <f>HO!BH88</f>
        <v>12500</v>
      </c>
      <c r="J23" s="43"/>
      <c r="K23" s="25">
        <f t="shared" si="16"/>
        <v>886101.76</v>
      </c>
      <c r="L23" s="139"/>
      <c r="M23" s="25" t="str">
        <f t="shared" si="17"/>
        <v>#REF!</v>
      </c>
      <c r="N23" s="139"/>
      <c r="O23" s="48">
        <f>'The Table'!BF91</f>
        <v>435354.53</v>
      </c>
      <c r="P23" s="43"/>
      <c r="Q23" s="48">
        <f>'The Table'!BH91</f>
        <v>276951.184</v>
      </c>
      <c r="R23" s="43"/>
      <c r="S23" s="114">
        <f>Iktara!AA92</f>
        <v>0</v>
      </c>
      <c r="T23" s="43"/>
      <c r="U23" s="114" t="str">
        <f t="shared" si="18"/>
        <v>#REF!</v>
      </c>
      <c r="V23" s="43"/>
      <c r="W23" s="48">
        <f>'Mg St Colaba'!BF124</f>
        <v>116562.62</v>
      </c>
      <c r="X23" s="43"/>
      <c r="Y23" s="48">
        <f>'Mg St Colaba'!BH124</f>
        <v>144101.5872</v>
      </c>
      <c r="Z23" s="43"/>
      <c r="AA23" s="114">
        <f>'Mg St LP'!BF125</f>
        <v>42222.84</v>
      </c>
      <c r="AB23" s="43"/>
      <c r="AC23" s="114">
        <f>'Mg St LP'!BH125</f>
        <v>40294.908</v>
      </c>
      <c r="AD23" s="43"/>
      <c r="AE23" s="48">
        <f>'Mg St Bandra'!BF125</f>
        <v>166165.03</v>
      </c>
      <c r="AF23" s="43"/>
      <c r="AG23" s="48">
        <f>'Mg St Bandra'!BH125</f>
        <v>134832.42</v>
      </c>
      <c r="AH23" s="43"/>
      <c r="AI23" s="114">
        <f>'MSK Events'!M114</f>
        <v>0</v>
      </c>
      <c r="AJ23" s="43"/>
      <c r="AK23" s="114" t="str">
        <f t="shared" si="19"/>
        <v>#REF!</v>
      </c>
      <c r="AL23" s="43"/>
      <c r="AM23" s="114">
        <f>MSBC!BF106</f>
        <v>0</v>
      </c>
      <c r="AN23" s="43"/>
      <c r="AO23" s="114">
        <f>MSBC!BH106</f>
        <v>0</v>
      </c>
      <c r="AP23" s="43"/>
      <c r="AQ23" s="114">
        <f>Kaspers!AN109</f>
        <v>125796.74</v>
      </c>
      <c r="AR23" s="43"/>
      <c r="AS23" s="114">
        <f>Kaspers!AP109</f>
        <v>0</v>
      </c>
      <c r="AT23" s="49"/>
      <c r="AU23" s="114">
        <f>'MSBC Andheri'!M116</f>
        <v>0</v>
      </c>
      <c r="AV23" s="43"/>
      <c r="AW23" s="114" t="str">
        <f t="shared" si="20"/>
        <v>#REF!</v>
      </c>
      <c r="AX23" s="49"/>
      <c r="AY23" s="114">
        <f>'MSBC Dahisar'!M105</f>
        <v>0</v>
      </c>
      <c r="AZ23" s="43"/>
      <c r="BA23" s="114" t="str">
        <f t="shared" si="21"/>
        <v>#REF!</v>
      </c>
      <c r="BB23" s="49"/>
      <c r="BC23" s="114">
        <v>0.0</v>
      </c>
      <c r="BD23" s="43"/>
      <c r="BE23" s="114">
        <v>0.0</v>
      </c>
      <c r="BF23" s="49"/>
      <c r="BG23" s="114">
        <v>0.0</v>
      </c>
      <c r="BH23" s="43"/>
      <c r="BI23" s="114"/>
      <c r="BJ23" s="49"/>
    </row>
    <row r="24" ht="15.75" customHeight="1">
      <c r="A24" s="3"/>
      <c r="B24" s="305" t="s">
        <v>40</v>
      </c>
      <c r="C24" s="39">
        <f t="shared" si="14"/>
        <v>316915.3333</v>
      </c>
      <c r="D24" s="139"/>
      <c r="E24" s="40" t="str">
        <f t="shared" si="15"/>
        <v>#REF!</v>
      </c>
      <c r="F24" s="150"/>
      <c r="G24" s="138">
        <f>HO!BF95</f>
        <v>156817.9167</v>
      </c>
      <c r="H24" s="43"/>
      <c r="I24" s="114">
        <f>HO!BH95</f>
        <v>114596.8333</v>
      </c>
      <c r="J24" s="43"/>
      <c r="K24" s="25">
        <f t="shared" si="16"/>
        <v>160097.4167</v>
      </c>
      <c r="L24" s="139"/>
      <c r="M24" s="25" t="str">
        <f t="shared" si="17"/>
        <v>#REF!</v>
      </c>
      <c r="N24" s="139"/>
      <c r="O24" s="48">
        <f>'The Table'!BF94</f>
        <v>35400</v>
      </c>
      <c r="P24" s="43"/>
      <c r="Q24" s="48">
        <f>'The Table'!BH94</f>
        <v>29500</v>
      </c>
      <c r="R24" s="43"/>
      <c r="S24" s="114">
        <f>Iktara!AA95</f>
        <v>688</v>
      </c>
      <c r="T24" s="43"/>
      <c r="U24" s="114" t="str">
        <f t="shared" si="18"/>
        <v>#REF!</v>
      </c>
      <c r="V24" s="43"/>
      <c r="W24" s="48">
        <f>'Mg St Colaba'!BF127</f>
        <v>30837.33333</v>
      </c>
      <c r="X24" s="43"/>
      <c r="Y24" s="48">
        <f>'Mg St Colaba'!BH127</f>
        <v>30188.33333</v>
      </c>
      <c r="Z24" s="43"/>
      <c r="AA24" s="114">
        <f>'Mg St LP'!BF128</f>
        <v>5290.333333</v>
      </c>
      <c r="AB24" s="43"/>
      <c r="AC24" s="114">
        <f>'Mg St LP'!BH128</f>
        <v>1500</v>
      </c>
      <c r="AD24" s="43"/>
      <c r="AE24" s="48">
        <f>'Mg St Bandra'!BF128</f>
        <v>36088.33333</v>
      </c>
      <c r="AF24" s="43"/>
      <c r="AG24" s="48">
        <f>'Mg St Bandra'!BH128</f>
        <v>23000</v>
      </c>
      <c r="AH24" s="43"/>
      <c r="AI24" s="114">
        <f>'MSK Events'!M117</f>
        <v>6806.25</v>
      </c>
      <c r="AJ24" s="43"/>
      <c r="AK24" s="114" t="str">
        <f t="shared" si="19"/>
        <v>#REF!</v>
      </c>
      <c r="AL24" s="43"/>
      <c r="AM24" s="114">
        <f>MSBC!BF109</f>
        <v>10521.33333</v>
      </c>
      <c r="AN24" s="43"/>
      <c r="AO24" s="114">
        <f>MSBC!BH109</f>
        <v>0</v>
      </c>
      <c r="AP24" s="43"/>
      <c r="AQ24" s="114">
        <f>Kaspers!AN113</f>
        <v>34465.83333</v>
      </c>
      <c r="AR24" s="43"/>
      <c r="AS24" s="114">
        <f>Kaspers!AP113</f>
        <v>0</v>
      </c>
      <c r="AT24" s="49"/>
      <c r="AU24" s="114">
        <f>'MSBC Andheri'!M119</f>
        <v>0</v>
      </c>
      <c r="AV24" s="43"/>
      <c r="AW24" s="114" t="str">
        <f t="shared" si="20"/>
        <v>#REF!</v>
      </c>
      <c r="AX24" s="49"/>
      <c r="AY24" s="114">
        <f>'MSBC Dahisar'!M108</f>
        <v>0</v>
      </c>
      <c r="AZ24" s="43"/>
      <c r="BA24" s="114" t="str">
        <f t="shared" si="21"/>
        <v>#REF!</v>
      </c>
      <c r="BB24" s="49"/>
      <c r="BC24" s="114">
        <v>0.0</v>
      </c>
      <c r="BD24" s="43"/>
      <c r="BE24" s="114">
        <v>0.0</v>
      </c>
      <c r="BF24" s="49"/>
      <c r="BG24" s="114">
        <v>0.0</v>
      </c>
      <c r="BH24" s="43"/>
      <c r="BI24" s="114"/>
      <c r="BJ24" s="49"/>
    </row>
    <row r="25" ht="15.75" customHeight="1">
      <c r="A25" s="3"/>
      <c r="B25" s="305" t="s">
        <v>41</v>
      </c>
      <c r="C25" s="39">
        <f t="shared" si="14"/>
        <v>3243138.13</v>
      </c>
      <c r="D25" s="139"/>
      <c r="E25" s="40" t="str">
        <f t="shared" si="15"/>
        <v>#REF!</v>
      </c>
      <c r="F25" s="150"/>
      <c r="G25" s="138">
        <f>HO!BF106</f>
        <v>472295.88</v>
      </c>
      <c r="H25" s="43"/>
      <c r="I25" s="114">
        <f>HO!BH106</f>
        <v>26500</v>
      </c>
      <c r="J25" s="43"/>
      <c r="K25" s="25">
        <f t="shared" si="16"/>
        <v>2770842.25</v>
      </c>
      <c r="L25" s="139"/>
      <c r="M25" s="25" t="str">
        <f t="shared" si="17"/>
        <v>#REF!</v>
      </c>
      <c r="N25" s="139"/>
      <c r="O25" s="48">
        <f>'The Table'!BF99</f>
        <v>383452.4167</v>
      </c>
      <c r="P25" s="43"/>
      <c r="Q25" s="48">
        <f>'The Table'!BH99+'The Table'!BH106+'The Table'!BH112+'The Table'!BH114+'The Table'!BH116+'The Table'!BH118+'The Table'!BH120</f>
        <v>440112</v>
      </c>
      <c r="R25" s="43"/>
      <c r="S25" s="114">
        <f>Iktara!AA99</f>
        <v>41987</v>
      </c>
      <c r="T25" s="43"/>
      <c r="U25" s="114" t="str">
        <f t="shared" si="18"/>
        <v>#REF!</v>
      </c>
      <c r="V25" s="43"/>
      <c r="W25" s="48">
        <f>'Mg St Colaba'!BF132</f>
        <v>495984.3333</v>
      </c>
      <c r="X25" s="43"/>
      <c r="Y25" s="48">
        <f>'Mg St Colaba'!BH132</f>
        <v>421563.0833</v>
      </c>
      <c r="Z25" s="43"/>
      <c r="AA25" s="114">
        <f>'Mg St LP'!BF132</f>
        <v>94657.83333</v>
      </c>
      <c r="AB25" s="43"/>
      <c r="AC25" s="114">
        <f>'Mg St LP'!BH132</f>
        <v>47000</v>
      </c>
      <c r="AD25" s="43"/>
      <c r="AE25" s="48">
        <f>'Mg St Bandra'!BF132</f>
        <v>692046.3333</v>
      </c>
      <c r="AF25" s="43"/>
      <c r="AG25" s="48">
        <f>'Mg St Bandra'!BH132</f>
        <v>423797</v>
      </c>
      <c r="AH25" s="43"/>
      <c r="AI25" s="114">
        <f>'MSK Events'!M121</f>
        <v>632070</v>
      </c>
      <c r="AJ25" s="43"/>
      <c r="AK25" s="114" t="str">
        <f t="shared" si="19"/>
        <v>#REF!</v>
      </c>
      <c r="AL25" s="43"/>
      <c r="AM25" s="114">
        <f>MSBC!BF114</f>
        <v>174967.3333</v>
      </c>
      <c r="AN25" s="43"/>
      <c r="AO25" s="114">
        <f>MSBC!BH114</f>
        <v>0</v>
      </c>
      <c r="AP25" s="43"/>
      <c r="AQ25" s="114">
        <f>Kaspers!AN117</f>
        <v>219177</v>
      </c>
      <c r="AR25" s="43"/>
      <c r="AS25" s="114">
        <f>Kaspers!AP117</f>
        <v>0</v>
      </c>
      <c r="AT25" s="49"/>
      <c r="AU25" s="114">
        <f>'MSBC Andheri'!M123</f>
        <v>8100</v>
      </c>
      <c r="AV25" s="43"/>
      <c r="AW25" s="114" t="str">
        <f t="shared" si="20"/>
        <v>#REF!</v>
      </c>
      <c r="AX25" s="49"/>
      <c r="AY25" s="114">
        <f>'MSBC Dahisar'!M112</f>
        <v>8100</v>
      </c>
      <c r="AZ25" s="43"/>
      <c r="BA25" s="114" t="str">
        <f t="shared" si="21"/>
        <v>#REF!</v>
      </c>
      <c r="BB25" s="49"/>
      <c r="BC25" s="114">
        <f>'MSBC Juhu  Goregoan'!M113</f>
        <v>8100</v>
      </c>
      <c r="BD25" s="43"/>
      <c r="BE25" s="114" t="str">
        <f t="shared" ref="BE25:BE27" si="23">#REF!</f>
        <v>#REF!</v>
      </c>
      <c r="BF25" s="49"/>
      <c r="BG25" s="114">
        <f>'LOUD MOUTH'!M128</f>
        <v>12200</v>
      </c>
      <c r="BH25" s="43"/>
      <c r="BI25" s="114"/>
      <c r="BJ25" s="49"/>
    </row>
    <row r="26" ht="15.75" customHeight="1">
      <c r="A26" s="3"/>
      <c r="B26" s="305" t="s">
        <v>42</v>
      </c>
      <c r="C26" s="39">
        <f t="shared" si="14"/>
        <v>156932.3611</v>
      </c>
      <c r="D26" s="139"/>
      <c r="E26" s="40" t="str">
        <f t="shared" si="15"/>
        <v>#REF!</v>
      </c>
      <c r="F26" s="150"/>
      <c r="G26" s="138">
        <f>HO!BF123</f>
        <v>114392.3611</v>
      </c>
      <c r="H26" s="43"/>
      <c r="I26" s="114">
        <f>HO!BH123</f>
        <v>100000</v>
      </c>
      <c r="J26" s="43"/>
      <c r="K26" s="25">
        <f t="shared" si="16"/>
        <v>42540</v>
      </c>
      <c r="L26" s="139"/>
      <c r="M26" s="25" t="str">
        <f t="shared" si="17"/>
        <v>#REF!</v>
      </c>
      <c r="N26" s="139"/>
      <c r="O26" s="114">
        <f>'The Table'!BF122</f>
        <v>10270</v>
      </c>
      <c r="P26" s="114"/>
      <c r="Q26" s="114">
        <f>'The Table'!BH122</f>
        <v>0</v>
      </c>
      <c r="R26" s="43"/>
      <c r="S26" s="114">
        <f>Iktara!AA112</f>
        <v>0</v>
      </c>
      <c r="T26" s="43"/>
      <c r="U26" s="114" t="str">
        <f t="shared" si="18"/>
        <v>#REF!</v>
      </c>
      <c r="V26" s="43"/>
      <c r="W26" s="183">
        <f>'Mg St Colaba'!BF148</f>
        <v>0</v>
      </c>
      <c r="X26" s="43"/>
      <c r="Y26" s="183">
        <f>'Mg St Colaba'!BH148</f>
        <v>0</v>
      </c>
      <c r="Z26" s="43"/>
      <c r="AA26" s="114">
        <f>'Mg St LP'!BF148</f>
        <v>22000</v>
      </c>
      <c r="AB26" s="43"/>
      <c r="AC26" s="114">
        <f>'Mg St LP'!BH148</f>
        <v>0</v>
      </c>
      <c r="AD26" s="43"/>
      <c r="AE26" s="48">
        <f>'Mg St Bandra'!BF149</f>
        <v>0</v>
      </c>
      <c r="AF26" s="43"/>
      <c r="AG26" s="115">
        <f>'Mg St Bandra'!BH149</f>
        <v>0</v>
      </c>
      <c r="AH26" s="43"/>
      <c r="AI26" s="114">
        <f>'MSK Events'!M138</f>
        <v>0</v>
      </c>
      <c r="AJ26" s="43"/>
      <c r="AK26" s="114" t="str">
        <f t="shared" si="19"/>
        <v>#REF!</v>
      </c>
      <c r="AL26" s="43"/>
      <c r="AM26" s="114">
        <f>MSBC!BF131</f>
        <v>10270</v>
      </c>
      <c r="AN26" s="43"/>
      <c r="AO26" s="114">
        <f>MSBC!BH131</f>
        <v>0</v>
      </c>
      <c r="AP26" s="43"/>
      <c r="AQ26" s="114">
        <f>Kaspers!AN141</f>
        <v>0</v>
      </c>
      <c r="AR26" s="43"/>
      <c r="AS26" s="114">
        <f>Kaspers!AP141</f>
        <v>0</v>
      </c>
      <c r="AT26" s="49"/>
      <c r="AU26" s="114">
        <f>'MSBC Andheri'!M138</f>
        <v>0</v>
      </c>
      <c r="AV26" s="43"/>
      <c r="AW26" s="114" t="str">
        <f t="shared" si="20"/>
        <v>#REF!</v>
      </c>
      <c r="AX26" s="49"/>
      <c r="AY26" s="114">
        <f>'MSBC Dahisar'!M127</f>
        <v>0</v>
      </c>
      <c r="AZ26" s="43"/>
      <c r="BA26" s="114" t="str">
        <f t="shared" si="21"/>
        <v>#REF!</v>
      </c>
      <c r="BB26" s="49"/>
      <c r="BC26" s="114">
        <f>'MSBC Juhu  Goregoan'!M129</f>
        <v>0</v>
      </c>
      <c r="BD26" s="43"/>
      <c r="BE26" s="114" t="str">
        <f t="shared" si="23"/>
        <v>#REF!</v>
      </c>
      <c r="BF26" s="49"/>
      <c r="BG26" s="114"/>
      <c r="BH26" s="43"/>
      <c r="BI26" s="114"/>
      <c r="BJ26" s="49"/>
    </row>
    <row r="27" ht="15.75" customHeight="1">
      <c r="A27" s="3"/>
      <c r="B27" s="306" t="s">
        <v>43</v>
      </c>
      <c r="C27" s="51">
        <f t="shared" si="14"/>
        <v>-962626</v>
      </c>
      <c r="D27" s="142"/>
      <c r="E27" s="52" t="str">
        <f t="shared" si="15"/>
        <v>#REF!</v>
      </c>
      <c r="F27" s="151"/>
      <c r="G27" s="141">
        <f>HO!BF130</f>
        <v>169396</v>
      </c>
      <c r="H27" s="55"/>
      <c r="I27" s="62">
        <f>HO!BH130</f>
        <v>156000</v>
      </c>
      <c r="J27" s="55"/>
      <c r="K27" s="25">
        <f t="shared" si="16"/>
        <v>-1132022</v>
      </c>
      <c r="L27" s="142"/>
      <c r="M27" s="25" t="str">
        <f t="shared" si="17"/>
        <v>#REF!</v>
      </c>
      <c r="N27" s="142"/>
      <c r="O27" s="62">
        <f>'The Table'!BF127</f>
        <v>0</v>
      </c>
      <c r="P27" s="62"/>
      <c r="Q27" s="62">
        <f>'The Table'!BH127</f>
        <v>0</v>
      </c>
      <c r="R27" s="55"/>
      <c r="S27" s="62">
        <f>Iktara!AA116</f>
        <v>0</v>
      </c>
      <c r="T27" s="55"/>
      <c r="U27" s="62" t="str">
        <f t="shared" si="18"/>
        <v>#REF!</v>
      </c>
      <c r="V27" s="55"/>
      <c r="W27" s="65">
        <f>'Mg St Colaba'!BF153</f>
        <v>0</v>
      </c>
      <c r="X27" s="55"/>
      <c r="Y27" s="65">
        <f>'Mg St Colaba'!BH153</f>
        <v>0</v>
      </c>
      <c r="Z27" s="55"/>
      <c r="AA27" s="62">
        <f>'Mg St LP'!BF152</f>
        <v>0</v>
      </c>
      <c r="AB27" s="55"/>
      <c r="AC27" s="62">
        <f>'Mg St LP'!BH152</f>
        <v>0</v>
      </c>
      <c r="AD27" s="55"/>
      <c r="AE27" s="60">
        <f>'Mg St Bandra'!BF153</f>
        <v>0</v>
      </c>
      <c r="AF27" s="55"/>
      <c r="AG27" s="60">
        <f>'Mg St Bandra'!BH153</f>
        <v>0</v>
      </c>
      <c r="AH27" s="55"/>
      <c r="AI27" s="62">
        <f>'MSK Events'!M142</f>
        <v>0</v>
      </c>
      <c r="AJ27" s="55"/>
      <c r="AK27" s="62" t="str">
        <f t="shared" si="19"/>
        <v>#REF!</v>
      </c>
      <c r="AL27" s="55"/>
      <c r="AM27" s="85">
        <v>-1280318.0</v>
      </c>
      <c r="AN27" s="55"/>
      <c r="AO27" s="62">
        <f>MSBC!BH135</f>
        <v>0</v>
      </c>
      <c r="AP27" s="55"/>
      <c r="AQ27" s="62">
        <f>Kaspers!AN145</f>
        <v>0</v>
      </c>
      <c r="AR27" s="55"/>
      <c r="AS27" s="62">
        <f>Kaspers!AP145</f>
        <v>25000</v>
      </c>
      <c r="AT27" s="61"/>
      <c r="AU27" s="62">
        <f>'MSBC Andheri'!M142</f>
        <v>0</v>
      </c>
      <c r="AV27" s="55"/>
      <c r="AW27" s="62" t="str">
        <f t="shared" si="20"/>
        <v>#REF!</v>
      </c>
      <c r="AX27" s="61"/>
      <c r="AY27" s="62">
        <f>'MSBC Dahisar'!M131</f>
        <v>0</v>
      </c>
      <c r="AZ27" s="55"/>
      <c r="BA27" s="62" t="str">
        <f t="shared" si="21"/>
        <v>#REF!</v>
      </c>
      <c r="BB27" s="61"/>
      <c r="BC27" s="62">
        <f>'MSBC Juhu  Goregoan'!M133</f>
        <v>0</v>
      </c>
      <c r="BD27" s="55"/>
      <c r="BE27" s="62" t="str">
        <f t="shared" si="23"/>
        <v>#REF!</v>
      </c>
      <c r="BF27" s="61"/>
      <c r="BG27" s="62">
        <f>'LOUD MOUTH'!M148</f>
        <v>148296</v>
      </c>
      <c r="BH27" s="55"/>
      <c r="BI27" s="62"/>
      <c r="BJ27" s="61"/>
    </row>
    <row r="28" ht="15.75" customHeight="1">
      <c r="A28" s="3"/>
      <c r="B28" s="307" t="s">
        <v>44</v>
      </c>
      <c r="C28" s="66">
        <f>SUM(C18:C27)</f>
        <v>40244396.95</v>
      </c>
      <c r="D28" s="70"/>
      <c r="E28" s="68" t="str">
        <f t="shared" si="15"/>
        <v>#REF!</v>
      </c>
      <c r="F28" s="73"/>
      <c r="G28" s="145">
        <f>SUM(G18:G27)</f>
        <v>6227547.224</v>
      </c>
      <c r="H28" s="147"/>
      <c r="I28" s="146">
        <f>SUM(I18:I27)</f>
        <v>4847156.833</v>
      </c>
      <c r="J28" s="147"/>
      <c r="K28" s="68">
        <f>SUM(K18:K27)</f>
        <v>34016849.72</v>
      </c>
      <c r="L28" s="70"/>
      <c r="M28" s="68" t="str">
        <f>SUM(M18:M27)</f>
        <v>#REF!</v>
      </c>
      <c r="N28" s="70"/>
      <c r="O28" s="118">
        <f>SUM(O18:O27)</f>
        <v>9036289.533</v>
      </c>
      <c r="P28" s="147"/>
      <c r="Q28" s="118">
        <f>SUM(Q18:Q27)</f>
        <v>7617810.817</v>
      </c>
      <c r="R28" s="147"/>
      <c r="S28" s="146">
        <f>SUM(S18:S27)</f>
        <v>666610.48</v>
      </c>
      <c r="T28" s="147"/>
      <c r="U28" s="146" t="str">
        <f>SUM(U18:U27)</f>
        <v>#REF!</v>
      </c>
      <c r="V28" s="147"/>
      <c r="W28" s="118">
        <f>SUM(W18:W27)</f>
        <v>7121489.539</v>
      </c>
      <c r="X28" s="147"/>
      <c r="Y28" s="118">
        <f>SUM(Y18:Y27)</f>
        <v>6562264.991</v>
      </c>
      <c r="Z28" s="147"/>
      <c r="AA28" s="118">
        <f>SUM(AA18:AA27)</f>
        <v>3508685.07</v>
      </c>
      <c r="AB28" s="147"/>
      <c r="AC28" s="118">
        <f>SUM(AC18:AC27)</f>
        <v>3895159.014</v>
      </c>
      <c r="AD28" s="147"/>
      <c r="AE28" s="118">
        <f>SUM(AE18:AE27)</f>
        <v>7132445.212</v>
      </c>
      <c r="AF28" s="147"/>
      <c r="AG28" s="118">
        <f>SUM(AG18:AG27)</f>
        <v>7012797.713</v>
      </c>
      <c r="AH28" s="147"/>
      <c r="AI28" s="146">
        <f>SUM(AI18:AI27)</f>
        <v>778154.25</v>
      </c>
      <c r="AJ28" s="147"/>
      <c r="AK28" s="146" t="str">
        <f>SUM(AK18:AK27)</f>
        <v>#REF!</v>
      </c>
      <c r="AL28" s="147"/>
      <c r="AM28" s="146">
        <f>SUM(AM18:AM27)</f>
        <v>665996.5052</v>
      </c>
      <c r="AN28" s="147"/>
      <c r="AO28" s="146">
        <f>SUM(AO18:AO27)</f>
        <v>125081</v>
      </c>
      <c r="AP28" s="147"/>
      <c r="AQ28" s="118">
        <f>SUM(AQ18:AQ27)</f>
        <v>3871656.753</v>
      </c>
      <c r="AR28" s="147"/>
      <c r="AS28" s="118">
        <f>SUM(AS18:AS27)</f>
        <v>133996.6667</v>
      </c>
      <c r="AT28" s="120"/>
      <c r="AU28" s="118">
        <f>SUM(AU18:AU27)</f>
        <v>186335.8886</v>
      </c>
      <c r="AV28" s="147"/>
      <c r="AW28" s="146" t="str">
        <f>SUM(AW18:AW27)</f>
        <v>#REF!</v>
      </c>
      <c r="AX28" s="120"/>
      <c r="AY28" s="146">
        <f>SUM(AY18:AY27)</f>
        <v>140825.6019</v>
      </c>
      <c r="AZ28" s="147"/>
      <c r="BA28" s="146" t="str">
        <f>SUM(BA18:BA27)</f>
        <v>#REF!</v>
      </c>
      <c r="BB28" s="120"/>
      <c r="BC28" s="146">
        <f>SUM(BC18:BC27)</f>
        <v>141845.3419</v>
      </c>
      <c r="BD28" s="147"/>
      <c r="BE28" s="146" t="str">
        <f>SUM(BE18:BE27)</f>
        <v>#REF!</v>
      </c>
      <c r="BF28" s="120"/>
      <c r="BG28" s="146">
        <f>SUM(BG18:BG27)</f>
        <v>766515.55</v>
      </c>
      <c r="BH28" s="147"/>
      <c r="BI28" s="146">
        <f>SUM(BI18:BI27)</f>
        <v>0</v>
      </c>
      <c r="BJ28" s="120"/>
    </row>
    <row r="29" ht="15.75" customHeight="1">
      <c r="A29" s="3"/>
      <c r="B29" s="308"/>
      <c r="C29" s="91"/>
      <c r="D29" s="92"/>
      <c r="E29" s="92"/>
      <c r="F29" s="94"/>
      <c r="G29" s="144"/>
      <c r="H29" s="100"/>
      <c r="I29" s="96"/>
      <c r="J29" s="100"/>
      <c r="K29" s="92"/>
      <c r="L29" s="92"/>
      <c r="M29" s="92"/>
      <c r="N29" s="92"/>
      <c r="O29" s="100"/>
      <c r="P29" s="100"/>
      <c r="Q29" s="100"/>
      <c r="R29" s="100"/>
      <c r="S29" s="96"/>
      <c r="T29" s="100"/>
      <c r="U29" s="96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96"/>
      <c r="AJ29" s="100"/>
      <c r="AK29" s="96"/>
      <c r="AL29" s="100"/>
      <c r="AM29" s="96"/>
      <c r="AN29" s="100"/>
      <c r="AO29" s="96"/>
      <c r="AP29" s="100"/>
      <c r="AQ29" s="100"/>
      <c r="AR29" s="100"/>
      <c r="AS29" s="100"/>
      <c r="AT29" s="102"/>
      <c r="AU29" s="100"/>
      <c r="AV29" s="100"/>
      <c r="AW29" s="100"/>
      <c r="AX29" s="102"/>
      <c r="AY29" s="96"/>
      <c r="AZ29" s="100"/>
      <c r="BA29" s="96"/>
      <c r="BB29" s="102"/>
      <c r="BC29" s="96"/>
      <c r="BD29" s="100"/>
      <c r="BE29" s="96"/>
      <c r="BF29" s="102"/>
      <c r="BG29" s="96"/>
      <c r="BH29" s="100"/>
      <c r="BI29" s="96"/>
      <c r="BJ29" s="102"/>
    </row>
    <row r="30" ht="15.75" customHeight="1">
      <c r="A30" s="3"/>
      <c r="B30" s="307" t="s">
        <v>45</v>
      </c>
      <c r="C30" s="66">
        <f>C16-C28</f>
        <v>16462141.72</v>
      </c>
      <c r="D30" s="70"/>
      <c r="E30" s="68" t="str">
        <f>E16-E28</f>
        <v>#REF!</v>
      </c>
      <c r="F30" s="73"/>
      <c r="G30" s="145">
        <f>G16-G28</f>
        <v>-6227547.224</v>
      </c>
      <c r="H30" s="147"/>
      <c r="I30" s="146">
        <f>I16-I28</f>
        <v>-4847156.833</v>
      </c>
      <c r="J30" s="147"/>
      <c r="K30" s="68">
        <f>K16-K28</f>
        <v>22689688.94</v>
      </c>
      <c r="L30" s="70"/>
      <c r="M30" s="68" t="str">
        <f>M16-M28</f>
        <v>#REF!</v>
      </c>
      <c r="N30" s="70"/>
      <c r="O30" s="118">
        <f>O16-O28</f>
        <v>9336697.928</v>
      </c>
      <c r="P30" s="147"/>
      <c r="Q30" s="118">
        <f>Q16-Q28</f>
        <v>4624803.92</v>
      </c>
      <c r="R30" s="147"/>
      <c r="S30" s="146">
        <f>S16-S28</f>
        <v>678758.8604</v>
      </c>
      <c r="T30" s="147"/>
      <c r="U30" s="146" t="str">
        <f>U16-U28</f>
        <v>#REF!</v>
      </c>
      <c r="V30" s="147"/>
      <c r="W30" s="118">
        <f>W16-W28</f>
        <v>4743348.324</v>
      </c>
      <c r="X30" s="147"/>
      <c r="Y30" s="118">
        <f>Y16-Y28</f>
        <v>5053641.587</v>
      </c>
      <c r="Z30" s="147"/>
      <c r="AA30" s="118">
        <f>AA16-AA28</f>
        <v>3666308.863</v>
      </c>
      <c r="AB30" s="147"/>
      <c r="AC30" s="118">
        <f>AC16-AC28</f>
        <v>3750015.338</v>
      </c>
      <c r="AD30" s="147"/>
      <c r="AE30" s="118">
        <f>AE16-AE28</f>
        <v>6255597.943</v>
      </c>
      <c r="AF30" s="147"/>
      <c r="AG30" s="118">
        <f>AG16-AG28</f>
        <v>5564670.051</v>
      </c>
      <c r="AH30" s="147"/>
      <c r="AI30" s="146">
        <f>AI16-AI28</f>
        <v>-301269.25</v>
      </c>
      <c r="AJ30" s="147"/>
      <c r="AK30" s="146" t="str">
        <f>AK16-AK28</f>
        <v>#REF!</v>
      </c>
      <c r="AL30" s="147"/>
      <c r="AM30" s="146">
        <f>AM16-AM28</f>
        <v>-1260173.155</v>
      </c>
      <c r="AN30" s="147"/>
      <c r="AO30" s="146">
        <f>AO16-AO28</f>
        <v>-41291</v>
      </c>
      <c r="AP30" s="147"/>
      <c r="AQ30" s="118">
        <f>AQ16-AQ28</f>
        <v>903471.0714</v>
      </c>
      <c r="AR30" s="147"/>
      <c r="AS30" s="118">
        <f>AS16-AS28</f>
        <v>2707003.333</v>
      </c>
      <c r="AT30" s="120"/>
      <c r="AU30" s="118">
        <f>AU16-AU28</f>
        <v>-104462.4445</v>
      </c>
      <c r="AV30" s="147"/>
      <c r="AW30" s="118" t="str">
        <f>AW16-AW28</f>
        <v>#REF!</v>
      </c>
      <c r="AX30" s="120"/>
      <c r="AY30" s="146">
        <f>AY16-AY28</f>
        <v>-202351.7423</v>
      </c>
      <c r="AZ30" s="147"/>
      <c r="BA30" s="146" t="str">
        <f>BA16-BA28</f>
        <v>#REF!</v>
      </c>
      <c r="BB30" s="120"/>
      <c r="BC30" s="146">
        <f>BC16-BC28</f>
        <v>-180468.9018</v>
      </c>
      <c r="BD30" s="147"/>
      <c r="BE30" s="146" t="str">
        <f>BE16-BE28</f>
        <v>#REF!</v>
      </c>
      <c r="BF30" s="120"/>
      <c r="BG30" s="146">
        <f>BG16-BG28</f>
        <v>-845768.55</v>
      </c>
      <c r="BH30" s="147"/>
      <c r="BI30" s="146">
        <f>BI16-BI28</f>
        <v>0</v>
      </c>
      <c r="BJ30" s="120"/>
    </row>
    <row r="31" ht="15.75" customHeight="1">
      <c r="A31" s="3"/>
      <c r="B31" s="3"/>
      <c r="C31" s="3"/>
      <c r="D31" s="3"/>
      <c r="E31" s="3"/>
      <c r="F31" s="3"/>
      <c r="G31" s="175"/>
      <c r="H31" s="3"/>
      <c r="I31" s="17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175"/>
      <c r="AJ31" s="3"/>
      <c r="AK31" s="175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</row>
    <row r="32" ht="15.75" hidden="1" customHeight="1">
      <c r="A32" s="3"/>
      <c r="B32" s="3"/>
      <c r="C32" s="3"/>
      <c r="D32" s="3"/>
      <c r="E32" s="3"/>
      <c r="F32" s="3"/>
      <c r="G32" s="175"/>
      <c r="H32" s="3"/>
      <c r="I32" s="175"/>
      <c r="J32" s="3"/>
      <c r="K32" s="311">
        <f>+O30+S30+W30+AA30+AE30+AI30+AM30+AQ30+AU30+AY30+BC30+BG30</f>
        <v>22689688.94</v>
      </c>
      <c r="L32" s="3"/>
      <c r="M32" s="311" t="str">
        <f>+Q30+U30+Y30+AC30+AG30+AK30+AO30+AS30+AW30+BA30+BE30+BI30</f>
        <v>#REF!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175"/>
      <c r="AJ32" s="3"/>
      <c r="AK32" s="175"/>
      <c r="AL32" s="3"/>
      <c r="AM32" s="175">
        <f>MSBC!BF142</f>
        <v>-1259675.155</v>
      </c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ht="15.75" customHeight="1">
      <c r="A33" s="3"/>
      <c r="B33" s="3"/>
      <c r="C33" s="3"/>
      <c r="D33" s="3"/>
      <c r="E33" s="3"/>
      <c r="F33" s="3"/>
      <c r="G33" s="175"/>
      <c r="H33" s="3"/>
      <c r="I33" s="175"/>
      <c r="J33" s="3"/>
      <c r="K33" s="311">
        <f>+K30-K32</f>
        <v>-0.000000007450580597</v>
      </c>
      <c r="L33" s="3"/>
      <c r="M33" s="311" t="str">
        <f>+M30-M32</f>
        <v>#REF!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175"/>
      <c r="AJ33" s="3"/>
      <c r="AK33" s="175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</row>
    <row r="34" ht="15.75" customHeight="1">
      <c r="A34" s="3"/>
      <c r="B34" s="3"/>
      <c r="C34" s="3"/>
      <c r="D34" s="3"/>
      <c r="E34" s="3"/>
      <c r="F34" s="3"/>
      <c r="G34" s="175"/>
      <c r="H34" s="3"/>
      <c r="I34" s="17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175"/>
      <c r="AJ34" s="3"/>
      <c r="AK34" s="175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</row>
    <row r="35" ht="15.75" customHeight="1">
      <c r="A35" s="3"/>
      <c r="B35" s="3"/>
      <c r="C35" s="3"/>
      <c r="D35" s="3"/>
      <c r="E35" s="3"/>
      <c r="F35" s="3"/>
      <c r="G35" s="175"/>
      <c r="H35" s="3"/>
      <c r="I35" s="17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175"/>
      <c r="AJ35" s="3"/>
      <c r="AK35" s="175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</row>
    <row r="36" ht="15.75" customHeight="1">
      <c r="A36" s="3"/>
      <c r="B36" s="3"/>
      <c r="C36" s="3"/>
      <c r="D36" s="3"/>
      <c r="E36" s="3"/>
      <c r="F36" s="3"/>
      <c r="G36" s="175"/>
      <c r="H36" s="3"/>
      <c r="I36" s="17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75"/>
      <c r="AJ36" s="3"/>
      <c r="AK36" s="175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</row>
    <row r="37" ht="15.75" customHeight="1">
      <c r="A37" s="3"/>
      <c r="B37" s="3"/>
      <c r="C37" s="3"/>
      <c r="D37" s="3"/>
      <c r="E37" s="3"/>
      <c r="F37" s="3"/>
      <c r="G37" s="175"/>
      <c r="H37" s="3"/>
      <c r="I37" s="17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175"/>
      <c r="AJ37" s="3"/>
      <c r="AK37" s="175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</row>
    <row r="38" ht="15.75" customHeight="1">
      <c r="A38" s="3"/>
      <c r="B38" s="3"/>
      <c r="C38" s="3"/>
      <c r="D38" s="3"/>
      <c r="E38" s="3"/>
      <c r="F38" s="3"/>
      <c r="G38" s="175"/>
      <c r="H38" s="3"/>
      <c r="I38" s="17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75"/>
      <c r="AJ38" s="3"/>
      <c r="AK38" s="175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</row>
    <row r="39" ht="15.75" customHeight="1">
      <c r="A39" s="3"/>
      <c r="B39" s="3"/>
      <c r="C39" s="3"/>
      <c r="D39" s="3"/>
      <c r="E39" s="3"/>
      <c r="F39" s="3"/>
      <c r="G39" s="175"/>
      <c r="H39" s="3"/>
      <c r="I39" s="175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175"/>
      <c r="AJ39" s="3"/>
      <c r="AK39" s="175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</row>
    <row r="40" ht="15.75" customHeight="1">
      <c r="A40" s="3"/>
      <c r="B40" s="3"/>
      <c r="C40" s="3"/>
      <c r="D40" s="3"/>
      <c r="E40" s="3"/>
      <c r="F40" s="3"/>
      <c r="G40" s="175"/>
      <c r="H40" s="3"/>
      <c r="I40" s="17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175"/>
      <c r="AJ40" s="3"/>
      <c r="AK40" s="175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</row>
    <row r="41" ht="15.75" customHeight="1">
      <c r="A41" s="3"/>
      <c r="B41" s="3"/>
      <c r="C41" s="3"/>
      <c r="D41" s="3"/>
      <c r="E41" s="3"/>
      <c r="F41" s="3"/>
      <c r="G41" s="175"/>
      <c r="H41" s="3"/>
      <c r="I41" s="175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175"/>
      <c r="AJ41" s="3"/>
      <c r="AK41" s="175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</row>
    <row r="42" ht="15.75" customHeight="1">
      <c r="A42" s="3"/>
      <c r="B42" s="3"/>
      <c r="C42" s="3"/>
      <c r="D42" s="3"/>
      <c r="E42" s="3"/>
      <c r="F42" s="3"/>
      <c r="G42" s="175"/>
      <c r="H42" s="3"/>
      <c r="I42" s="17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75"/>
      <c r="AJ42" s="3"/>
      <c r="AK42" s="175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</row>
    <row r="43" ht="15.75" customHeight="1">
      <c r="A43" s="3"/>
      <c r="B43" s="3"/>
      <c r="C43" s="3"/>
      <c r="D43" s="3"/>
      <c r="E43" s="3"/>
      <c r="F43" s="3"/>
      <c r="G43" s="175"/>
      <c r="H43" s="3"/>
      <c r="I43" s="17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175"/>
      <c r="AJ43" s="3"/>
      <c r="AK43" s="175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</row>
    <row r="44" ht="15.75" customHeight="1">
      <c r="A44" s="3"/>
      <c r="B44" s="3"/>
      <c r="C44" s="3"/>
      <c r="D44" s="3"/>
      <c r="E44" s="3"/>
      <c r="F44" s="3"/>
      <c r="G44" s="175"/>
      <c r="H44" s="3"/>
      <c r="I44" s="17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175"/>
      <c r="AJ44" s="3"/>
      <c r="AK44" s="175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</row>
    <row r="45" ht="15.75" customHeight="1">
      <c r="A45" s="3"/>
      <c r="B45" s="3"/>
      <c r="C45" s="3"/>
      <c r="D45" s="3"/>
      <c r="E45" s="3"/>
      <c r="F45" s="3"/>
      <c r="G45" s="175"/>
      <c r="H45" s="3"/>
      <c r="I45" s="17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175"/>
      <c r="AJ45" s="3"/>
      <c r="AK45" s="175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</row>
    <row r="46" ht="15.75" customHeight="1">
      <c r="A46" s="3"/>
      <c r="B46" s="3"/>
      <c r="C46" s="3"/>
      <c r="D46" s="3"/>
      <c r="E46" s="3"/>
      <c r="F46" s="3"/>
      <c r="G46" s="175"/>
      <c r="H46" s="3"/>
      <c r="I46" s="17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175"/>
      <c r="AJ46" s="3"/>
      <c r="AK46" s="175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</row>
    <row r="47" ht="15.75" customHeight="1">
      <c r="A47" s="3"/>
      <c r="B47" s="3"/>
      <c r="C47" s="3"/>
      <c r="D47" s="3"/>
      <c r="E47" s="3"/>
      <c r="F47" s="3"/>
      <c r="G47" s="175"/>
      <c r="H47" s="3"/>
      <c r="I47" s="175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175"/>
      <c r="AJ47" s="3"/>
      <c r="AK47" s="175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</row>
    <row r="48" ht="15.75" customHeight="1">
      <c r="A48" s="3"/>
      <c r="B48" s="3"/>
      <c r="C48" s="3"/>
      <c r="D48" s="3"/>
      <c r="E48" s="3"/>
      <c r="F48" s="3"/>
      <c r="G48" s="175"/>
      <c r="H48" s="3"/>
      <c r="I48" s="17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175"/>
      <c r="AJ48" s="3"/>
      <c r="AK48" s="175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</row>
    <row r="49" ht="15.75" customHeight="1">
      <c r="A49" s="3"/>
      <c r="B49" s="3"/>
      <c r="C49" s="3"/>
      <c r="D49" s="3"/>
      <c r="E49" s="3"/>
      <c r="F49" s="3"/>
      <c r="G49" s="175"/>
      <c r="H49" s="3"/>
      <c r="I49" s="17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175"/>
      <c r="AJ49" s="3"/>
      <c r="AK49" s="175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</row>
    <row r="50" ht="15.75" customHeight="1">
      <c r="A50" s="3"/>
      <c r="B50" s="3"/>
      <c r="C50" s="3"/>
      <c r="D50" s="3"/>
      <c r="E50" s="3"/>
      <c r="F50" s="3"/>
      <c r="G50" s="175"/>
      <c r="H50" s="3"/>
      <c r="I50" s="175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175"/>
      <c r="AJ50" s="3"/>
      <c r="AK50" s="175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</row>
    <row r="51" ht="15.75" customHeight="1">
      <c r="A51" s="3"/>
      <c r="B51" s="3"/>
      <c r="C51" s="3"/>
      <c r="D51" s="3"/>
      <c r="E51" s="3"/>
      <c r="F51" s="3"/>
      <c r="G51" s="175"/>
      <c r="H51" s="3"/>
      <c r="I51" s="17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175"/>
      <c r="AJ51" s="3"/>
      <c r="AK51" s="175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</row>
    <row r="52" ht="15.75" customHeight="1">
      <c r="A52" s="3"/>
      <c r="B52" s="3"/>
      <c r="C52" s="3"/>
      <c r="D52" s="3"/>
      <c r="E52" s="3"/>
      <c r="F52" s="3"/>
      <c r="G52" s="175"/>
      <c r="H52" s="3"/>
      <c r="I52" s="17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175"/>
      <c r="AJ52" s="3"/>
      <c r="AK52" s="175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</row>
    <row r="53" ht="15.75" customHeight="1">
      <c r="A53" s="3"/>
      <c r="B53" s="3"/>
      <c r="C53" s="3"/>
      <c r="D53" s="3"/>
      <c r="E53" s="3"/>
      <c r="F53" s="3"/>
      <c r="G53" s="175"/>
      <c r="H53" s="3"/>
      <c r="I53" s="17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175"/>
      <c r="AJ53" s="3"/>
      <c r="AK53" s="175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</row>
    <row r="54" ht="15.75" customHeight="1">
      <c r="A54" s="3"/>
      <c r="B54" s="3"/>
      <c r="C54" s="3"/>
      <c r="D54" s="3"/>
      <c r="E54" s="3"/>
      <c r="F54" s="3"/>
      <c r="G54" s="175"/>
      <c r="H54" s="3"/>
      <c r="I54" s="17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175"/>
      <c r="AJ54" s="3"/>
      <c r="AK54" s="175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</row>
    <row r="55" ht="15.75" customHeight="1">
      <c r="A55" s="3"/>
      <c r="B55" s="3"/>
      <c r="C55" s="3"/>
      <c r="D55" s="3"/>
      <c r="E55" s="3"/>
      <c r="F55" s="3"/>
      <c r="G55" s="175"/>
      <c r="H55" s="3"/>
      <c r="I55" s="17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175"/>
      <c r="AJ55" s="3"/>
      <c r="AK55" s="175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</row>
    <row r="56" ht="15.75" customHeight="1">
      <c r="A56" s="3"/>
      <c r="B56" s="3"/>
      <c r="C56" s="3"/>
      <c r="D56" s="3"/>
      <c r="E56" s="3"/>
      <c r="F56" s="3"/>
      <c r="G56" s="175"/>
      <c r="H56" s="3"/>
      <c r="I56" s="17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175"/>
      <c r="AJ56" s="3"/>
      <c r="AK56" s="175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ht="15.75" customHeight="1">
      <c r="A57" s="3"/>
      <c r="B57" s="3"/>
      <c r="C57" s="3"/>
      <c r="D57" s="3"/>
      <c r="E57" s="3"/>
      <c r="F57" s="3"/>
      <c r="G57" s="175"/>
      <c r="H57" s="3"/>
      <c r="I57" s="17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175"/>
      <c r="AJ57" s="3"/>
      <c r="AK57" s="175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</row>
    <row r="58" ht="15.75" customHeight="1">
      <c r="A58" s="3"/>
      <c r="B58" s="3"/>
      <c r="C58" s="3"/>
      <c r="D58" s="3"/>
      <c r="E58" s="3"/>
      <c r="F58" s="3"/>
      <c r="G58" s="175"/>
      <c r="H58" s="3"/>
      <c r="I58" s="17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175"/>
      <c r="AJ58" s="3"/>
      <c r="AK58" s="175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</row>
    <row r="59" ht="15.75" customHeight="1">
      <c r="A59" s="3"/>
      <c r="B59" s="3"/>
      <c r="C59" s="3"/>
      <c r="D59" s="3"/>
      <c r="E59" s="3"/>
      <c r="F59" s="3"/>
      <c r="G59" s="175"/>
      <c r="H59" s="3"/>
      <c r="I59" s="17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175"/>
      <c r="AJ59" s="3"/>
      <c r="AK59" s="175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</row>
    <row r="60" ht="15.75" customHeight="1">
      <c r="A60" s="3"/>
      <c r="B60" s="3"/>
      <c r="C60" s="3"/>
      <c r="D60" s="3"/>
      <c r="E60" s="3"/>
      <c r="F60" s="3"/>
      <c r="G60" s="175"/>
      <c r="H60" s="3"/>
      <c r="I60" s="17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175"/>
      <c r="AJ60" s="3"/>
      <c r="AK60" s="175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</row>
    <row r="61" ht="15.75" customHeight="1">
      <c r="A61" s="3"/>
      <c r="B61" s="3"/>
      <c r="C61" s="3"/>
      <c r="D61" s="3"/>
      <c r="E61" s="3"/>
      <c r="F61" s="3"/>
      <c r="G61" s="175"/>
      <c r="H61" s="3"/>
      <c r="I61" s="17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175"/>
      <c r="AJ61" s="3"/>
      <c r="AK61" s="175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</row>
    <row r="62" ht="15.75" customHeight="1">
      <c r="A62" s="3"/>
      <c r="B62" s="3"/>
      <c r="C62" s="3"/>
      <c r="D62" s="3"/>
      <c r="E62" s="3"/>
      <c r="F62" s="3"/>
      <c r="G62" s="175"/>
      <c r="H62" s="3"/>
      <c r="I62" s="17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175"/>
      <c r="AJ62" s="3"/>
      <c r="AK62" s="175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</row>
    <row r="63" ht="15.75" customHeight="1">
      <c r="A63" s="3"/>
      <c r="B63" s="3"/>
      <c r="C63" s="3"/>
      <c r="D63" s="3"/>
      <c r="E63" s="3"/>
      <c r="F63" s="3"/>
      <c r="G63" s="175"/>
      <c r="H63" s="3"/>
      <c r="I63" s="17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175"/>
      <c r="AJ63" s="3"/>
      <c r="AK63" s="175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</row>
    <row r="64" ht="15.75" customHeight="1">
      <c r="A64" s="3"/>
      <c r="B64" s="3"/>
      <c r="C64" s="3"/>
      <c r="D64" s="3"/>
      <c r="E64" s="3"/>
      <c r="F64" s="3"/>
      <c r="G64" s="175"/>
      <c r="H64" s="3"/>
      <c r="I64" s="17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175"/>
      <c r="AJ64" s="3"/>
      <c r="AK64" s="175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</row>
    <row r="65" ht="15.75" customHeight="1">
      <c r="A65" s="3"/>
      <c r="B65" s="3"/>
      <c r="C65" s="3"/>
      <c r="D65" s="3"/>
      <c r="E65" s="3"/>
      <c r="F65" s="3"/>
      <c r="G65" s="175"/>
      <c r="H65" s="3"/>
      <c r="I65" s="17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175"/>
      <c r="AJ65" s="3"/>
      <c r="AK65" s="175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</row>
    <row r="66" ht="15.75" customHeight="1">
      <c r="A66" s="3"/>
      <c r="B66" s="3"/>
      <c r="C66" s="3"/>
      <c r="D66" s="3"/>
      <c r="E66" s="3"/>
      <c r="F66" s="3"/>
      <c r="G66" s="175"/>
      <c r="H66" s="3"/>
      <c r="I66" s="17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175"/>
      <c r="AJ66" s="3"/>
      <c r="AK66" s="175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</row>
    <row r="67" ht="15.75" customHeight="1">
      <c r="A67" s="3"/>
      <c r="B67" s="3"/>
      <c r="C67" s="3"/>
      <c r="D67" s="3"/>
      <c r="E67" s="3"/>
      <c r="F67" s="3"/>
      <c r="G67" s="175"/>
      <c r="H67" s="3"/>
      <c r="I67" s="17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175"/>
      <c r="AJ67" s="3"/>
      <c r="AK67" s="175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</row>
    <row r="68" ht="15.75" customHeight="1">
      <c r="A68" s="3"/>
      <c r="B68" s="3"/>
      <c r="C68" s="3"/>
      <c r="D68" s="3"/>
      <c r="E68" s="3"/>
      <c r="F68" s="3"/>
      <c r="G68" s="175"/>
      <c r="H68" s="3"/>
      <c r="I68" s="17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175"/>
      <c r="AJ68" s="3"/>
      <c r="AK68" s="175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</row>
    <row r="69" ht="15.75" customHeight="1">
      <c r="A69" s="3"/>
      <c r="B69" s="3"/>
      <c r="C69" s="3"/>
      <c r="D69" s="3"/>
      <c r="E69" s="3"/>
      <c r="F69" s="3"/>
      <c r="G69" s="175"/>
      <c r="H69" s="3"/>
      <c r="I69" s="17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175"/>
      <c r="AJ69" s="3"/>
      <c r="AK69" s="175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</row>
    <row r="70" ht="15.75" customHeight="1">
      <c r="A70" s="3"/>
      <c r="B70" s="3"/>
      <c r="C70" s="3"/>
      <c r="D70" s="3"/>
      <c r="E70" s="3"/>
      <c r="F70" s="3"/>
      <c r="G70" s="175"/>
      <c r="H70" s="3"/>
      <c r="I70" s="17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175"/>
      <c r="AJ70" s="3"/>
      <c r="AK70" s="175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</row>
    <row r="71" ht="15.75" customHeight="1">
      <c r="A71" s="3"/>
      <c r="B71" s="3"/>
      <c r="C71" s="3"/>
      <c r="D71" s="3"/>
      <c r="E71" s="3"/>
      <c r="F71" s="3"/>
      <c r="G71" s="175"/>
      <c r="H71" s="3"/>
      <c r="I71" s="17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175"/>
      <c r="AJ71" s="3"/>
      <c r="AK71" s="175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</row>
    <row r="72" ht="15.75" customHeight="1">
      <c r="A72" s="3"/>
      <c r="B72" s="3"/>
      <c r="C72" s="3"/>
      <c r="D72" s="3"/>
      <c r="E72" s="3"/>
      <c r="F72" s="3"/>
      <c r="G72" s="175"/>
      <c r="H72" s="3"/>
      <c r="I72" s="17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175"/>
      <c r="AJ72" s="3"/>
      <c r="AK72" s="175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</row>
    <row r="73" ht="15.75" customHeight="1">
      <c r="A73" s="3"/>
      <c r="B73" s="3"/>
      <c r="C73" s="3"/>
      <c r="D73" s="3"/>
      <c r="E73" s="3"/>
      <c r="F73" s="3"/>
      <c r="G73" s="175"/>
      <c r="H73" s="3"/>
      <c r="I73" s="17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175"/>
      <c r="AJ73" s="3"/>
      <c r="AK73" s="175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</row>
    <row r="74" ht="15.75" customHeight="1">
      <c r="A74" s="3"/>
      <c r="B74" s="3"/>
      <c r="C74" s="3"/>
      <c r="D74" s="3"/>
      <c r="E74" s="3"/>
      <c r="F74" s="3"/>
      <c r="G74" s="175"/>
      <c r="H74" s="3"/>
      <c r="I74" s="17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175"/>
      <c r="AJ74" s="3"/>
      <c r="AK74" s="175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</row>
    <row r="75" ht="15.75" customHeight="1">
      <c r="A75" s="3"/>
      <c r="B75" s="3"/>
      <c r="C75" s="3"/>
      <c r="D75" s="3"/>
      <c r="E75" s="3"/>
      <c r="F75" s="3"/>
      <c r="G75" s="175"/>
      <c r="H75" s="3"/>
      <c r="I75" s="17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175"/>
      <c r="AJ75" s="3"/>
      <c r="AK75" s="175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</row>
    <row r="76" ht="15.75" customHeight="1">
      <c r="A76" s="3"/>
      <c r="B76" s="3"/>
      <c r="C76" s="3"/>
      <c r="D76" s="3"/>
      <c r="E76" s="3"/>
      <c r="F76" s="3"/>
      <c r="G76" s="175"/>
      <c r="H76" s="3"/>
      <c r="I76" s="17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175"/>
      <c r="AJ76" s="3"/>
      <c r="AK76" s="175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</row>
    <row r="77" ht="15.75" customHeight="1">
      <c r="A77" s="3"/>
      <c r="B77" s="3"/>
      <c r="C77" s="3"/>
      <c r="D77" s="3"/>
      <c r="E77" s="3"/>
      <c r="F77" s="3"/>
      <c r="G77" s="175"/>
      <c r="H77" s="3"/>
      <c r="I77" s="17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175"/>
      <c r="AJ77" s="3"/>
      <c r="AK77" s="175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</row>
    <row r="78" ht="15.75" customHeight="1">
      <c r="A78" s="3"/>
      <c r="B78" s="3"/>
      <c r="C78" s="3"/>
      <c r="D78" s="3"/>
      <c r="E78" s="3"/>
      <c r="F78" s="3"/>
      <c r="G78" s="175"/>
      <c r="H78" s="3"/>
      <c r="I78" s="17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175"/>
      <c r="AJ78" s="3"/>
      <c r="AK78" s="175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</row>
    <row r="79" ht="15.75" customHeight="1">
      <c r="A79" s="3"/>
      <c r="B79" s="3"/>
      <c r="C79" s="3"/>
      <c r="D79" s="3"/>
      <c r="E79" s="3"/>
      <c r="F79" s="3"/>
      <c r="G79" s="175"/>
      <c r="H79" s="3"/>
      <c r="I79" s="17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175"/>
      <c r="AJ79" s="3"/>
      <c r="AK79" s="175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</row>
    <row r="80" ht="15.75" customHeight="1">
      <c r="A80" s="3"/>
      <c r="B80" s="3"/>
      <c r="C80" s="3"/>
      <c r="D80" s="3"/>
      <c r="E80" s="3"/>
      <c r="F80" s="3"/>
      <c r="G80" s="175"/>
      <c r="H80" s="3"/>
      <c r="I80" s="17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175"/>
      <c r="AJ80" s="3"/>
      <c r="AK80" s="175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</row>
    <row r="81" ht="15.75" customHeight="1">
      <c r="A81" s="3"/>
      <c r="B81" s="3"/>
      <c r="C81" s="3"/>
      <c r="D81" s="3"/>
      <c r="E81" s="3"/>
      <c r="F81" s="3"/>
      <c r="G81" s="175"/>
      <c r="H81" s="3"/>
      <c r="I81" s="17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175"/>
      <c r="AJ81" s="3"/>
      <c r="AK81" s="175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</row>
    <row r="82" ht="15.75" customHeight="1">
      <c r="A82" s="3"/>
      <c r="B82" s="3"/>
      <c r="C82" s="3"/>
      <c r="D82" s="3"/>
      <c r="E82" s="3"/>
      <c r="F82" s="3"/>
      <c r="G82" s="175"/>
      <c r="H82" s="3"/>
      <c r="I82" s="17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175"/>
      <c r="AJ82" s="3"/>
      <c r="AK82" s="175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</row>
    <row r="83" ht="15.75" customHeight="1">
      <c r="A83" s="3"/>
      <c r="B83" s="3"/>
      <c r="C83" s="3"/>
      <c r="D83" s="3"/>
      <c r="E83" s="3"/>
      <c r="F83" s="3"/>
      <c r="G83" s="175"/>
      <c r="H83" s="3"/>
      <c r="I83" s="17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175"/>
      <c r="AJ83" s="3"/>
      <c r="AK83" s="175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</row>
    <row r="84" ht="15.75" customHeight="1">
      <c r="A84" s="3"/>
      <c r="B84" s="3"/>
      <c r="C84" s="3"/>
      <c r="D84" s="3"/>
      <c r="E84" s="3"/>
      <c r="F84" s="3"/>
      <c r="G84" s="175"/>
      <c r="H84" s="3"/>
      <c r="I84" s="175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175"/>
      <c r="AJ84" s="3"/>
      <c r="AK84" s="175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</row>
    <row r="85" ht="15.75" customHeight="1">
      <c r="A85" s="3"/>
      <c r="B85" s="3"/>
      <c r="C85" s="3"/>
      <c r="D85" s="3"/>
      <c r="E85" s="3"/>
      <c r="F85" s="3"/>
      <c r="G85" s="175"/>
      <c r="H85" s="3"/>
      <c r="I85" s="17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175"/>
      <c r="AJ85" s="3"/>
      <c r="AK85" s="175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</row>
    <row r="86" ht="15.75" customHeight="1">
      <c r="A86" s="3"/>
      <c r="B86" s="3"/>
      <c r="C86" s="3"/>
      <c r="D86" s="3"/>
      <c r="E86" s="3"/>
      <c r="F86" s="3"/>
      <c r="G86" s="175"/>
      <c r="H86" s="3"/>
      <c r="I86" s="17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175"/>
      <c r="AJ86" s="3"/>
      <c r="AK86" s="175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</row>
    <row r="87" ht="15.75" customHeight="1">
      <c r="A87" s="3"/>
      <c r="B87" s="3"/>
      <c r="C87" s="3"/>
      <c r="D87" s="3"/>
      <c r="E87" s="3"/>
      <c r="F87" s="3"/>
      <c r="G87" s="175"/>
      <c r="H87" s="3"/>
      <c r="I87" s="17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175"/>
      <c r="AJ87" s="3"/>
      <c r="AK87" s="175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</row>
    <row r="88" ht="15.75" customHeight="1">
      <c r="A88" s="3"/>
      <c r="B88" s="3"/>
      <c r="C88" s="3"/>
      <c r="D88" s="3"/>
      <c r="E88" s="3"/>
      <c r="F88" s="3"/>
      <c r="G88" s="175"/>
      <c r="H88" s="3"/>
      <c r="I88" s="17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175"/>
      <c r="AJ88" s="3"/>
      <c r="AK88" s="175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</row>
    <row r="89" ht="15.75" customHeight="1">
      <c r="A89" s="3"/>
      <c r="B89" s="3"/>
      <c r="C89" s="3"/>
      <c r="D89" s="3"/>
      <c r="E89" s="3"/>
      <c r="F89" s="3"/>
      <c r="G89" s="175"/>
      <c r="H89" s="3"/>
      <c r="I89" s="17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175"/>
      <c r="AJ89" s="3"/>
      <c r="AK89" s="175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</row>
    <row r="90" ht="15.75" customHeight="1">
      <c r="A90" s="3"/>
      <c r="B90" s="3"/>
      <c r="C90" s="3"/>
      <c r="D90" s="3"/>
      <c r="E90" s="3"/>
      <c r="F90" s="3"/>
      <c r="G90" s="175"/>
      <c r="H90" s="3"/>
      <c r="I90" s="17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175"/>
      <c r="AJ90" s="3"/>
      <c r="AK90" s="175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</row>
    <row r="91" ht="15.75" customHeight="1">
      <c r="A91" s="3"/>
      <c r="B91" s="3"/>
      <c r="C91" s="3"/>
      <c r="D91" s="3"/>
      <c r="E91" s="3"/>
      <c r="F91" s="3"/>
      <c r="G91" s="175"/>
      <c r="H91" s="3"/>
      <c r="I91" s="175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175"/>
      <c r="AJ91" s="3"/>
      <c r="AK91" s="175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</row>
    <row r="92" ht="15.75" customHeight="1">
      <c r="A92" s="3"/>
      <c r="B92" s="3"/>
      <c r="C92" s="3"/>
      <c r="D92" s="3"/>
      <c r="E92" s="3"/>
      <c r="F92" s="3"/>
      <c r="G92" s="175"/>
      <c r="H92" s="3"/>
      <c r="I92" s="175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175"/>
      <c r="AJ92" s="3"/>
      <c r="AK92" s="175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</row>
    <row r="93" ht="15.75" customHeight="1">
      <c r="A93" s="3"/>
      <c r="B93" s="3"/>
      <c r="C93" s="3"/>
      <c r="D93" s="3"/>
      <c r="E93" s="3"/>
      <c r="F93" s="3"/>
      <c r="G93" s="175"/>
      <c r="H93" s="3"/>
      <c r="I93" s="175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175"/>
      <c r="AJ93" s="3"/>
      <c r="AK93" s="175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</row>
    <row r="94" ht="15.75" customHeight="1">
      <c r="A94" s="3"/>
      <c r="B94" s="3"/>
      <c r="C94" s="3"/>
      <c r="D94" s="3"/>
      <c r="E94" s="3"/>
      <c r="F94" s="3"/>
      <c r="G94" s="175"/>
      <c r="H94" s="3"/>
      <c r="I94" s="175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175"/>
      <c r="AJ94" s="3"/>
      <c r="AK94" s="175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</row>
    <row r="95" ht="15.75" customHeight="1">
      <c r="A95" s="3"/>
      <c r="B95" s="3"/>
      <c r="C95" s="3"/>
      <c r="D95" s="3"/>
      <c r="E95" s="3"/>
      <c r="F95" s="3"/>
      <c r="G95" s="175"/>
      <c r="H95" s="3"/>
      <c r="I95" s="175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175"/>
      <c r="AJ95" s="3"/>
      <c r="AK95" s="175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</row>
    <row r="96" ht="15.75" customHeight="1">
      <c r="A96" s="3"/>
      <c r="B96" s="3"/>
      <c r="C96" s="3"/>
      <c r="D96" s="3"/>
      <c r="E96" s="3"/>
      <c r="F96" s="3"/>
      <c r="G96" s="175"/>
      <c r="H96" s="3"/>
      <c r="I96" s="175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175"/>
      <c r="AJ96" s="3"/>
      <c r="AK96" s="175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</row>
    <row r="97" ht="15.75" customHeight="1">
      <c r="A97" s="3"/>
      <c r="B97" s="3"/>
      <c r="C97" s="3"/>
      <c r="D97" s="3"/>
      <c r="E97" s="3"/>
      <c r="F97" s="3"/>
      <c r="G97" s="175"/>
      <c r="H97" s="3"/>
      <c r="I97" s="175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175"/>
      <c r="AJ97" s="3"/>
      <c r="AK97" s="175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</row>
    <row r="98" ht="15.75" customHeight="1">
      <c r="A98" s="3"/>
      <c r="B98" s="3"/>
      <c r="C98" s="3"/>
      <c r="D98" s="3"/>
      <c r="E98" s="3"/>
      <c r="F98" s="3"/>
      <c r="G98" s="175"/>
      <c r="H98" s="3"/>
      <c r="I98" s="175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175"/>
      <c r="AJ98" s="3"/>
      <c r="AK98" s="175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</row>
    <row r="99" ht="15.75" customHeight="1">
      <c r="A99" s="3"/>
      <c r="B99" s="3"/>
      <c r="C99" s="3"/>
      <c r="D99" s="3"/>
      <c r="E99" s="3"/>
      <c r="F99" s="3"/>
      <c r="G99" s="175"/>
      <c r="H99" s="3"/>
      <c r="I99" s="175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175"/>
      <c r="AJ99" s="3"/>
      <c r="AK99" s="175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</row>
    <row r="100" ht="15.75" customHeight="1">
      <c r="A100" s="3"/>
      <c r="B100" s="3"/>
      <c r="C100" s="3"/>
      <c r="D100" s="3"/>
      <c r="E100" s="3"/>
      <c r="F100" s="3"/>
      <c r="G100" s="175"/>
      <c r="H100" s="3"/>
      <c r="I100" s="175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175"/>
      <c r="AJ100" s="3"/>
      <c r="AK100" s="175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</row>
    <row r="101" ht="15.75" customHeight="1">
      <c r="A101" s="3"/>
      <c r="B101" s="3"/>
      <c r="C101" s="3"/>
      <c r="D101" s="3"/>
      <c r="E101" s="3"/>
      <c r="F101" s="3"/>
      <c r="G101" s="175"/>
      <c r="H101" s="3"/>
      <c r="I101" s="175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175"/>
      <c r="AJ101" s="3"/>
      <c r="AK101" s="175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</row>
    <row r="102" ht="15.75" customHeight="1">
      <c r="A102" s="3"/>
      <c r="B102" s="3"/>
      <c r="C102" s="3"/>
      <c r="D102" s="3"/>
      <c r="E102" s="3"/>
      <c r="F102" s="3"/>
      <c r="G102" s="175"/>
      <c r="H102" s="3"/>
      <c r="I102" s="175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175"/>
      <c r="AJ102" s="3"/>
      <c r="AK102" s="175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</row>
    <row r="103" ht="15.75" customHeight="1">
      <c r="A103" s="3"/>
      <c r="B103" s="3"/>
      <c r="C103" s="3"/>
      <c r="D103" s="3"/>
      <c r="E103" s="3"/>
      <c r="F103" s="3"/>
      <c r="G103" s="175"/>
      <c r="H103" s="3"/>
      <c r="I103" s="175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175"/>
      <c r="AJ103" s="3"/>
      <c r="AK103" s="175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</row>
    <row r="104" ht="15.75" customHeight="1">
      <c r="A104" s="3"/>
      <c r="B104" s="3"/>
      <c r="C104" s="3"/>
      <c r="D104" s="3"/>
      <c r="E104" s="3"/>
      <c r="F104" s="3"/>
      <c r="G104" s="175"/>
      <c r="H104" s="3"/>
      <c r="I104" s="175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175"/>
      <c r="AJ104" s="3"/>
      <c r="AK104" s="175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</row>
    <row r="105" ht="15.75" customHeight="1">
      <c r="A105" s="3"/>
      <c r="B105" s="3"/>
      <c r="C105" s="3"/>
      <c r="D105" s="3"/>
      <c r="E105" s="3"/>
      <c r="F105" s="3"/>
      <c r="G105" s="175"/>
      <c r="H105" s="3"/>
      <c r="I105" s="175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175"/>
      <c r="AJ105" s="3"/>
      <c r="AK105" s="175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</row>
    <row r="106" ht="15.75" customHeight="1">
      <c r="A106" s="3"/>
      <c r="B106" s="3"/>
      <c r="C106" s="3"/>
      <c r="D106" s="3"/>
      <c r="E106" s="3"/>
      <c r="F106" s="3"/>
      <c r="G106" s="175"/>
      <c r="H106" s="3"/>
      <c r="I106" s="175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175"/>
      <c r="AJ106" s="3"/>
      <c r="AK106" s="175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</row>
    <row r="107" ht="15.75" customHeight="1">
      <c r="A107" s="3"/>
      <c r="B107" s="3"/>
      <c r="C107" s="3"/>
      <c r="D107" s="3"/>
      <c r="E107" s="3"/>
      <c r="F107" s="3"/>
      <c r="G107" s="175"/>
      <c r="H107" s="3"/>
      <c r="I107" s="175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175"/>
      <c r="AJ107" s="3"/>
      <c r="AK107" s="175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</row>
    <row r="108" ht="15.75" customHeight="1">
      <c r="A108" s="3"/>
      <c r="B108" s="3"/>
      <c r="C108" s="3"/>
      <c r="D108" s="3"/>
      <c r="E108" s="3"/>
      <c r="F108" s="3"/>
      <c r="G108" s="175"/>
      <c r="H108" s="3"/>
      <c r="I108" s="175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175"/>
      <c r="AJ108" s="3"/>
      <c r="AK108" s="175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</row>
    <row r="109" ht="15.75" customHeight="1">
      <c r="A109" s="3"/>
      <c r="B109" s="3"/>
      <c r="C109" s="3"/>
      <c r="D109" s="3"/>
      <c r="E109" s="3"/>
      <c r="F109" s="3"/>
      <c r="G109" s="175"/>
      <c r="H109" s="3"/>
      <c r="I109" s="175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175"/>
      <c r="AJ109" s="3"/>
      <c r="AK109" s="175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</row>
    <row r="110" ht="15.75" customHeight="1">
      <c r="A110" s="3"/>
      <c r="B110" s="3"/>
      <c r="C110" s="3"/>
      <c r="D110" s="3"/>
      <c r="E110" s="3"/>
      <c r="F110" s="3"/>
      <c r="G110" s="175"/>
      <c r="H110" s="3"/>
      <c r="I110" s="175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175"/>
      <c r="AJ110" s="3"/>
      <c r="AK110" s="175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ht="15.75" customHeight="1">
      <c r="A111" s="3"/>
      <c r="B111" s="3"/>
      <c r="C111" s="3"/>
      <c r="D111" s="3"/>
      <c r="E111" s="3"/>
      <c r="F111" s="3"/>
      <c r="G111" s="175"/>
      <c r="H111" s="3"/>
      <c r="I111" s="175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175"/>
      <c r="AJ111" s="3"/>
      <c r="AK111" s="175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ht="15.75" customHeight="1">
      <c r="A112" s="3"/>
      <c r="B112" s="3"/>
      <c r="C112" s="3"/>
      <c r="D112" s="3"/>
      <c r="E112" s="3"/>
      <c r="F112" s="3"/>
      <c r="G112" s="175"/>
      <c r="H112" s="3"/>
      <c r="I112" s="175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175"/>
      <c r="AJ112" s="3"/>
      <c r="AK112" s="175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</row>
    <row r="113" ht="15.75" customHeight="1">
      <c r="A113" s="3"/>
      <c r="B113" s="3"/>
      <c r="C113" s="3"/>
      <c r="D113" s="3"/>
      <c r="E113" s="3"/>
      <c r="F113" s="3"/>
      <c r="G113" s="175"/>
      <c r="H113" s="3"/>
      <c r="I113" s="175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175"/>
      <c r="AJ113" s="3"/>
      <c r="AK113" s="175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ht="15.75" customHeight="1">
      <c r="A114" s="3"/>
      <c r="B114" s="3"/>
      <c r="C114" s="3"/>
      <c r="D114" s="3"/>
      <c r="E114" s="3"/>
      <c r="F114" s="3"/>
      <c r="G114" s="175"/>
      <c r="H114" s="3"/>
      <c r="I114" s="175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175"/>
      <c r="AJ114" s="3"/>
      <c r="AK114" s="175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</row>
    <row r="115" ht="15.75" customHeight="1">
      <c r="A115" s="3"/>
      <c r="B115" s="3"/>
      <c r="C115" s="3"/>
      <c r="D115" s="3"/>
      <c r="E115" s="3"/>
      <c r="F115" s="3"/>
      <c r="G115" s="175"/>
      <c r="H115" s="3"/>
      <c r="I115" s="175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175"/>
      <c r="AJ115" s="3"/>
      <c r="AK115" s="175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</row>
    <row r="116" ht="15.75" customHeight="1">
      <c r="A116" s="3"/>
      <c r="B116" s="3"/>
      <c r="C116" s="3"/>
      <c r="D116" s="3"/>
      <c r="E116" s="3"/>
      <c r="F116" s="3"/>
      <c r="G116" s="175"/>
      <c r="H116" s="3"/>
      <c r="I116" s="175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175"/>
      <c r="AJ116" s="3"/>
      <c r="AK116" s="175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ht="15.75" customHeight="1">
      <c r="A117" s="3"/>
      <c r="B117" s="3"/>
      <c r="C117" s="3"/>
      <c r="D117" s="3"/>
      <c r="E117" s="3"/>
      <c r="F117" s="3"/>
      <c r="G117" s="175"/>
      <c r="H117" s="3"/>
      <c r="I117" s="175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175"/>
      <c r="AJ117" s="3"/>
      <c r="AK117" s="175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</row>
    <row r="118" ht="15.75" customHeight="1">
      <c r="A118" s="3"/>
      <c r="B118" s="3"/>
      <c r="C118" s="3"/>
      <c r="D118" s="3"/>
      <c r="E118" s="3"/>
      <c r="F118" s="3"/>
      <c r="G118" s="175"/>
      <c r="H118" s="3"/>
      <c r="I118" s="175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175"/>
      <c r="AJ118" s="3"/>
      <c r="AK118" s="175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ht="15.75" customHeight="1">
      <c r="A119" s="3"/>
      <c r="B119" s="3"/>
      <c r="C119" s="3"/>
      <c r="D119" s="3"/>
      <c r="E119" s="3"/>
      <c r="F119" s="3"/>
      <c r="G119" s="175"/>
      <c r="H119" s="3"/>
      <c r="I119" s="175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175"/>
      <c r="AJ119" s="3"/>
      <c r="AK119" s="175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ht="15.75" customHeight="1">
      <c r="A120" s="3"/>
      <c r="B120" s="3"/>
      <c r="C120" s="3"/>
      <c r="D120" s="3"/>
      <c r="E120" s="3"/>
      <c r="F120" s="3"/>
      <c r="G120" s="175"/>
      <c r="H120" s="3"/>
      <c r="I120" s="175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175"/>
      <c r="AJ120" s="3"/>
      <c r="AK120" s="175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</row>
    <row r="121" ht="15.75" customHeight="1">
      <c r="A121" s="3"/>
      <c r="B121" s="3"/>
      <c r="C121" s="3"/>
      <c r="D121" s="3"/>
      <c r="E121" s="3"/>
      <c r="F121" s="3"/>
      <c r="G121" s="175"/>
      <c r="H121" s="3"/>
      <c r="I121" s="175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175"/>
      <c r="AJ121" s="3"/>
      <c r="AK121" s="175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ht="15.75" customHeight="1">
      <c r="A122" s="3"/>
      <c r="B122" s="3"/>
      <c r="C122" s="3"/>
      <c r="D122" s="3"/>
      <c r="E122" s="3"/>
      <c r="F122" s="3"/>
      <c r="G122" s="175"/>
      <c r="H122" s="3"/>
      <c r="I122" s="175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175"/>
      <c r="AJ122" s="3"/>
      <c r="AK122" s="175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ht="15.75" customHeight="1">
      <c r="A123" s="3"/>
      <c r="B123" s="3"/>
      <c r="C123" s="3"/>
      <c r="D123" s="3"/>
      <c r="E123" s="3"/>
      <c r="F123" s="3"/>
      <c r="G123" s="175"/>
      <c r="H123" s="3"/>
      <c r="I123" s="175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175"/>
      <c r="AJ123" s="3"/>
      <c r="AK123" s="175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ht="15.75" customHeight="1">
      <c r="A124" s="3"/>
      <c r="B124" s="3"/>
      <c r="C124" s="3"/>
      <c r="D124" s="3"/>
      <c r="E124" s="3"/>
      <c r="F124" s="3"/>
      <c r="G124" s="175"/>
      <c r="H124" s="3"/>
      <c r="I124" s="175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175"/>
      <c r="AJ124" s="3"/>
      <c r="AK124" s="175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ht="15.75" customHeight="1">
      <c r="A125" s="3"/>
      <c r="B125" s="3"/>
      <c r="C125" s="3"/>
      <c r="D125" s="3"/>
      <c r="E125" s="3"/>
      <c r="F125" s="3"/>
      <c r="G125" s="175"/>
      <c r="H125" s="3"/>
      <c r="I125" s="175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175"/>
      <c r="AJ125" s="3"/>
      <c r="AK125" s="175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</row>
    <row r="126" ht="15.75" customHeight="1">
      <c r="A126" s="3"/>
      <c r="B126" s="3"/>
      <c r="C126" s="3"/>
      <c r="D126" s="3"/>
      <c r="E126" s="3"/>
      <c r="F126" s="3"/>
      <c r="G126" s="175"/>
      <c r="H126" s="3"/>
      <c r="I126" s="175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175"/>
      <c r="AJ126" s="3"/>
      <c r="AK126" s="175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</row>
    <row r="127" ht="15.75" customHeight="1">
      <c r="A127" s="3"/>
      <c r="B127" s="3"/>
      <c r="C127" s="3"/>
      <c r="D127" s="3"/>
      <c r="E127" s="3"/>
      <c r="F127" s="3"/>
      <c r="G127" s="175"/>
      <c r="H127" s="3"/>
      <c r="I127" s="175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175"/>
      <c r="AJ127" s="3"/>
      <c r="AK127" s="175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</row>
    <row r="128" ht="15.75" customHeight="1">
      <c r="A128" s="3"/>
      <c r="B128" s="3"/>
      <c r="C128" s="3"/>
      <c r="D128" s="3"/>
      <c r="E128" s="3"/>
      <c r="F128" s="3"/>
      <c r="G128" s="175"/>
      <c r="H128" s="3"/>
      <c r="I128" s="175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175"/>
      <c r="AJ128" s="3"/>
      <c r="AK128" s="175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ht="15.75" customHeight="1">
      <c r="A129" s="3"/>
      <c r="B129" s="3"/>
      <c r="C129" s="3"/>
      <c r="D129" s="3"/>
      <c r="E129" s="3"/>
      <c r="F129" s="3"/>
      <c r="G129" s="175"/>
      <c r="H129" s="3"/>
      <c r="I129" s="175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175"/>
      <c r="AJ129" s="3"/>
      <c r="AK129" s="175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A130" s="3"/>
      <c r="B130" s="3"/>
      <c r="C130" s="3"/>
      <c r="D130" s="3"/>
      <c r="E130" s="3"/>
      <c r="F130" s="3"/>
      <c r="G130" s="175"/>
      <c r="H130" s="3"/>
      <c r="I130" s="175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175"/>
      <c r="AJ130" s="3"/>
      <c r="AK130" s="175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A131" s="3"/>
      <c r="B131" s="3"/>
      <c r="C131" s="3"/>
      <c r="D131" s="3"/>
      <c r="E131" s="3"/>
      <c r="F131" s="3"/>
      <c r="G131" s="175"/>
      <c r="H131" s="3"/>
      <c r="I131" s="175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175"/>
      <c r="AJ131" s="3"/>
      <c r="AK131" s="175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A132" s="3"/>
      <c r="B132" s="3"/>
      <c r="C132" s="3"/>
      <c r="D132" s="3"/>
      <c r="E132" s="3"/>
      <c r="F132" s="3"/>
      <c r="G132" s="175"/>
      <c r="H132" s="3"/>
      <c r="I132" s="175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175"/>
      <c r="AJ132" s="3"/>
      <c r="AK132" s="175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A133" s="3"/>
      <c r="B133" s="3"/>
      <c r="C133" s="3"/>
      <c r="D133" s="3"/>
      <c r="E133" s="3"/>
      <c r="F133" s="3"/>
      <c r="G133" s="175"/>
      <c r="H133" s="3"/>
      <c r="I133" s="175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175"/>
      <c r="AJ133" s="3"/>
      <c r="AK133" s="175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A134" s="3"/>
      <c r="B134" s="3"/>
      <c r="C134" s="3"/>
      <c r="D134" s="3"/>
      <c r="E134" s="3"/>
      <c r="F134" s="3"/>
      <c r="G134" s="175"/>
      <c r="H134" s="3"/>
      <c r="I134" s="175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175"/>
      <c r="AJ134" s="3"/>
      <c r="AK134" s="175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A135" s="3"/>
      <c r="B135" s="3"/>
      <c r="C135" s="3"/>
      <c r="D135" s="3"/>
      <c r="E135" s="3"/>
      <c r="F135" s="3"/>
      <c r="G135" s="175"/>
      <c r="H135" s="3"/>
      <c r="I135" s="175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175"/>
      <c r="AJ135" s="3"/>
      <c r="AK135" s="175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A136" s="3"/>
      <c r="B136" s="3"/>
      <c r="C136" s="3"/>
      <c r="D136" s="3"/>
      <c r="E136" s="3"/>
      <c r="F136" s="3"/>
      <c r="G136" s="175"/>
      <c r="H136" s="3"/>
      <c r="I136" s="175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175"/>
      <c r="AJ136" s="3"/>
      <c r="AK136" s="175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A137" s="3"/>
      <c r="B137" s="3"/>
      <c r="C137" s="3"/>
      <c r="D137" s="3"/>
      <c r="E137" s="3"/>
      <c r="F137" s="3"/>
      <c r="G137" s="175"/>
      <c r="H137" s="3"/>
      <c r="I137" s="175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175"/>
      <c r="AJ137" s="3"/>
      <c r="AK137" s="175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A138" s="3"/>
      <c r="B138" s="3"/>
      <c r="C138" s="3"/>
      <c r="D138" s="3"/>
      <c r="E138" s="3"/>
      <c r="F138" s="3"/>
      <c r="G138" s="175"/>
      <c r="H138" s="3"/>
      <c r="I138" s="175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175"/>
      <c r="AJ138" s="3"/>
      <c r="AK138" s="175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A139" s="3"/>
      <c r="B139" s="3"/>
      <c r="C139" s="3"/>
      <c r="D139" s="3"/>
      <c r="E139" s="3"/>
      <c r="F139" s="3"/>
      <c r="G139" s="175"/>
      <c r="H139" s="3"/>
      <c r="I139" s="175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175"/>
      <c r="AJ139" s="3"/>
      <c r="AK139" s="175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A140" s="3"/>
      <c r="B140" s="3"/>
      <c r="C140" s="3"/>
      <c r="D140" s="3"/>
      <c r="E140" s="3"/>
      <c r="F140" s="3"/>
      <c r="G140" s="175"/>
      <c r="H140" s="3"/>
      <c r="I140" s="175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175"/>
      <c r="AJ140" s="3"/>
      <c r="AK140" s="175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A141" s="3"/>
      <c r="B141" s="3"/>
      <c r="C141" s="3"/>
      <c r="D141" s="3"/>
      <c r="E141" s="3"/>
      <c r="F141" s="3"/>
      <c r="G141" s="175"/>
      <c r="H141" s="3"/>
      <c r="I141" s="175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175"/>
      <c r="AJ141" s="3"/>
      <c r="AK141" s="175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A142" s="3"/>
      <c r="B142" s="3"/>
      <c r="C142" s="3"/>
      <c r="D142" s="3"/>
      <c r="E142" s="3"/>
      <c r="F142" s="3"/>
      <c r="G142" s="175"/>
      <c r="H142" s="3"/>
      <c r="I142" s="175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175"/>
      <c r="AJ142" s="3"/>
      <c r="AK142" s="175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A143" s="3"/>
      <c r="B143" s="3"/>
      <c r="C143" s="3"/>
      <c r="D143" s="3"/>
      <c r="E143" s="3"/>
      <c r="F143" s="3"/>
      <c r="G143" s="175"/>
      <c r="H143" s="3"/>
      <c r="I143" s="175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175"/>
      <c r="AJ143" s="3"/>
      <c r="AK143" s="175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A144" s="3"/>
      <c r="B144" s="3"/>
      <c r="C144" s="3"/>
      <c r="D144" s="3"/>
      <c r="E144" s="3"/>
      <c r="F144" s="3"/>
      <c r="G144" s="175"/>
      <c r="H144" s="3"/>
      <c r="I144" s="175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175"/>
      <c r="AJ144" s="3"/>
      <c r="AK144" s="175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A145" s="3"/>
      <c r="B145" s="3"/>
      <c r="C145" s="3"/>
      <c r="D145" s="3"/>
      <c r="E145" s="3"/>
      <c r="F145" s="3"/>
      <c r="G145" s="175"/>
      <c r="H145" s="3"/>
      <c r="I145" s="175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175"/>
      <c r="AJ145" s="3"/>
      <c r="AK145" s="175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A146" s="3"/>
      <c r="B146" s="3"/>
      <c r="C146" s="3"/>
      <c r="D146" s="3"/>
      <c r="E146" s="3"/>
      <c r="F146" s="3"/>
      <c r="G146" s="175"/>
      <c r="H146" s="3"/>
      <c r="I146" s="175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175"/>
      <c r="AJ146" s="3"/>
      <c r="AK146" s="175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A147" s="3"/>
      <c r="B147" s="3"/>
      <c r="C147" s="3"/>
      <c r="D147" s="3"/>
      <c r="E147" s="3"/>
      <c r="F147" s="3"/>
      <c r="G147" s="175"/>
      <c r="H147" s="3"/>
      <c r="I147" s="175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175"/>
      <c r="AJ147" s="3"/>
      <c r="AK147" s="175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A148" s="3"/>
      <c r="B148" s="3"/>
      <c r="C148" s="3"/>
      <c r="D148" s="3"/>
      <c r="E148" s="3"/>
      <c r="F148" s="3"/>
      <c r="G148" s="175"/>
      <c r="H148" s="3"/>
      <c r="I148" s="175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175"/>
      <c r="AJ148" s="3"/>
      <c r="AK148" s="175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A149" s="3"/>
      <c r="B149" s="3"/>
      <c r="C149" s="3"/>
      <c r="D149" s="3"/>
      <c r="E149" s="3"/>
      <c r="F149" s="3"/>
      <c r="G149" s="175"/>
      <c r="H149" s="3"/>
      <c r="I149" s="175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175"/>
      <c r="AJ149" s="3"/>
      <c r="AK149" s="175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A150" s="3"/>
      <c r="B150" s="3"/>
      <c r="C150" s="3"/>
      <c r="D150" s="3"/>
      <c r="E150" s="3"/>
      <c r="F150" s="3"/>
      <c r="G150" s="175"/>
      <c r="H150" s="3"/>
      <c r="I150" s="175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175"/>
      <c r="AJ150" s="3"/>
      <c r="AK150" s="175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A151" s="3"/>
      <c r="B151" s="3"/>
      <c r="C151" s="3"/>
      <c r="D151" s="3"/>
      <c r="E151" s="3"/>
      <c r="F151" s="3"/>
      <c r="G151" s="175"/>
      <c r="H151" s="3"/>
      <c r="I151" s="175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175"/>
      <c r="AJ151" s="3"/>
      <c r="AK151" s="175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A152" s="3"/>
      <c r="B152" s="3"/>
      <c r="C152" s="3"/>
      <c r="D152" s="3"/>
      <c r="E152" s="3"/>
      <c r="F152" s="3"/>
      <c r="G152" s="175"/>
      <c r="H152" s="3"/>
      <c r="I152" s="175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175"/>
      <c r="AJ152" s="3"/>
      <c r="AK152" s="175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A153" s="3"/>
      <c r="B153" s="3"/>
      <c r="C153" s="3"/>
      <c r="D153" s="3"/>
      <c r="E153" s="3"/>
      <c r="F153" s="3"/>
      <c r="G153" s="175"/>
      <c r="H153" s="3"/>
      <c r="I153" s="175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175"/>
      <c r="AJ153" s="3"/>
      <c r="AK153" s="175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A154" s="3"/>
      <c r="B154" s="3"/>
      <c r="C154" s="3"/>
      <c r="D154" s="3"/>
      <c r="E154" s="3"/>
      <c r="F154" s="3"/>
      <c r="G154" s="175"/>
      <c r="H154" s="3"/>
      <c r="I154" s="175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175"/>
      <c r="AJ154" s="3"/>
      <c r="AK154" s="175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A155" s="3"/>
      <c r="B155" s="3"/>
      <c r="C155" s="3"/>
      <c r="D155" s="3"/>
      <c r="E155" s="3"/>
      <c r="F155" s="3"/>
      <c r="G155" s="175"/>
      <c r="H155" s="3"/>
      <c r="I155" s="175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175"/>
      <c r="AJ155" s="3"/>
      <c r="AK155" s="175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A156" s="3"/>
      <c r="B156" s="3"/>
      <c r="C156" s="3"/>
      <c r="D156" s="3"/>
      <c r="E156" s="3"/>
      <c r="F156" s="3"/>
      <c r="G156" s="175"/>
      <c r="H156" s="3"/>
      <c r="I156" s="175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175"/>
      <c r="AJ156" s="3"/>
      <c r="AK156" s="175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A157" s="3"/>
      <c r="B157" s="3"/>
      <c r="C157" s="3"/>
      <c r="D157" s="3"/>
      <c r="E157" s="3"/>
      <c r="F157" s="3"/>
      <c r="G157" s="175"/>
      <c r="H157" s="3"/>
      <c r="I157" s="175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175"/>
      <c r="AJ157" s="3"/>
      <c r="AK157" s="175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A158" s="3"/>
      <c r="B158" s="3"/>
      <c r="C158" s="3"/>
      <c r="D158" s="3"/>
      <c r="E158" s="3"/>
      <c r="F158" s="3"/>
      <c r="G158" s="175"/>
      <c r="H158" s="3"/>
      <c r="I158" s="175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175"/>
      <c r="AJ158" s="3"/>
      <c r="AK158" s="175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A159" s="3"/>
      <c r="B159" s="3"/>
      <c r="C159" s="3"/>
      <c r="D159" s="3"/>
      <c r="E159" s="3"/>
      <c r="F159" s="3"/>
      <c r="G159" s="175"/>
      <c r="H159" s="3"/>
      <c r="I159" s="175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175"/>
      <c r="AJ159" s="3"/>
      <c r="AK159" s="175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A160" s="3"/>
      <c r="B160" s="3"/>
      <c r="C160" s="3"/>
      <c r="D160" s="3"/>
      <c r="E160" s="3"/>
      <c r="F160" s="3"/>
      <c r="G160" s="175"/>
      <c r="H160" s="3"/>
      <c r="I160" s="175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175"/>
      <c r="AJ160" s="3"/>
      <c r="AK160" s="175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A161" s="3"/>
      <c r="B161" s="3"/>
      <c r="C161" s="3"/>
      <c r="D161" s="3"/>
      <c r="E161" s="3"/>
      <c r="F161" s="3"/>
      <c r="G161" s="175"/>
      <c r="H161" s="3"/>
      <c r="I161" s="175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175"/>
      <c r="AJ161" s="3"/>
      <c r="AK161" s="175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A162" s="3"/>
      <c r="B162" s="3"/>
      <c r="C162" s="3"/>
      <c r="D162" s="3"/>
      <c r="E162" s="3"/>
      <c r="F162" s="3"/>
      <c r="G162" s="175"/>
      <c r="H162" s="3"/>
      <c r="I162" s="175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175"/>
      <c r="AJ162" s="3"/>
      <c r="AK162" s="175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A163" s="3"/>
      <c r="B163" s="3"/>
      <c r="C163" s="3"/>
      <c r="D163" s="3"/>
      <c r="E163" s="3"/>
      <c r="F163" s="3"/>
      <c r="G163" s="175"/>
      <c r="H163" s="3"/>
      <c r="I163" s="175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175"/>
      <c r="AJ163" s="3"/>
      <c r="AK163" s="175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A164" s="3"/>
      <c r="B164" s="3"/>
      <c r="C164" s="3"/>
      <c r="D164" s="3"/>
      <c r="E164" s="3"/>
      <c r="F164" s="3"/>
      <c r="G164" s="175"/>
      <c r="H164" s="3"/>
      <c r="I164" s="175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175"/>
      <c r="AJ164" s="3"/>
      <c r="AK164" s="175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A165" s="3"/>
      <c r="B165" s="3"/>
      <c r="C165" s="3"/>
      <c r="D165" s="3"/>
      <c r="E165" s="3"/>
      <c r="F165" s="3"/>
      <c r="G165" s="175"/>
      <c r="H165" s="3"/>
      <c r="I165" s="175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175"/>
      <c r="AJ165" s="3"/>
      <c r="AK165" s="175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A166" s="3"/>
      <c r="B166" s="3"/>
      <c r="C166" s="3"/>
      <c r="D166" s="3"/>
      <c r="E166" s="3"/>
      <c r="F166" s="3"/>
      <c r="G166" s="175"/>
      <c r="H166" s="3"/>
      <c r="I166" s="175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175"/>
      <c r="AJ166" s="3"/>
      <c r="AK166" s="175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A167" s="3"/>
      <c r="B167" s="3"/>
      <c r="C167" s="3"/>
      <c r="D167" s="3"/>
      <c r="E167" s="3"/>
      <c r="F167" s="3"/>
      <c r="G167" s="175"/>
      <c r="H167" s="3"/>
      <c r="I167" s="175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175"/>
      <c r="AJ167" s="3"/>
      <c r="AK167" s="175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A168" s="3"/>
      <c r="B168" s="3"/>
      <c r="C168" s="3"/>
      <c r="D168" s="3"/>
      <c r="E168" s="3"/>
      <c r="F168" s="3"/>
      <c r="G168" s="175"/>
      <c r="H168" s="3"/>
      <c r="I168" s="175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175"/>
      <c r="AJ168" s="3"/>
      <c r="AK168" s="175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A169" s="3"/>
      <c r="B169" s="3"/>
      <c r="C169" s="3"/>
      <c r="D169" s="3"/>
      <c r="E169" s="3"/>
      <c r="F169" s="3"/>
      <c r="G169" s="175"/>
      <c r="H169" s="3"/>
      <c r="I169" s="175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175"/>
      <c r="AJ169" s="3"/>
      <c r="AK169" s="175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A170" s="3"/>
      <c r="B170" s="3"/>
      <c r="C170" s="3"/>
      <c r="D170" s="3"/>
      <c r="E170" s="3"/>
      <c r="F170" s="3"/>
      <c r="G170" s="175"/>
      <c r="H170" s="3"/>
      <c r="I170" s="175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175"/>
      <c r="AJ170" s="3"/>
      <c r="AK170" s="175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A171" s="3"/>
      <c r="B171" s="3"/>
      <c r="C171" s="3"/>
      <c r="D171" s="3"/>
      <c r="E171" s="3"/>
      <c r="F171" s="3"/>
      <c r="G171" s="175"/>
      <c r="H171" s="3"/>
      <c r="I171" s="175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175"/>
      <c r="AJ171" s="3"/>
      <c r="AK171" s="175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A172" s="3"/>
      <c r="B172" s="3"/>
      <c r="C172" s="3"/>
      <c r="D172" s="3"/>
      <c r="E172" s="3"/>
      <c r="F172" s="3"/>
      <c r="G172" s="175"/>
      <c r="H172" s="3"/>
      <c r="I172" s="175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175"/>
      <c r="AJ172" s="3"/>
      <c r="AK172" s="175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A173" s="3"/>
      <c r="B173" s="3"/>
      <c r="C173" s="3"/>
      <c r="D173" s="3"/>
      <c r="E173" s="3"/>
      <c r="F173" s="3"/>
      <c r="G173" s="175"/>
      <c r="H173" s="3"/>
      <c r="I173" s="175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175"/>
      <c r="AJ173" s="3"/>
      <c r="AK173" s="175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A174" s="3"/>
      <c r="B174" s="3"/>
      <c r="C174" s="3"/>
      <c r="D174" s="3"/>
      <c r="E174" s="3"/>
      <c r="F174" s="3"/>
      <c r="G174" s="175"/>
      <c r="H174" s="3"/>
      <c r="I174" s="175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175"/>
      <c r="AJ174" s="3"/>
      <c r="AK174" s="175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A175" s="3"/>
      <c r="B175" s="3"/>
      <c r="C175" s="3"/>
      <c r="D175" s="3"/>
      <c r="E175" s="3"/>
      <c r="F175" s="3"/>
      <c r="G175" s="175"/>
      <c r="H175" s="3"/>
      <c r="I175" s="175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175"/>
      <c r="AJ175" s="3"/>
      <c r="AK175" s="175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A176" s="3"/>
      <c r="B176" s="3"/>
      <c r="C176" s="3"/>
      <c r="D176" s="3"/>
      <c r="E176" s="3"/>
      <c r="F176" s="3"/>
      <c r="G176" s="175"/>
      <c r="H176" s="3"/>
      <c r="I176" s="175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175"/>
      <c r="AJ176" s="3"/>
      <c r="AK176" s="175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A177" s="3"/>
      <c r="B177" s="3"/>
      <c r="C177" s="3"/>
      <c r="D177" s="3"/>
      <c r="E177" s="3"/>
      <c r="F177" s="3"/>
      <c r="G177" s="175"/>
      <c r="H177" s="3"/>
      <c r="I177" s="175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175"/>
      <c r="AJ177" s="3"/>
      <c r="AK177" s="175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A178" s="3"/>
      <c r="B178" s="3"/>
      <c r="C178" s="3"/>
      <c r="D178" s="3"/>
      <c r="E178" s="3"/>
      <c r="F178" s="3"/>
      <c r="G178" s="175"/>
      <c r="H178" s="3"/>
      <c r="I178" s="175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175"/>
      <c r="AJ178" s="3"/>
      <c r="AK178" s="175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A179" s="3"/>
      <c r="B179" s="3"/>
      <c r="C179" s="3"/>
      <c r="D179" s="3"/>
      <c r="E179" s="3"/>
      <c r="F179" s="3"/>
      <c r="G179" s="175"/>
      <c r="H179" s="3"/>
      <c r="I179" s="175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175"/>
      <c r="AJ179" s="3"/>
      <c r="AK179" s="175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A180" s="3"/>
      <c r="B180" s="3"/>
      <c r="C180" s="3"/>
      <c r="D180" s="3"/>
      <c r="E180" s="3"/>
      <c r="F180" s="3"/>
      <c r="G180" s="175"/>
      <c r="H180" s="3"/>
      <c r="I180" s="175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175"/>
      <c r="AJ180" s="3"/>
      <c r="AK180" s="175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A181" s="3"/>
      <c r="B181" s="3"/>
      <c r="C181" s="3"/>
      <c r="D181" s="3"/>
      <c r="E181" s="3"/>
      <c r="F181" s="3"/>
      <c r="G181" s="175"/>
      <c r="H181" s="3"/>
      <c r="I181" s="175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175"/>
      <c r="AJ181" s="3"/>
      <c r="AK181" s="175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A182" s="3"/>
      <c r="B182" s="3"/>
      <c r="C182" s="3"/>
      <c r="D182" s="3"/>
      <c r="E182" s="3"/>
      <c r="F182" s="3"/>
      <c r="G182" s="175"/>
      <c r="H182" s="3"/>
      <c r="I182" s="175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175"/>
      <c r="AJ182" s="3"/>
      <c r="AK182" s="175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A183" s="3"/>
      <c r="B183" s="3"/>
      <c r="C183" s="3"/>
      <c r="D183" s="3"/>
      <c r="E183" s="3"/>
      <c r="F183" s="3"/>
      <c r="G183" s="175"/>
      <c r="H183" s="3"/>
      <c r="I183" s="175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175"/>
      <c r="AJ183" s="3"/>
      <c r="AK183" s="175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A184" s="3"/>
      <c r="B184" s="3"/>
      <c r="C184" s="3"/>
      <c r="D184" s="3"/>
      <c r="E184" s="3"/>
      <c r="F184" s="3"/>
      <c r="G184" s="175"/>
      <c r="H184" s="3"/>
      <c r="I184" s="175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175"/>
      <c r="AJ184" s="3"/>
      <c r="AK184" s="175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A185" s="3"/>
      <c r="B185" s="3"/>
      <c r="C185" s="3"/>
      <c r="D185" s="3"/>
      <c r="E185" s="3"/>
      <c r="F185" s="3"/>
      <c r="G185" s="175"/>
      <c r="H185" s="3"/>
      <c r="I185" s="175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175"/>
      <c r="AJ185" s="3"/>
      <c r="AK185" s="175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A186" s="3"/>
      <c r="B186" s="3"/>
      <c r="C186" s="3"/>
      <c r="D186" s="3"/>
      <c r="E186" s="3"/>
      <c r="F186" s="3"/>
      <c r="G186" s="175"/>
      <c r="H186" s="3"/>
      <c r="I186" s="175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175"/>
      <c r="AJ186" s="3"/>
      <c r="AK186" s="175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A187" s="3"/>
      <c r="B187" s="3"/>
      <c r="C187" s="3"/>
      <c r="D187" s="3"/>
      <c r="E187" s="3"/>
      <c r="F187" s="3"/>
      <c r="G187" s="175"/>
      <c r="H187" s="3"/>
      <c r="I187" s="175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175"/>
      <c r="AJ187" s="3"/>
      <c r="AK187" s="175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A188" s="3"/>
      <c r="B188" s="3"/>
      <c r="C188" s="3"/>
      <c r="D188" s="3"/>
      <c r="E188" s="3"/>
      <c r="F188" s="3"/>
      <c r="G188" s="175"/>
      <c r="H188" s="3"/>
      <c r="I188" s="175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175"/>
      <c r="AJ188" s="3"/>
      <c r="AK188" s="175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A189" s="3"/>
      <c r="B189" s="3"/>
      <c r="C189" s="3"/>
      <c r="D189" s="3"/>
      <c r="E189" s="3"/>
      <c r="F189" s="3"/>
      <c r="G189" s="175"/>
      <c r="H189" s="3"/>
      <c r="I189" s="175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175"/>
      <c r="AJ189" s="3"/>
      <c r="AK189" s="175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A190" s="3"/>
      <c r="B190" s="3"/>
      <c r="C190" s="3"/>
      <c r="D190" s="3"/>
      <c r="E190" s="3"/>
      <c r="F190" s="3"/>
      <c r="G190" s="175"/>
      <c r="H190" s="3"/>
      <c r="I190" s="175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175"/>
      <c r="AJ190" s="3"/>
      <c r="AK190" s="175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A191" s="3"/>
      <c r="B191" s="3"/>
      <c r="C191" s="3"/>
      <c r="D191" s="3"/>
      <c r="E191" s="3"/>
      <c r="F191" s="3"/>
      <c r="G191" s="175"/>
      <c r="H191" s="3"/>
      <c r="I191" s="175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175"/>
      <c r="AJ191" s="3"/>
      <c r="AK191" s="175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A192" s="3"/>
      <c r="B192" s="3"/>
      <c r="C192" s="3"/>
      <c r="D192" s="3"/>
      <c r="E192" s="3"/>
      <c r="F192" s="3"/>
      <c r="G192" s="175"/>
      <c r="H192" s="3"/>
      <c r="I192" s="175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175"/>
      <c r="AJ192" s="3"/>
      <c r="AK192" s="175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A193" s="3"/>
      <c r="B193" s="3"/>
      <c r="C193" s="3"/>
      <c r="D193" s="3"/>
      <c r="E193" s="3"/>
      <c r="F193" s="3"/>
      <c r="G193" s="175"/>
      <c r="H193" s="3"/>
      <c r="I193" s="175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175"/>
      <c r="AJ193" s="3"/>
      <c r="AK193" s="175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A194" s="3"/>
      <c r="B194" s="3"/>
      <c r="C194" s="3"/>
      <c r="D194" s="3"/>
      <c r="E194" s="3"/>
      <c r="F194" s="3"/>
      <c r="G194" s="175"/>
      <c r="H194" s="3"/>
      <c r="I194" s="175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175"/>
      <c r="AJ194" s="3"/>
      <c r="AK194" s="175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A195" s="3"/>
      <c r="B195" s="3"/>
      <c r="C195" s="3"/>
      <c r="D195" s="3"/>
      <c r="E195" s="3"/>
      <c r="F195" s="3"/>
      <c r="G195" s="175"/>
      <c r="H195" s="3"/>
      <c r="I195" s="175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175"/>
      <c r="AJ195" s="3"/>
      <c r="AK195" s="175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A196" s="3"/>
      <c r="B196" s="3"/>
      <c r="C196" s="3"/>
      <c r="D196" s="3"/>
      <c r="E196" s="3"/>
      <c r="F196" s="3"/>
      <c r="G196" s="175"/>
      <c r="H196" s="3"/>
      <c r="I196" s="175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175"/>
      <c r="AJ196" s="3"/>
      <c r="AK196" s="175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A197" s="3"/>
      <c r="B197" s="3"/>
      <c r="C197" s="3"/>
      <c r="D197" s="3"/>
      <c r="E197" s="3"/>
      <c r="F197" s="3"/>
      <c r="G197" s="175"/>
      <c r="H197" s="3"/>
      <c r="I197" s="175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175"/>
      <c r="AJ197" s="3"/>
      <c r="AK197" s="175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A198" s="3"/>
      <c r="B198" s="3"/>
      <c r="C198" s="3"/>
      <c r="D198" s="3"/>
      <c r="E198" s="3"/>
      <c r="F198" s="3"/>
      <c r="G198" s="175"/>
      <c r="H198" s="3"/>
      <c r="I198" s="175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175"/>
      <c r="AJ198" s="3"/>
      <c r="AK198" s="175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A199" s="3"/>
      <c r="B199" s="3"/>
      <c r="C199" s="3"/>
      <c r="D199" s="3"/>
      <c r="E199" s="3"/>
      <c r="F199" s="3"/>
      <c r="G199" s="175"/>
      <c r="H199" s="3"/>
      <c r="I199" s="175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175"/>
      <c r="AJ199" s="3"/>
      <c r="AK199" s="175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A200" s="3"/>
      <c r="B200" s="3"/>
      <c r="C200" s="3"/>
      <c r="D200" s="3"/>
      <c r="E200" s="3"/>
      <c r="F200" s="3"/>
      <c r="G200" s="175"/>
      <c r="H200" s="3"/>
      <c r="I200" s="175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175"/>
      <c r="AJ200" s="3"/>
      <c r="AK200" s="175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A201" s="3"/>
      <c r="B201" s="3"/>
      <c r="C201" s="3"/>
      <c r="D201" s="3"/>
      <c r="E201" s="3"/>
      <c r="F201" s="3"/>
      <c r="G201" s="175"/>
      <c r="H201" s="3"/>
      <c r="I201" s="175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175"/>
      <c r="AJ201" s="3"/>
      <c r="AK201" s="175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A202" s="3"/>
      <c r="B202" s="3"/>
      <c r="C202" s="3"/>
      <c r="D202" s="3"/>
      <c r="E202" s="3"/>
      <c r="F202" s="3"/>
      <c r="G202" s="175"/>
      <c r="H202" s="3"/>
      <c r="I202" s="175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175"/>
      <c r="AJ202" s="3"/>
      <c r="AK202" s="175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A203" s="3"/>
      <c r="B203" s="3"/>
      <c r="C203" s="3"/>
      <c r="D203" s="3"/>
      <c r="E203" s="3"/>
      <c r="F203" s="3"/>
      <c r="G203" s="175"/>
      <c r="H203" s="3"/>
      <c r="I203" s="175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175"/>
      <c r="AJ203" s="3"/>
      <c r="AK203" s="175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A204" s="3"/>
      <c r="B204" s="3"/>
      <c r="C204" s="3"/>
      <c r="D204" s="3"/>
      <c r="E204" s="3"/>
      <c r="F204" s="3"/>
      <c r="G204" s="175"/>
      <c r="H204" s="3"/>
      <c r="I204" s="175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175"/>
      <c r="AJ204" s="3"/>
      <c r="AK204" s="175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A205" s="3"/>
      <c r="B205" s="3"/>
      <c r="C205" s="3"/>
      <c r="D205" s="3"/>
      <c r="E205" s="3"/>
      <c r="F205" s="3"/>
      <c r="G205" s="175"/>
      <c r="H205" s="3"/>
      <c r="I205" s="175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175"/>
      <c r="AJ205" s="3"/>
      <c r="AK205" s="175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A206" s="3"/>
      <c r="B206" s="3"/>
      <c r="C206" s="3"/>
      <c r="D206" s="3"/>
      <c r="E206" s="3"/>
      <c r="F206" s="3"/>
      <c r="G206" s="175"/>
      <c r="H206" s="3"/>
      <c r="I206" s="175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175"/>
      <c r="AJ206" s="3"/>
      <c r="AK206" s="175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A207" s="3"/>
      <c r="B207" s="3"/>
      <c r="C207" s="3"/>
      <c r="D207" s="3"/>
      <c r="E207" s="3"/>
      <c r="F207" s="3"/>
      <c r="G207" s="175"/>
      <c r="H207" s="3"/>
      <c r="I207" s="175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175"/>
      <c r="AJ207" s="3"/>
      <c r="AK207" s="175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A208" s="3"/>
      <c r="B208" s="3"/>
      <c r="C208" s="3"/>
      <c r="D208" s="3"/>
      <c r="E208" s="3"/>
      <c r="F208" s="3"/>
      <c r="G208" s="175"/>
      <c r="H208" s="3"/>
      <c r="I208" s="175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175"/>
      <c r="AJ208" s="3"/>
      <c r="AK208" s="175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A209" s="3"/>
      <c r="B209" s="3"/>
      <c r="C209" s="3"/>
      <c r="D209" s="3"/>
      <c r="E209" s="3"/>
      <c r="F209" s="3"/>
      <c r="G209" s="175"/>
      <c r="H209" s="3"/>
      <c r="I209" s="175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175"/>
      <c r="AJ209" s="3"/>
      <c r="AK209" s="175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A210" s="3"/>
      <c r="B210" s="3"/>
      <c r="C210" s="3"/>
      <c r="D210" s="3"/>
      <c r="E210" s="3"/>
      <c r="F210" s="3"/>
      <c r="G210" s="175"/>
      <c r="H210" s="3"/>
      <c r="I210" s="175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175"/>
      <c r="AJ210" s="3"/>
      <c r="AK210" s="175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A211" s="3"/>
      <c r="B211" s="3"/>
      <c r="C211" s="3"/>
      <c r="D211" s="3"/>
      <c r="E211" s="3"/>
      <c r="F211" s="3"/>
      <c r="G211" s="175"/>
      <c r="H211" s="3"/>
      <c r="I211" s="175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175"/>
      <c r="AJ211" s="3"/>
      <c r="AK211" s="175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A212" s="3"/>
      <c r="B212" s="3"/>
      <c r="C212" s="3"/>
      <c r="D212" s="3"/>
      <c r="E212" s="3"/>
      <c r="F212" s="3"/>
      <c r="G212" s="175"/>
      <c r="H212" s="3"/>
      <c r="I212" s="175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175"/>
      <c r="AJ212" s="3"/>
      <c r="AK212" s="175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A213" s="3"/>
      <c r="B213" s="3"/>
      <c r="C213" s="3"/>
      <c r="D213" s="3"/>
      <c r="E213" s="3"/>
      <c r="F213" s="3"/>
      <c r="G213" s="175"/>
      <c r="H213" s="3"/>
      <c r="I213" s="175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175"/>
      <c r="AJ213" s="3"/>
      <c r="AK213" s="175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A214" s="3"/>
      <c r="B214" s="3"/>
      <c r="C214" s="3"/>
      <c r="D214" s="3"/>
      <c r="E214" s="3"/>
      <c r="F214" s="3"/>
      <c r="G214" s="175"/>
      <c r="H214" s="3"/>
      <c r="I214" s="175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175"/>
      <c r="AJ214" s="3"/>
      <c r="AK214" s="175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A215" s="3"/>
      <c r="B215" s="3"/>
      <c r="C215" s="3"/>
      <c r="D215" s="3"/>
      <c r="E215" s="3"/>
      <c r="F215" s="3"/>
      <c r="G215" s="175"/>
      <c r="H215" s="3"/>
      <c r="I215" s="175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175"/>
      <c r="AJ215" s="3"/>
      <c r="AK215" s="175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A216" s="3"/>
      <c r="B216" s="3"/>
      <c r="C216" s="3"/>
      <c r="D216" s="3"/>
      <c r="E216" s="3"/>
      <c r="F216" s="3"/>
      <c r="G216" s="175"/>
      <c r="H216" s="3"/>
      <c r="I216" s="175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175"/>
      <c r="AJ216" s="3"/>
      <c r="AK216" s="175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A217" s="3"/>
      <c r="B217" s="3"/>
      <c r="C217" s="3"/>
      <c r="D217" s="3"/>
      <c r="E217" s="3"/>
      <c r="F217" s="3"/>
      <c r="G217" s="175"/>
      <c r="H217" s="3"/>
      <c r="I217" s="175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175"/>
      <c r="AJ217" s="3"/>
      <c r="AK217" s="175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A218" s="3"/>
      <c r="B218" s="3"/>
      <c r="C218" s="3"/>
      <c r="D218" s="3"/>
      <c r="E218" s="3"/>
      <c r="F218" s="3"/>
      <c r="G218" s="175"/>
      <c r="H218" s="3"/>
      <c r="I218" s="175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175"/>
      <c r="AJ218" s="3"/>
      <c r="AK218" s="175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A219" s="3"/>
      <c r="B219" s="3"/>
      <c r="C219" s="3"/>
      <c r="D219" s="3"/>
      <c r="E219" s="3"/>
      <c r="F219" s="3"/>
      <c r="G219" s="175"/>
      <c r="H219" s="3"/>
      <c r="I219" s="175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175"/>
      <c r="AJ219" s="3"/>
      <c r="AK219" s="175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A220" s="3"/>
      <c r="B220" s="3"/>
      <c r="C220" s="3"/>
      <c r="D220" s="3"/>
      <c r="E220" s="3"/>
      <c r="F220" s="3"/>
      <c r="G220" s="175"/>
      <c r="H220" s="3"/>
      <c r="I220" s="175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175"/>
      <c r="AJ220" s="3"/>
      <c r="AK220" s="175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A221" s="3"/>
      <c r="B221" s="3"/>
      <c r="C221" s="3"/>
      <c r="D221" s="3"/>
      <c r="E221" s="3"/>
      <c r="F221" s="3"/>
      <c r="G221" s="175"/>
      <c r="H221" s="3"/>
      <c r="I221" s="175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175"/>
      <c r="AJ221" s="3"/>
      <c r="AK221" s="175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A222" s="3"/>
      <c r="B222" s="3"/>
      <c r="C222" s="3"/>
      <c r="D222" s="3"/>
      <c r="E222" s="3"/>
      <c r="F222" s="3"/>
      <c r="G222" s="175"/>
      <c r="H222" s="3"/>
      <c r="I222" s="175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175"/>
      <c r="AJ222" s="3"/>
      <c r="AK222" s="175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A223" s="3"/>
      <c r="B223" s="3"/>
      <c r="C223" s="3"/>
      <c r="D223" s="3"/>
      <c r="E223" s="3"/>
      <c r="F223" s="3"/>
      <c r="G223" s="175"/>
      <c r="H223" s="3"/>
      <c r="I223" s="175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175"/>
      <c r="AJ223" s="3"/>
      <c r="AK223" s="175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A224" s="3"/>
      <c r="B224" s="3"/>
      <c r="C224" s="3"/>
      <c r="D224" s="3"/>
      <c r="E224" s="3"/>
      <c r="F224" s="3"/>
      <c r="G224" s="175"/>
      <c r="H224" s="3"/>
      <c r="I224" s="175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175"/>
      <c r="AJ224" s="3"/>
      <c r="AK224" s="175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A225" s="3"/>
      <c r="B225" s="3"/>
      <c r="C225" s="3"/>
      <c r="D225" s="3"/>
      <c r="E225" s="3"/>
      <c r="F225" s="3"/>
      <c r="G225" s="175"/>
      <c r="H225" s="3"/>
      <c r="I225" s="175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175"/>
      <c r="AJ225" s="3"/>
      <c r="AK225" s="175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A226" s="3"/>
      <c r="B226" s="3"/>
      <c r="C226" s="3"/>
      <c r="D226" s="3"/>
      <c r="E226" s="3"/>
      <c r="F226" s="3"/>
      <c r="G226" s="175"/>
      <c r="H226" s="3"/>
      <c r="I226" s="175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175"/>
      <c r="AJ226" s="3"/>
      <c r="AK226" s="175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A227" s="3"/>
      <c r="B227" s="3"/>
      <c r="C227" s="3"/>
      <c r="D227" s="3"/>
      <c r="E227" s="3"/>
      <c r="F227" s="3"/>
      <c r="G227" s="175"/>
      <c r="H227" s="3"/>
      <c r="I227" s="175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175"/>
      <c r="AJ227" s="3"/>
      <c r="AK227" s="175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A228" s="3"/>
      <c r="B228" s="3"/>
      <c r="C228" s="3"/>
      <c r="D228" s="3"/>
      <c r="E228" s="3"/>
      <c r="F228" s="3"/>
      <c r="G228" s="175"/>
      <c r="H228" s="3"/>
      <c r="I228" s="175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175"/>
      <c r="AJ228" s="3"/>
      <c r="AK228" s="175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A229" s="3"/>
      <c r="B229" s="3"/>
      <c r="C229" s="3"/>
      <c r="D229" s="3"/>
      <c r="E229" s="3"/>
      <c r="F229" s="3"/>
      <c r="G229" s="175"/>
      <c r="H229" s="3"/>
      <c r="I229" s="175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175"/>
      <c r="AJ229" s="3"/>
      <c r="AK229" s="175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A230" s="3"/>
      <c r="B230" s="3"/>
      <c r="C230" s="3"/>
      <c r="D230" s="3"/>
      <c r="E230" s="3"/>
      <c r="F230" s="3"/>
      <c r="G230" s="175"/>
      <c r="H230" s="3"/>
      <c r="I230" s="175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175"/>
      <c r="AJ230" s="3"/>
      <c r="AK230" s="175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A231" s="3"/>
      <c r="B231" s="3"/>
      <c r="C231" s="3"/>
      <c r="D231" s="3"/>
      <c r="E231" s="3"/>
      <c r="F231" s="3"/>
      <c r="G231" s="175"/>
      <c r="H231" s="3"/>
      <c r="I231" s="175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175"/>
      <c r="AJ231" s="3"/>
      <c r="AK231" s="175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A232" s="3"/>
      <c r="B232" s="3"/>
      <c r="C232" s="3"/>
      <c r="D232" s="3"/>
      <c r="E232" s="3"/>
      <c r="F232" s="3"/>
      <c r="G232" s="175"/>
      <c r="H232" s="3"/>
      <c r="I232" s="175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175"/>
      <c r="AJ232" s="3"/>
      <c r="AK232" s="175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A233" s="3"/>
      <c r="B233" s="3"/>
      <c r="C233" s="3"/>
      <c r="D233" s="3"/>
      <c r="E233" s="3"/>
      <c r="F233" s="3"/>
      <c r="G233" s="175"/>
      <c r="H233" s="3"/>
      <c r="I233" s="175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175"/>
      <c r="AJ233" s="3"/>
      <c r="AK233" s="175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A234" s="3"/>
      <c r="B234" s="3"/>
      <c r="C234" s="3"/>
      <c r="D234" s="3"/>
      <c r="E234" s="3"/>
      <c r="F234" s="3"/>
      <c r="G234" s="175"/>
      <c r="H234" s="3"/>
      <c r="I234" s="175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175"/>
      <c r="AJ234" s="3"/>
      <c r="AK234" s="175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A235" s="3"/>
      <c r="B235" s="3"/>
      <c r="C235" s="3"/>
      <c r="D235" s="3"/>
      <c r="E235" s="3"/>
      <c r="F235" s="3"/>
      <c r="G235" s="175"/>
      <c r="H235" s="3"/>
      <c r="I235" s="175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175"/>
      <c r="AJ235" s="3"/>
      <c r="AK235" s="175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A236" s="3"/>
      <c r="B236" s="3"/>
      <c r="C236" s="3"/>
      <c r="D236" s="3"/>
      <c r="E236" s="3"/>
      <c r="F236" s="3"/>
      <c r="G236" s="175"/>
      <c r="H236" s="3"/>
      <c r="I236" s="175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175"/>
      <c r="AJ236" s="3"/>
      <c r="AK236" s="175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A237" s="3"/>
      <c r="B237" s="3"/>
      <c r="C237" s="3"/>
      <c r="D237" s="3"/>
      <c r="E237" s="3"/>
      <c r="F237" s="3"/>
      <c r="G237" s="175"/>
      <c r="H237" s="3"/>
      <c r="I237" s="175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175"/>
      <c r="AJ237" s="3"/>
      <c r="AK237" s="175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A238" s="3"/>
      <c r="B238" s="3"/>
      <c r="C238" s="3"/>
      <c r="D238" s="3"/>
      <c r="E238" s="3"/>
      <c r="F238" s="3"/>
      <c r="G238" s="175"/>
      <c r="H238" s="3"/>
      <c r="I238" s="175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175"/>
      <c r="AJ238" s="3"/>
      <c r="AK238" s="175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A239" s="3"/>
      <c r="B239" s="3"/>
      <c r="C239" s="3"/>
      <c r="D239" s="3"/>
      <c r="E239" s="3"/>
      <c r="F239" s="3"/>
      <c r="G239" s="175"/>
      <c r="H239" s="3"/>
      <c r="I239" s="175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175"/>
      <c r="AJ239" s="3"/>
      <c r="AK239" s="175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A240" s="3"/>
      <c r="B240" s="3"/>
      <c r="C240" s="3"/>
      <c r="D240" s="3"/>
      <c r="E240" s="3"/>
      <c r="F240" s="3"/>
      <c r="G240" s="175"/>
      <c r="H240" s="3"/>
      <c r="I240" s="175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175"/>
      <c r="AJ240" s="3"/>
      <c r="AK240" s="175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A241" s="3"/>
      <c r="B241" s="3"/>
      <c r="C241" s="3"/>
      <c r="D241" s="3"/>
      <c r="E241" s="3"/>
      <c r="F241" s="3"/>
      <c r="G241" s="175"/>
      <c r="H241" s="3"/>
      <c r="I241" s="175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175"/>
      <c r="AJ241" s="3"/>
      <c r="AK241" s="175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A242" s="3"/>
      <c r="B242" s="3"/>
      <c r="C242" s="3"/>
      <c r="D242" s="3"/>
      <c r="E242" s="3"/>
      <c r="F242" s="3"/>
      <c r="G242" s="175"/>
      <c r="H242" s="3"/>
      <c r="I242" s="175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175"/>
      <c r="AJ242" s="3"/>
      <c r="AK242" s="175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A243" s="3"/>
      <c r="B243" s="3"/>
      <c r="C243" s="3"/>
      <c r="D243" s="3"/>
      <c r="E243" s="3"/>
      <c r="F243" s="3"/>
      <c r="G243" s="175"/>
      <c r="H243" s="3"/>
      <c r="I243" s="175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175"/>
      <c r="AJ243" s="3"/>
      <c r="AK243" s="175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A244" s="3"/>
      <c r="B244" s="3"/>
      <c r="C244" s="3"/>
      <c r="D244" s="3"/>
      <c r="E244" s="3"/>
      <c r="F244" s="3"/>
      <c r="G244" s="175"/>
      <c r="H244" s="3"/>
      <c r="I244" s="175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175"/>
      <c r="AJ244" s="3"/>
      <c r="AK244" s="175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A245" s="3"/>
      <c r="B245" s="3"/>
      <c r="C245" s="3"/>
      <c r="D245" s="3"/>
      <c r="E245" s="3"/>
      <c r="F245" s="3"/>
      <c r="G245" s="175"/>
      <c r="H245" s="3"/>
      <c r="I245" s="175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175"/>
      <c r="AJ245" s="3"/>
      <c r="AK245" s="175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A246" s="3"/>
      <c r="B246" s="3"/>
      <c r="C246" s="3"/>
      <c r="D246" s="3"/>
      <c r="E246" s="3"/>
      <c r="F246" s="3"/>
      <c r="G246" s="175"/>
      <c r="H246" s="3"/>
      <c r="I246" s="175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175"/>
      <c r="AJ246" s="3"/>
      <c r="AK246" s="175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A247" s="3"/>
      <c r="B247" s="3"/>
      <c r="C247" s="3"/>
      <c r="D247" s="3"/>
      <c r="E247" s="3"/>
      <c r="F247" s="3"/>
      <c r="G247" s="175"/>
      <c r="H247" s="3"/>
      <c r="I247" s="175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175"/>
      <c r="AJ247" s="3"/>
      <c r="AK247" s="175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A248" s="3"/>
      <c r="B248" s="3"/>
      <c r="C248" s="3"/>
      <c r="D248" s="3"/>
      <c r="E248" s="3"/>
      <c r="F248" s="3"/>
      <c r="G248" s="175"/>
      <c r="H248" s="3"/>
      <c r="I248" s="175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175"/>
      <c r="AJ248" s="3"/>
      <c r="AK248" s="175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A249" s="3"/>
      <c r="B249" s="3"/>
      <c r="C249" s="3"/>
      <c r="D249" s="3"/>
      <c r="E249" s="3"/>
      <c r="F249" s="3"/>
      <c r="G249" s="175"/>
      <c r="H249" s="3"/>
      <c r="I249" s="175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175"/>
      <c r="AJ249" s="3"/>
      <c r="AK249" s="175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A250" s="3"/>
      <c r="B250" s="3"/>
      <c r="C250" s="3"/>
      <c r="D250" s="3"/>
      <c r="E250" s="3"/>
      <c r="F250" s="3"/>
      <c r="G250" s="175"/>
      <c r="H250" s="3"/>
      <c r="I250" s="175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175"/>
      <c r="AJ250" s="3"/>
      <c r="AK250" s="175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A251" s="3"/>
      <c r="B251" s="3"/>
      <c r="C251" s="3"/>
      <c r="D251" s="3"/>
      <c r="E251" s="3"/>
      <c r="F251" s="3"/>
      <c r="G251" s="175"/>
      <c r="H251" s="3"/>
      <c r="I251" s="175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175"/>
      <c r="AJ251" s="3"/>
      <c r="AK251" s="175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A252" s="3"/>
      <c r="B252" s="3"/>
      <c r="C252" s="3"/>
      <c r="D252" s="3"/>
      <c r="E252" s="3"/>
      <c r="F252" s="3"/>
      <c r="G252" s="175"/>
      <c r="H252" s="3"/>
      <c r="I252" s="175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175"/>
      <c r="AJ252" s="3"/>
      <c r="AK252" s="175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A253" s="3"/>
      <c r="B253" s="3"/>
      <c r="C253" s="3"/>
      <c r="D253" s="3"/>
      <c r="E253" s="3"/>
      <c r="F253" s="3"/>
      <c r="G253" s="175"/>
      <c r="H253" s="3"/>
      <c r="I253" s="175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175"/>
      <c r="AJ253" s="3"/>
      <c r="AK253" s="175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A254" s="3"/>
      <c r="B254" s="3"/>
      <c r="C254" s="3"/>
      <c r="D254" s="3"/>
      <c r="E254" s="3"/>
      <c r="F254" s="3"/>
      <c r="G254" s="175"/>
      <c r="H254" s="3"/>
      <c r="I254" s="175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175"/>
      <c r="AJ254" s="3"/>
      <c r="AK254" s="175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A255" s="3"/>
      <c r="B255" s="3"/>
      <c r="C255" s="3"/>
      <c r="D255" s="3"/>
      <c r="E255" s="3"/>
      <c r="F255" s="3"/>
      <c r="G255" s="175"/>
      <c r="H255" s="3"/>
      <c r="I255" s="175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175"/>
      <c r="AJ255" s="3"/>
      <c r="AK255" s="175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A256" s="3"/>
      <c r="B256" s="3"/>
      <c r="C256" s="3"/>
      <c r="D256" s="3"/>
      <c r="E256" s="3"/>
      <c r="F256" s="3"/>
      <c r="G256" s="175"/>
      <c r="H256" s="3"/>
      <c r="I256" s="175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175"/>
      <c r="AJ256" s="3"/>
      <c r="AK256" s="175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A257" s="3"/>
      <c r="B257" s="3"/>
      <c r="C257" s="3"/>
      <c r="D257" s="3"/>
      <c r="E257" s="3"/>
      <c r="F257" s="3"/>
      <c r="G257" s="175"/>
      <c r="H257" s="3"/>
      <c r="I257" s="175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175"/>
      <c r="AJ257" s="3"/>
      <c r="AK257" s="175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A258" s="3"/>
      <c r="B258" s="3"/>
      <c r="C258" s="3"/>
      <c r="D258" s="3"/>
      <c r="E258" s="3"/>
      <c r="F258" s="3"/>
      <c r="G258" s="175"/>
      <c r="H258" s="3"/>
      <c r="I258" s="175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175"/>
      <c r="AJ258" s="3"/>
      <c r="AK258" s="175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A259" s="3"/>
      <c r="B259" s="3"/>
      <c r="C259" s="3"/>
      <c r="D259" s="3"/>
      <c r="E259" s="3"/>
      <c r="F259" s="3"/>
      <c r="G259" s="175"/>
      <c r="H259" s="3"/>
      <c r="I259" s="175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175"/>
      <c r="AJ259" s="3"/>
      <c r="AK259" s="175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A260" s="3"/>
      <c r="B260" s="3"/>
      <c r="C260" s="3"/>
      <c r="D260" s="3"/>
      <c r="E260" s="3"/>
      <c r="F260" s="3"/>
      <c r="G260" s="175"/>
      <c r="H260" s="3"/>
      <c r="I260" s="175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175"/>
      <c r="AJ260" s="3"/>
      <c r="AK260" s="175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A261" s="3"/>
      <c r="B261" s="3"/>
      <c r="C261" s="3"/>
      <c r="D261" s="3"/>
      <c r="E261" s="3"/>
      <c r="F261" s="3"/>
      <c r="G261" s="175"/>
      <c r="H261" s="3"/>
      <c r="I261" s="175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175"/>
      <c r="AJ261" s="3"/>
      <c r="AK261" s="175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A262" s="3"/>
      <c r="B262" s="3"/>
      <c r="C262" s="3"/>
      <c r="D262" s="3"/>
      <c r="E262" s="3"/>
      <c r="F262" s="3"/>
      <c r="G262" s="175"/>
      <c r="H262" s="3"/>
      <c r="I262" s="175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175"/>
      <c r="AJ262" s="3"/>
      <c r="AK262" s="175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A263" s="3"/>
      <c r="B263" s="3"/>
      <c r="C263" s="3"/>
      <c r="D263" s="3"/>
      <c r="E263" s="3"/>
      <c r="F263" s="3"/>
      <c r="G263" s="175"/>
      <c r="H263" s="3"/>
      <c r="I263" s="175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175"/>
      <c r="AJ263" s="3"/>
      <c r="AK263" s="175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A264" s="3"/>
      <c r="B264" s="3"/>
      <c r="C264" s="3"/>
      <c r="D264" s="3"/>
      <c r="E264" s="3"/>
      <c r="F264" s="3"/>
      <c r="G264" s="175"/>
      <c r="H264" s="3"/>
      <c r="I264" s="175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175"/>
      <c r="AJ264" s="3"/>
      <c r="AK264" s="175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A265" s="3"/>
      <c r="B265" s="3"/>
      <c r="C265" s="3"/>
      <c r="D265" s="3"/>
      <c r="E265" s="3"/>
      <c r="F265" s="3"/>
      <c r="G265" s="175"/>
      <c r="H265" s="3"/>
      <c r="I265" s="175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175"/>
      <c r="AJ265" s="3"/>
      <c r="AK265" s="175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A266" s="3"/>
      <c r="B266" s="3"/>
      <c r="C266" s="3"/>
      <c r="D266" s="3"/>
      <c r="E266" s="3"/>
      <c r="F266" s="3"/>
      <c r="G266" s="175"/>
      <c r="H266" s="3"/>
      <c r="I266" s="175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175"/>
      <c r="AJ266" s="3"/>
      <c r="AK266" s="175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A267" s="3"/>
      <c r="B267" s="3"/>
      <c r="C267" s="3"/>
      <c r="D267" s="3"/>
      <c r="E267" s="3"/>
      <c r="F267" s="3"/>
      <c r="G267" s="175"/>
      <c r="H267" s="3"/>
      <c r="I267" s="175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175"/>
      <c r="AJ267" s="3"/>
      <c r="AK267" s="175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A268" s="3"/>
      <c r="B268" s="3"/>
      <c r="C268" s="3"/>
      <c r="D268" s="3"/>
      <c r="E268" s="3"/>
      <c r="F268" s="3"/>
      <c r="G268" s="175"/>
      <c r="H268" s="3"/>
      <c r="I268" s="175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175"/>
      <c r="AJ268" s="3"/>
      <c r="AK268" s="175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A269" s="3"/>
      <c r="B269" s="3"/>
      <c r="C269" s="3"/>
      <c r="D269" s="3"/>
      <c r="E269" s="3"/>
      <c r="F269" s="3"/>
      <c r="G269" s="175"/>
      <c r="H269" s="3"/>
      <c r="I269" s="175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175"/>
      <c r="AJ269" s="3"/>
      <c r="AK269" s="175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A270" s="3"/>
      <c r="B270" s="3"/>
      <c r="C270" s="3"/>
      <c r="D270" s="3"/>
      <c r="E270" s="3"/>
      <c r="F270" s="3"/>
      <c r="G270" s="175"/>
      <c r="H270" s="3"/>
      <c r="I270" s="175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175"/>
      <c r="AJ270" s="3"/>
      <c r="AK270" s="175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A271" s="3"/>
      <c r="B271" s="3"/>
      <c r="C271" s="3"/>
      <c r="D271" s="3"/>
      <c r="E271" s="3"/>
      <c r="F271" s="3"/>
      <c r="G271" s="175"/>
      <c r="H271" s="3"/>
      <c r="I271" s="175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175"/>
      <c r="AJ271" s="3"/>
      <c r="AK271" s="175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A272" s="3"/>
      <c r="B272" s="3"/>
      <c r="C272" s="3"/>
      <c r="D272" s="3"/>
      <c r="E272" s="3"/>
      <c r="F272" s="3"/>
      <c r="G272" s="175"/>
      <c r="H272" s="3"/>
      <c r="I272" s="175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175"/>
      <c r="AJ272" s="3"/>
      <c r="AK272" s="175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A273" s="3"/>
      <c r="B273" s="3"/>
      <c r="C273" s="3"/>
      <c r="D273" s="3"/>
      <c r="E273" s="3"/>
      <c r="F273" s="3"/>
      <c r="G273" s="175"/>
      <c r="H273" s="3"/>
      <c r="I273" s="175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175"/>
      <c r="AJ273" s="3"/>
      <c r="AK273" s="175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A274" s="3"/>
      <c r="B274" s="3"/>
      <c r="C274" s="3"/>
      <c r="D274" s="3"/>
      <c r="E274" s="3"/>
      <c r="F274" s="3"/>
      <c r="G274" s="175"/>
      <c r="H274" s="3"/>
      <c r="I274" s="175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175"/>
      <c r="AJ274" s="3"/>
      <c r="AK274" s="175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A275" s="3"/>
      <c r="B275" s="3"/>
      <c r="C275" s="3"/>
      <c r="D275" s="3"/>
      <c r="E275" s="3"/>
      <c r="F275" s="3"/>
      <c r="G275" s="175"/>
      <c r="H275" s="3"/>
      <c r="I275" s="175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175"/>
      <c r="AJ275" s="3"/>
      <c r="AK275" s="175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A276" s="3"/>
      <c r="B276" s="3"/>
      <c r="C276" s="3"/>
      <c r="D276" s="3"/>
      <c r="E276" s="3"/>
      <c r="F276" s="3"/>
      <c r="G276" s="175"/>
      <c r="H276" s="3"/>
      <c r="I276" s="175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175"/>
      <c r="AJ276" s="3"/>
      <c r="AK276" s="175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A277" s="3"/>
      <c r="B277" s="3"/>
      <c r="C277" s="3"/>
      <c r="D277" s="3"/>
      <c r="E277" s="3"/>
      <c r="F277" s="3"/>
      <c r="G277" s="175"/>
      <c r="H277" s="3"/>
      <c r="I277" s="175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175"/>
      <c r="AJ277" s="3"/>
      <c r="AK277" s="175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A278" s="3"/>
      <c r="B278" s="3"/>
      <c r="C278" s="3"/>
      <c r="D278" s="3"/>
      <c r="E278" s="3"/>
      <c r="F278" s="3"/>
      <c r="G278" s="175"/>
      <c r="H278" s="3"/>
      <c r="I278" s="175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175"/>
      <c r="AJ278" s="3"/>
      <c r="AK278" s="175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A279" s="3"/>
      <c r="B279" s="3"/>
      <c r="C279" s="3"/>
      <c r="D279" s="3"/>
      <c r="E279" s="3"/>
      <c r="F279" s="3"/>
      <c r="G279" s="175"/>
      <c r="H279" s="3"/>
      <c r="I279" s="175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175"/>
      <c r="AJ279" s="3"/>
      <c r="AK279" s="175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A280" s="3"/>
      <c r="B280" s="3"/>
      <c r="C280" s="3"/>
      <c r="D280" s="3"/>
      <c r="E280" s="3"/>
      <c r="F280" s="3"/>
      <c r="G280" s="175"/>
      <c r="H280" s="3"/>
      <c r="I280" s="175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175"/>
      <c r="AJ280" s="3"/>
      <c r="AK280" s="175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A281" s="3"/>
      <c r="B281" s="3"/>
      <c r="C281" s="3"/>
      <c r="D281" s="3"/>
      <c r="E281" s="3"/>
      <c r="F281" s="3"/>
      <c r="G281" s="175"/>
      <c r="H281" s="3"/>
      <c r="I281" s="175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175"/>
      <c r="AJ281" s="3"/>
      <c r="AK281" s="175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A282" s="3"/>
      <c r="B282" s="3"/>
      <c r="C282" s="3"/>
      <c r="D282" s="3"/>
      <c r="E282" s="3"/>
      <c r="F282" s="3"/>
      <c r="G282" s="175"/>
      <c r="H282" s="3"/>
      <c r="I282" s="175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175"/>
      <c r="AJ282" s="3"/>
      <c r="AK282" s="175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A283" s="3"/>
      <c r="B283" s="3"/>
      <c r="C283" s="3"/>
      <c r="D283" s="3"/>
      <c r="E283" s="3"/>
      <c r="F283" s="3"/>
      <c r="G283" s="175"/>
      <c r="H283" s="3"/>
      <c r="I283" s="175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175"/>
      <c r="AJ283" s="3"/>
      <c r="AK283" s="175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A284" s="3"/>
      <c r="B284" s="3"/>
      <c r="C284" s="3"/>
      <c r="D284" s="3"/>
      <c r="E284" s="3"/>
      <c r="F284" s="3"/>
      <c r="G284" s="175"/>
      <c r="H284" s="3"/>
      <c r="I284" s="175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175"/>
      <c r="AJ284" s="3"/>
      <c r="AK284" s="175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A285" s="3"/>
      <c r="B285" s="3"/>
      <c r="C285" s="3"/>
      <c r="D285" s="3"/>
      <c r="E285" s="3"/>
      <c r="F285" s="3"/>
      <c r="G285" s="175"/>
      <c r="H285" s="3"/>
      <c r="I285" s="175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175"/>
      <c r="AJ285" s="3"/>
      <c r="AK285" s="175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A286" s="3"/>
      <c r="B286" s="3"/>
      <c r="C286" s="3"/>
      <c r="D286" s="3"/>
      <c r="E286" s="3"/>
      <c r="F286" s="3"/>
      <c r="G286" s="175"/>
      <c r="H286" s="3"/>
      <c r="I286" s="175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175"/>
      <c r="AJ286" s="3"/>
      <c r="AK286" s="175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A287" s="3"/>
      <c r="B287" s="3"/>
      <c r="C287" s="3"/>
      <c r="D287" s="3"/>
      <c r="E287" s="3"/>
      <c r="F287" s="3"/>
      <c r="G287" s="175"/>
      <c r="H287" s="3"/>
      <c r="I287" s="175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175"/>
      <c r="AJ287" s="3"/>
      <c r="AK287" s="175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A288" s="3"/>
      <c r="B288" s="3"/>
      <c r="C288" s="3"/>
      <c r="D288" s="3"/>
      <c r="E288" s="3"/>
      <c r="F288" s="3"/>
      <c r="G288" s="175"/>
      <c r="H288" s="3"/>
      <c r="I288" s="175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175"/>
      <c r="AJ288" s="3"/>
      <c r="AK288" s="175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A289" s="3"/>
      <c r="B289" s="3"/>
      <c r="C289" s="3"/>
      <c r="D289" s="3"/>
      <c r="E289" s="3"/>
      <c r="F289" s="3"/>
      <c r="G289" s="175"/>
      <c r="H289" s="3"/>
      <c r="I289" s="175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175"/>
      <c r="AJ289" s="3"/>
      <c r="AK289" s="175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A290" s="3"/>
      <c r="B290" s="3"/>
      <c r="C290" s="3"/>
      <c r="D290" s="3"/>
      <c r="E290" s="3"/>
      <c r="F290" s="3"/>
      <c r="G290" s="175"/>
      <c r="H290" s="3"/>
      <c r="I290" s="175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175"/>
      <c r="AJ290" s="3"/>
      <c r="AK290" s="175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A291" s="3"/>
      <c r="B291" s="3"/>
      <c r="C291" s="3"/>
      <c r="D291" s="3"/>
      <c r="E291" s="3"/>
      <c r="F291" s="3"/>
      <c r="G291" s="175"/>
      <c r="H291" s="3"/>
      <c r="I291" s="175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175"/>
      <c r="AJ291" s="3"/>
      <c r="AK291" s="175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A292" s="3"/>
      <c r="B292" s="3"/>
      <c r="C292" s="3"/>
      <c r="D292" s="3"/>
      <c r="E292" s="3"/>
      <c r="F292" s="3"/>
      <c r="G292" s="175"/>
      <c r="H292" s="3"/>
      <c r="I292" s="175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175"/>
      <c r="AJ292" s="3"/>
      <c r="AK292" s="175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A293" s="3"/>
      <c r="B293" s="3"/>
      <c r="C293" s="3"/>
      <c r="D293" s="3"/>
      <c r="E293" s="3"/>
      <c r="F293" s="3"/>
      <c r="G293" s="175"/>
      <c r="H293" s="3"/>
      <c r="I293" s="175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175"/>
      <c r="AJ293" s="3"/>
      <c r="AK293" s="175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A294" s="3"/>
      <c r="B294" s="3"/>
      <c r="C294" s="3"/>
      <c r="D294" s="3"/>
      <c r="E294" s="3"/>
      <c r="F294" s="3"/>
      <c r="G294" s="175"/>
      <c r="H294" s="3"/>
      <c r="I294" s="175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175"/>
      <c r="AJ294" s="3"/>
      <c r="AK294" s="175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A295" s="3"/>
      <c r="B295" s="3"/>
      <c r="C295" s="3"/>
      <c r="D295" s="3"/>
      <c r="E295" s="3"/>
      <c r="F295" s="3"/>
      <c r="G295" s="175"/>
      <c r="H295" s="3"/>
      <c r="I295" s="175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175"/>
      <c r="AJ295" s="3"/>
      <c r="AK295" s="175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A296" s="3"/>
      <c r="B296" s="3"/>
      <c r="C296" s="3"/>
      <c r="D296" s="3"/>
      <c r="E296" s="3"/>
      <c r="F296" s="3"/>
      <c r="G296" s="175"/>
      <c r="H296" s="3"/>
      <c r="I296" s="175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175"/>
      <c r="AJ296" s="3"/>
      <c r="AK296" s="175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A297" s="3"/>
      <c r="B297" s="3"/>
      <c r="C297" s="3"/>
      <c r="D297" s="3"/>
      <c r="E297" s="3"/>
      <c r="F297" s="3"/>
      <c r="G297" s="175"/>
      <c r="H297" s="3"/>
      <c r="I297" s="175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175"/>
      <c r="AJ297" s="3"/>
      <c r="AK297" s="175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A298" s="3"/>
      <c r="B298" s="3"/>
      <c r="C298" s="3"/>
      <c r="D298" s="3"/>
      <c r="E298" s="3"/>
      <c r="F298" s="3"/>
      <c r="G298" s="175"/>
      <c r="H298" s="3"/>
      <c r="I298" s="175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175"/>
      <c r="AJ298" s="3"/>
      <c r="AK298" s="175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A299" s="3"/>
      <c r="B299" s="3"/>
      <c r="C299" s="3"/>
      <c r="D299" s="3"/>
      <c r="E299" s="3"/>
      <c r="F299" s="3"/>
      <c r="G299" s="175"/>
      <c r="H299" s="3"/>
      <c r="I299" s="175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175"/>
      <c r="AJ299" s="3"/>
      <c r="AK299" s="175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A300" s="3"/>
      <c r="B300" s="3"/>
      <c r="C300" s="3"/>
      <c r="D300" s="3"/>
      <c r="E300" s="3"/>
      <c r="F300" s="3"/>
      <c r="G300" s="175"/>
      <c r="H300" s="3"/>
      <c r="I300" s="175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175"/>
      <c r="AJ300" s="3"/>
      <c r="AK300" s="175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A301" s="3"/>
      <c r="B301" s="3"/>
      <c r="C301" s="3"/>
      <c r="D301" s="3"/>
      <c r="E301" s="3"/>
      <c r="F301" s="3"/>
      <c r="G301" s="175"/>
      <c r="H301" s="3"/>
      <c r="I301" s="175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175"/>
      <c r="AJ301" s="3"/>
      <c r="AK301" s="175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A302" s="3"/>
      <c r="B302" s="3"/>
      <c r="C302" s="3"/>
      <c r="D302" s="3"/>
      <c r="E302" s="3"/>
      <c r="F302" s="3"/>
      <c r="G302" s="175"/>
      <c r="H302" s="3"/>
      <c r="I302" s="175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175"/>
      <c r="AJ302" s="3"/>
      <c r="AK302" s="175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A303" s="3"/>
      <c r="B303" s="3"/>
      <c r="C303" s="3"/>
      <c r="D303" s="3"/>
      <c r="E303" s="3"/>
      <c r="F303" s="3"/>
      <c r="G303" s="175"/>
      <c r="H303" s="3"/>
      <c r="I303" s="175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175"/>
      <c r="AJ303" s="3"/>
      <c r="AK303" s="175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A304" s="3"/>
      <c r="B304" s="3"/>
      <c r="C304" s="3"/>
      <c r="D304" s="3"/>
      <c r="E304" s="3"/>
      <c r="F304" s="3"/>
      <c r="G304" s="175"/>
      <c r="H304" s="3"/>
      <c r="I304" s="175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175"/>
      <c r="AJ304" s="3"/>
      <c r="AK304" s="175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A305" s="3"/>
      <c r="B305" s="3"/>
      <c r="C305" s="3"/>
      <c r="D305" s="3"/>
      <c r="E305" s="3"/>
      <c r="F305" s="3"/>
      <c r="G305" s="175"/>
      <c r="H305" s="3"/>
      <c r="I305" s="175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175"/>
      <c r="AJ305" s="3"/>
      <c r="AK305" s="175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A306" s="3"/>
      <c r="B306" s="3"/>
      <c r="C306" s="3"/>
      <c r="D306" s="3"/>
      <c r="E306" s="3"/>
      <c r="F306" s="3"/>
      <c r="G306" s="175"/>
      <c r="H306" s="3"/>
      <c r="I306" s="175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175"/>
      <c r="AJ306" s="3"/>
      <c r="AK306" s="175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A307" s="3"/>
      <c r="B307" s="3"/>
      <c r="C307" s="3"/>
      <c r="D307" s="3"/>
      <c r="E307" s="3"/>
      <c r="F307" s="3"/>
      <c r="G307" s="175"/>
      <c r="H307" s="3"/>
      <c r="I307" s="175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175"/>
      <c r="AJ307" s="3"/>
      <c r="AK307" s="175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A308" s="3"/>
      <c r="B308" s="3"/>
      <c r="C308" s="3"/>
      <c r="D308" s="3"/>
      <c r="E308" s="3"/>
      <c r="F308" s="3"/>
      <c r="G308" s="175"/>
      <c r="H308" s="3"/>
      <c r="I308" s="175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175"/>
      <c r="AJ308" s="3"/>
      <c r="AK308" s="175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A309" s="3"/>
      <c r="B309" s="3"/>
      <c r="C309" s="3"/>
      <c r="D309" s="3"/>
      <c r="E309" s="3"/>
      <c r="F309" s="3"/>
      <c r="G309" s="175"/>
      <c r="H309" s="3"/>
      <c r="I309" s="175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175"/>
      <c r="AJ309" s="3"/>
      <c r="AK309" s="175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A310" s="3"/>
      <c r="B310" s="3"/>
      <c r="C310" s="3"/>
      <c r="D310" s="3"/>
      <c r="E310" s="3"/>
      <c r="F310" s="3"/>
      <c r="G310" s="175"/>
      <c r="H310" s="3"/>
      <c r="I310" s="175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175"/>
      <c r="AJ310" s="3"/>
      <c r="AK310" s="175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A311" s="3"/>
      <c r="B311" s="3"/>
      <c r="C311" s="3"/>
      <c r="D311" s="3"/>
      <c r="E311" s="3"/>
      <c r="F311" s="3"/>
      <c r="G311" s="175"/>
      <c r="H311" s="3"/>
      <c r="I311" s="175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175"/>
      <c r="AJ311" s="3"/>
      <c r="AK311" s="175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A312" s="3"/>
      <c r="B312" s="3"/>
      <c r="C312" s="3"/>
      <c r="D312" s="3"/>
      <c r="E312" s="3"/>
      <c r="F312" s="3"/>
      <c r="G312" s="175"/>
      <c r="H312" s="3"/>
      <c r="I312" s="175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175"/>
      <c r="AJ312" s="3"/>
      <c r="AK312" s="175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A313" s="3"/>
      <c r="B313" s="3"/>
      <c r="C313" s="3"/>
      <c r="D313" s="3"/>
      <c r="E313" s="3"/>
      <c r="F313" s="3"/>
      <c r="G313" s="175"/>
      <c r="H313" s="3"/>
      <c r="I313" s="175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175"/>
      <c r="AJ313" s="3"/>
      <c r="AK313" s="175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A314" s="3"/>
      <c r="B314" s="3"/>
      <c r="C314" s="3"/>
      <c r="D314" s="3"/>
      <c r="E314" s="3"/>
      <c r="F314" s="3"/>
      <c r="G314" s="175"/>
      <c r="H314" s="3"/>
      <c r="I314" s="175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175"/>
      <c r="AJ314" s="3"/>
      <c r="AK314" s="175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A315" s="3"/>
      <c r="B315" s="3"/>
      <c r="C315" s="3"/>
      <c r="D315" s="3"/>
      <c r="E315" s="3"/>
      <c r="F315" s="3"/>
      <c r="G315" s="175"/>
      <c r="H315" s="3"/>
      <c r="I315" s="175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175"/>
      <c r="AJ315" s="3"/>
      <c r="AK315" s="175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A316" s="3"/>
      <c r="B316" s="3"/>
      <c r="C316" s="3"/>
      <c r="D316" s="3"/>
      <c r="E316" s="3"/>
      <c r="F316" s="3"/>
      <c r="G316" s="175"/>
      <c r="H316" s="3"/>
      <c r="I316" s="175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175"/>
      <c r="AJ316" s="3"/>
      <c r="AK316" s="175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A317" s="3"/>
      <c r="B317" s="3"/>
      <c r="C317" s="3"/>
      <c r="D317" s="3"/>
      <c r="E317" s="3"/>
      <c r="F317" s="3"/>
      <c r="G317" s="175"/>
      <c r="H317" s="3"/>
      <c r="I317" s="175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175"/>
      <c r="AJ317" s="3"/>
      <c r="AK317" s="175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A318" s="3"/>
      <c r="B318" s="3"/>
      <c r="C318" s="3"/>
      <c r="D318" s="3"/>
      <c r="E318" s="3"/>
      <c r="F318" s="3"/>
      <c r="G318" s="175"/>
      <c r="H318" s="3"/>
      <c r="I318" s="175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175"/>
      <c r="AJ318" s="3"/>
      <c r="AK318" s="175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A319" s="3"/>
      <c r="B319" s="3"/>
      <c r="C319" s="3"/>
      <c r="D319" s="3"/>
      <c r="E319" s="3"/>
      <c r="F319" s="3"/>
      <c r="G319" s="175"/>
      <c r="H319" s="3"/>
      <c r="I319" s="175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175"/>
      <c r="AJ319" s="3"/>
      <c r="AK319" s="175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A320" s="3"/>
      <c r="B320" s="3"/>
      <c r="C320" s="3"/>
      <c r="D320" s="3"/>
      <c r="E320" s="3"/>
      <c r="F320" s="3"/>
      <c r="G320" s="175"/>
      <c r="H320" s="3"/>
      <c r="I320" s="175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175"/>
      <c r="AJ320" s="3"/>
      <c r="AK320" s="175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A321" s="3"/>
      <c r="B321" s="3"/>
      <c r="C321" s="3"/>
      <c r="D321" s="3"/>
      <c r="E321" s="3"/>
      <c r="F321" s="3"/>
      <c r="G321" s="175"/>
      <c r="H321" s="3"/>
      <c r="I321" s="175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175"/>
      <c r="AJ321" s="3"/>
      <c r="AK321" s="175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A322" s="3"/>
      <c r="B322" s="3"/>
      <c r="C322" s="3"/>
      <c r="D322" s="3"/>
      <c r="E322" s="3"/>
      <c r="F322" s="3"/>
      <c r="G322" s="175"/>
      <c r="H322" s="3"/>
      <c r="I322" s="175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175"/>
      <c r="AJ322" s="3"/>
      <c r="AK322" s="175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A323" s="3"/>
      <c r="B323" s="3"/>
      <c r="C323" s="3"/>
      <c r="D323" s="3"/>
      <c r="E323" s="3"/>
      <c r="F323" s="3"/>
      <c r="G323" s="175"/>
      <c r="H323" s="3"/>
      <c r="I323" s="175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175"/>
      <c r="AJ323" s="3"/>
      <c r="AK323" s="175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A324" s="3"/>
      <c r="B324" s="3"/>
      <c r="C324" s="3"/>
      <c r="D324" s="3"/>
      <c r="E324" s="3"/>
      <c r="F324" s="3"/>
      <c r="G324" s="175"/>
      <c r="H324" s="3"/>
      <c r="I324" s="175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175"/>
      <c r="AJ324" s="3"/>
      <c r="AK324" s="175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A325" s="3"/>
      <c r="B325" s="3"/>
      <c r="C325" s="3"/>
      <c r="D325" s="3"/>
      <c r="E325" s="3"/>
      <c r="F325" s="3"/>
      <c r="G325" s="175"/>
      <c r="H325" s="3"/>
      <c r="I325" s="175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175"/>
      <c r="AJ325" s="3"/>
      <c r="AK325" s="175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A326" s="3"/>
      <c r="B326" s="3"/>
      <c r="C326" s="3"/>
      <c r="D326" s="3"/>
      <c r="E326" s="3"/>
      <c r="F326" s="3"/>
      <c r="G326" s="175"/>
      <c r="H326" s="3"/>
      <c r="I326" s="175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175"/>
      <c r="AJ326" s="3"/>
      <c r="AK326" s="175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A327" s="3"/>
      <c r="B327" s="3"/>
      <c r="C327" s="3"/>
      <c r="D327" s="3"/>
      <c r="E327" s="3"/>
      <c r="F327" s="3"/>
      <c r="G327" s="175"/>
      <c r="H327" s="3"/>
      <c r="I327" s="175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175"/>
      <c r="AJ327" s="3"/>
      <c r="AK327" s="175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A328" s="3"/>
      <c r="B328" s="3"/>
      <c r="C328" s="3"/>
      <c r="D328" s="3"/>
      <c r="E328" s="3"/>
      <c r="F328" s="3"/>
      <c r="G328" s="175"/>
      <c r="H328" s="3"/>
      <c r="I328" s="175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175"/>
      <c r="AJ328" s="3"/>
      <c r="AK328" s="175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A329" s="3"/>
      <c r="B329" s="3"/>
      <c r="C329" s="3"/>
      <c r="D329" s="3"/>
      <c r="E329" s="3"/>
      <c r="F329" s="3"/>
      <c r="G329" s="175"/>
      <c r="H329" s="3"/>
      <c r="I329" s="175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175"/>
      <c r="AJ329" s="3"/>
      <c r="AK329" s="175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A330" s="3"/>
      <c r="B330" s="3"/>
      <c r="C330" s="3"/>
      <c r="D330" s="3"/>
      <c r="E330" s="3"/>
      <c r="F330" s="3"/>
      <c r="G330" s="175"/>
      <c r="H330" s="3"/>
      <c r="I330" s="175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175"/>
      <c r="AJ330" s="3"/>
      <c r="AK330" s="175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A331" s="3"/>
      <c r="B331" s="3"/>
      <c r="C331" s="3"/>
      <c r="D331" s="3"/>
      <c r="E331" s="3"/>
      <c r="F331" s="3"/>
      <c r="G331" s="175"/>
      <c r="H331" s="3"/>
      <c r="I331" s="175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175"/>
      <c r="AJ331" s="3"/>
      <c r="AK331" s="175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A332" s="3"/>
      <c r="B332" s="3"/>
      <c r="C332" s="3"/>
      <c r="D332" s="3"/>
      <c r="E332" s="3"/>
      <c r="F332" s="3"/>
      <c r="G332" s="175"/>
      <c r="H332" s="3"/>
      <c r="I332" s="175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175"/>
      <c r="AJ332" s="3"/>
      <c r="AK332" s="175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A333" s="3"/>
      <c r="B333" s="3"/>
      <c r="C333" s="3"/>
      <c r="D333" s="3"/>
      <c r="E333" s="3"/>
      <c r="F333" s="3"/>
      <c r="G333" s="175"/>
      <c r="H333" s="3"/>
      <c r="I333" s="175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175"/>
      <c r="AJ333" s="3"/>
      <c r="AK333" s="175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A334" s="3"/>
      <c r="B334" s="3"/>
      <c r="C334" s="3"/>
      <c r="D334" s="3"/>
      <c r="E334" s="3"/>
      <c r="F334" s="3"/>
      <c r="G334" s="175"/>
      <c r="H334" s="3"/>
      <c r="I334" s="175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175"/>
      <c r="AJ334" s="3"/>
      <c r="AK334" s="175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A335" s="3"/>
      <c r="B335" s="3"/>
      <c r="C335" s="3"/>
      <c r="D335" s="3"/>
      <c r="E335" s="3"/>
      <c r="F335" s="3"/>
      <c r="G335" s="175"/>
      <c r="H335" s="3"/>
      <c r="I335" s="175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175"/>
      <c r="AJ335" s="3"/>
      <c r="AK335" s="175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A336" s="3"/>
      <c r="B336" s="3"/>
      <c r="C336" s="3"/>
      <c r="D336" s="3"/>
      <c r="E336" s="3"/>
      <c r="F336" s="3"/>
      <c r="G336" s="175"/>
      <c r="H336" s="3"/>
      <c r="I336" s="175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175"/>
      <c r="AJ336" s="3"/>
      <c r="AK336" s="175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A337" s="3"/>
      <c r="B337" s="3"/>
      <c r="C337" s="3"/>
      <c r="D337" s="3"/>
      <c r="E337" s="3"/>
      <c r="F337" s="3"/>
      <c r="G337" s="175"/>
      <c r="H337" s="3"/>
      <c r="I337" s="175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175"/>
      <c r="AJ337" s="3"/>
      <c r="AK337" s="175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A338" s="3"/>
      <c r="B338" s="3"/>
      <c r="C338" s="3"/>
      <c r="D338" s="3"/>
      <c r="E338" s="3"/>
      <c r="F338" s="3"/>
      <c r="G338" s="175"/>
      <c r="H338" s="3"/>
      <c r="I338" s="175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175"/>
      <c r="AJ338" s="3"/>
      <c r="AK338" s="175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A339" s="3"/>
      <c r="B339" s="3"/>
      <c r="C339" s="3"/>
      <c r="D339" s="3"/>
      <c r="E339" s="3"/>
      <c r="F339" s="3"/>
      <c r="G339" s="175"/>
      <c r="H339" s="3"/>
      <c r="I339" s="175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175"/>
      <c r="AJ339" s="3"/>
      <c r="AK339" s="175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A340" s="3"/>
      <c r="B340" s="3"/>
      <c r="C340" s="3"/>
      <c r="D340" s="3"/>
      <c r="E340" s="3"/>
      <c r="F340" s="3"/>
      <c r="G340" s="175"/>
      <c r="H340" s="3"/>
      <c r="I340" s="175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175"/>
      <c r="AJ340" s="3"/>
      <c r="AK340" s="175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A341" s="3"/>
      <c r="B341" s="3"/>
      <c r="C341" s="3"/>
      <c r="D341" s="3"/>
      <c r="E341" s="3"/>
      <c r="F341" s="3"/>
      <c r="G341" s="175"/>
      <c r="H341" s="3"/>
      <c r="I341" s="175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175"/>
      <c r="AJ341" s="3"/>
      <c r="AK341" s="175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A342" s="3"/>
      <c r="B342" s="3"/>
      <c r="C342" s="3"/>
      <c r="D342" s="3"/>
      <c r="E342" s="3"/>
      <c r="F342" s="3"/>
      <c r="G342" s="175"/>
      <c r="H342" s="3"/>
      <c r="I342" s="175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175"/>
      <c r="AJ342" s="3"/>
      <c r="AK342" s="175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A343" s="3"/>
      <c r="B343" s="3"/>
      <c r="C343" s="3"/>
      <c r="D343" s="3"/>
      <c r="E343" s="3"/>
      <c r="F343" s="3"/>
      <c r="G343" s="175"/>
      <c r="H343" s="3"/>
      <c r="I343" s="175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175"/>
      <c r="AJ343" s="3"/>
      <c r="AK343" s="175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A344" s="3"/>
      <c r="B344" s="3"/>
      <c r="C344" s="3"/>
      <c r="D344" s="3"/>
      <c r="E344" s="3"/>
      <c r="F344" s="3"/>
      <c r="G344" s="175"/>
      <c r="H344" s="3"/>
      <c r="I344" s="175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175"/>
      <c r="AJ344" s="3"/>
      <c r="AK344" s="175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A345" s="3"/>
      <c r="B345" s="3"/>
      <c r="C345" s="3"/>
      <c r="D345" s="3"/>
      <c r="E345" s="3"/>
      <c r="F345" s="3"/>
      <c r="G345" s="175"/>
      <c r="H345" s="3"/>
      <c r="I345" s="175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175"/>
      <c r="AJ345" s="3"/>
      <c r="AK345" s="175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A346" s="3"/>
      <c r="B346" s="3"/>
      <c r="C346" s="3"/>
      <c r="D346" s="3"/>
      <c r="E346" s="3"/>
      <c r="F346" s="3"/>
      <c r="G346" s="175"/>
      <c r="H346" s="3"/>
      <c r="I346" s="175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175"/>
      <c r="AJ346" s="3"/>
      <c r="AK346" s="175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A347" s="3"/>
      <c r="B347" s="3"/>
      <c r="C347" s="3"/>
      <c r="D347" s="3"/>
      <c r="E347" s="3"/>
      <c r="F347" s="3"/>
      <c r="G347" s="175"/>
      <c r="H347" s="3"/>
      <c r="I347" s="175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175"/>
      <c r="AJ347" s="3"/>
      <c r="AK347" s="175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A348" s="3"/>
      <c r="B348" s="3"/>
      <c r="C348" s="3"/>
      <c r="D348" s="3"/>
      <c r="E348" s="3"/>
      <c r="F348" s="3"/>
      <c r="G348" s="175"/>
      <c r="H348" s="3"/>
      <c r="I348" s="175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175"/>
      <c r="AJ348" s="3"/>
      <c r="AK348" s="175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A349" s="3"/>
      <c r="B349" s="3"/>
      <c r="C349" s="3"/>
      <c r="D349" s="3"/>
      <c r="E349" s="3"/>
      <c r="F349" s="3"/>
      <c r="G349" s="175"/>
      <c r="H349" s="3"/>
      <c r="I349" s="175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175"/>
      <c r="AJ349" s="3"/>
      <c r="AK349" s="175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A350" s="3"/>
      <c r="B350" s="3"/>
      <c r="C350" s="3"/>
      <c r="D350" s="3"/>
      <c r="E350" s="3"/>
      <c r="F350" s="3"/>
      <c r="G350" s="175"/>
      <c r="H350" s="3"/>
      <c r="I350" s="175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175"/>
      <c r="AJ350" s="3"/>
      <c r="AK350" s="175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A351" s="3"/>
      <c r="B351" s="3"/>
      <c r="C351" s="3"/>
      <c r="D351" s="3"/>
      <c r="E351" s="3"/>
      <c r="F351" s="3"/>
      <c r="G351" s="175"/>
      <c r="H351" s="3"/>
      <c r="I351" s="175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175"/>
      <c r="AJ351" s="3"/>
      <c r="AK351" s="175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A352" s="3"/>
      <c r="B352" s="3"/>
      <c r="C352" s="3"/>
      <c r="D352" s="3"/>
      <c r="E352" s="3"/>
      <c r="F352" s="3"/>
      <c r="G352" s="175"/>
      <c r="H352" s="3"/>
      <c r="I352" s="175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175"/>
      <c r="AJ352" s="3"/>
      <c r="AK352" s="175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A353" s="3"/>
      <c r="B353" s="3"/>
      <c r="C353" s="3"/>
      <c r="D353" s="3"/>
      <c r="E353" s="3"/>
      <c r="F353" s="3"/>
      <c r="G353" s="175"/>
      <c r="H353" s="3"/>
      <c r="I353" s="175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175"/>
      <c r="AJ353" s="3"/>
      <c r="AK353" s="175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A354" s="3"/>
      <c r="B354" s="3"/>
      <c r="C354" s="3"/>
      <c r="D354" s="3"/>
      <c r="E354" s="3"/>
      <c r="F354" s="3"/>
      <c r="G354" s="175"/>
      <c r="H354" s="3"/>
      <c r="I354" s="175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175"/>
      <c r="AJ354" s="3"/>
      <c r="AK354" s="175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A355" s="3"/>
      <c r="B355" s="3"/>
      <c r="C355" s="3"/>
      <c r="D355" s="3"/>
      <c r="E355" s="3"/>
      <c r="F355" s="3"/>
      <c r="G355" s="175"/>
      <c r="H355" s="3"/>
      <c r="I355" s="175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175"/>
      <c r="AJ355" s="3"/>
      <c r="AK355" s="175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A356" s="3"/>
      <c r="B356" s="3"/>
      <c r="C356" s="3"/>
      <c r="D356" s="3"/>
      <c r="E356" s="3"/>
      <c r="F356" s="3"/>
      <c r="G356" s="175"/>
      <c r="H356" s="3"/>
      <c r="I356" s="175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175"/>
      <c r="AJ356" s="3"/>
      <c r="AK356" s="175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A357" s="3"/>
      <c r="B357" s="3"/>
      <c r="C357" s="3"/>
      <c r="D357" s="3"/>
      <c r="E357" s="3"/>
      <c r="F357" s="3"/>
      <c r="G357" s="175"/>
      <c r="H357" s="3"/>
      <c r="I357" s="175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175"/>
      <c r="AJ357" s="3"/>
      <c r="AK357" s="175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A358" s="3"/>
      <c r="B358" s="3"/>
      <c r="C358" s="3"/>
      <c r="D358" s="3"/>
      <c r="E358" s="3"/>
      <c r="F358" s="3"/>
      <c r="G358" s="175"/>
      <c r="H358" s="3"/>
      <c r="I358" s="175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175"/>
      <c r="AJ358" s="3"/>
      <c r="AK358" s="175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A359" s="3"/>
      <c r="B359" s="3"/>
      <c r="C359" s="3"/>
      <c r="D359" s="3"/>
      <c r="E359" s="3"/>
      <c r="F359" s="3"/>
      <c r="G359" s="175"/>
      <c r="H359" s="3"/>
      <c r="I359" s="175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175"/>
      <c r="AJ359" s="3"/>
      <c r="AK359" s="175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A360" s="3"/>
      <c r="B360" s="3"/>
      <c r="C360" s="3"/>
      <c r="D360" s="3"/>
      <c r="E360" s="3"/>
      <c r="F360" s="3"/>
      <c r="G360" s="175"/>
      <c r="H360" s="3"/>
      <c r="I360" s="175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175"/>
      <c r="AJ360" s="3"/>
      <c r="AK360" s="175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A361" s="3"/>
      <c r="B361" s="3"/>
      <c r="C361" s="3"/>
      <c r="D361" s="3"/>
      <c r="E361" s="3"/>
      <c r="F361" s="3"/>
      <c r="G361" s="175"/>
      <c r="H361" s="3"/>
      <c r="I361" s="175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175"/>
      <c r="AJ361" s="3"/>
      <c r="AK361" s="175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A362" s="3"/>
      <c r="B362" s="3"/>
      <c r="C362" s="3"/>
      <c r="D362" s="3"/>
      <c r="E362" s="3"/>
      <c r="F362" s="3"/>
      <c r="G362" s="175"/>
      <c r="H362" s="3"/>
      <c r="I362" s="175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175"/>
      <c r="AJ362" s="3"/>
      <c r="AK362" s="175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A363" s="3"/>
      <c r="B363" s="3"/>
      <c r="C363" s="3"/>
      <c r="D363" s="3"/>
      <c r="E363" s="3"/>
      <c r="F363" s="3"/>
      <c r="G363" s="175"/>
      <c r="H363" s="3"/>
      <c r="I363" s="175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175"/>
      <c r="AJ363" s="3"/>
      <c r="AK363" s="175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A364" s="3"/>
      <c r="B364" s="3"/>
      <c r="C364" s="3"/>
      <c r="D364" s="3"/>
      <c r="E364" s="3"/>
      <c r="F364" s="3"/>
      <c r="G364" s="175"/>
      <c r="H364" s="3"/>
      <c r="I364" s="175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175"/>
      <c r="AJ364" s="3"/>
      <c r="AK364" s="175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A365" s="3"/>
      <c r="B365" s="3"/>
      <c r="C365" s="3"/>
      <c r="D365" s="3"/>
      <c r="E365" s="3"/>
      <c r="F365" s="3"/>
      <c r="G365" s="175"/>
      <c r="H365" s="3"/>
      <c r="I365" s="175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175"/>
      <c r="AJ365" s="3"/>
      <c r="AK365" s="175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A366" s="3"/>
      <c r="B366" s="3"/>
      <c r="C366" s="3"/>
      <c r="D366" s="3"/>
      <c r="E366" s="3"/>
      <c r="F366" s="3"/>
      <c r="G366" s="175"/>
      <c r="H366" s="3"/>
      <c r="I366" s="175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175"/>
      <c r="AJ366" s="3"/>
      <c r="AK366" s="175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A367" s="3"/>
      <c r="B367" s="3"/>
      <c r="C367" s="3"/>
      <c r="D367" s="3"/>
      <c r="E367" s="3"/>
      <c r="F367" s="3"/>
      <c r="G367" s="175"/>
      <c r="H367" s="3"/>
      <c r="I367" s="175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175"/>
      <c r="AJ367" s="3"/>
      <c r="AK367" s="175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A368" s="3"/>
      <c r="B368" s="3"/>
      <c r="C368" s="3"/>
      <c r="D368" s="3"/>
      <c r="E368" s="3"/>
      <c r="F368" s="3"/>
      <c r="G368" s="175"/>
      <c r="H368" s="3"/>
      <c r="I368" s="175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175"/>
      <c r="AJ368" s="3"/>
      <c r="AK368" s="175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A369" s="3"/>
      <c r="B369" s="3"/>
      <c r="C369" s="3"/>
      <c r="D369" s="3"/>
      <c r="E369" s="3"/>
      <c r="F369" s="3"/>
      <c r="G369" s="175"/>
      <c r="H369" s="3"/>
      <c r="I369" s="175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175"/>
      <c r="AJ369" s="3"/>
      <c r="AK369" s="175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A370" s="3"/>
      <c r="B370" s="3"/>
      <c r="C370" s="3"/>
      <c r="D370" s="3"/>
      <c r="E370" s="3"/>
      <c r="F370" s="3"/>
      <c r="G370" s="175"/>
      <c r="H370" s="3"/>
      <c r="I370" s="175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175"/>
      <c r="AJ370" s="3"/>
      <c r="AK370" s="175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A371" s="3"/>
      <c r="B371" s="3"/>
      <c r="C371" s="3"/>
      <c r="D371" s="3"/>
      <c r="E371" s="3"/>
      <c r="F371" s="3"/>
      <c r="G371" s="175"/>
      <c r="H371" s="3"/>
      <c r="I371" s="175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175"/>
      <c r="AJ371" s="3"/>
      <c r="AK371" s="175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A372" s="3"/>
      <c r="B372" s="3"/>
      <c r="C372" s="3"/>
      <c r="D372" s="3"/>
      <c r="E372" s="3"/>
      <c r="F372" s="3"/>
      <c r="G372" s="175"/>
      <c r="H372" s="3"/>
      <c r="I372" s="175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175"/>
      <c r="AJ372" s="3"/>
      <c r="AK372" s="175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A373" s="3"/>
      <c r="B373" s="3"/>
      <c r="C373" s="3"/>
      <c r="D373" s="3"/>
      <c r="E373" s="3"/>
      <c r="F373" s="3"/>
      <c r="G373" s="175"/>
      <c r="H373" s="3"/>
      <c r="I373" s="175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175"/>
      <c r="AJ373" s="3"/>
      <c r="AK373" s="175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A374" s="3"/>
      <c r="B374" s="3"/>
      <c r="C374" s="3"/>
      <c r="D374" s="3"/>
      <c r="E374" s="3"/>
      <c r="F374" s="3"/>
      <c r="G374" s="175"/>
      <c r="H374" s="3"/>
      <c r="I374" s="175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175"/>
      <c r="AJ374" s="3"/>
      <c r="AK374" s="175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A375" s="3"/>
      <c r="B375" s="3"/>
      <c r="C375" s="3"/>
      <c r="D375" s="3"/>
      <c r="E375" s="3"/>
      <c r="F375" s="3"/>
      <c r="G375" s="175"/>
      <c r="H375" s="3"/>
      <c r="I375" s="175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175"/>
      <c r="AJ375" s="3"/>
      <c r="AK375" s="175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A376" s="3"/>
      <c r="B376" s="3"/>
      <c r="C376" s="3"/>
      <c r="D376" s="3"/>
      <c r="E376" s="3"/>
      <c r="F376" s="3"/>
      <c r="G376" s="175"/>
      <c r="H376" s="3"/>
      <c r="I376" s="175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175"/>
      <c r="AJ376" s="3"/>
      <c r="AK376" s="175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A377" s="3"/>
      <c r="B377" s="3"/>
      <c r="C377" s="3"/>
      <c r="D377" s="3"/>
      <c r="E377" s="3"/>
      <c r="F377" s="3"/>
      <c r="G377" s="175"/>
      <c r="H377" s="3"/>
      <c r="I377" s="175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175"/>
      <c r="AJ377" s="3"/>
      <c r="AK377" s="175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A378" s="3"/>
      <c r="B378" s="3"/>
      <c r="C378" s="3"/>
      <c r="D378" s="3"/>
      <c r="E378" s="3"/>
      <c r="F378" s="3"/>
      <c r="G378" s="175"/>
      <c r="H378" s="3"/>
      <c r="I378" s="175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175"/>
      <c r="AJ378" s="3"/>
      <c r="AK378" s="175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A379" s="3"/>
      <c r="B379" s="3"/>
      <c r="C379" s="3"/>
      <c r="D379" s="3"/>
      <c r="E379" s="3"/>
      <c r="F379" s="3"/>
      <c r="G379" s="175"/>
      <c r="H379" s="3"/>
      <c r="I379" s="175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175"/>
      <c r="AJ379" s="3"/>
      <c r="AK379" s="175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A380" s="3"/>
      <c r="B380" s="3"/>
      <c r="C380" s="3"/>
      <c r="D380" s="3"/>
      <c r="E380" s="3"/>
      <c r="F380" s="3"/>
      <c r="G380" s="175"/>
      <c r="H380" s="3"/>
      <c r="I380" s="175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175"/>
      <c r="AJ380" s="3"/>
      <c r="AK380" s="175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A381" s="3"/>
      <c r="B381" s="3"/>
      <c r="C381" s="3"/>
      <c r="D381" s="3"/>
      <c r="E381" s="3"/>
      <c r="F381" s="3"/>
      <c r="G381" s="175"/>
      <c r="H381" s="3"/>
      <c r="I381" s="175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175"/>
      <c r="AJ381" s="3"/>
      <c r="AK381" s="175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A382" s="3"/>
      <c r="B382" s="3"/>
      <c r="C382" s="3"/>
      <c r="D382" s="3"/>
      <c r="E382" s="3"/>
      <c r="F382" s="3"/>
      <c r="G382" s="175"/>
      <c r="H382" s="3"/>
      <c r="I382" s="175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175"/>
      <c r="AJ382" s="3"/>
      <c r="AK382" s="175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A383" s="3"/>
      <c r="B383" s="3"/>
      <c r="C383" s="3"/>
      <c r="D383" s="3"/>
      <c r="E383" s="3"/>
      <c r="F383" s="3"/>
      <c r="G383" s="175"/>
      <c r="H383" s="3"/>
      <c r="I383" s="175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175"/>
      <c r="AJ383" s="3"/>
      <c r="AK383" s="175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A384" s="3"/>
      <c r="B384" s="3"/>
      <c r="C384" s="3"/>
      <c r="D384" s="3"/>
      <c r="E384" s="3"/>
      <c r="F384" s="3"/>
      <c r="G384" s="175"/>
      <c r="H384" s="3"/>
      <c r="I384" s="175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175"/>
      <c r="AJ384" s="3"/>
      <c r="AK384" s="175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A385" s="3"/>
      <c r="B385" s="3"/>
      <c r="C385" s="3"/>
      <c r="D385" s="3"/>
      <c r="E385" s="3"/>
      <c r="F385" s="3"/>
      <c r="G385" s="175"/>
      <c r="H385" s="3"/>
      <c r="I385" s="175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175"/>
      <c r="AJ385" s="3"/>
      <c r="AK385" s="175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A386" s="3"/>
      <c r="B386" s="3"/>
      <c r="C386" s="3"/>
      <c r="D386" s="3"/>
      <c r="E386" s="3"/>
      <c r="F386" s="3"/>
      <c r="G386" s="175"/>
      <c r="H386" s="3"/>
      <c r="I386" s="175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175"/>
      <c r="AJ386" s="3"/>
      <c r="AK386" s="175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A387" s="3"/>
      <c r="B387" s="3"/>
      <c r="C387" s="3"/>
      <c r="D387" s="3"/>
      <c r="E387" s="3"/>
      <c r="F387" s="3"/>
      <c r="G387" s="175"/>
      <c r="H387" s="3"/>
      <c r="I387" s="175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175"/>
      <c r="AJ387" s="3"/>
      <c r="AK387" s="175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A388" s="3"/>
      <c r="B388" s="3"/>
      <c r="C388" s="3"/>
      <c r="D388" s="3"/>
      <c r="E388" s="3"/>
      <c r="F388" s="3"/>
      <c r="G388" s="175"/>
      <c r="H388" s="3"/>
      <c r="I388" s="175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175"/>
      <c r="AJ388" s="3"/>
      <c r="AK388" s="175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A389" s="3"/>
      <c r="B389" s="3"/>
      <c r="C389" s="3"/>
      <c r="D389" s="3"/>
      <c r="E389" s="3"/>
      <c r="F389" s="3"/>
      <c r="G389" s="175"/>
      <c r="H389" s="3"/>
      <c r="I389" s="175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175"/>
      <c r="AJ389" s="3"/>
      <c r="AK389" s="175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A390" s="3"/>
      <c r="B390" s="3"/>
      <c r="C390" s="3"/>
      <c r="D390" s="3"/>
      <c r="E390" s="3"/>
      <c r="F390" s="3"/>
      <c r="G390" s="175"/>
      <c r="H390" s="3"/>
      <c r="I390" s="175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175"/>
      <c r="AJ390" s="3"/>
      <c r="AK390" s="175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A391" s="3"/>
      <c r="B391" s="3"/>
      <c r="C391" s="3"/>
      <c r="D391" s="3"/>
      <c r="E391" s="3"/>
      <c r="F391" s="3"/>
      <c r="G391" s="175"/>
      <c r="H391" s="3"/>
      <c r="I391" s="175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175"/>
      <c r="AJ391" s="3"/>
      <c r="AK391" s="175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A392" s="3"/>
      <c r="B392" s="3"/>
      <c r="C392" s="3"/>
      <c r="D392" s="3"/>
      <c r="E392" s="3"/>
      <c r="F392" s="3"/>
      <c r="G392" s="175"/>
      <c r="H392" s="3"/>
      <c r="I392" s="175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175"/>
      <c r="AJ392" s="3"/>
      <c r="AK392" s="175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A393" s="3"/>
      <c r="B393" s="3"/>
      <c r="C393" s="3"/>
      <c r="D393" s="3"/>
      <c r="E393" s="3"/>
      <c r="F393" s="3"/>
      <c r="G393" s="175"/>
      <c r="H393" s="3"/>
      <c r="I393" s="175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175"/>
      <c r="AJ393" s="3"/>
      <c r="AK393" s="175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A394" s="3"/>
      <c r="B394" s="3"/>
      <c r="C394" s="3"/>
      <c r="D394" s="3"/>
      <c r="E394" s="3"/>
      <c r="F394" s="3"/>
      <c r="G394" s="175"/>
      <c r="H394" s="3"/>
      <c r="I394" s="175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175"/>
      <c r="AJ394" s="3"/>
      <c r="AK394" s="175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A395" s="3"/>
      <c r="B395" s="3"/>
      <c r="C395" s="3"/>
      <c r="D395" s="3"/>
      <c r="E395" s="3"/>
      <c r="F395" s="3"/>
      <c r="G395" s="175"/>
      <c r="H395" s="3"/>
      <c r="I395" s="175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175"/>
      <c r="AJ395" s="3"/>
      <c r="AK395" s="175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A396" s="3"/>
      <c r="B396" s="3"/>
      <c r="C396" s="3"/>
      <c r="D396" s="3"/>
      <c r="E396" s="3"/>
      <c r="F396" s="3"/>
      <c r="G396" s="175"/>
      <c r="H396" s="3"/>
      <c r="I396" s="175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175"/>
      <c r="AJ396" s="3"/>
      <c r="AK396" s="175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A397" s="3"/>
      <c r="B397" s="3"/>
      <c r="C397" s="3"/>
      <c r="D397" s="3"/>
      <c r="E397" s="3"/>
      <c r="F397" s="3"/>
      <c r="G397" s="175"/>
      <c r="H397" s="3"/>
      <c r="I397" s="175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175"/>
      <c r="AJ397" s="3"/>
      <c r="AK397" s="175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A398" s="3"/>
      <c r="B398" s="3"/>
      <c r="C398" s="3"/>
      <c r="D398" s="3"/>
      <c r="E398" s="3"/>
      <c r="F398" s="3"/>
      <c r="G398" s="175"/>
      <c r="H398" s="3"/>
      <c r="I398" s="175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175"/>
      <c r="AJ398" s="3"/>
      <c r="AK398" s="175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A399" s="3"/>
      <c r="B399" s="3"/>
      <c r="C399" s="3"/>
      <c r="D399" s="3"/>
      <c r="E399" s="3"/>
      <c r="F399" s="3"/>
      <c r="G399" s="175"/>
      <c r="H399" s="3"/>
      <c r="I399" s="175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175"/>
      <c r="AJ399" s="3"/>
      <c r="AK399" s="175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A400" s="3"/>
      <c r="B400" s="3"/>
      <c r="C400" s="3"/>
      <c r="D400" s="3"/>
      <c r="E400" s="3"/>
      <c r="F400" s="3"/>
      <c r="G400" s="175"/>
      <c r="H400" s="3"/>
      <c r="I400" s="175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175"/>
      <c r="AJ400" s="3"/>
      <c r="AK400" s="175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A401" s="3"/>
      <c r="B401" s="3"/>
      <c r="C401" s="3"/>
      <c r="D401" s="3"/>
      <c r="E401" s="3"/>
      <c r="F401" s="3"/>
      <c r="G401" s="175"/>
      <c r="H401" s="3"/>
      <c r="I401" s="175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175"/>
      <c r="AJ401" s="3"/>
      <c r="AK401" s="175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A402" s="3"/>
      <c r="B402" s="3"/>
      <c r="C402" s="3"/>
      <c r="D402" s="3"/>
      <c r="E402" s="3"/>
      <c r="F402" s="3"/>
      <c r="G402" s="175"/>
      <c r="H402" s="3"/>
      <c r="I402" s="175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175"/>
      <c r="AJ402" s="3"/>
      <c r="AK402" s="175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A403" s="3"/>
      <c r="B403" s="3"/>
      <c r="C403" s="3"/>
      <c r="D403" s="3"/>
      <c r="E403" s="3"/>
      <c r="F403" s="3"/>
      <c r="G403" s="175"/>
      <c r="H403" s="3"/>
      <c r="I403" s="175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175"/>
      <c r="AJ403" s="3"/>
      <c r="AK403" s="175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A404" s="3"/>
      <c r="B404" s="3"/>
      <c r="C404" s="3"/>
      <c r="D404" s="3"/>
      <c r="E404" s="3"/>
      <c r="F404" s="3"/>
      <c r="G404" s="175"/>
      <c r="H404" s="3"/>
      <c r="I404" s="175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175"/>
      <c r="AJ404" s="3"/>
      <c r="AK404" s="175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A405" s="3"/>
      <c r="B405" s="3"/>
      <c r="C405" s="3"/>
      <c r="D405" s="3"/>
      <c r="E405" s="3"/>
      <c r="F405" s="3"/>
      <c r="G405" s="175"/>
      <c r="H405" s="3"/>
      <c r="I405" s="175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175"/>
      <c r="AJ405" s="3"/>
      <c r="AK405" s="175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A406" s="3"/>
      <c r="B406" s="3"/>
      <c r="C406" s="3"/>
      <c r="D406" s="3"/>
      <c r="E406" s="3"/>
      <c r="F406" s="3"/>
      <c r="G406" s="175"/>
      <c r="H406" s="3"/>
      <c r="I406" s="175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175"/>
      <c r="AJ406" s="3"/>
      <c r="AK406" s="175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A407" s="3"/>
      <c r="B407" s="3"/>
      <c r="C407" s="3"/>
      <c r="D407" s="3"/>
      <c r="E407" s="3"/>
      <c r="F407" s="3"/>
      <c r="G407" s="175"/>
      <c r="H407" s="3"/>
      <c r="I407" s="175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175"/>
      <c r="AJ407" s="3"/>
      <c r="AK407" s="175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A408" s="3"/>
      <c r="B408" s="3"/>
      <c r="C408" s="3"/>
      <c r="D408" s="3"/>
      <c r="E408" s="3"/>
      <c r="F408" s="3"/>
      <c r="G408" s="175"/>
      <c r="H408" s="3"/>
      <c r="I408" s="175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175"/>
      <c r="AJ408" s="3"/>
      <c r="AK408" s="175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A409" s="3"/>
      <c r="B409" s="3"/>
      <c r="C409" s="3"/>
      <c r="D409" s="3"/>
      <c r="E409" s="3"/>
      <c r="F409" s="3"/>
      <c r="G409" s="175"/>
      <c r="H409" s="3"/>
      <c r="I409" s="175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175"/>
      <c r="AJ409" s="3"/>
      <c r="AK409" s="175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A410" s="3"/>
      <c r="B410" s="3"/>
      <c r="C410" s="3"/>
      <c r="D410" s="3"/>
      <c r="E410" s="3"/>
      <c r="F410" s="3"/>
      <c r="G410" s="175"/>
      <c r="H410" s="3"/>
      <c r="I410" s="175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175"/>
      <c r="AJ410" s="3"/>
      <c r="AK410" s="175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A411" s="3"/>
      <c r="B411" s="3"/>
      <c r="C411" s="3"/>
      <c r="D411" s="3"/>
      <c r="E411" s="3"/>
      <c r="F411" s="3"/>
      <c r="G411" s="175"/>
      <c r="H411" s="3"/>
      <c r="I411" s="175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175"/>
      <c r="AJ411" s="3"/>
      <c r="AK411" s="175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A412" s="3"/>
      <c r="B412" s="3"/>
      <c r="C412" s="3"/>
      <c r="D412" s="3"/>
      <c r="E412" s="3"/>
      <c r="F412" s="3"/>
      <c r="G412" s="175"/>
      <c r="H412" s="3"/>
      <c r="I412" s="175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175"/>
      <c r="AJ412" s="3"/>
      <c r="AK412" s="175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A413" s="3"/>
      <c r="B413" s="3"/>
      <c r="C413" s="3"/>
      <c r="D413" s="3"/>
      <c r="E413" s="3"/>
      <c r="F413" s="3"/>
      <c r="G413" s="175"/>
      <c r="H413" s="3"/>
      <c r="I413" s="175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175"/>
      <c r="AJ413" s="3"/>
      <c r="AK413" s="175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A414" s="3"/>
      <c r="B414" s="3"/>
      <c r="C414" s="3"/>
      <c r="D414" s="3"/>
      <c r="E414" s="3"/>
      <c r="F414" s="3"/>
      <c r="G414" s="175"/>
      <c r="H414" s="3"/>
      <c r="I414" s="175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175"/>
      <c r="AJ414" s="3"/>
      <c r="AK414" s="175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A415" s="3"/>
      <c r="B415" s="3"/>
      <c r="C415" s="3"/>
      <c r="D415" s="3"/>
      <c r="E415" s="3"/>
      <c r="F415" s="3"/>
      <c r="G415" s="175"/>
      <c r="H415" s="3"/>
      <c r="I415" s="175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175"/>
      <c r="AJ415" s="3"/>
      <c r="AK415" s="175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A416" s="3"/>
      <c r="B416" s="3"/>
      <c r="C416" s="3"/>
      <c r="D416" s="3"/>
      <c r="E416" s="3"/>
      <c r="F416" s="3"/>
      <c r="G416" s="175"/>
      <c r="H416" s="3"/>
      <c r="I416" s="175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175"/>
      <c r="AJ416" s="3"/>
      <c r="AK416" s="175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A417" s="3"/>
      <c r="B417" s="3"/>
      <c r="C417" s="3"/>
      <c r="D417" s="3"/>
      <c r="E417" s="3"/>
      <c r="F417" s="3"/>
      <c r="G417" s="175"/>
      <c r="H417" s="3"/>
      <c r="I417" s="175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175"/>
      <c r="AJ417" s="3"/>
      <c r="AK417" s="175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A418" s="3"/>
      <c r="B418" s="3"/>
      <c r="C418" s="3"/>
      <c r="D418" s="3"/>
      <c r="E418" s="3"/>
      <c r="F418" s="3"/>
      <c r="G418" s="175"/>
      <c r="H418" s="3"/>
      <c r="I418" s="175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175"/>
      <c r="AJ418" s="3"/>
      <c r="AK418" s="175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A419" s="3"/>
      <c r="B419" s="3"/>
      <c r="C419" s="3"/>
      <c r="D419" s="3"/>
      <c r="E419" s="3"/>
      <c r="F419" s="3"/>
      <c r="G419" s="175"/>
      <c r="H419" s="3"/>
      <c r="I419" s="175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175"/>
      <c r="AJ419" s="3"/>
      <c r="AK419" s="175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A420" s="3"/>
      <c r="B420" s="3"/>
      <c r="C420" s="3"/>
      <c r="D420" s="3"/>
      <c r="E420" s="3"/>
      <c r="F420" s="3"/>
      <c r="G420" s="175"/>
      <c r="H420" s="3"/>
      <c r="I420" s="175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175"/>
      <c r="AJ420" s="3"/>
      <c r="AK420" s="175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A421" s="3"/>
      <c r="B421" s="3"/>
      <c r="C421" s="3"/>
      <c r="D421" s="3"/>
      <c r="E421" s="3"/>
      <c r="F421" s="3"/>
      <c r="G421" s="175"/>
      <c r="H421" s="3"/>
      <c r="I421" s="175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175"/>
      <c r="AJ421" s="3"/>
      <c r="AK421" s="175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A422" s="3"/>
      <c r="B422" s="3"/>
      <c r="C422" s="3"/>
      <c r="D422" s="3"/>
      <c r="E422" s="3"/>
      <c r="F422" s="3"/>
      <c r="G422" s="175"/>
      <c r="H422" s="3"/>
      <c r="I422" s="175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175"/>
      <c r="AJ422" s="3"/>
      <c r="AK422" s="175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A423" s="3"/>
      <c r="B423" s="3"/>
      <c r="C423" s="3"/>
      <c r="D423" s="3"/>
      <c r="E423" s="3"/>
      <c r="F423" s="3"/>
      <c r="G423" s="175"/>
      <c r="H423" s="3"/>
      <c r="I423" s="175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175"/>
      <c r="AJ423" s="3"/>
      <c r="AK423" s="175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A424" s="3"/>
      <c r="B424" s="3"/>
      <c r="C424" s="3"/>
      <c r="D424" s="3"/>
      <c r="E424" s="3"/>
      <c r="F424" s="3"/>
      <c r="G424" s="175"/>
      <c r="H424" s="3"/>
      <c r="I424" s="175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175"/>
      <c r="AJ424" s="3"/>
      <c r="AK424" s="175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A425" s="3"/>
      <c r="B425" s="3"/>
      <c r="C425" s="3"/>
      <c r="D425" s="3"/>
      <c r="E425" s="3"/>
      <c r="F425" s="3"/>
      <c r="G425" s="175"/>
      <c r="H425" s="3"/>
      <c r="I425" s="175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175"/>
      <c r="AJ425" s="3"/>
      <c r="AK425" s="175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A426" s="3"/>
      <c r="B426" s="3"/>
      <c r="C426" s="3"/>
      <c r="D426" s="3"/>
      <c r="E426" s="3"/>
      <c r="F426" s="3"/>
      <c r="G426" s="175"/>
      <c r="H426" s="3"/>
      <c r="I426" s="175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175"/>
      <c r="AJ426" s="3"/>
      <c r="AK426" s="175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A427" s="3"/>
      <c r="B427" s="3"/>
      <c r="C427" s="3"/>
      <c r="D427" s="3"/>
      <c r="E427" s="3"/>
      <c r="F427" s="3"/>
      <c r="G427" s="175"/>
      <c r="H427" s="3"/>
      <c r="I427" s="175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175"/>
      <c r="AJ427" s="3"/>
      <c r="AK427" s="175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A428" s="3"/>
      <c r="B428" s="3"/>
      <c r="C428" s="3"/>
      <c r="D428" s="3"/>
      <c r="E428" s="3"/>
      <c r="F428" s="3"/>
      <c r="G428" s="175"/>
      <c r="H428" s="3"/>
      <c r="I428" s="175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175"/>
      <c r="AJ428" s="3"/>
      <c r="AK428" s="175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A429" s="3"/>
      <c r="B429" s="3"/>
      <c r="C429" s="3"/>
      <c r="D429" s="3"/>
      <c r="E429" s="3"/>
      <c r="F429" s="3"/>
      <c r="G429" s="175"/>
      <c r="H429" s="3"/>
      <c r="I429" s="175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175"/>
      <c r="AJ429" s="3"/>
      <c r="AK429" s="175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A430" s="3"/>
      <c r="B430" s="3"/>
      <c r="C430" s="3"/>
      <c r="D430" s="3"/>
      <c r="E430" s="3"/>
      <c r="F430" s="3"/>
      <c r="G430" s="175"/>
      <c r="H430" s="3"/>
      <c r="I430" s="175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175"/>
      <c r="AJ430" s="3"/>
      <c r="AK430" s="175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A431" s="3"/>
      <c r="B431" s="3"/>
      <c r="C431" s="3"/>
      <c r="D431" s="3"/>
      <c r="E431" s="3"/>
      <c r="F431" s="3"/>
      <c r="G431" s="175"/>
      <c r="H431" s="3"/>
      <c r="I431" s="175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175"/>
      <c r="AJ431" s="3"/>
      <c r="AK431" s="175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A432" s="3"/>
      <c r="B432" s="3"/>
      <c r="C432" s="3"/>
      <c r="D432" s="3"/>
      <c r="E432" s="3"/>
      <c r="F432" s="3"/>
      <c r="G432" s="175"/>
      <c r="H432" s="3"/>
      <c r="I432" s="175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175"/>
      <c r="AJ432" s="3"/>
      <c r="AK432" s="175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A433" s="3"/>
      <c r="B433" s="3"/>
      <c r="C433" s="3"/>
      <c r="D433" s="3"/>
      <c r="E433" s="3"/>
      <c r="F433" s="3"/>
      <c r="G433" s="175"/>
      <c r="H433" s="3"/>
      <c r="I433" s="175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175"/>
      <c r="AJ433" s="3"/>
      <c r="AK433" s="175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A434" s="3"/>
      <c r="B434" s="3"/>
      <c r="C434" s="3"/>
      <c r="D434" s="3"/>
      <c r="E434" s="3"/>
      <c r="F434" s="3"/>
      <c r="G434" s="175"/>
      <c r="H434" s="3"/>
      <c r="I434" s="175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175"/>
      <c r="AJ434" s="3"/>
      <c r="AK434" s="175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A435" s="3"/>
      <c r="B435" s="3"/>
      <c r="C435" s="3"/>
      <c r="D435" s="3"/>
      <c r="E435" s="3"/>
      <c r="F435" s="3"/>
      <c r="G435" s="175"/>
      <c r="H435" s="3"/>
      <c r="I435" s="175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175"/>
      <c r="AJ435" s="3"/>
      <c r="AK435" s="175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A436" s="3"/>
      <c r="B436" s="3"/>
      <c r="C436" s="3"/>
      <c r="D436" s="3"/>
      <c r="E436" s="3"/>
      <c r="F436" s="3"/>
      <c r="G436" s="175"/>
      <c r="H436" s="3"/>
      <c r="I436" s="175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175"/>
      <c r="AJ436" s="3"/>
      <c r="AK436" s="175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A437" s="3"/>
      <c r="B437" s="3"/>
      <c r="C437" s="3"/>
      <c r="D437" s="3"/>
      <c r="E437" s="3"/>
      <c r="F437" s="3"/>
      <c r="G437" s="175"/>
      <c r="H437" s="3"/>
      <c r="I437" s="175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175"/>
      <c r="AJ437" s="3"/>
      <c r="AK437" s="175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A438" s="3"/>
      <c r="B438" s="3"/>
      <c r="C438" s="3"/>
      <c r="D438" s="3"/>
      <c r="E438" s="3"/>
      <c r="F438" s="3"/>
      <c r="G438" s="175"/>
      <c r="H438" s="3"/>
      <c r="I438" s="175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175"/>
      <c r="AJ438" s="3"/>
      <c r="AK438" s="175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A439" s="3"/>
      <c r="B439" s="3"/>
      <c r="C439" s="3"/>
      <c r="D439" s="3"/>
      <c r="E439" s="3"/>
      <c r="F439" s="3"/>
      <c r="G439" s="175"/>
      <c r="H439" s="3"/>
      <c r="I439" s="175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175"/>
      <c r="AJ439" s="3"/>
      <c r="AK439" s="175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A440" s="3"/>
      <c r="B440" s="3"/>
      <c r="C440" s="3"/>
      <c r="D440" s="3"/>
      <c r="E440" s="3"/>
      <c r="F440" s="3"/>
      <c r="G440" s="175"/>
      <c r="H440" s="3"/>
      <c r="I440" s="175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175"/>
      <c r="AJ440" s="3"/>
      <c r="AK440" s="175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A441" s="3"/>
      <c r="B441" s="3"/>
      <c r="C441" s="3"/>
      <c r="D441" s="3"/>
      <c r="E441" s="3"/>
      <c r="F441" s="3"/>
      <c r="G441" s="175"/>
      <c r="H441" s="3"/>
      <c r="I441" s="175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175"/>
      <c r="AJ441" s="3"/>
      <c r="AK441" s="175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A442" s="3"/>
      <c r="B442" s="3"/>
      <c r="C442" s="3"/>
      <c r="D442" s="3"/>
      <c r="E442" s="3"/>
      <c r="F442" s="3"/>
      <c r="G442" s="175"/>
      <c r="H442" s="3"/>
      <c r="I442" s="175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175"/>
      <c r="AJ442" s="3"/>
      <c r="AK442" s="175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A443" s="3"/>
      <c r="B443" s="3"/>
      <c r="C443" s="3"/>
      <c r="D443" s="3"/>
      <c r="E443" s="3"/>
      <c r="F443" s="3"/>
      <c r="G443" s="175"/>
      <c r="H443" s="3"/>
      <c r="I443" s="175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175"/>
      <c r="AJ443" s="3"/>
      <c r="AK443" s="175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A444" s="3"/>
      <c r="B444" s="3"/>
      <c r="C444" s="3"/>
      <c r="D444" s="3"/>
      <c r="E444" s="3"/>
      <c r="F444" s="3"/>
      <c r="G444" s="175"/>
      <c r="H444" s="3"/>
      <c r="I444" s="175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175"/>
      <c r="AJ444" s="3"/>
      <c r="AK444" s="175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A445" s="3"/>
      <c r="B445" s="3"/>
      <c r="C445" s="3"/>
      <c r="D445" s="3"/>
      <c r="E445" s="3"/>
      <c r="F445" s="3"/>
      <c r="G445" s="175"/>
      <c r="H445" s="3"/>
      <c r="I445" s="175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175"/>
      <c r="AJ445" s="3"/>
      <c r="AK445" s="175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A446" s="3"/>
      <c r="B446" s="3"/>
      <c r="C446" s="3"/>
      <c r="D446" s="3"/>
      <c r="E446" s="3"/>
      <c r="F446" s="3"/>
      <c r="G446" s="175"/>
      <c r="H446" s="3"/>
      <c r="I446" s="175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175"/>
      <c r="AJ446" s="3"/>
      <c r="AK446" s="175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A447" s="3"/>
      <c r="B447" s="3"/>
      <c r="C447" s="3"/>
      <c r="D447" s="3"/>
      <c r="E447" s="3"/>
      <c r="F447" s="3"/>
      <c r="G447" s="175"/>
      <c r="H447" s="3"/>
      <c r="I447" s="175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175"/>
      <c r="AJ447" s="3"/>
      <c r="AK447" s="175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A448" s="3"/>
      <c r="B448" s="3"/>
      <c r="C448" s="3"/>
      <c r="D448" s="3"/>
      <c r="E448" s="3"/>
      <c r="F448" s="3"/>
      <c r="G448" s="175"/>
      <c r="H448" s="3"/>
      <c r="I448" s="175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175"/>
      <c r="AJ448" s="3"/>
      <c r="AK448" s="175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A449" s="3"/>
      <c r="B449" s="3"/>
      <c r="C449" s="3"/>
      <c r="D449" s="3"/>
      <c r="E449" s="3"/>
      <c r="F449" s="3"/>
      <c r="G449" s="175"/>
      <c r="H449" s="3"/>
      <c r="I449" s="175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175"/>
      <c r="AJ449" s="3"/>
      <c r="AK449" s="175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A450" s="3"/>
      <c r="B450" s="3"/>
      <c r="C450" s="3"/>
      <c r="D450" s="3"/>
      <c r="E450" s="3"/>
      <c r="F450" s="3"/>
      <c r="G450" s="175"/>
      <c r="H450" s="3"/>
      <c r="I450" s="175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175"/>
      <c r="AJ450" s="3"/>
      <c r="AK450" s="175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A451" s="3"/>
      <c r="B451" s="3"/>
      <c r="C451" s="3"/>
      <c r="D451" s="3"/>
      <c r="E451" s="3"/>
      <c r="F451" s="3"/>
      <c r="G451" s="175"/>
      <c r="H451" s="3"/>
      <c r="I451" s="175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175"/>
      <c r="AJ451" s="3"/>
      <c r="AK451" s="175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A452" s="3"/>
      <c r="B452" s="3"/>
      <c r="C452" s="3"/>
      <c r="D452" s="3"/>
      <c r="E452" s="3"/>
      <c r="F452" s="3"/>
      <c r="G452" s="175"/>
      <c r="H452" s="3"/>
      <c r="I452" s="175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175"/>
      <c r="AJ452" s="3"/>
      <c r="AK452" s="175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A453" s="3"/>
      <c r="B453" s="3"/>
      <c r="C453" s="3"/>
      <c r="D453" s="3"/>
      <c r="E453" s="3"/>
      <c r="F453" s="3"/>
      <c r="G453" s="175"/>
      <c r="H453" s="3"/>
      <c r="I453" s="175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175"/>
      <c r="AJ453" s="3"/>
      <c r="AK453" s="175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A454" s="3"/>
      <c r="B454" s="3"/>
      <c r="C454" s="3"/>
      <c r="D454" s="3"/>
      <c r="E454" s="3"/>
      <c r="F454" s="3"/>
      <c r="G454" s="175"/>
      <c r="H454" s="3"/>
      <c r="I454" s="175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175"/>
      <c r="AJ454" s="3"/>
      <c r="AK454" s="175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A455" s="3"/>
      <c r="B455" s="3"/>
      <c r="C455" s="3"/>
      <c r="D455" s="3"/>
      <c r="E455" s="3"/>
      <c r="F455" s="3"/>
      <c r="G455" s="175"/>
      <c r="H455" s="3"/>
      <c r="I455" s="175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175"/>
      <c r="AJ455" s="3"/>
      <c r="AK455" s="175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A456" s="3"/>
      <c r="B456" s="3"/>
      <c r="C456" s="3"/>
      <c r="D456" s="3"/>
      <c r="E456" s="3"/>
      <c r="F456" s="3"/>
      <c r="G456" s="175"/>
      <c r="H456" s="3"/>
      <c r="I456" s="175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175"/>
      <c r="AJ456" s="3"/>
      <c r="AK456" s="175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A457" s="3"/>
      <c r="B457" s="3"/>
      <c r="C457" s="3"/>
      <c r="D457" s="3"/>
      <c r="E457" s="3"/>
      <c r="F457" s="3"/>
      <c r="G457" s="175"/>
      <c r="H457" s="3"/>
      <c r="I457" s="175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175"/>
      <c r="AJ457" s="3"/>
      <c r="AK457" s="175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A458" s="3"/>
      <c r="B458" s="3"/>
      <c r="C458" s="3"/>
      <c r="D458" s="3"/>
      <c r="E458" s="3"/>
      <c r="F458" s="3"/>
      <c r="G458" s="175"/>
      <c r="H458" s="3"/>
      <c r="I458" s="175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175"/>
      <c r="AJ458" s="3"/>
      <c r="AK458" s="175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A459" s="3"/>
      <c r="B459" s="3"/>
      <c r="C459" s="3"/>
      <c r="D459" s="3"/>
      <c r="E459" s="3"/>
      <c r="F459" s="3"/>
      <c r="G459" s="175"/>
      <c r="H459" s="3"/>
      <c r="I459" s="175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175"/>
      <c r="AJ459" s="3"/>
      <c r="AK459" s="175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A460" s="3"/>
      <c r="B460" s="3"/>
      <c r="C460" s="3"/>
      <c r="D460" s="3"/>
      <c r="E460" s="3"/>
      <c r="F460" s="3"/>
      <c r="G460" s="175"/>
      <c r="H460" s="3"/>
      <c r="I460" s="175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175"/>
      <c r="AJ460" s="3"/>
      <c r="AK460" s="175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A461" s="3"/>
      <c r="B461" s="3"/>
      <c r="C461" s="3"/>
      <c r="D461" s="3"/>
      <c r="E461" s="3"/>
      <c r="F461" s="3"/>
      <c r="G461" s="175"/>
      <c r="H461" s="3"/>
      <c r="I461" s="175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175"/>
      <c r="AJ461" s="3"/>
      <c r="AK461" s="175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A462" s="3"/>
      <c r="B462" s="3"/>
      <c r="C462" s="3"/>
      <c r="D462" s="3"/>
      <c r="E462" s="3"/>
      <c r="F462" s="3"/>
      <c r="G462" s="175"/>
      <c r="H462" s="3"/>
      <c r="I462" s="175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175"/>
      <c r="AJ462" s="3"/>
      <c r="AK462" s="175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A463" s="3"/>
      <c r="B463" s="3"/>
      <c r="C463" s="3"/>
      <c r="D463" s="3"/>
      <c r="E463" s="3"/>
      <c r="F463" s="3"/>
      <c r="G463" s="175"/>
      <c r="H463" s="3"/>
      <c r="I463" s="175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175"/>
      <c r="AJ463" s="3"/>
      <c r="AK463" s="175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A464" s="3"/>
      <c r="B464" s="3"/>
      <c r="C464" s="3"/>
      <c r="D464" s="3"/>
      <c r="E464" s="3"/>
      <c r="F464" s="3"/>
      <c r="G464" s="175"/>
      <c r="H464" s="3"/>
      <c r="I464" s="175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175"/>
      <c r="AJ464" s="3"/>
      <c r="AK464" s="175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A465" s="3"/>
      <c r="B465" s="3"/>
      <c r="C465" s="3"/>
      <c r="D465" s="3"/>
      <c r="E465" s="3"/>
      <c r="F465" s="3"/>
      <c r="G465" s="175"/>
      <c r="H465" s="3"/>
      <c r="I465" s="175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175"/>
      <c r="AJ465" s="3"/>
      <c r="AK465" s="175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A466" s="3"/>
      <c r="B466" s="3"/>
      <c r="C466" s="3"/>
      <c r="D466" s="3"/>
      <c r="E466" s="3"/>
      <c r="F466" s="3"/>
      <c r="G466" s="175"/>
      <c r="H466" s="3"/>
      <c r="I466" s="175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175"/>
      <c r="AJ466" s="3"/>
      <c r="AK466" s="175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A467" s="3"/>
      <c r="B467" s="3"/>
      <c r="C467" s="3"/>
      <c r="D467" s="3"/>
      <c r="E467" s="3"/>
      <c r="F467" s="3"/>
      <c r="G467" s="175"/>
      <c r="H467" s="3"/>
      <c r="I467" s="175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175"/>
      <c r="AJ467" s="3"/>
      <c r="AK467" s="175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A468" s="3"/>
      <c r="B468" s="3"/>
      <c r="C468" s="3"/>
      <c r="D468" s="3"/>
      <c r="E468" s="3"/>
      <c r="F468" s="3"/>
      <c r="G468" s="175"/>
      <c r="H468" s="3"/>
      <c r="I468" s="175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175"/>
      <c r="AJ468" s="3"/>
      <c r="AK468" s="175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A469" s="3"/>
      <c r="B469" s="3"/>
      <c r="C469" s="3"/>
      <c r="D469" s="3"/>
      <c r="E469" s="3"/>
      <c r="F469" s="3"/>
      <c r="G469" s="175"/>
      <c r="H469" s="3"/>
      <c r="I469" s="175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175"/>
      <c r="AJ469" s="3"/>
      <c r="AK469" s="175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A470" s="3"/>
      <c r="B470" s="3"/>
      <c r="C470" s="3"/>
      <c r="D470" s="3"/>
      <c r="E470" s="3"/>
      <c r="F470" s="3"/>
      <c r="G470" s="175"/>
      <c r="H470" s="3"/>
      <c r="I470" s="175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175"/>
      <c r="AJ470" s="3"/>
      <c r="AK470" s="175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A471" s="3"/>
      <c r="B471" s="3"/>
      <c r="C471" s="3"/>
      <c r="D471" s="3"/>
      <c r="E471" s="3"/>
      <c r="F471" s="3"/>
      <c r="G471" s="175"/>
      <c r="H471" s="3"/>
      <c r="I471" s="175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175"/>
      <c r="AJ471" s="3"/>
      <c r="AK471" s="175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A472" s="3"/>
      <c r="B472" s="3"/>
      <c r="C472" s="3"/>
      <c r="D472" s="3"/>
      <c r="E472" s="3"/>
      <c r="F472" s="3"/>
      <c r="G472" s="175"/>
      <c r="H472" s="3"/>
      <c r="I472" s="175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175"/>
      <c r="AJ472" s="3"/>
      <c r="AK472" s="175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A473" s="3"/>
      <c r="B473" s="3"/>
      <c r="C473" s="3"/>
      <c r="D473" s="3"/>
      <c r="E473" s="3"/>
      <c r="F473" s="3"/>
      <c r="G473" s="175"/>
      <c r="H473" s="3"/>
      <c r="I473" s="175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175"/>
      <c r="AJ473" s="3"/>
      <c r="AK473" s="175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A474" s="3"/>
      <c r="B474" s="3"/>
      <c r="C474" s="3"/>
      <c r="D474" s="3"/>
      <c r="E474" s="3"/>
      <c r="F474" s="3"/>
      <c r="G474" s="175"/>
      <c r="H474" s="3"/>
      <c r="I474" s="175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175"/>
      <c r="AJ474" s="3"/>
      <c r="AK474" s="175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A475" s="3"/>
      <c r="B475" s="3"/>
      <c r="C475" s="3"/>
      <c r="D475" s="3"/>
      <c r="E475" s="3"/>
      <c r="F475" s="3"/>
      <c r="G475" s="175"/>
      <c r="H475" s="3"/>
      <c r="I475" s="175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175"/>
      <c r="AJ475" s="3"/>
      <c r="AK475" s="175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A476" s="3"/>
      <c r="B476" s="3"/>
      <c r="C476" s="3"/>
      <c r="D476" s="3"/>
      <c r="E476" s="3"/>
      <c r="F476" s="3"/>
      <c r="G476" s="175"/>
      <c r="H476" s="3"/>
      <c r="I476" s="175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175"/>
      <c r="AJ476" s="3"/>
      <c r="AK476" s="175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A477" s="3"/>
      <c r="B477" s="3"/>
      <c r="C477" s="3"/>
      <c r="D477" s="3"/>
      <c r="E477" s="3"/>
      <c r="F477" s="3"/>
      <c r="G477" s="175"/>
      <c r="H477" s="3"/>
      <c r="I477" s="175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175"/>
      <c r="AJ477" s="3"/>
      <c r="AK477" s="175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A478" s="3"/>
      <c r="B478" s="3"/>
      <c r="C478" s="3"/>
      <c r="D478" s="3"/>
      <c r="E478" s="3"/>
      <c r="F478" s="3"/>
      <c r="G478" s="175"/>
      <c r="H478" s="3"/>
      <c r="I478" s="175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175"/>
      <c r="AJ478" s="3"/>
      <c r="AK478" s="175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A479" s="3"/>
      <c r="B479" s="3"/>
      <c r="C479" s="3"/>
      <c r="D479" s="3"/>
      <c r="E479" s="3"/>
      <c r="F479" s="3"/>
      <c r="G479" s="175"/>
      <c r="H479" s="3"/>
      <c r="I479" s="175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175"/>
      <c r="AJ479" s="3"/>
      <c r="AK479" s="175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A480" s="3"/>
      <c r="B480" s="3"/>
      <c r="C480" s="3"/>
      <c r="D480" s="3"/>
      <c r="E480" s="3"/>
      <c r="F480" s="3"/>
      <c r="G480" s="175"/>
      <c r="H480" s="3"/>
      <c r="I480" s="175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175"/>
      <c r="AJ480" s="3"/>
      <c r="AK480" s="175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A481" s="3"/>
      <c r="B481" s="3"/>
      <c r="C481" s="3"/>
      <c r="D481" s="3"/>
      <c r="E481" s="3"/>
      <c r="F481" s="3"/>
      <c r="G481" s="175"/>
      <c r="H481" s="3"/>
      <c r="I481" s="175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175"/>
      <c r="AJ481" s="3"/>
      <c r="AK481" s="175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A482" s="3"/>
      <c r="B482" s="3"/>
      <c r="C482" s="3"/>
      <c r="D482" s="3"/>
      <c r="E482" s="3"/>
      <c r="F482" s="3"/>
      <c r="G482" s="175"/>
      <c r="H482" s="3"/>
      <c r="I482" s="175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175"/>
      <c r="AJ482" s="3"/>
      <c r="AK482" s="175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A483" s="3"/>
      <c r="B483" s="3"/>
      <c r="C483" s="3"/>
      <c r="D483" s="3"/>
      <c r="E483" s="3"/>
      <c r="F483" s="3"/>
      <c r="G483" s="175"/>
      <c r="H483" s="3"/>
      <c r="I483" s="175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175"/>
      <c r="AJ483" s="3"/>
      <c r="AK483" s="175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A484" s="3"/>
      <c r="B484" s="3"/>
      <c r="C484" s="3"/>
      <c r="D484" s="3"/>
      <c r="E484" s="3"/>
      <c r="F484" s="3"/>
      <c r="G484" s="175"/>
      <c r="H484" s="3"/>
      <c r="I484" s="175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175"/>
      <c r="AJ484" s="3"/>
      <c r="AK484" s="175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A485" s="3"/>
      <c r="B485" s="3"/>
      <c r="C485" s="3"/>
      <c r="D485" s="3"/>
      <c r="E485" s="3"/>
      <c r="F485" s="3"/>
      <c r="G485" s="175"/>
      <c r="H485" s="3"/>
      <c r="I485" s="175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175"/>
      <c r="AJ485" s="3"/>
      <c r="AK485" s="175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A486" s="3"/>
      <c r="B486" s="3"/>
      <c r="C486" s="3"/>
      <c r="D486" s="3"/>
      <c r="E486" s="3"/>
      <c r="F486" s="3"/>
      <c r="G486" s="175"/>
      <c r="H486" s="3"/>
      <c r="I486" s="175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175"/>
      <c r="AJ486" s="3"/>
      <c r="AK486" s="175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A487" s="3"/>
      <c r="B487" s="3"/>
      <c r="C487" s="3"/>
      <c r="D487" s="3"/>
      <c r="E487" s="3"/>
      <c r="F487" s="3"/>
      <c r="G487" s="175"/>
      <c r="H487" s="3"/>
      <c r="I487" s="175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175"/>
      <c r="AJ487" s="3"/>
      <c r="AK487" s="175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A488" s="3"/>
      <c r="B488" s="3"/>
      <c r="C488" s="3"/>
      <c r="D488" s="3"/>
      <c r="E488" s="3"/>
      <c r="F488" s="3"/>
      <c r="G488" s="175"/>
      <c r="H488" s="3"/>
      <c r="I488" s="175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175"/>
      <c r="AJ488" s="3"/>
      <c r="AK488" s="175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A489" s="3"/>
      <c r="B489" s="3"/>
      <c r="C489" s="3"/>
      <c r="D489" s="3"/>
      <c r="E489" s="3"/>
      <c r="F489" s="3"/>
      <c r="G489" s="175"/>
      <c r="H489" s="3"/>
      <c r="I489" s="175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175"/>
      <c r="AJ489" s="3"/>
      <c r="AK489" s="175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A490" s="3"/>
      <c r="B490" s="3"/>
      <c r="C490" s="3"/>
      <c r="D490" s="3"/>
      <c r="E490" s="3"/>
      <c r="F490" s="3"/>
      <c r="G490" s="175"/>
      <c r="H490" s="3"/>
      <c r="I490" s="175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175"/>
      <c r="AJ490" s="3"/>
      <c r="AK490" s="175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A491" s="3"/>
      <c r="B491" s="3"/>
      <c r="C491" s="3"/>
      <c r="D491" s="3"/>
      <c r="E491" s="3"/>
      <c r="F491" s="3"/>
      <c r="G491" s="175"/>
      <c r="H491" s="3"/>
      <c r="I491" s="175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175"/>
      <c r="AJ491" s="3"/>
      <c r="AK491" s="175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A492" s="3"/>
      <c r="B492" s="3"/>
      <c r="C492" s="3"/>
      <c r="D492" s="3"/>
      <c r="E492" s="3"/>
      <c r="F492" s="3"/>
      <c r="G492" s="175"/>
      <c r="H492" s="3"/>
      <c r="I492" s="175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175"/>
      <c r="AJ492" s="3"/>
      <c r="AK492" s="175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A493" s="3"/>
      <c r="B493" s="3"/>
      <c r="C493" s="3"/>
      <c r="D493" s="3"/>
      <c r="E493" s="3"/>
      <c r="F493" s="3"/>
      <c r="G493" s="175"/>
      <c r="H493" s="3"/>
      <c r="I493" s="175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175"/>
      <c r="AJ493" s="3"/>
      <c r="AK493" s="175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A494" s="3"/>
      <c r="B494" s="3"/>
      <c r="C494" s="3"/>
      <c r="D494" s="3"/>
      <c r="E494" s="3"/>
      <c r="F494" s="3"/>
      <c r="G494" s="175"/>
      <c r="H494" s="3"/>
      <c r="I494" s="175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175"/>
      <c r="AJ494" s="3"/>
      <c r="AK494" s="175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A495" s="3"/>
      <c r="B495" s="3"/>
      <c r="C495" s="3"/>
      <c r="D495" s="3"/>
      <c r="E495" s="3"/>
      <c r="F495" s="3"/>
      <c r="G495" s="175"/>
      <c r="H495" s="3"/>
      <c r="I495" s="175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175"/>
      <c r="AJ495" s="3"/>
      <c r="AK495" s="175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A496" s="3"/>
      <c r="B496" s="3"/>
      <c r="C496" s="3"/>
      <c r="D496" s="3"/>
      <c r="E496" s="3"/>
      <c r="F496" s="3"/>
      <c r="G496" s="175"/>
      <c r="H496" s="3"/>
      <c r="I496" s="175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175"/>
      <c r="AJ496" s="3"/>
      <c r="AK496" s="175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A497" s="3"/>
      <c r="B497" s="3"/>
      <c r="C497" s="3"/>
      <c r="D497" s="3"/>
      <c r="E497" s="3"/>
      <c r="F497" s="3"/>
      <c r="G497" s="175"/>
      <c r="H497" s="3"/>
      <c r="I497" s="175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175"/>
      <c r="AJ497" s="3"/>
      <c r="AK497" s="175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A498" s="3"/>
      <c r="B498" s="3"/>
      <c r="C498" s="3"/>
      <c r="D498" s="3"/>
      <c r="E498" s="3"/>
      <c r="F498" s="3"/>
      <c r="G498" s="175"/>
      <c r="H498" s="3"/>
      <c r="I498" s="175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175"/>
      <c r="AJ498" s="3"/>
      <c r="AK498" s="175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A499" s="3"/>
      <c r="B499" s="3"/>
      <c r="C499" s="3"/>
      <c r="D499" s="3"/>
      <c r="E499" s="3"/>
      <c r="F499" s="3"/>
      <c r="G499" s="175"/>
      <c r="H499" s="3"/>
      <c r="I499" s="175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175"/>
      <c r="AJ499" s="3"/>
      <c r="AK499" s="175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A500" s="3"/>
      <c r="B500" s="3"/>
      <c r="C500" s="3"/>
      <c r="D500" s="3"/>
      <c r="E500" s="3"/>
      <c r="F500" s="3"/>
      <c r="G500" s="175"/>
      <c r="H500" s="3"/>
      <c r="I500" s="175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175"/>
      <c r="AJ500" s="3"/>
      <c r="AK500" s="175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A501" s="3"/>
      <c r="B501" s="3"/>
      <c r="C501" s="3"/>
      <c r="D501" s="3"/>
      <c r="E501" s="3"/>
      <c r="F501" s="3"/>
      <c r="G501" s="175"/>
      <c r="H501" s="3"/>
      <c r="I501" s="175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175"/>
      <c r="AJ501" s="3"/>
      <c r="AK501" s="175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A502" s="3"/>
      <c r="B502" s="3"/>
      <c r="C502" s="3"/>
      <c r="D502" s="3"/>
      <c r="E502" s="3"/>
      <c r="F502" s="3"/>
      <c r="G502" s="175"/>
      <c r="H502" s="3"/>
      <c r="I502" s="175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175"/>
      <c r="AJ502" s="3"/>
      <c r="AK502" s="175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A503" s="3"/>
      <c r="B503" s="3"/>
      <c r="C503" s="3"/>
      <c r="D503" s="3"/>
      <c r="E503" s="3"/>
      <c r="F503" s="3"/>
      <c r="G503" s="175"/>
      <c r="H503" s="3"/>
      <c r="I503" s="175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175"/>
      <c r="AJ503" s="3"/>
      <c r="AK503" s="175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A504" s="3"/>
      <c r="B504" s="3"/>
      <c r="C504" s="3"/>
      <c r="D504" s="3"/>
      <c r="E504" s="3"/>
      <c r="F504" s="3"/>
      <c r="G504" s="175"/>
      <c r="H504" s="3"/>
      <c r="I504" s="175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175"/>
      <c r="AJ504" s="3"/>
      <c r="AK504" s="175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A505" s="3"/>
      <c r="B505" s="3"/>
      <c r="C505" s="3"/>
      <c r="D505" s="3"/>
      <c r="E505" s="3"/>
      <c r="F505" s="3"/>
      <c r="G505" s="175"/>
      <c r="H505" s="3"/>
      <c r="I505" s="175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175"/>
      <c r="AJ505" s="3"/>
      <c r="AK505" s="175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A506" s="3"/>
      <c r="B506" s="3"/>
      <c r="C506" s="3"/>
      <c r="D506" s="3"/>
      <c r="E506" s="3"/>
      <c r="F506" s="3"/>
      <c r="G506" s="175"/>
      <c r="H506" s="3"/>
      <c r="I506" s="175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175"/>
      <c r="AJ506" s="3"/>
      <c r="AK506" s="175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A507" s="3"/>
      <c r="B507" s="3"/>
      <c r="C507" s="3"/>
      <c r="D507" s="3"/>
      <c r="E507" s="3"/>
      <c r="F507" s="3"/>
      <c r="G507" s="175"/>
      <c r="H507" s="3"/>
      <c r="I507" s="175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175"/>
      <c r="AJ507" s="3"/>
      <c r="AK507" s="175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A508" s="3"/>
      <c r="B508" s="3"/>
      <c r="C508" s="3"/>
      <c r="D508" s="3"/>
      <c r="E508" s="3"/>
      <c r="F508" s="3"/>
      <c r="G508" s="175"/>
      <c r="H508" s="3"/>
      <c r="I508" s="175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175"/>
      <c r="AJ508" s="3"/>
      <c r="AK508" s="175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A509" s="3"/>
      <c r="B509" s="3"/>
      <c r="C509" s="3"/>
      <c r="D509" s="3"/>
      <c r="E509" s="3"/>
      <c r="F509" s="3"/>
      <c r="G509" s="175"/>
      <c r="H509" s="3"/>
      <c r="I509" s="175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175"/>
      <c r="AJ509" s="3"/>
      <c r="AK509" s="175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A510" s="3"/>
      <c r="B510" s="3"/>
      <c r="C510" s="3"/>
      <c r="D510" s="3"/>
      <c r="E510" s="3"/>
      <c r="F510" s="3"/>
      <c r="G510" s="175"/>
      <c r="H510" s="3"/>
      <c r="I510" s="175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175"/>
      <c r="AJ510" s="3"/>
      <c r="AK510" s="175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A511" s="3"/>
      <c r="B511" s="3"/>
      <c r="C511" s="3"/>
      <c r="D511" s="3"/>
      <c r="E511" s="3"/>
      <c r="F511" s="3"/>
      <c r="G511" s="175"/>
      <c r="H511" s="3"/>
      <c r="I511" s="175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175"/>
      <c r="AJ511" s="3"/>
      <c r="AK511" s="175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A512" s="3"/>
      <c r="B512" s="3"/>
      <c r="C512" s="3"/>
      <c r="D512" s="3"/>
      <c r="E512" s="3"/>
      <c r="F512" s="3"/>
      <c r="G512" s="175"/>
      <c r="H512" s="3"/>
      <c r="I512" s="175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175"/>
      <c r="AJ512" s="3"/>
      <c r="AK512" s="175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A513" s="3"/>
      <c r="B513" s="3"/>
      <c r="C513" s="3"/>
      <c r="D513" s="3"/>
      <c r="E513" s="3"/>
      <c r="F513" s="3"/>
      <c r="G513" s="175"/>
      <c r="H513" s="3"/>
      <c r="I513" s="175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175"/>
      <c r="AJ513" s="3"/>
      <c r="AK513" s="175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A514" s="3"/>
      <c r="B514" s="3"/>
      <c r="C514" s="3"/>
      <c r="D514" s="3"/>
      <c r="E514" s="3"/>
      <c r="F514" s="3"/>
      <c r="G514" s="175"/>
      <c r="H514" s="3"/>
      <c r="I514" s="175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175"/>
      <c r="AJ514" s="3"/>
      <c r="AK514" s="175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A515" s="3"/>
      <c r="B515" s="3"/>
      <c r="C515" s="3"/>
      <c r="D515" s="3"/>
      <c r="E515" s="3"/>
      <c r="F515" s="3"/>
      <c r="G515" s="175"/>
      <c r="H515" s="3"/>
      <c r="I515" s="175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175"/>
      <c r="AJ515" s="3"/>
      <c r="AK515" s="175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A516" s="3"/>
      <c r="B516" s="3"/>
      <c r="C516" s="3"/>
      <c r="D516" s="3"/>
      <c r="E516" s="3"/>
      <c r="F516" s="3"/>
      <c r="G516" s="175"/>
      <c r="H516" s="3"/>
      <c r="I516" s="175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175"/>
      <c r="AJ516" s="3"/>
      <c r="AK516" s="175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A517" s="3"/>
      <c r="B517" s="3"/>
      <c r="C517" s="3"/>
      <c r="D517" s="3"/>
      <c r="E517" s="3"/>
      <c r="F517" s="3"/>
      <c r="G517" s="175"/>
      <c r="H517" s="3"/>
      <c r="I517" s="175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175"/>
      <c r="AJ517" s="3"/>
      <c r="AK517" s="175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A518" s="3"/>
      <c r="B518" s="3"/>
      <c r="C518" s="3"/>
      <c r="D518" s="3"/>
      <c r="E518" s="3"/>
      <c r="F518" s="3"/>
      <c r="G518" s="175"/>
      <c r="H518" s="3"/>
      <c r="I518" s="175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175"/>
      <c r="AJ518" s="3"/>
      <c r="AK518" s="175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A519" s="3"/>
      <c r="B519" s="3"/>
      <c r="C519" s="3"/>
      <c r="D519" s="3"/>
      <c r="E519" s="3"/>
      <c r="F519" s="3"/>
      <c r="G519" s="175"/>
      <c r="H519" s="3"/>
      <c r="I519" s="175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175"/>
      <c r="AJ519" s="3"/>
      <c r="AK519" s="175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A520" s="3"/>
      <c r="B520" s="3"/>
      <c r="C520" s="3"/>
      <c r="D520" s="3"/>
      <c r="E520" s="3"/>
      <c r="F520" s="3"/>
      <c r="G520" s="175"/>
      <c r="H520" s="3"/>
      <c r="I520" s="175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175"/>
      <c r="AJ520" s="3"/>
      <c r="AK520" s="175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A521" s="3"/>
      <c r="B521" s="3"/>
      <c r="C521" s="3"/>
      <c r="D521" s="3"/>
      <c r="E521" s="3"/>
      <c r="F521" s="3"/>
      <c r="G521" s="175"/>
      <c r="H521" s="3"/>
      <c r="I521" s="175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175"/>
      <c r="AJ521" s="3"/>
      <c r="AK521" s="175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A522" s="3"/>
      <c r="B522" s="3"/>
      <c r="C522" s="3"/>
      <c r="D522" s="3"/>
      <c r="E522" s="3"/>
      <c r="F522" s="3"/>
      <c r="G522" s="175"/>
      <c r="H522" s="3"/>
      <c r="I522" s="175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175"/>
      <c r="AJ522" s="3"/>
      <c r="AK522" s="175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A523" s="3"/>
      <c r="B523" s="3"/>
      <c r="C523" s="3"/>
      <c r="D523" s="3"/>
      <c r="E523" s="3"/>
      <c r="F523" s="3"/>
      <c r="G523" s="175"/>
      <c r="H523" s="3"/>
      <c r="I523" s="175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175"/>
      <c r="AJ523" s="3"/>
      <c r="AK523" s="175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A524" s="3"/>
      <c r="B524" s="3"/>
      <c r="C524" s="3"/>
      <c r="D524" s="3"/>
      <c r="E524" s="3"/>
      <c r="F524" s="3"/>
      <c r="G524" s="175"/>
      <c r="H524" s="3"/>
      <c r="I524" s="175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175"/>
      <c r="AJ524" s="3"/>
      <c r="AK524" s="175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A525" s="3"/>
      <c r="B525" s="3"/>
      <c r="C525" s="3"/>
      <c r="D525" s="3"/>
      <c r="E525" s="3"/>
      <c r="F525" s="3"/>
      <c r="G525" s="175"/>
      <c r="H525" s="3"/>
      <c r="I525" s="175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175"/>
      <c r="AJ525" s="3"/>
      <c r="AK525" s="175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A526" s="3"/>
      <c r="B526" s="3"/>
      <c r="C526" s="3"/>
      <c r="D526" s="3"/>
      <c r="E526" s="3"/>
      <c r="F526" s="3"/>
      <c r="G526" s="175"/>
      <c r="H526" s="3"/>
      <c r="I526" s="175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175"/>
      <c r="AJ526" s="3"/>
      <c r="AK526" s="175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A527" s="3"/>
      <c r="B527" s="3"/>
      <c r="C527" s="3"/>
      <c r="D527" s="3"/>
      <c r="E527" s="3"/>
      <c r="F527" s="3"/>
      <c r="G527" s="175"/>
      <c r="H527" s="3"/>
      <c r="I527" s="175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175"/>
      <c r="AJ527" s="3"/>
      <c r="AK527" s="175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A528" s="3"/>
      <c r="B528" s="3"/>
      <c r="C528" s="3"/>
      <c r="D528" s="3"/>
      <c r="E528" s="3"/>
      <c r="F528" s="3"/>
      <c r="G528" s="175"/>
      <c r="H528" s="3"/>
      <c r="I528" s="175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175"/>
      <c r="AJ528" s="3"/>
      <c r="AK528" s="175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A529" s="3"/>
      <c r="B529" s="3"/>
      <c r="C529" s="3"/>
      <c r="D529" s="3"/>
      <c r="E529" s="3"/>
      <c r="F529" s="3"/>
      <c r="G529" s="175"/>
      <c r="H529" s="3"/>
      <c r="I529" s="175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175"/>
      <c r="AJ529" s="3"/>
      <c r="AK529" s="175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A530" s="3"/>
      <c r="B530" s="3"/>
      <c r="C530" s="3"/>
      <c r="D530" s="3"/>
      <c r="E530" s="3"/>
      <c r="F530" s="3"/>
      <c r="G530" s="175"/>
      <c r="H530" s="3"/>
      <c r="I530" s="175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175"/>
      <c r="AJ530" s="3"/>
      <c r="AK530" s="175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A531" s="3"/>
      <c r="B531" s="3"/>
      <c r="C531" s="3"/>
      <c r="D531" s="3"/>
      <c r="E531" s="3"/>
      <c r="F531" s="3"/>
      <c r="G531" s="175"/>
      <c r="H531" s="3"/>
      <c r="I531" s="175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175"/>
      <c r="AJ531" s="3"/>
      <c r="AK531" s="175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A532" s="3"/>
      <c r="B532" s="3"/>
      <c r="C532" s="3"/>
      <c r="D532" s="3"/>
      <c r="E532" s="3"/>
      <c r="F532" s="3"/>
      <c r="G532" s="175"/>
      <c r="H532" s="3"/>
      <c r="I532" s="175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175"/>
      <c r="AJ532" s="3"/>
      <c r="AK532" s="175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A533" s="3"/>
      <c r="B533" s="3"/>
      <c r="C533" s="3"/>
      <c r="D533" s="3"/>
      <c r="E533" s="3"/>
      <c r="F533" s="3"/>
      <c r="G533" s="175"/>
      <c r="H533" s="3"/>
      <c r="I533" s="175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175"/>
      <c r="AJ533" s="3"/>
      <c r="AK533" s="175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A534" s="3"/>
      <c r="B534" s="3"/>
      <c r="C534" s="3"/>
      <c r="D534" s="3"/>
      <c r="E534" s="3"/>
      <c r="F534" s="3"/>
      <c r="G534" s="175"/>
      <c r="H534" s="3"/>
      <c r="I534" s="175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175"/>
      <c r="AJ534" s="3"/>
      <c r="AK534" s="175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A535" s="3"/>
      <c r="B535" s="3"/>
      <c r="C535" s="3"/>
      <c r="D535" s="3"/>
      <c r="E535" s="3"/>
      <c r="F535" s="3"/>
      <c r="G535" s="175"/>
      <c r="H535" s="3"/>
      <c r="I535" s="175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175"/>
      <c r="AJ535" s="3"/>
      <c r="AK535" s="175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A536" s="3"/>
      <c r="B536" s="3"/>
      <c r="C536" s="3"/>
      <c r="D536" s="3"/>
      <c r="E536" s="3"/>
      <c r="F536" s="3"/>
      <c r="G536" s="175"/>
      <c r="H536" s="3"/>
      <c r="I536" s="175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175"/>
      <c r="AJ536" s="3"/>
      <c r="AK536" s="175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A537" s="3"/>
      <c r="B537" s="3"/>
      <c r="C537" s="3"/>
      <c r="D537" s="3"/>
      <c r="E537" s="3"/>
      <c r="F537" s="3"/>
      <c r="G537" s="175"/>
      <c r="H537" s="3"/>
      <c r="I537" s="175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175"/>
      <c r="AJ537" s="3"/>
      <c r="AK537" s="175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A538" s="3"/>
      <c r="B538" s="3"/>
      <c r="C538" s="3"/>
      <c r="D538" s="3"/>
      <c r="E538" s="3"/>
      <c r="F538" s="3"/>
      <c r="G538" s="175"/>
      <c r="H538" s="3"/>
      <c r="I538" s="175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175"/>
      <c r="AJ538" s="3"/>
      <c r="AK538" s="175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A539" s="3"/>
      <c r="B539" s="3"/>
      <c r="C539" s="3"/>
      <c r="D539" s="3"/>
      <c r="E539" s="3"/>
      <c r="F539" s="3"/>
      <c r="G539" s="175"/>
      <c r="H539" s="3"/>
      <c r="I539" s="175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175"/>
      <c r="AJ539" s="3"/>
      <c r="AK539" s="175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A540" s="3"/>
      <c r="B540" s="3"/>
      <c r="C540" s="3"/>
      <c r="D540" s="3"/>
      <c r="E540" s="3"/>
      <c r="F540" s="3"/>
      <c r="G540" s="175"/>
      <c r="H540" s="3"/>
      <c r="I540" s="175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175"/>
      <c r="AJ540" s="3"/>
      <c r="AK540" s="175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A541" s="3"/>
      <c r="B541" s="3"/>
      <c r="C541" s="3"/>
      <c r="D541" s="3"/>
      <c r="E541" s="3"/>
      <c r="F541" s="3"/>
      <c r="G541" s="175"/>
      <c r="H541" s="3"/>
      <c r="I541" s="175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175"/>
      <c r="AJ541" s="3"/>
      <c r="AK541" s="175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A542" s="3"/>
      <c r="B542" s="3"/>
      <c r="C542" s="3"/>
      <c r="D542" s="3"/>
      <c r="E542" s="3"/>
      <c r="F542" s="3"/>
      <c r="G542" s="175"/>
      <c r="H542" s="3"/>
      <c r="I542" s="175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175"/>
      <c r="AJ542" s="3"/>
      <c r="AK542" s="175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A543" s="3"/>
      <c r="B543" s="3"/>
      <c r="C543" s="3"/>
      <c r="D543" s="3"/>
      <c r="E543" s="3"/>
      <c r="F543" s="3"/>
      <c r="G543" s="175"/>
      <c r="H543" s="3"/>
      <c r="I543" s="175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175"/>
      <c r="AJ543" s="3"/>
      <c r="AK543" s="175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A544" s="3"/>
      <c r="B544" s="3"/>
      <c r="C544" s="3"/>
      <c r="D544" s="3"/>
      <c r="E544" s="3"/>
      <c r="F544" s="3"/>
      <c r="G544" s="175"/>
      <c r="H544" s="3"/>
      <c r="I544" s="175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175"/>
      <c r="AJ544" s="3"/>
      <c r="AK544" s="175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A545" s="3"/>
      <c r="B545" s="3"/>
      <c r="C545" s="3"/>
      <c r="D545" s="3"/>
      <c r="E545" s="3"/>
      <c r="F545" s="3"/>
      <c r="G545" s="175"/>
      <c r="H545" s="3"/>
      <c r="I545" s="175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175"/>
      <c r="AJ545" s="3"/>
      <c r="AK545" s="175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A546" s="3"/>
      <c r="B546" s="3"/>
      <c r="C546" s="3"/>
      <c r="D546" s="3"/>
      <c r="E546" s="3"/>
      <c r="F546" s="3"/>
      <c r="G546" s="175"/>
      <c r="H546" s="3"/>
      <c r="I546" s="175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175"/>
      <c r="AJ546" s="3"/>
      <c r="AK546" s="175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A547" s="3"/>
      <c r="B547" s="3"/>
      <c r="C547" s="3"/>
      <c r="D547" s="3"/>
      <c r="E547" s="3"/>
      <c r="F547" s="3"/>
      <c r="G547" s="175"/>
      <c r="H547" s="3"/>
      <c r="I547" s="175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175"/>
      <c r="AJ547" s="3"/>
      <c r="AK547" s="175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A548" s="3"/>
      <c r="B548" s="3"/>
      <c r="C548" s="3"/>
      <c r="D548" s="3"/>
      <c r="E548" s="3"/>
      <c r="F548" s="3"/>
      <c r="G548" s="175"/>
      <c r="H548" s="3"/>
      <c r="I548" s="175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175"/>
      <c r="AJ548" s="3"/>
      <c r="AK548" s="175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A549" s="3"/>
      <c r="B549" s="3"/>
      <c r="C549" s="3"/>
      <c r="D549" s="3"/>
      <c r="E549" s="3"/>
      <c r="F549" s="3"/>
      <c r="G549" s="175"/>
      <c r="H549" s="3"/>
      <c r="I549" s="175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175"/>
      <c r="AJ549" s="3"/>
      <c r="AK549" s="175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A550" s="3"/>
      <c r="B550" s="3"/>
      <c r="C550" s="3"/>
      <c r="D550" s="3"/>
      <c r="E550" s="3"/>
      <c r="F550" s="3"/>
      <c r="G550" s="175"/>
      <c r="H550" s="3"/>
      <c r="I550" s="175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175"/>
      <c r="AJ550" s="3"/>
      <c r="AK550" s="175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A551" s="3"/>
      <c r="B551" s="3"/>
      <c r="C551" s="3"/>
      <c r="D551" s="3"/>
      <c r="E551" s="3"/>
      <c r="F551" s="3"/>
      <c r="G551" s="175"/>
      <c r="H551" s="3"/>
      <c r="I551" s="175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175"/>
      <c r="AJ551" s="3"/>
      <c r="AK551" s="175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A552" s="3"/>
      <c r="B552" s="3"/>
      <c r="C552" s="3"/>
      <c r="D552" s="3"/>
      <c r="E552" s="3"/>
      <c r="F552" s="3"/>
      <c r="G552" s="175"/>
      <c r="H552" s="3"/>
      <c r="I552" s="175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175"/>
      <c r="AJ552" s="3"/>
      <c r="AK552" s="175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A553" s="3"/>
      <c r="B553" s="3"/>
      <c r="C553" s="3"/>
      <c r="D553" s="3"/>
      <c r="E553" s="3"/>
      <c r="F553" s="3"/>
      <c r="G553" s="175"/>
      <c r="H553" s="3"/>
      <c r="I553" s="175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175"/>
      <c r="AJ553" s="3"/>
      <c r="AK553" s="175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A554" s="3"/>
      <c r="B554" s="3"/>
      <c r="C554" s="3"/>
      <c r="D554" s="3"/>
      <c r="E554" s="3"/>
      <c r="F554" s="3"/>
      <c r="G554" s="175"/>
      <c r="H554" s="3"/>
      <c r="I554" s="175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175"/>
      <c r="AJ554" s="3"/>
      <c r="AK554" s="175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A555" s="3"/>
      <c r="B555" s="3"/>
      <c r="C555" s="3"/>
      <c r="D555" s="3"/>
      <c r="E555" s="3"/>
      <c r="F555" s="3"/>
      <c r="G555" s="175"/>
      <c r="H555" s="3"/>
      <c r="I555" s="175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175"/>
      <c r="AJ555" s="3"/>
      <c r="AK555" s="175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A556" s="3"/>
      <c r="B556" s="3"/>
      <c r="C556" s="3"/>
      <c r="D556" s="3"/>
      <c r="E556" s="3"/>
      <c r="F556" s="3"/>
      <c r="G556" s="175"/>
      <c r="H556" s="3"/>
      <c r="I556" s="175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175"/>
      <c r="AJ556" s="3"/>
      <c r="AK556" s="175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A557" s="3"/>
      <c r="B557" s="3"/>
      <c r="C557" s="3"/>
      <c r="D557" s="3"/>
      <c r="E557" s="3"/>
      <c r="F557" s="3"/>
      <c r="G557" s="175"/>
      <c r="H557" s="3"/>
      <c r="I557" s="175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175"/>
      <c r="AJ557" s="3"/>
      <c r="AK557" s="175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A558" s="3"/>
      <c r="B558" s="3"/>
      <c r="C558" s="3"/>
      <c r="D558" s="3"/>
      <c r="E558" s="3"/>
      <c r="F558" s="3"/>
      <c r="G558" s="175"/>
      <c r="H558" s="3"/>
      <c r="I558" s="175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175"/>
      <c r="AJ558" s="3"/>
      <c r="AK558" s="175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A559" s="3"/>
      <c r="B559" s="3"/>
      <c r="C559" s="3"/>
      <c r="D559" s="3"/>
      <c r="E559" s="3"/>
      <c r="F559" s="3"/>
      <c r="G559" s="175"/>
      <c r="H559" s="3"/>
      <c r="I559" s="175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175"/>
      <c r="AJ559" s="3"/>
      <c r="AK559" s="175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A560" s="3"/>
      <c r="B560" s="3"/>
      <c r="C560" s="3"/>
      <c r="D560" s="3"/>
      <c r="E560" s="3"/>
      <c r="F560" s="3"/>
      <c r="G560" s="175"/>
      <c r="H560" s="3"/>
      <c r="I560" s="175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175"/>
      <c r="AJ560" s="3"/>
      <c r="AK560" s="175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A561" s="3"/>
      <c r="B561" s="3"/>
      <c r="C561" s="3"/>
      <c r="D561" s="3"/>
      <c r="E561" s="3"/>
      <c r="F561" s="3"/>
      <c r="G561" s="175"/>
      <c r="H561" s="3"/>
      <c r="I561" s="175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175"/>
      <c r="AJ561" s="3"/>
      <c r="AK561" s="175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A562" s="3"/>
      <c r="B562" s="3"/>
      <c r="C562" s="3"/>
      <c r="D562" s="3"/>
      <c r="E562" s="3"/>
      <c r="F562" s="3"/>
      <c r="G562" s="175"/>
      <c r="H562" s="3"/>
      <c r="I562" s="175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175"/>
      <c r="AJ562" s="3"/>
      <c r="AK562" s="175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A563" s="3"/>
      <c r="B563" s="3"/>
      <c r="C563" s="3"/>
      <c r="D563" s="3"/>
      <c r="E563" s="3"/>
      <c r="F563" s="3"/>
      <c r="G563" s="175"/>
      <c r="H563" s="3"/>
      <c r="I563" s="175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175"/>
      <c r="AJ563" s="3"/>
      <c r="AK563" s="175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A564" s="3"/>
      <c r="B564" s="3"/>
      <c r="C564" s="3"/>
      <c r="D564" s="3"/>
      <c r="E564" s="3"/>
      <c r="F564" s="3"/>
      <c r="G564" s="175"/>
      <c r="H564" s="3"/>
      <c r="I564" s="175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175"/>
      <c r="AJ564" s="3"/>
      <c r="AK564" s="175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A565" s="3"/>
      <c r="B565" s="3"/>
      <c r="C565" s="3"/>
      <c r="D565" s="3"/>
      <c r="E565" s="3"/>
      <c r="F565" s="3"/>
      <c r="G565" s="175"/>
      <c r="H565" s="3"/>
      <c r="I565" s="175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175"/>
      <c r="AJ565" s="3"/>
      <c r="AK565" s="175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A566" s="3"/>
      <c r="B566" s="3"/>
      <c r="C566" s="3"/>
      <c r="D566" s="3"/>
      <c r="E566" s="3"/>
      <c r="F566" s="3"/>
      <c r="G566" s="175"/>
      <c r="H566" s="3"/>
      <c r="I566" s="175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175"/>
      <c r="AJ566" s="3"/>
      <c r="AK566" s="175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A567" s="3"/>
      <c r="B567" s="3"/>
      <c r="C567" s="3"/>
      <c r="D567" s="3"/>
      <c r="E567" s="3"/>
      <c r="F567" s="3"/>
      <c r="G567" s="175"/>
      <c r="H567" s="3"/>
      <c r="I567" s="175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175"/>
      <c r="AJ567" s="3"/>
      <c r="AK567" s="175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A568" s="3"/>
      <c r="B568" s="3"/>
      <c r="C568" s="3"/>
      <c r="D568" s="3"/>
      <c r="E568" s="3"/>
      <c r="F568" s="3"/>
      <c r="G568" s="175"/>
      <c r="H568" s="3"/>
      <c r="I568" s="175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175"/>
      <c r="AJ568" s="3"/>
      <c r="AK568" s="175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A569" s="3"/>
      <c r="B569" s="3"/>
      <c r="C569" s="3"/>
      <c r="D569" s="3"/>
      <c r="E569" s="3"/>
      <c r="F569" s="3"/>
      <c r="G569" s="175"/>
      <c r="H569" s="3"/>
      <c r="I569" s="175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175"/>
      <c r="AJ569" s="3"/>
      <c r="AK569" s="175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A570" s="3"/>
      <c r="B570" s="3"/>
      <c r="C570" s="3"/>
      <c r="D570" s="3"/>
      <c r="E570" s="3"/>
      <c r="F570" s="3"/>
      <c r="G570" s="175"/>
      <c r="H570" s="3"/>
      <c r="I570" s="175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175"/>
      <c r="AJ570" s="3"/>
      <c r="AK570" s="175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A571" s="3"/>
      <c r="B571" s="3"/>
      <c r="C571" s="3"/>
      <c r="D571" s="3"/>
      <c r="E571" s="3"/>
      <c r="F571" s="3"/>
      <c r="G571" s="175"/>
      <c r="H571" s="3"/>
      <c r="I571" s="175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175"/>
      <c r="AJ571" s="3"/>
      <c r="AK571" s="175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A572" s="3"/>
      <c r="B572" s="3"/>
      <c r="C572" s="3"/>
      <c r="D572" s="3"/>
      <c r="E572" s="3"/>
      <c r="F572" s="3"/>
      <c r="G572" s="175"/>
      <c r="H572" s="3"/>
      <c r="I572" s="175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175"/>
      <c r="AJ572" s="3"/>
      <c r="AK572" s="175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A573" s="3"/>
      <c r="B573" s="3"/>
      <c r="C573" s="3"/>
      <c r="D573" s="3"/>
      <c r="E573" s="3"/>
      <c r="F573" s="3"/>
      <c r="G573" s="175"/>
      <c r="H573" s="3"/>
      <c r="I573" s="175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175"/>
      <c r="AJ573" s="3"/>
      <c r="AK573" s="175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A574" s="3"/>
      <c r="B574" s="3"/>
      <c r="C574" s="3"/>
      <c r="D574" s="3"/>
      <c r="E574" s="3"/>
      <c r="F574" s="3"/>
      <c r="G574" s="175"/>
      <c r="H574" s="3"/>
      <c r="I574" s="175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175"/>
      <c r="AJ574" s="3"/>
      <c r="AK574" s="175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A575" s="3"/>
      <c r="B575" s="3"/>
      <c r="C575" s="3"/>
      <c r="D575" s="3"/>
      <c r="E575" s="3"/>
      <c r="F575" s="3"/>
      <c r="G575" s="175"/>
      <c r="H575" s="3"/>
      <c r="I575" s="175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175"/>
      <c r="AJ575" s="3"/>
      <c r="AK575" s="175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A576" s="3"/>
      <c r="B576" s="3"/>
      <c r="C576" s="3"/>
      <c r="D576" s="3"/>
      <c r="E576" s="3"/>
      <c r="F576" s="3"/>
      <c r="G576" s="175"/>
      <c r="H576" s="3"/>
      <c r="I576" s="175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175"/>
      <c r="AJ576" s="3"/>
      <c r="AK576" s="175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A577" s="3"/>
      <c r="B577" s="3"/>
      <c r="C577" s="3"/>
      <c r="D577" s="3"/>
      <c r="E577" s="3"/>
      <c r="F577" s="3"/>
      <c r="G577" s="175"/>
      <c r="H577" s="3"/>
      <c r="I577" s="175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175"/>
      <c r="AJ577" s="3"/>
      <c r="AK577" s="175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A578" s="3"/>
      <c r="B578" s="3"/>
      <c r="C578" s="3"/>
      <c r="D578" s="3"/>
      <c r="E578" s="3"/>
      <c r="F578" s="3"/>
      <c r="G578" s="175"/>
      <c r="H578" s="3"/>
      <c r="I578" s="175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175"/>
      <c r="AJ578" s="3"/>
      <c r="AK578" s="175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A579" s="3"/>
      <c r="B579" s="3"/>
      <c r="C579" s="3"/>
      <c r="D579" s="3"/>
      <c r="E579" s="3"/>
      <c r="F579" s="3"/>
      <c r="G579" s="175"/>
      <c r="H579" s="3"/>
      <c r="I579" s="175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175"/>
      <c r="AJ579" s="3"/>
      <c r="AK579" s="175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A580" s="3"/>
      <c r="B580" s="3"/>
      <c r="C580" s="3"/>
      <c r="D580" s="3"/>
      <c r="E580" s="3"/>
      <c r="F580" s="3"/>
      <c r="G580" s="175"/>
      <c r="H580" s="3"/>
      <c r="I580" s="175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175"/>
      <c r="AJ580" s="3"/>
      <c r="AK580" s="175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A581" s="3"/>
      <c r="B581" s="3"/>
      <c r="C581" s="3"/>
      <c r="D581" s="3"/>
      <c r="E581" s="3"/>
      <c r="F581" s="3"/>
      <c r="G581" s="175"/>
      <c r="H581" s="3"/>
      <c r="I581" s="175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175"/>
      <c r="AJ581" s="3"/>
      <c r="AK581" s="175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A582" s="3"/>
      <c r="B582" s="3"/>
      <c r="C582" s="3"/>
      <c r="D582" s="3"/>
      <c r="E582" s="3"/>
      <c r="F582" s="3"/>
      <c r="G582" s="175"/>
      <c r="H582" s="3"/>
      <c r="I582" s="175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175"/>
      <c r="AJ582" s="3"/>
      <c r="AK582" s="175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A583" s="3"/>
      <c r="B583" s="3"/>
      <c r="C583" s="3"/>
      <c r="D583" s="3"/>
      <c r="E583" s="3"/>
      <c r="F583" s="3"/>
      <c r="G583" s="175"/>
      <c r="H583" s="3"/>
      <c r="I583" s="175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175"/>
      <c r="AJ583" s="3"/>
      <c r="AK583" s="175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A584" s="3"/>
      <c r="B584" s="3"/>
      <c r="C584" s="3"/>
      <c r="D584" s="3"/>
      <c r="E584" s="3"/>
      <c r="F584" s="3"/>
      <c r="G584" s="175"/>
      <c r="H584" s="3"/>
      <c r="I584" s="175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175"/>
      <c r="AJ584" s="3"/>
      <c r="AK584" s="175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A585" s="3"/>
      <c r="B585" s="3"/>
      <c r="C585" s="3"/>
      <c r="D585" s="3"/>
      <c r="E585" s="3"/>
      <c r="F585" s="3"/>
      <c r="G585" s="175"/>
      <c r="H585" s="3"/>
      <c r="I585" s="175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175"/>
      <c r="AJ585" s="3"/>
      <c r="AK585" s="175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A586" s="3"/>
      <c r="B586" s="3"/>
      <c r="C586" s="3"/>
      <c r="D586" s="3"/>
      <c r="E586" s="3"/>
      <c r="F586" s="3"/>
      <c r="G586" s="175"/>
      <c r="H586" s="3"/>
      <c r="I586" s="175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175"/>
      <c r="AJ586" s="3"/>
      <c r="AK586" s="175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A587" s="3"/>
      <c r="B587" s="3"/>
      <c r="C587" s="3"/>
      <c r="D587" s="3"/>
      <c r="E587" s="3"/>
      <c r="F587" s="3"/>
      <c r="G587" s="175"/>
      <c r="H587" s="3"/>
      <c r="I587" s="175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175"/>
      <c r="AJ587" s="3"/>
      <c r="AK587" s="175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A588" s="3"/>
      <c r="B588" s="3"/>
      <c r="C588" s="3"/>
      <c r="D588" s="3"/>
      <c r="E588" s="3"/>
      <c r="F588" s="3"/>
      <c r="G588" s="175"/>
      <c r="H588" s="3"/>
      <c r="I588" s="175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175"/>
      <c r="AJ588" s="3"/>
      <c r="AK588" s="175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A589" s="3"/>
      <c r="B589" s="3"/>
      <c r="C589" s="3"/>
      <c r="D589" s="3"/>
      <c r="E589" s="3"/>
      <c r="F589" s="3"/>
      <c r="G589" s="175"/>
      <c r="H589" s="3"/>
      <c r="I589" s="175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175"/>
      <c r="AJ589" s="3"/>
      <c r="AK589" s="175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A590" s="3"/>
      <c r="B590" s="3"/>
      <c r="C590" s="3"/>
      <c r="D590" s="3"/>
      <c r="E590" s="3"/>
      <c r="F590" s="3"/>
      <c r="G590" s="175"/>
      <c r="H590" s="3"/>
      <c r="I590" s="175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175"/>
      <c r="AJ590" s="3"/>
      <c r="AK590" s="175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A591" s="3"/>
      <c r="B591" s="3"/>
      <c r="C591" s="3"/>
      <c r="D591" s="3"/>
      <c r="E591" s="3"/>
      <c r="F591" s="3"/>
      <c r="G591" s="175"/>
      <c r="H591" s="3"/>
      <c r="I591" s="175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175"/>
      <c r="AJ591" s="3"/>
      <c r="AK591" s="175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A592" s="3"/>
      <c r="B592" s="3"/>
      <c r="C592" s="3"/>
      <c r="D592" s="3"/>
      <c r="E592" s="3"/>
      <c r="F592" s="3"/>
      <c r="G592" s="175"/>
      <c r="H592" s="3"/>
      <c r="I592" s="175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175"/>
      <c r="AJ592" s="3"/>
      <c r="AK592" s="175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A593" s="3"/>
      <c r="B593" s="3"/>
      <c r="C593" s="3"/>
      <c r="D593" s="3"/>
      <c r="E593" s="3"/>
      <c r="F593" s="3"/>
      <c r="G593" s="175"/>
      <c r="H593" s="3"/>
      <c r="I593" s="175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175"/>
      <c r="AJ593" s="3"/>
      <c r="AK593" s="175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A594" s="3"/>
      <c r="B594" s="3"/>
      <c r="C594" s="3"/>
      <c r="D594" s="3"/>
      <c r="E594" s="3"/>
      <c r="F594" s="3"/>
      <c r="G594" s="175"/>
      <c r="H594" s="3"/>
      <c r="I594" s="175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175"/>
      <c r="AJ594" s="3"/>
      <c r="AK594" s="175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A595" s="3"/>
      <c r="B595" s="3"/>
      <c r="C595" s="3"/>
      <c r="D595" s="3"/>
      <c r="E595" s="3"/>
      <c r="F595" s="3"/>
      <c r="G595" s="175"/>
      <c r="H595" s="3"/>
      <c r="I595" s="175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175"/>
      <c r="AJ595" s="3"/>
      <c r="AK595" s="175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A596" s="3"/>
      <c r="B596" s="3"/>
      <c r="C596" s="3"/>
      <c r="D596" s="3"/>
      <c r="E596" s="3"/>
      <c r="F596" s="3"/>
      <c r="G596" s="175"/>
      <c r="H596" s="3"/>
      <c r="I596" s="175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175"/>
      <c r="AJ596" s="3"/>
      <c r="AK596" s="175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A597" s="3"/>
      <c r="B597" s="3"/>
      <c r="C597" s="3"/>
      <c r="D597" s="3"/>
      <c r="E597" s="3"/>
      <c r="F597" s="3"/>
      <c r="G597" s="175"/>
      <c r="H597" s="3"/>
      <c r="I597" s="175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175"/>
      <c r="AJ597" s="3"/>
      <c r="AK597" s="175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A598" s="3"/>
      <c r="B598" s="3"/>
      <c r="C598" s="3"/>
      <c r="D598" s="3"/>
      <c r="E598" s="3"/>
      <c r="F598" s="3"/>
      <c r="G598" s="175"/>
      <c r="H598" s="3"/>
      <c r="I598" s="175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175"/>
      <c r="AJ598" s="3"/>
      <c r="AK598" s="175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A599" s="3"/>
      <c r="B599" s="3"/>
      <c r="C599" s="3"/>
      <c r="D599" s="3"/>
      <c r="E599" s="3"/>
      <c r="F599" s="3"/>
      <c r="G599" s="175"/>
      <c r="H599" s="3"/>
      <c r="I599" s="175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175"/>
      <c r="AJ599" s="3"/>
      <c r="AK599" s="175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A600" s="3"/>
      <c r="B600" s="3"/>
      <c r="C600" s="3"/>
      <c r="D600" s="3"/>
      <c r="E600" s="3"/>
      <c r="F600" s="3"/>
      <c r="G600" s="175"/>
      <c r="H600" s="3"/>
      <c r="I600" s="175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175"/>
      <c r="AJ600" s="3"/>
      <c r="AK600" s="175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A601" s="3"/>
      <c r="B601" s="3"/>
      <c r="C601" s="3"/>
      <c r="D601" s="3"/>
      <c r="E601" s="3"/>
      <c r="F601" s="3"/>
      <c r="G601" s="175"/>
      <c r="H601" s="3"/>
      <c r="I601" s="175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175"/>
      <c r="AJ601" s="3"/>
      <c r="AK601" s="175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A602" s="3"/>
      <c r="B602" s="3"/>
      <c r="C602" s="3"/>
      <c r="D602" s="3"/>
      <c r="E602" s="3"/>
      <c r="F602" s="3"/>
      <c r="G602" s="175"/>
      <c r="H602" s="3"/>
      <c r="I602" s="175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175"/>
      <c r="AJ602" s="3"/>
      <c r="AK602" s="175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A603" s="3"/>
      <c r="B603" s="3"/>
      <c r="C603" s="3"/>
      <c r="D603" s="3"/>
      <c r="E603" s="3"/>
      <c r="F603" s="3"/>
      <c r="G603" s="175"/>
      <c r="H603" s="3"/>
      <c r="I603" s="175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175"/>
      <c r="AJ603" s="3"/>
      <c r="AK603" s="175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A604" s="3"/>
      <c r="B604" s="3"/>
      <c r="C604" s="3"/>
      <c r="D604" s="3"/>
      <c r="E604" s="3"/>
      <c r="F604" s="3"/>
      <c r="G604" s="175"/>
      <c r="H604" s="3"/>
      <c r="I604" s="175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175"/>
      <c r="AJ604" s="3"/>
      <c r="AK604" s="175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A605" s="3"/>
      <c r="B605" s="3"/>
      <c r="C605" s="3"/>
      <c r="D605" s="3"/>
      <c r="E605" s="3"/>
      <c r="F605" s="3"/>
      <c r="G605" s="175"/>
      <c r="H605" s="3"/>
      <c r="I605" s="175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175"/>
      <c r="AJ605" s="3"/>
      <c r="AK605" s="175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A606" s="3"/>
      <c r="B606" s="3"/>
      <c r="C606" s="3"/>
      <c r="D606" s="3"/>
      <c r="E606" s="3"/>
      <c r="F606" s="3"/>
      <c r="G606" s="175"/>
      <c r="H606" s="3"/>
      <c r="I606" s="175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175"/>
      <c r="AJ606" s="3"/>
      <c r="AK606" s="175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A607" s="3"/>
      <c r="B607" s="3"/>
      <c r="C607" s="3"/>
      <c r="D607" s="3"/>
      <c r="E607" s="3"/>
      <c r="F607" s="3"/>
      <c r="G607" s="175"/>
      <c r="H607" s="3"/>
      <c r="I607" s="175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175"/>
      <c r="AJ607" s="3"/>
      <c r="AK607" s="175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A608" s="3"/>
      <c r="B608" s="3"/>
      <c r="C608" s="3"/>
      <c r="D608" s="3"/>
      <c r="E608" s="3"/>
      <c r="F608" s="3"/>
      <c r="G608" s="175"/>
      <c r="H608" s="3"/>
      <c r="I608" s="175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175"/>
      <c r="AJ608" s="3"/>
      <c r="AK608" s="175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A609" s="3"/>
      <c r="B609" s="3"/>
      <c r="C609" s="3"/>
      <c r="D609" s="3"/>
      <c r="E609" s="3"/>
      <c r="F609" s="3"/>
      <c r="G609" s="175"/>
      <c r="H609" s="3"/>
      <c r="I609" s="175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175"/>
      <c r="AJ609" s="3"/>
      <c r="AK609" s="175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A610" s="3"/>
      <c r="B610" s="3"/>
      <c r="C610" s="3"/>
      <c r="D610" s="3"/>
      <c r="E610" s="3"/>
      <c r="F610" s="3"/>
      <c r="G610" s="175"/>
      <c r="H610" s="3"/>
      <c r="I610" s="175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175"/>
      <c r="AJ610" s="3"/>
      <c r="AK610" s="175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A611" s="3"/>
      <c r="B611" s="3"/>
      <c r="C611" s="3"/>
      <c r="D611" s="3"/>
      <c r="E611" s="3"/>
      <c r="F611" s="3"/>
      <c r="G611" s="175"/>
      <c r="H611" s="3"/>
      <c r="I611" s="175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175"/>
      <c r="AJ611" s="3"/>
      <c r="AK611" s="175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A612" s="3"/>
      <c r="B612" s="3"/>
      <c r="C612" s="3"/>
      <c r="D612" s="3"/>
      <c r="E612" s="3"/>
      <c r="F612" s="3"/>
      <c r="G612" s="175"/>
      <c r="H612" s="3"/>
      <c r="I612" s="175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175"/>
      <c r="AJ612" s="3"/>
      <c r="AK612" s="175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A613" s="3"/>
      <c r="B613" s="3"/>
      <c r="C613" s="3"/>
      <c r="D613" s="3"/>
      <c r="E613" s="3"/>
      <c r="F613" s="3"/>
      <c r="G613" s="175"/>
      <c r="H613" s="3"/>
      <c r="I613" s="175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175"/>
      <c r="AJ613" s="3"/>
      <c r="AK613" s="175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A614" s="3"/>
      <c r="B614" s="3"/>
      <c r="C614" s="3"/>
      <c r="D614" s="3"/>
      <c r="E614" s="3"/>
      <c r="F614" s="3"/>
      <c r="G614" s="175"/>
      <c r="H614" s="3"/>
      <c r="I614" s="175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175"/>
      <c r="AJ614" s="3"/>
      <c r="AK614" s="175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A615" s="3"/>
      <c r="B615" s="3"/>
      <c r="C615" s="3"/>
      <c r="D615" s="3"/>
      <c r="E615" s="3"/>
      <c r="F615" s="3"/>
      <c r="G615" s="175"/>
      <c r="H615" s="3"/>
      <c r="I615" s="175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175"/>
      <c r="AJ615" s="3"/>
      <c r="AK615" s="175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A616" s="3"/>
      <c r="B616" s="3"/>
      <c r="C616" s="3"/>
      <c r="D616" s="3"/>
      <c r="E616" s="3"/>
      <c r="F616" s="3"/>
      <c r="G616" s="175"/>
      <c r="H616" s="3"/>
      <c r="I616" s="175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175"/>
      <c r="AJ616" s="3"/>
      <c r="AK616" s="175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A617" s="3"/>
      <c r="B617" s="3"/>
      <c r="C617" s="3"/>
      <c r="D617" s="3"/>
      <c r="E617" s="3"/>
      <c r="F617" s="3"/>
      <c r="G617" s="175"/>
      <c r="H617" s="3"/>
      <c r="I617" s="175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175"/>
      <c r="AJ617" s="3"/>
      <c r="AK617" s="175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A618" s="3"/>
      <c r="B618" s="3"/>
      <c r="C618" s="3"/>
      <c r="D618" s="3"/>
      <c r="E618" s="3"/>
      <c r="F618" s="3"/>
      <c r="G618" s="175"/>
      <c r="H618" s="3"/>
      <c r="I618" s="175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175"/>
      <c r="AJ618" s="3"/>
      <c r="AK618" s="175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A619" s="3"/>
      <c r="B619" s="3"/>
      <c r="C619" s="3"/>
      <c r="D619" s="3"/>
      <c r="E619" s="3"/>
      <c r="F619" s="3"/>
      <c r="G619" s="175"/>
      <c r="H619" s="3"/>
      <c r="I619" s="175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175"/>
      <c r="AJ619" s="3"/>
      <c r="AK619" s="175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A620" s="3"/>
      <c r="B620" s="3"/>
      <c r="C620" s="3"/>
      <c r="D620" s="3"/>
      <c r="E620" s="3"/>
      <c r="F620" s="3"/>
      <c r="G620" s="175"/>
      <c r="H620" s="3"/>
      <c r="I620" s="175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175"/>
      <c r="AJ620" s="3"/>
      <c r="AK620" s="175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A621" s="3"/>
      <c r="B621" s="3"/>
      <c r="C621" s="3"/>
      <c r="D621" s="3"/>
      <c r="E621" s="3"/>
      <c r="F621" s="3"/>
      <c r="G621" s="175"/>
      <c r="H621" s="3"/>
      <c r="I621" s="175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175"/>
      <c r="AJ621" s="3"/>
      <c r="AK621" s="175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A622" s="3"/>
      <c r="B622" s="3"/>
      <c r="C622" s="3"/>
      <c r="D622" s="3"/>
      <c r="E622" s="3"/>
      <c r="F622" s="3"/>
      <c r="G622" s="175"/>
      <c r="H622" s="3"/>
      <c r="I622" s="175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175"/>
      <c r="AJ622" s="3"/>
      <c r="AK622" s="175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A623" s="3"/>
      <c r="B623" s="3"/>
      <c r="C623" s="3"/>
      <c r="D623" s="3"/>
      <c r="E623" s="3"/>
      <c r="F623" s="3"/>
      <c r="G623" s="175"/>
      <c r="H623" s="3"/>
      <c r="I623" s="175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175"/>
      <c r="AJ623" s="3"/>
      <c r="AK623" s="175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A624" s="3"/>
      <c r="B624" s="3"/>
      <c r="C624" s="3"/>
      <c r="D624" s="3"/>
      <c r="E624" s="3"/>
      <c r="F624" s="3"/>
      <c r="G624" s="175"/>
      <c r="H624" s="3"/>
      <c r="I624" s="175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175"/>
      <c r="AJ624" s="3"/>
      <c r="AK624" s="175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A625" s="3"/>
      <c r="B625" s="3"/>
      <c r="C625" s="3"/>
      <c r="D625" s="3"/>
      <c r="E625" s="3"/>
      <c r="F625" s="3"/>
      <c r="G625" s="175"/>
      <c r="H625" s="3"/>
      <c r="I625" s="175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175"/>
      <c r="AJ625" s="3"/>
      <c r="AK625" s="175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A626" s="3"/>
      <c r="B626" s="3"/>
      <c r="C626" s="3"/>
      <c r="D626" s="3"/>
      <c r="E626" s="3"/>
      <c r="F626" s="3"/>
      <c r="G626" s="175"/>
      <c r="H626" s="3"/>
      <c r="I626" s="175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175"/>
      <c r="AJ626" s="3"/>
      <c r="AK626" s="175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A627" s="3"/>
      <c r="B627" s="3"/>
      <c r="C627" s="3"/>
      <c r="D627" s="3"/>
      <c r="E627" s="3"/>
      <c r="F627" s="3"/>
      <c r="G627" s="175"/>
      <c r="H627" s="3"/>
      <c r="I627" s="175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175"/>
      <c r="AJ627" s="3"/>
      <c r="AK627" s="175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A628" s="3"/>
      <c r="B628" s="3"/>
      <c r="C628" s="3"/>
      <c r="D628" s="3"/>
      <c r="E628" s="3"/>
      <c r="F628" s="3"/>
      <c r="G628" s="175"/>
      <c r="H628" s="3"/>
      <c r="I628" s="175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175"/>
      <c r="AJ628" s="3"/>
      <c r="AK628" s="175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A629" s="3"/>
      <c r="B629" s="3"/>
      <c r="C629" s="3"/>
      <c r="D629" s="3"/>
      <c r="E629" s="3"/>
      <c r="F629" s="3"/>
      <c r="G629" s="175"/>
      <c r="H629" s="3"/>
      <c r="I629" s="175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175"/>
      <c r="AJ629" s="3"/>
      <c r="AK629" s="175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A630" s="3"/>
      <c r="B630" s="3"/>
      <c r="C630" s="3"/>
      <c r="D630" s="3"/>
      <c r="E630" s="3"/>
      <c r="F630" s="3"/>
      <c r="G630" s="175"/>
      <c r="H630" s="3"/>
      <c r="I630" s="175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175"/>
      <c r="AJ630" s="3"/>
      <c r="AK630" s="175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A631" s="3"/>
      <c r="B631" s="3"/>
      <c r="C631" s="3"/>
      <c r="D631" s="3"/>
      <c r="E631" s="3"/>
      <c r="F631" s="3"/>
      <c r="G631" s="175"/>
      <c r="H631" s="3"/>
      <c r="I631" s="175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175"/>
      <c r="AJ631" s="3"/>
      <c r="AK631" s="175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A632" s="3"/>
      <c r="B632" s="3"/>
      <c r="C632" s="3"/>
      <c r="D632" s="3"/>
      <c r="E632" s="3"/>
      <c r="F632" s="3"/>
      <c r="G632" s="175"/>
      <c r="H632" s="3"/>
      <c r="I632" s="175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175"/>
      <c r="AJ632" s="3"/>
      <c r="AK632" s="175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A633" s="3"/>
      <c r="B633" s="3"/>
      <c r="C633" s="3"/>
      <c r="D633" s="3"/>
      <c r="E633" s="3"/>
      <c r="F633" s="3"/>
      <c r="G633" s="175"/>
      <c r="H633" s="3"/>
      <c r="I633" s="175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175"/>
      <c r="AJ633" s="3"/>
      <c r="AK633" s="175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A634" s="3"/>
      <c r="B634" s="3"/>
      <c r="C634" s="3"/>
      <c r="D634" s="3"/>
      <c r="E634" s="3"/>
      <c r="F634" s="3"/>
      <c r="G634" s="175"/>
      <c r="H634" s="3"/>
      <c r="I634" s="175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175"/>
      <c r="AJ634" s="3"/>
      <c r="AK634" s="175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A635" s="3"/>
      <c r="B635" s="3"/>
      <c r="C635" s="3"/>
      <c r="D635" s="3"/>
      <c r="E635" s="3"/>
      <c r="F635" s="3"/>
      <c r="G635" s="175"/>
      <c r="H635" s="3"/>
      <c r="I635" s="175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175"/>
      <c r="AJ635" s="3"/>
      <c r="AK635" s="175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A636" s="3"/>
      <c r="B636" s="3"/>
      <c r="C636" s="3"/>
      <c r="D636" s="3"/>
      <c r="E636" s="3"/>
      <c r="F636" s="3"/>
      <c r="G636" s="175"/>
      <c r="H636" s="3"/>
      <c r="I636" s="175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175"/>
      <c r="AJ636" s="3"/>
      <c r="AK636" s="175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A637" s="3"/>
      <c r="B637" s="3"/>
      <c r="C637" s="3"/>
      <c r="D637" s="3"/>
      <c r="E637" s="3"/>
      <c r="F637" s="3"/>
      <c r="G637" s="175"/>
      <c r="H637" s="3"/>
      <c r="I637" s="175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175"/>
      <c r="AJ637" s="3"/>
      <c r="AK637" s="175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A638" s="3"/>
      <c r="B638" s="3"/>
      <c r="C638" s="3"/>
      <c r="D638" s="3"/>
      <c r="E638" s="3"/>
      <c r="F638" s="3"/>
      <c r="G638" s="175"/>
      <c r="H638" s="3"/>
      <c r="I638" s="175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175"/>
      <c r="AJ638" s="3"/>
      <c r="AK638" s="175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A639" s="3"/>
      <c r="B639" s="3"/>
      <c r="C639" s="3"/>
      <c r="D639" s="3"/>
      <c r="E639" s="3"/>
      <c r="F639" s="3"/>
      <c r="G639" s="175"/>
      <c r="H639" s="3"/>
      <c r="I639" s="175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175"/>
      <c r="AJ639" s="3"/>
      <c r="AK639" s="175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A640" s="3"/>
      <c r="B640" s="3"/>
      <c r="C640" s="3"/>
      <c r="D640" s="3"/>
      <c r="E640" s="3"/>
      <c r="F640" s="3"/>
      <c r="G640" s="175"/>
      <c r="H640" s="3"/>
      <c r="I640" s="175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175"/>
      <c r="AJ640" s="3"/>
      <c r="AK640" s="175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A641" s="3"/>
      <c r="B641" s="3"/>
      <c r="C641" s="3"/>
      <c r="D641" s="3"/>
      <c r="E641" s="3"/>
      <c r="F641" s="3"/>
      <c r="G641" s="175"/>
      <c r="H641" s="3"/>
      <c r="I641" s="175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175"/>
      <c r="AJ641" s="3"/>
      <c r="AK641" s="175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A642" s="3"/>
      <c r="B642" s="3"/>
      <c r="C642" s="3"/>
      <c r="D642" s="3"/>
      <c r="E642" s="3"/>
      <c r="F642" s="3"/>
      <c r="G642" s="175"/>
      <c r="H642" s="3"/>
      <c r="I642" s="175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175"/>
      <c r="AJ642" s="3"/>
      <c r="AK642" s="175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A643" s="3"/>
      <c r="B643" s="3"/>
      <c r="C643" s="3"/>
      <c r="D643" s="3"/>
      <c r="E643" s="3"/>
      <c r="F643" s="3"/>
      <c r="G643" s="175"/>
      <c r="H643" s="3"/>
      <c r="I643" s="175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175"/>
      <c r="AJ643" s="3"/>
      <c r="AK643" s="175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A644" s="3"/>
      <c r="B644" s="3"/>
      <c r="C644" s="3"/>
      <c r="D644" s="3"/>
      <c r="E644" s="3"/>
      <c r="F644" s="3"/>
      <c r="G644" s="175"/>
      <c r="H644" s="3"/>
      <c r="I644" s="175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175"/>
      <c r="AJ644" s="3"/>
      <c r="AK644" s="175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A645" s="3"/>
      <c r="B645" s="3"/>
      <c r="C645" s="3"/>
      <c r="D645" s="3"/>
      <c r="E645" s="3"/>
      <c r="F645" s="3"/>
      <c r="G645" s="175"/>
      <c r="H645" s="3"/>
      <c r="I645" s="175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175"/>
      <c r="AJ645" s="3"/>
      <c r="AK645" s="175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A646" s="3"/>
      <c r="B646" s="3"/>
      <c r="C646" s="3"/>
      <c r="D646" s="3"/>
      <c r="E646" s="3"/>
      <c r="F646" s="3"/>
      <c r="G646" s="175"/>
      <c r="H646" s="3"/>
      <c r="I646" s="175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175"/>
      <c r="AJ646" s="3"/>
      <c r="AK646" s="175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A647" s="3"/>
      <c r="B647" s="3"/>
      <c r="C647" s="3"/>
      <c r="D647" s="3"/>
      <c r="E647" s="3"/>
      <c r="F647" s="3"/>
      <c r="G647" s="175"/>
      <c r="H647" s="3"/>
      <c r="I647" s="175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175"/>
      <c r="AJ647" s="3"/>
      <c r="AK647" s="175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A648" s="3"/>
      <c r="B648" s="3"/>
      <c r="C648" s="3"/>
      <c r="D648" s="3"/>
      <c r="E648" s="3"/>
      <c r="F648" s="3"/>
      <c r="G648" s="175"/>
      <c r="H648" s="3"/>
      <c r="I648" s="175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175"/>
      <c r="AJ648" s="3"/>
      <c r="AK648" s="175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A649" s="3"/>
      <c r="B649" s="3"/>
      <c r="C649" s="3"/>
      <c r="D649" s="3"/>
      <c r="E649" s="3"/>
      <c r="F649" s="3"/>
      <c r="G649" s="175"/>
      <c r="H649" s="3"/>
      <c r="I649" s="175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175"/>
      <c r="AJ649" s="3"/>
      <c r="AK649" s="175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A650" s="3"/>
      <c r="B650" s="3"/>
      <c r="C650" s="3"/>
      <c r="D650" s="3"/>
      <c r="E650" s="3"/>
      <c r="F650" s="3"/>
      <c r="G650" s="175"/>
      <c r="H650" s="3"/>
      <c r="I650" s="175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175"/>
      <c r="AJ650" s="3"/>
      <c r="AK650" s="175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A651" s="3"/>
      <c r="B651" s="3"/>
      <c r="C651" s="3"/>
      <c r="D651" s="3"/>
      <c r="E651" s="3"/>
      <c r="F651" s="3"/>
      <c r="G651" s="175"/>
      <c r="H651" s="3"/>
      <c r="I651" s="175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175"/>
      <c r="AJ651" s="3"/>
      <c r="AK651" s="175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A652" s="3"/>
      <c r="B652" s="3"/>
      <c r="C652" s="3"/>
      <c r="D652" s="3"/>
      <c r="E652" s="3"/>
      <c r="F652" s="3"/>
      <c r="G652" s="175"/>
      <c r="H652" s="3"/>
      <c r="I652" s="175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175"/>
      <c r="AJ652" s="3"/>
      <c r="AK652" s="175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A653" s="3"/>
      <c r="B653" s="3"/>
      <c r="C653" s="3"/>
      <c r="D653" s="3"/>
      <c r="E653" s="3"/>
      <c r="F653" s="3"/>
      <c r="G653" s="175"/>
      <c r="H653" s="3"/>
      <c r="I653" s="175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175"/>
      <c r="AJ653" s="3"/>
      <c r="AK653" s="175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A654" s="3"/>
      <c r="B654" s="3"/>
      <c r="C654" s="3"/>
      <c r="D654" s="3"/>
      <c r="E654" s="3"/>
      <c r="F654" s="3"/>
      <c r="G654" s="175"/>
      <c r="H654" s="3"/>
      <c r="I654" s="175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175"/>
      <c r="AJ654" s="3"/>
      <c r="AK654" s="175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A655" s="3"/>
      <c r="B655" s="3"/>
      <c r="C655" s="3"/>
      <c r="D655" s="3"/>
      <c r="E655" s="3"/>
      <c r="F655" s="3"/>
      <c r="G655" s="175"/>
      <c r="H655" s="3"/>
      <c r="I655" s="175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175"/>
      <c r="AJ655" s="3"/>
      <c r="AK655" s="175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A656" s="3"/>
      <c r="B656" s="3"/>
      <c r="C656" s="3"/>
      <c r="D656" s="3"/>
      <c r="E656" s="3"/>
      <c r="F656" s="3"/>
      <c r="G656" s="175"/>
      <c r="H656" s="3"/>
      <c r="I656" s="175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175"/>
      <c r="AJ656" s="3"/>
      <c r="AK656" s="175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A657" s="3"/>
      <c r="B657" s="3"/>
      <c r="C657" s="3"/>
      <c r="D657" s="3"/>
      <c r="E657" s="3"/>
      <c r="F657" s="3"/>
      <c r="G657" s="175"/>
      <c r="H657" s="3"/>
      <c r="I657" s="175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175"/>
      <c r="AJ657" s="3"/>
      <c r="AK657" s="175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A658" s="3"/>
      <c r="B658" s="3"/>
      <c r="C658" s="3"/>
      <c r="D658" s="3"/>
      <c r="E658" s="3"/>
      <c r="F658" s="3"/>
      <c r="G658" s="175"/>
      <c r="H658" s="3"/>
      <c r="I658" s="175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175"/>
      <c r="AJ658" s="3"/>
      <c r="AK658" s="175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A659" s="3"/>
      <c r="B659" s="3"/>
      <c r="C659" s="3"/>
      <c r="D659" s="3"/>
      <c r="E659" s="3"/>
      <c r="F659" s="3"/>
      <c r="G659" s="175"/>
      <c r="H659" s="3"/>
      <c r="I659" s="175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175"/>
      <c r="AJ659" s="3"/>
      <c r="AK659" s="175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A660" s="3"/>
      <c r="B660" s="3"/>
      <c r="C660" s="3"/>
      <c r="D660" s="3"/>
      <c r="E660" s="3"/>
      <c r="F660" s="3"/>
      <c r="G660" s="175"/>
      <c r="H660" s="3"/>
      <c r="I660" s="175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175"/>
      <c r="AJ660" s="3"/>
      <c r="AK660" s="175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A661" s="3"/>
      <c r="B661" s="3"/>
      <c r="C661" s="3"/>
      <c r="D661" s="3"/>
      <c r="E661" s="3"/>
      <c r="F661" s="3"/>
      <c r="G661" s="175"/>
      <c r="H661" s="3"/>
      <c r="I661" s="175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175"/>
      <c r="AJ661" s="3"/>
      <c r="AK661" s="175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A662" s="3"/>
      <c r="B662" s="3"/>
      <c r="C662" s="3"/>
      <c r="D662" s="3"/>
      <c r="E662" s="3"/>
      <c r="F662" s="3"/>
      <c r="G662" s="175"/>
      <c r="H662" s="3"/>
      <c r="I662" s="175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175"/>
      <c r="AJ662" s="3"/>
      <c r="AK662" s="175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A663" s="3"/>
      <c r="B663" s="3"/>
      <c r="C663" s="3"/>
      <c r="D663" s="3"/>
      <c r="E663" s="3"/>
      <c r="F663" s="3"/>
      <c r="G663" s="175"/>
      <c r="H663" s="3"/>
      <c r="I663" s="175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175"/>
      <c r="AJ663" s="3"/>
      <c r="AK663" s="175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A664" s="3"/>
      <c r="B664" s="3"/>
      <c r="C664" s="3"/>
      <c r="D664" s="3"/>
      <c r="E664" s="3"/>
      <c r="F664" s="3"/>
      <c r="G664" s="175"/>
      <c r="H664" s="3"/>
      <c r="I664" s="175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175"/>
      <c r="AJ664" s="3"/>
      <c r="AK664" s="175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A665" s="3"/>
      <c r="B665" s="3"/>
      <c r="C665" s="3"/>
      <c r="D665" s="3"/>
      <c r="E665" s="3"/>
      <c r="F665" s="3"/>
      <c r="G665" s="175"/>
      <c r="H665" s="3"/>
      <c r="I665" s="175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175"/>
      <c r="AJ665" s="3"/>
      <c r="AK665" s="175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A666" s="3"/>
      <c r="B666" s="3"/>
      <c r="C666" s="3"/>
      <c r="D666" s="3"/>
      <c r="E666" s="3"/>
      <c r="F666" s="3"/>
      <c r="G666" s="175"/>
      <c r="H666" s="3"/>
      <c r="I666" s="175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175"/>
      <c r="AJ666" s="3"/>
      <c r="AK666" s="175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A667" s="3"/>
      <c r="B667" s="3"/>
      <c r="C667" s="3"/>
      <c r="D667" s="3"/>
      <c r="E667" s="3"/>
      <c r="F667" s="3"/>
      <c r="G667" s="175"/>
      <c r="H667" s="3"/>
      <c r="I667" s="175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175"/>
      <c r="AJ667" s="3"/>
      <c r="AK667" s="175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A668" s="3"/>
      <c r="B668" s="3"/>
      <c r="C668" s="3"/>
      <c r="D668" s="3"/>
      <c r="E668" s="3"/>
      <c r="F668" s="3"/>
      <c r="G668" s="175"/>
      <c r="H668" s="3"/>
      <c r="I668" s="175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175"/>
      <c r="AJ668" s="3"/>
      <c r="AK668" s="175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A669" s="3"/>
      <c r="B669" s="3"/>
      <c r="C669" s="3"/>
      <c r="D669" s="3"/>
      <c r="E669" s="3"/>
      <c r="F669" s="3"/>
      <c r="G669" s="175"/>
      <c r="H669" s="3"/>
      <c r="I669" s="175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175"/>
      <c r="AJ669" s="3"/>
      <c r="AK669" s="175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A670" s="3"/>
      <c r="B670" s="3"/>
      <c r="C670" s="3"/>
      <c r="D670" s="3"/>
      <c r="E670" s="3"/>
      <c r="F670" s="3"/>
      <c r="G670" s="175"/>
      <c r="H670" s="3"/>
      <c r="I670" s="175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175"/>
      <c r="AJ670" s="3"/>
      <c r="AK670" s="175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A671" s="3"/>
      <c r="B671" s="3"/>
      <c r="C671" s="3"/>
      <c r="D671" s="3"/>
      <c r="E671" s="3"/>
      <c r="F671" s="3"/>
      <c r="G671" s="175"/>
      <c r="H671" s="3"/>
      <c r="I671" s="175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175"/>
      <c r="AJ671" s="3"/>
      <c r="AK671" s="175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A672" s="3"/>
      <c r="B672" s="3"/>
      <c r="C672" s="3"/>
      <c r="D672" s="3"/>
      <c r="E672" s="3"/>
      <c r="F672" s="3"/>
      <c r="G672" s="175"/>
      <c r="H672" s="3"/>
      <c r="I672" s="175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175"/>
      <c r="AJ672" s="3"/>
      <c r="AK672" s="175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A673" s="3"/>
      <c r="B673" s="3"/>
      <c r="C673" s="3"/>
      <c r="D673" s="3"/>
      <c r="E673" s="3"/>
      <c r="F673" s="3"/>
      <c r="G673" s="175"/>
      <c r="H673" s="3"/>
      <c r="I673" s="175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175"/>
      <c r="AJ673" s="3"/>
      <c r="AK673" s="175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A674" s="3"/>
      <c r="B674" s="3"/>
      <c r="C674" s="3"/>
      <c r="D674" s="3"/>
      <c r="E674" s="3"/>
      <c r="F674" s="3"/>
      <c r="G674" s="175"/>
      <c r="H674" s="3"/>
      <c r="I674" s="175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175"/>
      <c r="AJ674" s="3"/>
      <c r="AK674" s="175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A675" s="3"/>
      <c r="B675" s="3"/>
      <c r="C675" s="3"/>
      <c r="D675" s="3"/>
      <c r="E675" s="3"/>
      <c r="F675" s="3"/>
      <c r="G675" s="175"/>
      <c r="H675" s="3"/>
      <c r="I675" s="175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175"/>
      <c r="AJ675" s="3"/>
      <c r="AK675" s="175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A676" s="3"/>
      <c r="B676" s="3"/>
      <c r="C676" s="3"/>
      <c r="D676" s="3"/>
      <c r="E676" s="3"/>
      <c r="F676" s="3"/>
      <c r="G676" s="175"/>
      <c r="H676" s="3"/>
      <c r="I676" s="175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175"/>
      <c r="AJ676" s="3"/>
      <c r="AK676" s="175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A677" s="3"/>
      <c r="B677" s="3"/>
      <c r="C677" s="3"/>
      <c r="D677" s="3"/>
      <c r="E677" s="3"/>
      <c r="F677" s="3"/>
      <c r="G677" s="175"/>
      <c r="H677" s="3"/>
      <c r="I677" s="175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175"/>
      <c r="AJ677" s="3"/>
      <c r="AK677" s="175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A678" s="3"/>
      <c r="B678" s="3"/>
      <c r="C678" s="3"/>
      <c r="D678" s="3"/>
      <c r="E678" s="3"/>
      <c r="F678" s="3"/>
      <c r="G678" s="175"/>
      <c r="H678" s="3"/>
      <c r="I678" s="175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175"/>
      <c r="AJ678" s="3"/>
      <c r="AK678" s="175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A679" s="3"/>
      <c r="B679" s="3"/>
      <c r="C679" s="3"/>
      <c r="D679" s="3"/>
      <c r="E679" s="3"/>
      <c r="F679" s="3"/>
      <c r="G679" s="175"/>
      <c r="H679" s="3"/>
      <c r="I679" s="175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175"/>
      <c r="AJ679" s="3"/>
      <c r="AK679" s="175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A680" s="3"/>
      <c r="B680" s="3"/>
      <c r="C680" s="3"/>
      <c r="D680" s="3"/>
      <c r="E680" s="3"/>
      <c r="F680" s="3"/>
      <c r="G680" s="175"/>
      <c r="H680" s="3"/>
      <c r="I680" s="175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175"/>
      <c r="AJ680" s="3"/>
      <c r="AK680" s="175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A681" s="3"/>
      <c r="B681" s="3"/>
      <c r="C681" s="3"/>
      <c r="D681" s="3"/>
      <c r="E681" s="3"/>
      <c r="F681" s="3"/>
      <c r="G681" s="175"/>
      <c r="H681" s="3"/>
      <c r="I681" s="175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175"/>
      <c r="AJ681" s="3"/>
      <c r="AK681" s="175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A682" s="3"/>
      <c r="B682" s="3"/>
      <c r="C682" s="3"/>
      <c r="D682" s="3"/>
      <c r="E682" s="3"/>
      <c r="F682" s="3"/>
      <c r="G682" s="175"/>
      <c r="H682" s="3"/>
      <c r="I682" s="175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175"/>
      <c r="AJ682" s="3"/>
      <c r="AK682" s="175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A683" s="3"/>
      <c r="B683" s="3"/>
      <c r="C683" s="3"/>
      <c r="D683" s="3"/>
      <c r="E683" s="3"/>
      <c r="F683" s="3"/>
      <c r="G683" s="175"/>
      <c r="H683" s="3"/>
      <c r="I683" s="175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175"/>
      <c r="AJ683" s="3"/>
      <c r="AK683" s="175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A684" s="3"/>
      <c r="B684" s="3"/>
      <c r="C684" s="3"/>
      <c r="D684" s="3"/>
      <c r="E684" s="3"/>
      <c r="F684" s="3"/>
      <c r="G684" s="175"/>
      <c r="H684" s="3"/>
      <c r="I684" s="175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175"/>
      <c r="AJ684" s="3"/>
      <c r="AK684" s="175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A685" s="3"/>
      <c r="B685" s="3"/>
      <c r="C685" s="3"/>
      <c r="D685" s="3"/>
      <c r="E685" s="3"/>
      <c r="F685" s="3"/>
      <c r="G685" s="175"/>
      <c r="H685" s="3"/>
      <c r="I685" s="175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175"/>
      <c r="AJ685" s="3"/>
      <c r="AK685" s="175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A686" s="3"/>
      <c r="B686" s="3"/>
      <c r="C686" s="3"/>
      <c r="D686" s="3"/>
      <c r="E686" s="3"/>
      <c r="F686" s="3"/>
      <c r="G686" s="175"/>
      <c r="H686" s="3"/>
      <c r="I686" s="175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175"/>
      <c r="AJ686" s="3"/>
      <c r="AK686" s="175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A687" s="3"/>
      <c r="B687" s="3"/>
      <c r="C687" s="3"/>
      <c r="D687" s="3"/>
      <c r="E687" s="3"/>
      <c r="F687" s="3"/>
      <c r="G687" s="175"/>
      <c r="H687" s="3"/>
      <c r="I687" s="175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175"/>
      <c r="AJ687" s="3"/>
      <c r="AK687" s="175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A688" s="3"/>
      <c r="B688" s="3"/>
      <c r="C688" s="3"/>
      <c r="D688" s="3"/>
      <c r="E688" s="3"/>
      <c r="F688" s="3"/>
      <c r="G688" s="175"/>
      <c r="H688" s="3"/>
      <c r="I688" s="175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175"/>
      <c r="AJ688" s="3"/>
      <c r="AK688" s="175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A689" s="3"/>
      <c r="B689" s="3"/>
      <c r="C689" s="3"/>
      <c r="D689" s="3"/>
      <c r="E689" s="3"/>
      <c r="F689" s="3"/>
      <c r="G689" s="175"/>
      <c r="H689" s="3"/>
      <c r="I689" s="175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175"/>
      <c r="AJ689" s="3"/>
      <c r="AK689" s="175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A690" s="3"/>
      <c r="B690" s="3"/>
      <c r="C690" s="3"/>
      <c r="D690" s="3"/>
      <c r="E690" s="3"/>
      <c r="F690" s="3"/>
      <c r="G690" s="175"/>
      <c r="H690" s="3"/>
      <c r="I690" s="175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175"/>
      <c r="AJ690" s="3"/>
      <c r="AK690" s="175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A691" s="3"/>
      <c r="B691" s="3"/>
      <c r="C691" s="3"/>
      <c r="D691" s="3"/>
      <c r="E691" s="3"/>
      <c r="F691" s="3"/>
      <c r="G691" s="175"/>
      <c r="H691" s="3"/>
      <c r="I691" s="175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175"/>
      <c r="AJ691" s="3"/>
      <c r="AK691" s="175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A692" s="3"/>
      <c r="B692" s="3"/>
      <c r="C692" s="3"/>
      <c r="D692" s="3"/>
      <c r="E692" s="3"/>
      <c r="F692" s="3"/>
      <c r="G692" s="175"/>
      <c r="H692" s="3"/>
      <c r="I692" s="175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175"/>
      <c r="AJ692" s="3"/>
      <c r="AK692" s="175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A693" s="3"/>
      <c r="B693" s="3"/>
      <c r="C693" s="3"/>
      <c r="D693" s="3"/>
      <c r="E693" s="3"/>
      <c r="F693" s="3"/>
      <c r="G693" s="175"/>
      <c r="H693" s="3"/>
      <c r="I693" s="175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175"/>
      <c r="AJ693" s="3"/>
      <c r="AK693" s="175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A694" s="3"/>
      <c r="B694" s="3"/>
      <c r="C694" s="3"/>
      <c r="D694" s="3"/>
      <c r="E694" s="3"/>
      <c r="F694" s="3"/>
      <c r="G694" s="175"/>
      <c r="H694" s="3"/>
      <c r="I694" s="175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175"/>
      <c r="AJ694" s="3"/>
      <c r="AK694" s="175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A695" s="3"/>
      <c r="B695" s="3"/>
      <c r="C695" s="3"/>
      <c r="D695" s="3"/>
      <c r="E695" s="3"/>
      <c r="F695" s="3"/>
      <c r="G695" s="175"/>
      <c r="H695" s="3"/>
      <c r="I695" s="175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175"/>
      <c r="AJ695" s="3"/>
      <c r="AK695" s="175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A696" s="3"/>
      <c r="B696" s="3"/>
      <c r="C696" s="3"/>
      <c r="D696" s="3"/>
      <c r="E696" s="3"/>
      <c r="F696" s="3"/>
      <c r="G696" s="175"/>
      <c r="H696" s="3"/>
      <c r="I696" s="175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175"/>
      <c r="AJ696" s="3"/>
      <c r="AK696" s="175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A697" s="3"/>
      <c r="B697" s="3"/>
      <c r="C697" s="3"/>
      <c r="D697" s="3"/>
      <c r="E697" s="3"/>
      <c r="F697" s="3"/>
      <c r="G697" s="175"/>
      <c r="H697" s="3"/>
      <c r="I697" s="175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175"/>
      <c r="AJ697" s="3"/>
      <c r="AK697" s="175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A698" s="3"/>
      <c r="B698" s="3"/>
      <c r="C698" s="3"/>
      <c r="D698" s="3"/>
      <c r="E698" s="3"/>
      <c r="F698" s="3"/>
      <c r="G698" s="175"/>
      <c r="H698" s="3"/>
      <c r="I698" s="175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175"/>
      <c r="AJ698" s="3"/>
      <c r="AK698" s="175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A699" s="3"/>
      <c r="B699" s="3"/>
      <c r="C699" s="3"/>
      <c r="D699" s="3"/>
      <c r="E699" s="3"/>
      <c r="F699" s="3"/>
      <c r="G699" s="175"/>
      <c r="H699" s="3"/>
      <c r="I699" s="175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175"/>
      <c r="AJ699" s="3"/>
      <c r="AK699" s="175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A700" s="3"/>
      <c r="B700" s="3"/>
      <c r="C700" s="3"/>
      <c r="D700" s="3"/>
      <c r="E700" s="3"/>
      <c r="F700" s="3"/>
      <c r="G700" s="175"/>
      <c r="H700" s="3"/>
      <c r="I700" s="175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175"/>
      <c r="AJ700" s="3"/>
      <c r="AK700" s="175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A701" s="3"/>
      <c r="B701" s="3"/>
      <c r="C701" s="3"/>
      <c r="D701" s="3"/>
      <c r="E701" s="3"/>
      <c r="F701" s="3"/>
      <c r="G701" s="175"/>
      <c r="H701" s="3"/>
      <c r="I701" s="175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175"/>
      <c r="AJ701" s="3"/>
      <c r="AK701" s="175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A702" s="3"/>
      <c r="B702" s="3"/>
      <c r="C702" s="3"/>
      <c r="D702" s="3"/>
      <c r="E702" s="3"/>
      <c r="F702" s="3"/>
      <c r="G702" s="175"/>
      <c r="H702" s="3"/>
      <c r="I702" s="175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175"/>
      <c r="AJ702" s="3"/>
      <c r="AK702" s="175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A703" s="3"/>
      <c r="B703" s="3"/>
      <c r="C703" s="3"/>
      <c r="D703" s="3"/>
      <c r="E703" s="3"/>
      <c r="F703" s="3"/>
      <c r="G703" s="175"/>
      <c r="H703" s="3"/>
      <c r="I703" s="175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175"/>
      <c r="AJ703" s="3"/>
      <c r="AK703" s="175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A704" s="3"/>
      <c r="B704" s="3"/>
      <c r="C704" s="3"/>
      <c r="D704" s="3"/>
      <c r="E704" s="3"/>
      <c r="F704" s="3"/>
      <c r="G704" s="175"/>
      <c r="H704" s="3"/>
      <c r="I704" s="175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175"/>
      <c r="AJ704" s="3"/>
      <c r="AK704" s="175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A705" s="3"/>
      <c r="B705" s="3"/>
      <c r="C705" s="3"/>
      <c r="D705" s="3"/>
      <c r="E705" s="3"/>
      <c r="F705" s="3"/>
      <c r="G705" s="175"/>
      <c r="H705" s="3"/>
      <c r="I705" s="175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175"/>
      <c r="AJ705" s="3"/>
      <c r="AK705" s="175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A706" s="3"/>
      <c r="B706" s="3"/>
      <c r="C706" s="3"/>
      <c r="D706" s="3"/>
      <c r="E706" s="3"/>
      <c r="F706" s="3"/>
      <c r="G706" s="175"/>
      <c r="H706" s="3"/>
      <c r="I706" s="175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175"/>
      <c r="AJ706" s="3"/>
      <c r="AK706" s="175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A707" s="3"/>
      <c r="B707" s="3"/>
      <c r="C707" s="3"/>
      <c r="D707" s="3"/>
      <c r="E707" s="3"/>
      <c r="F707" s="3"/>
      <c r="G707" s="175"/>
      <c r="H707" s="3"/>
      <c r="I707" s="175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175"/>
      <c r="AJ707" s="3"/>
      <c r="AK707" s="175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A708" s="3"/>
      <c r="B708" s="3"/>
      <c r="C708" s="3"/>
      <c r="D708" s="3"/>
      <c r="E708" s="3"/>
      <c r="F708" s="3"/>
      <c r="G708" s="175"/>
      <c r="H708" s="3"/>
      <c r="I708" s="175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175"/>
      <c r="AJ708" s="3"/>
      <c r="AK708" s="175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A709" s="3"/>
      <c r="B709" s="3"/>
      <c r="C709" s="3"/>
      <c r="D709" s="3"/>
      <c r="E709" s="3"/>
      <c r="F709" s="3"/>
      <c r="G709" s="175"/>
      <c r="H709" s="3"/>
      <c r="I709" s="175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175"/>
      <c r="AJ709" s="3"/>
      <c r="AK709" s="175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A710" s="3"/>
      <c r="B710" s="3"/>
      <c r="C710" s="3"/>
      <c r="D710" s="3"/>
      <c r="E710" s="3"/>
      <c r="F710" s="3"/>
      <c r="G710" s="175"/>
      <c r="H710" s="3"/>
      <c r="I710" s="175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175"/>
      <c r="AJ710" s="3"/>
      <c r="AK710" s="175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A711" s="3"/>
      <c r="B711" s="3"/>
      <c r="C711" s="3"/>
      <c r="D711" s="3"/>
      <c r="E711" s="3"/>
      <c r="F711" s="3"/>
      <c r="G711" s="175"/>
      <c r="H711" s="3"/>
      <c r="I711" s="175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175"/>
      <c r="AJ711" s="3"/>
      <c r="AK711" s="175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A712" s="3"/>
      <c r="B712" s="3"/>
      <c r="C712" s="3"/>
      <c r="D712" s="3"/>
      <c r="E712" s="3"/>
      <c r="F712" s="3"/>
      <c r="G712" s="175"/>
      <c r="H712" s="3"/>
      <c r="I712" s="175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175"/>
      <c r="AJ712" s="3"/>
      <c r="AK712" s="175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A713" s="3"/>
      <c r="B713" s="3"/>
      <c r="C713" s="3"/>
      <c r="D713" s="3"/>
      <c r="E713" s="3"/>
      <c r="F713" s="3"/>
      <c r="G713" s="175"/>
      <c r="H713" s="3"/>
      <c r="I713" s="175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175"/>
      <c r="AJ713" s="3"/>
      <c r="AK713" s="175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A714" s="3"/>
      <c r="B714" s="3"/>
      <c r="C714" s="3"/>
      <c r="D714" s="3"/>
      <c r="E714" s="3"/>
      <c r="F714" s="3"/>
      <c r="G714" s="175"/>
      <c r="H714" s="3"/>
      <c r="I714" s="175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175"/>
      <c r="AJ714" s="3"/>
      <c r="AK714" s="175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A715" s="3"/>
      <c r="B715" s="3"/>
      <c r="C715" s="3"/>
      <c r="D715" s="3"/>
      <c r="E715" s="3"/>
      <c r="F715" s="3"/>
      <c r="G715" s="175"/>
      <c r="H715" s="3"/>
      <c r="I715" s="175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175"/>
      <c r="AJ715" s="3"/>
      <c r="AK715" s="175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A716" s="3"/>
      <c r="B716" s="3"/>
      <c r="C716" s="3"/>
      <c r="D716" s="3"/>
      <c r="E716" s="3"/>
      <c r="F716" s="3"/>
      <c r="G716" s="175"/>
      <c r="H716" s="3"/>
      <c r="I716" s="175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175"/>
      <c r="AJ716" s="3"/>
      <c r="AK716" s="175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A717" s="3"/>
      <c r="B717" s="3"/>
      <c r="C717" s="3"/>
      <c r="D717" s="3"/>
      <c r="E717" s="3"/>
      <c r="F717" s="3"/>
      <c r="G717" s="175"/>
      <c r="H717" s="3"/>
      <c r="I717" s="175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175"/>
      <c r="AJ717" s="3"/>
      <c r="AK717" s="175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A718" s="3"/>
      <c r="B718" s="3"/>
      <c r="C718" s="3"/>
      <c r="D718" s="3"/>
      <c r="E718" s="3"/>
      <c r="F718" s="3"/>
      <c r="G718" s="175"/>
      <c r="H718" s="3"/>
      <c r="I718" s="175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175"/>
      <c r="AJ718" s="3"/>
      <c r="AK718" s="175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A719" s="3"/>
      <c r="B719" s="3"/>
      <c r="C719" s="3"/>
      <c r="D719" s="3"/>
      <c r="E719" s="3"/>
      <c r="F719" s="3"/>
      <c r="G719" s="175"/>
      <c r="H719" s="3"/>
      <c r="I719" s="175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175"/>
      <c r="AJ719" s="3"/>
      <c r="AK719" s="175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A720" s="3"/>
      <c r="B720" s="3"/>
      <c r="C720" s="3"/>
      <c r="D720" s="3"/>
      <c r="E720" s="3"/>
      <c r="F720" s="3"/>
      <c r="G720" s="175"/>
      <c r="H720" s="3"/>
      <c r="I720" s="175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175"/>
      <c r="AJ720" s="3"/>
      <c r="AK720" s="175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A721" s="3"/>
      <c r="B721" s="3"/>
      <c r="C721" s="3"/>
      <c r="D721" s="3"/>
      <c r="E721" s="3"/>
      <c r="F721" s="3"/>
      <c r="G721" s="175"/>
      <c r="H721" s="3"/>
      <c r="I721" s="175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175"/>
      <c r="AJ721" s="3"/>
      <c r="AK721" s="175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A722" s="3"/>
      <c r="B722" s="3"/>
      <c r="C722" s="3"/>
      <c r="D722" s="3"/>
      <c r="E722" s="3"/>
      <c r="F722" s="3"/>
      <c r="G722" s="175"/>
      <c r="H722" s="3"/>
      <c r="I722" s="175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175"/>
      <c r="AJ722" s="3"/>
      <c r="AK722" s="175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A723" s="3"/>
      <c r="B723" s="3"/>
      <c r="C723" s="3"/>
      <c r="D723" s="3"/>
      <c r="E723" s="3"/>
      <c r="F723" s="3"/>
      <c r="G723" s="175"/>
      <c r="H723" s="3"/>
      <c r="I723" s="175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175"/>
      <c r="AJ723" s="3"/>
      <c r="AK723" s="175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A724" s="3"/>
      <c r="B724" s="3"/>
      <c r="C724" s="3"/>
      <c r="D724" s="3"/>
      <c r="E724" s="3"/>
      <c r="F724" s="3"/>
      <c r="G724" s="175"/>
      <c r="H724" s="3"/>
      <c r="I724" s="175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175"/>
      <c r="AJ724" s="3"/>
      <c r="AK724" s="175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A725" s="3"/>
      <c r="B725" s="3"/>
      <c r="C725" s="3"/>
      <c r="D725" s="3"/>
      <c r="E725" s="3"/>
      <c r="F725" s="3"/>
      <c r="G725" s="175"/>
      <c r="H725" s="3"/>
      <c r="I725" s="175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175"/>
      <c r="AJ725" s="3"/>
      <c r="AK725" s="175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A726" s="3"/>
      <c r="B726" s="3"/>
      <c r="C726" s="3"/>
      <c r="D726" s="3"/>
      <c r="E726" s="3"/>
      <c r="F726" s="3"/>
      <c r="G726" s="175"/>
      <c r="H726" s="3"/>
      <c r="I726" s="175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175"/>
      <c r="AJ726" s="3"/>
      <c r="AK726" s="175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A727" s="3"/>
      <c r="B727" s="3"/>
      <c r="C727" s="3"/>
      <c r="D727" s="3"/>
      <c r="E727" s="3"/>
      <c r="F727" s="3"/>
      <c r="G727" s="175"/>
      <c r="H727" s="3"/>
      <c r="I727" s="175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175"/>
      <c r="AJ727" s="3"/>
      <c r="AK727" s="175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A728" s="3"/>
      <c r="B728" s="3"/>
      <c r="C728" s="3"/>
      <c r="D728" s="3"/>
      <c r="E728" s="3"/>
      <c r="F728" s="3"/>
      <c r="G728" s="175"/>
      <c r="H728" s="3"/>
      <c r="I728" s="175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175"/>
      <c r="AJ728" s="3"/>
      <c r="AK728" s="175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A729" s="3"/>
      <c r="B729" s="3"/>
      <c r="C729" s="3"/>
      <c r="D729" s="3"/>
      <c r="E729" s="3"/>
      <c r="F729" s="3"/>
      <c r="G729" s="175"/>
      <c r="H729" s="3"/>
      <c r="I729" s="175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175"/>
      <c r="AJ729" s="3"/>
      <c r="AK729" s="175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A730" s="3"/>
      <c r="B730" s="3"/>
      <c r="C730" s="3"/>
      <c r="D730" s="3"/>
      <c r="E730" s="3"/>
      <c r="F730" s="3"/>
      <c r="G730" s="175"/>
      <c r="H730" s="3"/>
      <c r="I730" s="175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175"/>
      <c r="AJ730" s="3"/>
      <c r="AK730" s="175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A731" s="3"/>
      <c r="B731" s="3"/>
      <c r="C731" s="3"/>
      <c r="D731" s="3"/>
      <c r="E731" s="3"/>
      <c r="F731" s="3"/>
      <c r="G731" s="175"/>
      <c r="H731" s="3"/>
      <c r="I731" s="175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175"/>
      <c r="AJ731" s="3"/>
      <c r="AK731" s="175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A732" s="3"/>
      <c r="B732" s="3"/>
      <c r="C732" s="3"/>
      <c r="D732" s="3"/>
      <c r="E732" s="3"/>
      <c r="F732" s="3"/>
      <c r="G732" s="175"/>
      <c r="H732" s="3"/>
      <c r="I732" s="175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175"/>
      <c r="AJ732" s="3"/>
      <c r="AK732" s="175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A733" s="3"/>
      <c r="B733" s="3"/>
      <c r="C733" s="3"/>
      <c r="D733" s="3"/>
      <c r="E733" s="3"/>
      <c r="F733" s="3"/>
      <c r="G733" s="175"/>
      <c r="H733" s="3"/>
      <c r="I733" s="175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175"/>
      <c r="AJ733" s="3"/>
      <c r="AK733" s="175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A734" s="3"/>
      <c r="B734" s="3"/>
      <c r="C734" s="3"/>
      <c r="D734" s="3"/>
      <c r="E734" s="3"/>
      <c r="F734" s="3"/>
      <c r="G734" s="175"/>
      <c r="H734" s="3"/>
      <c r="I734" s="175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175"/>
      <c r="AJ734" s="3"/>
      <c r="AK734" s="175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A735" s="3"/>
      <c r="B735" s="3"/>
      <c r="C735" s="3"/>
      <c r="D735" s="3"/>
      <c r="E735" s="3"/>
      <c r="F735" s="3"/>
      <c r="G735" s="175"/>
      <c r="H735" s="3"/>
      <c r="I735" s="175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175"/>
      <c r="AJ735" s="3"/>
      <c r="AK735" s="175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A736" s="3"/>
      <c r="B736" s="3"/>
      <c r="C736" s="3"/>
      <c r="D736" s="3"/>
      <c r="E736" s="3"/>
      <c r="F736" s="3"/>
      <c r="G736" s="175"/>
      <c r="H736" s="3"/>
      <c r="I736" s="175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175"/>
      <c r="AJ736" s="3"/>
      <c r="AK736" s="175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A737" s="3"/>
      <c r="B737" s="3"/>
      <c r="C737" s="3"/>
      <c r="D737" s="3"/>
      <c r="E737" s="3"/>
      <c r="F737" s="3"/>
      <c r="G737" s="175"/>
      <c r="H737" s="3"/>
      <c r="I737" s="175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175"/>
      <c r="AJ737" s="3"/>
      <c r="AK737" s="175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A738" s="3"/>
      <c r="B738" s="3"/>
      <c r="C738" s="3"/>
      <c r="D738" s="3"/>
      <c r="E738" s="3"/>
      <c r="F738" s="3"/>
      <c r="G738" s="175"/>
      <c r="H738" s="3"/>
      <c r="I738" s="175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175"/>
      <c r="AJ738" s="3"/>
      <c r="AK738" s="175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A739" s="3"/>
      <c r="B739" s="3"/>
      <c r="C739" s="3"/>
      <c r="D739" s="3"/>
      <c r="E739" s="3"/>
      <c r="F739" s="3"/>
      <c r="G739" s="175"/>
      <c r="H739" s="3"/>
      <c r="I739" s="175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175"/>
      <c r="AJ739" s="3"/>
      <c r="AK739" s="175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A740" s="3"/>
      <c r="B740" s="3"/>
      <c r="C740" s="3"/>
      <c r="D740" s="3"/>
      <c r="E740" s="3"/>
      <c r="F740" s="3"/>
      <c r="G740" s="175"/>
      <c r="H740" s="3"/>
      <c r="I740" s="175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175"/>
      <c r="AJ740" s="3"/>
      <c r="AK740" s="175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A741" s="3"/>
      <c r="B741" s="3"/>
      <c r="C741" s="3"/>
      <c r="D741" s="3"/>
      <c r="E741" s="3"/>
      <c r="F741" s="3"/>
      <c r="G741" s="175"/>
      <c r="H741" s="3"/>
      <c r="I741" s="175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175"/>
      <c r="AJ741" s="3"/>
      <c r="AK741" s="175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A742" s="3"/>
      <c r="B742" s="3"/>
      <c r="C742" s="3"/>
      <c r="D742" s="3"/>
      <c r="E742" s="3"/>
      <c r="F742" s="3"/>
      <c r="G742" s="175"/>
      <c r="H742" s="3"/>
      <c r="I742" s="175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175"/>
      <c r="AJ742" s="3"/>
      <c r="AK742" s="175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A743" s="3"/>
      <c r="B743" s="3"/>
      <c r="C743" s="3"/>
      <c r="D743" s="3"/>
      <c r="E743" s="3"/>
      <c r="F743" s="3"/>
      <c r="G743" s="175"/>
      <c r="H743" s="3"/>
      <c r="I743" s="175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175"/>
      <c r="AJ743" s="3"/>
      <c r="AK743" s="175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A744" s="3"/>
      <c r="B744" s="3"/>
      <c r="C744" s="3"/>
      <c r="D744" s="3"/>
      <c r="E744" s="3"/>
      <c r="F744" s="3"/>
      <c r="G744" s="175"/>
      <c r="H744" s="3"/>
      <c r="I744" s="175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175"/>
      <c r="AJ744" s="3"/>
      <c r="AK744" s="175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A745" s="3"/>
      <c r="B745" s="3"/>
      <c r="C745" s="3"/>
      <c r="D745" s="3"/>
      <c r="E745" s="3"/>
      <c r="F745" s="3"/>
      <c r="G745" s="175"/>
      <c r="H745" s="3"/>
      <c r="I745" s="175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175"/>
      <c r="AJ745" s="3"/>
      <c r="AK745" s="175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A746" s="3"/>
      <c r="B746" s="3"/>
      <c r="C746" s="3"/>
      <c r="D746" s="3"/>
      <c r="E746" s="3"/>
      <c r="F746" s="3"/>
      <c r="G746" s="175"/>
      <c r="H746" s="3"/>
      <c r="I746" s="175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175"/>
      <c r="AJ746" s="3"/>
      <c r="AK746" s="175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A747" s="3"/>
      <c r="B747" s="3"/>
      <c r="C747" s="3"/>
      <c r="D747" s="3"/>
      <c r="E747" s="3"/>
      <c r="F747" s="3"/>
      <c r="G747" s="175"/>
      <c r="H747" s="3"/>
      <c r="I747" s="175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175"/>
      <c r="AJ747" s="3"/>
      <c r="AK747" s="175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A748" s="3"/>
      <c r="B748" s="3"/>
      <c r="C748" s="3"/>
      <c r="D748" s="3"/>
      <c r="E748" s="3"/>
      <c r="F748" s="3"/>
      <c r="G748" s="175"/>
      <c r="H748" s="3"/>
      <c r="I748" s="175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175"/>
      <c r="AJ748" s="3"/>
      <c r="AK748" s="175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A749" s="3"/>
      <c r="B749" s="3"/>
      <c r="C749" s="3"/>
      <c r="D749" s="3"/>
      <c r="E749" s="3"/>
      <c r="F749" s="3"/>
      <c r="G749" s="175"/>
      <c r="H749" s="3"/>
      <c r="I749" s="175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175"/>
      <c r="AJ749" s="3"/>
      <c r="AK749" s="175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A750" s="3"/>
      <c r="B750" s="3"/>
      <c r="C750" s="3"/>
      <c r="D750" s="3"/>
      <c r="E750" s="3"/>
      <c r="F750" s="3"/>
      <c r="G750" s="175"/>
      <c r="H750" s="3"/>
      <c r="I750" s="175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175"/>
      <c r="AJ750" s="3"/>
      <c r="AK750" s="175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A751" s="3"/>
      <c r="B751" s="3"/>
      <c r="C751" s="3"/>
      <c r="D751" s="3"/>
      <c r="E751" s="3"/>
      <c r="F751" s="3"/>
      <c r="G751" s="175"/>
      <c r="H751" s="3"/>
      <c r="I751" s="175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175"/>
      <c r="AJ751" s="3"/>
      <c r="AK751" s="175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A752" s="3"/>
      <c r="B752" s="3"/>
      <c r="C752" s="3"/>
      <c r="D752" s="3"/>
      <c r="E752" s="3"/>
      <c r="F752" s="3"/>
      <c r="G752" s="175"/>
      <c r="H752" s="3"/>
      <c r="I752" s="175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175"/>
      <c r="AJ752" s="3"/>
      <c r="AK752" s="175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A753" s="3"/>
      <c r="B753" s="3"/>
      <c r="C753" s="3"/>
      <c r="D753" s="3"/>
      <c r="E753" s="3"/>
      <c r="F753" s="3"/>
      <c r="G753" s="175"/>
      <c r="H753" s="3"/>
      <c r="I753" s="175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175"/>
      <c r="AJ753" s="3"/>
      <c r="AK753" s="175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A754" s="3"/>
      <c r="B754" s="3"/>
      <c r="C754" s="3"/>
      <c r="D754" s="3"/>
      <c r="E754" s="3"/>
      <c r="F754" s="3"/>
      <c r="G754" s="175"/>
      <c r="H754" s="3"/>
      <c r="I754" s="175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175"/>
      <c r="AJ754" s="3"/>
      <c r="AK754" s="175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A755" s="3"/>
      <c r="B755" s="3"/>
      <c r="C755" s="3"/>
      <c r="D755" s="3"/>
      <c r="E755" s="3"/>
      <c r="F755" s="3"/>
      <c r="G755" s="175"/>
      <c r="H755" s="3"/>
      <c r="I755" s="175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175"/>
      <c r="AJ755" s="3"/>
      <c r="AK755" s="175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A756" s="3"/>
      <c r="B756" s="3"/>
      <c r="C756" s="3"/>
      <c r="D756" s="3"/>
      <c r="E756" s="3"/>
      <c r="F756" s="3"/>
      <c r="G756" s="175"/>
      <c r="H756" s="3"/>
      <c r="I756" s="175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175"/>
      <c r="AJ756" s="3"/>
      <c r="AK756" s="175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A757" s="3"/>
      <c r="B757" s="3"/>
      <c r="C757" s="3"/>
      <c r="D757" s="3"/>
      <c r="E757" s="3"/>
      <c r="F757" s="3"/>
      <c r="G757" s="175"/>
      <c r="H757" s="3"/>
      <c r="I757" s="175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175"/>
      <c r="AJ757" s="3"/>
      <c r="AK757" s="175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A758" s="3"/>
      <c r="B758" s="3"/>
      <c r="C758" s="3"/>
      <c r="D758" s="3"/>
      <c r="E758" s="3"/>
      <c r="F758" s="3"/>
      <c r="G758" s="175"/>
      <c r="H758" s="3"/>
      <c r="I758" s="175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175"/>
      <c r="AJ758" s="3"/>
      <c r="AK758" s="175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A759" s="3"/>
      <c r="B759" s="3"/>
      <c r="C759" s="3"/>
      <c r="D759" s="3"/>
      <c r="E759" s="3"/>
      <c r="F759" s="3"/>
      <c r="G759" s="175"/>
      <c r="H759" s="3"/>
      <c r="I759" s="175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175"/>
      <c r="AJ759" s="3"/>
      <c r="AK759" s="175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A760" s="3"/>
      <c r="B760" s="3"/>
      <c r="C760" s="3"/>
      <c r="D760" s="3"/>
      <c r="E760" s="3"/>
      <c r="F760" s="3"/>
      <c r="G760" s="175"/>
      <c r="H760" s="3"/>
      <c r="I760" s="175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175"/>
      <c r="AJ760" s="3"/>
      <c r="AK760" s="175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A761" s="3"/>
      <c r="B761" s="3"/>
      <c r="C761" s="3"/>
      <c r="D761" s="3"/>
      <c r="E761" s="3"/>
      <c r="F761" s="3"/>
      <c r="G761" s="175"/>
      <c r="H761" s="3"/>
      <c r="I761" s="175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175"/>
      <c r="AJ761" s="3"/>
      <c r="AK761" s="175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A762" s="3"/>
      <c r="B762" s="3"/>
      <c r="C762" s="3"/>
      <c r="D762" s="3"/>
      <c r="E762" s="3"/>
      <c r="F762" s="3"/>
      <c r="G762" s="175"/>
      <c r="H762" s="3"/>
      <c r="I762" s="175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175"/>
      <c r="AJ762" s="3"/>
      <c r="AK762" s="175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A763" s="3"/>
      <c r="B763" s="3"/>
      <c r="C763" s="3"/>
      <c r="D763" s="3"/>
      <c r="E763" s="3"/>
      <c r="F763" s="3"/>
      <c r="G763" s="175"/>
      <c r="H763" s="3"/>
      <c r="I763" s="175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175"/>
      <c r="AJ763" s="3"/>
      <c r="AK763" s="175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A764" s="3"/>
      <c r="B764" s="3"/>
      <c r="C764" s="3"/>
      <c r="D764" s="3"/>
      <c r="E764" s="3"/>
      <c r="F764" s="3"/>
      <c r="G764" s="175"/>
      <c r="H764" s="3"/>
      <c r="I764" s="175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175"/>
      <c r="AJ764" s="3"/>
      <c r="AK764" s="175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A765" s="3"/>
      <c r="B765" s="3"/>
      <c r="C765" s="3"/>
      <c r="D765" s="3"/>
      <c r="E765" s="3"/>
      <c r="F765" s="3"/>
      <c r="G765" s="175"/>
      <c r="H765" s="3"/>
      <c r="I765" s="175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175"/>
      <c r="AJ765" s="3"/>
      <c r="AK765" s="175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A766" s="3"/>
      <c r="B766" s="3"/>
      <c r="C766" s="3"/>
      <c r="D766" s="3"/>
      <c r="E766" s="3"/>
      <c r="F766" s="3"/>
      <c r="G766" s="175"/>
      <c r="H766" s="3"/>
      <c r="I766" s="175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175"/>
      <c r="AJ766" s="3"/>
      <c r="AK766" s="175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A767" s="3"/>
      <c r="B767" s="3"/>
      <c r="C767" s="3"/>
      <c r="D767" s="3"/>
      <c r="E767" s="3"/>
      <c r="F767" s="3"/>
      <c r="G767" s="175"/>
      <c r="H767" s="3"/>
      <c r="I767" s="175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175"/>
      <c r="AJ767" s="3"/>
      <c r="AK767" s="175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A768" s="3"/>
      <c r="B768" s="3"/>
      <c r="C768" s="3"/>
      <c r="D768" s="3"/>
      <c r="E768" s="3"/>
      <c r="F768" s="3"/>
      <c r="G768" s="175"/>
      <c r="H768" s="3"/>
      <c r="I768" s="175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175"/>
      <c r="AJ768" s="3"/>
      <c r="AK768" s="175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A769" s="3"/>
      <c r="B769" s="3"/>
      <c r="C769" s="3"/>
      <c r="D769" s="3"/>
      <c r="E769" s="3"/>
      <c r="F769" s="3"/>
      <c r="G769" s="175"/>
      <c r="H769" s="3"/>
      <c r="I769" s="175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175"/>
      <c r="AJ769" s="3"/>
      <c r="AK769" s="175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A770" s="3"/>
      <c r="B770" s="3"/>
      <c r="C770" s="3"/>
      <c r="D770" s="3"/>
      <c r="E770" s="3"/>
      <c r="F770" s="3"/>
      <c r="G770" s="175"/>
      <c r="H770" s="3"/>
      <c r="I770" s="175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175"/>
      <c r="AJ770" s="3"/>
      <c r="AK770" s="175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A771" s="3"/>
      <c r="B771" s="3"/>
      <c r="C771" s="3"/>
      <c r="D771" s="3"/>
      <c r="E771" s="3"/>
      <c r="F771" s="3"/>
      <c r="G771" s="175"/>
      <c r="H771" s="3"/>
      <c r="I771" s="175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175"/>
      <c r="AJ771" s="3"/>
      <c r="AK771" s="175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A772" s="3"/>
      <c r="B772" s="3"/>
      <c r="C772" s="3"/>
      <c r="D772" s="3"/>
      <c r="E772" s="3"/>
      <c r="F772" s="3"/>
      <c r="G772" s="175"/>
      <c r="H772" s="3"/>
      <c r="I772" s="175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175"/>
      <c r="AJ772" s="3"/>
      <c r="AK772" s="175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A773" s="3"/>
      <c r="B773" s="3"/>
      <c r="C773" s="3"/>
      <c r="D773" s="3"/>
      <c r="E773" s="3"/>
      <c r="F773" s="3"/>
      <c r="G773" s="175"/>
      <c r="H773" s="3"/>
      <c r="I773" s="175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175"/>
      <c r="AJ773" s="3"/>
      <c r="AK773" s="175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A774" s="3"/>
      <c r="B774" s="3"/>
      <c r="C774" s="3"/>
      <c r="D774" s="3"/>
      <c r="E774" s="3"/>
      <c r="F774" s="3"/>
      <c r="G774" s="175"/>
      <c r="H774" s="3"/>
      <c r="I774" s="175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175"/>
      <c r="AJ774" s="3"/>
      <c r="AK774" s="175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A775" s="3"/>
      <c r="B775" s="3"/>
      <c r="C775" s="3"/>
      <c r="D775" s="3"/>
      <c r="E775" s="3"/>
      <c r="F775" s="3"/>
      <c r="G775" s="175"/>
      <c r="H775" s="3"/>
      <c r="I775" s="175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175"/>
      <c r="AJ775" s="3"/>
      <c r="AK775" s="175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A776" s="3"/>
      <c r="B776" s="3"/>
      <c r="C776" s="3"/>
      <c r="D776" s="3"/>
      <c r="E776" s="3"/>
      <c r="F776" s="3"/>
      <c r="G776" s="175"/>
      <c r="H776" s="3"/>
      <c r="I776" s="175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175"/>
      <c r="AJ776" s="3"/>
      <c r="AK776" s="175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A777" s="3"/>
      <c r="B777" s="3"/>
      <c r="C777" s="3"/>
      <c r="D777" s="3"/>
      <c r="E777" s="3"/>
      <c r="F777" s="3"/>
      <c r="G777" s="175"/>
      <c r="H777" s="3"/>
      <c r="I777" s="175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175"/>
      <c r="AJ777" s="3"/>
      <c r="AK777" s="175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A778" s="3"/>
      <c r="B778" s="3"/>
      <c r="C778" s="3"/>
      <c r="D778" s="3"/>
      <c r="E778" s="3"/>
      <c r="F778" s="3"/>
      <c r="G778" s="175"/>
      <c r="H778" s="3"/>
      <c r="I778" s="175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175"/>
      <c r="AJ778" s="3"/>
      <c r="AK778" s="175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A779" s="3"/>
      <c r="B779" s="3"/>
      <c r="C779" s="3"/>
      <c r="D779" s="3"/>
      <c r="E779" s="3"/>
      <c r="F779" s="3"/>
      <c r="G779" s="175"/>
      <c r="H779" s="3"/>
      <c r="I779" s="175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175"/>
      <c r="AJ779" s="3"/>
      <c r="AK779" s="175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A780" s="3"/>
      <c r="B780" s="3"/>
      <c r="C780" s="3"/>
      <c r="D780" s="3"/>
      <c r="E780" s="3"/>
      <c r="F780" s="3"/>
      <c r="G780" s="175"/>
      <c r="H780" s="3"/>
      <c r="I780" s="175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175"/>
      <c r="AJ780" s="3"/>
      <c r="AK780" s="175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A781" s="3"/>
      <c r="B781" s="3"/>
      <c r="C781" s="3"/>
      <c r="D781" s="3"/>
      <c r="E781" s="3"/>
      <c r="F781" s="3"/>
      <c r="G781" s="175"/>
      <c r="H781" s="3"/>
      <c r="I781" s="175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175"/>
      <c r="AJ781" s="3"/>
      <c r="AK781" s="175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A782" s="3"/>
      <c r="B782" s="3"/>
      <c r="C782" s="3"/>
      <c r="D782" s="3"/>
      <c r="E782" s="3"/>
      <c r="F782" s="3"/>
      <c r="G782" s="175"/>
      <c r="H782" s="3"/>
      <c r="I782" s="175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175"/>
      <c r="AJ782" s="3"/>
      <c r="AK782" s="175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A783" s="3"/>
      <c r="B783" s="3"/>
      <c r="C783" s="3"/>
      <c r="D783" s="3"/>
      <c r="E783" s="3"/>
      <c r="F783" s="3"/>
      <c r="G783" s="175"/>
      <c r="H783" s="3"/>
      <c r="I783" s="175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175"/>
      <c r="AJ783" s="3"/>
      <c r="AK783" s="175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A784" s="3"/>
      <c r="B784" s="3"/>
      <c r="C784" s="3"/>
      <c r="D784" s="3"/>
      <c r="E784" s="3"/>
      <c r="F784" s="3"/>
      <c r="G784" s="175"/>
      <c r="H784" s="3"/>
      <c r="I784" s="175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175"/>
      <c r="AJ784" s="3"/>
      <c r="AK784" s="175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A785" s="3"/>
      <c r="B785" s="3"/>
      <c r="C785" s="3"/>
      <c r="D785" s="3"/>
      <c r="E785" s="3"/>
      <c r="F785" s="3"/>
      <c r="G785" s="175"/>
      <c r="H785" s="3"/>
      <c r="I785" s="175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175"/>
      <c r="AJ785" s="3"/>
      <c r="AK785" s="175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A786" s="3"/>
      <c r="B786" s="3"/>
      <c r="C786" s="3"/>
      <c r="D786" s="3"/>
      <c r="E786" s="3"/>
      <c r="F786" s="3"/>
      <c r="G786" s="175"/>
      <c r="H786" s="3"/>
      <c r="I786" s="175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175"/>
      <c r="AJ786" s="3"/>
      <c r="AK786" s="175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A787" s="3"/>
      <c r="B787" s="3"/>
      <c r="C787" s="3"/>
      <c r="D787" s="3"/>
      <c r="E787" s="3"/>
      <c r="F787" s="3"/>
      <c r="G787" s="175"/>
      <c r="H787" s="3"/>
      <c r="I787" s="175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175"/>
      <c r="AJ787" s="3"/>
      <c r="AK787" s="175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A788" s="3"/>
      <c r="B788" s="3"/>
      <c r="C788" s="3"/>
      <c r="D788" s="3"/>
      <c r="E788" s="3"/>
      <c r="F788" s="3"/>
      <c r="G788" s="175"/>
      <c r="H788" s="3"/>
      <c r="I788" s="175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175"/>
      <c r="AJ788" s="3"/>
      <c r="AK788" s="175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A789" s="3"/>
      <c r="B789" s="3"/>
      <c r="C789" s="3"/>
      <c r="D789" s="3"/>
      <c r="E789" s="3"/>
      <c r="F789" s="3"/>
      <c r="G789" s="175"/>
      <c r="H789" s="3"/>
      <c r="I789" s="175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175"/>
      <c r="AJ789" s="3"/>
      <c r="AK789" s="175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A790" s="3"/>
      <c r="B790" s="3"/>
      <c r="C790" s="3"/>
      <c r="D790" s="3"/>
      <c r="E790" s="3"/>
      <c r="F790" s="3"/>
      <c r="G790" s="175"/>
      <c r="H790" s="3"/>
      <c r="I790" s="175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175"/>
      <c r="AJ790" s="3"/>
      <c r="AK790" s="175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A791" s="3"/>
      <c r="B791" s="3"/>
      <c r="C791" s="3"/>
      <c r="D791" s="3"/>
      <c r="E791" s="3"/>
      <c r="F791" s="3"/>
      <c r="G791" s="175"/>
      <c r="H791" s="3"/>
      <c r="I791" s="175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175"/>
      <c r="AJ791" s="3"/>
      <c r="AK791" s="175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A792" s="3"/>
      <c r="B792" s="3"/>
      <c r="C792" s="3"/>
      <c r="D792" s="3"/>
      <c r="E792" s="3"/>
      <c r="F792" s="3"/>
      <c r="G792" s="175"/>
      <c r="H792" s="3"/>
      <c r="I792" s="175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175"/>
      <c r="AJ792" s="3"/>
      <c r="AK792" s="175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A793" s="3"/>
      <c r="B793" s="3"/>
      <c r="C793" s="3"/>
      <c r="D793" s="3"/>
      <c r="E793" s="3"/>
      <c r="F793" s="3"/>
      <c r="G793" s="175"/>
      <c r="H793" s="3"/>
      <c r="I793" s="175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175"/>
      <c r="AJ793" s="3"/>
      <c r="AK793" s="175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A794" s="3"/>
      <c r="B794" s="3"/>
      <c r="C794" s="3"/>
      <c r="D794" s="3"/>
      <c r="E794" s="3"/>
      <c r="F794" s="3"/>
      <c r="G794" s="175"/>
      <c r="H794" s="3"/>
      <c r="I794" s="175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175"/>
      <c r="AJ794" s="3"/>
      <c r="AK794" s="175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A795" s="3"/>
      <c r="B795" s="3"/>
      <c r="C795" s="3"/>
      <c r="D795" s="3"/>
      <c r="E795" s="3"/>
      <c r="F795" s="3"/>
      <c r="G795" s="175"/>
      <c r="H795" s="3"/>
      <c r="I795" s="175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175"/>
      <c r="AJ795" s="3"/>
      <c r="AK795" s="175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A796" s="3"/>
      <c r="B796" s="3"/>
      <c r="C796" s="3"/>
      <c r="D796" s="3"/>
      <c r="E796" s="3"/>
      <c r="F796" s="3"/>
      <c r="G796" s="175"/>
      <c r="H796" s="3"/>
      <c r="I796" s="175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175"/>
      <c r="AJ796" s="3"/>
      <c r="AK796" s="175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A797" s="3"/>
      <c r="B797" s="3"/>
      <c r="C797" s="3"/>
      <c r="D797" s="3"/>
      <c r="E797" s="3"/>
      <c r="F797" s="3"/>
      <c r="G797" s="175"/>
      <c r="H797" s="3"/>
      <c r="I797" s="175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175"/>
      <c r="AJ797" s="3"/>
      <c r="AK797" s="175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A798" s="3"/>
      <c r="B798" s="3"/>
      <c r="C798" s="3"/>
      <c r="D798" s="3"/>
      <c r="E798" s="3"/>
      <c r="F798" s="3"/>
      <c r="G798" s="175"/>
      <c r="H798" s="3"/>
      <c r="I798" s="175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175"/>
      <c r="AJ798" s="3"/>
      <c r="AK798" s="175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A799" s="3"/>
      <c r="B799" s="3"/>
      <c r="C799" s="3"/>
      <c r="D799" s="3"/>
      <c r="E799" s="3"/>
      <c r="F799" s="3"/>
      <c r="G799" s="175"/>
      <c r="H799" s="3"/>
      <c r="I799" s="175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175"/>
      <c r="AJ799" s="3"/>
      <c r="AK799" s="175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A800" s="3"/>
      <c r="B800" s="3"/>
      <c r="C800" s="3"/>
      <c r="D800" s="3"/>
      <c r="E800" s="3"/>
      <c r="F800" s="3"/>
      <c r="G800" s="175"/>
      <c r="H800" s="3"/>
      <c r="I800" s="175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175"/>
      <c r="AJ800" s="3"/>
      <c r="AK800" s="175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A801" s="3"/>
      <c r="B801" s="3"/>
      <c r="C801" s="3"/>
      <c r="D801" s="3"/>
      <c r="E801" s="3"/>
      <c r="F801" s="3"/>
      <c r="G801" s="175"/>
      <c r="H801" s="3"/>
      <c r="I801" s="175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175"/>
      <c r="AJ801" s="3"/>
      <c r="AK801" s="175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A802" s="3"/>
      <c r="B802" s="3"/>
      <c r="C802" s="3"/>
      <c r="D802" s="3"/>
      <c r="E802" s="3"/>
      <c r="F802" s="3"/>
      <c r="G802" s="175"/>
      <c r="H802" s="3"/>
      <c r="I802" s="175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175"/>
      <c r="AJ802" s="3"/>
      <c r="AK802" s="175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A803" s="3"/>
      <c r="B803" s="3"/>
      <c r="C803" s="3"/>
      <c r="D803" s="3"/>
      <c r="E803" s="3"/>
      <c r="F803" s="3"/>
      <c r="G803" s="175"/>
      <c r="H803" s="3"/>
      <c r="I803" s="175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175"/>
      <c r="AJ803" s="3"/>
      <c r="AK803" s="175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A804" s="3"/>
      <c r="B804" s="3"/>
      <c r="C804" s="3"/>
      <c r="D804" s="3"/>
      <c r="E804" s="3"/>
      <c r="F804" s="3"/>
      <c r="G804" s="175"/>
      <c r="H804" s="3"/>
      <c r="I804" s="175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175"/>
      <c r="AJ804" s="3"/>
      <c r="AK804" s="175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A805" s="3"/>
      <c r="B805" s="3"/>
      <c r="C805" s="3"/>
      <c r="D805" s="3"/>
      <c r="E805" s="3"/>
      <c r="F805" s="3"/>
      <c r="G805" s="175"/>
      <c r="H805" s="3"/>
      <c r="I805" s="175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175"/>
      <c r="AJ805" s="3"/>
      <c r="AK805" s="175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A806" s="3"/>
      <c r="B806" s="3"/>
      <c r="C806" s="3"/>
      <c r="D806" s="3"/>
      <c r="E806" s="3"/>
      <c r="F806" s="3"/>
      <c r="G806" s="175"/>
      <c r="H806" s="3"/>
      <c r="I806" s="175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175"/>
      <c r="AJ806" s="3"/>
      <c r="AK806" s="175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A807" s="3"/>
      <c r="B807" s="3"/>
      <c r="C807" s="3"/>
      <c r="D807" s="3"/>
      <c r="E807" s="3"/>
      <c r="F807" s="3"/>
      <c r="G807" s="175"/>
      <c r="H807" s="3"/>
      <c r="I807" s="175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175"/>
      <c r="AJ807" s="3"/>
      <c r="AK807" s="175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A808" s="3"/>
      <c r="B808" s="3"/>
      <c r="C808" s="3"/>
      <c r="D808" s="3"/>
      <c r="E808" s="3"/>
      <c r="F808" s="3"/>
      <c r="G808" s="175"/>
      <c r="H808" s="3"/>
      <c r="I808" s="175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175"/>
      <c r="AJ808" s="3"/>
      <c r="AK808" s="175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A809" s="3"/>
      <c r="B809" s="3"/>
      <c r="C809" s="3"/>
      <c r="D809" s="3"/>
      <c r="E809" s="3"/>
      <c r="F809" s="3"/>
      <c r="G809" s="175"/>
      <c r="H809" s="3"/>
      <c r="I809" s="175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175"/>
      <c r="AJ809" s="3"/>
      <c r="AK809" s="175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A810" s="3"/>
      <c r="B810" s="3"/>
      <c r="C810" s="3"/>
      <c r="D810" s="3"/>
      <c r="E810" s="3"/>
      <c r="F810" s="3"/>
      <c r="G810" s="175"/>
      <c r="H810" s="3"/>
      <c r="I810" s="175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175"/>
      <c r="AJ810" s="3"/>
      <c r="AK810" s="175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A811" s="3"/>
      <c r="B811" s="3"/>
      <c r="C811" s="3"/>
      <c r="D811" s="3"/>
      <c r="E811" s="3"/>
      <c r="F811" s="3"/>
      <c r="G811" s="175"/>
      <c r="H811" s="3"/>
      <c r="I811" s="175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175"/>
      <c r="AJ811" s="3"/>
      <c r="AK811" s="175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A812" s="3"/>
      <c r="B812" s="3"/>
      <c r="C812" s="3"/>
      <c r="D812" s="3"/>
      <c r="E812" s="3"/>
      <c r="F812" s="3"/>
      <c r="G812" s="175"/>
      <c r="H812" s="3"/>
      <c r="I812" s="175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175"/>
      <c r="AJ812" s="3"/>
      <c r="AK812" s="175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A813" s="3"/>
      <c r="B813" s="3"/>
      <c r="C813" s="3"/>
      <c r="D813" s="3"/>
      <c r="E813" s="3"/>
      <c r="F813" s="3"/>
      <c r="G813" s="175"/>
      <c r="H813" s="3"/>
      <c r="I813" s="175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175"/>
      <c r="AJ813" s="3"/>
      <c r="AK813" s="175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A814" s="3"/>
      <c r="B814" s="3"/>
      <c r="C814" s="3"/>
      <c r="D814" s="3"/>
      <c r="E814" s="3"/>
      <c r="F814" s="3"/>
      <c r="G814" s="175"/>
      <c r="H814" s="3"/>
      <c r="I814" s="175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175"/>
      <c r="AJ814" s="3"/>
      <c r="AK814" s="175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A815" s="3"/>
      <c r="B815" s="3"/>
      <c r="C815" s="3"/>
      <c r="D815" s="3"/>
      <c r="E815" s="3"/>
      <c r="F815" s="3"/>
      <c r="G815" s="175"/>
      <c r="H815" s="3"/>
      <c r="I815" s="175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175"/>
      <c r="AJ815" s="3"/>
      <c r="AK815" s="175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A816" s="3"/>
      <c r="B816" s="3"/>
      <c r="C816" s="3"/>
      <c r="D816" s="3"/>
      <c r="E816" s="3"/>
      <c r="F816" s="3"/>
      <c r="G816" s="175"/>
      <c r="H816" s="3"/>
      <c r="I816" s="175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175"/>
      <c r="AJ816" s="3"/>
      <c r="AK816" s="175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A817" s="3"/>
      <c r="B817" s="3"/>
      <c r="C817" s="3"/>
      <c r="D817" s="3"/>
      <c r="E817" s="3"/>
      <c r="F817" s="3"/>
      <c r="G817" s="175"/>
      <c r="H817" s="3"/>
      <c r="I817" s="175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175"/>
      <c r="AJ817" s="3"/>
      <c r="AK817" s="175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A818" s="3"/>
      <c r="B818" s="3"/>
      <c r="C818" s="3"/>
      <c r="D818" s="3"/>
      <c r="E818" s="3"/>
      <c r="F818" s="3"/>
      <c r="G818" s="175"/>
      <c r="H818" s="3"/>
      <c r="I818" s="175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175"/>
      <c r="AJ818" s="3"/>
      <c r="AK818" s="175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A819" s="3"/>
      <c r="B819" s="3"/>
      <c r="C819" s="3"/>
      <c r="D819" s="3"/>
      <c r="E819" s="3"/>
      <c r="F819" s="3"/>
      <c r="G819" s="175"/>
      <c r="H819" s="3"/>
      <c r="I819" s="175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175"/>
      <c r="AJ819" s="3"/>
      <c r="AK819" s="175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A820" s="3"/>
      <c r="B820" s="3"/>
      <c r="C820" s="3"/>
      <c r="D820" s="3"/>
      <c r="E820" s="3"/>
      <c r="F820" s="3"/>
      <c r="G820" s="175"/>
      <c r="H820" s="3"/>
      <c r="I820" s="175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175"/>
      <c r="AJ820" s="3"/>
      <c r="AK820" s="175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A821" s="3"/>
      <c r="B821" s="3"/>
      <c r="C821" s="3"/>
      <c r="D821" s="3"/>
      <c r="E821" s="3"/>
      <c r="F821" s="3"/>
      <c r="G821" s="175"/>
      <c r="H821" s="3"/>
      <c r="I821" s="175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175"/>
      <c r="AJ821" s="3"/>
      <c r="AK821" s="175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A822" s="3"/>
      <c r="B822" s="3"/>
      <c r="C822" s="3"/>
      <c r="D822" s="3"/>
      <c r="E822" s="3"/>
      <c r="F822" s="3"/>
      <c r="G822" s="175"/>
      <c r="H822" s="3"/>
      <c r="I822" s="175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175"/>
      <c r="AJ822" s="3"/>
      <c r="AK822" s="175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A823" s="3"/>
      <c r="B823" s="3"/>
      <c r="C823" s="3"/>
      <c r="D823" s="3"/>
      <c r="E823" s="3"/>
      <c r="F823" s="3"/>
      <c r="G823" s="175"/>
      <c r="H823" s="3"/>
      <c r="I823" s="175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175"/>
      <c r="AJ823" s="3"/>
      <c r="AK823" s="175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A824" s="3"/>
      <c r="B824" s="3"/>
      <c r="C824" s="3"/>
      <c r="D824" s="3"/>
      <c r="E824" s="3"/>
      <c r="F824" s="3"/>
      <c r="G824" s="175"/>
      <c r="H824" s="3"/>
      <c r="I824" s="175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175"/>
      <c r="AJ824" s="3"/>
      <c r="AK824" s="175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A825" s="3"/>
      <c r="B825" s="3"/>
      <c r="C825" s="3"/>
      <c r="D825" s="3"/>
      <c r="E825" s="3"/>
      <c r="F825" s="3"/>
      <c r="G825" s="175"/>
      <c r="H825" s="3"/>
      <c r="I825" s="175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175"/>
      <c r="AJ825" s="3"/>
      <c r="AK825" s="175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A826" s="3"/>
      <c r="B826" s="3"/>
      <c r="C826" s="3"/>
      <c r="D826" s="3"/>
      <c r="E826" s="3"/>
      <c r="F826" s="3"/>
      <c r="G826" s="175"/>
      <c r="H826" s="3"/>
      <c r="I826" s="175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175"/>
      <c r="AJ826" s="3"/>
      <c r="AK826" s="175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A827" s="3"/>
      <c r="B827" s="3"/>
      <c r="C827" s="3"/>
      <c r="D827" s="3"/>
      <c r="E827" s="3"/>
      <c r="F827" s="3"/>
      <c r="G827" s="175"/>
      <c r="H827" s="3"/>
      <c r="I827" s="175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175"/>
      <c r="AJ827" s="3"/>
      <c r="AK827" s="175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A828" s="3"/>
      <c r="B828" s="3"/>
      <c r="C828" s="3"/>
      <c r="D828" s="3"/>
      <c r="E828" s="3"/>
      <c r="F828" s="3"/>
      <c r="G828" s="175"/>
      <c r="H828" s="3"/>
      <c r="I828" s="175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175"/>
      <c r="AJ828" s="3"/>
      <c r="AK828" s="175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A829" s="3"/>
      <c r="B829" s="3"/>
      <c r="C829" s="3"/>
      <c r="D829" s="3"/>
      <c r="E829" s="3"/>
      <c r="F829" s="3"/>
      <c r="G829" s="175"/>
      <c r="H829" s="3"/>
      <c r="I829" s="175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175"/>
      <c r="AJ829" s="3"/>
      <c r="AK829" s="175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A830" s="3"/>
      <c r="B830" s="3"/>
      <c r="C830" s="3"/>
      <c r="D830" s="3"/>
      <c r="E830" s="3"/>
      <c r="F830" s="3"/>
      <c r="G830" s="175"/>
      <c r="H830" s="3"/>
      <c r="I830" s="175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175"/>
      <c r="AJ830" s="3"/>
      <c r="AK830" s="175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A831" s="3"/>
      <c r="B831" s="3"/>
      <c r="C831" s="3"/>
      <c r="D831" s="3"/>
      <c r="E831" s="3"/>
      <c r="F831" s="3"/>
      <c r="G831" s="175"/>
      <c r="H831" s="3"/>
      <c r="I831" s="175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175"/>
      <c r="AJ831" s="3"/>
      <c r="AK831" s="175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A832" s="3"/>
      <c r="B832" s="3"/>
      <c r="C832" s="3"/>
      <c r="D832" s="3"/>
      <c r="E832" s="3"/>
      <c r="F832" s="3"/>
      <c r="G832" s="175"/>
      <c r="H832" s="3"/>
      <c r="I832" s="175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175"/>
      <c r="AJ832" s="3"/>
      <c r="AK832" s="175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A833" s="3"/>
      <c r="B833" s="3"/>
      <c r="C833" s="3"/>
      <c r="D833" s="3"/>
      <c r="E833" s="3"/>
      <c r="F833" s="3"/>
      <c r="G833" s="175"/>
      <c r="H833" s="3"/>
      <c r="I833" s="175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175"/>
      <c r="AJ833" s="3"/>
      <c r="AK833" s="175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A834" s="3"/>
      <c r="B834" s="3"/>
      <c r="C834" s="3"/>
      <c r="D834" s="3"/>
      <c r="E834" s="3"/>
      <c r="F834" s="3"/>
      <c r="G834" s="175"/>
      <c r="H834" s="3"/>
      <c r="I834" s="175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175"/>
      <c r="AJ834" s="3"/>
      <c r="AK834" s="175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A835" s="3"/>
      <c r="B835" s="3"/>
      <c r="C835" s="3"/>
      <c r="D835" s="3"/>
      <c r="E835" s="3"/>
      <c r="F835" s="3"/>
      <c r="G835" s="175"/>
      <c r="H835" s="3"/>
      <c r="I835" s="175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175"/>
      <c r="AJ835" s="3"/>
      <c r="AK835" s="175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A836" s="3"/>
      <c r="B836" s="3"/>
      <c r="C836" s="3"/>
      <c r="D836" s="3"/>
      <c r="E836" s="3"/>
      <c r="F836" s="3"/>
      <c r="G836" s="175"/>
      <c r="H836" s="3"/>
      <c r="I836" s="175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175"/>
      <c r="AJ836" s="3"/>
      <c r="AK836" s="175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A837" s="3"/>
      <c r="B837" s="3"/>
      <c r="C837" s="3"/>
      <c r="D837" s="3"/>
      <c r="E837" s="3"/>
      <c r="F837" s="3"/>
      <c r="G837" s="175"/>
      <c r="H837" s="3"/>
      <c r="I837" s="175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175"/>
      <c r="AJ837" s="3"/>
      <c r="AK837" s="175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A838" s="3"/>
      <c r="B838" s="3"/>
      <c r="C838" s="3"/>
      <c r="D838" s="3"/>
      <c r="E838" s="3"/>
      <c r="F838" s="3"/>
      <c r="G838" s="175"/>
      <c r="H838" s="3"/>
      <c r="I838" s="175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175"/>
      <c r="AJ838" s="3"/>
      <c r="AK838" s="175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A839" s="3"/>
      <c r="B839" s="3"/>
      <c r="C839" s="3"/>
      <c r="D839" s="3"/>
      <c r="E839" s="3"/>
      <c r="F839" s="3"/>
      <c r="G839" s="175"/>
      <c r="H839" s="3"/>
      <c r="I839" s="175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175"/>
      <c r="AJ839" s="3"/>
      <c r="AK839" s="175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A840" s="3"/>
      <c r="B840" s="3"/>
      <c r="C840" s="3"/>
      <c r="D840" s="3"/>
      <c r="E840" s="3"/>
      <c r="F840" s="3"/>
      <c r="G840" s="175"/>
      <c r="H840" s="3"/>
      <c r="I840" s="175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175"/>
      <c r="AJ840" s="3"/>
      <c r="AK840" s="175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A841" s="3"/>
      <c r="B841" s="3"/>
      <c r="C841" s="3"/>
      <c r="D841" s="3"/>
      <c r="E841" s="3"/>
      <c r="F841" s="3"/>
      <c r="G841" s="175"/>
      <c r="H841" s="3"/>
      <c r="I841" s="175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175"/>
      <c r="AJ841" s="3"/>
      <c r="AK841" s="175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A842" s="3"/>
      <c r="B842" s="3"/>
      <c r="C842" s="3"/>
      <c r="D842" s="3"/>
      <c r="E842" s="3"/>
      <c r="F842" s="3"/>
      <c r="G842" s="175"/>
      <c r="H842" s="3"/>
      <c r="I842" s="175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175"/>
      <c r="AJ842" s="3"/>
      <c r="AK842" s="175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A843" s="3"/>
      <c r="B843" s="3"/>
      <c r="C843" s="3"/>
      <c r="D843" s="3"/>
      <c r="E843" s="3"/>
      <c r="F843" s="3"/>
      <c r="G843" s="175"/>
      <c r="H843" s="3"/>
      <c r="I843" s="175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175"/>
      <c r="AJ843" s="3"/>
      <c r="AK843" s="175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A844" s="3"/>
      <c r="B844" s="3"/>
      <c r="C844" s="3"/>
      <c r="D844" s="3"/>
      <c r="E844" s="3"/>
      <c r="F844" s="3"/>
      <c r="G844" s="175"/>
      <c r="H844" s="3"/>
      <c r="I844" s="175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175"/>
      <c r="AJ844" s="3"/>
      <c r="AK844" s="175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A845" s="3"/>
      <c r="B845" s="3"/>
      <c r="C845" s="3"/>
      <c r="D845" s="3"/>
      <c r="E845" s="3"/>
      <c r="F845" s="3"/>
      <c r="G845" s="175"/>
      <c r="H845" s="3"/>
      <c r="I845" s="175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175"/>
      <c r="AJ845" s="3"/>
      <c r="AK845" s="175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A846" s="3"/>
      <c r="B846" s="3"/>
      <c r="C846" s="3"/>
      <c r="D846" s="3"/>
      <c r="E846" s="3"/>
      <c r="F846" s="3"/>
      <c r="G846" s="175"/>
      <c r="H846" s="3"/>
      <c r="I846" s="175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175"/>
      <c r="AJ846" s="3"/>
      <c r="AK846" s="175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A847" s="3"/>
      <c r="B847" s="3"/>
      <c r="C847" s="3"/>
      <c r="D847" s="3"/>
      <c r="E847" s="3"/>
      <c r="F847" s="3"/>
      <c r="G847" s="175"/>
      <c r="H847" s="3"/>
      <c r="I847" s="175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175"/>
      <c r="AJ847" s="3"/>
      <c r="AK847" s="175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A848" s="3"/>
      <c r="B848" s="3"/>
      <c r="C848" s="3"/>
      <c r="D848" s="3"/>
      <c r="E848" s="3"/>
      <c r="F848" s="3"/>
      <c r="G848" s="175"/>
      <c r="H848" s="3"/>
      <c r="I848" s="175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175"/>
      <c r="AJ848" s="3"/>
      <c r="AK848" s="175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A849" s="3"/>
      <c r="B849" s="3"/>
      <c r="C849" s="3"/>
      <c r="D849" s="3"/>
      <c r="E849" s="3"/>
      <c r="F849" s="3"/>
      <c r="G849" s="175"/>
      <c r="H849" s="3"/>
      <c r="I849" s="175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175"/>
      <c r="AJ849" s="3"/>
      <c r="AK849" s="175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A850" s="3"/>
      <c r="B850" s="3"/>
      <c r="C850" s="3"/>
      <c r="D850" s="3"/>
      <c r="E850" s="3"/>
      <c r="F850" s="3"/>
      <c r="G850" s="175"/>
      <c r="H850" s="3"/>
      <c r="I850" s="175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175"/>
      <c r="AJ850" s="3"/>
      <c r="AK850" s="175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A851" s="3"/>
      <c r="B851" s="3"/>
      <c r="C851" s="3"/>
      <c r="D851" s="3"/>
      <c r="E851" s="3"/>
      <c r="F851" s="3"/>
      <c r="G851" s="175"/>
      <c r="H851" s="3"/>
      <c r="I851" s="175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175"/>
      <c r="AJ851" s="3"/>
      <c r="AK851" s="175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A852" s="3"/>
      <c r="B852" s="3"/>
      <c r="C852" s="3"/>
      <c r="D852" s="3"/>
      <c r="E852" s="3"/>
      <c r="F852" s="3"/>
      <c r="G852" s="175"/>
      <c r="H852" s="3"/>
      <c r="I852" s="175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175"/>
      <c r="AJ852" s="3"/>
      <c r="AK852" s="175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A853" s="3"/>
      <c r="B853" s="3"/>
      <c r="C853" s="3"/>
      <c r="D853" s="3"/>
      <c r="E853" s="3"/>
      <c r="F853" s="3"/>
      <c r="G853" s="175"/>
      <c r="H853" s="3"/>
      <c r="I853" s="175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175"/>
      <c r="AJ853" s="3"/>
      <c r="AK853" s="175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A854" s="3"/>
      <c r="B854" s="3"/>
      <c r="C854" s="3"/>
      <c r="D854" s="3"/>
      <c r="E854" s="3"/>
      <c r="F854" s="3"/>
      <c r="G854" s="175"/>
      <c r="H854" s="3"/>
      <c r="I854" s="175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175"/>
      <c r="AJ854" s="3"/>
      <c r="AK854" s="175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A855" s="3"/>
      <c r="B855" s="3"/>
      <c r="C855" s="3"/>
      <c r="D855" s="3"/>
      <c r="E855" s="3"/>
      <c r="F855" s="3"/>
      <c r="G855" s="175"/>
      <c r="H855" s="3"/>
      <c r="I855" s="175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175"/>
      <c r="AJ855" s="3"/>
      <c r="AK855" s="175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A856" s="3"/>
      <c r="B856" s="3"/>
      <c r="C856" s="3"/>
      <c r="D856" s="3"/>
      <c r="E856" s="3"/>
      <c r="F856" s="3"/>
      <c r="G856" s="175"/>
      <c r="H856" s="3"/>
      <c r="I856" s="175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175"/>
      <c r="AJ856" s="3"/>
      <c r="AK856" s="175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A857" s="3"/>
      <c r="B857" s="3"/>
      <c r="C857" s="3"/>
      <c r="D857" s="3"/>
      <c r="E857" s="3"/>
      <c r="F857" s="3"/>
      <c r="G857" s="175"/>
      <c r="H857" s="3"/>
      <c r="I857" s="175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175"/>
      <c r="AJ857" s="3"/>
      <c r="AK857" s="175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A858" s="3"/>
      <c r="B858" s="3"/>
      <c r="C858" s="3"/>
      <c r="D858" s="3"/>
      <c r="E858" s="3"/>
      <c r="F858" s="3"/>
      <c r="G858" s="175"/>
      <c r="H858" s="3"/>
      <c r="I858" s="175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175"/>
      <c r="AJ858" s="3"/>
      <c r="AK858" s="175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A859" s="3"/>
      <c r="B859" s="3"/>
      <c r="C859" s="3"/>
      <c r="D859" s="3"/>
      <c r="E859" s="3"/>
      <c r="F859" s="3"/>
      <c r="G859" s="175"/>
      <c r="H859" s="3"/>
      <c r="I859" s="175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175"/>
      <c r="AJ859" s="3"/>
      <c r="AK859" s="175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A860" s="3"/>
      <c r="B860" s="3"/>
      <c r="C860" s="3"/>
      <c r="D860" s="3"/>
      <c r="E860" s="3"/>
      <c r="F860" s="3"/>
      <c r="G860" s="175"/>
      <c r="H860" s="3"/>
      <c r="I860" s="175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175"/>
      <c r="AJ860" s="3"/>
      <c r="AK860" s="175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A861" s="3"/>
      <c r="B861" s="3"/>
      <c r="C861" s="3"/>
      <c r="D861" s="3"/>
      <c r="E861" s="3"/>
      <c r="F861" s="3"/>
      <c r="G861" s="175"/>
      <c r="H861" s="3"/>
      <c r="I861" s="175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175"/>
      <c r="AJ861" s="3"/>
      <c r="AK861" s="175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A862" s="3"/>
      <c r="B862" s="3"/>
      <c r="C862" s="3"/>
      <c r="D862" s="3"/>
      <c r="E862" s="3"/>
      <c r="F862" s="3"/>
      <c r="G862" s="175"/>
      <c r="H862" s="3"/>
      <c r="I862" s="175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175"/>
      <c r="AJ862" s="3"/>
      <c r="AK862" s="175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A863" s="3"/>
      <c r="B863" s="3"/>
      <c r="C863" s="3"/>
      <c r="D863" s="3"/>
      <c r="E863" s="3"/>
      <c r="F863" s="3"/>
      <c r="G863" s="175"/>
      <c r="H863" s="3"/>
      <c r="I863" s="175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175"/>
      <c r="AJ863" s="3"/>
      <c r="AK863" s="175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A864" s="3"/>
      <c r="B864" s="3"/>
      <c r="C864" s="3"/>
      <c r="D864" s="3"/>
      <c r="E864" s="3"/>
      <c r="F864" s="3"/>
      <c r="G864" s="175"/>
      <c r="H864" s="3"/>
      <c r="I864" s="175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175"/>
      <c r="AJ864" s="3"/>
      <c r="AK864" s="175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A865" s="3"/>
      <c r="B865" s="3"/>
      <c r="C865" s="3"/>
      <c r="D865" s="3"/>
      <c r="E865" s="3"/>
      <c r="F865" s="3"/>
      <c r="G865" s="175"/>
      <c r="H865" s="3"/>
      <c r="I865" s="175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175"/>
      <c r="AJ865" s="3"/>
      <c r="AK865" s="175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A866" s="3"/>
      <c r="B866" s="3"/>
      <c r="C866" s="3"/>
      <c r="D866" s="3"/>
      <c r="E866" s="3"/>
      <c r="F866" s="3"/>
      <c r="G866" s="175"/>
      <c r="H866" s="3"/>
      <c r="I866" s="175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175"/>
      <c r="AJ866" s="3"/>
      <c r="AK866" s="175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A867" s="3"/>
      <c r="B867" s="3"/>
      <c r="C867" s="3"/>
      <c r="D867" s="3"/>
      <c r="E867" s="3"/>
      <c r="F867" s="3"/>
      <c r="G867" s="175"/>
      <c r="H867" s="3"/>
      <c r="I867" s="175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175"/>
      <c r="AJ867" s="3"/>
      <c r="AK867" s="175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A868" s="3"/>
      <c r="B868" s="3"/>
      <c r="C868" s="3"/>
      <c r="D868" s="3"/>
      <c r="E868" s="3"/>
      <c r="F868" s="3"/>
      <c r="G868" s="175"/>
      <c r="H868" s="3"/>
      <c r="I868" s="175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175"/>
      <c r="AJ868" s="3"/>
      <c r="AK868" s="175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A869" s="3"/>
      <c r="B869" s="3"/>
      <c r="C869" s="3"/>
      <c r="D869" s="3"/>
      <c r="E869" s="3"/>
      <c r="F869" s="3"/>
      <c r="G869" s="175"/>
      <c r="H869" s="3"/>
      <c r="I869" s="175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175"/>
      <c r="AJ869" s="3"/>
      <c r="AK869" s="175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A870" s="3"/>
      <c r="B870" s="3"/>
      <c r="C870" s="3"/>
      <c r="D870" s="3"/>
      <c r="E870" s="3"/>
      <c r="F870" s="3"/>
      <c r="G870" s="175"/>
      <c r="H870" s="3"/>
      <c r="I870" s="175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175"/>
      <c r="AJ870" s="3"/>
      <c r="AK870" s="175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A871" s="3"/>
      <c r="B871" s="3"/>
      <c r="C871" s="3"/>
      <c r="D871" s="3"/>
      <c r="E871" s="3"/>
      <c r="F871" s="3"/>
      <c r="G871" s="175"/>
      <c r="H871" s="3"/>
      <c r="I871" s="175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175"/>
      <c r="AJ871" s="3"/>
      <c r="AK871" s="175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A872" s="3"/>
      <c r="B872" s="3"/>
      <c r="C872" s="3"/>
      <c r="D872" s="3"/>
      <c r="E872" s="3"/>
      <c r="F872" s="3"/>
      <c r="G872" s="175"/>
      <c r="H872" s="3"/>
      <c r="I872" s="175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175"/>
      <c r="AJ872" s="3"/>
      <c r="AK872" s="175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A873" s="3"/>
      <c r="B873" s="3"/>
      <c r="C873" s="3"/>
      <c r="D873" s="3"/>
      <c r="E873" s="3"/>
      <c r="F873" s="3"/>
      <c r="G873" s="175"/>
      <c r="H873" s="3"/>
      <c r="I873" s="175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175"/>
      <c r="AJ873" s="3"/>
      <c r="AK873" s="175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A874" s="3"/>
      <c r="B874" s="3"/>
      <c r="C874" s="3"/>
      <c r="D874" s="3"/>
      <c r="E874" s="3"/>
      <c r="F874" s="3"/>
      <c r="G874" s="175"/>
      <c r="H874" s="3"/>
      <c r="I874" s="175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175"/>
      <c r="AJ874" s="3"/>
      <c r="AK874" s="175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A875" s="3"/>
      <c r="B875" s="3"/>
      <c r="C875" s="3"/>
      <c r="D875" s="3"/>
      <c r="E875" s="3"/>
      <c r="F875" s="3"/>
      <c r="G875" s="175"/>
      <c r="H875" s="3"/>
      <c r="I875" s="175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175"/>
      <c r="AJ875" s="3"/>
      <c r="AK875" s="175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A876" s="3"/>
      <c r="B876" s="3"/>
      <c r="C876" s="3"/>
      <c r="D876" s="3"/>
      <c r="E876" s="3"/>
      <c r="F876" s="3"/>
      <c r="G876" s="175"/>
      <c r="H876" s="3"/>
      <c r="I876" s="175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175"/>
      <c r="AJ876" s="3"/>
      <c r="AK876" s="175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A877" s="3"/>
      <c r="B877" s="3"/>
      <c r="C877" s="3"/>
      <c r="D877" s="3"/>
      <c r="E877" s="3"/>
      <c r="F877" s="3"/>
      <c r="G877" s="175"/>
      <c r="H877" s="3"/>
      <c r="I877" s="175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175"/>
      <c r="AJ877" s="3"/>
      <c r="AK877" s="175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A878" s="3"/>
      <c r="B878" s="3"/>
      <c r="C878" s="3"/>
      <c r="D878" s="3"/>
      <c r="E878" s="3"/>
      <c r="F878" s="3"/>
      <c r="G878" s="175"/>
      <c r="H878" s="3"/>
      <c r="I878" s="175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175"/>
      <c r="AJ878" s="3"/>
      <c r="AK878" s="175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A879" s="3"/>
      <c r="B879" s="3"/>
      <c r="C879" s="3"/>
      <c r="D879" s="3"/>
      <c r="E879" s="3"/>
      <c r="F879" s="3"/>
      <c r="G879" s="175"/>
      <c r="H879" s="3"/>
      <c r="I879" s="175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175"/>
      <c r="AJ879" s="3"/>
      <c r="AK879" s="175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A880" s="3"/>
      <c r="B880" s="3"/>
      <c r="C880" s="3"/>
      <c r="D880" s="3"/>
      <c r="E880" s="3"/>
      <c r="F880" s="3"/>
      <c r="G880" s="175"/>
      <c r="H880" s="3"/>
      <c r="I880" s="175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175"/>
      <c r="AJ880" s="3"/>
      <c r="AK880" s="175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A881" s="3"/>
      <c r="B881" s="3"/>
      <c r="C881" s="3"/>
      <c r="D881" s="3"/>
      <c r="E881" s="3"/>
      <c r="F881" s="3"/>
      <c r="G881" s="175"/>
      <c r="H881" s="3"/>
      <c r="I881" s="175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175"/>
      <c r="AJ881" s="3"/>
      <c r="AK881" s="175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A882" s="3"/>
      <c r="B882" s="3"/>
      <c r="C882" s="3"/>
      <c r="D882" s="3"/>
      <c r="E882" s="3"/>
      <c r="F882" s="3"/>
      <c r="G882" s="175"/>
      <c r="H882" s="3"/>
      <c r="I882" s="175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175"/>
      <c r="AJ882" s="3"/>
      <c r="AK882" s="175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A883" s="3"/>
      <c r="B883" s="3"/>
      <c r="C883" s="3"/>
      <c r="D883" s="3"/>
      <c r="E883" s="3"/>
      <c r="F883" s="3"/>
      <c r="G883" s="175"/>
      <c r="H883" s="3"/>
      <c r="I883" s="175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175"/>
      <c r="AJ883" s="3"/>
      <c r="AK883" s="175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A884" s="3"/>
      <c r="B884" s="3"/>
      <c r="C884" s="3"/>
      <c r="D884" s="3"/>
      <c r="E884" s="3"/>
      <c r="F884" s="3"/>
      <c r="G884" s="175"/>
      <c r="H884" s="3"/>
      <c r="I884" s="175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175"/>
      <c r="AJ884" s="3"/>
      <c r="AK884" s="175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A885" s="3"/>
      <c r="B885" s="3"/>
      <c r="C885" s="3"/>
      <c r="D885" s="3"/>
      <c r="E885" s="3"/>
      <c r="F885" s="3"/>
      <c r="G885" s="175"/>
      <c r="H885" s="3"/>
      <c r="I885" s="175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175"/>
      <c r="AJ885" s="3"/>
      <c r="AK885" s="175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A886" s="3"/>
      <c r="B886" s="3"/>
      <c r="C886" s="3"/>
      <c r="D886" s="3"/>
      <c r="E886" s="3"/>
      <c r="F886" s="3"/>
      <c r="G886" s="175"/>
      <c r="H886" s="3"/>
      <c r="I886" s="175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175"/>
      <c r="AJ886" s="3"/>
      <c r="AK886" s="175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A887" s="3"/>
      <c r="B887" s="3"/>
      <c r="C887" s="3"/>
      <c r="D887" s="3"/>
      <c r="E887" s="3"/>
      <c r="F887" s="3"/>
      <c r="G887" s="175"/>
      <c r="H887" s="3"/>
      <c r="I887" s="175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175"/>
      <c r="AJ887" s="3"/>
      <c r="AK887" s="175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A888" s="3"/>
      <c r="B888" s="3"/>
      <c r="C888" s="3"/>
      <c r="D888" s="3"/>
      <c r="E888" s="3"/>
      <c r="F888" s="3"/>
      <c r="G888" s="175"/>
      <c r="H888" s="3"/>
      <c r="I888" s="175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175"/>
      <c r="AJ888" s="3"/>
      <c r="AK888" s="175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A889" s="3"/>
      <c r="B889" s="3"/>
      <c r="C889" s="3"/>
      <c r="D889" s="3"/>
      <c r="E889" s="3"/>
      <c r="F889" s="3"/>
      <c r="G889" s="175"/>
      <c r="H889" s="3"/>
      <c r="I889" s="175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175"/>
      <c r="AJ889" s="3"/>
      <c r="AK889" s="175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A890" s="3"/>
      <c r="B890" s="3"/>
      <c r="C890" s="3"/>
      <c r="D890" s="3"/>
      <c r="E890" s="3"/>
      <c r="F890" s="3"/>
      <c r="G890" s="175"/>
      <c r="H890" s="3"/>
      <c r="I890" s="175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175"/>
      <c r="AJ890" s="3"/>
      <c r="AK890" s="175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A891" s="3"/>
      <c r="B891" s="3"/>
      <c r="C891" s="3"/>
      <c r="D891" s="3"/>
      <c r="E891" s="3"/>
      <c r="F891" s="3"/>
      <c r="G891" s="175"/>
      <c r="H891" s="3"/>
      <c r="I891" s="175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175"/>
      <c r="AJ891" s="3"/>
      <c r="AK891" s="175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A892" s="3"/>
      <c r="B892" s="3"/>
      <c r="C892" s="3"/>
      <c r="D892" s="3"/>
      <c r="E892" s="3"/>
      <c r="F892" s="3"/>
      <c r="G892" s="175"/>
      <c r="H892" s="3"/>
      <c r="I892" s="175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175"/>
      <c r="AJ892" s="3"/>
      <c r="AK892" s="175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A893" s="3"/>
      <c r="B893" s="3"/>
      <c r="C893" s="3"/>
      <c r="D893" s="3"/>
      <c r="E893" s="3"/>
      <c r="F893" s="3"/>
      <c r="G893" s="175"/>
      <c r="H893" s="3"/>
      <c r="I893" s="175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175"/>
      <c r="AJ893" s="3"/>
      <c r="AK893" s="175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A894" s="3"/>
      <c r="B894" s="3"/>
      <c r="C894" s="3"/>
      <c r="D894" s="3"/>
      <c r="E894" s="3"/>
      <c r="F894" s="3"/>
      <c r="G894" s="175"/>
      <c r="H894" s="3"/>
      <c r="I894" s="175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175"/>
      <c r="AJ894" s="3"/>
      <c r="AK894" s="175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A895" s="3"/>
      <c r="B895" s="3"/>
      <c r="C895" s="3"/>
      <c r="D895" s="3"/>
      <c r="E895" s="3"/>
      <c r="F895" s="3"/>
      <c r="G895" s="175"/>
      <c r="H895" s="3"/>
      <c r="I895" s="175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175"/>
      <c r="AJ895" s="3"/>
      <c r="AK895" s="175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A896" s="3"/>
      <c r="B896" s="3"/>
      <c r="C896" s="3"/>
      <c r="D896" s="3"/>
      <c r="E896" s="3"/>
      <c r="F896" s="3"/>
      <c r="G896" s="175"/>
      <c r="H896" s="3"/>
      <c r="I896" s="175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175"/>
      <c r="AJ896" s="3"/>
      <c r="AK896" s="175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A897" s="3"/>
      <c r="B897" s="3"/>
      <c r="C897" s="3"/>
      <c r="D897" s="3"/>
      <c r="E897" s="3"/>
      <c r="F897" s="3"/>
      <c r="G897" s="175"/>
      <c r="H897" s="3"/>
      <c r="I897" s="175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175"/>
      <c r="AJ897" s="3"/>
      <c r="AK897" s="175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A898" s="3"/>
      <c r="B898" s="3"/>
      <c r="C898" s="3"/>
      <c r="D898" s="3"/>
      <c r="E898" s="3"/>
      <c r="F898" s="3"/>
      <c r="G898" s="175"/>
      <c r="H898" s="3"/>
      <c r="I898" s="175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175"/>
      <c r="AJ898" s="3"/>
      <c r="AK898" s="175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A899" s="3"/>
      <c r="B899" s="3"/>
      <c r="C899" s="3"/>
      <c r="D899" s="3"/>
      <c r="E899" s="3"/>
      <c r="F899" s="3"/>
      <c r="G899" s="175"/>
      <c r="H899" s="3"/>
      <c r="I899" s="175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175"/>
      <c r="AJ899" s="3"/>
      <c r="AK899" s="175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A900" s="3"/>
      <c r="B900" s="3"/>
      <c r="C900" s="3"/>
      <c r="D900" s="3"/>
      <c r="E900" s="3"/>
      <c r="F900" s="3"/>
      <c r="G900" s="175"/>
      <c r="H900" s="3"/>
      <c r="I900" s="175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175"/>
      <c r="AJ900" s="3"/>
      <c r="AK900" s="175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A901" s="3"/>
      <c r="B901" s="3"/>
      <c r="C901" s="3"/>
      <c r="D901" s="3"/>
      <c r="E901" s="3"/>
      <c r="F901" s="3"/>
      <c r="G901" s="175"/>
      <c r="H901" s="3"/>
      <c r="I901" s="175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175"/>
      <c r="AJ901" s="3"/>
      <c r="AK901" s="175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A902" s="3"/>
      <c r="B902" s="3"/>
      <c r="C902" s="3"/>
      <c r="D902" s="3"/>
      <c r="E902" s="3"/>
      <c r="F902" s="3"/>
      <c r="G902" s="175"/>
      <c r="H902" s="3"/>
      <c r="I902" s="175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175"/>
      <c r="AJ902" s="3"/>
      <c r="AK902" s="175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A903" s="3"/>
      <c r="B903" s="3"/>
      <c r="C903" s="3"/>
      <c r="D903" s="3"/>
      <c r="E903" s="3"/>
      <c r="F903" s="3"/>
      <c r="G903" s="175"/>
      <c r="H903" s="3"/>
      <c r="I903" s="175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175"/>
      <c r="AJ903" s="3"/>
      <c r="AK903" s="175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A904" s="3"/>
      <c r="B904" s="3"/>
      <c r="C904" s="3"/>
      <c r="D904" s="3"/>
      <c r="E904" s="3"/>
      <c r="F904" s="3"/>
      <c r="G904" s="175"/>
      <c r="H904" s="3"/>
      <c r="I904" s="175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175"/>
      <c r="AJ904" s="3"/>
      <c r="AK904" s="175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A905" s="3"/>
      <c r="B905" s="3"/>
      <c r="C905" s="3"/>
      <c r="D905" s="3"/>
      <c r="E905" s="3"/>
      <c r="F905" s="3"/>
      <c r="G905" s="175"/>
      <c r="H905" s="3"/>
      <c r="I905" s="175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175"/>
      <c r="AJ905" s="3"/>
      <c r="AK905" s="175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A906" s="3"/>
      <c r="B906" s="3"/>
      <c r="C906" s="3"/>
      <c r="D906" s="3"/>
      <c r="E906" s="3"/>
      <c r="F906" s="3"/>
      <c r="G906" s="175"/>
      <c r="H906" s="3"/>
      <c r="I906" s="175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175"/>
      <c r="AJ906" s="3"/>
      <c r="AK906" s="175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A907" s="3"/>
      <c r="B907" s="3"/>
      <c r="C907" s="3"/>
      <c r="D907" s="3"/>
      <c r="E907" s="3"/>
      <c r="F907" s="3"/>
      <c r="G907" s="175"/>
      <c r="H907" s="3"/>
      <c r="I907" s="175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175"/>
      <c r="AJ907" s="3"/>
      <c r="AK907" s="175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A908" s="3"/>
      <c r="B908" s="3"/>
      <c r="C908" s="3"/>
      <c r="D908" s="3"/>
      <c r="E908" s="3"/>
      <c r="F908" s="3"/>
      <c r="G908" s="175"/>
      <c r="H908" s="3"/>
      <c r="I908" s="175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175"/>
      <c r="AJ908" s="3"/>
      <c r="AK908" s="175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A909" s="3"/>
      <c r="B909" s="3"/>
      <c r="C909" s="3"/>
      <c r="D909" s="3"/>
      <c r="E909" s="3"/>
      <c r="F909" s="3"/>
      <c r="G909" s="175"/>
      <c r="H909" s="3"/>
      <c r="I909" s="175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175"/>
      <c r="AJ909" s="3"/>
      <c r="AK909" s="175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A910" s="3"/>
      <c r="B910" s="3"/>
      <c r="C910" s="3"/>
      <c r="D910" s="3"/>
      <c r="E910" s="3"/>
      <c r="F910" s="3"/>
      <c r="G910" s="175"/>
      <c r="H910" s="3"/>
      <c r="I910" s="175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175"/>
      <c r="AJ910" s="3"/>
      <c r="AK910" s="175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A911" s="3"/>
      <c r="B911" s="3"/>
      <c r="C911" s="3"/>
      <c r="D911" s="3"/>
      <c r="E911" s="3"/>
      <c r="F911" s="3"/>
      <c r="G911" s="175"/>
      <c r="H911" s="3"/>
      <c r="I911" s="175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175"/>
      <c r="AJ911" s="3"/>
      <c r="AK911" s="175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A912" s="3"/>
      <c r="B912" s="3"/>
      <c r="C912" s="3"/>
      <c r="D912" s="3"/>
      <c r="E912" s="3"/>
      <c r="F912" s="3"/>
      <c r="G912" s="175"/>
      <c r="H912" s="3"/>
      <c r="I912" s="175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175"/>
      <c r="AJ912" s="3"/>
      <c r="AK912" s="175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A913" s="3"/>
      <c r="B913" s="3"/>
      <c r="C913" s="3"/>
      <c r="D913" s="3"/>
      <c r="E913" s="3"/>
      <c r="F913" s="3"/>
      <c r="G913" s="175"/>
      <c r="H913" s="3"/>
      <c r="I913" s="175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175"/>
      <c r="AJ913" s="3"/>
      <c r="AK913" s="175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A914" s="3"/>
      <c r="B914" s="3"/>
      <c r="C914" s="3"/>
      <c r="D914" s="3"/>
      <c r="E914" s="3"/>
      <c r="F914" s="3"/>
      <c r="G914" s="175"/>
      <c r="H914" s="3"/>
      <c r="I914" s="175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175"/>
      <c r="AJ914" s="3"/>
      <c r="AK914" s="175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A915" s="3"/>
      <c r="B915" s="3"/>
      <c r="C915" s="3"/>
      <c r="D915" s="3"/>
      <c r="E915" s="3"/>
      <c r="F915" s="3"/>
      <c r="G915" s="175"/>
      <c r="H915" s="3"/>
      <c r="I915" s="175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175"/>
      <c r="AJ915" s="3"/>
      <c r="AK915" s="175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A916" s="3"/>
      <c r="B916" s="3"/>
      <c r="C916" s="3"/>
      <c r="D916" s="3"/>
      <c r="E916" s="3"/>
      <c r="F916" s="3"/>
      <c r="G916" s="175"/>
      <c r="H916" s="3"/>
      <c r="I916" s="175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175"/>
      <c r="AJ916" s="3"/>
      <c r="AK916" s="175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A917" s="3"/>
      <c r="B917" s="3"/>
      <c r="C917" s="3"/>
      <c r="D917" s="3"/>
      <c r="E917" s="3"/>
      <c r="F917" s="3"/>
      <c r="G917" s="175"/>
      <c r="H917" s="3"/>
      <c r="I917" s="175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175"/>
      <c r="AJ917" s="3"/>
      <c r="AK917" s="175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A918" s="3"/>
      <c r="B918" s="3"/>
      <c r="C918" s="3"/>
      <c r="D918" s="3"/>
      <c r="E918" s="3"/>
      <c r="F918" s="3"/>
      <c r="G918" s="175"/>
      <c r="H918" s="3"/>
      <c r="I918" s="175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175"/>
      <c r="AJ918" s="3"/>
      <c r="AK918" s="175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A919" s="3"/>
      <c r="B919" s="3"/>
      <c r="C919" s="3"/>
      <c r="D919" s="3"/>
      <c r="E919" s="3"/>
      <c r="F919" s="3"/>
      <c r="G919" s="175"/>
      <c r="H919" s="3"/>
      <c r="I919" s="175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175"/>
      <c r="AJ919" s="3"/>
      <c r="AK919" s="175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A920" s="3"/>
      <c r="B920" s="3"/>
      <c r="C920" s="3"/>
      <c r="D920" s="3"/>
      <c r="E920" s="3"/>
      <c r="F920" s="3"/>
      <c r="G920" s="175"/>
      <c r="H920" s="3"/>
      <c r="I920" s="175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175"/>
      <c r="AJ920" s="3"/>
      <c r="AK920" s="175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A921" s="3"/>
      <c r="B921" s="3"/>
      <c r="C921" s="3"/>
      <c r="D921" s="3"/>
      <c r="E921" s="3"/>
      <c r="F921" s="3"/>
      <c r="G921" s="175"/>
      <c r="H921" s="3"/>
      <c r="I921" s="175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175"/>
      <c r="AJ921" s="3"/>
      <c r="AK921" s="175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A922" s="3"/>
      <c r="B922" s="3"/>
      <c r="C922" s="3"/>
      <c r="D922" s="3"/>
      <c r="E922" s="3"/>
      <c r="F922" s="3"/>
      <c r="G922" s="175"/>
      <c r="H922" s="3"/>
      <c r="I922" s="175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175"/>
      <c r="AJ922" s="3"/>
      <c r="AK922" s="175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A923" s="3"/>
      <c r="B923" s="3"/>
      <c r="C923" s="3"/>
      <c r="D923" s="3"/>
      <c r="E923" s="3"/>
      <c r="F923" s="3"/>
      <c r="G923" s="175"/>
      <c r="H923" s="3"/>
      <c r="I923" s="175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175"/>
      <c r="AJ923" s="3"/>
      <c r="AK923" s="175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A924" s="3"/>
      <c r="B924" s="3"/>
      <c r="C924" s="3"/>
      <c r="D924" s="3"/>
      <c r="E924" s="3"/>
      <c r="F924" s="3"/>
      <c r="G924" s="175"/>
      <c r="H924" s="3"/>
      <c r="I924" s="175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175"/>
      <c r="AJ924" s="3"/>
      <c r="AK924" s="175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A925" s="3"/>
      <c r="B925" s="3"/>
      <c r="C925" s="3"/>
      <c r="D925" s="3"/>
      <c r="E925" s="3"/>
      <c r="F925" s="3"/>
      <c r="G925" s="175"/>
      <c r="H925" s="3"/>
      <c r="I925" s="175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175"/>
      <c r="AJ925" s="3"/>
      <c r="AK925" s="175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A926" s="3"/>
      <c r="B926" s="3"/>
      <c r="C926" s="3"/>
      <c r="D926" s="3"/>
      <c r="E926" s="3"/>
      <c r="F926" s="3"/>
      <c r="G926" s="175"/>
      <c r="H926" s="3"/>
      <c r="I926" s="175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175"/>
      <c r="AJ926" s="3"/>
      <c r="AK926" s="175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A927" s="3"/>
      <c r="B927" s="3"/>
      <c r="C927" s="3"/>
      <c r="D927" s="3"/>
      <c r="E927" s="3"/>
      <c r="F927" s="3"/>
      <c r="G927" s="175"/>
      <c r="H927" s="3"/>
      <c r="I927" s="175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175"/>
      <c r="AJ927" s="3"/>
      <c r="AK927" s="175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A928" s="3"/>
      <c r="B928" s="3"/>
      <c r="C928" s="3"/>
      <c r="D928" s="3"/>
      <c r="E928" s="3"/>
      <c r="F928" s="3"/>
      <c r="G928" s="175"/>
      <c r="H928" s="3"/>
      <c r="I928" s="175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175"/>
      <c r="AJ928" s="3"/>
      <c r="AK928" s="175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A929" s="3"/>
      <c r="B929" s="3"/>
      <c r="C929" s="3"/>
      <c r="D929" s="3"/>
      <c r="E929" s="3"/>
      <c r="F929" s="3"/>
      <c r="G929" s="175"/>
      <c r="H929" s="3"/>
      <c r="I929" s="175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175"/>
      <c r="AJ929" s="3"/>
      <c r="AK929" s="175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A930" s="3"/>
      <c r="B930" s="3"/>
      <c r="C930" s="3"/>
      <c r="D930" s="3"/>
      <c r="E930" s="3"/>
      <c r="F930" s="3"/>
      <c r="G930" s="175"/>
      <c r="H930" s="3"/>
      <c r="I930" s="175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175"/>
      <c r="AJ930" s="3"/>
      <c r="AK930" s="175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A931" s="3"/>
      <c r="B931" s="3"/>
      <c r="C931" s="3"/>
      <c r="D931" s="3"/>
      <c r="E931" s="3"/>
      <c r="F931" s="3"/>
      <c r="G931" s="175"/>
      <c r="H931" s="3"/>
      <c r="I931" s="175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175"/>
      <c r="AJ931" s="3"/>
      <c r="AK931" s="175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A932" s="3"/>
      <c r="B932" s="3"/>
      <c r="C932" s="3"/>
      <c r="D932" s="3"/>
      <c r="E932" s="3"/>
      <c r="F932" s="3"/>
      <c r="G932" s="175"/>
      <c r="H932" s="3"/>
      <c r="I932" s="175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175"/>
      <c r="AJ932" s="3"/>
      <c r="AK932" s="175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A933" s="3"/>
      <c r="B933" s="3"/>
      <c r="C933" s="3"/>
      <c r="D933" s="3"/>
      <c r="E933" s="3"/>
      <c r="F933" s="3"/>
      <c r="G933" s="175"/>
      <c r="H933" s="3"/>
      <c r="I933" s="175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175"/>
      <c r="AJ933" s="3"/>
      <c r="AK933" s="175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A934" s="3"/>
      <c r="B934" s="3"/>
      <c r="C934" s="3"/>
      <c r="D934" s="3"/>
      <c r="E934" s="3"/>
      <c r="F934" s="3"/>
      <c r="G934" s="175"/>
      <c r="H934" s="3"/>
      <c r="I934" s="175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175"/>
      <c r="AJ934" s="3"/>
      <c r="AK934" s="175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A935" s="3"/>
      <c r="B935" s="3"/>
      <c r="C935" s="3"/>
      <c r="D935" s="3"/>
      <c r="E935" s="3"/>
      <c r="F935" s="3"/>
      <c r="G935" s="175"/>
      <c r="H935" s="3"/>
      <c r="I935" s="175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175"/>
      <c r="AJ935" s="3"/>
      <c r="AK935" s="175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A936" s="3"/>
      <c r="B936" s="3"/>
      <c r="C936" s="3"/>
      <c r="D936" s="3"/>
      <c r="E936" s="3"/>
      <c r="F936" s="3"/>
      <c r="G936" s="175"/>
      <c r="H936" s="3"/>
      <c r="I936" s="175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175"/>
      <c r="AJ936" s="3"/>
      <c r="AK936" s="175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A937" s="3"/>
      <c r="B937" s="3"/>
      <c r="C937" s="3"/>
      <c r="D937" s="3"/>
      <c r="E937" s="3"/>
      <c r="F937" s="3"/>
      <c r="G937" s="175"/>
      <c r="H937" s="3"/>
      <c r="I937" s="175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175"/>
      <c r="AJ937" s="3"/>
      <c r="AK937" s="175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A938" s="3"/>
      <c r="B938" s="3"/>
      <c r="C938" s="3"/>
      <c r="D938" s="3"/>
      <c r="E938" s="3"/>
      <c r="F938" s="3"/>
      <c r="G938" s="175"/>
      <c r="H938" s="3"/>
      <c r="I938" s="175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175"/>
      <c r="AJ938" s="3"/>
      <c r="AK938" s="175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A939" s="3"/>
      <c r="B939" s="3"/>
      <c r="C939" s="3"/>
      <c r="D939" s="3"/>
      <c r="E939" s="3"/>
      <c r="F939" s="3"/>
      <c r="G939" s="175"/>
      <c r="H939" s="3"/>
      <c r="I939" s="175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175"/>
      <c r="AJ939" s="3"/>
      <c r="AK939" s="175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A940" s="3"/>
      <c r="B940" s="3"/>
      <c r="C940" s="3"/>
      <c r="D940" s="3"/>
      <c r="E940" s="3"/>
      <c r="F940" s="3"/>
      <c r="G940" s="175"/>
      <c r="H940" s="3"/>
      <c r="I940" s="175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175"/>
      <c r="AJ940" s="3"/>
      <c r="AK940" s="175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A941" s="3"/>
      <c r="B941" s="3"/>
      <c r="C941" s="3"/>
      <c r="D941" s="3"/>
      <c r="E941" s="3"/>
      <c r="F941" s="3"/>
      <c r="G941" s="175"/>
      <c r="H941" s="3"/>
      <c r="I941" s="175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175"/>
      <c r="AJ941" s="3"/>
      <c r="AK941" s="175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A942" s="3"/>
      <c r="B942" s="3"/>
      <c r="C942" s="3"/>
      <c r="D942" s="3"/>
      <c r="E942" s="3"/>
      <c r="F942" s="3"/>
      <c r="G942" s="175"/>
      <c r="H942" s="3"/>
      <c r="I942" s="175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175"/>
      <c r="AJ942" s="3"/>
      <c r="AK942" s="175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A943" s="3"/>
      <c r="B943" s="3"/>
      <c r="C943" s="3"/>
      <c r="D943" s="3"/>
      <c r="E943" s="3"/>
      <c r="F943" s="3"/>
      <c r="G943" s="175"/>
      <c r="H943" s="3"/>
      <c r="I943" s="175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175"/>
      <c r="AJ943" s="3"/>
      <c r="AK943" s="175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A944" s="3"/>
      <c r="B944" s="3"/>
      <c r="C944" s="3"/>
      <c r="D944" s="3"/>
      <c r="E944" s="3"/>
      <c r="F944" s="3"/>
      <c r="G944" s="175"/>
      <c r="H944" s="3"/>
      <c r="I944" s="175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175"/>
      <c r="AJ944" s="3"/>
      <c r="AK944" s="175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A945" s="3"/>
      <c r="B945" s="3"/>
      <c r="C945" s="3"/>
      <c r="D945" s="3"/>
      <c r="E945" s="3"/>
      <c r="F945" s="3"/>
      <c r="G945" s="175"/>
      <c r="H945" s="3"/>
      <c r="I945" s="175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175"/>
      <c r="AJ945" s="3"/>
      <c r="AK945" s="175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A946" s="3"/>
      <c r="B946" s="3"/>
      <c r="C946" s="3"/>
      <c r="D946" s="3"/>
      <c r="E946" s="3"/>
      <c r="F946" s="3"/>
      <c r="G946" s="175"/>
      <c r="H946" s="3"/>
      <c r="I946" s="175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175"/>
      <c r="AJ946" s="3"/>
      <c r="AK946" s="175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A947" s="3"/>
      <c r="B947" s="3"/>
      <c r="C947" s="3"/>
      <c r="D947" s="3"/>
      <c r="E947" s="3"/>
      <c r="F947" s="3"/>
      <c r="G947" s="175"/>
      <c r="H947" s="3"/>
      <c r="I947" s="175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175"/>
      <c r="AJ947" s="3"/>
      <c r="AK947" s="175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A948" s="3"/>
      <c r="B948" s="3"/>
      <c r="C948" s="3"/>
      <c r="D948" s="3"/>
      <c r="E948" s="3"/>
      <c r="F948" s="3"/>
      <c r="G948" s="175"/>
      <c r="H948" s="3"/>
      <c r="I948" s="175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175"/>
      <c r="AJ948" s="3"/>
      <c r="AK948" s="175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A949" s="3"/>
      <c r="B949" s="3"/>
      <c r="C949" s="3"/>
      <c r="D949" s="3"/>
      <c r="E949" s="3"/>
      <c r="F949" s="3"/>
      <c r="G949" s="175"/>
      <c r="H949" s="3"/>
      <c r="I949" s="175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175"/>
      <c r="AJ949" s="3"/>
      <c r="AK949" s="175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A950" s="3"/>
      <c r="B950" s="3"/>
      <c r="C950" s="3"/>
      <c r="D950" s="3"/>
      <c r="E950" s="3"/>
      <c r="F950" s="3"/>
      <c r="G950" s="175"/>
      <c r="H950" s="3"/>
      <c r="I950" s="175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175"/>
      <c r="AJ950" s="3"/>
      <c r="AK950" s="175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A951" s="3"/>
      <c r="B951" s="3"/>
      <c r="C951" s="3"/>
      <c r="D951" s="3"/>
      <c r="E951" s="3"/>
      <c r="F951" s="3"/>
      <c r="G951" s="175"/>
      <c r="H951" s="3"/>
      <c r="I951" s="175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175"/>
      <c r="AJ951" s="3"/>
      <c r="AK951" s="175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A952" s="3"/>
      <c r="B952" s="3"/>
      <c r="C952" s="3"/>
      <c r="D952" s="3"/>
      <c r="E952" s="3"/>
      <c r="F952" s="3"/>
      <c r="G952" s="175"/>
      <c r="H952" s="3"/>
      <c r="I952" s="175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175"/>
      <c r="AJ952" s="3"/>
      <c r="AK952" s="175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A953" s="3"/>
      <c r="B953" s="3"/>
      <c r="C953" s="3"/>
      <c r="D953" s="3"/>
      <c r="E953" s="3"/>
      <c r="F953" s="3"/>
      <c r="G953" s="175"/>
      <c r="H953" s="3"/>
      <c r="I953" s="175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175"/>
      <c r="AJ953" s="3"/>
      <c r="AK953" s="175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A954" s="3"/>
      <c r="B954" s="3"/>
      <c r="C954" s="3"/>
      <c r="D954" s="3"/>
      <c r="E954" s="3"/>
      <c r="F954" s="3"/>
      <c r="G954" s="175"/>
      <c r="H954" s="3"/>
      <c r="I954" s="175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175"/>
      <c r="AJ954" s="3"/>
      <c r="AK954" s="175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A955" s="3"/>
      <c r="B955" s="3"/>
      <c r="C955" s="3"/>
      <c r="D955" s="3"/>
      <c r="E955" s="3"/>
      <c r="F955" s="3"/>
      <c r="G955" s="175"/>
      <c r="H955" s="3"/>
      <c r="I955" s="175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175"/>
      <c r="AJ955" s="3"/>
      <c r="AK955" s="175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A956" s="3"/>
      <c r="B956" s="3"/>
      <c r="C956" s="3"/>
      <c r="D956" s="3"/>
      <c r="E956" s="3"/>
      <c r="F956" s="3"/>
      <c r="G956" s="175"/>
      <c r="H956" s="3"/>
      <c r="I956" s="175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175"/>
      <c r="AJ956" s="3"/>
      <c r="AK956" s="175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A957" s="3"/>
      <c r="B957" s="3"/>
      <c r="C957" s="3"/>
      <c r="D957" s="3"/>
      <c r="E957" s="3"/>
      <c r="F957" s="3"/>
      <c r="G957" s="175"/>
      <c r="H957" s="3"/>
      <c r="I957" s="175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175"/>
      <c r="AJ957" s="3"/>
      <c r="AK957" s="175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A958" s="3"/>
      <c r="B958" s="3"/>
      <c r="C958" s="3"/>
      <c r="D958" s="3"/>
      <c r="E958" s="3"/>
      <c r="F958" s="3"/>
      <c r="G958" s="175"/>
      <c r="H958" s="3"/>
      <c r="I958" s="175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175"/>
      <c r="AJ958" s="3"/>
      <c r="AK958" s="175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A959" s="3"/>
      <c r="B959" s="3"/>
      <c r="C959" s="3"/>
      <c r="D959" s="3"/>
      <c r="E959" s="3"/>
      <c r="F959" s="3"/>
      <c r="G959" s="175"/>
      <c r="H959" s="3"/>
      <c r="I959" s="175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175"/>
      <c r="AJ959" s="3"/>
      <c r="AK959" s="175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A960" s="3"/>
      <c r="B960" s="3"/>
      <c r="C960" s="3"/>
      <c r="D960" s="3"/>
      <c r="E960" s="3"/>
      <c r="F960" s="3"/>
      <c r="G960" s="175"/>
      <c r="H960" s="3"/>
      <c r="I960" s="175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175"/>
      <c r="AJ960" s="3"/>
      <c r="AK960" s="175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A961" s="3"/>
      <c r="B961" s="3"/>
      <c r="C961" s="3"/>
      <c r="D961" s="3"/>
      <c r="E961" s="3"/>
      <c r="F961" s="3"/>
      <c r="G961" s="175"/>
      <c r="H961" s="3"/>
      <c r="I961" s="175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175"/>
      <c r="AJ961" s="3"/>
      <c r="AK961" s="175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A962" s="3"/>
      <c r="B962" s="3"/>
      <c r="C962" s="3"/>
      <c r="D962" s="3"/>
      <c r="E962" s="3"/>
      <c r="F962" s="3"/>
      <c r="G962" s="175"/>
      <c r="H962" s="3"/>
      <c r="I962" s="175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175"/>
      <c r="AJ962" s="3"/>
      <c r="AK962" s="175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A963" s="3"/>
      <c r="B963" s="3"/>
      <c r="C963" s="3"/>
      <c r="D963" s="3"/>
      <c r="E963" s="3"/>
      <c r="F963" s="3"/>
      <c r="G963" s="175"/>
      <c r="H963" s="3"/>
      <c r="I963" s="175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175"/>
      <c r="AJ963" s="3"/>
      <c r="AK963" s="175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A964" s="3"/>
      <c r="B964" s="3"/>
      <c r="C964" s="3"/>
      <c r="D964" s="3"/>
      <c r="E964" s="3"/>
      <c r="F964" s="3"/>
      <c r="G964" s="175"/>
      <c r="H964" s="3"/>
      <c r="I964" s="175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175"/>
      <c r="AJ964" s="3"/>
      <c r="AK964" s="175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A965" s="3"/>
      <c r="B965" s="3"/>
      <c r="C965" s="3"/>
      <c r="D965" s="3"/>
      <c r="E965" s="3"/>
      <c r="F965" s="3"/>
      <c r="G965" s="175"/>
      <c r="H965" s="3"/>
      <c r="I965" s="175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175"/>
      <c r="AJ965" s="3"/>
      <c r="AK965" s="175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A966" s="3"/>
      <c r="B966" s="3"/>
      <c r="C966" s="3"/>
      <c r="D966" s="3"/>
      <c r="E966" s="3"/>
      <c r="F966" s="3"/>
      <c r="G966" s="175"/>
      <c r="H966" s="3"/>
      <c r="I966" s="175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175"/>
      <c r="AJ966" s="3"/>
      <c r="AK966" s="175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A967" s="3"/>
      <c r="B967" s="3"/>
      <c r="C967" s="3"/>
      <c r="D967" s="3"/>
      <c r="E967" s="3"/>
      <c r="F967" s="3"/>
      <c r="G967" s="175"/>
      <c r="H967" s="3"/>
      <c r="I967" s="175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175"/>
      <c r="AJ967" s="3"/>
      <c r="AK967" s="175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A968" s="3"/>
      <c r="B968" s="3"/>
      <c r="C968" s="3"/>
      <c r="D968" s="3"/>
      <c r="E968" s="3"/>
      <c r="F968" s="3"/>
      <c r="G968" s="175"/>
      <c r="H968" s="3"/>
      <c r="I968" s="175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175"/>
      <c r="AJ968" s="3"/>
      <c r="AK968" s="175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A969" s="3"/>
      <c r="B969" s="3"/>
      <c r="C969" s="3"/>
      <c r="D969" s="3"/>
      <c r="E969" s="3"/>
      <c r="F969" s="3"/>
      <c r="G969" s="175"/>
      <c r="H969" s="3"/>
      <c r="I969" s="175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175"/>
      <c r="AJ969" s="3"/>
      <c r="AK969" s="175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A970" s="3"/>
      <c r="B970" s="3"/>
      <c r="C970" s="3"/>
      <c r="D970" s="3"/>
      <c r="E970" s="3"/>
      <c r="F970" s="3"/>
      <c r="G970" s="175"/>
      <c r="H970" s="3"/>
      <c r="I970" s="175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175"/>
      <c r="AJ970" s="3"/>
      <c r="AK970" s="175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A971" s="3"/>
      <c r="B971" s="3"/>
      <c r="C971" s="3"/>
      <c r="D971" s="3"/>
      <c r="E971" s="3"/>
      <c r="F971" s="3"/>
      <c r="G971" s="175"/>
      <c r="H971" s="3"/>
      <c r="I971" s="175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175"/>
      <c r="AJ971" s="3"/>
      <c r="AK971" s="175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A972" s="3"/>
      <c r="B972" s="3"/>
      <c r="C972" s="3"/>
      <c r="D972" s="3"/>
      <c r="E972" s="3"/>
      <c r="F972" s="3"/>
      <c r="G972" s="175"/>
      <c r="H972" s="3"/>
      <c r="I972" s="175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175"/>
      <c r="AJ972" s="3"/>
      <c r="AK972" s="175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A973" s="3"/>
      <c r="B973" s="3"/>
      <c r="C973" s="3"/>
      <c r="D973" s="3"/>
      <c r="E973" s="3"/>
      <c r="F973" s="3"/>
      <c r="G973" s="175"/>
      <c r="H973" s="3"/>
      <c r="I973" s="175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175"/>
      <c r="AJ973" s="3"/>
      <c r="AK973" s="175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A974" s="3"/>
      <c r="B974" s="3"/>
      <c r="C974" s="3"/>
      <c r="D974" s="3"/>
      <c r="E974" s="3"/>
      <c r="F974" s="3"/>
      <c r="G974" s="175"/>
      <c r="H974" s="3"/>
      <c r="I974" s="175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175"/>
      <c r="AJ974" s="3"/>
      <c r="AK974" s="175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A975" s="3"/>
      <c r="B975" s="3"/>
      <c r="C975" s="3"/>
      <c r="D975" s="3"/>
      <c r="E975" s="3"/>
      <c r="F975" s="3"/>
      <c r="G975" s="175"/>
      <c r="H975" s="3"/>
      <c r="I975" s="175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175"/>
      <c r="AJ975" s="3"/>
      <c r="AK975" s="175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A976" s="3"/>
      <c r="B976" s="3"/>
      <c r="C976" s="3"/>
      <c r="D976" s="3"/>
      <c r="E976" s="3"/>
      <c r="F976" s="3"/>
      <c r="G976" s="175"/>
      <c r="H976" s="3"/>
      <c r="I976" s="175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175"/>
      <c r="AJ976" s="3"/>
      <c r="AK976" s="175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A977" s="3"/>
      <c r="B977" s="3"/>
      <c r="C977" s="3"/>
      <c r="D977" s="3"/>
      <c r="E977" s="3"/>
      <c r="F977" s="3"/>
      <c r="G977" s="175"/>
      <c r="H977" s="3"/>
      <c r="I977" s="175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175"/>
      <c r="AJ977" s="3"/>
      <c r="AK977" s="175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A978" s="3"/>
      <c r="B978" s="3"/>
      <c r="C978" s="3"/>
      <c r="D978" s="3"/>
      <c r="E978" s="3"/>
      <c r="F978" s="3"/>
      <c r="G978" s="175"/>
      <c r="H978" s="3"/>
      <c r="I978" s="175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175"/>
      <c r="AJ978" s="3"/>
      <c r="AK978" s="175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A979" s="3"/>
      <c r="B979" s="3"/>
      <c r="C979" s="3"/>
      <c r="D979" s="3"/>
      <c r="E979" s="3"/>
      <c r="F979" s="3"/>
      <c r="G979" s="175"/>
      <c r="H979" s="3"/>
      <c r="I979" s="175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175"/>
      <c r="AJ979" s="3"/>
      <c r="AK979" s="175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A980" s="3"/>
      <c r="B980" s="3"/>
      <c r="C980" s="3"/>
      <c r="D980" s="3"/>
      <c r="E980" s="3"/>
      <c r="F980" s="3"/>
      <c r="G980" s="175"/>
      <c r="H980" s="3"/>
      <c r="I980" s="175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175"/>
      <c r="AJ980" s="3"/>
      <c r="AK980" s="175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A981" s="3"/>
      <c r="B981" s="3"/>
      <c r="C981" s="3"/>
      <c r="D981" s="3"/>
      <c r="E981" s="3"/>
      <c r="F981" s="3"/>
      <c r="G981" s="175"/>
      <c r="H981" s="3"/>
      <c r="I981" s="175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175"/>
      <c r="AJ981" s="3"/>
      <c r="AK981" s="175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A982" s="3"/>
      <c r="B982" s="3"/>
      <c r="C982" s="3"/>
      <c r="D982" s="3"/>
      <c r="E982" s="3"/>
      <c r="F982" s="3"/>
      <c r="G982" s="175"/>
      <c r="H982" s="3"/>
      <c r="I982" s="175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175"/>
      <c r="AJ982" s="3"/>
      <c r="AK982" s="175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A983" s="3"/>
      <c r="B983" s="3"/>
      <c r="C983" s="3"/>
      <c r="D983" s="3"/>
      <c r="E983" s="3"/>
      <c r="F983" s="3"/>
      <c r="G983" s="175"/>
      <c r="H983" s="3"/>
      <c r="I983" s="175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175"/>
      <c r="AJ983" s="3"/>
      <c r="AK983" s="175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A984" s="3"/>
      <c r="B984" s="3"/>
      <c r="C984" s="3"/>
      <c r="D984" s="3"/>
      <c r="E984" s="3"/>
      <c r="F984" s="3"/>
      <c r="G984" s="175"/>
      <c r="H984" s="3"/>
      <c r="I984" s="175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175"/>
      <c r="AJ984" s="3"/>
      <c r="AK984" s="175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A985" s="3"/>
      <c r="B985" s="3"/>
      <c r="C985" s="3"/>
      <c r="D985" s="3"/>
      <c r="E985" s="3"/>
      <c r="F985" s="3"/>
      <c r="G985" s="175"/>
      <c r="H985" s="3"/>
      <c r="I985" s="175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175"/>
      <c r="AJ985" s="3"/>
      <c r="AK985" s="175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A986" s="3"/>
      <c r="B986" s="3"/>
      <c r="C986" s="3"/>
      <c r="D986" s="3"/>
      <c r="E986" s="3"/>
      <c r="F986" s="3"/>
      <c r="G986" s="175"/>
      <c r="H986" s="3"/>
      <c r="I986" s="175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175"/>
      <c r="AJ986" s="3"/>
      <c r="AK986" s="175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A987" s="3"/>
      <c r="B987" s="3"/>
      <c r="C987" s="3"/>
      <c r="D987" s="3"/>
      <c r="E987" s="3"/>
      <c r="F987" s="3"/>
      <c r="G987" s="175"/>
      <c r="H987" s="3"/>
      <c r="I987" s="175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175"/>
      <c r="AJ987" s="3"/>
      <c r="AK987" s="175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A988" s="3"/>
      <c r="B988" s="3"/>
      <c r="C988" s="3"/>
      <c r="D988" s="3"/>
      <c r="E988" s="3"/>
      <c r="F988" s="3"/>
      <c r="G988" s="175"/>
      <c r="H988" s="3"/>
      <c r="I988" s="175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175"/>
      <c r="AJ988" s="3"/>
      <c r="AK988" s="175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A989" s="3"/>
      <c r="B989" s="3"/>
      <c r="C989" s="3"/>
      <c r="D989" s="3"/>
      <c r="E989" s="3"/>
      <c r="F989" s="3"/>
      <c r="G989" s="175"/>
      <c r="H989" s="3"/>
      <c r="I989" s="175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175"/>
      <c r="AJ989" s="3"/>
      <c r="AK989" s="175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A990" s="3"/>
      <c r="B990" s="3"/>
      <c r="C990" s="3"/>
      <c r="D990" s="3"/>
      <c r="E990" s="3"/>
      <c r="F990" s="3"/>
      <c r="G990" s="175"/>
      <c r="H990" s="3"/>
      <c r="I990" s="175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175"/>
      <c r="AJ990" s="3"/>
      <c r="AK990" s="175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A991" s="3"/>
      <c r="B991" s="3"/>
      <c r="C991" s="3"/>
      <c r="D991" s="3"/>
      <c r="E991" s="3"/>
      <c r="F991" s="3"/>
      <c r="G991" s="175"/>
      <c r="H991" s="3"/>
      <c r="I991" s="175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175"/>
      <c r="AJ991" s="3"/>
      <c r="AK991" s="175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A992" s="3"/>
      <c r="B992" s="3"/>
      <c r="C992" s="3"/>
      <c r="D992" s="3"/>
      <c r="E992" s="3"/>
      <c r="F992" s="3"/>
      <c r="G992" s="175"/>
      <c r="H992" s="3"/>
      <c r="I992" s="175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175"/>
      <c r="AJ992" s="3"/>
      <c r="AK992" s="175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A993" s="3"/>
      <c r="B993" s="3"/>
      <c r="C993" s="3"/>
      <c r="D993" s="3"/>
      <c r="E993" s="3"/>
      <c r="F993" s="3"/>
      <c r="G993" s="175"/>
      <c r="H993" s="3"/>
      <c r="I993" s="175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175"/>
      <c r="AJ993" s="3"/>
      <c r="AK993" s="175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A994" s="3"/>
      <c r="B994" s="3"/>
      <c r="C994" s="3"/>
      <c r="D994" s="3"/>
      <c r="E994" s="3"/>
      <c r="F994" s="3"/>
      <c r="G994" s="175"/>
      <c r="H994" s="3"/>
      <c r="I994" s="175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175"/>
      <c r="AJ994" s="3"/>
      <c r="AK994" s="175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A995" s="3"/>
      <c r="B995" s="3"/>
      <c r="C995" s="3"/>
      <c r="D995" s="3"/>
      <c r="E995" s="3"/>
      <c r="F995" s="3"/>
      <c r="G995" s="175"/>
      <c r="H995" s="3"/>
      <c r="I995" s="175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175"/>
      <c r="AJ995" s="3"/>
      <c r="AK995" s="175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A996" s="3"/>
      <c r="B996" s="3"/>
      <c r="C996" s="3"/>
      <c r="D996" s="3"/>
      <c r="E996" s="3"/>
      <c r="F996" s="3"/>
      <c r="G996" s="175"/>
      <c r="H996" s="3"/>
      <c r="I996" s="175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175"/>
      <c r="AJ996" s="3"/>
      <c r="AK996" s="175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A997" s="3"/>
      <c r="B997" s="3"/>
      <c r="C997" s="3"/>
      <c r="D997" s="3"/>
      <c r="E997" s="3"/>
      <c r="F997" s="3"/>
      <c r="G997" s="175"/>
      <c r="H997" s="3"/>
      <c r="I997" s="175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175"/>
      <c r="AJ997" s="3"/>
      <c r="AK997" s="175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A998" s="3"/>
      <c r="B998" s="3"/>
      <c r="C998" s="3"/>
      <c r="D998" s="3"/>
      <c r="E998" s="3"/>
      <c r="F998" s="3"/>
      <c r="G998" s="175"/>
      <c r="H998" s="3"/>
      <c r="I998" s="175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175"/>
      <c r="AJ998" s="3"/>
      <c r="AK998" s="175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A999" s="3"/>
      <c r="B999" s="3"/>
      <c r="C999" s="3"/>
      <c r="D999" s="3"/>
      <c r="E999" s="3"/>
      <c r="F999" s="3"/>
      <c r="G999" s="175"/>
      <c r="H999" s="3"/>
      <c r="I999" s="175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175"/>
      <c r="AJ999" s="3"/>
      <c r="AK999" s="175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</row>
    <row r="1000" ht="15.75" customHeight="1">
      <c r="A1000" s="3"/>
      <c r="B1000" s="3"/>
      <c r="C1000" s="3"/>
      <c r="D1000" s="3"/>
      <c r="E1000" s="3"/>
      <c r="F1000" s="3"/>
      <c r="G1000" s="175"/>
      <c r="H1000" s="3"/>
      <c r="I1000" s="175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175"/>
      <c r="AJ1000" s="3"/>
      <c r="AK1000" s="175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</row>
  </sheetData>
  <mergeCells count="15">
    <mergeCell ref="AE3:AH3"/>
    <mergeCell ref="AI3:AL3"/>
    <mergeCell ref="AM3:AP3"/>
    <mergeCell ref="AQ3:AT3"/>
    <mergeCell ref="AU3:AX3"/>
    <mergeCell ref="AY3:BB3"/>
    <mergeCell ref="BC3:BF3"/>
    <mergeCell ref="BG3:BJ3"/>
    <mergeCell ref="C3:F3"/>
    <mergeCell ref="G3:J3"/>
    <mergeCell ref="K3:N3"/>
    <mergeCell ref="O3:R3"/>
    <mergeCell ref="S3:V3"/>
    <mergeCell ref="W3:Z3"/>
    <mergeCell ref="AA3:AD3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3" width="14.25"/>
    <col customWidth="1" min="4" max="4" width="12.63"/>
    <col customWidth="1" min="5" max="5" width="14.25"/>
    <col customWidth="1" min="6" max="6" width="12.63"/>
    <col customWidth="1" min="7" max="7" width="13.38"/>
    <col customWidth="1" min="8" max="8" width="12.63"/>
    <col customWidth="1" min="9" max="9" width="13.38"/>
    <col customWidth="1" min="10" max="10" width="12.63"/>
    <col customWidth="1" min="11" max="11" width="14.25"/>
    <col customWidth="1" min="12" max="22" width="12.63"/>
    <col customWidth="1" min="23" max="23" width="11.63"/>
    <col customWidth="1" min="24" max="24" width="12.63"/>
    <col customWidth="1" min="25" max="25" width="11.63"/>
    <col customWidth="1" min="26" max="30" width="12.63"/>
    <col customWidth="1" min="31" max="31" width="14.25"/>
    <col customWidth="1" min="32" max="32" width="12.63"/>
    <col customWidth="1" min="33" max="33" width="14.25"/>
    <col customWidth="1" min="34" max="62" width="12.63"/>
  </cols>
  <sheetData>
    <row r="1" ht="15.75" customHeight="1">
      <c r="A1" s="3"/>
      <c r="B1" s="2" t="s">
        <v>1</v>
      </c>
      <c r="C1" s="3"/>
      <c r="D1" s="3"/>
      <c r="E1" s="175"/>
      <c r="F1" s="3"/>
      <c r="G1" s="4" t="s">
        <v>193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</row>
    <row r="2" ht="15.75" customHeight="1">
      <c r="A2" s="3"/>
      <c r="B2" s="4" t="s">
        <v>168</v>
      </c>
      <c r="C2" s="3"/>
      <c r="D2" s="3"/>
      <c r="E2" s="175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4" t="s">
        <v>194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ht="15.75" customHeight="1">
      <c r="A3" s="3"/>
      <c r="B3" s="312"/>
      <c r="C3" s="313" t="s">
        <v>48</v>
      </c>
      <c r="D3" s="260"/>
      <c r="E3" s="260"/>
      <c r="F3" s="261"/>
      <c r="G3" s="313" t="s">
        <v>49</v>
      </c>
      <c r="H3" s="260"/>
      <c r="I3" s="260"/>
      <c r="J3" s="261"/>
      <c r="K3" s="313" t="s">
        <v>5</v>
      </c>
      <c r="L3" s="260"/>
      <c r="M3" s="260"/>
      <c r="N3" s="261"/>
      <c r="O3" s="313" t="s">
        <v>185</v>
      </c>
      <c r="P3" s="260"/>
      <c r="Q3" s="260"/>
      <c r="R3" s="261"/>
      <c r="S3" s="313" t="s">
        <v>7</v>
      </c>
      <c r="T3" s="260"/>
      <c r="U3" s="260"/>
      <c r="V3" s="261"/>
      <c r="W3" s="313" t="s">
        <v>8</v>
      </c>
      <c r="X3" s="260"/>
      <c r="Y3" s="260"/>
      <c r="Z3" s="261"/>
      <c r="AA3" s="313" t="s">
        <v>9</v>
      </c>
      <c r="AB3" s="260"/>
      <c r="AC3" s="260"/>
      <c r="AD3" s="261"/>
      <c r="AE3" s="313" t="s">
        <v>10</v>
      </c>
      <c r="AF3" s="260"/>
      <c r="AG3" s="260"/>
      <c r="AH3" s="261"/>
      <c r="AI3" s="313" t="s">
        <v>11</v>
      </c>
      <c r="AJ3" s="260"/>
      <c r="AK3" s="260"/>
      <c r="AL3" s="261"/>
      <c r="AM3" s="313" t="s">
        <v>12</v>
      </c>
      <c r="AN3" s="260"/>
      <c r="AO3" s="260"/>
      <c r="AP3" s="261"/>
      <c r="AQ3" s="313" t="s">
        <v>13</v>
      </c>
      <c r="AR3" s="260"/>
      <c r="AS3" s="260"/>
      <c r="AT3" s="261"/>
      <c r="AU3" s="313" t="s">
        <v>195</v>
      </c>
      <c r="AV3" s="260"/>
      <c r="AW3" s="260"/>
      <c r="AX3" s="261"/>
      <c r="AY3" s="313" t="s">
        <v>196</v>
      </c>
      <c r="AZ3" s="260"/>
      <c r="BA3" s="260"/>
      <c r="BB3" s="261"/>
      <c r="BC3" s="313" t="s">
        <v>197</v>
      </c>
      <c r="BD3" s="260"/>
      <c r="BE3" s="260"/>
      <c r="BF3" s="261"/>
      <c r="BG3" s="313" t="s">
        <v>17</v>
      </c>
      <c r="BH3" s="260"/>
      <c r="BI3" s="260"/>
      <c r="BJ3" s="261"/>
    </row>
    <row r="4" ht="15.75" customHeight="1">
      <c r="A4" s="3"/>
      <c r="B4" s="312"/>
      <c r="C4" s="314" t="s">
        <v>21</v>
      </c>
      <c r="D4" s="314" t="s">
        <v>19</v>
      </c>
      <c r="E4" s="315" t="s">
        <v>20</v>
      </c>
      <c r="F4" s="314" t="s">
        <v>19</v>
      </c>
      <c r="G4" s="314" t="s">
        <v>21</v>
      </c>
      <c r="H4" s="314" t="s">
        <v>19</v>
      </c>
      <c r="I4" s="314" t="s">
        <v>20</v>
      </c>
      <c r="J4" s="314" t="s">
        <v>19</v>
      </c>
      <c r="K4" s="314" t="s">
        <v>21</v>
      </c>
      <c r="L4" s="314" t="s">
        <v>19</v>
      </c>
      <c r="M4" s="314" t="s">
        <v>20</v>
      </c>
      <c r="N4" s="314" t="s">
        <v>19</v>
      </c>
      <c r="O4" s="314" t="s">
        <v>21</v>
      </c>
      <c r="P4" s="314" t="s">
        <v>19</v>
      </c>
      <c r="Q4" s="314" t="s">
        <v>20</v>
      </c>
      <c r="R4" s="314" t="s">
        <v>19</v>
      </c>
      <c r="S4" s="314" t="s">
        <v>21</v>
      </c>
      <c r="T4" s="314" t="s">
        <v>19</v>
      </c>
      <c r="U4" s="314" t="s">
        <v>20</v>
      </c>
      <c r="V4" s="314" t="s">
        <v>19</v>
      </c>
      <c r="W4" s="314" t="s">
        <v>21</v>
      </c>
      <c r="X4" s="314" t="s">
        <v>19</v>
      </c>
      <c r="Y4" s="314" t="s">
        <v>20</v>
      </c>
      <c r="Z4" s="314" t="s">
        <v>19</v>
      </c>
      <c r="AA4" s="314" t="s">
        <v>21</v>
      </c>
      <c r="AB4" s="314" t="s">
        <v>19</v>
      </c>
      <c r="AC4" s="314" t="s">
        <v>20</v>
      </c>
      <c r="AD4" s="314" t="s">
        <v>19</v>
      </c>
      <c r="AE4" s="314" t="s">
        <v>21</v>
      </c>
      <c r="AF4" s="314" t="s">
        <v>19</v>
      </c>
      <c r="AG4" s="314" t="s">
        <v>20</v>
      </c>
      <c r="AH4" s="314" t="s">
        <v>19</v>
      </c>
      <c r="AI4" s="314" t="s">
        <v>21</v>
      </c>
      <c r="AJ4" s="314" t="s">
        <v>19</v>
      </c>
      <c r="AK4" s="314" t="s">
        <v>20</v>
      </c>
      <c r="AL4" s="314" t="s">
        <v>19</v>
      </c>
      <c r="AM4" s="314" t="s">
        <v>21</v>
      </c>
      <c r="AN4" s="314" t="s">
        <v>19</v>
      </c>
      <c r="AO4" s="314" t="s">
        <v>20</v>
      </c>
      <c r="AP4" s="314" t="s">
        <v>19</v>
      </c>
      <c r="AQ4" s="314" t="s">
        <v>21</v>
      </c>
      <c r="AR4" s="314" t="s">
        <v>19</v>
      </c>
      <c r="AS4" s="314" t="s">
        <v>20</v>
      </c>
      <c r="AT4" s="314" t="s">
        <v>19</v>
      </c>
      <c r="AU4" s="314" t="s">
        <v>21</v>
      </c>
      <c r="AV4" s="314" t="s">
        <v>19</v>
      </c>
      <c r="AW4" s="314" t="s">
        <v>20</v>
      </c>
      <c r="AX4" s="314" t="s">
        <v>19</v>
      </c>
      <c r="AY4" s="314" t="s">
        <v>21</v>
      </c>
      <c r="AZ4" s="314" t="s">
        <v>19</v>
      </c>
      <c r="BA4" s="314" t="s">
        <v>20</v>
      </c>
      <c r="BB4" s="314" t="s">
        <v>19</v>
      </c>
      <c r="BC4" s="314" t="s">
        <v>21</v>
      </c>
      <c r="BD4" s="314" t="s">
        <v>19</v>
      </c>
      <c r="BE4" s="314" t="s">
        <v>20</v>
      </c>
      <c r="BF4" s="314" t="s">
        <v>19</v>
      </c>
      <c r="BG4" s="314" t="s">
        <v>21</v>
      </c>
      <c r="BH4" s="314" t="s">
        <v>19</v>
      </c>
      <c r="BI4" s="314" t="s">
        <v>20</v>
      </c>
      <c r="BJ4" s="314" t="s">
        <v>19</v>
      </c>
    </row>
    <row r="5" ht="15.75" customHeight="1">
      <c r="A5" s="3"/>
      <c r="B5" s="312" t="s">
        <v>22</v>
      </c>
      <c r="C5" s="225">
        <f t="shared" ref="C5:C9" si="1">G5+K5</f>
        <v>5222076.5</v>
      </c>
      <c r="D5" s="139"/>
      <c r="E5" s="225" t="str">
        <f t="shared" ref="E5:E9" si="2">I5+M5</f>
        <v>#REF!</v>
      </c>
      <c r="F5" s="139"/>
      <c r="G5" s="114">
        <f>HO!BL14</f>
        <v>0</v>
      </c>
      <c r="H5" s="43"/>
      <c r="I5" s="114">
        <f>HO!BN14</f>
        <v>0</v>
      </c>
      <c r="J5" s="43"/>
      <c r="K5" s="40">
        <f t="shared" ref="K5:K9" si="3">O5+S5+W5+AA5+AE5+AI5+AM5+AQ5+AU5+AY5+BC5+BG5</f>
        <v>5222076.5</v>
      </c>
      <c r="L5" s="139"/>
      <c r="M5" s="40" t="str">
        <f t="shared" ref="M5:M9" si="4">Q5+U5+Y5+AC5+AG5+AK5+AO5+AS5+AW5+BA5+BE5+BI5</f>
        <v>#REF!</v>
      </c>
      <c r="N5" s="139"/>
      <c r="O5" s="48">
        <f>'The Table'!BL26</f>
        <v>1235313</v>
      </c>
      <c r="P5" s="43"/>
      <c r="Q5" s="48">
        <f>'The Table'!BN26</f>
        <v>2270468</v>
      </c>
      <c r="R5" s="43"/>
      <c r="S5" s="114">
        <f>Iktara!AB22</f>
        <v>0</v>
      </c>
      <c r="T5" s="43"/>
      <c r="U5" s="114" t="str">
        <f t="shared" ref="U5:U8" si="5">#REF!</f>
        <v>#REF!</v>
      </c>
      <c r="V5" s="43"/>
      <c r="W5" s="114">
        <f>'Mg St Colaba'!BL28</f>
        <v>1290756</v>
      </c>
      <c r="X5" s="43"/>
      <c r="Y5" s="114">
        <f>'Mg St Colaba'!BN28</f>
        <v>1406834.14</v>
      </c>
      <c r="Z5" s="43"/>
      <c r="AA5" s="114">
        <f>'Mg St LP'!BL27</f>
        <v>904553.75</v>
      </c>
      <c r="AB5" s="43"/>
      <c r="AC5" s="114">
        <f>'Mg St LP'!BN27</f>
        <v>1170930</v>
      </c>
      <c r="AD5" s="43"/>
      <c r="AE5" s="114">
        <f>'Mg St Bandra'!BL28</f>
        <v>1504178.75</v>
      </c>
      <c r="AF5" s="43"/>
      <c r="AG5" s="114">
        <f>'Mg St Bandra'!BN28</f>
        <v>1428085</v>
      </c>
      <c r="AH5" s="43"/>
      <c r="AI5" s="114">
        <f>'MSK Events'!N23</f>
        <v>0</v>
      </c>
      <c r="AJ5" s="43"/>
      <c r="AK5" s="114" t="str">
        <f t="shared" ref="AK5:AK8" si="6">#REF!</f>
        <v>#REF!</v>
      </c>
      <c r="AL5" s="43"/>
      <c r="AM5" s="114">
        <f>MSBC!BL24</f>
        <v>0</v>
      </c>
      <c r="AN5" s="43"/>
      <c r="AO5" s="114">
        <f>MSBC!BN24</f>
        <v>0</v>
      </c>
      <c r="AP5" s="43"/>
      <c r="AQ5" s="114">
        <f>Kaspers!AT26</f>
        <v>287275</v>
      </c>
      <c r="AR5" s="43"/>
      <c r="AS5" s="114">
        <f>Kaspers!AV26</f>
        <v>1000000</v>
      </c>
      <c r="AT5" s="43"/>
      <c r="AU5" s="114"/>
      <c r="AV5" s="43"/>
      <c r="AW5" s="114"/>
      <c r="AX5" s="43"/>
      <c r="AY5" s="114"/>
      <c r="AZ5" s="43"/>
      <c r="BA5" s="114"/>
      <c r="BB5" s="43"/>
      <c r="BC5" s="114"/>
      <c r="BD5" s="43"/>
      <c r="BE5" s="114"/>
      <c r="BF5" s="43"/>
      <c r="BG5" s="114"/>
      <c r="BH5" s="43"/>
      <c r="BI5" s="114"/>
      <c r="BJ5" s="43"/>
    </row>
    <row r="6" ht="15.75" customHeight="1">
      <c r="A6" s="3"/>
      <c r="B6" s="312" t="s">
        <v>23</v>
      </c>
      <c r="C6" s="225">
        <f t="shared" si="1"/>
        <v>11415172.5</v>
      </c>
      <c r="D6" s="139"/>
      <c r="E6" s="225" t="str">
        <f t="shared" si="2"/>
        <v>#REF!</v>
      </c>
      <c r="F6" s="139"/>
      <c r="G6" s="114">
        <f>HO!BL15</f>
        <v>0</v>
      </c>
      <c r="H6" s="43"/>
      <c r="I6" s="114">
        <f>HO!BN15</f>
        <v>0</v>
      </c>
      <c r="J6" s="43"/>
      <c r="K6" s="40">
        <f t="shared" si="3"/>
        <v>11415172.5</v>
      </c>
      <c r="L6" s="139"/>
      <c r="M6" s="40" t="str">
        <f t="shared" si="4"/>
        <v>#REF!</v>
      </c>
      <c r="N6" s="139"/>
      <c r="O6" s="48">
        <f>'The Table'!BL27</f>
        <v>5377221</v>
      </c>
      <c r="P6" s="43"/>
      <c r="Q6" s="48">
        <f>'The Table'!BN27</f>
        <v>3980979</v>
      </c>
      <c r="R6" s="43"/>
      <c r="S6" s="114">
        <f>Iktara!AB23</f>
        <v>0</v>
      </c>
      <c r="T6" s="43"/>
      <c r="U6" s="114" t="str">
        <f t="shared" si="5"/>
        <v>#REF!</v>
      </c>
      <c r="V6" s="43"/>
      <c r="W6" s="114">
        <f>'Mg St Colaba'!BL29</f>
        <v>983242.5</v>
      </c>
      <c r="X6" s="43"/>
      <c r="Y6" s="114">
        <f>'Mg St Colaba'!BN29</f>
        <v>930066.82</v>
      </c>
      <c r="Z6" s="43"/>
      <c r="AA6" s="114">
        <f>'Mg St LP'!BL28</f>
        <v>0</v>
      </c>
      <c r="AB6" s="43"/>
      <c r="AC6" s="114">
        <f>'Mg St LP'!BN28</f>
        <v>0</v>
      </c>
      <c r="AD6" s="43"/>
      <c r="AE6" s="114">
        <f>'Mg St Bandra'!BL29</f>
        <v>2028944</v>
      </c>
      <c r="AF6" s="43"/>
      <c r="AG6" s="114">
        <f>'Mg St Bandra'!BN29</f>
        <v>1789783</v>
      </c>
      <c r="AH6" s="43"/>
      <c r="AI6" s="114">
        <f>'MSK Events'!N24</f>
        <v>0</v>
      </c>
      <c r="AJ6" s="43"/>
      <c r="AK6" s="114" t="str">
        <f t="shared" si="6"/>
        <v>#REF!</v>
      </c>
      <c r="AL6" s="43"/>
      <c r="AM6" s="114">
        <f>MSBC!BL25</f>
        <v>0</v>
      </c>
      <c r="AN6" s="43"/>
      <c r="AO6" s="114">
        <f>MSBC!BN25</f>
        <v>0</v>
      </c>
      <c r="AP6" s="43"/>
      <c r="AQ6" s="114">
        <f>Kaspers!AT27</f>
        <v>3025765</v>
      </c>
      <c r="AR6" s="43"/>
      <c r="AS6" s="114" t="str">
        <f>Kaspers!AV27</f>
        <v/>
      </c>
      <c r="AT6" s="43"/>
      <c r="AU6" s="114"/>
      <c r="AV6" s="43"/>
      <c r="AW6" s="114"/>
      <c r="AX6" s="43"/>
      <c r="AY6" s="114"/>
      <c r="AZ6" s="43"/>
      <c r="BA6" s="114"/>
      <c r="BB6" s="43"/>
      <c r="BC6" s="114"/>
      <c r="BD6" s="43"/>
      <c r="BE6" s="114"/>
      <c r="BF6" s="43"/>
      <c r="BG6" s="114"/>
      <c r="BH6" s="43"/>
      <c r="BI6" s="114"/>
      <c r="BJ6" s="43"/>
    </row>
    <row r="7" ht="15.75" customHeight="1">
      <c r="A7" s="3"/>
      <c r="B7" s="312" t="s">
        <v>24</v>
      </c>
      <c r="C7" s="225">
        <f t="shared" si="1"/>
        <v>53799071.13</v>
      </c>
      <c r="D7" s="139"/>
      <c r="E7" s="225" t="str">
        <f t="shared" si="2"/>
        <v>#REF!</v>
      </c>
      <c r="F7" s="139"/>
      <c r="G7" s="114">
        <f>HO!BL16</f>
        <v>0</v>
      </c>
      <c r="H7" s="43"/>
      <c r="I7" s="114">
        <f>HO!BN16</f>
        <v>0</v>
      </c>
      <c r="J7" s="43"/>
      <c r="K7" s="40">
        <f t="shared" si="3"/>
        <v>53799071.13</v>
      </c>
      <c r="L7" s="139"/>
      <c r="M7" s="40" t="str">
        <f t="shared" si="4"/>
        <v>#REF!</v>
      </c>
      <c r="N7" s="139"/>
      <c r="O7" s="48">
        <f>'The Table'!BL28</f>
        <v>13142010</v>
      </c>
      <c r="P7" s="43"/>
      <c r="Q7" s="48">
        <f>'The Table'!BN28</f>
        <v>10768556</v>
      </c>
      <c r="R7" s="43"/>
      <c r="S7" s="114">
        <f>Iktara!AB24</f>
        <v>839649.5</v>
      </c>
      <c r="T7" s="43"/>
      <c r="U7" s="114" t="str">
        <f t="shared" si="5"/>
        <v>#REF!</v>
      </c>
      <c r="V7" s="43"/>
      <c r="W7" s="114">
        <f>'Mg St Colaba'!BL30</f>
        <v>13838353.19</v>
      </c>
      <c r="X7" s="43"/>
      <c r="Y7" s="114">
        <f>'Mg St Colaba'!BN30</f>
        <v>10362210.96</v>
      </c>
      <c r="Z7" s="43"/>
      <c r="AA7" s="114">
        <f>'Mg St LP'!BL29</f>
        <v>7313515.71</v>
      </c>
      <c r="AB7" s="43"/>
      <c r="AC7" s="114">
        <f>'Mg St LP'!BN29</f>
        <v>7716936</v>
      </c>
      <c r="AD7" s="43"/>
      <c r="AE7" s="114">
        <f>'Mg St Bandra'!BL30</f>
        <v>11907081.97</v>
      </c>
      <c r="AF7" s="43"/>
      <c r="AG7" s="114">
        <f>'Mg St Bandra'!BN30</f>
        <v>10537835</v>
      </c>
      <c r="AH7" s="43"/>
      <c r="AI7" s="114">
        <f>'MSK Events'!N25</f>
        <v>18314</v>
      </c>
      <c r="AJ7" s="43"/>
      <c r="AK7" s="114" t="str">
        <f t="shared" si="6"/>
        <v>#REF!</v>
      </c>
      <c r="AL7" s="43"/>
      <c r="AM7" s="114">
        <f>MSBC!BL26</f>
        <v>1462260.95</v>
      </c>
      <c r="AN7" s="43"/>
      <c r="AO7" s="114">
        <f>MSBC!BN26</f>
        <v>71300</v>
      </c>
      <c r="AP7" s="43"/>
      <c r="AQ7" s="114">
        <f>Kaspers!AT28</f>
        <v>3990142.5</v>
      </c>
      <c r="AR7" s="43"/>
      <c r="AS7" s="114">
        <f>Kaspers!AV28</f>
        <v>4000000</v>
      </c>
      <c r="AT7" s="43"/>
      <c r="AU7" s="114">
        <f>'MSBC Andheri'!N26</f>
        <v>316457.82</v>
      </c>
      <c r="AV7" s="43"/>
      <c r="AW7" s="114" t="str">
        <f>#REF!</f>
        <v>#REF!</v>
      </c>
      <c r="AX7" s="43"/>
      <c r="AY7" s="114">
        <f>'MSBC Dahisar'!N24</f>
        <v>124928.89</v>
      </c>
      <c r="AZ7" s="43"/>
      <c r="BA7" s="114" t="str">
        <f>#REF!</f>
        <v>#REF!</v>
      </c>
      <c r="BB7" s="43"/>
      <c r="BC7" s="114">
        <f>'MSBC Juhu  Goregoan'!N23</f>
        <v>162711.6</v>
      </c>
      <c r="BD7" s="43"/>
      <c r="BE7" s="114" t="str">
        <f>#REF!</f>
        <v>#REF!</v>
      </c>
      <c r="BF7" s="43"/>
      <c r="BG7" s="114">
        <f>'LOUD MOUTH'!N26</f>
        <v>683645</v>
      </c>
      <c r="BH7" s="43"/>
      <c r="BI7" s="114" t="str">
        <f>#REF!</f>
        <v>#REF!</v>
      </c>
      <c r="BJ7" s="43"/>
    </row>
    <row r="8" ht="15.75" customHeight="1">
      <c r="A8" s="3"/>
      <c r="B8" s="312" t="s">
        <v>25</v>
      </c>
      <c r="C8" s="225">
        <f t="shared" si="1"/>
        <v>4637198.67</v>
      </c>
      <c r="D8" s="139"/>
      <c r="E8" s="225" t="str">
        <f t="shared" si="2"/>
        <v>#REF!</v>
      </c>
      <c r="F8" s="139"/>
      <c r="G8" s="114" t="str">
        <f>HO!BL18</f>
        <v/>
      </c>
      <c r="H8" s="43"/>
      <c r="I8" s="114" t="str">
        <f>HO!BN18</f>
        <v/>
      </c>
      <c r="J8" s="43"/>
      <c r="K8" s="40">
        <f t="shared" si="3"/>
        <v>4637198.67</v>
      </c>
      <c r="L8" s="139"/>
      <c r="M8" s="40" t="str">
        <f t="shared" si="4"/>
        <v>#REF!</v>
      </c>
      <c r="N8" s="139"/>
      <c r="O8" s="48">
        <f>'The Table'!BL30</f>
        <v>1819481.6</v>
      </c>
      <c r="P8" s="43"/>
      <c r="Q8" s="114">
        <f>'The Table'!BN30</f>
        <v>1383726</v>
      </c>
      <c r="R8" s="43"/>
      <c r="S8" s="114" t="str">
        <f>Iktara!AB26</f>
        <v/>
      </c>
      <c r="T8" s="43"/>
      <c r="U8" s="114" t="str">
        <f t="shared" si="5"/>
        <v>#REF!</v>
      </c>
      <c r="V8" s="43"/>
      <c r="W8" s="114">
        <f>'Mg St Colaba'!BL32</f>
        <v>798388.38</v>
      </c>
      <c r="X8" s="43"/>
      <c r="Y8" s="114">
        <f>'Mg St Colaba'!BN32</f>
        <v>909256.4135</v>
      </c>
      <c r="Z8" s="43"/>
      <c r="AA8" s="114">
        <f>'Mg St LP'!BL31</f>
        <v>296989.91</v>
      </c>
      <c r="AB8" s="43"/>
      <c r="AC8" s="114">
        <f>'Mg St LP'!BN31</f>
        <v>528828.027</v>
      </c>
      <c r="AD8" s="43"/>
      <c r="AE8" s="114">
        <f>'Mg St Bandra'!BL32</f>
        <v>1000650.53</v>
      </c>
      <c r="AF8" s="43"/>
      <c r="AG8" s="114">
        <f>'Mg St Bandra'!BN32</f>
        <v>1238013.27</v>
      </c>
      <c r="AH8" s="43"/>
      <c r="AI8" s="114" t="str">
        <f>'MSK Events'!N27</f>
        <v/>
      </c>
      <c r="AJ8" s="43"/>
      <c r="AK8" s="114" t="str">
        <f t="shared" si="6"/>
        <v>#REF!</v>
      </c>
      <c r="AL8" s="43"/>
      <c r="AM8" s="114" t="str">
        <f>MSBC!BL28</f>
        <v/>
      </c>
      <c r="AN8" s="43"/>
      <c r="AO8" s="114" t="str">
        <f>MSBC!BN28</f>
        <v/>
      </c>
      <c r="AP8" s="43"/>
      <c r="AQ8" s="114">
        <f>Kaspers!AT30</f>
        <v>721688.25</v>
      </c>
      <c r="AR8" s="43"/>
      <c r="AS8" s="114" t="str">
        <f>Kaspers!AV30</f>
        <v/>
      </c>
      <c r="AT8" s="43"/>
      <c r="AU8" s="114"/>
      <c r="AV8" s="43"/>
      <c r="AW8" s="114"/>
      <c r="AX8" s="43"/>
      <c r="AY8" s="114"/>
      <c r="AZ8" s="43"/>
      <c r="BA8" s="114"/>
      <c r="BB8" s="43"/>
      <c r="BC8" s="114"/>
      <c r="BD8" s="43"/>
      <c r="BE8" s="114"/>
      <c r="BF8" s="43"/>
      <c r="BG8" s="114"/>
      <c r="BH8" s="43"/>
      <c r="BI8" s="114"/>
      <c r="BJ8" s="43"/>
    </row>
    <row r="9" ht="15.75" customHeight="1">
      <c r="A9" s="3"/>
      <c r="B9" s="312" t="s">
        <v>198</v>
      </c>
      <c r="C9" s="225">
        <f t="shared" si="1"/>
        <v>26400</v>
      </c>
      <c r="D9" s="139"/>
      <c r="E9" s="225">
        <f t="shared" si="2"/>
        <v>0</v>
      </c>
      <c r="F9" s="139"/>
      <c r="G9" s="114"/>
      <c r="H9" s="43"/>
      <c r="I9" s="114"/>
      <c r="J9" s="43"/>
      <c r="K9" s="40">
        <f t="shared" si="3"/>
        <v>26400</v>
      </c>
      <c r="L9" s="139"/>
      <c r="M9" s="40">
        <f t="shared" si="4"/>
        <v>0</v>
      </c>
      <c r="N9" s="139"/>
      <c r="O9" s="48">
        <f>'The Table'!BL22+'The Table'!BL23+'The Table'!BL24</f>
        <v>14400</v>
      </c>
      <c r="P9" s="43"/>
      <c r="Q9" s="114">
        <f>'The Table'!BN22+'The Table'!BN23+'The Table'!BN24</f>
        <v>0</v>
      </c>
      <c r="R9" s="43"/>
      <c r="S9" s="236">
        <v>0.0</v>
      </c>
      <c r="T9" s="43"/>
      <c r="U9" s="236">
        <v>0.0</v>
      </c>
      <c r="V9" s="43"/>
      <c r="W9" s="65">
        <f>'Mg St Colaba'!BL24+'Mg St Colaba'!BL25+'Mg St Colaba'!BL26</f>
        <v>12000</v>
      </c>
      <c r="X9" s="43"/>
      <c r="Y9" s="65">
        <f>'Mg St Colaba'!BN24+'Mg St Colaba'!BN25+'Mg St Colaba'!BN26</f>
        <v>0</v>
      </c>
      <c r="Z9" s="43"/>
      <c r="AA9" s="65">
        <f>'Mg St LP'!BL23+'Mg St LP'!BL24+'Mg St LP'!BL25</f>
        <v>0</v>
      </c>
      <c r="AB9" s="43"/>
      <c r="AC9" s="65">
        <f>'Mg St LP'!BN23+'Mg St LP'!BN24+'Mg St LP'!BN25</f>
        <v>0</v>
      </c>
      <c r="AD9" s="43"/>
      <c r="AE9" s="65">
        <f>'Mg St Bandra'!BL24+'Mg St Bandra'!BL25+'Mg St Bandra'!BL26</f>
        <v>0</v>
      </c>
      <c r="AF9" s="43"/>
      <c r="AG9" s="65">
        <f>'Mg St Bandra'!BN24+'Mg St Bandra'!BN25+'Mg St Bandra'!BN26</f>
        <v>0</v>
      </c>
      <c r="AH9" s="43"/>
      <c r="AI9" s="236">
        <v>0.0</v>
      </c>
      <c r="AJ9" s="43"/>
      <c r="AK9" s="236">
        <v>0.0</v>
      </c>
      <c r="AL9" s="43"/>
      <c r="AM9" s="236">
        <v>0.0</v>
      </c>
      <c r="AN9" s="316"/>
      <c r="AO9" s="236">
        <v>0.0</v>
      </c>
      <c r="AP9" s="43"/>
      <c r="AQ9" s="236">
        <v>0.0</v>
      </c>
      <c r="AR9" s="43"/>
      <c r="AS9" s="236">
        <v>0.0</v>
      </c>
      <c r="AT9" s="43"/>
      <c r="AU9" s="236">
        <v>0.0</v>
      </c>
      <c r="AV9" s="43"/>
      <c r="AW9" s="236">
        <v>0.0</v>
      </c>
      <c r="AX9" s="43"/>
      <c r="AY9" s="236">
        <v>0.0</v>
      </c>
      <c r="AZ9" s="43"/>
      <c r="BA9" s="236">
        <v>0.0</v>
      </c>
      <c r="BB9" s="43"/>
      <c r="BC9" s="236">
        <v>0.0</v>
      </c>
      <c r="BD9" s="43"/>
      <c r="BE9" s="236">
        <v>0.0</v>
      </c>
      <c r="BF9" s="43"/>
      <c r="BG9" s="236">
        <v>0.0</v>
      </c>
      <c r="BH9" s="43"/>
      <c r="BI9" s="236">
        <v>0.0</v>
      </c>
      <c r="BJ9" s="43"/>
    </row>
    <row r="10" ht="15.75" customHeight="1">
      <c r="A10" s="3"/>
      <c r="B10" s="312" t="s">
        <v>27</v>
      </c>
      <c r="C10" s="317">
        <f>SUM(C5:C9)</f>
        <v>75099918.8</v>
      </c>
      <c r="D10" s="318"/>
      <c r="E10" s="317" t="str">
        <f>SUM(E5:E9)</f>
        <v>#REF!</v>
      </c>
      <c r="F10" s="318"/>
      <c r="G10" s="317">
        <f>SUM(G5:G9)</f>
        <v>0</v>
      </c>
      <c r="H10" s="318"/>
      <c r="I10" s="317">
        <f>SUM(I5:I9)</f>
        <v>0</v>
      </c>
      <c r="J10" s="318"/>
      <c r="K10" s="317">
        <f>SUM(K5:K9)</f>
        <v>75099918.8</v>
      </c>
      <c r="L10" s="318"/>
      <c r="M10" s="317" t="str">
        <f>SUM(M5:M9)</f>
        <v>#REF!</v>
      </c>
      <c r="N10" s="318"/>
      <c r="O10" s="317">
        <f>SUM(O5:O9)</f>
        <v>21588425.6</v>
      </c>
      <c r="P10" s="318"/>
      <c r="Q10" s="317">
        <f>SUM(Q5:Q9)</f>
        <v>18403729</v>
      </c>
      <c r="R10" s="318"/>
      <c r="S10" s="317">
        <f>SUM(S5:S9)</f>
        <v>839649.5</v>
      </c>
      <c r="T10" s="318"/>
      <c r="U10" s="317" t="str">
        <f>SUM(U5:U9)</f>
        <v>#REF!</v>
      </c>
      <c r="V10" s="318"/>
      <c r="W10" s="317">
        <f>SUM(W5:W9)</f>
        <v>16922740.07</v>
      </c>
      <c r="X10" s="318"/>
      <c r="Y10" s="317">
        <f>SUM(Y5:Y9)</f>
        <v>13608368.33</v>
      </c>
      <c r="Z10" s="318"/>
      <c r="AA10" s="317">
        <f>SUM(AA5:AA9)</f>
        <v>8515059.37</v>
      </c>
      <c r="AB10" s="318"/>
      <c r="AC10" s="317">
        <f>SUM(AC5:AC9)</f>
        <v>9416694.027</v>
      </c>
      <c r="AD10" s="318"/>
      <c r="AE10" s="317">
        <f>SUM(AE5:AE9)</f>
        <v>16440855.25</v>
      </c>
      <c r="AF10" s="318"/>
      <c r="AG10" s="317">
        <f>SUM(AG5:AG9)</f>
        <v>14993716.27</v>
      </c>
      <c r="AH10" s="318"/>
      <c r="AI10" s="317">
        <f>SUM(AI5:AI9)</f>
        <v>18314</v>
      </c>
      <c r="AJ10" s="318"/>
      <c r="AK10" s="317" t="str">
        <f>SUM(AK5:AK9)</f>
        <v>#REF!</v>
      </c>
      <c r="AL10" s="318"/>
      <c r="AM10" s="317">
        <f>SUM(AM5:AM9)</f>
        <v>1462260.95</v>
      </c>
      <c r="AN10" s="318"/>
      <c r="AO10" s="317">
        <f>SUM(AO5:AO9)</f>
        <v>71300</v>
      </c>
      <c r="AP10" s="318"/>
      <c r="AQ10" s="317">
        <f>SUM(AQ5:AQ9)</f>
        <v>8024870.75</v>
      </c>
      <c r="AR10" s="318"/>
      <c r="AS10" s="317">
        <f>SUM(AS5:AS9)</f>
        <v>5000000</v>
      </c>
      <c r="AT10" s="318"/>
      <c r="AU10" s="317">
        <f>SUM(AU5:AU9)</f>
        <v>316457.82</v>
      </c>
      <c r="AV10" s="318"/>
      <c r="AW10" s="317" t="str">
        <f>SUM(AW5:AW9)</f>
        <v>#REF!</v>
      </c>
      <c r="AX10" s="318"/>
      <c r="AY10" s="317">
        <f>SUM(AY5:AY9)</f>
        <v>124928.89</v>
      </c>
      <c r="AZ10" s="318"/>
      <c r="BA10" s="317" t="str">
        <f>SUM(BA5:BA9)</f>
        <v>#REF!</v>
      </c>
      <c r="BB10" s="318"/>
      <c r="BC10" s="317">
        <f>SUM(BC5:BC9)</f>
        <v>162711.6</v>
      </c>
      <c r="BD10" s="318"/>
      <c r="BE10" s="317" t="str">
        <f>SUM(BE5:BE9)</f>
        <v>#REF!</v>
      </c>
      <c r="BF10" s="318"/>
      <c r="BG10" s="317">
        <f>SUM(BG5:BG9)</f>
        <v>683645</v>
      </c>
      <c r="BH10" s="318"/>
      <c r="BI10" s="317" t="str">
        <f>SUM(BI5:BI9)</f>
        <v>#REF!</v>
      </c>
      <c r="BJ10" s="318"/>
    </row>
    <row r="11" ht="15.75" customHeight="1">
      <c r="A11" s="3"/>
      <c r="B11" s="312"/>
      <c r="C11" s="225"/>
      <c r="D11" s="139"/>
      <c r="E11" s="225"/>
      <c r="F11" s="139"/>
      <c r="G11" s="114"/>
      <c r="H11" s="43"/>
      <c r="I11" s="114"/>
      <c r="J11" s="43"/>
      <c r="K11" s="139"/>
      <c r="L11" s="139"/>
      <c r="M11" s="139"/>
      <c r="N11" s="139"/>
      <c r="O11" s="43"/>
      <c r="P11" s="43"/>
      <c r="Q11" s="43"/>
      <c r="R11" s="43"/>
      <c r="S11" s="114"/>
      <c r="T11" s="43"/>
      <c r="U11" s="114"/>
      <c r="V11" s="43"/>
      <c r="W11" s="114"/>
      <c r="X11" s="43"/>
      <c r="Y11" s="114"/>
      <c r="Z11" s="43"/>
      <c r="AA11" s="114"/>
      <c r="AB11" s="43"/>
      <c r="AC11" s="114"/>
      <c r="AD11" s="43"/>
      <c r="AE11" s="114"/>
      <c r="AF11" s="43"/>
      <c r="AG11" s="114"/>
      <c r="AH11" s="43"/>
      <c r="AI11" s="114"/>
      <c r="AJ11" s="43"/>
      <c r="AK11" s="114"/>
      <c r="AL11" s="43"/>
      <c r="AM11" s="114"/>
      <c r="AN11" s="43"/>
      <c r="AO11" s="114"/>
      <c r="AP11" s="43"/>
      <c r="AQ11" s="114"/>
      <c r="AR11" s="43"/>
      <c r="AS11" s="114"/>
      <c r="AT11" s="43"/>
      <c r="AU11" s="114"/>
      <c r="AV11" s="43"/>
      <c r="AW11" s="114"/>
      <c r="AX11" s="43"/>
      <c r="AY11" s="114"/>
      <c r="AZ11" s="43"/>
      <c r="BA11" s="114"/>
      <c r="BB11" s="43"/>
      <c r="BC11" s="114"/>
      <c r="BD11" s="43"/>
      <c r="BE11" s="114"/>
      <c r="BF11" s="43"/>
      <c r="BG11" s="114"/>
      <c r="BH11" s="43"/>
      <c r="BI11" s="114"/>
      <c r="BJ11" s="43"/>
    </row>
    <row r="12" ht="15.75" customHeight="1">
      <c r="A12" s="3"/>
      <c r="B12" s="312" t="s">
        <v>29</v>
      </c>
      <c r="C12" s="225">
        <f t="shared" ref="C12:C13" si="7">G12+K12</f>
        <v>23474916.81</v>
      </c>
      <c r="D12" s="139"/>
      <c r="E12" s="225" t="str">
        <f t="shared" ref="E12:E13" si="8">I12+M12</f>
        <v>#REF!</v>
      </c>
      <c r="F12" s="139"/>
      <c r="G12" s="114">
        <f>HO!BL32</f>
        <v>0</v>
      </c>
      <c r="H12" s="43"/>
      <c r="I12" s="114">
        <f>HO!BN32</f>
        <v>0</v>
      </c>
      <c r="J12" s="43"/>
      <c r="K12" s="40">
        <f t="shared" ref="K12:K13" si="9">O12+S12+W12+AA12+AE12+AI12+AM12+AQ12+AU12+AY12+BC12+BG12</f>
        <v>23474916.81</v>
      </c>
      <c r="L12" s="139"/>
      <c r="M12" s="40" t="str">
        <f t="shared" ref="M12:M13" si="10">Q12+U12+Y12+AC12+AG12+AK12+AO12+AS12+AW12+BA12+BE12+BI12</f>
        <v>#REF!</v>
      </c>
      <c r="N12" s="139"/>
      <c r="O12" s="48">
        <f>'The Table'!BL41</f>
        <v>6871383.541</v>
      </c>
      <c r="P12" s="43"/>
      <c r="Q12" s="48">
        <f>'The Table'!BN41</f>
        <v>7062875.762</v>
      </c>
      <c r="R12" s="43"/>
      <c r="S12" s="114">
        <f>Iktara!AB38</f>
        <v>311061.6182</v>
      </c>
      <c r="T12" s="43"/>
      <c r="U12" s="114" t="str">
        <f t="shared" ref="U12:U13" si="11">#REF!</f>
        <v>#REF!</v>
      </c>
      <c r="V12" s="43"/>
      <c r="W12" s="114">
        <f>'Mg St Colaba'!BL51</f>
        <v>4568792.349</v>
      </c>
      <c r="X12" s="43"/>
      <c r="Y12" s="114">
        <f>'Mg St Colaba'!BN51</f>
        <v>3752241.221</v>
      </c>
      <c r="Z12" s="43"/>
      <c r="AA12" s="114">
        <f>'Mg St LP'!BL52</f>
        <v>2472153.194</v>
      </c>
      <c r="AB12" s="43"/>
      <c r="AC12" s="114">
        <f>'Mg St LP'!BN52</f>
        <v>2267781.187</v>
      </c>
      <c r="AD12" s="43"/>
      <c r="AE12" s="114">
        <f>'Mg St Bandra'!BL51</f>
        <v>4573980.036</v>
      </c>
      <c r="AF12" s="43"/>
      <c r="AG12" s="114">
        <f>'Mg St Bandra'!BN51</f>
        <v>4392174.321</v>
      </c>
      <c r="AH12" s="43"/>
      <c r="AI12" s="114">
        <f>'MSK Events'!N46</f>
        <v>0</v>
      </c>
      <c r="AJ12" s="43"/>
      <c r="AK12" s="114" t="str">
        <f t="shared" ref="AK12:AK13" si="12">#REF!</f>
        <v>#REF!</v>
      </c>
      <c r="AL12" s="43"/>
      <c r="AM12" s="114">
        <f>MSBC!BL47</f>
        <v>701882.5118</v>
      </c>
      <c r="AN12" s="43"/>
      <c r="AO12" s="114">
        <f>MSBC!BN49</f>
        <v>0</v>
      </c>
      <c r="AP12" s="43"/>
      <c r="AQ12" s="114">
        <f>Kaspers!AT49</f>
        <v>3186997.294</v>
      </c>
      <c r="AR12" s="43"/>
      <c r="AS12" s="114">
        <f>Kaspers!AV49</f>
        <v>2143500</v>
      </c>
      <c r="AT12" s="43"/>
      <c r="AU12" s="114">
        <f>'MSBC Andheri'!N47</f>
        <v>219060.7763</v>
      </c>
      <c r="AV12" s="43"/>
      <c r="AW12" s="114"/>
      <c r="AX12" s="43"/>
      <c r="AY12" s="189">
        <f>'MSBC Dahisar'!N45</f>
        <v>188997.3844</v>
      </c>
      <c r="AZ12" s="43"/>
      <c r="BA12" s="114"/>
      <c r="BB12" s="43"/>
      <c r="BC12" s="189">
        <f>'MSBC Juhu  Goregoan'!N36</f>
        <v>200500.8736</v>
      </c>
      <c r="BD12" s="43"/>
      <c r="BE12" s="114"/>
      <c r="BF12" s="43"/>
      <c r="BG12" s="114">
        <f>'LOUD MOUTH'!N47</f>
        <v>180107.23</v>
      </c>
      <c r="BH12" s="43"/>
      <c r="BI12" s="114"/>
      <c r="BJ12" s="43"/>
    </row>
    <row r="13" ht="15.75" customHeight="1">
      <c r="A13" s="3"/>
      <c r="B13" s="312" t="s">
        <v>30</v>
      </c>
      <c r="C13" s="225">
        <f t="shared" si="7"/>
        <v>1118794.2</v>
      </c>
      <c r="D13" s="139"/>
      <c r="E13" s="225" t="str">
        <f t="shared" si="8"/>
        <v>#REF!</v>
      </c>
      <c r="F13" s="139"/>
      <c r="G13" s="114" t="str">
        <f>HO!BL33</f>
        <v/>
      </c>
      <c r="H13" s="43"/>
      <c r="I13" s="114" t="str">
        <f>HO!BN33</f>
        <v/>
      </c>
      <c r="J13" s="43"/>
      <c r="K13" s="40">
        <f t="shared" si="9"/>
        <v>1118794.2</v>
      </c>
      <c r="L13" s="139"/>
      <c r="M13" s="40" t="str">
        <f t="shared" si="10"/>
        <v>#REF!</v>
      </c>
      <c r="N13" s="139"/>
      <c r="O13" s="48">
        <f>'The Table'!BL42</f>
        <v>40168.5</v>
      </c>
      <c r="P13" s="43"/>
      <c r="Q13" s="48">
        <f>'The Table'!BN42</f>
        <v>52762.0093</v>
      </c>
      <c r="R13" s="43"/>
      <c r="S13" s="114">
        <f>Iktara!AB39</f>
        <v>22402.5</v>
      </c>
      <c r="T13" s="43"/>
      <c r="U13" s="114" t="str">
        <f t="shared" si="11"/>
        <v>#REF!</v>
      </c>
      <c r="V13" s="43"/>
      <c r="W13" s="114">
        <f>'Mg St Colaba'!BL52</f>
        <v>228679.5</v>
      </c>
      <c r="X13" s="43"/>
      <c r="Y13" s="114">
        <f>'Mg St Colaba'!BN52</f>
        <v>119753.6413</v>
      </c>
      <c r="Z13" s="43"/>
      <c r="AA13" s="114">
        <f>'Mg St LP'!BL53</f>
        <v>182387.5</v>
      </c>
      <c r="AB13" s="43"/>
      <c r="AC13" s="114">
        <f>'Mg St LP'!BN53</f>
        <v>90656.2332</v>
      </c>
      <c r="AD13" s="43"/>
      <c r="AE13" s="114">
        <f>'Mg St Bandra'!BL52</f>
        <v>211266.5</v>
      </c>
      <c r="AF13" s="43"/>
      <c r="AG13" s="114">
        <f>'Mg St Bandra'!BN52</f>
        <v>82465.43949</v>
      </c>
      <c r="AH13" s="43"/>
      <c r="AI13" s="114" t="str">
        <f>'MSK Events'!N47</f>
        <v/>
      </c>
      <c r="AJ13" s="316" t="s">
        <v>199</v>
      </c>
      <c r="AK13" s="114" t="str">
        <f t="shared" si="12"/>
        <v>#REF!</v>
      </c>
      <c r="AL13" s="43"/>
      <c r="AM13" s="236">
        <f>MSBC!BL48</f>
        <v>83333</v>
      </c>
      <c r="AN13" s="43"/>
      <c r="AO13" s="114" t="str">
        <f>MSBC!BN48</f>
        <v/>
      </c>
      <c r="AP13" s="43"/>
      <c r="AQ13" s="114">
        <f>Kaspers!AT50</f>
        <v>193872.7</v>
      </c>
      <c r="AR13" s="43"/>
      <c r="AS13" s="114">
        <f>Kaspers!AV50</f>
        <v>15500</v>
      </c>
      <c r="AT13" s="43"/>
      <c r="AU13" s="114">
        <f>'MSBC Andheri'!N48</f>
        <v>12208</v>
      </c>
      <c r="AV13" s="43"/>
      <c r="AW13" s="114"/>
      <c r="AX13" s="43"/>
      <c r="AY13" s="189">
        <f>'MSBC Dahisar'!N46</f>
        <v>9497</v>
      </c>
      <c r="AZ13" s="43"/>
      <c r="BA13" s="114"/>
      <c r="BB13" s="43"/>
      <c r="BC13" s="189">
        <f>'MSBC Juhu  Goregoan'!N37</f>
        <v>11523</v>
      </c>
      <c r="BD13" s="43"/>
      <c r="BE13" s="114"/>
      <c r="BF13" s="43"/>
      <c r="BG13" s="114">
        <f>'LOUD MOUTH'!N48</f>
        <v>123456</v>
      </c>
      <c r="BH13" s="43"/>
      <c r="BI13" s="114"/>
      <c r="BJ13" s="43"/>
    </row>
    <row r="14" ht="15.75" customHeight="1">
      <c r="A14" s="3"/>
      <c r="B14" s="312" t="s">
        <v>31</v>
      </c>
      <c r="C14" s="319">
        <f>C12+C13</f>
        <v>24593711.01</v>
      </c>
      <c r="D14" s="312"/>
      <c r="E14" s="319" t="str">
        <f>E12+E13</f>
        <v>#REF!</v>
      </c>
      <c r="F14" s="312"/>
      <c r="G14" s="320">
        <f>G12+G13</f>
        <v>0</v>
      </c>
      <c r="H14" s="321"/>
      <c r="I14" s="320">
        <f>I12+I13</f>
        <v>0</v>
      </c>
      <c r="J14" s="321"/>
      <c r="K14" s="322">
        <f>SUM(K12:K13)</f>
        <v>24593711.01</v>
      </c>
      <c r="L14" s="312"/>
      <c r="M14" s="322" t="str">
        <f>SUM(M12:M13)</f>
        <v>#REF!</v>
      </c>
      <c r="N14" s="312"/>
      <c r="O14" s="323">
        <f>O12+O13</f>
        <v>6911552.041</v>
      </c>
      <c r="P14" s="321"/>
      <c r="Q14" s="323">
        <f>Q12+Q13</f>
        <v>7115637.771</v>
      </c>
      <c r="R14" s="321"/>
      <c r="S14" s="320">
        <f>S12+S13</f>
        <v>333464.1182</v>
      </c>
      <c r="T14" s="321"/>
      <c r="U14" s="320" t="str">
        <f>U12+U13</f>
        <v>#REF!</v>
      </c>
      <c r="V14" s="321"/>
      <c r="W14" s="320">
        <f>W12+W13</f>
        <v>4797471.849</v>
      </c>
      <c r="X14" s="321"/>
      <c r="Y14" s="320">
        <f>Y12+Y13</f>
        <v>3871994.862</v>
      </c>
      <c r="Z14" s="321"/>
      <c r="AA14" s="320">
        <f>AA12+AA13</f>
        <v>2654540.694</v>
      </c>
      <c r="AB14" s="321"/>
      <c r="AC14" s="320">
        <f>AC12+AC13</f>
        <v>2358437.42</v>
      </c>
      <c r="AD14" s="321"/>
      <c r="AE14" s="320">
        <f>SUM(AE12:AE13)</f>
        <v>4785246.536</v>
      </c>
      <c r="AF14" s="321"/>
      <c r="AG14" s="320">
        <f>SUM(AG12:AG13)</f>
        <v>4474639.76</v>
      </c>
      <c r="AH14" s="321"/>
      <c r="AI14" s="320">
        <f>SUM(AI12:AI13)</f>
        <v>0</v>
      </c>
      <c r="AJ14" s="321"/>
      <c r="AK14" s="320" t="str">
        <f>SUM(AK12:AK13)</f>
        <v>#REF!</v>
      </c>
      <c r="AL14" s="321"/>
      <c r="AM14" s="320">
        <f>SUM(AM12:AM13)</f>
        <v>785215.5118</v>
      </c>
      <c r="AN14" s="321"/>
      <c r="AO14" s="320">
        <f>SUM(AO12:AO13)</f>
        <v>0</v>
      </c>
      <c r="AP14" s="321"/>
      <c r="AQ14" s="320">
        <f>SUM(AQ12:AQ13)</f>
        <v>3380869.994</v>
      </c>
      <c r="AR14" s="321"/>
      <c r="AS14" s="320">
        <f>SUM(AS12:AS13)</f>
        <v>2159000</v>
      </c>
      <c r="AT14" s="321"/>
      <c r="AU14" s="320">
        <f>SUM(AU12:AU13)</f>
        <v>231268.7763</v>
      </c>
      <c r="AV14" s="321"/>
      <c r="AW14" s="320">
        <f>SUM(AW12:AW13)</f>
        <v>0</v>
      </c>
      <c r="AX14" s="321"/>
      <c r="AY14" s="320">
        <f>AY12+AY13</f>
        <v>198494.3844</v>
      </c>
      <c r="AZ14" s="321"/>
      <c r="BA14" s="320"/>
      <c r="BB14" s="321"/>
      <c r="BC14" s="320">
        <f>SUM(BC12:BC13)</f>
        <v>212023.8736</v>
      </c>
      <c r="BD14" s="321"/>
      <c r="BE14" s="320"/>
      <c r="BF14" s="321"/>
      <c r="BG14" s="320">
        <f>SUM(BG12:BG13)</f>
        <v>303563.23</v>
      </c>
      <c r="BH14" s="321"/>
      <c r="BI14" s="320"/>
      <c r="BJ14" s="321"/>
    </row>
    <row r="15" ht="15.75" customHeight="1">
      <c r="A15" s="3"/>
      <c r="B15" s="312"/>
      <c r="C15" s="225"/>
      <c r="D15" s="139"/>
      <c r="E15" s="225"/>
      <c r="F15" s="139"/>
      <c r="G15" s="114"/>
      <c r="H15" s="43"/>
      <c r="I15" s="114"/>
      <c r="J15" s="43"/>
      <c r="K15" s="139"/>
      <c r="L15" s="139"/>
      <c r="M15" s="139"/>
      <c r="N15" s="139"/>
      <c r="O15" s="43"/>
      <c r="P15" s="43"/>
      <c r="Q15" s="43"/>
      <c r="R15" s="43"/>
      <c r="S15" s="114"/>
      <c r="T15" s="43"/>
      <c r="U15" s="114"/>
      <c r="V15" s="43"/>
      <c r="W15" s="114"/>
      <c r="X15" s="43"/>
      <c r="Y15" s="114"/>
      <c r="Z15" s="43"/>
      <c r="AA15" s="114"/>
      <c r="AB15" s="43"/>
      <c r="AC15" s="114"/>
      <c r="AD15" s="43"/>
      <c r="AE15" s="114"/>
      <c r="AF15" s="43"/>
      <c r="AG15" s="114"/>
      <c r="AH15" s="43"/>
      <c r="AI15" s="114"/>
      <c r="AJ15" s="43"/>
      <c r="AK15" s="114"/>
      <c r="AL15" s="43"/>
      <c r="AM15" s="114"/>
      <c r="AN15" s="43"/>
      <c r="AO15" s="114"/>
      <c r="AP15" s="43"/>
      <c r="AQ15" s="114"/>
      <c r="AR15" s="43"/>
      <c r="AS15" s="114"/>
      <c r="AT15" s="43"/>
      <c r="AU15" s="114"/>
      <c r="AV15" s="43"/>
      <c r="AW15" s="114"/>
      <c r="AX15" s="43"/>
      <c r="AY15" s="114"/>
      <c r="AZ15" s="43"/>
      <c r="BA15" s="114"/>
      <c r="BB15" s="43"/>
      <c r="BC15" s="114"/>
      <c r="BD15" s="43"/>
      <c r="BE15" s="114"/>
      <c r="BF15" s="43"/>
      <c r="BG15" s="114"/>
      <c r="BH15" s="43"/>
      <c r="BI15" s="114"/>
      <c r="BJ15" s="43"/>
    </row>
    <row r="16" ht="15.75" customHeight="1">
      <c r="A16" s="3"/>
      <c r="B16" s="312" t="s">
        <v>33</v>
      </c>
      <c r="C16" s="319">
        <f>C10-C14</f>
        <v>50506207.79</v>
      </c>
      <c r="D16" s="312"/>
      <c r="E16" s="319" t="str">
        <f>E10-E14</f>
        <v>#REF!</v>
      </c>
      <c r="F16" s="312"/>
      <c r="G16" s="320">
        <f>G10-G14</f>
        <v>0</v>
      </c>
      <c r="H16" s="321"/>
      <c r="I16" s="320">
        <f>I10-I14</f>
        <v>0</v>
      </c>
      <c r="J16" s="321"/>
      <c r="K16" s="322">
        <f>+K10-K14</f>
        <v>50506207.79</v>
      </c>
      <c r="L16" s="312"/>
      <c r="M16" s="322" t="str">
        <f>+M10-M14</f>
        <v>#REF!</v>
      </c>
      <c r="N16" s="312"/>
      <c r="O16" s="323">
        <f>O10-O14</f>
        <v>14676873.56</v>
      </c>
      <c r="P16" s="321"/>
      <c r="Q16" s="323">
        <f>Q10-Q14</f>
        <v>11288091.23</v>
      </c>
      <c r="R16" s="321"/>
      <c r="S16" s="320">
        <f>S10-S14</f>
        <v>506185.3818</v>
      </c>
      <c r="T16" s="321"/>
      <c r="U16" s="320" t="str">
        <f>U10-U14</f>
        <v>#REF!</v>
      </c>
      <c r="V16" s="321"/>
      <c r="W16" s="320">
        <f>W10-W14</f>
        <v>12125268.22</v>
      </c>
      <c r="X16" s="321"/>
      <c r="Y16" s="320">
        <f>Y10-Y14</f>
        <v>9736373.471</v>
      </c>
      <c r="Z16" s="321"/>
      <c r="AA16" s="320">
        <f>AA10-AA14</f>
        <v>5860518.676</v>
      </c>
      <c r="AB16" s="321"/>
      <c r="AC16" s="320">
        <f>AC10-AC14</f>
        <v>7058256.607</v>
      </c>
      <c r="AD16" s="321"/>
      <c r="AE16" s="320">
        <f>AE10-AE14</f>
        <v>11655608.71</v>
      </c>
      <c r="AF16" s="321"/>
      <c r="AG16" s="320">
        <f>AG10-AG14</f>
        <v>10519076.51</v>
      </c>
      <c r="AH16" s="321"/>
      <c r="AI16" s="320">
        <f>AI10-AI14</f>
        <v>18314</v>
      </c>
      <c r="AJ16" s="321"/>
      <c r="AK16" s="320" t="str">
        <f>AK10-AK14</f>
        <v>#REF!</v>
      </c>
      <c r="AL16" s="321"/>
      <c r="AM16" s="320">
        <f>AM10-AM14</f>
        <v>677045.4382</v>
      </c>
      <c r="AN16" s="321"/>
      <c r="AO16" s="320">
        <f>AO10-AO14</f>
        <v>71300</v>
      </c>
      <c r="AP16" s="321"/>
      <c r="AQ16" s="320">
        <f>AQ10-AQ14</f>
        <v>4644000.756</v>
      </c>
      <c r="AR16" s="321"/>
      <c r="AS16" s="320">
        <f>AS10-AS14</f>
        <v>2841000</v>
      </c>
      <c r="AT16" s="321"/>
      <c r="AU16" s="320">
        <f>AU10-AU14</f>
        <v>85189.04375</v>
      </c>
      <c r="AV16" s="321"/>
      <c r="AW16" s="320" t="str">
        <f>AW10-AW14</f>
        <v>#REF!</v>
      </c>
      <c r="AX16" s="321"/>
      <c r="AY16" s="320">
        <f>AY10-AY14</f>
        <v>-73565.4944</v>
      </c>
      <c r="AZ16" s="321"/>
      <c r="BA16" s="320" t="str">
        <f>BA10-BA14</f>
        <v>#REF!</v>
      </c>
      <c r="BB16" s="321"/>
      <c r="BC16" s="320">
        <f>BC10-BC14</f>
        <v>-49312.27361</v>
      </c>
      <c r="BD16" s="321"/>
      <c r="BE16" s="320" t="str">
        <f>BE10-BE14</f>
        <v>#REF!</v>
      </c>
      <c r="BF16" s="321"/>
      <c r="BG16" s="320">
        <f>BG10-BG14</f>
        <v>380081.77</v>
      </c>
      <c r="BH16" s="321"/>
      <c r="BI16" s="320" t="str">
        <f>BI10-BI14</f>
        <v>#REF!</v>
      </c>
      <c r="BJ16" s="321"/>
    </row>
    <row r="17" ht="15.75" customHeight="1">
      <c r="A17" s="3"/>
      <c r="B17" s="312"/>
      <c r="C17" s="225"/>
      <c r="D17" s="139"/>
      <c r="E17" s="225"/>
      <c r="F17" s="139"/>
      <c r="G17" s="114"/>
      <c r="H17" s="43"/>
      <c r="I17" s="114"/>
      <c r="J17" s="43"/>
      <c r="K17" s="139"/>
      <c r="L17" s="139"/>
      <c r="M17" s="139"/>
      <c r="N17" s="139"/>
      <c r="O17" s="43"/>
      <c r="P17" s="43"/>
      <c r="Q17" s="43"/>
      <c r="R17" s="43"/>
      <c r="S17" s="114"/>
      <c r="T17" s="43"/>
      <c r="U17" s="114"/>
      <c r="V17" s="43"/>
      <c r="W17" s="114"/>
      <c r="X17" s="43"/>
      <c r="Y17" s="114"/>
      <c r="Z17" s="43"/>
      <c r="AA17" s="114"/>
      <c r="AB17" s="43"/>
      <c r="AC17" s="114"/>
      <c r="AD17" s="43"/>
      <c r="AE17" s="114"/>
      <c r="AF17" s="43"/>
      <c r="AG17" s="114"/>
      <c r="AH17" s="43"/>
      <c r="AI17" s="114"/>
      <c r="AJ17" s="43"/>
      <c r="AK17" s="114"/>
      <c r="AL17" s="43"/>
      <c r="AM17" s="114"/>
      <c r="AN17" s="43"/>
      <c r="AO17" s="114"/>
      <c r="AP17" s="43"/>
      <c r="AQ17" s="114"/>
      <c r="AR17" s="43"/>
      <c r="AS17" s="114"/>
      <c r="AT17" s="43"/>
      <c r="AU17" s="114"/>
      <c r="AV17" s="43"/>
      <c r="AW17" s="114"/>
      <c r="AX17" s="43"/>
      <c r="AY17" s="114"/>
      <c r="AZ17" s="43"/>
      <c r="BA17" s="114"/>
      <c r="BB17" s="43"/>
      <c r="BC17" s="114"/>
      <c r="BD17" s="43"/>
      <c r="BE17" s="114"/>
      <c r="BF17" s="43"/>
      <c r="BG17" s="114"/>
      <c r="BH17" s="43"/>
      <c r="BI17" s="114"/>
      <c r="BJ17" s="43"/>
    </row>
    <row r="18" ht="15.75" customHeight="1">
      <c r="A18" s="3"/>
      <c r="B18" s="312" t="s">
        <v>34</v>
      </c>
      <c r="C18" s="225">
        <f t="shared" ref="C18:C27" si="13">G18+K18</f>
        <v>1346569.2</v>
      </c>
      <c r="D18" s="139"/>
      <c r="E18" s="225" t="str">
        <f t="shared" ref="E18:E28" si="14">I18+M18</f>
        <v>#REF!</v>
      </c>
      <c r="F18" s="139"/>
      <c r="G18" s="114">
        <f>HO!BL44</f>
        <v>42920.5</v>
      </c>
      <c r="H18" s="43"/>
      <c r="I18" s="114">
        <f>HO!BN44</f>
        <v>0</v>
      </c>
      <c r="J18" s="43"/>
      <c r="K18" s="40">
        <f t="shared" ref="K18:K27" si="15">O18+S18+W18+AA18+AE18+AI18+AM18+AQ18+AU18+AY18+BC18+BG18</f>
        <v>1303648.7</v>
      </c>
      <c r="L18" s="139"/>
      <c r="M18" s="40" t="str">
        <f t="shared" ref="M18:M27" si="16">Q18+U18+Y18+AC18+AG18+AK18+AO18+AS18+AW18+BA18+BE18+BI18</f>
        <v>#REF!</v>
      </c>
      <c r="N18" s="139"/>
      <c r="O18" s="114">
        <f>'The Table'!BL53</f>
        <v>366132.16</v>
      </c>
      <c r="P18" s="114"/>
      <c r="Q18" s="114">
        <f>'The Table'!BN53</f>
        <v>394459.664</v>
      </c>
      <c r="R18" s="43"/>
      <c r="S18" s="114">
        <f>Iktara!AB50</f>
        <v>21782</v>
      </c>
      <c r="T18" s="43"/>
      <c r="U18" s="114" t="str">
        <f t="shared" ref="U18:U27" si="17">#REF!</f>
        <v>#REF!</v>
      </c>
      <c r="V18" s="43"/>
      <c r="W18" s="114">
        <f>'Mg St Colaba'!BL77</f>
        <v>437694.7</v>
      </c>
      <c r="X18" s="43"/>
      <c r="Y18" s="114">
        <f>'Mg St Colaba'!BN77</f>
        <v>314353.3085</v>
      </c>
      <c r="Z18" s="43"/>
      <c r="AA18" s="114">
        <f>'Mg St LP'!BL78</f>
        <v>188018.7</v>
      </c>
      <c r="AB18" s="43"/>
      <c r="AC18" s="114">
        <f>'Mg St LP'!BN78</f>
        <v>221292.3096</v>
      </c>
      <c r="AD18" s="43"/>
      <c r="AE18" s="114">
        <f>'Mg St Bandra'!BL75</f>
        <v>143871</v>
      </c>
      <c r="AF18" s="43"/>
      <c r="AG18" s="114">
        <f>'Mg St Bandra'!BN75</f>
        <v>316367.4133</v>
      </c>
      <c r="AH18" s="43"/>
      <c r="AI18" s="114">
        <f>'MSK Events'!N72</f>
        <v>0</v>
      </c>
      <c r="AJ18" s="43"/>
      <c r="AK18" s="114" t="str">
        <f t="shared" ref="AK18:AK27" si="18">#REF!</f>
        <v>#REF!</v>
      </c>
      <c r="AL18" s="43"/>
      <c r="AM18" s="114">
        <f>MSBC!BL73</f>
        <v>69457</v>
      </c>
      <c r="AN18" s="43"/>
      <c r="AO18" s="114">
        <f>MSBC!BN73</f>
        <v>0</v>
      </c>
      <c r="AP18" s="43"/>
      <c r="AQ18" s="114">
        <f>Kaspers!AT64</f>
        <v>76693.14</v>
      </c>
      <c r="AR18" s="43"/>
      <c r="AS18" s="114">
        <f>Kaspers!AV64</f>
        <v>80000</v>
      </c>
      <c r="AT18" s="43"/>
      <c r="AU18" s="114"/>
      <c r="AV18" s="43"/>
      <c r="AW18" s="114"/>
      <c r="AX18" s="43"/>
      <c r="AY18" s="114"/>
      <c r="AZ18" s="43"/>
      <c r="BA18" s="114"/>
      <c r="BB18" s="43"/>
      <c r="BC18" s="114" t="str">
        <f>'MSBC Juhu  Goregoan'!N55</f>
        <v/>
      </c>
      <c r="BD18" s="43"/>
      <c r="BE18" s="114"/>
      <c r="BF18" s="43"/>
      <c r="BG18" s="114"/>
      <c r="BH18" s="43"/>
      <c r="BI18" s="114"/>
      <c r="BJ18" s="43"/>
    </row>
    <row r="19" ht="15.75" customHeight="1">
      <c r="A19" s="3"/>
      <c r="B19" s="312" t="s">
        <v>35</v>
      </c>
      <c r="C19" s="225">
        <f t="shared" si="13"/>
        <v>1336017.72</v>
      </c>
      <c r="D19" s="139"/>
      <c r="E19" s="225" t="str">
        <f t="shared" si="14"/>
        <v>#REF!</v>
      </c>
      <c r="F19" s="139"/>
      <c r="G19" s="114">
        <f>HO!BL53</f>
        <v>44485</v>
      </c>
      <c r="H19" s="43"/>
      <c r="I19" s="114">
        <f>HO!BN53</f>
        <v>12874</v>
      </c>
      <c r="J19" s="43"/>
      <c r="K19" s="40">
        <f t="shared" si="15"/>
        <v>1291532.72</v>
      </c>
      <c r="L19" s="139"/>
      <c r="M19" s="40" t="str">
        <f t="shared" si="16"/>
        <v>#REF!</v>
      </c>
      <c r="N19" s="139"/>
      <c r="O19" s="114">
        <f>'The Table'!BL62</f>
        <v>6195</v>
      </c>
      <c r="P19" s="114"/>
      <c r="Q19" s="114">
        <f>'The Table'!BN62</f>
        <v>108333</v>
      </c>
      <c r="R19" s="43"/>
      <c r="S19" s="114">
        <f>Iktara!AB62</f>
        <v>118746</v>
      </c>
      <c r="T19" s="43"/>
      <c r="U19" s="114" t="str">
        <f t="shared" si="17"/>
        <v>#REF!</v>
      </c>
      <c r="V19" s="43"/>
      <c r="W19" s="114">
        <f>'Mg St Colaba'!BL89</f>
        <v>179120.4762</v>
      </c>
      <c r="X19" s="43"/>
      <c r="Y19" s="114">
        <f>'Mg St Colaba'!BN89</f>
        <v>155481</v>
      </c>
      <c r="Z19" s="43"/>
      <c r="AA19" s="114">
        <f>'Mg St LP'!BL89</f>
        <v>208162.4762</v>
      </c>
      <c r="AB19" s="43"/>
      <c r="AC19" s="114">
        <f>'Mg St LP'!BN89</f>
        <v>294058</v>
      </c>
      <c r="AD19" s="43"/>
      <c r="AE19" s="114">
        <f>'Mg St Bandra'!BL87</f>
        <v>230325.4762</v>
      </c>
      <c r="AF19" s="43"/>
      <c r="AG19" s="114">
        <f>'Mg St Bandra'!BN87</f>
        <v>193471</v>
      </c>
      <c r="AH19" s="43"/>
      <c r="AI19" s="114">
        <f>'MSK Events'!N84</f>
        <v>41300</v>
      </c>
      <c r="AJ19" s="43"/>
      <c r="AK19" s="114" t="str">
        <f t="shared" si="18"/>
        <v>#REF!</v>
      </c>
      <c r="AL19" s="43"/>
      <c r="AM19" s="114">
        <f>MSBC!BL75</f>
        <v>50936.14286</v>
      </c>
      <c r="AN19" s="43"/>
      <c r="AO19" s="114">
        <f>MSBC!BN75</f>
        <v>116073</v>
      </c>
      <c r="AP19" s="43"/>
      <c r="AQ19" s="114">
        <f>Kaspers!AT76</f>
        <v>6701.333333</v>
      </c>
      <c r="AR19" s="43"/>
      <c r="AS19" s="114">
        <f>Kaspers!AV76</f>
        <v>28996.66667</v>
      </c>
      <c r="AT19" s="43"/>
      <c r="AU19" s="114">
        <f>'MSBC Andheri'!N85</f>
        <v>73023.14286</v>
      </c>
      <c r="AV19" s="43"/>
      <c r="AW19" s="114" t="str">
        <f t="shared" ref="AW19:AW20" si="19">#REF!</f>
        <v>#REF!</v>
      </c>
      <c r="AX19" s="43"/>
      <c r="AY19" s="114">
        <f>'MSBC Dahisar'!N73</f>
        <v>65063.47619</v>
      </c>
      <c r="AZ19" s="43"/>
      <c r="BA19" s="114" t="str">
        <f>#REF!</f>
        <v>#REF!</v>
      </c>
      <c r="BB19" s="43"/>
      <c r="BC19" s="114">
        <f>'MSBC Juhu  Goregoan'!N74</f>
        <v>66876.47619</v>
      </c>
      <c r="BD19" s="43"/>
      <c r="BE19" s="114"/>
      <c r="BF19" s="43"/>
      <c r="BG19" s="114">
        <f>'LOUD MOUTH'!N85</f>
        <v>245082.72</v>
      </c>
      <c r="BH19" s="43"/>
      <c r="BI19" s="114"/>
      <c r="BJ19" s="43"/>
    </row>
    <row r="20" ht="15.75" customHeight="1">
      <c r="A20" s="3"/>
      <c r="B20" s="312" t="s">
        <v>36</v>
      </c>
      <c r="C20" s="225">
        <f t="shared" si="13"/>
        <v>2013274.7</v>
      </c>
      <c r="D20" s="139"/>
      <c r="E20" s="225" t="str">
        <f t="shared" si="14"/>
        <v>#REF!</v>
      </c>
      <c r="F20" s="139"/>
      <c r="G20" s="114">
        <f>HO!BL63</f>
        <v>0</v>
      </c>
      <c r="H20" s="43"/>
      <c r="I20" s="114">
        <f>HO!BN63</f>
        <v>0</v>
      </c>
      <c r="J20" s="43"/>
      <c r="K20" s="40">
        <f t="shared" si="15"/>
        <v>2013274.7</v>
      </c>
      <c r="L20" s="139"/>
      <c r="M20" s="40" t="str">
        <f t="shared" si="16"/>
        <v>#REF!</v>
      </c>
      <c r="N20" s="139"/>
      <c r="O20" s="114">
        <f>'The Table'!BL70</f>
        <v>94913.42</v>
      </c>
      <c r="P20" s="114"/>
      <c r="Q20" s="114">
        <f>'The Table'!BN70</f>
        <v>207447.014</v>
      </c>
      <c r="R20" s="43"/>
      <c r="S20" s="114">
        <f>Iktara!AB70</f>
        <v>94368.36</v>
      </c>
      <c r="T20" s="43"/>
      <c r="U20" s="114" t="str">
        <f t="shared" si="17"/>
        <v>#REF!</v>
      </c>
      <c r="V20" s="43"/>
      <c r="W20" s="114">
        <f>'Mg St Colaba'!BL100</f>
        <v>398981.71</v>
      </c>
      <c r="X20" s="43"/>
      <c r="Y20" s="114">
        <f>'Mg St Colaba'!BN100</f>
        <v>490345.9525</v>
      </c>
      <c r="Z20" s="43"/>
      <c r="AA20" s="114">
        <f>'Mg St LP'!BL101</f>
        <v>619851.87</v>
      </c>
      <c r="AB20" s="43"/>
      <c r="AC20" s="114">
        <f>'Mg St LP'!BN101</f>
        <v>735288.6735</v>
      </c>
      <c r="AD20" s="43"/>
      <c r="AE20" s="114">
        <f>'Mg St Bandra'!BL98</f>
        <v>544902.58</v>
      </c>
      <c r="AF20" s="43"/>
      <c r="AG20" s="114">
        <f>'Mg St Bandra'!BN98</f>
        <v>517828.471</v>
      </c>
      <c r="AH20" s="43"/>
      <c r="AI20" s="114">
        <f>'MSK Events'!N91</f>
        <v>0</v>
      </c>
      <c r="AJ20" s="43"/>
      <c r="AK20" s="114" t="str">
        <f t="shared" si="18"/>
        <v>#REF!</v>
      </c>
      <c r="AL20" s="43"/>
      <c r="AM20" s="114">
        <f>MSBC!BL83</f>
        <v>22375.59</v>
      </c>
      <c r="AN20" s="43"/>
      <c r="AO20" s="114">
        <f>MSBC!BN83</f>
        <v>0</v>
      </c>
      <c r="AP20" s="43"/>
      <c r="AQ20" s="114">
        <f>Kaspers!AT83</f>
        <v>0</v>
      </c>
      <c r="AR20" s="43"/>
      <c r="AS20" s="114">
        <f>Kaspers!AV83</f>
        <v>0</v>
      </c>
      <c r="AT20" s="43"/>
      <c r="AU20" s="114">
        <f>'MSBC Andheri'!N93</f>
        <v>91033.02</v>
      </c>
      <c r="AV20" s="43"/>
      <c r="AW20" s="114" t="str">
        <f t="shared" si="19"/>
        <v>#REF!</v>
      </c>
      <c r="AX20" s="43"/>
      <c r="AY20" s="114">
        <f>'MSBC Dahisar'!N80</f>
        <v>17717</v>
      </c>
      <c r="AZ20" s="43"/>
      <c r="BA20" s="114"/>
      <c r="BB20" s="43"/>
      <c r="BC20" s="114">
        <f>'MSBC Juhu  Goregoan'!N81</f>
        <v>58948.16</v>
      </c>
      <c r="BD20" s="43"/>
      <c r="BE20" s="114"/>
      <c r="BF20" s="43"/>
      <c r="BG20" s="114">
        <f>'LOUD MOUTH'!N94</f>
        <v>70182.99</v>
      </c>
      <c r="BH20" s="43"/>
      <c r="BI20" s="114"/>
      <c r="BJ20" s="43"/>
    </row>
    <row r="21" ht="15.75" customHeight="1">
      <c r="A21" s="3"/>
      <c r="B21" s="312" t="s">
        <v>37</v>
      </c>
      <c r="C21" s="225">
        <f t="shared" si="13"/>
        <v>7486108.417</v>
      </c>
      <c r="D21" s="139"/>
      <c r="E21" s="225" t="str">
        <f t="shared" si="14"/>
        <v>#REF!</v>
      </c>
      <c r="F21" s="139"/>
      <c r="G21" s="114">
        <f>HO!BL70</f>
        <v>400997</v>
      </c>
      <c r="H21" s="43"/>
      <c r="I21" s="114">
        <f>HO!BN70</f>
        <v>380880</v>
      </c>
      <c r="J21" s="43"/>
      <c r="K21" s="40">
        <f t="shared" si="15"/>
        <v>7085111.417</v>
      </c>
      <c r="L21" s="139"/>
      <c r="M21" s="40" t="str">
        <f t="shared" si="16"/>
        <v>#REF!</v>
      </c>
      <c r="N21" s="139"/>
      <c r="O21" s="114">
        <f>'The Table'!BL76</f>
        <v>1804183</v>
      </c>
      <c r="P21" s="114"/>
      <c r="Q21" s="114">
        <f>'The Table'!BN76</f>
        <v>1827400</v>
      </c>
      <c r="R21" s="43"/>
      <c r="S21" s="114">
        <f>Iktara!AB76</f>
        <v>96638</v>
      </c>
      <c r="T21" s="43"/>
      <c r="U21" s="114" t="str">
        <f t="shared" si="17"/>
        <v>#REF!</v>
      </c>
      <c r="V21" s="43"/>
      <c r="W21" s="114">
        <f>'Mg St Colaba'!BL107</f>
        <v>1566428</v>
      </c>
      <c r="X21" s="43"/>
      <c r="Y21" s="114">
        <f>'Mg St Colaba'!BN107</f>
        <v>1499510.5</v>
      </c>
      <c r="Z21" s="43"/>
      <c r="AA21" s="114">
        <f>'Mg St LP'!BL108</f>
        <v>1061208</v>
      </c>
      <c r="AB21" s="43"/>
      <c r="AC21" s="114">
        <f>'Mg St LP'!BN108</f>
        <v>1033770.6</v>
      </c>
      <c r="AD21" s="43"/>
      <c r="AE21" s="114">
        <f>'Mg St Bandra'!BL105</f>
        <v>1779311</v>
      </c>
      <c r="AF21" s="43"/>
      <c r="AG21" s="114">
        <f>'Mg St Bandra'!BN105</f>
        <v>1475700</v>
      </c>
      <c r="AH21" s="43"/>
      <c r="AI21" s="114">
        <f>'MSK Events'!M98</f>
        <v>139278</v>
      </c>
      <c r="AJ21" s="43"/>
      <c r="AK21" s="114" t="str">
        <f t="shared" si="18"/>
        <v>#REF!</v>
      </c>
      <c r="AL21" s="43"/>
      <c r="AM21" s="114">
        <f>MSBC!BL90</f>
        <v>258516</v>
      </c>
      <c r="AN21" s="43"/>
      <c r="AO21" s="114">
        <f>MSBC!BN90</f>
        <v>0</v>
      </c>
      <c r="AP21" s="43"/>
      <c r="AQ21" s="114">
        <f>Kaspers!AT90</f>
        <v>379549.4167</v>
      </c>
      <c r="AR21" s="43"/>
      <c r="AS21" s="114">
        <f>Kaspers!AV90</f>
        <v>1756900</v>
      </c>
      <c r="AT21" s="43"/>
      <c r="AU21" s="114">
        <f>'MSBC Andheri'!M100</f>
        <v>0</v>
      </c>
      <c r="AV21" s="43"/>
      <c r="AW21" s="114"/>
      <c r="AX21" s="43"/>
      <c r="AY21" s="114">
        <f>'MSBC Dahisar'!N89</f>
        <v>0</v>
      </c>
      <c r="AZ21" s="43"/>
      <c r="BA21" s="114"/>
      <c r="BB21" s="43"/>
      <c r="BC21" s="114">
        <v>0.0</v>
      </c>
      <c r="BD21" s="43"/>
      <c r="BE21" s="114"/>
      <c r="BF21" s="43"/>
      <c r="BG21" s="114"/>
      <c r="BH21" s="43"/>
      <c r="BI21" s="114"/>
      <c r="BJ21" s="43"/>
    </row>
    <row r="22" ht="15.75" customHeight="1">
      <c r="A22" s="3"/>
      <c r="B22" s="312" t="s">
        <v>38</v>
      </c>
      <c r="C22" s="225">
        <f t="shared" si="13"/>
        <v>23238662.27</v>
      </c>
      <c r="D22" s="139"/>
      <c r="E22" s="225" t="str">
        <f t="shared" si="14"/>
        <v>#REF!</v>
      </c>
      <c r="F22" s="139"/>
      <c r="G22" s="114">
        <f>HO!BL77</f>
        <v>4398667.277</v>
      </c>
      <c r="H22" s="43"/>
      <c r="I22" s="114">
        <f>HO!BN77</f>
        <v>4043806</v>
      </c>
      <c r="J22" s="43"/>
      <c r="K22" s="40">
        <f t="shared" si="15"/>
        <v>18839995</v>
      </c>
      <c r="L22" s="139"/>
      <c r="M22" s="40" t="str">
        <f t="shared" si="16"/>
        <v>#REF!</v>
      </c>
      <c r="N22" s="139"/>
      <c r="O22" s="114">
        <f>'The Table'!BL82</f>
        <v>5047880.317</v>
      </c>
      <c r="P22" s="114"/>
      <c r="Q22" s="114">
        <f>'The Table'!BN82</f>
        <v>4388683.777</v>
      </c>
      <c r="R22" s="43"/>
      <c r="S22" s="114">
        <f>Iktara!AB82</f>
        <v>286367.14</v>
      </c>
      <c r="T22" s="43"/>
      <c r="U22" s="114" t="str">
        <f t="shared" si="17"/>
        <v>#REF!</v>
      </c>
      <c r="V22" s="43"/>
      <c r="W22" s="114">
        <f>'Mg St Colaba'!BL113</f>
        <v>3377718.467</v>
      </c>
      <c r="X22" s="43"/>
      <c r="Y22" s="114">
        <f>'Mg St Colaba'!BN113</f>
        <v>3221017.297</v>
      </c>
      <c r="Z22" s="43"/>
      <c r="AA22" s="114">
        <f>'Mg St LP'!BL115</f>
        <v>1592561.923</v>
      </c>
      <c r="AB22" s="43"/>
      <c r="AC22" s="114">
        <f>'Mg St LP'!BN115</f>
        <v>1386737.458</v>
      </c>
      <c r="AD22" s="43"/>
      <c r="AE22" s="114">
        <f>'Mg St Bandra'!BL114</f>
        <v>3528122.69</v>
      </c>
      <c r="AF22" s="43"/>
      <c r="AG22" s="114">
        <f>'Mg St Bandra'!BN114</f>
        <v>3806083.75</v>
      </c>
      <c r="AH22" s="43"/>
      <c r="AI22" s="114">
        <f>'MSK Events'!N104</f>
        <v>40001.7</v>
      </c>
      <c r="AJ22" s="43"/>
      <c r="AK22" s="114" t="str">
        <f t="shared" si="18"/>
        <v>#REF!</v>
      </c>
      <c r="AL22" s="43"/>
      <c r="AM22" s="114">
        <f>MSBC!BL96</f>
        <v>1370264.58</v>
      </c>
      <c r="AN22" s="43"/>
      <c r="AO22" s="114">
        <f>MSBC!BN96</f>
        <v>0</v>
      </c>
      <c r="AP22" s="43"/>
      <c r="AQ22" s="114">
        <f>Kaspers!AT97</f>
        <v>3168915.18</v>
      </c>
      <c r="AR22" s="43"/>
      <c r="AS22" s="114">
        <f>Kaspers!AV97</f>
        <v>0</v>
      </c>
      <c r="AT22" s="43"/>
      <c r="AU22" s="114">
        <f>'MSBC Andheri'!M106</f>
        <v>0</v>
      </c>
      <c r="AV22" s="43"/>
      <c r="AW22" s="114"/>
      <c r="AX22" s="43"/>
      <c r="AY22" s="114">
        <f>'MSBC Dahisar'!N95</f>
        <v>0</v>
      </c>
      <c r="AZ22" s="43"/>
      <c r="BA22" s="114"/>
      <c r="BB22" s="43"/>
      <c r="BC22" s="114">
        <v>0.0</v>
      </c>
      <c r="BD22" s="43"/>
      <c r="BE22" s="114"/>
      <c r="BF22" s="43"/>
      <c r="BG22" s="114">
        <f>'LOUD MOUTH'!N108</f>
        <v>428163</v>
      </c>
      <c r="BH22" s="43"/>
      <c r="BI22" s="114"/>
      <c r="BJ22" s="43"/>
    </row>
    <row r="23" ht="15.75" customHeight="1">
      <c r="A23" s="3"/>
      <c r="B23" s="312" t="s">
        <v>39</v>
      </c>
      <c r="C23" s="225">
        <f t="shared" si="13"/>
        <v>974832.97</v>
      </c>
      <c r="D23" s="139"/>
      <c r="E23" s="225" t="str">
        <f t="shared" si="14"/>
        <v>#REF!</v>
      </c>
      <c r="F23" s="139"/>
      <c r="G23" s="114">
        <f>HO!BL88</f>
        <v>470898.19</v>
      </c>
      <c r="H23" s="43"/>
      <c r="I23" s="114">
        <f>HO!BN88</f>
        <v>12500</v>
      </c>
      <c r="J23" s="43"/>
      <c r="K23" s="40">
        <f t="shared" si="15"/>
        <v>503934.78</v>
      </c>
      <c r="L23" s="139"/>
      <c r="M23" s="40" t="str">
        <f t="shared" si="16"/>
        <v>#REF!</v>
      </c>
      <c r="N23" s="139"/>
      <c r="O23" s="114">
        <f>'The Table'!BL91</f>
        <v>441816.91</v>
      </c>
      <c r="P23" s="114"/>
      <c r="Q23" s="114">
        <f>'The Table'!BN91</f>
        <v>253556.912</v>
      </c>
      <c r="R23" s="43"/>
      <c r="S23" s="114">
        <f>Iktara!AB92</f>
        <v>0</v>
      </c>
      <c r="T23" s="43"/>
      <c r="U23" s="114" t="str">
        <f t="shared" si="17"/>
        <v>#REF!</v>
      </c>
      <c r="V23" s="43"/>
      <c r="W23" s="114">
        <f>'Mg St Colaba'!BL124</f>
        <v>36077.2</v>
      </c>
      <c r="X23" s="43"/>
      <c r="Y23" s="114">
        <f>'Mg St Colaba'!BN124</f>
        <v>118657.9062</v>
      </c>
      <c r="Z23" s="43"/>
      <c r="AA23" s="114">
        <f>'Mg St LP'!BL125</f>
        <v>0</v>
      </c>
      <c r="AB23" s="43"/>
      <c r="AC23" s="114">
        <f>'Mg St LP'!BN125</f>
        <v>38422.116</v>
      </c>
      <c r="AD23" s="43"/>
      <c r="AE23" s="114">
        <f>'Mg St Bandra'!BL125</f>
        <v>0</v>
      </c>
      <c r="AF23" s="43"/>
      <c r="AG23" s="114">
        <f>'Mg St Bandra'!BN125</f>
        <v>110720.685</v>
      </c>
      <c r="AH23" s="43"/>
      <c r="AI23" s="114">
        <f>'MSK Events'!N114</f>
        <v>0</v>
      </c>
      <c r="AJ23" s="43"/>
      <c r="AK23" s="114" t="str">
        <f t="shared" si="18"/>
        <v>#REF!</v>
      </c>
      <c r="AL23" s="43"/>
      <c r="AM23" s="114">
        <f>MSBC!BL106</f>
        <v>0</v>
      </c>
      <c r="AN23" s="43"/>
      <c r="AO23" s="114">
        <f>MSBC!BN106</f>
        <v>0</v>
      </c>
      <c r="AP23" s="43"/>
      <c r="AQ23" s="114">
        <f>Kaspers!AT109</f>
        <v>26040.67</v>
      </c>
      <c r="AR23" s="43"/>
      <c r="AS23" s="114">
        <f>Kaspers!AV109</f>
        <v>0</v>
      </c>
      <c r="AT23" s="43"/>
      <c r="AU23" s="114">
        <f>'MSBC Andheri'!M116</f>
        <v>0</v>
      </c>
      <c r="AV23" s="43"/>
      <c r="AW23" s="114"/>
      <c r="AX23" s="43"/>
      <c r="AY23" s="114">
        <f>'MSBC Dahisar'!N105</f>
        <v>0</v>
      </c>
      <c r="AZ23" s="43"/>
      <c r="BA23" s="114"/>
      <c r="BB23" s="43"/>
      <c r="BC23" s="114">
        <v>0.0</v>
      </c>
      <c r="BD23" s="43"/>
      <c r="BE23" s="114"/>
      <c r="BF23" s="43"/>
      <c r="BG23" s="114"/>
      <c r="BH23" s="43"/>
      <c r="BI23" s="114"/>
      <c r="BJ23" s="43"/>
    </row>
    <row r="24" ht="15.75" customHeight="1">
      <c r="A24" s="3"/>
      <c r="B24" s="312" t="s">
        <v>40</v>
      </c>
      <c r="C24" s="225">
        <f t="shared" si="13"/>
        <v>307351.3333</v>
      </c>
      <c r="D24" s="139"/>
      <c r="E24" s="225" t="str">
        <f t="shared" si="14"/>
        <v>#REF!</v>
      </c>
      <c r="F24" s="139"/>
      <c r="G24" s="114">
        <f>HO!BL95</f>
        <v>128663.9167</v>
      </c>
      <c r="H24" s="43"/>
      <c r="I24" s="114">
        <f>HO!BN95</f>
        <v>114596.8333</v>
      </c>
      <c r="J24" s="43"/>
      <c r="K24" s="40">
        <f t="shared" si="15"/>
        <v>178687.4167</v>
      </c>
      <c r="L24" s="139"/>
      <c r="M24" s="40" t="str">
        <f t="shared" si="16"/>
        <v>#REF!</v>
      </c>
      <c r="N24" s="139"/>
      <c r="O24" s="114">
        <f>'The Table'!BL94</f>
        <v>35400</v>
      </c>
      <c r="P24" s="114"/>
      <c r="Q24" s="114">
        <f>'The Table'!BN94</f>
        <v>29500</v>
      </c>
      <c r="R24" s="43"/>
      <c r="S24" s="114">
        <f>Iktara!AB95</f>
        <v>688</v>
      </c>
      <c r="T24" s="43"/>
      <c r="U24" s="114" t="str">
        <f t="shared" si="17"/>
        <v>#REF!</v>
      </c>
      <c r="V24" s="43"/>
      <c r="W24" s="114">
        <f>'Mg St Colaba'!BL127</f>
        <v>56325.33333</v>
      </c>
      <c r="X24" s="43"/>
      <c r="Y24" s="114">
        <f>'Mg St Colaba'!BN127</f>
        <v>30188.33333</v>
      </c>
      <c r="Z24" s="43"/>
      <c r="AA24" s="114">
        <f>'Mg St LP'!BL128</f>
        <v>3638.333333</v>
      </c>
      <c r="AB24" s="43"/>
      <c r="AC24" s="114">
        <f>'Mg St LP'!BN128</f>
        <v>1500</v>
      </c>
      <c r="AD24" s="43"/>
      <c r="AE24" s="114">
        <f>'Mg St Bandra'!BL128</f>
        <v>31663.33333</v>
      </c>
      <c r="AF24" s="43"/>
      <c r="AG24" s="114">
        <f>'Mg St Bandra'!BN128</f>
        <v>23000</v>
      </c>
      <c r="AH24" s="43"/>
      <c r="AI24" s="114">
        <f>'MSK Events'!N117</f>
        <v>6806.25</v>
      </c>
      <c r="AJ24" s="43"/>
      <c r="AK24" s="114" t="str">
        <f t="shared" si="18"/>
        <v>#REF!</v>
      </c>
      <c r="AL24" s="43"/>
      <c r="AM24" s="114">
        <f>MSBC!BL109</f>
        <v>13190.33333</v>
      </c>
      <c r="AN24" s="43"/>
      <c r="AO24" s="114">
        <f>MSBC!BN109</f>
        <v>0</v>
      </c>
      <c r="AP24" s="43"/>
      <c r="AQ24" s="114">
        <f>Kaspers!AT113</f>
        <v>26613.83333</v>
      </c>
      <c r="AR24" s="43"/>
      <c r="AS24" s="114">
        <f>Kaspers!AV113</f>
        <v>0</v>
      </c>
      <c r="AT24" s="43"/>
      <c r="AU24" s="114">
        <f>'MSBC Andheri'!M119</f>
        <v>0</v>
      </c>
      <c r="AV24" s="43"/>
      <c r="AW24" s="114"/>
      <c r="AX24" s="43"/>
      <c r="AY24" s="114">
        <f>'MSBC Dahisar'!N108</f>
        <v>0</v>
      </c>
      <c r="AZ24" s="43"/>
      <c r="BA24" s="114"/>
      <c r="BB24" s="43"/>
      <c r="BC24" s="114">
        <v>0.0</v>
      </c>
      <c r="BD24" s="43"/>
      <c r="BE24" s="114"/>
      <c r="BF24" s="43"/>
      <c r="BG24" s="114">
        <f>'LOUD MOUTH'!N124</f>
        <v>4362</v>
      </c>
      <c r="BH24" s="43"/>
      <c r="BI24" s="114"/>
      <c r="BJ24" s="43"/>
    </row>
    <row r="25" ht="15.75" customHeight="1">
      <c r="A25" s="3"/>
      <c r="B25" s="312" t="s">
        <v>41</v>
      </c>
      <c r="C25" s="225">
        <f t="shared" si="13"/>
        <v>3023180.647</v>
      </c>
      <c r="D25" s="139"/>
      <c r="E25" s="225" t="str">
        <f t="shared" si="14"/>
        <v>#REF!</v>
      </c>
      <c r="F25" s="139"/>
      <c r="G25" s="114">
        <f>HO!BL106</f>
        <v>277116.32</v>
      </c>
      <c r="H25" s="43"/>
      <c r="I25" s="114">
        <f>HO!BN106</f>
        <v>76500</v>
      </c>
      <c r="J25" s="43"/>
      <c r="K25" s="40">
        <f t="shared" si="15"/>
        <v>2746064.327</v>
      </c>
      <c r="L25" s="139"/>
      <c r="M25" s="40" t="str">
        <f t="shared" si="16"/>
        <v>#REF!</v>
      </c>
      <c r="N25" s="139"/>
      <c r="O25" s="114">
        <f>'The Table'!BL99</f>
        <v>408377.2167</v>
      </c>
      <c r="P25" s="114"/>
      <c r="Q25" s="114">
        <f>'The Table'!BN99+'The Table'!BN106+'The Table'!BN112+'The Table'!BN114+'The Table'!BN116+'The Table'!BN119+'The Table'!BN120+'The Table'!BN118</f>
        <v>440112</v>
      </c>
      <c r="R25" s="43"/>
      <c r="S25" s="114">
        <f>Iktara!AB99</f>
        <v>133797</v>
      </c>
      <c r="T25" s="43"/>
      <c r="U25" s="114" t="str">
        <f t="shared" si="17"/>
        <v>#REF!</v>
      </c>
      <c r="V25" s="43"/>
      <c r="W25" s="114">
        <f>'Mg St Colaba'!BL132</f>
        <v>512968.3333</v>
      </c>
      <c r="X25" s="43"/>
      <c r="Y25" s="114">
        <f>'Mg St Colaba'!BN132</f>
        <v>421563.0833</v>
      </c>
      <c r="Z25" s="43"/>
      <c r="AA25" s="114">
        <f>'Mg St LP'!BL132</f>
        <v>69258.2</v>
      </c>
      <c r="AB25" s="43"/>
      <c r="AC25" s="114">
        <f>'Mg St LP'!BN132</f>
        <v>47000</v>
      </c>
      <c r="AD25" s="43"/>
      <c r="AE25" s="114">
        <f>'Mg St Bandra'!BL132</f>
        <v>581824.5333</v>
      </c>
      <c r="AF25" s="43"/>
      <c r="AG25" s="114">
        <f>'Mg St Bandra'!BN132</f>
        <v>423797</v>
      </c>
      <c r="AH25" s="43"/>
      <c r="AI25" s="114">
        <f>'MSK Events'!N121</f>
        <v>224093</v>
      </c>
      <c r="AJ25" s="43"/>
      <c r="AK25" s="114" t="str">
        <f t="shared" si="18"/>
        <v>#REF!</v>
      </c>
      <c r="AL25" s="43"/>
      <c r="AM25" s="114">
        <f>MSBC!BL114</f>
        <v>93565.58333</v>
      </c>
      <c r="AN25" s="43"/>
      <c r="AO25" s="114">
        <f>MSBC!BN114</f>
        <v>0</v>
      </c>
      <c r="AP25" s="43"/>
      <c r="AQ25" s="114">
        <f>Kaspers!AT117</f>
        <v>566207.46</v>
      </c>
      <c r="AR25" s="43"/>
      <c r="AS25" s="114" t="str">
        <f>Kaspers!AV117+Kaspers!AV124+Kaspers!AV125+Kaspers!AV129+Kaspers!AV131+#REF!+Kaspers!AV133+Kaspers!AV135+Kaspers!AV136+Kaspers!AV138+Kaspers!AV141+Kaspers!AV145</f>
        <v>#REF!</v>
      </c>
      <c r="AT25" s="43"/>
      <c r="AU25" s="114">
        <f>'MSBC Andheri'!N123</f>
        <v>8100</v>
      </c>
      <c r="AV25" s="43"/>
      <c r="AW25" s="114"/>
      <c r="AX25" s="43"/>
      <c r="AY25" s="114">
        <f>'MSBC Dahisar'!N112</f>
        <v>8100</v>
      </c>
      <c r="AZ25" s="43"/>
      <c r="BA25" s="114"/>
      <c r="BB25" s="43"/>
      <c r="BC25" s="114">
        <f>'MSBC Juhu  Goregoan'!N113</f>
        <v>8100</v>
      </c>
      <c r="BD25" s="43"/>
      <c r="BE25" s="114"/>
      <c r="BF25" s="43"/>
      <c r="BG25" s="114">
        <f>'LOUD MOUTH'!N128</f>
        <v>131673</v>
      </c>
      <c r="BH25" s="43"/>
      <c r="BI25" s="114"/>
      <c r="BJ25" s="43"/>
    </row>
    <row r="26" ht="15.75" customHeight="1">
      <c r="A26" s="3"/>
      <c r="B26" s="312" t="s">
        <v>42</v>
      </c>
      <c r="C26" s="225">
        <f t="shared" si="13"/>
        <v>181322.3611</v>
      </c>
      <c r="D26" s="139"/>
      <c r="E26" s="225" t="str">
        <f t="shared" si="14"/>
        <v>#REF!</v>
      </c>
      <c r="F26" s="139"/>
      <c r="G26" s="114">
        <f>HO!BL123</f>
        <v>147322.3611</v>
      </c>
      <c r="H26" s="43"/>
      <c r="I26" s="114">
        <f>HO!BN123</f>
        <v>100000</v>
      </c>
      <c r="J26" s="43"/>
      <c r="K26" s="40">
        <f t="shared" si="15"/>
        <v>34000</v>
      </c>
      <c r="L26" s="139"/>
      <c r="M26" s="40" t="str">
        <f t="shared" si="16"/>
        <v>#REF!</v>
      </c>
      <c r="N26" s="139"/>
      <c r="O26" s="114">
        <f>'The Table'!BL122</f>
        <v>6000</v>
      </c>
      <c r="P26" s="114"/>
      <c r="Q26" s="114">
        <f>'The Table'!BN122</f>
        <v>0</v>
      </c>
      <c r="R26" s="43"/>
      <c r="S26" s="114">
        <f>Iktara!AB112</f>
        <v>6000</v>
      </c>
      <c r="T26" s="43"/>
      <c r="U26" s="114" t="str">
        <f t="shared" si="17"/>
        <v>#REF!</v>
      </c>
      <c r="V26" s="43"/>
      <c r="W26" s="114">
        <f>'Mg St Colaba'!BL148</f>
        <v>0</v>
      </c>
      <c r="X26" s="43"/>
      <c r="Y26" s="114">
        <f>'Mg St Colaba'!BN148</f>
        <v>0</v>
      </c>
      <c r="Z26" s="43"/>
      <c r="AA26" s="114">
        <f>'Mg St LP'!BL148</f>
        <v>22000</v>
      </c>
      <c r="AB26" s="43"/>
      <c r="AC26" s="114">
        <f>'Mg St LP'!BN148</f>
        <v>0</v>
      </c>
      <c r="AD26" s="43"/>
      <c r="AE26" s="114">
        <f>'Mg St Bandra'!BL149</f>
        <v>0</v>
      </c>
      <c r="AF26" s="43"/>
      <c r="AG26" s="114">
        <f>'Mg St Bandra'!BN149</f>
        <v>0</v>
      </c>
      <c r="AH26" s="43"/>
      <c r="AI26" s="114">
        <f>'MSK Events'!N138</f>
        <v>0</v>
      </c>
      <c r="AJ26" s="43"/>
      <c r="AK26" s="114" t="str">
        <f t="shared" si="18"/>
        <v>#REF!</v>
      </c>
      <c r="AL26" s="43"/>
      <c r="AM26" s="114">
        <f>MSBC!BL131</f>
        <v>0</v>
      </c>
      <c r="AN26" s="43"/>
      <c r="AO26" s="114">
        <f>MSBC!BN131</f>
        <v>0</v>
      </c>
      <c r="AP26" s="43"/>
      <c r="AQ26" s="114">
        <f>Kaspers!AT141</f>
        <v>0</v>
      </c>
      <c r="AR26" s="43"/>
      <c r="AS26" s="114">
        <f>Kaspers!AV141</f>
        <v>0</v>
      </c>
      <c r="AT26" s="43"/>
      <c r="AU26" s="114">
        <f>'MSBC Andheri'!M138</f>
        <v>0</v>
      </c>
      <c r="AV26" s="43"/>
      <c r="AW26" s="114"/>
      <c r="AX26" s="43"/>
      <c r="AY26" s="114">
        <f>'MSBC Dahisar'!N127</f>
        <v>0</v>
      </c>
      <c r="AZ26" s="43"/>
      <c r="BA26" s="114"/>
      <c r="BB26" s="43"/>
      <c r="BC26" s="114">
        <f>'MSBC Juhu  Goregoan'!N129</f>
        <v>0</v>
      </c>
      <c r="BD26" s="43"/>
      <c r="BE26" s="114"/>
      <c r="BF26" s="43"/>
      <c r="BG26" s="114"/>
      <c r="BH26" s="43"/>
      <c r="BI26" s="114"/>
      <c r="BJ26" s="43"/>
    </row>
    <row r="27" ht="15.75" customHeight="1">
      <c r="A27" s="3"/>
      <c r="B27" s="312" t="s">
        <v>43</v>
      </c>
      <c r="C27" s="225">
        <f t="shared" si="13"/>
        <v>-912568</v>
      </c>
      <c r="D27" s="139"/>
      <c r="E27" s="225" t="str">
        <f t="shared" si="14"/>
        <v>#REF!</v>
      </c>
      <c r="F27" s="139"/>
      <c r="G27" s="114">
        <f>HO!BL130</f>
        <v>0</v>
      </c>
      <c r="H27" s="43"/>
      <c r="I27" s="114">
        <f>HO!BN130</f>
        <v>0</v>
      </c>
      <c r="J27" s="43"/>
      <c r="K27" s="40">
        <f t="shared" si="15"/>
        <v>-912568</v>
      </c>
      <c r="L27" s="139"/>
      <c r="M27" s="40" t="str">
        <f t="shared" si="16"/>
        <v>#REF!</v>
      </c>
      <c r="N27" s="139"/>
      <c r="O27" s="114">
        <f>'The Table'!BL127</f>
        <v>0</v>
      </c>
      <c r="P27" s="114"/>
      <c r="Q27" s="114">
        <f>'The Table'!BN127</f>
        <v>0</v>
      </c>
      <c r="R27" s="43"/>
      <c r="S27" s="114">
        <f>Iktara!AB116</f>
        <v>0</v>
      </c>
      <c r="T27" s="43"/>
      <c r="U27" s="114" t="str">
        <f t="shared" si="17"/>
        <v>#REF!</v>
      </c>
      <c r="V27" s="43"/>
      <c r="W27" s="114">
        <f>'Mg St Colaba'!BL153</f>
        <v>0</v>
      </c>
      <c r="X27" s="43"/>
      <c r="Y27" s="114">
        <f>'Mg St Colaba'!BN153</f>
        <v>0</v>
      </c>
      <c r="Z27" s="43"/>
      <c r="AA27" s="114">
        <f>'Mg St LP'!BL152</f>
        <v>0</v>
      </c>
      <c r="AB27" s="43"/>
      <c r="AC27" s="114">
        <f>'Mg St LP'!BN152</f>
        <v>0</v>
      </c>
      <c r="AD27" s="43"/>
      <c r="AE27" s="114">
        <f>'Mg St Bandra'!BL153</f>
        <v>0</v>
      </c>
      <c r="AF27" s="43"/>
      <c r="AG27" s="114">
        <f>'Mg St Bandra'!BN153</f>
        <v>0</v>
      </c>
      <c r="AH27" s="43"/>
      <c r="AI27" s="114">
        <f>'MSK Events'!N142</f>
        <v>0</v>
      </c>
      <c r="AJ27" s="43"/>
      <c r="AK27" s="114" t="str">
        <f t="shared" si="18"/>
        <v>#REF!</v>
      </c>
      <c r="AL27" s="43"/>
      <c r="AM27" s="114">
        <f>MSBC!BL135</f>
        <v>-1365061</v>
      </c>
      <c r="AN27" s="43"/>
      <c r="AO27" s="114">
        <f>MSBC!BN135</f>
        <v>0</v>
      </c>
      <c r="AP27" s="43"/>
      <c r="AQ27" s="114">
        <f>Kaspers!AT145</f>
        <v>0</v>
      </c>
      <c r="AR27" s="43"/>
      <c r="AS27" s="114">
        <f>Kaspers!AV145</f>
        <v>25000</v>
      </c>
      <c r="AT27" s="43"/>
      <c r="AU27" s="62">
        <f>'MSBC Andheri'!M142</f>
        <v>0</v>
      </c>
      <c r="AV27" s="43"/>
      <c r="AW27" s="114"/>
      <c r="AX27" s="43"/>
      <c r="AY27" s="62">
        <f>'MSBC Dahisar'!N131</f>
        <v>0</v>
      </c>
      <c r="AZ27" s="43"/>
      <c r="BA27" s="114"/>
      <c r="BB27" s="43"/>
      <c r="BC27" s="62">
        <f>'MSBC Juhu  Goregoan'!N133</f>
        <v>0</v>
      </c>
      <c r="BD27" s="43"/>
      <c r="BE27" s="114"/>
      <c r="BF27" s="43"/>
      <c r="BG27" s="114">
        <f>'LOUD MOUTH'!N148</f>
        <v>452493</v>
      </c>
      <c r="BH27" s="43"/>
      <c r="BI27" s="114"/>
      <c r="BJ27" s="43"/>
    </row>
    <row r="28" ht="15.75" customHeight="1">
      <c r="A28" s="3"/>
      <c r="B28" s="312" t="s">
        <v>44</v>
      </c>
      <c r="C28" s="319">
        <f>SUM(C18:C27)</f>
        <v>38994751.62</v>
      </c>
      <c r="D28" s="312"/>
      <c r="E28" s="319" t="str">
        <f t="shared" si="14"/>
        <v>#REF!</v>
      </c>
      <c r="F28" s="312"/>
      <c r="G28" s="320">
        <f>SUM(G18:G27)</f>
        <v>5911070.564</v>
      </c>
      <c r="H28" s="321"/>
      <c r="I28" s="320">
        <f>SUM(I18:I27)</f>
        <v>4741156.833</v>
      </c>
      <c r="J28" s="321"/>
      <c r="K28" s="322">
        <f>SUM(K18:K27)</f>
        <v>33083681.06</v>
      </c>
      <c r="L28" s="312"/>
      <c r="M28" s="322" t="str">
        <f>SUM(M18:M27)</f>
        <v>#REF!</v>
      </c>
      <c r="N28" s="312"/>
      <c r="O28" s="320">
        <f>SUM(O18:O27)</f>
        <v>8210898.023</v>
      </c>
      <c r="P28" s="320"/>
      <c r="Q28" s="320">
        <f>SUM(Q18:Q27)</f>
        <v>7649492.367</v>
      </c>
      <c r="R28" s="321"/>
      <c r="S28" s="320">
        <f>SUM(S18:S27)</f>
        <v>758386.5</v>
      </c>
      <c r="T28" s="321"/>
      <c r="U28" s="320" t="str">
        <f>SUM(U18:U27)</f>
        <v>#REF!</v>
      </c>
      <c r="V28" s="321"/>
      <c r="W28" s="320">
        <f>SUM(W18:W27)</f>
        <v>6565314.22</v>
      </c>
      <c r="X28" s="321"/>
      <c r="Y28" s="320">
        <f>SUM(Y18:Y27)</f>
        <v>6251117.381</v>
      </c>
      <c r="Z28" s="321"/>
      <c r="AA28" s="320">
        <f>SUM(AA18:AA27)</f>
        <v>3764699.503</v>
      </c>
      <c r="AB28" s="321"/>
      <c r="AC28" s="320">
        <f>SUM(AC18:AC27)</f>
        <v>3758069.157</v>
      </c>
      <c r="AD28" s="321"/>
      <c r="AE28" s="320">
        <f>SUM(AE18:AE27)</f>
        <v>6840020.613</v>
      </c>
      <c r="AF28" s="321"/>
      <c r="AG28" s="320">
        <f>SUM(AG18:AG27)</f>
        <v>6866968.319</v>
      </c>
      <c r="AH28" s="321"/>
      <c r="AI28" s="320">
        <f>SUM(AI18:AI27)</f>
        <v>451478.95</v>
      </c>
      <c r="AJ28" s="321"/>
      <c r="AK28" s="320" t="str">
        <f>SUM(AK18:AK27)</f>
        <v>#REF!</v>
      </c>
      <c r="AL28" s="321"/>
      <c r="AM28" s="320">
        <f>SUM(AM18:AM27)</f>
        <v>513244.2295</v>
      </c>
      <c r="AN28" s="321"/>
      <c r="AO28" s="320">
        <f>SUM(AO18:AO27)</f>
        <v>116073</v>
      </c>
      <c r="AP28" s="321"/>
      <c r="AQ28" s="320">
        <f>SUM(AQ18:AQ27)</f>
        <v>4250721.033</v>
      </c>
      <c r="AR28" s="321"/>
      <c r="AS28" s="320" t="str">
        <f>SUM(AS18:AS27)</f>
        <v>#REF!</v>
      </c>
      <c r="AT28" s="321"/>
      <c r="AU28" s="320">
        <f>SUM(AU18:AU27)</f>
        <v>172156.1629</v>
      </c>
      <c r="AV28" s="321"/>
      <c r="AW28" s="320" t="str">
        <f>SUM(AW18:AW27)</f>
        <v>#REF!</v>
      </c>
      <c r="AX28" s="321"/>
      <c r="AY28" s="320">
        <f>SUM(AY18:AY27)</f>
        <v>90880.47619</v>
      </c>
      <c r="AZ28" s="321"/>
      <c r="BA28" s="320" t="str">
        <f>SUM(BA18:BA27)</f>
        <v>#REF!</v>
      </c>
      <c r="BB28" s="321"/>
      <c r="BC28" s="320">
        <f>SUM(BC18:BC27)</f>
        <v>133924.6362</v>
      </c>
      <c r="BD28" s="321"/>
      <c r="BE28" s="320">
        <f>SUM(BE18:BE27)</f>
        <v>0</v>
      </c>
      <c r="BF28" s="321"/>
      <c r="BG28" s="320">
        <f>SUM(BG18:BG27)</f>
        <v>1331956.71</v>
      </c>
      <c r="BH28" s="321"/>
      <c r="BI28" s="320">
        <f>SUM(BI18:BI27)</f>
        <v>0</v>
      </c>
      <c r="BJ28" s="321"/>
    </row>
    <row r="29" ht="15.75" customHeight="1">
      <c r="A29" s="3"/>
      <c r="B29" s="312"/>
      <c r="C29" s="225"/>
      <c r="D29" s="139"/>
      <c r="E29" s="225"/>
      <c r="F29" s="139"/>
      <c r="G29" s="114"/>
      <c r="H29" s="43"/>
      <c r="I29" s="114"/>
      <c r="J29" s="43"/>
      <c r="K29" s="139"/>
      <c r="L29" s="139"/>
      <c r="M29" s="139"/>
      <c r="N29" s="139"/>
      <c r="O29" s="43"/>
      <c r="P29" s="43"/>
      <c r="Q29" s="43"/>
      <c r="R29" s="43"/>
      <c r="S29" s="114"/>
      <c r="T29" s="43"/>
      <c r="U29" s="114"/>
      <c r="V29" s="43"/>
      <c r="W29" s="114"/>
      <c r="X29" s="43"/>
      <c r="Y29" s="114"/>
      <c r="Z29" s="43"/>
      <c r="AA29" s="114"/>
      <c r="AB29" s="43"/>
      <c r="AC29" s="114"/>
      <c r="AD29" s="43"/>
      <c r="AE29" s="114"/>
      <c r="AF29" s="43"/>
      <c r="AG29" s="114"/>
      <c r="AH29" s="43"/>
      <c r="AI29" s="114"/>
      <c r="AJ29" s="43"/>
      <c r="AK29" s="114"/>
      <c r="AL29" s="43"/>
      <c r="AM29" s="114"/>
      <c r="AN29" s="43"/>
      <c r="AO29" s="114"/>
      <c r="AP29" s="43"/>
      <c r="AQ29" s="114"/>
      <c r="AR29" s="43"/>
      <c r="AS29" s="114"/>
      <c r="AT29" s="43"/>
      <c r="AU29" s="114"/>
      <c r="AV29" s="43"/>
      <c r="AW29" s="114"/>
      <c r="AX29" s="43"/>
      <c r="AY29" s="114"/>
      <c r="AZ29" s="43"/>
      <c r="BA29" s="114"/>
      <c r="BB29" s="43"/>
      <c r="BC29" s="114"/>
      <c r="BD29" s="43"/>
      <c r="BE29" s="114"/>
      <c r="BF29" s="43"/>
      <c r="BG29" s="114"/>
      <c r="BH29" s="43"/>
      <c r="BI29" s="114"/>
      <c r="BJ29" s="43"/>
    </row>
    <row r="30" ht="15.75" customHeight="1">
      <c r="A30" s="3"/>
      <c r="B30" s="312" t="s">
        <v>45</v>
      </c>
      <c r="C30" s="319">
        <f>C16-C28</f>
        <v>11511456.17</v>
      </c>
      <c r="D30" s="312"/>
      <c r="E30" s="319" t="str">
        <f>E16-E28</f>
        <v>#REF!</v>
      </c>
      <c r="F30" s="312"/>
      <c r="G30" s="320">
        <f>G16-G28</f>
        <v>-5911070.564</v>
      </c>
      <c r="H30" s="321"/>
      <c r="I30" s="320">
        <f>I16-I28</f>
        <v>-4741156.833</v>
      </c>
      <c r="J30" s="321"/>
      <c r="K30" s="322">
        <f>K16-K28</f>
        <v>17422526.73</v>
      </c>
      <c r="L30" s="312"/>
      <c r="M30" s="322" t="str">
        <f>M16-M28</f>
        <v>#REF!</v>
      </c>
      <c r="N30" s="312"/>
      <c r="O30" s="323">
        <f>O16-O28</f>
        <v>6465975.536</v>
      </c>
      <c r="P30" s="321"/>
      <c r="Q30" s="323">
        <f>Q16-Q28</f>
        <v>3638598.862</v>
      </c>
      <c r="R30" s="321"/>
      <c r="S30" s="320">
        <f>S16-S28</f>
        <v>-252201.1182</v>
      </c>
      <c r="T30" s="321"/>
      <c r="U30" s="320" t="str">
        <f>U16-U28</f>
        <v>#REF!</v>
      </c>
      <c r="V30" s="321"/>
      <c r="W30" s="320">
        <f>W16-W28</f>
        <v>5559954.001</v>
      </c>
      <c r="X30" s="321"/>
      <c r="Y30" s="320">
        <f>Y16-Y28</f>
        <v>3485256.09</v>
      </c>
      <c r="Z30" s="321"/>
      <c r="AA30" s="320">
        <f>AA16-AA28</f>
        <v>2095819.173</v>
      </c>
      <c r="AB30" s="321"/>
      <c r="AC30" s="320">
        <f>AC16-AC28</f>
        <v>3300187.449</v>
      </c>
      <c r="AD30" s="321"/>
      <c r="AE30" s="320">
        <f>AE16-AE28</f>
        <v>4815588.101</v>
      </c>
      <c r="AF30" s="321"/>
      <c r="AG30" s="320">
        <f>AG16-AG28</f>
        <v>3652108.19</v>
      </c>
      <c r="AH30" s="321"/>
      <c r="AI30" s="320">
        <f>AI16-AI28</f>
        <v>-433164.95</v>
      </c>
      <c r="AJ30" s="321"/>
      <c r="AK30" s="320" t="str">
        <f>AK16-AK28</f>
        <v>#REF!</v>
      </c>
      <c r="AL30" s="321"/>
      <c r="AM30" s="320">
        <f>AM16-AM28</f>
        <v>163801.2087</v>
      </c>
      <c r="AN30" s="321"/>
      <c r="AO30" s="320">
        <f>AO16-AO28</f>
        <v>-44773</v>
      </c>
      <c r="AP30" s="321"/>
      <c r="AQ30" s="320">
        <f>AQ16-AQ28</f>
        <v>393279.7222</v>
      </c>
      <c r="AR30" s="321"/>
      <c r="AS30" s="320" t="str">
        <f>AS16-AS28</f>
        <v>#REF!</v>
      </c>
      <c r="AT30" s="321"/>
      <c r="AU30" s="320">
        <f>AU16-AU28</f>
        <v>-86967.11911</v>
      </c>
      <c r="AV30" s="321"/>
      <c r="AW30" s="320" t="str">
        <f>AW16-AW28</f>
        <v>#REF!</v>
      </c>
      <c r="AX30" s="321"/>
      <c r="AY30" s="320">
        <f>AY16-AY28</f>
        <v>-164445.9706</v>
      </c>
      <c r="AZ30" s="321"/>
      <c r="BA30" s="320" t="str">
        <f>BA16-BA28</f>
        <v>#REF!</v>
      </c>
      <c r="BB30" s="321"/>
      <c r="BC30" s="320">
        <f>BC16-BC28</f>
        <v>-183236.9098</v>
      </c>
      <c r="BD30" s="321"/>
      <c r="BE30" s="320" t="str">
        <f>BE16-BE28</f>
        <v>#REF!</v>
      </c>
      <c r="BF30" s="321"/>
      <c r="BG30" s="320">
        <f>BG16-BG28</f>
        <v>-951874.94</v>
      </c>
      <c r="BH30" s="321"/>
      <c r="BI30" s="320" t="str">
        <f>BI16-BI28</f>
        <v>#REF!</v>
      </c>
      <c r="BJ30" s="321"/>
    </row>
    <row r="31" ht="15.75" customHeight="1">
      <c r="A31" s="3"/>
      <c r="B31" s="3"/>
      <c r="C31" s="3"/>
      <c r="D31" s="3"/>
      <c r="E31" s="175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</row>
    <row r="32" ht="15.75" hidden="1" customHeight="1">
      <c r="A32" s="3"/>
      <c r="B32" s="3"/>
      <c r="C32" s="3"/>
      <c r="D32" s="3"/>
      <c r="E32" s="175"/>
      <c r="F32" s="3"/>
      <c r="G32" s="3"/>
      <c r="H32" s="3"/>
      <c r="I32" s="3"/>
      <c r="J32" s="3"/>
      <c r="K32" s="175">
        <f>+O30+S30+W30+AA30+AE30+AI30+AM30+AQ30+AU30+AY30+BC30+BG30</f>
        <v>17422526.73</v>
      </c>
      <c r="L32" s="3"/>
      <c r="M32" s="175" t="str">
        <f>+Q30+U30+Y30+AC30+AG30+AK30+AO30+AS30+AW30+BA30+BE30+BI30</f>
        <v>#REF!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175">
        <f>MSBC!BL142</f>
        <v>163801.2087</v>
      </c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ht="15.75" customHeight="1">
      <c r="A33" s="3"/>
      <c r="B33" s="3"/>
      <c r="C33" s="3"/>
      <c r="D33" s="3"/>
      <c r="E33" s="175"/>
      <c r="F33" s="3"/>
      <c r="G33" s="3"/>
      <c r="H33" s="3"/>
      <c r="I33" s="3"/>
      <c r="J33" s="3"/>
      <c r="K33" s="175">
        <f>+K30-K32</f>
        <v>0.000000003725290298</v>
      </c>
      <c r="L33" s="3"/>
      <c r="M33" s="175" t="str">
        <f>+M30-M32</f>
        <v>#REF!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</row>
    <row r="34" ht="15.75" customHeight="1">
      <c r="A34" s="3"/>
      <c r="B34" s="3"/>
      <c r="C34" s="3"/>
      <c r="D34" s="3"/>
      <c r="E34" s="175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</row>
    <row r="35" ht="15.75" customHeight="1">
      <c r="A35" s="3"/>
      <c r="B35" s="3"/>
      <c r="C35" s="3"/>
      <c r="D35" s="3"/>
      <c r="E35" s="175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</row>
    <row r="36" ht="15.75" customHeight="1">
      <c r="A36" s="3"/>
      <c r="B36" s="3"/>
      <c r="C36" s="3"/>
      <c r="D36" s="3"/>
      <c r="E36" s="175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</row>
    <row r="37" ht="15.75" customHeight="1">
      <c r="A37" s="3"/>
      <c r="B37" s="3"/>
      <c r="C37" s="3"/>
      <c r="D37" s="3"/>
      <c r="E37" s="17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</row>
    <row r="38" ht="15.75" customHeight="1">
      <c r="A38" s="3"/>
      <c r="B38" s="3"/>
      <c r="C38" s="3"/>
      <c r="D38" s="3"/>
      <c r="E38" s="175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</row>
    <row r="39" ht="15.75" customHeight="1">
      <c r="A39" s="3"/>
      <c r="B39" s="3"/>
      <c r="C39" s="3"/>
      <c r="D39" s="3"/>
      <c r="E39" s="175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</row>
    <row r="40" ht="15.75" customHeight="1">
      <c r="A40" s="3"/>
      <c r="B40" s="3"/>
      <c r="C40" s="3"/>
      <c r="D40" s="3"/>
      <c r="E40" s="175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</row>
    <row r="41" ht="15.75" customHeight="1">
      <c r="A41" s="3"/>
      <c r="B41" s="3"/>
      <c r="C41" s="3"/>
      <c r="D41" s="3"/>
      <c r="E41" s="175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</row>
    <row r="42" ht="15.75" customHeight="1">
      <c r="A42" s="3"/>
      <c r="B42" s="3"/>
      <c r="C42" s="3"/>
      <c r="D42" s="3"/>
      <c r="E42" s="175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</row>
    <row r="43" ht="15.75" customHeight="1">
      <c r="A43" s="3"/>
      <c r="B43" s="3"/>
      <c r="C43" s="3"/>
      <c r="D43" s="3"/>
      <c r="E43" s="175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</row>
    <row r="44" ht="15.75" customHeight="1">
      <c r="A44" s="3"/>
      <c r="B44" s="3"/>
      <c r="C44" s="3"/>
      <c r="D44" s="3"/>
      <c r="E44" s="175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</row>
    <row r="45" ht="15.75" customHeight="1">
      <c r="A45" s="3"/>
      <c r="B45" s="3"/>
      <c r="C45" s="3"/>
      <c r="D45" s="3"/>
      <c r="E45" s="175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</row>
    <row r="46" ht="15.75" customHeight="1">
      <c r="A46" s="3"/>
      <c r="B46" s="3"/>
      <c r="C46" s="3"/>
      <c r="D46" s="3"/>
      <c r="E46" s="175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</row>
    <row r="47" ht="15.75" customHeight="1">
      <c r="A47" s="3"/>
      <c r="B47" s="3"/>
      <c r="C47" s="3"/>
      <c r="D47" s="3"/>
      <c r="E47" s="175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</row>
    <row r="48" ht="15.75" customHeight="1">
      <c r="A48" s="3"/>
      <c r="B48" s="3"/>
      <c r="C48" s="3"/>
      <c r="D48" s="3"/>
      <c r="E48" s="175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</row>
    <row r="49" ht="15.75" customHeight="1">
      <c r="A49" s="3"/>
      <c r="B49" s="3"/>
      <c r="C49" s="3"/>
      <c r="D49" s="3"/>
      <c r="E49" s="175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</row>
    <row r="50" ht="15.75" customHeight="1">
      <c r="A50" s="3"/>
      <c r="B50" s="3"/>
      <c r="C50" s="3"/>
      <c r="D50" s="3"/>
      <c r="E50" s="17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</row>
    <row r="51" ht="15.75" customHeight="1">
      <c r="A51" s="3"/>
      <c r="B51" s="3"/>
      <c r="C51" s="3"/>
      <c r="D51" s="3"/>
      <c r="E51" s="175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</row>
    <row r="52" ht="15.75" customHeight="1">
      <c r="A52" s="3"/>
      <c r="B52" s="3"/>
      <c r="C52" s="3"/>
      <c r="D52" s="3"/>
      <c r="E52" s="175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</row>
    <row r="53" ht="15.75" customHeight="1">
      <c r="A53" s="3"/>
      <c r="B53" s="3"/>
      <c r="C53" s="3"/>
      <c r="D53" s="3"/>
      <c r="E53" s="175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</row>
    <row r="54" ht="15.75" customHeight="1">
      <c r="A54" s="3"/>
      <c r="B54" s="3"/>
      <c r="C54" s="3"/>
      <c r="D54" s="3"/>
      <c r="E54" s="175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</row>
    <row r="55" ht="15.75" customHeight="1">
      <c r="A55" s="3"/>
      <c r="B55" s="3"/>
      <c r="C55" s="3"/>
      <c r="D55" s="3"/>
      <c r="E55" s="175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</row>
    <row r="56" ht="15.75" customHeight="1">
      <c r="A56" s="3"/>
      <c r="B56" s="3"/>
      <c r="C56" s="3"/>
      <c r="D56" s="3"/>
      <c r="E56" s="17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ht="15.75" customHeight="1">
      <c r="A57" s="3"/>
      <c r="B57" s="3"/>
      <c r="C57" s="3"/>
      <c r="D57" s="3"/>
      <c r="E57" s="175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</row>
    <row r="58" ht="15.75" customHeight="1">
      <c r="A58" s="3"/>
      <c r="B58" s="3"/>
      <c r="C58" s="3"/>
      <c r="D58" s="3"/>
      <c r="E58" s="175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</row>
    <row r="59" ht="15.75" customHeight="1">
      <c r="A59" s="3"/>
      <c r="B59" s="3"/>
      <c r="C59" s="3"/>
      <c r="D59" s="3"/>
      <c r="E59" s="175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</row>
    <row r="60" ht="15.75" customHeight="1">
      <c r="A60" s="3"/>
      <c r="B60" s="3"/>
      <c r="C60" s="3"/>
      <c r="D60" s="3"/>
      <c r="E60" s="175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</row>
    <row r="61" ht="15.75" customHeight="1">
      <c r="A61" s="3"/>
      <c r="B61" s="3"/>
      <c r="C61" s="3"/>
      <c r="D61" s="3"/>
      <c r="E61" s="175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</row>
    <row r="62" ht="15.75" customHeight="1">
      <c r="A62" s="3"/>
      <c r="B62" s="3"/>
      <c r="C62" s="3"/>
      <c r="D62" s="3"/>
      <c r="E62" s="17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</row>
    <row r="63" ht="15.75" customHeight="1">
      <c r="A63" s="3"/>
      <c r="B63" s="3"/>
      <c r="C63" s="3"/>
      <c r="D63" s="3"/>
      <c r="E63" s="17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</row>
    <row r="64" ht="15.75" customHeight="1">
      <c r="A64" s="3"/>
      <c r="B64" s="3"/>
      <c r="C64" s="3"/>
      <c r="D64" s="3"/>
      <c r="E64" s="17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</row>
    <row r="65" ht="15.75" customHeight="1">
      <c r="A65" s="3"/>
      <c r="B65" s="3"/>
      <c r="C65" s="3"/>
      <c r="D65" s="3"/>
      <c r="E65" s="17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</row>
    <row r="66" ht="15.75" customHeight="1">
      <c r="A66" s="3"/>
      <c r="B66" s="3"/>
      <c r="C66" s="3"/>
      <c r="D66" s="3"/>
      <c r="E66" s="17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</row>
    <row r="67" ht="15.75" customHeight="1">
      <c r="A67" s="3"/>
      <c r="B67" s="3"/>
      <c r="C67" s="3"/>
      <c r="D67" s="3"/>
      <c r="E67" s="17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</row>
    <row r="68" ht="15.75" customHeight="1">
      <c r="A68" s="3"/>
      <c r="B68" s="3"/>
      <c r="C68" s="3"/>
      <c r="D68" s="3"/>
      <c r="E68" s="17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</row>
    <row r="69" ht="15.75" customHeight="1">
      <c r="A69" s="3"/>
      <c r="B69" s="3"/>
      <c r="C69" s="3"/>
      <c r="D69" s="3"/>
      <c r="E69" s="17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</row>
    <row r="70" ht="15.75" customHeight="1">
      <c r="A70" s="3"/>
      <c r="B70" s="3"/>
      <c r="C70" s="3"/>
      <c r="D70" s="3"/>
      <c r="E70" s="17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</row>
    <row r="71" ht="15.75" customHeight="1">
      <c r="A71" s="3"/>
      <c r="B71" s="3"/>
      <c r="C71" s="3"/>
      <c r="D71" s="3"/>
      <c r="E71" s="17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</row>
    <row r="72" ht="15.75" customHeight="1">
      <c r="A72" s="3"/>
      <c r="B72" s="3"/>
      <c r="C72" s="3"/>
      <c r="D72" s="3"/>
      <c r="E72" s="17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</row>
    <row r="73" ht="15.75" customHeight="1">
      <c r="A73" s="3"/>
      <c r="B73" s="3"/>
      <c r="C73" s="3"/>
      <c r="D73" s="3"/>
      <c r="E73" s="17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</row>
    <row r="74" ht="15.75" customHeight="1">
      <c r="A74" s="3"/>
      <c r="B74" s="3"/>
      <c r="C74" s="3"/>
      <c r="D74" s="3"/>
      <c r="E74" s="17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</row>
    <row r="75" ht="15.75" customHeight="1">
      <c r="A75" s="3"/>
      <c r="B75" s="3"/>
      <c r="C75" s="3"/>
      <c r="D75" s="3"/>
      <c r="E75" s="17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</row>
    <row r="76" ht="15.75" customHeight="1">
      <c r="A76" s="3"/>
      <c r="B76" s="3"/>
      <c r="C76" s="3"/>
      <c r="D76" s="3"/>
      <c r="E76" s="17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</row>
    <row r="77" ht="15.75" customHeight="1">
      <c r="A77" s="3"/>
      <c r="B77" s="3"/>
      <c r="C77" s="3"/>
      <c r="D77" s="3"/>
      <c r="E77" s="17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</row>
    <row r="78" ht="15.75" customHeight="1">
      <c r="A78" s="3"/>
      <c r="B78" s="3"/>
      <c r="C78" s="3"/>
      <c r="D78" s="3"/>
      <c r="E78" s="17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</row>
    <row r="79" ht="15.75" customHeight="1">
      <c r="A79" s="3"/>
      <c r="B79" s="3"/>
      <c r="C79" s="3"/>
      <c r="D79" s="3"/>
      <c r="E79" s="17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</row>
    <row r="80" ht="15.75" customHeight="1">
      <c r="A80" s="3"/>
      <c r="B80" s="3"/>
      <c r="C80" s="3"/>
      <c r="D80" s="3"/>
      <c r="E80" s="17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</row>
    <row r="81" ht="15.75" customHeight="1">
      <c r="A81" s="3"/>
      <c r="B81" s="3"/>
      <c r="C81" s="3"/>
      <c r="D81" s="3"/>
      <c r="E81" s="17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</row>
    <row r="82" ht="15.75" customHeight="1">
      <c r="A82" s="3"/>
      <c r="B82" s="3"/>
      <c r="C82" s="3"/>
      <c r="D82" s="3"/>
      <c r="E82" s="17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</row>
    <row r="83" ht="15.75" customHeight="1">
      <c r="A83" s="3"/>
      <c r="B83" s="3"/>
      <c r="C83" s="3"/>
      <c r="D83" s="3"/>
      <c r="E83" s="17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</row>
    <row r="84" ht="15.75" customHeight="1">
      <c r="A84" s="3"/>
      <c r="B84" s="3"/>
      <c r="C84" s="3"/>
      <c r="D84" s="3"/>
      <c r="E84" s="17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</row>
    <row r="85" ht="15.75" customHeight="1">
      <c r="A85" s="3"/>
      <c r="B85" s="3"/>
      <c r="C85" s="3"/>
      <c r="D85" s="3"/>
      <c r="E85" s="17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</row>
    <row r="86" ht="15.75" customHeight="1">
      <c r="A86" s="3"/>
      <c r="B86" s="3"/>
      <c r="C86" s="3"/>
      <c r="D86" s="3"/>
      <c r="E86" s="17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</row>
    <row r="87" ht="15.75" customHeight="1">
      <c r="A87" s="3"/>
      <c r="B87" s="3"/>
      <c r="C87" s="3"/>
      <c r="D87" s="3"/>
      <c r="E87" s="17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</row>
    <row r="88" ht="15.75" customHeight="1">
      <c r="A88" s="3"/>
      <c r="B88" s="3"/>
      <c r="C88" s="3"/>
      <c r="D88" s="3"/>
      <c r="E88" s="17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</row>
    <row r="89" ht="15.75" customHeight="1">
      <c r="A89" s="3"/>
      <c r="B89" s="3"/>
      <c r="C89" s="3"/>
      <c r="D89" s="3"/>
      <c r="E89" s="17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</row>
    <row r="90" ht="15.75" customHeight="1">
      <c r="A90" s="3"/>
      <c r="B90" s="3"/>
      <c r="C90" s="3"/>
      <c r="D90" s="3"/>
      <c r="E90" s="17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</row>
    <row r="91" ht="15.75" customHeight="1">
      <c r="A91" s="3"/>
      <c r="B91" s="3"/>
      <c r="C91" s="3"/>
      <c r="D91" s="3"/>
      <c r="E91" s="17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</row>
    <row r="92" ht="15.75" customHeight="1">
      <c r="A92" s="3"/>
      <c r="B92" s="3"/>
      <c r="C92" s="3"/>
      <c r="D92" s="3"/>
      <c r="E92" s="17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</row>
    <row r="93" ht="15.75" customHeight="1">
      <c r="A93" s="3"/>
      <c r="B93" s="3"/>
      <c r="C93" s="3"/>
      <c r="D93" s="3"/>
      <c r="E93" s="17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</row>
    <row r="94" ht="15.75" customHeight="1">
      <c r="A94" s="3"/>
      <c r="B94" s="3"/>
      <c r="C94" s="3"/>
      <c r="D94" s="3"/>
      <c r="E94" s="17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</row>
    <row r="95" ht="15.75" customHeight="1">
      <c r="A95" s="3"/>
      <c r="B95" s="3"/>
      <c r="C95" s="3"/>
      <c r="D95" s="3"/>
      <c r="E95" s="17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</row>
    <row r="96" ht="15.75" customHeight="1">
      <c r="A96" s="3"/>
      <c r="B96" s="3"/>
      <c r="C96" s="3"/>
      <c r="D96" s="3"/>
      <c r="E96" s="17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</row>
    <row r="97" ht="15.75" customHeight="1">
      <c r="A97" s="3"/>
      <c r="B97" s="3"/>
      <c r="C97" s="3"/>
      <c r="D97" s="3"/>
      <c r="E97" s="17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</row>
    <row r="98" ht="15.75" customHeight="1">
      <c r="A98" s="3"/>
      <c r="B98" s="3"/>
      <c r="C98" s="3"/>
      <c r="D98" s="3"/>
      <c r="E98" s="17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</row>
    <row r="99" ht="15.75" customHeight="1">
      <c r="A99" s="3"/>
      <c r="B99" s="3"/>
      <c r="C99" s="3"/>
      <c r="D99" s="3"/>
      <c r="E99" s="17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</row>
    <row r="100" ht="15.75" customHeight="1">
      <c r="A100" s="3"/>
      <c r="B100" s="3"/>
      <c r="C100" s="3"/>
      <c r="D100" s="3"/>
      <c r="E100" s="175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</row>
    <row r="101" ht="15.75" customHeight="1">
      <c r="A101" s="3"/>
      <c r="B101" s="3"/>
      <c r="C101" s="3"/>
      <c r="D101" s="3"/>
      <c r="E101" s="175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</row>
    <row r="102" ht="15.75" customHeight="1">
      <c r="A102" s="3"/>
      <c r="B102" s="3"/>
      <c r="C102" s="3"/>
      <c r="D102" s="3"/>
      <c r="E102" s="175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</row>
    <row r="103" ht="15.75" customHeight="1">
      <c r="A103" s="3"/>
      <c r="B103" s="3"/>
      <c r="C103" s="3"/>
      <c r="D103" s="3"/>
      <c r="E103" s="175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</row>
    <row r="104" ht="15.75" customHeight="1">
      <c r="A104" s="3"/>
      <c r="B104" s="3"/>
      <c r="C104" s="3"/>
      <c r="D104" s="3"/>
      <c r="E104" s="175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</row>
    <row r="105" ht="15.75" customHeight="1">
      <c r="A105" s="3"/>
      <c r="B105" s="3"/>
      <c r="C105" s="3"/>
      <c r="D105" s="3"/>
      <c r="E105" s="175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</row>
    <row r="106" ht="15.75" customHeight="1">
      <c r="A106" s="3"/>
      <c r="B106" s="3"/>
      <c r="C106" s="3"/>
      <c r="D106" s="3"/>
      <c r="E106" s="175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</row>
    <row r="107" ht="15.75" customHeight="1">
      <c r="A107" s="3"/>
      <c r="B107" s="3"/>
      <c r="C107" s="3"/>
      <c r="D107" s="3"/>
      <c r="E107" s="175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</row>
    <row r="108" ht="15.75" customHeight="1">
      <c r="A108" s="3"/>
      <c r="B108" s="3"/>
      <c r="C108" s="3"/>
      <c r="D108" s="3"/>
      <c r="E108" s="175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</row>
    <row r="109" ht="15.75" customHeight="1">
      <c r="A109" s="3"/>
      <c r="B109" s="3"/>
      <c r="C109" s="3"/>
      <c r="D109" s="3"/>
      <c r="E109" s="175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</row>
    <row r="110" ht="15.75" customHeight="1">
      <c r="A110" s="3"/>
      <c r="B110" s="3"/>
      <c r="C110" s="3"/>
      <c r="D110" s="3"/>
      <c r="E110" s="175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ht="15.75" customHeight="1">
      <c r="A111" s="3"/>
      <c r="B111" s="3"/>
      <c r="C111" s="3"/>
      <c r="D111" s="3"/>
      <c r="E111" s="175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ht="15.75" customHeight="1">
      <c r="A112" s="3"/>
      <c r="B112" s="3"/>
      <c r="C112" s="3"/>
      <c r="D112" s="3"/>
      <c r="E112" s="175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</row>
    <row r="113" ht="15.75" customHeight="1">
      <c r="A113" s="3"/>
      <c r="B113" s="3"/>
      <c r="C113" s="3"/>
      <c r="D113" s="3"/>
      <c r="E113" s="175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ht="15.75" customHeight="1">
      <c r="A114" s="3"/>
      <c r="B114" s="3"/>
      <c r="C114" s="3"/>
      <c r="D114" s="3"/>
      <c r="E114" s="175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</row>
    <row r="115" ht="15.75" customHeight="1">
      <c r="A115" s="3"/>
      <c r="B115" s="3"/>
      <c r="C115" s="3"/>
      <c r="D115" s="3"/>
      <c r="E115" s="175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</row>
    <row r="116" ht="15.75" customHeight="1">
      <c r="A116" s="3"/>
      <c r="B116" s="3"/>
      <c r="C116" s="3"/>
      <c r="D116" s="3"/>
      <c r="E116" s="175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ht="15.75" customHeight="1">
      <c r="A117" s="3"/>
      <c r="B117" s="3"/>
      <c r="C117" s="3"/>
      <c r="D117" s="3"/>
      <c r="E117" s="175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</row>
    <row r="118" ht="15.75" customHeight="1">
      <c r="A118" s="3"/>
      <c r="B118" s="3"/>
      <c r="C118" s="3"/>
      <c r="D118" s="3"/>
      <c r="E118" s="175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ht="15.75" customHeight="1">
      <c r="A119" s="3"/>
      <c r="B119" s="3"/>
      <c r="C119" s="3"/>
      <c r="D119" s="3"/>
      <c r="E119" s="175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ht="15.75" customHeight="1">
      <c r="A120" s="3"/>
      <c r="B120" s="3"/>
      <c r="C120" s="3"/>
      <c r="D120" s="3"/>
      <c r="E120" s="175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</row>
    <row r="121" ht="15.75" customHeight="1">
      <c r="A121" s="3"/>
      <c r="B121" s="3"/>
      <c r="C121" s="3"/>
      <c r="D121" s="3"/>
      <c r="E121" s="175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ht="15.75" customHeight="1">
      <c r="A122" s="3"/>
      <c r="B122" s="3"/>
      <c r="C122" s="3"/>
      <c r="D122" s="3"/>
      <c r="E122" s="175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ht="15.75" customHeight="1">
      <c r="A123" s="3"/>
      <c r="B123" s="3"/>
      <c r="C123" s="3"/>
      <c r="D123" s="3"/>
      <c r="E123" s="175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ht="15.75" customHeight="1">
      <c r="A124" s="3"/>
      <c r="B124" s="3"/>
      <c r="C124" s="3"/>
      <c r="D124" s="3"/>
      <c r="E124" s="175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ht="15.75" customHeight="1">
      <c r="A125" s="3"/>
      <c r="B125" s="3"/>
      <c r="C125" s="3"/>
      <c r="D125" s="3"/>
      <c r="E125" s="175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</row>
    <row r="126" ht="15.75" customHeight="1">
      <c r="A126" s="3"/>
      <c r="B126" s="3"/>
      <c r="C126" s="3"/>
      <c r="D126" s="3"/>
      <c r="E126" s="175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</row>
    <row r="127" ht="15.75" customHeight="1">
      <c r="A127" s="3"/>
      <c r="B127" s="3"/>
      <c r="C127" s="3"/>
      <c r="D127" s="3"/>
      <c r="E127" s="175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</row>
    <row r="128" ht="15.75" customHeight="1">
      <c r="A128" s="3"/>
      <c r="B128" s="3"/>
      <c r="C128" s="3"/>
      <c r="D128" s="3"/>
      <c r="E128" s="175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ht="15.75" customHeight="1">
      <c r="A129" s="3"/>
      <c r="B129" s="3"/>
      <c r="C129" s="3"/>
      <c r="D129" s="3"/>
      <c r="E129" s="175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A130" s="3"/>
      <c r="B130" s="3"/>
      <c r="C130" s="3"/>
      <c r="D130" s="3"/>
      <c r="E130" s="175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A131" s="3"/>
      <c r="B131" s="3"/>
      <c r="C131" s="3"/>
      <c r="D131" s="3"/>
      <c r="E131" s="175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A132" s="3"/>
      <c r="B132" s="3"/>
      <c r="C132" s="3"/>
      <c r="D132" s="3"/>
      <c r="E132" s="175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A133" s="3"/>
      <c r="B133" s="3"/>
      <c r="C133" s="3"/>
      <c r="D133" s="3"/>
      <c r="E133" s="175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A134" s="3"/>
      <c r="B134" s="3"/>
      <c r="C134" s="3"/>
      <c r="D134" s="3"/>
      <c r="E134" s="175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A135" s="3"/>
      <c r="B135" s="3"/>
      <c r="C135" s="3"/>
      <c r="D135" s="3"/>
      <c r="E135" s="175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A136" s="3"/>
      <c r="B136" s="3"/>
      <c r="C136" s="3"/>
      <c r="D136" s="3"/>
      <c r="E136" s="175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A137" s="3"/>
      <c r="B137" s="3"/>
      <c r="C137" s="3"/>
      <c r="D137" s="3"/>
      <c r="E137" s="175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A138" s="3"/>
      <c r="B138" s="3"/>
      <c r="C138" s="3"/>
      <c r="D138" s="3"/>
      <c r="E138" s="175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A139" s="3"/>
      <c r="B139" s="3"/>
      <c r="C139" s="3"/>
      <c r="D139" s="3"/>
      <c r="E139" s="175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A140" s="3"/>
      <c r="B140" s="3"/>
      <c r="C140" s="3"/>
      <c r="D140" s="3"/>
      <c r="E140" s="175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A141" s="3"/>
      <c r="B141" s="3"/>
      <c r="C141" s="3"/>
      <c r="D141" s="3"/>
      <c r="E141" s="175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A142" s="3"/>
      <c r="B142" s="3"/>
      <c r="C142" s="3"/>
      <c r="D142" s="3"/>
      <c r="E142" s="175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A143" s="3"/>
      <c r="B143" s="3"/>
      <c r="C143" s="3"/>
      <c r="D143" s="3"/>
      <c r="E143" s="175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A144" s="3"/>
      <c r="B144" s="3"/>
      <c r="C144" s="3"/>
      <c r="D144" s="3"/>
      <c r="E144" s="175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A145" s="3"/>
      <c r="B145" s="3"/>
      <c r="C145" s="3"/>
      <c r="D145" s="3"/>
      <c r="E145" s="175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A146" s="3"/>
      <c r="B146" s="3"/>
      <c r="C146" s="3"/>
      <c r="D146" s="3"/>
      <c r="E146" s="175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A147" s="3"/>
      <c r="B147" s="3"/>
      <c r="C147" s="3"/>
      <c r="D147" s="3"/>
      <c r="E147" s="175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A148" s="3"/>
      <c r="B148" s="3"/>
      <c r="C148" s="3"/>
      <c r="D148" s="3"/>
      <c r="E148" s="175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A149" s="3"/>
      <c r="B149" s="3"/>
      <c r="C149" s="3"/>
      <c r="D149" s="3"/>
      <c r="E149" s="175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A150" s="3"/>
      <c r="B150" s="3"/>
      <c r="C150" s="3"/>
      <c r="D150" s="3"/>
      <c r="E150" s="175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A151" s="3"/>
      <c r="B151" s="3"/>
      <c r="C151" s="3"/>
      <c r="D151" s="3"/>
      <c r="E151" s="175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A152" s="3"/>
      <c r="B152" s="3"/>
      <c r="C152" s="3"/>
      <c r="D152" s="3"/>
      <c r="E152" s="175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A153" s="3"/>
      <c r="B153" s="3"/>
      <c r="C153" s="3"/>
      <c r="D153" s="3"/>
      <c r="E153" s="175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A154" s="3"/>
      <c r="B154" s="3"/>
      <c r="C154" s="3"/>
      <c r="D154" s="3"/>
      <c r="E154" s="175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A155" s="3"/>
      <c r="B155" s="3"/>
      <c r="C155" s="3"/>
      <c r="D155" s="3"/>
      <c r="E155" s="175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A156" s="3"/>
      <c r="B156" s="3"/>
      <c r="C156" s="3"/>
      <c r="D156" s="3"/>
      <c r="E156" s="175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A157" s="3"/>
      <c r="B157" s="3"/>
      <c r="C157" s="3"/>
      <c r="D157" s="3"/>
      <c r="E157" s="175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A158" s="3"/>
      <c r="B158" s="3"/>
      <c r="C158" s="3"/>
      <c r="D158" s="3"/>
      <c r="E158" s="175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A159" s="3"/>
      <c r="B159" s="3"/>
      <c r="C159" s="3"/>
      <c r="D159" s="3"/>
      <c r="E159" s="175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A160" s="3"/>
      <c r="B160" s="3"/>
      <c r="C160" s="3"/>
      <c r="D160" s="3"/>
      <c r="E160" s="175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A161" s="3"/>
      <c r="B161" s="3"/>
      <c r="C161" s="3"/>
      <c r="D161" s="3"/>
      <c r="E161" s="175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A162" s="3"/>
      <c r="B162" s="3"/>
      <c r="C162" s="3"/>
      <c r="D162" s="3"/>
      <c r="E162" s="175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A163" s="3"/>
      <c r="B163" s="3"/>
      <c r="C163" s="3"/>
      <c r="D163" s="3"/>
      <c r="E163" s="175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A164" s="3"/>
      <c r="B164" s="3"/>
      <c r="C164" s="3"/>
      <c r="D164" s="3"/>
      <c r="E164" s="175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A165" s="3"/>
      <c r="B165" s="3"/>
      <c r="C165" s="3"/>
      <c r="D165" s="3"/>
      <c r="E165" s="175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A166" s="3"/>
      <c r="B166" s="3"/>
      <c r="C166" s="3"/>
      <c r="D166" s="3"/>
      <c r="E166" s="175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A167" s="3"/>
      <c r="B167" s="3"/>
      <c r="C167" s="3"/>
      <c r="D167" s="3"/>
      <c r="E167" s="175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A168" s="3"/>
      <c r="B168" s="3"/>
      <c r="C168" s="3"/>
      <c r="D168" s="3"/>
      <c r="E168" s="175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A169" s="3"/>
      <c r="B169" s="3"/>
      <c r="C169" s="3"/>
      <c r="D169" s="3"/>
      <c r="E169" s="175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A170" s="3"/>
      <c r="B170" s="3"/>
      <c r="C170" s="3"/>
      <c r="D170" s="3"/>
      <c r="E170" s="175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A171" s="3"/>
      <c r="B171" s="3"/>
      <c r="C171" s="3"/>
      <c r="D171" s="3"/>
      <c r="E171" s="175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A172" s="3"/>
      <c r="B172" s="3"/>
      <c r="C172" s="3"/>
      <c r="D172" s="3"/>
      <c r="E172" s="175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A173" s="3"/>
      <c r="B173" s="3"/>
      <c r="C173" s="3"/>
      <c r="D173" s="3"/>
      <c r="E173" s="175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A174" s="3"/>
      <c r="B174" s="3"/>
      <c r="C174" s="3"/>
      <c r="D174" s="3"/>
      <c r="E174" s="175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A175" s="3"/>
      <c r="B175" s="3"/>
      <c r="C175" s="3"/>
      <c r="D175" s="3"/>
      <c r="E175" s="175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A176" s="3"/>
      <c r="B176" s="3"/>
      <c r="C176" s="3"/>
      <c r="D176" s="3"/>
      <c r="E176" s="175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A177" s="3"/>
      <c r="B177" s="3"/>
      <c r="C177" s="3"/>
      <c r="D177" s="3"/>
      <c r="E177" s="175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A178" s="3"/>
      <c r="B178" s="3"/>
      <c r="C178" s="3"/>
      <c r="D178" s="3"/>
      <c r="E178" s="175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A179" s="3"/>
      <c r="B179" s="3"/>
      <c r="C179" s="3"/>
      <c r="D179" s="3"/>
      <c r="E179" s="175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A180" s="3"/>
      <c r="B180" s="3"/>
      <c r="C180" s="3"/>
      <c r="D180" s="3"/>
      <c r="E180" s="175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A181" s="3"/>
      <c r="B181" s="3"/>
      <c r="C181" s="3"/>
      <c r="D181" s="3"/>
      <c r="E181" s="175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A182" s="3"/>
      <c r="B182" s="3"/>
      <c r="C182" s="3"/>
      <c r="D182" s="3"/>
      <c r="E182" s="175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A183" s="3"/>
      <c r="B183" s="3"/>
      <c r="C183" s="3"/>
      <c r="D183" s="3"/>
      <c r="E183" s="175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A184" s="3"/>
      <c r="B184" s="3"/>
      <c r="C184" s="3"/>
      <c r="D184" s="3"/>
      <c r="E184" s="175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A185" s="3"/>
      <c r="B185" s="3"/>
      <c r="C185" s="3"/>
      <c r="D185" s="3"/>
      <c r="E185" s="175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A186" s="3"/>
      <c r="B186" s="3"/>
      <c r="C186" s="3"/>
      <c r="D186" s="3"/>
      <c r="E186" s="175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A187" s="3"/>
      <c r="B187" s="3"/>
      <c r="C187" s="3"/>
      <c r="D187" s="3"/>
      <c r="E187" s="175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A188" s="3"/>
      <c r="B188" s="3"/>
      <c r="C188" s="3"/>
      <c r="D188" s="3"/>
      <c r="E188" s="175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A189" s="3"/>
      <c r="B189" s="3"/>
      <c r="C189" s="3"/>
      <c r="D189" s="3"/>
      <c r="E189" s="175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A190" s="3"/>
      <c r="B190" s="3"/>
      <c r="C190" s="3"/>
      <c r="D190" s="3"/>
      <c r="E190" s="175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A191" s="3"/>
      <c r="B191" s="3"/>
      <c r="C191" s="3"/>
      <c r="D191" s="3"/>
      <c r="E191" s="175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A192" s="3"/>
      <c r="B192" s="3"/>
      <c r="C192" s="3"/>
      <c r="D192" s="3"/>
      <c r="E192" s="175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A193" s="3"/>
      <c r="B193" s="3"/>
      <c r="C193" s="3"/>
      <c r="D193" s="3"/>
      <c r="E193" s="175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A194" s="3"/>
      <c r="B194" s="3"/>
      <c r="C194" s="3"/>
      <c r="D194" s="3"/>
      <c r="E194" s="175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A195" s="3"/>
      <c r="B195" s="3"/>
      <c r="C195" s="3"/>
      <c r="D195" s="3"/>
      <c r="E195" s="175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A196" s="3"/>
      <c r="B196" s="3"/>
      <c r="C196" s="3"/>
      <c r="D196" s="3"/>
      <c r="E196" s="175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A197" s="3"/>
      <c r="B197" s="3"/>
      <c r="C197" s="3"/>
      <c r="D197" s="3"/>
      <c r="E197" s="175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A198" s="3"/>
      <c r="B198" s="3"/>
      <c r="C198" s="3"/>
      <c r="D198" s="3"/>
      <c r="E198" s="175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A199" s="3"/>
      <c r="B199" s="3"/>
      <c r="C199" s="3"/>
      <c r="D199" s="3"/>
      <c r="E199" s="175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A200" s="3"/>
      <c r="B200" s="3"/>
      <c r="C200" s="3"/>
      <c r="D200" s="3"/>
      <c r="E200" s="175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A201" s="3"/>
      <c r="B201" s="3"/>
      <c r="C201" s="3"/>
      <c r="D201" s="3"/>
      <c r="E201" s="175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A202" s="3"/>
      <c r="B202" s="3"/>
      <c r="C202" s="3"/>
      <c r="D202" s="3"/>
      <c r="E202" s="175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A203" s="3"/>
      <c r="B203" s="3"/>
      <c r="C203" s="3"/>
      <c r="D203" s="3"/>
      <c r="E203" s="175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A204" s="3"/>
      <c r="B204" s="3"/>
      <c r="C204" s="3"/>
      <c r="D204" s="3"/>
      <c r="E204" s="175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A205" s="3"/>
      <c r="B205" s="3"/>
      <c r="C205" s="3"/>
      <c r="D205" s="3"/>
      <c r="E205" s="175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A206" s="3"/>
      <c r="B206" s="3"/>
      <c r="C206" s="3"/>
      <c r="D206" s="3"/>
      <c r="E206" s="175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A207" s="3"/>
      <c r="B207" s="3"/>
      <c r="C207" s="3"/>
      <c r="D207" s="3"/>
      <c r="E207" s="175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A208" s="3"/>
      <c r="B208" s="3"/>
      <c r="C208" s="3"/>
      <c r="D208" s="3"/>
      <c r="E208" s="175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A209" s="3"/>
      <c r="B209" s="3"/>
      <c r="C209" s="3"/>
      <c r="D209" s="3"/>
      <c r="E209" s="175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A210" s="3"/>
      <c r="B210" s="3"/>
      <c r="C210" s="3"/>
      <c r="D210" s="3"/>
      <c r="E210" s="175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A211" s="3"/>
      <c r="B211" s="3"/>
      <c r="C211" s="3"/>
      <c r="D211" s="3"/>
      <c r="E211" s="175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A212" s="3"/>
      <c r="B212" s="3"/>
      <c r="C212" s="3"/>
      <c r="D212" s="3"/>
      <c r="E212" s="175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A213" s="3"/>
      <c r="B213" s="3"/>
      <c r="C213" s="3"/>
      <c r="D213" s="3"/>
      <c r="E213" s="175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A214" s="3"/>
      <c r="B214" s="3"/>
      <c r="C214" s="3"/>
      <c r="D214" s="3"/>
      <c r="E214" s="175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A215" s="3"/>
      <c r="B215" s="3"/>
      <c r="C215" s="3"/>
      <c r="D215" s="3"/>
      <c r="E215" s="175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A216" s="3"/>
      <c r="B216" s="3"/>
      <c r="C216" s="3"/>
      <c r="D216" s="3"/>
      <c r="E216" s="175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A217" s="3"/>
      <c r="B217" s="3"/>
      <c r="C217" s="3"/>
      <c r="D217" s="3"/>
      <c r="E217" s="175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A218" s="3"/>
      <c r="B218" s="3"/>
      <c r="C218" s="3"/>
      <c r="D218" s="3"/>
      <c r="E218" s="175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A219" s="3"/>
      <c r="B219" s="3"/>
      <c r="C219" s="3"/>
      <c r="D219" s="3"/>
      <c r="E219" s="175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A220" s="3"/>
      <c r="B220" s="3"/>
      <c r="C220" s="3"/>
      <c r="D220" s="3"/>
      <c r="E220" s="175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A221" s="3"/>
      <c r="B221" s="3"/>
      <c r="C221" s="3"/>
      <c r="D221" s="3"/>
      <c r="E221" s="175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A222" s="3"/>
      <c r="B222" s="3"/>
      <c r="C222" s="3"/>
      <c r="D222" s="3"/>
      <c r="E222" s="175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A223" s="3"/>
      <c r="B223" s="3"/>
      <c r="C223" s="3"/>
      <c r="D223" s="3"/>
      <c r="E223" s="175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A224" s="3"/>
      <c r="B224" s="3"/>
      <c r="C224" s="3"/>
      <c r="D224" s="3"/>
      <c r="E224" s="175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A225" s="3"/>
      <c r="B225" s="3"/>
      <c r="C225" s="3"/>
      <c r="D225" s="3"/>
      <c r="E225" s="175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A226" s="3"/>
      <c r="B226" s="3"/>
      <c r="C226" s="3"/>
      <c r="D226" s="3"/>
      <c r="E226" s="175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A227" s="3"/>
      <c r="B227" s="3"/>
      <c r="C227" s="3"/>
      <c r="D227" s="3"/>
      <c r="E227" s="175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A228" s="3"/>
      <c r="B228" s="3"/>
      <c r="C228" s="3"/>
      <c r="D228" s="3"/>
      <c r="E228" s="175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A229" s="3"/>
      <c r="B229" s="3"/>
      <c r="C229" s="3"/>
      <c r="D229" s="3"/>
      <c r="E229" s="175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A230" s="3"/>
      <c r="B230" s="3"/>
      <c r="C230" s="3"/>
      <c r="D230" s="3"/>
      <c r="E230" s="175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A231" s="3"/>
      <c r="B231" s="3"/>
      <c r="C231" s="3"/>
      <c r="D231" s="3"/>
      <c r="E231" s="175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A232" s="3"/>
      <c r="B232" s="3"/>
      <c r="C232" s="3"/>
      <c r="D232" s="3"/>
      <c r="E232" s="175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A233" s="3"/>
      <c r="B233" s="3"/>
      <c r="C233" s="3"/>
      <c r="D233" s="3"/>
      <c r="E233" s="175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A234" s="3"/>
      <c r="B234" s="3"/>
      <c r="C234" s="3"/>
      <c r="D234" s="3"/>
      <c r="E234" s="175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A235" s="3"/>
      <c r="B235" s="3"/>
      <c r="C235" s="3"/>
      <c r="D235" s="3"/>
      <c r="E235" s="175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A236" s="3"/>
      <c r="B236" s="3"/>
      <c r="C236" s="3"/>
      <c r="D236" s="3"/>
      <c r="E236" s="175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A237" s="3"/>
      <c r="B237" s="3"/>
      <c r="C237" s="3"/>
      <c r="D237" s="3"/>
      <c r="E237" s="175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A238" s="3"/>
      <c r="B238" s="3"/>
      <c r="C238" s="3"/>
      <c r="D238" s="3"/>
      <c r="E238" s="175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A239" s="3"/>
      <c r="B239" s="3"/>
      <c r="C239" s="3"/>
      <c r="D239" s="3"/>
      <c r="E239" s="175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A240" s="3"/>
      <c r="B240" s="3"/>
      <c r="C240" s="3"/>
      <c r="D240" s="3"/>
      <c r="E240" s="175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A241" s="3"/>
      <c r="B241" s="3"/>
      <c r="C241" s="3"/>
      <c r="D241" s="3"/>
      <c r="E241" s="175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A242" s="3"/>
      <c r="B242" s="3"/>
      <c r="C242" s="3"/>
      <c r="D242" s="3"/>
      <c r="E242" s="175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A243" s="3"/>
      <c r="B243" s="3"/>
      <c r="C243" s="3"/>
      <c r="D243" s="3"/>
      <c r="E243" s="175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A244" s="3"/>
      <c r="B244" s="3"/>
      <c r="C244" s="3"/>
      <c r="D244" s="3"/>
      <c r="E244" s="175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A245" s="3"/>
      <c r="B245" s="3"/>
      <c r="C245" s="3"/>
      <c r="D245" s="3"/>
      <c r="E245" s="175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A246" s="3"/>
      <c r="B246" s="3"/>
      <c r="C246" s="3"/>
      <c r="D246" s="3"/>
      <c r="E246" s="175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A247" s="3"/>
      <c r="B247" s="3"/>
      <c r="C247" s="3"/>
      <c r="D247" s="3"/>
      <c r="E247" s="175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A248" s="3"/>
      <c r="B248" s="3"/>
      <c r="C248" s="3"/>
      <c r="D248" s="3"/>
      <c r="E248" s="175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A249" s="3"/>
      <c r="B249" s="3"/>
      <c r="C249" s="3"/>
      <c r="D249" s="3"/>
      <c r="E249" s="175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A250" s="3"/>
      <c r="B250" s="3"/>
      <c r="C250" s="3"/>
      <c r="D250" s="3"/>
      <c r="E250" s="175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A251" s="3"/>
      <c r="B251" s="3"/>
      <c r="C251" s="3"/>
      <c r="D251" s="3"/>
      <c r="E251" s="175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A252" s="3"/>
      <c r="B252" s="3"/>
      <c r="C252" s="3"/>
      <c r="D252" s="3"/>
      <c r="E252" s="175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A253" s="3"/>
      <c r="B253" s="3"/>
      <c r="C253" s="3"/>
      <c r="D253" s="3"/>
      <c r="E253" s="175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A254" s="3"/>
      <c r="B254" s="3"/>
      <c r="C254" s="3"/>
      <c r="D254" s="3"/>
      <c r="E254" s="175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A255" s="3"/>
      <c r="B255" s="3"/>
      <c r="C255" s="3"/>
      <c r="D255" s="3"/>
      <c r="E255" s="175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A256" s="3"/>
      <c r="B256" s="3"/>
      <c r="C256" s="3"/>
      <c r="D256" s="3"/>
      <c r="E256" s="175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A257" s="3"/>
      <c r="B257" s="3"/>
      <c r="C257" s="3"/>
      <c r="D257" s="3"/>
      <c r="E257" s="175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A258" s="3"/>
      <c r="B258" s="3"/>
      <c r="C258" s="3"/>
      <c r="D258" s="3"/>
      <c r="E258" s="175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A259" s="3"/>
      <c r="B259" s="3"/>
      <c r="C259" s="3"/>
      <c r="D259" s="3"/>
      <c r="E259" s="175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A260" s="3"/>
      <c r="B260" s="3"/>
      <c r="C260" s="3"/>
      <c r="D260" s="3"/>
      <c r="E260" s="175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A261" s="3"/>
      <c r="B261" s="3"/>
      <c r="C261" s="3"/>
      <c r="D261" s="3"/>
      <c r="E261" s="175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A262" s="3"/>
      <c r="B262" s="3"/>
      <c r="C262" s="3"/>
      <c r="D262" s="3"/>
      <c r="E262" s="175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A263" s="3"/>
      <c r="B263" s="3"/>
      <c r="C263" s="3"/>
      <c r="D263" s="3"/>
      <c r="E263" s="175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A264" s="3"/>
      <c r="B264" s="3"/>
      <c r="C264" s="3"/>
      <c r="D264" s="3"/>
      <c r="E264" s="175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A265" s="3"/>
      <c r="B265" s="3"/>
      <c r="C265" s="3"/>
      <c r="D265" s="3"/>
      <c r="E265" s="175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A266" s="3"/>
      <c r="B266" s="3"/>
      <c r="C266" s="3"/>
      <c r="D266" s="3"/>
      <c r="E266" s="175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A267" s="3"/>
      <c r="B267" s="3"/>
      <c r="C267" s="3"/>
      <c r="D267" s="3"/>
      <c r="E267" s="175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A268" s="3"/>
      <c r="B268" s="3"/>
      <c r="C268" s="3"/>
      <c r="D268" s="3"/>
      <c r="E268" s="175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A269" s="3"/>
      <c r="B269" s="3"/>
      <c r="C269" s="3"/>
      <c r="D269" s="3"/>
      <c r="E269" s="175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A270" s="3"/>
      <c r="B270" s="3"/>
      <c r="C270" s="3"/>
      <c r="D270" s="3"/>
      <c r="E270" s="175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A271" s="3"/>
      <c r="B271" s="3"/>
      <c r="C271" s="3"/>
      <c r="D271" s="3"/>
      <c r="E271" s="175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A272" s="3"/>
      <c r="B272" s="3"/>
      <c r="C272" s="3"/>
      <c r="D272" s="3"/>
      <c r="E272" s="175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A273" s="3"/>
      <c r="B273" s="3"/>
      <c r="C273" s="3"/>
      <c r="D273" s="3"/>
      <c r="E273" s="175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A274" s="3"/>
      <c r="B274" s="3"/>
      <c r="C274" s="3"/>
      <c r="D274" s="3"/>
      <c r="E274" s="175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A275" s="3"/>
      <c r="B275" s="3"/>
      <c r="C275" s="3"/>
      <c r="D275" s="3"/>
      <c r="E275" s="175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A276" s="3"/>
      <c r="B276" s="3"/>
      <c r="C276" s="3"/>
      <c r="D276" s="3"/>
      <c r="E276" s="175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A277" s="3"/>
      <c r="B277" s="3"/>
      <c r="C277" s="3"/>
      <c r="D277" s="3"/>
      <c r="E277" s="175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A278" s="3"/>
      <c r="B278" s="3"/>
      <c r="C278" s="3"/>
      <c r="D278" s="3"/>
      <c r="E278" s="175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A279" s="3"/>
      <c r="B279" s="3"/>
      <c r="C279" s="3"/>
      <c r="D279" s="3"/>
      <c r="E279" s="175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A280" s="3"/>
      <c r="B280" s="3"/>
      <c r="C280" s="3"/>
      <c r="D280" s="3"/>
      <c r="E280" s="175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A281" s="3"/>
      <c r="B281" s="3"/>
      <c r="C281" s="3"/>
      <c r="D281" s="3"/>
      <c r="E281" s="175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A282" s="3"/>
      <c r="B282" s="3"/>
      <c r="C282" s="3"/>
      <c r="D282" s="3"/>
      <c r="E282" s="175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A283" s="3"/>
      <c r="B283" s="3"/>
      <c r="C283" s="3"/>
      <c r="D283" s="3"/>
      <c r="E283" s="175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A284" s="3"/>
      <c r="B284" s="3"/>
      <c r="C284" s="3"/>
      <c r="D284" s="3"/>
      <c r="E284" s="175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A285" s="3"/>
      <c r="B285" s="3"/>
      <c r="C285" s="3"/>
      <c r="D285" s="3"/>
      <c r="E285" s="175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A286" s="3"/>
      <c r="B286" s="3"/>
      <c r="C286" s="3"/>
      <c r="D286" s="3"/>
      <c r="E286" s="175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A287" s="3"/>
      <c r="B287" s="3"/>
      <c r="C287" s="3"/>
      <c r="D287" s="3"/>
      <c r="E287" s="175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A288" s="3"/>
      <c r="B288" s="3"/>
      <c r="C288" s="3"/>
      <c r="D288" s="3"/>
      <c r="E288" s="175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A289" s="3"/>
      <c r="B289" s="3"/>
      <c r="C289" s="3"/>
      <c r="D289" s="3"/>
      <c r="E289" s="175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A290" s="3"/>
      <c r="B290" s="3"/>
      <c r="C290" s="3"/>
      <c r="D290" s="3"/>
      <c r="E290" s="175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A291" s="3"/>
      <c r="B291" s="3"/>
      <c r="C291" s="3"/>
      <c r="D291" s="3"/>
      <c r="E291" s="175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A292" s="3"/>
      <c r="B292" s="3"/>
      <c r="C292" s="3"/>
      <c r="D292" s="3"/>
      <c r="E292" s="175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A293" s="3"/>
      <c r="B293" s="3"/>
      <c r="C293" s="3"/>
      <c r="D293" s="3"/>
      <c r="E293" s="175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A294" s="3"/>
      <c r="B294" s="3"/>
      <c r="C294" s="3"/>
      <c r="D294" s="3"/>
      <c r="E294" s="175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A295" s="3"/>
      <c r="B295" s="3"/>
      <c r="C295" s="3"/>
      <c r="D295" s="3"/>
      <c r="E295" s="175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A296" s="3"/>
      <c r="B296" s="3"/>
      <c r="C296" s="3"/>
      <c r="D296" s="3"/>
      <c r="E296" s="175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A297" s="3"/>
      <c r="B297" s="3"/>
      <c r="C297" s="3"/>
      <c r="D297" s="3"/>
      <c r="E297" s="175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A298" s="3"/>
      <c r="B298" s="3"/>
      <c r="C298" s="3"/>
      <c r="D298" s="3"/>
      <c r="E298" s="175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A299" s="3"/>
      <c r="B299" s="3"/>
      <c r="C299" s="3"/>
      <c r="D299" s="3"/>
      <c r="E299" s="175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A300" s="3"/>
      <c r="B300" s="3"/>
      <c r="C300" s="3"/>
      <c r="D300" s="3"/>
      <c r="E300" s="175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A301" s="3"/>
      <c r="B301" s="3"/>
      <c r="C301" s="3"/>
      <c r="D301" s="3"/>
      <c r="E301" s="175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A302" s="3"/>
      <c r="B302" s="3"/>
      <c r="C302" s="3"/>
      <c r="D302" s="3"/>
      <c r="E302" s="175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A303" s="3"/>
      <c r="B303" s="3"/>
      <c r="C303" s="3"/>
      <c r="D303" s="3"/>
      <c r="E303" s="175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A304" s="3"/>
      <c r="B304" s="3"/>
      <c r="C304" s="3"/>
      <c r="D304" s="3"/>
      <c r="E304" s="175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A305" s="3"/>
      <c r="B305" s="3"/>
      <c r="C305" s="3"/>
      <c r="D305" s="3"/>
      <c r="E305" s="175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A306" s="3"/>
      <c r="B306" s="3"/>
      <c r="C306" s="3"/>
      <c r="D306" s="3"/>
      <c r="E306" s="175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A307" s="3"/>
      <c r="B307" s="3"/>
      <c r="C307" s="3"/>
      <c r="D307" s="3"/>
      <c r="E307" s="175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A308" s="3"/>
      <c r="B308" s="3"/>
      <c r="C308" s="3"/>
      <c r="D308" s="3"/>
      <c r="E308" s="175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A309" s="3"/>
      <c r="B309" s="3"/>
      <c r="C309" s="3"/>
      <c r="D309" s="3"/>
      <c r="E309" s="175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A310" s="3"/>
      <c r="B310" s="3"/>
      <c r="C310" s="3"/>
      <c r="D310" s="3"/>
      <c r="E310" s="175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A311" s="3"/>
      <c r="B311" s="3"/>
      <c r="C311" s="3"/>
      <c r="D311" s="3"/>
      <c r="E311" s="175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A312" s="3"/>
      <c r="B312" s="3"/>
      <c r="C312" s="3"/>
      <c r="D312" s="3"/>
      <c r="E312" s="175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A313" s="3"/>
      <c r="B313" s="3"/>
      <c r="C313" s="3"/>
      <c r="D313" s="3"/>
      <c r="E313" s="175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A314" s="3"/>
      <c r="B314" s="3"/>
      <c r="C314" s="3"/>
      <c r="D314" s="3"/>
      <c r="E314" s="175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A315" s="3"/>
      <c r="B315" s="3"/>
      <c r="C315" s="3"/>
      <c r="D315" s="3"/>
      <c r="E315" s="175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A316" s="3"/>
      <c r="B316" s="3"/>
      <c r="C316" s="3"/>
      <c r="D316" s="3"/>
      <c r="E316" s="175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A317" s="3"/>
      <c r="B317" s="3"/>
      <c r="C317" s="3"/>
      <c r="D317" s="3"/>
      <c r="E317" s="175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A318" s="3"/>
      <c r="B318" s="3"/>
      <c r="C318" s="3"/>
      <c r="D318" s="3"/>
      <c r="E318" s="175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A319" s="3"/>
      <c r="B319" s="3"/>
      <c r="C319" s="3"/>
      <c r="D319" s="3"/>
      <c r="E319" s="175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A320" s="3"/>
      <c r="B320" s="3"/>
      <c r="C320" s="3"/>
      <c r="D320" s="3"/>
      <c r="E320" s="175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A321" s="3"/>
      <c r="B321" s="3"/>
      <c r="C321" s="3"/>
      <c r="D321" s="3"/>
      <c r="E321" s="175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A322" s="3"/>
      <c r="B322" s="3"/>
      <c r="C322" s="3"/>
      <c r="D322" s="3"/>
      <c r="E322" s="175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A323" s="3"/>
      <c r="B323" s="3"/>
      <c r="C323" s="3"/>
      <c r="D323" s="3"/>
      <c r="E323" s="175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A324" s="3"/>
      <c r="B324" s="3"/>
      <c r="C324" s="3"/>
      <c r="D324" s="3"/>
      <c r="E324" s="175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A325" s="3"/>
      <c r="B325" s="3"/>
      <c r="C325" s="3"/>
      <c r="D325" s="3"/>
      <c r="E325" s="175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A326" s="3"/>
      <c r="B326" s="3"/>
      <c r="C326" s="3"/>
      <c r="D326" s="3"/>
      <c r="E326" s="175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A327" s="3"/>
      <c r="B327" s="3"/>
      <c r="C327" s="3"/>
      <c r="D327" s="3"/>
      <c r="E327" s="175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A328" s="3"/>
      <c r="B328" s="3"/>
      <c r="C328" s="3"/>
      <c r="D328" s="3"/>
      <c r="E328" s="175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A329" s="3"/>
      <c r="B329" s="3"/>
      <c r="C329" s="3"/>
      <c r="D329" s="3"/>
      <c r="E329" s="175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A330" s="3"/>
      <c r="B330" s="3"/>
      <c r="C330" s="3"/>
      <c r="D330" s="3"/>
      <c r="E330" s="175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A331" s="3"/>
      <c r="B331" s="3"/>
      <c r="C331" s="3"/>
      <c r="D331" s="3"/>
      <c r="E331" s="175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A332" s="3"/>
      <c r="B332" s="3"/>
      <c r="C332" s="3"/>
      <c r="D332" s="3"/>
      <c r="E332" s="175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A333" s="3"/>
      <c r="B333" s="3"/>
      <c r="C333" s="3"/>
      <c r="D333" s="3"/>
      <c r="E333" s="175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A334" s="3"/>
      <c r="B334" s="3"/>
      <c r="C334" s="3"/>
      <c r="D334" s="3"/>
      <c r="E334" s="175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A335" s="3"/>
      <c r="B335" s="3"/>
      <c r="C335" s="3"/>
      <c r="D335" s="3"/>
      <c r="E335" s="175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A336" s="3"/>
      <c r="B336" s="3"/>
      <c r="C336" s="3"/>
      <c r="D336" s="3"/>
      <c r="E336" s="175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A337" s="3"/>
      <c r="B337" s="3"/>
      <c r="C337" s="3"/>
      <c r="D337" s="3"/>
      <c r="E337" s="175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A338" s="3"/>
      <c r="B338" s="3"/>
      <c r="C338" s="3"/>
      <c r="D338" s="3"/>
      <c r="E338" s="175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A339" s="3"/>
      <c r="B339" s="3"/>
      <c r="C339" s="3"/>
      <c r="D339" s="3"/>
      <c r="E339" s="175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A340" s="3"/>
      <c r="B340" s="3"/>
      <c r="C340" s="3"/>
      <c r="D340" s="3"/>
      <c r="E340" s="175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A341" s="3"/>
      <c r="B341" s="3"/>
      <c r="C341" s="3"/>
      <c r="D341" s="3"/>
      <c r="E341" s="175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A342" s="3"/>
      <c r="B342" s="3"/>
      <c r="C342" s="3"/>
      <c r="D342" s="3"/>
      <c r="E342" s="175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A343" s="3"/>
      <c r="B343" s="3"/>
      <c r="C343" s="3"/>
      <c r="D343" s="3"/>
      <c r="E343" s="175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A344" s="3"/>
      <c r="B344" s="3"/>
      <c r="C344" s="3"/>
      <c r="D344" s="3"/>
      <c r="E344" s="175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A345" s="3"/>
      <c r="B345" s="3"/>
      <c r="C345" s="3"/>
      <c r="D345" s="3"/>
      <c r="E345" s="175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A346" s="3"/>
      <c r="B346" s="3"/>
      <c r="C346" s="3"/>
      <c r="D346" s="3"/>
      <c r="E346" s="175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A347" s="3"/>
      <c r="B347" s="3"/>
      <c r="C347" s="3"/>
      <c r="D347" s="3"/>
      <c r="E347" s="175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A348" s="3"/>
      <c r="B348" s="3"/>
      <c r="C348" s="3"/>
      <c r="D348" s="3"/>
      <c r="E348" s="175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A349" s="3"/>
      <c r="B349" s="3"/>
      <c r="C349" s="3"/>
      <c r="D349" s="3"/>
      <c r="E349" s="175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A350" s="3"/>
      <c r="B350" s="3"/>
      <c r="C350" s="3"/>
      <c r="D350" s="3"/>
      <c r="E350" s="175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A351" s="3"/>
      <c r="B351" s="3"/>
      <c r="C351" s="3"/>
      <c r="D351" s="3"/>
      <c r="E351" s="175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A352" s="3"/>
      <c r="B352" s="3"/>
      <c r="C352" s="3"/>
      <c r="D352" s="3"/>
      <c r="E352" s="175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A353" s="3"/>
      <c r="B353" s="3"/>
      <c r="C353" s="3"/>
      <c r="D353" s="3"/>
      <c r="E353" s="175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A354" s="3"/>
      <c r="B354" s="3"/>
      <c r="C354" s="3"/>
      <c r="D354" s="3"/>
      <c r="E354" s="175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A355" s="3"/>
      <c r="B355" s="3"/>
      <c r="C355" s="3"/>
      <c r="D355" s="3"/>
      <c r="E355" s="175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A356" s="3"/>
      <c r="B356" s="3"/>
      <c r="C356" s="3"/>
      <c r="D356" s="3"/>
      <c r="E356" s="175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A357" s="3"/>
      <c r="B357" s="3"/>
      <c r="C357" s="3"/>
      <c r="D357" s="3"/>
      <c r="E357" s="175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A358" s="3"/>
      <c r="B358" s="3"/>
      <c r="C358" s="3"/>
      <c r="D358" s="3"/>
      <c r="E358" s="175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A359" s="3"/>
      <c r="B359" s="3"/>
      <c r="C359" s="3"/>
      <c r="D359" s="3"/>
      <c r="E359" s="175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A360" s="3"/>
      <c r="B360" s="3"/>
      <c r="C360" s="3"/>
      <c r="D360" s="3"/>
      <c r="E360" s="175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A361" s="3"/>
      <c r="B361" s="3"/>
      <c r="C361" s="3"/>
      <c r="D361" s="3"/>
      <c r="E361" s="175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A362" s="3"/>
      <c r="B362" s="3"/>
      <c r="C362" s="3"/>
      <c r="D362" s="3"/>
      <c r="E362" s="175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A363" s="3"/>
      <c r="B363" s="3"/>
      <c r="C363" s="3"/>
      <c r="D363" s="3"/>
      <c r="E363" s="175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A364" s="3"/>
      <c r="B364" s="3"/>
      <c r="C364" s="3"/>
      <c r="D364" s="3"/>
      <c r="E364" s="175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A365" s="3"/>
      <c r="B365" s="3"/>
      <c r="C365" s="3"/>
      <c r="D365" s="3"/>
      <c r="E365" s="175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A366" s="3"/>
      <c r="B366" s="3"/>
      <c r="C366" s="3"/>
      <c r="D366" s="3"/>
      <c r="E366" s="175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A367" s="3"/>
      <c r="B367" s="3"/>
      <c r="C367" s="3"/>
      <c r="D367" s="3"/>
      <c r="E367" s="175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A368" s="3"/>
      <c r="B368" s="3"/>
      <c r="C368" s="3"/>
      <c r="D368" s="3"/>
      <c r="E368" s="175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A369" s="3"/>
      <c r="B369" s="3"/>
      <c r="C369" s="3"/>
      <c r="D369" s="3"/>
      <c r="E369" s="175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A370" s="3"/>
      <c r="B370" s="3"/>
      <c r="C370" s="3"/>
      <c r="D370" s="3"/>
      <c r="E370" s="175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A371" s="3"/>
      <c r="B371" s="3"/>
      <c r="C371" s="3"/>
      <c r="D371" s="3"/>
      <c r="E371" s="175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A372" s="3"/>
      <c r="B372" s="3"/>
      <c r="C372" s="3"/>
      <c r="D372" s="3"/>
      <c r="E372" s="175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A373" s="3"/>
      <c r="B373" s="3"/>
      <c r="C373" s="3"/>
      <c r="D373" s="3"/>
      <c r="E373" s="175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A374" s="3"/>
      <c r="B374" s="3"/>
      <c r="C374" s="3"/>
      <c r="D374" s="3"/>
      <c r="E374" s="175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A375" s="3"/>
      <c r="B375" s="3"/>
      <c r="C375" s="3"/>
      <c r="D375" s="3"/>
      <c r="E375" s="175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A376" s="3"/>
      <c r="B376" s="3"/>
      <c r="C376" s="3"/>
      <c r="D376" s="3"/>
      <c r="E376" s="175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A377" s="3"/>
      <c r="B377" s="3"/>
      <c r="C377" s="3"/>
      <c r="D377" s="3"/>
      <c r="E377" s="175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A378" s="3"/>
      <c r="B378" s="3"/>
      <c r="C378" s="3"/>
      <c r="D378" s="3"/>
      <c r="E378" s="175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A379" s="3"/>
      <c r="B379" s="3"/>
      <c r="C379" s="3"/>
      <c r="D379" s="3"/>
      <c r="E379" s="175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A380" s="3"/>
      <c r="B380" s="3"/>
      <c r="C380" s="3"/>
      <c r="D380" s="3"/>
      <c r="E380" s="175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A381" s="3"/>
      <c r="B381" s="3"/>
      <c r="C381" s="3"/>
      <c r="D381" s="3"/>
      <c r="E381" s="175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A382" s="3"/>
      <c r="B382" s="3"/>
      <c r="C382" s="3"/>
      <c r="D382" s="3"/>
      <c r="E382" s="175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A383" s="3"/>
      <c r="B383" s="3"/>
      <c r="C383" s="3"/>
      <c r="D383" s="3"/>
      <c r="E383" s="175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A384" s="3"/>
      <c r="B384" s="3"/>
      <c r="C384" s="3"/>
      <c r="D384" s="3"/>
      <c r="E384" s="175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A385" s="3"/>
      <c r="B385" s="3"/>
      <c r="C385" s="3"/>
      <c r="D385" s="3"/>
      <c r="E385" s="175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A386" s="3"/>
      <c r="B386" s="3"/>
      <c r="C386" s="3"/>
      <c r="D386" s="3"/>
      <c r="E386" s="175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A387" s="3"/>
      <c r="B387" s="3"/>
      <c r="C387" s="3"/>
      <c r="D387" s="3"/>
      <c r="E387" s="175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A388" s="3"/>
      <c r="B388" s="3"/>
      <c r="C388" s="3"/>
      <c r="D388" s="3"/>
      <c r="E388" s="175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A389" s="3"/>
      <c r="B389" s="3"/>
      <c r="C389" s="3"/>
      <c r="D389" s="3"/>
      <c r="E389" s="175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A390" s="3"/>
      <c r="B390" s="3"/>
      <c r="C390" s="3"/>
      <c r="D390" s="3"/>
      <c r="E390" s="175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A391" s="3"/>
      <c r="B391" s="3"/>
      <c r="C391" s="3"/>
      <c r="D391" s="3"/>
      <c r="E391" s="175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A392" s="3"/>
      <c r="B392" s="3"/>
      <c r="C392" s="3"/>
      <c r="D392" s="3"/>
      <c r="E392" s="175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A393" s="3"/>
      <c r="B393" s="3"/>
      <c r="C393" s="3"/>
      <c r="D393" s="3"/>
      <c r="E393" s="175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A394" s="3"/>
      <c r="B394" s="3"/>
      <c r="C394" s="3"/>
      <c r="D394" s="3"/>
      <c r="E394" s="175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A395" s="3"/>
      <c r="B395" s="3"/>
      <c r="C395" s="3"/>
      <c r="D395" s="3"/>
      <c r="E395" s="175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A396" s="3"/>
      <c r="B396" s="3"/>
      <c r="C396" s="3"/>
      <c r="D396" s="3"/>
      <c r="E396" s="175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A397" s="3"/>
      <c r="B397" s="3"/>
      <c r="C397" s="3"/>
      <c r="D397" s="3"/>
      <c r="E397" s="175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A398" s="3"/>
      <c r="B398" s="3"/>
      <c r="C398" s="3"/>
      <c r="D398" s="3"/>
      <c r="E398" s="175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A399" s="3"/>
      <c r="B399" s="3"/>
      <c r="C399" s="3"/>
      <c r="D399" s="3"/>
      <c r="E399" s="175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A400" s="3"/>
      <c r="B400" s="3"/>
      <c r="C400" s="3"/>
      <c r="D400" s="3"/>
      <c r="E400" s="175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A401" s="3"/>
      <c r="B401" s="3"/>
      <c r="C401" s="3"/>
      <c r="D401" s="3"/>
      <c r="E401" s="175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A402" s="3"/>
      <c r="B402" s="3"/>
      <c r="C402" s="3"/>
      <c r="D402" s="3"/>
      <c r="E402" s="175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A403" s="3"/>
      <c r="B403" s="3"/>
      <c r="C403" s="3"/>
      <c r="D403" s="3"/>
      <c r="E403" s="175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A404" s="3"/>
      <c r="B404" s="3"/>
      <c r="C404" s="3"/>
      <c r="D404" s="3"/>
      <c r="E404" s="175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A405" s="3"/>
      <c r="B405" s="3"/>
      <c r="C405" s="3"/>
      <c r="D405" s="3"/>
      <c r="E405" s="175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A406" s="3"/>
      <c r="B406" s="3"/>
      <c r="C406" s="3"/>
      <c r="D406" s="3"/>
      <c r="E406" s="175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A407" s="3"/>
      <c r="B407" s="3"/>
      <c r="C407" s="3"/>
      <c r="D407" s="3"/>
      <c r="E407" s="175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A408" s="3"/>
      <c r="B408" s="3"/>
      <c r="C408" s="3"/>
      <c r="D408" s="3"/>
      <c r="E408" s="175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A409" s="3"/>
      <c r="B409" s="3"/>
      <c r="C409" s="3"/>
      <c r="D409" s="3"/>
      <c r="E409" s="175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A410" s="3"/>
      <c r="B410" s="3"/>
      <c r="C410" s="3"/>
      <c r="D410" s="3"/>
      <c r="E410" s="175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A411" s="3"/>
      <c r="B411" s="3"/>
      <c r="C411" s="3"/>
      <c r="D411" s="3"/>
      <c r="E411" s="175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A412" s="3"/>
      <c r="B412" s="3"/>
      <c r="C412" s="3"/>
      <c r="D412" s="3"/>
      <c r="E412" s="175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A413" s="3"/>
      <c r="B413" s="3"/>
      <c r="C413" s="3"/>
      <c r="D413" s="3"/>
      <c r="E413" s="175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A414" s="3"/>
      <c r="B414" s="3"/>
      <c r="C414" s="3"/>
      <c r="D414" s="3"/>
      <c r="E414" s="175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A415" s="3"/>
      <c r="B415" s="3"/>
      <c r="C415" s="3"/>
      <c r="D415" s="3"/>
      <c r="E415" s="175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A416" s="3"/>
      <c r="B416" s="3"/>
      <c r="C416" s="3"/>
      <c r="D416" s="3"/>
      <c r="E416" s="175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A417" s="3"/>
      <c r="B417" s="3"/>
      <c r="C417" s="3"/>
      <c r="D417" s="3"/>
      <c r="E417" s="175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A418" s="3"/>
      <c r="B418" s="3"/>
      <c r="C418" s="3"/>
      <c r="D418" s="3"/>
      <c r="E418" s="175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A419" s="3"/>
      <c r="B419" s="3"/>
      <c r="C419" s="3"/>
      <c r="D419" s="3"/>
      <c r="E419" s="175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A420" s="3"/>
      <c r="B420" s="3"/>
      <c r="C420" s="3"/>
      <c r="D420" s="3"/>
      <c r="E420" s="175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A421" s="3"/>
      <c r="B421" s="3"/>
      <c r="C421" s="3"/>
      <c r="D421" s="3"/>
      <c r="E421" s="175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A422" s="3"/>
      <c r="B422" s="3"/>
      <c r="C422" s="3"/>
      <c r="D422" s="3"/>
      <c r="E422" s="175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A423" s="3"/>
      <c r="B423" s="3"/>
      <c r="C423" s="3"/>
      <c r="D423" s="3"/>
      <c r="E423" s="175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A424" s="3"/>
      <c r="B424" s="3"/>
      <c r="C424" s="3"/>
      <c r="D424" s="3"/>
      <c r="E424" s="175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A425" s="3"/>
      <c r="B425" s="3"/>
      <c r="C425" s="3"/>
      <c r="D425" s="3"/>
      <c r="E425" s="175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A426" s="3"/>
      <c r="B426" s="3"/>
      <c r="C426" s="3"/>
      <c r="D426" s="3"/>
      <c r="E426" s="175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A427" s="3"/>
      <c r="B427" s="3"/>
      <c r="C427" s="3"/>
      <c r="D427" s="3"/>
      <c r="E427" s="175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A428" s="3"/>
      <c r="B428" s="3"/>
      <c r="C428" s="3"/>
      <c r="D428" s="3"/>
      <c r="E428" s="175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A429" s="3"/>
      <c r="B429" s="3"/>
      <c r="C429" s="3"/>
      <c r="D429" s="3"/>
      <c r="E429" s="175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A430" s="3"/>
      <c r="B430" s="3"/>
      <c r="C430" s="3"/>
      <c r="D430" s="3"/>
      <c r="E430" s="175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A431" s="3"/>
      <c r="B431" s="3"/>
      <c r="C431" s="3"/>
      <c r="D431" s="3"/>
      <c r="E431" s="175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A432" s="3"/>
      <c r="B432" s="3"/>
      <c r="C432" s="3"/>
      <c r="D432" s="3"/>
      <c r="E432" s="175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A433" s="3"/>
      <c r="B433" s="3"/>
      <c r="C433" s="3"/>
      <c r="D433" s="3"/>
      <c r="E433" s="175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A434" s="3"/>
      <c r="B434" s="3"/>
      <c r="C434" s="3"/>
      <c r="D434" s="3"/>
      <c r="E434" s="175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A435" s="3"/>
      <c r="B435" s="3"/>
      <c r="C435" s="3"/>
      <c r="D435" s="3"/>
      <c r="E435" s="175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A436" s="3"/>
      <c r="B436" s="3"/>
      <c r="C436" s="3"/>
      <c r="D436" s="3"/>
      <c r="E436" s="175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A437" s="3"/>
      <c r="B437" s="3"/>
      <c r="C437" s="3"/>
      <c r="D437" s="3"/>
      <c r="E437" s="175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A438" s="3"/>
      <c r="B438" s="3"/>
      <c r="C438" s="3"/>
      <c r="D438" s="3"/>
      <c r="E438" s="175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A439" s="3"/>
      <c r="B439" s="3"/>
      <c r="C439" s="3"/>
      <c r="D439" s="3"/>
      <c r="E439" s="175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A440" s="3"/>
      <c r="B440" s="3"/>
      <c r="C440" s="3"/>
      <c r="D440" s="3"/>
      <c r="E440" s="175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A441" s="3"/>
      <c r="B441" s="3"/>
      <c r="C441" s="3"/>
      <c r="D441" s="3"/>
      <c r="E441" s="175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A442" s="3"/>
      <c r="B442" s="3"/>
      <c r="C442" s="3"/>
      <c r="D442" s="3"/>
      <c r="E442" s="175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A443" s="3"/>
      <c r="B443" s="3"/>
      <c r="C443" s="3"/>
      <c r="D443" s="3"/>
      <c r="E443" s="175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A444" s="3"/>
      <c r="B444" s="3"/>
      <c r="C444" s="3"/>
      <c r="D444" s="3"/>
      <c r="E444" s="175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A445" s="3"/>
      <c r="B445" s="3"/>
      <c r="C445" s="3"/>
      <c r="D445" s="3"/>
      <c r="E445" s="175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A446" s="3"/>
      <c r="B446" s="3"/>
      <c r="C446" s="3"/>
      <c r="D446" s="3"/>
      <c r="E446" s="175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A447" s="3"/>
      <c r="B447" s="3"/>
      <c r="C447" s="3"/>
      <c r="D447" s="3"/>
      <c r="E447" s="175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A448" s="3"/>
      <c r="B448" s="3"/>
      <c r="C448" s="3"/>
      <c r="D448" s="3"/>
      <c r="E448" s="175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A449" s="3"/>
      <c r="B449" s="3"/>
      <c r="C449" s="3"/>
      <c r="D449" s="3"/>
      <c r="E449" s="175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A450" s="3"/>
      <c r="B450" s="3"/>
      <c r="C450" s="3"/>
      <c r="D450" s="3"/>
      <c r="E450" s="175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A451" s="3"/>
      <c r="B451" s="3"/>
      <c r="C451" s="3"/>
      <c r="D451" s="3"/>
      <c r="E451" s="175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A452" s="3"/>
      <c r="B452" s="3"/>
      <c r="C452" s="3"/>
      <c r="D452" s="3"/>
      <c r="E452" s="175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A453" s="3"/>
      <c r="B453" s="3"/>
      <c r="C453" s="3"/>
      <c r="D453" s="3"/>
      <c r="E453" s="175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A454" s="3"/>
      <c r="B454" s="3"/>
      <c r="C454" s="3"/>
      <c r="D454" s="3"/>
      <c r="E454" s="175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A455" s="3"/>
      <c r="B455" s="3"/>
      <c r="C455" s="3"/>
      <c r="D455" s="3"/>
      <c r="E455" s="175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A456" s="3"/>
      <c r="B456" s="3"/>
      <c r="C456" s="3"/>
      <c r="D456" s="3"/>
      <c r="E456" s="175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A457" s="3"/>
      <c r="B457" s="3"/>
      <c r="C457" s="3"/>
      <c r="D457" s="3"/>
      <c r="E457" s="175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A458" s="3"/>
      <c r="B458" s="3"/>
      <c r="C458" s="3"/>
      <c r="D458" s="3"/>
      <c r="E458" s="175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A459" s="3"/>
      <c r="B459" s="3"/>
      <c r="C459" s="3"/>
      <c r="D459" s="3"/>
      <c r="E459" s="175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A460" s="3"/>
      <c r="B460" s="3"/>
      <c r="C460" s="3"/>
      <c r="D460" s="3"/>
      <c r="E460" s="175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A461" s="3"/>
      <c r="B461" s="3"/>
      <c r="C461" s="3"/>
      <c r="D461" s="3"/>
      <c r="E461" s="175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A462" s="3"/>
      <c r="B462" s="3"/>
      <c r="C462" s="3"/>
      <c r="D462" s="3"/>
      <c r="E462" s="175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A463" s="3"/>
      <c r="B463" s="3"/>
      <c r="C463" s="3"/>
      <c r="D463" s="3"/>
      <c r="E463" s="175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A464" s="3"/>
      <c r="B464" s="3"/>
      <c r="C464" s="3"/>
      <c r="D464" s="3"/>
      <c r="E464" s="175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A465" s="3"/>
      <c r="B465" s="3"/>
      <c r="C465" s="3"/>
      <c r="D465" s="3"/>
      <c r="E465" s="175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A466" s="3"/>
      <c r="B466" s="3"/>
      <c r="C466" s="3"/>
      <c r="D466" s="3"/>
      <c r="E466" s="175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A467" s="3"/>
      <c r="B467" s="3"/>
      <c r="C467" s="3"/>
      <c r="D467" s="3"/>
      <c r="E467" s="175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A468" s="3"/>
      <c r="B468" s="3"/>
      <c r="C468" s="3"/>
      <c r="D468" s="3"/>
      <c r="E468" s="175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A469" s="3"/>
      <c r="B469" s="3"/>
      <c r="C469" s="3"/>
      <c r="D469" s="3"/>
      <c r="E469" s="175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A470" s="3"/>
      <c r="B470" s="3"/>
      <c r="C470" s="3"/>
      <c r="D470" s="3"/>
      <c r="E470" s="175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A471" s="3"/>
      <c r="B471" s="3"/>
      <c r="C471" s="3"/>
      <c r="D471" s="3"/>
      <c r="E471" s="175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A472" s="3"/>
      <c r="B472" s="3"/>
      <c r="C472" s="3"/>
      <c r="D472" s="3"/>
      <c r="E472" s="175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A473" s="3"/>
      <c r="B473" s="3"/>
      <c r="C473" s="3"/>
      <c r="D473" s="3"/>
      <c r="E473" s="175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A474" s="3"/>
      <c r="B474" s="3"/>
      <c r="C474" s="3"/>
      <c r="D474" s="3"/>
      <c r="E474" s="175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A475" s="3"/>
      <c r="B475" s="3"/>
      <c r="C475" s="3"/>
      <c r="D475" s="3"/>
      <c r="E475" s="175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A476" s="3"/>
      <c r="B476" s="3"/>
      <c r="C476" s="3"/>
      <c r="D476" s="3"/>
      <c r="E476" s="175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A477" s="3"/>
      <c r="B477" s="3"/>
      <c r="C477" s="3"/>
      <c r="D477" s="3"/>
      <c r="E477" s="175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A478" s="3"/>
      <c r="B478" s="3"/>
      <c r="C478" s="3"/>
      <c r="D478" s="3"/>
      <c r="E478" s="175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A479" s="3"/>
      <c r="B479" s="3"/>
      <c r="C479" s="3"/>
      <c r="D479" s="3"/>
      <c r="E479" s="175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A480" s="3"/>
      <c r="B480" s="3"/>
      <c r="C480" s="3"/>
      <c r="D480" s="3"/>
      <c r="E480" s="175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A481" s="3"/>
      <c r="B481" s="3"/>
      <c r="C481" s="3"/>
      <c r="D481" s="3"/>
      <c r="E481" s="175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A482" s="3"/>
      <c r="B482" s="3"/>
      <c r="C482" s="3"/>
      <c r="D482" s="3"/>
      <c r="E482" s="175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A483" s="3"/>
      <c r="B483" s="3"/>
      <c r="C483" s="3"/>
      <c r="D483" s="3"/>
      <c r="E483" s="175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A484" s="3"/>
      <c r="B484" s="3"/>
      <c r="C484" s="3"/>
      <c r="D484" s="3"/>
      <c r="E484" s="175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A485" s="3"/>
      <c r="B485" s="3"/>
      <c r="C485" s="3"/>
      <c r="D485" s="3"/>
      <c r="E485" s="175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A486" s="3"/>
      <c r="B486" s="3"/>
      <c r="C486" s="3"/>
      <c r="D486" s="3"/>
      <c r="E486" s="175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A487" s="3"/>
      <c r="B487" s="3"/>
      <c r="C487" s="3"/>
      <c r="D487" s="3"/>
      <c r="E487" s="175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A488" s="3"/>
      <c r="B488" s="3"/>
      <c r="C488" s="3"/>
      <c r="D488" s="3"/>
      <c r="E488" s="175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A489" s="3"/>
      <c r="B489" s="3"/>
      <c r="C489" s="3"/>
      <c r="D489" s="3"/>
      <c r="E489" s="175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A490" s="3"/>
      <c r="B490" s="3"/>
      <c r="C490" s="3"/>
      <c r="D490" s="3"/>
      <c r="E490" s="175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A491" s="3"/>
      <c r="B491" s="3"/>
      <c r="C491" s="3"/>
      <c r="D491" s="3"/>
      <c r="E491" s="175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A492" s="3"/>
      <c r="B492" s="3"/>
      <c r="C492" s="3"/>
      <c r="D492" s="3"/>
      <c r="E492" s="175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A493" s="3"/>
      <c r="B493" s="3"/>
      <c r="C493" s="3"/>
      <c r="D493" s="3"/>
      <c r="E493" s="175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A494" s="3"/>
      <c r="B494" s="3"/>
      <c r="C494" s="3"/>
      <c r="D494" s="3"/>
      <c r="E494" s="175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A495" s="3"/>
      <c r="B495" s="3"/>
      <c r="C495" s="3"/>
      <c r="D495" s="3"/>
      <c r="E495" s="175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A496" s="3"/>
      <c r="B496" s="3"/>
      <c r="C496" s="3"/>
      <c r="D496" s="3"/>
      <c r="E496" s="175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A497" s="3"/>
      <c r="B497" s="3"/>
      <c r="C497" s="3"/>
      <c r="D497" s="3"/>
      <c r="E497" s="175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A498" s="3"/>
      <c r="B498" s="3"/>
      <c r="C498" s="3"/>
      <c r="D498" s="3"/>
      <c r="E498" s="175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A499" s="3"/>
      <c r="B499" s="3"/>
      <c r="C499" s="3"/>
      <c r="D499" s="3"/>
      <c r="E499" s="175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A500" s="3"/>
      <c r="B500" s="3"/>
      <c r="C500" s="3"/>
      <c r="D500" s="3"/>
      <c r="E500" s="175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A501" s="3"/>
      <c r="B501" s="3"/>
      <c r="C501" s="3"/>
      <c r="D501" s="3"/>
      <c r="E501" s="175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A502" s="3"/>
      <c r="B502" s="3"/>
      <c r="C502" s="3"/>
      <c r="D502" s="3"/>
      <c r="E502" s="175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A503" s="3"/>
      <c r="B503" s="3"/>
      <c r="C503" s="3"/>
      <c r="D503" s="3"/>
      <c r="E503" s="175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A504" s="3"/>
      <c r="B504" s="3"/>
      <c r="C504" s="3"/>
      <c r="D504" s="3"/>
      <c r="E504" s="175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A505" s="3"/>
      <c r="B505" s="3"/>
      <c r="C505" s="3"/>
      <c r="D505" s="3"/>
      <c r="E505" s="175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A506" s="3"/>
      <c r="B506" s="3"/>
      <c r="C506" s="3"/>
      <c r="D506" s="3"/>
      <c r="E506" s="175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A507" s="3"/>
      <c r="B507" s="3"/>
      <c r="C507" s="3"/>
      <c r="D507" s="3"/>
      <c r="E507" s="175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A508" s="3"/>
      <c r="B508" s="3"/>
      <c r="C508" s="3"/>
      <c r="D508" s="3"/>
      <c r="E508" s="175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A509" s="3"/>
      <c r="B509" s="3"/>
      <c r="C509" s="3"/>
      <c r="D509" s="3"/>
      <c r="E509" s="175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A510" s="3"/>
      <c r="B510" s="3"/>
      <c r="C510" s="3"/>
      <c r="D510" s="3"/>
      <c r="E510" s="175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A511" s="3"/>
      <c r="B511" s="3"/>
      <c r="C511" s="3"/>
      <c r="D511" s="3"/>
      <c r="E511" s="175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A512" s="3"/>
      <c r="B512" s="3"/>
      <c r="C512" s="3"/>
      <c r="D512" s="3"/>
      <c r="E512" s="175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A513" s="3"/>
      <c r="B513" s="3"/>
      <c r="C513" s="3"/>
      <c r="D513" s="3"/>
      <c r="E513" s="175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A514" s="3"/>
      <c r="B514" s="3"/>
      <c r="C514" s="3"/>
      <c r="D514" s="3"/>
      <c r="E514" s="175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A515" s="3"/>
      <c r="B515" s="3"/>
      <c r="C515" s="3"/>
      <c r="D515" s="3"/>
      <c r="E515" s="175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A516" s="3"/>
      <c r="B516" s="3"/>
      <c r="C516" s="3"/>
      <c r="D516" s="3"/>
      <c r="E516" s="175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A517" s="3"/>
      <c r="B517" s="3"/>
      <c r="C517" s="3"/>
      <c r="D517" s="3"/>
      <c r="E517" s="175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A518" s="3"/>
      <c r="B518" s="3"/>
      <c r="C518" s="3"/>
      <c r="D518" s="3"/>
      <c r="E518" s="175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A519" s="3"/>
      <c r="B519" s="3"/>
      <c r="C519" s="3"/>
      <c r="D519" s="3"/>
      <c r="E519" s="175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A520" s="3"/>
      <c r="B520" s="3"/>
      <c r="C520" s="3"/>
      <c r="D520" s="3"/>
      <c r="E520" s="175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A521" s="3"/>
      <c r="B521" s="3"/>
      <c r="C521" s="3"/>
      <c r="D521" s="3"/>
      <c r="E521" s="175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A522" s="3"/>
      <c r="B522" s="3"/>
      <c r="C522" s="3"/>
      <c r="D522" s="3"/>
      <c r="E522" s="175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A523" s="3"/>
      <c r="B523" s="3"/>
      <c r="C523" s="3"/>
      <c r="D523" s="3"/>
      <c r="E523" s="175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A524" s="3"/>
      <c r="B524" s="3"/>
      <c r="C524" s="3"/>
      <c r="D524" s="3"/>
      <c r="E524" s="175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A525" s="3"/>
      <c r="B525" s="3"/>
      <c r="C525" s="3"/>
      <c r="D525" s="3"/>
      <c r="E525" s="175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A526" s="3"/>
      <c r="B526" s="3"/>
      <c r="C526" s="3"/>
      <c r="D526" s="3"/>
      <c r="E526" s="175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A527" s="3"/>
      <c r="B527" s="3"/>
      <c r="C527" s="3"/>
      <c r="D527" s="3"/>
      <c r="E527" s="175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A528" s="3"/>
      <c r="B528" s="3"/>
      <c r="C528" s="3"/>
      <c r="D528" s="3"/>
      <c r="E528" s="175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A529" s="3"/>
      <c r="B529" s="3"/>
      <c r="C529" s="3"/>
      <c r="D529" s="3"/>
      <c r="E529" s="175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A530" s="3"/>
      <c r="B530" s="3"/>
      <c r="C530" s="3"/>
      <c r="D530" s="3"/>
      <c r="E530" s="175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A531" s="3"/>
      <c r="B531" s="3"/>
      <c r="C531" s="3"/>
      <c r="D531" s="3"/>
      <c r="E531" s="175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A532" s="3"/>
      <c r="B532" s="3"/>
      <c r="C532" s="3"/>
      <c r="D532" s="3"/>
      <c r="E532" s="175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A533" s="3"/>
      <c r="B533" s="3"/>
      <c r="C533" s="3"/>
      <c r="D533" s="3"/>
      <c r="E533" s="175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A534" s="3"/>
      <c r="B534" s="3"/>
      <c r="C534" s="3"/>
      <c r="D534" s="3"/>
      <c r="E534" s="175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A535" s="3"/>
      <c r="B535" s="3"/>
      <c r="C535" s="3"/>
      <c r="D535" s="3"/>
      <c r="E535" s="175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A536" s="3"/>
      <c r="B536" s="3"/>
      <c r="C536" s="3"/>
      <c r="D536" s="3"/>
      <c r="E536" s="175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A537" s="3"/>
      <c r="B537" s="3"/>
      <c r="C537" s="3"/>
      <c r="D537" s="3"/>
      <c r="E537" s="175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A538" s="3"/>
      <c r="B538" s="3"/>
      <c r="C538" s="3"/>
      <c r="D538" s="3"/>
      <c r="E538" s="175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A539" s="3"/>
      <c r="B539" s="3"/>
      <c r="C539" s="3"/>
      <c r="D539" s="3"/>
      <c r="E539" s="175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A540" s="3"/>
      <c r="B540" s="3"/>
      <c r="C540" s="3"/>
      <c r="D540" s="3"/>
      <c r="E540" s="175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A541" s="3"/>
      <c r="B541" s="3"/>
      <c r="C541" s="3"/>
      <c r="D541" s="3"/>
      <c r="E541" s="175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A542" s="3"/>
      <c r="B542" s="3"/>
      <c r="C542" s="3"/>
      <c r="D542" s="3"/>
      <c r="E542" s="175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A543" s="3"/>
      <c r="B543" s="3"/>
      <c r="C543" s="3"/>
      <c r="D543" s="3"/>
      <c r="E543" s="175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A544" s="3"/>
      <c r="B544" s="3"/>
      <c r="C544" s="3"/>
      <c r="D544" s="3"/>
      <c r="E544" s="175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A545" s="3"/>
      <c r="B545" s="3"/>
      <c r="C545" s="3"/>
      <c r="D545" s="3"/>
      <c r="E545" s="175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A546" s="3"/>
      <c r="B546" s="3"/>
      <c r="C546" s="3"/>
      <c r="D546" s="3"/>
      <c r="E546" s="175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A547" s="3"/>
      <c r="B547" s="3"/>
      <c r="C547" s="3"/>
      <c r="D547" s="3"/>
      <c r="E547" s="175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A548" s="3"/>
      <c r="B548" s="3"/>
      <c r="C548" s="3"/>
      <c r="D548" s="3"/>
      <c r="E548" s="175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A549" s="3"/>
      <c r="B549" s="3"/>
      <c r="C549" s="3"/>
      <c r="D549" s="3"/>
      <c r="E549" s="175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A550" s="3"/>
      <c r="B550" s="3"/>
      <c r="C550" s="3"/>
      <c r="D550" s="3"/>
      <c r="E550" s="175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A551" s="3"/>
      <c r="B551" s="3"/>
      <c r="C551" s="3"/>
      <c r="D551" s="3"/>
      <c r="E551" s="175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A552" s="3"/>
      <c r="B552" s="3"/>
      <c r="C552" s="3"/>
      <c r="D552" s="3"/>
      <c r="E552" s="175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A553" s="3"/>
      <c r="B553" s="3"/>
      <c r="C553" s="3"/>
      <c r="D553" s="3"/>
      <c r="E553" s="175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A554" s="3"/>
      <c r="B554" s="3"/>
      <c r="C554" s="3"/>
      <c r="D554" s="3"/>
      <c r="E554" s="175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A555" s="3"/>
      <c r="B555" s="3"/>
      <c r="C555" s="3"/>
      <c r="D555" s="3"/>
      <c r="E555" s="175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A556" s="3"/>
      <c r="B556" s="3"/>
      <c r="C556" s="3"/>
      <c r="D556" s="3"/>
      <c r="E556" s="175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A557" s="3"/>
      <c r="B557" s="3"/>
      <c r="C557" s="3"/>
      <c r="D557" s="3"/>
      <c r="E557" s="175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A558" s="3"/>
      <c r="B558" s="3"/>
      <c r="C558" s="3"/>
      <c r="D558" s="3"/>
      <c r="E558" s="175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A559" s="3"/>
      <c r="B559" s="3"/>
      <c r="C559" s="3"/>
      <c r="D559" s="3"/>
      <c r="E559" s="175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A560" s="3"/>
      <c r="B560" s="3"/>
      <c r="C560" s="3"/>
      <c r="D560" s="3"/>
      <c r="E560" s="175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A561" s="3"/>
      <c r="B561" s="3"/>
      <c r="C561" s="3"/>
      <c r="D561" s="3"/>
      <c r="E561" s="175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A562" s="3"/>
      <c r="B562" s="3"/>
      <c r="C562" s="3"/>
      <c r="D562" s="3"/>
      <c r="E562" s="175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A563" s="3"/>
      <c r="B563" s="3"/>
      <c r="C563" s="3"/>
      <c r="D563" s="3"/>
      <c r="E563" s="175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A564" s="3"/>
      <c r="B564" s="3"/>
      <c r="C564" s="3"/>
      <c r="D564" s="3"/>
      <c r="E564" s="175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A565" s="3"/>
      <c r="B565" s="3"/>
      <c r="C565" s="3"/>
      <c r="D565" s="3"/>
      <c r="E565" s="175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A566" s="3"/>
      <c r="B566" s="3"/>
      <c r="C566" s="3"/>
      <c r="D566" s="3"/>
      <c r="E566" s="175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A567" s="3"/>
      <c r="B567" s="3"/>
      <c r="C567" s="3"/>
      <c r="D567" s="3"/>
      <c r="E567" s="175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A568" s="3"/>
      <c r="B568" s="3"/>
      <c r="C568" s="3"/>
      <c r="D568" s="3"/>
      <c r="E568" s="175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A569" s="3"/>
      <c r="B569" s="3"/>
      <c r="C569" s="3"/>
      <c r="D569" s="3"/>
      <c r="E569" s="175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A570" s="3"/>
      <c r="B570" s="3"/>
      <c r="C570" s="3"/>
      <c r="D570" s="3"/>
      <c r="E570" s="175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A571" s="3"/>
      <c r="B571" s="3"/>
      <c r="C571" s="3"/>
      <c r="D571" s="3"/>
      <c r="E571" s="175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A572" s="3"/>
      <c r="B572" s="3"/>
      <c r="C572" s="3"/>
      <c r="D572" s="3"/>
      <c r="E572" s="175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A573" s="3"/>
      <c r="B573" s="3"/>
      <c r="C573" s="3"/>
      <c r="D573" s="3"/>
      <c r="E573" s="175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A574" s="3"/>
      <c r="B574" s="3"/>
      <c r="C574" s="3"/>
      <c r="D574" s="3"/>
      <c r="E574" s="175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A575" s="3"/>
      <c r="B575" s="3"/>
      <c r="C575" s="3"/>
      <c r="D575" s="3"/>
      <c r="E575" s="175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A576" s="3"/>
      <c r="B576" s="3"/>
      <c r="C576" s="3"/>
      <c r="D576" s="3"/>
      <c r="E576" s="175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A577" s="3"/>
      <c r="B577" s="3"/>
      <c r="C577" s="3"/>
      <c r="D577" s="3"/>
      <c r="E577" s="175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A578" s="3"/>
      <c r="B578" s="3"/>
      <c r="C578" s="3"/>
      <c r="D578" s="3"/>
      <c r="E578" s="175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A579" s="3"/>
      <c r="B579" s="3"/>
      <c r="C579" s="3"/>
      <c r="D579" s="3"/>
      <c r="E579" s="175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A580" s="3"/>
      <c r="B580" s="3"/>
      <c r="C580" s="3"/>
      <c r="D580" s="3"/>
      <c r="E580" s="175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A581" s="3"/>
      <c r="B581" s="3"/>
      <c r="C581" s="3"/>
      <c r="D581" s="3"/>
      <c r="E581" s="175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A582" s="3"/>
      <c r="B582" s="3"/>
      <c r="C582" s="3"/>
      <c r="D582" s="3"/>
      <c r="E582" s="175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A583" s="3"/>
      <c r="B583" s="3"/>
      <c r="C583" s="3"/>
      <c r="D583" s="3"/>
      <c r="E583" s="175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A584" s="3"/>
      <c r="B584" s="3"/>
      <c r="C584" s="3"/>
      <c r="D584" s="3"/>
      <c r="E584" s="175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A585" s="3"/>
      <c r="B585" s="3"/>
      <c r="C585" s="3"/>
      <c r="D585" s="3"/>
      <c r="E585" s="175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A586" s="3"/>
      <c r="B586" s="3"/>
      <c r="C586" s="3"/>
      <c r="D586" s="3"/>
      <c r="E586" s="175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A587" s="3"/>
      <c r="B587" s="3"/>
      <c r="C587" s="3"/>
      <c r="D587" s="3"/>
      <c r="E587" s="175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A588" s="3"/>
      <c r="B588" s="3"/>
      <c r="C588" s="3"/>
      <c r="D588" s="3"/>
      <c r="E588" s="175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A589" s="3"/>
      <c r="B589" s="3"/>
      <c r="C589" s="3"/>
      <c r="D589" s="3"/>
      <c r="E589" s="175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A590" s="3"/>
      <c r="B590" s="3"/>
      <c r="C590" s="3"/>
      <c r="D590" s="3"/>
      <c r="E590" s="175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A591" s="3"/>
      <c r="B591" s="3"/>
      <c r="C591" s="3"/>
      <c r="D591" s="3"/>
      <c r="E591" s="175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A592" s="3"/>
      <c r="B592" s="3"/>
      <c r="C592" s="3"/>
      <c r="D592" s="3"/>
      <c r="E592" s="175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A593" s="3"/>
      <c r="B593" s="3"/>
      <c r="C593" s="3"/>
      <c r="D593" s="3"/>
      <c r="E593" s="175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A594" s="3"/>
      <c r="B594" s="3"/>
      <c r="C594" s="3"/>
      <c r="D594" s="3"/>
      <c r="E594" s="175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A595" s="3"/>
      <c r="B595" s="3"/>
      <c r="C595" s="3"/>
      <c r="D595" s="3"/>
      <c r="E595" s="175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A596" s="3"/>
      <c r="B596" s="3"/>
      <c r="C596" s="3"/>
      <c r="D596" s="3"/>
      <c r="E596" s="175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A597" s="3"/>
      <c r="B597" s="3"/>
      <c r="C597" s="3"/>
      <c r="D597" s="3"/>
      <c r="E597" s="175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A598" s="3"/>
      <c r="B598" s="3"/>
      <c r="C598" s="3"/>
      <c r="D598" s="3"/>
      <c r="E598" s="175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A599" s="3"/>
      <c r="B599" s="3"/>
      <c r="C599" s="3"/>
      <c r="D599" s="3"/>
      <c r="E599" s="175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A600" s="3"/>
      <c r="B600" s="3"/>
      <c r="C600" s="3"/>
      <c r="D600" s="3"/>
      <c r="E600" s="175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A601" s="3"/>
      <c r="B601" s="3"/>
      <c r="C601" s="3"/>
      <c r="D601" s="3"/>
      <c r="E601" s="175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A602" s="3"/>
      <c r="B602" s="3"/>
      <c r="C602" s="3"/>
      <c r="D602" s="3"/>
      <c r="E602" s="175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A603" s="3"/>
      <c r="B603" s="3"/>
      <c r="C603" s="3"/>
      <c r="D603" s="3"/>
      <c r="E603" s="175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A604" s="3"/>
      <c r="B604" s="3"/>
      <c r="C604" s="3"/>
      <c r="D604" s="3"/>
      <c r="E604" s="175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A605" s="3"/>
      <c r="B605" s="3"/>
      <c r="C605" s="3"/>
      <c r="D605" s="3"/>
      <c r="E605" s="175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A606" s="3"/>
      <c r="B606" s="3"/>
      <c r="C606" s="3"/>
      <c r="D606" s="3"/>
      <c r="E606" s="175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A607" s="3"/>
      <c r="B607" s="3"/>
      <c r="C607" s="3"/>
      <c r="D607" s="3"/>
      <c r="E607" s="175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A608" s="3"/>
      <c r="B608" s="3"/>
      <c r="C608" s="3"/>
      <c r="D608" s="3"/>
      <c r="E608" s="175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A609" s="3"/>
      <c r="B609" s="3"/>
      <c r="C609" s="3"/>
      <c r="D609" s="3"/>
      <c r="E609" s="175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A610" s="3"/>
      <c r="B610" s="3"/>
      <c r="C610" s="3"/>
      <c r="D610" s="3"/>
      <c r="E610" s="175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A611" s="3"/>
      <c r="B611" s="3"/>
      <c r="C611" s="3"/>
      <c r="D611" s="3"/>
      <c r="E611" s="175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A612" s="3"/>
      <c r="B612" s="3"/>
      <c r="C612" s="3"/>
      <c r="D612" s="3"/>
      <c r="E612" s="175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A613" s="3"/>
      <c r="B613" s="3"/>
      <c r="C613" s="3"/>
      <c r="D613" s="3"/>
      <c r="E613" s="175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A614" s="3"/>
      <c r="B614" s="3"/>
      <c r="C614" s="3"/>
      <c r="D614" s="3"/>
      <c r="E614" s="175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A615" s="3"/>
      <c r="B615" s="3"/>
      <c r="C615" s="3"/>
      <c r="D615" s="3"/>
      <c r="E615" s="175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A616" s="3"/>
      <c r="B616" s="3"/>
      <c r="C616" s="3"/>
      <c r="D616" s="3"/>
      <c r="E616" s="175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A617" s="3"/>
      <c r="B617" s="3"/>
      <c r="C617" s="3"/>
      <c r="D617" s="3"/>
      <c r="E617" s="175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A618" s="3"/>
      <c r="B618" s="3"/>
      <c r="C618" s="3"/>
      <c r="D618" s="3"/>
      <c r="E618" s="175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A619" s="3"/>
      <c r="B619" s="3"/>
      <c r="C619" s="3"/>
      <c r="D619" s="3"/>
      <c r="E619" s="175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A620" s="3"/>
      <c r="B620" s="3"/>
      <c r="C620" s="3"/>
      <c r="D620" s="3"/>
      <c r="E620" s="175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A621" s="3"/>
      <c r="B621" s="3"/>
      <c r="C621" s="3"/>
      <c r="D621" s="3"/>
      <c r="E621" s="175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A622" s="3"/>
      <c r="B622" s="3"/>
      <c r="C622" s="3"/>
      <c r="D622" s="3"/>
      <c r="E622" s="175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A623" s="3"/>
      <c r="B623" s="3"/>
      <c r="C623" s="3"/>
      <c r="D623" s="3"/>
      <c r="E623" s="175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A624" s="3"/>
      <c r="B624" s="3"/>
      <c r="C624" s="3"/>
      <c r="D624" s="3"/>
      <c r="E624" s="175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A625" s="3"/>
      <c r="B625" s="3"/>
      <c r="C625" s="3"/>
      <c r="D625" s="3"/>
      <c r="E625" s="175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A626" s="3"/>
      <c r="B626" s="3"/>
      <c r="C626" s="3"/>
      <c r="D626" s="3"/>
      <c r="E626" s="175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A627" s="3"/>
      <c r="B627" s="3"/>
      <c r="C627" s="3"/>
      <c r="D627" s="3"/>
      <c r="E627" s="175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A628" s="3"/>
      <c r="B628" s="3"/>
      <c r="C628" s="3"/>
      <c r="D628" s="3"/>
      <c r="E628" s="175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A629" s="3"/>
      <c r="B629" s="3"/>
      <c r="C629" s="3"/>
      <c r="D629" s="3"/>
      <c r="E629" s="175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A630" s="3"/>
      <c r="B630" s="3"/>
      <c r="C630" s="3"/>
      <c r="D630" s="3"/>
      <c r="E630" s="175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A631" s="3"/>
      <c r="B631" s="3"/>
      <c r="C631" s="3"/>
      <c r="D631" s="3"/>
      <c r="E631" s="175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A632" s="3"/>
      <c r="B632" s="3"/>
      <c r="C632" s="3"/>
      <c r="D632" s="3"/>
      <c r="E632" s="175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A633" s="3"/>
      <c r="B633" s="3"/>
      <c r="C633" s="3"/>
      <c r="D633" s="3"/>
      <c r="E633" s="175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A634" s="3"/>
      <c r="B634" s="3"/>
      <c r="C634" s="3"/>
      <c r="D634" s="3"/>
      <c r="E634" s="175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A635" s="3"/>
      <c r="B635" s="3"/>
      <c r="C635" s="3"/>
      <c r="D635" s="3"/>
      <c r="E635" s="175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A636" s="3"/>
      <c r="B636" s="3"/>
      <c r="C636" s="3"/>
      <c r="D636" s="3"/>
      <c r="E636" s="175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A637" s="3"/>
      <c r="B637" s="3"/>
      <c r="C637" s="3"/>
      <c r="D637" s="3"/>
      <c r="E637" s="175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A638" s="3"/>
      <c r="B638" s="3"/>
      <c r="C638" s="3"/>
      <c r="D638" s="3"/>
      <c r="E638" s="175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A639" s="3"/>
      <c r="B639" s="3"/>
      <c r="C639" s="3"/>
      <c r="D639" s="3"/>
      <c r="E639" s="175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A640" s="3"/>
      <c r="B640" s="3"/>
      <c r="C640" s="3"/>
      <c r="D640" s="3"/>
      <c r="E640" s="175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A641" s="3"/>
      <c r="B641" s="3"/>
      <c r="C641" s="3"/>
      <c r="D641" s="3"/>
      <c r="E641" s="175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A642" s="3"/>
      <c r="B642" s="3"/>
      <c r="C642" s="3"/>
      <c r="D642" s="3"/>
      <c r="E642" s="175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A643" s="3"/>
      <c r="B643" s="3"/>
      <c r="C643" s="3"/>
      <c r="D643" s="3"/>
      <c r="E643" s="175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A644" s="3"/>
      <c r="B644" s="3"/>
      <c r="C644" s="3"/>
      <c r="D644" s="3"/>
      <c r="E644" s="175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A645" s="3"/>
      <c r="B645" s="3"/>
      <c r="C645" s="3"/>
      <c r="D645" s="3"/>
      <c r="E645" s="175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A646" s="3"/>
      <c r="B646" s="3"/>
      <c r="C646" s="3"/>
      <c r="D646" s="3"/>
      <c r="E646" s="175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A647" s="3"/>
      <c r="B647" s="3"/>
      <c r="C647" s="3"/>
      <c r="D647" s="3"/>
      <c r="E647" s="175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A648" s="3"/>
      <c r="B648" s="3"/>
      <c r="C648" s="3"/>
      <c r="D648" s="3"/>
      <c r="E648" s="175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A649" s="3"/>
      <c r="B649" s="3"/>
      <c r="C649" s="3"/>
      <c r="D649" s="3"/>
      <c r="E649" s="175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A650" s="3"/>
      <c r="B650" s="3"/>
      <c r="C650" s="3"/>
      <c r="D650" s="3"/>
      <c r="E650" s="175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A651" s="3"/>
      <c r="B651" s="3"/>
      <c r="C651" s="3"/>
      <c r="D651" s="3"/>
      <c r="E651" s="175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A652" s="3"/>
      <c r="B652" s="3"/>
      <c r="C652" s="3"/>
      <c r="D652" s="3"/>
      <c r="E652" s="175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A653" s="3"/>
      <c r="B653" s="3"/>
      <c r="C653" s="3"/>
      <c r="D653" s="3"/>
      <c r="E653" s="175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A654" s="3"/>
      <c r="B654" s="3"/>
      <c r="C654" s="3"/>
      <c r="D654" s="3"/>
      <c r="E654" s="175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A655" s="3"/>
      <c r="B655" s="3"/>
      <c r="C655" s="3"/>
      <c r="D655" s="3"/>
      <c r="E655" s="175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A656" s="3"/>
      <c r="B656" s="3"/>
      <c r="C656" s="3"/>
      <c r="D656" s="3"/>
      <c r="E656" s="175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A657" s="3"/>
      <c r="B657" s="3"/>
      <c r="C657" s="3"/>
      <c r="D657" s="3"/>
      <c r="E657" s="175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A658" s="3"/>
      <c r="B658" s="3"/>
      <c r="C658" s="3"/>
      <c r="D658" s="3"/>
      <c r="E658" s="175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A659" s="3"/>
      <c r="B659" s="3"/>
      <c r="C659" s="3"/>
      <c r="D659" s="3"/>
      <c r="E659" s="175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A660" s="3"/>
      <c r="B660" s="3"/>
      <c r="C660" s="3"/>
      <c r="D660" s="3"/>
      <c r="E660" s="175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A661" s="3"/>
      <c r="B661" s="3"/>
      <c r="C661" s="3"/>
      <c r="D661" s="3"/>
      <c r="E661" s="175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A662" s="3"/>
      <c r="B662" s="3"/>
      <c r="C662" s="3"/>
      <c r="D662" s="3"/>
      <c r="E662" s="175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A663" s="3"/>
      <c r="B663" s="3"/>
      <c r="C663" s="3"/>
      <c r="D663" s="3"/>
      <c r="E663" s="175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A664" s="3"/>
      <c r="B664" s="3"/>
      <c r="C664" s="3"/>
      <c r="D664" s="3"/>
      <c r="E664" s="175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A665" s="3"/>
      <c r="B665" s="3"/>
      <c r="C665" s="3"/>
      <c r="D665" s="3"/>
      <c r="E665" s="175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A666" s="3"/>
      <c r="B666" s="3"/>
      <c r="C666" s="3"/>
      <c r="D666" s="3"/>
      <c r="E666" s="175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A667" s="3"/>
      <c r="B667" s="3"/>
      <c r="C667" s="3"/>
      <c r="D667" s="3"/>
      <c r="E667" s="175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A668" s="3"/>
      <c r="B668" s="3"/>
      <c r="C668" s="3"/>
      <c r="D668" s="3"/>
      <c r="E668" s="175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A669" s="3"/>
      <c r="B669" s="3"/>
      <c r="C669" s="3"/>
      <c r="D669" s="3"/>
      <c r="E669" s="175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A670" s="3"/>
      <c r="B670" s="3"/>
      <c r="C670" s="3"/>
      <c r="D670" s="3"/>
      <c r="E670" s="175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A671" s="3"/>
      <c r="B671" s="3"/>
      <c r="C671" s="3"/>
      <c r="D671" s="3"/>
      <c r="E671" s="175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A672" s="3"/>
      <c r="B672" s="3"/>
      <c r="C672" s="3"/>
      <c r="D672" s="3"/>
      <c r="E672" s="175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A673" s="3"/>
      <c r="B673" s="3"/>
      <c r="C673" s="3"/>
      <c r="D673" s="3"/>
      <c r="E673" s="175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A674" s="3"/>
      <c r="B674" s="3"/>
      <c r="C674" s="3"/>
      <c r="D674" s="3"/>
      <c r="E674" s="175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A675" s="3"/>
      <c r="B675" s="3"/>
      <c r="C675" s="3"/>
      <c r="D675" s="3"/>
      <c r="E675" s="175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A676" s="3"/>
      <c r="B676" s="3"/>
      <c r="C676" s="3"/>
      <c r="D676" s="3"/>
      <c r="E676" s="175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A677" s="3"/>
      <c r="B677" s="3"/>
      <c r="C677" s="3"/>
      <c r="D677" s="3"/>
      <c r="E677" s="175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A678" s="3"/>
      <c r="B678" s="3"/>
      <c r="C678" s="3"/>
      <c r="D678" s="3"/>
      <c r="E678" s="175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A679" s="3"/>
      <c r="B679" s="3"/>
      <c r="C679" s="3"/>
      <c r="D679" s="3"/>
      <c r="E679" s="175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A680" s="3"/>
      <c r="B680" s="3"/>
      <c r="C680" s="3"/>
      <c r="D680" s="3"/>
      <c r="E680" s="175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A681" s="3"/>
      <c r="B681" s="3"/>
      <c r="C681" s="3"/>
      <c r="D681" s="3"/>
      <c r="E681" s="175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A682" s="3"/>
      <c r="B682" s="3"/>
      <c r="C682" s="3"/>
      <c r="D682" s="3"/>
      <c r="E682" s="175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A683" s="3"/>
      <c r="B683" s="3"/>
      <c r="C683" s="3"/>
      <c r="D683" s="3"/>
      <c r="E683" s="175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A684" s="3"/>
      <c r="B684" s="3"/>
      <c r="C684" s="3"/>
      <c r="D684" s="3"/>
      <c r="E684" s="175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A685" s="3"/>
      <c r="B685" s="3"/>
      <c r="C685" s="3"/>
      <c r="D685" s="3"/>
      <c r="E685" s="175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A686" s="3"/>
      <c r="B686" s="3"/>
      <c r="C686" s="3"/>
      <c r="D686" s="3"/>
      <c r="E686" s="175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A687" s="3"/>
      <c r="B687" s="3"/>
      <c r="C687" s="3"/>
      <c r="D687" s="3"/>
      <c r="E687" s="175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A688" s="3"/>
      <c r="B688" s="3"/>
      <c r="C688" s="3"/>
      <c r="D688" s="3"/>
      <c r="E688" s="175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A689" s="3"/>
      <c r="B689" s="3"/>
      <c r="C689" s="3"/>
      <c r="D689" s="3"/>
      <c r="E689" s="175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A690" s="3"/>
      <c r="B690" s="3"/>
      <c r="C690" s="3"/>
      <c r="D690" s="3"/>
      <c r="E690" s="175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A691" s="3"/>
      <c r="B691" s="3"/>
      <c r="C691" s="3"/>
      <c r="D691" s="3"/>
      <c r="E691" s="175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A692" s="3"/>
      <c r="B692" s="3"/>
      <c r="C692" s="3"/>
      <c r="D692" s="3"/>
      <c r="E692" s="175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A693" s="3"/>
      <c r="B693" s="3"/>
      <c r="C693" s="3"/>
      <c r="D693" s="3"/>
      <c r="E693" s="175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A694" s="3"/>
      <c r="B694" s="3"/>
      <c r="C694" s="3"/>
      <c r="D694" s="3"/>
      <c r="E694" s="175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A695" s="3"/>
      <c r="B695" s="3"/>
      <c r="C695" s="3"/>
      <c r="D695" s="3"/>
      <c r="E695" s="175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A696" s="3"/>
      <c r="B696" s="3"/>
      <c r="C696" s="3"/>
      <c r="D696" s="3"/>
      <c r="E696" s="175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A697" s="3"/>
      <c r="B697" s="3"/>
      <c r="C697" s="3"/>
      <c r="D697" s="3"/>
      <c r="E697" s="175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A698" s="3"/>
      <c r="B698" s="3"/>
      <c r="C698" s="3"/>
      <c r="D698" s="3"/>
      <c r="E698" s="175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A699" s="3"/>
      <c r="B699" s="3"/>
      <c r="C699" s="3"/>
      <c r="D699" s="3"/>
      <c r="E699" s="175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A700" s="3"/>
      <c r="B700" s="3"/>
      <c r="C700" s="3"/>
      <c r="D700" s="3"/>
      <c r="E700" s="175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A701" s="3"/>
      <c r="B701" s="3"/>
      <c r="C701" s="3"/>
      <c r="D701" s="3"/>
      <c r="E701" s="175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A702" s="3"/>
      <c r="B702" s="3"/>
      <c r="C702" s="3"/>
      <c r="D702" s="3"/>
      <c r="E702" s="175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A703" s="3"/>
      <c r="B703" s="3"/>
      <c r="C703" s="3"/>
      <c r="D703" s="3"/>
      <c r="E703" s="175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A704" s="3"/>
      <c r="B704" s="3"/>
      <c r="C704" s="3"/>
      <c r="D704" s="3"/>
      <c r="E704" s="175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A705" s="3"/>
      <c r="B705" s="3"/>
      <c r="C705" s="3"/>
      <c r="D705" s="3"/>
      <c r="E705" s="175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A706" s="3"/>
      <c r="B706" s="3"/>
      <c r="C706" s="3"/>
      <c r="D706" s="3"/>
      <c r="E706" s="175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A707" s="3"/>
      <c r="B707" s="3"/>
      <c r="C707" s="3"/>
      <c r="D707" s="3"/>
      <c r="E707" s="175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A708" s="3"/>
      <c r="B708" s="3"/>
      <c r="C708" s="3"/>
      <c r="D708" s="3"/>
      <c r="E708" s="175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A709" s="3"/>
      <c r="B709" s="3"/>
      <c r="C709" s="3"/>
      <c r="D709" s="3"/>
      <c r="E709" s="175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A710" s="3"/>
      <c r="B710" s="3"/>
      <c r="C710" s="3"/>
      <c r="D710" s="3"/>
      <c r="E710" s="175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A711" s="3"/>
      <c r="B711" s="3"/>
      <c r="C711" s="3"/>
      <c r="D711" s="3"/>
      <c r="E711" s="175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A712" s="3"/>
      <c r="B712" s="3"/>
      <c r="C712" s="3"/>
      <c r="D712" s="3"/>
      <c r="E712" s="175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A713" s="3"/>
      <c r="B713" s="3"/>
      <c r="C713" s="3"/>
      <c r="D713" s="3"/>
      <c r="E713" s="175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A714" s="3"/>
      <c r="B714" s="3"/>
      <c r="C714" s="3"/>
      <c r="D714" s="3"/>
      <c r="E714" s="175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A715" s="3"/>
      <c r="B715" s="3"/>
      <c r="C715" s="3"/>
      <c r="D715" s="3"/>
      <c r="E715" s="175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A716" s="3"/>
      <c r="B716" s="3"/>
      <c r="C716" s="3"/>
      <c r="D716" s="3"/>
      <c r="E716" s="175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A717" s="3"/>
      <c r="B717" s="3"/>
      <c r="C717" s="3"/>
      <c r="D717" s="3"/>
      <c r="E717" s="175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A718" s="3"/>
      <c r="B718" s="3"/>
      <c r="C718" s="3"/>
      <c r="D718" s="3"/>
      <c r="E718" s="175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A719" s="3"/>
      <c r="B719" s="3"/>
      <c r="C719" s="3"/>
      <c r="D719" s="3"/>
      <c r="E719" s="175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A720" s="3"/>
      <c r="B720" s="3"/>
      <c r="C720" s="3"/>
      <c r="D720" s="3"/>
      <c r="E720" s="175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A721" s="3"/>
      <c r="B721" s="3"/>
      <c r="C721" s="3"/>
      <c r="D721" s="3"/>
      <c r="E721" s="175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A722" s="3"/>
      <c r="B722" s="3"/>
      <c r="C722" s="3"/>
      <c r="D722" s="3"/>
      <c r="E722" s="175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A723" s="3"/>
      <c r="B723" s="3"/>
      <c r="C723" s="3"/>
      <c r="D723" s="3"/>
      <c r="E723" s="175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A724" s="3"/>
      <c r="B724" s="3"/>
      <c r="C724" s="3"/>
      <c r="D724" s="3"/>
      <c r="E724" s="175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A725" s="3"/>
      <c r="B725" s="3"/>
      <c r="C725" s="3"/>
      <c r="D725" s="3"/>
      <c r="E725" s="175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A726" s="3"/>
      <c r="B726" s="3"/>
      <c r="C726" s="3"/>
      <c r="D726" s="3"/>
      <c r="E726" s="175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A727" s="3"/>
      <c r="B727" s="3"/>
      <c r="C727" s="3"/>
      <c r="D727" s="3"/>
      <c r="E727" s="175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A728" s="3"/>
      <c r="B728" s="3"/>
      <c r="C728" s="3"/>
      <c r="D728" s="3"/>
      <c r="E728" s="175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A729" s="3"/>
      <c r="B729" s="3"/>
      <c r="C729" s="3"/>
      <c r="D729" s="3"/>
      <c r="E729" s="175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A730" s="3"/>
      <c r="B730" s="3"/>
      <c r="C730" s="3"/>
      <c r="D730" s="3"/>
      <c r="E730" s="175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A731" s="3"/>
      <c r="B731" s="3"/>
      <c r="C731" s="3"/>
      <c r="D731" s="3"/>
      <c r="E731" s="175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A732" s="3"/>
      <c r="B732" s="3"/>
      <c r="C732" s="3"/>
      <c r="D732" s="3"/>
      <c r="E732" s="175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A733" s="3"/>
      <c r="B733" s="3"/>
      <c r="C733" s="3"/>
      <c r="D733" s="3"/>
      <c r="E733" s="175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A734" s="3"/>
      <c r="B734" s="3"/>
      <c r="C734" s="3"/>
      <c r="D734" s="3"/>
      <c r="E734" s="175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A735" s="3"/>
      <c r="B735" s="3"/>
      <c r="C735" s="3"/>
      <c r="D735" s="3"/>
      <c r="E735" s="175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A736" s="3"/>
      <c r="B736" s="3"/>
      <c r="C736" s="3"/>
      <c r="D736" s="3"/>
      <c r="E736" s="175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A737" s="3"/>
      <c r="B737" s="3"/>
      <c r="C737" s="3"/>
      <c r="D737" s="3"/>
      <c r="E737" s="175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A738" s="3"/>
      <c r="B738" s="3"/>
      <c r="C738" s="3"/>
      <c r="D738" s="3"/>
      <c r="E738" s="175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A739" s="3"/>
      <c r="B739" s="3"/>
      <c r="C739" s="3"/>
      <c r="D739" s="3"/>
      <c r="E739" s="175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A740" s="3"/>
      <c r="B740" s="3"/>
      <c r="C740" s="3"/>
      <c r="D740" s="3"/>
      <c r="E740" s="175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A741" s="3"/>
      <c r="B741" s="3"/>
      <c r="C741" s="3"/>
      <c r="D741" s="3"/>
      <c r="E741" s="175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A742" s="3"/>
      <c r="B742" s="3"/>
      <c r="C742" s="3"/>
      <c r="D742" s="3"/>
      <c r="E742" s="175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A743" s="3"/>
      <c r="B743" s="3"/>
      <c r="C743" s="3"/>
      <c r="D743" s="3"/>
      <c r="E743" s="175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A744" s="3"/>
      <c r="B744" s="3"/>
      <c r="C744" s="3"/>
      <c r="D744" s="3"/>
      <c r="E744" s="175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A745" s="3"/>
      <c r="B745" s="3"/>
      <c r="C745" s="3"/>
      <c r="D745" s="3"/>
      <c r="E745" s="175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A746" s="3"/>
      <c r="B746" s="3"/>
      <c r="C746" s="3"/>
      <c r="D746" s="3"/>
      <c r="E746" s="175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A747" s="3"/>
      <c r="B747" s="3"/>
      <c r="C747" s="3"/>
      <c r="D747" s="3"/>
      <c r="E747" s="175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A748" s="3"/>
      <c r="B748" s="3"/>
      <c r="C748" s="3"/>
      <c r="D748" s="3"/>
      <c r="E748" s="175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A749" s="3"/>
      <c r="B749" s="3"/>
      <c r="C749" s="3"/>
      <c r="D749" s="3"/>
      <c r="E749" s="175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A750" s="3"/>
      <c r="B750" s="3"/>
      <c r="C750" s="3"/>
      <c r="D750" s="3"/>
      <c r="E750" s="175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A751" s="3"/>
      <c r="B751" s="3"/>
      <c r="C751" s="3"/>
      <c r="D751" s="3"/>
      <c r="E751" s="175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A752" s="3"/>
      <c r="B752" s="3"/>
      <c r="C752" s="3"/>
      <c r="D752" s="3"/>
      <c r="E752" s="175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A753" s="3"/>
      <c r="B753" s="3"/>
      <c r="C753" s="3"/>
      <c r="D753" s="3"/>
      <c r="E753" s="175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A754" s="3"/>
      <c r="B754" s="3"/>
      <c r="C754" s="3"/>
      <c r="D754" s="3"/>
      <c r="E754" s="175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A755" s="3"/>
      <c r="B755" s="3"/>
      <c r="C755" s="3"/>
      <c r="D755" s="3"/>
      <c r="E755" s="175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A756" s="3"/>
      <c r="B756" s="3"/>
      <c r="C756" s="3"/>
      <c r="D756" s="3"/>
      <c r="E756" s="175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A757" s="3"/>
      <c r="B757" s="3"/>
      <c r="C757" s="3"/>
      <c r="D757" s="3"/>
      <c r="E757" s="175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A758" s="3"/>
      <c r="B758" s="3"/>
      <c r="C758" s="3"/>
      <c r="D758" s="3"/>
      <c r="E758" s="175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A759" s="3"/>
      <c r="B759" s="3"/>
      <c r="C759" s="3"/>
      <c r="D759" s="3"/>
      <c r="E759" s="175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A760" s="3"/>
      <c r="B760" s="3"/>
      <c r="C760" s="3"/>
      <c r="D760" s="3"/>
      <c r="E760" s="175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A761" s="3"/>
      <c r="B761" s="3"/>
      <c r="C761" s="3"/>
      <c r="D761" s="3"/>
      <c r="E761" s="175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A762" s="3"/>
      <c r="B762" s="3"/>
      <c r="C762" s="3"/>
      <c r="D762" s="3"/>
      <c r="E762" s="175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A763" s="3"/>
      <c r="B763" s="3"/>
      <c r="C763" s="3"/>
      <c r="D763" s="3"/>
      <c r="E763" s="175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A764" s="3"/>
      <c r="B764" s="3"/>
      <c r="C764" s="3"/>
      <c r="D764" s="3"/>
      <c r="E764" s="175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A765" s="3"/>
      <c r="B765" s="3"/>
      <c r="C765" s="3"/>
      <c r="D765" s="3"/>
      <c r="E765" s="175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A766" s="3"/>
      <c r="B766" s="3"/>
      <c r="C766" s="3"/>
      <c r="D766" s="3"/>
      <c r="E766" s="175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A767" s="3"/>
      <c r="B767" s="3"/>
      <c r="C767" s="3"/>
      <c r="D767" s="3"/>
      <c r="E767" s="175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A768" s="3"/>
      <c r="B768" s="3"/>
      <c r="C768" s="3"/>
      <c r="D768" s="3"/>
      <c r="E768" s="175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A769" s="3"/>
      <c r="B769" s="3"/>
      <c r="C769" s="3"/>
      <c r="D769" s="3"/>
      <c r="E769" s="175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A770" s="3"/>
      <c r="B770" s="3"/>
      <c r="C770" s="3"/>
      <c r="D770" s="3"/>
      <c r="E770" s="175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A771" s="3"/>
      <c r="B771" s="3"/>
      <c r="C771" s="3"/>
      <c r="D771" s="3"/>
      <c r="E771" s="175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A772" s="3"/>
      <c r="B772" s="3"/>
      <c r="C772" s="3"/>
      <c r="D772" s="3"/>
      <c r="E772" s="175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A773" s="3"/>
      <c r="B773" s="3"/>
      <c r="C773" s="3"/>
      <c r="D773" s="3"/>
      <c r="E773" s="175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A774" s="3"/>
      <c r="B774" s="3"/>
      <c r="C774" s="3"/>
      <c r="D774" s="3"/>
      <c r="E774" s="175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A775" s="3"/>
      <c r="B775" s="3"/>
      <c r="C775" s="3"/>
      <c r="D775" s="3"/>
      <c r="E775" s="175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A776" s="3"/>
      <c r="B776" s="3"/>
      <c r="C776" s="3"/>
      <c r="D776" s="3"/>
      <c r="E776" s="175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A777" s="3"/>
      <c r="B777" s="3"/>
      <c r="C777" s="3"/>
      <c r="D777" s="3"/>
      <c r="E777" s="175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A778" s="3"/>
      <c r="B778" s="3"/>
      <c r="C778" s="3"/>
      <c r="D778" s="3"/>
      <c r="E778" s="175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A779" s="3"/>
      <c r="B779" s="3"/>
      <c r="C779" s="3"/>
      <c r="D779" s="3"/>
      <c r="E779" s="175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A780" s="3"/>
      <c r="B780" s="3"/>
      <c r="C780" s="3"/>
      <c r="D780" s="3"/>
      <c r="E780" s="175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A781" s="3"/>
      <c r="B781" s="3"/>
      <c r="C781" s="3"/>
      <c r="D781" s="3"/>
      <c r="E781" s="175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A782" s="3"/>
      <c r="B782" s="3"/>
      <c r="C782" s="3"/>
      <c r="D782" s="3"/>
      <c r="E782" s="175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A783" s="3"/>
      <c r="B783" s="3"/>
      <c r="C783" s="3"/>
      <c r="D783" s="3"/>
      <c r="E783" s="175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A784" s="3"/>
      <c r="B784" s="3"/>
      <c r="C784" s="3"/>
      <c r="D784" s="3"/>
      <c r="E784" s="175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A785" s="3"/>
      <c r="B785" s="3"/>
      <c r="C785" s="3"/>
      <c r="D785" s="3"/>
      <c r="E785" s="175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A786" s="3"/>
      <c r="B786" s="3"/>
      <c r="C786" s="3"/>
      <c r="D786" s="3"/>
      <c r="E786" s="175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A787" s="3"/>
      <c r="B787" s="3"/>
      <c r="C787" s="3"/>
      <c r="D787" s="3"/>
      <c r="E787" s="175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A788" s="3"/>
      <c r="B788" s="3"/>
      <c r="C788" s="3"/>
      <c r="D788" s="3"/>
      <c r="E788" s="175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A789" s="3"/>
      <c r="B789" s="3"/>
      <c r="C789" s="3"/>
      <c r="D789" s="3"/>
      <c r="E789" s="175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A790" s="3"/>
      <c r="B790" s="3"/>
      <c r="C790" s="3"/>
      <c r="D790" s="3"/>
      <c r="E790" s="175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A791" s="3"/>
      <c r="B791" s="3"/>
      <c r="C791" s="3"/>
      <c r="D791" s="3"/>
      <c r="E791" s="175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A792" s="3"/>
      <c r="B792" s="3"/>
      <c r="C792" s="3"/>
      <c r="D792" s="3"/>
      <c r="E792" s="175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A793" s="3"/>
      <c r="B793" s="3"/>
      <c r="C793" s="3"/>
      <c r="D793" s="3"/>
      <c r="E793" s="175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A794" s="3"/>
      <c r="B794" s="3"/>
      <c r="C794" s="3"/>
      <c r="D794" s="3"/>
      <c r="E794" s="175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A795" s="3"/>
      <c r="B795" s="3"/>
      <c r="C795" s="3"/>
      <c r="D795" s="3"/>
      <c r="E795" s="175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A796" s="3"/>
      <c r="B796" s="3"/>
      <c r="C796" s="3"/>
      <c r="D796" s="3"/>
      <c r="E796" s="175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A797" s="3"/>
      <c r="B797" s="3"/>
      <c r="C797" s="3"/>
      <c r="D797" s="3"/>
      <c r="E797" s="175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A798" s="3"/>
      <c r="B798" s="3"/>
      <c r="C798" s="3"/>
      <c r="D798" s="3"/>
      <c r="E798" s="175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A799" s="3"/>
      <c r="B799" s="3"/>
      <c r="C799" s="3"/>
      <c r="D799" s="3"/>
      <c r="E799" s="175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A800" s="3"/>
      <c r="B800" s="3"/>
      <c r="C800" s="3"/>
      <c r="D800" s="3"/>
      <c r="E800" s="175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A801" s="3"/>
      <c r="B801" s="3"/>
      <c r="C801" s="3"/>
      <c r="D801" s="3"/>
      <c r="E801" s="175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A802" s="3"/>
      <c r="B802" s="3"/>
      <c r="C802" s="3"/>
      <c r="D802" s="3"/>
      <c r="E802" s="175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A803" s="3"/>
      <c r="B803" s="3"/>
      <c r="C803" s="3"/>
      <c r="D803" s="3"/>
      <c r="E803" s="175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A804" s="3"/>
      <c r="B804" s="3"/>
      <c r="C804" s="3"/>
      <c r="D804" s="3"/>
      <c r="E804" s="175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A805" s="3"/>
      <c r="B805" s="3"/>
      <c r="C805" s="3"/>
      <c r="D805" s="3"/>
      <c r="E805" s="175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A806" s="3"/>
      <c r="B806" s="3"/>
      <c r="C806" s="3"/>
      <c r="D806" s="3"/>
      <c r="E806" s="175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A807" s="3"/>
      <c r="B807" s="3"/>
      <c r="C807" s="3"/>
      <c r="D807" s="3"/>
      <c r="E807" s="175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A808" s="3"/>
      <c r="B808" s="3"/>
      <c r="C808" s="3"/>
      <c r="D808" s="3"/>
      <c r="E808" s="175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A809" s="3"/>
      <c r="B809" s="3"/>
      <c r="C809" s="3"/>
      <c r="D809" s="3"/>
      <c r="E809" s="175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A810" s="3"/>
      <c r="B810" s="3"/>
      <c r="C810" s="3"/>
      <c r="D810" s="3"/>
      <c r="E810" s="175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A811" s="3"/>
      <c r="B811" s="3"/>
      <c r="C811" s="3"/>
      <c r="D811" s="3"/>
      <c r="E811" s="175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A812" s="3"/>
      <c r="B812" s="3"/>
      <c r="C812" s="3"/>
      <c r="D812" s="3"/>
      <c r="E812" s="175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A813" s="3"/>
      <c r="B813" s="3"/>
      <c r="C813" s="3"/>
      <c r="D813" s="3"/>
      <c r="E813" s="175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A814" s="3"/>
      <c r="B814" s="3"/>
      <c r="C814" s="3"/>
      <c r="D814" s="3"/>
      <c r="E814" s="175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A815" s="3"/>
      <c r="B815" s="3"/>
      <c r="C815" s="3"/>
      <c r="D815" s="3"/>
      <c r="E815" s="175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A816" s="3"/>
      <c r="B816" s="3"/>
      <c r="C816" s="3"/>
      <c r="D816" s="3"/>
      <c r="E816" s="175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A817" s="3"/>
      <c r="B817" s="3"/>
      <c r="C817" s="3"/>
      <c r="D817" s="3"/>
      <c r="E817" s="175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A818" s="3"/>
      <c r="B818" s="3"/>
      <c r="C818" s="3"/>
      <c r="D818" s="3"/>
      <c r="E818" s="175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A819" s="3"/>
      <c r="B819" s="3"/>
      <c r="C819" s="3"/>
      <c r="D819" s="3"/>
      <c r="E819" s="175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A820" s="3"/>
      <c r="B820" s="3"/>
      <c r="C820" s="3"/>
      <c r="D820" s="3"/>
      <c r="E820" s="175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A821" s="3"/>
      <c r="B821" s="3"/>
      <c r="C821" s="3"/>
      <c r="D821" s="3"/>
      <c r="E821" s="175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A822" s="3"/>
      <c r="B822" s="3"/>
      <c r="C822" s="3"/>
      <c r="D822" s="3"/>
      <c r="E822" s="175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A823" s="3"/>
      <c r="B823" s="3"/>
      <c r="C823" s="3"/>
      <c r="D823" s="3"/>
      <c r="E823" s="175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A824" s="3"/>
      <c r="B824" s="3"/>
      <c r="C824" s="3"/>
      <c r="D824" s="3"/>
      <c r="E824" s="175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A825" s="3"/>
      <c r="B825" s="3"/>
      <c r="C825" s="3"/>
      <c r="D825" s="3"/>
      <c r="E825" s="175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A826" s="3"/>
      <c r="B826" s="3"/>
      <c r="C826" s="3"/>
      <c r="D826" s="3"/>
      <c r="E826" s="175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A827" s="3"/>
      <c r="B827" s="3"/>
      <c r="C827" s="3"/>
      <c r="D827" s="3"/>
      <c r="E827" s="175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A828" s="3"/>
      <c r="B828" s="3"/>
      <c r="C828" s="3"/>
      <c r="D828" s="3"/>
      <c r="E828" s="175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A829" s="3"/>
      <c r="B829" s="3"/>
      <c r="C829" s="3"/>
      <c r="D829" s="3"/>
      <c r="E829" s="175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A830" s="3"/>
      <c r="B830" s="3"/>
      <c r="C830" s="3"/>
      <c r="D830" s="3"/>
      <c r="E830" s="175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A831" s="3"/>
      <c r="B831" s="3"/>
      <c r="C831" s="3"/>
      <c r="D831" s="3"/>
      <c r="E831" s="175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A832" s="3"/>
      <c r="B832" s="3"/>
      <c r="C832" s="3"/>
      <c r="D832" s="3"/>
      <c r="E832" s="175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A833" s="3"/>
      <c r="B833" s="3"/>
      <c r="C833" s="3"/>
      <c r="D833" s="3"/>
      <c r="E833" s="175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A834" s="3"/>
      <c r="B834" s="3"/>
      <c r="C834" s="3"/>
      <c r="D834" s="3"/>
      <c r="E834" s="175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A835" s="3"/>
      <c r="B835" s="3"/>
      <c r="C835" s="3"/>
      <c r="D835" s="3"/>
      <c r="E835" s="175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A836" s="3"/>
      <c r="B836" s="3"/>
      <c r="C836" s="3"/>
      <c r="D836" s="3"/>
      <c r="E836" s="175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A837" s="3"/>
      <c r="B837" s="3"/>
      <c r="C837" s="3"/>
      <c r="D837" s="3"/>
      <c r="E837" s="175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A838" s="3"/>
      <c r="B838" s="3"/>
      <c r="C838" s="3"/>
      <c r="D838" s="3"/>
      <c r="E838" s="175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A839" s="3"/>
      <c r="B839" s="3"/>
      <c r="C839" s="3"/>
      <c r="D839" s="3"/>
      <c r="E839" s="175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A840" s="3"/>
      <c r="B840" s="3"/>
      <c r="C840" s="3"/>
      <c r="D840" s="3"/>
      <c r="E840" s="175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A841" s="3"/>
      <c r="B841" s="3"/>
      <c r="C841" s="3"/>
      <c r="D841" s="3"/>
      <c r="E841" s="175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A842" s="3"/>
      <c r="B842" s="3"/>
      <c r="C842" s="3"/>
      <c r="D842" s="3"/>
      <c r="E842" s="175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A843" s="3"/>
      <c r="B843" s="3"/>
      <c r="C843" s="3"/>
      <c r="D843" s="3"/>
      <c r="E843" s="175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A844" s="3"/>
      <c r="B844" s="3"/>
      <c r="C844" s="3"/>
      <c r="D844" s="3"/>
      <c r="E844" s="175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A845" s="3"/>
      <c r="B845" s="3"/>
      <c r="C845" s="3"/>
      <c r="D845" s="3"/>
      <c r="E845" s="175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A846" s="3"/>
      <c r="B846" s="3"/>
      <c r="C846" s="3"/>
      <c r="D846" s="3"/>
      <c r="E846" s="175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A847" s="3"/>
      <c r="B847" s="3"/>
      <c r="C847" s="3"/>
      <c r="D847" s="3"/>
      <c r="E847" s="175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A848" s="3"/>
      <c r="B848" s="3"/>
      <c r="C848" s="3"/>
      <c r="D848" s="3"/>
      <c r="E848" s="175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A849" s="3"/>
      <c r="B849" s="3"/>
      <c r="C849" s="3"/>
      <c r="D849" s="3"/>
      <c r="E849" s="175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A850" s="3"/>
      <c r="B850" s="3"/>
      <c r="C850" s="3"/>
      <c r="D850" s="3"/>
      <c r="E850" s="175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A851" s="3"/>
      <c r="B851" s="3"/>
      <c r="C851" s="3"/>
      <c r="D851" s="3"/>
      <c r="E851" s="175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A852" s="3"/>
      <c r="B852" s="3"/>
      <c r="C852" s="3"/>
      <c r="D852" s="3"/>
      <c r="E852" s="175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A853" s="3"/>
      <c r="B853" s="3"/>
      <c r="C853" s="3"/>
      <c r="D853" s="3"/>
      <c r="E853" s="175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A854" s="3"/>
      <c r="B854" s="3"/>
      <c r="C854" s="3"/>
      <c r="D854" s="3"/>
      <c r="E854" s="175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A855" s="3"/>
      <c r="B855" s="3"/>
      <c r="C855" s="3"/>
      <c r="D855" s="3"/>
      <c r="E855" s="175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A856" s="3"/>
      <c r="B856" s="3"/>
      <c r="C856" s="3"/>
      <c r="D856" s="3"/>
      <c r="E856" s="175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A857" s="3"/>
      <c r="B857" s="3"/>
      <c r="C857" s="3"/>
      <c r="D857" s="3"/>
      <c r="E857" s="175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A858" s="3"/>
      <c r="B858" s="3"/>
      <c r="C858" s="3"/>
      <c r="D858" s="3"/>
      <c r="E858" s="175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A859" s="3"/>
      <c r="B859" s="3"/>
      <c r="C859" s="3"/>
      <c r="D859" s="3"/>
      <c r="E859" s="175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A860" s="3"/>
      <c r="B860" s="3"/>
      <c r="C860" s="3"/>
      <c r="D860" s="3"/>
      <c r="E860" s="175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A861" s="3"/>
      <c r="B861" s="3"/>
      <c r="C861" s="3"/>
      <c r="D861" s="3"/>
      <c r="E861" s="175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A862" s="3"/>
      <c r="B862" s="3"/>
      <c r="C862" s="3"/>
      <c r="D862" s="3"/>
      <c r="E862" s="175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A863" s="3"/>
      <c r="B863" s="3"/>
      <c r="C863" s="3"/>
      <c r="D863" s="3"/>
      <c r="E863" s="175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A864" s="3"/>
      <c r="B864" s="3"/>
      <c r="C864" s="3"/>
      <c r="D864" s="3"/>
      <c r="E864" s="175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A865" s="3"/>
      <c r="B865" s="3"/>
      <c r="C865" s="3"/>
      <c r="D865" s="3"/>
      <c r="E865" s="175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A866" s="3"/>
      <c r="B866" s="3"/>
      <c r="C866" s="3"/>
      <c r="D866" s="3"/>
      <c r="E866" s="175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A867" s="3"/>
      <c r="B867" s="3"/>
      <c r="C867" s="3"/>
      <c r="D867" s="3"/>
      <c r="E867" s="175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A868" s="3"/>
      <c r="B868" s="3"/>
      <c r="C868" s="3"/>
      <c r="D868" s="3"/>
      <c r="E868" s="175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A869" s="3"/>
      <c r="B869" s="3"/>
      <c r="C869" s="3"/>
      <c r="D869" s="3"/>
      <c r="E869" s="175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A870" s="3"/>
      <c r="B870" s="3"/>
      <c r="C870" s="3"/>
      <c r="D870" s="3"/>
      <c r="E870" s="175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A871" s="3"/>
      <c r="B871" s="3"/>
      <c r="C871" s="3"/>
      <c r="D871" s="3"/>
      <c r="E871" s="175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A872" s="3"/>
      <c r="B872" s="3"/>
      <c r="C872" s="3"/>
      <c r="D872" s="3"/>
      <c r="E872" s="175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A873" s="3"/>
      <c r="B873" s="3"/>
      <c r="C873" s="3"/>
      <c r="D873" s="3"/>
      <c r="E873" s="175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A874" s="3"/>
      <c r="B874" s="3"/>
      <c r="C874" s="3"/>
      <c r="D874" s="3"/>
      <c r="E874" s="175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A875" s="3"/>
      <c r="B875" s="3"/>
      <c r="C875" s="3"/>
      <c r="D875" s="3"/>
      <c r="E875" s="175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A876" s="3"/>
      <c r="B876" s="3"/>
      <c r="C876" s="3"/>
      <c r="D876" s="3"/>
      <c r="E876" s="175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A877" s="3"/>
      <c r="B877" s="3"/>
      <c r="C877" s="3"/>
      <c r="D877" s="3"/>
      <c r="E877" s="175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A878" s="3"/>
      <c r="B878" s="3"/>
      <c r="C878" s="3"/>
      <c r="D878" s="3"/>
      <c r="E878" s="175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A879" s="3"/>
      <c r="B879" s="3"/>
      <c r="C879" s="3"/>
      <c r="D879" s="3"/>
      <c r="E879" s="175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A880" s="3"/>
      <c r="B880" s="3"/>
      <c r="C880" s="3"/>
      <c r="D880" s="3"/>
      <c r="E880" s="175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A881" s="3"/>
      <c r="B881" s="3"/>
      <c r="C881" s="3"/>
      <c r="D881" s="3"/>
      <c r="E881" s="175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A882" s="3"/>
      <c r="B882" s="3"/>
      <c r="C882" s="3"/>
      <c r="D882" s="3"/>
      <c r="E882" s="175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A883" s="3"/>
      <c r="B883" s="3"/>
      <c r="C883" s="3"/>
      <c r="D883" s="3"/>
      <c r="E883" s="175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A884" s="3"/>
      <c r="B884" s="3"/>
      <c r="C884" s="3"/>
      <c r="D884" s="3"/>
      <c r="E884" s="175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A885" s="3"/>
      <c r="B885" s="3"/>
      <c r="C885" s="3"/>
      <c r="D885" s="3"/>
      <c r="E885" s="175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A886" s="3"/>
      <c r="B886" s="3"/>
      <c r="C886" s="3"/>
      <c r="D886" s="3"/>
      <c r="E886" s="175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A887" s="3"/>
      <c r="B887" s="3"/>
      <c r="C887" s="3"/>
      <c r="D887" s="3"/>
      <c r="E887" s="175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A888" s="3"/>
      <c r="B888" s="3"/>
      <c r="C888" s="3"/>
      <c r="D888" s="3"/>
      <c r="E888" s="175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A889" s="3"/>
      <c r="B889" s="3"/>
      <c r="C889" s="3"/>
      <c r="D889" s="3"/>
      <c r="E889" s="175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A890" s="3"/>
      <c r="B890" s="3"/>
      <c r="C890" s="3"/>
      <c r="D890" s="3"/>
      <c r="E890" s="175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A891" s="3"/>
      <c r="B891" s="3"/>
      <c r="C891" s="3"/>
      <c r="D891" s="3"/>
      <c r="E891" s="175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A892" s="3"/>
      <c r="B892" s="3"/>
      <c r="C892" s="3"/>
      <c r="D892" s="3"/>
      <c r="E892" s="175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A893" s="3"/>
      <c r="B893" s="3"/>
      <c r="C893" s="3"/>
      <c r="D893" s="3"/>
      <c r="E893" s="175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A894" s="3"/>
      <c r="B894" s="3"/>
      <c r="C894" s="3"/>
      <c r="D894" s="3"/>
      <c r="E894" s="175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A895" s="3"/>
      <c r="B895" s="3"/>
      <c r="C895" s="3"/>
      <c r="D895" s="3"/>
      <c r="E895" s="175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A896" s="3"/>
      <c r="B896" s="3"/>
      <c r="C896" s="3"/>
      <c r="D896" s="3"/>
      <c r="E896" s="175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A897" s="3"/>
      <c r="B897" s="3"/>
      <c r="C897" s="3"/>
      <c r="D897" s="3"/>
      <c r="E897" s="175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A898" s="3"/>
      <c r="B898" s="3"/>
      <c r="C898" s="3"/>
      <c r="D898" s="3"/>
      <c r="E898" s="175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A899" s="3"/>
      <c r="B899" s="3"/>
      <c r="C899" s="3"/>
      <c r="D899" s="3"/>
      <c r="E899" s="175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A900" s="3"/>
      <c r="B900" s="3"/>
      <c r="C900" s="3"/>
      <c r="D900" s="3"/>
      <c r="E900" s="175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A901" s="3"/>
      <c r="B901" s="3"/>
      <c r="C901" s="3"/>
      <c r="D901" s="3"/>
      <c r="E901" s="175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A902" s="3"/>
      <c r="B902" s="3"/>
      <c r="C902" s="3"/>
      <c r="D902" s="3"/>
      <c r="E902" s="175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A903" s="3"/>
      <c r="B903" s="3"/>
      <c r="C903" s="3"/>
      <c r="D903" s="3"/>
      <c r="E903" s="175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A904" s="3"/>
      <c r="B904" s="3"/>
      <c r="C904" s="3"/>
      <c r="D904" s="3"/>
      <c r="E904" s="175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A905" s="3"/>
      <c r="B905" s="3"/>
      <c r="C905" s="3"/>
      <c r="D905" s="3"/>
      <c r="E905" s="175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A906" s="3"/>
      <c r="B906" s="3"/>
      <c r="C906" s="3"/>
      <c r="D906" s="3"/>
      <c r="E906" s="175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A907" s="3"/>
      <c r="B907" s="3"/>
      <c r="C907" s="3"/>
      <c r="D907" s="3"/>
      <c r="E907" s="175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A908" s="3"/>
      <c r="B908" s="3"/>
      <c r="C908" s="3"/>
      <c r="D908" s="3"/>
      <c r="E908" s="175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A909" s="3"/>
      <c r="B909" s="3"/>
      <c r="C909" s="3"/>
      <c r="D909" s="3"/>
      <c r="E909" s="175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A910" s="3"/>
      <c r="B910" s="3"/>
      <c r="C910" s="3"/>
      <c r="D910" s="3"/>
      <c r="E910" s="175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A911" s="3"/>
      <c r="B911" s="3"/>
      <c r="C911" s="3"/>
      <c r="D911" s="3"/>
      <c r="E911" s="175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A912" s="3"/>
      <c r="B912" s="3"/>
      <c r="C912" s="3"/>
      <c r="D912" s="3"/>
      <c r="E912" s="175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A913" s="3"/>
      <c r="B913" s="3"/>
      <c r="C913" s="3"/>
      <c r="D913" s="3"/>
      <c r="E913" s="175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A914" s="3"/>
      <c r="B914" s="3"/>
      <c r="C914" s="3"/>
      <c r="D914" s="3"/>
      <c r="E914" s="175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A915" s="3"/>
      <c r="B915" s="3"/>
      <c r="C915" s="3"/>
      <c r="D915" s="3"/>
      <c r="E915" s="175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A916" s="3"/>
      <c r="B916" s="3"/>
      <c r="C916" s="3"/>
      <c r="D916" s="3"/>
      <c r="E916" s="175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A917" s="3"/>
      <c r="B917" s="3"/>
      <c r="C917" s="3"/>
      <c r="D917" s="3"/>
      <c r="E917" s="175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A918" s="3"/>
      <c r="B918" s="3"/>
      <c r="C918" s="3"/>
      <c r="D918" s="3"/>
      <c r="E918" s="175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A919" s="3"/>
      <c r="B919" s="3"/>
      <c r="C919" s="3"/>
      <c r="D919" s="3"/>
      <c r="E919" s="175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A920" s="3"/>
      <c r="B920" s="3"/>
      <c r="C920" s="3"/>
      <c r="D920" s="3"/>
      <c r="E920" s="175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A921" s="3"/>
      <c r="B921" s="3"/>
      <c r="C921" s="3"/>
      <c r="D921" s="3"/>
      <c r="E921" s="175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A922" s="3"/>
      <c r="B922" s="3"/>
      <c r="C922" s="3"/>
      <c r="D922" s="3"/>
      <c r="E922" s="175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A923" s="3"/>
      <c r="B923" s="3"/>
      <c r="C923" s="3"/>
      <c r="D923" s="3"/>
      <c r="E923" s="175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A924" s="3"/>
      <c r="B924" s="3"/>
      <c r="C924" s="3"/>
      <c r="D924" s="3"/>
      <c r="E924" s="175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A925" s="3"/>
      <c r="B925" s="3"/>
      <c r="C925" s="3"/>
      <c r="D925" s="3"/>
      <c r="E925" s="175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A926" s="3"/>
      <c r="B926" s="3"/>
      <c r="C926" s="3"/>
      <c r="D926" s="3"/>
      <c r="E926" s="175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A927" s="3"/>
      <c r="B927" s="3"/>
      <c r="C927" s="3"/>
      <c r="D927" s="3"/>
      <c r="E927" s="175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A928" s="3"/>
      <c r="B928" s="3"/>
      <c r="C928" s="3"/>
      <c r="D928" s="3"/>
      <c r="E928" s="175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A929" s="3"/>
      <c r="B929" s="3"/>
      <c r="C929" s="3"/>
      <c r="D929" s="3"/>
      <c r="E929" s="175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A930" s="3"/>
      <c r="B930" s="3"/>
      <c r="C930" s="3"/>
      <c r="D930" s="3"/>
      <c r="E930" s="175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A931" s="3"/>
      <c r="B931" s="3"/>
      <c r="C931" s="3"/>
      <c r="D931" s="3"/>
      <c r="E931" s="175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A932" s="3"/>
      <c r="B932" s="3"/>
      <c r="C932" s="3"/>
      <c r="D932" s="3"/>
      <c r="E932" s="175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A933" s="3"/>
      <c r="B933" s="3"/>
      <c r="C933" s="3"/>
      <c r="D933" s="3"/>
      <c r="E933" s="175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A934" s="3"/>
      <c r="B934" s="3"/>
      <c r="C934" s="3"/>
      <c r="D934" s="3"/>
      <c r="E934" s="175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A935" s="3"/>
      <c r="B935" s="3"/>
      <c r="C935" s="3"/>
      <c r="D935" s="3"/>
      <c r="E935" s="175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A936" s="3"/>
      <c r="B936" s="3"/>
      <c r="C936" s="3"/>
      <c r="D936" s="3"/>
      <c r="E936" s="175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A937" s="3"/>
      <c r="B937" s="3"/>
      <c r="C937" s="3"/>
      <c r="D937" s="3"/>
      <c r="E937" s="175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A938" s="3"/>
      <c r="B938" s="3"/>
      <c r="C938" s="3"/>
      <c r="D938" s="3"/>
      <c r="E938" s="175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A939" s="3"/>
      <c r="B939" s="3"/>
      <c r="C939" s="3"/>
      <c r="D939" s="3"/>
      <c r="E939" s="175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A940" s="3"/>
      <c r="B940" s="3"/>
      <c r="C940" s="3"/>
      <c r="D940" s="3"/>
      <c r="E940" s="175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A941" s="3"/>
      <c r="B941" s="3"/>
      <c r="C941" s="3"/>
      <c r="D941" s="3"/>
      <c r="E941" s="175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A942" s="3"/>
      <c r="B942" s="3"/>
      <c r="C942" s="3"/>
      <c r="D942" s="3"/>
      <c r="E942" s="175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A943" s="3"/>
      <c r="B943" s="3"/>
      <c r="C943" s="3"/>
      <c r="D943" s="3"/>
      <c r="E943" s="175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A944" s="3"/>
      <c r="B944" s="3"/>
      <c r="C944" s="3"/>
      <c r="D944" s="3"/>
      <c r="E944" s="175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A945" s="3"/>
      <c r="B945" s="3"/>
      <c r="C945" s="3"/>
      <c r="D945" s="3"/>
      <c r="E945" s="175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A946" s="3"/>
      <c r="B946" s="3"/>
      <c r="C946" s="3"/>
      <c r="D946" s="3"/>
      <c r="E946" s="175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A947" s="3"/>
      <c r="B947" s="3"/>
      <c r="C947" s="3"/>
      <c r="D947" s="3"/>
      <c r="E947" s="175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A948" s="3"/>
      <c r="B948" s="3"/>
      <c r="C948" s="3"/>
      <c r="D948" s="3"/>
      <c r="E948" s="175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A949" s="3"/>
      <c r="B949" s="3"/>
      <c r="C949" s="3"/>
      <c r="D949" s="3"/>
      <c r="E949" s="175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A950" s="3"/>
      <c r="B950" s="3"/>
      <c r="C950" s="3"/>
      <c r="D950" s="3"/>
      <c r="E950" s="175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A951" s="3"/>
      <c r="B951" s="3"/>
      <c r="C951" s="3"/>
      <c r="D951" s="3"/>
      <c r="E951" s="175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A952" s="3"/>
      <c r="B952" s="3"/>
      <c r="C952" s="3"/>
      <c r="D952" s="3"/>
      <c r="E952" s="175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A953" s="3"/>
      <c r="B953" s="3"/>
      <c r="C953" s="3"/>
      <c r="D953" s="3"/>
      <c r="E953" s="175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A954" s="3"/>
      <c r="B954" s="3"/>
      <c r="C954" s="3"/>
      <c r="D954" s="3"/>
      <c r="E954" s="175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A955" s="3"/>
      <c r="B955" s="3"/>
      <c r="C955" s="3"/>
      <c r="D955" s="3"/>
      <c r="E955" s="175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A956" s="3"/>
      <c r="B956" s="3"/>
      <c r="C956" s="3"/>
      <c r="D956" s="3"/>
      <c r="E956" s="175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A957" s="3"/>
      <c r="B957" s="3"/>
      <c r="C957" s="3"/>
      <c r="D957" s="3"/>
      <c r="E957" s="175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A958" s="3"/>
      <c r="B958" s="3"/>
      <c r="C958" s="3"/>
      <c r="D958" s="3"/>
      <c r="E958" s="175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A959" s="3"/>
      <c r="B959" s="3"/>
      <c r="C959" s="3"/>
      <c r="D959" s="3"/>
      <c r="E959" s="175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A960" s="3"/>
      <c r="B960" s="3"/>
      <c r="C960" s="3"/>
      <c r="D960" s="3"/>
      <c r="E960" s="175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A961" s="3"/>
      <c r="B961" s="3"/>
      <c r="C961" s="3"/>
      <c r="D961" s="3"/>
      <c r="E961" s="175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A962" s="3"/>
      <c r="B962" s="3"/>
      <c r="C962" s="3"/>
      <c r="D962" s="3"/>
      <c r="E962" s="175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A963" s="3"/>
      <c r="B963" s="3"/>
      <c r="C963" s="3"/>
      <c r="D963" s="3"/>
      <c r="E963" s="175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A964" s="3"/>
      <c r="B964" s="3"/>
      <c r="C964" s="3"/>
      <c r="D964" s="3"/>
      <c r="E964" s="175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A965" s="3"/>
      <c r="B965" s="3"/>
      <c r="C965" s="3"/>
      <c r="D965" s="3"/>
      <c r="E965" s="175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A966" s="3"/>
      <c r="B966" s="3"/>
      <c r="C966" s="3"/>
      <c r="D966" s="3"/>
      <c r="E966" s="175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A967" s="3"/>
      <c r="B967" s="3"/>
      <c r="C967" s="3"/>
      <c r="D967" s="3"/>
      <c r="E967" s="175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A968" s="3"/>
      <c r="B968" s="3"/>
      <c r="C968" s="3"/>
      <c r="D968" s="3"/>
      <c r="E968" s="175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A969" s="3"/>
      <c r="B969" s="3"/>
      <c r="C969" s="3"/>
      <c r="D969" s="3"/>
      <c r="E969" s="175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A970" s="3"/>
      <c r="B970" s="3"/>
      <c r="C970" s="3"/>
      <c r="D970" s="3"/>
      <c r="E970" s="175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A971" s="3"/>
      <c r="B971" s="3"/>
      <c r="C971" s="3"/>
      <c r="D971" s="3"/>
      <c r="E971" s="175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A972" s="3"/>
      <c r="B972" s="3"/>
      <c r="C972" s="3"/>
      <c r="D972" s="3"/>
      <c r="E972" s="175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A973" s="3"/>
      <c r="B973" s="3"/>
      <c r="C973" s="3"/>
      <c r="D973" s="3"/>
      <c r="E973" s="175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A974" s="3"/>
      <c r="B974" s="3"/>
      <c r="C974" s="3"/>
      <c r="D974" s="3"/>
      <c r="E974" s="175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A975" s="3"/>
      <c r="B975" s="3"/>
      <c r="C975" s="3"/>
      <c r="D975" s="3"/>
      <c r="E975" s="175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A976" s="3"/>
      <c r="B976" s="3"/>
      <c r="C976" s="3"/>
      <c r="D976" s="3"/>
      <c r="E976" s="175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A977" s="3"/>
      <c r="B977" s="3"/>
      <c r="C977" s="3"/>
      <c r="D977" s="3"/>
      <c r="E977" s="175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A978" s="3"/>
      <c r="B978" s="3"/>
      <c r="C978" s="3"/>
      <c r="D978" s="3"/>
      <c r="E978" s="175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A979" s="3"/>
      <c r="B979" s="3"/>
      <c r="C979" s="3"/>
      <c r="D979" s="3"/>
      <c r="E979" s="175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A980" s="3"/>
      <c r="B980" s="3"/>
      <c r="C980" s="3"/>
      <c r="D980" s="3"/>
      <c r="E980" s="175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A981" s="3"/>
      <c r="B981" s="3"/>
      <c r="C981" s="3"/>
      <c r="D981" s="3"/>
      <c r="E981" s="175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A982" s="3"/>
      <c r="B982" s="3"/>
      <c r="C982" s="3"/>
      <c r="D982" s="3"/>
      <c r="E982" s="175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A983" s="3"/>
      <c r="B983" s="3"/>
      <c r="C983" s="3"/>
      <c r="D983" s="3"/>
      <c r="E983" s="175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A984" s="3"/>
      <c r="B984" s="3"/>
      <c r="C984" s="3"/>
      <c r="D984" s="3"/>
      <c r="E984" s="175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A985" s="3"/>
      <c r="B985" s="3"/>
      <c r="C985" s="3"/>
      <c r="D985" s="3"/>
      <c r="E985" s="175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A986" s="3"/>
      <c r="B986" s="3"/>
      <c r="C986" s="3"/>
      <c r="D986" s="3"/>
      <c r="E986" s="175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A987" s="3"/>
      <c r="B987" s="3"/>
      <c r="C987" s="3"/>
      <c r="D987" s="3"/>
      <c r="E987" s="175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A988" s="3"/>
      <c r="B988" s="3"/>
      <c r="C988" s="3"/>
      <c r="D988" s="3"/>
      <c r="E988" s="175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A989" s="3"/>
      <c r="B989" s="3"/>
      <c r="C989" s="3"/>
      <c r="D989" s="3"/>
      <c r="E989" s="175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A990" s="3"/>
      <c r="B990" s="3"/>
      <c r="C990" s="3"/>
      <c r="D990" s="3"/>
      <c r="E990" s="175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A991" s="3"/>
      <c r="B991" s="3"/>
      <c r="C991" s="3"/>
      <c r="D991" s="3"/>
      <c r="E991" s="175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A992" s="3"/>
      <c r="B992" s="3"/>
      <c r="C992" s="3"/>
      <c r="D992" s="3"/>
      <c r="E992" s="175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A993" s="3"/>
      <c r="B993" s="3"/>
      <c r="C993" s="3"/>
      <c r="D993" s="3"/>
      <c r="E993" s="175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A994" s="3"/>
      <c r="B994" s="3"/>
      <c r="C994" s="3"/>
      <c r="D994" s="3"/>
      <c r="E994" s="175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A995" s="3"/>
      <c r="B995" s="3"/>
      <c r="C995" s="3"/>
      <c r="D995" s="3"/>
      <c r="E995" s="175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A996" s="3"/>
      <c r="B996" s="3"/>
      <c r="C996" s="3"/>
      <c r="D996" s="3"/>
      <c r="E996" s="175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A997" s="3"/>
      <c r="B997" s="3"/>
      <c r="C997" s="3"/>
      <c r="D997" s="3"/>
      <c r="E997" s="175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A998" s="3"/>
      <c r="B998" s="3"/>
      <c r="C998" s="3"/>
      <c r="D998" s="3"/>
      <c r="E998" s="175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A999" s="3"/>
      <c r="B999" s="3"/>
      <c r="C999" s="3"/>
      <c r="D999" s="3"/>
      <c r="E999" s="175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</row>
    <row r="1000" ht="15.75" customHeight="1">
      <c r="A1000" s="3"/>
      <c r="B1000" s="3"/>
      <c r="C1000" s="3"/>
      <c r="D1000" s="3"/>
      <c r="E1000" s="175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</row>
  </sheetData>
  <mergeCells count="15">
    <mergeCell ref="AE3:AH3"/>
    <mergeCell ref="AI3:AL3"/>
    <mergeCell ref="AM3:AP3"/>
    <mergeCell ref="AQ3:AT3"/>
    <mergeCell ref="AU3:AX3"/>
    <mergeCell ref="AY3:BB3"/>
    <mergeCell ref="BC3:BF3"/>
    <mergeCell ref="BG3:BJ3"/>
    <mergeCell ref="C3:F3"/>
    <mergeCell ref="G3:J3"/>
    <mergeCell ref="K3:N3"/>
    <mergeCell ref="O3:R3"/>
    <mergeCell ref="S3:V3"/>
    <mergeCell ref="W3:Z3"/>
    <mergeCell ref="AA3:AD3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3.0"/>
    <col customWidth="1" min="2" max="2" width="22.38"/>
    <col customWidth="1" min="3" max="3" width="14.25"/>
    <col customWidth="1" min="4" max="4" width="12.63"/>
    <col customWidth="1" min="5" max="5" width="14.25"/>
    <col customWidth="1" min="6" max="6" width="12.63"/>
    <col customWidth="1" min="7" max="7" width="13.38"/>
    <col customWidth="1" min="8" max="8" width="12.63"/>
    <col customWidth="1" min="9" max="9" width="13.38"/>
    <col customWidth="1" min="10" max="10" width="12.63"/>
    <col customWidth="1" min="11" max="11" width="14.25"/>
    <col customWidth="1" min="12" max="12" width="12.63"/>
    <col customWidth="1" min="13" max="13" width="14.25"/>
    <col customWidth="1" min="14" max="14" width="12.63"/>
    <col customWidth="1" min="15" max="15" width="14.25"/>
    <col customWidth="1" min="16" max="16" width="12.63"/>
    <col customWidth="1" min="17" max="17" width="14.25"/>
    <col customWidth="1" min="18" max="18" width="12.63"/>
    <col customWidth="1" min="19" max="19" width="12.75"/>
    <col customWidth="1" min="20" max="20" width="12.63"/>
    <col customWidth="1" min="21" max="21" width="12.75"/>
    <col customWidth="1" min="22" max="22" width="12.63"/>
    <col customWidth="1" min="23" max="23" width="14.25"/>
    <col customWidth="1" min="24" max="24" width="12.63"/>
    <col customWidth="1" min="25" max="25" width="14.25"/>
    <col customWidth="1" min="26" max="26" width="12.63"/>
    <col customWidth="1" min="27" max="27" width="14.25"/>
    <col customWidth="1" min="28" max="28" width="12.63"/>
    <col customWidth="1" min="29" max="29" width="14.25"/>
    <col customWidth="1" min="30" max="30" width="12.63"/>
    <col customWidth="1" min="31" max="31" width="14.25"/>
    <col customWidth="1" min="32" max="32" width="12.63"/>
    <col customWidth="1" min="33" max="33" width="14.25"/>
    <col customWidth="1" min="34" max="34" width="12.63"/>
    <col customWidth="1" min="35" max="35" width="13.38"/>
    <col customWidth="1" min="36" max="36" width="12.63"/>
    <col customWidth="1" min="37" max="37" width="12.75"/>
    <col customWidth="1" min="38" max="38" width="12.63"/>
    <col customWidth="1" min="39" max="39" width="12.75"/>
    <col customWidth="1" min="40" max="40" width="12.63"/>
    <col customWidth="1" min="41" max="41" width="12.75"/>
    <col customWidth="1" min="42" max="42" width="12.63"/>
    <col customWidth="1" min="43" max="43" width="12.75"/>
    <col customWidth="1" min="44" max="44" width="12.63"/>
    <col customWidth="1" min="45" max="45" width="12.75"/>
    <col customWidth="1" min="46" max="56" width="12.63"/>
  </cols>
  <sheetData>
    <row r="1" ht="15.75" customHeight="1">
      <c r="A1" s="3"/>
      <c r="B1" s="2" t="s">
        <v>1</v>
      </c>
      <c r="C1" s="3"/>
      <c r="D1" s="3"/>
      <c r="E1" s="3"/>
      <c r="F1" s="3"/>
      <c r="G1" s="4" t="s">
        <v>193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</row>
    <row r="2" ht="15.75" customHeight="1">
      <c r="A2" s="3"/>
      <c r="B2" s="4" t="s">
        <v>168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4" t="s">
        <v>194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</row>
    <row r="3" ht="15.75" customHeight="1">
      <c r="A3" s="3"/>
      <c r="B3" s="312"/>
      <c r="C3" s="313" t="s">
        <v>48</v>
      </c>
      <c r="D3" s="260"/>
      <c r="E3" s="260"/>
      <c r="F3" s="261"/>
      <c r="G3" s="313" t="s">
        <v>49</v>
      </c>
      <c r="H3" s="260"/>
      <c r="I3" s="260"/>
      <c r="J3" s="261"/>
      <c r="K3" s="313" t="s">
        <v>5</v>
      </c>
      <c r="L3" s="260"/>
      <c r="M3" s="260"/>
      <c r="N3" s="261"/>
      <c r="O3" s="313" t="s">
        <v>6</v>
      </c>
      <c r="P3" s="260"/>
      <c r="Q3" s="260"/>
      <c r="R3" s="261"/>
      <c r="S3" s="313" t="s">
        <v>7</v>
      </c>
      <c r="T3" s="260"/>
      <c r="U3" s="260"/>
      <c r="V3" s="261"/>
      <c r="W3" s="313" t="s">
        <v>8</v>
      </c>
      <c r="X3" s="260"/>
      <c r="Y3" s="260"/>
      <c r="Z3" s="261"/>
      <c r="AA3" s="313" t="s">
        <v>9</v>
      </c>
      <c r="AB3" s="260"/>
      <c r="AC3" s="260"/>
      <c r="AD3" s="261"/>
      <c r="AE3" s="313" t="s">
        <v>10</v>
      </c>
      <c r="AF3" s="260"/>
      <c r="AG3" s="260"/>
      <c r="AH3" s="261"/>
      <c r="AI3" s="313" t="s">
        <v>11</v>
      </c>
      <c r="AJ3" s="260"/>
      <c r="AK3" s="260"/>
      <c r="AL3" s="261"/>
      <c r="AM3" s="313" t="s">
        <v>12</v>
      </c>
      <c r="AN3" s="260"/>
      <c r="AO3" s="260"/>
      <c r="AP3" s="261"/>
      <c r="AQ3" s="313" t="s">
        <v>13</v>
      </c>
      <c r="AR3" s="260"/>
      <c r="AS3" s="260"/>
      <c r="AT3" s="261"/>
      <c r="AU3" s="313" t="s">
        <v>14</v>
      </c>
      <c r="AV3" s="261"/>
      <c r="AW3" s="313" t="s">
        <v>15</v>
      </c>
      <c r="AX3" s="261"/>
      <c r="AY3" s="313" t="s">
        <v>16</v>
      </c>
      <c r="AZ3" s="261"/>
      <c r="BA3" s="313" t="s">
        <v>17</v>
      </c>
      <c r="BB3" s="260"/>
      <c r="BC3" s="260"/>
      <c r="BD3" s="261"/>
    </row>
    <row r="4" ht="15.75" customHeight="1">
      <c r="A4" s="3"/>
      <c r="B4" s="312"/>
      <c r="C4" s="314" t="s">
        <v>21</v>
      </c>
      <c r="D4" s="314" t="s">
        <v>19</v>
      </c>
      <c r="E4" s="314" t="s">
        <v>20</v>
      </c>
      <c r="F4" s="314" t="s">
        <v>19</v>
      </c>
      <c r="G4" s="314" t="s">
        <v>21</v>
      </c>
      <c r="H4" s="314" t="s">
        <v>19</v>
      </c>
      <c r="I4" s="314" t="s">
        <v>20</v>
      </c>
      <c r="J4" s="314" t="s">
        <v>19</v>
      </c>
      <c r="K4" s="314" t="s">
        <v>21</v>
      </c>
      <c r="L4" s="314" t="s">
        <v>19</v>
      </c>
      <c r="M4" s="314" t="s">
        <v>20</v>
      </c>
      <c r="N4" s="314" t="s">
        <v>19</v>
      </c>
      <c r="O4" s="314" t="s">
        <v>21</v>
      </c>
      <c r="P4" s="314" t="s">
        <v>19</v>
      </c>
      <c r="Q4" s="314" t="s">
        <v>20</v>
      </c>
      <c r="R4" s="314" t="s">
        <v>19</v>
      </c>
      <c r="S4" s="314" t="s">
        <v>21</v>
      </c>
      <c r="T4" s="314" t="s">
        <v>19</v>
      </c>
      <c r="U4" s="314" t="s">
        <v>20</v>
      </c>
      <c r="V4" s="314" t="s">
        <v>19</v>
      </c>
      <c r="W4" s="314" t="s">
        <v>21</v>
      </c>
      <c r="X4" s="314" t="s">
        <v>19</v>
      </c>
      <c r="Y4" s="314" t="s">
        <v>20</v>
      </c>
      <c r="Z4" s="314" t="s">
        <v>19</v>
      </c>
      <c r="AA4" s="314" t="s">
        <v>21</v>
      </c>
      <c r="AB4" s="314" t="s">
        <v>19</v>
      </c>
      <c r="AC4" s="314" t="s">
        <v>20</v>
      </c>
      <c r="AD4" s="314" t="s">
        <v>19</v>
      </c>
      <c r="AE4" s="314" t="s">
        <v>21</v>
      </c>
      <c r="AF4" s="314" t="s">
        <v>19</v>
      </c>
      <c r="AG4" s="314" t="s">
        <v>20</v>
      </c>
      <c r="AH4" s="314" t="s">
        <v>19</v>
      </c>
      <c r="AI4" s="314" t="s">
        <v>21</v>
      </c>
      <c r="AJ4" s="314" t="s">
        <v>19</v>
      </c>
      <c r="AK4" s="314" t="s">
        <v>20</v>
      </c>
      <c r="AL4" s="314" t="s">
        <v>19</v>
      </c>
      <c r="AM4" s="314" t="s">
        <v>21</v>
      </c>
      <c r="AN4" s="314" t="s">
        <v>19</v>
      </c>
      <c r="AO4" s="314" t="s">
        <v>20</v>
      </c>
      <c r="AP4" s="314" t="s">
        <v>19</v>
      </c>
      <c r="AQ4" s="314" t="s">
        <v>21</v>
      </c>
      <c r="AR4" s="314" t="s">
        <v>19</v>
      </c>
      <c r="AS4" s="314" t="s">
        <v>20</v>
      </c>
      <c r="AT4" s="314" t="s">
        <v>19</v>
      </c>
      <c r="AU4" s="314" t="s">
        <v>21</v>
      </c>
      <c r="AV4" s="314" t="s">
        <v>19</v>
      </c>
      <c r="AW4" s="314" t="s">
        <v>21</v>
      </c>
      <c r="AX4" s="314" t="s">
        <v>19</v>
      </c>
      <c r="AY4" s="314" t="s">
        <v>21</v>
      </c>
      <c r="AZ4" s="314" t="s">
        <v>19</v>
      </c>
      <c r="BA4" s="314" t="s">
        <v>21</v>
      </c>
      <c r="BB4" s="314" t="s">
        <v>19</v>
      </c>
      <c r="BC4" s="314" t="s">
        <v>20</v>
      </c>
      <c r="BD4" s="314" t="s">
        <v>19</v>
      </c>
    </row>
    <row r="5" ht="15.75" customHeight="1">
      <c r="A5" s="3"/>
      <c r="B5" s="312" t="s">
        <v>22</v>
      </c>
      <c r="C5" s="225">
        <f t="shared" ref="C5:C9" si="1">G5+K5</f>
        <v>5946490</v>
      </c>
      <c r="D5" s="225"/>
      <c r="E5" s="225">
        <f t="shared" ref="E5:E9" si="2">I5+M5</f>
        <v>0</v>
      </c>
      <c r="F5" s="225"/>
      <c r="G5" s="114">
        <f>HO!BR14</f>
        <v>0</v>
      </c>
      <c r="H5" s="114"/>
      <c r="I5" s="114">
        <f>HO!BT14</f>
        <v>0</v>
      </c>
      <c r="J5" s="114"/>
      <c r="K5" s="225">
        <f t="shared" ref="K5:K9" si="3">O5+S5+W5+AA5+AE5+AI5+AM5+AQ5+AU5+AW5+AY5+BA5</f>
        <v>5946490</v>
      </c>
      <c r="L5" s="225"/>
      <c r="M5" s="225"/>
      <c r="N5" s="225"/>
      <c r="O5" s="114">
        <f>'The Table'!BR26</f>
        <v>1351005</v>
      </c>
      <c r="P5" s="114"/>
      <c r="Q5" s="114">
        <f>'The Table'!BT26</f>
        <v>2289144</v>
      </c>
      <c r="R5" s="114"/>
      <c r="S5" s="114">
        <f>Iktara!AC22</f>
        <v>0</v>
      </c>
      <c r="T5" s="114"/>
      <c r="U5" s="114" t="str">
        <f t="shared" ref="U5:U8" si="4">#REF!</f>
        <v>#REF!</v>
      </c>
      <c r="V5" s="114"/>
      <c r="W5" s="114">
        <f>'Mg St Colaba'!BR28</f>
        <v>1362377.5</v>
      </c>
      <c r="X5" s="114"/>
      <c r="Y5" s="114">
        <f>'Mg St Colaba'!BT28</f>
        <v>1537650</v>
      </c>
      <c r="Z5" s="114"/>
      <c r="AA5" s="114">
        <f>'Mg St LP'!BR27</f>
        <v>1229492.5</v>
      </c>
      <c r="AB5" s="114"/>
      <c r="AC5" s="114">
        <f>'Mg St LP'!BT27</f>
        <v>1232911</v>
      </c>
      <c r="AD5" s="114"/>
      <c r="AE5" s="114">
        <f>'Mg St Bandra'!BR28</f>
        <v>1703790</v>
      </c>
      <c r="AF5" s="114"/>
      <c r="AG5" s="114">
        <f>'Mg St Bandra'!BT28</f>
        <v>1615863</v>
      </c>
      <c r="AH5" s="114"/>
      <c r="AI5" s="114">
        <f>'MSK Events'!O23</f>
        <v>0</v>
      </c>
      <c r="AJ5" s="114"/>
      <c r="AK5" s="114" t="str">
        <f t="shared" ref="AK5:AK8" si="5">#REF!</f>
        <v>#REF!</v>
      </c>
      <c r="AL5" s="114"/>
      <c r="AM5" s="114">
        <f>MSBC!BR24</f>
        <v>0</v>
      </c>
      <c r="AN5" s="114"/>
      <c r="AO5" s="114">
        <f>MSBC!BT24</f>
        <v>0</v>
      </c>
      <c r="AP5" s="114"/>
      <c r="AQ5" s="114">
        <f>Kaspers!AZ26</f>
        <v>299825</v>
      </c>
      <c r="AR5" s="114"/>
      <c r="AS5" s="114">
        <f>Kaspers!BB26</f>
        <v>1000000</v>
      </c>
      <c r="AT5" s="114"/>
      <c r="AU5" s="114"/>
      <c r="AV5" s="114"/>
      <c r="AW5" s="114"/>
      <c r="AX5" s="114"/>
      <c r="AY5" s="114"/>
      <c r="AZ5" s="114"/>
      <c r="BA5" s="114"/>
      <c r="BB5" s="114"/>
      <c r="BC5" s="114"/>
      <c r="BD5" s="114"/>
    </row>
    <row r="6" ht="15.75" customHeight="1">
      <c r="A6" s="3"/>
      <c r="B6" s="312" t="s">
        <v>23</v>
      </c>
      <c r="C6" s="225">
        <f t="shared" si="1"/>
        <v>12150394.5</v>
      </c>
      <c r="D6" s="225"/>
      <c r="E6" s="225">
        <f t="shared" si="2"/>
        <v>0</v>
      </c>
      <c r="F6" s="225"/>
      <c r="G6" s="114">
        <f>HO!BR15</f>
        <v>0</v>
      </c>
      <c r="H6" s="114"/>
      <c r="I6" s="114">
        <f>HO!BT15</f>
        <v>0</v>
      </c>
      <c r="J6" s="114"/>
      <c r="K6" s="225">
        <f t="shared" si="3"/>
        <v>12150394.5</v>
      </c>
      <c r="L6" s="225"/>
      <c r="M6" s="225"/>
      <c r="N6" s="225"/>
      <c r="O6" s="114">
        <f>'The Table'!BR27</f>
        <v>4989608</v>
      </c>
      <c r="P6" s="114"/>
      <c r="Q6" s="114">
        <f>'The Table'!BT27</f>
        <v>4013724</v>
      </c>
      <c r="R6" s="114"/>
      <c r="S6" s="114">
        <f>Iktara!AC23</f>
        <v>0</v>
      </c>
      <c r="T6" s="114"/>
      <c r="U6" s="114" t="str">
        <f t="shared" si="4"/>
        <v>#REF!</v>
      </c>
      <c r="V6" s="114"/>
      <c r="W6" s="114">
        <f>'Mg St Colaba'!BR29</f>
        <v>1000831.5</v>
      </c>
      <c r="X6" s="114"/>
      <c r="Y6" s="114">
        <f>'Mg St Colaba'!BT29</f>
        <v>1016550</v>
      </c>
      <c r="Z6" s="114"/>
      <c r="AA6" s="114">
        <f>'Mg St LP'!BR28</f>
        <v>0</v>
      </c>
      <c r="AB6" s="114"/>
      <c r="AC6" s="114">
        <f>'Mg St LP'!BT28</f>
        <v>0</v>
      </c>
      <c r="AD6" s="114"/>
      <c r="AE6" s="114">
        <f>'Mg St Bandra'!BR29</f>
        <v>2344995</v>
      </c>
      <c r="AF6" s="114"/>
      <c r="AG6" s="114">
        <f>'Mg St Bandra'!BT29</f>
        <v>2025121</v>
      </c>
      <c r="AH6" s="114"/>
      <c r="AI6" s="114">
        <f>'MSK Events'!O24</f>
        <v>0</v>
      </c>
      <c r="AJ6" s="114"/>
      <c r="AK6" s="114" t="str">
        <f t="shared" si="5"/>
        <v>#REF!</v>
      </c>
      <c r="AL6" s="114"/>
      <c r="AM6" s="114">
        <f>MSBC!BR25</f>
        <v>0</v>
      </c>
      <c r="AN6" s="114"/>
      <c r="AO6" s="114">
        <f>MSBC!BT25</f>
        <v>0</v>
      </c>
      <c r="AP6" s="114"/>
      <c r="AQ6" s="114">
        <f>Kaspers!AZ27</f>
        <v>3814960</v>
      </c>
      <c r="AR6" s="114"/>
      <c r="AS6" s="114" t="str">
        <f>Kaspers!BB27</f>
        <v/>
      </c>
      <c r="AT6" s="114"/>
      <c r="AU6" s="114"/>
      <c r="AV6" s="114"/>
      <c r="AW6" s="114"/>
      <c r="AX6" s="114"/>
      <c r="AY6" s="114"/>
      <c r="AZ6" s="114"/>
      <c r="BA6" s="114"/>
      <c r="BB6" s="114"/>
      <c r="BC6" s="114"/>
      <c r="BD6" s="114"/>
    </row>
    <row r="7" ht="15.75" customHeight="1">
      <c r="A7" s="3"/>
      <c r="B7" s="312" t="s">
        <v>24</v>
      </c>
      <c r="C7" s="225">
        <f t="shared" si="1"/>
        <v>55816631.63</v>
      </c>
      <c r="D7" s="225"/>
      <c r="E7" s="225">
        <f t="shared" si="2"/>
        <v>0</v>
      </c>
      <c r="F7" s="225"/>
      <c r="G7" s="114">
        <f>HO!BR16</f>
        <v>0</v>
      </c>
      <c r="H7" s="114"/>
      <c r="I7" s="114">
        <f>HO!BT16</f>
        <v>0</v>
      </c>
      <c r="J7" s="114"/>
      <c r="K7" s="225">
        <f t="shared" si="3"/>
        <v>55816631.63</v>
      </c>
      <c r="L7" s="225"/>
      <c r="M7" s="225"/>
      <c r="N7" s="225"/>
      <c r="O7" s="114">
        <f>'The Table'!BR28</f>
        <v>13927384.3</v>
      </c>
      <c r="P7" s="114"/>
      <c r="Q7" s="114">
        <f>'The Table'!BT28</f>
        <v>10857131</v>
      </c>
      <c r="R7" s="114"/>
      <c r="S7" s="114">
        <f>Iktara!AC24</f>
        <v>1521875.4</v>
      </c>
      <c r="T7" s="114"/>
      <c r="U7" s="114" t="str">
        <f t="shared" si="4"/>
        <v>#REF!</v>
      </c>
      <c r="V7" s="114"/>
      <c r="W7" s="114">
        <f>'Mg St Colaba'!BR30</f>
        <v>11625462.61</v>
      </c>
      <c r="X7" s="114"/>
      <c r="Y7" s="114">
        <f>'Mg St Colaba'!BT30</f>
        <v>11346191.08</v>
      </c>
      <c r="Z7" s="114"/>
      <c r="AA7" s="114">
        <f>'Mg St LP'!BR29</f>
        <v>8540436.04</v>
      </c>
      <c r="AB7" s="114"/>
      <c r="AC7" s="114">
        <f>'Mg St LP'!BT29</f>
        <v>8330850</v>
      </c>
      <c r="AD7" s="114"/>
      <c r="AE7" s="114">
        <f>'Mg St Bandra'!BR30</f>
        <v>13715092.67</v>
      </c>
      <c r="AF7" s="114"/>
      <c r="AG7" s="114">
        <f>'Mg St Bandra'!BT30</f>
        <v>11826797</v>
      </c>
      <c r="AH7" s="114"/>
      <c r="AI7" s="114">
        <f>'MSK Events'!O25</f>
        <v>26700</v>
      </c>
      <c r="AJ7" s="114"/>
      <c r="AK7" s="114" t="str">
        <f t="shared" si="5"/>
        <v>#REF!</v>
      </c>
      <c r="AL7" s="114"/>
      <c r="AM7" s="114">
        <f>MSBC!BR26</f>
        <v>461092.68</v>
      </c>
      <c r="AN7" s="114"/>
      <c r="AO7" s="114">
        <f>MSBC!BT26</f>
        <v>78500</v>
      </c>
      <c r="AP7" s="114"/>
      <c r="AQ7" s="114">
        <f>Kaspers!AZ28</f>
        <v>4646198</v>
      </c>
      <c r="AR7" s="114"/>
      <c r="AS7" s="114">
        <f>Kaspers!BB28</f>
        <v>4000000</v>
      </c>
      <c r="AT7" s="114"/>
      <c r="AU7" s="114">
        <f>'MSBC Andheri'!O26</f>
        <v>361565.09</v>
      </c>
      <c r="AV7" s="114"/>
      <c r="AW7" s="114">
        <f>'MSBC Dahisar'!O27</f>
        <v>147863.52</v>
      </c>
      <c r="AX7" s="114"/>
      <c r="AY7" s="114">
        <f>'MSBC Juhu  Goregoan'!O26</f>
        <v>185880.32</v>
      </c>
      <c r="AZ7" s="114"/>
      <c r="BA7" s="114">
        <f>'LOUD MOUTH'!O16</f>
        <v>657081</v>
      </c>
      <c r="BB7" s="114"/>
      <c r="BC7" s="114"/>
      <c r="BD7" s="114"/>
    </row>
    <row r="8" ht="15.75" customHeight="1">
      <c r="A8" s="3"/>
      <c r="B8" s="312" t="s">
        <v>25</v>
      </c>
      <c r="C8" s="225">
        <f t="shared" si="1"/>
        <v>4978421.81</v>
      </c>
      <c r="D8" s="225"/>
      <c r="E8" s="225">
        <f t="shared" si="2"/>
        <v>0</v>
      </c>
      <c r="F8" s="225"/>
      <c r="G8" s="114" t="str">
        <f>HO!BR18</f>
        <v/>
      </c>
      <c r="H8" s="114"/>
      <c r="I8" s="114" t="str">
        <f>HO!BT18</f>
        <v/>
      </c>
      <c r="J8" s="114"/>
      <c r="K8" s="225">
        <f t="shared" si="3"/>
        <v>4978421.81</v>
      </c>
      <c r="L8" s="225"/>
      <c r="M8" s="225"/>
      <c r="N8" s="225"/>
      <c r="O8" s="114">
        <f>'The Table'!BR30</f>
        <v>1857364.91</v>
      </c>
      <c r="P8" s="114"/>
      <c r="Q8" s="114">
        <f>'The Table'!BT30</f>
        <v>1395108</v>
      </c>
      <c r="R8" s="114"/>
      <c r="S8" s="114" t="str">
        <f>Iktara!AC26</f>
        <v/>
      </c>
      <c r="T8" s="114"/>
      <c r="U8" s="114" t="str">
        <f t="shared" si="4"/>
        <v>#REF!</v>
      </c>
      <c r="V8" s="114"/>
      <c r="W8" s="114">
        <f>'Mg St Colaba'!BR32</f>
        <v>850946.65</v>
      </c>
      <c r="X8" s="114"/>
      <c r="Y8" s="114">
        <f>'Mg St Colaba'!BT32</f>
        <v>995268.0013</v>
      </c>
      <c r="Z8" s="114"/>
      <c r="AA8" s="114">
        <f>'Mg St LP'!BR31</f>
        <v>346204</v>
      </c>
      <c r="AB8" s="114"/>
      <c r="AC8" s="114">
        <f>'Mg St LP'!BT31</f>
        <v>569043.7795</v>
      </c>
      <c r="AD8" s="114"/>
      <c r="AE8" s="114">
        <f>'Mg St Bandra'!BR32</f>
        <v>1072873.25</v>
      </c>
      <c r="AF8" s="114"/>
      <c r="AG8" s="114">
        <f>'Mg St Bandra'!BT32</f>
        <v>1392100.29</v>
      </c>
      <c r="AH8" s="114"/>
      <c r="AI8" s="114" t="str">
        <f>'MSK Events'!O27</f>
        <v/>
      </c>
      <c r="AJ8" s="114"/>
      <c r="AK8" s="114" t="str">
        <f t="shared" si="5"/>
        <v>#REF!</v>
      </c>
      <c r="AL8" s="114"/>
      <c r="AM8" s="114" t="str">
        <f>MSBC!BR28</f>
        <v/>
      </c>
      <c r="AN8" s="114"/>
      <c r="AO8" s="114" t="str">
        <f>MSBC!BT28</f>
        <v/>
      </c>
      <c r="AP8" s="114"/>
      <c r="AQ8" s="114">
        <f>Kaspers!AZ30</f>
        <v>851033</v>
      </c>
      <c r="AR8" s="114"/>
      <c r="AS8" s="114" t="str">
        <f>Kaspers!BB30</f>
        <v/>
      </c>
      <c r="AT8" s="114"/>
      <c r="AU8" s="114"/>
      <c r="AV8" s="114"/>
      <c r="AW8" s="114"/>
      <c r="AX8" s="114"/>
      <c r="AY8" s="114"/>
      <c r="AZ8" s="114"/>
      <c r="BA8" s="114"/>
      <c r="BB8" s="114"/>
      <c r="BC8" s="114"/>
      <c r="BD8" s="114"/>
    </row>
    <row r="9" ht="15.75" customHeight="1">
      <c r="A9" s="3"/>
      <c r="B9" s="324" t="s">
        <v>198</v>
      </c>
      <c r="C9" s="225">
        <f t="shared" si="1"/>
        <v>68430</v>
      </c>
      <c r="D9" s="225"/>
      <c r="E9" s="225">
        <f t="shared" si="2"/>
        <v>0</v>
      </c>
      <c r="F9" s="225"/>
      <c r="G9" s="114">
        <f>HO!BR19</f>
        <v>0</v>
      </c>
      <c r="H9" s="114"/>
      <c r="I9" s="114">
        <f>HO!BT19</f>
        <v>0</v>
      </c>
      <c r="J9" s="114"/>
      <c r="K9" s="225">
        <f t="shared" si="3"/>
        <v>68430</v>
      </c>
      <c r="L9" s="225"/>
      <c r="M9" s="225"/>
      <c r="N9" s="225"/>
      <c r="O9" s="48">
        <f>'The Table'!BR22+'The Table'!BR23+'The Table'!BR24</f>
        <v>16800</v>
      </c>
      <c r="P9" s="114"/>
      <c r="Q9" s="48">
        <f>'The Table'!BT22+'The Table'!BT23+'The Table'!BT24</f>
        <v>0</v>
      </c>
      <c r="R9" s="114"/>
      <c r="S9" s="236">
        <v>0.0</v>
      </c>
      <c r="T9" s="114"/>
      <c r="U9" s="236">
        <v>0.0</v>
      </c>
      <c r="V9" s="114"/>
      <c r="W9" s="62">
        <f>'Mg St Colaba'!BR24+'Mg St Colaba'!BR25+'Mg St Colaba'!BR26</f>
        <v>12000</v>
      </c>
      <c r="X9" s="114"/>
      <c r="Y9" s="62">
        <f>'Mg St Colaba'!BT24+'Mg St Colaba'!BT25+'Mg St Colaba'!BT26</f>
        <v>0</v>
      </c>
      <c r="Z9" s="114"/>
      <c r="AA9" s="62">
        <f>'Mg St LP'!BR23+'Mg St LP'!BR24+'Mg St LP'!BR25</f>
        <v>8050</v>
      </c>
      <c r="AB9" s="114"/>
      <c r="AC9" s="62">
        <f>'Mg St LP'!BT23+'Mg St LP'!BT24+'Mg St LP'!BT25</f>
        <v>0</v>
      </c>
      <c r="AD9" s="114"/>
      <c r="AE9" s="62">
        <f>'Mg St Bandra'!BR24+'Mg St Bandra'!BR25+'Mg St Bandra'!BR26</f>
        <v>17600</v>
      </c>
      <c r="AF9" s="114"/>
      <c r="AG9" s="62">
        <f>'Mg St Bandra'!BT24+'Mg St Bandra'!BT25+'Mg St Bandra'!BT26</f>
        <v>0</v>
      </c>
      <c r="AH9" s="114"/>
      <c r="AI9" s="236">
        <v>0.0</v>
      </c>
      <c r="AJ9" s="114"/>
      <c r="AK9" s="236">
        <v>0.0</v>
      </c>
      <c r="AL9" s="114"/>
      <c r="AM9" s="236">
        <v>0.0</v>
      </c>
      <c r="AN9" s="114"/>
      <c r="AO9" s="236">
        <v>0.0</v>
      </c>
      <c r="AP9" s="114"/>
      <c r="AQ9" s="114">
        <f>Kaspers!AZ21+Kaspers!AZ22+Kaspers!AZ23</f>
        <v>13980</v>
      </c>
      <c r="AR9" s="114"/>
      <c r="AS9" s="114">
        <f>Kaspers!BB21+Kaspers!BB22+Kaspers!BB23</f>
        <v>0</v>
      </c>
      <c r="AT9" s="114"/>
      <c r="AU9" s="236">
        <v>0.0</v>
      </c>
      <c r="AV9" s="114"/>
      <c r="AW9" s="236">
        <v>0.0</v>
      </c>
      <c r="AX9" s="114"/>
      <c r="AY9" s="236">
        <v>0.0</v>
      </c>
      <c r="AZ9" s="114"/>
      <c r="BA9" s="236">
        <v>0.0</v>
      </c>
      <c r="BB9" s="114"/>
      <c r="BC9" s="236">
        <v>0.0</v>
      </c>
      <c r="BD9" s="114"/>
    </row>
    <row r="10" ht="15.75" customHeight="1">
      <c r="A10" s="3"/>
      <c r="B10" s="312" t="s">
        <v>27</v>
      </c>
      <c r="C10" s="319">
        <f>SUM(C5:C9)</f>
        <v>78960367.94</v>
      </c>
      <c r="D10" s="319"/>
      <c r="E10" s="319">
        <f>SUM(E5:E9)</f>
        <v>0</v>
      </c>
      <c r="F10" s="319"/>
      <c r="G10" s="320">
        <f>SUM(G5:G8)</f>
        <v>0</v>
      </c>
      <c r="H10" s="320"/>
      <c r="I10" s="320">
        <f>SUM(I5:I8)</f>
        <v>0</v>
      </c>
      <c r="J10" s="320"/>
      <c r="K10" s="319">
        <f>SUM(K5:K9)</f>
        <v>78960367.94</v>
      </c>
      <c r="L10" s="319"/>
      <c r="M10" s="319">
        <f>SUM(M5:M9)</f>
        <v>0</v>
      </c>
      <c r="N10" s="319"/>
      <c r="O10" s="320">
        <f>SUM(O5:O9)</f>
        <v>22142162.21</v>
      </c>
      <c r="P10" s="320"/>
      <c r="Q10" s="320">
        <f>SUM(Q5:Q9)</f>
        <v>18555107</v>
      </c>
      <c r="R10" s="320"/>
      <c r="S10" s="320">
        <f>SUM(S5:S9)</f>
        <v>1521875.4</v>
      </c>
      <c r="T10" s="320"/>
      <c r="U10" s="320" t="str">
        <f>SUM(U5:U9)</f>
        <v>#REF!</v>
      </c>
      <c r="V10" s="320"/>
      <c r="W10" s="320">
        <f>SUM(W5:W9)</f>
        <v>14851618.26</v>
      </c>
      <c r="X10" s="320"/>
      <c r="Y10" s="320">
        <f>SUM(Y5:Y9)</f>
        <v>14895659.08</v>
      </c>
      <c r="Z10" s="320"/>
      <c r="AA10" s="320">
        <f>SUM(AA5:AA9)</f>
        <v>10124182.54</v>
      </c>
      <c r="AB10" s="320"/>
      <c r="AC10" s="320">
        <f>SUM(AC5:AC9)</f>
        <v>10132804.78</v>
      </c>
      <c r="AD10" s="320"/>
      <c r="AE10" s="320">
        <f>SUM(AE5:AE9)</f>
        <v>18854350.92</v>
      </c>
      <c r="AF10" s="320"/>
      <c r="AG10" s="320">
        <f>SUM(AG5:AG9)</f>
        <v>16859881.29</v>
      </c>
      <c r="AH10" s="320"/>
      <c r="AI10" s="320">
        <f>SUM(AI5:AI9)</f>
        <v>26700</v>
      </c>
      <c r="AJ10" s="320"/>
      <c r="AK10" s="320" t="str">
        <f>SUM(AK5:AK9)</f>
        <v>#REF!</v>
      </c>
      <c r="AL10" s="320"/>
      <c r="AM10" s="320">
        <f>SUM(AM5:AM9)</f>
        <v>461092.68</v>
      </c>
      <c r="AN10" s="320"/>
      <c r="AO10" s="320">
        <f>SUM(AO5:AO9)</f>
        <v>78500</v>
      </c>
      <c r="AP10" s="320"/>
      <c r="AQ10" s="320">
        <f>SUM(AQ5:AQ9)</f>
        <v>9625996</v>
      </c>
      <c r="AR10" s="320"/>
      <c r="AS10" s="320">
        <f>SUM(AS5:AS9)</f>
        <v>5000000</v>
      </c>
      <c r="AT10" s="320"/>
      <c r="AU10" s="320">
        <f>SUM(AU5:AU9)</f>
        <v>361565.09</v>
      </c>
      <c r="AV10" s="320"/>
      <c r="AW10" s="320">
        <f>SUM(AW5:AW9)</f>
        <v>147863.52</v>
      </c>
      <c r="AX10" s="320"/>
      <c r="AY10" s="320">
        <f>SUM(AY5:AY9)</f>
        <v>185880.32</v>
      </c>
      <c r="AZ10" s="320"/>
      <c r="BA10" s="320">
        <f>SUM(BA5:BA9)</f>
        <v>657081</v>
      </c>
      <c r="BB10" s="320"/>
      <c r="BC10" s="320">
        <f>SUM(BC5:BC9)</f>
        <v>0</v>
      </c>
      <c r="BD10" s="320"/>
    </row>
    <row r="11" ht="15.75" customHeight="1">
      <c r="A11" s="3"/>
      <c r="B11" s="312"/>
      <c r="C11" s="225"/>
      <c r="D11" s="225"/>
      <c r="E11" s="225"/>
      <c r="F11" s="225"/>
      <c r="G11" s="114"/>
      <c r="H11" s="114"/>
      <c r="I11" s="114"/>
      <c r="J11" s="114"/>
      <c r="K11" s="225"/>
      <c r="L11" s="225"/>
      <c r="M11" s="225"/>
      <c r="N11" s="225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  <c r="AD11" s="114"/>
      <c r="AE11" s="114"/>
      <c r="AF11" s="114"/>
      <c r="AG11" s="114"/>
      <c r="AH11" s="114"/>
      <c r="AI11" s="114"/>
      <c r="AJ11" s="114"/>
      <c r="AK11" s="114"/>
      <c r="AL11" s="114"/>
      <c r="AM11" s="114"/>
      <c r="AN11" s="114"/>
      <c r="AO11" s="114"/>
      <c r="AP11" s="114"/>
      <c r="AQ11" s="114"/>
      <c r="AR11" s="114"/>
      <c r="AS11" s="114"/>
      <c r="AT11" s="114"/>
      <c r="AU11" s="114"/>
      <c r="AV11" s="114"/>
      <c r="AW11" s="114"/>
      <c r="AX11" s="114"/>
      <c r="AY11" s="114"/>
      <c r="AZ11" s="114"/>
      <c r="BA11" s="114"/>
      <c r="BB11" s="114"/>
      <c r="BC11" s="114"/>
      <c r="BD11" s="114"/>
    </row>
    <row r="12" ht="15.75" customHeight="1">
      <c r="A12" s="3"/>
      <c r="B12" s="312" t="s">
        <v>29</v>
      </c>
      <c r="C12" s="225">
        <f t="shared" ref="C12:C13" si="6">G12+K12</f>
        <v>25291531.06</v>
      </c>
      <c r="D12" s="225"/>
      <c r="E12" s="225">
        <f t="shared" ref="E12:E13" si="7">I12+M12</f>
        <v>0</v>
      </c>
      <c r="F12" s="225"/>
      <c r="G12" s="114">
        <f>HO!BR32</f>
        <v>0</v>
      </c>
      <c r="H12" s="114"/>
      <c r="I12" s="114">
        <f>HO!BT32</f>
        <v>0</v>
      </c>
      <c r="J12" s="114"/>
      <c r="K12" s="225">
        <f t="shared" ref="K12:K13" si="8">O12+S12+W12+AA12+AE12+AI12+AM12+AQ12+AU12+AW12+AY12+BA12</f>
        <v>25291531.06</v>
      </c>
      <c r="L12" s="225"/>
      <c r="M12" s="225"/>
      <c r="N12" s="225"/>
      <c r="O12" s="114">
        <f>'The Table'!BR41</f>
        <v>6943112.802</v>
      </c>
      <c r="P12" s="114"/>
      <c r="Q12" s="114">
        <f>'The Table'!BT41</f>
        <v>7120970.549</v>
      </c>
      <c r="R12" s="114"/>
      <c r="S12" s="114">
        <f>Iktara!AC38</f>
        <v>479644.062</v>
      </c>
      <c r="T12" s="114"/>
      <c r="U12" s="114" t="str">
        <f t="shared" ref="U12:U13" si="9">#REF!</f>
        <v>#REF!</v>
      </c>
      <c r="V12" s="114"/>
      <c r="W12" s="114">
        <f>'Mg St Colaba'!BR51</f>
        <v>4482924.077</v>
      </c>
      <c r="X12" s="114"/>
      <c r="Y12" s="114">
        <f>'Mg St Colaba'!BT51</f>
        <v>4107476.083</v>
      </c>
      <c r="Z12" s="114"/>
      <c r="AA12" s="114">
        <f>'Mg St LP'!BR52</f>
        <v>2741771.086</v>
      </c>
      <c r="AB12" s="114"/>
      <c r="AC12" s="114">
        <f>'Mg St LP'!BT52</f>
        <v>2443329.786</v>
      </c>
      <c r="AD12" s="114"/>
      <c r="AE12" s="114">
        <f>'Mg St Bandra'!BR51</f>
        <v>5150324.549</v>
      </c>
      <c r="AF12" s="114"/>
      <c r="AG12" s="114">
        <f>'Mg St Bandra'!BT51</f>
        <v>4936669.678</v>
      </c>
      <c r="AH12" s="114"/>
      <c r="AI12" s="114">
        <f>'MSK Events'!O46</f>
        <v>0</v>
      </c>
      <c r="AJ12" s="114"/>
      <c r="AK12" s="114" t="str">
        <f t="shared" ref="AK12:AK13" si="10">#REF!</f>
        <v>#REF!</v>
      </c>
      <c r="AL12" s="114"/>
      <c r="AM12" s="114">
        <f>MSBC!BR47</f>
        <v>820418.1302</v>
      </c>
      <c r="AN12" s="114"/>
      <c r="AO12" s="114">
        <f>MSBC!BT47</f>
        <v>0</v>
      </c>
      <c r="AP12" s="114"/>
      <c r="AQ12" s="114">
        <f>Kaspers!AZ49</f>
        <v>4010992.004</v>
      </c>
      <c r="AR12" s="114"/>
      <c r="AS12" s="114">
        <f>Kaspers!BB49</f>
        <v>2143500</v>
      </c>
      <c r="AT12" s="114"/>
      <c r="AU12" s="114">
        <f>'MSBC Andheri'!O47</f>
        <v>201670.4071</v>
      </c>
      <c r="AV12" s="114"/>
      <c r="AW12" s="114">
        <f>'MSBC Dahisar'!O45</f>
        <v>143111.3922</v>
      </c>
      <c r="AX12" s="114"/>
      <c r="AY12" s="114">
        <f>'MSBC Juhu  Goregoan'!O36</f>
        <v>160792.1968</v>
      </c>
      <c r="AZ12" s="114"/>
      <c r="BA12" s="114">
        <f>'LOUD MOUTH'!O47</f>
        <v>156770.35</v>
      </c>
      <c r="BB12" s="114"/>
      <c r="BC12" s="114"/>
      <c r="BD12" s="114"/>
    </row>
    <row r="13" ht="15.75" customHeight="1">
      <c r="A13" s="3"/>
      <c r="B13" s="312" t="s">
        <v>30</v>
      </c>
      <c r="C13" s="225">
        <f t="shared" si="6"/>
        <v>973638.9</v>
      </c>
      <c r="D13" s="225"/>
      <c r="E13" s="225">
        <f t="shared" si="7"/>
        <v>0</v>
      </c>
      <c r="F13" s="225"/>
      <c r="G13" s="114" t="str">
        <f>HO!BR33</f>
        <v/>
      </c>
      <c r="H13" s="114"/>
      <c r="I13" s="114" t="str">
        <f>HO!BT33</f>
        <v/>
      </c>
      <c r="J13" s="114"/>
      <c r="K13" s="225">
        <f t="shared" si="8"/>
        <v>973638.9</v>
      </c>
      <c r="L13" s="225"/>
      <c r="M13" s="225"/>
      <c r="N13" s="225"/>
      <c r="O13" s="114">
        <f>'The Table'!BR42</f>
        <v>40588</v>
      </c>
      <c r="P13" s="114"/>
      <c r="Q13" s="114">
        <f>'The Table'!BT42</f>
        <v>53195.9969</v>
      </c>
      <c r="R13" s="114"/>
      <c r="S13" s="114">
        <f>Iktara!AC39</f>
        <v>34430</v>
      </c>
      <c r="T13" s="114"/>
      <c r="U13" s="114" t="str">
        <f t="shared" si="9"/>
        <v>#REF!</v>
      </c>
      <c r="V13" s="114"/>
      <c r="W13" s="114">
        <f>'Mg St Colaba'!BR52</f>
        <v>155828.2</v>
      </c>
      <c r="X13" s="114"/>
      <c r="Y13" s="114">
        <f>'Mg St Colaba'!BT52</f>
        <v>131081.7999</v>
      </c>
      <c r="Z13" s="114"/>
      <c r="AA13" s="114">
        <f>'Mg St LP'!BR53</f>
        <v>195046.5</v>
      </c>
      <c r="AB13" s="114"/>
      <c r="AC13" s="114">
        <f>'Mg St LP'!BT53</f>
        <v>97550.3622</v>
      </c>
      <c r="AD13" s="114"/>
      <c r="AE13" s="114">
        <f>'Mg St Bandra'!BR52</f>
        <v>180509.5</v>
      </c>
      <c r="AF13" s="114"/>
      <c r="AG13" s="114">
        <f>'Mg St Bandra'!BT52</f>
        <v>92729.3471</v>
      </c>
      <c r="AH13" s="114"/>
      <c r="AI13" s="114" t="str">
        <f>'MSK Events'!O47</f>
        <v/>
      </c>
      <c r="AJ13" s="114"/>
      <c r="AK13" s="114" t="str">
        <f t="shared" si="10"/>
        <v>#REF!</v>
      </c>
      <c r="AL13" s="114"/>
      <c r="AM13" s="114">
        <f>MSBC!BR48</f>
        <v>118632</v>
      </c>
      <c r="AN13" s="114"/>
      <c r="AO13" s="114" t="str">
        <f>MSBC!BT48</f>
        <v/>
      </c>
      <c r="AP13" s="114"/>
      <c r="AQ13" s="114">
        <f>Kaspers!AZ50</f>
        <v>167314.7</v>
      </c>
      <c r="AR13" s="114"/>
      <c r="AS13" s="114">
        <f>Kaspers!BB50</f>
        <v>15500</v>
      </c>
      <c r="AT13" s="114"/>
      <c r="AU13" s="114">
        <f>'MSBC Andheri'!O48</f>
        <v>21462</v>
      </c>
      <c r="AV13" s="114"/>
      <c r="AW13" s="114">
        <f>'MSBC Dahisar'!O46</f>
        <v>4486</v>
      </c>
      <c r="AX13" s="114"/>
      <c r="AY13" s="114">
        <f>'MSBC Juhu  Goregoan'!O37</f>
        <v>3854</v>
      </c>
      <c r="AZ13" s="114"/>
      <c r="BA13" s="114">
        <f>'LOUD MOUTH'!O48</f>
        <v>51488</v>
      </c>
      <c r="BB13" s="114"/>
      <c r="BC13" s="114"/>
      <c r="BD13" s="114"/>
    </row>
    <row r="14" ht="15.75" customHeight="1">
      <c r="A14" s="3"/>
      <c r="B14" s="312" t="s">
        <v>31</v>
      </c>
      <c r="C14" s="319">
        <f>SUM(C12:C13)</f>
        <v>26265169.96</v>
      </c>
      <c r="D14" s="319"/>
      <c r="E14" s="319">
        <f>SUM(E12:E13)</f>
        <v>0</v>
      </c>
      <c r="F14" s="319"/>
      <c r="G14" s="320">
        <f>G12+G13</f>
        <v>0</v>
      </c>
      <c r="H14" s="320"/>
      <c r="I14" s="320">
        <f>I12+I13</f>
        <v>0</v>
      </c>
      <c r="J14" s="320"/>
      <c r="K14" s="319">
        <f>SUM(K12:K13)</f>
        <v>26265169.96</v>
      </c>
      <c r="L14" s="319"/>
      <c r="M14" s="319">
        <f>SUM(M12:M13)</f>
        <v>0</v>
      </c>
      <c r="N14" s="319"/>
      <c r="O14" s="320">
        <f>O12+O13</f>
        <v>6983700.802</v>
      </c>
      <c r="P14" s="320"/>
      <c r="Q14" s="320">
        <f>Q12+Q13</f>
        <v>7174166.546</v>
      </c>
      <c r="R14" s="320"/>
      <c r="S14" s="320">
        <f>S12+S13</f>
        <v>514074.062</v>
      </c>
      <c r="T14" s="320"/>
      <c r="U14" s="320" t="str">
        <f>U12+U13</f>
        <v>#REF!</v>
      </c>
      <c r="V14" s="320"/>
      <c r="W14" s="320">
        <f>W12+W13</f>
        <v>4638752.277</v>
      </c>
      <c r="X14" s="320"/>
      <c r="Y14" s="320">
        <f>Y12+Y13</f>
        <v>4238557.883</v>
      </c>
      <c r="Z14" s="320"/>
      <c r="AA14" s="320">
        <f>AA12+AA13</f>
        <v>2936817.586</v>
      </c>
      <c r="AB14" s="320"/>
      <c r="AC14" s="320">
        <f>AC12+AC13</f>
        <v>2540880.148</v>
      </c>
      <c r="AD14" s="320"/>
      <c r="AE14" s="320">
        <f>SUM(AE12:AE13)</f>
        <v>5330834.049</v>
      </c>
      <c r="AF14" s="320"/>
      <c r="AG14" s="320">
        <f>SUM(AG12:AG13)</f>
        <v>5029399.025</v>
      </c>
      <c r="AH14" s="320"/>
      <c r="AI14" s="320">
        <f>SUM(AI12:AI13)</f>
        <v>0</v>
      </c>
      <c r="AJ14" s="320"/>
      <c r="AK14" s="320" t="str">
        <f>SUM(AK12:AK13)</f>
        <v>#REF!</v>
      </c>
      <c r="AL14" s="320"/>
      <c r="AM14" s="320">
        <v>0.0</v>
      </c>
      <c r="AN14" s="320"/>
      <c r="AO14" s="320">
        <f>MSBC!AD49</f>
        <v>0</v>
      </c>
      <c r="AP14" s="320"/>
      <c r="AQ14" s="320">
        <f>SUM(AQ12:AQ13)</f>
        <v>4178306.704</v>
      </c>
      <c r="AR14" s="320"/>
      <c r="AS14" s="320">
        <f>SUM(AS12:AS13)</f>
        <v>2159000</v>
      </c>
      <c r="AT14" s="320"/>
      <c r="AU14" s="320">
        <f>SUM(AU12:AU13)</f>
        <v>223132.4071</v>
      </c>
      <c r="AV14" s="320"/>
      <c r="AW14" s="320">
        <f>SUM(AW12:AW13)</f>
        <v>147597.3922</v>
      </c>
      <c r="AX14" s="320"/>
      <c r="AY14" s="320">
        <f>SUM(AY12:AY13)</f>
        <v>164646.1968</v>
      </c>
      <c r="AZ14" s="320"/>
      <c r="BA14" s="320">
        <f>SUM(BA12:BA13)</f>
        <v>208258.35</v>
      </c>
      <c r="BB14" s="320"/>
      <c r="BC14" s="320">
        <f>SUM(BC12:BC13)</f>
        <v>0</v>
      </c>
      <c r="BD14" s="320"/>
    </row>
    <row r="15" ht="15.75" customHeight="1">
      <c r="A15" s="3"/>
      <c r="B15" s="312"/>
      <c r="C15" s="225"/>
      <c r="D15" s="225"/>
      <c r="E15" s="225"/>
      <c r="F15" s="225"/>
      <c r="G15" s="114"/>
      <c r="H15" s="114"/>
      <c r="I15" s="114"/>
      <c r="J15" s="114"/>
      <c r="K15" s="225"/>
      <c r="L15" s="225"/>
      <c r="M15" s="225"/>
      <c r="N15" s="225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  <c r="AE15" s="114"/>
      <c r="AF15" s="114"/>
      <c r="AG15" s="114"/>
      <c r="AH15" s="114"/>
      <c r="AI15" s="114"/>
      <c r="AJ15" s="114"/>
      <c r="AK15" s="114"/>
      <c r="AL15" s="114"/>
      <c r="AM15" s="114"/>
      <c r="AN15" s="114"/>
      <c r="AO15" s="114"/>
      <c r="AP15" s="114"/>
      <c r="AQ15" s="114"/>
      <c r="AR15" s="114"/>
      <c r="AS15" s="114"/>
      <c r="AT15" s="114"/>
      <c r="AU15" s="114"/>
      <c r="AV15" s="114"/>
      <c r="AW15" s="114"/>
      <c r="AX15" s="114"/>
      <c r="AY15" s="114"/>
      <c r="AZ15" s="114"/>
      <c r="BA15" s="114"/>
      <c r="BB15" s="114"/>
      <c r="BC15" s="114"/>
      <c r="BD15" s="114"/>
    </row>
    <row r="16" ht="15.75" customHeight="1">
      <c r="A16" s="3"/>
      <c r="B16" s="312" t="s">
        <v>33</v>
      </c>
      <c r="C16" s="319">
        <f>C10-C14</f>
        <v>52695197.98</v>
      </c>
      <c r="D16" s="319"/>
      <c r="E16" s="319">
        <f>E10-E14</f>
        <v>0</v>
      </c>
      <c r="F16" s="319"/>
      <c r="G16" s="320">
        <f>G10-G14</f>
        <v>0</v>
      </c>
      <c r="H16" s="320"/>
      <c r="I16" s="320">
        <f>I10-I14</f>
        <v>0</v>
      </c>
      <c r="J16" s="320"/>
      <c r="K16" s="319">
        <f>+K10-K14</f>
        <v>52695197.98</v>
      </c>
      <c r="L16" s="319"/>
      <c r="M16" s="319">
        <f>+M10-M14</f>
        <v>0</v>
      </c>
      <c r="N16" s="319"/>
      <c r="O16" s="320">
        <f>O10-O14</f>
        <v>15158461.41</v>
      </c>
      <c r="P16" s="320"/>
      <c r="Q16" s="320">
        <f>Q10-Q14</f>
        <v>11380940.45</v>
      </c>
      <c r="R16" s="320"/>
      <c r="S16" s="320">
        <f>S10-S14</f>
        <v>1007801.338</v>
      </c>
      <c r="T16" s="320"/>
      <c r="U16" s="320" t="str">
        <f>U10-U14</f>
        <v>#REF!</v>
      </c>
      <c r="V16" s="320"/>
      <c r="W16" s="320">
        <f>W10-W14</f>
        <v>10212865.98</v>
      </c>
      <c r="X16" s="320"/>
      <c r="Y16" s="320">
        <f>Y10-Y14</f>
        <v>10657101.2</v>
      </c>
      <c r="Z16" s="320"/>
      <c r="AA16" s="320">
        <f>AA10-AA14</f>
        <v>7187364.954</v>
      </c>
      <c r="AB16" s="320"/>
      <c r="AC16" s="320">
        <f>AC10-AC14</f>
        <v>7591924.631</v>
      </c>
      <c r="AD16" s="320"/>
      <c r="AE16" s="320">
        <f>AE10-AE14</f>
        <v>13523516.87</v>
      </c>
      <c r="AF16" s="320"/>
      <c r="AG16" s="320">
        <f>AG10-AG14</f>
        <v>11830482.26</v>
      </c>
      <c r="AH16" s="320"/>
      <c r="AI16" s="320">
        <f>AI10-AI14</f>
        <v>26700</v>
      </c>
      <c r="AJ16" s="320"/>
      <c r="AK16" s="320" t="str">
        <f>AK10-AK14</f>
        <v>#REF!</v>
      </c>
      <c r="AL16" s="320"/>
      <c r="AM16" s="320">
        <f>AM10-AM14</f>
        <v>461092.68</v>
      </c>
      <c r="AN16" s="320"/>
      <c r="AO16" s="320">
        <f>AO10-AO14</f>
        <v>78500</v>
      </c>
      <c r="AP16" s="320"/>
      <c r="AQ16" s="320">
        <f>AQ10-AQ14</f>
        <v>5447689.296</v>
      </c>
      <c r="AR16" s="320"/>
      <c r="AS16" s="320">
        <f>AS10-AS14</f>
        <v>2841000</v>
      </c>
      <c r="AT16" s="320"/>
      <c r="AU16" s="320">
        <f>AU10-AU14</f>
        <v>138432.6829</v>
      </c>
      <c r="AV16" s="320"/>
      <c r="AW16" s="320">
        <f>AW10-AW14</f>
        <v>266.1277791</v>
      </c>
      <c r="AX16" s="320"/>
      <c r="AY16" s="320">
        <f>AY10-AY14</f>
        <v>21234.12323</v>
      </c>
      <c r="AZ16" s="320"/>
      <c r="BA16" s="320">
        <f>BA10-BA14</f>
        <v>448822.65</v>
      </c>
      <c r="BB16" s="320"/>
      <c r="BC16" s="320">
        <f>BC10-BC14</f>
        <v>0</v>
      </c>
      <c r="BD16" s="320"/>
    </row>
    <row r="17" ht="15.75" customHeight="1">
      <c r="A17" s="3"/>
      <c r="B17" s="312"/>
      <c r="C17" s="225"/>
      <c r="D17" s="225"/>
      <c r="E17" s="225"/>
      <c r="F17" s="225"/>
      <c r="G17" s="114"/>
      <c r="H17" s="114"/>
      <c r="I17" s="114"/>
      <c r="J17" s="114"/>
      <c r="K17" s="225"/>
      <c r="L17" s="225"/>
      <c r="M17" s="225"/>
      <c r="N17" s="225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  <c r="AH17" s="114"/>
      <c r="AI17" s="114"/>
      <c r="AJ17" s="114"/>
      <c r="AK17" s="114"/>
      <c r="AL17" s="114"/>
      <c r="AM17" s="114"/>
      <c r="AN17" s="114"/>
      <c r="AO17" s="114"/>
      <c r="AP17" s="114"/>
      <c r="AQ17" s="114"/>
      <c r="AR17" s="114"/>
      <c r="AS17" s="114"/>
      <c r="AT17" s="114"/>
      <c r="AU17" s="114"/>
      <c r="AV17" s="114"/>
      <c r="AW17" s="114"/>
      <c r="AX17" s="114"/>
      <c r="AY17" s="114"/>
      <c r="AZ17" s="114"/>
      <c r="BA17" s="114"/>
      <c r="BB17" s="114"/>
      <c r="BC17" s="114"/>
      <c r="BD17" s="114"/>
    </row>
    <row r="18" ht="15.75" customHeight="1">
      <c r="A18" s="3"/>
      <c r="B18" s="312" t="s">
        <v>34</v>
      </c>
      <c r="C18" s="225">
        <f t="shared" ref="C18:C27" si="11">G18+K18</f>
        <v>1479262.84</v>
      </c>
      <c r="D18" s="225"/>
      <c r="E18" s="225">
        <f t="shared" ref="E18:E28" si="12">I18+M18</f>
        <v>0</v>
      </c>
      <c r="F18" s="225"/>
      <c r="G18" s="114">
        <f>HO!BR44</f>
        <v>102271</v>
      </c>
      <c r="H18" s="114"/>
      <c r="I18" s="114">
        <f>HO!BT44</f>
        <v>0</v>
      </c>
      <c r="J18" s="114"/>
      <c r="K18" s="225">
        <f t="shared" ref="K18:K27" si="13">O18+S18+W18+AA18+AE18+AI18+AM18+AQ18+AU18+AW18+AY18+BA18</f>
        <v>1376991.84</v>
      </c>
      <c r="L18" s="225"/>
      <c r="M18" s="225"/>
      <c r="N18" s="225"/>
      <c r="O18" s="114">
        <f>'The Table'!BR53</f>
        <v>356616.64</v>
      </c>
      <c r="P18" s="114"/>
      <c r="Q18" s="114">
        <f>'The Table'!BT53</f>
        <v>396881.712</v>
      </c>
      <c r="R18" s="114"/>
      <c r="S18" s="114">
        <f>Iktara!AC50</f>
        <v>30211.44</v>
      </c>
      <c r="T18" s="114"/>
      <c r="U18" s="114" t="str">
        <f t="shared" ref="U18:U27" si="14">#REF!</f>
        <v>#REF!</v>
      </c>
      <c r="V18" s="114"/>
      <c r="W18" s="114">
        <f>'Mg St Colaba'!BR77</f>
        <v>363597.5</v>
      </c>
      <c r="X18" s="114"/>
      <c r="Y18" s="114">
        <f>'Mg St Colaba'!BT77</f>
        <v>344089.7248</v>
      </c>
      <c r="Z18" s="114"/>
      <c r="AA18" s="114">
        <f>'Mg St LP'!BR78</f>
        <v>103031.88</v>
      </c>
      <c r="AB18" s="114"/>
      <c r="AC18" s="114">
        <f>'Mg St LP'!BT78</f>
        <v>238120.9123</v>
      </c>
      <c r="AD18" s="114"/>
      <c r="AE18" s="114">
        <f>'Mg St Bandra'!BR75</f>
        <v>305526.46</v>
      </c>
      <c r="AF18" s="114"/>
      <c r="AG18" s="114">
        <f>'Mg St Bandra'!BT75</f>
        <v>355743.4952</v>
      </c>
      <c r="AH18" s="114"/>
      <c r="AI18" s="114">
        <f>'MSK Events'!O72</f>
        <v>0</v>
      </c>
      <c r="AJ18" s="114"/>
      <c r="AK18" s="114" t="str">
        <f t="shared" ref="AK18:AK27" si="15">#REF!</f>
        <v>#REF!</v>
      </c>
      <c r="AL18" s="114"/>
      <c r="AM18" s="114">
        <f>MSBC!BR73</f>
        <v>33354</v>
      </c>
      <c r="AN18" s="114"/>
      <c r="AO18" s="114">
        <f>MSBC!BT73</f>
        <v>0</v>
      </c>
      <c r="AP18" s="114"/>
      <c r="AQ18" s="114">
        <f>Kaspers!AZ64</f>
        <v>184653.92</v>
      </c>
      <c r="AR18" s="114"/>
      <c r="AS18" s="114">
        <f>Kaspers!BB64</f>
        <v>80000</v>
      </c>
      <c r="AT18" s="114"/>
      <c r="AU18" s="114"/>
      <c r="AV18" s="114"/>
      <c r="AW18" s="114"/>
      <c r="AX18" s="114"/>
      <c r="AY18" s="114" t="str">
        <f>'MSBC Juhu  Goregoan'!O55</f>
        <v/>
      </c>
      <c r="AZ18" s="114"/>
      <c r="BA18" s="114"/>
      <c r="BB18" s="114"/>
      <c r="BC18" s="114"/>
      <c r="BD18" s="114"/>
    </row>
    <row r="19" ht="15.75" customHeight="1">
      <c r="A19" s="3"/>
      <c r="B19" s="312" t="s">
        <v>35</v>
      </c>
      <c r="C19" s="225">
        <f t="shared" si="11"/>
        <v>1847709.9</v>
      </c>
      <c r="D19" s="225"/>
      <c r="E19" s="225">
        <f t="shared" si="12"/>
        <v>12874</v>
      </c>
      <c r="F19" s="225"/>
      <c r="G19" s="114">
        <f>HO!BR53</f>
        <v>57386</v>
      </c>
      <c r="H19" s="114"/>
      <c r="I19" s="114">
        <f>HO!BT53</f>
        <v>12874</v>
      </c>
      <c r="J19" s="114"/>
      <c r="K19" s="225">
        <f t="shared" si="13"/>
        <v>1790323.9</v>
      </c>
      <c r="L19" s="225"/>
      <c r="M19" s="225"/>
      <c r="N19" s="225"/>
      <c r="O19" s="114">
        <f>'The Table'!BR62</f>
        <v>6595</v>
      </c>
      <c r="P19" s="114"/>
      <c r="Q19" s="114">
        <f>'The Table'!BT62</f>
        <v>108333</v>
      </c>
      <c r="R19" s="114"/>
      <c r="S19" s="114">
        <f>Iktara!AC62</f>
        <v>211448</v>
      </c>
      <c r="T19" s="114"/>
      <c r="U19" s="114" t="str">
        <f t="shared" si="14"/>
        <v>#REF!</v>
      </c>
      <c r="V19" s="114"/>
      <c r="W19" s="114">
        <f>'Mg St Colaba'!BR89</f>
        <v>246208.3324</v>
      </c>
      <c r="X19" s="114"/>
      <c r="Y19" s="114">
        <f>'Mg St Colaba'!BT89</f>
        <v>181981</v>
      </c>
      <c r="Z19" s="114"/>
      <c r="AA19" s="114">
        <f>'Mg St LP'!BR89</f>
        <v>279500.9524</v>
      </c>
      <c r="AB19" s="114"/>
      <c r="AC19" s="114">
        <f>'Mg St LP'!BT89</f>
        <v>335958</v>
      </c>
      <c r="AD19" s="114"/>
      <c r="AE19" s="114">
        <f>'Mg St Bandra'!BR87</f>
        <v>372471.9124</v>
      </c>
      <c r="AF19" s="114"/>
      <c r="AG19" s="114">
        <f>'Mg St Bandra'!BT87</f>
        <v>203471</v>
      </c>
      <c r="AH19" s="114"/>
      <c r="AI19" s="114">
        <f>'MSK Events'!O84</f>
        <v>0</v>
      </c>
      <c r="AJ19" s="114"/>
      <c r="AK19" s="114" t="str">
        <f t="shared" si="15"/>
        <v>#REF!</v>
      </c>
      <c r="AL19" s="114"/>
      <c r="AM19" s="114">
        <f>MSBC!BR75</f>
        <v>86607.44571</v>
      </c>
      <c r="AN19" s="114"/>
      <c r="AO19" s="114">
        <f>MSBC!BT75</f>
        <v>15000</v>
      </c>
      <c r="AP19" s="114"/>
      <c r="AQ19" s="114">
        <f>Kaspers!AZ76</f>
        <v>2465.333333</v>
      </c>
      <c r="AR19" s="114"/>
      <c r="AS19" s="114">
        <f>Kaspers!BB76</f>
        <v>28996.66667</v>
      </c>
      <c r="AT19" s="114"/>
      <c r="AU19" s="114">
        <f>'MSBC Andheri'!O85</f>
        <v>108747.2857</v>
      </c>
      <c r="AV19" s="114"/>
      <c r="AW19" s="114">
        <f>'MSBC Dahisar'!O73</f>
        <v>102574.619</v>
      </c>
      <c r="AX19" s="114"/>
      <c r="AY19" s="114">
        <f>'MSBC Juhu  Goregoan'!O74</f>
        <v>102180.619</v>
      </c>
      <c r="AZ19" s="114"/>
      <c r="BA19" s="114">
        <f>'LOUD MOUTH'!O85</f>
        <v>271524.4</v>
      </c>
      <c r="BB19" s="114"/>
      <c r="BC19" s="114"/>
      <c r="BD19" s="114"/>
    </row>
    <row r="20" ht="15.75" customHeight="1">
      <c r="A20" s="3"/>
      <c r="B20" s="312" t="s">
        <v>36</v>
      </c>
      <c r="C20" s="225">
        <f t="shared" si="11"/>
        <v>2432004.85</v>
      </c>
      <c r="D20" s="225"/>
      <c r="E20" s="225">
        <f t="shared" si="12"/>
        <v>0</v>
      </c>
      <c r="F20" s="225"/>
      <c r="G20" s="114">
        <f>HO!BR63</f>
        <v>0</v>
      </c>
      <c r="H20" s="114"/>
      <c r="I20" s="114">
        <f>HO!BT63</f>
        <v>0</v>
      </c>
      <c r="J20" s="114"/>
      <c r="K20" s="225">
        <f t="shared" si="13"/>
        <v>2432004.85</v>
      </c>
      <c r="L20" s="225"/>
      <c r="M20" s="225"/>
      <c r="N20" s="225"/>
      <c r="O20" s="114">
        <f>'The Table'!BR70</f>
        <v>103560.6056</v>
      </c>
      <c r="P20" s="114"/>
      <c r="Q20" s="114">
        <f>'The Table'!BT70</f>
        <v>209029.968</v>
      </c>
      <c r="R20" s="114"/>
      <c r="S20" s="114">
        <f>Iktara!AC70</f>
        <v>149069.93</v>
      </c>
      <c r="T20" s="114"/>
      <c r="U20" s="114" t="str">
        <f t="shared" si="14"/>
        <v>#REF!</v>
      </c>
      <c r="V20" s="114"/>
      <c r="W20" s="114">
        <f>'Mg St Colaba'!BR100</f>
        <v>461660.4646</v>
      </c>
      <c r="X20" s="114"/>
      <c r="Y20" s="114">
        <f>'Mg St Colaba'!BT100</f>
        <v>539385.35</v>
      </c>
      <c r="Z20" s="114"/>
      <c r="AA20" s="114">
        <f>'Mg St LP'!BR101</f>
        <v>719922</v>
      </c>
      <c r="AB20" s="114"/>
      <c r="AC20" s="114">
        <f>'Mg St LP'!BT101</f>
        <v>808825.275</v>
      </c>
      <c r="AD20" s="114"/>
      <c r="AE20" s="114">
        <f>'Mg St Bandra'!BR98</f>
        <v>708220</v>
      </c>
      <c r="AF20" s="114"/>
      <c r="AG20" s="114">
        <f>'Mg St Bandra'!BT98</f>
        <v>569631.1</v>
      </c>
      <c r="AH20" s="114"/>
      <c r="AI20" s="114">
        <f>'MSK Events'!O91</f>
        <v>0</v>
      </c>
      <c r="AJ20" s="114"/>
      <c r="AK20" s="114" t="str">
        <f t="shared" si="15"/>
        <v>#REF!</v>
      </c>
      <c r="AL20" s="114"/>
      <c r="AM20" s="114">
        <f>MSBC!BR83</f>
        <v>33395.79</v>
      </c>
      <c r="AN20" s="114"/>
      <c r="AO20" s="114">
        <f>MSBC!BT83</f>
        <v>0</v>
      </c>
      <c r="AP20" s="114"/>
      <c r="AQ20" s="114">
        <f>Kaspers!AZ83</f>
        <v>0</v>
      </c>
      <c r="AR20" s="114"/>
      <c r="AS20" s="114">
        <f>Kaspers!BB83</f>
        <v>0</v>
      </c>
      <c r="AT20" s="114"/>
      <c r="AU20" s="114">
        <f>'MSBC Andheri'!O93</f>
        <v>84079.84</v>
      </c>
      <c r="AV20" s="114"/>
      <c r="AW20" s="114">
        <f>'MSBC Dahisar'!O80</f>
        <v>20939.44</v>
      </c>
      <c r="AX20" s="114"/>
      <c r="AY20" s="114">
        <f>'MSBC Juhu  Goregoan'!O81</f>
        <v>61708.78</v>
      </c>
      <c r="AZ20" s="114"/>
      <c r="BA20" s="114">
        <f>'LOUD MOUTH'!O94</f>
        <v>89448</v>
      </c>
      <c r="BB20" s="114"/>
      <c r="BC20" s="114"/>
      <c r="BD20" s="114"/>
    </row>
    <row r="21" ht="15.75" customHeight="1">
      <c r="A21" s="3"/>
      <c r="B21" s="312" t="s">
        <v>37</v>
      </c>
      <c r="C21" s="225">
        <f t="shared" si="11"/>
        <v>7644838.137</v>
      </c>
      <c r="D21" s="225"/>
      <c r="E21" s="225">
        <f t="shared" si="12"/>
        <v>380880</v>
      </c>
      <c r="F21" s="225"/>
      <c r="G21" s="114">
        <f>HO!BR70</f>
        <v>768274.16</v>
      </c>
      <c r="H21" s="114"/>
      <c r="I21" s="114">
        <f>HO!BT70</f>
        <v>380880</v>
      </c>
      <c r="J21" s="114"/>
      <c r="K21" s="225">
        <f t="shared" si="13"/>
        <v>6876563.977</v>
      </c>
      <c r="L21" s="225"/>
      <c r="M21" s="225"/>
      <c r="N21" s="225"/>
      <c r="O21" s="114">
        <f>'The Table'!BR76</f>
        <v>1999683</v>
      </c>
      <c r="P21" s="114"/>
      <c r="Q21" s="114">
        <f>'The Table'!BT76</f>
        <v>1827400</v>
      </c>
      <c r="R21" s="114"/>
      <c r="S21" s="114">
        <f>Iktara!AC76</f>
        <v>101974.2</v>
      </c>
      <c r="T21" s="114"/>
      <c r="U21" s="114" t="str">
        <f t="shared" si="14"/>
        <v>#REF!</v>
      </c>
      <c r="V21" s="114"/>
      <c r="W21" s="114">
        <f>'Mg St Colaba'!BR107</f>
        <v>1307410</v>
      </c>
      <c r="X21" s="114"/>
      <c r="Y21" s="114">
        <f>'Mg St Colaba'!BT107</f>
        <v>1499510.5</v>
      </c>
      <c r="Z21" s="114"/>
      <c r="AA21" s="114">
        <f>'Mg St LP'!BR108</f>
        <v>1040604.36</v>
      </c>
      <c r="AB21" s="114"/>
      <c r="AC21" s="114">
        <f>'Mg St LP'!BT108</f>
        <v>1033770.6</v>
      </c>
      <c r="AD21" s="114"/>
      <c r="AE21" s="114">
        <f>'Mg St Bandra'!BR105</f>
        <v>1652571</v>
      </c>
      <c r="AF21" s="114"/>
      <c r="AG21" s="114">
        <f>'Mg St Bandra'!BT105</f>
        <v>1475700</v>
      </c>
      <c r="AH21" s="114"/>
      <c r="AI21" s="114">
        <f>'MSK Events'!O98</f>
        <v>151588</v>
      </c>
      <c r="AJ21" s="114"/>
      <c r="AK21" s="114" t="str">
        <f t="shared" si="15"/>
        <v>#REF!</v>
      </c>
      <c r="AL21" s="114"/>
      <c r="AM21" s="114">
        <f>MSBC!BR90</f>
        <v>226906</v>
      </c>
      <c r="AN21" s="114"/>
      <c r="AO21" s="114">
        <f>MSBC!BT90</f>
        <v>0</v>
      </c>
      <c r="AP21" s="114"/>
      <c r="AQ21" s="114">
        <f>Kaspers!AZ90</f>
        <v>395827.4167</v>
      </c>
      <c r="AR21" s="114"/>
      <c r="AS21" s="114">
        <f>Kaspers!BB90</f>
        <v>0</v>
      </c>
      <c r="AT21" s="114"/>
      <c r="AU21" s="114">
        <f>'MSBC Andheri'!M100</f>
        <v>0</v>
      </c>
      <c r="AV21" s="114"/>
      <c r="AW21" s="114">
        <f>'MSBC Dahisar'!O89</f>
        <v>0</v>
      </c>
      <c r="AX21" s="114"/>
      <c r="AY21" s="114">
        <v>0.0</v>
      </c>
      <c r="AZ21" s="114"/>
      <c r="BA21" s="114"/>
      <c r="BB21" s="114"/>
      <c r="BC21" s="114"/>
      <c r="BD21" s="114"/>
    </row>
    <row r="22" ht="15.75" customHeight="1">
      <c r="A22" s="3"/>
      <c r="B22" s="312" t="s">
        <v>38</v>
      </c>
      <c r="C22" s="225">
        <f t="shared" si="11"/>
        <v>25606246.98</v>
      </c>
      <c r="D22" s="225"/>
      <c r="E22" s="225">
        <f t="shared" si="12"/>
        <v>4043806</v>
      </c>
      <c r="F22" s="225"/>
      <c r="G22" s="114">
        <f>HO!BR77</f>
        <v>5514398.667</v>
      </c>
      <c r="H22" s="114"/>
      <c r="I22" s="114">
        <f>HO!BT77</f>
        <v>4043806</v>
      </c>
      <c r="J22" s="114"/>
      <c r="K22" s="225">
        <f t="shared" si="13"/>
        <v>20091848.31</v>
      </c>
      <c r="L22" s="225"/>
      <c r="M22" s="225"/>
      <c r="N22" s="225"/>
      <c r="O22" s="114">
        <f>'The Table'!BR82</f>
        <v>5637193.647</v>
      </c>
      <c r="P22" s="114"/>
      <c r="Q22" s="114">
        <f>'The Table'!BT82</f>
        <v>4388683.777</v>
      </c>
      <c r="R22" s="114"/>
      <c r="S22" s="114">
        <f>Iktara!AC82</f>
        <v>401896.41</v>
      </c>
      <c r="T22" s="114"/>
      <c r="U22" s="114" t="str">
        <f t="shared" si="14"/>
        <v>#REF!</v>
      </c>
      <c r="V22" s="114"/>
      <c r="W22" s="114">
        <f>'Mg St Colaba'!BR113</f>
        <v>3484551.69</v>
      </c>
      <c r="X22" s="114"/>
      <c r="Y22" s="114">
        <f>'Mg St Colaba'!BT113</f>
        <v>3289826.401</v>
      </c>
      <c r="Z22" s="114"/>
      <c r="AA22" s="114">
        <f>'Mg St LP'!BR115</f>
        <v>1763465.323</v>
      </c>
      <c r="AB22" s="114"/>
      <c r="AC22" s="114">
        <f>'Mg St LP'!BT115</f>
        <v>1386737.458</v>
      </c>
      <c r="AD22" s="114"/>
      <c r="AE22" s="114">
        <f>'Mg St Bandra'!BR114</f>
        <v>3921354.32</v>
      </c>
      <c r="AF22" s="114"/>
      <c r="AG22" s="114">
        <f>'Mg St Bandra'!BT114</f>
        <v>3806083.75</v>
      </c>
      <c r="AH22" s="114"/>
      <c r="AI22" s="114">
        <f>'MSK Events'!O104</f>
        <v>880</v>
      </c>
      <c r="AJ22" s="114"/>
      <c r="AK22" s="114" t="str">
        <f t="shared" si="15"/>
        <v>#REF!</v>
      </c>
      <c r="AL22" s="114"/>
      <c r="AM22" s="114">
        <f>MSBC!BR96</f>
        <v>1375721.32</v>
      </c>
      <c r="AN22" s="114"/>
      <c r="AO22" s="114">
        <f>MSBC!BT96</f>
        <v>0</v>
      </c>
      <c r="AP22" s="114"/>
      <c r="AQ22" s="114">
        <f>Kaspers!AZ97</f>
        <v>3497094.6</v>
      </c>
      <c r="AR22" s="114"/>
      <c r="AS22" s="114">
        <f>Kaspers!BB97</f>
        <v>0</v>
      </c>
      <c r="AT22" s="114"/>
      <c r="AU22" s="114">
        <f>'MSBC Andheri'!M106</f>
        <v>0</v>
      </c>
      <c r="AV22" s="114"/>
      <c r="AW22" s="114">
        <f>'MSBC Dahisar'!O95</f>
        <v>0</v>
      </c>
      <c r="AX22" s="114"/>
      <c r="AY22" s="114">
        <v>0.0</v>
      </c>
      <c r="AZ22" s="114"/>
      <c r="BA22" s="114">
        <f>'LOUD MOUTH'!O108</f>
        <v>9691</v>
      </c>
      <c r="BB22" s="114"/>
      <c r="BC22" s="114"/>
      <c r="BD22" s="114"/>
    </row>
    <row r="23" ht="15.75" customHeight="1">
      <c r="A23" s="3"/>
      <c r="B23" s="312" t="s">
        <v>39</v>
      </c>
      <c r="C23" s="225">
        <f t="shared" si="11"/>
        <v>1070822.6</v>
      </c>
      <c r="D23" s="225"/>
      <c r="E23" s="225">
        <f t="shared" si="12"/>
        <v>12500</v>
      </c>
      <c r="F23" s="225"/>
      <c r="G23" s="114">
        <f>HO!BR88</f>
        <v>494787.45</v>
      </c>
      <c r="H23" s="114"/>
      <c r="I23" s="114">
        <f>HO!BT88</f>
        <v>12500</v>
      </c>
      <c r="J23" s="114"/>
      <c r="K23" s="225">
        <f t="shared" si="13"/>
        <v>576035.15</v>
      </c>
      <c r="L23" s="225"/>
      <c r="M23" s="225"/>
      <c r="N23" s="225"/>
      <c r="O23" s="114">
        <f>'The Table'!BR91</f>
        <v>496650.38</v>
      </c>
      <c r="P23" s="114"/>
      <c r="Q23" s="114">
        <f>'The Table'!BT91</f>
        <v>255642.528</v>
      </c>
      <c r="R23" s="114"/>
      <c r="S23" s="114">
        <f>Iktara!AC92</f>
        <v>0</v>
      </c>
      <c r="T23" s="114"/>
      <c r="U23" s="114" t="str">
        <f t="shared" si="14"/>
        <v>#REF!</v>
      </c>
      <c r="V23" s="114"/>
      <c r="W23" s="114">
        <f>'Mg St Colaba'!BR124</f>
        <v>7565.26</v>
      </c>
      <c r="X23" s="114"/>
      <c r="Y23" s="114">
        <f>'Mg St Colaba'!BT124</f>
        <v>129691.4285</v>
      </c>
      <c r="Z23" s="114"/>
      <c r="AA23" s="114">
        <f>'Mg St LP'!BR125</f>
        <v>14527.44</v>
      </c>
      <c r="AB23" s="114"/>
      <c r="AC23" s="114">
        <f>'Mg St LP'!BT125</f>
        <v>40455.912</v>
      </c>
      <c r="AD23" s="114"/>
      <c r="AE23" s="114">
        <f>'Mg St Bandra'!BR125</f>
        <v>22633.47</v>
      </c>
      <c r="AF23" s="114"/>
      <c r="AG23" s="114">
        <f>'Mg St Bandra'!BT125</f>
        <v>125279.325</v>
      </c>
      <c r="AH23" s="114"/>
      <c r="AI23" s="114">
        <f>'MSK Events'!O114</f>
        <v>0</v>
      </c>
      <c r="AJ23" s="114"/>
      <c r="AK23" s="114" t="str">
        <f t="shared" si="15"/>
        <v>#REF!</v>
      </c>
      <c r="AL23" s="114"/>
      <c r="AM23" s="114">
        <f>MSBC!BR106</f>
        <v>4017</v>
      </c>
      <c r="AN23" s="114"/>
      <c r="AO23" s="114">
        <f>MSBC!BT106</f>
        <v>0</v>
      </c>
      <c r="AP23" s="114"/>
      <c r="AQ23" s="114">
        <f>Kaspers!AZ109</f>
        <v>30641.6</v>
      </c>
      <c r="AR23" s="114"/>
      <c r="AS23" s="114">
        <f>Kaspers!BB109</f>
        <v>0</v>
      </c>
      <c r="AT23" s="114"/>
      <c r="AU23" s="114">
        <f>'MSBC Andheri'!M116</f>
        <v>0</v>
      </c>
      <c r="AV23" s="114"/>
      <c r="AW23" s="114">
        <f>'MSBC Dahisar'!O105</f>
        <v>0</v>
      </c>
      <c r="AX23" s="114"/>
      <c r="AY23" s="114">
        <v>0.0</v>
      </c>
      <c r="AZ23" s="114"/>
      <c r="BA23" s="114"/>
      <c r="BB23" s="114"/>
      <c r="BC23" s="114"/>
      <c r="BD23" s="114"/>
    </row>
    <row r="24" ht="15.75" customHeight="1">
      <c r="A24" s="3"/>
      <c r="B24" s="312" t="s">
        <v>40</v>
      </c>
      <c r="C24" s="225">
        <f t="shared" si="11"/>
        <v>262398.0833</v>
      </c>
      <c r="D24" s="225"/>
      <c r="E24" s="225">
        <f t="shared" si="12"/>
        <v>114596.8333</v>
      </c>
      <c r="F24" s="225"/>
      <c r="G24" s="114">
        <f>HO!BR95</f>
        <v>129212.9167</v>
      </c>
      <c r="H24" s="114"/>
      <c r="I24" s="114">
        <f>HO!BT95</f>
        <v>114596.8333</v>
      </c>
      <c r="J24" s="114"/>
      <c r="K24" s="225">
        <f t="shared" si="13"/>
        <v>133185.1667</v>
      </c>
      <c r="L24" s="225"/>
      <c r="M24" s="225"/>
      <c r="N24" s="225"/>
      <c r="O24" s="114">
        <f>'The Table'!BR94</f>
        <v>35400</v>
      </c>
      <c r="P24" s="114"/>
      <c r="Q24" s="114">
        <f>'The Table'!BT94</f>
        <v>29500</v>
      </c>
      <c r="R24" s="114"/>
      <c r="S24" s="114">
        <f>Iktara!AC95</f>
        <v>688</v>
      </c>
      <c r="T24" s="114"/>
      <c r="U24" s="114" t="str">
        <f t="shared" si="14"/>
        <v>#REF!</v>
      </c>
      <c r="V24" s="114"/>
      <c r="W24" s="114">
        <f>'Mg St Colaba'!BR127</f>
        <v>36416</v>
      </c>
      <c r="X24" s="114"/>
      <c r="Y24" s="114">
        <f>'Mg St Colaba'!BT127</f>
        <v>30188.33333</v>
      </c>
      <c r="Z24" s="114"/>
      <c r="AA24" s="114">
        <f>'Mg St LP'!BR128</f>
        <v>688.3333333</v>
      </c>
      <c r="AB24" s="114"/>
      <c r="AC24" s="114">
        <f>'Mg St LP'!BT128</f>
        <v>1500</v>
      </c>
      <c r="AD24" s="114"/>
      <c r="AE24" s="114">
        <f>'Mg St Bandra'!BR128</f>
        <v>2612.583333</v>
      </c>
      <c r="AF24" s="114"/>
      <c r="AG24" s="114">
        <f>'Mg St Bandra'!BT128</f>
        <v>23000</v>
      </c>
      <c r="AH24" s="114"/>
      <c r="AI24" s="114">
        <f>'MSK Events'!O117</f>
        <v>6806.25</v>
      </c>
      <c r="AJ24" s="114"/>
      <c r="AK24" s="114" t="str">
        <f t="shared" si="15"/>
        <v>#REF!</v>
      </c>
      <c r="AL24" s="114"/>
      <c r="AM24" s="114">
        <f>MSBC!BR109</f>
        <v>28498</v>
      </c>
      <c r="AN24" s="114"/>
      <c r="AO24" s="114">
        <f>MSBC!BT109</f>
        <v>0</v>
      </c>
      <c r="AP24" s="114"/>
      <c r="AQ24" s="114">
        <f>Kaspers!AZ113</f>
        <v>22076</v>
      </c>
      <c r="AR24" s="114"/>
      <c r="AS24" s="114">
        <f>Kaspers!BB113</f>
        <v>0</v>
      </c>
      <c r="AT24" s="114"/>
      <c r="AU24" s="114">
        <f>'MSBC Andheri'!M119</f>
        <v>0</v>
      </c>
      <c r="AV24" s="114"/>
      <c r="AW24" s="114">
        <f>'MSBC Dahisar'!O108</f>
        <v>0</v>
      </c>
      <c r="AX24" s="114"/>
      <c r="AY24" s="114">
        <v>0.0</v>
      </c>
      <c r="AZ24" s="114"/>
      <c r="BA24" s="114"/>
      <c r="BB24" s="114"/>
      <c r="BC24" s="114"/>
      <c r="BD24" s="114"/>
    </row>
    <row r="25" ht="15.75" customHeight="1">
      <c r="A25" s="3"/>
      <c r="B25" s="312" t="s">
        <v>41</v>
      </c>
      <c r="C25" s="225">
        <f t="shared" si="11"/>
        <v>5759291.563</v>
      </c>
      <c r="D25" s="225"/>
      <c r="E25" s="225">
        <f t="shared" si="12"/>
        <v>76500</v>
      </c>
      <c r="F25" s="225"/>
      <c r="G25" s="114">
        <f>HO!BR106</f>
        <v>841554.87</v>
      </c>
      <c r="H25" s="114"/>
      <c r="I25" s="114">
        <f>HO!BT106</f>
        <v>76500</v>
      </c>
      <c r="J25" s="114"/>
      <c r="K25" s="225">
        <f t="shared" si="13"/>
        <v>4917736.693</v>
      </c>
      <c r="L25" s="225"/>
      <c r="M25" s="225"/>
      <c r="N25" s="225"/>
      <c r="O25" s="114">
        <f>'The Table'!BR99</f>
        <v>397106.4167</v>
      </c>
      <c r="P25" s="114"/>
      <c r="Q25" s="114">
        <f>'The Table'!BT99+'The Table'!BT106+'The Table'!BT112+'The Table'!BT114+'The Table'!BT116+'The Table'!BT118+'The Table'!BT120</f>
        <v>283203</v>
      </c>
      <c r="R25" s="114"/>
      <c r="S25" s="114">
        <f>Iktara!AC99</f>
        <v>198923</v>
      </c>
      <c r="T25" s="114"/>
      <c r="U25" s="114" t="str">
        <f t="shared" si="14"/>
        <v>#REF!</v>
      </c>
      <c r="V25" s="114"/>
      <c r="W25" s="114">
        <f>'Mg St Colaba'!BR132</f>
        <v>723869.1433</v>
      </c>
      <c r="X25" s="114"/>
      <c r="Y25" s="114">
        <f>'Mg St Colaba'!BT132</f>
        <v>407563.0833</v>
      </c>
      <c r="Z25" s="114"/>
      <c r="AA25" s="114">
        <f>'Mg St LP'!BR132</f>
        <v>171725.64</v>
      </c>
      <c r="AB25" s="114"/>
      <c r="AC25" s="114">
        <f>'Mg St LP'!BT132</f>
        <v>47000</v>
      </c>
      <c r="AD25" s="114"/>
      <c r="AE25" s="114">
        <f>'Mg St Bandra'!BR132</f>
        <v>648239.7933</v>
      </c>
      <c r="AF25" s="114"/>
      <c r="AG25" s="114">
        <f>'Mg St Bandra'!BT132</f>
        <v>423797</v>
      </c>
      <c r="AH25" s="114"/>
      <c r="AI25" s="114">
        <f>'MSK Events'!O121</f>
        <v>1996663</v>
      </c>
      <c r="AJ25" s="114"/>
      <c r="AK25" s="114" t="str">
        <f t="shared" si="15"/>
        <v>#REF!</v>
      </c>
      <c r="AL25" s="114"/>
      <c r="AM25" s="114">
        <f>MSBC!BR114</f>
        <v>489346.7833</v>
      </c>
      <c r="AN25" s="114"/>
      <c r="AO25" s="114">
        <f>MSBC!BT114</f>
        <v>0</v>
      </c>
      <c r="AP25" s="114"/>
      <c r="AQ25" s="114">
        <f>Kaspers!AZ117</f>
        <v>260662.9167</v>
      </c>
      <c r="AR25" s="114"/>
      <c r="AS25" s="114">
        <f>Kaspers!BB117</f>
        <v>0</v>
      </c>
      <c r="AT25" s="114"/>
      <c r="AU25" s="114">
        <f>'MSBC Andheri'!O123</f>
        <v>8100</v>
      </c>
      <c r="AV25" s="114"/>
      <c r="AW25" s="114">
        <f>'MSBC Dahisar'!O112</f>
        <v>8100</v>
      </c>
      <c r="AX25" s="114"/>
      <c r="AY25" s="114">
        <f>'MSBC Juhu  Goregoan'!O113</f>
        <v>8100</v>
      </c>
      <c r="AZ25" s="114"/>
      <c r="BA25" s="114">
        <f>'LOUD MOUTH'!O128</f>
        <v>6900</v>
      </c>
      <c r="BB25" s="114"/>
      <c r="BC25" s="114"/>
      <c r="BD25" s="114"/>
    </row>
    <row r="26" ht="15.75" customHeight="1">
      <c r="A26" s="3"/>
      <c r="B26" s="312" t="s">
        <v>42</v>
      </c>
      <c r="C26" s="225">
        <f t="shared" si="11"/>
        <v>1045535.361</v>
      </c>
      <c r="D26" s="225"/>
      <c r="E26" s="225">
        <f t="shared" si="12"/>
        <v>100000</v>
      </c>
      <c r="F26" s="225"/>
      <c r="G26" s="114">
        <f>HO!BR123</f>
        <v>970392.3611</v>
      </c>
      <c r="H26" s="114"/>
      <c r="I26" s="114">
        <f>HO!BT123</f>
        <v>100000</v>
      </c>
      <c r="J26" s="114"/>
      <c r="K26" s="225">
        <f t="shared" si="13"/>
        <v>75143</v>
      </c>
      <c r="L26" s="225"/>
      <c r="M26" s="225"/>
      <c r="N26" s="225"/>
      <c r="O26" s="114">
        <f>'The Table'!BR122</f>
        <v>45893</v>
      </c>
      <c r="P26" s="114"/>
      <c r="Q26" s="114">
        <f>'The Table'!BT122</f>
        <v>0</v>
      </c>
      <c r="R26" s="114"/>
      <c r="S26" s="114">
        <f>Iktara!AC112</f>
        <v>0</v>
      </c>
      <c r="T26" s="114"/>
      <c r="U26" s="114" t="str">
        <f t="shared" si="14"/>
        <v>#REF!</v>
      </c>
      <c r="V26" s="114"/>
      <c r="W26" s="114">
        <f>'Mg St Colaba'!BR148</f>
        <v>0</v>
      </c>
      <c r="X26" s="114"/>
      <c r="Y26" s="114">
        <f>'Mg St Colaba'!BT148</f>
        <v>0</v>
      </c>
      <c r="Z26" s="114"/>
      <c r="AA26" s="114">
        <f>'Mg St LP'!BR148</f>
        <v>0</v>
      </c>
      <c r="AB26" s="114"/>
      <c r="AC26" s="114">
        <f>'Mg St LP'!BT148</f>
        <v>0</v>
      </c>
      <c r="AD26" s="114"/>
      <c r="AE26" s="114">
        <f>'Mg St Bandra'!BR149</f>
        <v>11750</v>
      </c>
      <c r="AF26" s="114"/>
      <c r="AG26" s="114">
        <f>'Mg St Bandra'!BT149</f>
        <v>0</v>
      </c>
      <c r="AH26" s="114"/>
      <c r="AI26" s="114">
        <f>'MSK Events'!O138</f>
        <v>0</v>
      </c>
      <c r="AJ26" s="114"/>
      <c r="AK26" s="114" t="str">
        <f t="shared" si="15"/>
        <v>#REF!</v>
      </c>
      <c r="AL26" s="114"/>
      <c r="AM26" s="114">
        <f>MSBC!BR131</f>
        <v>10000</v>
      </c>
      <c r="AN26" s="114"/>
      <c r="AO26" s="114">
        <f>MSBC!BT131</f>
        <v>0</v>
      </c>
      <c r="AP26" s="114"/>
      <c r="AQ26" s="114">
        <f>Kaspers!AZ141</f>
        <v>0</v>
      </c>
      <c r="AR26" s="114"/>
      <c r="AS26" s="114">
        <f>Kaspers!BB141</f>
        <v>0</v>
      </c>
      <c r="AT26" s="114"/>
      <c r="AU26" s="114">
        <f>'MSBC Andheri'!M138</f>
        <v>0</v>
      </c>
      <c r="AV26" s="114"/>
      <c r="AW26" s="114">
        <f>'MSBC Dahisar'!O127</f>
        <v>0</v>
      </c>
      <c r="AX26" s="114"/>
      <c r="AY26" s="114">
        <f>'MSBC Juhu  Goregoan'!O129</f>
        <v>0</v>
      </c>
      <c r="AZ26" s="114"/>
      <c r="BA26" s="114">
        <f>'LOUD MOUTH'!O144</f>
        <v>7500</v>
      </c>
      <c r="BB26" s="114"/>
      <c r="BC26" s="114"/>
      <c r="BD26" s="114"/>
    </row>
    <row r="27" ht="15.75" customHeight="1">
      <c r="A27" s="3"/>
      <c r="B27" s="312" t="s">
        <v>43</v>
      </c>
      <c r="C27" s="225">
        <f t="shared" si="11"/>
        <v>779827.64</v>
      </c>
      <c r="D27" s="225"/>
      <c r="E27" s="225">
        <f t="shared" si="12"/>
        <v>0</v>
      </c>
      <c r="F27" s="225"/>
      <c r="G27" s="114">
        <f>HO!BR130</f>
        <v>1624910.64</v>
      </c>
      <c r="H27" s="114"/>
      <c r="I27" s="114">
        <f>HO!BT130</f>
        <v>0</v>
      </c>
      <c r="J27" s="114"/>
      <c r="K27" s="225">
        <f t="shared" si="13"/>
        <v>-845083</v>
      </c>
      <c r="L27" s="225"/>
      <c r="M27" s="225"/>
      <c r="N27" s="225"/>
      <c r="O27" s="114">
        <f>'The Table'!BR127</f>
        <v>0</v>
      </c>
      <c r="P27" s="114"/>
      <c r="Q27" s="114">
        <f>'The Table'!BT127</f>
        <v>0</v>
      </c>
      <c r="R27" s="114"/>
      <c r="S27" s="114">
        <f>Iktara!AC116</f>
        <v>0</v>
      </c>
      <c r="T27" s="114"/>
      <c r="U27" s="114" t="str">
        <f t="shared" si="14"/>
        <v>#REF!</v>
      </c>
      <c r="V27" s="114"/>
      <c r="W27" s="114">
        <f>'Mg St Colaba'!BR153</f>
        <v>0</v>
      </c>
      <c r="X27" s="114"/>
      <c r="Y27" s="114">
        <f>'Mg St Colaba'!BT153</f>
        <v>0</v>
      </c>
      <c r="Z27" s="114"/>
      <c r="AA27" s="114">
        <f>'Mg St LP'!BR152</f>
        <v>0</v>
      </c>
      <c r="AB27" s="114"/>
      <c r="AC27" s="114">
        <f>'Mg St LP'!BT152</f>
        <v>0</v>
      </c>
      <c r="AD27" s="114"/>
      <c r="AE27" s="114">
        <f>'Mg St Bandra'!BR153</f>
        <v>0</v>
      </c>
      <c r="AF27" s="114"/>
      <c r="AG27" s="114">
        <f>'Mg St Bandra'!BT153</f>
        <v>0</v>
      </c>
      <c r="AH27" s="114"/>
      <c r="AI27" s="114">
        <f>'MSK Events'!O142</f>
        <v>0</v>
      </c>
      <c r="AJ27" s="114"/>
      <c r="AK27" s="114" t="str">
        <f t="shared" si="15"/>
        <v>#REF!</v>
      </c>
      <c r="AL27" s="114"/>
      <c r="AM27" s="114">
        <f>MSBC!BR135</f>
        <v>-1272285</v>
      </c>
      <c r="AN27" s="114"/>
      <c r="AO27" s="114">
        <f>MSBC!BT135</f>
        <v>0</v>
      </c>
      <c r="AP27" s="114"/>
      <c r="AQ27" s="114">
        <f>Kaspers!AZ145</f>
        <v>0</v>
      </c>
      <c r="AR27" s="114"/>
      <c r="AS27" s="114">
        <f>Kaspers!BB145</f>
        <v>25000</v>
      </c>
      <c r="AT27" s="114"/>
      <c r="AU27" s="62">
        <f>'MSBC Andheri'!M142</f>
        <v>0</v>
      </c>
      <c r="AV27" s="114"/>
      <c r="AW27" s="62">
        <f>'MSBC Dahisar'!O131</f>
        <v>0</v>
      </c>
      <c r="AX27" s="114"/>
      <c r="AY27" s="62">
        <f>'MSBC Juhu  Goregoan'!O133</f>
        <v>0</v>
      </c>
      <c r="AZ27" s="114"/>
      <c r="BA27" s="114">
        <f>'LOUD MOUTH'!O148</f>
        <v>427202</v>
      </c>
      <c r="BB27" s="114"/>
      <c r="BC27" s="114"/>
      <c r="BD27" s="114"/>
    </row>
    <row r="28" ht="15.75" customHeight="1">
      <c r="A28" s="3"/>
      <c r="B28" s="312" t="s">
        <v>44</v>
      </c>
      <c r="C28" s="319">
        <f>SUM(C18:C27)</f>
        <v>47927937.95</v>
      </c>
      <c r="D28" s="319"/>
      <c r="E28" s="319">
        <f t="shared" si="12"/>
        <v>4741156.833</v>
      </c>
      <c r="F28" s="319"/>
      <c r="G28" s="320">
        <f>SUM(G18:G27)</f>
        <v>10503188.06</v>
      </c>
      <c r="H28" s="320"/>
      <c r="I28" s="320">
        <f>SUM(I18:I27)</f>
        <v>4741156.833</v>
      </c>
      <c r="J28" s="320"/>
      <c r="K28" s="319">
        <f>SUM(K18:K27)</f>
        <v>37424749.89</v>
      </c>
      <c r="L28" s="319"/>
      <c r="M28" s="319">
        <f>SUM(M18:M27)</f>
        <v>0</v>
      </c>
      <c r="N28" s="319"/>
      <c r="O28" s="320">
        <f>SUM(O18:O27)</f>
        <v>9078698.689</v>
      </c>
      <c r="P28" s="320"/>
      <c r="Q28" s="320">
        <f>SUM(Q18:Q27)</f>
        <v>7498673.985</v>
      </c>
      <c r="R28" s="320"/>
      <c r="S28" s="320">
        <f>SUM(S18:S27)</f>
        <v>1094210.98</v>
      </c>
      <c r="T28" s="320"/>
      <c r="U28" s="320" t="str">
        <f>SUM(U18:U27)</f>
        <v>#REF!</v>
      </c>
      <c r="V28" s="320"/>
      <c r="W28" s="320">
        <f>SUM(W18:W27)</f>
        <v>6631278.39</v>
      </c>
      <c r="X28" s="320"/>
      <c r="Y28" s="320">
        <f>SUM(Y18:Y27)</f>
        <v>6422235.821</v>
      </c>
      <c r="Z28" s="320"/>
      <c r="AA28" s="320">
        <f>SUM(AA18:AA27)</f>
        <v>4093465.929</v>
      </c>
      <c r="AB28" s="320"/>
      <c r="AC28" s="320">
        <f>SUM(AC18:AC27)</f>
        <v>3892368.158</v>
      </c>
      <c r="AD28" s="320"/>
      <c r="AE28" s="320">
        <f>SUM(AE18:AE27)</f>
        <v>7645379.539</v>
      </c>
      <c r="AF28" s="320"/>
      <c r="AG28" s="320">
        <f>SUM(AG18:AG27)</f>
        <v>6982705.67</v>
      </c>
      <c r="AH28" s="320"/>
      <c r="AI28" s="320">
        <f>SUM(AI18:AI27)</f>
        <v>2155937.25</v>
      </c>
      <c r="AJ28" s="320"/>
      <c r="AK28" s="320" t="str">
        <f>SUM(AK18:AK27)</f>
        <v>#REF!</v>
      </c>
      <c r="AL28" s="320"/>
      <c r="AM28" s="320">
        <f>SUM(AM18:AM27)</f>
        <v>1015561.339</v>
      </c>
      <c r="AN28" s="320"/>
      <c r="AO28" s="320">
        <f>SUM(AO18:AO27)</f>
        <v>15000</v>
      </c>
      <c r="AP28" s="320"/>
      <c r="AQ28" s="320">
        <f>SUM(AQ18:AQ27)</f>
        <v>4393421.787</v>
      </c>
      <c r="AR28" s="320"/>
      <c r="AS28" s="320">
        <f>SUM(AS18:AS27)</f>
        <v>133996.6667</v>
      </c>
      <c r="AT28" s="114"/>
      <c r="AU28" s="320">
        <f>SUM(AU18:AU27)</f>
        <v>200927.1257</v>
      </c>
      <c r="AV28" s="320"/>
      <c r="AW28" s="320">
        <f>SUM(AW18:AW27)</f>
        <v>131614.059</v>
      </c>
      <c r="AX28" s="320"/>
      <c r="AY28" s="320">
        <f>SUM(AY18:AY27)</f>
        <v>171989.399</v>
      </c>
      <c r="AZ28" s="320"/>
      <c r="BA28" s="320">
        <f>SUM(BA18:BA27)</f>
        <v>812265.4</v>
      </c>
      <c r="BB28" s="320"/>
      <c r="BC28" s="320">
        <f>SUM(BC18:BC27)</f>
        <v>0</v>
      </c>
      <c r="BD28" s="114"/>
    </row>
    <row r="29" ht="15.75" customHeight="1">
      <c r="A29" s="3"/>
      <c r="B29" s="312"/>
      <c r="C29" s="225"/>
      <c r="D29" s="225"/>
      <c r="E29" s="225"/>
      <c r="F29" s="225"/>
      <c r="G29" s="114"/>
      <c r="H29" s="114"/>
      <c r="I29" s="114"/>
      <c r="J29" s="114"/>
      <c r="K29" s="225"/>
      <c r="L29" s="225"/>
      <c r="M29" s="225"/>
      <c r="N29" s="225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114"/>
      <c r="AG29" s="114"/>
      <c r="AH29" s="114"/>
      <c r="AI29" s="114"/>
      <c r="AJ29" s="114"/>
      <c r="AK29" s="114"/>
      <c r="AL29" s="114"/>
      <c r="AM29" s="114"/>
      <c r="AN29" s="114"/>
      <c r="AO29" s="114"/>
      <c r="AP29" s="114"/>
      <c r="AQ29" s="114"/>
      <c r="AR29" s="114"/>
      <c r="AS29" s="114"/>
      <c r="AT29" s="114"/>
      <c r="AU29" s="114"/>
      <c r="AV29" s="114"/>
      <c r="AW29" s="114"/>
      <c r="AX29" s="114"/>
      <c r="AY29" s="114"/>
      <c r="AZ29" s="114"/>
      <c r="BA29" s="114"/>
      <c r="BB29" s="114"/>
      <c r="BC29" s="114"/>
      <c r="BD29" s="114"/>
    </row>
    <row r="30" ht="15.75" customHeight="1">
      <c r="A30" s="3"/>
      <c r="B30" s="312" t="s">
        <v>45</v>
      </c>
      <c r="C30" s="319">
        <f>C16-C28</f>
        <v>4767260.032</v>
      </c>
      <c r="D30" s="319"/>
      <c r="E30" s="319">
        <f>E16-E28</f>
        <v>-4741156.833</v>
      </c>
      <c r="F30" s="319"/>
      <c r="G30" s="320">
        <f>G16-G28</f>
        <v>-10503188.06</v>
      </c>
      <c r="H30" s="320"/>
      <c r="I30" s="320">
        <f>I16-I28</f>
        <v>-4741156.833</v>
      </c>
      <c r="J30" s="320"/>
      <c r="K30" s="319">
        <f>K16-K28</f>
        <v>15270448.1</v>
      </c>
      <c r="L30" s="319"/>
      <c r="M30" s="319">
        <f>M16-M28</f>
        <v>0</v>
      </c>
      <c r="N30" s="319"/>
      <c r="O30" s="320">
        <f>O16-O28</f>
        <v>6079762.719</v>
      </c>
      <c r="P30" s="320"/>
      <c r="Q30" s="320">
        <f>Q16-Q28</f>
        <v>3882266.469</v>
      </c>
      <c r="R30" s="320"/>
      <c r="S30" s="320">
        <f>S16-S28</f>
        <v>-86409.64203</v>
      </c>
      <c r="T30" s="320"/>
      <c r="U30" s="320" t="str">
        <f>U16-U28</f>
        <v>#REF!</v>
      </c>
      <c r="V30" s="320"/>
      <c r="W30" s="320">
        <f>W16-W28</f>
        <v>3581587.593</v>
      </c>
      <c r="X30" s="320"/>
      <c r="Y30" s="320">
        <f>Y16-Y28</f>
        <v>4234865.378</v>
      </c>
      <c r="Z30" s="320"/>
      <c r="AA30" s="320">
        <f>AA16-AA28</f>
        <v>3093899.025</v>
      </c>
      <c r="AB30" s="320"/>
      <c r="AC30" s="320">
        <f>AC16-AC28</f>
        <v>3699556.474</v>
      </c>
      <c r="AD30" s="320"/>
      <c r="AE30" s="320">
        <f>AE16-AE28</f>
        <v>5878137.332</v>
      </c>
      <c r="AF30" s="320"/>
      <c r="AG30" s="320">
        <f>AG16-AG28</f>
        <v>4847776.595</v>
      </c>
      <c r="AH30" s="320"/>
      <c r="AI30" s="320">
        <f>AI16-AI28</f>
        <v>-2129237.25</v>
      </c>
      <c r="AJ30" s="320"/>
      <c r="AK30" s="320" t="str">
        <f>AK16-AK28</f>
        <v>#REF!</v>
      </c>
      <c r="AL30" s="320"/>
      <c r="AM30" s="320">
        <f>AM16-AM28</f>
        <v>-554468.659</v>
      </c>
      <c r="AN30" s="320"/>
      <c r="AO30" s="320">
        <f>AO16-AO28</f>
        <v>63500</v>
      </c>
      <c r="AP30" s="320"/>
      <c r="AQ30" s="320">
        <f>AQ16-AQ28</f>
        <v>1054267.509</v>
      </c>
      <c r="AR30" s="320"/>
      <c r="AS30" s="320">
        <f>AS16-AS28</f>
        <v>2707003.333</v>
      </c>
      <c r="AT30" s="320"/>
      <c r="AU30" s="320">
        <f>AU16-AU28</f>
        <v>-62494.44285</v>
      </c>
      <c r="AV30" s="320"/>
      <c r="AW30" s="320">
        <f>AW16-AW28</f>
        <v>-131347.9313</v>
      </c>
      <c r="AX30" s="320"/>
      <c r="AY30" s="320">
        <f>AY16-AY28</f>
        <v>-150755.2758</v>
      </c>
      <c r="AZ30" s="320"/>
      <c r="BA30" s="320">
        <f>BA16-BA28</f>
        <v>-363442.75</v>
      </c>
      <c r="BB30" s="320"/>
      <c r="BC30" s="320">
        <f>BC16-BC28</f>
        <v>0</v>
      </c>
      <c r="BD30" s="320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</row>
    <row r="32" ht="15.75" hidden="1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175"/>
      <c r="L32" s="3"/>
      <c r="M32" s="175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175">
        <f>MSBC!BR142</f>
        <v>-1493518.789</v>
      </c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175"/>
      <c r="L33" s="3"/>
      <c r="M33" s="175"/>
      <c r="N33" s="3"/>
      <c r="O33" s="175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</row>
  </sheetData>
  <mergeCells count="15">
    <mergeCell ref="AE3:AH3"/>
    <mergeCell ref="AI3:AL3"/>
    <mergeCell ref="AM3:AP3"/>
    <mergeCell ref="AQ3:AT3"/>
    <mergeCell ref="AU3:AV3"/>
    <mergeCell ref="AW3:AX3"/>
    <mergeCell ref="AY3:AZ3"/>
    <mergeCell ref="BA3:BD3"/>
    <mergeCell ref="C3:F3"/>
    <mergeCell ref="G3:J3"/>
    <mergeCell ref="K3:N3"/>
    <mergeCell ref="O3:R3"/>
    <mergeCell ref="S3:V3"/>
    <mergeCell ref="W3:Z3"/>
    <mergeCell ref="AA3:AD3"/>
  </mergeCells>
  <printOptions/>
  <pageMargins bottom="0.75" footer="0.0" header="0.0" left="0.7" right="0.7" top="0.75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ySplit="14.0" topLeftCell="D15" activePane="bottomRight" state="frozen"/>
      <selection activeCell="D1" sqref="D1" pane="topRight"/>
      <selection activeCell="A15" sqref="A15" pane="bottomLeft"/>
      <selection activeCell="D15" sqref="D15" pane="bottomRight"/>
    </sheetView>
  </sheetViews>
  <sheetFormatPr customHeight="1" defaultColWidth="12.63" defaultRowHeight="15.0"/>
  <cols>
    <col customWidth="1" min="1" max="1" width="5.63"/>
    <col customWidth="1" min="2" max="2" width="12.13"/>
    <col customWidth="1" min="3" max="3" width="35.88"/>
    <col customWidth="1" min="4" max="4" width="13.0"/>
    <col customWidth="1" hidden="1" min="5" max="5" width="9.0"/>
    <col customWidth="1" hidden="1" min="6" max="6" width="12.88"/>
    <col customWidth="1" hidden="1" min="7" max="7" width="9.0"/>
    <col customWidth="1" hidden="1" min="8" max="8" width="11.25"/>
    <col customWidth="1" hidden="1" min="9" max="9" width="9.63"/>
    <col customWidth="1" min="10" max="10" width="13.13"/>
    <col customWidth="1" hidden="1" min="11" max="11" width="9.0"/>
    <col customWidth="1" hidden="1" min="12" max="12" width="13.75"/>
    <col customWidth="1" hidden="1" min="13" max="13" width="9.0"/>
    <col customWidth="1" hidden="1" min="14" max="14" width="11.25"/>
    <col customWidth="1" hidden="1" min="15" max="15" width="9.63"/>
    <col customWidth="1" min="16" max="16" width="13.13"/>
    <col customWidth="1" hidden="1" min="17" max="17" width="9.0"/>
    <col customWidth="1" hidden="1" min="18" max="18" width="15.0"/>
    <col customWidth="1" hidden="1" min="19" max="19" width="9.0"/>
    <col customWidth="1" hidden="1" min="20" max="20" width="10.13"/>
    <col customWidth="1" hidden="1" min="21" max="21" width="8.88"/>
    <col customWidth="1" min="22" max="22" width="13.13"/>
    <col customWidth="1" hidden="1" min="23" max="23" width="12.13"/>
    <col customWidth="1" hidden="1" min="24" max="24" width="15.88"/>
    <col customWidth="1" hidden="1" min="25" max="25" width="9.0"/>
    <col customWidth="1" hidden="1" min="26" max="26" width="10.88"/>
    <col customWidth="1" hidden="1" min="27" max="27" width="8.88"/>
    <col customWidth="1" min="28" max="28" width="13.13"/>
    <col customWidth="1" hidden="1" min="29" max="29" width="9.0"/>
    <col customWidth="1" hidden="1" min="30" max="30" width="15.88"/>
    <col customWidth="1" hidden="1" min="31" max="31" width="9.0"/>
    <col customWidth="1" hidden="1" min="32" max="32" width="8.88"/>
    <col customWidth="1" hidden="1" min="33" max="33" width="8.75"/>
    <col customWidth="1" min="34" max="34" width="13.13"/>
    <col customWidth="1" hidden="1" min="35" max="35" width="9.0"/>
    <col customWidth="1" hidden="1" min="36" max="36" width="15.88"/>
    <col customWidth="1" hidden="1" min="37" max="37" width="9.0"/>
    <col customWidth="1" hidden="1" min="38" max="38" width="8.88"/>
    <col customWidth="1" hidden="1" min="39" max="39" width="8.75"/>
    <col customWidth="1" min="40" max="40" width="13.13"/>
    <col customWidth="1" hidden="1" min="41" max="41" width="9.0"/>
    <col customWidth="1" hidden="1" min="42" max="42" width="15.88"/>
    <col customWidth="1" hidden="1" min="43" max="43" width="9.0"/>
    <col customWidth="1" hidden="1" min="44" max="44" width="10.0"/>
    <col customWidth="1" hidden="1" min="45" max="45" width="8.75"/>
    <col customWidth="1" min="46" max="46" width="13.13"/>
    <col customWidth="1" hidden="1" min="47" max="47" width="9.0"/>
    <col customWidth="1" hidden="1" min="48" max="48" width="13.0"/>
    <col customWidth="1" hidden="1" min="49" max="49" width="9.0"/>
    <col customWidth="1" hidden="1" min="50" max="50" width="9.88"/>
    <col customWidth="1" hidden="1" min="51" max="51" width="9.75"/>
    <col customWidth="1" min="52" max="52" width="13.13"/>
    <col customWidth="1" hidden="1" min="53" max="53" width="9.0"/>
    <col customWidth="1" hidden="1" min="54" max="54" width="14.13"/>
    <col customWidth="1" hidden="1" min="55" max="55" width="9.0"/>
    <col customWidth="1" hidden="1" min="56" max="57" width="9.88"/>
    <col customWidth="1" min="58" max="58" width="14.25"/>
    <col customWidth="1" hidden="1" min="59" max="59" width="9.0"/>
    <col customWidth="1" hidden="1" min="60" max="60" width="13.13"/>
    <col customWidth="1" hidden="1" min="61" max="61" width="9.0"/>
    <col customWidth="1" hidden="1" min="62" max="62" width="9.75"/>
    <col customWidth="1" hidden="1" min="63" max="63" width="9.13"/>
    <col customWidth="1" min="64" max="64" width="14.13"/>
    <col customWidth="1" hidden="1" min="65" max="65" width="9.0"/>
    <col customWidth="1" hidden="1" min="66" max="66" width="15.88"/>
    <col customWidth="1" hidden="1" min="67" max="67" width="9.0"/>
    <col customWidth="1" hidden="1" min="68" max="68" width="8.88"/>
    <col customWidth="1" hidden="1" min="69" max="69" width="8.75"/>
    <col customWidth="1" min="70" max="70" width="13.13"/>
    <col customWidth="1" hidden="1" min="71" max="71" width="9.0"/>
    <col customWidth="1" hidden="1" min="72" max="72" width="15.88"/>
    <col customWidth="1" hidden="1" min="73" max="73" width="9.0"/>
    <col customWidth="1" hidden="1" min="74" max="74" width="8.88"/>
    <col customWidth="1" hidden="1" min="75" max="75" width="8.75"/>
    <col customWidth="1" min="76" max="95" width="12.63"/>
  </cols>
  <sheetData>
    <row r="1" ht="15.75" customHeight="1">
      <c r="A1" s="214"/>
      <c r="B1" s="214" t="s">
        <v>1</v>
      </c>
      <c r="C1" s="213"/>
      <c r="D1" s="215"/>
      <c r="E1" s="213"/>
      <c r="F1" s="215"/>
      <c r="G1" s="213"/>
      <c r="H1" s="215"/>
      <c r="I1" s="213"/>
      <c r="J1" s="215"/>
      <c r="K1" s="213"/>
      <c r="L1" s="215"/>
      <c r="M1" s="213"/>
      <c r="N1" s="213"/>
      <c r="O1" s="213"/>
      <c r="P1" s="215"/>
      <c r="Q1" s="213"/>
      <c r="R1" s="215"/>
      <c r="S1" s="213"/>
      <c r="T1" s="213"/>
      <c r="U1" s="213"/>
      <c r="V1" s="215"/>
      <c r="W1" s="213"/>
      <c r="X1" s="215"/>
      <c r="Y1" s="213"/>
      <c r="Z1" s="213"/>
      <c r="AA1" s="213"/>
      <c r="AB1" s="215"/>
      <c r="AC1" s="213"/>
      <c r="AD1" s="215"/>
      <c r="AE1" s="213"/>
      <c r="AF1" s="213"/>
      <c r="AG1" s="213"/>
      <c r="AH1" s="215"/>
      <c r="AI1" s="213"/>
      <c r="AJ1" s="215"/>
      <c r="AK1" s="213"/>
      <c r="AL1" s="213"/>
      <c r="AM1" s="213"/>
      <c r="AN1" s="215"/>
      <c r="AO1" s="213"/>
      <c r="AP1" s="215"/>
      <c r="AQ1" s="213"/>
      <c r="AR1" s="325"/>
      <c r="AS1" s="213"/>
      <c r="AT1" s="215"/>
      <c r="AU1" s="213"/>
      <c r="AV1" s="215"/>
      <c r="AW1" s="213"/>
      <c r="AX1" s="213"/>
      <c r="AY1" s="213"/>
      <c r="AZ1" s="215"/>
      <c r="BA1" s="213"/>
      <c r="BB1" s="215"/>
      <c r="BC1" s="213"/>
      <c r="BD1" s="213"/>
      <c r="BE1" s="213"/>
      <c r="BF1" s="215"/>
      <c r="BG1" s="213"/>
      <c r="BH1" s="215"/>
      <c r="BI1" s="213"/>
      <c r="BJ1" s="213"/>
      <c r="BK1" s="213"/>
      <c r="BL1" s="215"/>
      <c r="BM1" s="213"/>
      <c r="BN1" s="215"/>
      <c r="BO1" s="213"/>
      <c r="BP1" s="213"/>
      <c r="BQ1" s="213"/>
      <c r="BR1" s="326"/>
      <c r="BS1" s="213"/>
      <c r="BT1" s="215"/>
      <c r="BU1" s="213"/>
      <c r="BV1" s="213"/>
      <c r="BW1" s="213"/>
      <c r="BX1" s="213"/>
      <c r="BY1" s="213"/>
      <c r="BZ1" s="213"/>
      <c r="CA1" s="213"/>
      <c r="CB1" s="213"/>
      <c r="CC1" s="213"/>
      <c r="CD1" s="213"/>
      <c r="CE1" s="213"/>
      <c r="CF1" s="213"/>
      <c r="CG1" s="213"/>
      <c r="CH1" s="213"/>
      <c r="CI1" s="213"/>
      <c r="CJ1" s="213"/>
      <c r="CK1" s="213"/>
      <c r="CL1" s="213"/>
      <c r="CM1" s="213"/>
      <c r="CN1" s="213"/>
      <c r="CO1" s="213"/>
      <c r="CP1" s="213"/>
      <c r="CQ1" s="213"/>
    </row>
    <row r="2" ht="15.75" customHeight="1">
      <c r="A2" s="213"/>
      <c r="B2" s="327" t="s">
        <v>200</v>
      </c>
      <c r="C2" s="213"/>
      <c r="D2" s="215"/>
      <c r="E2" s="213"/>
      <c r="F2" s="215"/>
      <c r="G2" s="213"/>
      <c r="H2" s="215"/>
      <c r="I2" s="213"/>
      <c r="J2" s="215"/>
      <c r="K2" s="213"/>
      <c r="L2" s="215"/>
      <c r="M2" s="213"/>
      <c r="N2" s="213"/>
      <c r="O2" s="213"/>
      <c r="P2" s="215"/>
      <c r="Q2" s="213"/>
      <c r="R2" s="215"/>
      <c r="S2" s="213"/>
      <c r="T2" s="213"/>
      <c r="U2" s="213"/>
      <c r="V2" s="215"/>
      <c r="W2" s="216"/>
      <c r="X2" s="215"/>
      <c r="Y2" s="213"/>
      <c r="Z2" s="213"/>
      <c r="AA2" s="213"/>
      <c r="AB2" s="215"/>
      <c r="AC2" s="213"/>
      <c r="AD2" s="215"/>
      <c r="AE2" s="213"/>
      <c r="AF2" s="213"/>
      <c r="AG2" s="213"/>
      <c r="AH2" s="215"/>
      <c r="AI2" s="213"/>
      <c r="AJ2" s="215"/>
      <c r="AK2" s="213"/>
      <c r="AL2" s="213"/>
      <c r="AM2" s="213"/>
      <c r="AN2" s="328"/>
      <c r="AO2" s="213"/>
      <c r="AP2" s="215"/>
      <c r="AQ2" s="213"/>
      <c r="AR2" s="325"/>
      <c r="AS2" s="213"/>
      <c r="AT2" s="328"/>
      <c r="AU2" s="213"/>
      <c r="AV2" s="215"/>
      <c r="AW2" s="213"/>
      <c r="AX2" s="213"/>
      <c r="AY2" s="213"/>
      <c r="AZ2" s="328"/>
      <c r="BA2" s="213"/>
      <c r="BB2" s="215"/>
      <c r="BC2" s="213"/>
      <c r="BD2" s="213"/>
      <c r="BE2" s="213"/>
      <c r="BF2" s="328"/>
      <c r="BG2" s="213"/>
      <c r="BH2" s="215"/>
      <c r="BI2" s="213"/>
      <c r="BJ2" s="213"/>
      <c r="BK2" s="213"/>
      <c r="BL2" s="328"/>
      <c r="BM2" s="213"/>
      <c r="BN2" s="215"/>
      <c r="BO2" s="213"/>
      <c r="BP2" s="213"/>
      <c r="BQ2" s="213"/>
      <c r="BR2" s="326"/>
      <c r="BS2" s="213"/>
      <c r="BT2" s="215"/>
      <c r="BU2" s="213"/>
      <c r="BV2" s="213"/>
      <c r="BW2" s="213"/>
      <c r="BX2" s="213"/>
      <c r="BY2" s="213"/>
      <c r="BZ2" s="213"/>
      <c r="CA2" s="213"/>
      <c r="CB2" s="213"/>
      <c r="CC2" s="213"/>
      <c r="CD2" s="213"/>
      <c r="CE2" s="213"/>
      <c r="CF2" s="213"/>
      <c r="CG2" s="213"/>
      <c r="CH2" s="213"/>
      <c r="CI2" s="213"/>
      <c r="CJ2" s="213"/>
      <c r="CK2" s="213"/>
      <c r="CL2" s="213"/>
      <c r="CM2" s="213"/>
      <c r="CN2" s="213"/>
      <c r="CO2" s="213"/>
      <c r="CP2" s="213"/>
      <c r="CQ2" s="213"/>
    </row>
    <row r="3" ht="15.75" customHeight="1">
      <c r="A3" s="213"/>
      <c r="B3" s="213"/>
      <c r="C3" s="213"/>
      <c r="D3" s="215"/>
      <c r="E3" s="213"/>
      <c r="F3" s="215"/>
      <c r="G3" s="213"/>
      <c r="H3" s="215"/>
      <c r="I3" s="213"/>
      <c r="J3" s="215"/>
      <c r="K3" s="213"/>
      <c r="L3" s="215"/>
      <c r="M3" s="213"/>
      <c r="N3" s="213"/>
      <c r="O3" s="213"/>
      <c r="P3" s="215"/>
      <c r="Q3" s="213"/>
      <c r="R3" s="215"/>
      <c r="S3" s="213"/>
      <c r="T3" s="213"/>
      <c r="U3" s="213"/>
      <c r="V3" s="215"/>
      <c r="W3" s="213"/>
      <c r="X3" s="215"/>
      <c r="Y3" s="213"/>
      <c r="Z3" s="213"/>
      <c r="AA3" s="213"/>
      <c r="AB3" s="215"/>
      <c r="AC3" s="213"/>
      <c r="AD3" s="215"/>
      <c r="AE3" s="213"/>
      <c r="AF3" s="213"/>
      <c r="AG3" s="213"/>
      <c r="AH3" s="215"/>
      <c r="AI3" s="213"/>
      <c r="AJ3" s="215"/>
      <c r="AK3" s="213"/>
      <c r="AL3" s="213"/>
      <c r="AM3" s="213"/>
      <c r="AN3" s="215"/>
      <c r="AO3" s="213"/>
      <c r="AP3" s="215"/>
      <c r="AQ3" s="213"/>
      <c r="AR3" s="325"/>
      <c r="AS3" s="213"/>
      <c r="AT3" s="215"/>
      <c r="AU3" s="213"/>
      <c r="AV3" s="215"/>
      <c r="AW3" s="213"/>
      <c r="AX3" s="213"/>
      <c r="AY3" s="213"/>
      <c r="AZ3" s="215"/>
      <c r="BA3" s="213"/>
      <c r="BB3" s="215"/>
      <c r="BC3" s="213"/>
      <c r="BD3" s="213"/>
      <c r="BE3" s="213"/>
      <c r="BF3" s="215"/>
      <c r="BG3" s="213"/>
      <c r="BH3" s="215"/>
      <c r="BI3" s="213"/>
      <c r="BJ3" s="213"/>
      <c r="BK3" s="213"/>
      <c r="BL3" s="215"/>
      <c r="BM3" s="213"/>
      <c r="BN3" s="215"/>
      <c r="BO3" s="213"/>
      <c r="BP3" s="213"/>
      <c r="BQ3" s="213"/>
      <c r="BR3" s="326"/>
      <c r="BS3" s="213"/>
      <c r="BT3" s="215"/>
      <c r="BU3" s="213"/>
      <c r="BV3" s="213"/>
      <c r="BW3" s="213"/>
      <c r="BX3" s="213"/>
      <c r="BY3" s="213"/>
      <c r="BZ3" s="213"/>
      <c r="CA3" s="213"/>
      <c r="CB3" s="213"/>
      <c r="CC3" s="213"/>
      <c r="CD3" s="213"/>
      <c r="CE3" s="213"/>
      <c r="CF3" s="213"/>
      <c r="CG3" s="213"/>
      <c r="CH3" s="213"/>
      <c r="CI3" s="213"/>
      <c r="CJ3" s="213"/>
      <c r="CK3" s="213"/>
      <c r="CL3" s="213"/>
      <c r="CM3" s="213"/>
      <c r="CN3" s="213"/>
      <c r="CO3" s="213"/>
      <c r="CP3" s="213"/>
      <c r="CQ3" s="213"/>
    </row>
    <row r="4" ht="15.75" customHeight="1">
      <c r="A4" s="213"/>
      <c r="B4" s="329" t="s">
        <v>201</v>
      </c>
      <c r="C4" s="330" t="s">
        <v>47</v>
      </c>
      <c r="D4" s="331" t="s">
        <v>202</v>
      </c>
      <c r="E4" s="11"/>
      <c r="F4" s="11"/>
      <c r="G4" s="11"/>
      <c r="H4" s="11"/>
      <c r="I4" s="12"/>
      <c r="J4" s="331" t="s">
        <v>203</v>
      </c>
      <c r="K4" s="11"/>
      <c r="L4" s="11"/>
      <c r="M4" s="11"/>
      <c r="N4" s="11"/>
      <c r="O4" s="14"/>
      <c r="P4" s="331" t="s">
        <v>204</v>
      </c>
      <c r="Q4" s="11"/>
      <c r="R4" s="11"/>
      <c r="S4" s="11"/>
      <c r="T4" s="11"/>
      <c r="U4" s="14"/>
      <c r="V4" s="331" t="s">
        <v>205</v>
      </c>
      <c r="W4" s="11"/>
      <c r="X4" s="11"/>
      <c r="Y4" s="11"/>
      <c r="Z4" s="11"/>
      <c r="AA4" s="14"/>
      <c r="AB4" s="331" t="s">
        <v>206</v>
      </c>
      <c r="AC4" s="11"/>
      <c r="AD4" s="11"/>
      <c r="AE4" s="11"/>
      <c r="AF4" s="11"/>
      <c r="AG4" s="14"/>
      <c r="AH4" s="331" t="s">
        <v>207</v>
      </c>
      <c r="AI4" s="11"/>
      <c r="AJ4" s="11"/>
      <c r="AK4" s="11"/>
      <c r="AL4" s="11"/>
      <c r="AM4" s="14"/>
      <c r="AN4" s="331" t="s">
        <v>208</v>
      </c>
      <c r="AO4" s="11"/>
      <c r="AP4" s="11"/>
      <c r="AQ4" s="11"/>
      <c r="AR4" s="11"/>
      <c r="AS4" s="14"/>
      <c r="AT4" s="331" t="s">
        <v>209</v>
      </c>
      <c r="AU4" s="11"/>
      <c r="AV4" s="11"/>
      <c r="AW4" s="11"/>
      <c r="AX4" s="11"/>
      <c r="AY4" s="14"/>
      <c r="AZ4" s="331" t="s">
        <v>210</v>
      </c>
      <c r="BA4" s="11"/>
      <c r="BB4" s="11"/>
      <c r="BC4" s="11"/>
      <c r="BD4" s="11"/>
      <c r="BE4" s="14"/>
      <c r="BF4" s="331" t="s">
        <v>211</v>
      </c>
      <c r="BG4" s="11"/>
      <c r="BH4" s="11"/>
      <c r="BI4" s="11"/>
      <c r="BJ4" s="11"/>
      <c r="BK4" s="14"/>
      <c r="BL4" s="331" t="s">
        <v>212</v>
      </c>
      <c r="BM4" s="11"/>
      <c r="BN4" s="11"/>
      <c r="BO4" s="11"/>
      <c r="BP4" s="11"/>
      <c r="BQ4" s="14"/>
      <c r="BR4" s="332" t="s">
        <v>213</v>
      </c>
      <c r="BS4" s="11"/>
      <c r="BT4" s="11"/>
      <c r="BU4" s="11"/>
      <c r="BV4" s="11"/>
      <c r="BW4" s="14"/>
      <c r="BX4" s="333" t="s">
        <v>214</v>
      </c>
      <c r="BY4" s="334"/>
      <c r="BZ4" s="334"/>
      <c r="CA4" s="334"/>
      <c r="CB4" s="334"/>
      <c r="CC4" s="334"/>
      <c r="CD4" s="334"/>
      <c r="CE4" s="334"/>
      <c r="CF4" s="334"/>
      <c r="CG4" s="334"/>
      <c r="CH4" s="334"/>
      <c r="CI4" s="334"/>
      <c r="CJ4" s="334"/>
      <c r="CK4" s="334"/>
      <c r="CL4" s="334"/>
      <c r="CM4" s="334"/>
      <c r="CN4" s="334"/>
      <c r="CO4" s="334"/>
      <c r="CP4" s="334"/>
      <c r="CQ4" s="334"/>
    </row>
    <row r="5" ht="31.5" customHeight="1">
      <c r="A5" s="335"/>
      <c r="B5" s="336"/>
      <c r="C5" s="337"/>
      <c r="D5" s="338" t="s">
        <v>215</v>
      </c>
      <c r="E5" s="339" t="s">
        <v>19</v>
      </c>
      <c r="F5" s="340" t="s">
        <v>216</v>
      </c>
      <c r="G5" s="339" t="s">
        <v>19</v>
      </c>
      <c r="H5" s="340" t="s">
        <v>217</v>
      </c>
      <c r="I5" s="341" t="s">
        <v>218</v>
      </c>
      <c r="J5" s="338" t="s">
        <v>215</v>
      </c>
      <c r="K5" s="339" t="s">
        <v>19</v>
      </c>
      <c r="L5" s="340" t="s">
        <v>216</v>
      </c>
      <c r="M5" s="339" t="s">
        <v>19</v>
      </c>
      <c r="N5" s="339" t="s">
        <v>217</v>
      </c>
      <c r="O5" s="342" t="s">
        <v>218</v>
      </c>
      <c r="P5" s="338" t="s">
        <v>215</v>
      </c>
      <c r="Q5" s="339" t="s">
        <v>19</v>
      </c>
      <c r="R5" s="340" t="s">
        <v>216</v>
      </c>
      <c r="S5" s="339" t="s">
        <v>19</v>
      </c>
      <c r="T5" s="339" t="s">
        <v>217</v>
      </c>
      <c r="U5" s="342" t="s">
        <v>218</v>
      </c>
      <c r="V5" s="338" t="s">
        <v>215</v>
      </c>
      <c r="W5" s="339" t="s">
        <v>19</v>
      </c>
      <c r="X5" s="340" t="s">
        <v>216</v>
      </c>
      <c r="Y5" s="339" t="s">
        <v>19</v>
      </c>
      <c r="Z5" s="339" t="s">
        <v>217</v>
      </c>
      <c r="AA5" s="342" t="s">
        <v>218</v>
      </c>
      <c r="AB5" s="338" t="s">
        <v>215</v>
      </c>
      <c r="AC5" s="339" t="s">
        <v>19</v>
      </c>
      <c r="AD5" s="340" t="s">
        <v>216</v>
      </c>
      <c r="AE5" s="339" t="s">
        <v>19</v>
      </c>
      <c r="AF5" s="339" t="s">
        <v>217</v>
      </c>
      <c r="AG5" s="342" t="s">
        <v>218</v>
      </c>
      <c r="AH5" s="338" t="s">
        <v>215</v>
      </c>
      <c r="AI5" s="339" t="s">
        <v>19</v>
      </c>
      <c r="AJ5" s="340" t="s">
        <v>216</v>
      </c>
      <c r="AK5" s="339" t="s">
        <v>19</v>
      </c>
      <c r="AL5" s="339" t="s">
        <v>217</v>
      </c>
      <c r="AM5" s="342" t="s">
        <v>218</v>
      </c>
      <c r="AN5" s="338" t="s">
        <v>215</v>
      </c>
      <c r="AO5" s="339" t="s">
        <v>19</v>
      </c>
      <c r="AP5" s="340" t="s">
        <v>216</v>
      </c>
      <c r="AQ5" s="339" t="s">
        <v>19</v>
      </c>
      <c r="AR5" s="343" t="s">
        <v>217</v>
      </c>
      <c r="AS5" s="342" t="s">
        <v>218</v>
      </c>
      <c r="AT5" s="338" t="s">
        <v>215</v>
      </c>
      <c r="AU5" s="339" t="s">
        <v>19</v>
      </c>
      <c r="AV5" s="340" t="s">
        <v>216</v>
      </c>
      <c r="AW5" s="339" t="s">
        <v>19</v>
      </c>
      <c r="AX5" s="339" t="s">
        <v>217</v>
      </c>
      <c r="AY5" s="342" t="s">
        <v>218</v>
      </c>
      <c r="AZ5" s="338" t="s">
        <v>215</v>
      </c>
      <c r="BA5" s="339" t="s">
        <v>19</v>
      </c>
      <c r="BB5" s="340" t="s">
        <v>216</v>
      </c>
      <c r="BC5" s="339" t="s">
        <v>19</v>
      </c>
      <c r="BD5" s="339" t="s">
        <v>217</v>
      </c>
      <c r="BE5" s="342" t="s">
        <v>218</v>
      </c>
      <c r="BF5" s="338" t="s">
        <v>215</v>
      </c>
      <c r="BG5" s="339" t="s">
        <v>19</v>
      </c>
      <c r="BH5" s="340" t="s">
        <v>216</v>
      </c>
      <c r="BI5" s="339" t="s">
        <v>19</v>
      </c>
      <c r="BJ5" s="339" t="s">
        <v>217</v>
      </c>
      <c r="BK5" s="342" t="s">
        <v>218</v>
      </c>
      <c r="BL5" s="338" t="s">
        <v>215</v>
      </c>
      <c r="BM5" s="339" t="s">
        <v>19</v>
      </c>
      <c r="BN5" s="340" t="s">
        <v>216</v>
      </c>
      <c r="BO5" s="339" t="s">
        <v>19</v>
      </c>
      <c r="BP5" s="339" t="s">
        <v>217</v>
      </c>
      <c r="BQ5" s="342" t="s">
        <v>218</v>
      </c>
      <c r="BR5" s="344" t="s">
        <v>215</v>
      </c>
      <c r="BS5" s="345" t="s">
        <v>19</v>
      </c>
      <c r="BT5" s="346" t="s">
        <v>216</v>
      </c>
      <c r="BU5" s="345" t="s">
        <v>19</v>
      </c>
      <c r="BV5" s="345" t="s">
        <v>217</v>
      </c>
      <c r="BW5" s="347" t="s">
        <v>218</v>
      </c>
      <c r="BX5" s="348"/>
      <c r="BY5" s="348"/>
      <c r="BZ5" s="348"/>
      <c r="CA5" s="348"/>
      <c r="CB5" s="348"/>
      <c r="CC5" s="348"/>
      <c r="CD5" s="348"/>
      <c r="CE5" s="348"/>
      <c r="CF5" s="348"/>
      <c r="CG5" s="348"/>
      <c r="CH5" s="348"/>
      <c r="CI5" s="348"/>
      <c r="CJ5" s="348"/>
      <c r="CK5" s="348"/>
      <c r="CL5" s="348"/>
      <c r="CM5" s="348"/>
      <c r="CN5" s="348"/>
      <c r="CO5" s="348"/>
      <c r="CP5" s="348"/>
      <c r="CQ5" s="348"/>
    </row>
    <row r="6" ht="15.75" hidden="1" customHeight="1">
      <c r="A6" s="213"/>
      <c r="B6" s="349"/>
      <c r="C6" s="350" t="s">
        <v>85</v>
      </c>
      <c r="D6" s="351">
        <v>4700.0</v>
      </c>
      <c r="E6" s="352"/>
      <c r="F6" s="353"/>
      <c r="G6" s="352"/>
      <c r="H6" s="353"/>
      <c r="I6" s="354"/>
      <c r="J6" s="351">
        <v>4719.0</v>
      </c>
      <c r="K6" s="355">
        <f t="shared" ref="K6:K9" si="1">(J6-D6)/D6</f>
        <v>0.004042553191</v>
      </c>
      <c r="L6" s="356"/>
      <c r="M6" s="352"/>
      <c r="N6" s="357"/>
      <c r="O6" s="358"/>
      <c r="P6" s="351"/>
      <c r="Q6" s="352"/>
      <c r="R6" s="353"/>
      <c r="S6" s="352"/>
      <c r="T6" s="357"/>
      <c r="U6" s="358"/>
      <c r="V6" s="351"/>
      <c r="W6" s="352"/>
      <c r="X6" s="353"/>
      <c r="Y6" s="352"/>
      <c r="Z6" s="357"/>
      <c r="AA6" s="358"/>
      <c r="AB6" s="351"/>
      <c r="AC6" s="352"/>
      <c r="AD6" s="353"/>
      <c r="AE6" s="352"/>
      <c r="AF6" s="357"/>
      <c r="AG6" s="358"/>
      <c r="AH6" s="351"/>
      <c r="AI6" s="352"/>
      <c r="AJ6" s="353"/>
      <c r="AK6" s="352"/>
      <c r="AL6" s="357"/>
      <c r="AM6" s="358"/>
      <c r="AN6" s="351"/>
      <c r="AO6" s="352"/>
      <c r="AP6" s="353"/>
      <c r="AQ6" s="352"/>
      <c r="AR6" s="359"/>
      <c r="AS6" s="358"/>
      <c r="AT6" s="351"/>
      <c r="AU6" s="352"/>
      <c r="AV6" s="353"/>
      <c r="AW6" s="352"/>
      <c r="AX6" s="357"/>
      <c r="AY6" s="358"/>
      <c r="AZ6" s="351"/>
      <c r="BA6" s="352"/>
      <c r="BB6" s="353"/>
      <c r="BC6" s="352"/>
      <c r="BD6" s="357"/>
      <c r="BE6" s="358"/>
      <c r="BF6" s="351"/>
      <c r="BG6" s="352"/>
      <c r="BH6" s="353"/>
      <c r="BI6" s="352"/>
      <c r="BJ6" s="357"/>
      <c r="BK6" s="358"/>
      <c r="BL6" s="351"/>
      <c r="BM6" s="352"/>
      <c r="BN6" s="353"/>
      <c r="BO6" s="352"/>
      <c r="BP6" s="357"/>
      <c r="BQ6" s="358"/>
      <c r="BR6" s="360"/>
      <c r="BS6" s="352"/>
      <c r="BT6" s="353"/>
      <c r="BU6" s="352"/>
      <c r="BV6" s="357"/>
      <c r="BW6" s="358"/>
      <c r="BX6" s="213"/>
      <c r="BY6" s="213"/>
      <c r="BZ6" s="213"/>
      <c r="CA6" s="213"/>
      <c r="CB6" s="213"/>
      <c r="CC6" s="213"/>
      <c r="CD6" s="213"/>
      <c r="CE6" s="213"/>
      <c r="CF6" s="213"/>
      <c r="CG6" s="213"/>
      <c r="CH6" s="213"/>
      <c r="CI6" s="213"/>
      <c r="CJ6" s="213"/>
      <c r="CK6" s="213"/>
      <c r="CL6" s="213"/>
      <c r="CM6" s="213"/>
      <c r="CN6" s="213"/>
      <c r="CO6" s="213"/>
      <c r="CP6" s="213"/>
      <c r="CQ6" s="213"/>
    </row>
    <row r="7" ht="15.75" hidden="1" customHeight="1">
      <c r="A7" s="213"/>
      <c r="B7" s="349"/>
      <c r="C7" s="350" t="s">
        <v>92</v>
      </c>
      <c r="D7" s="351">
        <v>348.0</v>
      </c>
      <c r="E7" s="352"/>
      <c r="F7" s="353"/>
      <c r="G7" s="352"/>
      <c r="H7" s="353"/>
      <c r="I7" s="354"/>
      <c r="J7" s="351">
        <v>349.0</v>
      </c>
      <c r="K7" s="355">
        <f t="shared" si="1"/>
        <v>0.002873563218</v>
      </c>
      <c r="L7" s="356"/>
      <c r="M7" s="352"/>
      <c r="N7" s="357"/>
      <c r="O7" s="358"/>
      <c r="P7" s="351"/>
      <c r="Q7" s="352"/>
      <c r="R7" s="353"/>
      <c r="S7" s="352"/>
      <c r="T7" s="357"/>
      <c r="U7" s="358"/>
      <c r="V7" s="351"/>
      <c r="W7" s="352"/>
      <c r="X7" s="353"/>
      <c r="Y7" s="352"/>
      <c r="Z7" s="357"/>
      <c r="AA7" s="358"/>
      <c r="AB7" s="351"/>
      <c r="AC7" s="352"/>
      <c r="AD7" s="353"/>
      <c r="AE7" s="352"/>
      <c r="AF7" s="357"/>
      <c r="AG7" s="358"/>
      <c r="AH7" s="351"/>
      <c r="AI7" s="352"/>
      <c r="AJ7" s="353"/>
      <c r="AK7" s="352"/>
      <c r="AL7" s="357"/>
      <c r="AM7" s="358"/>
      <c r="AN7" s="351"/>
      <c r="AO7" s="352"/>
      <c r="AP7" s="353"/>
      <c r="AQ7" s="352"/>
      <c r="AR7" s="359"/>
      <c r="AS7" s="358"/>
      <c r="AT7" s="351"/>
      <c r="AU7" s="352"/>
      <c r="AV7" s="353"/>
      <c r="AW7" s="352"/>
      <c r="AX7" s="357"/>
      <c r="AY7" s="358"/>
      <c r="AZ7" s="351"/>
      <c r="BA7" s="352"/>
      <c r="BB7" s="353"/>
      <c r="BC7" s="352"/>
      <c r="BD7" s="357"/>
      <c r="BE7" s="358"/>
      <c r="BF7" s="351"/>
      <c r="BG7" s="352"/>
      <c r="BH7" s="353"/>
      <c r="BI7" s="352"/>
      <c r="BJ7" s="357"/>
      <c r="BK7" s="358"/>
      <c r="BL7" s="351"/>
      <c r="BM7" s="352"/>
      <c r="BN7" s="353"/>
      <c r="BO7" s="352"/>
      <c r="BP7" s="357"/>
      <c r="BQ7" s="358"/>
      <c r="BR7" s="360"/>
      <c r="BS7" s="352"/>
      <c r="BT7" s="353"/>
      <c r="BU7" s="352"/>
      <c r="BV7" s="357"/>
      <c r="BW7" s="358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</row>
    <row r="8" ht="15.75" hidden="1" customHeight="1">
      <c r="A8" s="213"/>
      <c r="B8" s="349"/>
      <c r="C8" s="350" t="s">
        <v>99</v>
      </c>
      <c r="D8" s="351">
        <f>D26+D27+D30+D16</f>
        <v>15071008.28</v>
      </c>
      <c r="E8" s="352"/>
      <c r="F8" s="353"/>
      <c r="G8" s="352"/>
      <c r="H8" s="353"/>
      <c r="I8" s="354"/>
      <c r="J8" s="351">
        <f>J26+J27+J30+J16</f>
        <v>14660249</v>
      </c>
      <c r="K8" s="355">
        <f t="shared" si="1"/>
        <v>-0.02725493054</v>
      </c>
      <c r="L8" s="356"/>
      <c r="M8" s="352"/>
      <c r="N8" s="357"/>
      <c r="O8" s="358"/>
      <c r="P8" s="351"/>
      <c r="Q8" s="352"/>
      <c r="R8" s="353"/>
      <c r="S8" s="352"/>
      <c r="T8" s="357"/>
      <c r="U8" s="358"/>
      <c r="V8" s="351"/>
      <c r="W8" s="352"/>
      <c r="X8" s="353"/>
      <c r="Y8" s="352"/>
      <c r="Z8" s="357"/>
      <c r="AA8" s="358"/>
      <c r="AB8" s="351"/>
      <c r="AC8" s="352"/>
      <c r="AD8" s="353"/>
      <c r="AE8" s="352"/>
      <c r="AF8" s="357"/>
      <c r="AG8" s="358"/>
      <c r="AH8" s="351"/>
      <c r="AI8" s="352"/>
      <c r="AJ8" s="353"/>
      <c r="AK8" s="352"/>
      <c r="AL8" s="357"/>
      <c r="AM8" s="358"/>
      <c r="AN8" s="351"/>
      <c r="AO8" s="352"/>
      <c r="AP8" s="353"/>
      <c r="AQ8" s="352"/>
      <c r="AR8" s="359"/>
      <c r="AS8" s="358"/>
      <c r="AT8" s="351"/>
      <c r="AU8" s="352"/>
      <c r="AV8" s="353"/>
      <c r="AW8" s="352"/>
      <c r="AX8" s="357"/>
      <c r="AY8" s="358"/>
      <c r="AZ8" s="351"/>
      <c r="BA8" s="352"/>
      <c r="BB8" s="353"/>
      <c r="BC8" s="352"/>
      <c r="BD8" s="357"/>
      <c r="BE8" s="358"/>
      <c r="BF8" s="351"/>
      <c r="BG8" s="352"/>
      <c r="BH8" s="353"/>
      <c r="BI8" s="352"/>
      <c r="BJ8" s="357"/>
      <c r="BK8" s="358"/>
      <c r="BL8" s="351"/>
      <c r="BM8" s="352"/>
      <c r="BN8" s="353"/>
      <c r="BO8" s="352"/>
      <c r="BP8" s="357"/>
      <c r="BQ8" s="358"/>
      <c r="BR8" s="360"/>
      <c r="BS8" s="352"/>
      <c r="BT8" s="353"/>
      <c r="BU8" s="352"/>
      <c r="BV8" s="357"/>
      <c r="BW8" s="358"/>
      <c r="BX8" s="213"/>
      <c r="BY8" s="213"/>
      <c r="BZ8" s="213"/>
      <c r="CA8" s="213"/>
      <c r="CB8" s="213"/>
      <c r="CC8" s="213"/>
      <c r="CD8" s="213"/>
      <c r="CE8" s="213"/>
      <c r="CF8" s="213"/>
      <c r="CG8" s="213"/>
      <c r="CH8" s="213"/>
      <c r="CI8" s="213"/>
      <c r="CJ8" s="213"/>
      <c r="CK8" s="213"/>
      <c r="CL8" s="213"/>
      <c r="CM8" s="213"/>
      <c r="CN8" s="213"/>
      <c r="CO8" s="213"/>
      <c r="CP8" s="213"/>
      <c r="CQ8" s="213"/>
    </row>
    <row r="9" ht="15.75" hidden="1" customHeight="1">
      <c r="A9" s="213"/>
      <c r="B9" s="349"/>
      <c r="C9" s="350" t="s">
        <v>106</v>
      </c>
      <c r="D9" s="351">
        <f>D17+D19+D20+D21</f>
        <v>689838</v>
      </c>
      <c r="E9" s="352"/>
      <c r="F9" s="353"/>
      <c r="G9" s="352"/>
      <c r="H9" s="353"/>
      <c r="I9" s="354"/>
      <c r="J9" s="351">
        <f>J17+J19+J20+J21</f>
        <v>685768.25</v>
      </c>
      <c r="K9" s="355">
        <f t="shared" si="1"/>
        <v>-0.005899573523</v>
      </c>
      <c r="L9" s="356"/>
      <c r="M9" s="352"/>
      <c r="N9" s="357"/>
      <c r="O9" s="358"/>
      <c r="P9" s="351"/>
      <c r="Q9" s="352"/>
      <c r="R9" s="353"/>
      <c r="S9" s="352"/>
      <c r="T9" s="357"/>
      <c r="U9" s="358"/>
      <c r="V9" s="351"/>
      <c r="W9" s="352"/>
      <c r="X9" s="353"/>
      <c r="Y9" s="352"/>
      <c r="Z9" s="357"/>
      <c r="AA9" s="358"/>
      <c r="AB9" s="351"/>
      <c r="AC9" s="352"/>
      <c r="AD9" s="353"/>
      <c r="AE9" s="352"/>
      <c r="AF9" s="357"/>
      <c r="AG9" s="358"/>
      <c r="AH9" s="351"/>
      <c r="AI9" s="352"/>
      <c r="AJ9" s="353"/>
      <c r="AK9" s="352"/>
      <c r="AL9" s="357"/>
      <c r="AM9" s="358"/>
      <c r="AN9" s="351"/>
      <c r="AO9" s="352"/>
      <c r="AP9" s="353"/>
      <c r="AQ9" s="352"/>
      <c r="AR9" s="359"/>
      <c r="AS9" s="358"/>
      <c r="AT9" s="351"/>
      <c r="AU9" s="352"/>
      <c r="AV9" s="353"/>
      <c r="AW9" s="352"/>
      <c r="AX9" s="357"/>
      <c r="AY9" s="358"/>
      <c r="AZ9" s="351"/>
      <c r="BA9" s="352"/>
      <c r="BB9" s="353"/>
      <c r="BC9" s="352"/>
      <c r="BD9" s="357"/>
      <c r="BE9" s="358"/>
      <c r="BF9" s="351"/>
      <c r="BG9" s="352"/>
      <c r="BH9" s="353"/>
      <c r="BI9" s="352"/>
      <c r="BJ9" s="357"/>
      <c r="BK9" s="358"/>
      <c r="BL9" s="351"/>
      <c r="BM9" s="352"/>
      <c r="BN9" s="353"/>
      <c r="BO9" s="352"/>
      <c r="BP9" s="357"/>
      <c r="BQ9" s="358"/>
      <c r="BR9" s="360"/>
      <c r="BS9" s="352"/>
      <c r="BT9" s="353"/>
      <c r="BU9" s="352"/>
      <c r="BV9" s="357"/>
      <c r="BW9" s="358"/>
      <c r="BX9" s="213"/>
      <c r="BY9" s="213"/>
      <c r="BZ9" s="213"/>
      <c r="CA9" s="213"/>
      <c r="CB9" s="213"/>
      <c r="CC9" s="213"/>
      <c r="CD9" s="213"/>
      <c r="CE9" s="213"/>
      <c r="CF9" s="213"/>
      <c r="CG9" s="213"/>
      <c r="CH9" s="213"/>
      <c r="CI9" s="213"/>
      <c r="CJ9" s="213"/>
      <c r="CK9" s="213"/>
      <c r="CL9" s="213"/>
      <c r="CM9" s="213"/>
      <c r="CN9" s="213"/>
      <c r="CO9" s="213"/>
      <c r="CP9" s="213"/>
      <c r="CQ9" s="213"/>
    </row>
    <row r="10" ht="15.75" hidden="1" customHeight="1">
      <c r="A10" s="213"/>
      <c r="B10" s="349"/>
      <c r="C10" s="350" t="s">
        <v>113</v>
      </c>
      <c r="D10" s="351">
        <f>SUM(D8:D9)-D31</f>
        <v>-17800</v>
      </c>
      <c r="E10" s="352"/>
      <c r="F10" s="353"/>
      <c r="G10" s="352"/>
      <c r="H10" s="353"/>
      <c r="I10" s="354"/>
      <c r="J10" s="351">
        <f>SUM(J8:J9)-J31</f>
        <v>-16500</v>
      </c>
      <c r="K10" s="352"/>
      <c r="L10" s="353"/>
      <c r="M10" s="352"/>
      <c r="N10" s="357"/>
      <c r="O10" s="358"/>
      <c r="P10" s="351"/>
      <c r="Q10" s="352"/>
      <c r="R10" s="353"/>
      <c r="S10" s="352"/>
      <c r="T10" s="357"/>
      <c r="U10" s="358"/>
      <c r="V10" s="351"/>
      <c r="W10" s="352"/>
      <c r="X10" s="353"/>
      <c r="Y10" s="352"/>
      <c r="Z10" s="357"/>
      <c r="AA10" s="358"/>
      <c r="AB10" s="351"/>
      <c r="AC10" s="352"/>
      <c r="AD10" s="353"/>
      <c r="AE10" s="352"/>
      <c r="AF10" s="357"/>
      <c r="AG10" s="358"/>
      <c r="AH10" s="351"/>
      <c r="AI10" s="352"/>
      <c r="AJ10" s="353"/>
      <c r="AK10" s="352"/>
      <c r="AL10" s="357"/>
      <c r="AM10" s="358"/>
      <c r="AN10" s="351"/>
      <c r="AO10" s="352"/>
      <c r="AP10" s="353"/>
      <c r="AQ10" s="352"/>
      <c r="AR10" s="359"/>
      <c r="AS10" s="358"/>
      <c r="AT10" s="351"/>
      <c r="AU10" s="352"/>
      <c r="AV10" s="353"/>
      <c r="AW10" s="352"/>
      <c r="AX10" s="357"/>
      <c r="AY10" s="358"/>
      <c r="AZ10" s="351"/>
      <c r="BA10" s="352"/>
      <c r="BB10" s="353"/>
      <c r="BC10" s="352"/>
      <c r="BD10" s="357"/>
      <c r="BE10" s="358"/>
      <c r="BF10" s="351"/>
      <c r="BG10" s="352"/>
      <c r="BH10" s="353"/>
      <c r="BI10" s="352"/>
      <c r="BJ10" s="357"/>
      <c r="BK10" s="358"/>
      <c r="BL10" s="351"/>
      <c r="BM10" s="352"/>
      <c r="BN10" s="353"/>
      <c r="BO10" s="352"/>
      <c r="BP10" s="357"/>
      <c r="BQ10" s="358"/>
      <c r="BR10" s="360"/>
      <c r="BS10" s="352"/>
      <c r="BT10" s="353"/>
      <c r="BU10" s="352"/>
      <c r="BV10" s="357"/>
      <c r="BW10" s="358"/>
      <c r="BX10" s="213"/>
      <c r="BY10" s="213"/>
      <c r="BZ10" s="213"/>
      <c r="CA10" s="213"/>
      <c r="CB10" s="213"/>
      <c r="CC10" s="213"/>
      <c r="CD10" s="213"/>
      <c r="CE10" s="213"/>
      <c r="CF10" s="213"/>
      <c r="CG10" s="213"/>
      <c r="CH10" s="213"/>
      <c r="CI10" s="213"/>
      <c r="CJ10" s="213"/>
      <c r="CK10" s="213"/>
      <c r="CL10" s="213"/>
      <c r="CM10" s="213"/>
      <c r="CN10" s="213"/>
      <c r="CO10" s="213"/>
      <c r="CP10" s="213"/>
      <c r="CQ10" s="213"/>
    </row>
    <row r="11" ht="15.75" hidden="1" customHeight="1">
      <c r="A11" s="213"/>
      <c r="B11" s="349"/>
      <c r="C11" s="350" t="s">
        <v>120</v>
      </c>
      <c r="D11" s="351">
        <f t="shared" ref="D11:D12" si="2">D8/D6</f>
        <v>3206.597507</v>
      </c>
      <c r="E11" s="352"/>
      <c r="F11" s="353"/>
      <c r="G11" s="352"/>
      <c r="H11" s="353"/>
      <c r="I11" s="354"/>
      <c r="J11" s="351">
        <f t="shared" ref="J11:J12" si="3">J8/J6</f>
        <v>3106.643145</v>
      </c>
      <c r="K11" s="355">
        <f t="shared" ref="K11:K12" si="4">(J11-D11)/D11</f>
        <v>-0.0311714714</v>
      </c>
      <c r="L11" s="353" t="s">
        <v>219</v>
      </c>
      <c r="M11" s="352"/>
      <c r="N11" s="357"/>
      <c r="O11" s="358"/>
      <c r="P11" s="351"/>
      <c r="Q11" s="352"/>
      <c r="R11" s="353"/>
      <c r="S11" s="352"/>
      <c r="T11" s="357"/>
      <c r="U11" s="358"/>
      <c r="V11" s="351"/>
      <c r="W11" s="352"/>
      <c r="X11" s="353"/>
      <c r="Y11" s="352"/>
      <c r="Z11" s="357"/>
      <c r="AA11" s="358"/>
      <c r="AB11" s="351"/>
      <c r="AC11" s="352"/>
      <c r="AD11" s="353"/>
      <c r="AE11" s="352"/>
      <c r="AF11" s="357"/>
      <c r="AG11" s="358"/>
      <c r="AH11" s="351"/>
      <c r="AI11" s="352"/>
      <c r="AJ11" s="353"/>
      <c r="AK11" s="352"/>
      <c r="AL11" s="357"/>
      <c r="AM11" s="358"/>
      <c r="AN11" s="351"/>
      <c r="AO11" s="352"/>
      <c r="AP11" s="353"/>
      <c r="AQ11" s="352"/>
      <c r="AR11" s="359"/>
      <c r="AS11" s="358"/>
      <c r="AT11" s="351"/>
      <c r="AU11" s="352"/>
      <c r="AV11" s="353"/>
      <c r="AW11" s="352"/>
      <c r="AX11" s="357"/>
      <c r="AY11" s="358"/>
      <c r="AZ11" s="351"/>
      <c r="BA11" s="352"/>
      <c r="BB11" s="353"/>
      <c r="BC11" s="352"/>
      <c r="BD11" s="357"/>
      <c r="BE11" s="358"/>
      <c r="BF11" s="351"/>
      <c r="BG11" s="352"/>
      <c r="BH11" s="353"/>
      <c r="BI11" s="352"/>
      <c r="BJ11" s="357"/>
      <c r="BK11" s="358"/>
      <c r="BL11" s="351"/>
      <c r="BM11" s="352"/>
      <c r="BN11" s="353"/>
      <c r="BO11" s="352"/>
      <c r="BP11" s="357"/>
      <c r="BQ11" s="358"/>
      <c r="BR11" s="360"/>
      <c r="BS11" s="352"/>
      <c r="BT11" s="353"/>
      <c r="BU11" s="352"/>
      <c r="BV11" s="357"/>
      <c r="BW11" s="358"/>
      <c r="BX11" s="213"/>
      <c r="BY11" s="213"/>
      <c r="BZ11" s="213"/>
      <c r="CA11" s="213"/>
      <c r="CB11" s="213"/>
      <c r="CC11" s="213"/>
      <c r="CD11" s="213"/>
      <c r="CE11" s="213"/>
      <c r="CF11" s="213"/>
      <c r="CG11" s="213"/>
      <c r="CH11" s="213"/>
      <c r="CI11" s="213"/>
      <c r="CJ11" s="213"/>
      <c r="CK11" s="213"/>
      <c r="CL11" s="213"/>
      <c r="CM11" s="213"/>
      <c r="CN11" s="213"/>
      <c r="CO11" s="213"/>
      <c r="CP11" s="213"/>
      <c r="CQ11" s="213"/>
    </row>
    <row r="12" ht="15.75" hidden="1" customHeight="1">
      <c r="A12" s="213"/>
      <c r="B12" s="349"/>
      <c r="C12" s="350" t="s">
        <v>127</v>
      </c>
      <c r="D12" s="351">
        <f t="shared" si="2"/>
        <v>1982.293103</v>
      </c>
      <c r="E12" s="352"/>
      <c r="F12" s="353"/>
      <c r="G12" s="352"/>
      <c r="H12" s="353"/>
      <c r="I12" s="354"/>
      <c r="J12" s="351">
        <f t="shared" si="3"/>
        <v>1964.952006</v>
      </c>
      <c r="K12" s="355">
        <f t="shared" si="4"/>
        <v>-0.008747998814</v>
      </c>
      <c r="L12" s="353"/>
      <c r="M12" s="352"/>
      <c r="N12" s="357"/>
      <c r="O12" s="358"/>
      <c r="P12" s="351"/>
      <c r="Q12" s="352"/>
      <c r="R12" s="353"/>
      <c r="S12" s="352"/>
      <c r="T12" s="357"/>
      <c r="U12" s="358"/>
      <c r="V12" s="351"/>
      <c r="W12" s="352"/>
      <c r="X12" s="353"/>
      <c r="Y12" s="352"/>
      <c r="Z12" s="357"/>
      <c r="AA12" s="358"/>
      <c r="AB12" s="351"/>
      <c r="AC12" s="352"/>
      <c r="AD12" s="353"/>
      <c r="AE12" s="352"/>
      <c r="AF12" s="357"/>
      <c r="AG12" s="358"/>
      <c r="AH12" s="351"/>
      <c r="AI12" s="352"/>
      <c r="AJ12" s="353"/>
      <c r="AK12" s="352"/>
      <c r="AL12" s="357"/>
      <c r="AM12" s="358"/>
      <c r="AN12" s="351"/>
      <c r="AO12" s="352"/>
      <c r="AP12" s="353"/>
      <c r="AQ12" s="352"/>
      <c r="AR12" s="359"/>
      <c r="AS12" s="358"/>
      <c r="AT12" s="351"/>
      <c r="AU12" s="352"/>
      <c r="AV12" s="353"/>
      <c r="AW12" s="352"/>
      <c r="AX12" s="357"/>
      <c r="AY12" s="358"/>
      <c r="AZ12" s="351"/>
      <c r="BA12" s="352"/>
      <c r="BB12" s="353"/>
      <c r="BC12" s="352"/>
      <c r="BD12" s="357"/>
      <c r="BE12" s="358"/>
      <c r="BF12" s="351"/>
      <c r="BG12" s="352"/>
      <c r="BH12" s="353"/>
      <c r="BI12" s="352"/>
      <c r="BJ12" s="357"/>
      <c r="BK12" s="358"/>
      <c r="BL12" s="351"/>
      <c r="BM12" s="352"/>
      <c r="BN12" s="353"/>
      <c r="BO12" s="352"/>
      <c r="BP12" s="357"/>
      <c r="BQ12" s="358"/>
      <c r="BR12" s="360"/>
      <c r="BS12" s="352"/>
      <c r="BT12" s="353"/>
      <c r="BU12" s="352"/>
      <c r="BV12" s="357"/>
      <c r="BW12" s="358"/>
      <c r="BX12" s="213"/>
      <c r="BY12" s="213"/>
      <c r="BZ12" s="213"/>
      <c r="CA12" s="213"/>
      <c r="CB12" s="213"/>
      <c r="CC12" s="213"/>
      <c r="CD12" s="213"/>
      <c r="CE12" s="213"/>
      <c r="CF12" s="213"/>
      <c r="CG12" s="213"/>
      <c r="CH12" s="213"/>
      <c r="CI12" s="213"/>
      <c r="CJ12" s="213"/>
      <c r="CK12" s="213"/>
      <c r="CL12" s="213"/>
      <c r="CM12" s="213"/>
      <c r="CN12" s="213"/>
      <c r="CO12" s="213"/>
      <c r="CP12" s="213"/>
      <c r="CQ12" s="213"/>
    </row>
    <row r="13" ht="15.75" hidden="1" customHeight="1">
      <c r="A13" s="213"/>
      <c r="B13" s="349"/>
      <c r="C13" s="350"/>
      <c r="D13" s="351"/>
      <c r="E13" s="352"/>
      <c r="F13" s="353"/>
      <c r="G13" s="352"/>
      <c r="H13" s="353"/>
      <c r="I13" s="354"/>
      <c r="J13" s="351"/>
      <c r="K13" s="352"/>
      <c r="L13" s="353"/>
      <c r="M13" s="352"/>
      <c r="N13" s="357"/>
      <c r="O13" s="358"/>
      <c r="P13" s="351"/>
      <c r="Q13" s="352"/>
      <c r="R13" s="353"/>
      <c r="S13" s="352"/>
      <c r="T13" s="357"/>
      <c r="U13" s="358"/>
      <c r="V13" s="351"/>
      <c r="W13" s="352"/>
      <c r="X13" s="353"/>
      <c r="Y13" s="352"/>
      <c r="Z13" s="357"/>
      <c r="AA13" s="358"/>
      <c r="AB13" s="351"/>
      <c r="AC13" s="352"/>
      <c r="AD13" s="353"/>
      <c r="AE13" s="352"/>
      <c r="AF13" s="357"/>
      <c r="AG13" s="358"/>
      <c r="AH13" s="351"/>
      <c r="AI13" s="352"/>
      <c r="AJ13" s="353"/>
      <c r="AK13" s="352"/>
      <c r="AL13" s="357"/>
      <c r="AM13" s="358"/>
      <c r="AN13" s="351"/>
      <c r="AO13" s="352"/>
      <c r="AP13" s="353"/>
      <c r="AQ13" s="352"/>
      <c r="AR13" s="359"/>
      <c r="AS13" s="358"/>
      <c r="AT13" s="351"/>
      <c r="AU13" s="352"/>
      <c r="AV13" s="353"/>
      <c r="AW13" s="352"/>
      <c r="AX13" s="357"/>
      <c r="AY13" s="358"/>
      <c r="AZ13" s="351"/>
      <c r="BA13" s="352"/>
      <c r="BB13" s="353"/>
      <c r="BC13" s="352"/>
      <c r="BD13" s="357"/>
      <c r="BE13" s="358"/>
      <c r="BF13" s="351"/>
      <c r="BG13" s="352"/>
      <c r="BH13" s="353"/>
      <c r="BI13" s="352"/>
      <c r="BJ13" s="357"/>
      <c r="BK13" s="358"/>
      <c r="BL13" s="351"/>
      <c r="BM13" s="352"/>
      <c r="BN13" s="353"/>
      <c r="BO13" s="352"/>
      <c r="BP13" s="357"/>
      <c r="BQ13" s="358"/>
      <c r="BR13" s="360"/>
      <c r="BS13" s="352"/>
      <c r="BT13" s="353"/>
      <c r="BU13" s="352"/>
      <c r="BV13" s="357"/>
      <c r="BW13" s="358"/>
      <c r="BX13" s="213"/>
      <c r="BY13" s="213"/>
      <c r="BZ13" s="213"/>
      <c r="CA13" s="213"/>
      <c r="CB13" s="213"/>
      <c r="CC13" s="213"/>
      <c r="CD13" s="213"/>
      <c r="CE13" s="213"/>
      <c r="CF13" s="213"/>
      <c r="CG13" s="213"/>
      <c r="CH13" s="213"/>
      <c r="CI13" s="213"/>
      <c r="CJ13" s="213"/>
      <c r="CK13" s="213"/>
      <c r="CL13" s="213"/>
      <c r="CM13" s="213"/>
      <c r="CN13" s="213"/>
      <c r="CO13" s="213"/>
      <c r="CP13" s="213"/>
      <c r="CQ13" s="213"/>
    </row>
    <row r="14" ht="15.75" hidden="1" customHeight="1">
      <c r="A14" s="213"/>
      <c r="B14" s="361"/>
      <c r="C14" s="362"/>
      <c r="D14" s="363"/>
      <c r="E14" s="364"/>
      <c r="F14" s="365"/>
      <c r="G14" s="364"/>
      <c r="H14" s="365"/>
      <c r="I14" s="366"/>
      <c r="J14" s="363"/>
      <c r="K14" s="364"/>
      <c r="L14" s="365"/>
      <c r="M14" s="364"/>
      <c r="N14" s="367"/>
      <c r="O14" s="368"/>
      <c r="P14" s="363"/>
      <c r="Q14" s="364"/>
      <c r="R14" s="365"/>
      <c r="S14" s="364"/>
      <c r="T14" s="367"/>
      <c r="U14" s="368"/>
      <c r="V14" s="363"/>
      <c r="W14" s="364"/>
      <c r="X14" s="365"/>
      <c r="Y14" s="364"/>
      <c r="Z14" s="367"/>
      <c r="AA14" s="368"/>
      <c r="AB14" s="363"/>
      <c r="AC14" s="364"/>
      <c r="AD14" s="365"/>
      <c r="AE14" s="364"/>
      <c r="AF14" s="367"/>
      <c r="AG14" s="368"/>
      <c r="AH14" s="363"/>
      <c r="AI14" s="364"/>
      <c r="AJ14" s="365"/>
      <c r="AK14" s="364"/>
      <c r="AL14" s="367"/>
      <c r="AM14" s="368"/>
      <c r="AN14" s="363"/>
      <c r="AO14" s="364"/>
      <c r="AP14" s="365"/>
      <c r="AQ14" s="364"/>
      <c r="AR14" s="369"/>
      <c r="AS14" s="368"/>
      <c r="AT14" s="363"/>
      <c r="AU14" s="364"/>
      <c r="AV14" s="365"/>
      <c r="AW14" s="364"/>
      <c r="AX14" s="367"/>
      <c r="AY14" s="368"/>
      <c r="AZ14" s="363"/>
      <c r="BA14" s="364"/>
      <c r="BB14" s="365"/>
      <c r="BC14" s="364"/>
      <c r="BD14" s="367"/>
      <c r="BE14" s="368"/>
      <c r="BF14" s="363"/>
      <c r="BG14" s="364"/>
      <c r="BH14" s="365"/>
      <c r="BI14" s="364"/>
      <c r="BJ14" s="367"/>
      <c r="BK14" s="368"/>
      <c r="BL14" s="363"/>
      <c r="BM14" s="364"/>
      <c r="BN14" s="365"/>
      <c r="BO14" s="364"/>
      <c r="BP14" s="367"/>
      <c r="BQ14" s="368"/>
      <c r="BR14" s="370"/>
      <c r="BS14" s="364"/>
      <c r="BT14" s="365"/>
      <c r="BU14" s="364"/>
      <c r="BV14" s="367"/>
      <c r="BW14" s="368"/>
      <c r="BX14" s="213"/>
      <c r="BY14" s="213"/>
      <c r="BZ14" s="213"/>
      <c r="CA14" s="213"/>
      <c r="CB14" s="213"/>
      <c r="CC14" s="213"/>
      <c r="CD14" s="213"/>
      <c r="CE14" s="213"/>
      <c r="CF14" s="213"/>
      <c r="CG14" s="213"/>
      <c r="CH14" s="213"/>
      <c r="CI14" s="213"/>
      <c r="CJ14" s="213"/>
      <c r="CK14" s="213"/>
      <c r="CL14" s="213"/>
      <c r="CM14" s="213"/>
      <c r="CN14" s="213"/>
      <c r="CO14" s="213"/>
      <c r="CP14" s="213"/>
      <c r="CQ14" s="213"/>
    </row>
    <row r="15" ht="15.75" customHeight="1">
      <c r="A15" s="213"/>
      <c r="B15" s="371" t="s">
        <v>220</v>
      </c>
      <c r="C15" s="372"/>
      <c r="D15" s="373">
        <f t="shared" ref="D15:E15" si="5">SUM(D16:D24)</f>
        <v>9596600</v>
      </c>
      <c r="E15" s="374">
        <f t="shared" si="5"/>
        <v>1</v>
      </c>
      <c r="F15" s="375">
        <f t="shared" ref="F15:H15" si="6">SUM(F16:F21)</f>
        <v>8498340</v>
      </c>
      <c r="G15" s="374">
        <f t="shared" si="6"/>
        <v>1</v>
      </c>
      <c r="H15" s="375">
        <f t="shared" si="6"/>
        <v>1080460</v>
      </c>
      <c r="I15" s="376">
        <f>(H15/F15)</f>
        <v>0.1271377704</v>
      </c>
      <c r="J15" s="373">
        <f t="shared" ref="J15:L15" si="7">SUM(J16:J24)</f>
        <v>9413656.25</v>
      </c>
      <c r="K15" s="374">
        <f t="shared" si="7"/>
        <v>1</v>
      </c>
      <c r="L15" s="375">
        <f t="shared" si="7"/>
        <v>8162302.88</v>
      </c>
      <c r="M15" s="374">
        <f t="shared" ref="M15:N15" si="8">SUM(M16:M21)</f>
        <v>1</v>
      </c>
      <c r="N15" s="377">
        <f t="shared" si="8"/>
        <v>1234853.37</v>
      </c>
      <c r="O15" s="378"/>
      <c r="P15" s="373">
        <f t="shared" ref="P15:R15" si="9">SUM(P16:P24)</f>
        <v>8568664</v>
      </c>
      <c r="Q15" s="374">
        <f t="shared" si="9"/>
        <v>1</v>
      </c>
      <c r="R15" s="375">
        <f t="shared" si="9"/>
        <v>7355539</v>
      </c>
      <c r="S15" s="374">
        <f>SUM(S16:S21)</f>
        <v>1</v>
      </c>
      <c r="T15" s="377">
        <f>SUM(T16:T24)</f>
        <v>1213125</v>
      </c>
      <c r="U15" s="378"/>
      <c r="V15" s="373">
        <f t="shared" ref="V15:Z15" si="10">SUM(V16:V24)</f>
        <v>9245943</v>
      </c>
      <c r="W15" s="374">
        <f t="shared" si="10"/>
        <v>1</v>
      </c>
      <c r="X15" s="375">
        <f t="shared" si="10"/>
        <v>7853116</v>
      </c>
      <c r="Y15" s="374">
        <f t="shared" si="10"/>
        <v>1</v>
      </c>
      <c r="Z15" s="377">
        <f t="shared" si="10"/>
        <v>1392827</v>
      </c>
      <c r="AA15" s="379">
        <f>Z15/X15</f>
        <v>0.1773597894</v>
      </c>
      <c r="AB15" s="373">
        <f t="shared" ref="AB15:AD15" si="11">SUM(AB16:AB24)</f>
        <v>9781371</v>
      </c>
      <c r="AC15" s="374">
        <f t="shared" si="11"/>
        <v>1</v>
      </c>
      <c r="AD15" s="375">
        <f t="shared" si="11"/>
        <v>8540788</v>
      </c>
      <c r="AE15" s="374">
        <f>SUM(AE16:AE21)</f>
        <v>1</v>
      </c>
      <c r="AF15" s="377">
        <f>SUM(AF16:AF24)</f>
        <v>0</v>
      </c>
      <c r="AG15" s="378"/>
      <c r="AH15" s="373">
        <f t="shared" ref="AH15:AJ15" si="12">SUM(AH16:AH24)</f>
        <v>8588906</v>
      </c>
      <c r="AI15" s="374">
        <f t="shared" si="12"/>
        <v>1</v>
      </c>
      <c r="AJ15" s="375">
        <f t="shared" si="12"/>
        <v>8226964</v>
      </c>
      <c r="AK15" s="374">
        <f>SUM(AK16:AK21)</f>
        <v>1</v>
      </c>
      <c r="AL15" s="377">
        <f>SUM(AL16:AL24)</f>
        <v>0</v>
      </c>
      <c r="AM15" s="378"/>
      <c r="AN15" s="373">
        <f>SUM(AN16:AN21)</f>
        <v>13904084.75</v>
      </c>
      <c r="AO15" s="374">
        <f>SUM(AO16:AO24)</f>
        <v>1.001294584</v>
      </c>
      <c r="AP15" s="375">
        <f t="shared" ref="AP15:AR15" si="13">SUM(AP16:AP21)</f>
        <v>9899784</v>
      </c>
      <c r="AQ15" s="374">
        <f t="shared" si="13"/>
        <v>1</v>
      </c>
      <c r="AR15" s="380">
        <f t="shared" si="13"/>
        <v>0</v>
      </c>
      <c r="AS15" s="378"/>
      <c r="AT15" s="373">
        <f>SUM(AT16:AT21)</f>
        <v>15326816.25</v>
      </c>
      <c r="AU15" s="374">
        <f>SUM(AU16:AU24)</f>
        <v>1.001487589</v>
      </c>
      <c r="AV15" s="375">
        <f t="shared" ref="AV15:AX15" si="14">SUM(AV16:AV21)</f>
        <v>10931553</v>
      </c>
      <c r="AW15" s="374">
        <f t="shared" si="14"/>
        <v>1</v>
      </c>
      <c r="AX15" s="375">
        <f t="shared" si="14"/>
        <v>0</v>
      </c>
      <c r="AY15" s="378"/>
      <c r="AZ15" s="373">
        <f t="shared" ref="AZ15:BA15" si="15">SUM(AZ16:AZ24)</f>
        <v>15249167.63</v>
      </c>
      <c r="BA15" s="374">
        <f t="shared" si="15"/>
        <v>1</v>
      </c>
      <c r="BB15" s="375">
        <f t="shared" ref="BB15:BD15" si="16">SUM(BB16:BB21)</f>
        <v>12761899</v>
      </c>
      <c r="BC15" s="374">
        <f t="shared" si="16"/>
        <v>1</v>
      </c>
      <c r="BD15" s="375">
        <f t="shared" si="16"/>
        <v>0</v>
      </c>
      <c r="BE15" s="378"/>
      <c r="BF15" s="373">
        <f>SUM(BF16:BF21)</f>
        <v>17427654.56</v>
      </c>
      <c r="BG15" s="374">
        <f>SUM(BG16:BG24)</f>
        <v>1.001015627</v>
      </c>
      <c r="BH15" s="375">
        <f t="shared" ref="BH15:BJ15" si="17">SUM(BH16:BH21)</f>
        <v>11762110</v>
      </c>
      <c r="BI15" s="374">
        <f t="shared" si="17"/>
        <v>1</v>
      </c>
      <c r="BJ15" s="377">
        <f t="shared" si="17"/>
        <v>0</v>
      </c>
      <c r="BK15" s="378"/>
      <c r="BL15" s="373">
        <f>SUM(BL16:BL22)</f>
        <v>13156410</v>
      </c>
      <c r="BM15" s="374">
        <f>SUM(BM16:BM24)</f>
        <v>1</v>
      </c>
      <c r="BN15" s="375">
        <f t="shared" ref="BN15:BP15" si="18">SUM(BN16:BN21)</f>
        <v>10768556</v>
      </c>
      <c r="BO15" s="374">
        <f t="shared" si="18"/>
        <v>1</v>
      </c>
      <c r="BP15" s="377">
        <f t="shared" si="18"/>
        <v>0</v>
      </c>
      <c r="BQ15" s="378"/>
      <c r="BR15" s="381">
        <f>SUM(BR16:BR22)</f>
        <v>13944184.3</v>
      </c>
      <c r="BS15" s="374">
        <f>SUM(BS16:BS24)</f>
        <v>1</v>
      </c>
      <c r="BT15" s="375">
        <f t="shared" ref="BT15:BV15" si="19">SUM(BT16:BT21)</f>
        <v>10857131</v>
      </c>
      <c r="BU15" s="374">
        <f t="shared" si="19"/>
        <v>1</v>
      </c>
      <c r="BV15" s="377">
        <f t="shared" si="19"/>
        <v>0</v>
      </c>
      <c r="BW15" s="378"/>
      <c r="BX15" s="328">
        <f t="shared" ref="BX15:BX28" si="20">SUM(D15,J15,P15,V15,AB15,AH15,AN15,AT15,AZ15,BF15,BL15,BR15)</f>
        <v>144203457.7</v>
      </c>
      <c r="BY15" s="216"/>
      <c r="BZ15" s="216"/>
      <c r="CA15" s="216"/>
      <c r="CB15" s="216"/>
      <c r="CC15" s="216"/>
      <c r="CD15" s="216"/>
      <c r="CE15" s="216"/>
      <c r="CF15" s="216"/>
      <c r="CG15" s="216"/>
      <c r="CH15" s="216"/>
      <c r="CI15" s="216"/>
      <c r="CJ15" s="216"/>
      <c r="CK15" s="216"/>
      <c r="CL15" s="216"/>
      <c r="CM15" s="216"/>
      <c r="CN15" s="216"/>
      <c r="CO15" s="216"/>
      <c r="CP15" s="216"/>
      <c r="CQ15" s="216"/>
    </row>
    <row r="16" ht="15.75" customHeight="1">
      <c r="A16" s="213"/>
      <c r="B16" s="382" t="s">
        <v>24</v>
      </c>
      <c r="C16" s="383" t="s">
        <v>221</v>
      </c>
      <c r="D16" s="384">
        <v>8888962.0</v>
      </c>
      <c r="E16" s="385">
        <f>D16/D$15</f>
        <v>0.9262615926</v>
      </c>
      <c r="F16" s="386">
        <v>7572871.0</v>
      </c>
      <c r="G16" s="385">
        <f t="shared" ref="G16:G21" si="21">F16/$F$15</f>
        <v>0.8911000266</v>
      </c>
      <c r="H16" s="386">
        <f t="shared" ref="H16:H24" si="22">D16-F16</f>
        <v>1316091</v>
      </c>
      <c r="I16" s="387">
        <f t="shared" ref="I16:I17" si="23">H16/F16</f>
        <v>0.1737902309</v>
      </c>
      <c r="J16" s="384">
        <v>8711388.0</v>
      </c>
      <c r="K16" s="385">
        <f t="shared" ref="K16:K24" si="24">J16/J$15</f>
        <v>0.9253989915</v>
      </c>
      <c r="L16" s="386">
        <v>7214640.45</v>
      </c>
      <c r="M16" s="385">
        <f t="shared" ref="M16:M17" si="25">L16/$L$15</f>
        <v>0.8838976642</v>
      </c>
      <c r="N16" s="388">
        <f t="shared" ref="N16:N24" si="26">J16-L16</f>
        <v>1496747.55</v>
      </c>
      <c r="O16" s="389"/>
      <c r="P16" s="384">
        <v>7993405.0</v>
      </c>
      <c r="Q16" s="385">
        <f t="shared" ref="Q16:Q24" si="27">P16/P$15</f>
        <v>0.9328647967</v>
      </c>
      <c r="R16" s="386">
        <v>6554521.0</v>
      </c>
      <c r="S16" s="385">
        <f t="shared" ref="S16:S17" si="28">R16/$R$15</f>
        <v>0.8911000268</v>
      </c>
      <c r="T16" s="388">
        <f t="shared" ref="T16:T28" si="29">P16-R16</f>
        <v>1438884</v>
      </c>
      <c r="U16" s="390">
        <f>T16/R16</f>
        <v>0.2195254237</v>
      </c>
      <c r="V16" s="384">
        <v>8354387.0</v>
      </c>
      <c r="W16" s="385">
        <f t="shared" ref="W16:W24" si="30">V16/$V$15</f>
        <v>0.9035732753</v>
      </c>
      <c r="X16" s="386">
        <v>6997912.0</v>
      </c>
      <c r="Y16" s="385">
        <f t="shared" ref="Y16:Y24" si="31">X16/$X$15</f>
        <v>0.8911000423</v>
      </c>
      <c r="Z16" s="388">
        <f t="shared" ref="Z16:Z24" si="32">V16-X16</f>
        <v>1356475</v>
      </c>
      <c r="AA16" s="390">
        <f t="shared" ref="AA16:AA24" si="33">IFERROR(Z16/X16,)</f>
        <v>0.1938399625</v>
      </c>
      <c r="AB16" s="384">
        <v>8961912.0</v>
      </c>
      <c r="AC16" s="385">
        <f t="shared" ref="AC16:AC24" si="34">AB16/AB$15</f>
        <v>0.9162224805</v>
      </c>
      <c r="AD16" s="386">
        <v>7610696.0</v>
      </c>
      <c r="AE16" s="385">
        <f t="shared" ref="AE16:AE17" si="35">AD16/$AD$15</f>
        <v>0.8910999781</v>
      </c>
      <c r="AF16" s="388"/>
      <c r="AG16" s="389"/>
      <c r="AH16" s="384">
        <v>7865453.0</v>
      </c>
      <c r="AI16" s="385">
        <f t="shared" ref="AI16:AI24" si="36">AH16/AH$15</f>
        <v>0.9157689</v>
      </c>
      <c r="AJ16" s="386">
        <v>7331048.0</v>
      </c>
      <c r="AK16" s="385">
        <f t="shared" ref="AK16:AK17" si="37">AJ16/$AJ$15</f>
        <v>0.8911000461</v>
      </c>
      <c r="AL16" s="388"/>
      <c r="AM16" s="389"/>
      <c r="AN16" s="384">
        <v>1.2293418E7</v>
      </c>
      <c r="AO16" s="385">
        <f t="shared" ref="AO16:AO24" si="38">AN16/AN$15</f>
        <v>0.8841587362</v>
      </c>
      <c r="AP16" s="386">
        <v>8821697.0</v>
      </c>
      <c r="AQ16" s="385">
        <f t="shared" ref="AQ16:AQ17" si="39">AP16/$AP$15</f>
        <v>0.8910999472</v>
      </c>
      <c r="AR16" s="391"/>
      <c r="AS16" s="389"/>
      <c r="AT16" s="384">
        <v>1.3232591E7</v>
      </c>
      <c r="AU16" s="385">
        <f t="shared" ref="AU16:AU24" si="40">AT16/AT$15</f>
        <v>0.8633620175</v>
      </c>
      <c r="AV16" s="386">
        <v>9741107.0</v>
      </c>
      <c r="AW16" s="385">
        <f t="shared" ref="AW16:AW17" si="41">AV16/$AV$15</f>
        <v>0.8911000111</v>
      </c>
      <c r="AX16" s="386"/>
      <c r="AY16" s="389"/>
      <c r="AZ16" s="384">
        <v>1.4291066E7</v>
      </c>
      <c r="BA16" s="385">
        <f t="shared" ref="BA16:BA24" si="42">AZ16/AZ$15</f>
        <v>0.9371702343</v>
      </c>
      <c r="BB16" s="386">
        <v>1.1372128E7</v>
      </c>
      <c r="BC16" s="385">
        <f t="shared" ref="BC16:BC17" si="43">BB16/$BB$15</f>
        <v>0.8910999844</v>
      </c>
      <c r="BD16" s="386"/>
      <c r="BE16" s="389"/>
      <c r="BF16" s="384">
        <f>14441151</f>
        <v>14441151</v>
      </c>
      <c r="BG16" s="385">
        <f t="shared" ref="BG16:BG24" si="44">BF16/BF$15</f>
        <v>0.8286342233</v>
      </c>
      <c r="BH16" s="386">
        <v>1.0481216E7</v>
      </c>
      <c r="BI16" s="385">
        <f t="shared" ref="BI16:BI17" si="45">BH16/$BH$15</f>
        <v>0.8910999812</v>
      </c>
      <c r="BJ16" s="388"/>
      <c r="BK16" s="389"/>
      <c r="BL16" s="384">
        <v>1.2362436E7</v>
      </c>
      <c r="BM16" s="385">
        <f t="shared" ref="BM16:BM24" si="46">BL16/BL$15</f>
        <v>0.9396511662</v>
      </c>
      <c r="BN16" s="386">
        <v>9595860.0</v>
      </c>
      <c r="BO16" s="385">
        <f t="shared" ref="BO16:BO17" si="47">BN16/$BN$15</f>
        <v>0.8910999766</v>
      </c>
      <c r="BP16" s="388"/>
      <c r="BQ16" s="389"/>
      <c r="BR16" s="392">
        <v>1.3006619E7</v>
      </c>
      <c r="BS16" s="385">
        <f t="shared" ref="BS16:BS24" si="48">BR16/BR$15</f>
        <v>0.9327629871</v>
      </c>
      <c r="BT16" s="386">
        <v>9674790.0</v>
      </c>
      <c r="BU16" s="385">
        <f t="shared" ref="BU16:BU17" si="49">BT16/$BT$15</f>
        <v>0.8911000521</v>
      </c>
      <c r="BV16" s="388"/>
      <c r="BW16" s="389"/>
      <c r="BX16" s="328">
        <f t="shared" si="20"/>
        <v>130402788</v>
      </c>
      <c r="BY16" s="213"/>
      <c r="BZ16" s="213"/>
      <c r="CA16" s="213"/>
      <c r="CB16" s="213"/>
      <c r="CC16" s="213"/>
      <c r="CD16" s="213"/>
      <c r="CE16" s="213"/>
      <c r="CF16" s="213"/>
      <c r="CG16" s="213"/>
      <c r="CH16" s="213"/>
      <c r="CI16" s="213"/>
      <c r="CJ16" s="213"/>
      <c r="CK16" s="213"/>
      <c r="CL16" s="213"/>
      <c r="CM16" s="213"/>
      <c r="CN16" s="213"/>
      <c r="CO16" s="213"/>
      <c r="CP16" s="213"/>
      <c r="CQ16" s="213"/>
    </row>
    <row r="17" ht="15.75" customHeight="1">
      <c r="A17" s="213"/>
      <c r="B17" s="393"/>
      <c r="C17" s="350" t="s">
        <v>222</v>
      </c>
      <c r="D17" s="351">
        <f>480898+6802+98195</f>
        <v>585895</v>
      </c>
      <c r="E17" s="355">
        <f t="shared" ref="E17:E24" si="50">D17/$D$15</f>
        <v>0.06105235187</v>
      </c>
      <c r="F17" s="353">
        <v>853233.0</v>
      </c>
      <c r="G17" s="355">
        <f t="shared" si="21"/>
        <v>0.1003999605</v>
      </c>
      <c r="H17" s="353">
        <f t="shared" si="22"/>
        <v>-267338</v>
      </c>
      <c r="I17" s="394">
        <f t="shared" si="23"/>
        <v>-0.3133235587</v>
      </c>
      <c r="J17" s="351">
        <f>395195+64110+131230</f>
        <v>590535</v>
      </c>
      <c r="K17" s="355">
        <f t="shared" si="24"/>
        <v>0.06273173614</v>
      </c>
      <c r="L17" s="353">
        <v>881690.43</v>
      </c>
      <c r="M17" s="355">
        <f t="shared" si="25"/>
        <v>0.1080198129</v>
      </c>
      <c r="N17" s="357">
        <f t="shared" si="26"/>
        <v>-291155.43</v>
      </c>
      <c r="O17" s="358"/>
      <c r="P17" s="351">
        <f>194960+69763+209747</f>
        <v>474470</v>
      </c>
      <c r="Q17" s="355">
        <f t="shared" si="27"/>
        <v>0.05537269287</v>
      </c>
      <c r="R17" s="353">
        <v>738496.0</v>
      </c>
      <c r="S17" s="355">
        <f t="shared" si="28"/>
        <v>0.1003999843</v>
      </c>
      <c r="T17" s="357">
        <f t="shared" si="29"/>
        <v>-264026</v>
      </c>
      <c r="U17" s="395">
        <f t="shared" ref="U17:U25" si="51">IFERROR(T17/R17,)</f>
        <v>-0.3575185241</v>
      </c>
      <c r="V17" s="351">
        <v>599511.0</v>
      </c>
      <c r="W17" s="355">
        <f t="shared" si="30"/>
        <v>0.06484043867</v>
      </c>
      <c r="X17" s="353">
        <v>788453.0</v>
      </c>
      <c r="Y17" s="355">
        <f t="shared" si="31"/>
        <v>0.1004000196</v>
      </c>
      <c r="Z17" s="357">
        <f t="shared" si="32"/>
        <v>-188942</v>
      </c>
      <c r="AA17" s="395">
        <f t="shared" si="33"/>
        <v>-0.2396363512</v>
      </c>
      <c r="AB17" s="351">
        <v>588422.0</v>
      </c>
      <c r="AC17" s="355">
        <f t="shared" si="34"/>
        <v>0.06015741556</v>
      </c>
      <c r="AD17" s="353">
        <v>857495.0</v>
      </c>
      <c r="AE17" s="355">
        <f t="shared" si="35"/>
        <v>0.1003999865</v>
      </c>
      <c r="AF17" s="357"/>
      <c r="AG17" s="358"/>
      <c r="AH17" s="351">
        <f>399936+78594+119710</f>
        <v>598240</v>
      </c>
      <c r="AI17" s="355">
        <f t="shared" si="36"/>
        <v>0.06965264261</v>
      </c>
      <c r="AJ17" s="353">
        <v>825987.0</v>
      </c>
      <c r="AK17" s="355">
        <f t="shared" si="37"/>
        <v>0.1003999774</v>
      </c>
      <c r="AL17" s="357"/>
      <c r="AM17" s="358"/>
      <c r="AN17" s="351">
        <f>350562.7+74111.82+99770</f>
        <v>524444.52</v>
      </c>
      <c r="AO17" s="355">
        <f t="shared" si="38"/>
        <v>0.03771873729</v>
      </c>
      <c r="AP17" s="353">
        <v>993938.0</v>
      </c>
      <c r="AQ17" s="355">
        <f t="shared" si="39"/>
        <v>0.1003999683</v>
      </c>
      <c r="AR17" s="359"/>
      <c r="AS17" s="358"/>
      <c r="AT17" s="351">
        <f>485556+99055+178240</f>
        <v>762851</v>
      </c>
      <c r="AU17" s="355">
        <f t="shared" si="40"/>
        <v>0.04977230676</v>
      </c>
      <c r="AV17" s="353">
        <v>1097528.0</v>
      </c>
      <c r="AW17" s="355">
        <f t="shared" si="41"/>
        <v>0.1004000072</v>
      </c>
      <c r="AX17" s="353"/>
      <c r="AY17" s="358"/>
      <c r="AZ17" s="351">
        <f>561026+135641+153118</f>
        <v>849785</v>
      </c>
      <c r="BA17" s="355">
        <f t="shared" si="42"/>
        <v>0.05572664821</v>
      </c>
      <c r="BB17" s="353">
        <v>1281295.0</v>
      </c>
      <c r="BC17" s="355">
        <f t="shared" si="43"/>
        <v>0.1004000267</v>
      </c>
      <c r="BD17" s="353"/>
      <c r="BE17" s="358"/>
      <c r="BF17" s="351">
        <f>553792.7+184009.1+201795</f>
        <v>939596.8</v>
      </c>
      <c r="BG17" s="355">
        <f t="shared" si="44"/>
        <v>0.05391412808</v>
      </c>
      <c r="BH17" s="353">
        <v>1180916.0</v>
      </c>
      <c r="BI17" s="355">
        <f t="shared" si="45"/>
        <v>0.1004000133</v>
      </c>
      <c r="BJ17" s="357"/>
      <c r="BK17" s="358"/>
      <c r="BL17" s="351">
        <f>407936.4+160173.6+116555</f>
        <v>684665</v>
      </c>
      <c r="BM17" s="355">
        <f t="shared" si="46"/>
        <v>0.05204041224</v>
      </c>
      <c r="BN17" s="353">
        <v>1081163.0</v>
      </c>
      <c r="BO17" s="355">
        <f t="shared" si="47"/>
        <v>0.1003999979</v>
      </c>
      <c r="BP17" s="357"/>
      <c r="BQ17" s="358"/>
      <c r="BR17" s="360">
        <f>491810+157337.3+157025</f>
        <v>806172.3</v>
      </c>
      <c r="BS17" s="355">
        <f t="shared" si="48"/>
        <v>0.05781423156</v>
      </c>
      <c r="BT17" s="353">
        <v>1090056.0</v>
      </c>
      <c r="BU17" s="355">
        <f t="shared" si="49"/>
        <v>0.1004000044</v>
      </c>
      <c r="BV17" s="357"/>
      <c r="BW17" s="358"/>
      <c r="BX17" s="328">
        <f t="shared" si="20"/>
        <v>8004587.62</v>
      </c>
      <c r="BY17" s="213"/>
      <c r="BZ17" s="213"/>
      <c r="CA17" s="213"/>
      <c r="CB17" s="213"/>
      <c r="CC17" s="213"/>
      <c r="CD17" s="213"/>
      <c r="CE17" s="213"/>
      <c r="CF17" s="213"/>
      <c r="CG17" s="213"/>
      <c r="CH17" s="213"/>
      <c r="CI17" s="213"/>
      <c r="CJ17" s="213"/>
      <c r="CK17" s="213"/>
      <c r="CL17" s="213"/>
      <c r="CM17" s="213"/>
      <c r="CN17" s="213"/>
      <c r="CO17" s="213"/>
      <c r="CP17" s="213"/>
      <c r="CQ17" s="213"/>
    </row>
    <row r="18" ht="15.75" customHeight="1">
      <c r="A18" s="213"/>
      <c r="B18" s="393"/>
      <c r="C18" s="350" t="s">
        <v>223</v>
      </c>
      <c r="D18" s="351">
        <v>0.0</v>
      </c>
      <c r="E18" s="355">
        <f t="shared" si="50"/>
        <v>0</v>
      </c>
      <c r="F18" s="353"/>
      <c r="G18" s="355">
        <f t="shared" si="21"/>
        <v>0</v>
      </c>
      <c r="H18" s="353">
        <f t="shared" si="22"/>
        <v>0</v>
      </c>
      <c r="I18" s="394"/>
      <c r="J18" s="351">
        <v>0.0</v>
      </c>
      <c r="K18" s="355">
        <f t="shared" si="24"/>
        <v>0</v>
      </c>
      <c r="L18" s="353">
        <v>0.0</v>
      </c>
      <c r="M18" s="355"/>
      <c r="N18" s="357">
        <f t="shared" si="26"/>
        <v>0</v>
      </c>
      <c r="O18" s="358"/>
      <c r="P18" s="351"/>
      <c r="Q18" s="355">
        <f t="shared" si="27"/>
        <v>0</v>
      </c>
      <c r="R18" s="353"/>
      <c r="S18" s="355"/>
      <c r="T18" s="357">
        <f t="shared" si="29"/>
        <v>0</v>
      </c>
      <c r="U18" s="395" t="str">
        <f t="shared" si="51"/>
        <v/>
      </c>
      <c r="V18" s="351">
        <v>0.0</v>
      </c>
      <c r="W18" s="355">
        <f t="shared" si="30"/>
        <v>0</v>
      </c>
      <c r="X18" s="353">
        <v>0.0</v>
      </c>
      <c r="Y18" s="355">
        <f t="shared" si="31"/>
        <v>0</v>
      </c>
      <c r="Z18" s="357">
        <f t="shared" si="32"/>
        <v>0</v>
      </c>
      <c r="AA18" s="395" t="str">
        <f t="shared" si="33"/>
        <v/>
      </c>
      <c r="AB18" s="351"/>
      <c r="AC18" s="355">
        <f t="shared" si="34"/>
        <v>0</v>
      </c>
      <c r="AD18" s="353"/>
      <c r="AE18" s="355"/>
      <c r="AF18" s="357"/>
      <c r="AG18" s="358"/>
      <c r="AH18" s="351"/>
      <c r="AI18" s="355">
        <f t="shared" si="36"/>
        <v>0</v>
      </c>
      <c r="AJ18" s="353"/>
      <c r="AK18" s="355"/>
      <c r="AL18" s="357"/>
      <c r="AM18" s="358"/>
      <c r="AN18" s="351"/>
      <c r="AO18" s="355">
        <f t="shared" si="38"/>
        <v>0</v>
      </c>
      <c r="AP18" s="353"/>
      <c r="AQ18" s="355"/>
      <c r="AR18" s="359"/>
      <c r="AS18" s="358"/>
      <c r="AT18" s="351"/>
      <c r="AU18" s="355">
        <f t="shared" si="40"/>
        <v>0</v>
      </c>
      <c r="AV18" s="353"/>
      <c r="AW18" s="355"/>
      <c r="AX18" s="353"/>
      <c r="AY18" s="358"/>
      <c r="AZ18" s="351"/>
      <c r="BA18" s="355">
        <f t="shared" si="42"/>
        <v>0</v>
      </c>
      <c r="BB18" s="353"/>
      <c r="BC18" s="355"/>
      <c r="BD18" s="353"/>
      <c r="BE18" s="358"/>
      <c r="BF18" s="351"/>
      <c r="BG18" s="355">
        <f t="shared" si="44"/>
        <v>0</v>
      </c>
      <c r="BH18" s="353"/>
      <c r="BI18" s="355"/>
      <c r="BJ18" s="357"/>
      <c r="BK18" s="358"/>
      <c r="BL18" s="351"/>
      <c r="BM18" s="355">
        <f t="shared" si="46"/>
        <v>0</v>
      </c>
      <c r="BN18" s="353"/>
      <c r="BO18" s="355"/>
      <c r="BP18" s="357"/>
      <c r="BQ18" s="358"/>
      <c r="BR18" s="360"/>
      <c r="BS18" s="355">
        <f t="shared" si="48"/>
        <v>0</v>
      </c>
      <c r="BT18" s="353"/>
      <c r="BU18" s="355"/>
      <c r="BV18" s="357"/>
      <c r="BW18" s="358"/>
      <c r="BX18" s="328">
        <f t="shared" si="20"/>
        <v>0</v>
      </c>
      <c r="BY18" s="213"/>
      <c r="BZ18" s="213"/>
      <c r="CA18" s="213"/>
      <c r="CB18" s="213"/>
      <c r="CC18" s="213"/>
      <c r="CD18" s="213"/>
      <c r="CE18" s="213"/>
      <c r="CF18" s="213"/>
      <c r="CG18" s="213"/>
      <c r="CH18" s="213"/>
      <c r="CI18" s="213"/>
      <c r="CJ18" s="213"/>
      <c r="CK18" s="213"/>
      <c r="CL18" s="213"/>
      <c r="CM18" s="213"/>
      <c r="CN18" s="213"/>
      <c r="CO18" s="213"/>
      <c r="CP18" s="213"/>
      <c r="CQ18" s="213"/>
    </row>
    <row r="19" ht="15.75" customHeight="1">
      <c r="A19" s="213"/>
      <c r="B19" s="393"/>
      <c r="C19" s="350" t="s">
        <v>224</v>
      </c>
      <c r="D19" s="351">
        <v>77143.0</v>
      </c>
      <c r="E19" s="355">
        <f t="shared" si="50"/>
        <v>0.008038576162</v>
      </c>
      <c r="F19" s="353">
        <v>0.0</v>
      </c>
      <c r="G19" s="355">
        <f t="shared" si="21"/>
        <v>0</v>
      </c>
      <c r="H19" s="353">
        <f t="shared" si="22"/>
        <v>77143</v>
      </c>
      <c r="I19" s="394"/>
      <c r="J19" s="351">
        <v>65714.0</v>
      </c>
      <c r="K19" s="355">
        <f t="shared" si="24"/>
        <v>0.006980709541</v>
      </c>
      <c r="L19" s="353">
        <v>0.0</v>
      </c>
      <c r="M19" s="355">
        <f t="shared" ref="M19:M21" si="52">L19/$L$15</f>
        <v>0</v>
      </c>
      <c r="N19" s="357">
        <f t="shared" si="26"/>
        <v>65714</v>
      </c>
      <c r="O19" s="358"/>
      <c r="P19" s="351">
        <f>62857</f>
        <v>62857</v>
      </c>
      <c r="Q19" s="355">
        <f t="shared" si="27"/>
        <v>0.007335682669</v>
      </c>
      <c r="R19" s="353">
        <v>0.0</v>
      </c>
      <c r="S19" s="355">
        <f t="shared" ref="S19:S21" si="53">R19/$R$15</f>
        <v>0</v>
      </c>
      <c r="T19" s="357">
        <f t="shared" si="29"/>
        <v>62857</v>
      </c>
      <c r="U19" s="395" t="str">
        <f t="shared" si="51"/>
        <v/>
      </c>
      <c r="V19" s="351">
        <v>242286.0</v>
      </c>
      <c r="W19" s="355">
        <f t="shared" si="30"/>
        <v>0.02620457427</v>
      </c>
      <c r="X19" s="353">
        <v>0.0</v>
      </c>
      <c r="Y19" s="355">
        <f t="shared" si="31"/>
        <v>0</v>
      </c>
      <c r="Z19" s="357">
        <f t="shared" si="32"/>
        <v>242286</v>
      </c>
      <c r="AA19" s="395" t="str">
        <f t="shared" si="33"/>
        <v/>
      </c>
      <c r="AB19" s="351">
        <v>180000.0</v>
      </c>
      <c r="AC19" s="355">
        <f t="shared" si="34"/>
        <v>0.01840232826</v>
      </c>
      <c r="AD19" s="353"/>
      <c r="AE19" s="355">
        <f t="shared" ref="AE19:AE21" si="54">AD19/$AD$15</f>
        <v>0</v>
      </c>
      <c r="AF19" s="357"/>
      <c r="AG19" s="358"/>
      <c r="AH19" s="351">
        <v>80000.0</v>
      </c>
      <c r="AI19" s="355">
        <f t="shared" si="36"/>
        <v>0.009314341081</v>
      </c>
      <c r="AJ19" s="353"/>
      <c r="AK19" s="355">
        <f t="shared" ref="AK19:AK21" si="55">AJ19/$AJ$15</f>
        <v>0</v>
      </c>
      <c r="AL19" s="357"/>
      <c r="AM19" s="358"/>
      <c r="AN19" s="351">
        <v>1060000.0</v>
      </c>
      <c r="AO19" s="355">
        <f t="shared" si="38"/>
        <v>0.0762365894</v>
      </c>
      <c r="AP19" s="353">
        <v>0.0</v>
      </c>
      <c r="AQ19" s="355">
        <f t="shared" ref="AQ19:AQ21" si="56">AP19/$AP$15</f>
        <v>0</v>
      </c>
      <c r="AR19" s="359"/>
      <c r="AS19" s="358"/>
      <c r="AT19" s="351">
        <v>1293238.0</v>
      </c>
      <c r="AU19" s="355">
        <f t="shared" si="40"/>
        <v>0.08437747141</v>
      </c>
      <c r="AV19" s="353">
        <v>0.0</v>
      </c>
      <c r="AW19" s="355">
        <f t="shared" ref="AW19:AW21" si="57">AV19/$AV$15</f>
        <v>0</v>
      </c>
      <c r="AX19" s="353"/>
      <c r="AY19" s="358"/>
      <c r="AZ19" s="351">
        <v>51429.0</v>
      </c>
      <c r="BA19" s="355">
        <f t="shared" si="42"/>
        <v>0.003372577523</v>
      </c>
      <c r="BB19" s="353">
        <v>0.0</v>
      </c>
      <c r="BC19" s="355">
        <f t="shared" ref="BC19:BC21" si="58">BB19/$BB$15</f>
        <v>0</v>
      </c>
      <c r="BD19" s="353"/>
      <c r="BE19" s="358"/>
      <c r="BF19" s="351">
        <v>2000000.0</v>
      </c>
      <c r="BG19" s="355">
        <f t="shared" si="44"/>
        <v>0.1147601356</v>
      </c>
      <c r="BH19" s="353">
        <v>0.0</v>
      </c>
      <c r="BI19" s="355">
        <f t="shared" ref="BI19:BI21" si="59">BH19/$BH$15</f>
        <v>0</v>
      </c>
      <c r="BJ19" s="357"/>
      <c r="BK19" s="358"/>
      <c r="BL19" s="351">
        <v>57143.0</v>
      </c>
      <c r="BM19" s="355">
        <f t="shared" si="46"/>
        <v>0.004343358105</v>
      </c>
      <c r="BN19" s="353">
        <v>0.0</v>
      </c>
      <c r="BO19" s="355">
        <f t="shared" ref="BO19:BO21" si="60">BN19/$BN$15</f>
        <v>0</v>
      </c>
      <c r="BP19" s="357"/>
      <c r="BQ19" s="358"/>
      <c r="BR19" s="360">
        <v>74286.0</v>
      </c>
      <c r="BS19" s="355">
        <f t="shared" si="48"/>
        <v>0.005327382255</v>
      </c>
      <c r="BT19" s="353">
        <v>0.0</v>
      </c>
      <c r="BU19" s="355">
        <f t="shared" ref="BU19:BU21" si="61">BT19/$BT$15</f>
        <v>0</v>
      </c>
      <c r="BV19" s="357"/>
      <c r="BW19" s="358"/>
      <c r="BX19" s="328">
        <f t="shared" si="20"/>
        <v>5244096</v>
      </c>
      <c r="BY19" s="213"/>
      <c r="BZ19" s="213"/>
      <c r="CA19" s="213"/>
      <c r="CB19" s="213"/>
      <c r="CC19" s="213"/>
      <c r="CD19" s="213"/>
      <c r="CE19" s="213"/>
      <c r="CF19" s="213"/>
      <c r="CG19" s="213"/>
      <c r="CH19" s="213"/>
      <c r="CI19" s="213"/>
      <c r="CJ19" s="213"/>
      <c r="CK19" s="213"/>
      <c r="CL19" s="213"/>
      <c r="CM19" s="213"/>
      <c r="CN19" s="213"/>
      <c r="CO19" s="213"/>
      <c r="CP19" s="213"/>
      <c r="CQ19" s="213"/>
    </row>
    <row r="20" ht="15.75" customHeight="1">
      <c r="A20" s="213"/>
      <c r="B20" s="393"/>
      <c r="C20" s="350" t="s">
        <v>225</v>
      </c>
      <c r="D20" s="351">
        <v>4902.5</v>
      </c>
      <c r="E20" s="355">
        <f t="shared" si="50"/>
        <v>0.0005108580122</v>
      </c>
      <c r="F20" s="353">
        <v>16997.0</v>
      </c>
      <c r="G20" s="355">
        <f t="shared" si="21"/>
        <v>0.002000037654</v>
      </c>
      <c r="H20" s="353">
        <f t="shared" si="22"/>
        <v>-12094.5</v>
      </c>
      <c r="I20" s="394">
        <f t="shared" ref="I20:I21" si="62">H20/F20</f>
        <v>-0.7115667471</v>
      </c>
      <c r="J20" s="351">
        <v>6554.0</v>
      </c>
      <c r="K20" s="355">
        <f t="shared" si="24"/>
        <v>0.0006962225756</v>
      </c>
      <c r="L20" s="353">
        <v>15523.0</v>
      </c>
      <c r="M20" s="355">
        <f t="shared" si="52"/>
        <v>0.001901791716</v>
      </c>
      <c r="N20" s="357">
        <f t="shared" si="26"/>
        <v>-8969</v>
      </c>
      <c r="O20" s="358"/>
      <c r="P20" s="351">
        <v>9656.0</v>
      </c>
      <c r="Q20" s="355">
        <f t="shared" si="27"/>
        <v>0.001126896795</v>
      </c>
      <c r="R20" s="353">
        <v>14711.0</v>
      </c>
      <c r="S20" s="355">
        <f t="shared" si="53"/>
        <v>0.001999989396</v>
      </c>
      <c r="T20" s="357">
        <f t="shared" si="29"/>
        <v>-5055</v>
      </c>
      <c r="U20" s="395">
        <f t="shared" si="51"/>
        <v>-0.3436204201</v>
      </c>
      <c r="V20" s="351">
        <v>6157.0</v>
      </c>
      <c r="W20" s="355">
        <f t="shared" si="30"/>
        <v>0.0006659136878</v>
      </c>
      <c r="X20" s="353">
        <v>15706.0</v>
      </c>
      <c r="Y20" s="355">
        <f t="shared" si="31"/>
        <v>0.001999970458</v>
      </c>
      <c r="Z20" s="357">
        <f t="shared" si="32"/>
        <v>-9549</v>
      </c>
      <c r="AA20" s="395">
        <f t="shared" si="33"/>
        <v>-0.6079842099</v>
      </c>
      <c r="AB20" s="351">
        <v>6157.0</v>
      </c>
      <c r="AC20" s="355">
        <f t="shared" si="34"/>
        <v>0.0006294618617</v>
      </c>
      <c r="AD20" s="353">
        <v>17082.0</v>
      </c>
      <c r="AE20" s="355">
        <f t="shared" si="54"/>
        <v>0.002000049644</v>
      </c>
      <c r="AF20" s="357"/>
      <c r="AG20" s="358"/>
      <c r="AH20" s="351">
        <v>5986.0</v>
      </c>
      <c r="AI20" s="355">
        <f t="shared" si="36"/>
        <v>0.0006969455714</v>
      </c>
      <c r="AJ20" s="353">
        <v>16454.0</v>
      </c>
      <c r="AK20" s="355">
        <f t="shared" si="55"/>
        <v>0.002000008752</v>
      </c>
      <c r="AL20" s="357"/>
      <c r="AM20" s="358"/>
      <c r="AN20" s="351">
        <v>4988.5</v>
      </c>
      <c r="AO20" s="355">
        <f t="shared" si="38"/>
        <v>0.0003587794587</v>
      </c>
      <c r="AP20" s="353">
        <v>19800.0</v>
      </c>
      <c r="AQ20" s="355">
        <f t="shared" si="56"/>
        <v>0.002000043637</v>
      </c>
      <c r="AR20" s="359"/>
      <c r="AS20" s="358"/>
      <c r="AT20" s="351">
        <f>197.5+8709.5</f>
        <v>8907</v>
      </c>
      <c r="AU20" s="355">
        <f t="shared" si="40"/>
        <v>0.0005811383039</v>
      </c>
      <c r="AV20" s="353">
        <v>21863.0</v>
      </c>
      <c r="AW20" s="355">
        <f t="shared" si="57"/>
        <v>0.001999990303</v>
      </c>
      <c r="AX20" s="353"/>
      <c r="AY20" s="358"/>
      <c r="AZ20" s="351">
        <v>7655.88</v>
      </c>
      <c r="BA20" s="355">
        <f t="shared" si="42"/>
        <v>0.0005020523209</v>
      </c>
      <c r="BB20" s="353">
        <v>25524.0</v>
      </c>
      <c r="BC20" s="355">
        <f t="shared" si="58"/>
        <v>0.002000015828</v>
      </c>
      <c r="BD20" s="353"/>
      <c r="BE20" s="358"/>
      <c r="BF20" s="351">
        <v>10018.26</v>
      </c>
      <c r="BG20" s="355">
        <f t="shared" si="44"/>
        <v>0.0005748484379</v>
      </c>
      <c r="BH20" s="353">
        <v>23524.0</v>
      </c>
      <c r="BI20" s="355">
        <f t="shared" si="59"/>
        <v>0.001999981296</v>
      </c>
      <c r="BJ20" s="357"/>
      <c r="BK20" s="358"/>
      <c r="BL20" s="396">
        <v>5827.75</v>
      </c>
      <c r="BM20" s="355">
        <f t="shared" si="46"/>
        <v>0.0004429589835</v>
      </c>
      <c r="BN20" s="353">
        <v>21537.0</v>
      </c>
      <c r="BO20" s="355">
        <f t="shared" si="60"/>
        <v>0.001999989599</v>
      </c>
      <c r="BP20" s="357"/>
      <c r="BQ20" s="358"/>
      <c r="BR20" s="360">
        <v>7851.25</v>
      </c>
      <c r="BS20" s="355">
        <f t="shared" si="48"/>
        <v>0.0005630483527</v>
      </c>
      <c r="BT20" s="353">
        <v>21714.0</v>
      </c>
      <c r="BU20" s="355">
        <f t="shared" si="61"/>
        <v>0.001999975868</v>
      </c>
      <c r="BV20" s="357"/>
      <c r="BW20" s="358"/>
      <c r="BX20" s="328">
        <f t="shared" si="20"/>
        <v>84661.14</v>
      </c>
      <c r="BY20" s="213"/>
      <c r="BZ20" s="213"/>
      <c r="CA20" s="213"/>
      <c r="CB20" s="213"/>
      <c r="CC20" s="213"/>
      <c r="CD20" s="213"/>
      <c r="CE20" s="213"/>
      <c r="CF20" s="213"/>
      <c r="CG20" s="213"/>
      <c r="CH20" s="213"/>
      <c r="CI20" s="213"/>
      <c r="CJ20" s="213"/>
      <c r="CK20" s="213"/>
      <c r="CL20" s="213"/>
      <c r="CM20" s="213"/>
      <c r="CN20" s="213"/>
      <c r="CO20" s="213"/>
      <c r="CP20" s="213"/>
      <c r="CQ20" s="213"/>
    </row>
    <row r="21" ht="15.75" customHeight="1">
      <c r="A21" s="213"/>
      <c r="B21" s="393"/>
      <c r="C21" s="350" t="s">
        <v>226</v>
      </c>
      <c r="D21" s="351">
        <f>2399.5+4664.75+4497.75+5389.75+4945.75</f>
        <v>21897.5</v>
      </c>
      <c r="E21" s="355">
        <f t="shared" si="50"/>
        <v>0.00228179772</v>
      </c>
      <c r="F21" s="353">
        <v>55239.0</v>
      </c>
      <c r="G21" s="355">
        <f t="shared" si="21"/>
        <v>0.006499975289</v>
      </c>
      <c r="H21" s="353">
        <f t="shared" si="22"/>
        <v>-33341.5</v>
      </c>
      <c r="I21" s="394">
        <f t="shared" si="62"/>
        <v>-0.6035862344</v>
      </c>
      <c r="J21" s="351">
        <v>22965.25</v>
      </c>
      <c r="K21" s="355">
        <f t="shared" si="24"/>
        <v>0.002439567517</v>
      </c>
      <c r="L21" s="353">
        <v>50449.0</v>
      </c>
      <c r="M21" s="355">
        <f t="shared" si="52"/>
        <v>0.006180731191</v>
      </c>
      <c r="N21" s="357">
        <f t="shared" si="26"/>
        <v>-27483.75</v>
      </c>
      <c r="O21" s="358"/>
      <c r="P21" s="351">
        <v>13976.0</v>
      </c>
      <c r="Q21" s="355">
        <f t="shared" si="27"/>
        <v>0.001631059404</v>
      </c>
      <c r="R21" s="353">
        <v>47811.0</v>
      </c>
      <c r="S21" s="355">
        <f t="shared" si="53"/>
        <v>0.006499999524</v>
      </c>
      <c r="T21" s="357">
        <f t="shared" si="29"/>
        <v>-33835</v>
      </c>
      <c r="U21" s="395">
        <f t="shared" si="51"/>
        <v>-0.7076823325</v>
      </c>
      <c r="V21" s="351">
        <f>21482+2320</f>
        <v>23802</v>
      </c>
      <c r="W21" s="355">
        <f t="shared" si="30"/>
        <v>0.002574318271</v>
      </c>
      <c r="X21" s="353">
        <v>51045.0</v>
      </c>
      <c r="Y21" s="355">
        <f t="shared" si="31"/>
        <v>0.006499967656</v>
      </c>
      <c r="Z21" s="357">
        <f t="shared" si="32"/>
        <v>-27243</v>
      </c>
      <c r="AA21" s="395">
        <f t="shared" si="33"/>
        <v>-0.5337055539</v>
      </c>
      <c r="AB21" s="351">
        <v>23980.0</v>
      </c>
      <c r="AC21" s="355">
        <f t="shared" si="34"/>
        <v>0.002451599065</v>
      </c>
      <c r="AD21" s="353">
        <v>55515.0</v>
      </c>
      <c r="AE21" s="355">
        <f t="shared" si="54"/>
        <v>0.006499985716</v>
      </c>
      <c r="AF21" s="357"/>
      <c r="AG21" s="358"/>
      <c r="AH21" s="351">
        <v>23927.0</v>
      </c>
      <c r="AI21" s="355">
        <f t="shared" si="36"/>
        <v>0.002785802988</v>
      </c>
      <c r="AJ21" s="353">
        <v>53475.0</v>
      </c>
      <c r="AK21" s="355">
        <f t="shared" si="55"/>
        <v>0.006499967667</v>
      </c>
      <c r="AL21" s="357"/>
      <c r="AM21" s="358"/>
      <c r="AN21" s="351">
        <f>17528.14+3705.59</f>
        <v>21233.73</v>
      </c>
      <c r="AO21" s="355">
        <f t="shared" si="38"/>
        <v>0.001527157694</v>
      </c>
      <c r="AP21" s="353">
        <v>64349.0</v>
      </c>
      <c r="AQ21" s="355">
        <f t="shared" si="56"/>
        <v>0.006500040809</v>
      </c>
      <c r="AR21" s="359"/>
      <c r="AS21" s="358"/>
      <c r="AT21" s="351">
        <v>29229.25</v>
      </c>
      <c r="AU21" s="355">
        <f t="shared" si="40"/>
        <v>0.00190706599</v>
      </c>
      <c r="AV21" s="353">
        <v>71055.0</v>
      </c>
      <c r="AW21" s="355">
        <f t="shared" si="57"/>
        <v>0.006499991355</v>
      </c>
      <c r="AX21" s="353"/>
      <c r="AY21" s="358"/>
      <c r="AZ21" s="351">
        <v>34831.75</v>
      </c>
      <c r="BA21" s="355">
        <f t="shared" si="42"/>
        <v>0.002284173854</v>
      </c>
      <c r="BB21" s="353">
        <v>82952.0</v>
      </c>
      <c r="BC21" s="355">
        <f t="shared" si="58"/>
        <v>0.006499973084</v>
      </c>
      <c r="BD21" s="353"/>
      <c r="BE21" s="358"/>
      <c r="BF21" s="351">
        <v>36888.5</v>
      </c>
      <c r="BG21" s="355">
        <f t="shared" si="44"/>
        <v>0.002116664631</v>
      </c>
      <c r="BH21" s="353">
        <v>76454.0</v>
      </c>
      <c r="BI21" s="355">
        <f t="shared" si="59"/>
        <v>0.00650002423</v>
      </c>
      <c r="BJ21" s="357"/>
      <c r="BK21" s="358"/>
      <c r="BL21" s="396">
        <v>31938.25</v>
      </c>
      <c r="BM21" s="355">
        <f t="shared" si="46"/>
        <v>0.002427580928</v>
      </c>
      <c r="BN21" s="353">
        <v>69996.0</v>
      </c>
      <c r="BO21" s="355">
        <f t="shared" si="60"/>
        <v>0.006500035845</v>
      </c>
      <c r="BP21" s="357"/>
      <c r="BQ21" s="358"/>
      <c r="BR21" s="360">
        <v>32455.75</v>
      </c>
      <c r="BS21" s="355">
        <f t="shared" si="48"/>
        <v>0.002327547406</v>
      </c>
      <c r="BT21" s="353">
        <v>70571.0</v>
      </c>
      <c r="BU21" s="355">
        <f t="shared" si="61"/>
        <v>0.006499967625</v>
      </c>
      <c r="BV21" s="357"/>
      <c r="BW21" s="358"/>
      <c r="BX21" s="328">
        <f t="shared" si="20"/>
        <v>317124.98</v>
      </c>
      <c r="BY21" s="213"/>
      <c r="BZ21" s="213"/>
      <c r="CA21" s="213"/>
      <c r="CB21" s="213"/>
      <c r="CC21" s="213"/>
      <c r="CD21" s="213"/>
      <c r="CE21" s="213"/>
      <c r="CF21" s="213"/>
      <c r="CG21" s="213"/>
      <c r="CH21" s="213"/>
      <c r="CI21" s="213"/>
      <c r="CJ21" s="213"/>
      <c r="CK21" s="213"/>
      <c r="CL21" s="213"/>
      <c r="CM21" s="213"/>
      <c r="CN21" s="213"/>
      <c r="CO21" s="213"/>
      <c r="CP21" s="213"/>
      <c r="CQ21" s="213"/>
    </row>
    <row r="22" ht="15.75" customHeight="1">
      <c r="A22" s="213"/>
      <c r="B22" s="393"/>
      <c r="C22" s="350" t="s">
        <v>227</v>
      </c>
      <c r="D22" s="351">
        <v>17800.0</v>
      </c>
      <c r="E22" s="355">
        <f t="shared" si="50"/>
        <v>0.001854823583</v>
      </c>
      <c r="F22" s="353">
        <v>0.0</v>
      </c>
      <c r="G22" s="355"/>
      <c r="H22" s="353">
        <f t="shared" si="22"/>
        <v>17800</v>
      </c>
      <c r="I22" s="397" t="str">
        <f t="shared" ref="I22:I23" si="63">IFERROR(H22/F22,"")</f>
        <v/>
      </c>
      <c r="J22" s="351">
        <v>16500.0</v>
      </c>
      <c r="K22" s="355">
        <f t="shared" si="24"/>
        <v>0.001752772734</v>
      </c>
      <c r="L22" s="353">
        <v>0.0</v>
      </c>
      <c r="M22" s="245"/>
      <c r="N22" s="357">
        <f t="shared" si="26"/>
        <v>16500</v>
      </c>
      <c r="O22" s="350"/>
      <c r="P22" s="351">
        <v>14300.0</v>
      </c>
      <c r="Q22" s="355">
        <f t="shared" si="27"/>
        <v>0.0016688716</v>
      </c>
      <c r="R22" s="353"/>
      <c r="S22" s="245"/>
      <c r="T22" s="357">
        <f t="shared" si="29"/>
        <v>14300</v>
      </c>
      <c r="U22" s="395" t="str">
        <f t="shared" si="51"/>
        <v/>
      </c>
      <c r="V22" s="351">
        <v>19800.0</v>
      </c>
      <c r="W22" s="355">
        <f t="shared" si="30"/>
        <v>0.002141479782</v>
      </c>
      <c r="X22" s="353">
        <v>0.0</v>
      </c>
      <c r="Y22" s="355">
        <f t="shared" si="31"/>
        <v>0</v>
      </c>
      <c r="Z22" s="357">
        <f t="shared" si="32"/>
        <v>19800</v>
      </c>
      <c r="AA22" s="395" t="str">
        <f t="shared" si="33"/>
        <v/>
      </c>
      <c r="AB22" s="351">
        <v>20900.0</v>
      </c>
      <c r="AC22" s="355">
        <f t="shared" si="34"/>
        <v>0.002136714782</v>
      </c>
      <c r="AD22" s="353"/>
      <c r="AE22" s="245"/>
      <c r="AF22" s="357"/>
      <c r="AG22" s="350"/>
      <c r="AH22" s="351">
        <v>15300.0</v>
      </c>
      <c r="AI22" s="355">
        <f t="shared" si="36"/>
        <v>0.001781367732</v>
      </c>
      <c r="AJ22" s="353"/>
      <c r="AK22" s="245"/>
      <c r="AL22" s="357"/>
      <c r="AM22" s="350"/>
      <c r="AN22" s="351">
        <v>18000.0</v>
      </c>
      <c r="AO22" s="355">
        <f t="shared" si="38"/>
        <v>0.001294583594</v>
      </c>
      <c r="AP22" s="353"/>
      <c r="AQ22" s="245"/>
      <c r="AR22" s="359"/>
      <c r="AS22" s="350"/>
      <c r="AT22" s="351">
        <v>22800.0</v>
      </c>
      <c r="AU22" s="355">
        <f t="shared" si="40"/>
        <v>0.001487588787</v>
      </c>
      <c r="AV22" s="353"/>
      <c r="AW22" s="245"/>
      <c r="AX22" s="353"/>
      <c r="AY22" s="350"/>
      <c r="AZ22" s="351">
        <v>14400.0</v>
      </c>
      <c r="BA22" s="355">
        <f t="shared" si="42"/>
        <v>0.0009443138373</v>
      </c>
      <c r="BB22" s="353"/>
      <c r="BC22" s="245"/>
      <c r="BD22" s="353"/>
      <c r="BE22" s="350"/>
      <c r="BF22" s="351">
        <v>17700.0</v>
      </c>
      <c r="BG22" s="355">
        <f t="shared" si="44"/>
        <v>0.0010156272</v>
      </c>
      <c r="BH22" s="353"/>
      <c r="BI22" s="245"/>
      <c r="BJ22" s="357"/>
      <c r="BK22" s="350"/>
      <c r="BL22" s="351">
        <v>14400.0</v>
      </c>
      <c r="BM22" s="355">
        <f t="shared" si="46"/>
        <v>0.001094523506</v>
      </c>
      <c r="BN22" s="353"/>
      <c r="BO22" s="245"/>
      <c r="BP22" s="357"/>
      <c r="BQ22" s="350"/>
      <c r="BR22" s="360">
        <v>16800.0</v>
      </c>
      <c r="BS22" s="355">
        <f t="shared" si="48"/>
        <v>0.001204803353</v>
      </c>
      <c r="BT22" s="353"/>
      <c r="BU22" s="245"/>
      <c r="BV22" s="357"/>
      <c r="BW22" s="350"/>
      <c r="BX22" s="328">
        <f t="shared" si="20"/>
        <v>208700</v>
      </c>
      <c r="BY22" s="213"/>
      <c r="BZ22" s="213"/>
      <c r="CA22" s="213"/>
      <c r="CB22" s="213"/>
      <c r="CC22" s="213"/>
      <c r="CD22" s="213"/>
      <c r="CE22" s="213"/>
      <c r="CF22" s="213"/>
      <c r="CG22" s="213"/>
      <c r="CH22" s="213"/>
      <c r="CI22" s="213"/>
      <c r="CJ22" s="213"/>
      <c r="CK22" s="213"/>
      <c r="CL22" s="213"/>
      <c r="CM22" s="213"/>
      <c r="CN22" s="213"/>
      <c r="CO22" s="213"/>
      <c r="CP22" s="213"/>
      <c r="CQ22" s="213"/>
    </row>
    <row r="23" ht="15.75" customHeight="1">
      <c r="A23" s="213"/>
      <c r="B23" s="349"/>
      <c r="C23" s="350" t="s">
        <v>228</v>
      </c>
      <c r="D23" s="351">
        <v>0.0</v>
      </c>
      <c r="E23" s="355">
        <f t="shared" si="50"/>
        <v>0</v>
      </c>
      <c r="F23" s="353">
        <v>0.0</v>
      </c>
      <c r="G23" s="355"/>
      <c r="H23" s="353">
        <f t="shared" si="22"/>
        <v>0</v>
      </c>
      <c r="I23" s="397" t="str">
        <f t="shared" si="63"/>
        <v/>
      </c>
      <c r="J23" s="351">
        <v>0.0</v>
      </c>
      <c r="K23" s="355">
        <f t="shared" si="24"/>
        <v>0</v>
      </c>
      <c r="L23" s="353">
        <v>0.0</v>
      </c>
      <c r="M23" s="245"/>
      <c r="N23" s="357">
        <f t="shared" si="26"/>
        <v>0</v>
      </c>
      <c r="O23" s="350"/>
      <c r="P23" s="351"/>
      <c r="Q23" s="355">
        <f t="shared" si="27"/>
        <v>0</v>
      </c>
      <c r="R23" s="353"/>
      <c r="S23" s="245"/>
      <c r="T23" s="357">
        <f t="shared" si="29"/>
        <v>0</v>
      </c>
      <c r="U23" s="395" t="str">
        <f t="shared" si="51"/>
        <v/>
      </c>
      <c r="V23" s="351">
        <v>0.0</v>
      </c>
      <c r="W23" s="355">
        <f t="shared" si="30"/>
        <v>0</v>
      </c>
      <c r="X23" s="353">
        <v>0.0</v>
      </c>
      <c r="Y23" s="355">
        <f t="shared" si="31"/>
        <v>0</v>
      </c>
      <c r="Z23" s="357">
        <f t="shared" si="32"/>
        <v>0</v>
      </c>
      <c r="AA23" s="395" t="str">
        <f t="shared" si="33"/>
        <v/>
      </c>
      <c r="AB23" s="351"/>
      <c r="AC23" s="355">
        <f t="shared" si="34"/>
        <v>0</v>
      </c>
      <c r="AD23" s="353"/>
      <c r="AE23" s="245"/>
      <c r="AF23" s="357"/>
      <c r="AG23" s="350"/>
      <c r="AH23" s="351"/>
      <c r="AI23" s="355">
        <f t="shared" si="36"/>
        <v>0</v>
      </c>
      <c r="AJ23" s="353"/>
      <c r="AK23" s="245"/>
      <c r="AL23" s="357"/>
      <c r="AM23" s="350"/>
      <c r="AN23" s="351"/>
      <c r="AO23" s="355">
        <f t="shared" si="38"/>
        <v>0</v>
      </c>
      <c r="AP23" s="353"/>
      <c r="AQ23" s="245"/>
      <c r="AR23" s="359"/>
      <c r="AS23" s="350"/>
      <c r="AT23" s="351"/>
      <c r="AU23" s="355">
        <f t="shared" si="40"/>
        <v>0</v>
      </c>
      <c r="AV23" s="353"/>
      <c r="AW23" s="245"/>
      <c r="AX23" s="353"/>
      <c r="AY23" s="350"/>
      <c r="AZ23" s="351"/>
      <c r="BA23" s="355">
        <f t="shared" si="42"/>
        <v>0</v>
      </c>
      <c r="BB23" s="353"/>
      <c r="BC23" s="245"/>
      <c r="BD23" s="353"/>
      <c r="BE23" s="350"/>
      <c r="BF23" s="351"/>
      <c r="BG23" s="355">
        <f t="shared" si="44"/>
        <v>0</v>
      </c>
      <c r="BH23" s="353"/>
      <c r="BI23" s="245"/>
      <c r="BJ23" s="357"/>
      <c r="BK23" s="350"/>
      <c r="BL23" s="351"/>
      <c r="BM23" s="355">
        <f t="shared" si="46"/>
        <v>0</v>
      </c>
      <c r="BN23" s="353"/>
      <c r="BO23" s="245"/>
      <c r="BP23" s="357"/>
      <c r="BQ23" s="350"/>
      <c r="BR23" s="360"/>
      <c r="BS23" s="355">
        <f t="shared" si="48"/>
        <v>0</v>
      </c>
      <c r="BT23" s="353"/>
      <c r="BU23" s="245"/>
      <c r="BV23" s="357"/>
      <c r="BW23" s="350"/>
      <c r="BX23" s="328">
        <f t="shared" si="20"/>
        <v>0</v>
      </c>
      <c r="BY23" s="213"/>
      <c r="BZ23" s="213"/>
      <c r="CA23" s="213"/>
      <c r="CB23" s="213"/>
      <c r="CC23" s="213"/>
      <c r="CD23" s="213"/>
      <c r="CE23" s="213"/>
      <c r="CF23" s="213"/>
      <c r="CG23" s="213"/>
      <c r="CH23" s="213"/>
      <c r="CI23" s="213"/>
      <c r="CJ23" s="213"/>
      <c r="CK23" s="213"/>
      <c r="CL23" s="213"/>
      <c r="CM23" s="213"/>
      <c r="CN23" s="213"/>
      <c r="CO23" s="213"/>
      <c r="CP23" s="213"/>
      <c r="CQ23" s="213"/>
    </row>
    <row r="24" ht="15.75" customHeight="1">
      <c r="A24" s="213"/>
      <c r="B24" s="349"/>
      <c r="C24" s="350" t="s">
        <v>229</v>
      </c>
      <c r="D24" s="351">
        <v>0.0</v>
      </c>
      <c r="E24" s="355">
        <f t="shared" si="50"/>
        <v>0</v>
      </c>
      <c r="F24" s="353">
        <v>0.0</v>
      </c>
      <c r="G24" s="355"/>
      <c r="H24" s="353">
        <f t="shared" si="22"/>
        <v>0</v>
      </c>
      <c r="I24" s="397"/>
      <c r="J24" s="351">
        <v>0.0</v>
      </c>
      <c r="K24" s="355">
        <f t="shared" si="24"/>
        <v>0</v>
      </c>
      <c r="L24" s="353">
        <v>0.0</v>
      </c>
      <c r="M24" s="245"/>
      <c r="N24" s="357">
        <f t="shared" si="26"/>
        <v>0</v>
      </c>
      <c r="O24" s="350"/>
      <c r="P24" s="351"/>
      <c r="Q24" s="355">
        <f t="shared" si="27"/>
        <v>0</v>
      </c>
      <c r="R24" s="353"/>
      <c r="S24" s="245"/>
      <c r="T24" s="357">
        <f t="shared" si="29"/>
        <v>0</v>
      </c>
      <c r="U24" s="395" t="str">
        <f t="shared" si="51"/>
        <v/>
      </c>
      <c r="V24" s="351">
        <v>0.0</v>
      </c>
      <c r="W24" s="355">
        <f t="shared" si="30"/>
        <v>0</v>
      </c>
      <c r="X24" s="353">
        <v>0.0</v>
      </c>
      <c r="Y24" s="355">
        <f t="shared" si="31"/>
        <v>0</v>
      </c>
      <c r="Z24" s="357">
        <f t="shared" si="32"/>
        <v>0</v>
      </c>
      <c r="AA24" s="395" t="str">
        <f t="shared" si="33"/>
        <v/>
      </c>
      <c r="AB24" s="351"/>
      <c r="AC24" s="355">
        <f t="shared" si="34"/>
        <v>0</v>
      </c>
      <c r="AD24" s="353"/>
      <c r="AE24" s="245"/>
      <c r="AF24" s="357"/>
      <c r="AG24" s="350"/>
      <c r="AH24" s="351"/>
      <c r="AI24" s="355">
        <f t="shared" si="36"/>
        <v>0</v>
      </c>
      <c r="AJ24" s="353"/>
      <c r="AK24" s="245"/>
      <c r="AL24" s="357"/>
      <c r="AM24" s="350"/>
      <c r="AN24" s="351"/>
      <c r="AO24" s="355">
        <f t="shared" si="38"/>
        <v>0</v>
      </c>
      <c r="AP24" s="353"/>
      <c r="AQ24" s="245"/>
      <c r="AR24" s="359"/>
      <c r="AS24" s="350"/>
      <c r="AT24" s="351"/>
      <c r="AU24" s="355">
        <f t="shared" si="40"/>
        <v>0</v>
      </c>
      <c r="AV24" s="353"/>
      <c r="AW24" s="245"/>
      <c r="AX24" s="353"/>
      <c r="AY24" s="350"/>
      <c r="AZ24" s="351"/>
      <c r="BA24" s="355">
        <f t="shared" si="42"/>
        <v>0</v>
      </c>
      <c r="BB24" s="353"/>
      <c r="BC24" s="245"/>
      <c r="BD24" s="353"/>
      <c r="BE24" s="350"/>
      <c r="BF24" s="351"/>
      <c r="BG24" s="355">
        <f t="shared" si="44"/>
        <v>0</v>
      </c>
      <c r="BH24" s="353"/>
      <c r="BI24" s="245"/>
      <c r="BJ24" s="357"/>
      <c r="BK24" s="350"/>
      <c r="BL24" s="351"/>
      <c r="BM24" s="355">
        <f t="shared" si="46"/>
        <v>0</v>
      </c>
      <c r="BN24" s="353"/>
      <c r="BO24" s="245"/>
      <c r="BP24" s="357"/>
      <c r="BQ24" s="350"/>
      <c r="BR24" s="360"/>
      <c r="BS24" s="355">
        <f t="shared" si="48"/>
        <v>0</v>
      </c>
      <c r="BT24" s="353"/>
      <c r="BU24" s="245"/>
      <c r="BV24" s="357"/>
      <c r="BW24" s="350"/>
      <c r="BX24" s="328">
        <f t="shared" si="20"/>
        <v>0</v>
      </c>
      <c r="BY24" s="213"/>
      <c r="BZ24" s="213"/>
      <c r="CA24" s="213"/>
      <c r="CB24" s="213"/>
      <c r="CC24" s="213"/>
      <c r="CD24" s="213"/>
      <c r="CE24" s="213"/>
      <c r="CF24" s="213"/>
      <c r="CG24" s="213"/>
      <c r="CH24" s="213"/>
      <c r="CI24" s="213"/>
      <c r="CJ24" s="213"/>
      <c r="CK24" s="213"/>
      <c r="CL24" s="213"/>
      <c r="CM24" s="213"/>
      <c r="CN24" s="213"/>
      <c r="CO24" s="213"/>
      <c r="CP24" s="213"/>
      <c r="CQ24" s="213"/>
    </row>
    <row r="25" ht="15.75" customHeight="1">
      <c r="A25" s="213"/>
      <c r="B25" s="349"/>
      <c r="C25" s="350"/>
      <c r="D25" s="351"/>
      <c r="E25" s="352"/>
      <c r="F25" s="353"/>
      <c r="G25" s="352"/>
      <c r="H25" s="353"/>
      <c r="I25" s="354"/>
      <c r="J25" s="351"/>
      <c r="K25" s="352"/>
      <c r="L25" s="353"/>
      <c r="M25" s="352"/>
      <c r="N25" s="357"/>
      <c r="O25" s="358"/>
      <c r="P25" s="351"/>
      <c r="Q25" s="352"/>
      <c r="R25" s="353"/>
      <c r="S25" s="352"/>
      <c r="T25" s="357">
        <f t="shared" si="29"/>
        <v>0</v>
      </c>
      <c r="U25" s="395" t="str">
        <f t="shared" si="51"/>
        <v/>
      </c>
      <c r="V25" s="351"/>
      <c r="W25" s="355"/>
      <c r="X25" s="353"/>
      <c r="Y25" s="352"/>
      <c r="Z25" s="357"/>
      <c r="AA25" s="358"/>
      <c r="AB25" s="351"/>
      <c r="AC25" s="355"/>
      <c r="AD25" s="353"/>
      <c r="AE25" s="352"/>
      <c r="AF25" s="357"/>
      <c r="AG25" s="358"/>
      <c r="AH25" s="351"/>
      <c r="AI25" s="355"/>
      <c r="AJ25" s="353"/>
      <c r="AK25" s="355"/>
      <c r="AL25" s="357"/>
      <c r="AM25" s="358"/>
      <c r="AN25" s="351"/>
      <c r="AO25" s="355"/>
      <c r="AP25" s="353"/>
      <c r="AQ25" s="352"/>
      <c r="AR25" s="359"/>
      <c r="AS25" s="358"/>
      <c r="AT25" s="351"/>
      <c r="AU25" s="355"/>
      <c r="AV25" s="353"/>
      <c r="AW25" s="352"/>
      <c r="AX25" s="353"/>
      <c r="AY25" s="358"/>
      <c r="AZ25" s="351"/>
      <c r="BA25" s="355"/>
      <c r="BB25" s="353"/>
      <c r="BC25" s="352"/>
      <c r="BD25" s="353"/>
      <c r="BE25" s="358"/>
      <c r="BF25" s="351"/>
      <c r="BG25" s="355"/>
      <c r="BH25" s="353"/>
      <c r="BI25" s="352"/>
      <c r="BJ25" s="357"/>
      <c r="BK25" s="358"/>
      <c r="BL25" s="351"/>
      <c r="BM25" s="355"/>
      <c r="BN25" s="353"/>
      <c r="BO25" s="352"/>
      <c r="BP25" s="357"/>
      <c r="BQ25" s="358"/>
      <c r="BR25" s="360"/>
      <c r="BS25" s="355"/>
      <c r="BT25" s="353"/>
      <c r="BU25" s="352"/>
      <c r="BV25" s="357"/>
      <c r="BW25" s="358"/>
      <c r="BX25" s="328">
        <f t="shared" si="20"/>
        <v>0</v>
      </c>
      <c r="BY25" s="213"/>
      <c r="BZ25" s="213"/>
      <c r="CA25" s="213"/>
      <c r="CB25" s="213"/>
      <c r="CC25" s="213"/>
      <c r="CD25" s="213"/>
      <c r="CE25" s="213"/>
      <c r="CF25" s="213"/>
      <c r="CG25" s="213"/>
      <c r="CH25" s="213"/>
      <c r="CI25" s="213"/>
      <c r="CJ25" s="213"/>
      <c r="CK25" s="213"/>
      <c r="CL25" s="213"/>
      <c r="CM25" s="213"/>
      <c r="CN25" s="213"/>
      <c r="CO25" s="213"/>
      <c r="CP25" s="213"/>
      <c r="CQ25" s="213"/>
    </row>
    <row r="26" ht="15.75" customHeight="1">
      <c r="A26" s="213"/>
      <c r="B26" s="349" t="s">
        <v>22</v>
      </c>
      <c r="C26" s="350" t="s">
        <v>22</v>
      </c>
      <c r="D26" s="351">
        <v>969503.75</v>
      </c>
      <c r="E26" s="355">
        <f>D26/D31</f>
        <v>0.06144403852</v>
      </c>
      <c r="F26" s="353">
        <v>1791811.0</v>
      </c>
      <c r="G26" s="355">
        <f>F26/F31</f>
        <v>0.1233700373</v>
      </c>
      <c r="H26" s="353">
        <f t="shared" ref="H26:H27" si="64">D26-F26</f>
        <v>-822307.25</v>
      </c>
      <c r="I26" s="394">
        <f t="shared" ref="I26:I28" si="65">H26/F26</f>
        <v>-0.4589252159</v>
      </c>
      <c r="J26" s="351">
        <v>942483.0</v>
      </c>
      <c r="K26" s="355">
        <f>J26/J31</f>
        <v>0.06134951614</v>
      </c>
      <c r="L26" s="353">
        <v>1594731.84</v>
      </c>
      <c r="M26" s="355">
        <f t="shared" ref="M26:M28" si="66">L26/$L$31</f>
        <v>0.1196306619</v>
      </c>
      <c r="N26" s="357">
        <v>0.0</v>
      </c>
      <c r="O26" s="358"/>
      <c r="P26" s="351">
        <v>894513.0</v>
      </c>
      <c r="Q26" s="355">
        <f>P26/P31</f>
        <v>0.06551717496</v>
      </c>
      <c r="R26" s="353">
        <v>1550860.0</v>
      </c>
      <c r="S26" s="355">
        <f t="shared" ref="S26:S28" si="67">R26/$R$31</f>
        <v>0.1219455236</v>
      </c>
      <c r="T26" s="357">
        <f t="shared" si="29"/>
        <v>-656347</v>
      </c>
      <c r="U26" s="395">
        <f t="shared" ref="U26:U28" si="68">T26/R26</f>
        <v>-0.4232148614</v>
      </c>
      <c r="V26" s="351">
        <v>922966.0</v>
      </c>
      <c r="W26" s="355">
        <f t="shared" ref="W26:W28" si="69">V26/V$31</f>
        <v>0.06368744281</v>
      </c>
      <c r="X26" s="353">
        <v>1655770.0</v>
      </c>
      <c r="Y26" s="355">
        <f t="shared" ref="Y26:Y28" si="70">X26/$X$31</f>
        <v>0.1233700192</v>
      </c>
      <c r="Z26" s="357">
        <f t="shared" ref="Z26:Z28" si="71">V26-X26</f>
        <v>-732804</v>
      </c>
      <c r="AA26" s="395">
        <f t="shared" ref="AA26:AA28" si="72">Z26/X26</f>
        <v>-0.4425759616</v>
      </c>
      <c r="AB26" s="351">
        <v>1000568.0</v>
      </c>
      <c r="AC26" s="355">
        <f t="shared" ref="AC26:AC28" si="73">AB26/AB$31</f>
        <v>0.06507636181</v>
      </c>
      <c r="AD26" s="353">
        <v>1800760.0</v>
      </c>
      <c r="AE26" s="355">
        <f t="shared" ref="AE26:AE28" si="74">AD26/$AD$31</f>
        <v>0.1233699939</v>
      </c>
      <c r="AF26" s="357">
        <v>0.0</v>
      </c>
      <c r="AG26" s="358"/>
      <c r="AH26" s="351">
        <v>900598.0</v>
      </c>
      <c r="AI26" s="355">
        <f t="shared" ref="AI26:AI28" si="75">AH26/AH$31</f>
        <v>0.06472376596</v>
      </c>
      <c r="AJ26" s="353">
        <v>1734593.0</v>
      </c>
      <c r="AK26" s="355">
        <f t="shared" ref="AK26:AK28" si="76">AJ26/$AJ$31</f>
        <v>0.1233700135</v>
      </c>
      <c r="AL26" s="357">
        <v>0.0</v>
      </c>
      <c r="AM26" s="358"/>
      <c r="AN26" s="351">
        <v>1172858.0</v>
      </c>
      <c r="AO26" s="355">
        <f t="shared" ref="AO26:AO28" si="77">AN26/AN$31</f>
        <v>0.05431279416</v>
      </c>
      <c r="AP26" s="353">
        <v>2087294.0</v>
      </c>
      <c r="AQ26" s="355">
        <f t="shared" ref="AQ26:AQ28" si="78">AP26/$AP$31</f>
        <v>0.1233699959</v>
      </c>
      <c r="AR26" s="359">
        <v>0.0</v>
      </c>
      <c r="AS26" s="358"/>
      <c r="AT26" s="351">
        <v>1351570.0</v>
      </c>
      <c r="AU26" s="355">
        <f t="shared" ref="AU26:AU28" si="79">AT26/AT$31</f>
        <v>0.05617951549</v>
      </c>
      <c r="AV26" s="353">
        <v>2304835.0</v>
      </c>
      <c r="AW26" s="355">
        <f t="shared" ref="AW26:AW28" si="80">AV26/$AV$31</f>
        <v>0.1233700142</v>
      </c>
      <c r="AX26" s="353">
        <v>0.0</v>
      </c>
      <c r="AY26" s="358"/>
      <c r="AZ26" s="351">
        <v>1384165.0</v>
      </c>
      <c r="BA26" s="355">
        <f t="shared" ref="BA26:BA28" si="81">AZ26/AZ$31</f>
        <v>0.05641979594</v>
      </c>
      <c r="BB26" s="353">
        <v>2690750.0</v>
      </c>
      <c r="BC26" s="355">
        <f t="shared" ref="BC26:BC28" si="82">BB26/$BB$31</f>
        <v>0.1233700267</v>
      </c>
      <c r="BD26" s="353">
        <v>0.0</v>
      </c>
      <c r="BE26" s="358"/>
      <c r="BF26" s="351">
        <v>1549628.0</v>
      </c>
      <c r="BG26" s="355">
        <f t="shared" ref="BG26:BG28" si="83">BF26/BF$31</f>
        <v>0.05909048045</v>
      </c>
      <c r="BH26" s="353">
        <v>2479952.0</v>
      </c>
      <c r="BI26" s="355">
        <f t="shared" ref="BI26:BI28" si="84">BH26/$BH$31</f>
        <v>0.123370029</v>
      </c>
      <c r="BJ26" s="357">
        <v>0.0</v>
      </c>
      <c r="BK26" s="358"/>
      <c r="BL26" s="351">
        <v>1235313.0</v>
      </c>
      <c r="BM26" s="355">
        <f t="shared" ref="BM26:BM28" si="85">BL26/BL$31</f>
        <v>0.05722107869</v>
      </c>
      <c r="BN26" s="353">
        <v>2270468.0</v>
      </c>
      <c r="BO26" s="355">
        <f t="shared" ref="BO26:BO28" si="86">BN26/$BN$31</f>
        <v>0.1233699975</v>
      </c>
      <c r="BP26" s="357">
        <v>0.0</v>
      </c>
      <c r="BQ26" s="358"/>
      <c r="BR26" s="360">
        <v>1351005.0</v>
      </c>
      <c r="BS26" s="355">
        <f t="shared" ref="BS26:BS28" si="87">BR26/BR$31</f>
        <v>0.06101504393</v>
      </c>
      <c r="BT26" s="353">
        <v>2289144.0</v>
      </c>
      <c r="BU26" s="355">
        <f t="shared" ref="BU26:BU28" si="88">BT26/$BT$31</f>
        <v>0.1233700242</v>
      </c>
      <c r="BV26" s="357">
        <v>0.0</v>
      </c>
      <c r="BW26" s="358"/>
      <c r="BX26" s="328">
        <f t="shared" si="20"/>
        <v>13675170.75</v>
      </c>
      <c r="BY26" s="213"/>
      <c r="BZ26" s="213"/>
      <c r="CA26" s="213"/>
      <c r="CB26" s="213"/>
      <c r="CC26" s="213"/>
      <c r="CD26" s="213"/>
      <c r="CE26" s="213"/>
      <c r="CF26" s="213"/>
      <c r="CG26" s="213"/>
      <c r="CH26" s="213"/>
      <c r="CI26" s="213"/>
      <c r="CJ26" s="213"/>
      <c r="CK26" s="213"/>
      <c r="CL26" s="213"/>
      <c r="CM26" s="213"/>
      <c r="CN26" s="213"/>
      <c r="CO26" s="213"/>
      <c r="CP26" s="213"/>
      <c r="CQ26" s="213"/>
    </row>
    <row r="27" ht="15.75" customHeight="1">
      <c r="A27" s="213"/>
      <c r="B27" s="349" t="s">
        <v>23</v>
      </c>
      <c r="C27" s="350" t="s">
        <v>23</v>
      </c>
      <c r="D27" s="351">
        <v>3845225.0</v>
      </c>
      <c r="E27" s="355">
        <f>D27/D31</f>
        <v>0.243698029</v>
      </c>
      <c r="F27" s="353">
        <v>3141713.0</v>
      </c>
      <c r="G27" s="355">
        <f>F27/F31</f>
        <v>0.2163136904</v>
      </c>
      <c r="H27" s="353">
        <f t="shared" si="64"/>
        <v>703512</v>
      </c>
      <c r="I27" s="394">
        <f t="shared" si="65"/>
        <v>0.2239262466</v>
      </c>
      <c r="J27" s="351">
        <v>3673718.0</v>
      </c>
      <c r="K27" s="355">
        <f>J27/J31</f>
        <v>0.2391351587</v>
      </c>
      <c r="L27" s="353">
        <v>2576105.0</v>
      </c>
      <c r="M27" s="355">
        <f t="shared" si="66"/>
        <v>0.1932495098</v>
      </c>
      <c r="N27" s="357">
        <v>0.0</v>
      </c>
      <c r="O27" s="358"/>
      <c r="P27" s="351">
        <v>3001035.0</v>
      </c>
      <c r="Q27" s="355">
        <f>P27/P31</f>
        <v>0.2198060119</v>
      </c>
      <c r="R27" s="353">
        <v>2719236.0</v>
      </c>
      <c r="S27" s="355">
        <f t="shared" si="67"/>
        <v>0.2138159845</v>
      </c>
      <c r="T27" s="357">
        <f t="shared" si="29"/>
        <v>281799</v>
      </c>
      <c r="U27" s="395">
        <f t="shared" si="68"/>
        <v>0.1036316818</v>
      </c>
      <c r="V27" s="351">
        <v>3086795.0</v>
      </c>
      <c r="W27" s="355">
        <f t="shared" si="69"/>
        <v>0.212998182</v>
      </c>
      <c r="X27" s="353">
        <v>2903183.0</v>
      </c>
      <c r="Y27" s="355">
        <f t="shared" si="70"/>
        <v>0.2163137044</v>
      </c>
      <c r="Z27" s="357">
        <f t="shared" si="71"/>
        <v>183612</v>
      </c>
      <c r="AA27" s="395">
        <f t="shared" si="72"/>
        <v>0.06324506585</v>
      </c>
      <c r="AB27" s="351">
        <v>3270094.0</v>
      </c>
      <c r="AC27" s="355">
        <f t="shared" si="73"/>
        <v>0.2126850152</v>
      </c>
      <c r="AD27" s="353">
        <v>3157405.0</v>
      </c>
      <c r="AE27" s="355">
        <f t="shared" si="74"/>
        <v>0.2163136874</v>
      </c>
      <c r="AF27" s="357">
        <v>0.0</v>
      </c>
      <c r="AG27" s="358"/>
      <c r="AH27" s="351">
        <v>3225798.0</v>
      </c>
      <c r="AI27" s="355">
        <f t="shared" si="75"/>
        <v>0.2318301781</v>
      </c>
      <c r="AJ27" s="353">
        <v>3041389.0</v>
      </c>
      <c r="AK27" s="355">
        <f t="shared" si="76"/>
        <v>0.216313684</v>
      </c>
      <c r="AL27" s="357">
        <v>0.0</v>
      </c>
      <c r="AM27" s="358"/>
      <c r="AN27" s="351">
        <v>4756212.0</v>
      </c>
      <c r="AO27" s="355">
        <f t="shared" si="77"/>
        <v>0.2202510136</v>
      </c>
      <c r="AP27" s="353">
        <v>3659806.0</v>
      </c>
      <c r="AQ27" s="355">
        <f t="shared" si="78"/>
        <v>0.2163136823</v>
      </c>
      <c r="AR27" s="359">
        <v>0.0</v>
      </c>
      <c r="AS27" s="358"/>
      <c r="AT27" s="351">
        <v>5280039.0</v>
      </c>
      <c r="AU27" s="355">
        <f t="shared" si="79"/>
        <v>0.2194707139</v>
      </c>
      <c r="AV27" s="353">
        <v>4041236.0</v>
      </c>
      <c r="AW27" s="355">
        <f t="shared" si="80"/>
        <v>0.2163136809</v>
      </c>
      <c r="AX27" s="353">
        <v>0.0</v>
      </c>
      <c r="AY27" s="358"/>
      <c r="AZ27" s="351">
        <v>5807862.0</v>
      </c>
      <c r="BA27" s="355">
        <f t="shared" si="81"/>
        <v>0.2367336184</v>
      </c>
      <c r="BB27" s="353">
        <v>4717889.0</v>
      </c>
      <c r="BC27" s="355">
        <f t="shared" si="82"/>
        <v>0.2163137013</v>
      </c>
      <c r="BD27" s="353">
        <v>0.0</v>
      </c>
      <c r="BE27" s="358"/>
      <c r="BF27" s="351">
        <v>5163104.0</v>
      </c>
      <c r="BG27" s="355">
        <f t="shared" si="83"/>
        <v>0.1968797001</v>
      </c>
      <c r="BH27" s="353">
        <v>4348281.0</v>
      </c>
      <c r="BI27" s="355">
        <f t="shared" si="84"/>
        <v>0.2163136839</v>
      </c>
      <c r="BJ27" s="357">
        <v>0.0</v>
      </c>
      <c r="BK27" s="358"/>
      <c r="BL27" s="351">
        <v>5377221.0</v>
      </c>
      <c r="BM27" s="355">
        <f t="shared" si="85"/>
        <v>0.249078886</v>
      </c>
      <c r="BN27" s="353">
        <v>3980979.0</v>
      </c>
      <c r="BO27" s="355">
        <f t="shared" si="86"/>
        <v>0.2163137156</v>
      </c>
      <c r="BP27" s="357">
        <v>0.0</v>
      </c>
      <c r="BQ27" s="358"/>
      <c r="BR27" s="360">
        <v>4989608.0</v>
      </c>
      <c r="BS27" s="355">
        <f t="shared" si="87"/>
        <v>0.2253442077</v>
      </c>
      <c r="BT27" s="353">
        <v>4013724.0</v>
      </c>
      <c r="BU27" s="355">
        <f t="shared" si="88"/>
        <v>0.2163137081</v>
      </c>
      <c r="BV27" s="357">
        <v>0.0</v>
      </c>
      <c r="BW27" s="358"/>
      <c r="BX27" s="328">
        <f t="shared" si="20"/>
        <v>51476711</v>
      </c>
      <c r="BY27" s="213"/>
      <c r="BZ27" s="213"/>
      <c r="CA27" s="213"/>
      <c r="CB27" s="213"/>
      <c r="CC27" s="213"/>
      <c r="CD27" s="213"/>
      <c r="CE27" s="213"/>
      <c r="CF27" s="213"/>
      <c r="CG27" s="213"/>
      <c r="CH27" s="213"/>
      <c r="CI27" s="213"/>
      <c r="CJ27" s="213"/>
      <c r="CK27" s="213"/>
      <c r="CL27" s="213"/>
      <c r="CM27" s="213"/>
      <c r="CN27" s="213"/>
      <c r="CO27" s="213"/>
      <c r="CP27" s="213"/>
      <c r="CQ27" s="213"/>
    </row>
    <row r="28" ht="15.75" customHeight="1">
      <c r="A28" s="213"/>
      <c r="B28" s="349" t="s">
        <v>24</v>
      </c>
      <c r="C28" s="350" t="s">
        <v>230</v>
      </c>
      <c r="D28" s="398">
        <f>SUM(D16:D21)</f>
        <v>9578800</v>
      </c>
      <c r="E28" s="355">
        <f>D28/D31</f>
        <v>0.6070736252</v>
      </c>
      <c r="F28" s="353">
        <f>SUM(F16:F21)</f>
        <v>8498340</v>
      </c>
      <c r="G28" s="355">
        <f>F28/F31</f>
        <v>0.5851289687</v>
      </c>
      <c r="H28" s="399">
        <f>SUM(H16:H21)</f>
        <v>1080460</v>
      </c>
      <c r="I28" s="394">
        <f t="shared" si="65"/>
        <v>0.1271377704</v>
      </c>
      <c r="J28" s="398">
        <f>SUM(J16:J21)</f>
        <v>9397156.25</v>
      </c>
      <c r="K28" s="355">
        <f>J28/J31</f>
        <v>0.6116937802</v>
      </c>
      <c r="L28" s="399">
        <f>SUM(L16:L21)</f>
        <v>8162302.88</v>
      </c>
      <c r="M28" s="355">
        <f t="shared" si="66"/>
        <v>0.6123046346</v>
      </c>
      <c r="N28" s="400">
        <f>SUM(N16:N21)</f>
        <v>1234853.37</v>
      </c>
      <c r="O28" s="358"/>
      <c r="P28" s="398">
        <f>SUM(P16:P21)</f>
        <v>8554364</v>
      </c>
      <c r="Q28" s="355">
        <f>P28/P31</f>
        <v>0.6265507185</v>
      </c>
      <c r="R28" s="399">
        <f>SUM(R16:R21)</f>
        <v>7355539</v>
      </c>
      <c r="S28" s="355">
        <f t="shared" si="67"/>
        <v>0.57837268</v>
      </c>
      <c r="T28" s="357">
        <f t="shared" si="29"/>
        <v>1198825</v>
      </c>
      <c r="U28" s="395">
        <f t="shared" si="68"/>
        <v>0.1629826176</v>
      </c>
      <c r="V28" s="398">
        <f>SUM(V16:V21)</f>
        <v>9226143</v>
      </c>
      <c r="W28" s="355">
        <f t="shared" si="69"/>
        <v>0.6366317445</v>
      </c>
      <c r="X28" s="399">
        <f>SUM(X16:X21)</f>
        <v>7853116</v>
      </c>
      <c r="Y28" s="355">
        <f t="shared" si="70"/>
        <v>0.5851290163</v>
      </c>
      <c r="Z28" s="357">
        <f t="shared" si="71"/>
        <v>1373027</v>
      </c>
      <c r="AA28" s="395">
        <f t="shared" si="72"/>
        <v>0.1748384972</v>
      </c>
      <c r="AB28" s="398">
        <f>SUM(AB16:AB21)</f>
        <v>9760471</v>
      </c>
      <c r="AC28" s="355">
        <f t="shared" si="73"/>
        <v>0.6348153671</v>
      </c>
      <c r="AD28" s="353">
        <f>SUM(AD16:AD21)</f>
        <v>8540788</v>
      </c>
      <c r="AE28" s="355">
        <f t="shared" si="74"/>
        <v>0.5851290365</v>
      </c>
      <c r="AF28" s="400">
        <f>SUM(AF16:AF21)</f>
        <v>0</v>
      </c>
      <c r="AG28" s="358"/>
      <c r="AH28" s="398">
        <f>SUM(AH16:AH21)</f>
        <v>8573606</v>
      </c>
      <c r="AI28" s="355">
        <f t="shared" si="75"/>
        <v>0.6161640023</v>
      </c>
      <c r="AJ28" s="399">
        <f>SUM(AJ16:AJ21)</f>
        <v>8226964</v>
      </c>
      <c r="AK28" s="355">
        <f t="shared" si="76"/>
        <v>0.5851289957</v>
      </c>
      <c r="AL28" s="400">
        <f>SUM(AL16:AL21)</f>
        <v>0</v>
      </c>
      <c r="AM28" s="358"/>
      <c r="AN28" s="398">
        <f>SUM(AN16:AN21)</f>
        <v>13904084.75</v>
      </c>
      <c r="AO28" s="355">
        <f t="shared" si="77"/>
        <v>0.6438713748</v>
      </c>
      <c r="AP28" s="399">
        <f>SUM(AP16:AP21)</f>
        <v>9899784</v>
      </c>
      <c r="AQ28" s="355">
        <f t="shared" si="78"/>
        <v>0.5851290291</v>
      </c>
      <c r="AR28" s="401">
        <f>SUM(AR16:AR21)</f>
        <v>0</v>
      </c>
      <c r="AS28" s="358"/>
      <c r="AT28" s="398">
        <f>SUM(AT16:AT21)</f>
        <v>15326816.25</v>
      </c>
      <c r="AU28" s="355">
        <f t="shared" si="79"/>
        <v>0.6370762232</v>
      </c>
      <c r="AV28" s="353">
        <f>SUM(AV16:AV21)</f>
        <v>10931553</v>
      </c>
      <c r="AW28" s="355">
        <f t="shared" si="80"/>
        <v>0.5851290219</v>
      </c>
      <c r="AX28" s="399">
        <f>SUM(AX16:AX21)</f>
        <v>0</v>
      </c>
      <c r="AY28" s="358"/>
      <c r="AZ28" s="398">
        <f>SUM(AZ16:AZ21)</f>
        <v>15234767.63</v>
      </c>
      <c r="BA28" s="355">
        <f t="shared" si="81"/>
        <v>0.6209826725</v>
      </c>
      <c r="BB28" s="399">
        <f>SUM(BB16:BB21)</f>
        <v>12761899</v>
      </c>
      <c r="BC28" s="355">
        <f t="shared" si="82"/>
        <v>0.5851289864</v>
      </c>
      <c r="BD28" s="399">
        <f>SUM(BD16:BD21)</f>
        <v>0</v>
      </c>
      <c r="BE28" s="358"/>
      <c r="BF28" s="398">
        <f>SUM(BF16:BF21)</f>
        <v>17427654.56</v>
      </c>
      <c r="BG28" s="355">
        <f t="shared" si="83"/>
        <v>0.6645520609</v>
      </c>
      <c r="BH28" s="399">
        <f>SUM(BH16:BH21)</f>
        <v>11762110</v>
      </c>
      <c r="BI28" s="355">
        <f t="shared" si="84"/>
        <v>0.5851290073</v>
      </c>
      <c r="BJ28" s="400">
        <f>SUM(BJ16:BJ21)</f>
        <v>0</v>
      </c>
      <c r="BK28" s="358"/>
      <c r="BL28" s="398">
        <f>SUM(BL16:BL21)</f>
        <v>13142010</v>
      </c>
      <c r="BM28" s="355">
        <f t="shared" si="85"/>
        <v>0.6087525901</v>
      </c>
      <c r="BN28" s="399">
        <f>SUM(BN16:BN21)</f>
        <v>10768556</v>
      </c>
      <c r="BO28" s="355">
        <f t="shared" si="86"/>
        <v>0.5851290247</v>
      </c>
      <c r="BP28" s="400">
        <f>SUM(BP16:BP21)</f>
        <v>0</v>
      </c>
      <c r="BQ28" s="358"/>
      <c r="BR28" s="402">
        <f>SUM(BR16:BR21)</f>
        <v>13927384.3</v>
      </c>
      <c r="BS28" s="355">
        <f t="shared" si="87"/>
        <v>0.6289983863</v>
      </c>
      <c r="BT28" s="399">
        <f>SUM(BT16:BT21)</f>
        <v>10857131</v>
      </c>
      <c r="BU28" s="355">
        <f t="shared" si="88"/>
        <v>0.585128989</v>
      </c>
      <c r="BV28" s="400">
        <f>SUM(BV16:BV21)</f>
        <v>0</v>
      </c>
      <c r="BW28" s="358"/>
      <c r="BX28" s="328">
        <f t="shared" si="20"/>
        <v>144053257.7</v>
      </c>
      <c r="BY28" s="213"/>
      <c r="BZ28" s="213"/>
      <c r="CA28" s="213"/>
      <c r="CB28" s="213"/>
      <c r="CC28" s="213"/>
      <c r="CD28" s="213"/>
      <c r="CE28" s="213"/>
      <c r="CF28" s="213"/>
      <c r="CG28" s="213"/>
      <c r="CH28" s="213"/>
      <c r="CI28" s="213"/>
      <c r="CJ28" s="213"/>
      <c r="CK28" s="213"/>
      <c r="CL28" s="213"/>
      <c r="CM28" s="213"/>
      <c r="CN28" s="213"/>
      <c r="CO28" s="213"/>
      <c r="CP28" s="213"/>
      <c r="CQ28" s="213"/>
    </row>
    <row r="29" ht="15.75" customHeight="1">
      <c r="A29" s="213"/>
      <c r="B29" s="393"/>
      <c r="C29" s="350"/>
      <c r="D29" s="351"/>
      <c r="E29" s="352"/>
      <c r="F29" s="353"/>
      <c r="G29" s="355"/>
      <c r="H29" s="353"/>
      <c r="I29" s="354"/>
      <c r="J29" s="351"/>
      <c r="K29" s="352"/>
      <c r="L29" s="353"/>
      <c r="M29" s="355"/>
      <c r="N29" s="352"/>
      <c r="O29" s="358"/>
      <c r="P29" s="351"/>
      <c r="Q29" s="352"/>
      <c r="R29" s="353"/>
      <c r="S29" s="355"/>
      <c r="T29" s="352"/>
      <c r="U29" s="358"/>
      <c r="V29" s="351"/>
      <c r="W29" s="352"/>
      <c r="X29" s="353"/>
      <c r="Y29" s="352"/>
      <c r="Z29" s="352"/>
      <c r="AA29" s="358"/>
      <c r="AB29" s="351"/>
      <c r="AC29" s="352"/>
      <c r="AD29" s="353"/>
      <c r="AE29" s="352"/>
      <c r="AF29" s="352"/>
      <c r="AG29" s="358"/>
      <c r="AH29" s="351"/>
      <c r="AI29" s="352"/>
      <c r="AJ29" s="353"/>
      <c r="AK29" s="355"/>
      <c r="AL29" s="352"/>
      <c r="AM29" s="358"/>
      <c r="AN29" s="351"/>
      <c r="AO29" s="352"/>
      <c r="AP29" s="353"/>
      <c r="AQ29" s="355"/>
      <c r="AR29" s="359"/>
      <c r="AS29" s="358"/>
      <c r="AT29" s="351"/>
      <c r="AU29" s="352"/>
      <c r="AV29" s="353"/>
      <c r="AW29" s="352"/>
      <c r="AX29" s="353"/>
      <c r="AY29" s="358"/>
      <c r="AZ29" s="351"/>
      <c r="BA29" s="352"/>
      <c r="BB29" s="353"/>
      <c r="BC29" s="355"/>
      <c r="BD29" s="353"/>
      <c r="BE29" s="358"/>
      <c r="BF29" s="351"/>
      <c r="BG29" s="352"/>
      <c r="BH29" s="353"/>
      <c r="BI29" s="355"/>
      <c r="BJ29" s="352"/>
      <c r="BK29" s="358"/>
      <c r="BL29" s="351"/>
      <c r="BM29" s="352"/>
      <c r="BN29" s="353"/>
      <c r="BO29" s="352"/>
      <c r="BP29" s="352"/>
      <c r="BQ29" s="358"/>
      <c r="BR29" s="360"/>
      <c r="BS29" s="352"/>
      <c r="BT29" s="353"/>
      <c r="BU29" s="355"/>
      <c r="BV29" s="352"/>
      <c r="BW29" s="358"/>
      <c r="BX29" s="213"/>
      <c r="BY29" s="213"/>
      <c r="BZ29" s="213"/>
      <c r="CA29" s="213"/>
      <c r="CB29" s="213"/>
      <c r="CC29" s="213"/>
      <c r="CD29" s="213"/>
      <c r="CE29" s="213"/>
      <c r="CF29" s="213"/>
      <c r="CG29" s="213"/>
      <c r="CH29" s="213"/>
      <c r="CI29" s="213"/>
      <c r="CJ29" s="213"/>
      <c r="CK29" s="213"/>
      <c r="CL29" s="213"/>
      <c r="CM29" s="213"/>
      <c r="CN29" s="213"/>
      <c r="CO29" s="213"/>
      <c r="CP29" s="213"/>
      <c r="CQ29" s="213"/>
    </row>
    <row r="30" ht="15.75" customHeight="1">
      <c r="A30" s="213"/>
      <c r="B30" s="403"/>
      <c r="C30" s="362" t="s">
        <v>231</v>
      </c>
      <c r="D30" s="363">
        <f>106738.53+51462+876396.55+332720.454</f>
        <v>1367317.534</v>
      </c>
      <c r="E30" s="404">
        <f>D30/D31</f>
        <v>0.08665620037</v>
      </c>
      <c r="F30" s="365">
        <v>1092011.0</v>
      </c>
      <c r="G30" s="404">
        <f>F30/F31</f>
        <v>0.07518730366</v>
      </c>
      <c r="H30" s="365">
        <f>D30-F30</f>
        <v>275306.534</v>
      </c>
      <c r="I30" s="405">
        <f>H30/F30</f>
        <v>0.2521096711</v>
      </c>
      <c r="J30" s="363">
        <f>965288+367372</f>
        <v>1332660</v>
      </c>
      <c r="K30" s="404">
        <f>J30/J31</f>
        <v>0.08674750227</v>
      </c>
      <c r="L30" s="365">
        <v>997321.0</v>
      </c>
      <c r="M30" s="404">
        <f>L30/$L$31</f>
        <v>0.07481519363</v>
      </c>
      <c r="N30" s="364"/>
      <c r="O30" s="368"/>
      <c r="P30" s="363">
        <f>888792+300103</f>
        <v>1188895</v>
      </c>
      <c r="Q30" s="404">
        <f>P30/P31</f>
        <v>0.08707871402</v>
      </c>
      <c r="R30" s="365">
        <v>1092011.0</v>
      </c>
      <c r="S30" s="404">
        <f>R30/$R$31</f>
        <v>0.08586581196</v>
      </c>
      <c r="T30" s="367">
        <f>P30-R30</f>
        <v>96884</v>
      </c>
      <c r="U30" s="368"/>
      <c r="V30" s="363">
        <v>1236415.0</v>
      </c>
      <c r="W30" s="404">
        <f>V30/V$31</f>
        <v>0.08531637092</v>
      </c>
      <c r="X30" s="365">
        <v>1009101.0</v>
      </c>
      <c r="Y30" s="404">
        <f>X30/X$31</f>
        <v>0.07518726013</v>
      </c>
      <c r="Z30" s="367">
        <f>V30-X30</f>
        <v>227314</v>
      </c>
      <c r="AA30" s="406">
        <f>Z30/X30</f>
        <v>0.2252638735</v>
      </c>
      <c r="AB30" s="363">
        <f>996248+327010</f>
        <v>1323258</v>
      </c>
      <c r="AC30" s="404">
        <f>AB30/AB$31</f>
        <v>0.08606393206</v>
      </c>
      <c r="AD30" s="365">
        <v>1097465.0</v>
      </c>
      <c r="AE30" s="404">
        <f>AD30/$AD$31</f>
        <v>0.07518728225</v>
      </c>
      <c r="AF30" s="364"/>
      <c r="AG30" s="368"/>
      <c r="AH30" s="363">
        <f>876605+322580</f>
        <v>1199185</v>
      </c>
      <c r="AI30" s="404">
        <f>AH30/AH$31</f>
        <v>0.08618248017</v>
      </c>
      <c r="AJ30" s="365">
        <v>1057140.0</v>
      </c>
      <c r="AK30" s="404">
        <f>AJ30/$AJ$31</f>
        <v>0.07518730682</v>
      </c>
      <c r="AL30" s="364"/>
      <c r="AM30" s="368"/>
      <c r="AN30" s="363">
        <v>1743352.0</v>
      </c>
      <c r="AO30" s="404">
        <f>AN30/AN$31</f>
        <v>0.08073127209</v>
      </c>
      <c r="AP30" s="365">
        <v>1272092.0</v>
      </c>
      <c r="AQ30" s="404">
        <f>AP30/$AP$31</f>
        <v>0.07518729266</v>
      </c>
      <c r="AR30" s="369"/>
      <c r="AS30" s="368"/>
      <c r="AT30" s="363">
        <f>1947508+129324</f>
        <v>2076832</v>
      </c>
      <c r="AU30" s="404">
        <f>AT30/AT$31</f>
        <v>0.08632583996</v>
      </c>
      <c r="AV30" s="365">
        <v>1404671.0</v>
      </c>
      <c r="AW30" s="404">
        <f>AV30/$AV$31</f>
        <v>0.07518728293</v>
      </c>
      <c r="AX30" s="365"/>
      <c r="AY30" s="368"/>
      <c r="AZ30" s="363">
        <f>1521981+570146</f>
        <v>2092127</v>
      </c>
      <c r="BA30" s="404">
        <f>AZ30/AZ$31</f>
        <v>0.08527695644</v>
      </c>
      <c r="BB30" s="365">
        <v>1639865.0</v>
      </c>
      <c r="BC30" s="404">
        <f>BB30/$BB$31</f>
        <v>0.07518728563</v>
      </c>
      <c r="BD30" s="365"/>
      <c r="BE30" s="368"/>
      <c r="BF30" s="363">
        <f>1557586.62+508990.9</f>
        <v>2066577.52</v>
      </c>
      <c r="BG30" s="404">
        <f>BF30/BF$31</f>
        <v>0.07880282141</v>
      </c>
      <c r="BH30" s="365">
        <v>1511395.0</v>
      </c>
      <c r="BI30" s="404">
        <f>BH30/$BH$31</f>
        <v>0.07518727983</v>
      </c>
      <c r="BJ30" s="364"/>
      <c r="BK30" s="368"/>
      <c r="BL30" s="363">
        <f>1294707+524774.6</f>
        <v>1819481.6</v>
      </c>
      <c r="BM30" s="404">
        <f>BL30/BL$31</f>
        <v>0.08428042108</v>
      </c>
      <c r="BN30" s="365">
        <v>1383726.0</v>
      </c>
      <c r="BO30" s="404">
        <f>BN30/$BN$31</f>
        <v>0.07518726232</v>
      </c>
      <c r="BP30" s="364"/>
      <c r="BQ30" s="368"/>
      <c r="BR30" s="370">
        <f>1365880.91+491484</f>
        <v>1857364.91</v>
      </c>
      <c r="BS30" s="404">
        <f>BR30/BR$31</f>
        <v>0.08388362854</v>
      </c>
      <c r="BT30" s="365">
        <v>1395108.0</v>
      </c>
      <c r="BU30" s="404">
        <f>BT30/$BT$31</f>
        <v>0.07518727863</v>
      </c>
      <c r="BV30" s="364"/>
      <c r="BW30" s="368"/>
      <c r="BX30" s="328">
        <f t="shared" ref="BX30:BX31" si="89">SUM(D30,J30,P30,V30,AB30,AH30,AN30,AT30,AZ30,BF30,BL30,BR30)</f>
        <v>19303465.56</v>
      </c>
      <c r="BY30" s="213"/>
      <c r="BZ30" s="213"/>
      <c r="CA30" s="213"/>
      <c r="CB30" s="213"/>
      <c r="CC30" s="213"/>
      <c r="CD30" s="213"/>
      <c r="CE30" s="213"/>
      <c r="CF30" s="213"/>
      <c r="CG30" s="213"/>
      <c r="CH30" s="213"/>
      <c r="CI30" s="213"/>
      <c r="CJ30" s="213"/>
      <c r="CK30" s="213"/>
      <c r="CL30" s="213"/>
      <c r="CM30" s="213"/>
      <c r="CN30" s="213"/>
      <c r="CO30" s="213"/>
      <c r="CP30" s="213"/>
      <c r="CQ30" s="213"/>
    </row>
    <row r="31" ht="15.75" customHeight="1">
      <c r="A31" s="213"/>
      <c r="B31" s="407"/>
      <c r="C31" s="372" t="s">
        <v>232</v>
      </c>
      <c r="D31" s="373">
        <f>D26+D27+D28+D30+D22+D23+D24</f>
        <v>15778646.28</v>
      </c>
      <c r="E31" s="408"/>
      <c r="F31" s="373">
        <f>F26+F27+F28+F30+F22+F23+F24</f>
        <v>14523875</v>
      </c>
      <c r="G31" s="408"/>
      <c r="H31" s="373">
        <f>H26+H27+H28+H30+H22+H23+H24</f>
        <v>1254771.284</v>
      </c>
      <c r="I31" s="409"/>
      <c r="J31" s="373">
        <f>J26+J27+J28+J30+J22+J23+J24</f>
        <v>15362517.25</v>
      </c>
      <c r="K31" s="408"/>
      <c r="L31" s="373">
        <f>L26+L27+L28+L30+L22+L23+L24</f>
        <v>13330460.72</v>
      </c>
      <c r="M31" s="408"/>
      <c r="N31" s="373">
        <f>N26+N27+N28+N30+N22+N23+N24</f>
        <v>1251353.37</v>
      </c>
      <c r="O31" s="378"/>
      <c r="P31" s="373">
        <f>P26+P27+P28+P30+P22+P23+P24</f>
        <v>13653107</v>
      </c>
      <c r="Q31" s="408"/>
      <c r="R31" s="373">
        <f>R26+R27+R28+R30+R22+R23+R24</f>
        <v>12717646</v>
      </c>
      <c r="S31" s="408"/>
      <c r="T31" s="373">
        <f>T26+T27+T28+T30+T22+T23+T24</f>
        <v>935461</v>
      </c>
      <c r="U31" s="378"/>
      <c r="V31" s="373">
        <f>V26+V27+V28+V30+V22+V23+V24</f>
        <v>14492119</v>
      </c>
      <c r="W31" s="408"/>
      <c r="X31" s="373">
        <f>X26+X27+X28+X30+X22+X23+X24</f>
        <v>13421170</v>
      </c>
      <c r="Y31" s="408"/>
      <c r="Z31" s="373">
        <f>Z26+Z27+Z28+Z30+Z22+Z23+Z24</f>
        <v>1070949</v>
      </c>
      <c r="AA31" s="378"/>
      <c r="AB31" s="373">
        <f>AB26+AB27+AB28+AB30+AB22+AB23+AB24</f>
        <v>15375291</v>
      </c>
      <c r="AC31" s="408"/>
      <c r="AD31" s="373">
        <f>AD26+AD27+AD28+AD30+AD22+AD23+AD24</f>
        <v>14596418</v>
      </c>
      <c r="AE31" s="408"/>
      <c r="AF31" s="373">
        <f>AF26+AF27+AF28+AF30+AF22+AF23+AF24</f>
        <v>0</v>
      </c>
      <c r="AG31" s="378"/>
      <c r="AH31" s="373">
        <f>AH26+AH27+AH28+AH30+AH22+AH23+AH24</f>
        <v>13914487</v>
      </c>
      <c r="AI31" s="408"/>
      <c r="AJ31" s="373">
        <f>AJ26+AJ27+AJ28+AJ30+AJ22+AJ23+AJ24</f>
        <v>14060086</v>
      </c>
      <c r="AK31" s="408"/>
      <c r="AL31" s="373">
        <f>AL26+AL27+AL28+AL30+AL22+AL23+AL24</f>
        <v>0</v>
      </c>
      <c r="AM31" s="378"/>
      <c r="AN31" s="373">
        <f>AN26+AN27+AN28+AN30+AN22+AN23+AN24</f>
        <v>21594506.75</v>
      </c>
      <c r="AO31" s="408"/>
      <c r="AP31" s="373">
        <f>AP26+AP27+AP28+AP30+AP22+AP23+AP24</f>
        <v>16918976</v>
      </c>
      <c r="AQ31" s="408"/>
      <c r="AR31" s="373">
        <f>AR26+AR27+AR28+AR30+AR22+AR23+AR24</f>
        <v>0</v>
      </c>
      <c r="AS31" s="378"/>
      <c r="AT31" s="373">
        <f>AT26+AT27+AT28+AT30+AT22+AT23+AT24</f>
        <v>24058057.25</v>
      </c>
      <c r="AU31" s="408"/>
      <c r="AV31" s="373">
        <f>AV26+AV27+AV28+AV30+AV22+AV23+AV24</f>
        <v>18682295</v>
      </c>
      <c r="AW31" s="408"/>
      <c r="AX31" s="375">
        <f>AX26+AX27+AX28+AX30</f>
        <v>0</v>
      </c>
      <c r="AY31" s="378"/>
      <c r="AZ31" s="373">
        <f>AZ26+AZ27+AZ28+AZ30+AZ22+AZ23+AZ24</f>
        <v>24533321.63</v>
      </c>
      <c r="BA31" s="408"/>
      <c r="BB31" s="373">
        <f>BB26+BB27+BB28+BB30+BB22+BB23+BB24</f>
        <v>21810403</v>
      </c>
      <c r="BC31" s="408"/>
      <c r="BD31" s="375">
        <f>BD26+BD27+BD28+BD30</f>
        <v>0</v>
      </c>
      <c r="BE31" s="378"/>
      <c r="BF31" s="373">
        <f>BF26+BF27+BF28+BF30+BF22+BF23+BF24</f>
        <v>26224664.08</v>
      </c>
      <c r="BG31" s="408"/>
      <c r="BH31" s="373">
        <f>BH26+BH27+BH28+BH30+BH22+BH23+BH24</f>
        <v>20101738</v>
      </c>
      <c r="BI31" s="408"/>
      <c r="BJ31" s="373">
        <f>BJ26+BJ27+BJ28+BJ30+BJ22+BJ23+BJ24</f>
        <v>0</v>
      </c>
      <c r="BK31" s="378"/>
      <c r="BL31" s="373">
        <f>BL26+BL27+BL28+BL30+BL22+BL23+BL24</f>
        <v>21588425.6</v>
      </c>
      <c r="BM31" s="408"/>
      <c r="BN31" s="373">
        <f>BN26+BN27+BN28+BN30+BN22+BN23+BN24</f>
        <v>18403729</v>
      </c>
      <c r="BO31" s="408"/>
      <c r="BP31" s="377">
        <f>BP26+BP27+BP28+BP30</f>
        <v>0</v>
      </c>
      <c r="BQ31" s="378"/>
      <c r="BR31" s="373">
        <f>BR26+BR27+BR28+BR30+BR22+BR23+BR24</f>
        <v>22142162.21</v>
      </c>
      <c r="BS31" s="408"/>
      <c r="BT31" s="373">
        <f>BT26+BT27+BT28+BT30+BT22+BT23+BT24</f>
        <v>18555107</v>
      </c>
      <c r="BU31" s="408"/>
      <c r="BV31" s="373">
        <f>BV26+BV27+BV28+BV30+BV22+BV23+BV24</f>
        <v>0</v>
      </c>
      <c r="BW31" s="378"/>
      <c r="BX31" s="328">
        <f t="shared" si="89"/>
        <v>228717305.1</v>
      </c>
      <c r="BY31" s="216"/>
      <c r="BZ31" s="216"/>
      <c r="CA31" s="216"/>
      <c r="CB31" s="216"/>
      <c r="CC31" s="216"/>
      <c r="CD31" s="216"/>
      <c r="CE31" s="216"/>
      <c r="CF31" s="216"/>
      <c r="CG31" s="216"/>
      <c r="CH31" s="216"/>
      <c r="CI31" s="216"/>
      <c r="CJ31" s="216"/>
      <c r="CK31" s="216"/>
      <c r="CL31" s="216"/>
      <c r="CM31" s="216"/>
      <c r="CN31" s="216"/>
      <c r="CO31" s="216"/>
      <c r="CP31" s="216"/>
      <c r="CQ31" s="216"/>
    </row>
    <row r="32" ht="15.75" customHeight="1">
      <c r="A32" s="213"/>
      <c r="B32" s="349"/>
      <c r="C32" s="358"/>
      <c r="D32" s="351"/>
      <c r="E32" s="352"/>
      <c r="F32" s="353"/>
      <c r="G32" s="352"/>
      <c r="H32" s="353"/>
      <c r="I32" s="354"/>
      <c r="J32" s="351"/>
      <c r="K32" s="352"/>
      <c r="L32" s="353"/>
      <c r="M32" s="352"/>
      <c r="N32" s="352"/>
      <c r="O32" s="358"/>
      <c r="P32" s="351"/>
      <c r="Q32" s="352"/>
      <c r="R32" s="353"/>
      <c r="S32" s="352"/>
      <c r="T32" s="352"/>
      <c r="U32" s="358"/>
      <c r="V32" s="351"/>
      <c r="W32" s="352"/>
      <c r="X32" s="353"/>
      <c r="Y32" s="352"/>
      <c r="Z32" s="352"/>
      <c r="AA32" s="358"/>
      <c r="AB32" s="351"/>
      <c r="AC32" s="352"/>
      <c r="AD32" s="353"/>
      <c r="AE32" s="352"/>
      <c r="AF32" s="352"/>
      <c r="AG32" s="358"/>
      <c r="AH32" s="351"/>
      <c r="AI32" s="352"/>
      <c r="AJ32" s="353"/>
      <c r="AK32" s="352"/>
      <c r="AL32" s="352"/>
      <c r="AM32" s="358"/>
      <c r="AN32" s="351"/>
      <c r="AO32" s="352"/>
      <c r="AP32" s="353"/>
      <c r="AQ32" s="352"/>
      <c r="AR32" s="359"/>
      <c r="AS32" s="358"/>
      <c r="AT32" s="351"/>
      <c r="AU32" s="352"/>
      <c r="AV32" s="353"/>
      <c r="AW32" s="352"/>
      <c r="AX32" s="353"/>
      <c r="AY32" s="358"/>
      <c r="AZ32" s="351"/>
      <c r="BA32" s="352"/>
      <c r="BB32" s="353"/>
      <c r="BC32" s="352"/>
      <c r="BD32" s="353"/>
      <c r="BE32" s="358"/>
      <c r="BF32" s="351"/>
      <c r="BG32" s="352"/>
      <c r="BH32" s="353"/>
      <c r="BI32" s="352"/>
      <c r="BJ32" s="352"/>
      <c r="BK32" s="358"/>
      <c r="BL32" s="351"/>
      <c r="BM32" s="352"/>
      <c r="BN32" s="353"/>
      <c r="BO32" s="352"/>
      <c r="BP32" s="352"/>
      <c r="BQ32" s="358"/>
      <c r="BR32" s="360"/>
      <c r="BS32" s="352"/>
      <c r="BT32" s="353"/>
      <c r="BU32" s="352"/>
      <c r="BV32" s="352"/>
      <c r="BW32" s="358"/>
      <c r="BX32" s="213"/>
      <c r="BY32" s="213"/>
      <c r="BZ32" s="213"/>
      <c r="CA32" s="213"/>
      <c r="CB32" s="213"/>
      <c r="CC32" s="213"/>
      <c r="CD32" s="213"/>
      <c r="CE32" s="213"/>
      <c r="CF32" s="213"/>
      <c r="CG32" s="213"/>
      <c r="CH32" s="213"/>
      <c r="CI32" s="213"/>
      <c r="CJ32" s="213"/>
      <c r="CK32" s="213"/>
      <c r="CL32" s="213"/>
      <c r="CM32" s="213"/>
      <c r="CN32" s="213"/>
      <c r="CO32" s="213"/>
      <c r="CP32" s="213"/>
      <c r="CQ32" s="213"/>
    </row>
    <row r="33" ht="15.75" customHeight="1">
      <c r="A33" s="213"/>
      <c r="B33" s="410" t="s">
        <v>233</v>
      </c>
      <c r="C33" s="350"/>
      <c r="D33" s="351"/>
      <c r="E33" s="352"/>
      <c r="F33" s="353"/>
      <c r="G33" s="352"/>
      <c r="H33" s="353"/>
      <c r="I33" s="354"/>
      <c r="J33" s="351"/>
      <c r="K33" s="352"/>
      <c r="L33" s="353"/>
      <c r="M33" s="352"/>
      <c r="N33" s="352"/>
      <c r="O33" s="358"/>
      <c r="P33" s="351"/>
      <c r="Q33" s="352"/>
      <c r="R33" s="353"/>
      <c r="S33" s="352"/>
      <c r="T33" s="352"/>
      <c r="U33" s="358"/>
      <c r="V33" s="351"/>
      <c r="W33" s="352"/>
      <c r="X33" s="353"/>
      <c r="Y33" s="352"/>
      <c r="Z33" s="352"/>
      <c r="AA33" s="358"/>
      <c r="AB33" s="351"/>
      <c r="AC33" s="352"/>
      <c r="AD33" s="353"/>
      <c r="AE33" s="352"/>
      <c r="AF33" s="352"/>
      <c r="AG33" s="358"/>
      <c r="AH33" s="351"/>
      <c r="AI33" s="352"/>
      <c r="AJ33" s="353"/>
      <c r="AK33" s="352"/>
      <c r="AL33" s="352"/>
      <c r="AM33" s="358"/>
      <c r="AN33" s="351"/>
      <c r="AO33" s="352"/>
      <c r="AP33" s="353"/>
      <c r="AQ33" s="352"/>
      <c r="AR33" s="359"/>
      <c r="AS33" s="358"/>
      <c r="AT33" s="351"/>
      <c r="AU33" s="352"/>
      <c r="AV33" s="353"/>
      <c r="AW33" s="352"/>
      <c r="AX33" s="353"/>
      <c r="AY33" s="358"/>
      <c r="AZ33" s="351"/>
      <c r="BA33" s="352"/>
      <c r="BB33" s="353"/>
      <c r="BC33" s="352"/>
      <c r="BD33" s="353"/>
      <c r="BE33" s="358"/>
      <c r="BF33" s="351"/>
      <c r="BG33" s="352"/>
      <c r="BH33" s="353"/>
      <c r="BI33" s="352"/>
      <c r="BJ33" s="352"/>
      <c r="BK33" s="358"/>
      <c r="BL33" s="351"/>
      <c r="BM33" s="352"/>
      <c r="BN33" s="353"/>
      <c r="BO33" s="352"/>
      <c r="BP33" s="352"/>
      <c r="BQ33" s="358"/>
      <c r="BR33" s="360"/>
      <c r="BS33" s="352"/>
      <c r="BT33" s="353"/>
      <c r="BU33" s="352"/>
      <c r="BV33" s="352"/>
      <c r="BW33" s="358"/>
      <c r="BX33" s="213"/>
      <c r="BY33" s="213"/>
      <c r="BZ33" s="213"/>
      <c r="CA33" s="213"/>
      <c r="CB33" s="213"/>
      <c r="CC33" s="213"/>
      <c r="CD33" s="213"/>
      <c r="CE33" s="213"/>
      <c r="CF33" s="213"/>
      <c r="CG33" s="213"/>
      <c r="CH33" s="213"/>
      <c r="CI33" s="213"/>
      <c r="CJ33" s="213"/>
      <c r="CK33" s="213"/>
      <c r="CL33" s="213"/>
      <c r="CM33" s="213"/>
      <c r="CN33" s="213"/>
      <c r="CO33" s="213"/>
      <c r="CP33" s="213"/>
      <c r="CQ33" s="213"/>
    </row>
    <row r="34" ht="15.75" customHeight="1">
      <c r="A34" s="213"/>
      <c r="B34" s="349" t="s">
        <v>29</v>
      </c>
      <c r="C34" s="350"/>
      <c r="D34" s="351"/>
      <c r="E34" s="352"/>
      <c r="F34" s="353"/>
      <c r="G34" s="352"/>
      <c r="H34" s="353"/>
      <c r="I34" s="354"/>
      <c r="J34" s="351"/>
      <c r="K34" s="352"/>
      <c r="L34" s="353"/>
      <c r="M34" s="352"/>
      <c r="N34" s="352"/>
      <c r="O34" s="358"/>
      <c r="P34" s="351"/>
      <c r="Q34" s="352"/>
      <c r="R34" s="353"/>
      <c r="S34" s="352"/>
      <c r="T34" s="352"/>
      <c r="U34" s="358"/>
      <c r="V34" s="351"/>
      <c r="W34" s="352"/>
      <c r="X34" s="353"/>
      <c r="Y34" s="352"/>
      <c r="Z34" s="352"/>
      <c r="AA34" s="358"/>
      <c r="AB34" s="351"/>
      <c r="AC34" s="352"/>
      <c r="AD34" s="353"/>
      <c r="AE34" s="352"/>
      <c r="AF34" s="352"/>
      <c r="AG34" s="358"/>
      <c r="AH34" s="351"/>
      <c r="AI34" s="352"/>
      <c r="AJ34" s="353"/>
      <c r="AK34" s="352"/>
      <c r="AL34" s="352"/>
      <c r="AM34" s="358"/>
      <c r="AN34" s="351"/>
      <c r="AO34" s="352"/>
      <c r="AP34" s="353"/>
      <c r="AQ34" s="352"/>
      <c r="AR34" s="359"/>
      <c r="AS34" s="358"/>
      <c r="AT34" s="351"/>
      <c r="AU34" s="352"/>
      <c r="AV34" s="353"/>
      <c r="AW34" s="352"/>
      <c r="AX34" s="353"/>
      <c r="AY34" s="358"/>
      <c r="AZ34" s="351"/>
      <c r="BA34" s="352"/>
      <c r="BB34" s="353"/>
      <c r="BC34" s="352"/>
      <c r="BD34" s="353"/>
      <c r="BE34" s="358"/>
      <c r="BF34" s="351"/>
      <c r="BG34" s="352"/>
      <c r="BH34" s="353"/>
      <c r="BI34" s="352"/>
      <c r="BJ34" s="352"/>
      <c r="BK34" s="358"/>
      <c r="BL34" s="351"/>
      <c r="BM34" s="352"/>
      <c r="BN34" s="353"/>
      <c r="BO34" s="352"/>
      <c r="BP34" s="352"/>
      <c r="BQ34" s="358"/>
      <c r="BR34" s="360"/>
      <c r="BS34" s="352"/>
      <c r="BT34" s="353"/>
      <c r="BU34" s="352"/>
      <c r="BV34" s="352"/>
      <c r="BW34" s="358"/>
      <c r="BX34" s="213"/>
      <c r="BY34" s="213"/>
      <c r="BZ34" s="213"/>
      <c r="CA34" s="213"/>
      <c r="CB34" s="213"/>
      <c r="CC34" s="213"/>
      <c r="CD34" s="213"/>
      <c r="CE34" s="213"/>
      <c r="CF34" s="213"/>
      <c r="CG34" s="213"/>
      <c r="CH34" s="213"/>
      <c r="CI34" s="213"/>
      <c r="CJ34" s="213"/>
      <c r="CK34" s="213"/>
      <c r="CL34" s="213"/>
      <c r="CM34" s="213"/>
      <c r="CN34" s="213"/>
      <c r="CO34" s="213"/>
      <c r="CP34" s="213"/>
      <c r="CQ34" s="213"/>
    </row>
    <row r="35" ht="15.75" customHeight="1">
      <c r="A35" s="213"/>
      <c r="B35" s="393"/>
      <c r="C35" s="411" t="s">
        <v>234</v>
      </c>
      <c r="D35" s="351"/>
      <c r="E35" s="352"/>
      <c r="F35" s="353"/>
      <c r="G35" s="352"/>
      <c r="H35" s="353"/>
      <c r="I35" s="354"/>
      <c r="J35" s="351"/>
      <c r="K35" s="352"/>
      <c r="L35" s="353"/>
      <c r="M35" s="352"/>
      <c r="N35" s="352"/>
      <c r="O35" s="358"/>
      <c r="P35" s="351"/>
      <c r="Q35" s="352"/>
      <c r="R35" s="353"/>
      <c r="S35" s="352"/>
      <c r="T35" s="352"/>
      <c r="U35" s="358"/>
      <c r="V35" s="351"/>
      <c r="W35" s="352"/>
      <c r="X35" s="353"/>
      <c r="Y35" s="352"/>
      <c r="Z35" s="352"/>
      <c r="AA35" s="358"/>
      <c r="AB35" s="351"/>
      <c r="AC35" s="352"/>
      <c r="AD35" s="353"/>
      <c r="AE35" s="352"/>
      <c r="AF35" s="352"/>
      <c r="AG35" s="358"/>
      <c r="AH35" s="351"/>
      <c r="AI35" s="352"/>
      <c r="AJ35" s="353"/>
      <c r="AK35" s="352"/>
      <c r="AL35" s="352"/>
      <c r="AM35" s="358"/>
      <c r="AN35" s="351"/>
      <c r="AO35" s="352"/>
      <c r="AP35" s="353"/>
      <c r="AQ35" s="352"/>
      <c r="AR35" s="359"/>
      <c r="AS35" s="358"/>
      <c r="AT35" s="351"/>
      <c r="AU35" s="352"/>
      <c r="AV35" s="353"/>
      <c r="AW35" s="352"/>
      <c r="AX35" s="353"/>
      <c r="AY35" s="358"/>
      <c r="AZ35" s="351"/>
      <c r="BA35" s="352"/>
      <c r="BB35" s="353"/>
      <c r="BC35" s="352"/>
      <c r="BD35" s="353"/>
      <c r="BE35" s="358"/>
      <c r="BF35" s="351"/>
      <c r="BG35" s="352"/>
      <c r="BH35" s="353"/>
      <c r="BI35" s="352"/>
      <c r="BJ35" s="352"/>
      <c r="BK35" s="358"/>
      <c r="BL35" s="351"/>
      <c r="BM35" s="352"/>
      <c r="BN35" s="353"/>
      <c r="BO35" s="352"/>
      <c r="BP35" s="352"/>
      <c r="BQ35" s="358"/>
      <c r="BR35" s="360"/>
      <c r="BS35" s="352"/>
      <c r="BT35" s="353"/>
      <c r="BU35" s="352"/>
      <c r="BV35" s="352"/>
      <c r="BW35" s="358"/>
      <c r="BX35" s="213"/>
      <c r="BY35" s="213"/>
      <c r="BZ35" s="213"/>
      <c r="CA35" s="213"/>
      <c r="CB35" s="213"/>
      <c r="CC35" s="213"/>
      <c r="CD35" s="213"/>
      <c r="CE35" s="213"/>
      <c r="CF35" s="213"/>
      <c r="CG35" s="213"/>
      <c r="CH35" s="213"/>
      <c r="CI35" s="213"/>
      <c r="CJ35" s="213"/>
      <c r="CK35" s="213"/>
      <c r="CL35" s="213"/>
      <c r="CM35" s="213"/>
      <c r="CN35" s="213"/>
      <c r="CO35" s="213"/>
      <c r="CP35" s="213"/>
      <c r="CQ35" s="213"/>
    </row>
    <row r="36" ht="15.75" customHeight="1">
      <c r="A36" s="213"/>
      <c r="B36" s="393"/>
      <c r="C36" s="350" t="s">
        <v>235</v>
      </c>
      <c r="D36" s="351">
        <f>'MSBC CK Allocation'!C30</f>
        <v>526645.014</v>
      </c>
      <c r="E36" s="355">
        <f>D36/D28</f>
        <v>0.05498027039</v>
      </c>
      <c r="F36" s="353">
        <f>G36*F28</f>
        <v>169966.8</v>
      </c>
      <c r="G36" s="412">
        <v>0.02</v>
      </c>
      <c r="H36" s="353">
        <f t="shared" ref="H36:H40" si="90">D36-F36</f>
        <v>356678.214</v>
      </c>
      <c r="I36" s="394">
        <f t="shared" ref="I36:I43" si="91">H36/F36</f>
        <v>2.098516969</v>
      </c>
      <c r="J36" s="351">
        <f>'MSBC CK Allocation'!D30</f>
        <v>444557.2448</v>
      </c>
      <c r="K36" s="355">
        <f>J36/J28</f>
        <v>0.04730763574</v>
      </c>
      <c r="L36" s="353">
        <f>M36*L28</f>
        <v>163246.0576</v>
      </c>
      <c r="M36" s="355">
        <v>0.02</v>
      </c>
      <c r="N36" s="352"/>
      <c r="O36" s="358"/>
      <c r="P36" s="351">
        <f>'MSBC CK Allocation'!E30</f>
        <v>512680.2732</v>
      </c>
      <c r="Q36" s="355">
        <f>P36/P28</f>
        <v>0.0599320152</v>
      </c>
      <c r="R36" s="353">
        <f>S36*R28</f>
        <v>147110.78</v>
      </c>
      <c r="S36" s="355">
        <v>0.02</v>
      </c>
      <c r="T36" s="352"/>
      <c r="U36" s="358"/>
      <c r="V36" s="351">
        <f>'MSBC CK Allocation'!F30</f>
        <v>538827.6631</v>
      </c>
      <c r="W36" s="355">
        <f>V36/V28</f>
        <v>0.0584022666</v>
      </c>
      <c r="X36" s="353">
        <f>Y36*X28</f>
        <v>157062.32</v>
      </c>
      <c r="Y36" s="355">
        <v>0.02</v>
      </c>
      <c r="Z36" s="357">
        <f t="shared" ref="Z36:Z38" si="92">V36-X36</f>
        <v>381765.3431</v>
      </c>
      <c r="AA36" s="395">
        <f t="shared" ref="AA36:AA38" si="93">Z36/X36</f>
        <v>2.430661556</v>
      </c>
      <c r="AB36" s="351">
        <f>'MSBC CK Allocation'!G30</f>
        <v>495926.2793</v>
      </c>
      <c r="AC36" s="355">
        <f>AB36/AB28</f>
        <v>0.05080966679</v>
      </c>
      <c r="AD36" s="353">
        <f>AE36*AD28</f>
        <v>170815.76</v>
      </c>
      <c r="AE36" s="355">
        <v>0.02</v>
      </c>
      <c r="AF36" s="352"/>
      <c r="AG36" s="358"/>
      <c r="AH36" s="351">
        <f>'MSBC CK Allocation'!H30</f>
        <v>478994.0817</v>
      </c>
      <c r="AI36" s="355">
        <f>AH36/AH$31</f>
        <v>0.03442412801</v>
      </c>
      <c r="AJ36" s="353">
        <f>AK36*AJ28</f>
        <v>164539.28</v>
      </c>
      <c r="AK36" s="355">
        <v>0.02</v>
      </c>
      <c r="AL36" s="352"/>
      <c r="AM36" s="358"/>
      <c r="AN36" s="351">
        <f>'MSBC CK Allocation'!I19</f>
        <v>380892.6298</v>
      </c>
      <c r="AO36" s="355">
        <f>AN36/AN$31</f>
        <v>0.01763840379</v>
      </c>
      <c r="AP36" s="353">
        <f>AQ36*AP28</f>
        <v>197995.68</v>
      </c>
      <c r="AQ36" s="355">
        <v>0.02</v>
      </c>
      <c r="AR36" s="359"/>
      <c r="AS36" s="358"/>
      <c r="AT36" s="351">
        <f>'MSBC CK Allocation'!J30</f>
        <v>541333.7411</v>
      </c>
      <c r="AU36" s="355">
        <f>AT36/AT$31</f>
        <v>0.02250114112</v>
      </c>
      <c r="AV36" s="353">
        <f>AW36*AV28</f>
        <v>218631.06</v>
      </c>
      <c r="AW36" s="355">
        <v>0.02</v>
      </c>
      <c r="AX36" s="353"/>
      <c r="AY36" s="358"/>
      <c r="AZ36" s="351">
        <f>'MSBC CK Allocation'!K30</f>
        <v>342913.4366</v>
      </c>
      <c r="BA36" s="355">
        <f>AZ36/AZ$31</f>
        <v>0.01397745653</v>
      </c>
      <c r="BB36" s="353">
        <f>BC36*BB28</f>
        <v>255237.98</v>
      </c>
      <c r="BC36" s="355">
        <v>0.02</v>
      </c>
      <c r="BD36" s="353"/>
      <c r="BE36" s="358"/>
      <c r="BF36" s="396">
        <v>276437.0</v>
      </c>
      <c r="BG36" s="413">
        <v>0.02</v>
      </c>
      <c r="BH36" s="353">
        <f>BI36*BH28</f>
        <v>235242.2</v>
      </c>
      <c r="BI36" s="355">
        <v>0.02</v>
      </c>
      <c r="BJ36" s="352"/>
      <c r="BK36" s="358"/>
      <c r="BL36" s="396">
        <v>239049.0</v>
      </c>
      <c r="BM36" s="355">
        <f>BL36/BL$31</f>
        <v>0.01107301683</v>
      </c>
      <c r="BN36" s="353">
        <f>BO36*BN28</f>
        <v>215371.12</v>
      </c>
      <c r="BO36" s="355">
        <v>0.02</v>
      </c>
      <c r="BP36" s="352"/>
      <c r="BQ36" s="358"/>
      <c r="BR36" s="414">
        <v>228678.0</v>
      </c>
      <c r="BS36" s="355">
        <f>BR36/BR$31</f>
        <v>0.01032771767</v>
      </c>
      <c r="BT36" s="353">
        <f>BU36*BT28</f>
        <v>217142.62</v>
      </c>
      <c r="BU36" s="355">
        <v>0.02</v>
      </c>
      <c r="BV36" s="352"/>
      <c r="BW36" s="358"/>
      <c r="BX36" s="213"/>
      <c r="BY36" s="213"/>
      <c r="BZ36" s="213"/>
      <c r="CA36" s="213"/>
      <c r="CB36" s="213"/>
      <c r="CC36" s="213"/>
      <c r="CD36" s="213"/>
      <c r="CE36" s="213"/>
      <c r="CF36" s="213"/>
      <c r="CG36" s="213"/>
      <c r="CH36" s="213"/>
      <c r="CI36" s="213"/>
      <c r="CJ36" s="213"/>
      <c r="CK36" s="213"/>
      <c r="CL36" s="213"/>
      <c r="CM36" s="213"/>
      <c r="CN36" s="213"/>
      <c r="CO36" s="213"/>
      <c r="CP36" s="213"/>
      <c r="CQ36" s="213"/>
    </row>
    <row r="37" ht="15.75" customHeight="1">
      <c r="A37" s="213"/>
      <c r="B37" s="393"/>
      <c r="C37" s="350" t="s">
        <v>236</v>
      </c>
      <c r="D37" s="351">
        <f>E37*D28</f>
        <v>3754889.6</v>
      </c>
      <c r="E37" s="355">
        <v>0.392</v>
      </c>
      <c r="F37" s="353">
        <f>G37*F28</f>
        <v>2889435.6</v>
      </c>
      <c r="G37" s="355">
        <v>0.34</v>
      </c>
      <c r="H37" s="353">
        <f t="shared" si="90"/>
        <v>865454</v>
      </c>
      <c r="I37" s="394">
        <f t="shared" si="91"/>
        <v>0.2995235471</v>
      </c>
      <c r="J37" s="351">
        <f>K37*J28</f>
        <v>3866929.797</v>
      </c>
      <c r="K37" s="355">
        <v>0.4115</v>
      </c>
      <c r="L37" s="353">
        <f>M37*L28</f>
        <v>2775182.979</v>
      </c>
      <c r="M37" s="355">
        <v>0.34</v>
      </c>
      <c r="N37" s="352"/>
      <c r="O37" s="358"/>
      <c r="P37" s="351">
        <f>3725854.66563648-150000</f>
        <v>3575854.666</v>
      </c>
      <c r="Q37" s="355">
        <f>P37/$P$28</f>
        <v>0.418015257</v>
      </c>
      <c r="R37" s="353">
        <f>S37*R28</f>
        <v>2500883.26</v>
      </c>
      <c r="S37" s="355">
        <v>0.34</v>
      </c>
      <c r="T37" s="352"/>
      <c r="U37" s="358"/>
      <c r="V37" s="351">
        <v>3829283.48981486</v>
      </c>
      <c r="W37" s="355">
        <f>V37/V28</f>
        <v>0.4150470559</v>
      </c>
      <c r="X37" s="353">
        <f>Y37*X28</f>
        <v>2670059.44</v>
      </c>
      <c r="Y37" s="355">
        <v>0.34</v>
      </c>
      <c r="Z37" s="357">
        <f t="shared" si="92"/>
        <v>1159224.05</v>
      </c>
      <c r="AA37" s="395">
        <f t="shared" si="93"/>
        <v>0.4341566455</v>
      </c>
      <c r="AB37" s="351">
        <v>4118401.86830205</v>
      </c>
      <c r="AC37" s="355">
        <f>AB37/AB28</f>
        <v>0.4219470421</v>
      </c>
      <c r="AD37" s="353">
        <f>AE37*AD28</f>
        <v>2903867.92</v>
      </c>
      <c r="AE37" s="355">
        <v>0.34</v>
      </c>
      <c r="AF37" s="352"/>
      <c r="AG37" s="358"/>
      <c r="AH37" s="351">
        <v>3628894.37</v>
      </c>
      <c r="AI37" s="355">
        <f>AH37/AH28</f>
        <v>0.4232634868</v>
      </c>
      <c r="AJ37" s="353">
        <f>AK37*AJ28</f>
        <v>2797167.76</v>
      </c>
      <c r="AK37" s="355">
        <v>0.34</v>
      </c>
      <c r="AL37" s="352"/>
      <c r="AM37" s="358"/>
      <c r="AN37" s="351">
        <v>3941462.34</v>
      </c>
      <c r="AO37" s="355">
        <f>AN37/AN28</f>
        <v>0.2834751378</v>
      </c>
      <c r="AP37" s="353">
        <f>AQ37*AP28</f>
        <v>3365926.56</v>
      </c>
      <c r="AQ37" s="355">
        <v>0.34</v>
      </c>
      <c r="AR37" s="359"/>
      <c r="AS37" s="358"/>
      <c r="AT37" s="351">
        <v>4414177.06</v>
      </c>
      <c r="AU37" s="355">
        <f>AT37/AT28</f>
        <v>0.2880035219</v>
      </c>
      <c r="AV37" s="353">
        <f>AW37*AV28</f>
        <v>3716728.02</v>
      </c>
      <c r="AW37" s="355">
        <v>0.34</v>
      </c>
      <c r="AX37" s="353"/>
      <c r="AY37" s="358"/>
      <c r="AZ37" s="351">
        <v>4836493.04</v>
      </c>
      <c r="BA37" s="355">
        <f>AZ37/AZ28</f>
        <v>0.3174641818</v>
      </c>
      <c r="BB37" s="353">
        <f>BC37*BB28</f>
        <v>4339045.66</v>
      </c>
      <c r="BC37" s="355">
        <v>0.34</v>
      </c>
      <c r="BD37" s="353"/>
      <c r="BE37" s="358"/>
      <c r="BF37" s="351">
        <v>5256320.02</v>
      </c>
      <c r="BG37" s="355">
        <f>BF37/BF28</f>
        <v>0.3016079991</v>
      </c>
      <c r="BH37" s="353">
        <f>BI37*BH28</f>
        <v>3999117.4</v>
      </c>
      <c r="BI37" s="355">
        <v>0.34</v>
      </c>
      <c r="BJ37" s="352"/>
      <c r="BK37" s="358"/>
      <c r="BL37" s="351">
        <v>4313555.66</v>
      </c>
      <c r="BM37" s="355">
        <f>BL37/BL28</f>
        <v>0.3282264783</v>
      </c>
      <c r="BN37" s="353">
        <f>BO37*BN28</f>
        <v>3661309.04</v>
      </c>
      <c r="BO37" s="355">
        <v>0.34</v>
      </c>
      <c r="BP37" s="352"/>
      <c r="BQ37" s="358"/>
      <c r="BR37" s="360">
        <v>4564103.735944768</v>
      </c>
      <c r="BS37" s="355">
        <f t="shared" ref="BS37:BS40" si="94">BR37/$BR$28</f>
        <v>0.327707173</v>
      </c>
      <c r="BT37" s="353">
        <f>BU37*BT28</f>
        <v>3691424.54</v>
      </c>
      <c r="BU37" s="355">
        <v>0.34</v>
      </c>
      <c r="BV37" s="352"/>
      <c r="BW37" s="358"/>
      <c r="BX37" s="213"/>
      <c r="BY37" s="213"/>
      <c r="BZ37" s="213"/>
      <c r="CA37" s="213"/>
      <c r="CB37" s="213"/>
      <c r="CC37" s="213"/>
      <c r="CD37" s="213"/>
      <c r="CE37" s="213"/>
      <c r="CF37" s="213"/>
      <c r="CG37" s="213"/>
      <c r="CH37" s="213"/>
      <c r="CI37" s="213"/>
      <c r="CJ37" s="213"/>
      <c r="CK37" s="213"/>
      <c r="CL37" s="213"/>
      <c r="CM37" s="213"/>
      <c r="CN37" s="213"/>
      <c r="CO37" s="213"/>
      <c r="CP37" s="213"/>
      <c r="CQ37" s="213"/>
    </row>
    <row r="38" ht="15.75" customHeight="1">
      <c r="A38" s="213"/>
      <c r="B38" s="393"/>
      <c r="C38" s="350" t="s">
        <v>22</v>
      </c>
      <c r="D38" s="351">
        <f t="shared" ref="D38:D39" si="95">E38*D26</f>
        <v>308689.994</v>
      </c>
      <c r="E38" s="355">
        <v>0.3184</v>
      </c>
      <c r="F38" s="353">
        <f t="shared" ref="F38:F39" si="96">G38*F26</f>
        <v>447952.75</v>
      </c>
      <c r="G38" s="355">
        <v>0.25</v>
      </c>
      <c r="H38" s="353">
        <f t="shared" si="90"/>
        <v>-139262.756</v>
      </c>
      <c r="I38" s="394">
        <f t="shared" si="91"/>
        <v>-0.310887155</v>
      </c>
      <c r="J38" s="351">
        <f t="shared" ref="J38:J39" si="97">K38*J26</f>
        <v>280954.1823</v>
      </c>
      <c r="K38" s="355">
        <v>0.2981</v>
      </c>
      <c r="L38" s="353">
        <f t="shared" ref="L38:L39" si="98">M38*L26</f>
        <v>398682.96</v>
      </c>
      <c r="M38" s="355">
        <v>0.25</v>
      </c>
      <c r="N38" s="352"/>
      <c r="O38" s="358"/>
      <c r="P38" s="351">
        <v>259078.05</v>
      </c>
      <c r="Q38" s="355">
        <f>P38/$P$26</f>
        <v>0.2896302793</v>
      </c>
      <c r="R38" s="353">
        <f t="shared" ref="R38:R39" si="99">S38*R26</f>
        <v>387715</v>
      </c>
      <c r="S38" s="355">
        <v>0.25</v>
      </c>
      <c r="T38" s="352"/>
      <c r="U38" s="358"/>
      <c r="V38" s="351">
        <v>242268.0</v>
      </c>
      <c r="W38" s="355">
        <f t="shared" ref="W38:W39" si="100">V38/V26</f>
        <v>0.2624885424</v>
      </c>
      <c r="X38" s="353">
        <f t="shared" ref="X38:X39" si="101">Y38*X26</f>
        <v>413942.5</v>
      </c>
      <c r="Y38" s="355">
        <v>0.25</v>
      </c>
      <c r="Z38" s="357">
        <f t="shared" si="92"/>
        <v>-171674.5</v>
      </c>
      <c r="AA38" s="395">
        <f t="shared" si="93"/>
        <v>-0.4147303067</v>
      </c>
      <c r="AB38" s="351">
        <f>228787.963031791+34798.5176905506</f>
        <v>263586.4807</v>
      </c>
      <c r="AC38" s="355">
        <f t="shared" ref="AC38:AC39" si="102">AB38/AB26</f>
        <v>0.2634368486</v>
      </c>
      <c r="AD38" s="353">
        <f t="shared" ref="AD38:AD39" si="103">AE38*AD26</f>
        <v>450190</v>
      </c>
      <c r="AE38" s="355">
        <v>0.25</v>
      </c>
      <c r="AF38" s="352"/>
      <c r="AG38" s="358"/>
      <c r="AH38" s="351">
        <f>31196.36+253512.59</f>
        <v>284708.95</v>
      </c>
      <c r="AI38" s="355">
        <f t="shared" ref="AI38:AI39" si="104">AH38/AH26</f>
        <v>0.3161332248</v>
      </c>
      <c r="AJ38" s="353">
        <f t="shared" ref="AJ38:AJ39" si="105">AK38*AJ26</f>
        <v>433648.25</v>
      </c>
      <c r="AK38" s="355">
        <v>0.25</v>
      </c>
      <c r="AL38" s="352"/>
      <c r="AM38" s="358"/>
      <c r="AN38" s="351">
        <v>245490.0</v>
      </c>
      <c r="AO38" s="355">
        <f t="shared" ref="AO38:AO39" si="106">AN38/AN26</f>
        <v>0.2093092258</v>
      </c>
      <c r="AP38" s="353">
        <f t="shared" ref="AP38:AP39" si="107">AQ38*AP26</f>
        <v>521823.5</v>
      </c>
      <c r="AQ38" s="355">
        <v>0.25</v>
      </c>
      <c r="AR38" s="359"/>
      <c r="AS38" s="358"/>
      <c r="AT38" s="351">
        <v>328921.0</v>
      </c>
      <c r="AU38" s="355">
        <f t="shared" ref="AU38:AU39" si="108">AT38/AT26</f>
        <v>0.243362164</v>
      </c>
      <c r="AV38" s="353">
        <f t="shared" ref="AV38:AV39" si="109">AW38*AV26</f>
        <v>576208.75</v>
      </c>
      <c r="AW38" s="355">
        <v>0.25</v>
      </c>
      <c r="AX38" s="353"/>
      <c r="AY38" s="358"/>
      <c r="AZ38" s="351">
        <v>271898.54</v>
      </c>
      <c r="BA38" s="355">
        <f t="shared" ref="BA38:BA39" si="110">AZ38/AZ26</f>
        <v>0.1964350637</v>
      </c>
      <c r="BB38" s="353">
        <f t="shared" ref="BB38:BB39" si="111">BC38*BB26</f>
        <v>672687.5</v>
      </c>
      <c r="BC38" s="355">
        <v>0.25</v>
      </c>
      <c r="BD38" s="353"/>
      <c r="BE38" s="358"/>
      <c r="BF38" s="351">
        <v>276304.51</v>
      </c>
      <c r="BG38" s="355">
        <f t="shared" ref="BG38:BG39" si="112">BF38/BF26</f>
        <v>0.1783037671</v>
      </c>
      <c r="BH38" s="353">
        <f t="shared" ref="BH38:BH39" si="113">BI38*BH26</f>
        <v>619988</v>
      </c>
      <c r="BI38" s="355">
        <v>0.25</v>
      </c>
      <c r="BJ38" s="352"/>
      <c r="BK38" s="358"/>
      <c r="BL38" s="396">
        <v>219257.63</v>
      </c>
      <c r="BM38" s="355">
        <f t="shared" ref="BM38:BM39" si="114">BL38/BL26</f>
        <v>0.1774915588</v>
      </c>
      <c r="BN38" s="353">
        <f t="shared" ref="BN38:BN39" si="115">BO38*BN26</f>
        <v>567617</v>
      </c>
      <c r="BO38" s="355">
        <v>0.25</v>
      </c>
      <c r="BP38" s="352"/>
      <c r="BQ38" s="358"/>
      <c r="BR38" s="414">
        <v>228655.96</v>
      </c>
      <c r="BS38" s="355">
        <f t="shared" si="94"/>
        <v>0.01641772461</v>
      </c>
      <c r="BT38" s="353">
        <f t="shared" ref="BT38:BT39" si="116">BU38*BT26</f>
        <v>572286</v>
      </c>
      <c r="BU38" s="355">
        <v>0.25</v>
      </c>
      <c r="BV38" s="352"/>
      <c r="BW38" s="358"/>
      <c r="BX38" s="213"/>
      <c r="BY38" s="213"/>
      <c r="BZ38" s="213"/>
      <c r="CA38" s="213"/>
      <c r="CB38" s="213"/>
      <c r="CC38" s="213"/>
      <c r="CD38" s="213"/>
      <c r="CE38" s="213"/>
      <c r="CF38" s="213"/>
      <c r="CG38" s="213"/>
      <c r="CH38" s="213"/>
      <c r="CI38" s="213"/>
      <c r="CJ38" s="213"/>
      <c r="CK38" s="213"/>
      <c r="CL38" s="213"/>
      <c r="CM38" s="213"/>
      <c r="CN38" s="213"/>
      <c r="CO38" s="213"/>
      <c r="CP38" s="213"/>
      <c r="CQ38" s="213"/>
    </row>
    <row r="39" ht="15.75" customHeight="1">
      <c r="A39" s="213"/>
      <c r="B39" s="393"/>
      <c r="C39" s="350" t="s">
        <v>23</v>
      </c>
      <c r="D39" s="351">
        <f t="shared" si="95"/>
        <v>1077816.568</v>
      </c>
      <c r="E39" s="355">
        <v>0.2803</v>
      </c>
      <c r="F39" s="353">
        <f t="shared" si="96"/>
        <v>848262.51</v>
      </c>
      <c r="G39" s="355">
        <v>0.27</v>
      </c>
      <c r="H39" s="353">
        <f t="shared" si="90"/>
        <v>229554.0575</v>
      </c>
      <c r="I39" s="394">
        <f t="shared" si="91"/>
        <v>0.2706167664</v>
      </c>
      <c r="J39" s="351">
        <f t="shared" si="97"/>
        <v>1041131.681</v>
      </c>
      <c r="K39" s="355">
        <v>0.2834</v>
      </c>
      <c r="L39" s="353">
        <f t="shared" si="98"/>
        <v>695548.35</v>
      </c>
      <c r="M39" s="355">
        <v>0.27</v>
      </c>
      <c r="N39" s="352"/>
      <c r="O39" s="358"/>
      <c r="P39" s="351">
        <v>868808.76</v>
      </c>
      <c r="Q39" s="355">
        <f>P39/$P$27</f>
        <v>0.2895030415</v>
      </c>
      <c r="R39" s="353">
        <f t="shared" si="99"/>
        <v>734193.72</v>
      </c>
      <c r="S39" s="355">
        <v>0.27</v>
      </c>
      <c r="T39" s="352"/>
      <c r="U39" s="358"/>
      <c r="V39" s="351">
        <v>925681.85</v>
      </c>
      <c r="W39" s="355">
        <f t="shared" si="100"/>
        <v>0.2998844594</v>
      </c>
      <c r="X39" s="353">
        <f t="shared" si="101"/>
        <v>783859.41</v>
      </c>
      <c r="Y39" s="355">
        <v>0.27</v>
      </c>
      <c r="Z39" s="352"/>
      <c r="AA39" s="358"/>
      <c r="AB39" s="351">
        <v>924611.64</v>
      </c>
      <c r="AC39" s="355">
        <f t="shared" si="102"/>
        <v>0.2827477253</v>
      </c>
      <c r="AD39" s="353">
        <f t="shared" si="103"/>
        <v>852499.35</v>
      </c>
      <c r="AE39" s="355">
        <v>0.27</v>
      </c>
      <c r="AF39" s="352"/>
      <c r="AG39" s="358"/>
      <c r="AH39" s="351">
        <v>1053926.44</v>
      </c>
      <c r="AI39" s="355">
        <f t="shared" si="104"/>
        <v>0.3267180524</v>
      </c>
      <c r="AJ39" s="353">
        <f t="shared" si="105"/>
        <v>882002.81</v>
      </c>
      <c r="AK39" s="355">
        <v>0.29</v>
      </c>
      <c r="AL39" s="352"/>
      <c r="AM39" s="358"/>
      <c r="AN39" s="351">
        <v>1605595.27</v>
      </c>
      <c r="AO39" s="355">
        <f t="shared" si="106"/>
        <v>0.3375785751</v>
      </c>
      <c r="AP39" s="353">
        <f t="shared" si="107"/>
        <v>988147.62</v>
      </c>
      <c r="AQ39" s="355">
        <v>0.27</v>
      </c>
      <c r="AR39" s="359"/>
      <c r="AS39" s="358"/>
      <c r="AT39" s="351">
        <v>1840316.76</v>
      </c>
      <c r="AU39" s="355">
        <f t="shared" si="108"/>
        <v>0.3485422664</v>
      </c>
      <c r="AV39" s="353">
        <f t="shared" si="109"/>
        <v>1171958.44</v>
      </c>
      <c r="AW39" s="355">
        <v>0.29</v>
      </c>
      <c r="AX39" s="353"/>
      <c r="AY39" s="358"/>
      <c r="AZ39" s="351">
        <v>1599369.48</v>
      </c>
      <c r="BA39" s="355">
        <f t="shared" si="110"/>
        <v>0.2753800762</v>
      </c>
      <c r="BB39" s="353">
        <f t="shared" si="111"/>
        <v>1273830.03</v>
      </c>
      <c r="BC39" s="355">
        <v>0.27</v>
      </c>
      <c r="BD39" s="353"/>
      <c r="BE39" s="358"/>
      <c r="BF39" s="351">
        <v>1609342.68</v>
      </c>
      <c r="BG39" s="355">
        <f t="shared" si="112"/>
        <v>0.3117006127</v>
      </c>
      <c r="BH39" s="353">
        <f t="shared" si="113"/>
        <v>1261001.49</v>
      </c>
      <c r="BI39" s="355">
        <v>0.29</v>
      </c>
      <c r="BJ39" s="352"/>
      <c r="BK39" s="358"/>
      <c r="BL39" s="351">
        <v>1692696.44</v>
      </c>
      <c r="BM39" s="355">
        <f t="shared" si="114"/>
        <v>0.3147901937</v>
      </c>
      <c r="BN39" s="353">
        <f t="shared" si="115"/>
        <v>1074864.33</v>
      </c>
      <c r="BO39" s="355">
        <v>0.27</v>
      </c>
      <c r="BP39" s="352"/>
      <c r="BQ39" s="358"/>
      <c r="BR39" s="360">
        <v>1600133.9699999997</v>
      </c>
      <c r="BS39" s="355">
        <f t="shared" si="94"/>
        <v>0.1148912054</v>
      </c>
      <c r="BT39" s="353">
        <f t="shared" si="116"/>
        <v>1083705.48</v>
      </c>
      <c r="BU39" s="355">
        <v>0.27</v>
      </c>
      <c r="BV39" s="352"/>
      <c r="BW39" s="358"/>
      <c r="BX39" s="213"/>
      <c r="BY39" s="213"/>
      <c r="BZ39" s="213"/>
      <c r="CA39" s="213"/>
      <c r="CB39" s="213"/>
      <c r="CC39" s="213"/>
      <c r="CD39" s="213"/>
      <c r="CE39" s="213"/>
      <c r="CF39" s="213"/>
      <c r="CG39" s="213"/>
      <c r="CH39" s="213"/>
      <c r="CI39" s="213"/>
      <c r="CJ39" s="213"/>
      <c r="CK39" s="213"/>
      <c r="CL39" s="213"/>
      <c r="CM39" s="213"/>
      <c r="CN39" s="213"/>
      <c r="CO39" s="213"/>
      <c r="CP39" s="213"/>
      <c r="CQ39" s="213"/>
    </row>
    <row r="40" ht="15.75" customHeight="1">
      <c r="A40" s="213"/>
      <c r="B40" s="403"/>
      <c r="C40" s="362" t="s">
        <v>237</v>
      </c>
      <c r="D40" s="363">
        <f>'Calculation Sheet for GST on Pu'!C21</f>
        <v>510567.3984</v>
      </c>
      <c r="E40" s="404">
        <f>D40/D31</f>
        <v>0.03235812434</v>
      </c>
      <c r="F40" s="365">
        <f>G40*SUM(F26:F28)</f>
        <v>470115.24</v>
      </c>
      <c r="G40" s="404">
        <v>0.035</v>
      </c>
      <c r="H40" s="365">
        <f t="shared" si="90"/>
        <v>40452.15843</v>
      </c>
      <c r="I40" s="405">
        <f t="shared" si="91"/>
        <v>0.08604732412</v>
      </c>
      <c r="J40" s="363">
        <f>'Calculation Sheet for GST on Pu'!D21</f>
        <v>412510.2477</v>
      </c>
      <c r="K40" s="404">
        <f>J40/J31</f>
        <v>0.02685173536</v>
      </c>
      <c r="L40" s="365">
        <f>M40*SUM(L26:L28)</f>
        <v>431659.8902</v>
      </c>
      <c r="M40" s="404">
        <v>0.035</v>
      </c>
      <c r="N40" s="364"/>
      <c r="O40" s="368"/>
      <c r="P40" s="363">
        <f>'Calculation Sheet for GST on Pu'!E21</f>
        <v>589277.9413</v>
      </c>
      <c r="Q40" s="404">
        <f>P40/P31</f>
        <v>0.04316072095</v>
      </c>
      <c r="R40" s="365">
        <f>S40*SUM(R26:R28)</f>
        <v>406897.225</v>
      </c>
      <c r="S40" s="404">
        <v>0.035</v>
      </c>
      <c r="T40" s="364"/>
      <c r="U40" s="368"/>
      <c r="V40" s="363">
        <f>'Calculation Sheet for GST on Pu'!F21</f>
        <v>515683.4704</v>
      </c>
      <c r="W40" s="404">
        <f>V40/V31</f>
        <v>0.03558371763</v>
      </c>
      <c r="X40" s="365">
        <f>Y40*SUM(X26:X28)</f>
        <v>434422.415</v>
      </c>
      <c r="Y40" s="404">
        <v>0.035</v>
      </c>
      <c r="Z40" s="367">
        <f>V40-X40</f>
        <v>81261.05542</v>
      </c>
      <c r="AA40" s="406">
        <f>Z40/X40</f>
        <v>0.1870553927</v>
      </c>
      <c r="AB40" s="363">
        <f>'Calculation Sheet for GST on Pu'!G21</f>
        <v>543297.0874</v>
      </c>
      <c r="AC40" s="404">
        <f>AB40/AB31</f>
        <v>0.03533572714</v>
      </c>
      <c r="AD40" s="365">
        <f>AE40*SUM(AD26:AD28)</f>
        <v>472463.355</v>
      </c>
      <c r="AE40" s="404">
        <v>0.035</v>
      </c>
      <c r="AF40" s="364"/>
      <c r="AG40" s="368"/>
      <c r="AH40" s="363">
        <f>'Calculation Sheet for GST on Pu'!H21</f>
        <v>435598.5677</v>
      </c>
      <c r="AI40" s="404">
        <f>AH40/AH31</f>
        <v>0.03130539902</v>
      </c>
      <c r="AJ40" s="365">
        <f>AK40*SUM(AJ26:AJ28)</f>
        <v>455103.11</v>
      </c>
      <c r="AK40" s="404">
        <v>0.035</v>
      </c>
      <c r="AL40" s="364"/>
      <c r="AM40" s="368"/>
      <c r="AN40" s="363">
        <f>'Calculation Sheet for GST on Pu'!I21</f>
        <v>360971.1858</v>
      </c>
      <c r="AO40" s="404">
        <f>AN40/AN31</f>
        <v>0.01671588011</v>
      </c>
      <c r="AP40" s="365">
        <f>AQ40*SUM(AP26:AP28)</f>
        <v>547640.94</v>
      </c>
      <c r="AQ40" s="404">
        <v>0.035</v>
      </c>
      <c r="AR40" s="369"/>
      <c r="AS40" s="368"/>
      <c r="AT40" s="363">
        <f>'Calculation Sheet for GST on Pu'!J21</f>
        <v>424361.0874</v>
      </c>
      <c r="AU40" s="404">
        <f>AT40/AT31</f>
        <v>0.01763904221</v>
      </c>
      <c r="AV40" s="365">
        <f>AW40*SUM(AV26:AV28)</f>
        <v>604716.84</v>
      </c>
      <c r="AW40" s="404">
        <v>0.035</v>
      </c>
      <c r="AX40" s="365"/>
      <c r="AY40" s="368"/>
      <c r="AZ40" s="363">
        <f>'Calculation Sheet for GST on Pu'!K21</f>
        <v>410838.0538</v>
      </c>
      <c r="BA40" s="404">
        <f>AZ40/AZ31</f>
        <v>0.01674612431</v>
      </c>
      <c r="BB40" s="365">
        <f>BC40*SUM(BB26:BB28)</f>
        <v>705968.83</v>
      </c>
      <c r="BC40" s="404">
        <v>0.035</v>
      </c>
      <c r="BD40" s="365"/>
      <c r="BE40" s="368"/>
      <c r="BF40" s="363">
        <f>'Calculation Sheet for GST on Pu'!L21</f>
        <v>380404.709</v>
      </c>
      <c r="BG40" s="404">
        <f>BF40/BF31</f>
        <v>0.01450560846</v>
      </c>
      <c r="BH40" s="365">
        <f>BI40*SUM(BH26:BH28)</f>
        <v>1686144.11</v>
      </c>
      <c r="BI40" s="404">
        <v>0.0907</v>
      </c>
      <c r="BJ40" s="364"/>
      <c r="BK40" s="368"/>
      <c r="BL40" s="363">
        <f>'Calculation Sheet for GST on Pu'!M21</f>
        <v>406824.8109</v>
      </c>
      <c r="BM40" s="404">
        <f>BL40/BL31</f>
        <v>0.01884457989</v>
      </c>
      <c r="BN40" s="365">
        <f>BO40*SUM(BN26:BN28)</f>
        <v>1543714.272</v>
      </c>
      <c r="BO40" s="404">
        <v>0.0907</v>
      </c>
      <c r="BP40" s="364"/>
      <c r="BQ40" s="368"/>
      <c r="BR40" s="370">
        <f>'Calculation Sheet for GST on Pu'!N21</f>
        <v>321541.1357</v>
      </c>
      <c r="BS40" s="355">
        <f t="shared" si="94"/>
        <v>0.02308697231</v>
      </c>
      <c r="BT40" s="365">
        <f>BU40*SUM(BT26:BT28)</f>
        <v>1556411.909</v>
      </c>
      <c r="BU40" s="404">
        <v>0.0907</v>
      </c>
      <c r="BV40" s="364"/>
      <c r="BW40" s="368"/>
      <c r="BX40" s="213"/>
      <c r="BY40" s="213"/>
      <c r="BZ40" s="213"/>
      <c r="CA40" s="213"/>
      <c r="CB40" s="213"/>
      <c r="CC40" s="213"/>
      <c r="CD40" s="213"/>
      <c r="CE40" s="213"/>
      <c r="CF40" s="213"/>
      <c r="CG40" s="213"/>
      <c r="CH40" s="213"/>
      <c r="CI40" s="213"/>
      <c r="CJ40" s="213"/>
      <c r="CK40" s="213"/>
      <c r="CL40" s="213"/>
      <c r="CM40" s="213"/>
      <c r="CN40" s="213"/>
      <c r="CO40" s="213"/>
      <c r="CP40" s="213"/>
      <c r="CQ40" s="213"/>
    </row>
    <row r="41" ht="15.75" customHeight="1">
      <c r="A41" s="213"/>
      <c r="B41" s="407"/>
      <c r="C41" s="372" t="s">
        <v>238</v>
      </c>
      <c r="D41" s="373">
        <f>SUM(D36:D40)</f>
        <v>6178608.574</v>
      </c>
      <c r="E41" s="374">
        <f>D41/D31</f>
        <v>0.3915803969</v>
      </c>
      <c r="F41" s="375">
        <f>SUM(F36:F40)</f>
        <v>4825732.9</v>
      </c>
      <c r="G41" s="374">
        <f>F41/F31</f>
        <v>0.3322620788</v>
      </c>
      <c r="H41" s="375">
        <f>SUM(H36:H40)</f>
        <v>1352875.674</v>
      </c>
      <c r="I41" s="376">
        <f t="shared" si="91"/>
        <v>0.2803461572</v>
      </c>
      <c r="J41" s="373">
        <f>SUM(J36:J40)</f>
        <v>6046083.153</v>
      </c>
      <c r="K41" s="374">
        <f>J41/J31</f>
        <v>0.3935607072</v>
      </c>
      <c r="L41" s="375">
        <f>SUM(L36:L40)</f>
        <v>4464320.237</v>
      </c>
      <c r="M41" s="374">
        <f>L41/L31</f>
        <v>0.3348961698</v>
      </c>
      <c r="N41" s="408">
        <f>SUM(N36:N40)</f>
        <v>0</v>
      </c>
      <c r="O41" s="378"/>
      <c r="P41" s="373">
        <f>SUM(P36:P40)</f>
        <v>5805699.69</v>
      </c>
      <c r="Q41" s="374">
        <f t="shared" ref="Q41:Q43" si="117">P41/P$31</f>
        <v>0.4252291944</v>
      </c>
      <c r="R41" s="375">
        <f>SUM(R36:R40)</f>
        <v>4176799.985</v>
      </c>
      <c r="S41" s="374">
        <f>R41/R31</f>
        <v>0.3284255581</v>
      </c>
      <c r="T41" s="408">
        <f>SUM(T36:T40)</f>
        <v>0</v>
      </c>
      <c r="U41" s="378"/>
      <c r="V41" s="373">
        <f>SUM(V36:V40)</f>
        <v>6051744.473</v>
      </c>
      <c r="W41" s="374">
        <f t="shared" ref="W41:W43" si="118">V41/V$31</f>
        <v>0.4175886545</v>
      </c>
      <c r="X41" s="375">
        <f>SUM(X36:X40)</f>
        <v>4459346.085</v>
      </c>
      <c r="Y41" s="374">
        <f>X41/X$31</f>
        <v>0.3322620967</v>
      </c>
      <c r="Z41" s="377">
        <f>SUM(Z36:Z40)</f>
        <v>1450575.948</v>
      </c>
      <c r="AA41" s="378"/>
      <c r="AB41" s="373">
        <f>SUM(AB36:AB40)</f>
        <v>6345823.356</v>
      </c>
      <c r="AC41" s="374">
        <f>AB41/AB31</f>
        <v>0.4127286668</v>
      </c>
      <c r="AD41" s="375">
        <f>SUM(AD36:AD40)</f>
        <v>4849836.385</v>
      </c>
      <c r="AE41" s="374">
        <f>AD41/AD31</f>
        <v>0.3322620923</v>
      </c>
      <c r="AF41" s="408">
        <f>SUM(AF36:AF40)</f>
        <v>0</v>
      </c>
      <c r="AG41" s="378"/>
      <c r="AH41" s="373">
        <f>SUM(AH36:AH40)</f>
        <v>5882122.409</v>
      </c>
      <c r="AI41" s="374">
        <f>AH41/AH31</f>
        <v>0.4227336882</v>
      </c>
      <c r="AJ41" s="375">
        <f>SUM(AJ36:AJ40)</f>
        <v>4732461.21</v>
      </c>
      <c r="AK41" s="374">
        <f>AJ41/AJ31</f>
        <v>0.3365883544</v>
      </c>
      <c r="AL41" s="408">
        <f>SUM(AL36:AL40)</f>
        <v>0</v>
      </c>
      <c r="AM41" s="378"/>
      <c r="AN41" s="373">
        <f>SUM(AN36:AN40)</f>
        <v>6534411.426</v>
      </c>
      <c r="AO41" s="374">
        <f>AN41/AN31</f>
        <v>0.3025960028</v>
      </c>
      <c r="AP41" s="375">
        <f>SUM(AP36:AP40)</f>
        <v>5621534.3</v>
      </c>
      <c r="AQ41" s="374">
        <f>AP41/AP31</f>
        <v>0.3322620884</v>
      </c>
      <c r="AR41" s="380">
        <f>SUM(AR36:AR40)</f>
        <v>0</v>
      </c>
      <c r="AS41" s="378"/>
      <c r="AT41" s="373">
        <f>SUM(AT36:AT40)</f>
        <v>7549109.649</v>
      </c>
      <c r="AU41" s="374">
        <f>AT41/AT31</f>
        <v>0.3137871679</v>
      </c>
      <c r="AV41" s="375">
        <f>SUM(AV36:AV40)</f>
        <v>6288243.11</v>
      </c>
      <c r="AW41" s="374">
        <f>AV41/AV31</f>
        <v>0.336588364</v>
      </c>
      <c r="AX41" s="375">
        <f>SUM(AX36:AX40)</f>
        <v>0</v>
      </c>
      <c r="AY41" s="378"/>
      <c r="AZ41" s="373">
        <f>SUM(AZ36:AZ40)</f>
        <v>7461512.55</v>
      </c>
      <c r="BA41" s="374">
        <f>AZ41/AZ31</f>
        <v>0.3041378849</v>
      </c>
      <c r="BB41" s="375">
        <f>SUM(BB36:BB40)</f>
        <v>7246770</v>
      </c>
      <c r="BC41" s="374">
        <f>BB41/BB31</f>
        <v>0.3322620861</v>
      </c>
      <c r="BD41" s="375">
        <f>SUM(BD36:BD40)</f>
        <v>0</v>
      </c>
      <c r="BE41" s="378"/>
      <c r="BF41" s="373">
        <f>SUM(BF36:BF40)</f>
        <v>7798808.919</v>
      </c>
      <c r="BG41" s="374">
        <f>BF41/BF31</f>
        <v>0.2973845116</v>
      </c>
      <c r="BH41" s="375">
        <f>SUM(BH36:BH40)</f>
        <v>7801493.2</v>
      </c>
      <c r="BI41" s="374">
        <f>BH41/BH31</f>
        <v>0.3881004319</v>
      </c>
      <c r="BJ41" s="408">
        <f>SUM(BJ36:BJ40)</f>
        <v>0</v>
      </c>
      <c r="BK41" s="378"/>
      <c r="BL41" s="373">
        <f>SUM(BL36:BL40)</f>
        <v>6871383.541</v>
      </c>
      <c r="BM41" s="374">
        <f>BL41/BL31</f>
        <v>0.3182901647</v>
      </c>
      <c r="BN41" s="375">
        <f>SUM(BN36:BN40)</f>
        <v>7062875.762</v>
      </c>
      <c r="BO41" s="374">
        <f>BN41/BN31</f>
        <v>0.3837741668</v>
      </c>
      <c r="BP41" s="408">
        <f>SUM(BP36:BP40)</f>
        <v>0</v>
      </c>
      <c r="BQ41" s="378"/>
      <c r="BR41" s="381">
        <f>SUM(BR36:BR40)</f>
        <v>6943112.802</v>
      </c>
      <c r="BS41" s="408"/>
      <c r="BT41" s="375">
        <f>SUM(BT36:BT40)</f>
        <v>7120970.549</v>
      </c>
      <c r="BU41" s="374">
        <f>BT41/BT31</f>
        <v>0.3837741571</v>
      </c>
      <c r="BV41" s="408">
        <f>SUM(BV36:BV40)</f>
        <v>0</v>
      </c>
      <c r="BW41" s="378"/>
      <c r="BX41" s="328">
        <f t="shared" ref="BX41:BX44" si="119">SUM(D41,J41,P41,V41,AB41,AH41,AN41,AT41,AZ41,BF41,BL41,BR41)</f>
        <v>79468420.54</v>
      </c>
      <c r="BY41" s="216"/>
      <c r="BZ41" s="216"/>
      <c r="CA41" s="216"/>
      <c r="CB41" s="216"/>
      <c r="CC41" s="216"/>
      <c r="CD41" s="216"/>
      <c r="CE41" s="216"/>
      <c r="CF41" s="216"/>
      <c r="CG41" s="216"/>
      <c r="CH41" s="216"/>
      <c r="CI41" s="216"/>
      <c r="CJ41" s="216"/>
      <c r="CK41" s="216"/>
      <c r="CL41" s="216"/>
      <c r="CM41" s="216"/>
      <c r="CN41" s="216"/>
      <c r="CO41" s="216"/>
      <c r="CP41" s="216"/>
      <c r="CQ41" s="216"/>
    </row>
    <row r="42" ht="15.75" customHeight="1">
      <c r="A42" s="213"/>
      <c r="B42" s="415"/>
      <c r="C42" s="416" t="s">
        <v>239</v>
      </c>
      <c r="D42" s="417">
        <v>46901.94</v>
      </c>
      <c r="E42" s="418">
        <f>D42/D$31</f>
        <v>0.002972494545</v>
      </c>
      <c r="F42" s="419">
        <f>G42*SUM(F26:F28)</f>
        <v>41638.7784</v>
      </c>
      <c r="G42" s="418">
        <v>0.0031</v>
      </c>
      <c r="H42" s="419">
        <f>D42-F42</f>
        <v>5263.1616</v>
      </c>
      <c r="I42" s="420">
        <f t="shared" si="91"/>
        <v>0.1264004806</v>
      </c>
      <c r="J42" s="417">
        <v>34701.0</v>
      </c>
      <c r="K42" s="418">
        <f>J42/J$31</f>
        <v>0.002258809506</v>
      </c>
      <c r="L42" s="419">
        <f>M42*SUM(L26:L28)</f>
        <v>38232.73313</v>
      </c>
      <c r="M42" s="418">
        <v>0.0031</v>
      </c>
      <c r="N42" s="421"/>
      <c r="O42" s="422"/>
      <c r="P42" s="417">
        <v>35524.0</v>
      </c>
      <c r="Q42" s="418">
        <f t="shared" si="117"/>
        <v>0.002601898601</v>
      </c>
      <c r="R42" s="419">
        <f>S42*SUM(R26:R28)</f>
        <v>36039.4685</v>
      </c>
      <c r="S42" s="418">
        <v>0.0031</v>
      </c>
      <c r="T42" s="421"/>
      <c r="U42" s="422"/>
      <c r="V42" s="417">
        <v>43488.0</v>
      </c>
      <c r="W42" s="418">
        <f t="shared" si="118"/>
        <v>0.003000803402</v>
      </c>
      <c r="X42" s="419">
        <f>Y42*SUM(X26:X28)</f>
        <v>38477.4139</v>
      </c>
      <c r="Y42" s="418">
        <v>0.0031</v>
      </c>
      <c r="Z42" s="421"/>
      <c r="AA42" s="422"/>
      <c r="AB42" s="417">
        <v>36266.0</v>
      </c>
      <c r="AC42" s="418">
        <f>AB42/AB$31</f>
        <v>0.002358719585</v>
      </c>
      <c r="AD42" s="419">
        <f>AE42*SUM(AD26:AD28)</f>
        <v>41846.7543</v>
      </c>
      <c r="AE42" s="418">
        <v>0.0031</v>
      </c>
      <c r="AF42" s="421"/>
      <c r="AG42" s="422"/>
      <c r="AH42" s="417">
        <v>36263.6</v>
      </c>
      <c r="AI42" s="418">
        <f>AH42/AH31</f>
        <v>0.002606175851</v>
      </c>
      <c r="AJ42" s="419">
        <f>AK42*SUM(AJ26:AJ28)</f>
        <v>40309.1326</v>
      </c>
      <c r="AK42" s="418">
        <v>0.0031</v>
      </c>
      <c r="AL42" s="421"/>
      <c r="AM42" s="422"/>
      <c r="AN42" s="417">
        <v>41995.0</v>
      </c>
      <c r="AO42" s="418">
        <f>AN42/AN31</f>
        <v>0.001944707535</v>
      </c>
      <c r="AP42" s="419">
        <f>AQ42*SUM(AP26:AP28)</f>
        <v>48505.3404</v>
      </c>
      <c r="AQ42" s="418">
        <v>0.0031</v>
      </c>
      <c r="AR42" s="423"/>
      <c r="AS42" s="422"/>
      <c r="AT42" s="417">
        <v>54343.0</v>
      </c>
      <c r="AU42" s="418">
        <f>AT42/AT31</f>
        <v>0.002258827445</v>
      </c>
      <c r="AV42" s="419">
        <f>AW42*SUM(AV26:AV28)</f>
        <v>53560.6344</v>
      </c>
      <c r="AW42" s="418">
        <v>0.0031</v>
      </c>
      <c r="AX42" s="419"/>
      <c r="AY42" s="422"/>
      <c r="AZ42" s="417">
        <v>36798.0</v>
      </c>
      <c r="BA42" s="418">
        <f>AZ42/AZ31</f>
        <v>0.001499919194</v>
      </c>
      <c r="BB42" s="419">
        <f>BC42*SUM(BB26:BB28)</f>
        <v>62528.6678</v>
      </c>
      <c r="BC42" s="418">
        <v>0.0031</v>
      </c>
      <c r="BD42" s="419"/>
      <c r="BE42" s="422"/>
      <c r="BF42" s="417">
        <v>52867.7</v>
      </c>
      <c r="BG42" s="418">
        <f>BF42/BF31</f>
        <v>0.002015953373</v>
      </c>
      <c r="BH42" s="419">
        <f>BI42*SUM(BH26:BH28)</f>
        <v>57630.0633</v>
      </c>
      <c r="BI42" s="418">
        <v>0.0031</v>
      </c>
      <c r="BJ42" s="421"/>
      <c r="BK42" s="422"/>
      <c r="BL42" s="424">
        <v>40168.5</v>
      </c>
      <c r="BM42" s="418">
        <f>BL42/BL31</f>
        <v>0.00186064981</v>
      </c>
      <c r="BN42" s="419">
        <f>BO42*SUM(BN26:BN28)</f>
        <v>52762.0093</v>
      </c>
      <c r="BO42" s="418">
        <v>0.0031</v>
      </c>
      <c r="BP42" s="421"/>
      <c r="BQ42" s="422"/>
      <c r="BR42" s="425">
        <v>40588.0</v>
      </c>
      <c r="BS42" s="355">
        <f>BR42/$BR$28</f>
        <v>0.002914258638</v>
      </c>
      <c r="BT42" s="419">
        <f>BU42*SUM(BT26:BT28)</f>
        <v>53195.9969</v>
      </c>
      <c r="BU42" s="418">
        <v>0.0031</v>
      </c>
      <c r="BV42" s="421"/>
      <c r="BW42" s="422"/>
      <c r="BX42" s="328">
        <f t="shared" si="119"/>
        <v>499904.74</v>
      </c>
      <c r="BY42" s="213"/>
      <c r="BZ42" s="213"/>
      <c r="CA42" s="213"/>
      <c r="CB42" s="213"/>
      <c r="CC42" s="213"/>
      <c r="CD42" s="213"/>
      <c r="CE42" s="213"/>
      <c r="CF42" s="213"/>
      <c r="CG42" s="213"/>
      <c r="CH42" s="213"/>
      <c r="CI42" s="213"/>
      <c r="CJ42" s="213"/>
      <c r="CK42" s="213"/>
      <c r="CL42" s="213"/>
      <c r="CM42" s="213"/>
      <c r="CN42" s="213"/>
      <c r="CO42" s="213"/>
      <c r="CP42" s="213"/>
      <c r="CQ42" s="213"/>
    </row>
    <row r="43" ht="15.75" customHeight="1">
      <c r="A43" s="213"/>
      <c r="B43" s="426"/>
      <c r="C43" s="427" t="s">
        <v>240</v>
      </c>
      <c r="D43" s="428">
        <f>D41+D42</f>
        <v>6225510.514</v>
      </c>
      <c r="E43" s="429">
        <f>D43/D31</f>
        <v>0.3945528914</v>
      </c>
      <c r="F43" s="430">
        <f>F41+F42</f>
        <v>4867371.678</v>
      </c>
      <c r="G43" s="429">
        <f>F43/F31</f>
        <v>0.3351289982</v>
      </c>
      <c r="H43" s="430">
        <f>H41+H42</f>
        <v>1358138.836</v>
      </c>
      <c r="I43" s="431">
        <f t="shared" si="91"/>
        <v>0.2790292021</v>
      </c>
      <c r="J43" s="428">
        <f>J41+J42</f>
        <v>6080784.153</v>
      </c>
      <c r="K43" s="432"/>
      <c r="L43" s="430">
        <f>L41+L42</f>
        <v>4502552.97</v>
      </c>
      <c r="M43" s="432"/>
      <c r="N43" s="432">
        <f>N41+N42</f>
        <v>0</v>
      </c>
      <c r="O43" s="433"/>
      <c r="P43" s="428">
        <f>P41+P42</f>
        <v>5841223.69</v>
      </c>
      <c r="Q43" s="429">
        <f t="shared" si="117"/>
        <v>0.427831093</v>
      </c>
      <c r="R43" s="430">
        <f>R41+R42</f>
        <v>4212839.454</v>
      </c>
      <c r="S43" s="432"/>
      <c r="T43" s="432">
        <f>T41+T42</f>
        <v>0</v>
      </c>
      <c r="U43" s="433"/>
      <c r="V43" s="428">
        <f>V41+V42</f>
        <v>6095232.473</v>
      </c>
      <c r="W43" s="429">
        <f t="shared" si="118"/>
        <v>0.4205894579</v>
      </c>
      <c r="X43" s="430">
        <f>X41+X42</f>
        <v>4497823.499</v>
      </c>
      <c r="Y43" s="429">
        <f>X43/X$31</f>
        <v>0.3351290162</v>
      </c>
      <c r="Z43" s="434">
        <f>Z41+Z42</f>
        <v>1450575.948</v>
      </c>
      <c r="AA43" s="433"/>
      <c r="AB43" s="428">
        <f>AB41+AB42</f>
        <v>6382089.356</v>
      </c>
      <c r="AC43" s="429">
        <f>AB43/AB31</f>
        <v>0.4150873864</v>
      </c>
      <c r="AD43" s="430">
        <f>AD41+AD42</f>
        <v>4891683.139</v>
      </c>
      <c r="AE43" s="429">
        <f>AD43/AD31</f>
        <v>0.3351290117</v>
      </c>
      <c r="AF43" s="432">
        <f>AF41+AF42</f>
        <v>0</v>
      </c>
      <c r="AG43" s="433"/>
      <c r="AH43" s="428">
        <f>AH41+AH42</f>
        <v>5918386.009</v>
      </c>
      <c r="AI43" s="429">
        <f>AH43/AH31</f>
        <v>0.4253398641</v>
      </c>
      <c r="AJ43" s="430">
        <f>AJ41+AJ42</f>
        <v>4772770.343</v>
      </c>
      <c r="AK43" s="429">
        <f>AJ43/AJ31</f>
        <v>0.3394552738</v>
      </c>
      <c r="AL43" s="432">
        <f>AL41+AL42</f>
        <v>0</v>
      </c>
      <c r="AM43" s="433"/>
      <c r="AN43" s="428">
        <f>AN41+AN42</f>
        <v>6576406.426</v>
      </c>
      <c r="AO43" s="429">
        <f>AN43/AN31</f>
        <v>0.3045407104</v>
      </c>
      <c r="AP43" s="430">
        <f>AP41+AP42</f>
        <v>5670039.64</v>
      </c>
      <c r="AQ43" s="432"/>
      <c r="AR43" s="435">
        <f>AR41+AR42</f>
        <v>0</v>
      </c>
      <c r="AS43" s="433"/>
      <c r="AT43" s="428">
        <f>AT41+AT42</f>
        <v>7603452.649</v>
      </c>
      <c r="AU43" s="429">
        <f>AT43/AT31</f>
        <v>0.3160459953</v>
      </c>
      <c r="AV43" s="430">
        <f>AV41+AV42</f>
        <v>6341803.744</v>
      </c>
      <c r="AW43" s="432"/>
      <c r="AX43" s="430">
        <f>AX41+AX42</f>
        <v>0</v>
      </c>
      <c r="AY43" s="433"/>
      <c r="AZ43" s="428">
        <f>AZ41+AZ42</f>
        <v>7498310.55</v>
      </c>
      <c r="BA43" s="429">
        <f>AZ43/AZ31</f>
        <v>0.3056378041</v>
      </c>
      <c r="BB43" s="430">
        <f>BB41+BB42</f>
        <v>7309298.668</v>
      </c>
      <c r="BC43" s="429">
        <f>BB43/BB31</f>
        <v>0.3351290055</v>
      </c>
      <c r="BD43" s="430">
        <f>BD41+BD42</f>
        <v>0</v>
      </c>
      <c r="BE43" s="433"/>
      <c r="BF43" s="428">
        <f>BF41+BF42</f>
        <v>7851676.619</v>
      </c>
      <c r="BG43" s="429">
        <f>BF43/BF31</f>
        <v>0.299400465</v>
      </c>
      <c r="BH43" s="430">
        <f>BH41+BH42</f>
        <v>7859123.263</v>
      </c>
      <c r="BI43" s="432"/>
      <c r="BJ43" s="432">
        <f>BJ41+BJ42</f>
        <v>0</v>
      </c>
      <c r="BK43" s="433"/>
      <c r="BL43" s="428">
        <f>BL41+BL42</f>
        <v>6911552.041</v>
      </c>
      <c r="BM43" s="429">
        <f>BL43/BL31</f>
        <v>0.3201508146</v>
      </c>
      <c r="BN43" s="430">
        <f>BN41+BN42</f>
        <v>7115637.771</v>
      </c>
      <c r="BO43" s="429">
        <f>BN43/BN31</f>
        <v>0.3866410862</v>
      </c>
      <c r="BP43" s="432">
        <f>BP41+BP42</f>
        <v>0</v>
      </c>
      <c r="BQ43" s="433"/>
      <c r="BR43" s="436">
        <f>BR41+BR42</f>
        <v>6983700.802</v>
      </c>
      <c r="BS43" s="429">
        <f>BR43/BR31</f>
        <v>0.3154028381</v>
      </c>
      <c r="BT43" s="430">
        <f>BT41+BT42</f>
        <v>7174166.546</v>
      </c>
      <c r="BU43" s="429">
        <f>BT43/BT31</f>
        <v>0.3866410766</v>
      </c>
      <c r="BV43" s="432">
        <f>BV41+BV42</f>
        <v>0</v>
      </c>
      <c r="BW43" s="433"/>
      <c r="BX43" s="328">
        <f t="shared" si="119"/>
        <v>79968325.28</v>
      </c>
      <c r="BY43" s="216"/>
      <c r="BZ43" s="216"/>
      <c r="CA43" s="216"/>
      <c r="CB43" s="216"/>
      <c r="CC43" s="216"/>
      <c r="CD43" s="216"/>
      <c r="CE43" s="216"/>
      <c r="CF43" s="216"/>
      <c r="CG43" s="216"/>
      <c r="CH43" s="216"/>
      <c r="CI43" s="216"/>
      <c r="CJ43" s="216"/>
      <c r="CK43" s="216"/>
      <c r="CL43" s="216"/>
      <c r="CM43" s="216"/>
      <c r="CN43" s="216"/>
      <c r="CO43" s="216"/>
      <c r="CP43" s="216"/>
      <c r="CQ43" s="216"/>
    </row>
    <row r="44" ht="15.75" customHeight="1">
      <c r="A44" s="213"/>
      <c r="B44" s="407"/>
      <c r="C44" s="437" t="s">
        <v>33</v>
      </c>
      <c r="D44" s="375">
        <f>D31-D43</f>
        <v>9553135.77</v>
      </c>
      <c r="E44" s="374">
        <f>D44/D31</f>
        <v>0.6054471086</v>
      </c>
      <c r="F44" s="375">
        <f>F31-F43</f>
        <v>9656503.322</v>
      </c>
      <c r="G44" s="374"/>
      <c r="H44" s="375">
        <f>H31-H43</f>
        <v>-103367.5516</v>
      </c>
      <c r="I44" s="376"/>
      <c r="J44" s="373">
        <f>J31-J43</f>
        <v>9281733.097</v>
      </c>
      <c r="K44" s="408"/>
      <c r="L44" s="375">
        <f>L31-L43</f>
        <v>8827907.75</v>
      </c>
      <c r="M44" s="408"/>
      <c r="N44" s="408"/>
      <c r="O44" s="378"/>
      <c r="P44" s="373">
        <f>P31-P43</f>
        <v>7811883.31</v>
      </c>
      <c r="Q44" s="374"/>
      <c r="R44" s="375">
        <f>R31-R43</f>
        <v>8504806.547</v>
      </c>
      <c r="S44" s="408"/>
      <c r="T44" s="408"/>
      <c r="U44" s="378"/>
      <c r="V44" s="373">
        <f>V31-V43</f>
        <v>8396886.527</v>
      </c>
      <c r="W44" s="374"/>
      <c r="X44" s="375">
        <f>X31-X43</f>
        <v>8923346.501</v>
      </c>
      <c r="Y44" s="374"/>
      <c r="Z44" s="375">
        <f>Z31-Z43</f>
        <v>-379626.9484</v>
      </c>
      <c r="AA44" s="378"/>
      <c r="AB44" s="373">
        <f>AB31-AB43</f>
        <v>8993201.644</v>
      </c>
      <c r="AC44" s="374"/>
      <c r="AD44" s="375">
        <f>AD31-AD43</f>
        <v>9704734.861</v>
      </c>
      <c r="AE44" s="374"/>
      <c r="AF44" s="408"/>
      <c r="AG44" s="378"/>
      <c r="AH44" s="373">
        <f>AH31-AH43</f>
        <v>7996100.991</v>
      </c>
      <c r="AI44" s="374"/>
      <c r="AJ44" s="375">
        <f>AJ31-AJ43</f>
        <v>9287315.657</v>
      </c>
      <c r="AK44" s="374"/>
      <c r="AL44" s="408"/>
      <c r="AM44" s="378"/>
      <c r="AN44" s="373">
        <f>AN31-AN43</f>
        <v>15018100.32</v>
      </c>
      <c r="AO44" s="374"/>
      <c r="AP44" s="375">
        <f>AP31-AP43</f>
        <v>11248936.36</v>
      </c>
      <c r="AQ44" s="408"/>
      <c r="AR44" s="380"/>
      <c r="AS44" s="378"/>
      <c r="AT44" s="373">
        <f>AT31-AT43</f>
        <v>16454604.6</v>
      </c>
      <c r="AU44" s="374"/>
      <c r="AV44" s="375">
        <f>AV31-AV43</f>
        <v>12340491.26</v>
      </c>
      <c r="AW44" s="408"/>
      <c r="AX44" s="375"/>
      <c r="AY44" s="378"/>
      <c r="AZ44" s="373">
        <f>AZ31-AZ43</f>
        <v>17035011.08</v>
      </c>
      <c r="BA44" s="374"/>
      <c r="BB44" s="375">
        <f>BB31-BB43</f>
        <v>14501104.33</v>
      </c>
      <c r="BC44" s="374"/>
      <c r="BD44" s="375"/>
      <c r="BE44" s="378"/>
      <c r="BF44" s="373">
        <f>BF31-BF43</f>
        <v>18372987.46</v>
      </c>
      <c r="BG44" s="374">
        <f>BF44/BF31</f>
        <v>0.700599535</v>
      </c>
      <c r="BH44" s="375">
        <f>BH31-BH43</f>
        <v>12242614.74</v>
      </c>
      <c r="BI44" s="374">
        <f>BH44/BH31</f>
        <v>0.6090326486</v>
      </c>
      <c r="BJ44" s="408"/>
      <c r="BK44" s="378"/>
      <c r="BL44" s="373">
        <f>BL31-BL43</f>
        <v>14676873.56</v>
      </c>
      <c r="BM44" s="374">
        <f>BL44/BL31</f>
        <v>0.6798491854</v>
      </c>
      <c r="BN44" s="375">
        <f>BN31-BN43</f>
        <v>11288091.23</v>
      </c>
      <c r="BO44" s="374">
        <f>BN44/BN31</f>
        <v>0.6133589138</v>
      </c>
      <c r="BP44" s="408"/>
      <c r="BQ44" s="378"/>
      <c r="BR44" s="381">
        <f>BR31-BR43</f>
        <v>15158461.41</v>
      </c>
      <c r="BS44" s="374">
        <f>BR44/BR31</f>
        <v>0.6845971619</v>
      </c>
      <c r="BT44" s="375">
        <f>BT31-BT43</f>
        <v>11380940.45</v>
      </c>
      <c r="BU44" s="374">
        <f>BT44/BT31</f>
        <v>0.6133589234</v>
      </c>
      <c r="BV44" s="408"/>
      <c r="BW44" s="378"/>
      <c r="BX44" s="328">
        <f t="shared" si="119"/>
        <v>148748979.8</v>
      </c>
      <c r="BY44" s="216"/>
      <c r="BZ44" s="216"/>
      <c r="CA44" s="216"/>
      <c r="CB44" s="216"/>
      <c r="CC44" s="216"/>
      <c r="CD44" s="216"/>
      <c r="CE44" s="216"/>
      <c r="CF44" s="216"/>
      <c r="CG44" s="216"/>
      <c r="CH44" s="216"/>
      <c r="CI44" s="216"/>
      <c r="CJ44" s="216"/>
      <c r="CK44" s="216"/>
      <c r="CL44" s="216"/>
      <c r="CM44" s="216"/>
      <c r="CN44" s="216"/>
      <c r="CO44" s="216"/>
      <c r="CP44" s="216"/>
      <c r="CQ44" s="216"/>
    </row>
    <row r="45" ht="15.75" customHeight="1">
      <c r="A45" s="213"/>
      <c r="B45" s="438"/>
      <c r="C45" s="334"/>
      <c r="D45" s="439"/>
      <c r="E45" s="440"/>
      <c r="F45" s="386"/>
      <c r="G45" s="440"/>
      <c r="H45" s="386"/>
      <c r="I45" s="441"/>
      <c r="J45" s="384"/>
      <c r="K45" s="440"/>
      <c r="L45" s="386"/>
      <c r="M45" s="440"/>
      <c r="N45" s="440"/>
      <c r="O45" s="389"/>
      <c r="P45" s="384"/>
      <c r="Q45" s="440"/>
      <c r="R45" s="386"/>
      <c r="S45" s="440"/>
      <c r="T45" s="440"/>
      <c r="U45" s="389"/>
      <c r="V45" s="384"/>
      <c r="W45" s="440"/>
      <c r="X45" s="386"/>
      <c r="Y45" s="440"/>
      <c r="Z45" s="440"/>
      <c r="AA45" s="389"/>
      <c r="AB45" s="384"/>
      <c r="AC45" s="440"/>
      <c r="AD45" s="386"/>
      <c r="AE45" s="440"/>
      <c r="AF45" s="440"/>
      <c r="AG45" s="389"/>
      <c r="AH45" s="384"/>
      <c r="AI45" s="440"/>
      <c r="AJ45" s="386"/>
      <c r="AK45" s="440"/>
      <c r="AL45" s="440"/>
      <c r="AM45" s="389"/>
      <c r="AN45" s="384"/>
      <c r="AO45" s="440"/>
      <c r="AP45" s="386"/>
      <c r="AQ45" s="440"/>
      <c r="AR45" s="391"/>
      <c r="AS45" s="389"/>
      <c r="AT45" s="384"/>
      <c r="AU45" s="440"/>
      <c r="AV45" s="386"/>
      <c r="AW45" s="440"/>
      <c r="AX45" s="386"/>
      <c r="AY45" s="389"/>
      <c r="AZ45" s="384"/>
      <c r="BA45" s="440"/>
      <c r="BB45" s="386"/>
      <c r="BC45" s="440"/>
      <c r="BD45" s="386"/>
      <c r="BE45" s="389"/>
      <c r="BF45" s="384"/>
      <c r="BG45" s="440"/>
      <c r="BH45" s="386"/>
      <c r="BI45" s="440"/>
      <c r="BJ45" s="440"/>
      <c r="BK45" s="389"/>
      <c r="BL45" s="384"/>
      <c r="BM45" s="440"/>
      <c r="BN45" s="386"/>
      <c r="BO45" s="440"/>
      <c r="BP45" s="440"/>
      <c r="BQ45" s="389"/>
      <c r="BR45" s="392"/>
      <c r="BS45" s="440"/>
      <c r="BT45" s="386"/>
      <c r="BU45" s="440"/>
      <c r="BV45" s="440"/>
      <c r="BW45" s="389"/>
      <c r="BX45" s="213"/>
      <c r="BY45" s="213"/>
      <c r="BZ45" s="213"/>
      <c r="CA45" s="213"/>
      <c r="CB45" s="213"/>
      <c r="CC45" s="213"/>
      <c r="CD45" s="213"/>
      <c r="CE45" s="213"/>
      <c r="CF45" s="213"/>
      <c r="CG45" s="213"/>
      <c r="CH45" s="213"/>
      <c r="CI45" s="213"/>
      <c r="CJ45" s="213"/>
      <c r="CK45" s="213"/>
      <c r="CL45" s="213"/>
      <c r="CM45" s="213"/>
      <c r="CN45" s="213"/>
      <c r="CO45" s="213"/>
      <c r="CP45" s="213"/>
      <c r="CQ45" s="213"/>
    </row>
    <row r="46" ht="15.75" customHeight="1">
      <c r="A46" s="213"/>
      <c r="B46" s="393"/>
      <c r="C46" s="442" t="s">
        <v>241</v>
      </c>
      <c r="D46" s="351"/>
      <c r="E46" s="352"/>
      <c r="F46" s="353"/>
      <c r="G46" s="352"/>
      <c r="H46" s="353"/>
      <c r="I46" s="354"/>
      <c r="J46" s="351"/>
      <c r="K46" s="352"/>
      <c r="L46" s="353"/>
      <c r="M46" s="352"/>
      <c r="N46" s="352"/>
      <c r="O46" s="358"/>
      <c r="P46" s="351"/>
      <c r="Q46" s="352"/>
      <c r="R46" s="353"/>
      <c r="S46" s="352"/>
      <c r="T46" s="352"/>
      <c r="U46" s="358"/>
      <c r="V46" s="351"/>
      <c r="W46" s="352"/>
      <c r="X46" s="353"/>
      <c r="Y46" s="352"/>
      <c r="Z46" s="352"/>
      <c r="AA46" s="358"/>
      <c r="AB46" s="351"/>
      <c r="AC46" s="352"/>
      <c r="AD46" s="353"/>
      <c r="AE46" s="352"/>
      <c r="AF46" s="352"/>
      <c r="AG46" s="358"/>
      <c r="AH46" s="351"/>
      <c r="AI46" s="352"/>
      <c r="AJ46" s="353"/>
      <c r="AK46" s="352"/>
      <c r="AL46" s="352"/>
      <c r="AM46" s="358"/>
      <c r="AN46" s="351"/>
      <c r="AO46" s="352"/>
      <c r="AP46" s="353"/>
      <c r="AQ46" s="352"/>
      <c r="AR46" s="359"/>
      <c r="AS46" s="358"/>
      <c r="AT46" s="351"/>
      <c r="AU46" s="352"/>
      <c r="AV46" s="353"/>
      <c r="AW46" s="352"/>
      <c r="AX46" s="353"/>
      <c r="AY46" s="358"/>
      <c r="AZ46" s="351"/>
      <c r="BA46" s="352"/>
      <c r="BB46" s="353"/>
      <c r="BC46" s="352"/>
      <c r="BD46" s="353"/>
      <c r="BE46" s="358"/>
      <c r="BF46" s="351"/>
      <c r="BG46" s="352"/>
      <c r="BH46" s="353"/>
      <c r="BI46" s="352"/>
      <c r="BJ46" s="352"/>
      <c r="BK46" s="358"/>
      <c r="BL46" s="351"/>
      <c r="BM46" s="352"/>
      <c r="BN46" s="353"/>
      <c r="BO46" s="352"/>
      <c r="BP46" s="352"/>
      <c r="BQ46" s="358"/>
      <c r="BR46" s="360"/>
      <c r="BS46" s="352"/>
      <c r="BT46" s="353"/>
      <c r="BU46" s="352"/>
      <c r="BV46" s="352"/>
      <c r="BW46" s="358"/>
      <c r="BX46" s="213"/>
      <c r="BY46" s="213"/>
      <c r="BZ46" s="213"/>
      <c r="CA46" s="213"/>
      <c r="CB46" s="213"/>
      <c r="CC46" s="213"/>
      <c r="CD46" s="213"/>
      <c r="CE46" s="213"/>
      <c r="CF46" s="213"/>
      <c r="CG46" s="213"/>
      <c r="CH46" s="213"/>
      <c r="CI46" s="213"/>
      <c r="CJ46" s="213"/>
      <c r="CK46" s="213"/>
      <c r="CL46" s="213"/>
      <c r="CM46" s="213"/>
      <c r="CN46" s="213"/>
      <c r="CO46" s="213"/>
      <c r="CP46" s="213"/>
      <c r="CQ46" s="213"/>
    </row>
    <row r="47" ht="15.75" customHeight="1">
      <c r="A47" s="213"/>
      <c r="B47" s="393"/>
      <c r="C47" s="350" t="s">
        <v>242</v>
      </c>
      <c r="D47" s="351">
        <v>38504.0</v>
      </c>
      <c r="E47" s="355">
        <f t="shared" ref="E47:E52" si="120">D47/D$31</f>
        <v>0.002440260039</v>
      </c>
      <c r="F47" s="353">
        <f t="shared" ref="F47:F48" si="121">G47*F$31</f>
        <v>43571.625</v>
      </c>
      <c r="G47" s="355">
        <v>0.003</v>
      </c>
      <c r="H47" s="353">
        <f t="shared" ref="H47:H52" si="122">D47-F47</f>
        <v>-5067.625</v>
      </c>
      <c r="I47" s="394">
        <f t="shared" ref="I47:I52" si="123">H47/F47</f>
        <v>-0.1163056232</v>
      </c>
      <c r="J47" s="351">
        <v>55875.0</v>
      </c>
      <c r="K47" s="355">
        <f t="shared" ref="K47:K53" si="124">J47/J$31</f>
        <v>0.003637099252</v>
      </c>
      <c r="L47" s="353">
        <f t="shared" ref="L47:L49" si="125">M47*L$31</f>
        <v>39991.38216</v>
      </c>
      <c r="M47" s="355">
        <v>0.003</v>
      </c>
      <c r="N47" s="357">
        <f t="shared" ref="N47:N52" si="126">J47-L47</f>
        <v>15883.61784</v>
      </c>
      <c r="O47" s="395">
        <f t="shared" ref="O47:O52" si="127">N47/L47</f>
        <v>0.397176016</v>
      </c>
      <c r="P47" s="351">
        <v>47228.0</v>
      </c>
      <c r="Q47" s="355">
        <f t="shared" ref="Q47:Q52" si="128">IFERROR(P47/P$31,)</f>
        <v>0.003459139374</v>
      </c>
      <c r="R47" s="353">
        <f t="shared" ref="R47:R49" si="129">S47*R$31</f>
        <v>38152.938</v>
      </c>
      <c r="S47" s="355">
        <v>0.003</v>
      </c>
      <c r="T47" s="352"/>
      <c r="U47" s="358"/>
      <c r="V47" s="351">
        <v>65355.0</v>
      </c>
      <c r="W47" s="355">
        <f t="shared" ref="W47:W53" si="130">V47/V$31</f>
        <v>0.004509692475</v>
      </c>
      <c r="X47" s="353">
        <f t="shared" ref="X47:X49" si="131">Y47*X$31</f>
        <v>40263.51</v>
      </c>
      <c r="Y47" s="355">
        <v>0.003</v>
      </c>
      <c r="Z47" s="352"/>
      <c r="AA47" s="358"/>
      <c r="AB47" s="351">
        <v>71916.0</v>
      </c>
      <c r="AC47" s="355">
        <f t="shared" ref="AC47:AC53" si="132">AB47/AB$31</f>
        <v>0.004677374887</v>
      </c>
      <c r="AD47" s="353">
        <f t="shared" ref="AD47:AD48" si="133">AE47*AD$31</f>
        <v>43789.254</v>
      </c>
      <c r="AE47" s="355">
        <v>0.003</v>
      </c>
      <c r="AF47" s="352"/>
      <c r="AG47" s="358"/>
      <c r="AH47" s="351">
        <v>83684.64</v>
      </c>
      <c r="AI47" s="355">
        <f t="shared" ref="AI47:AI53" si="134">AH47/AH$31</f>
        <v>0.006014209507</v>
      </c>
      <c r="AJ47" s="353">
        <f t="shared" ref="AJ47:AJ49" si="135">AK47*AJ$31</f>
        <v>42180.258</v>
      </c>
      <c r="AK47" s="355">
        <v>0.003</v>
      </c>
      <c r="AL47" s="352"/>
      <c r="AM47" s="358"/>
      <c r="AN47" s="351">
        <v>109083.0</v>
      </c>
      <c r="AO47" s="355">
        <f t="shared" ref="AO47:AO53" si="136">AN47/AN$31</f>
        <v>0.005051423552</v>
      </c>
      <c r="AP47" s="353">
        <f t="shared" ref="AP47:AP49" si="137">AQ47*AP$31</f>
        <v>50756.928</v>
      </c>
      <c r="AQ47" s="355">
        <v>0.003</v>
      </c>
      <c r="AR47" s="359"/>
      <c r="AS47" s="358"/>
      <c r="AT47" s="351">
        <v>87025.0</v>
      </c>
      <c r="AU47" s="355">
        <f t="shared" ref="AU47:AU53" si="138">AT47/AT$31</f>
        <v>0.003617291251</v>
      </c>
      <c r="AV47" s="353">
        <f t="shared" ref="AV47:AV49" si="139">AW47*AV$31</f>
        <v>56046.885</v>
      </c>
      <c r="AW47" s="355">
        <v>0.003</v>
      </c>
      <c r="AX47" s="353"/>
      <c r="AY47" s="358"/>
      <c r="AZ47" s="351">
        <v>65586.14</v>
      </c>
      <c r="BA47" s="355">
        <f t="shared" ref="BA47:BA53" si="140">AZ47/AZ$31</f>
        <v>0.002673349373</v>
      </c>
      <c r="BB47" s="353">
        <f t="shared" ref="BB47:BB49" si="141">BC47*BB$31</f>
        <v>65431.209</v>
      </c>
      <c r="BC47" s="355">
        <v>0.003</v>
      </c>
      <c r="BD47" s="353"/>
      <c r="BE47" s="358"/>
      <c r="BF47" s="351">
        <v>70931.82</v>
      </c>
      <c r="BG47" s="355">
        <f t="shared" ref="BG47:BG52" si="142">BF47/BF$31</f>
        <v>0.002704775161</v>
      </c>
      <c r="BH47" s="353">
        <f t="shared" ref="BH47:BH49" si="143">BI47*BH$31</f>
        <v>60305.214</v>
      </c>
      <c r="BI47" s="355">
        <v>0.003</v>
      </c>
      <c r="BJ47" s="352"/>
      <c r="BK47" s="358"/>
      <c r="BL47" s="396">
        <v>69218.58</v>
      </c>
      <c r="BM47" s="352"/>
      <c r="BN47" s="353">
        <f t="shared" ref="BN47:BN49" si="144">BO47*BN$31</f>
        <v>55211.187</v>
      </c>
      <c r="BO47" s="355">
        <v>0.003</v>
      </c>
      <c r="BP47" s="352"/>
      <c r="BQ47" s="358"/>
      <c r="BR47" s="414">
        <v>56883.64</v>
      </c>
      <c r="BS47" s="385">
        <f t="shared" ref="BS47:BS52" si="145">BR47/BR$31</f>
        <v>0.002569019207</v>
      </c>
      <c r="BT47" s="353">
        <f t="shared" ref="BT47:BT49" si="146">BU47*BT$31</f>
        <v>55665.321</v>
      </c>
      <c r="BU47" s="355">
        <v>0.003</v>
      </c>
      <c r="BV47" s="352"/>
      <c r="BW47" s="358"/>
      <c r="BX47" s="213"/>
      <c r="BY47" s="213"/>
      <c r="BZ47" s="213"/>
      <c r="CA47" s="213"/>
      <c r="CB47" s="213"/>
      <c r="CC47" s="213"/>
      <c r="CD47" s="213"/>
      <c r="CE47" s="213"/>
      <c r="CF47" s="213"/>
      <c r="CG47" s="213"/>
      <c r="CH47" s="213"/>
      <c r="CI47" s="213"/>
      <c r="CJ47" s="213"/>
      <c r="CK47" s="213"/>
      <c r="CL47" s="213"/>
      <c r="CM47" s="213"/>
      <c r="CN47" s="213"/>
      <c r="CO47" s="213"/>
      <c r="CP47" s="213"/>
      <c r="CQ47" s="213"/>
    </row>
    <row r="48" ht="15.75" customHeight="1">
      <c r="A48" s="213"/>
      <c r="B48" s="393"/>
      <c r="C48" s="350" t="s">
        <v>243</v>
      </c>
      <c r="D48" s="351">
        <f>115943.16</f>
        <v>115943.16</v>
      </c>
      <c r="E48" s="355">
        <f t="shared" si="120"/>
        <v>0.007348105656</v>
      </c>
      <c r="F48" s="353">
        <f t="shared" si="121"/>
        <v>110381.45</v>
      </c>
      <c r="G48" s="355">
        <v>0.0076</v>
      </c>
      <c r="H48" s="353">
        <f t="shared" si="122"/>
        <v>5561.71</v>
      </c>
      <c r="I48" s="394">
        <f t="shared" si="123"/>
        <v>0.05038627414</v>
      </c>
      <c r="J48" s="351">
        <v>122400.0</v>
      </c>
      <c r="K48" s="355">
        <f t="shared" si="124"/>
        <v>0.007967444268</v>
      </c>
      <c r="L48" s="353">
        <f t="shared" si="125"/>
        <v>101311.5015</v>
      </c>
      <c r="M48" s="355">
        <v>0.0076</v>
      </c>
      <c r="N48" s="357">
        <f t="shared" si="126"/>
        <v>21088.49853</v>
      </c>
      <c r="O48" s="395">
        <f t="shared" si="127"/>
        <v>0.208155029</v>
      </c>
      <c r="P48" s="351">
        <v>133290.0</v>
      </c>
      <c r="Q48" s="355">
        <f t="shared" si="128"/>
        <v>0.009762613008</v>
      </c>
      <c r="R48" s="353">
        <f t="shared" si="129"/>
        <v>96654.1096</v>
      </c>
      <c r="S48" s="355">
        <v>0.0076</v>
      </c>
      <c r="T48" s="352"/>
      <c r="U48" s="358"/>
      <c r="V48" s="351">
        <v>115577.0</v>
      </c>
      <c r="W48" s="355">
        <f t="shared" si="130"/>
        <v>0.007975162224</v>
      </c>
      <c r="X48" s="353">
        <f t="shared" si="131"/>
        <v>102000.892</v>
      </c>
      <c r="Y48" s="355">
        <v>0.0076</v>
      </c>
      <c r="Z48" s="352"/>
      <c r="AA48" s="358"/>
      <c r="AB48" s="351">
        <v>11434.0</v>
      </c>
      <c r="AC48" s="355">
        <f t="shared" si="132"/>
        <v>0.0007436607216</v>
      </c>
      <c r="AD48" s="353">
        <f t="shared" si="133"/>
        <v>110932.7768</v>
      </c>
      <c r="AE48" s="355">
        <v>0.0076</v>
      </c>
      <c r="AF48" s="352"/>
      <c r="AG48" s="358"/>
      <c r="AH48" s="351">
        <v>104068.88</v>
      </c>
      <c r="AI48" s="355">
        <f t="shared" si="134"/>
        <v>0.007479174762</v>
      </c>
      <c r="AJ48" s="353">
        <f t="shared" si="135"/>
        <v>106856.6536</v>
      </c>
      <c r="AK48" s="355">
        <v>0.0076</v>
      </c>
      <c r="AL48" s="352"/>
      <c r="AM48" s="358"/>
      <c r="AN48" s="351">
        <v>127449.0</v>
      </c>
      <c r="AO48" s="355">
        <f t="shared" si="136"/>
        <v>0.005901917625</v>
      </c>
      <c r="AP48" s="353">
        <f t="shared" si="137"/>
        <v>128584.2176</v>
      </c>
      <c r="AQ48" s="355">
        <v>0.0076</v>
      </c>
      <c r="AR48" s="359"/>
      <c r="AS48" s="358"/>
      <c r="AT48" s="351">
        <v>105841.0</v>
      </c>
      <c r="AU48" s="355">
        <f t="shared" si="138"/>
        <v>0.004399399291</v>
      </c>
      <c r="AV48" s="353">
        <f t="shared" si="139"/>
        <v>141985.442</v>
      </c>
      <c r="AW48" s="355">
        <v>0.0076</v>
      </c>
      <c r="AX48" s="353"/>
      <c r="AY48" s="358"/>
      <c r="AZ48" s="351">
        <v>148479.12</v>
      </c>
      <c r="BA48" s="355">
        <f t="shared" si="140"/>
        <v>0.006052140931</v>
      </c>
      <c r="BB48" s="353">
        <f t="shared" si="141"/>
        <v>165759.0628</v>
      </c>
      <c r="BC48" s="355">
        <v>0.0076</v>
      </c>
      <c r="BD48" s="353"/>
      <c r="BE48" s="358"/>
      <c r="BF48" s="351">
        <v>134489.59</v>
      </c>
      <c r="BG48" s="355">
        <f t="shared" si="142"/>
        <v>0.005128362735</v>
      </c>
      <c r="BH48" s="353">
        <f t="shared" si="143"/>
        <v>152773.2088</v>
      </c>
      <c r="BI48" s="355">
        <v>0.0076</v>
      </c>
      <c r="BJ48" s="352"/>
      <c r="BK48" s="358"/>
      <c r="BL48" s="396">
        <v>145334.08</v>
      </c>
      <c r="BM48" s="352"/>
      <c r="BN48" s="353">
        <f t="shared" si="144"/>
        <v>139868.3404</v>
      </c>
      <c r="BO48" s="355">
        <v>0.0076</v>
      </c>
      <c r="BP48" s="352"/>
      <c r="BQ48" s="358"/>
      <c r="BR48" s="414">
        <v>97252.0</v>
      </c>
      <c r="BS48" s="385">
        <f t="shared" si="145"/>
        <v>0.00439216365</v>
      </c>
      <c r="BT48" s="353">
        <f t="shared" si="146"/>
        <v>141018.8132</v>
      </c>
      <c r="BU48" s="355">
        <v>0.0076</v>
      </c>
      <c r="BV48" s="352"/>
      <c r="BW48" s="358"/>
      <c r="BX48" s="213"/>
      <c r="BY48" s="213"/>
      <c r="BZ48" s="213"/>
      <c r="CA48" s="213"/>
      <c r="CB48" s="213"/>
      <c r="CC48" s="213"/>
      <c r="CD48" s="213"/>
      <c r="CE48" s="213"/>
      <c r="CF48" s="213"/>
      <c r="CG48" s="213"/>
      <c r="CH48" s="213"/>
      <c r="CI48" s="213"/>
      <c r="CJ48" s="213"/>
      <c r="CK48" s="213"/>
      <c r="CL48" s="213"/>
      <c r="CM48" s="213"/>
      <c r="CN48" s="213"/>
      <c r="CO48" s="213"/>
      <c r="CP48" s="213"/>
      <c r="CQ48" s="213"/>
    </row>
    <row r="49" ht="15.75" customHeight="1">
      <c r="A49" s="213"/>
      <c r="B49" s="393"/>
      <c r="C49" s="350" t="s">
        <v>244</v>
      </c>
      <c r="D49" s="351">
        <f>47201+45060+2943</f>
        <v>95204</v>
      </c>
      <c r="E49" s="355">
        <f t="shared" si="120"/>
        <v>0.006033724205</v>
      </c>
      <c r="F49" s="353">
        <f>G49*F$31+5810</f>
        <v>62453.1125</v>
      </c>
      <c r="G49" s="355">
        <v>0.0039</v>
      </c>
      <c r="H49" s="353">
        <f t="shared" si="122"/>
        <v>32750.8875</v>
      </c>
      <c r="I49" s="394">
        <f t="shared" si="123"/>
        <v>0.5244076106</v>
      </c>
      <c r="J49" s="351">
        <v>141912.0</v>
      </c>
      <c r="K49" s="355">
        <f t="shared" si="124"/>
        <v>0.009237548619</v>
      </c>
      <c r="L49" s="353">
        <f t="shared" si="125"/>
        <v>51988.79681</v>
      </c>
      <c r="M49" s="355">
        <v>0.0039</v>
      </c>
      <c r="N49" s="357">
        <f t="shared" si="126"/>
        <v>89923.20319</v>
      </c>
      <c r="O49" s="395">
        <f t="shared" si="127"/>
        <v>1.729665018</v>
      </c>
      <c r="P49" s="351">
        <v>117445.0</v>
      </c>
      <c r="Q49" s="355">
        <f t="shared" si="128"/>
        <v>0.008602071309</v>
      </c>
      <c r="R49" s="353">
        <f t="shared" si="129"/>
        <v>49598.8194</v>
      </c>
      <c r="S49" s="355">
        <v>0.0039</v>
      </c>
      <c r="T49" s="352"/>
      <c r="U49" s="358"/>
      <c r="V49" s="351">
        <v>198881.0</v>
      </c>
      <c r="W49" s="355">
        <f t="shared" si="130"/>
        <v>0.01372338993</v>
      </c>
      <c r="X49" s="353">
        <f t="shared" si="131"/>
        <v>52342.563</v>
      </c>
      <c r="Y49" s="355">
        <v>0.0039</v>
      </c>
      <c r="Z49" s="352"/>
      <c r="AA49" s="358"/>
      <c r="AB49" s="351">
        <v>94958.0</v>
      </c>
      <c r="AC49" s="355">
        <f t="shared" si="132"/>
        <v>0.006176013189</v>
      </c>
      <c r="AD49" s="353">
        <f>AE49*AD$31+(5839)</f>
        <v>62765.0302</v>
      </c>
      <c r="AE49" s="355">
        <v>0.0039</v>
      </c>
      <c r="AF49" s="352"/>
      <c r="AG49" s="358"/>
      <c r="AH49" s="351">
        <v>59129.5</v>
      </c>
      <c r="AI49" s="355">
        <f t="shared" si="134"/>
        <v>0.004249491914</v>
      </c>
      <c r="AJ49" s="353">
        <f t="shared" si="135"/>
        <v>54834.3354</v>
      </c>
      <c r="AK49" s="355">
        <v>0.0039</v>
      </c>
      <c r="AL49" s="352"/>
      <c r="AM49" s="358"/>
      <c r="AN49" s="351">
        <v>75500.0</v>
      </c>
      <c r="AO49" s="355">
        <f t="shared" si="136"/>
        <v>0.003496259529</v>
      </c>
      <c r="AP49" s="353">
        <f t="shared" si="137"/>
        <v>65984.0064</v>
      </c>
      <c r="AQ49" s="355">
        <v>0.0039</v>
      </c>
      <c r="AR49" s="359"/>
      <c r="AS49" s="358"/>
      <c r="AT49" s="351">
        <v>87869.0</v>
      </c>
      <c r="AU49" s="355">
        <f t="shared" si="138"/>
        <v>0.003652373053</v>
      </c>
      <c r="AV49" s="353">
        <f t="shared" si="139"/>
        <v>72860.9505</v>
      </c>
      <c r="AW49" s="355">
        <v>0.0039</v>
      </c>
      <c r="AX49" s="353"/>
      <c r="AY49" s="358"/>
      <c r="AZ49" s="351">
        <v>63412.5</v>
      </c>
      <c r="BA49" s="355">
        <f t="shared" si="140"/>
        <v>0.002584749874</v>
      </c>
      <c r="BB49" s="353">
        <f t="shared" si="141"/>
        <v>85060.5717</v>
      </c>
      <c r="BC49" s="355">
        <v>0.0039</v>
      </c>
      <c r="BD49" s="353"/>
      <c r="BE49" s="358"/>
      <c r="BF49" s="351">
        <v>61436.0</v>
      </c>
      <c r="BG49" s="355">
        <f t="shared" si="142"/>
        <v>0.002342680151</v>
      </c>
      <c r="BH49" s="353">
        <f t="shared" si="143"/>
        <v>78396.7782</v>
      </c>
      <c r="BI49" s="355">
        <v>0.0039</v>
      </c>
      <c r="BJ49" s="352"/>
      <c r="BK49" s="358"/>
      <c r="BL49" s="351"/>
      <c r="BM49" s="352"/>
      <c r="BN49" s="353">
        <f t="shared" si="144"/>
        <v>71774.5431</v>
      </c>
      <c r="BO49" s="355">
        <v>0.0039</v>
      </c>
      <c r="BP49" s="352"/>
      <c r="BQ49" s="358"/>
      <c r="BR49" s="370">
        <v>2354.0</v>
      </c>
      <c r="BS49" s="385">
        <f t="shared" si="145"/>
        <v>0.000106313014</v>
      </c>
      <c r="BT49" s="353">
        <f t="shared" si="146"/>
        <v>72364.9173</v>
      </c>
      <c r="BU49" s="355">
        <v>0.0039</v>
      </c>
      <c r="BV49" s="352"/>
      <c r="BW49" s="358"/>
      <c r="BX49" s="213"/>
      <c r="BY49" s="213"/>
      <c r="BZ49" s="213"/>
      <c r="CA49" s="213"/>
      <c r="CB49" s="213"/>
      <c r="CC49" s="213"/>
      <c r="CD49" s="213"/>
      <c r="CE49" s="213"/>
      <c r="CF49" s="213"/>
      <c r="CG49" s="213"/>
      <c r="CH49" s="213"/>
      <c r="CI49" s="213"/>
      <c r="CJ49" s="213"/>
      <c r="CK49" s="213"/>
      <c r="CL49" s="213"/>
      <c r="CM49" s="213"/>
      <c r="CN49" s="213"/>
      <c r="CO49" s="213"/>
      <c r="CP49" s="213"/>
      <c r="CQ49" s="213"/>
    </row>
    <row r="50" ht="15.75" customHeight="1">
      <c r="A50" s="213"/>
      <c r="B50" s="393"/>
      <c r="C50" s="350" t="s">
        <v>245</v>
      </c>
      <c r="D50" s="351">
        <v>89977.0</v>
      </c>
      <c r="E50" s="355">
        <f t="shared" si="120"/>
        <v>0.005702453707</v>
      </c>
      <c r="F50" s="353">
        <f>G50*F$31+100000</f>
        <v>110166.7125</v>
      </c>
      <c r="G50" s="355">
        <v>7.0E-4</v>
      </c>
      <c r="H50" s="353">
        <f t="shared" si="122"/>
        <v>-20189.7125</v>
      </c>
      <c r="I50" s="394">
        <f t="shared" si="123"/>
        <v>-0.1832650902</v>
      </c>
      <c r="J50" s="351">
        <v>117049.0</v>
      </c>
      <c r="K50" s="355">
        <f t="shared" si="124"/>
        <v>0.007619128955</v>
      </c>
      <c r="L50" s="353">
        <f>M50*L$31+100000</f>
        <v>109331.3225</v>
      </c>
      <c r="M50" s="355">
        <v>7.0E-4</v>
      </c>
      <c r="N50" s="357">
        <f t="shared" si="126"/>
        <v>7717.677496</v>
      </c>
      <c r="O50" s="395">
        <f t="shared" si="127"/>
        <v>0.07058981195</v>
      </c>
      <c r="P50" s="351">
        <v>78479.0</v>
      </c>
      <c r="Q50" s="355">
        <f t="shared" si="128"/>
        <v>0.005748068919</v>
      </c>
      <c r="R50" s="353">
        <f>S50*R$31+100000</f>
        <v>108902.3522</v>
      </c>
      <c r="S50" s="355">
        <v>7.0E-4</v>
      </c>
      <c r="T50" s="352"/>
      <c r="U50" s="358"/>
      <c r="V50" s="351">
        <v>127207.0</v>
      </c>
      <c r="W50" s="355">
        <f t="shared" si="130"/>
        <v>0.008777667365</v>
      </c>
      <c r="X50" s="353">
        <f>Y50*X$31+100000</f>
        <v>109394.819</v>
      </c>
      <c r="Y50" s="355">
        <v>7.0E-4</v>
      </c>
      <c r="Z50" s="352"/>
      <c r="AA50" s="358"/>
      <c r="AB50" s="351">
        <v>129117.0</v>
      </c>
      <c r="AC50" s="355">
        <f t="shared" si="132"/>
        <v>0.008397694717</v>
      </c>
      <c r="AD50" s="353">
        <f>AE50*AD$31+100000</f>
        <v>110217.4926</v>
      </c>
      <c r="AE50" s="355">
        <v>7.0E-4</v>
      </c>
      <c r="AF50" s="352"/>
      <c r="AG50" s="358"/>
      <c r="AH50" s="351">
        <v>87249.5</v>
      </c>
      <c r="AI50" s="355">
        <f t="shared" si="134"/>
        <v>0.006270407238</v>
      </c>
      <c r="AJ50" s="353">
        <f>AK50*AJ$31+100000</f>
        <v>109842.0602</v>
      </c>
      <c r="AK50" s="355">
        <v>7.0E-4</v>
      </c>
      <c r="AL50" s="352"/>
      <c r="AM50" s="358"/>
      <c r="AN50" s="351">
        <v>144994.0</v>
      </c>
      <c r="AO50" s="355">
        <f t="shared" si="136"/>
        <v>0.00671439277</v>
      </c>
      <c r="AP50" s="353">
        <f>AQ50*AP$31+100000</f>
        <v>111843.2832</v>
      </c>
      <c r="AQ50" s="355">
        <v>7.0E-4</v>
      </c>
      <c r="AR50" s="359"/>
      <c r="AS50" s="358"/>
      <c r="AT50" s="351">
        <v>181236.0</v>
      </c>
      <c r="AU50" s="355">
        <f t="shared" si="138"/>
        <v>0.007533276612</v>
      </c>
      <c r="AV50" s="353">
        <f>AW50*AV$31+100000</f>
        <v>113077.6065</v>
      </c>
      <c r="AW50" s="355">
        <v>7.0E-4</v>
      </c>
      <c r="AX50" s="353"/>
      <c r="AY50" s="358"/>
      <c r="AZ50" s="351">
        <v>127973.0</v>
      </c>
      <c r="BA50" s="355">
        <f t="shared" si="140"/>
        <v>0.005216293249</v>
      </c>
      <c r="BB50" s="353">
        <f>BC50*BB$31+100000</f>
        <v>115267.2821</v>
      </c>
      <c r="BC50" s="355">
        <v>7.0E-4</v>
      </c>
      <c r="BD50" s="353"/>
      <c r="BE50" s="358"/>
      <c r="BF50" s="351">
        <v>102000.0</v>
      </c>
      <c r="BG50" s="355">
        <f t="shared" si="142"/>
        <v>0.003889468315</v>
      </c>
      <c r="BH50" s="353">
        <f>BI50*BH$31+100000</f>
        <v>114071.2166</v>
      </c>
      <c r="BI50" s="355">
        <v>7.0E-4</v>
      </c>
      <c r="BJ50" s="352"/>
      <c r="BK50" s="358"/>
      <c r="BL50" s="396">
        <v>95177.0</v>
      </c>
      <c r="BM50" s="352"/>
      <c r="BN50" s="353">
        <f>BO50*BN$31+100000</f>
        <v>112882.6103</v>
      </c>
      <c r="BO50" s="355">
        <v>7.0E-4</v>
      </c>
      <c r="BP50" s="352"/>
      <c r="BQ50" s="358"/>
      <c r="BR50" s="414">
        <v>148257.0</v>
      </c>
      <c r="BS50" s="385">
        <f t="shared" si="145"/>
        <v>0.006695687557</v>
      </c>
      <c r="BT50" s="353">
        <f>BU50*BT$31+100000</f>
        <v>112988.5749</v>
      </c>
      <c r="BU50" s="355">
        <v>7.0E-4</v>
      </c>
      <c r="BV50" s="352"/>
      <c r="BW50" s="358"/>
      <c r="BX50" s="213"/>
      <c r="BY50" s="213"/>
      <c r="BZ50" s="213"/>
      <c r="CA50" s="213"/>
      <c r="CB50" s="213"/>
      <c r="CC50" s="213"/>
      <c r="CD50" s="213"/>
      <c r="CE50" s="213"/>
      <c r="CF50" s="213"/>
      <c r="CG50" s="213"/>
      <c r="CH50" s="213"/>
      <c r="CI50" s="213"/>
      <c r="CJ50" s="213"/>
      <c r="CK50" s="213"/>
      <c r="CL50" s="213"/>
      <c r="CM50" s="213"/>
      <c r="CN50" s="213"/>
      <c r="CO50" s="213"/>
      <c r="CP50" s="213"/>
      <c r="CQ50" s="213"/>
    </row>
    <row r="51" ht="15.75" customHeight="1">
      <c r="A51" s="213"/>
      <c r="B51" s="393"/>
      <c r="C51" s="350" t="s">
        <v>246</v>
      </c>
      <c r="D51" s="351">
        <v>122008.0</v>
      </c>
      <c r="E51" s="355">
        <f t="shared" si="120"/>
        <v>0.007732475765</v>
      </c>
      <c r="F51" s="353">
        <v>125000.0</v>
      </c>
      <c r="G51" s="355">
        <v>4.0E-4</v>
      </c>
      <c r="H51" s="353">
        <f t="shared" si="122"/>
        <v>-2992</v>
      </c>
      <c r="I51" s="394">
        <f t="shared" si="123"/>
        <v>-0.023936</v>
      </c>
      <c r="J51" s="351">
        <v>0.0</v>
      </c>
      <c r="K51" s="355">
        <f t="shared" si="124"/>
        <v>0</v>
      </c>
      <c r="L51" s="353">
        <f t="shared" ref="L51:L52" si="147">M51*L$31</f>
        <v>5332.184288</v>
      </c>
      <c r="M51" s="355">
        <v>4.0E-4</v>
      </c>
      <c r="N51" s="357">
        <f t="shared" si="126"/>
        <v>-5332.184288</v>
      </c>
      <c r="O51" s="395">
        <f t="shared" si="127"/>
        <v>-1</v>
      </c>
      <c r="P51" s="351" t="s">
        <v>219</v>
      </c>
      <c r="Q51" s="355" t="str">
        <f t="shared" si="128"/>
        <v/>
      </c>
      <c r="R51" s="353">
        <f t="shared" ref="R51:R52" si="148">S51*R$31</f>
        <v>5087.0584</v>
      </c>
      <c r="S51" s="355">
        <v>4.0E-4</v>
      </c>
      <c r="T51" s="352"/>
      <c r="U51" s="358"/>
      <c r="V51" s="351">
        <v>0.0</v>
      </c>
      <c r="W51" s="355">
        <f t="shared" si="130"/>
        <v>0</v>
      </c>
      <c r="X51" s="353">
        <f t="shared" ref="X51:X52" si="149">Y51*X$31</f>
        <v>5368.468</v>
      </c>
      <c r="Y51" s="355">
        <v>4.0E-4</v>
      </c>
      <c r="Z51" s="352"/>
      <c r="AA51" s="358"/>
      <c r="AB51" s="351"/>
      <c r="AC51" s="355">
        <f t="shared" si="132"/>
        <v>0</v>
      </c>
      <c r="AD51" s="353"/>
      <c r="AE51" s="355">
        <v>4.0E-4</v>
      </c>
      <c r="AF51" s="352"/>
      <c r="AG51" s="358"/>
      <c r="AH51" s="351">
        <v>0.0</v>
      </c>
      <c r="AI51" s="355">
        <f t="shared" si="134"/>
        <v>0</v>
      </c>
      <c r="AJ51" s="353">
        <f t="shared" ref="AJ51:AJ52" si="150">AK51*AJ$31</f>
        <v>5624.0344</v>
      </c>
      <c r="AK51" s="355">
        <v>4.0E-4</v>
      </c>
      <c r="AL51" s="352"/>
      <c r="AM51" s="358"/>
      <c r="AN51" s="351">
        <v>0.0</v>
      </c>
      <c r="AO51" s="355">
        <f t="shared" si="136"/>
        <v>0</v>
      </c>
      <c r="AP51" s="353">
        <f t="shared" ref="AP51:AP52" si="151">AQ51*AP$31</f>
        <v>6767.5904</v>
      </c>
      <c r="AQ51" s="355">
        <v>4.0E-4</v>
      </c>
      <c r="AR51" s="359"/>
      <c r="AS51" s="358"/>
      <c r="AT51" s="351"/>
      <c r="AU51" s="355">
        <f t="shared" si="138"/>
        <v>0</v>
      </c>
      <c r="AV51" s="353">
        <f t="shared" ref="AV51:AV52" si="152">AW51*AV$31</f>
        <v>7472.918</v>
      </c>
      <c r="AW51" s="355">
        <v>4.0E-4</v>
      </c>
      <c r="AX51" s="353"/>
      <c r="AY51" s="358"/>
      <c r="AZ51" s="351">
        <v>0.0</v>
      </c>
      <c r="BA51" s="355">
        <f t="shared" si="140"/>
        <v>0</v>
      </c>
      <c r="BB51" s="353">
        <f t="shared" ref="BB51:BB52" si="153">BC51*BB$31</f>
        <v>8724.1612</v>
      </c>
      <c r="BC51" s="355">
        <v>4.0E-4</v>
      </c>
      <c r="BD51" s="353"/>
      <c r="BE51" s="358"/>
      <c r="BF51" s="351">
        <v>0.0</v>
      </c>
      <c r="BG51" s="355">
        <f t="shared" si="142"/>
        <v>0</v>
      </c>
      <c r="BH51" s="353">
        <f t="shared" ref="BH51:BH52" si="154">BI51*BH$31</f>
        <v>8040.6952</v>
      </c>
      <c r="BI51" s="355">
        <v>4.0E-4</v>
      </c>
      <c r="BJ51" s="352"/>
      <c r="BK51" s="358"/>
      <c r="BL51" s="396">
        <v>54922.5</v>
      </c>
      <c r="BM51" s="352"/>
      <c r="BN51" s="353">
        <f t="shared" ref="BN51:BN52" si="155">BO51*BN$31</f>
        <v>7361.4916</v>
      </c>
      <c r="BO51" s="355">
        <v>4.0E-4</v>
      </c>
      <c r="BP51" s="352"/>
      <c r="BQ51" s="358"/>
      <c r="BR51" s="414">
        <v>46717.5</v>
      </c>
      <c r="BS51" s="385">
        <f t="shared" si="145"/>
        <v>0.002109888798</v>
      </c>
      <c r="BT51" s="353">
        <f t="shared" ref="BT51:BT52" si="156">BU51*BT$31</f>
        <v>7422.0428</v>
      </c>
      <c r="BU51" s="355">
        <v>4.0E-4</v>
      </c>
      <c r="BV51" s="352"/>
      <c r="BW51" s="358"/>
      <c r="BX51" s="213"/>
      <c r="BY51" s="213"/>
      <c r="BZ51" s="213"/>
      <c r="CA51" s="213"/>
      <c r="CB51" s="213"/>
      <c r="CC51" s="213"/>
      <c r="CD51" s="213"/>
      <c r="CE51" s="213"/>
      <c r="CF51" s="213"/>
      <c r="CG51" s="213"/>
      <c r="CH51" s="213"/>
      <c r="CI51" s="213"/>
      <c r="CJ51" s="213"/>
      <c r="CK51" s="213"/>
      <c r="CL51" s="213"/>
      <c r="CM51" s="213"/>
      <c r="CN51" s="213"/>
      <c r="CO51" s="213"/>
      <c r="CP51" s="213"/>
      <c r="CQ51" s="213"/>
    </row>
    <row r="52" ht="15.75" customHeight="1">
      <c r="A52" s="213"/>
      <c r="B52" s="403"/>
      <c r="C52" s="362" t="s">
        <v>247</v>
      </c>
      <c r="D52" s="363">
        <v>12540.64</v>
      </c>
      <c r="E52" s="404">
        <f t="shared" si="120"/>
        <v>0.0007947855459</v>
      </c>
      <c r="F52" s="365">
        <f>G52*F$31</f>
        <v>5809.55</v>
      </c>
      <c r="G52" s="404">
        <v>4.0E-4</v>
      </c>
      <c r="H52" s="365">
        <f t="shared" si="122"/>
        <v>6731.09</v>
      </c>
      <c r="I52" s="405">
        <f t="shared" si="123"/>
        <v>1.158625023</v>
      </c>
      <c r="J52" s="363">
        <v>11650.0</v>
      </c>
      <c r="K52" s="404">
        <f t="shared" si="124"/>
        <v>0.0007583392624</v>
      </c>
      <c r="L52" s="365">
        <f t="shared" si="147"/>
        <v>5332.184288</v>
      </c>
      <c r="M52" s="404">
        <v>4.0E-4</v>
      </c>
      <c r="N52" s="367">
        <f t="shared" si="126"/>
        <v>6317.815712</v>
      </c>
      <c r="O52" s="406">
        <f t="shared" si="127"/>
        <v>1.184845716</v>
      </c>
      <c r="P52" s="363" t="s">
        <v>219</v>
      </c>
      <c r="Q52" s="404" t="str">
        <f t="shared" si="128"/>
        <v/>
      </c>
      <c r="R52" s="365">
        <f t="shared" si="148"/>
        <v>5087.0584</v>
      </c>
      <c r="S52" s="404">
        <v>4.0E-4</v>
      </c>
      <c r="T52" s="364"/>
      <c r="U52" s="368"/>
      <c r="V52" s="363">
        <v>677.0</v>
      </c>
      <c r="W52" s="404">
        <f t="shared" si="130"/>
        <v>0.00004671504561</v>
      </c>
      <c r="X52" s="365">
        <f t="shared" si="149"/>
        <v>5368.468</v>
      </c>
      <c r="Y52" s="404">
        <v>4.0E-4</v>
      </c>
      <c r="Z52" s="364"/>
      <c r="AA52" s="368"/>
      <c r="AB52" s="363">
        <v>4607.0</v>
      </c>
      <c r="AC52" s="404">
        <f t="shared" si="132"/>
        <v>0.0002996366053</v>
      </c>
      <c r="AD52" s="365">
        <f>AE52*AD$31</f>
        <v>5838.5672</v>
      </c>
      <c r="AE52" s="404">
        <v>4.0E-4</v>
      </c>
      <c r="AF52" s="364"/>
      <c r="AG52" s="368"/>
      <c r="AH52" s="363">
        <v>0.0</v>
      </c>
      <c r="AI52" s="404">
        <f t="shared" si="134"/>
        <v>0</v>
      </c>
      <c r="AJ52" s="365">
        <f t="shared" si="150"/>
        <v>5624.0344</v>
      </c>
      <c r="AK52" s="404">
        <v>4.0E-4</v>
      </c>
      <c r="AL52" s="364"/>
      <c r="AM52" s="368"/>
      <c r="AN52" s="363">
        <v>1260.0</v>
      </c>
      <c r="AO52" s="404">
        <f t="shared" si="136"/>
        <v>0.00005834817227</v>
      </c>
      <c r="AP52" s="365">
        <f t="shared" si="151"/>
        <v>6767.5904</v>
      </c>
      <c r="AQ52" s="404">
        <v>4.0E-4</v>
      </c>
      <c r="AR52" s="369"/>
      <c r="AS52" s="368"/>
      <c r="AT52" s="363">
        <v>660.0</v>
      </c>
      <c r="AU52" s="404">
        <f t="shared" si="138"/>
        <v>0.0000274336366</v>
      </c>
      <c r="AV52" s="365">
        <f t="shared" si="152"/>
        <v>7472.918</v>
      </c>
      <c r="AW52" s="404">
        <v>4.0E-4</v>
      </c>
      <c r="AX52" s="365"/>
      <c r="AY52" s="368"/>
      <c r="AZ52" s="363">
        <v>24808.56</v>
      </c>
      <c r="BA52" s="404">
        <f t="shared" si="140"/>
        <v>0.001011218961</v>
      </c>
      <c r="BB52" s="365">
        <f t="shared" si="153"/>
        <v>8724.1612</v>
      </c>
      <c r="BC52" s="404">
        <v>4.0E-4</v>
      </c>
      <c r="BD52" s="365"/>
      <c r="BE52" s="368"/>
      <c r="BF52" s="363">
        <v>1584.0</v>
      </c>
      <c r="BG52" s="404">
        <f t="shared" si="142"/>
        <v>0.000060401155</v>
      </c>
      <c r="BH52" s="365">
        <f t="shared" si="154"/>
        <v>8040.6952</v>
      </c>
      <c r="BI52" s="404">
        <v>4.0E-4</v>
      </c>
      <c r="BJ52" s="364"/>
      <c r="BK52" s="368"/>
      <c r="BL52" s="396">
        <v>1480.0</v>
      </c>
      <c r="BM52" s="364"/>
      <c r="BN52" s="365">
        <f t="shared" si="155"/>
        <v>7361.4916</v>
      </c>
      <c r="BO52" s="404">
        <v>4.0E-4</v>
      </c>
      <c r="BP52" s="364"/>
      <c r="BQ52" s="368"/>
      <c r="BR52" s="443">
        <v>5152.5</v>
      </c>
      <c r="BS52" s="385">
        <f t="shared" si="145"/>
        <v>0.0002327008515</v>
      </c>
      <c r="BT52" s="365">
        <f t="shared" si="156"/>
        <v>7422.0428</v>
      </c>
      <c r="BU52" s="404">
        <v>4.0E-4</v>
      </c>
      <c r="BV52" s="364"/>
      <c r="BW52" s="368"/>
      <c r="BX52" s="213"/>
      <c r="BY52" s="213"/>
      <c r="BZ52" s="213"/>
      <c r="CA52" s="213"/>
      <c r="CB52" s="213"/>
      <c r="CC52" s="213"/>
      <c r="CD52" s="213"/>
      <c r="CE52" s="213"/>
      <c r="CF52" s="213"/>
      <c r="CG52" s="213"/>
      <c r="CH52" s="213"/>
      <c r="CI52" s="213"/>
      <c r="CJ52" s="213"/>
      <c r="CK52" s="213"/>
      <c r="CL52" s="213"/>
      <c r="CM52" s="213"/>
      <c r="CN52" s="213"/>
      <c r="CO52" s="213"/>
      <c r="CP52" s="213"/>
      <c r="CQ52" s="213"/>
    </row>
    <row r="53" ht="15.75" customHeight="1">
      <c r="A53" s="213"/>
      <c r="B53" s="407"/>
      <c r="C53" s="372" t="s">
        <v>248</v>
      </c>
      <c r="D53" s="373">
        <f>SUM(D47:D52)</f>
        <v>474176.8</v>
      </c>
      <c r="E53" s="374">
        <f>D53/D31</f>
        <v>0.03005180492</v>
      </c>
      <c r="F53" s="375">
        <f>SUM(F47:F52)</f>
        <v>457382.45</v>
      </c>
      <c r="G53" s="374">
        <f>F53/F31</f>
        <v>0.03149176442</v>
      </c>
      <c r="H53" s="375">
        <f>SUM(H47:H52)</f>
        <v>16794.35</v>
      </c>
      <c r="I53" s="376">
        <f>H53/H31</f>
        <v>0.01338439141</v>
      </c>
      <c r="J53" s="373">
        <f>SUM(J47:J52)</f>
        <v>448886</v>
      </c>
      <c r="K53" s="374">
        <f t="shared" si="124"/>
        <v>0.02921956036</v>
      </c>
      <c r="L53" s="375">
        <f>SUM(L47:L52)</f>
        <v>313287.3715</v>
      </c>
      <c r="M53" s="374">
        <f>L53/L31</f>
        <v>0.02350161619</v>
      </c>
      <c r="N53" s="377">
        <f>SUM(N47:N52)</f>
        <v>135598.6285</v>
      </c>
      <c r="O53" s="379">
        <f>N53/N31</f>
        <v>0.1083615801</v>
      </c>
      <c r="P53" s="373">
        <f>SUM(P47:P52)</f>
        <v>376442</v>
      </c>
      <c r="Q53" s="374">
        <f>P53/P31</f>
        <v>0.02757189261</v>
      </c>
      <c r="R53" s="375">
        <f>SUM(R47:R52)</f>
        <v>303482.336</v>
      </c>
      <c r="S53" s="374">
        <f>R53/R31</f>
        <v>0.02386309039</v>
      </c>
      <c r="T53" s="408">
        <f>SUM(T47:T52)</f>
        <v>0</v>
      </c>
      <c r="U53" s="378"/>
      <c r="V53" s="373">
        <f>SUM(V47:V52)</f>
        <v>507697</v>
      </c>
      <c r="W53" s="374">
        <f t="shared" si="130"/>
        <v>0.03503262704</v>
      </c>
      <c r="X53" s="375">
        <f>SUM(X47:X52)</f>
        <v>314738.72</v>
      </c>
      <c r="Y53" s="374">
        <f>X53/X31</f>
        <v>0.02345091523</v>
      </c>
      <c r="Z53" s="408">
        <f>SUM(Z47:Z52)</f>
        <v>0</v>
      </c>
      <c r="AA53" s="378"/>
      <c r="AB53" s="373">
        <f>SUM(AB47:AB52)</f>
        <v>312032</v>
      </c>
      <c r="AC53" s="374">
        <f t="shared" si="132"/>
        <v>0.02029438012</v>
      </c>
      <c r="AD53" s="375">
        <f>SUM(AD47:AD52)</f>
        <v>333543.1208</v>
      </c>
      <c r="AE53" s="374">
        <f>AD53/AD31</f>
        <v>0.02285102556</v>
      </c>
      <c r="AF53" s="408">
        <f>SUM(AF47:AF52)</f>
        <v>0</v>
      </c>
      <c r="AG53" s="378"/>
      <c r="AH53" s="373">
        <f>SUM(AH47:AH52)</f>
        <v>334132.52</v>
      </c>
      <c r="AI53" s="374">
        <f t="shared" si="134"/>
        <v>0.02401328342</v>
      </c>
      <c r="AJ53" s="375">
        <f>SUM(AJ47:AJ52)</f>
        <v>324961.376</v>
      </c>
      <c r="AK53" s="374">
        <f>AJ53/AJ31</f>
        <v>0.02311233203</v>
      </c>
      <c r="AL53" s="408">
        <f>SUM(AL47:AL52)</f>
        <v>0</v>
      </c>
      <c r="AM53" s="378"/>
      <c r="AN53" s="373">
        <f>SUM(AN47:AN52)</f>
        <v>458286</v>
      </c>
      <c r="AO53" s="374">
        <f t="shared" si="136"/>
        <v>0.02122234165</v>
      </c>
      <c r="AP53" s="375">
        <f>SUM(AP47:AP52)</f>
        <v>370703.616</v>
      </c>
      <c r="AQ53" s="374">
        <f>AP53/AP31</f>
        <v>0.02191052319</v>
      </c>
      <c r="AR53" s="380">
        <f>SUM(AR47:AR52)</f>
        <v>0</v>
      </c>
      <c r="AS53" s="378"/>
      <c r="AT53" s="373">
        <f>SUM(AT47:AT52)</f>
        <v>462631</v>
      </c>
      <c r="AU53" s="374">
        <f t="shared" si="138"/>
        <v>0.01922977384</v>
      </c>
      <c r="AV53" s="375">
        <f>SUM(AV47:AV52)</f>
        <v>398916.72</v>
      </c>
      <c r="AW53" s="374">
        <f>AV53/AV31</f>
        <v>0.02135266144</v>
      </c>
      <c r="AX53" s="375">
        <f>SUM(AX47:AX52)</f>
        <v>0</v>
      </c>
      <c r="AY53" s="378"/>
      <c r="AZ53" s="373">
        <f>SUM(AZ47:AZ52)</f>
        <v>430259.32</v>
      </c>
      <c r="BA53" s="374">
        <f t="shared" si="140"/>
        <v>0.01753775239</v>
      </c>
      <c r="BB53" s="375">
        <f>SUM(BB47:BB52)</f>
        <v>448966.448</v>
      </c>
      <c r="BC53" s="374">
        <f>BB53/BB31</f>
        <v>0.02058496801</v>
      </c>
      <c r="BD53" s="375">
        <f>SUM(BD47:BD52)</f>
        <v>0</v>
      </c>
      <c r="BE53" s="378"/>
      <c r="BF53" s="373">
        <f>SUM(BF47:BF52)</f>
        <v>370441.41</v>
      </c>
      <c r="BG53" s="408"/>
      <c r="BH53" s="375">
        <f>SUM(BH47:BH52)</f>
        <v>421627.808</v>
      </c>
      <c r="BI53" s="374">
        <f>BH53/BH31</f>
        <v>0.02097469423</v>
      </c>
      <c r="BJ53" s="408">
        <f>SUM(BJ47:BJ52)</f>
        <v>0</v>
      </c>
      <c r="BK53" s="378"/>
      <c r="BL53" s="373">
        <f>SUM(BL47:BL52)</f>
        <v>366132.16</v>
      </c>
      <c r="BM53" s="408"/>
      <c r="BN53" s="375">
        <f>SUM(BN47:BN52)</f>
        <v>394459.664</v>
      </c>
      <c r="BO53" s="374">
        <f>BN53/BN31</f>
        <v>0.0214336814</v>
      </c>
      <c r="BP53" s="408">
        <f>SUM(BP47:BP52)</f>
        <v>0</v>
      </c>
      <c r="BQ53" s="378"/>
      <c r="BR53" s="381">
        <f>SUM(BR47:BR52)</f>
        <v>356616.64</v>
      </c>
      <c r="BS53" s="408"/>
      <c r="BT53" s="375">
        <f>SUM(BT47:BT52)</f>
        <v>396881.712</v>
      </c>
      <c r="BU53" s="374">
        <f>BT53/BT31</f>
        <v>0.02138935184</v>
      </c>
      <c r="BV53" s="408">
        <f>SUM(BV47:BV52)</f>
        <v>0</v>
      </c>
      <c r="BW53" s="378"/>
      <c r="BX53" s="328">
        <f>SUM(D53,J53,P53,V53,AB53,AH53,AN53,AT53,AZ53,BF53,BL53,BR53)</f>
        <v>4897732.85</v>
      </c>
      <c r="BY53" s="216"/>
      <c r="BZ53" s="216"/>
      <c r="CA53" s="216"/>
      <c r="CB53" s="216"/>
      <c r="CC53" s="216"/>
      <c r="CD53" s="216"/>
      <c r="CE53" s="216"/>
      <c r="CF53" s="216"/>
      <c r="CG53" s="216"/>
      <c r="CH53" s="216"/>
      <c r="CI53" s="216"/>
      <c r="CJ53" s="216"/>
      <c r="CK53" s="216"/>
      <c r="CL53" s="216"/>
      <c r="CM53" s="216"/>
      <c r="CN53" s="216"/>
      <c r="CO53" s="216"/>
      <c r="CP53" s="216"/>
      <c r="CQ53" s="216"/>
    </row>
    <row r="54" ht="15.75" hidden="1" customHeight="1">
      <c r="A54" s="213"/>
      <c r="B54" s="444"/>
      <c r="C54" s="383"/>
      <c r="D54" s="384"/>
      <c r="E54" s="440"/>
      <c r="F54" s="386"/>
      <c r="G54" s="440"/>
      <c r="H54" s="386"/>
      <c r="I54" s="441"/>
      <c r="J54" s="384"/>
      <c r="K54" s="440"/>
      <c r="L54" s="386"/>
      <c r="M54" s="440"/>
      <c r="N54" s="440"/>
      <c r="O54" s="389"/>
      <c r="P54" s="384"/>
      <c r="Q54" s="440"/>
      <c r="R54" s="386"/>
      <c r="S54" s="440"/>
      <c r="T54" s="440"/>
      <c r="U54" s="389"/>
      <c r="V54" s="384"/>
      <c r="W54" s="440"/>
      <c r="X54" s="386"/>
      <c r="Y54" s="440"/>
      <c r="Z54" s="440"/>
      <c r="AA54" s="389"/>
      <c r="AB54" s="384"/>
      <c r="AC54" s="440"/>
      <c r="AD54" s="386"/>
      <c r="AE54" s="440"/>
      <c r="AF54" s="440"/>
      <c r="AG54" s="389"/>
      <c r="AH54" s="384"/>
      <c r="AI54" s="440"/>
      <c r="AJ54" s="386"/>
      <c r="AK54" s="440"/>
      <c r="AL54" s="440"/>
      <c r="AM54" s="389"/>
      <c r="AN54" s="384"/>
      <c r="AO54" s="440"/>
      <c r="AP54" s="386"/>
      <c r="AQ54" s="440"/>
      <c r="AR54" s="391"/>
      <c r="AS54" s="389"/>
      <c r="AT54" s="384"/>
      <c r="AU54" s="440"/>
      <c r="AV54" s="386"/>
      <c r="AW54" s="440"/>
      <c r="AX54" s="386"/>
      <c r="AY54" s="389"/>
      <c r="AZ54" s="384"/>
      <c r="BA54" s="440"/>
      <c r="BB54" s="386"/>
      <c r="BC54" s="440"/>
      <c r="BD54" s="386"/>
      <c r="BE54" s="389"/>
      <c r="BF54" s="384"/>
      <c r="BG54" s="440"/>
      <c r="BH54" s="386"/>
      <c r="BI54" s="440"/>
      <c r="BJ54" s="440"/>
      <c r="BK54" s="389"/>
      <c r="BL54" s="384"/>
      <c r="BM54" s="440"/>
      <c r="BN54" s="386"/>
      <c r="BO54" s="440"/>
      <c r="BP54" s="440"/>
      <c r="BQ54" s="389"/>
      <c r="BR54" s="392"/>
      <c r="BS54" s="440"/>
      <c r="BT54" s="386"/>
      <c r="BU54" s="440"/>
      <c r="BV54" s="440"/>
      <c r="BW54" s="389"/>
      <c r="BX54" s="213"/>
      <c r="BY54" s="213"/>
      <c r="BZ54" s="213"/>
      <c r="CA54" s="213"/>
      <c r="CB54" s="213"/>
      <c r="CC54" s="213"/>
      <c r="CD54" s="213"/>
      <c r="CE54" s="213"/>
      <c r="CF54" s="213"/>
      <c r="CG54" s="213"/>
      <c r="CH54" s="213"/>
      <c r="CI54" s="213"/>
      <c r="CJ54" s="213"/>
      <c r="CK54" s="213"/>
      <c r="CL54" s="213"/>
      <c r="CM54" s="213"/>
      <c r="CN54" s="213"/>
      <c r="CO54" s="213"/>
      <c r="CP54" s="213"/>
      <c r="CQ54" s="213"/>
    </row>
    <row r="55" ht="15.75" hidden="1" customHeight="1">
      <c r="A55" s="213"/>
      <c r="B55" s="393"/>
      <c r="C55" s="350"/>
      <c r="D55" s="351"/>
      <c r="E55" s="355"/>
      <c r="F55" s="353"/>
      <c r="G55" s="352"/>
      <c r="H55" s="353"/>
      <c r="I55" s="354"/>
      <c r="J55" s="351"/>
      <c r="K55" s="352"/>
      <c r="L55" s="353"/>
      <c r="M55" s="352"/>
      <c r="N55" s="352"/>
      <c r="O55" s="358"/>
      <c r="P55" s="351"/>
      <c r="Q55" s="352"/>
      <c r="R55" s="353"/>
      <c r="S55" s="352"/>
      <c r="T55" s="352"/>
      <c r="U55" s="358"/>
      <c r="V55" s="351"/>
      <c r="W55" s="352"/>
      <c r="X55" s="353"/>
      <c r="Y55" s="352"/>
      <c r="Z55" s="352"/>
      <c r="AA55" s="358"/>
      <c r="AB55" s="351"/>
      <c r="AC55" s="352"/>
      <c r="AD55" s="353"/>
      <c r="AE55" s="352"/>
      <c r="AF55" s="352"/>
      <c r="AG55" s="358"/>
      <c r="AH55" s="351"/>
      <c r="AI55" s="352"/>
      <c r="AJ55" s="353"/>
      <c r="AK55" s="352"/>
      <c r="AL55" s="352"/>
      <c r="AM55" s="358"/>
      <c r="AN55" s="351"/>
      <c r="AO55" s="352"/>
      <c r="AP55" s="353"/>
      <c r="AQ55" s="352"/>
      <c r="AR55" s="359"/>
      <c r="AS55" s="358"/>
      <c r="AT55" s="351"/>
      <c r="AU55" s="352"/>
      <c r="AV55" s="353"/>
      <c r="AW55" s="352"/>
      <c r="AX55" s="353"/>
      <c r="AY55" s="358"/>
      <c r="AZ55" s="351"/>
      <c r="BA55" s="352"/>
      <c r="BB55" s="353"/>
      <c r="BC55" s="352"/>
      <c r="BD55" s="353"/>
      <c r="BE55" s="358"/>
      <c r="BF55" s="351"/>
      <c r="BG55" s="352"/>
      <c r="BH55" s="353"/>
      <c r="BI55" s="352"/>
      <c r="BJ55" s="352"/>
      <c r="BK55" s="358"/>
      <c r="BL55" s="351"/>
      <c r="BM55" s="352"/>
      <c r="BN55" s="353"/>
      <c r="BO55" s="352"/>
      <c r="BP55" s="352"/>
      <c r="BQ55" s="358"/>
      <c r="BR55" s="360"/>
      <c r="BS55" s="352"/>
      <c r="BT55" s="353"/>
      <c r="BU55" s="352"/>
      <c r="BV55" s="352"/>
      <c r="BW55" s="358"/>
      <c r="BX55" s="213"/>
      <c r="BY55" s="213"/>
      <c r="BZ55" s="213"/>
      <c r="CA55" s="213"/>
      <c r="CB55" s="213"/>
      <c r="CC55" s="213"/>
      <c r="CD55" s="213"/>
      <c r="CE55" s="213"/>
      <c r="CF55" s="213"/>
      <c r="CG55" s="213"/>
      <c r="CH55" s="213"/>
      <c r="CI55" s="213"/>
      <c r="CJ55" s="213"/>
      <c r="CK55" s="213"/>
      <c r="CL55" s="213"/>
      <c r="CM55" s="213"/>
      <c r="CN55" s="213"/>
      <c r="CO55" s="213"/>
      <c r="CP55" s="213"/>
      <c r="CQ55" s="213"/>
    </row>
    <row r="56" ht="15.75" hidden="1" customHeight="1">
      <c r="A56" s="213"/>
      <c r="B56" s="393"/>
      <c r="C56" s="350"/>
      <c r="D56" s="351"/>
      <c r="E56" s="355"/>
      <c r="F56" s="353"/>
      <c r="G56" s="352"/>
      <c r="H56" s="353"/>
      <c r="I56" s="354"/>
      <c r="J56" s="351"/>
      <c r="K56" s="352"/>
      <c r="L56" s="353"/>
      <c r="M56" s="352"/>
      <c r="N56" s="352"/>
      <c r="O56" s="358"/>
      <c r="P56" s="351"/>
      <c r="Q56" s="352"/>
      <c r="R56" s="353"/>
      <c r="S56" s="352"/>
      <c r="T56" s="352"/>
      <c r="U56" s="358"/>
      <c r="V56" s="351"/>
      <c r="W56" s="352"/>
      <c r="X56" s="353"/>
      <c r="Y56" s="352"/>
      <c r="Z56" s="352"/>
      <c r="AA56" s="358"/>
      <c r="AB56" s="351"/>
      <c r="AC56" s="352"/>
      <c r="AD56" s="353"/>
      <c r="AE56" s="352"/>
      <c r="AF56" s="352"/>
      <c r="AG56" s="358"/>
      <c r="AH56" s="351"/>
      <c r="AI56" s="352"/>
      <c r="AJ56" s="353"/>
      <c r="AK56" s="352"/>
      <c r="AL56" s="352"/>
      <c r="AM56" s="358"/>
      <c r="AN56" s="351"/>
      <c r="AO56" s="352"/>
      <c r="AP56" s="353"/>
      <c r="AQ56" s="352"/>
      <c r="AR56" s="359"/>
      <c r="AS56" s="358"/>
      <c r="AT56" s="351"/>
      <c r="AU56" s="352"/>
      <c r="AV56" s="353"/>
      <c r="AW56" s="352"/>
      <c r="AX56" s="353"/>
      <c r="AY56" s="358"/>
      <c r="AZ56" s="351"/>
      <c r="BA56" s="352"/>
      <c r="BB56" s="353"/>
      <c r="BC56" s="352"/>
      <c r="BD56" s="353"/>
      <c r="BE56" s="358"/>
      <c r="BF56" s="351"/>
      <c r="BG56" s="352"/>
      <c r="BH56" s="353"/>
      <c r="BI56" s="352"/>
      <c r="BJ56" s="352"/>
      <c r="BK56" s="358"/>
      <c r="BL56" s="351"/>
      <c r="BM56" s="352"/>
      <c r="BN56" s="353"/>
      <c r="BO56" s="352"/>
      <c r="BP56" s="352"/>
      <c r="BQ56" s="358"/>
      <c r="BR56" s="360"/>
      <c r="BS56" s="352"/>
      <c r="BT56" s="353"/>
      <c r="BU56" s="352"/>
      <c r="BV56" s="352"/>
      <c r="BW56" s="358"/>
      <c r="BX56" s="213"/>
      <c r="BY56" s="213"/>
      <c r="BZ56" s="213"/>
      <c r="CA56" s="213"/>
      <c r="CB56" s="213"/>
      <c r="CC56" s="213"/>
      <c r="CD56" s="213"/>
      <c r="CE56" s="213"/>
      <c r="CF56" s="213"/>
      <c r="CG56" s="213"/>
      <c r="CH56" s="213"/>
      <c r="CI56" s="213"/>
      <c r="CJ56" s="213"/>
      <c r="CK56" s="213"/>
      <c r="CL56" s="213"/>
      <c r="CM56" s="213"/>
      <c r="CN56" s="213"/>
      <c r="CO56" s="213"/>
      <c r="CP56" s="213"/>
      <c r="CQ56" s="213"/>
    </row>
    <row r="57" ht="15.75" hidden="1" customHeight="1">
      <c r="A57" s="213"/>
      <c r="B57" s="393"/>
      <c r="C57" s="350"/>
      <c r="D57" s="351"/>
      <c r="E57" s="352"/>
      <c r="F57" s="353"/>
      <c r="G57" s="352"/>
      <c r="H57" s="353"/>
      <c r="I57" s="354"/>
      <c r="J57" s="351"/>
      <c r="K57" s="352"/>
      <c r="L57" s="353"/>
      <c r="M57" s="352"/>
      <c r="N57" s="352"/>
      <c r="O57" s="358"/>
      <c r="P57" s="351"/>
      <c r="Q57" s="352"/>
      <c r="R57" s="353"/>
      <c r="S57" s="352"/>
      <c r="T57" s="352"/>
      <c r="U57" s="358"/>
      <c r="V57" s="351"/>
      <c r="W57" s="352"/>
      <c r="X57" s="353"/>
      <c r="Y57" s="352"/>
      <c r="Z57" s="352"/>
      <c r="AA57" s="358"/>
      <c r="AB57" s="351"/>
      <c r="AC57" s="352"/>
      <c r="AD57" s="353"/>
      <c r="AE57" s="352"/>
      <c r="AF57" s="352"/>
      <c r="AG57" s="358"/>
      <c r="AH57" s="351"/>
      <c r="AI57" s="352"/>
      <c r="AJ57" s="353"/>
      <c r="AK57" s="352"/>
      <c r="AL57" s="352"/>
      <c r="AM57" s="358"/>
      <c r="AN57" s="351"/>
      <c r="AO57" s="352"/>
      <c r="AP57" s="353"/>
      <c r="AQ57" s="352"/>
      <c r="AR57" s="359"/>
      <c r="AS57" s="358"/>
      <c r="AT57" s="351"/>
      <c r="AU57" s="352"/>
      <c r="AV57" s="353"/>
      <c r="AW57" s="352"/>
      <c r="AX57" s="353"/>
      <c r="AY57" s="358"/>
      <c r="AZ57" s="351"/>
      <c r="BA57" s="352"/>
      <c r="BB57" s="353"/>
      <c r="BC57" s="352"/>
      <c r="BD57" s="353"/>
      <c r="BE57" s="358"/>
      <c r="BF57" s="351"/>
      <c r="BG57" s="352"/>
      <c r="BH57" s="353"/>
      <c r="BI57" s="352"/>
      <c r="BJ57" s="352"/>
      <c r="BK57" s="358"/>
      <c r="BL57" s="351"/>
      <c r="BM57" s="352"/>
      <c r="BN57" s="353"/>
      <c r="BO57" s="352"/>
      <c r="BP57" s="352"/>
      <c r="BQ57" s="358"/>
      <c r="BR57" s="360"/>
      <c r="BS57" s="352"/>
      <c r="BT57" s="353"/>
      <c r="BU57" s="352"/>
      <c r="BV57" s="352"/>
      <c r="BW57" s="358"/>
      <c r="BX57" s="213"/>
      <c r="BY57" s="213"/>
      <c r="BZ57" s="213"/>
      <c r="CA57" s="213"/>
      <c r="CB57" s="213"/>
      <c r="CC57" s="213"/>
      <c r="CD57" s="213"/>
      <c r="CE57" s="213"/>
      <c r="CF57" s="213"/>
      <c r="CG57" s="213"/>
      <c r="CH57" s="213"/>
      <c r="CI57" s="213"/>
      <c r="CJ57" s="213"/>
      <c r="CK57" s="213"/>
      <c r="CL57" s="213"/>
      <c r="CM57" s="213"/>
      <c r="CN57" s="213"/>
      <c r="CO57" s="213"/>
      <c r="CP57" s="213"/>
      <c r="CQ57" s="213"/>
    </row>
    <row r="58" ht="15.75" hidden="1" customHeight="1">
      <c r="A58" s="213"/>
      <c r="B58" s="393"/>
      <c r="C58" s="350"/>
      <c r="D58" s="351"/>
      <c r="E58" s="352"/>
      <c r="F58" s="353"/>
      <c r="G58" s="352"/>
      <c r="H58" s="353"/>
      <c r="I58" s="354"/>
      <c r="J58" s="351"/>
      <c r="K58" s="352"/>
      <c r="L58" s="353"/>
      <c r="M58" s="352"/>
      <c r="N58" s="352"/>
      <c r="O58" s="358"/>
      <c r="P58" s="351"/>
      <c r="Q58" s="352"/>
      <c r="R58" s="353"/>
      <c r="S58" s="352"/>
      <c r="T58" s="352"/>
      <c r="U58" s="358"/>
      <c r="V58" s="351"/>
      <c r="W58" s="352"/>
      <c r="X58" s="353"/>
      <c r="Y58" s="352"/>
      <c r="Z58" s="352"/>
      <c r="AA58" s="358"/>
      <c r="AB58" s="351"/>
      <c r="AC58" s="352"/>
      <c r="AD58" s="353"/>
      <c r="AE58" s="352"/>
      <c r="AF58" s="352"/>
      <c r="AG58" s="358"/>
      <c r="AH58" s="351"/>
      <c r="AI58" s="352"/>
      <c r="AJ58" s="353"/>
      <c r="AK58" s="352"/>
      <c r="AL58" s="352"/>
      <c r="AM58" s="358"/>
      <c r="AN58" s="351"/>
      <c r="AO58" s="352"/>
      <c r="AP58" s="353"/>
      <c r="AQ58" s="352"/>
      <c r="AR58" s="359"/>
      <c r="AS58" s="358"/>
      <c r="AT58" s="351"/>
      <c r="AU58" s="352"/>
      <c r="AV58" s="353"/>
      <c r="AW58" s="352"/>
      <c r="AX58" s="353"/>
      <c r="AY58" s="358"/>
      <c r="AZ58" s="351"/>
      <c r="BA58" s="352"/>
      <c r="BB58" s="353"/>
      <c r="BC58" s="352"/>
      <c r="BD58" s="353"/>
      <c r="BE58" s="358"/>
      <c r="BF58" s="351"/>
      <c r="BG58" s="352"/>
      <c r="BH58" s="353"/>
      <c r="BI58" s="352"/>
      <c r="BJ58" s="352"/>
      <c r="BK58" s="358"/>
      <c r="BL58" s="351"/>
      <c r="BM58" s="352"/>
      <c r="BN58" s="353"/>
      <c r="BO58" s="352"/>
      <c r="BP58" s="352"/>
      <c r="BQ58" s="358"/>
      <c r="BR58" s="360"/>
      <c r="BS58" s="352"/>
      <c r="BT58" s="353"/>
      <c r="BU58" s="352"/>
      <c r="BV58" s="352"/>
      <c r="BW58" s="358"/>
      <c r="BX58" s="213"/>
      <c r="BY58" s="213"/>
      <c r="BZ58" s="213"/>
      <c r="CA58" s="213"/>
      <c r="CB58" s="213"/>
      <c r="CC58" s="213"/>
      <c r="CD58" s="213"/>
      <c r="CE58" s="213"/>
      <c r="CF58" s="213"/>
      <c r="CG58" s="213"/>
      <c r="CH58" s="213"/>
      <c r="CI58" s="213"/>
      <c r="CJ58" s="213"/>
      <c r="CK58" s="213"/>
      <c r="CL58" s="213"/>
      <c r="CM58" s="213"/>
      <c r="CN58" s="213"/>
      <c r="CO58" s="213"/>
      <c r="CP58" s="213"/>
      <c r="CQ58" s="213"/>
    </row>
    <row r="59" ht="15.75" hidden="1" customHeight="1">
      <c r="A59" s="213"/>
      <c r="B59" s="393"/>
      <c r="C59" s="350"/>
      <c r="D59" s="351"/>
      <c r="E59" s="352"/>
      <c r="F59" s="353"/>
      <c r="G59" s="352"/>
      <c r="H59" s="353"/>
      <c r="I59" s="354"/>
      <c r="J59" s="351"/>
      <c r="K59" s="352"/>
      <c r="L59" s="353"/>
      <c r="M59" s="352"/>
      <c r="N59" s="352"/>
      <c r="O59" s="358"/>
      <c r="P59" s="351"/>
      <c r="Q59" s="352"/>
      <c r="R59" s="353"/>
      <c r="S59" s="352"/>
      <c r="T59" s="352"/>
      <c r="U59" s="358"/>
      <c r="V59" s="351"/>
      <c r="W59" s="352"/>
      <c r="X59" s="353"/>
      <c r="Y59" s="352"/>
      <c r="Z59" s="352"/>
      <c r="AA59" s="358"/>
      <c r="AB59" s="351"/>
      <c r="AC59" s="352"/>
      <c r="AD59" s="353"/>
      <c r="AE59" s="352"/>
      <c r="AF59" s="352"/>
      <c r="AG59" s="358"/>
      <c r="AH59" s="351"/>
      <c r="AI59" s="352"/>
      <c r="AJ59" s="353"/>
      <c r="AK59" s="352"/>
      <c r="AL59" s="352"/>
      <c r="AM59" s="358"/>
      <c r="AN59" s="351"/>
      <c r="AO59" s="352"/>
      <c r="AP59" s="353"/>
      <c r="AQ59" s="352"/>
      <c r="AR59" s="359"/>
      <c r="AS59" s="358"/>
      <c r="AT59" s="351"/>
      <c r="AU59" s="352"/>
      <c r="AV59" s="353"/>
      <c r="AW59" s="352"/>
      <c r="AX59" s="353"/>
      <c r="AY59" s="358"/>
      <c r="AZ59" s="351"/>
      <c r="BA59" s="352"/>
      <c r="BB59" s="353"/>
      <c r="BC59" s="352"/>
      <c r="BD59" s="353"/>
      <c r="BE59" s="358"/>
      <c r="BF59" s="351"/>
      <c r="BG59" s="352"/>
      <c r="BH59" s="353"/>
      <c r="BI59" s="352"/>
      <c r="BJ59" s="352"/>
      <c r="BK59" s="358"/>
      <c r="BL59" s="351"/>
      <c r="BM59" s="352"/>
      <c r="BN59" s="353"/>
      <c r="BO59" s="352"/>
      <c r="BP59" s="352"/>
      <c r="BQ59" s="358"/>
      <c r="BR59" s="360"/>
      <c r="BS59" s="352"/>
      <c r="BT59" s="353"/>
      <c r="BU59" s="352"/>
      <c r="BV59" s="352"/>
      <c r="BW59" s="358"/>
      <c r="BX59" s="213"/>
      <c r="BY59" s="213"/>
      <c r="BZ59" s="213"/>
      <c r="CA59" s="213"/>
      <c r="CB59" s="213"/>
      <c r="CC59" s="213"/>
      <c r="CD59" s="213"/>
      <c r="CE59" s="213"/>
      <c r="CF59" s="213"/>
      <c r="CG59" s="213"/>
      <c r="CH59" s="213"/>
      <c r="CI59" s="213"/>
      <c r="CJ59" s="213"/>
      <c r="CK59" s="213"/>
      <c r="CL59" s="213"/>
      <c r="CM59" s="213"/>
      <c r="CN59" s="213"/>
      <c r="CO59" s="213"/>
      <c r="CP59" s="213"/>
      <c r="CQ59" s="213"/>
    </row>
    <row r="60" ht="15.75" hidden="1" customHeight="1">
      <c r="A60" s="213"/>
      <c r="B60" s="393"/>
      <c r="C60" s="350"/>
      <c r="D60" s="351"/>
      <c r="E60" s="352"/>
      <c r="F60" s="353"/>
      <c r="G60" s="352"/>
      <c r="H60" s="353"/>
      <c r="I60" s="354"/>
      <c r="J60" s="351"/>
      <c r="K60" s="352"/>
      <c r="L60" s="353"/>
      <c r="M60" s="352"/>
      <c r="N60" s="352"/>
      <c r="O60" s="358"/>
      <c r="P60" s="351"/>
      <c r="Q60" s="352"/>
      <c r="R60" s="353"/>
      <c r="S60" s="352"/>
      <c r="T60" s="352"/>
      <c r="U60" s="358"/>
      <c r="V60" s="351"/>
      <c r="W60" s="352"/>
      <c r="X60" s="353"/>
      <c r="Y60" s="352"/>
      <c r="Z60" s="352"/>
      <c r="AA60" s="358"/>
      <c r="AB60" s="351"/>
      <c r="AC60" s="352"/>
      <c r="AD60" s="353"/>
      <c r="AE60" s="352"/>
      <c r="AF60" s="352"/>
      <c r="AG60" s="358"/>
      <c r="AH60" s="351"/>
      <c r="AI60" s="352"/>
      <c r="AJ60" s="353"/>
      <c r="AK60" s="352"/>
      <c r="AL60" s="352"/>
      <c r="AM60" s="358"/>
      <c r="AN60" s="351"/>
      <c r="AO60" s="352"/>
      <c r="AP60" s="353"/>
      <c r="AQ60" s="352"/>
      <c r="AR60" s="359"/>
      <c r="AS60" s="358"/>
      <c r="AT60" s="351"/>
      <c r="AU60" s="352"/>
      <c r="AV60" s="353"/>
      <c r="AW60" s="352"/>
      <c r="AX60" s="353"/>
      <c r="AY60" s="358"/>
      <c r="AZ60" s="351"/>
      <c r="BA60" s="352"/>
      <c r="BB60" s="353"/>
      <c r="BC60" s="352"/>
      <c r="BD60" s="353"/>
      <c r="BE60" s="358"/>
      <c r="BF60" s="351"/>
      <c r="BG60" s="352"/>
      <c r="BH60" s="353"/>
      <c r="BI60" s="352"/>
      <c r="BJ60" s="352"/>
      <c r="BK60" s="358"/>
      <c r="BL60" s="351"/>
      <c r="BM60" s="352"/>
      <c r="BN60" s="353"/>
      <c r="BO60" s="352"/>
      <c r="BP60" s="352"/>
      <c r="BQ60" s="358"/>
      <c r="BR60" s="360"/>
      <c r="BS60" s="352"/>
      <c r="BT60" s="353"/>
      <c r="BU60" s="352"/>
      <c r="BV60" s="352"/>
      <c r="BW60" s="358"/>
      <c r="BX60" s="213"/>
      <c r="BY60" s="213"/>
      <c r="BZ60" s="213"/>
      <c r="CA60" s="213"/>
      <c r="CB60" s="213"/>
      <c r="CC60" s="213"/>
      <c r="CD60" s="213"/>
      <c r="CE60" s="213"/>
      <c r="CF60" s="213"/>
      <c r="CG60" s="213"/>
      <c r="CH60" s="213"/>
      <c r="CI60" s="213"/>
      <c r="CJ60" s="213"/>
      <c r="CK60" s="213"/>
      <c r="CL60" s="213"/>
      <c r="CM60" s="213"/>
      <c r="CN60" s="213"/>
      <c r="CO60" s="213"/>
      <c r="CP60" s="213"/>
      <c r="CQ60" s="213"/>
    </row>
    <row r="61" ht="15.75" customHeight="1">
      <c r="A61" s="213"/>
      <c r="B61" s="445" t="s">
        <v>249</v>
      </c>
      <c r="C61" s="446"/>
      <c r="D61" s="363"/>
      <c r="E61" s="364"/>
      <c r="F61" s="365"/>
      <c r="G61" s="364"/>
      <c r="H61" s="365"/>
      <c r="I61" s="366"/>
      <c r="J61" s="363"/>
      <c r="K61" s="364"/>
      <c r="L61" s="365"/>
      <c r="M61" s="364"/>
      <c r="N61" s="364"/>
      <c r="O61" s="368"/>
      <c r="P61" s="363"/>
      <c r="Q61" s="364"/>
      <c r="R61" s="365"/>
      <c r="S61" s="364"/>
      <c r="T61" s="364"/>
      <c r="U61" s="368"/>
      <c r="V61" s="363"/>
      <c r="W61" s="364"/>
      <c r="X61" s="365"/>
      <c r="Y61" s="364"/>
      <c r="Z61" s="364"/>
      <c r="AA61" s="368"/>
      <c r="AB61" s="363"/>
      <c r="AC61" s="364"/>
      <c r="AD61" s="365"/>
      <c r="AE61" s="364"/>
      <c r="AF61" s="364"/>
      <c r="AG61" s="368"/>
      <c r="AH61" s="363"/>
      <c r="AI61" s="364"/>
      <c r="AJ61" s="365"/>
      <c r="AK61" s="364"/>
      <c r="AL61" s="364"/>
      <c r="AM61" s="368"/>
      <c r="AN61" s="363"/>
      <c r="AO61" s="364"/>
      <c r="AP61" s="365"/>
      <c r="AQ61" s="364"/>
      <c r="AR61" s="369"/>
      <c r="AS61" s="368"/>
      <c r="AT61" s="363"/>
      <c r="AU61" s="364"/>
      <c r="AV61" s="365"/>
      <c r="AW61" s="364"/>
      <c r="AX61" s="365"/>
      <c r="AY61" s="368"/>
      <c r="AZ61" s="363"/>
      <c r="BA61" s="364"/>
      <c r="BB61" s="365"/>
      <c r="BC61" s="364"/>
      <c r="BD61" s="365"/>
      <c r="BE61" s="368"/>
      <c r="BF61" s="363"/>
      <c r="BG61" s="364"/>
      <c r="BH61" s="365"/>
      <c r="BI61" s="364"/>
      <c r="BJ61" s="364"/>
      <c r="BK61" s="368"/>
      <c r="BL61" s="363"/>
      <c r="BM61" s="364"/>
      <c r="BN61" s="365"/>
      <c r="BO61" s="364"/>
      <c r="BP61" s="364"/>
      <c r="BQ61" s="368"/>
      <c r="BR61" s="370"/>
      <c r="BS61" s="364"/>
      <c r="BT61" s="365"/>
      <c r="BU61" s="364"/>
      <c r="BV61" s="364"/>
      <c r="BW61" s="368"/>
      <c r="BX61" s="213"/>
      <c r="BY61" s="213"/>
      <c r="BZ61" s="213"/>
      <c r="CA61" s="213"/>
      <c r="CB61" s="213"/>
      <c r="CC61" s="213"/>
      <c r="CD61" s="213"/>
      <c r="CE61" s="213"/>
      <c r="CF61" s="213"/>
      <c r="CG61" s="213"/>
      <c r="CH61" s="213"/>
      <c r="CI61" s="213"/>
      <c r="CJ61" s="213"/>
      <c r="CK61" s="213"/>
      <c r="CL61" s="213"/>
      <c r="CM61" s="213"/>
      <c r="CN61" s="213"/>
      <c r="CO61" s="213"/>
      <c r="CP61" s="213"/>
      <c r="CQ61" s="213"/>
    </row>
    <row r="62" ht="15.75" customHeight="1">
      <c r="A62" s="213"/>
      <c r="B62" s="407"/>
      <c r="C62" s="447" t="s">
        <v>250</v>
      </c>
      <c r="D62" s="373">
        <f>SUM(D63:D68)</f>
        <v>8554.666667</v>
      </c>
      <c r="E62" s="374">
        <f t="shared" ref="E62:E65" si="157">D62/D$31</f>
        <v>0.0005421673389</v>
      </c>
      <c r="F62" s="375">
        <f>SUM(F63:F68)</f>
        <v>38029.66667</v>
      </c>
      <c r="G62" s="374">
        <f t="shared" ref="G62:G65" si="158">F62/F$31</f>
        <v>0.002618424261</v>
      </c>
      <c r="H62" s="375">
        <f>SUM(H63:H68)</f>
        <v>-29475</v>
      </c>
      <c r="I62" s="376">
        <f>H62/H$31</f>
        <v>-0.02349033675</v>
      </c>
      <c r="J62" s="373">
        <f>SUM(J63:J68)</f>
        <v>8814.666667</v>
      </c>
      <c r="K62" s="374">
        <f t="shared" ref="K62:K65" si="159">J62/J$31</f>
        <v>0.0005737774951</v>
      </c>
      <c r="L62" s="375">
        <f>SUM(L63:L68)</f>
        <v>38029.66667</v>
      </c>
      <c r="M62" s="374">
        <f t="shared" ref="M62:M63" si="160">L62/L$31</f>
        <v>0.002852839633</v>
      </c>
      <c r="N62" s="408">
        <f>SUM(N63:N68)</f>
        <v>0</v>
      </c>
      <c r="O62" s="378"/>
      <c r="P62" s="373">
        <f>SUM(P63:P68)</f>
        <v>91024.66667</v>
      </c>
      <c r="Q62" s="374">
        <f>P62/P$31</f>
        <v>0.006666956222</v>
      </c>
      <c r="R62" s="375">
        <f>SUM(R63:R69)</f>
        <v>209119.6667</v>
      </c>
      <c r="S62" s="374">
        <f t="shared" ref="S62:S63" si="161">R62/R$31</f>
        <v>0.01644326841</v>
      </c>
      <c r="T62" s="408">
        <f>SUM(T63:T65)</f>
        <v>0</v>
      </c>
      <c r="U62" s="378"/>
      <c r="V62" s="373">
        <f>SUM(V63:V69)</f>
        <v>300020.6667</v>
      </c>
      <c r="W62" s="374">
        <f t="shared" ref="W62:W63" si="162">V62/V$31</f>
        <v>0.02070233253</v>
      </c>
      <c r="X62" s="375">
        <f>SUM(X63:X69)</f>
        <v>241775</v>
      </c>
      <c r="Y62" s="374">
        <f t="shared" ref="Y62:Y63" si="163">X62/X$31</f>
        <v>0.01801445031</v>
      </c>
      <c r="Z62" s="408">
        <f>SUM(Z63:Z65)</f>
        <v>0</v>
      </c>
      <c r="AA62" s="378"/>
      <c r="AB62" s="373">
        <f>SUM(AB63:AB68)</f>
        <v>82778.66667</v>
      </c>
      <c r="AC62" s="374">
        <f t="shared" ref="AC62:AC63" si="164">AB62/AB$31</f>
        <v>0.00538387642</v>
      </c>
      <c r="AD62" s="375">
        <f>SUM(AD63:AD69)</f>
        <v>241775</v>
      </c>
      <c r="AE62" s="374">
        <f t="shared" ref="AE62:AE63" si="165">AD62/AD$31</f>
        <v>0.01656399536</v>
      </c>
      <c r="AF62" s="408">
        <f>SUM(AF63:AF65)</f>
        <v>0</v>
      </c>
      <c r="AG62" s="378"/>
      <c r="AH62" s="373">
        <f>SUM(AH63:AH68)</f>
        <v>150288.6667</v>
      </c>
      <c r="AI62" s="374">
        <f t="shared" ref="AI62:AI65" si="166">AH62/AH$31</f>
        <v>0.01080087729</v>
      </c>
      <c r="AJ62" s="375">
        <f>SUM(AJ63:AJ69)</f>
        <v>241775.3333</v>
      </c>
      <c r="AK62" s="374">
        <f t="shared" ref="AK62:AK63" si="167">AJ62/AJ$31</f>
        <v>0.01719586447</v>
      </c>
      <c r="AL62" s="408">
        <f>SUM(AL63:AL65)</f>
        <v>0</v>
      </c>
      <c r="AM62" s="378"/>
      <c r="AN62" s="373">
        <f>SUM(AN63:AN68)</f>
        <v>238775.6667</v>
      </c>
      <c r="AO62" s="374">
        <f t="shared" ref="AO62:AO65" si="168">AN62/AN$31</f>
        <v>0.01105724106</v>
      </c>
      <c r="AP62" s="375">
        <f>SUM(AP63:AP69)</f>
        <v>241775.3333</v>
      </c>
      <c r="AQ62" s="374">
        <f t="shared" ref="AQ62:AQ63" si="169">AP62/AP$31</f>
        <v>0.01429018714</v>
      </c>
      <c r="AR62" s="380">
        <f>SUM(AR63:AR65)</f>
        <v>0</v>
      </c>
      <c r="AS62" s="378"/>
      <c r="AT62" s="373">
        <f>SUM(AT63:AT68)</f>
        <v>174567.6667</v>
      </c>
      <c r="AU62" s="374">
        <f t="shared" ref="AU62:AU65" si="170">AT62/AT$31</f>
        <v>0.007256099894</v>
      </c>
      <c r="AV62" s="375">
        <f>SUM(AV63:AV69)</f>
        <v>213741</v>
      </c>
      <c r="AW62" s="374">
        <f t="shared" ref="AW62:AW63" si="171">AV62/AV$31</f>
        <v>0.01144083208</v>
      </c>
      <c r="AX62" s="375">
        <f>SUM(AX63:AX65)</f>
        <v>0</v>
      </c>
      <c r="AY62" s="378"/>
      <c r="AZ62" s="373">
        <f>SUM(AZ63:AZ68)</f>
        <v>6721.666667</v>
      </c>
      <c r="BA62" s="374">
        <f t="shared" ref="BA62:BA65" si="172">AZ62/AZ$31</f>
        <v>0.000273981109</v>
      </c>
      <c r="BB62" s="375">
        <f>SUM(BB63:BB69)</f>
        <v>208333</v>
      </c>
      <c r="BC62" s="374">
        <f t="shared" ref="BC62:BC63" si="173">BB62/BB$31</f>
        <v>0.0095520014</v>
      </c>
      <c r="BD62" s="375">
        <f>SUM(BD63:BD65)</f>
        <v>0</v>
      </c>
      <c r="BE62" s="378"/>
      <c r="BF62" s="373">
        <f>SUM(BF63:BF65)</f>
        <v>248600</v>
      </c>
      <c r="BG62" s="374">
        <f t="shared" ref="BG62:BG65" si="174">BF62/BF$31</f>
        <v>0.009479625716</v>
      </c>
      <c r="BH62" s="375">
        <f>SUM(BH63:BH69)</f>
        <v>8333</v>
      </c>
      <c r="BI62" s="374">
        <f t="shared" ref="BI62:BI63" si="175">BH62/BH$31</f>
        <v>0.00041454127</v>
      </c>
      <c r="BJ62" s="408">
        <f>SUM(BJ63:BJ65)</f>
        <v>0</v>
      </c>
      <c r="BK62" s="378"/>
      <c r="BL62" s="375">
        <f>SUM(BL63:BL69)</f>
        <v>6195</v>
      </c>
      <c r="BM62" s="374">
        <f t="shared" ref="BM62:BM63" si="176">BL62/BL$31</f>
        <v>0.0002869593232</v>
      </c>
      <c r="BN62" s="375">
        <f>SUM(BN63:BN69)</f>
        <v>108333</v>
      </c>
      <c r="BO62" s="374">
        <f t="shared" ref="BO62:BO63" si="177">BN62/BN$31</f>
        <v>0.005886470074</v>
      </c>
      <c r="BP62" s="408">
        <f>SUM(BP63:BP65)</f>
        <v>0</v>
      </c>
      <c r="BQ62" s="378"/>
      <c r="BR62" s="381">
        <f>SUM(BR63:BR68)</f>
        <v>6595</v>
      </c>
      <c r="BS62" s="374">
        <f t="shared" ref="BS62:BS68" si="178">BR62/BR$31</f>
        <v>0.0002978480574</v>
      </c>
      <c r="BT62" s="375">
        <f>SUM(BT63:BT69)</f>
        <v>108333</v>
      </c>
      <c r="BU62" s="374">
        <f t="shared" ref="BU62:BU63" si="179">BT62/BT$31</f>
        <v>0.005838446526</v>
      </c>
      <c r="BV62" s="408">
        <f>SUM(BV63:BV65)</f>
        <v>0</v>
      </c>
      <c r="BW62" s="378"/>
      <c r="BX62" s="328">
        <f>SUM(D62,J62,P62,V62,AB62,AH62,AN62,AT62,AZ62,BF62,BL62,BR62)</f>
        <v>1322937</v>
      </c>
      <c r="BY62" s="216"/>
      <c r="BZ62" s="216"/>
      <c r="CA62" s="216"/>
      <c r="CB62" s="216"/>
      <c r="CC62" s="216"/>
      <c r="CD62" s="216"/>
      <c r="CE62" s="216"/>
      <c r="CF62" s="216"/>
      <c r="CG62" s="216"/>
      <c r="CH62" s="216"/>
      <c r="CI62" s="216"/>
      <c r="CJ62" s="216"/>
      <c r="CK62" s="216"/>
      <c r="CL62" s="216"/>
      <c r="CM62" s="216"/>
      <c r="CN62" s="216"/>
      <c r="CO62" s="216"/>
      <c r="CP62" s="216"/>
      <c r="CQ62" s="216"/>
    </row>
    <row r="63" ht="15.75" customHeight="1">
      <c r="A63" s="213"/>
      <c r="B63" s="444"/>
      <c r="C63" s="383" t="s">
        <v>251</v>
      </c>
      <c r="D63" s="384">
        <v>0.0</v>
      </c>
      <c r="E63" s="385">
        <f t="shared" si="157"/>
        <v>0</v>
      </c>
      <c r="F63" s="386">
        <v>0.0</v>
      </c>
      <c r="G63" s="385">
        <f t="shared" si="158"/>
        <v>0</v>
      </c>
      <c r="H63" s="386">
        <f t="shared" ref="H63:H65" si="180">D63-F63</f>
        <v>0</v>
      </c>
      <c r="I63" s="387"/>
      <c r="J63" s="384">
        <v>260.0</v>
      </c>
      <c r="K63" s="385">
        <f t="shared" si="159"/>
        <v>0.00001692430972</v>
      </c>
      <c r="L63" s="386"/>
      <c r="M63" s="385">
        <f t="shared" si="160"/>
        <v>0</v>
      </c>
      <c r="N63" s="440"/>
      <c r="O63" s="389"/>
      <c r="P63" s="384">
        <f>260+84570</f>
        <v>84830</v>
      </c>
      <c r="Q63" s="385">
        <f t="shared" ref="Q63:Q65" si="181">IFERROR(P63/P$31,)</f>
        <v>0.006213237763</v>
      </c>
      <c r="R63" s="386">
        <v>200000.0</v>
      </c>
      <c r="S63" s="385">
        <f t="shared" si="161"/>
        <v>0.01572618077</v>
      </c>
      <c r="T63" s="440"/>
      <c r="U63" s="389"/>
      <c r="V63" s="384">
        <f>293826</f>
        <v>293826</v>
      </c>
      <c r="W63" s="385">
        <f t="shared" si="162"/>
        <v>0.02027488182</v>
      </c>
      <c r="X63" s="386">
        <v>200000.0</v>
      </c>
      <c r="Y63" s="385">
        <f t="shared" si="163"/>
        <v>0.01490183047</v>
      </c>
      <c r="Z63" s="440"/>
      <c r="AA63" s="389"/>
      <c r="AB63" s="384">
        <f>74334+2250</f>
        <v>76584</v>
      </c>
      <c r="AC63" s="385">
        <f t="shared" si="164"/>
        <v>0.004980978897</v>
      </c>
      <c r="AD63" s="386">
        <v>200000.0</v>
      </c>
      <c r="AE63" s="385">
        <f t="shared" si="165"/>
        <v>0.01370199182</v>
      </c>
      <c r="AF63" s="440"/>
      <c r="AG63" s="389"/>
      <c r="AH63" s="384">
        <v>144094.0</v>
      </c>
      <c r="AI63" s="385">
        <f t="shared" si="166"/>
        <v>0.01035568182</v>
      </c>
      <c r="AJ63" s="386">
        <v>200000.0</v>
      </c>
      <c r="AK63" s="385">
        <f t="shared" si="167"/>
        <v>0.01422466406</v>
      </c>
      <c r="AL63" s="440"/>
      <c r="AM63" s="389"/>
      <c r="AN63" s="384">
        <f>174653+55053</f>
        <v>229706</v>
      </c>
      <c r="AO63" s="385">
        <f t="shared" si="168"/>
        <v>0.01063724227</v>
      </c>
      <c r="AP63" s="386">
        <v>200000.0</v>
      </c>
      <c r="AQ63" s="385">
        <f t="shared" si="169"/>
        <v>0.01182104638</v>
      </c>
      <c r="AR63" s="391"/>
      <c r="AS63" s="389"/>
      <c r="AT63" s="384">
        <v>167643.0</v>
      </c>
      <c r="AU63" s="385">
        <f t="shared" si="170"/>
        <v>0.006968268396</v>
      </c>
      <c r="AV63" s="386">
        <v>200000.0</v>
      </c>
      <c r="AW63" s="385">
        <f t="shared" si="171"/>
        <v>0.01070532287</v>
      </c>
      <c r="AX63" s="386"/>
      <c r="AY63" s="389"/>
      <c r="AZ63" s="384"/>
      <c r="BA63" s="385">
        <f t="shared" si="172"/>
        <v>0</v>
      </c>
      <c r="BB63" s="386">
        <v>200000.0</v>
      </c>
      <c r="BC63" s="385">
        <f t="shared" si="173"/>
        <v>0.009169936016</v>
      </c>
      <c r="BD63" s="386"/>
      <c r="BE63" s="389"/>
      <c r="BF63" s="384">
        <v>248600.0</v>
      </c>
      <c r="BG63" s="385">
        <f t="shared" si="174"/>
        <v>0.009479625716</v>
      </c>
      <c r="BH63" s="386"/>
      <c r="BI63" s="385">
        <f t="shared" si="175"/>
        <v>0</v>
      </c>
      <c r="BJ63" s="440"/>
      <c r="BK63" s="389"/>
      <c r="BL63" s="384"/>
      <c r="BM63" s="385">
        <f t="shared" si="176"/>
        <v>0</v>
      </c>
      <c r="BN63" s="386">
        <v>100000.0</v>
      </c>
      <c r="BO63" s="385">
        <f t="shared" si="177"/>
        <v>0.005433681402</v>
      </c>
      <c r="BP63" s="440"/>
      <c r="BQ63" s="389"/>
      <c r="BR63" s="392"/>
      <c r="BS63" s="385">
        <f t="shared" si="178"/>
        <v>0</v>
      </c>
      <c r="BT63" s="386">
        <v>100000.0</v>
      </c>
      <c r="BU63" s="385">
        <f t="shared" si="179"/>
        <v>0.005389351837</v>
      </c>
      <c r="BV63" s="440"/>
      <c r="BW63" s="389"/>
      <c r="BX63" s="213"/>
      <c r="BY63" s="213"/>
      <c r="BZ63" s="213"/>
      <c r="CA63" s="213"/>
      <c r="CB63" s="213"/>
      <c r="CC63" s="213"/>
      <c r="CD63" s="213"/>
      <c r="CE63" s="213"/>
      <c r="CF63" s="213"/>
      <c r="CG63" s="213"/>
      <c r="CH63" s="213"/>
      <c r="CI63" s="213"/>
      <c r="CJ63" s="213"/>
      <c r="CK63" s="213"/>
      <c r="CL63" s="213"/>
      <c r="CM63" s="213"/>
      <c r="CN63" s="213"/>
      <c r="CO63" s="213"/>
      <c r="CP63" s="213"/>
      <c r="CQ63" s="213"/>
    </row>
    <row r="64" ht="15.75" customHeight="1">
      <c r="A64" s="213"/>
      <c r="B64" s="393"/>
      <c r="C64" s="350" t="s">
        <v>252</v>
      </c>
      <c r="D64" s="351">
        <v>0.0</v>
      </c>
      <c r="E64" s="355">
        <f t="shared" si="157"/>
        <v>0</v>
      </c>
      <c r="F64" s="353">
        <v>0.0</v>
      </c>
      <c r="G64" s="355">
        <f t="shared" si="158"/>
        <v>0</v>
      </c>
      <c r="H64" s="353">
        <f t="shared" si="180"/>
        <v>0</v>
      </c>
      <c r="I64" s="394"/>
      <c r="J64" s="351">
        <v>0.0</v>
      </c>
      <c r="K64" s="355">
        <f t="shared" si="159"/>
        <v>0</v>
      </c>
      <c r="L64" s="353"/>
      <c r="M64" s="355"/>
      <c r="N64" s="352"/>
      <c r="O64" s="358"/>
      <c r="P64" s="351"/>
      <c r="Q64" s="355">
        <f t="shared" si="181"/>
        <v>0</v>
      </c>
      <c r="R64" s="353"/>
      <c r="S64" s="355"/>
      <c r="T64" s="352"/>
      <c r="U64" s="358"/>
      <c r="V64" s="351">
        <v>0.0</v>
      </c>
      <c r="W64" s="355"/>
      <c r="X64" s="353"/>
      <c r="Y64" s="355"/>
      <c r="Z64" s="352"/>
      <c r="AA64" s="358"/>
      <c r="AB64" s="351"/>
      <c r="AC64" s="355"/>
      <c r="AD64" s="353"/>
      <c r="AE64" s="355"/>
      <c r="AF64" s="352"/>
      <c r="AG64" s="358"/>
      <c r="AH64" s="351"/>
      <c r="AI64" s="355">
        <f t="shared" si="166"/>
        <v>0</v>
      </c>
      <c r="AJ64" s="353"/>
      <c r="AK64" s="355"/>
      <c r="AL64" s="352"/>
      <c r="AM64" s="358"/>
      <c r="AN64" s="351"/>
      <c r="AO64" s="355">
        <f t="shared" si="168"/>
        <v>0</v>
      </c>
      <c r="AP64" s="353"/>
      <c r="AQ64" s="355"/>
      <c r="AR64" s="359"/>
      <c r="AS64" s="358"/>
      <c r="AT64" s="351"/>
      <c r="AU64" s="355">
        <f t="shared" si="170"/>
        <v>0</v>
      </c>
      <c r="AV64" s="353"/>
      <c r="AW64" s="355"/>
      <c r="AX64" s="353"/>
      <c r="AY64" s="358"/>
      <c r="AZ64" s="351"/>
      <c r="BA64" s="355">
        <f t="shared" si="172"/>
        <v>0</v>
      </c>
      <c r="BB64" s="353"/>
      <c r="BC64" s="355"/>
      <c r="BD64" s="353"/>
      <c r="BE64" s="358"/>
      <c r="BF64" s="351"/>
      <c r="BG64" s="355">
        <f t="shared" si="174"/>
        <v>0</v>
      </c>
      <c r="BH64" s="353"/>
      <c r="BI64" s="355"/>
      <c r="BJ64" s="352"/>
      <c r="BK64" s="358"/>
      <c r="BL64" s="351"/>
      <c r="BM64" s="355"/>
      <c r="BN64" s="353"/>
      <c r="BO64" s="355"/>
      <c r="BP64" s="352"/>
      <c r="BQ64" s="358"/>
      <c r="BR64" s="360"/>
      <c r="BS64" s="385">
        <f t="shared" si="178"/>
        <v>0</v>
      </c>
      <c r="BT64" s="353"/>
      <c r="BU64" s="355"/>
      <c r="BV64" s="352"/>
      <c r="BW64" s="358"/>
      <c r="BX64" s="213"/>
      <c r="BY64" s="213"/>
      <c r="BZ64" s="213"/>
      <c r="CA64" s="213"/>
      <c r="CB64" s="213"/>
      <c r="CC64" s="213"/>
      <c r="CD64" s="213"/>
      <c r="CE64" s="213"/>
      <c r="CF64" s="213"/>
      <c r="CG64" s="213"/>
      <c r="CH64" s="213"/>
      <c r="CI64" s="213"/>
      <c r="CJ64" s="213"/>
      <c r="CK64" s="213"/>
      <c r="CL64" s="213"/>
      <c r="CM64" s="213"/>
      <c r="CN64" s="213"/>
      <c r="CO64" s="213"/>
      <c r="CP64" s="213"/>
      <c r="CQ64" s="213"/>
    </row>
    <row r="65" ht="15.75" customHeight="1">
      <c r="A65" s="213"/>
      <c r="B65" s="393"/>
      <c r="C65" s="350" t="s">
        <v>253</v>
      </c>
      <c r="D65" s="351">
        <v>0.0</v>
      </c>
      <c r="E65" s="355">
        <f t="shared" si="157"/>
        <v>0</v>
      </c>
      <c r="F65" s="353">
        <v>8333.0</v>
      </c>
      <c r="G65" s="355">
        <f t="shared" si="158"/>
        <v>0.0005737449544</v>
      </c>
      <c r="H65" s="353">
        <f t="shared" si="180"/>
        <v>-8333</v>
      </c>
      <c r="I65" s="394">
        <f>H65/F65</f>
        <v>-1</v>
      </c>
      <c r="J65" s="351">
        <v>0.0</v>
      </c>
      <c r="K65" s="355">
        <f t="shared" si="159"/>
        <v>0</v>
      </c>
      <c r="L65" s="353">
        <f>$F$65</f>
        <v>8333</v>
      </c>
      <c r="M65" s="355">
        <f>L65/L$31</f>
        <v>0.0006251096774</v>
      </c>
      <c r="N65" s="352"/>
      <c r="O65" s="358"/>
      <c r="P65" s="351"/>
      <c r="Q65" s="355">
        <f t="shared" si="181"/>
        <v>0</v>
      </c>
      <c r="R65" s="353">
        <f>$F$65</f>
        <v>8333</v>
      </c>
      <c r="S65" s="355">
        <f>R65/R$31</f>
        <v>0.0006552313219</v>
      </c>
      <c r="T65" s="352"/>
      <c r="U65" s="358"/>
      <c r="V65" s="351">
        <v>0.0</v>
      </c>
      <c r="W65" s="355">
        <f>V65/V$31</f>
        <v>0</v>
      </c>
      <c r="X65" s="353">
        <f>$F$65</f>
        <v>8333</v>
      </c>
      <c r="Y65" s="355">
        <f>X65/X$31</f>
        <v>0.0006208847664</v>
      </c>
      <c r="Z65" s="352"/>
      <c r="AA65" s="358"/>
      <c r="AB65" s="351"/>
      <c r="AC65" s="355">
        <f>AB65/AB$31</f>
        <v>0</v>
      </c>
      <c r="AD65" s="353">
        <f>$F$65</f>
        <v>8333</v>
      </c>
      <c r="AE65" s="355">
        <f>AD65/AD$31</f>
        <v>0.0005708934891</v>
      </c>
      <c r="AF65" s="352"/>
      <c r="AG65" s="358"/>
      <c r="AH65" s="351"/>
      <c r="AI65" s="355">
        <f t="shared" si="166"/>
        <v>0</v>
      </c>
      <c r="AJ65" s="353">
        <f>$F$65</f>
        <v>8333</v>
      </c>
      <c r="AK65" s="355">
        <f>AJ65/AJ$31</f>
        <v>0.000592670628</v>
      </c>
      <c r="AL65" s="352"/>
      <c r="AM65" s="358"/>
      <c r="AN65" s="351"/>
      <c r="AO65" s="355">
        <f t="shared" si="168"/>
        <v>0</v>
      </c>
      <c r="AP65" s="353">
        <f>$F$65</f>
        <v>8333</v>
      </c>
      <c r="AQ65" s="355">
        <f>AP65/AP$31</f>
        <v>0.0004925238974</v>
      </c>
      <c r="AR65" s="359"/>
      <c r="AS65" s="358"/>
      <c r="AT65" s="351"/>
      <c r="AU65" s="355">
        <f t="shared" si="170"/>
        <v>0</v>
      </c>
      <c r="AV65" s="353">
        <f>$F$65</f>
        <v>8333</v>
      </c>
      <c r="AW65" s="355">
        <f>AV65/AV$31</f>
        <v>0.0004460372775</v>
      </c>
      <c r="AX65" s="353"/>
      <c r="AY65" s="358"/>
      <c r="AZ65" s="351"/>
      <c r="BA65" s="355">
        <f t="shared" si="172"/>
        <v>0</v>
      </c>
      <c r="BB65" s="353">
        <f>$F$65</f>
        <v>8333</v>
      </c>
      <c r="BC65" s="355">
        <f>BB65/BB$31</f>
        <v>0.0003820653841</v>
      </c>
      <c r="BD65" s="353"/>
      <c r="BE65" s="358"/>
      <c r="BF65" s="351"/>
      <c r="BG65" s="355">
        <f t="shared" si="174"/>
        <v>0</v>
      </c>
      <c r="BH65" s="353">
        <v>8333.0</v>
      </c>
      <c r="BI65" s="355">
        <f>BH65/BH$31</f>
        <v>0.00041454127</v>
      </c>
      <c r="BJ65" s="352"/>
      <c r="BK65" s="358"/>
      <c r="BL65" s="351"/>
      <c r="BM65" s="355">
        <f>BL65/BL$31</f>
        <v>0</v>
      </c>
      <c r="BN65" s="353">
        <v>8333.0</v>
      </c>
      <c r="BO65" s="355">
        <f>BN65/BN$31</f>
        <v>0.0004527886713</v>
      </c>
      <c r="BP65" s="352"/>
      <c r="BQ65" s="358"/>
      <c r="BR65" s="360"/>
      <c r="BS65" s="385">
        <f t="shared" si="178"/>
        <v>0</v>
      </c>
      <c r="BT65" s="353">
        <v>8333.0</v>
      </c>
      <c r="BU65" s="355">
        <f>BT65/BT$31</f>
        <v>0.0004490946886</v>
      </c>
      <c r="BV65" s="352"/>
      <c r="BW65" s="358"/>
      <c r="BX65" s="213"/>
      <c r="BY65" s="213"/>
      <c r="BZ65" s="213"/>
      <c r="CA65" s="213"/>
      <c r="CB65" s="213"/>
      <c r="CC65" s="213"/>
      <c r="CD65" s="213"/>
      <c r="CE65" s="213"/>
      <c r="CF65" s="213"/>
      <c r="CG65" s="213"/>
      <c r="CH65" s="213"/>
      <c r="CI65" s="213"/>
      <c r="CJ65" s="213"/>
      <c r="CK65" s="213"/>
      <c r="CL65" s="213"/>
      <c r="CM65" s="213"/>
      <c r="CN65" s="213"/>
      <c r="CO65" s="213"/>
      <c r="CP65" s="213"/>
      <c r="CQ65" s="213"/>
    </row>
    <row r="66" ht="15.75" customHeight="1">
      <c r="A66" s="213"/>
      <c r="B66" s="393"/>
      <c r="C66" s="350" t="s">
        <v>254</v>
      </c>
      <c r="D66" s="351"/>
      <c r="E66" s="355"/>
      <c r="F66" s="353"/>
      <c r="G66" s="355"/>
      <c r="H66" s="353"/>
      <c r="I66" s="394"/>
      <c r="J66" s="351"/>
      <c r="K66" s="355"/>
      <c r="L66" s="353"/>
      <c r="M66" s="355"/>
      <c r="N66" s="352"/>
      <c r="O66" s="358"/>
      <c r="P66" s="351"/>
      <c r="Q66" s="355"/>
      <c r="R66" s="353"/>
      <c r="S66" s="355"/>
      <c r="T66" s="352"/>
      <c r="U66" s="358"/>
      <c r="V66" s="351"/>
      <c r="W66" s="355"/>
      <c r="X66" s="353"/>
      <c r="Y66" s="355"/>
      <c r="Z66" s="352"/>
      <c r="AA66" s="358"/>
      <c r="AB66" s="351"/>
      <c r="AC66" s="355"/>
      <c r="AD66" s="353"/>
      <c r="AE66" s="355"/>
      <c r="AF66" s="352"/>
      <c r="AG66" s="358"/>
      <c r="AH66" s="351"/>
      <c r="AI66" s="355"/>
      <c r="AJ66" s="353"/>
      <c r="AK66" s="355"/>
      <c r="AL66" s="352"/>
      <c r="AM66" s="358"/>
      <c r="AN66" s="351">
        <v>2875.0</v>
      </c>
      <c r="AO66" s="355"/>
      <c r="AP66" s="353"/>
      <c r="AQ66" s="355"/>
      <c r="AR66" s="359"/>
      <c r="AS66" s="358"/>
      <c r="AT66" s="351">
        <v>730.0</v>
      </c>
      <c r="AU66" s="355"/>
      <c r="AV66" s="353"/>
      <c r="AW66" s="355"/>
      <c r="AX66" s="353"/>
      <c r="AY66" s="358"/>
      <c r="AZ66" s="351">
        <v>527.0</v>
      </c>
      <c r="BA66" s="355"/>
      <c r="BB66" s="353"/>
      <c r="BC66" s="355"/>
      <c r="BD66" s="353"/>
      <c r="BE66" s="358"/>
      <c r="BF66" s="351"/>
      <c r="BG66" s="355"/>
      <c r="BH66" s="353"/>
      <c r="BI66" s="355"/>
      <c r="BJ66" s="352"/>
      <c r="BK66" s="358"/>
      <c r="BL66" s="351"/>
      <c r="BM66" s="355"/>
      <c r="BN66" s="353"/>
      <c r="BO66" s="355"/>
      <c r="BP66" s="352"/>
      <c r="BQ66" s="358"/>
      <c r="BR66" s="360">
        <v>400.0</v>
      </c>
      <c r="BS66" s="385">
        <f t="shared" si="178"/>
        <v>0.00001806508308</v>
      </c>
      <c r="BT66" s="353"/>
      <c r="BU66" s="355"/>
      <c r="BV66" s="352"/>
      <c r="BW66" s="358"/>
      <c r="BX66" s="213"/>
      <c r="BY66" s="213"/>
      <c r="BZ66" s="213"/>
      <c r="CA66" s="213"/>
      <c r="CB66" s="213"/>
      <c r="CC66" s="213"/>
      <c r="CD66" s="213"/>
      <c r="CE66" s="213"/>
      <c r="CF66" s="213"/>
      <c r="CG66" s="213"/>
      <c r="CH66" s="213"/>
      <c r="CI66" s="213"/>
      <c r="CJ66" s="213"/>
      <c r="CK66" s="213"/>
      <c r="CL66" s="213"/>
      <c r="CM66" s="213"/>
      <c r="CN66" s="213"/>
      <c r="CO66" s="213"/>
      <c r="CP66" s="213"/>
      <c r="CQ66" s="213"/>
    </row>
    <row r="67" ht="15.75" customHeight="1">
      <c r="A67" s="213"/>
      <c r="B67" s="393"/>
      <c r="C67" s="350" t="s">
        <v>255</v>
      </c>
      <c r="D67" s="396">
        <v>5408.0</v>
      </c>
      <c r="E67" s="355">
        <f t="shared" ref="E67:E68" si="182">D67/D$31</f>
        <v>0.0003427416968</v>
      </c>
      <c r="F67" s="353">
        <v>26550.0</v>
      </c>
      <c r="G67" s="355">
        <f t="shared" ref="G67:G68" si="183">F67/F$31</f>
        <v>0.001828024546</v>
      </c>
      <c r="H67" s="353">
        <f t="shared" ref="H67:H68" si="184">D67-F67</f>
        <v>-21142</v>
      </c>
      <c r="I67" s="394"/>
      <c r="J67" s="396">
        <v>5408.0</v>
      </c>
      <c r="K67" s="355">
        <f t="shared" ref="K67:K68" si="185">J67/J$31</f>
        <v>0.0003520256422</v>
      </c>
      <c r="L67" s="353">
        <v>26550.0</v>
      </c>
      <c r="M67" s="355">
        <f t="shared" ref="M67:M68" si="186">L67/L$31</f>
        <v>0.001991679099</v>
      </c>
      <c r="N67" s="352"/>
      <c r="O67" s="358"/>
      <c r="P67" s="396">
        <v>5408.0</v>
      </c>
      <c r="Q67" s="355">
        <f t="shared" ref="Q67:Q68" si="187">IFERROR(P67/P$31,)</f>
        <v>0.0003961003162</v>
      </c>
      <c r="R67" s="353"/>
      <c r="S67" s="355"/>
      <c r="T67" s="352"/>
      <c r="U67" s="358"/>
      <c r="V67" s="396">
        <v>5408.0</v>
      </c>
      <c r="W67" s="355"/>
      <c r="X67" s="353">
        <f>27247+(15576/12)+(10384/12)+(38940/12)</f>
        <v>32655.33333</v>
      </c>
      <c r="Y67" s="355"/>
      <c r="Z67" s="352"/>
      <c r="AA67" s="358"/>
      <c r="AB67" s="396">
        <v>5408.0</v>
      </c>
      <c r="AC67" s="355"/>
      <c r="AD67" s="353">
        <f>27247+(15576/12)+(10384/12)+(38940/12)</f>
        <v>32655.33333</v>
      </c>
      <c r="AE67" s="355"/>
      <c r="AF67" s="352"/>
      <c r="AG67" s="358"/>
      <c r="AH67" s="396">
        <v>5408.0</v>
      </c>
      <c r="AI67" s="355">
        <f t="shared" ref="AI67:AI68" si="188">AH67/AH$31</f>
        <v>0.0003886596753</v>
      </c>
      <c r="AJ67" s="353">
        <f>27247+(15576/12)+(10384/12)+(38940/12)</f>
        <v>32655.33333</v>
      </c>
      <c r="AK67" s="355"/>
      <c r="AL67" s="352"/>
      <c r="AM67" s="358"/>
      <c r="AN67" s="396">
        <v>5408.0</v>
      </c>
      <c r="AO67" s="355">
        <f t="shared" ref="AO67:AO68" si="189">AN67/AN$31</f>
        <v>0.00025043406</v>
      </c>
      <c r="AP67" s="353">
        <f>27247+(15576/12)+(10384/12)+(38940/12)</f>
        <v>32655.33333</v>
      </c>
      <c r="AQ67" s="355"/>
      <c r="AR67" s="359"/>
      <c r="AS67" s="358"/>
      <c r="AT67" s="396">
        <v>5408.0</v>
      </c>
      <c r="AU67" s="355">
        <f t="shared" ref="AU67:AU68" si="190">AT67/AT$31</f>
        <v>0.0002247895557</v>
      </c>
      <c r="AV67" s="353">
        <f>AT67</f>
        <v>5408</v>
      </c>
      <c r="AW67" s="355"/>
      <c r="AX67" s="353"/>
      <c r="AY67" s="358"/>
      <c r="AZ67" s="396">
        <v>5408.0</v>
      </c>
      <c r="BA67" s="355">
        <f t="shared" ref="BA67:BA68" si="191">AZ67/AZ$31</f>
        <v>0.0002204348878</v>
      </c>
      <c r="BB67" s="353"/>
      <c r="BC67" s="355"/>
      <c r="BD67" s="353"/>
      <c r="BE67" s="358"/>
      <c r="BF67" s="396">
        <v>5408.0</v>
      </c>
      <c r="BG67" s="355">
        <f t="shared" ref="BG67:BG68" si="192">BF67/BF$31</f>
        <v>0.0002062180848</v>
      </c>
      <c r="BH67" s="353"/>
      <c r="BI67" s="355"/>
      <c r="BJ67" s="352"/>
      <c r="BK67" s="358"/>
      <c r="BL67" s="351">
        <f>(15576/12)+(10384/12)+(38940/12)</f>
        <v>5408.333333</v>
      </c>
      <c r="BM67" s="355">
        <f t="shared" ref="BM67:BM68" si="193">BL67/BL$31</f>
        <v>0.0002505200441</v>
      </c>
      <c r="BN67" s="353"/>
      <c r="BO67" s="355"/>
      <c r="BP67" s="352"/>
      <c r="BQ67" s="358"/>
      <c r="BR67" s="360">
        <f>(15576/12)+(10384/12)+(38940/12)</f>
        <v>5408.333333</v>
      </c>
      <c r="BS67" s="385">
        <f t="shared" si="178"/>
        <v>0.0002442549775</v>
      </c>
      <c r="BT67" s="353"/>
      <c r="BU67" s="355"/>
      <c r="BV67" s="352"/>
      <c r="BW67" s="358"/>
      <c r="BX67" s="213"/>
      <c r="BY67" s="213"/>
      <c r="BZ67" s="213"/>
      <c r="CA67" s="213"/>
      <c r="CB67" s="213"/>
      <c r="CC67" s="213"/>
      <c r="CD67" s="213"/>
      <c r="CE67" s="213"/>
      <c r="CF67" s="213"/>
      <c r="CG67" s="213"/>
      <c r="CH67" s="213"/>
      <c r="CI67" s="213"/>
      <c r="CJ67" s="213"/>
      <c r="CK67" s="213"/>
      <c r="CL67" s="213"/>
      <c r="CM67" s="213"/>
      <c r="CN67" s="213"/>
      <c r="CO67" s="213"/>
      <c r="CP67" s="213"/>
      <c r="CQ67" s="213"/>
    </row>
    <row r="68" ht="15.75" customHeight="1">
      <c r="A68" s="213"/>
      <c r="B68" s="393"/>
      <c r="C68" s="350" t="s">
        <v>256</v>
      </c>
      <c r="D68" s="351">
        <f>37760/12</f>
        <v>3146.666667</v>
      </c>
      <c r="E68" s="355">
        <f t="shared" si="182"/>
        <v>0.0001994256421</v>
      </c>
      <c r="F68" s="353">
        <f>37760/12</f>
        <v>3146.666667</v>
      </c>
      <c r="G68" s="355">
        <f t="shared" si="183"/>
        <v>0.000216654761</v>
      </c>
      <c r="H68" s="353">
        <f t="shared" si="184"/>
        <v>0</v>
      </c>
      <c r="I68" s="394"/>
      <c r="J68" s="351">
        <f>37760/12</f>
        <v>3146.666667</v>
      </c>
      <c r="K68" s="355">
        <f t="shared" si="185"/>
        <v>0.0002048275433</v>
      </c>
      <c r="L68" s="353">
        <f>37760/12</f>
        <v>3146.666667</v>
      </c>
      <c r="M68" s="355">
        <f t="shared" si="186"/>
        <v>0.0002360508562</v>
      </c>
      <c r="N68" s="352"/>
      <c r="O68" s="358"/>
      <c r="P68" s="351">
        <f>9440/12</f>
        <v>786.6666667</v>
      </c>
      <c r="Q68" s="355">
        <f t="shared" si="187"/>
        <v>0.00005761814264</v>
      </c>
      <c r="R68" s="353">
        <f>9440/12</f>
        <v>786.6666667</v>
      </c>
      <c r="S68" s="355"/>
      <c r="T68" s="352"/>
      <c r="U68" s="358"/>
      <c r="V68" s="351">
        <f>9440/12</f>
        <v>786.6666667</v>
      </c>
      <c r="W68" s="355"/>
      <c r="X68" s="353">
        <f>9440/12</f>
        <v>786.6666667</v>
      </c>
      <c r="Y68" s="355"/>
      <c r="Z68" s="352"/>
      <c r="AA68" s="358"/>
      <c r="AB68" s="351">
        <f>9440/12</f>
        <v>786.6666667</v>
      </c>
      <c r="AC68" s="355"/>
      <c r="AD68" s="353">
        <f>9440/12</f>
        <v>786.6666667</v>
      </c>
      <c r="AE68" s="355"/>
      <c r="AF68" s="352"/>
      <c r="AG68" s="358"/>
      <c r="AH68" s="351">
        <f>9440/12</f>
        <v>786.6666667</v>
      </c>
      <c r="AI68" s="355">
        <f t="shared" si="188"/>
        <v>0.0000565358009</v>
      </c>
      <c r="AJ68" s="353">
        <v>787.0</v>
      </c>
      <c r="AK68" s="355"/>
      <c r="AL68" s="352"/>
      <c r="AM68" s="358"/>
      <c r="AN68" s="351">
        <f>9440/12</f>
        <v>786.6666667</v>
      </c>
      <c r="AO68" s="355">
        <f t="shared" si="189"/>
        <v>0.00003642901761</v>
      </c>
      <c r="AP68" s="353">
        <v>787.0</v>
      </c>
      <c r="AQ68" s="355"/>
      <c r="AR68" s="359"/>
      <c r="AS68" s="358"/>
      <c r="AT68" s="351">
        <f>9440/12</f>
        <v>786.6666667</v>
      </c>
      <c r="AU68" s="355">
        <f t="shared" si="190"/>
        <v>0.00003269867797</v>
      </c>
      <c r="AV68" s="353"/>
      <c r="AW68" s="355"/>
      <c r="AX68" s="353"/>
      <c r="AY68" s="358"/>
      <c r="AZ68" s="351">
        <f>9440/12</f>
        <v>786.6666667</v>
      </c>
      <c r="BA68" s="355">
        <f t="shared" si="191"/>
        <v>0.00003206523269</v>
      </c>
      <c r="BB68" s="353"/>
      <c r="BC68" s="355"/>
      <c r="BD68" s="353"/>
      <c r="BE68" s="358"/>
      <c r="BF68" s="351">
        <f>9440/12</f>
        <v>786.6666667</v>
      </c>
      <c r="BG68" s="355">
        <f t="shared" si="192"/>
        <v>0.00002999720661</v>
      </c>
      <c r="BH68" s="353"/>
      <c r="BI68" s="355"/>
      <c r="BJ68" s="352"/>
      <c r="BK68" s="358"/>
      <c r="BL68" s="351">
        <f>9440/12</f>
        <v>786.6666667</v>
      </c>
      <c r="BM68" s="355">
        <f t="shared" si="193"/>
        <v>0.00003643927914</v>
      </c>
      <c r="BN68" s="353"/>
      <c r="BO68" s="355"/>
      <c r="BP68" s="352"/>
      <c r="BQ68" s="358"/>
      <c r="BR68" s="360">
        <f>9440/12</f>
        <v>786.6666667</v>
      </c>
      <c r="BS68" s="385">
        <f t="shared" si="178"/>
        <v>0.00003552799673</v>
      </c>
      <c r="BT68" s="353"/>
      <c r="BU68" s="355"/>
      <c r="BV68" s="352"/>
      <c r="BW68" s="358"/>
      <c r="BX68" s="213"/>
      <c r="BY68" s="213"/>
      <c r="BZ68" s="213"/>
      <c r="CA68" s="213"/>
      <c r="CB68" s="213"/>
      <c r="CC68" s="213"/>
      <c r="CD68" s="213"/>
      <c r="CE68" s="213"/>
      <c r="CF68" s="213"/>
      <c r="CG68" s="213"/>
      <c r="CH68" s="213"/>
      <c r="CI68" s="213"/>
      <c r="CJ68" s="213"/>
      <c r="CK68" s="213"/>
      <c r="CL68" s="213"/>
      <c r="CM68" s="213"/>
      <c r="CN68" s="213"/>
      <c r="CO68" s="213"/>
      <c r="CP68" s="213"/>
      <c r="CQ68" s="213"/>
    </row>
    <row r="69" ht="15.75" customHeight="1">
      <c r="A69" s="213"/>
      <c r="B69" s="403"/>
      <c r="C69" s="448"/>
      <c r="D69" s="363"/>
      <c r="E69" s="364"/>
      <c r="F69" s="365"/>
      <c r="G69" s="364"/>
      <c r="H69" s="365"/>
      <c r="I69" s="366"/>
      <c r="J69" s="363"/>
      <c r="K69" s="364"/>
      <c r="L69" s="365"/>
      <c r="M69" s="364"/>
      <c r="N69" s="364"/>
      <c r="O69" s="368"/>
      <c r="P69" s="363"/>
      <c r="Q69" s="364"/>
      <c r="R69" s="365"/>
      <c r="S69" s="364"/>
      <c r="T69" s="364"/>
      <c r="U69" s="368"/>
      <c r="V69" s="363"/>
      <c r="W69" s="364"/>
      <c r="X69" s="365"/>
      <c r="Y69" s="364"/>
      <c r="Z69" s="364"/>
      <c r="AA69" s="368"/>
      <c r="AB69" s="363"/>
      <c r="AC69" s="364"/>
      <c r="AD69" s="365"/>
      <c r="AE69" s="364"/>
      <c r="AF69" s="364"/>
      <c r="AG69" s="368"/>
      <c r="AH69" s="363"/>
      <c r="AI69" s="364"/>
      <c r="AJ69" s="365"/>
      <c r="AK69" s="364"/>
      <c r="AL69" s="364"/>
      <c r="AM69" s="368"/>
      <c r="AN69" s="363"/>
      <c r="AO69" s="364"/>
      <c r="AP69" s="365"/>
      <c r="AQ69" s="364"/>
      <c r="AR69" s="369"/>
      <c r="AS69" s="368"/>
      <c r="AT69" s="363"/>
      <c r="AU69" s="364"/>
      <c r="AV69" s="365"/>
      <c r="AW69" s="364"/>
      <c r="AX69" s="365"/>
      <c r="AY69" s="368"/>
      <c r="AZ69" s="363"/>
      <c r="BA69" s="364"/>
      <c r="BB69" s="365"/>
      <c r="BC69" s="364"/>
      <c r="BD69" s="365"/>
      <c r="BE69" s="368"/>
      <c r="BF69" s="363"/>
      <c r="BG69" s="364"/>
      <c r="BH69" s="365"/>
      <c r="BI69" s="364"/>
      <c r="BJ69" s="364"/>
      <c r="BK69" s="368"/>
      <c r="BL69" s="363"/>
      <c r="BM69" s="364"/>
      <c r="BN69" s="365"/>
      <c r="BO69" s="364"/>
      <c r="BP69" s="364"/>
      <c r="BQ69" s="368"/>
      <c r="BR69" s="370"/>
      <c r="BS69" s="364"/>
      <c r="BT69" s="365"/>
      <c r="BU69" s="364"/>
      <c r="BV69" s="364"/>
      <c r="BW69" s="368"/>
      <c r="BX69" s="213"/>
      <c r="BY69" s="213"/>
      <c r="BZ69" s="213"/>
      <c r="CA69" s="213"/>
      <c r="CB69" s="213"/>
      <c r="CC69" s="213"/>
      <c r="CD69" s="213"/>
      <c r="CE69" s="213"/>
      <c r="CF69" s="213"/>
      <c r="CG69" s="213"/>
      <c r="CH69" s="213"/>
      <c r="CI69" s="213"/>
      <c r="CJ69" s="213"/>
      <c r="CK69" s="213"/>
      <c r="CL69" s="213"/>
      <c r="CM69" s="213"/>
      <c r="CN69" s="213"/>
      <c r="CO69" s="213"/>
      <c r="CP69" s="213"/>
      <c r="CQ69" s="213"/>
    </row>
    <row r="70" ht="15.75" customHeight="1">
      <c r="A70" s="213"/>
      <c r="B70" s="407"/>
      <c r="C70" s="447" t="s">
        <v>36</v>
      </c>
      <c r="D70" s="373">
        <f>SUM(D71:D74)</f>
        <v>90337.812</v>
      </c>
      <c r="E70" s="374">
        <f>D70/D31</f>
        <v>0.005725320815</v>
      </c>
      <c r="F70" s="375">
        <f>SUM(F71:F74)</f>
        <v>186875.474</v>
      </c>
      <c r="G70" s="374">
        <f>F70/F31</f>
        <v>0.01286677791</v>
      </c>
      <c r="H70" s="375">
        <f>SUM(H71:H74)</f>
        <v>-96537.662</v>
      </c>
      <c r="I70" s="376">
        <f>H70/H31</f>
        <v>-0.07693646104</v>
      </c>
      <c r="J70" s="373">
        <f>SUM(J71:J74)</f>
        <v>93190.7356</v>
      </c>
      <c r="K70" s="374">
        <f t="shared" ref="K70:K71" si="194">J70/J$31</f>
        <v>0.006066111047</v>
      </c>
      <c r="L70" s="375">
        <f>SUM(L71:L74)</f>
        <v>166940.8965</v>
      </c>
      <c r="M70" s="374">
        <f>L70/L31</f>
        <v>0.01252326533</v>
      </c>
      <c r="N70" s="408">
        <f>SUM(N71:N74)</f>
        <v>0</v>
      </c>
      <c r="O70" s="378"/>
      <c r="P70" s="373">
        <f>SUM(P71:P74)</f>
        <v>61219.8162</v>
      </c>
      <c r="Q70" s="374">
        <f>P70/P$31</f>
        <v>0.004483947588</v>
      </c>
      <c r="R70" s="375">
        <f>SUM(R71:R74)</f>
        <v>151452.288</v>
      </c>
      <c r="S70" s="374">
        <f>R70/R31</f>
        <v>0.0119088303</v>
      </c>
      <c r="T70" s="408">
        <f>SUM(T71:T74)</f>
        <v>0</v>
      </c>
      <c r="U70" s="378"/>
      <c r="V70" s="373">
        <f>SUM(V71:V74)</f>
        <v>69655.83</v>
      </c>
      <c r="W70" s="374">
        <f>V70/V31</f>
        <v>0.00480646274</v>
      </c>
      <c r="X70" s="375">
        <f>SUM(X71:X74)</f>
        <v>129144.9448</v>
      </c>
      <c r="Y70" s="374">
        <f>X70/X31</f>
        <v>0.009622480365</v>
      </c>
      <c r="Z70" s="408">
        <f>SUM(Z71:Z74)</f>
        <v>0</v>
      </c>
      <c r="AA70" s="378"/>
      <c r="AB70" s="373">
        <f>SUM(AB71:AB74)</f>
        <v>78585.23</v>
      </c>
      <c r="AC70" s="374">
        <f>AB70/AB31</f>
        <v>0.005111137734</v>
      </c>
      <c r="AD70" s="375">
        <f>SUM(AD71:AD74)</f>
        <v>131421.292</v>
      </c>
      <c r="AE70" s="374">
        <f>AD70/AD31</f>
        <v>0.009003667338</v>
      </c>
      <c r="AF70" s="408">
        <f>SUM(AF71:AF74)</f>
        <v>0</v>
      </c>
      <c r="AG70" s="378"/>
      <c r="AH70" s="373">
        <f>SUM(AH71:AH74)</f>
        <v>88742.33</v>
      </c>
      <c r="AI70" s="374">
        <f t="shared" ref="AI70:AI74" si="195">AH70/AH$31</f>
        <v>0.006377693263</v>
      </c>
      <c r="AJ70" s="375">
        <f>SUM(AJ71:AJ74)</f>
        <v>157025.686</v>
      </c>
      <c r="AK70" s="374">
        <f>AJ70/AJ31</f>
        <v>0.01116818816</v>
      </c>
      <c r="AL70" s="408">
        <f>SUM(AL71:AL74)</f>
        <v>0</v>
      </c>
      <c r="AM70" s="378"/>
      <c r="AN70" s="373">
        <f>SUM(AN71:AN74)</f>
        <v>88338.7125</v>
      </c>
      <c r="AO70" s="374">
        <f t="shared" ref="AO70:AO74" si="196">AN70/AN$31</f>
        <v>0.004090795568</v>
      </c>
      <c r="AP70" s="375">
        <f>SUM(AP71:AP74)</f>
        <v>191920.964</v>
      </c>
      <c r="AQ70" s="374">
        <f>AP70/AP31</f>
        <v>0.01134353308</v>
      </c>
      <c r="AR70" s="380">
        <f>SUM(AR71:AR74)</f>
        <v>0</v>
      </c>
      <c r="AS70" s="378"/>
      <c r="AT70" s="373">
        <f>SUM(AT71:AT74)</f>
        <v>117983.9246</v>
      </c>
      <c r="AU70" s="374">
        <f t="shared" ref="AU70:AU74" si="197">AT70/AT$31</f>
        <v>0.004904133504</v>
      </c>
      <c r="AV70" s="375">
        <f>SUM(AV71:AV74)</f>
        <v>210359.984</v>
      </c>
      <c r="AW70" s="374">
        <f>AV70/AV31</f>
        <v>0.01125985774</v>
      </c>
      <c r="AX70" s="375">
        <f>SUM(AX71:AX74)</f>
        <v>0</v>
      </c>
      <c r="AY70" s="378"/>
      <c r="AZ70" s="373">
        <f>SUM(AZ71:AZ74)</f>
        <v>113293.23</v>
      </c>
      <c r="BA70" s="374">
        <f t="shared" ref="BA70:BA74" si="198">AZ70/AZ$31</f>
        <v>0.004617932774</v>
      </c>
      <c r="BB70" s="375">
        <f>SUM(BB71:BB74)</f>
        <v>243070.51</v>
      </c>
      <c r="BC70" s="374">
        <f>BB70/BB31</f>
        <v>0.01114470512</v>
      </c>
      <c r="BD70" s="375">
        <f>SUM(BD71:BD74)</f>
        <v>0</v>
      </c>
      <c r="BE70" s="378"/>
      <c r="BF70" s="373">
        <f>SUM(BF71:BF74)</f>
        <v>118037.58</v>
      </c>
      <c r="BG70" s="374">
        <f t="shared" ref="BG70:BG74" si="199">BF70/BF$31</f>
        <v>0.004501013994</v>
      </c>
      <c r="BH70" s="375">
        <f>SUM(BH71:BH74)</f>
        <v>225203.048</v>
      </c>
      <c r="BI70" s="374">
        <f>BH70/BH31</f>
        <v>0.01120316303</v>
      </c>
      <c r="BJ70" s="408">
        <f>SUM(BJ71:BJ74)</f>
        <v>0</v>
      </c>
      <c r="BK70" s="378"/>
      <c r="BL70" s="373">
        <f>SUM(BL71:BL74)</f>
        <v>94913.42</v>
      </c>
      <c r="BM70" s="374">
        <f>BL70/BL31</f>
        <v>0.004396495685</v>
      </c>
      <c r="BN70" s="375">
        <f>SUM(BN71:BN74)</f>
        <v>207447.014</v>
      </c>
      <c r="BO70" s="374">
        <f>BN70/BN31</f>
        <v>0.01127200982</v>
      </c>
      <c r="BP70" s="408">
        <f>SUM(BP71:BP74)</f>
        <v>0</v>
      </c>
      <c r="BQ70" s="378"/>
      <c r="BR70" s="381">
        <f>SUM(BR71:BR74)</f>
        <v>103560.6056</v>
      </c>
      <c r="BS70" s="374">
        <f>BR70/BR31</f>
        <v>0.004677077361</v>
      </c>
      <c r="BT70" s="375">
        <f>SUM(BT71:BT74)</f>
        <v>209029.968</v>
      </c>
      <c r="BU70" s="374">
        <f>BT70/BT31</f>
        <v>0.01126536042</v>
      </c>
      <c r="BV70" s="408">
        <f>SUM(BV71:BV74)</f>
        <v>0</v>
      </c>
      <c r="BW70" s="378"/>
      <c r="BX70" s="328">
        <f>SUM(D70,J70,P70,V70,AB70,AH70,AN70,AT70,AZ70,BF70,BL70,BR70)</f>
        <v>1117859.227</v>
      </c>
      <c r="BY70" s="216"/>
      <c r="BZ70" s="216"/>
      <c r="CA70" s="216"/>
      <c r="CB70" s="216"/>
      <c r="CC70" s="216"/>
      <c r="CD70" s="216"/>
      <c r="CE70" s="216"/>
      <c r="CF70" s="216"/>
      <c r="CG70" s="216"/>
      <c r="CH70" s="216"/>
      <c r="CI70" s="216"/>
      <c r="CJ70" s="216"/>
      <c r="CK70" s="216"/>
      <c r="CL70" s="216"/>
      <c r="CM70" s="216"/>
      <c r="CN70" s="216"/>
      <c r="CO70" s="216"/>
      <c r="CP70" s="216"/>
      <c r="CQ70" s="216"/>
    </row>
    <row r="71" ht="15.75" customHeight="1">
      <c r="A71" s="213"/>
      <c r="B71" s="444"/>
      <c r="C71" s="449" t="s">
        <v>257</v>
      </c>
      <c r="D71" s="384">
        <f>(4950+(4950*18/100))</f>
        <v>5841</v>
      </c>
      <c r="E71" s="385">
        <f t="shared" ref="E71:E72" si="200">D71/D$31</f>
        <v>0.0003701838481</v>
      </c>
      <c r="F71" s="386">
        <v>10000.0</v>
      </c>
      <c r="G71" s="440"/>
      <c r="H71" s="386">
        <f t="shared" ref="H71:H74" si="201">D71-F71</f>
        <v>-4159</v>
      </c>
      <c r="I71" s="387">
        <f t="shared" ref="I71:I74" si="202">IFERROR((H71/F71),"")</f>
        <v>-0.4159</v>
      </c>
      <c r="J71" s="384">
        <f>10885</f>
        <v>10885</v>
      </c>
      <c r="K71" s="385">
        <f t="shared" si="194"/>
        <v>0.0007085427357</v>
      </c>
      <c r="L71" s="386">
        <v>10000.0</v>
      </c>
      <c r="M71" s="385">
        <f>L71/L$31</f>
        <v>0.0007501616193</v>
      </c>
      <c r="N71" s="440"/>
      <c r="O71" s="389"/>
      <c r="P71" s="384">
        <f>10354.5</f>
        <v>10354.5</v>
      </c>
      <c r="Q71" s="385">
        <f t="shared" ref="Q71:Q74" si="203">IFERROR(P71/P$31,)</f>
        <v>0.0007583988026</v>
      </c>
      <c r="R71" s="386">
        <v>10000.0</v>
      </c>
      <c r="S71" s="385">
        <f t="shared" ref="S71:S72" si="204">IFERROR(R71/R$31,)</f>
        <v>0.0007863090386</v>
      </c>
      <c r="T71" s="440"/>
      <c r="U71" s="389"/>
      <c r="V71" s="384">
        <f>11947.5</f>
        <v>11947.5</v>
      </c>
      <c r="W71" s="385">
        <f t="shared" ref="W71:W74" si="205">V71/V$31</f>
        <v>0.0008244136002</v>
      </c>
      <c r="X71" s="386">
        <v>10000.0</v>
      </c>
      <c r="Y71" s="385">
        <f>X71/X$31</f>
        <v>0.0007450915233</v>
      </c>
      <c r="Z71" s="440"/>
      <c r="AA71" s="389"/>
      <c r="AB71" s="384">
        <v>12478.5</v>
      </c>
      <c r="AC71" s="385">
        <f>AB71/AB$31</f>
        <v>0.0008115943952</v>
      </c>
      <c r="AD71" s="386">
        <v>10000.0</v>
      </c>
      <c r="AE71" s="385">
        <f>AD71/AD$31</f>
        <v>0.0006850995909</v>
      </c>
      <c r="AF71" s="440"/>
      <c r="AG71" s="389"/>
      <c r="AH71" s="384">
        <f>5753+8762</f>
        <v>14515</v>
      </c>
      <c r="AI71" s="385">
        <f t="shared" si="195"/>
        <v>0.001043157394</v>
      </c>
      <c r="AJ71" s="386">
        <v>10000.0</v>
      </c>
      <c r="AK71" s="440"/>
      <c r="AL71" s="440"/>
      <c r="AM71" s="389"/>
      <c r="AN71" s="384">
        <f>13601.95*1.15</f>
        <v>15642.2425</v>
      </c>
      <c r="AO71" s="385">
        <f t="shared" si="196"/>
        <v>0.0007243621112</v>
      </c>
      <c r="AP71" s="386">
        <v>15000.0</v>
      </c>
      <c r="AQ71" s="440"/>
      <c r="AR71" s="391"/>
      <c r="AS71" s="389"/>
      <c r="AT71" s="384">
        <f>23877.47*1.18</f>
        <v>28175.4146</v>
      </c>
      <c r="AU71" s="385">
        <f t="shared" si="197"/>
        <v>0.001171142553</v>
      </c>
      <c r="AV71" s="386">
        <v>15000.0</v>
      </c>
      <c r="AW71" s="440"/>
      <c r="AX71" s="386"/>
      <c r="AY71" s="389"/>
      <c r="AZ71" s="384">
        <f>3894+2390</f>
        <v>6284</v>
      </c>
      <c r="BA71" s="385">
        <f t="shared" si="198"/>
        <v>0.0002561414265</v>
      </c>
      <c r="BB71" s="386">
        <v>15000.0</v>
      </c>
      <c r="BC71" s="440"/>
      <c r="BD71" s="386"/>
      <c r="BE71" s="389"/>
      <c r="BF71" s="384">
        <v>1682.0</v>
      </c>
      <c r="BG71" s="385">
        <f t="shared" si="199"/>
        <v>0.00006413809515</v>
      </c>
      <c r="BH71" s="386">
        <v>15000.0</v>
      </c>
      <c r="BI71" s="440"/>
      <c r="BJ71" s="440"/>
      <c r="BK71" s="389"/>
      <c r="BL71" s="384">
        <v>4779.0</v>
      </c>
      <c r="BM71" s="355">
        <f>BL71/BL$31</f>
        <v>0.0002213686208</v>
      </c>
      <c r="BN71" s="386">
        <v>15000.0</v>
      </c>
      <c r="BO71" s="440"/>
      <c r="BP71" s="440"/>
      <c r="BQ71" s="389"/>
      <c r="BR71" s="392">
        <f>291.92*1.18</f>
        <v>344.4656</v>
      </c>
      <c r="BS71" s="385">
        <f t="shared" ref="BS71:BS74" si="206">BR71/BR$31</f>
        <v>0.00001555699921</v>
      </c>
      <c r="BT71" s="386">
        <v>15000.0</v>
      </c>
      <c r="BU71" s="440"/>
      <c r="BV71" s="440"/>
      <c r="BW71" s="389"/>
      <c r="BX71" s="213"/>
      <c r="BY71" s="213"/>
      <c r="BZ71" s="213"/>
      <c r="CA71" s="213"/>
      <c r="CB71" s="213"/>
      <c r="CC71" s="213"/>
      <c r="CD71" s="213"/>
      <c r="CE71" s="213"/>
      <c r="CF71" s="213"/>
      <c r="CG71" s="213"/>
      <c r="CH71" s="213"/>
      <c r="CI71" s="213"/>
      <c r="CJ71" s="213"/>
      <c r="CK71" s="213"/>
      <c r="CL71" s="213"/>
      <c r="CM71" s="213"/>
      <c r="CN71" s="213"/>
      <c r="CO71" s="213"/>
      <c r="CP71" s="213"/>
      <c r="CQ71" s="213"/>
    </row>
    <row r="72" ht="15.75" customHeight="1">
      <c r="A72" s="213"/>
      <c r="B72" s="393"/>
      <c r="C72" s="350" t="s">
        <v>258</v>
      </c>
      <c r="D72" s="351">
        <v>10790.0</v>
      </c>
      <c r="E72" s="355">
        <f t="shared" si="200"/>
        <v>0.0006838355969</v>
      </c>
      <c r="F72" s="353">
        <v>25000.0</v>
      </c>
      <c r="G72" s="352"/>
      <c r="H72" s="353">
        <f t="shared" si="201"/>
        <v>-14210</v>
      </c>
      <c r="I72" s="394">
        <f t="shared" si="202"/>
        <v>-0.5684</v>
      </c>
      <c r="J72" s="351">
        <v>9714.0</v>
      </c>
      <c r="K72" s="352"/>
      <c r="L72" s="353"/>
      <c r="M72" s="352"/>
      <c r="N72" s="352"/>
      <c r="O72" s="358"/>
      <c r="P72" s="351">
        <v>8996.0</v>
      </c>
      <c r="Q72" s="355">
        <f t="shared" si="203"/>
        <v>0.0006588976414</v>
      </c>
      <c r="R72" s="353">
        <v>10000.0</v>
      </c>
      <c r="S72" s="355">
        <f t="shared" si="204"/>
        <v>0.0007863090386</v>
      </c>
      <c r="T72" s="352"/>
      <c r="U72" s="358"/>
      <c r="V72" s="351">
        <v>2301.0</v>
      </c>
      <c r="W72" s="355">
        <f t="shared" si="205"/>
        <v>0.0001587759526</v>
      </c>
      <c r="X72" s="353">
        <v>7500.0</v>
      </c>
      <c r="Y72" s="352"/>
      <c r="Z72" s="352"/>
      <c r="AA72" s="358"/>
      <c r="AB72" s="351">
        <v>814.2</v>
      </c>
      <c r="AC72" s="352"/>
      <c r="AD72" s="353"/>
      <c r="AE72" s="352"/>
      <c r="AF72" s="352"/>
      <c r="AG72" s="358"/>
      <c r="AH72" s="351">
        <v>3292.62</v>
      </c>
      <c r="AI72" s="355">
        <f t="shared" si="195"/>
        <v>0.0002366325111</v>
      </c>
      <c r="AJ72" s="353"/>
      <c r="AK72" s="352"/>
      <c r="AL72" s="352"/>
      <c r="AM72" s="358"/>
      <c r="AN72" s="351">
        <v>6932.0</v>
      </c>
      <c r="AO72" s="355">
        <f t="shared" si="196"/>
        <v>0.0003210075636</v>
      </c>
      <c r="AP72" s="353"/>
      <c r="AQ72" s="352"/>
      <c r="AR72" s="359"/>
      <c r="AS72" s="358"/>
      <c r="AT72" s="351">
        <v>3089.06</v>
      </c>
      <c r="AU72" s="355">
        <f t="shared" si="197"/>
        <v>0.0001284002265</v>
      </c>
      <c r="AV72" s="353"/>
      <c r="AW72" s="352"/>
      <c r="AX72" s="353"/>
      <c r="AY72" s="358"/>
      <c r="AZ72" s="351">
        <v>3339.4</v>
      </c>
      <c r="BA72" s="355">
        <f t="shared" si="198"/>
        <v>0.0001361169128</v>
      </c>
      <c r="BB72" s="353"/>
      <c r="BC72" s="352"/>
      <c r="BD72" s="353"/>
      <c r="BE72" s="358"/>
      <c r="BF72" s="351">
        <v>4493.0</v>
      </c>
      <c r="BG72" s="355">
        <f t="shared" si="199"/>
        <v>0.0001713272661</v>
      </c>
      <c r="BH72" s="353"/>
      <c r="BI72" s="352"/>
      <c r="BJ72" s="352"/>
      <c r="BK72" s="358"/>
      <c r="BL72" s="396">
        <v>5376.0</v>
      </c>
      <c r="BM72" s="352"/>
      <c r="BN72" s="353"/>
      <c r="BO72" s="352"/>
      <c r="BP72" s="352"/>
      <c r="BQ72" s="358"/>
      <c r="BR72" s="414">
        <v>5376.0</v>
      </c>
      <c r="BS72" s="385">
        <f t="shared" si="206"/>
        <v>0.0002427947167</v>
      </c>
      <c r="BT72" s="353"/>
      <c r="BU72" s="352"/>
      <c r="BV72" s="352"/>
      <c r="BW72" s="358"/>
      <c r="BX72" s="213"/>
      <c r="BY72" s="213"/>
      <c r="BZ72" s="213"/>
      <c r="CA72" s="213"/>
      <c r="CB72" s="213"/>
      <c r="CC72" s="213"/>
      <c r="CD72" s="213"/>
      <c r="CE72" s="213"/>
      <c r="CF72" s="213"/>
      <c r="CG72" s="213"/>
      <c r="CH72" s="213"/>
      <c r="CI72" s="213"/>
      <c r="CJ72" s="213"/>
      <c r="CK72" s="213"/>
      <c r="CL72" s="213"/>
      <c r="CM72" s="213"/>
      <c r="CN72" s="213"/>
      <c r="CO72" s="213"/>
      <c r="CP72" s="213"/>
      <c r="CQ72" s="213"/>
    </row>
    <row r="73" ht="15.75" customHeight="1">
      <c r="A73" s="213"/>
      <c r="B73" s="393"/>
      <c r="C73" s="350" t="s">
        <v>259</v>
      </c>
      <c r="D73" s="351">
        <f>(61188.58+(61188.58*18/100))</f>
        <v>72202.5244</v>
      </c>
      <c r="E73" s="355">
        <f>D73/D17</f>
        <v>0.1232345803</v>
      </c>
      <c r="F73" s="353">
        <f>G73*F$17</f>
        <v>151875.474</v>
      </c>
      <c r="G73" s="355">
        <f>17.8%</f>
        <v>0.178</v>
      </c>
      <c r="H73" s="353">
        <f t="shared" si="201"/>
        <v>-79672.9496</v>
      </c>
      <c r="I73" s="394">
        <f t="shared" si="202"/>
        <v>-0.5245939157</v>
      </c>
      <c r="J73" s="351">
        <f>(53059.42+(53059.42*18/100))</f>
        <v>62610.1156</v>
      </c>
      <c r="K73" s="355">
        <f>J73/J17</f>
        <v>0.1060227008</v>
      </c>
      <c r="L73" s="353">
        <f>M73*L$17</f>
        <v>156940.8965</v>
      </c>
      <c r="M73" s="355">
        <f>$G$73</f>
        <v>0.178</v>
      </c>
      <c r="N73" s="352"/>
      <c r="O73" s="358"/>
      <c r="P73" s="351">
        <f>(9059.59+(9059.59*18/100))</f>
        <v>10690.3162</v>
      </c>
      <c r="Q73" s="355">
        <f t="shared" si="203"/>
        <v>0.0007829951234</v>
      </c>
      <c r="R73" s="353">
        <f>S73*R$17</f>
        <v>131452.288</v>
      </c>
      <c r="S73" s="355">
        <f>$G$73</f>
        <v>0.178</v>
      </c>
      <c r="T73" s="352"/>
      <c r="U73" s="358"/>
      <c r="V73" s="351">
        <f>52289.1-3740</f>
        <v>48549.1</v>
      </c>
      <c r="W73" s="355">
        <f t="shared" si="205"/>
        <v>0.003350034595</v>
      </c>
      <c r="X73" s="353">
        <f>Y73*X$17</f>
        <v>111644.9448</v>
      </c>
      <c r="Y73" s="355">
        <f>(12*1.18%)</f>
        <v>0.1416</v>
      </c>
      <c r="Z73" s="352"/>
      <c r="AA73" s="358"/>
      <c r="AB73" s="351">
        <f>62865.57-5554</f>
        <v>57311.57</v>
      </c>
      <c r="AC73" s="355">
        <f>(12*1.18%)</f>
        <v>0.1416</v>
      </c>
      <c r="AD73" s="353">
        <f>AE73*AD$17</f>
        <v>121421.292</v>
      </c>
      <c r="AE73" s="355">
        <f>(12*1.18%)</f>
        <v>0.1416</v>
      </c>
      <c r="AF73" s="352"/>
      <c r="AG73" s="358"/>
      <c r="AH73" s="351">
        <f>60875.15-1559</f>
        <v>59316.15</v>
      </c>
      <c r="AI73" s="355">
        <f t="shared" si="195"/>
        <v>0.004262905991</v>
      </c>
      <c r="AJ73" s="353">
        <f>AK73*AJ$17</f>
        <v>147025.686</v>
      </c>
      <c r="AK73" s="355">
        <f>$G$73</f>
        <v>0.178</v>
      </c>
      <c r="AL73" s="352"/>
      <c r="AM73" s="358"/>
      <c r="AN73" s="351">
        <v>54808.94</v>
      </c>
      <c r="AO73" s="355">
        <f t="shared" si="196"/>
        <v>0.002538096407</v>
      </c>
      <c r="AP73" s="353">
        <f>AQ73*AP$17</f>
        <v>176920.964</v>
      </c>
      <c r="AQ73" s="355">
        <f>$G$73</f>
        <v>0.178</v>
      </c>
      <c r="AR73" s="359"/>
      <c r="AS73" s="358"/>
      <c r="AT73" s="351">
        <v>72076.31</v>
      </c>
      <c r="AU73" s="355">
        <f t="shared" si="197"/>
        <v>0.002995932267</v>
      </c>
      <c r="AV73" s="353">
        <f>AW73*AV$17</f>
        <v>195359.984</v>
      </c>
      <c r="AW73" s="355">
        <f>$G$73</f>
        <v>0.178</v>
      </c>
      <c r="AX73" s="353"/>
      <c r="AY73" s="358"/>
      <c r="AZ73" s="351">
        <v>83617.92</v>
      </c>
      <c r="BA73" s="355">
        <f t="shared" si="198"/>
        <v>0.003408340756</v>
      </c>
      <c r="BB73" s="353">
        <f>BC73*BB$17</f>
        <v>228070.51</v>
      </c>
      <c r="BC73" s="355">
        <f>$G$73</f>
        <v>0.178</v>
      </c>
      <c r="BD73" s="353"/>
      <c r="BE73" s="358"/>
      <c r="BF73" s="351">
        <v>84660.53</v>
      </c>
      <c r="BG73" s="355">
        <f t="shared" si="199"/>
        <v>0.003228278911</v>
      </c>
      <c r="BH73" s="353">
        <f>BI73*BH$17</f>
        <v>210203.048</v>
      </c>
      <c r="BI73" s="355">
        <f>$G$73</f>
        <v>0.178</v>
      </c>
      <c r="BJ73" s="352"/>
      <c r="BK73" s="358"/>
      <c r="BL73" s="351">
        <v>61080.09</v>
      </c>
      <c r="BM73" s="355">
        <f t="shared" ref="BM73:BM74" si="207">BL73/BL$31</f>
        <v>0.002829298029</v>
      </c>
      <c r="BN73" s="353">
        <f>BO73*BN$17</f>
        <v>192447.014</v>
      </c>
      <c r="BO73" s="355">
        <f>$G$73</f>
        <v>0.178</v>
      </c>
      <c r="BP73" s="352"/>
      <c r="BQ73" s="358"/>
      <c r="BR73" s="360">
        <v>74581.03</v>
      </c>
      <c r="BS73" s="385">
        <f t="shared" si="206"/>
        <v>0.003368281259</v>
      </c>
      <c r="BT73" s="353">
        <f>BU73*BT$17</f>
        <v>194029.968</v>
      </c>
      <c r="BU73" s="355">
        <f>$G$73</f>
        <v>0.178</v>
      </c>
      <c r="BV73" s="352"/>
      <c r="BW73" s="358"/>
      <c r="BX73" s="213"/>
      <c r="BY73" s="213"/>
      <c r="BZ73" s="213"/>
      <c r="CA73" s="213"/>
      <c r="CB73" s="213"/>
      <c r="CC73" s="213"/>
      <c r="CD73" s="213"/>
      <c r="CE73" s="213"/>
      <c r="CF73" s="213"/>
      <c r="CG73" s="213"/>
      <c r="CH73" s="213"/>
      <c r="CI73" s="213"/>
      <c r="CJ73" s="213"/>
      <c r="CK73" s="213"/>
      <c r="CL73" s="213"/>
      <c r="CM73" s="213"/>
      <c r="CN73" s="213"/>
      <c r="CO73" s="213"/>
      <c r="CP73" s="213"/>
      <c r="CQ73" s="213"/>
    </row>
    <row r="74" ht="15.75" customHeight="1">
      <c r="A74" s="213"/>
      <c r="B74" s="393"/>
      <c r="C74" s="350" t="s">
        <v>260</v>
      </c>
      <c r="D74" s="351">
        <f>(1274.82+(1274.82*18/100))</f>
        <v>1504.2876</v>
      </c>
      <c r="E74" s="355">
        <f>D74/D$31</f>
        <v>0.0000953369239</v>
      </c>
      <c r="F74" s="353"/>
      <c r="G74" s="352"/>
      <c r="H74" s="353">
        <f t="shared" si="201"/>
        <v>1504.2876</v>
      </c>
      <c r="I74" s="394" t="str">
        <f t="shared" si="202"/>
        <v/>
      </c>
      <c r="J74" s="351">
        <f>8459+(8459*18/100)</f>
        <v>9981.62</v>
      </c>
      <c r="K74" s="352"/>
      <c r="L74" s="353"/>
      <c r="M74" s="352"/>
      <c r="N74" s="352"/>
      <c r="O74" s="358"/>
      <c r="P74" s="351">
        <v>31179.0</v>
      </c>
      <c r="Q74" s="355">
        <f t="shared" si="203"/>
        <v>0.002283656021</v>
      </c>
      <c r="R74" s="353"/>
      <c r="S74" s="352"/>
      <c r="T74" s="352"/>
      <c r="U74" s="358"/>
      <c r="V74" s="351">
        <v>6858.23</v>
      </c>
      <c r="W74" s="355">
        <f t="shared" si="205"/>
        <v>0.0004732385926</v>
      </c>
      <c r="X74" s="353">
        <v>0.0</v>
      </c>
      <c r="Y74" s="352"/>
      <c r="Z74" s="352"/>
      <c r="AA74" s="358"/>
      <c r="AB74" s="351">
        <v>7980.96</v>
      </c>
      <c r="AC74" s="352"/>
      <c r="AD74" s="353"/>
      <c r="AE74" s="352"/>
      <c r="AF74" s="352"/>
      <c r="AG74" s="358"/>
      <c r="AH74" s="351">
        <v>11618.56</v>
      </c>
      <c r="AI74" s="355">
        <f t="shared" si="195"/>
        <v>0.0008349973664</v>
      </c>
      <c r="AJ74" s="353"/>
      <c r="AK74" s="352"/>
      <c r="AL74" s="352"/>
      <c r="AM74" s="358"/>
      <c r="AN74" s="351">
        <v>10955.53</v>
      </c>
      <c r="AO74" s="355">
        <f t="shared" si="196"/>
        <v>0.0005073294855</v>
      </c>
      <c r="AP74" s="353"/>
      <c r="AQ74" s="352"/>
      <c r="AR74" s="359"/>
      <c r="AS74" s="358"/>
      <c r="AT74" s="351">
        <v>14643.14</v>
      </c>
      <c r="AU74" s="355">
        <f t="shared" si="197"/>
        <v>0.0006086584568</v>
      </c>
      <c r="AV74" s="353"/>
      <c r="AW74" s="352"/>
      <c r="AX74" s="353"/>
      <c r="AY74" s="358"/>
      <c r="AZ74" s="351">
        <v>20051.91</v>
      </c>
      <c r="BA74" s="355">
        <f t="shared" si="198"/>
        <v>0.0008173336779</v>
      </c>
      <c r="BB74" s="353"/>
      <c r="BC74" s="352"/>
      <c r="BD74" s="353"/>
      <c r="BE74" s="358"/>
      <c r="BF74" s="351">
        <v>27202.05</v>
      </c>
      <c r="BG74" s="355">
        <f t="shared" si="199"/>
        <v>0.001037269721</v>
      </c>
      <c r="BH74" s="353"/>
      <c r="BI74" s="352"/>
      <c r="BJ74" s="352"/>
      <c r="BK74" s="358"/>
      <c r="BL74" s="351">
        <v>23678.33</v>
      </c>
      <c r="BM74" s="355">
        <f t="shared" si="207"/>
        <v>0.001096806707</v>
      </c>
      <c r="BN74" s="353"/>
      <c r="BO74" s="352"/>
      <c r="BP74" s="352"/>
      <c r="BQ74" s="358"/>
      <c r="BR74" s="360">
        <v>23259.11</v>
      </c>
      <c r="BS74" s="385">
        <f t="shared" si="206"/>
        <v>0.001050444387</v>
      </c>
      <c r="BT74" s="353"/>
      <c r="BU74" s="352"/>
      <c r="BV74" s="352"/>
      <c r="BW74" s="358"/>
      <c r="BX74" s="213"/>
      <c r="BY74" s="213"/>
      <c r="BZ74" s="213"/>
      <c r="CA74" s="213"/>
      <c r="CB74" s="213"/>
      <c r="CC74" s="213"/>
      <c r="CD74" s="213"/>
      <c r="CE74" s="213"/>
      <c r="CF74" s="213"/>
      <c r="CG74" s="213"/>
      <c r="CH74" s="213"/>
      <c r="CI74" s="213"/>
      <c r="CJ74" s="213"/>
      <c r="CK74" s="213"/>
      <c r="CL74" s="213"/>
      <c r="CM74" s="213"/>
      <c r="CN74" s="213"/>
      <c r="CO74" s="213"/>
      <c r="CP74" s="213"/>
      <c r="CQ74" s="213"/>
    </row>
    <row r="75" ht="15.75" customHeight="1">
      <c r="A75" s="213"/>
      <c r="B75" s="403"/>
      <c r="C75" s="362"/>
      <c r="D75" s="363"/>
      <c r="E75" s="364"/>
      <c r="F75" s="365"/>
      <c r="G75" s="364"/>
      <c r="H75" s="365"/>
      <c r="I75" s="366"/>
      <c r="J75" s="363"/>
      <c r="K75" s="364"/>
      <c r="L75" s="365"/>
      <c r="M75" s="364"/>
      <c r="N75" s="364"/>
      <c r="O75" s="368"/>
      <c r="P75" s="363"/>
      <c r="Q75" s="364"/>
      <c r="R75" s="365"/>
      <c r="S75" s="364"/>
      <c r="T75" s="364"/>
      <c r="U75" s="368"/>
      <c r="V75" s="363"/>
      <c r="W75" s="364"/>
      <c r="X75" s="365"/>
      <c r="Y75" s="364"/>
      <c r="Z75" s="364"/>
      <c r="AA75" s="368"/>
      <c r="AB75" s="363"/>
      <c r="AC75" s="364"/>
      <c r="AD75" s="365"/>
      <c r="AE75" s="364"/>
      <c r="AF75" s="364"/>
      <c r="AG75" s="368"/>
      <c r="AH75" s="363"/>
      <c r="AI75" s="364"/>
      <c r="AJ75" s="365"/>
      <c r="AK75" s="364"/>
      <c r="AL75" s="364"/>
      <c r="AM75" s="368"/>
      <c r="AN75" s="363"/>
      <c r="AO75" s="364"/>
      <c r="AP75" s="365"/>
      <c r="AQ75" s="364"/>
      <c r="AR75" s="369"/>
      <c r="AS75" s="368"/>
      <c r="AT75" s="363"/>
      <c r="AU75" s="364"/>
      <c r="AV75" s="365"/>
      <c r="AW75" s="364"/>
      <c r="AX75" s="365"/>
      <c r="AY75" s="368"/>
      <c r="AZ75" s="363"/>
      <c r="BA75" s="364"/>
      <c r="BB75" s="365"/>
      <c r="BC75" s="364"/>
      <c r="BD75" s="365"/>
      <c r="BE75" s="368"/>
      <c r="BF75" s="363"/>
      <c r="BG75" s="364"/>
      <c r="BH75" s="365"/>
      <c r="BI75" s="364"/>
      <c r="BJ75" s="364"/>
      <c r="BK75" s="368"/>
      <c r="BL75" s="363"/>
      <c r="BM75" s="364"/>
      <c r="BN75" s="365"/>
      <c r="BO75" s="364"/>
      <c r="BP75" s="364"/>
      <c r="BQ75" s="368"/>
      <c r="BR75" s="370"/>
      <c r="BS75" s="364"/>
      <c r="BT75" s="365"/>
      <c r="BU75" s="364"/>
      <c r="BV75" s="364"/>
      <c r="BW75" s="368"/>
      <c r="BX75" s="213"/>
      <c r="BY75" s="213"/>
      <c r="BZ75" s="213"/>
      <c r="CA75" s="213"/>
      <c r="CB75" s="213"/>
      <c r="CC75" s="213"/>
      <c r="CD75" s="213"/>
      <c r="CE75" s="213"/>
      <c r="CF75" s="213"/>
      <c r="CG75" s="213"/>
      <c r="CH75" s="213"/>
      <c r="CI75" s="213"/>
      <c r="CJ75" s="213"/>
      <c r="CK75" s="213"/>
      <c r="CL75" s="213"/>
      <c r="CM75" s="213"/>
      <c r="CN75" s="213"/>
      <c r="CO75" s="213"/>
      <c r="CP75" s="213"/>
      <c r="CQ75" s="213"/>
    </row>
    <row r="76" ht="15.75" customHeight="1">
      <c r="A76" s="213"/>
      <c r="B76" s="407"/>
      <c r="C76" s="447" t="s">
        <v>37</v>
      </c>
      <c r="D76" s="373">
        <f>SUM(D77:D80)</f>
        <v>1793679</v>
      </c>
      <c r="E76" s="374">
        <f t="shared" ref="E76:E80" si="208">D76/D$31</f>
        <v>0.1136776228</v>
      </c>
      <c r="F76" s="375">
        <f>SUM(F77:F80)</f>
        <v>1752217</v>
      </c>
      <c r="G76" s="374">
        <f t="shared" ref="G76:G80" si="209">F76/F$31</f>
        <v>0.1206439053</v>
      </c>
      <c r="H76" s="375">
        <f>SUM(H77:H80)</f>
        <v>41462</v>
      </c>
      <c r="I76" s="376">
        <f>H76/H$31</f>
        <v>0.03304347217</v>
      </c>
      <c r="J76" s="373">
        <f>SUM(J77:J80)</f>
        <v>1793621</v>
      </c>
      <c r="K76" s="374">
        <f t="shared" ref="K76:K80" si="210">J76/J$31</f>
        <v>0.1167530666</v>
      </c>
      <c r="L76" s="375">
        <f>SUM(L77:L80)</f>
        <v>1750840.5</v>
      </c>
      <c r="M76" s="374">
        <f t="shared" ref="M76:M80" si="211">L76/L$31</f>
        <v>0.1313413345</v>
      </c>
      <c r="N76" s="408">
        <f>SUM(N77:N80)</f>
        <v>0</v>
      </c>
      <c r="O76" s="378"/>
      <c r="P76" s="373">
        <f>SUM(P77:P80)</f>
        <v>1785645</v>
      </c>
      <c r="Q76" s="374">
        <f>P76/P$31</f>
        <v>0.130786714</v>
      </c>
      <c r="R76" s="375">
        <f>SUM(R77:R80)</f>
        <v>1754717</v>
      </c>
      <c r="S76" s="374">
        <f t="shared" ref="S76:S80" si="212">R76/R$31</f>
        <v>0.1379749837</v>
      </c>
      <c r="T76" s="408">
        <f>SUM(T77:T80)</f>
        <v>0</v>
      </c>
      <c r="U76" s="378"/>
      <c r="V76" s="373">
        <f>SUM(V77:V80)</f>
        <v>1679246</v>
      </c>
      <c r="W76" s="374">
        <f t="shared" ref="W76:W80" si="213">V76/V$31</f>
        <v>0.115873048</v>
      </c>
      <c r="X76" s="375">
        <f>SUM(X77:X80)</f>
        <v>1754717</v>
      </c>
      <c r="Y76" s="374">
        <f t="shared" ref="Y76:Y80" si="214">X76/X$31</f>
        <v>0.1307424763</v>
      </c>
      <c r="Z76" s="408">
        <f>SUM(Z77:Z80)</f>
        <v>0</v>
      </c>
      <c r="AA76" s="378"/>
      <c r="AB76" s="373">
        <f>SUM(AB77:AB80)</f>
        <v>1686002</v>
      </c>
      <c r="AC76" s="374">
        <f t="shared" ref="AC76:AC80" si="215">AB76/AB$31</f>
        <v>0.1096565912</v>
      </c>
      <c r="AD76" s="375">
        <f>SUM(AD77:AD80)</f>
        <v>1754717</v>
      </c>
      <c r="AE76" s="374">
        <f t="shared" ref="AE76:AE80" si="216">AD76/AD$31</f>
        <v>0.1202155899</v>
      </c>
      <c r="AF76" s="408">
        <f>SUM(AF77:AF80)</f>
        <v>0</v>
      </c>
      <c r="AG76" s="378"/>
      <c r="AH76" s="373">
        <f>SUM(AH77:AH80)</f>
        <v>1791521</v>
      </c>
      <c r="AI76" s="374">
        <f t="shared" ref="AI76:AI80" si="217">AH76/AH$31</f>
        <v>0.1287522134</v>
      </c>
      <c r="AJ76" s="375">
        <f>SUM(AJ77:AJ80)</f>
        <v>1739717</v>
      </c>
      <c r="AK76" s="374">
        <f t="shared" ref="AK76:AK80" si="218">AJ76/AJ$31</f>
        <v>0.1237344494</v>
      </c>
      <c r="AL76" s="408">
        <f>SUM(AL77:AL80)</f>
        <v>0</v>
      </c>
      <c r="AM76" s="378"/>
      <c r="AN76" s="373">
        <f>SUM(AN77:AN80)</f>
        <v>1784992</v>
      </c>
      <c r="AO76" s="374">
        <f t="shared" ref="AO76:AO80" si="219">AN76/AN$31</f>
        <v>0.08265954026</v>
      </c>
      <c r="AP76" s="375">
        <f>SUM(AP77:AP80)</f>
        <v>1739717</v>
      </c>
      <c r="AQ76" s="374">
        <f t="shared" ref="AQ76:AQ80" si="220">AP76/AP$31</f>
        <v>0.1028263767</v>
      </c>
      <c r="AR76" s="380">
        <f>SUM(AR77:AR80)</f>
        <v>0</v>
      </c>
      <c r="AS76" s="378"/>
      <c r="AT76" s="373">
        <f>SUM(AT77:AT80)</f>
        <v>1774558</v>
      </c>
      <c r="AU76" s="374">
        <f t="shared" ref="AU76:AU80" si="221">AT76/AT$31</f>
        <v>0.0737614838</v>
      </c>
      <c r="AV76" s="375">
        <f>SUM(AV77:AV80)</f>
        <v>1827400.02</v>
      </c>
      <c r="AW76" s="374">
        <f t="shared" ref="AW76:AW80" si="222">AV76/AV$31</f>
        <v>0.09781453617</v>
      </c>
      <c r="AX76" s="375">
        <f>SUM(AX77:AX80)</f>
        <v>0</v>
      </c>
      <c r="AY76" s="378"/>
      <c r="AZ76" s="373">
        <f>SUM(AZ77:AZ80)</f>
        <v>1780414</v>
      </c>
      <c r="BA76" s="374">
        <f t="shared" ref="BA76:BA80" si="223">AZ76/AZ$31</f>
        <v>0.07257125745</v>
      </c>
      <c r="BB76" s="375">
        <f>SUM(BB77:BB80)</f>
        <v>1827400</v>
      </c>
      <c r="BC76" s="374">
        <f t="shared" ref="BC76:BC80" si="224">BB76/BB$31</f>
        <v>0.08378570538</v>
      </c>
      <c r="BD76" s="375">
        <f>SUM(BD77:BD80)</f>
        <v>0</v>
      </c>
      <c r="BE76" s="378"/>
      <c r="BF76" s="373">
        <f>SUM(BF77:BF80)</f>
        <v>1804122</v>
      </c>
      <c r="BG76" s="374">
        <f t="shared" ref="BG76:BG80" si="225">BF76/BF$31</f>
        <v>0.06879485642</v>
      </c>
      <c r="BH76" s="375">
        <f>SUM(BH77:BH80)</f>
        <v>1827400</v>
      </c>
      <c r="BI76" s="374">
        <f t="shared" ref="BI76:BI80" si="226">BH76/BH$31</f>
        <v>0.09090756232</v>
      </c>
      <c r="BJ76" s="408">
        <f>SUM(BJ77:BJ80)</f>
        <v>0</v>
      </c>
      <c r="BK76" s="378"/>
      <c r="BL76" s="373">
        <f>SUM(BL77:BL80)</f>
        <v>1804183</v>
      </c>
      <c r="BM76" s="374">
        <f t="shared" ref="BM76:BM80" si="227">BL76/BL$31</f>
        <v>0.08357177283</v>
      </c>
      <c r="BN76" s="375">
        <f>SUM(BN77:BN80)</f>
        <v>1827400</v>
      </c>
      <c r="BO76" s="374">
        <f t="shared" ref="BO76:BO80" si="228">BN76/BN$31</f>
        <v>0.09929509395</v>
      </c>
      <c r="BP76" s="408">
        <f>SUM(BP77:BP80)</f>
        <v>0</v>
      </c>
      <c r="BQ76" s="378"/>
      <c r="BR76" s="381">
        <f>SUM(BR77:BR80)</f>
        <v>1999683</v>
      </c>
      <c r="BS76" s="374">
        <f t="shared" ref="BS76:BS80" si="229">BR76/BR$31</f>
        <v>0.09031109885</v>
      </c>
      <c r="BT76" s="375">
        <f>SUM(BT77:BT80)</f>
        <v>1827400</v>
      </c>
      <c r="BU76" s="374">
        <f t="shared" ref="BU76:BU80" si="230">BT76/BT$31</f>
        <v>0.09848501547</v>
      </c>
      <c r="BV76" s="408">
        <f>SUM(BV77:BV80)</f>
        <v>0</v>
      </c>
      <c r="BW76" s="378"/>
      <c r="BX76" s="328">
        <f>SUM(D76,J76,P76,V76,AB76,AH76,AN76,AT76,AZ76,BF76,BL76,BR76)</f>
        <v>21477666</v>
      </c>
      <c r="BY76" s="216"/>
      <c r="BZ76" s="216"/>
      <c r="CA76" s="216"/>
      <c r="CB76" s="216"/>
      <c r="CC76" s="216"/>
      <c r="CD76" s="216"/>
      <c r="CE76" s="216"/>
      <c r="CF76" s="216"/>
      <c r="CG76" s="216"/>
      <c r="CH76" s="216"/>
      <c r="CI76" s="216"/>
      <c r="CJ76" s="216"/>
      <c r="CK76" s="216"/>
      <c r="CL76" s="216"/>
      <c r="CM76" s="216"/>
      <c r="CN76" s="216"/>
      <c r="CO76" s="216"/>
      <c r="CP76" s="216"/>
      <c r="CQ76" s="216"/>
    </row>
    <row r="77" ht="15.75" customHeight="1">
      <c r="A77" s="213"/>
      <c r="B77" s="444"/>
      <c r="C77" s="383" t="s">
        <v>261</v>
      </c>
      <c r="D77" s="384">
        <v>1419717.0</v>
      </c>
      <c r="E77" s="385">
        <f t="shared" si="208"/>
        <v>0.08997711049</v>
      </c>
      <c r="F77" s="386">
        <v>1419717.0</v>
      </c>
      <c r="G77" s="385">
        <f t="shared" si="209"/>
        <v>0.09775056588</v>
      </c>
      <c r="H77" s="386">
        <f t="shared" ref="H77:H80" si="231">D77-F77</f>
        <v>0</v>
      </c>
      <c r="I77" s="387">
        <f t="shared" ref="I77:I80" si="232">IFERROR((H77/F77),"")</f>
        <v>0</v>
      </c>
      <c r="J77" s="384">
        <f>1419717</f>
        <v>1419717</v>
      </c>
      <c r="K77" s="385">
        <f t="shared" si="210"/>
        <v>0.092414347</v>
      </c>
      <c r="L77" s="386">
        <v>1419717.0</v>
      </c>
      <c r="M77" s="385">
        <f t="shared" si="211"/>
        <v>0.1065017204</v>
      </c>
      <c r="N77" s="440"/>
      <c r="O77" s="389"/>
      <c r="P77" s="384">
        <v>1419717.0</v>
      </c>
      <c r="Q77" s="385">
        <f t="shared" ref="Q77:Q80" si="233">IFERROR(P77/P$31,)</f>
        <v>0.1039849025</v>
      </c>
      <c r="R77" s="386">
        <v>1419717.0</v>
      </c>
      <c r="S77" s="385">
        <f t="shared" si="212"/>
        <v>0.1116336309</v>
      </c>
      <c r="T77" s="440"/>
      <c r="U77" s="389"/>
      <c r="V77" s="384">
        <v>1419717.0</v>
      </c>
      <c r="W77" s="385">
        <f t="shared" si="213"/>
        <v>0.09796476278</v>
      </c>
      <c r="X77" s="386">
        <v>1419717.0</v>
      </c>
      <c r="Y77" s="385">
        <f t="shared" si="214"/>
        <v>0.1057819102</v>
      </c>
      <c r="Z77" s="440"/>
      <c r="AA77" s="389"/>
      <c r="AB77" s="384">
        <v>1419717.0</v>
      </c>
      <c r="AC77" s="385">
        <f t="shared" si="215"/>
        <v>0.09233756942</v>
      </c>
      <c r="AD77" s="386">
        <v>1419717.0</v>
      </c>
      <c r="AE77" s="385">
        <f t="shared" si="216"/>
        <v>0.09726475359</v>
      </c>
      <c r="AF77" s="440"/>
      <c r="AG77" s="389"/>
      <c r="AH77" s="384">
        <v>1419717.0</v>
      </c>
      <c r="AI77" s="385">
        <f t="shared" si="217"/>
        <v>0.1020315733</v>
      </c>
      <c r="AJ77" s="386">
        <v>1419717.0</v>
      </c>
      <c r="AK77" s="385">
        <f t="shared" si="218"/>
        <v>0.1009749869</v>
      </c>
      <c r="AL77" s="440"/>
      <c r="AM77" s="389"/>
      <c r="AN77" s="384">
        <v>1419717.0</v>
      </c>
      <c r="AO77" s="385">
        <f t="shared" si="219"/>
        <v>0.06574435881</v>
      </c>
      <c r="AP77" s="386">
        <v>1419717.0</v>
      </c>
      <c r="AQ77" s="385">
        <f t="shared" si="220"/>
        <v>0.08391270252</v>
      </c>
      <c r="AR77" s="391"/>
      <c r="AS77" s="389"/>
      <c r="AT77" s="384">
        <v>1419717.0</v>
      </c>
      <c r="AU77" s="385">
        <f t="shared" si="221"/>
        <v>0.0590121216</v>
      </c>
      <c r="AV77" s="386">
        <f>AP77*1.06</f>
        <v>1504900.02</v>
      </c>
      <c r="AW77" s="385">
        <f t="shared" si="222"/>
        <v>0.08055220304</v>
      </c>
      <c r="AX77" s="386"/>
      <c r="AY77" s="389"/>
      <c r="AZ77" s="384">
        <v>1419717.0</v>
      </c>
      <c r="BA77" s="385">
        <f t="shared" si="223"/>
        <v>0.05786892706</v>
      </c>
      <c r="BB77" s="386">
        <v>1504900.0</v>
      </c>
      <c r="BC77" s="385">
        <f t="shared" si="224"/>
        <v>0.06899918355</v>
      </c>
      <c r="BD77" s="386"/>
      <c r="BE77" s="389"/>
      <c r="BF77" s="384">
        <v>1419717.0</v>
      </c>
      <c r="BG77" s="385">
        <f t="shared" si="225"/>
        <v>0.0541367087</v>
      </c>
      <c r="BH77" s="386">
        <v>1504900.0</v>
      </c>
      <c r="BI77" s="385">
        <f t="shared" si="226"/>
        <v>0.07486417344</v>
      </c>
      <c r="BJ77" s="440"/>
      <c r="BK77" s="389"/>
      <c r="BL77" s="384">
        <v>1419717.0</v>
      </c>
      <c r="BM77" s="385">
        <f t="shared" si="227"/>
        <v>0.06576287805</v>
      </c>
      <c r="BN77" s="386">
        <v>1504900.0</v>
      </c>
      <c r="BO77" s="385">
        <f t="shared" si="228"/>
        <v>0.08177147142</v>
      </c>
      <c r="BP77" s="440"/>
      <c r="BQ77" s="389"/>
      <c r="BR77" s="392">
        <v>1653150.0</v>
      </c>
      <c r="BS77" s="385">
        <f t="shared" si="229"/>
        <v>0.07466073025</v>
      </c>
      <c r="BT77" s="386">
        <v>1504900.0</v>
      </c>
      <c r="BU77" s="385">
        <f t="shared" si="230"/>
        <v>0.0811043558</v>
      </c>
      <c r="BV77" s="440"/>
      <c r="BW77" s="389"/>
      <c r="BX77" s="213"/>
      <c r="BY77" s="213"/>
      <c r="BZ77" s="213"/>
      <c r="CA77" s="213"/>
      <c r="CB77" s="213"/>
      <c r="CC77" s="213"/>
      <c r="CD77" s="213"/>
      <c r="CE77" s="213"/>
      <c r="CF77" s="213"/>
      <c r="CG77" s="213"/>
      <c r="CH77" s="213"/>
      <c r="CI77" s="213"/>
      <c r="CJ77" s="213"/>
      <c r="CK77" s="213"/>
      <c r="CL77" s="213"/>
      <c r="CM77" s="213"/>
      <c r="CN77" s="213"/>
      <c r="CO77" s="213"/>
      <c r="CP77" s="213"/>
      <c r="CQ77" s="213"/>
    </row>
    <row r="78" ht="15.75" customHeight="1">
      <c r="A78" s="213"/>
      <c r="B78" s="393"/>
      <c r="C78" s="350" t="s">
        <v>262</v>
      </c>
      <c r="D78" s="351">
        <f>200970+128277</f>
        <v>329247</v>
      </c>
      <c r="E78" s="355">
        <f t="shared" si="208"/>
        <v>0.02086661898</v>
      </c>
      <c r="F78" s="353">
        <v>320000.0</v>
      </c>
      <c r="G78" s="355">
        <f t="shared" si="209"/>
        <v>0.02203268756</v>
      </c>
      <c r="H78" s="353">
        <f t="shared" si="231"/>
        <v>9247</v>
      </c>
      <c r="I78" s="394">
        <f t="shared" si="232"/>
        <v>0.028896875</v>
      </c>
      <c r="J78" s="351">
        <v>325441.0</v>
      </c>
      <c r="K78" s="355">
        <f t="shared" si="210"/>
        <v>0.02118409338</v>
      </c>
      <c r="L78" s="353">
        <v>320000.0</v>
      </c>
      <c r="M78" s="355">
        <f t="shared" si="211"/>
        <v>0.02400517182</v>
      </c>
      <c r="N78" s="352"/>
      <c r="O78" s="358"/>
      <c r="P78" s="351">
        <v>310917.0</v>
      </c>
      <c r="Q78" s="355">
        <f t="shared" si="233"/>
        <v>0.02277261872</v>
      </c>
      <c r="R78" s="353">
        <v>320000.0</v>
      </c>
      <c r="S78" s="355">
        <f t="shared" si="212"/>
        <v>0.02516188924</v>
      </c>
      <c r="T78" s="352"/>
      <c r="U78" s="358"/>
      <c r="V78" s="351">
        <v>213134.0</v>
      </c>
      <c r="W78" s="355">
        <f t="shared" si="213"/>
        <v>0.01470689</v>
      </c>
      <c r="X78" s="353">
        <v>320000.0</v>
      </c>
      <c r="Y78" s="355">
        <f t="shared" si="214"/>
        <v>0.02384292875</v>
      </c>
      <c r="Z78" s="352"/>
      <c r="AA78" s="358"/>
      <c r="AB78" s="351">
        <v>211120.0</v>
      </c>
      <c r="AC78" s="355">
        <f t="shared" si="215"/>
        <v>0.01373112223</v>
      </c>
      <c r="AD78" s="353">
        <v>320000.0</v>
      </c>
      <c r="AE78" s="355">
        <f t="shared" si="216"/>
        <v>0.02192318691</v>
      </c>
      <c r="AF78" s="352"/>
      <c r="AG78" s="358"/>
      <c r="AH78" s="351">
        <v>316987.0</v>
      </c>
      <c r="AI78" s="355">
        <f t="shared" si="217"/>
        <v>0.02278107702</v>
      </c>
      <c r="AJ78" s="353">
        <v>320000.0</v>
      </c>
      <c r="AK78" s="355">
        <f t="shared" si="218"/>
        <v>0.0227594625</v>
      </c>
      <c r="AL78" s="352"/>
      <c r="AM78" s="358"/>
      <c r="AN78" s="351">
        <v>315678.0</v>
      </c>
      <c r="AO78" s="355">
        <f t="shared" si="219"/>
        <v>0.01461843994</v>
      </c>
      <c r="AP78" s="353">
        <v>320000.0</v>
      </c>
      <c r="AQ78" s="355">
        <f t="shared" si="220"/>
        <v>0.01891367421</v>
      </c>
      <c r="AR78" s="359"/>
      <c r="AS78" s="358"/>
      <c r="AT78" s="351">
        <v>305059.0</v>
      </c>
      <c r="AU78" s="355">
        <f t="shared" si="221"/>
        <v>0.0126801178</v>
      </c>
      <c r="AV78" s="353">
        <v>320000.0</v>
      </c>
      <c r="AW78" s="355">
        <f t="shared" si="222"/>
        <v>0.0171285166</v>
      </c>
      <c r="AX78" s="353"/>
      <c r="AY78" s="358"/>
      <c r="AZ78" s="351">
        <v>306512.0</v>
      </c>
      <c r="BA78" s="355">
        <f t="shared" si="223"/>
        <v>0.01249370161</v>
      </c>
      <c r="BB78" s="353">
        <v>320000.0</v>
      </c>
      <c r="BC78" s="355">
        <f t="shared" si="224"/>
        <v>0.01467189763</v>
      </c>
      <c r="BD78" s="353"/>
      <c r="BE78" s="358"/>
      <c r="BF78" s="351">
        <v>332174.0</v>
      </c>
      <c r="BG78" s="355">
        <f t="shared" si="225"/>
        <v>0.01266647302</v>
      </c>
      <c r="BH78" s="353">
        <v>320000.0</v>
      </c>
      <c r="BI78" s="355">
        <f t="shared" si="226"/>
        <v>0.01591902153</v>
      </c>
      <c r="BJ78" s="352"/>
      <c r="BK78" s="358"/>
      <c r="BL78" s="351">
        <v>332174.0</v>
      </c>
      <c r="BM78" s="355">
        <f t="shared" si="227"/>
        <v>0.0153866709</v>
      </c>
      <c r="BN78" s="353">
        <v>320000.0</v>
      </c>
      <c r="BO78" s="355">
        <f t="shared" si="228"/>
        <v>0.01738778049</v>
      </c>
      <c r="BP78" s="352"/>
      <c r="BQ78" s="358"/>
      <c r="BR78" s="360">
        <v>287332.0</v>
      </c>
      <c r="BS78" s="355">
        <f t="shared" si="229"/>
        <v>0.01297669113</v>
      </c>
      <c r="BT78" s="353">
        <v>320000.0</v>
      </c>
      <c r="BU78" s="355">
        <f t="shared" si="230"/>
        <v>0.01724592588</v>
      </c>
      <c r="BV78" s="352"/>
      <c r="BW78" s="358"/>
      <c r="BX78" s="213"/>
      <c r="BY78" s="213"/>
      <c r="BZ78" s="213"/>
      <c r="CA78" s="213"/>
      <c r="CB78" s="213"/>
      <c r="CC78" s="213"/>
      <c r="CD78" s="213"/>
      <c r="CE78" s="213"/>
      <c r="CF78" s="213"/>
      <c r="CG78" s="213"/>
      <c r="CH78" s="213"/>
      <c r="CI78" s="213"/>
      <c r="CJ78" s="213"/>
      <c r="CK78" s="213"/>
      <c r="CL78" s="213"/>
      <c r="CM78" s="213"/>
      <c r="CN78" s="213"/>
      <c r="CO78" s="213"/>
      <c r="CP78" s="213"/>
      <c r="CQ78" s="213"/>
    </row>
    <row r="79" ht="15.75" customHeight="1">
      <c r="A79" s="213"/>
      <c r="B79" s="393"/>
      <c r="C79" s="350" t="s">
        <v>263</v>
      </c>
      <c r="D79" s="351">
        <f>11283+29260</f>
        <v>40543</v>
      </c>
      <c r="E79" s="355">
        <f t="shared" si="208"/>
        <v>0.00256948532</v>
      </c>
      <c r="F79" s="353">
        <v>10000.0</v>
      </c>
      <c r="G79" s="355">
        <f t="shared" si="209"/>
        <v>0.0006885214862</v>
      </c>
      <c r="H79" s="353">
        <f t="shared" si="231"/>
        <v>30543</v>
      </c>
      <c r="I79" s="394">
        <f t="shared" si="232"/>
        <v>3.0543</v>
      </c>
      <c r="J79" s="351">
        <f>12296+32300</f>
        <v>44596</v>
      </c>
      <c r="K79" s="355">
        <f t="shared" si="210"/>
        <v>0.002902909678</v>
      </c>
      <c r="L79" s="353">
        <v>8930.0</v>
      </c>
      <c r="M79" s="355">
        <f t="shared" si="211"/>
        <v>0.0006698943261</v>
      </c>
      <c r="N79" s="352"/>
      <c r="O79" s="358"/>
      <c r="P79" s="396">
        <f>13919+37240</f>
        <v>51159</v>
      </c>
      <c r="Q79" s="355">
        <f t="shared" si="233"/>
        <v>0.003747059186</v>
      </c>
      <c r="R79" s="353">
        <v>12500.0</v>
      </c>
      <c r="S79" s="355">
        <f t="shared" si="212"/>
        <v>0.0009828862983</v>
      </c>
      <c r="T79" s="352"/>
      <c r="U79" s="358"/>
      <c r="V79" s="396">
        <f>11383+31160</f>
        <v>42543</v>
      </c>
      <c r="W79" s="355">
        <f t="shared" si="213"/>
        <v>0.002935595547</v>
      </c>
      <c r="X79" s="353">
        <v>12500.0</v>
      </c>
      <c r="Y79" s="355">
        <f t="shared" si="214"/>
        <v>0.0009313644041</v>
      </c>
      <c r="Z79" s="352"/>
      <c r="AA79" s="358"/>
      <c r="AB79" s="351">
        <f>13313+38000</f>
        <v>51313</v>
      </c>
      <c r="AC79" s="355">
        <f t="shared" si="215"/>
        <v>0.003337367729</v>
      </c>
      <c r="AD79" s="353">
        <v>12500.0</v>
      </c>
      <c r="AE79" s="355">
        <f t="shared" si="216"/>
        <v>0.0008563744886</v>
      </c>
      <c r="AF79" s="352"/>
      <c r="AG79" s="358"/>
      <c r="AH79" s="396">
        <f>12602+38380</f>
        <v>50982</v>
      </c>
      <c r="AI79" s="355">
        <f t="shared" si="217"/>
        <v>0.003663951104</v>
      </c>
      <c r="AJ79" s="353"/>
      <c r="AK79" s="355">
        <f t="shared" si="218"/>
        <v>0</v>
      </c>
      <c r="AL79" s="352"/>
      <c r="AM79" s="358"/>
      <c r="AN79" s="396">
        <f>11683+35720</f>
        <v>47403</v>
      </c>
      <c r="AO79" s="355">
        <f t="shared" si="219"/>
        <v>0.002195141595</v>
      </c>
      <c r="AP79" s="353"/>
      <c r="AQ79" s="355">
        <f t="shared" si="220"/>
        <v>0</v>
      </c>
      <c r="AR79" s="359"/>
      <c r="AS79" s="358"/>
      <c r="AT79" s="396">
        <f>13006+34580</f>
        <v>47586</v>
      </c>
      <c r="AU79" s="355">
        <f t="shared" si="221"/>
        <v>0.001977965199</v>
      </c>
      <c r="AV79" s="353"/>
      <c r="AW79" s="355">
        <f t="shared" si="222"/>
        <v>0</v>
      </c>
      <c r="AX79" s="353"/>
      <c r="AY79" s="358"/>
      <c r="AZ79" s="396">
        <f>12089+39900</f>
        <v>51989</v>
      </c>
      <c r="BA79" s="355">
        <f t="shared" si="223"/>
        <v>0.002119117859</v>
      </c>
      <c r="BB79" s="353"/>
      <c r="BC79" s="355">
        <f t="shared" si="224"/>
        <v>0</v>
      </c>
      <c r="BD79" s="353"/>
      <c r="BE79" s="358"/>
      <c r="BF79" s="396">
        <f>12096+38380</f>
        <v>50476</v>
      </c>
      <c r="BG79" s="355">
        <f t="shared" si="225"/>
        <v>0.001924752967</v>
      </c>
      <c r="BH79" s="353"/>
      <c r="BI79" s="355">
        <f t="shared" si="226"/>
        <v>0</v>
      </c>
      <c r="BJ79" s="352"/>
      <c r="BK79" s="358"/>
      <c r="BL79" s="396">
        <f>12096+38000</f>
        <v>50096</v>
      </c>
      <c r="BM79" s="355">
        <f t="shared" si="227"/>
        <v>0.002320502705</v>
      </c>
      <c r="BN79" s="353"/>
      <c r="BO79" s="355">
        <f t="shared" si="228"/>
        <v>0</v>
      </c>
      <c r="BP79" s="352"/>
      <c r="BQ79" s="358"/>
      <c r="BR79" s="414">
        <f>12096+39900</f>
        <v>51996</v>
      </c>
      <c r="BS79" s="355">
        <f t="shared" si="229"/>
        <v>0.00234828015</v>
      </c>
      <c r="BT79" s="353"/>
      <c r="BU79" s="355">
        <f t="shared" si="230"/>
        <v>0</v>
      </c>
      <c r="BV79" s="352"/>
      <c r="BW79" s="358"/>
      <c r="BX79" s="213"/>
      <c r="BY79" s="213"/>
      <c r="BZ79" s="213"/>
      <c r="CA79" s="213"/>
      <c r="CB79" s="213"/>
      <c r="CC79" s="213"/>
      <c r="CD79" s="213"/>
      <c r="CE79" s="213"/>
      <c r="CF79" s="213"/>
      <c r="CG79" s="213"/>
      <c r="CH79" s="213"/>
      <c r="CI79" s="213"/>
      <c r="CJ79" s="213"/>
      <c r="CK79" s="213"/>
      <c r="CL79" s="213"/>
      <c r="CM79" s="213"/>
      <c r="CN79" s="213"/>
      <c r="CO79" s="213"/>
      <c r="CP79" s="213"/>
      <c r="CQ79" s="213"/>
    </row>
    <row r="80" ht="15.75" customHeight="1">
      <c r="A80" s="213"/>
      <c r="B80" s="393"/>
      <c r="C80" s="350" t="s">
        <v>264</v>
      </c>
      <c r="D80" s="351">
        <f>2513+(3318/3)+((3318/2)/3)</f>
        <v>4172</v>
      </c>
      <c r="E80" s="355">
        <f t="shared" si="208"/>
        <v>0.0002644079806</v>
      </c>
      <c r="F80" s="353">
        <v>2500.0</v>
      </c>
      <c r="G80" s="355">
        <f t="shared" si="209"/>
        <v>0.0001721303715</v>
      </c>
      <c r="H80" s="353">
        <f t="shared" si="231"/>
        <v>1672</v>
      </c>
      <c r="I80" s="394">
        <f t="shared" si="232"/>
        <v>0.6688</v>
      </c>
      <c r="J80" s="351">
        <f>2208+(3318/3)+((3318/2)/3)</f>
        <v>3867</v>
      </c>
      <c r="K80" s="355">
        <f t="shared" si="210"/>
        <v>0.0002517165603</v>
      </c>
      <c r="L80" s="353">
        <v>2193.5</v>
      </c>
      <c r="M80" s="355">
        <f t="shared" si="211"/>
        <v>0.0001645479512</v>
      </c>
      <c r="N80" s="352"/>
      <c r="O80" s="358"/>
      <c r="P80" s="351">
        <f>(3318/3)+((3318/2)/3)+2193</f>
        <v>3852</v>
      </c>
      <c r="Q80" s="355">
        <f t="shared" si="233"/>
        <v>0.0002821335832</v>
      </c>
      <c r="R80" s="353">
        <v>2500.0</v>
      </c>
      <c r="S80" s="355">
        <f t="shared" si="212"/>
        <v>0.0001965772597</v>
      </c>
      <c r="T80" s="352"/>
      <c r="U80" s="358"/>
      <c r="V80" s="351">
        <f>(3318/3)+((3318/2)/3)+2193</f>
        <v>3852</v>
      </c>
      <c r="W80" s="355">
        <f t="shared" si="213"/>
        <v>0.0002657996391</v>
      </c>
      <c r="X80" s="353">
        <v>2500.0</v>
      </c>
      <c r="Y80" s="355">
        <f t="shared" si="214"/>
        <v>0.0001862728808</v>
      </c>
      <c r="Z80" s="352"/>
      <c r="AA80" s="358"/>
      <c r="AB80" s="351">
        <f>(3318/3)+((3318/2)/3)+2193</f>
        <v>3852</v>
      </c>
      <c r="AC80" s="355">
        <f t="shared" si="215"/>
        <v>0.0002505318436</v>
      </c>
      <c r="AD80" s="353">
        <v>2500.0</v>
      </c>
      <c r="AE80" s="355">
        <f t="shared" si="216"/>
        <v>0.0001712748977</v>
      </c>
      <c r="AF80" s="352"/>
      <c r="AG80" s="358"/>
      <c r="AH80" s="351">
        <f>(3318/3)+((3318/2)/3)+2176</f>
        <v>3835</v>
      </c>
      <c r="AI80" s="355">
        <f t="shared" si="217"/>
        <v>0.0002756120294</v>
      </c>
      <c r="AJ80" s="353"/>
      <c r="AK80" s="355">
        <f t="shared" si="218"/>
        <v>0</v>
      </c>
      <c r="AL80" s="352"/>
      <c r="AM80" s="358"/>
      <c r="AN80" s="351">
        <v>2194.0</v>
      </c>
      <c r="AO80" s="355">
        <f t="shared" si="219"/>
        <v>0.0001015999127</v>
      </c>
      <c r="AP80" s="353"/>
      <c r="AQ80" s="355">
        <f t="shared" si="220"/>
        <v>0</v>
      </c>
      <c r="AR80" s="359"/>
      <c r="AS80" s="358"/>
      <c r="AT80" s="351">
        <v>2196.0</v>
      </c>
      <c r="AU80" s="355">
        <f t="shared" si="221"/>
        <v>0.00009127919088</v>
      </c>
      <c r="AV80" s="353">
        <v>2500.0</v>
      </c>
      <c r="AW80" s="355">
        <f t="shared" si="222"/>
        <v>0.0001338165359</v>
      </c>
      <c r="AX80" s="353"/>
      <c r="AY80" s="358"/>
      <c r="AZ80" s="351">
        <v>2196.0</v>
      </c>
      <c r="BA80" s="355">
        <f t="shared" si="223"/>
        <v>0.00008951091227</v>
      </c>
      <c r="BB80" s="353">
        <f>$AV$80</f>
        <v>2500</v>
      </c>
      <c r="BC80" s="355">
        <f t="shared" si="224"/>
        <v>0.0001146242002</v>
      </c>
      <c r="BD80" s="353"/>
      <c r="BE80" s="358"/>
      <c r="BF80" s="351">
        <v>1755.0</v>
      </c>
      <c r="BG80" s="355">
        <f t="shared" si="225"/>
        <v>0.00006692173424</v>
      </c>
      <c r="BH80" s="353">
        <f>$AV$80</f>
        <v>2500</v>
      </c>
      <c r="BI80" s="355">
        <f t="shared" si="226"/>
        <v>0.0001243673557</v>
      </c>
      <c r="BJ80" s="352"/>
      <c r="BK80" s="358"/>
      <c r="BL80" s="351">
        <v>2196.0</v>
      </c>
      <c r="BM80" s="355">
        <f t="shared" si="227"/>
        <v>0.0001017211741</v>
      </c>
      <c r="BN80" s="353">
        <f>$AV$80</f>
        <v>2500</v>
      </c>
      <c r="BO80" s="355">
        <f t="shared" si="228"/>
        <v>0.0001358420351</v>
      </c>
      <c r="BP80" s="352"/>
      <c r="BQ80" s="358"/>
      <c r="BR80" s="360">
        <v>7205.0</v>
      </c>
      <c r="BS80" s="355">
        <f t="shared" si="229"/>
        <v>0.0003253973091</v>
      </c>
      <c r="BT80" s="353">
        <f>$AV$80</f>
        <v>2500</v>
      </c>
      <c r="BU80" s="355">
        <f t="shared" si="230"/>
        <v>0.0001347337959</v>
      </c>
      <c r="BV80" s="352"/>
      <c r="BW80" s="358"/>
      <c r="BX80" s="213"/>
      <c r="BY80" s="213"/>
      <c r="BZ80" s="213"/>
      <c r="CA80" s="213"/>
      <c r="CB80" s="213"/>
      <c r="CC80" s="213"/>
      <c r="CD80" s="213"/>
      <c r="CE80" s="213"/>
      <c r="CF80" s="213"/>
      <c r="CG80" s="213"/>
      <c r="CH80" s="213"/>
      <c r="CI80" s="213"/>
      <c r="CJ80" s="213"/>
      <c r="CK80" s="213"/>
      <c r="CL80" s="213"/>
      <c r="CM80" s="213"/>
      <c r="CN80" s="213"/>
      <c r="CO80" s="213"/>
      <c r="CP80" s="213"/>
      <c r="CQ80" s="213"/>
    </row>
    <row r="81" ht="15.75" customHeight="1">
      <c r="A81" s="213"/>
      <c r="B81" s="403"/>
      <c r="C81" s="448"/>
      <c r="D81" s="363"/>
      <c r="E81" s="364"/>
      <c r="F81" s="365"/>
      <c r="G81" s="364"/>
      <c r="H81" s="365"/>
      <c r="I81" s="366"/>
      <c r="J81" s="363"/>
      <c r="K81" s="364"/>
      <c r="L81" s="365"/>
      <c r="M81" s="364"/>
      <c r="N81" s="364"/>
      <c r="O81" s="368"/>
      <c r="P81" s="363"/>
      <c r="Q81" s="364"/>
      <c r="R81" s="365"/>
      <c r="S81" s="364"/>
      <c r="T81" s="364"/>
      <c r="U81" s="368"/>
      <c r="V81" s="363"/>
      <c r="W81" s="364"/>
      <c r="X81" s="365"/>
      <c r="Y81" s="364"/>
      <c r="Z81" s="364"/>
      <c r="AA81" s="368"/>
      <c r="AB81" s="363"/>
      <c r="AC81" s="364"/>
      <c r="AD81" s="365"/>
      <c r="AE81" s="364"/>
      <c r="AF81" s="364"/>
      <c r="AG81" s="368"/>
      <c r="AH81" s="363"/>
      <c r="AI81" s="364"/>
      <c r="AJ81" s="365"/>
      <c r="AK81" s="364"/>
      <c r="AL81" s="364"/>
      <c r="AM81" s="368"/>
      <c r="AN81" s="363"/>
      <c r="AO81" s="364"/>
      <c r="AP81" s="365"/>
      <c r="AQ81" s="364"/>
      <c r="AR81" s="369"/>
      <c r="AS81" s="368"/>
      <c r="AT81" s="363"/>
      <c r="AU81" s="364"/>
      <c r="AV81" s="365"/>
      <c r="AW81" s="364"/>
      <c r="AX81" s="365"/>
      <c r="AY81" s="368"/>
      <c r="AZ81" s="363"/>
      <c r="BA81" s="364"/>
      <c r="BB81" s="365"/>
      <c r="BC81" s="364"/>
      <c r="BD81" s="365"/>
      <c r="BE81" s="368"/>
      <c r="BF81" s="363"/>
      <c r="BG81" s="364"/>
      <c r="BH81" s="365"/>
      <c r="BI81" s="364"/>
      <c r="BJ81" s="364"/>
      <c r="BK81" s="368"/>
      <c r="BL81" s="363"/>
      <c r="BM81" s="364"/>
      <c r="BN81" s="365"/>
      <c r="BO81" s="364"/>
      <c r="BP81" s="364"/>
      <c r="BQ81" s="368"/>
      <c r="BR81" s="370"/>
      <c r="BS81" s="364"/>
      <c r="BT81" s="365"/>
      <c r="BU81" s="364"/>
      <c r="BV81" s="364"/>
      <c r="BW81" s="368"/>
      <c r="BX81" s="213"/>
      <c r="BY81" s="213"/>
      <c r="BZ81" s="213"/>
      <c r="CA81" s="213"/>
      <c r="CB81" s="213"/>
      <c r="CC81" s="213"/>
      <c r="CD81" s="213"/>
      <c r="CE81" s="213"/>
      <c r="CF81" s="213"/>
      <c r="CG81" s="213"/>
      <c r="CH81" s="213"/>
      <c r="CI81" s="213"/>
      <c r="CJ81" s="213"/>
      <c r="CK81" s="213"/>
      <c r="CL81" s="213"/>
      <c r="CM81" s="213"/>
      <c r="CN81" s="213"/>
      <c r="CO81" s="213"/>
      <c r="CP81" s="213"/>
      <c r="CQ81" s="213"/>
    </row>
    <row r="82" ht="15.75" customHeight="1">
      <c r="A82" s="213"/>
      <c r="B82" s="407"/>
      <c r="C82" s="447" t="s">
        <v>38</v>
      </c>
      <c r="D82" s="373">
        <f>SUM(D83:D89)</f>
        <v>5192469.557</v>
      </c>
      <c r="E82" s="374">
        <f>D82/D$31</f>
        <v>0.3290820685</v>
      </c>
      <c r="F82" s="375">
        <f>SUM(F83:F89)</f>
        <v>5200688.717</v>
      </c>
      <c r="G82" s="374">
        <f>F82/F$31</f>
        <v>0.3580785924</v>
      </c>
      <c r="H82" s="375">
        <f>SUM(H83:H89)</f>
        <v>-8219.16</v>
      </c>
      <c r="I82" s="376">
        <f>H82/H$31</f>
        <v>-0.00655032523</v>
      </c>
      <c r="J82" s="373">
        <f>SUM(J83:J89)</f>
        <v>5167716.157</v>
      </c>
      <c r="K82" s="374">
        <f>J82/J$31</f>
        <v>0.3363847261</v>
      </c>
      <c r="L82" s="375">
        <f>SUM(L83:L89)</f>
        <v>5186540.577</v>
      </c>
      <c r="M82" s="374">
        <f>L82/L$31</f>
        <v>0.3890743678</v>
      </c>
      <c r="N82" s="408">
        <f>SUM(N83:N88)</f>
        <v>0</v>
      </c>
      <c r="O82" s="378"/>
      <c r="P82" s="373">
        <f>SUM(P83:P89)</f>
        <v>5173410.817</v>
      </c>
      <c r="Q82" s="374">
        <f>P82/P$31</f>
        <v>0.3789182064</v>
      </c>
      <c r="R82" s="375">
        <f>SUM(R83:R89)</f>
        <v>5262292.577</v>
      </c>
      <c r="S82" s="374">
        <f>R82/R$31</f>
        <v>0.4137788217</v>
      </c>
      <c r="T82" s="408">
        <f>SUM(T83:T88)</f>
        <v>0</v>
      </c>
      <c r="U82" s="378"/>
      <c r="V82" s="373">
        <f>SUM(V83:V89)</f>
        <v>5194668.301</v>
      </c>
      <c r="W82" s="374">
        <f t="shared" ref="W82:W88" si="234">V82/V$31</f>
        <v>0.3584478088</v>
      </c>
      <c r="X82" s="375">
        <f>SUM(X83:X89)</f>
        <v>5195964.577</v>
      </c>
      <c r="Y82" s="374">
        <f>X82/X$31</f>
        <v>0.3871469162</v>
      </c>
      <c r="Z82" s="408">
        <f>SUM(Z83:Z88)</f>
        <v>0</v>
      </c>
      <c r="AA82" s="378"/>
      <c r="AB82" s="373">
        <f>SUM(AB83:AB89)</f>
        <v>5324960.865</v>
      </c>
      <c r="AC82" s="374">
        <f>AB82/AB$31</f>
        <v>0.346332363</v>
      </c>
      <c r="AD82" s="375">
        <f>SUM(AD83:AD89)</f>
        <v>5266655.777</v>
      </c>
      <c r="AE82" s="374">
        <f>AD82/AD$31</f>
        <v>0.3608183718</v>
      </c>
      <c r="AF82" s="408">
        <f>SUM(AF83:AF88)</f>
        <v>0</v>
      </c>
      <c r="AG82" s="378"/>
      <c r="AH82" s="373">
        <f>SUM(AH83:AH89)</f>
        <v>5164915.017</v>
      </c>
      <c r="AI82" s="374">
        <f>AH82/AH$31</f>
        <v>0.3711897547</v>
      </c>
      <c r="AJ82" s="375">
        <f>SUM(AJ83:AJ89)</f>
        <v>5234395.777</v>
      </c>
      <c r="AK82" s="374">
        <f>AJ82/AJ$31</f>
        <v>0.3722876074</v>
      </c>
      <c r="AL82" s="408">
        <f>SUM(AL83:AL88)</f>
        <v>0</v>
      </c>
      <c r="AM82" s="378"/>
      <c r="AN82" s="373">
        <f>SUM(AN83:AN89)</f>
        <v>5612045.647</v>
      </c>
      <c r="AO82" s="374">
        <f t="shared" ref="AO82:AO89" si="235">AN82/AN$31</f>
        <v>0.2598830208</v>
      </c>
      <c r="AP82" s="375">
        <f>SUM(AP83:AP89)</f>
        <v>4388683.777</v>
      </c>
      <c r="AQ82" s="374">
        <f>AP82/AP$31</f>
        <v>0.2593941724</v>
      </c>
      <c r="AR82" s="380">
        <f>SUM(AR83:AR88)</f>
        <v>0</v>
      </c>
      <c r="AS82" s="378"/>
      <c r="AT82" s="373">
        <f>SUM(AT83:AT90)</f>
        <v>5266901.517</v>
      </c>
      <c r="AU82" s="374">
        <f t="shared" ref="AU82:AU89" si="236">AT82/AT$31</f>
        <v>0.2189246398</v>
      </c>
      <c r="AV82" s="375">
        <f>SUM(AV83:AV89)</f>
        <v>4388683.777</v>
      </c>
      <c r="AW82" s="374">
        <f>AV82/AV$31</f>
        <v>0.2349113841</v>
      </c>
      <c r="AX82" s="375">
        <f>SUM(AX83:AX88)</f>
        <v>0</v>
      </c>
      <c r="AY82" s="378"/>
      <c r="AZ82" s="373">
        <f>SUM(AZ83:AZ89)</f>
        <v>5490794.947</v>
      </c>
      <c r="BA82" s="374">
        <f t="shared" ref="BA82:BA89" si="237">AZ82/AZ$31</f>
        <v>0.2238096834</v>
      </c>
      <c r="BB82" s="375">
        <f>SUM(BB83:BB90)</f>
        <v>4388683.777</v>
      </c>
      <c r="BC82" s="374">
        <f>BB82/BB$31</f>
        <v>0.2012197471</v>
      </c>
      <c r="BD82" s="375">
        <f>SUM(BD83:BD90)</f>
        <v>0</v>
      </c>
      <c r="BE82" s="378"/>
      <c r="BF82" s="373">
        <f>SUM(BF83:BF90)</f>
        <v>5630611.597</v>
      </c>
      <c r="BG82" s="374">
        <f t="shared" ref="BG82:BG89" si="238">BF82/BF$31</f>
        <v>0.2147067196</v>
      </c>
      <c r="BH82" s="375">
        <f>SUM(BH83:BH90)</f>
        <v>4388683.777</v>
      </c>
      <c r="BI82" s="374">
        <f>BH82/BH$31</f>
        <v>0.2183235985</v>
      </c>
      <c r="BJ82" s="377">
        <f>SUM(BJ83:BJ90)</f>
        <v>0</v>
      </c>
      <c r="BK82" s="378"/>
      <c r="BL82" s="373">
        <f>SUM(BL83:BL90)</f>
        <v>5047880.317</v>
      </c>
      <c r="BM82" s="374">
        <f t="shared" ref="BM82:BM89" si="239">BL82/BL$31</f>
        <v>0.2338234575</v>
      </c>
      <c r="BN82" s="375">
        <f>SUM(BN83:BN90)</f>
        <v>4388683.777</v>
      </c>
      <c r="BO82" s="374">
        <f>BN82/BN$31</f>
        <v>0.2384670942</v>
      </c>
      <c r="BP82" s="377">
        <f>SUM(BP83:BP90)</f>
        <v>0</v>
      </c>
      <c r="BQ82" s="378"/>
      <c r="BR82" s="381">
        <f>SUM(BR83:BR90)</f>
        <v>5637193.647</v>
      </c>
      <c r="BS82" s="374">
        <f>BR82/BR$31</f>
        <v>0.254590929</v>
      </c>
      <c r="BT82" s="375">
        <f>SUM(BT83:BT90)</f>
        <v>4388683.777</v>
      </c>
      <c r="BU82" s="374">
        <f>BT82/BT$31</f>
        <v>0.2365216097</v>
      </c>
      <c r="BV82" s="377">
        <f>SUM(BV83:BV90)</f>
        <v>0</v>
      </c>
      <c r="BW82" s="378"/>
      <c r="BX82" s="328">
        <f>SUM(D82,J82,P82,V82,AB82,AH82,AN82,AT82,AZ82,BF82,BL82,BR82)</f>
        <v>63903568.38</v>
      </c>
      <c r="BY82" s="216"/>
      <c r="BZ82" s="216"/>
      <c r="CA82" s="216"/>
      <c r="CB82" s="216"/>
      <c r="CC82" s="216"/>
      <c r="CD82" s="216"/>
      <c r="CE82" s="216"/>
      <c r="CF82" s="216"/>
      <c r="CG82" s="216"/>
      <c r="CH82" s="216"/>
      <c r="CI82" s="216"/>
      <c r="CJ82" s="216"/>
      <c r="CK82" s="216"/>
      <c r="CL82" s="216"/>
      <c r="CM82" s="216"/>
      <c r="CN82" s="216"/>
      <c r="CO82" s="216"/>
      <c r="CP82" s="216"/>
      <c r="CQ82" s="216"/>
    </row>
    <row r="83" ht="15.75" customHeight="1">
      <c r="A83" s="213"/>
      <c r="B83" s="444"/>
      <c r="C83" s="383" t="s">
        <v>265</v>
      </c>
      <c r="D83" s="384">
        <f>3705194+1125000</f>
        <v>4830194</v>
      </c>
      <c r="E83" s="385">
        <f t="shared" ref="E83:E88" si="240">D83/$F$31</f>
        <v>0.3325692351</v>
      </c>
      <c r="F83" s="386">
        <f>2627120+1327500+(0.8*F30)</f>
        <v>4828228.8</v>
      </c>
      <c r="G83" s="385">
        <f t="shared" ref="G83:G88" si="241">F83/$F$31</f>
        <v>0.3324339269</v>
      </c>
      <c r="H83" s="386">
        <f t="shared" ref="H83:H88" si="242">D83-F83</f>
        <v>1965.2</v>
      </c>
      <c r="I83" s="387">
        <f t="shared" ref="I83:I89" si="243">IFERROR((H83/F83),"")</f>
        <v>0.0004070229646</v>
      </c>
      <c r="J83" s="384">
        <f>3633265+875000+295000</f>
        <v>4803265</v>
      </c>
      <c r="K83" s="385">
        <f t="shared" ref="K83:K88" si="244">J83/$F$31</f>
        <v>0.3307151156</v>
      </c>
      <c r="L83" s="386">
        <f>4016223.86+(0.8*L30)</f>
        <v>4814080.66</v>
      </c>
      <c r="M83" s="385">
        <f t="shared" ref="M83:M88" si="245">L83/$F$31</f>
        <v>0.3314597971</v>
      </c>
      <c r="N83" s="440"/>
      <c r="O83" s="389"/>
      <c r="P83" s="384">
        <f>3448053+1327500</f>
        <v>4775553</v>
      </c>
      <c r="Q83" s="385">
        <f t="shared" ref="Q83:Q89" si="246">IFERROR(P83/P$31,)</f>
        <v>0.3497777466</v>
      </c>
      <c r="R83" s="386">
        <f>4016223.86+(0.8*R30)</f>
        <v>4889832.66</v>
      </c>
      <c r="S83" s="385">
        <f t="shared" ref="S83:S88" si="247">R83/$F$31</f>
        <v>0.336675485</v>
      </c>
      <c r="T83" s="440"/>
      <c r="U83" s="389"/>
      <c r="V83" s="384">
        <f>3503108+1327500</f>
        <v>4830608</v>
      </c>
      <c r="W83" s="385">
        <f t="shared" si="234"/>
        <v>0.333326548</v>
      </c>
      <c r="X83" s="386">
        <f>4016223.86+(0.8*X30)</f>
        <v>4823504.66</v>
      </c>
      <c r="Y83" s="385">
        <f t="shared" ref="Y83:Y88" si="248">X83/$F$31</f>
        <v>0.3321086597</v>
      </c>
      <c r="Z83" s="440"/>
      <c r="AA83" s="389"/>
      <c r="AB83" s="384">
        <f>3611879+1327500</f>
        <v>4939379</v>
      </c>
      <c r="AC83" s="385">
        <f t="shared" ref="AC83:AC88" si="249">AB83/$F$31</f>
        <v>0.340086857</v>
      </c>
      <c r="AD83" s="386">
        <f>4016223.86+(0.8*AD30)</f>
        <v>4894195.86</v>
      </c>
      <c r="AE83" s="385">
        <f t="shared" ref="AE83:AE88" si="250">AD83/$F$31</f>
        <v>0.3369759007</v>
      </c>
      <c r="AF83" s="440"/>
      <c r="AG83" s="389"/>
      <c r="AH83" s="384">
        <f>3473339+1327500</f>
        <v>4800839</v>
      </c>
      <c r="AI83" s="385">
        <f>AH83/$F$31</f>
        <v>0.3305480803</v>
      </c>
      <c r="AJ83" s="386">
        <f>4016223.86+(0.8*AJ30)</f>
        <v>4861935.86</v>
      </c>
      <c r="AK83" s="385">
        <f t="shared" ref="AK83:AK88" si="251">AJ83/$F$31</f>
        <v>0.3347547304</v>
      </c>
      <c r="AL83" s="440"/>
      <c r="AM83" s="389"/>
      <c r="AN83" s="384">
        <f>3887169+1327500</f>
        <v>5214669</v>
      </c>
      <c r="AO83" s="385">
        <f t="shared" si="235"/>
        <v>0.2414812739</v>
      </c>
      <c r="AP83" s="386">
        <v>4016223.86</v>
      </c>
      <c r="AQ83" s="385">
        <f t="shared" ref="AQ83:AQ88" si="252">AP83/$F$31</f>
        <v>0.2765256421</v>
      </c>
      <c r="AR83" s="391"/>
      <c r="AS83" s="389"/>
      <c r="AT83" s="384">
        <f>4188260+(1327500/2)</f>
        <v>4852010</v>
      </c>
      <c r="AU83" s="385">
        <f t="shared" si="236"/>
        <v>0.2016792108</v>
      </c>
      <c r="AV83" s="386">
        <v>4016223.86</v>
      </c>
      <c r="AW83" s="385">
        <f t="shared" ref="AW83:AW88" si="253">AV83/$F$31</f>
        <v>0.2765256421</v>
      </c>
      <c r="AX83" s="386"/>
      <c r="AY83" s="389"/>
      <c r="AZ83" s="384">
        <f>4346123+(1327500/2)</f>
        <v>5009873</v>
      </c>
      <c r="BA83" s="385">
        <f t="shared" si="237"/>
        <v>0.2042068773</v>
      </c>
      <c r="BB83" s="386">
        <v>4016223.86</v>
      </c>
      <c r="BC83" s="385">
        <f t="shared" ref="BC83:BC88" si="254">BB83/$F$31</f>
        <v>0.2765256421</v>
      </c>
      <c r="BD83" s="386"/>
      <c r="BE83" s="389"/>
      <c r="BF83" s="384">
        <f>4443030++(1327500/2)</f>
        <v>5106780</v>
      </c>
      <c r="BG83" s="385">
        <f t="shared" si="238"/>
        <v>0.194731951</v>
      </c>
      <c r="BH83" s="386">
        <v>4016223.86</v>
      </c>
      <c r="BI83" s="385">
        <f t="shared" ref="BI83:BI88" si="255">BH83/$F$31</f>
        <v>0.2765256421</v>
      </c>
      <c r="BJ83" s="440"/>
      <c r="BK83" s="389"/>
      <c r="BL83" s="384">
        <f>1327500/2+3942932</f>
        <v>4606682</v>
      </c>
      <c r="BM83" s="385">
        <f t="shared" si="239"/>
        <v>0.2133866585</v>
      </c>
      <c r="BN83" s="386">
        <v>4016223.86</v>
      </c>
      <c r="BO83" s="385">
        <f t="shared" ref="BO83:BO88" si="256">BN83/$F$31</f>
        <v>0.2765256421</v>
      </c>
      <c r="BP83" s="440"/>
      <c r="BQ83" s="389"/>
      <c r="BR83" s="392">
        <f>1327500/2+3964248</f>
        <v>4627998</v>
      </c>
      <c r="BS83" s="385">
        <f t="shared" ref="BS83:BS89" si="257">BR83/$F$31</f>
        <v>0.3186476061</v>
      </c>
      <c r="BT83" s="386">
        <v>4016223.86</v>
      </c>
      <c r="BU83" s="385">
        <f t="shared" ref="BU83:BU89" si="258">BT83/$F$31</f>
        <v>0.2765256421</v>
      </c>
      <c r="BV83" s="440"/>
      <c r="BW83" s="389"/>
      <c r="BX83" s="213"/>
      <c r="BY83" s="213"/>
      <c r="BZ83" s="213"/>
      <c r="CA83" s="213"/>
      <c r="CB83" s="213"/>
      <c r="CC83" s="213"/>
      <c r="CD83" s="213"/>
      <c r="CE83" s="213"/>
      <c r="CF83" s="213"/>
      <c r="CG83" s="213"/>
      <c r="CH83" s="213"/>
      <c r="CI83" s="213"/>
      <c r="CJ83" s="213"/>
      <c r="CK83" s="213"/>
      <c r="CL83" s="213"/>
      <c r="CM83" s="213"/>
      <c r="CN83" s="213"/>
      <c r="CO83" s="213"/>
      <c r="CP83" s="213"/>
      <c r="CQ83" s="213"/>
    </row>
    <row r="84" ht="15.75" customHeight="1">
      <c r="A84" s="213"/>
      <c r="B84" s="393"/>
      <c r="C84" s="350" t="s">
        <v>266</v>
      </c>
      <c r="D84" s="351">
        <f>260+3000</f>
        <v>3260</v>
      </c>
      <c r="E84" s="355">
        <f t="shared" si="240"/>
        <v>0.0002244580045</v>
      </c>
      <c r="F84" s="353"/>
      <c r="G84" s="355">
        <f t="shared" si="241"/>
        <v>0</v>
      </c>
      <c r="H84" s="353">
        <f t="shared" si="242"/>
        <v>3260</v>
      </c>
      <c r="I84" s="394" t="str">
        <f t="shared" si="243"/>
        <v/>
      </c>
      <c r="J84" s="351">
        <v>3000.0</v>
      </c>
      <c r="K84" s="355">
        <f t="shared" si="244"/>
        <v>0.0002065564459</v>
      </c>
      <c r="L84" s="353"/>
      <c r="M84" s="355">
        <f t="shared" si="245"/>
        <v>0</v>
      </c>
      <c r="N84" s="352"/>
      <c r="O84" s="358"/>
      <c r="P84" s="351"/>
      <c r="Q84" s="355">
        <f t="shared" si="246"/>
        <v>0</v>
      </c>
      <c r="R84" s="353"/>
      <c r="S84" s="355">
        <f t="shared" si="247"/>
        <v>0</v>
      </c>
      <c r="T84" s="352"/>
      <c r="U84" s="358"/>
      <c r="V84" s="351"/>
      <c r="W84" s="355">
        <f t="shared" si="234"/>
        <v>0</v>
      </c>
      <c r="X84" s="353"/>
      <c r="Y84" s="355">
        <f t="shared" si="248"/>
        <v>0</v>
      </c>
      <c r="Z84" s="352"/>
      <c r="AA84" s="358"/>
      <c r="AB84" s="351">
        <v>16835.0</v>
      </c>
      <c r="AC84" s="355">
        <f t="shared" si="249"/>
        <v>0.001159125922</v>
      </c>
      <c r="AD84" s="353"/>
      <c r="AE84" s="355">
        <f t="shared" si="250"/>
        <v>0</v>
      </c>
      <c r="AF84" s="352"/>
      <c r="AG84" s="358"/>
      <c r="AH84" s="351">
        <v>399.0</v>
      </c>
      <c r="AI84" s="352"/>
      <c r="AJ84" s="353"/>
      <c r="AK84" s="355">
        <f t="shared" si="251"/>
        <v>0</v>
      </c>
      <c r="AL84" s="352"/>
      <c r="AM84" s="358"/>
      <c r="AN84" s="351">
        <v>220.0</v>
      </c>
      <c r="AO84" s="355">
        <f t="shared" si="235"/>
        <v>0.00001018777611</v>
      </c>
      <c r="AP84" s="353"/>
      <c r="AQ84" s="355">
        <f t="shared" si="252"/>
        <v>0</v>
      </c>
      <c r="AR84" s="359"/>
      <c r="AS84" s="358"/>
      <c r="AT84" s="351">
        <v>1160.0</v>
      </c>
      <c r="AU84" s="355">
        <f t="shared" si="236"/>
        <v>0.00004821669464</v>
      </c>
      <c r="AV84" s="353"/>
      <c r="AW84" s="355">
        <f t="shared" si="253"/>
        <v>0</v>
      </c>
      <c r="AX84" s="353"/>
      <c r="AY84" s="358"/>
      <c r="AZ84" s="351">
        <v>6182.0</v>
      </c>
      <c r="BA84" s="355">
        <f t="shared" si="237"/>
        <v>0.0002519838159</v>
      </c>
      <c r="BB84" s="353"/>
      <c r="BC84" s="355">
        <f t="shared" si="254"/>
        <v>0</v>
      </c>
      <c r="BD84" s="353"/>
      <c r="BE84" s="358"/>
      <c r="BF84" s="351">
        <f>88465+9450</f>
        <v>97915</v>
      </c>
      <c r="BG84" s="355">
        <f t="shared" si="238"/>
        <v>0.003733698922</v>
      </c>
      <c r="BH84" s="353"/>
      <c r="BI84" s="355">
        <f t="shared" si="255"/>
        <v>0</v>
      </c>
      <c r="BJ84" s="352"/>
      <c r="BK84" s="358"/>
      <c r="BL84" s="351"/>
      <c r="BM84" s="355">
        <f t="shared" si="239"/>
        <v>0</v>
      </c>
      <c r="BN84" s="353"/>
      <c r="BO84" s="355">
        <f t="shared" si="256"/>
        <v>0</v>
      </c>
      <c r="BP84" s="352"/>
      <c r="BQ84" s="358"/>
      <c r="BR84" s="360">
        <v>7386.0</v>
      </c>
      <c r="BS84" s="355">
        <f t="shared" si="257"/>
        <v>0.0005085419697</v>
      </c>
      <c r="BT84" s="353"/>
      <c r="BU84" s="355">
        <f t="shared" si="258"/>
        <v>0</v>
      </c>
      <c r="BV84" s="352"/>
      <c r="BW84" s="358"/>
      <c r="BX84" s="213"/>
      <c r="BY84" s="213"/>
      <c r="BZ84" s="213"/>
      <c r="CA84" s="213"/>
      <c r="CB84" s="213"/>
      <c r="CC84" s="213"/>
      <c r="CD84" s="213"/>
      <c r="CE84" s="213"/>
      <c r="CF84" s="213"/>
      <c r="CG84" s="213"/>
      <c r="CH84" s="213"/>
      <c r="CI84" s="213"/>
      <c r="CJ84" s="213"/>
      <c r="CK84" s="213"/>
      <c r="CL84" s="213"/>
      <c r="CM84" s="213"/>
      <c r="CN84" s="213"/>
      <c r="CO84" s="213"/>
      <c r="CP84" s="213"/>
      <c r="CQ84" s="213"/>
    </row>
    <row r="85" ht="15.75" customHeight="1">
      <c r="A85" s="213"/>
      <c r="B85" s="393"/>
      <c r="C85" s="350" t="s">
        <v>267</v>
      </c>
      <c r="D85" s="351">
        <v>91055.64</v>
      </c>
      <c r="E85" s="355">
        <f t="shared" si="240"/>
        <v>0.006269376458</v>
      </c>
      <c r="F85" s="353">
        <v>100000.0</v>
      </c>
      <c r="G85" s="355">
        <f t="shared" si="241"/>
        <v>0.006885214862</v>
      </c>
      <c r="H85" s="353">
        <f t="shared" si="242"/>
        <v>-8944.36</v>
      </c>
      <c r="I85" s="394">
        <f t="shared" si="243"/>
        <v>-0.0894436</v>
      </c>
      <c r="J85" s="351">
        <v>93251.24</v>
      </c>
      <c r="K85" s="355">
        <f t="shared" si="244"/>
        <v>0.006420548235</v>
      </c>
      <c r="L85" s="353">
        <v>100000.0</v>
      </c>
      <c r="M85" s="355">
        <f t="shared" si="245"/>
        <v>0.006885214862</v>
      </c>
      <c r="N85" s="352"/>
      <c r="O85" s="358"/>
      <c r="P85" s="351">
        <v>85413.9</v>
      </c>
      <c r="Q85" s="355">
        <f t="shared" si="246"/>
        <v>0.006256004586</v>
      </c>
      <c r="R85" s="353">
        <v>100000.0</v>
      </c>
      <c r="S85" s="355">
        <f t="shared" si="247"/>
        <v>0.006885214862</v>
      </c>
      <c r="T85" s="352"/>
      <c r="U85" s="358"/>
      <c r="V85" s="351">
        <v>95447.384423077</v>
      </c>
      <c r="W85" s="355">
        <f t="shared" si="234"/>
        <v>0.006586157926</v>
      </c>
      <c r="X85" s="353">
        <v>100000.0</v>
      </c>
      <c r="Y85" s="355">
        <f t="shared" si="248"/>
        <v>0.006885214862</v>
      </c>
      <c r="Z85" s="352"/>
      <c r="AA85" s="358"/>
      <c r="AB85" s="351">
        <v>87280.9478703705</v>
      </c>
      <c r="AC85" s="355">
        <f t="shared" si="249"/>
        <v>0.006009480794</v>
      </c>
      <c r="AD85" s="353">
        <v>100000.0</v>
      </c>
      <c r="AE85" s="355">
        <f t="shared" si="250"/>
        <v>0.006885214862</v>
      </c>
      <c r="AF85" s="352"/>
      <c r="AG85" s="358"/>
      <c r="AH85" s="351">
        <v>86017.1</v>
      </c>
      <c r="AI85" s="355">
        <f t="shared" ref="AI85:AI87" si="259">AH85/$F$31</f>
        <v>0.005922462153</v>
      </c>
      <c r="AJ85" s="353">
        <v>100000.0</v>
      </c>
      <c r="AK85" s="355">
        <f t="shared" si="251"/>
        <v>0.006885214862</v>
      </c>
      <c r="AL85" s="352"/>
      <c r="AM85" s="358"/>
      <c r="AN85" s="351">
        <v>93573.73</v>
      </c>
      <c r="AO85" s="355">
        <f t="shared" si="235"/>
        <v>0.004333219141</v>
      </c>
      <c r="AP85" s="353">
        <v>100000.0</v>
      </c>
      <c r="AQ85" s="355">
        <f t="shared" si="252"/>
        <v>0.006885214862</v>
      </c>
      <c r="AR85" s="359"/>
      <c r="AS85" s="358"/>
      <c r="AT85" s="351">
        <v>116276.6</v>
      </c>
      <c r="AU85" s="355">
        <f t="shared" si="236"/>
        <v>0.004833166651</v>
      </c>
      <c r="AV85" s="353">
        <v>100000.0</v>
      </c>
      <c r="AW85" s="355">
        <f t="shared" si="253"/>
        <v>0.006885214862</v>
      </c>
      <c r="AX85" s="353"/>
      <c r="AY85" s="358"/>
      <c r="AZ85" s="351">
        <v>89350.03</v>
      </c>
      <c r="BA85" s="355">
        <f t="shared" si="237"/>
        <v>0.003641986656</v>
      </c>
      <c r="BB85" s="353">
        <v>100000.0</v>
      </c>
      <c r="BC85" s="355">
        <f t="shared" si="254"/>
        <v>0.006885214862</v>
      </c>
      <c r="BD85" s="353"/>
      <c r="BE85" s="358"/>
      <c r="BF85" s="351">
        <v>97117.68</v>
      </c>
      <c r="BG85" s="355">
        <f t="shared" si="238"/>
        <v>0.003703295482</v>
      </c>
      <c r="BH85" s="353">
        <v>100000.0</v>
      </c>
      <c r="BI85" s="355">
        <f t="shared" si="255"/>
        <v>0.006885214862</v>
      </c>
      <c r="BJ85" s="352"/>
      <c r="BK85" s="358"/>
      <c r="BL85" s="396">
        <v>173360.4</v>
      </c>
      <c r="BM85" s="355">
        <f t="shared" si="239"/>
        <v>0.008030247467</v>
      </c>
      <c r="BN85" s="353">
        <v>100000.0</v>
      </c>
      <c r="BO85" s="355">
        <f t="shared" si="256"/>
        <v>0.006885214862</v>
      </c>
      <c r="BP85" s="352"/>
      <c r="BQ85" s="358"/>
      <c r="BR85" s="414">
        <v>131103.5</v>
      </c>
      <c r="BS85" s="355">
        <f t="shared" si="257"/>
        <v>0.009026757666</v>
      </c>
      <c r="BT85" s="353">
        <v>100000.0</v>
      </c>
      <c r="BU85" s="355">
        <f t="shared" si="258"/>
        <v>0.006885214862</v>
      </c>
      <c r="BV85" s="352"/>
      <c r="BW85" s="358"/>
      <c r="BX85" s="213"/>
      <c r="BY85" s="213"/>
      <c r="BZ85" s="213"/>
      <c r="CA85" s="213"/>
      <c r="CB85" s="213"/>
      <c r="CC85" s="213"/>
      <c r="CD85" s="213"/>
      <c r="CE85" s="213"/>
      <c r="CF85" s="213"/>
      <c r="CG85" s="213"/>
      <c r="CH85" s="213"/>
      <c r="CI85" s="213"/>
      <c r="CJ85" s="213"/>
      <c r="CK85" s="213"/>
      <c r="CL85" s="213"/>
      <c r="CM85" s="213"/>
      <c r="CN85" s="213"/>
      <c r="CO85" s="213"/>
      <c r="CP85" s="213"/>
      <c r="CQ85" s="213"/>
    </row>
    <row r="86" ht="15.75" customHeight="1">
      <c r="A86" s="213"/>
      <c r="B86" s="393"/>
      <c r="C86" s="350" t="s">
        <v>268</v>
      </c>
      <c r="D86" s="351">
        <v>94400.0</v>
      </c>
      <c r="E86" s="355">
        <f t="shared" si="240"/>
        <v>0.006499642829</v>
      </c>
      <c r="F86" s="353">
        <f>80000*1.18</f>
        <v>94400</v>
      </c>
      <c r="G86" s="355">
        <f t="shared" si="241"/>
        <v>0.006499642829</v>
      </c>
      <c r="H86" s="353">
        <f t="shared" si="242"/>
        <v>0</v>
      </c>
      <c r="I86" s="394">
        <f t="shared" si="243"/>
        <v>0</v>
      </c>
      <c r="J86" s="351">
        <v>94400.0</v>
      </c>
      <c r="K86" s="355">
        <f t="shared" si="244"/>
        <v>0.006499642829</v>
      </c>
      <c r="L86" s="353">
        <f>80000*1.18</f>
        <v>94400</v>
      </c>
      <c r="M86" s="355">
        <f t="shared" si="245"/>
        <v>0.006499642829</v>
      </c>
      <c r="N86" s="352"/>
      <c r="O86" s="358"/>
      <c r="P86" s="351">
        <v>94400.0</v>
      </c>
      <c r="Q86" s="355">
        <f t="shared" si="246"/>
        <v>0.006914177117</v>
      </c>
      <c r="R86" s="353">
        <f>80000*1.18</f>
        <v>94400</v>
      </c>
      <c r="S86" s="355">
        <f t="shared" si="247"/>
        <v>0.006499642829</v>
      </c>
      <c r="T86" s="352"/>
      <c r="U86" s="358"/>
      <c r="V86" s="351">
        <v>94400.0</v>
      </c>
      <c r="W86" s="355">
        <f t="shared" si="234"/>
        <v>0.006513885237</v>
      </c>
      <c r="X86" s="353">
        <f>80000*1.18</f>
        <v>94400</v>
      </c>
      <c r="Y86" s="355">
        <f t="shared" si="248"/>
        <v>0.006499642829</v>
      </c>
      <c r="Z86" s="352"/>
      <c r="AA86" s="358"/>
      <c r="AB86" s="351">
        <f>94400</f>
        <v>94400</v>
      </c>
      <c r="AC86" s="355">
        <f t="shared" si="249"/>
        <v>0.006499642829</v>
      </c>
      <c r="AD86" s="353">
        <f>80000*1.18</f>
        <v>94400</v>
      </c>
      <c r="AE86" s="355">
        <f t="shared" si="250"/>
        <v>0.006499642829</v>
      </c>
      <c r="AF86" s="352"/>
      <c r="AG86" s="358"/>
      <c r="AH86" s="351">
        <v>94400.0</v>
      </c>
      <c r="AI86" s="355">
        <f t="shared" si="259"/>
        <v>0.006499642829</v>
      </c>
      <c r="AJ86" s="353">
        <f>80000*1.18</f>
        <v>94400</v>
      </c>
      <c r="AK86" s="355">
        <f t="shared" si="251"/>
        <v>0.006499642829</v>
      </c>
      <c r="AL86" s="352"/>
      <c r="AM86" s="358"/>
      <c r="AN86" s="351">
        <v>94400.0</v>
      </c>
      <c r="AO86" s="355">
        <f t="shared" si="235"/>
        <v>0.004371482113</v>
      </c>
      <c r="AP86" s="353">
        <f>80000*1.18</f>
        <v>94400</v>
      </c>
      <c r="AQ86" s="355">
        <f t="shared" si="252"/>
        <v>0.006499642829</v>
      </c>
      <c r="AR86" s="359"/>
      <c r="AS86" s="358"/>
      <c r="AT86" s="351">
        <v>94400.0</v>
      </c>
      <c r="AU86" s="355">
        <f t="shared" si="236"/>
        <v>0.003923841357</v>
      </c>
      <c r="AV86" s="353">
        <f>80000*1.18</f>
        <v>94400</v>
      </c>
      <c r="AW86" s="355">
        <f t="shared" si="253"/>
        <v>0.006499642829</v>
      </c>
      <c r="AX86" s="353"/>
      <c r="AY86" s="358"/>
      <c r="AZ86" s="351">
        <v>94400.0</v>
      </c>
      <c r="BA86" s="355">
        <f t="shared" si="237"/>
        <v>0.003847827923</v>
      </c>
      <c r="BB86" s="353">
        <f>80000*1.18</f>
        <v>94400</v>
      </c>
      <c r="BC86" s="355">
        <f t="shared" si="254"/>
        <v>0.006499642829</v>
      </c>
      <c r="BD86" s="353"/>
      <c r="BE86" s="358"/>
      <c r="BF86" s="351">
        <v>94400.0</v>
      </c>
      <c r="BG86" s="355">
        <f t="shared" si="238"/>
        <v>0.003599664793</v>
      </c>
      <c r="BH86" s="353">
        <f>80000*1.18</f>
        <v>94400</v>
      </c>
      <c r="BI86" s="355">
        <f t="shared" si="255"/>
        <v>0.006499642829</v>
      </c>
      <c r="BJ86" s="352"/>
      <c r="BK86" s="358"/>
      <c r="BL86" s="351">
        <v>94400.0</v>
      </c>
      <c r="BM86" s="355">
        <f t="shared" si="239"/>
        <v>0.004372713497</v>
      </c>
      <c r="BN86" s="353">
        <f>80000*1.18</f>
        <v>94400</v>
      </c>
      <c r="BO86" s="355">
        <f t="shared" si="256"/>
        <v>0.006499642829</v>
      </c>
      <c r="BP86" s="352"/>
      <c r="BQ86" s="358"/>
      <c r="BR86" s="360">
        <f>80000*1.18</f>
        <v>94400</v>
      </c>
      <c r="BS86" s="355">
        <f t="shared" si="257"/>
        <v>0.006499642829</v>
      </c>
      <c r="BT86" s="353">
        <f>80000*1.18</f>
        <v>94400</v>
      </c>
      <c r="BU86" s="355">
        <f t="shared" si="258"/>
        <v>0.006499642829</v>
      </c>
      <c r="BV86" s="352"/>
      <c r="BW86" s="358"/>
      <c r="BX86" s="213"/>
      <c r="BY86" s="213"/>
      <c r="BZ86" s="213"/>
      <c r="CA86" s="213"/>
      <c r="CB86" s="213"/>
      <c r="CC86" s="213"/>
      <c r="CD86" s="213"/>
      <c r="CE86" s="213"/>
      <c r="CF86" s="213"/>
      <c r="CG86" s="213"/>
      <c r="CH86" s="213"/>
      <c r="CI86" s="213"/>
      <c r="CJ86" s="213"/>
      <c r="CK86" s="213"/>
      <c r="CL86" s="213"/>
      <c r="CM86" s="213"/>
      <c r="CN86" s="213"/>
      <c r="CO86" s="213"/>
      <c r="CP86" s="213"/>
      <c r="CQ86" s="213"/>
    </row>
    <row r="87" ht="15.75" customHeight="1">
      <c r="A87" s="213"/>
      <c r="B87" s="393"/>
      <c r="C87" s="350" t="s">
        <v>269</v>
      </c>
      <c r="D87" s="351">
        <v>500.0</v>
      </c>
      <c r="E87" s="355">
        <f t="shared" si="240"/>
        <v>0.00003442607431</v>
      </c>
      <c r="F87" s="353">
        <v>5000.0</v>
      </c>
      <c r="G87" s="355">
        <f t="shared" si="241"/>
        <v>0.0003442607431</v>
      </c>
      <c r="H87" s="353">
        <f t="shared" si="242"/>
        <v>-4500</v>
      </c>
      <c r="I87" s="394">
        <f t="shared" si="243"/>
        <v>-0.9</v>
      </c>
      <c r="J87" s="351">
        <v>740.0</v>
      </c>
      <c r="K87" s="355">
        <f t="shared" si="244"/>
        <v>0.00005095058998</v>
      </c>
      <c r="L87" s="353">
        <v>5000.0</v>
      </c>
      <c r="M87" s="355">
        <f t="shared" si="245"/>
        <v>0.0003442607431</v>
      </c>
      <c r="N87" s="352"/>
      <c r="O87" s="358"/>
      <c r="P87" s="351">
        <f>291+44693</f>
        <v>44984</v>
      </c>
      <c r="Q87" s="355">
        <f t="shared" si="246"/>
        <v>0.003294781181</v>
      </c>
      <c r="R87" s="353">
        <v>5000.0</v>
      </c>
      <c r="S87" s="355">
        <f t="shared" si="247"/>
        <v>0.0003442607431</v>
      </c>
      <c r="T87" s="352"/>
      <c r="U87" s="358"/>
      <c r="V87" s="351">
        <v>1153.0</v>
      </c>
      <c r="W87" s="355">
        <f t="shared" si="234"/>
        <v>0.00007956048387</v>
      </c>
      <c r="X87" s="353">
        <v>5000.0</v>
      </c>
      <c r="Y87" s="355">
        <f t="shared" si="248"/>
        <v>0.0003442607431</v>
      </c>
      <c r="Z87" s="352"/>
      <c r="AA87" s="358"/>
      <c r="AB87" s="351">
        <v>9367.0</v>
      </c>
      <c r="AC87" s="355">
        <f t="shared" si="249"/>
        <v>0.0006449380761</v>
      </c>
      <c r="AD87" s="353">
        <v>5000.0</v>
      </c>
      <c r="AE87" s="355">
        <f t="shared" si="250"/>
        <v>0.0003442607431</v>
      </c>
      <c r="AF87" s="352"/>
      <c r="AG87" s="358"/>
      <c r="AH87" s="351">
        <v>10200.0</v>
      </c>
      <c r="AI87" s="355">
        <f t="shared" si="259"/>
        <v>0.0007022919159</v>
      </c>
      <c r="AJ87" s="353">
        <v>5000.0</v>
      </c>
      <c r="AK87" s="355">
        <f t="shared" si="251"/>
        <v>0.0003442607431</v>
      </c>
      <c r="AL87" s="352"/>
      <c r="AM87" s="358"/>
      <c r="AN87" s="351">
        <v>9284.0</v>
      </c>
      <c r="AO87" s="355">
        <f t="shared" si="235"/>
        <v>0.0004299241519</v>
      </c>
      <c r="AP87" s="353">
        <v>5000.0</v>
      </c>
      <c r="AQ87" s="355">
        <f t="shared" si="252"/>
        <v>0.0003442607431</v>
      </c>
      <c r="AR87" s="359"/>
      <c r="AS87" s="358"/>
      <c r="AT87" s="351">
        <v>29995.0</v>
      </c>
      <c r="AU87" s="355">
        <f t="shared" si="236"/>
        <v>0.001246775651</v>
      </c>
      <c r="AV87" s="353">
        <v>5000.0</v>
      </c>
      <c r="AW87" s="355">
        <f t="shared" si="253"/>
        <v>0.0003442607431</v>
      </c>
      <c r="AX87" s="353"/>
      <c r="AY87" s="358"/>
      <c r="AZ87" s="351">
        <v>42935.0</v>
      </c>
      <c r="BA87" s="355">
        <f t="shared" si="237"/>
        <v>0.00175006877</v>
      </c>
      <c r="BB87" s="353">
        <v>5000.0</v>
      </c>
      <c r="BC87" s="355">
        <f t="shared" si="254"/>
        <v>0.0003442607431</v>
      </c>
      <c r="BD87" s="353"/>
      <c r="BE87" s="358"/>
      <c r="BF87" s="351">
        <f>25939+35400</f>
        <v>61339</v>
      </c>
      <c r="BG87" s="355">
        <f t="shared" si="238"/>
        <v>0.002338981343</v>
      </c>
      <c r="BH87" s="353">
        <v>5000.0</v>
      </c>
      <c r="BI87" s="355">
        <f t="shared" si="255"/>
        <v>0.0003442607431</v>
      </c>
      <c r="BJ87" s="352"/>
      <c r="BK87" s="358"/>
      <c r="BL87" s="351">
        <v>378.0</v>
      </c>
      <c r="BM87" s="355">
        <f t="shared" si="239"/>
        <v>0.00001750938244</v>
      </c>
      <c r="BN87" s="353">
        <v>5000.0</v>
      </c>
      <c r="BO87" s="355">
        <f t="shared" si="256"/>
        <v>0.0003442607431</v>
      </c>
      <c r="BP87" s="352"/>
      <c r="BQ87" s="358"/>
      <c r="BR87" s="414">
        <v>603246.23</v>
      </c>
      <c r="BS87" s="355">
        <f t="shared" si="257"/>
        <v>0.04153479908</v>
      </c>
      <c r="BT87" s="353">
        <v>5000.0</v>
      </c>
      <c r="BU87" s="355">
        <f t="shared" si="258"/>
        <v>0.0003442607431</v>
      </c>
      <c r="BV87" s="352"/>
      <c r="BW87" s="358"/>
      <c r="BX87" s="213"/>
      <c r="BY87" s="213"/>
      <c r="BZ87" s="213"/>
      <c r="CA87" s="213"/>
      <c r="CB87" s="213"/>
      <c r="CC87" s="213"/>
      <c r="CD87" s="213"/>
      <c r="CE87" s="213"/>
      <c r="CF87" s="213"/>
      <c r="CG87" s="213"/>
      <c r="CH87" s="213"/>
      <c r="CI87" s="213"/>
      <c r="CJ87" s="213"/>
      <c r="CK87" s="213"/>
      <c r="CL87" s="213"/>
      <c r="CM87" s="213"/>
      <c r="CN87" s="213"/>
      <c r="CO87" s="213"/>
      <c r="CP87" s="213"/>
      <c r="CQ87" s="213"/>
    </row>
    <row r="88" ht="15.75" customHeight="1">
      <c r="A88" s="213"/>
      <c r="B88" s="393"/>
      <c r="C88" s="350" t="s">
        <v>270</v>
      </c>
      <c r="D88" s="351"/>
      <c r="E88" s="355">
        <f t="shared" si="240"/>
        <v>0</v>
      </c>
      <c r="F88" s="353"/>
      <c r="G88" s="355">
        <f t="shared" si="241"/>
        <v>0</v>
      </c>
      <c r="H88" s="353">
        <f t="shared" si="242"/>
        <v>0</v>
      </c>
      <c r="I88" s="394" t="str">
        <f t="shared" si="243"/>
        <v/>
      </c>
      <c r="J88" s="351"/>
      <c r="K88" s="355">
        <f t="shared" si="244"/>
        <v>0</v>
      </c>
      <c r="L88" s="353"/>
      <c r="M88" s="355">
        <f t="shared" si="245"/>
        <v>0</v>
      </c>
      <c r="N88" s="352"/>
      <c r="O88" s="358"/>
      <c r="P88" s="351"/>
      <c r="Q88" s="355">
        <f t="shared" si="246"/>
        <v>0</v>
      </c>
      <c r="R88" s="353"/>
      <c r="S88" s="355">
        <f t="shared" si="247"/>
        <v>0</v>
      </c>
      <c r="T88" s="352"/>
      <c r="U88" s="358"/>
      <c r="V88" s="351"/>
      <c r="W88" s="355">
        <f t="shared" si="234"/>
        <v>0</v>
      </c>
      <c r="X88" s="353"/>
      <c r="Y88" s="355">
        <f t="shared" si="248"/>
        <v>0</v>
      </c>
      <c r="Z88" s="352"/>
      <c r="AA88" s="358"/>
      <c r="AB88" s="351">
        <v>4639.0</v>
      </c>
      <c r="AC88" s="355">
        <f t="shared" si="249"/>
        <v>0.0003194051174</v>
      </c>
      <c r="AD88" s="353"/>
      <c r="AE88" s="355">
        <f t="shared" si="250"/>
        <v>0</v>
      </c>
      <c r="AF88" s="352"/>
      <c r="AG88" s="358"/>
      <c r="AH88" s="351"/>
      <c r="AI88" s="352"/>
      <c r="AJ88" s="353"/>
      <c r="AK88" s="355">
        <f t="shared" si="251"/>
        <v>0</v>
      </c>
      <c r="AL88" s="352"/>
      <c r="AM88" s="358"/>
      <c r="AN88" s="351">
        <v>26839.0</v>
      </c>
      <c r="AO88" s="355">
        <f t="shared" si="235"/>
        <v>0.001242862377</v>
      </c>
      <c r="AP88" s="353"/>
      <c r="AQ88" s="355">
        <f t="shared" si="252"/>
        <v>0</v>
      </c>
      <c r="AR88" s="359"/>
      <c r="AS88" s="358"/>
      <c r="AT88" s="351"/>
      <c r="AU88" s="355">
        <f t="shared" si="236"/>
        <v>0</v>
      </c>
      <c r="AV88" s="353"/>
      <c r="AW88" s="355">
        <f t="shared" si="253"/>
        <v>0</v>
      </c>
      <c r="AX88" s="353"/>
      <c r="AY88" s="358"/>
      <c r="AZ88" s="396">
        <f>68472+6523</f>
        <v>74995</v>
      </c>
      <c r="BA88" s="355">
        <f t="shared" si="237"/>
        <v>0.003056862871</v>
      </c>
      <c r="BB88" s="353"/>
      <c r="BC88" s="355">
        <f t="shared" si="254"/>
        <v>0</v>
      </c>
      <c r="BD88" s="353"/>
      <c r="BE88" s="358"/>
      <c r="BF88" s="351"/>
      <c r="BG88" s="355">
        <f t="shared" si="238"/>
        <v>0</v>
      </c>
      <c r="BH88" s="353"/>
      <c r="BI88" s="355">
        <f t="shared" si="255"/>
        <v>0</v>
      </c>
      <c r="BJ88" s="352"/>
      <c r="BK88" s="358"/>
      <c r="BL88" s="351"/>
      <c r="BM88" s="355">
        <f t="shared" si="239"/>
        <v>0</v>
      </c>
      <c r="BN88" s="353"/>
      <c r="BO88" s="355">
        <f t="shared" si="256"/>
        <v>0</v>
      </c>
      <c r="BP88" s="352"/>
      <c r="BQ88" s="358"/>
      <c r="BR88" s="360"/>
      <c r="BS88" s="355">
        <f t="shared" si="257"/>
        <v>0</v>
      </c>
      <c r="BT88" s="353"/>
      <c r="BU88" s="355">
        <f t="shared" si="258"/>
        <v>0</v>
      </c>
      <c r="BV88" s="352"/>
      <c r="BW88" s="358"/>
      <c r="BX88" s="213"/>
      <c r="BY88" s="213"/>
      <c r="BZ88" s="213"/>
      <c r="CA88" s="213"/>
      <c r="CB88" s="213"/>
      <c r="CC88" s="213"/>
      <c r="CD88" s="213"/>
      <c r="CE88" s="213"/>
      <c r="CF88" s="213"/>
      <c r="CG88" s="213"/>
      <c r="CH88" s="213"/>
      <c r="CI88" s="213"/>
      <c r="CJ88" s="213"/>
      <c r="CK88" s="213"/>
      <c r="CL88" s="213"/>
      <c r="CM88" s="213"/>
      <c r="CN88" s="213"/>
      <c r="CO88" s="213"/>
      <c r="CP88" s="213"/>
      <c r="CQ88" s="213"/>
    </row>
    <row r="89" ht="15.75" customHeight="1">
      <c r="A89" s="213"/>
      <c r="B89" s="393"/>
      <c r="C89" s="350" t="s">
        <v>271</v>
      </c>
      <c r="D89" s="351">
        <f>2076719/12</f>
        <v>173059.9167</v>
      </c>
      <c r="E89" s="352"/>
      <c r="F89" s="353">
        <f>2076719/12</f>
        <v>173059.9167</v>
      </c>
      <c r="G89" s="352"/>
      <c r="H89" s="353"/>
      <c r="I89" s="394">
        <f t="shared" si="243"/>
        <v>0</v>
      </c>
      <c r="J89" s="351">
        <f>2076719/12</f>
        <v>173059.9167</v>
      </c>
      <c r="K89" s="352"/>
      <c r="L89" s="353">
        <f>2076719/12</f>
        <v>173059.9167</v>
      </c>
      <c r="M89" s="352"/>
      <c r="N89" s="352"/>
      <c r="O89" s="358"/>
      <c r="P89" s="351">
        <f>2076719/12</f>
        <v>173059.9167</v>
      </c>
      <c r="Q89" s="355">
        <f t="shared" si="246"/>
        <v>0.01267549699</v>
      </c>
      <c r="R89" s="353">
        <f>2076719/12</f>
        <v>173059.9167</v>
      </c>
      <c r="S89" s="352"/>
      <c r="T89" s="352"/>
      <c r="U89" s="358"/>
      <c r="V89" s="351">
        <f>2076719/12</f>
        <v>173059.9167</v>
      </c>
      <c r="W89" s="352"/>
      <c r="X89" s="353">
        <f>2076719/12</f>
        <v>173059.9167</v>
      </c>
      <c r="Y89" s="352"/>
      <c r="Z89" s="352"/>
      <c r="AA89" s="358"/>
      <c r="AB89" s="351">
        <f>2076719/12</f>
        <v>173059.9167</v>
      </c>
      <c r="AC89" s="352"/>
      <c r="AD89" s="353">
        <f>2076719/12</f>
        <v>173059.9167</v>
      </c>
      <c r="AE89" s="352"/>
      <c r="AF89" s="352"/>
      <c r="AG89" s="358"/>
      <c r="AH89" s="351">
        <f>2076719/12</f>
        <v>173059.9167</v>
      </c>
      <c r="AI89" s="352"/>
      <c r="AJ89" s="353">
        <f>2076719/12</f>
        <v>173059.9167</v>
      </c>
      <c r="AK89" s="352"/>
      <c r="AL89" s="352"/>
      <c r="AM89" s="358"/>
      <c r="AN89" s="351">
        <f>2076719/12</f>
        <v>173059.9167</v>
      </c>
      <c r="AO89" s="355">
        <f t="shared" si="235"/>
        <v>0.008014071295</v>
      </c>
      <c r="AP89" s="353">
        <f>AN89</f>
        <v>173059.9167</v>
      </c>
      <c r="AQ89" s="352"/>
      <c r="AR89" s="359"/>
      <c r="AS89" s="358"/>
      <c r="AT89" s="351">
        <f>2076719/12</f>
        <v>173059.9167</v>
      </c>
      <c r="AU89" s="355">
        <f t="shared" si="236"/>
        <v>0.007193428583</v>
      </c>
      <c r="AV89" s="353">
        <f>2076719/12</f>
        <v>173059.9167</v>
      </c>
      <c r="AW89" s="352"/>
      <c r="AX89" s="353"/>
      <c r="AY89" s="358"/>
      <c r="AZ89" s="351">
        <f>AT89</f>
        <v>173059.9167</v>
      </c>
      <c r="BA89" s="355">
        <f t="shared" si="237"/>
        <v>0.007054076055</v>
      </c>
      <c r="BB89" s="353">
        <f>AV89</f>
        <v>173059.9167</v>
      </c>
      <c r="BC89" s="352"/>
      <c r="BD89" s="353"/>
      <c r="BE89" s="358"/>
      <c r="BF89" s="351">
        <f>AZ89</f>
        <v>173059.9167</v>
      </c>
      <c r="BG89" s="355">
        <f t="shared" si="238"/>
        <v>0.006599128063</v>
      </c>
      <c r="BH89" s="353">
        <f>BF89</f>
        <v>173059.9167</v>
      </c>
      <c r="BI89" s="352"/>
      <c r="BJ89" s="352"/>
      <c r="BK89" s="358"/>
      <c r="BL89" s="351">
        <f>BF89</f>
        <v>173059.9167</v>
      </c>
      <c r="BM89" s="355">
        <f t="shared" si="239"/>
        <v>0.008016328744</v>
      </c>
      <c r="BN89" s="353">
        <f>BL89</f>
        <v>173059.9167</v>
      </c>
      <c r="BO89" s="355">
        <f>BN89/BN$31</f>
        <v>0.009403524507</v>
      </c>
      <c r="BP89" s="352"/>
      <c r="BQ89" s="358"/>
      <c r="BR89" s="351">
        <f>BL89</f>
        <v>173059.9167</v>
      </c>
      <c r="BS89" s="355">
        <f t="shared" si="257"/>
        <v>0.0119155471</v>
      </c>
      <c r="BT89" s="353">
        <f>BR89</f>
        <v>173059.9167</v>
      </c>
      <c r="BU89" s="355">
        <f t="shared" si="258"/>
        <v>0.0119155471</v>
      </c>
      <c r="BV89" s="352"/>
      <c r="BW89" s="358"/>
      <c r="BX89" s="213"/>
      <c r="BY89" s="213"/>
      <c r="BZ89" s="213"/>
      <c r="CA89" s="213"/>
      <c r="CB89" s="213"/>
      <c r="CC89" s="213"/>
      <c r="CD89" s="213"/>
      <c r="CE89" s="213"/>
      <c r="CF89" s="213"/>
      <c r="CG89" s="213"/>
      <c r="CH89" s="213"/>
      <c r="CI89" s="213"/>
      <c r="CJ89" s="213"/>
      <c r="CK89" s="213"/>
      <c r="CL89" s="213"/>
      <c r="CM89" s="213"/>
      <c r="CN89" s="213"/>
      <c r="CO89" s="213"/>
      <c r="CP89" s="213"/>
      <c r="CQ89" s="213"/>
    </row>
    <row r="90" ht="15.75" customHeight="1">
      <c r="A90" s="213"/>
      <c r="B90" s="403"/>
      <c r="C90" s="448"/>
      <c r="D90" s="363"/>
      <c r="E90" s="364"/>
      <c r="F90" s="365"/>
      <c r="G90" s="364"/>
      <c r="H90" s="365"/>
      <c r="I90" s="366"/>
      <c r="J90" s="363"/>
      <c r="K90" s="364"/>
      <c r="L90" s="365"/>
      <c r="M90" s="364"/>
      <c r="N90" s="364"/>
      <c r="O90" s="368"/>
      <c r="P90" s="363"/>
      <c r="Q90" s="364"/>
      <c r="R90" s="365"/>
      <c r="S90" s="364"/>
      <c r="T90" s="364"/>
      <c r="U90" s="368"/>
      <c r="V90" s="363"/>
      <c r="W90" s="364"/>
      <c r="X90" s="365"/>
      <c r="Y90" s="364"/>
      <c r="Z90" s="364"/>
      <c r="AA90" s="368"/>
      <c r="AB90" s="363"/>
      <c r="AC90" s="364"/>
      <c r="AD90" s="365"/>
      <c r="AE90" s="364"/>
      <c r="AF90" s="364"/>
      <c r="AG90" s="368"/>
      <c r="AH90" s="363"/>
      <c r="AI90" s="364"/>
      <c r="AJ90" s="365"/>
      <c r="AK90" s="364"/>
      <c r="AL90" s="364"/>
      <c r="AM90" s="368"/>
      <c r="AN90" s="363"/>
      <c r="AO90" s="364"/>
      <c r="AP90" s="365"/>
      <c r="AQ90" s="364"/>
      <c r="AR90" s="369"/>
      <c r="AS90" s="368"/>
      <c r="AT90" s="363"/>
      <c r="AU90" s="364"/>
      <c r="AV90" s="365"/>
      <c r="AW90" s="364"/>
      <c r="AX90" s="365"/>
      <c r="AY90" s="368"/>
      <c r="AZ90" s="363"/>
      <c r="BA90" s="364"/>
      <c r="BB90" s="365"/>
      <c r="BC90" s="364"/>
      <c r="BD90" s="365"/>
      <c r="BE90" s="368"/>
      <c r="BF90" s="363"/>
      <c r="BG90" s="364"/>
      <c r="BH90" s="365"/>
      <c r="BI90" s="364"/>
      <c r="BJ90" s="364"/>
      <c r="BK90" s="368"/>
      <c r="BL90" s="363"/>
      <c r="BM90" s="364"/>
      <c r="BN90" s="365"/>
      <c r="BO90" s="364"/>
      <c r="BP90" s="364"/>
      <c r="BQ90" s="368"/>
      <c r="BR90" s="370"/>
      <c r="BS90" s="364"/>
      <c r="BT90" s="365"/>
      <c r="BU90" s="364"/>
      <c r="BV90" s="364"/>
      <c r="BW90" s="368"/>
      <c r="BX90" s="213"/>
      <c r="BY90" s="213"/>
      <c r="BZ90" s="213"/>
      <c r="CA90" s="213"/>
      <c r="CB90" s="213"/>
      <c r="CC90" s="213"/>
      <c r="CD90" s="213"/>
      <c r="CE90" s="213"/>
      <c r="CF90" s="213"/>
      <c r="CG90" s="213"/>
      <c r="CH90" s="213"/>
      <c r="CI90" s="213"/>
      <c r="CJ90" s="213"/>
      <c r="CK90" s="213"/>
      <c r="CL90" s="213"/>
      <c r="CM90" s="213"/>
      <c r="CN90" s="213"/>
      <c r="CO90" s="213"/>
      <c r="CP90" s="213"/>
      <c r="CQ90" s="213"/>
    </row>
    <row r="91" ht="15.75" customHeight="1">
      <c r="A91" s="213"/>
      <c r="B91" s="407"/>
      <c r="C91" s="447" t="s">
        <v>39</v>
      </c>
      <c r="D91" s="373">
        <f>SUM(D92)</f>
        <v>261175.74</v>
      </c>
      <c r="E91" s="374">
        <f t="shared" ref="E91:E92" si="260">D91/D$31</f>
        <v>0.01655248082</v>
      </c>
      <c r="F91" s="375">
        <f>SUM(F92)</f>
        <v>200102.32</v>
      </c>
      <c r="G91" s="374">
        <f>F91/F$31</f>
        <v>0.01377747468</v>
      </c>
      <c r="H91" s="375">
        <f>SUM(H92)</f>
        <v>61073.42</v>
      </c>
      <c r="I91" s="376">
        <f>H91/H$31</f>
        <v>0.04867295003</v>
      </c>
      <c r="J91" s="373">
        <f>SUM(J92)</f>
        <v>207243.59</v>
      </c>
      <c r="K91" s="374">
        <f t="shared" ref="K91:K92" si="261">J91/J$31</f>
        <v>0.0134902104</v>
      </c>
      <c r="L91" s="375">
        <f>SUM(L92)</f>
        <v>182167.6366</v>
      </c>
      <c r="M91" s="374">
        <f>L91/L$31</f>
        <v>0.01366551693</v>
      </c>
      <c r="N91" s="408">
        <f>SUM(N92)</f>
        <v>0</v>
      </c>
      <c r="O91" s="378"/>
      <c r="P91" s="373">
        <f>SUM(P92)</f>
        <v>209371.25</v>
      </c>
      <c r="Q91" s="374">
        <f>P91/P$31</f>
        <v>0.01533506256</v>
      </c>
      <c r="R91" s="375">
        <f>SUM(R92)</f>
        <v>173193.872</v>
      </c>
      <c r="S91" s="374">
        <f>R91/R$31</f>
        <v>0.0136183907</v>
      </c>
      <c r="T91" s="408">
        <f>SUM(T92)</f>
        <v>0</v>
      </c>
      <c r="U91" s="378"/>
      <c r="V91" s="373">
        <f>SUM(V92)</f>
        <v>192265.66</v>
      </c>
      <c r="W91" s="374">
        <f t="shared" ref="W91:W92" si="262">V91/V$31</f>
        <v>0.01326691148</v>
      </c>
      <c r="X91" s="375">
        <f>SUM(X92)</f>
        <v>184909.84</v>
      </c>
      <c r="Y91" s="374">
        <f>X91/X$31</f>
        <v>0.01377747544</v>
      </c>
      <c r="Z91" s="408">
        <f>SUM(Z92)</f>
        <v>0</v>
      </c>
      <c r="AA91" s="378"/>
      <c r="AB91" s="373">
        <f>SUM(AB92)</f>
        <v>213360</v>
      </c>
      <c r="AC91" s="374">
        <f t="shared" ref="AC91:AC92" si="263">AB91/AB$31</f>
        <v>0.01387681053</v>
      </c>
      <c r="AD91" s="375">
        <f>SUM(AD92)</f>
        <v>201101.776</v>
      </c>
      <c r="AE91" s="374">
        <f>AD91/AD$31</f>
        <v>0.01377747445</v>
      </c>
      <c r="AF91" s="408">
        <f>SUM(AF92)</f>
        <v>0</v>
      </c>
      <c r="AG91" s="378"/>
      <c r="AH91" s="373">
        <f>SUM(AH92)</f>
        <v>206543.96</v>
      </c>
      <c r="AI91" s="374">
        <f>AH91/AH$31</f>
        <v>0.01484380703</v>
      </c>
      <c r="AJ91" s="375">
        <f>SUM(AJ92)</f>
        <v>193712.48</v>
      </c>
      <c r="AK91" s="374">
        <f>AJ91/AJ$31</f>
        <v>0.01377747476</v>
      </c>
      <c r="AL91" s="408">
        <f>SUM(AL92)</f>
        <v>0</v>
      </c>
      <c r="AM91" s="378"/>
      <c r="AN91" s="373">
        <f>SUM(AN92)</f>
        <v>297228.65</v>
      </c>
      <c r="AO91" s="374">
        <f t="shared" ref="AO91:AO92" si="264">AN91/AN$31</f>
        <v>0.01376408609</v>
      </c>
      <c r="AP91" s="375">
        <f>SUM(AP92)</f>
        <v>233100.752</v>
      </c>
      <c r="AQ91" s="374">
        <f>AP91/AP$31</f>
        <v>0.013777474</v>
      </c>
      <c r="AR91" s="380">
        <f>SUM(AR92)</f>
        <v>0</v>
      </c>
      <c r="AS91" s="378"/>
      <c r="AT91" s="373">
        <f>SUM(AT92)</f>
        <v>341974.48</v>
      </c>
      <c r="AU91" s="374">
        <f t="shared" ref="AU91:AU92" si="265">AT91/AT$31</f>
        <v>0.01421455093</v>
      </c>
      <c r="AV91" s="375">
        <f>SUM(AV92)</f>
        <v>257394.848</v>
      </c>
      <c r="AW91" s="374">
        <f>AV91/AV$31</f>
        <v>0.01377747477</v>
      </c>
      <c r="AX91" s="375">
        <f>SUM(AX92)</f>
        <v>0</v>
      </c>
      <c r="AY91" s="378"/>
      <c r="AZ91" s="373">
        <f>SUM(AZ92)</f>
        <v>379491.44</v>
      </c>
      <c r="BA91" s="374">
        <f t="shared" ref="BA91:BA92" si="266">AZ91/AZ$31</f>
        <v>0.01546840847</v>
      </c>
      <c r="BB91" s="375">
        <f>SUM(BB92)</f>
        <v>300492.272</v>
      </c>
      <c r="BC91" s="374">
        <f>BB91/BB$31</f>
        <v>0.01377747454</v>
      </c>
      <c r="BD91" s="375">
        <f>SUM(BD92)</f>
        <v>0</v>
      </c>
      <c r="BE91" s="378"/>
      <c r="BF91" s="373">
        <f>SUM(BF92)</f>
        <v>435354.53</v>
      </c>
      <c r="BG91" s="374">
        <f t="shared" ref="BG91:BG92" si="267">BF91/BF$31</f>
        <v>0.01660095735</v>
      </c>
      <c r="BH91" s="375">
        <f>SUM(BH92)</f>
        <v>276951.184</v>
      </c>
      <c r="BI91" s="374">
        <f>BH91/BH$31</f>
        <v>0.01377747456</v>
      </c>
      <c r="BJ91" s="408">
        <f>SUM(BJ92)</f>
        <v>0</v>
      </c>
      <c r="BK91" s="378"/>
      <c r="BL91" s="373">
        <f>SUM(BL92)</f>
        <v>441816.91</v>
      </c>
      <c r="BM91" s="374">
        <f>BL91/$BL$31</f>
        <v>0.02046545302</v>
      </c>
      <c r="BN91" s="375">
        <f>SUM(BN92)</f>
        <v>253556.912</v>
      </c>
      <c r="BO91" s="374">
        <f>BN91/BN$31</f>
        <v>0.01377747477</v>
      </c>
      <c r="BP91" s="408">
        <f>SUM(BP92)</f>
        <v>0</v>
      </c>
      <c r="BQ91" s="378"/>
      <c r="BR91" s="381">
        <f>SUM(BR92)</f>
        <v>496650.38</v>
      </c>
      <c r="BS91" s="374">
        <f>BR91/BR$31</f>
        <v>0.02243007595</v>
      </c>
      <c r="BT91" s="375">
        <f>SUM(BT92)</f>
        <v>255642.528</v>
      </c>
      <c r="BU91" s="374">
        <f>BT91/BT$31</f>
        <v>0.01377747528</v>
      </c>
      <c r="BV91" s="408">
        <f>SUM(BV92)</f>
        <v>0</v>
      </c>
      <c r="BW91" s="378"/>
      <c r="BX91" s="328">
        <f>SUM(D91,J91,P91,V91,AB91,AH91,AN91,AT91,AZ91,BF91,BL91,BR91)</f>
        <v>3682476.59</v>
      </c>
      <c r="BY91" s="216"/>
      <c r="BZ91" s="216"/>
      <c r="CA91" s="216"/>
      <c r="CB91" s="216"/>
      <c r="CC91" s="216"/>
      <c r="CD91" s="216"/>
      <c r="CE91" s="216"/>
      <c r="CF91" s="216"/>
      <c r="CG91" s="216"/>
      <c r="CH91" s="216"/>
      <c r="CI91" s="216"/>
      <c r="CJ91" s="216"/>
      <c r="CK91" s="216"/>
      <c r="CL91" s="216"/>
      <c r="CM91" s="216"/>
      <c r="CN91" s="216"/>
      <c r="CO91" s="216"/>
      <c r="CP91" s="216"/>
      <c r="CQ91" s="216"/>
    </row>
    <row r="92" ht="15.75" customHeight="1">
      <c r="A92" s="213"/>
      <c r="B92" s="444"/>
      <c r="C92" s="383" t="s">
        <v>272</v>
      </c>
      <c r="D92" s="384">
        <f>69.56+261094.38+11.8</f>
        <v>261175.74</v>
      </c>
      <c r="E92" s="385">
        <f t="shared" si="260"/>
        <v>0.01655248082</v>
      </c>
      <c r="F92" s="386">
        <f>G92*(F$16+F$26+F$27)</f>
        <v>200102.32</v>
      </c>
      <c r="G92" s="385">
        <v>0.016</v>
      </c>
      <c r="H92" s="386">
        <f>D92-F92</f>
        <v>61073.42</v>
      </c>
      <c r="I92" s="387">
        <f>IFERROR((H92/F92),"")</f>
        <v>0.3052109541</v>
      </c>
      <c r="J92" s="384">
        <v>207243.59</v>
      </c>
      <c r="K92" s="385">
        <f t="shared" si="261"/>
        <v>0.0134902104</v>
      </c>
      <c r="L92" s="386">
        <f>M92*(L$16+L$26+L$27)</f>
        <v>182167.6366</v>
      </c>
      <c r="M92" s="385">
        <v>0.016</v>
      </c>
      <c r="N92" s="440"/>
      <c r="O92" s="389"/>
      <c r="P92" s="384">
        <v>209371.25</v>
      </c>
      <c r="Q92" s="385">
        <f>IFERROR(P92/P$31,)</f>
        <v>0.01533506256</v>
      </c>
      <c r="R92" s="386">
        <f>S92*(R$16+R$26+R$27)</f>
        <v>173193.872</v>
      </c>
      <c r="S92" s="385">
        <v>0.016</v>
      </c>
      <c r="T92" s="440"/>
      <c r="U92" s="389"/>
      <c r="V92" s="384">
        <f>12380.06+179885.6</f>
        <v>192265.66</v>
      </c>
      <c r="W92" s="385">
        <f t="shared" si="262"/>
        <v>0.01326691148</v>
      </c>
      <c r="X92" s="386">
        <f>Y92*(X$16+X$26+X$27)</f>
        <v>184909.84</v>
      </c>
      <c r="Y92" s="385">
        <v>0.016</v>
      </c>
      <c r="Z92" s="440"/>
      <c r="AA92" s="389"/>
      <c r="AB92" s="384">
        <f>211108+2252</f>
        <v>213360</v>
      </c>
      <c r="AC92" s="385">
        <f t="shared" si="263"/>
        <v>0.01387681053</v>
      </c>
      <c r="AD92" s="386">
        <f>AE92*(AD$16+AD$26+AD$27)</f>
        <v>201101.776</v>
      </c>
      <c r="AE92" s="385">
        <v>0.016</v>
      </c>
      <c r="AF92" s="440"/>
      <c r="AG92" s="389"/>
      <c r="AH92" s="384">
        <f>204509+2034.96</f>
        <v>206543.96</v>
      </c>
      <c r="AI92" s="385">
        <f>AH92/$F$31</f>
        <v>0.01422099543</v>
      </c>
      <c r="AJ92" s="386">
        <f>AK92*(AJ$16+AJ$26+AJ$27)</f>
        <v>193712.48</v>
      </c>
      <c r="AK92" s="385">
        <v>0.016</v>
      </c>
      <c r="AL92" s="440"/>
      <c r="AM92" s="389"/>
      <c r="AN92" s="384">
        <f>594.72+296633.93</f>
        <v>297228.65</v>
      </c>
      <c r="AO92" s="385">
        <f t="shared" si="264"/>
        <v>0.01376408609</v>
      </c>
      <c r="AP92" s="386">
        <f>AQ92*(AP$16+AP$26+AP$27)</f>
        <v>233100.752</v>
      </c>
      <c r="AQ92" s="385">
        <v>0.016</v>
      </c>
      <c r="AR92" s="391"/>
      <c r="AS92" s="389"/>
      <c r="AT92" s="384">
        <f>341608.68+365.8</f>
        <v>341974.48</v>
      </c>
      <c r="AU92" s="385">
        <f t="shared" si="265"/>
        <v>0.01421455093</v>
      </c>
      <c r="AV92" s="386">
        <f>AW92*(AV$16+AV$26+AV$27)</f>
        <v>257394.848</v>
      </c>
      <c r="AW92" s="385">
        <v>0.016</v>
      </c>
      <c r="AX92" s="386"/>
      <c r="AY92" s="389"/>
      <c r="AZ92" s="384">
        <v>379491.44</v>
      </c>
      <c r="BA92" s="385">
        <f t="shared" si="266"/>
        <v>0.01546840847</v>
      </c>
      <c r="BB92" s="386">
        <f>BC92*(BB$16+BB$26+BB$27)</f>
        <v>300492.272</v>
      </c>
      <c r="BC92" s="385">
        <v>0.016</v>
      </c>
      <c r="BD92" s="386"/>
      <c r="BE92" s="389"/>
      <c r="BF92" s="450">
        <v>435354.53</v>
      </c>
      <c r="BG92" s="385">
        <f t="shared" si="267"/>
        <v>0.01660095735</v>
      </c>
      <c r="BH92" s="386">
        <f>BI92*(BH$16+BH$26+BH$27)</f>
        <v>276951.184</v>
      </c>
      <c r="BI92" s="385">
        <v>0.016</v>
      </c>
      <c r="BJ92" s="440"/>
      <c r="BK92" s="389"/>
      <c r="BL92" s="384">
        <v>441816.91</v>
      </c>
      <c r="BM92" s="355">
        <f>BL92/BL$31</f>
        <v>0.02046545302</v>
      </c>
      <c r="BN92" s="386">
        <f>BO92*(BN$16+BN$26+BN$27)</f>
        <v>253556.912</v>
      </c>
      <c r="BO92" s="385">
        <v>0.016</v>
      </c>
      <c r="BP92" s="440"/>
      <c r="BQ92" s="389"/>
      <c r="BR92" s="392">
        <v>496650.38</v>
      </c>
      <c r="BS92" s="385">
        <v>0.016</v>
      </c>
      <c r="BT92" s="386">
        <f>BU92*(BT$16+BT$26+BT$27)</f>
        <v>255642.528</v>
      </c>
      <c r="BU92" s="385">
        <v>0.016</v>
      </c>
      <c r="BV92" s="440"/>
      <c r="BW92" s="389"/>
      <c r="BX92" s="213"/>
      <c r="BY92" s="213"/>
      <c r="BZ92" s="213"/>
      <c r="CA92" s="213"/>
      <c r="CB92" s="213"/>
      <c r="CC92" s="213"/>
      <c r="CD92" s="213"/>
      <c r="CE92" s="213"/>
      <c r="CF92" s="213"/>
      <c r="CG92" s="213"/>
      <c r="CH92" s="213"/>
      <c r="CI92" s="213"/>
      <c r="CJ92" s="213"/>
      <c r="CK92" s="213"/>
      <c r="CL92" s="213"/>
      <c r="CM92" s="213"/>
      <c r="CN92" s="213"/>
      <c r="CO92" s="213"/>
      <c r="CP92" s="213"/>
      <c r="CQ92" s="213"/>
    </row>
    <row r="93" ht="15.75" customHeight="1">
      <c r="A93" s="213"/>
      <c r="B93" s="403"/>
      <c r="C93" s="362"/>
      <c r="D93" s="363"/>
      <c r="E93" s="364"/>
      <c r="F93" s="365"/>
      <c r="G93" s="364"/>
      <c r="H93" s="365"/>
      <c r="I93" s="366"/>
      <c r="J93" s="363"/>
      <c r="K93" s="364"/>
      <c r="L93" s="365"/>
      <c r="M93" s="364"/>
      <c r="N93" s="364"/>
      <c r="O93" s="368"/>
      <c r="P93" s="363"/>
      <c r="Q93" s="364"/>
      <c r="R93" s="365"/>
      <c r="S93" s="364"/>
      <c r="T93" s="364"/>
      <c r="U93" s="368"/>
      <c r="V93" s="363"/>
      <c r="W93" s="364"/>
      <c r="X93" s="365"/>
      <c r="Y93" s="364"/>
      <c r="Z93" s="364"/>
      <c r="AA93" s="368"/>
      <c r="AB93" s="363"/>
      <c r="AC93" s="364"/>
      <c r="AD93" s="365"/>
      <c r="AE93" s="364"/>
      <c r="AF93" s="364"/>
      <c r="AG93" s="368"/>
      <c r="AH93" s="363"/>
      <c r="AI93" s="364"/>
      <c r="AJ93" s="365"/>
      <c r="AK93" s="364"/>
      <c r="AL93" s="364"/>
      <c r="AM93" s="368"/>
      <c r="AN93" s="363"/>
      <c r="AO93" s="364"/>
      <c r="AP93" s="365"/>
      <c r="AQ93" s="364"/>
      <c r="AR93" s="369"/>
      <c r="AS93" s="368"/>
      <c r="AT93" s="363"/>
      <c r="AU93" s="364"/>
      <c r="AV93" s="365"/>
      <c r="AW93" s="364"/>
      <c r="AX93" s="365"/>
      <c r="AY93" s="368"/>
      <c r="AZ93" s="363"/>
      <c r="BA93" s="364"/>
      <c r="BB93" s="365"/>
      <c r="BC93" s="364"/>
      <c r="BD93" s="365"/>
      <c r="BE93" s="368"/>
      <c r="BF93" s="363"/>
      <c r="BG93" s="364"/>
      <c r="BH93" s="365"/>
      <c r="BI93" s="364"/>
      <c r="BJ93" s="364"/>
      <c r="BK93" s="368"/>
      <c r="BL93" s="363"/>
      <c r="BM93" s="364"/>
      <c r="BN93" s="365"/>
      <c r="BO93" s="364"/>
      <c r="BP93" s="364"/>
      <c r="BQ93" s="368"/>
      <c r="BR93" s="370"/>
      <c r="BS93" s="364"/>
      <c r="BT93" s="365"/>
      <c r="BU93" s="364"/>
      <c r="BV93" s="364"/>
      <c r="BW93" s="368"/>
      <c r="BX93" s="213"/>
      <c r="BY93" s="213"/>
      <c r="BZ93" s="213"/>
      <c r="CA93" s="213"/>
      <c r="CB93" s="213"/>
      <c r="CC93" s="213"/>
      <c r="CD93" s="213"/>
      <c r="CE93" s="213"/>
      <c r="CF93" s="213"/>
      <c r="CG93" s="213"/>
      <c r="CH93" s="213"/>
      <c r="CI93" s="213"/>
      <c r="CJ93" s="213"/>
      <c r="CK93" s="213"/>
      <c r="CL93" s="213"/>
      <c r="CM93" s="213"/>
      <c r="CN93" s="213"/>
      <c r="CO93" s="213"/>
      <c r="CP93" s="213"/>
      <c r="CQ93" s="213"/>
    </row>
    <row r="94" ht="15.75" customHeight="1">
      <c r="A94" s="213"/>
      <c r="B94" s="407"/>
      <c r="C94" s="447" t="s">
        <v>273</v>
      </c>
      <c r="D94" s="373">
        <f>SUM(D95:D97)</f>
        <v>36285</v>
      </c>
      <c r="E94" s="374">
        <f>D94/D$31</f>
        <v>0.002299626935</v>
      </c>
      <c r="F94" s="375">
        <f>SUM(F95:F97)</f>
        <v>36400</v>
      </c>
      <c r="G94" s="374">
        <f>F94/F$31</f>
        <v>0.00250621821</v>
      </c>
      <c r="H94" s="375">
        <f>SUM(H95:H97)</f>
        <v>-115</v>
      </c>
      <c r="I94" s="376">
        <f>H94/H$31</f>
        <v>-0.00009165016881</v>
      </c>
      <c r="J94" s="373">
        <f>SUM(J95:J97)</f>
        <v>37760</v>
      </c>
      <c r="K94" s="374">
        <f>J94/J$31</f>
        <v>0.002457930519</v>
      </c>
      <c r="L94" s="375">
        <f>SUM(L95:L97)</f>
        <v>36400</v>
      </c>
      <c r="M94" s="374">
        <f>L94/L$31</f>
        <v>0.002730588294</v>
      </c>
      <c r="N94" s="408">
        <f>SUM(N95:N97)</f>
        <v>0</v>
      </c>
      <c r="O94" s="378"/>
      <c r="P94" s="373">
        <f>SUM(P95:P97)</f>
        <v>52156</v>
      </c>
      <c r="Q94" s="374">
        <f>P94/P$31</f>
        <v>0.003820082857</v>
      </c>
      <c r="R94" s="375">
        <f>SUM(R95:R97)</f>
        <v>36400</v>
      </c>
      <c r="S94" s="374">
        <f>R94/R$31</f>
        <v>0.002862164901</v>
      </c>
      <c r="T94" s="408">
        <f>SUM(T95:T97)</f>
        <v>0</v>
      </c>
      <c r="U94" s="378"/>
      <c r="V94" s="373">
        <f>SUM(V95:V97)</f>
        <v>35400</v>
      </c>
      <c r="W94" s="374">
        <f t="shared" ref="W94:W97" si="268">V94/V$31</f>
        <v>0.002442706964</v>
      </c>
      <c r="X94" s="375">
        <f>SUM(X95:X97)</f>
        <v>36400</v>
      </c>
      <c r="Y94" s="374">
        <f>X94/X$31</f>
        <v>0.002712133145</v>
      </c>
      <c r="Z94" s="408">
        <f>SUM(Z95:Z97)</f>
        <v>0</v>
      </c>
      <c r="AA94" s="378"/>
      <c r="AB94" s="373">
        <f>SUM(AB95:AB97)</f>
        <v>35400</v>
      </c>
      <c r="AC94" s="374">
        <f t="shared" ref="AC94:AC97" si="269">AB94/AB$31</f>
        <v>0.002302395447</v>
      </c>
      <c r="AD94" s="375">
        <f>SUM(AD95:AD97)</f>
        <v>35400</v>
      </c>
      <c r="AE94" s="374">
        <f t="shared" ref="AE94:AE97" si="270">AD94/AD$31</f>
        <v>0.002425252552</v>
      </c>
      <c r="AF94" s="408">
        <f>SUM(AF95:AF97)</f>
        <v>0</v>
      </c>
      <c r="AG94" s="378"/>
      <c r="AH94" s="373">
        <f>SUM(AH95:AH97)</f>
        <v>35400</v>
      </c>
      <c r="AI94" s="374">
        <f>AH94/AH$31</f>
        <v>0.002544111041</v>
      </c>
      <c r="AJ94" s="375">
        <f>SUM(AJ95:AJ97)</f>
        <v>35400</v>
      </c>
      <c r="AK94" s="374">
        <f>AJ94/AJ$31</f>
        <v>0.002517765539</v>
      </c>
      <c r="AL94" s="408">
        <f>SUM(AL95:AL97)</f>
        <v>0</v>
      </c>
      <c r="AM94" s="378"/>
      <c r="AN94" s="373">
        <f>SUM(AN95:AN97)</f>
        <v>39203</v>
      </c>
      <c r="AO94" s="374">
        <f t="shared" ref="AO94:AO98" si="271">AN94/AN$31</f>
        <v>0.001815415395</v>
      </c>
      <c r="AP94" s="375">
        <f>SUM(AP95:AP97)</f>
        <v>29500</v>
      </c>
      <c r="AQ94" s="374">
        <f>AP94/AP$31</f>
        <v>0.001743604341</v>
      </c>
      <c r="AR94" s="380">
        <f>SUM(AR95:AR97)</f>
        <v>0</v>
      </c>
      <c r="AS94" s="378"/>
      <c r="AT94" s="373">
        <f>SUM(AT95:AT97)</f>
        <v>35400</v>
      </c>
      <c r="AU94" s="374">
        <f t="shared" ref="AU94:AU98" si="272">AT94/AT$31</f>
        <v>0.001471440509</v>
      </c>
      <c r="AV94" s="375">
        <f>SUM(AV95:AV97)</f>
        <v>29500</v>
      </c>
      <c r="AW94" s="374">
        <f>AV94/AV$31</f>
        <v>0.001579035124</v>
      </c>
      <c r="AX94" s="375">
        <f>SUM(AX95:AX97)</f>
        <v>0</v>
      </c>
      <c r="AY94" s="378"/>
      <c r="AZ94" s="373">
        <f>SUM(AZ95:AZ97)</f>
        <v>39530</v>
      </c>
      <c r="BA94" s="374">
        <f t="shared" ref="BA94:BA98" si="273">AZ94/AZ$31</f>
        <v>0.001611277943</v>
      </c>
      <c r="BB94" s="375">
        <f>SUM(BB95:BB97)</f>
        <v>29500</v>
      </c>
      <c r="BC94" s="374">
        <f>BB94/BB$31</f>
        <v>0.001352565562</v>
      </c>
      <c r="BD94" s="375">
        <f>SUM(BD95:BD97)</f>
        <v>0</v>
      </c>
      <c r="BE94" s="378"/>
      <c r="BF94" s="373">
        <f>SUM(BF95:BF97)</f>
        <v>35400</v>
      </c>
      <c r="BG94" s="374">
        <f t="shared" ref="BG94:BG98" si="274">BF94/BF$31</f>
        <v>0.001349874297</v>
      </c>
      <c r="BH94" s="375">
        <f>SUM(BH95:BH97)</f>
        <v>29500</v>
      </c>
      <c r="BI94" s="374">
        <f>BH94/BH$31</f>
        <v>0.001467534797</v>
      </c>
      <c r="BJ94" s="408">
        <f>SUM(BJ95:BJ97)</f>
        <v>0</v>
      </c>
      <c r="BK94" s="378"/>
      <c r="BL94" s="373">
        <f>SUM(BL95:BL97)</f>
        <v>35400</v>
      </c>
      <c r="BM94" s="374">
        <f>BL94/$BL$31</f>
        <v>0.001639767561</v>
      </c>
      <c r="BN94" s="375">
        <f>SUM(BN95:BN97)</f>
        <v>29500</v>
      </c>
      <c r="BO94" s="374">
        <f>BN94/BN$31</f>
        <v>0.001602936014</v>
      </c>
      <c r="BP94" s="408">
        <f>SUM(BP95:BP97)</f>
        <v>0</v>
      </c>
      <c r="BQ94" s="378"/>
      <c r="BR94" s="381">
        <f>SUM(BR95:BR97)</f>
        <v>35400</v>
      </c>
      <c r="BS94" s="374">
        <f>BR94/BR$31</f>
        <v>0.001598759853</v>
      </c>
      <c r="BT94" s="375">
        <f>SUM(BT95:BT97)</f>
        <v>29500</v>
      </c>
      <c r="BU94" s="374">
        <f>BT94/BT$31</f>
        <v>0.001589858792</v>
      </c>
      <c r="BV94" s="408">
        <f>SUM(BV95:BV97)</f>
        <v>0</v>
      </c>
      <c r="BW94" s="378"/>
      <c r="BX94" s="328">
        <f>SUM(D94,J94,P94,V94,AB94,AH94,AN94,AT94,AZ94,BF94,BL94,BR94)</f>
        <v>452734</v>
      </c>
      <c r="BY94" s="216"/>
      <c r="BZ94" s="216"/>
      <c r="CA94" s="216"/>
      <c r="CB94" s="216"/>
      <c r="CC94" s="216"/>
      <c r="CD94" s="216"/>
      <c r="CE94" s="216"/>
      <c r="CF94" s="216"/>
      <c r="CG94" s="216"/>
      <c r="CH94" s="216"/>
      <c r="CI94" s="216"/>
      <c r="CJ94" s="216"/>
      <c r="CK94" s="216"/>
      <c r="CL94" s="216"/>
      <c r="CM94" s="216"/>
      <c r="CN94" s="216"/>
      <c r="CO94" s="216"/>
      <c r="CP94" s="216"/>
      <c r="CQ94" s="216"/>
    </row>
    <row r="95" ht="15.75" customHeight="1">
      <c r="A95" s="213"/>
      <c r="B95" s="444"/>
      <c r="C95" s="383" t="s">
        <v>274</v>
      </c>
      <c r="D95" s="384">
        <v>885.0</v>
      </c>
      <c r="E95" s="385">
        <f>D95/$F$31</f>
        <v>0.00006093415153</v>
      </c>
      <c r="F95" s="386">
        <v>1000.0</v>
      </c>
      <c r="G95" s="385">
        <f>F95/$F$31</f>
        <v>0.00006885214862</v>
      </c>
      <c r="H95" s="386">
        <f>D95-F95</f>
        <v>-115</v>
      </c>
      <c r="I95" s="387">
        <f>IFERROR((H95/F95),"")</f>
        <v>-0.115</v>
      </c>
      <c r="J95" s="384">
        <v>2360.0</v>
      </c>
      <c r="K95" s="385">
        <f>J95/$F$31</f>
        <v>0.0001624910707</v>
      </c>
      <c r="L95" s="386">
        <v>1000.0</v>
      </c>
      <c r="M95" s="440"/>
      <c r="N95" s="440"/>
      <c r="O95" s="389"/>
      <c r="P95" s="384">
        <v>16756.0</v>
      </c>
      <c r="Q95" s="385">
        <f t="shared" ref="Q95:Q97" si="275">IFERROR(P95/P$31,)</f>
        <v>0.001227266438</v>
      </c>
      <c r="R95" s="386">
        <v>1000.0</v>
      </c>
      <c r="S95" s="440"/>
      <c r="T95" s="440"/>
      <c r="U95" s="389"/>
      <c r="V95" s="384"/>
      <c r="W95" s="385">
        <f t="shared" si="268"/>
        <v>0</v>
      </c>
      <c r="X95" s="386">
        <v>1000.0</v>
      </c>
      <c r="Y95" s="440"/>
      <c r="Z95" s="440"/>
      <c r="AA95" s="389"/>
      <c r="AB95" s="384">
        <v>0.0</v>
      </c>
      <c r="AC95" s="385">
        <f t="shared" si="269"/>
        <v>0</v>
      </c>
      <c r="AD95" s="386">
        <v>0.0</v>
      </c>
      <c r="AE95" s="385">
        <f t="shared" si="270"/>
        <v>0</v>
      </c>
      <c r="AF95" s="440"/>
      <c r="AG95" s="389"/>
      <c r="AH95" s="384"/>
      <c r="AI95" s="385">
        <f t="shared" ref="AI95:AI98" si="276">AH95/$F$31</f>
        <v>0</v>
      </c>
      <c r="AJ95" s="386"/>
      <c r="AK95" s="440"/>
      <c r="AL95" s="440"/>
      <c r="AM95" s="389"/>
      <c r="AN95" s="384">
        <v>3803.0</v>
      </c>
      <c r="AO95" s="385">
        <f t="shared" si="271"/>
        <v>0.0001761096025</v>
      </c>
      <c r="AP95" s="386"/>
      <c r="AQ95" s="440"/>
      <c r="AR95" s="391"/>
      <c r="AS95" s="389"/>
      <c r="AT95" s="384"/>
      <c r="AU95" s="385">
        <f t="shared" si="272"/>
        <v>0</v>
      </c>
      <c r="AV95" s="386"/>
      <c r="AW95" s="440"/>
      <c r="AX95" s="386"/>
      <c r="AY95" s="389"/>
      <c r="AZ95" s="384">
        <v>4130.0</v>
      </c>
      <c r="BA95" s="385">
        <f t="shared" si="273"/>
        <v>0.0001683424716</v>
      </c>
      <c r="BB95" s="386"/>
      <c r="BC95" s="440"/>
      <c r="BD95" s="386"/>
      <c r="BE95" s="389"/>
      <c r="BF95" s="384"/>
      <c r="BG95" s="385">
        <f t="shared" si="274"/>
        <v>0</v>
      </c>
      <c r="BH95" s="386"/>
      <c r="BI95" s="440"/>
      <c r="BJ95" s="440"/>
      <c r="BK95" s="389"/>
      <c r="BL95" s="384"/>
      <c r="BM95" s="440"/>
      <c r="BN95" s="386"/>
      <c r="BO95" s="440"/>
      <c r="BP95" s="440"/>
      <c r="BQ95" s="389"/>
      <c r="BR95" s="392"/>
      <c r="BS95" s="440"/>
      <c r="BT95" s="386"/>
      <c r="BU95" s="440"/>
      <c r="BV95" s="440"/>
      <c r="BW95" s="389"/>
      <c r="BX95" s="213"/>
      <c r="BY95" s="213"/>
      <c r="BZ95" s="213"/>
      <c r="CA95" s="213"/>
      <c r="CB95" s="213"/>
      <c r="CC95" s="213"/>
      <c r="CD95" s="213"/>
      <c r="CE95" s="213"/>
      <c r="CF95" s="213"/>
      <c r="CG95" s="213"/>
      <c r="CH95" s="213"/>
      <c r="CI95" s="213"/>
      <c r="CJ95" s="213"/>
      <c r="CK95" s="213"/>
      <c r="CL95" s="213"/>
      <c r="CM95" s="213"/>
      <c r="CN95" s="213"/>
      <c r="CO95" s="213"/>
      <c r="CP95" s="213"/>
      <c r="CQ95" s="213"/>
    </row>
    <row r="96" ht="15.75" customHeight="1">
      <c r="A96" s="213"/>
      <c r="B96" s="393"/>
      <c r="C96" s="350" t="s">
        <v>275</v>
      </c>
      <c r="D96" s="351">
        <f>70800/12</f>
        <v>5900</v>
      </c>
      <c r="E96" s="355"/>
      <c r="F96" s="353">
        <f>70800/12</f>
        <v>5900</v>
      </c>
      <c r="G96" s="355"/>
      <c r="H96" s="353"/>
      <c r="I96" s="394"/>
      <c r="J96" s="351">
        <f>70800/12</f>
        <v>5900</v>
      </c>
      <c r="K96" s="355"/>
      <c r="L96" s="353">
        <f>70800/12</f>
        <v>5900</v>
      </c>
      <c r="M96" s="355"/>
      <c r="N96" s="352"/>
      <c r="O96" s="358"/>
      <c r="P96" s="351">
        <f>70800/12</f>
        <v>5900</v>
      </c>
      <c r="Q96" s="355">
        <f t="shared" si="275"/>
        <v>0.0004321360698</v>
      </c>
      <c r="R96" s="353">
        <f>70800/12</f>
        <v>5900</v>
      </c>
      <c r="S96" s="355"/>
      <c r="T96" s="352"/>
      <c r="U96" s="358"/>
      <c r="V96" s="351">
        <f>70800/12</f>
        <v>5900</v>
      </c>
      <c r="W96" s="355">
        <f t="shared" si="268"/>
        <v>0.0004071178273</v>
      </c>
      <c r="X96" s="353">
        <f>70800/12</f>
        <v>5900</v>
      </c>
      <c r="Y96" s="355"/>
      <c r="Z96" s="352"/>
      <c r="AA96" s="358"/>
      <c r="AB96" s="351">
        <f>70800/12</f>
        <v>5900</v>
      </c>
      <c r="AC96" s="355">
        <f t="shared" si="269"/>
        <v>0.0003837325746</v>
      </c>
      <c r="AD96" s="353">
        <f>70800/12</f>
        <v>5900</v>
      </c>
      <c r="AE96" s="355">
        <f t="shared" si="270"/>
        <v>0.0004042087586</v>
      </c>
      <c r="AF96" s="352"/>
      <c r="AG96" s="358"/>
      <c r="AH96" s="351">
        <f>70800/12</f>
        <v>5900</v>
      </c>
      <c r="AI96" s="355">
        <f t="shared" si="276"/>
        <v>0.0004062276768</v>
      </c>
      <c r="AJ96" s="353">
        <f>70800/12</f>
        <v>5900</v>
      </c>
      <c r="AK96" s="355"/>
      <c r="AL96" s="352"/>
      <c r="AM96" s="358"/>
      <c r="AN96" s="351">
        <f>70800/12</f>
        <v>5900</v>
      </c>
      <c r="AO96" s="355">
        <f t="shared" si="271"/>
        <v>0.0002732176321</v>
      </c>
      <c r="AP96" s="353"/>
      <c r="AQ96" s="355"/>
      <c r="AR96" s="359"/>
      <c r="AS96" s="358"/>
      <c r="AT96" s="351">
        <f>70800/12</f>
        <v>5900</v>
      </c>
      <c r="AU96" s="355">
        <f t="shared" si="272"/>
        <v>0.0002452400848</v>
      </c>
      <c r="AV96" s="353"/>
      <c r="AW96" s="355"/>
      <c r="AX96" s="353"/>
      <c r="AY96" s="358"/>
      <c r="AZ96" s="351">
        <f>70800/12</f>
        <v>5900</v>
      </c>
      <c r="BA96" s="355">
        <f t="shared" si="273"/>
        <v>0.0002404892452</v>
      </c>
      <c r="BB96" s="353"/>
      <c r="BC96" s="355"/>
      <c r="BD96" s="353"/>
      <c r="BE96" s="358"/>
      <c r="BF96" s="351">
        <f>70800/12</f>
        <v>5900</v>
      </c>
      <c r="BG96" s="355">
        <f t="shared" si="274"/>
        <v>0.0002249790496</v>
      </c>
      <c r="BH96" s="353"/>
      <c r="BI96" s="355"/>
      <c r="BJ96" s="352"/>
      <c r="BK96" s="358"/>
      <c r="BL96" s="351">
        <f>70800/12</f>
        <v>5900</v>
      </c>
      <c r="BM96" s="355">
        <f t="shared" ref="BM96:BM97" si="277">BL96/BL$31</f>
        <v>0.0002732945936</v>
      </c>
      <c r="BN96" s="353"/>
      <c r="BO96" s="355"/>
      <c r="BP96" s="352"/>
      <c r="BQ96" s="358"/>
      <c r="BR96" s="360">
        <f>70800/12</f>
        <v>5900</v>
      </c>
      <c r="BS96" s="355"/>
      <c r="BT96" s="353"/>
      <c r="BU96" s="355"/>
      <c r="BV96" s="352"/>
      <c r="BW96" s="358"/>
      <c r="BX96" s="213"/>
      <c r="BY96" s="213"/>
      <c r="BZ96" s="213"/>
      <c r="CA96" s="213"/>
      <c r="CB96" s="213"/>
      <c r="CC96" s="213"/>
      <c r="CD96" s="213"/>
      <c r="CE96" s="213"/>
      <c r="CF96" s="213"/>
      <c r="CG96" s="213"/>
      <c r="CH96" s="213"/>
      <c r="CI96" s="213"/>
      <c r="CJ96" s="213"/>
      <c r="CK96" s="213"/>
      <c r="CL96" s="213"/>
      <c r="CM96" s="213"/>
      <c r="CN96" s="213"/>
      <c r="CO96" s="213"/>
      <c r="CP96" s="213"/>
      <c r="CQ96" s="213"/>
    </row>
    <row r="97" ht="15.75" customHeight="1">
      <c r="A97" s="213"/>
      <c r="B97" s="393"/>
      <c r="C97" s="350" t="s">
        <v>276</v>
      </c>
      <c r="D97" s="351">
        <f>14750+1475+2950+2065+8260</f>
        <v>29500</v>
      </c>
      <c r="E97" s="355">
        <f>D97/$F$31</f>
        <v>0.002031138384</v>
      </c>
      <c r="F97" s="353">
        <v>29500.0</v>
      </c>
      <c r="G97" s="355">
        <f>F97/F$31</f>
        <v>0.002031138384</v>
      </c>
      <c r="H97" s="353">
        <f>D97-F97</f>
        <v>0</v>
      </c>
      <c r="I97" s="394">
        <f>IFERROR((H97/F97),"")</f>
        <v>0</v>
      </c>
      <c r="J97" s="351">
        <f>14750+1475+2950+2065+8260</f>
        <v>29500</v>
      </c>
      <c r="K97" s="355">
        <f>J97/$F$31</f>
        <v>0.002031138384</v>
      </c>
      <c r="L97" s="353">
        <f>$F$97</f>
        <v>29500</v>
      </c>
      <c r="M97" s="355">
        <f>L97/L$31</f>
        <v>0.002212976777</v>
      </c>
      <c r="N97" s="352"/>
      <c r="O97" s="358"/>
      <c r="P97" s="351">
        <f>14750+1475+2950+2065+8260</f>
        <v>29500</v>
      </c>
      <c r="Q97" s="355">
        <f t="shared" si="275"/>
        <v>0.002160680349</v>
      </c>
      <c r="R97" s="353">
        <f>$F$97</f>
        <v>29500</v>
      </c>
      <c r="S97" s="355">
        <f>R97/R$31</f>
        <v>0.002319611664</v>
      </c>
      <c r="T97" s="352"/>
      <c r="U97" s="358"/>
      <c r="V97" s="351">
        <f>14750+1475+2950+2065+8260</f>
        <v>29500</v>
      </c>
      <c r="W97" s="355">
        <f t="shared" si="268"/>
        <v>0.002035589136</v>
      </c>
      <c r="X97" s="353">
        <f>$F$97</f>
        <v>29500</v>
      </c>
      <c r="Y97" s="355">
        <f>X97/X$31</f>
        <v>0.002198019994</v>
      </c>
      <c r="Z97" s="352"/>
      <c r="AA97" s="358"/>
      <c r="AB97" s="351">
        <f>14750+1475+2950+2065+8260</f>
        <v>29500</v>
      </c>
      <c r="AC97" s="355">
        <f t="shared" si="269"/>
        <v>0.001918662873</v>
      </c>
      <c r="AD97" s="353">
        <f>$F$97</f>
        <v>29500</v>
      </c>
      <c r="AE97" s="355">
        <f t="shared" si="270"/>
        <v>0.002021043793</v>
      </c>
      <c r="AF97" s="352"/>
      <c r="AG97" s="358"/>
      <c r="AH97" s="351">
        <f>14750+1475+2950+2065+8260</f>
        <v>29500</v>
      </c>
      <c r="AI97" s="355">
        <f t="shared" si="276"/>
        <v>0.002031138384</v>
      </c>
      <c r="AJ97" s="353">
        <f>$F$97</f>
        <v>29500</v>
      </c>
      <c r="AK97" s="355">
        <f>AJ97/AJ$31</f>
        <v>0.002098137949</v>
      </c>
      <c r="AL97" s="352"/>
      <c r="AM97" s="358"/>
      <c r="AN97" s="351">
        <f>14750+1475+2950+2065+8260</f>
        <v>29500</v>
      </c>
      <c r="AO97" s="355">
        <f t="shared" si="271"/>
        <v>0.00136608816</v>
      </c>
      <c r="AP97" s="353">
        <f>$F$97</f>
        <v>29500</v>
      </c>
      <c r="AQ97" s="355">
        <f>AP97/AP$31</f>
        <v>0.001743604341</v>
      </c>
      <c r="AR97" s="359"/>
      <c r="AS97" s="358"/>
      <c r="AT97" s="351">
        <f>14750+1475+2950+2065+8260</f>
        <v>29500</v>
      </c>
      <c r="AU97" s="355">
        <f t="shared" si="272"/>
        <v>0.001226200424</v>
      </c>
      <c r="AV97" s="353">
        <f>$F$97</f>
        <v>29500</v>
      </c>
      <c r="AW97" s="355">
        <f>AV97/AV$31</f>
        <v>0.001579035124</v>
      </c>
      <c r="AX97" s="353"/>
      <c r="AY97" s="358"/>
      <c r="AZ97" s="351">
        <f>14750+1475+2950+2065+8260</f>
        <v>29500</v>
      </c>
      <c r="BA97" s="355">
        <f t="shared" si="273"/>
        <v>0.001202446226</v>
      </c>
      <c r="BB97" s="353">
        <f>$F$97</f>
        <v>29500</v>
      </c>
      <c r="BC97" s="355">
        <f>BB97/BB$31</f>
        <v>0.001352565562</v>
      </c>
      <c r="BD97" s="353"/>
      <c r="BE97" s="358"/>
      <c r="BF97" s="351">
        <f>14750+1475+2950+2065+8260</f>
        <v>29500</v>
      </c>
      <c r="BG97" s="355">
        <f t="shared" si="274"/>
        <v>0.001124895248</v>
      </c>
      <c r="BH97" s="353">
        <f>$F$97</f>
        <v>29500</v>
      </c>
      <c r="BI97" s="355">
        <f>BH97/BH$31</f>
        <v>0.001467534797</v>
      </c>
      <c r="BJ97" s="352"/>
      <c r="BK97" s="358"/>
      <c r="BL97" s="351">
        <f>14750+1475+2950+2065+8260</f>
        <v>29500</v>
      </c>
      <c r="BM97" s="355">
        <f t="shared" si="277"/>
        <v>0.001366472968</v>
      </c>
      <c r="BN97" s="353">
        <f>$F$97</f>
        <v>29500</v>
      </c>
      <c r="BO97" s="355">
        <f>BN97/BN$31</f>
        <v>0.001602936014</v>
      </c>
      <c r="BP97" s="352"/>
      <c r="BQ97" s="358"/>
      <c r="BR97" s="414">
        <v>29500.0</v>
      </c>
      <c r="BS97" s="355">
        <f>BR97/BR$31</f>
        <v>0.001332299878</v>
      </c>
      <c r="BT97" s="353">
        <f>$F$97</f>
        <v>29500</v>
      </c>
      <c r="BU97" s="355">
        <f>BT97/BT$31</f>
        <v>0.001589858792</v>
      </c>
      <c r="BV97" s="352"/>
      <c r="BW97" s="358"/>
      <c r="BX97" s="213"/>
      <c r="BY97" s="213"/>
      <c r="BZ97" s="213"/>
      <c r="CA97" s="213"/>
      <c r="CB97" s="213"/>
      <c r="CC97" s="213"/>
      <c r="CD97" s="213"/>
      <c r="CE97" s="213"/>
      <c r="CF97" s="213"/>
      <c r="CG97" s="213"/>
      <c r="CH97" s="213"/>
      <c r="CI97" s="213"/>
      <c r="CJ97" s="213"/>
      <c r="CK97" s="213"/>
      <c r="CL97" s="213"/>
      <c r="CM97" s="213"/>
      <c r="CN97" s="213"/>
      <c r="CO97" s="213"/>
      <c r="CP97" s="213"/>
      <c r="CQ97" s="213"/>
    </row>
    <row r="98" ht="15.75" customHeight="1">
      <c r="A98" s="213"/>
      <c r="B98" s="403"/>
      <c r="C98" s="362"/>
      <c r="D98" s="363"/>
      <c r="E98" s="364"/>
      <c r="F98" s="365"/>
      <c r="G98" s="364"/>
      <c r="H98" s="365"/>
      <c r="I98" s="366"/>
      <c r="J98" s="363"/>
      <c r="K98" s="364"/>
      <c r="L98" s="365"/>
      <c r="M98" s="364"/>
      <c r="N98" s="364"/>
      <c r="O98" s="368"/>
      <c r="P98" s="363"/>
      <c r="Q98" s="364"/>
      <c r="R98" s="365"/>
      <c r="S98" s="364"/>
      <c r="T98" s="364"/>
      <c r="U98" s="368"/>
      <c r="V98" s="363"/>
      <c r="W98" s="364"/>
      <c r="X98" s="365"/>
      <c r="Y98" s="364"/>
      <c r="Z98" s="364"/>
      <c r="AA98" s="368"/>
      <c r="AB98" s="363"/>
      <c r="AC98" s="364"/>
      <c r="AD98" s="365"/>
      <c r="AE98" s="364"/>
      <c r="AF98" s="364"/>
      <c r="AG98" s="368"/>
      <c r="AH98" s="363"/>
      <c r="AI98" s="404">
        <f t="shared" si="276"/>
        <v>0</v>
      </c>
      <c r="AJ98" s="365"/>
      <c r="AK98" s="364"/>
      <c r="AL98" s="364"/>
      <c r="AM98" s="368"/>
      <c r="AN98" s="363"/>
      <c r="AO98" s="404">
        <f t="shared" si="271"/>
        <v>0</v>
      </c>
      <c r="AP98" s="365"/>
      <c r="AQ98" s="364"/>
      <c r="AR98" s="369"/>
      <c r="AS98" s="368"/>
      <c r="AT98" s="363"/>
      <c r="AU98" s="404">
        <f t="shared" si="272"/>
        <v>0</v>
      </c>
      <c r="AV98" s="365"/>
      <c r="AW98" s="364"/>
      <c r="AX98" s="365"/>
      <c r="AY98" s="368"/>
      <c r="AZ98" s="363"/>
      <c r="BA98" s="404">
        <f t="shared" si="273"/>
        <v>0</v>
      </c>
      <c r="BB98" s="365"/>
      <c r="BC98" s="364"/>
      <c r="BD98" s="365"/>
      <c r="BE98" s="368"/>
      <c r="BF98" s="363"/>
      <c r="BG98" s="404">
        <f t="shared" si="274"/>
        <v>0</v>
      </c>
      <c r="BH98" s="365"/>
      <c r="BI98" s="364"/>
      <c r="BJ98" s="364"/>
      <c r="BK98" s="368"/>
      <c r="BL98" s="363"/>
      <c r="BM98" s="364"/>
      <c r="BN98" s="365"/>
      <c r="BO98" s="364"/>
      <c r="BP98" s="364"/>
      <c r="BQ98" s="368"/>
      <c r="BR98" s="370"/>
      <c r="BS98" s="364"/>
      <c r="BT98" s="365"/>
      <c r="BU98" s="364"/>
      <c r="BV98" s="364"/>
      <c r="BW98" s="368"/>
      <c r="BX98" s="213"/>
      <c r="BY98" s="213"/>
      <c r="BZ98" s="213"/>
      <c r="CA98" s="213"/>
      <c r="CB98" s="213"/>
      <c r="CC98" s="213"/>
      <c r="CD98" s="213"/>
      <c r="CE98" s="213"/>
      <c r="CF98" s="213"/>
      <c r="CG98" s="213"/>
      <c r="CH98" s="213"/>
      <c r="CI98" s="213"/>
      <c r="CJ98" s="213"/>
      <c r="CK98" s="213"/>
      <c r="CL98" s="213"/>
      <c r="CM98" s="213"/>
      <c r="CN98" s="213"/>
      <c r="CO98" s="213"/>
      <c r="CP98" s="213"/>
      <c r="CQ98" s="213"/>
    </row>
    <row r="99" ht="15.75" customHeight="1">
      <c r="A99" s="213"/>
      <c r="B99" s="407"/>
      <c r="C99" s="447" t="s">
        <v>41</v>
      </c>
      <c r="D99" s="373">
        <f>SUM(D100:D105)+D106+D112+D114+D116+D118+D120</f>
        <v>320516.0833</v>
      </c>
      <c r="E99" s="374">
        <f t="shared" ref="E99:E101" si="279">D99/D$31</f>
        <v>0.02031328148</v>
      </c>
      <c r="F99" s="375">
        <f>SUM(F100:F118)</f>
        <v>314744</v>
      </c>
      <c r="G99" s="374">
        <f t="shared" ref="G99:G101" si="280">F99/F$31</f>
        <v>0.02167080066</v>
      </c>
      <c r="H99" s="375">
        <f>SUM(H100:H118)</f>
        <v>5735.083333</v>
      </c>
      <c r="I99" s="376">
        <f>H99/H$31</f>
        <v>0.004570620484</v>
      </c>
      <c r="J99" s="373">
        <f t="shared" ref="J99:BR99" si="278">SUM(J100:J105)+J106+J112+J114+J116+J118+J120</f>
        <v>307876.0833</v>
      </c>
      <c r="K99" s="373">
        <f t="shared" si="278"/>
        <v>0.0200407315</v>
      </c>
      <c r="L99" s="373">
        <f t="shared" si="278"/>
        <v>280710</v>
      </c>
      <c r="M99" s="373">
        <f t="shared" si="278"/>
        <v>0.02105778682</v>
      </c>
      <c r="N99" s="373">
        <f t="shared" si="278"/>
        <v>0</v>
      </c>
      <c r="O99" s="373">
        <f t="shared" si="278"/>
        <v>0</v>
      </c>
      <c r="P99" s="373">
        <f t="shared" si="278"/>
        <v>303026.0833</v>
      </c>
      <c r="Q99" s="373">
        <f t="shared" si="278"/>
        <v>0.02219466114</v>
      </c>
      <c r="R99" s="373">
        <f t="shared" si="278"/>
        <v>283203</v>
      </c>
      <c r="S99" s="373">
        <f t="shared" si="278"/>
        <v>0.02226850787</v>
      </c>
      <c r="T99" s="373">
        <f t="shared" si="278"/>
        <v>0</v>
      </c>
      <c r="U99" s="373">
        <f t="shared" si="278"/>
        <v>0</v>
      </c>
      <c r="V99" s="373">
        <f t="shared" si="278"/>
        <v>375080.0833</v>
      </c>
      <c r="W99" s="373">
        <f t="shared" si="278"/>
        <v>0.02588165908</v>
      </c>
      <c r="X99" s="373">
        <f t="shared" si="278"/>
        <v>283203</v>
      </c>
      <c r="Y99" s="373">
        <f t="shared" si="278"/>
        <v>0.02110121547</v>
      </c>
      <c r="Z99" s="373">
        <f t="shared" si="278"/>
        <v>0</v>
      </c>
      <c r="AA99" s="373">
        <f t="shared" si="278"/>
        <v>0</v>
      </c>
      <c r="AB99" s="373">
        <f t="shared" si="278"/>
        <v>302694.0833</v>
      </c>
      <c r="AC99" s="373">
        <f t="shared" si="278"/>
        <v>0.01773586486</v>
      </c>
      <c r="AD99" s="373">
        <f t="shared" si="278"/>
        <v>283203</v>
      </c>
      <c r="AE99" s="373">
        <f t="shared" si="278"/>
        <v>0.01940222594</v>
      </c>
      <c r="AF99" s="373">
        <f t="shared" si="278"/>
        <v>0</v>
      </c>
      <c r="AG99" s="373">
        <f t="shared" si="278"/>
        <v>0</v>
      </c>
      <c r="AH99" s="373">
        <f t="shared" si="278"/>
        <v>378490.0833</v>
      </c>
      <c r="AI99" s="373">
        <f t="shared" si="278"/>
        <v>0.02605985547</v>
      </c>
      <c r="AJ99" s="373">
        <f t="shared" si="278"/>
        <v>283203</v>
      </c>
      <c r="AK99" s="373">
        <f t="shared" si="278"/>
        <v>0.02014233768</v>
      </c>
      <c r="AL99" s="373">
        <f t="shared" si="278"/>
        <v>0</v>
      </c>
      <c r="AM99" s="373">
        <f t="shared" si="278"/>
        <v>0</v>
      </c>
      <c r="AN99" s="373">
        <f t="shared" si="278"/>
        <v>312345.0833</v>
      </c>
      <c r="AO99" s="373">
        <f t="shared" si="278"/>
        <v>0.01446409899</v>
      </c>
      <c r="AP99" s="373">
        <f t="shared" si="278"/>
        <v>283203</v>
      </c>
      <c r="AQ99" s="373">
        <f t="shared" si="278"/>
        <v>0.01673877899</v>
      </c>
      <c r="AR99" s="373">
        <f t="shared" si="278"/>
        <v>0</v>
      </c>
      <c r="AS99" s="373">
        <f t="shared" si="278"/>
        <v>0</v>
      </c>
      <c r="AT99" s="373">
        <f t="shared" si="278"/>
        <v>283929.25</v>
      </c>
      <c r="AU99" s="373">
        <f t="shared" si="278"/>
        <v>0.01180183616</v>
      </c>
      <c r="AV99" s="373">
        <f t="shared" si="278"/>
        <v>287913.1667</v>
      </c>
      <c r="AW99" s="373">
        <f t="shared" si="278"/>
        <v>0.01541101704</v>
      </c>
      <c r="AX99" s="373">
        <f t="shared" si="278"/>
        <v>0</v>
      </c>
      <c r="AY99" s="373">
        <f t="shared" si="278"/>
        <v>0</v>
      </c>
      <c r="AZ99" s="373">
        <f t="shared" si="278"/>
        <v>316546.4167</v>
      </c>
      <c r="BA99" s="373">
        <f t="shared" si="278"/>
        <v>0.01290271336</v>
      </c>
      <c r="BB99" s="373">
        <f t="shared" si="278"/>
        <v>283203</v>
      </c>
      <c r="BC99" s="373">
        <f t="shared" si="278"/>
        <v>0.01298476695</v>
      </c>
      <c r="BD99" s="373">
        <f t="shared" si="278"/>
        <v>0</v>
      </c>
      <c r="BE99" s="373">
        <f t="shared" si="278"/>
        <v>0</v>
      </c>
      <c r="BF99" s="373">
        <f t="shared" si="278"/>
        <v>383452.4167</v>
      </c>
      <c r="BG99" s="373">
        <f t="shared" si="278"/>
        <v>0.01462182377</v>
      </c>
      <c r="BH99" s="373">
        <f t="shared" si="278"/>
        <v>283203</v>
      </c>
      <c r="BI99" s="373">
        <f t="shared" si="278"/>
        <v>0.01408848329</v>
      </c>
      <c r="BJ99" s="373">
        <f t="shared" si="278"/>
        <v>0</v>
      </c>
      <c r="BK99" s="373">
        <f t="shared" si="278"/>
        <v>0</v>
      </c>
      <c r="BL99" s="373">
        <f t="shared" si="278"/>
        <v>408377.2167</v>
      </c>
      <c r="BM99" s="373">
        <f t="shared" si="278"/>
        <v>0.01891648906</v>
      </c>
      <c r="BN99" s="373">
        <f t="shared" si="278"/>
        <v>283203</v>
      </c>
      <c r="BO99" s="373">
        <f t="shared" si="278"/>
        <v>0.01538834874</v>
      </c>
      <c r="BP99" s="373">
        <f t="shared" si="278"/>
        <v>0</v>
      </c>
      <c r="BQ99" s="373">
        <f t="shared" si="278"/>
        <v>0</v>
      </c>
      <c r="BR99" s="373">
        <f t="shared" si="278"/>
        <v>397106.4167</v>
      </c>
      <c r="BS99" s="374">
        <f t="shared" ref="BS99:BS101" si="281">BR99/BR$31</f>
        <v>0.01793440103</v>
      </c>
      <c r="BT99" s="375">
        <f>SUM(BT100:BT104)</f>
        <v>126294</v>
      </c>
      <c r="BU99" s="374">
        <f t="shared" ref="BU99:BU101" si="282">BT99/BT$31</f>
        <v>0.006806428009</v>
      </c>
      <c r="BV99" s="377">
        <f>SUM(BV100:BV120)</f>
        <v>0</v>
      </c>
      <c r="BW99" s="378"/>
      <c r="BX99" s="328">
        <f>SUM(D99,J99,P99,V99,AB99,AH99,AN99,AT99,AZ99,BF99,BL99,BR99)</f>
        <v>4089439.3</v>
      </c>
      <c r="BY99" s="216"/>
      <c r="BZ99" s="216"/>
      <c r="CA99" s="216"/>
      <c r="CB99" s="216"/>
      <c r="CC99" s="216"/>
      <c r="CD99" s="216"/>
      <c r="CE99" s="216"/>
      <c r="CF99" s="216"/>
      <c r="CG99" s="216"/>
      <c r="CH99" s="216"/>
      <c r="CI99" s="216"/>
      <c r="CJ99" s="216"/>
      <c r="CK99" s="216"/>
      <c r="CL99" s="216"/>
      <c r="CM99" s="216"/>
      <c r="CN99" s="216"/>
      <c r="CO99" s="216"/>
      <c r="CP99" s="216"/>
      <c r="CQ99" s="216"/>
    </row>
    <row r="100" ht="15.75" customHeight="1">
      <c r="A100" s="213"/>
      <c r="B100" s="444"/>
      <c r="C100" s="383" t="s">
        <v>277</v>
      </c>
      <c r="D100" s="384">
        <f>4000</f>
        <v>4000</v>
      </c>
      <c r="E100" s="385">
        <f t="shared" si="279"/>
        <v>0.0002535071722</v>
      </c>
      <c r="F100" s="386">
        <v>0.0</v>
      </c>
      <c r="G100" s="385">
        <f t="shared" si="280"/>
        <v>0</v>
      </c>
      <c r="H100" s="386">
        <f t="shared" ref="H100:H101" si="283">D100-F100</f>
        <v>4000</v>
      </c>
      <c r="I100" s="387" t="str">
        <f t="shared" ref="I100:I101" si="284">IFERROR((H100/F100),"")</f>
        <v/>
      </c>
      <c r="J100" s="384">
        <v>0.0</v>
      </c>
      <c r="K100" s="385">
        <f t="shared" ref="K100:K101" si="285">J100/J$31</f>
        <v>0</v>
      </c>
      <c r="L100" s="386">
        <v>6000.0</v>
      </c>
      <c r="M100" s="385">
        <f t="shared" ref="M100:M101" si="286">L100/L$31</f>
        <v>0.0004500969716</v>
      </c>
      <c r="N100" s="440"/>
      <c r="O100" s="389"/>
      <c r="P100" s="384"/>
      <c r="Q100" s="385">
        <f t="shared" ref="Q100:Q101" si="287">IFERROR(P100/P$31,)</f>
        <v>0</v>
      </c>
      <c r="R100" s="386">
        <v>6000.0</v>
      </c>
      <c r="S100" s="385">
        <f t="shared" ref="S100:S101" si="288">R100/R$31</f>
        <v>0.0004717854232</v>
      </c>
      <c r="T100" s="440"/>
      <c r="U100" s="389"/>
      <c r="V100" s="384"/>
      <c r="W100" s="385">
        <f t="shared" ref="W100:W101" si="289">V100/V$31</f>
        <v>0</v>
      </c>
      <c r="X100" s="386">
        <v>6000.0</v>
      </c>
      <c r="Y100" s="385">
        <f t="shared" ref="Y100:Y101" si="290">X100/X$31</f>
        <v>0.000447054914</v>
      </c>
      <c r="Z100" s="440"/>
      <c r="AA100" s="389"/>
      <c r="AB100" s="384"/>
      <c r="AC100" s="385">
        <f t="shared" ref="AC100:AC101" si="291">AB100/AB$31</f>
        <v>0</v>
      </c>
      <c r="AD100" s="386">
        <v>6000.0</v>
      </c>
      <c r="AE100" s="385">
        <f t="shared" ref="AE100:AE101" si="292">AD100/AD$31</f>
        <v>0.0004110597545</v>
      </c>
      <c r="AF100" s="440"/>
      <c r="AG100" s="389"/>
      <c r="AH100" s="384"/>
      <c r="AI100" s="385">
        <f t="shared" ref="AI100:AI101" si="293">AH100/$F$31</f>
        <v>0</v>
      </c>
      <c r="AJ100" s="386">
        <v>6000.0</v>
      </c>
      <c r="AK100" s="385">
        <f t="shared" ref="AK100:AK101" si="294">AJ100/AJ$31</f>
        <v>0.0004267399218</v>
      </c>
      <c r="AL100" s="440"/>
      <c r="AM100" s="389"/>
      <c r="AN100" s="384"/>
      <c r="AO100" s="385">
        <f t="shared" ref="AO100:AO101" si="295">AN100/AN$31</f>
        <v>0</v>
      </c>
      <c r="AP100" s="386">
        <v>6000.0</v>
      </c>
      <c r="AQ100" s="385">
        <f t="shared" ref="AQ100:AQ101" si="296">AP100/AP$31</f>
        <v>0.0003546313914</v>
      </c>
      <c r="AR100" s="391"/>
      <c r="AS100" s="389"/>
      <c r="AT100" s="384"/>
      <c r="AU100" s="385">
        <f t="shared" ref="AU100:AU101" si="297">AT100/AT$31</f>
        <v>0</v>
      </c>
      <c r="AV100" s="386">
        <v>6000.0</v>
      </c>
      <c r="AW100" s="385">
        <f t="shared" ref="AW100:AW101" si="298">AV100/AV$31</f>
        <v>0.0003211596862</v>
      </c>
      <c r="AX100" s="386"/>
      <c r="AY100" s="389"/>
      <c r="AZ100" s="384"/>
      <c r="BA100" s="385">
        <f t="shared" ref="BA100:BA101" si="299">AZ100/AZ$31</f>
        <v>0</v>
      </c>
      <c r="BB100" s="386">
        <v>6000.0</v>
      </c>
      <c r="BC100" s="385">
        <f t="shared" ref="BC100:BC101" si="300">BB100/BB$31</f>
        <v>0.0002750980805</v>
      </c>
      <c r="BD100" s="386"/>
      <c r="BE100" s="389"/>
      <c r="BF100" s="384"/>
      <c r="BG100" s="385">
        <f t="shared" ref="BG100:BG101" si="301">BF100/BF$31</f>
        <v>0</v>
      </c>
      <c r="BH100" s="386">
        <v>6000.0</v>
      </c>
      <c r="BI100" s="385">
        <f t="shared" ref="BI100:BI101" si="302">BH100/BH$31</f>
        <v>0.0002984816537</v>
      </c>
      <c r="BJ100" s="440"/>
      <c r="BK100" s="389"/>
      <c r="BL100" s="384"/>
      <c r="BM100" s="355">
        <f t="shared" ref="BM100:BM104" si="303">BL100/BL$31</f>
        <v>0</v>
      </c>
      <c r="BN100" s="386">
        <v>6000.0</v>
      </c>
      <c r="BO100" s="385">
        <f t="shared" ref="BO100:BO101" si="304">BN100/BN$31</f>
        <v>0.0003260208841</v>
      </c>
      <c r="BP100" s="440"/>
      <c r="BQ100" s="389"/>
      <c r="BR100" s="392"/>
      <c r="BS100" s="385">
        <f t="shared" si="281"/>
        <v>0</v>
      </c>
      <c r="BT100" s="386">
        <v>6000.0</v>
      </c>
      <c r="BU100" s="385">
        <f t="shared" si="282"/>
        <v>0.0003233611102</v>
      </c>
      <c r="BV100" s="440"/>
      <c r="BW100" s="389"/>
      <c r="BX100" s="213"/>
      <c r="BY100" s="213"/>
      <c r="BZ100" s="213"/>
      <c r="CA100" s="213"/>
      <c r="CB100" s="213"/>
      <c r="CC100" s="213"/>
      <c r="CD100" s="213"/>
      <c r="CE100" s="213"/>
      <c r="CF100" s="213"/>
      <c r="CG100" s="213"/>
      <c r="CH100" s="213"/>
      <c r="CI100" s="213"/>
      <c r="CJ100" s="213"/>
      <c r="CK100" s="213"/>
      <c r="CL100" s="213"/>
      <c r="CM100" s="213"/>
      <c r="CN100" s="213"/>
      <c r="CO100" s="213"/>
      <c r="CP100" s="213"/>
      <c r="CQ100" s="213"/>
    </row>
    <row r="101" ht="15.75" customHeight="1">
      <c r="A101" s="213"/>
      <c r="B101" s="393"/>
      <c r="C101" s="350" t="s">
        <v>278</v>
      </c>
      <c r="D101" s="351">
        <v>293.0</v>
      </c>
      <c r="E101" s="355">
        <f t="shared" si="279"/>
        <v>0.00001856940036</v>
      </c>
      <c r="F101" s="353">
        <v>1000.0</v>
      </c>
      <c r="G101" s="355">
        <f t="shared" si="280"/>
        <v>0.00006885214862</v>
      </c>
      <c r="H101" s="353">
        <f t="shared" si="283"/>
        <v>-707</v>
      </c>
      <c r="I101" s="394">
        <f t="shared" si="284"/>
        <v>-0.707</v>
      </c>
      <c r="J101" s="351">
        <v>0.0</v>
      </c>
      <c r="K101" s="355">
        <f t="shared" si="285"/>
        <v>0</v>
      </c>
      <c r="L101" s="353">
        <v>1000.0</v>
      </c>
      <c r="M101" s="355">
        <f t="shared" si="286"/>
        <v>0.00007501616193</v>
      </c>
      <c r="N101" s="352"/>
      <c r="O101" s="358"/>
      <c r="P101" s="351">
        <v>715.0</v>
      </c>
      <c r="Q101" s="355">
        <f t="shared" si="287"/>
        <v>0.00005236903219</v>
      </c>
      <c r="R101" s="353">
        <v>1000.0</v>
      </c>
      <c r="S101" s="355">
        <f t="shared" si="288"/>
        <v>0.00007863090386</v>
      </c>
      <c r="T101" s="352"/>
      <c r="U101" s="358"/>
      <c r="V101" s="351">
        <v>200.0</v>
      </c>
      <c r="W101" s="355">
        <f t="shared" si="289"/>
        <v>0.00001380060431</v>
      </c>
      <c r="X101" s="353">
        <v>1000.0</v>
      </c>
      <c r="Y101" s="355">
        <f t="shared" si="290"/>
        <v>0.00007450915233</v>
      </c>
      <c r="Z101" s="352"/>
      <c r="AA101" s="358"/>
      <c r="AB101" s="351"/>
      <c r="AC101" s="355">
        <f t="shared" si="291"/>
        <v>0</v>
      </c>
      <c r="AD101" s="353">
        <v>1000.0</v>
      </c>
      <c r="AE101" s="355">
        <f t="shared" si="292"/>
        <v>0.00006850995909</v>
      </c>
      <c r="AF101" s="352"/>
      <c r="AG101" s="358"/>
      <c r="AH101" s="351"/>
      <c r="AI101" s="355">
        <f t="shared" si="293"/>
        <v>0</v>
      </c>
      <c r="AJ101" s="353">
        <v>1000.0</v>
      </c>
      <c r="AK101" s="355">
        <f t="shared" si="294"/>
        <v>0.0000711233203</v>
      </c>
      <c r="AL101" s="352"/>
      <c r="AM101" s="358"/>
      <c r="AN101" s="351">
        <v>751.0</v>
      </c>
      <c r="AO101" s="355">
        <f t="shared" si="295"/>
        <v>0.000034777363</v>
      </c>
      <c r="AP101" s="353">
        <v>1000.0</v>
      </c>
      <c r="AQ101" s="355">
        <f t="shared" si="296"/>
        <v>0.0000591052319</v>
      </c>
      <c r="AR101" s="359"/>
      <c r="AS101" s="358"/>
      <c r="AT101" s="351">
        <v>574.0</v>
      </c>
      <c r="AU101" s="355">
        <f t="shared" si="297"/>
        <v>0.00002385895062</v>
      </c>
      <c r="AV101" s="353">
        <v>1000.0</v>
      </c>
      <c r="AW101" s="355">
        <f t="shared" si="298"/>
        <v>0.00005352661437</v>
      </c>
      <c r="AX101" s="353"/>
      <c r="AY101" s="358"/>
      <c r="AZ101" s="351">
        <f>257+15580</f>
        <v>15837</v>
      </c>
      <c r="BA101" s="355">
        <f t="shared" si="299"/>
        <v>0.0006455301992</v>
      </c>
      <c r="BB101" s="353">
        <v>1000.0</v>
      </c>
      <c r="BC101" s="355">
        <f t="shared" si="300"/>
        <v>0.00004584968008</v>
      </c>
      <c r="BD101" s="353"/>
      <c r="BE101" s="358"/>
      <c r="BF101" s="351"/>
      <c r="BG101" s="355">
        <f t="shared" si="301"/>
        <v>0</v>
      </c>
      <c r="BH101" s="353">
        <v>1000.0</v>
      </c>
      <c r="BI101" s="355">
        <f t="shared" si="302"/>
        <v>0.00004974694228</v>
      </c>
      <c r="BJ101" s="352"/>
      <c r="BK101" s="358"/>
      <c r="BL101" s="351"/>
      <c r="BM101" s="355">
        <f t="shared" si="303"/>
        <v>0</v>
      </c>
      <c r="BN101" s="353">
        <v>1000.0</v>
      </c>
      <c r="BO101" s="355">
        <f t="shared" si="304"/>
        <v>0.00005433681402</v>
      </c>
      <c r="BP101" s="352"/>
      <c r="BQ101" s="358"/>
      <c r="BR101" s="360"/>
      <c r="BS101" s="355">
        <f t="shared" si="281"/>
        <v>0</v>
      </c>
      <c r="BT101" s="353">
        <v>1000.0</v>
      </c>
      <c r="BU101" s="355">
        <f t="shared" si="282"/>
        <v>0.00005389351837</v>
      </c>
      <c r="BV101" s="352"/>
      <c r="BW101" s="358"/>
      <c r="BX101" s="213"/>
      <c r="BY101" s="213"/>
      <c r="BZ101" s="213"/>
      <c r="CA101" s="213"/>
      <c r="CB101" s="213"/>
      <c r="CC101" s="213"/>
      <c r="CD101" s="213"/>
      <c r="CE101" s="213"/>
      <c r="CF101" s="213"/>
      <c r="CG101" s="213"/>
      <c r="CH101" s="213"/>
      <c r="CI101" s="213"/>
      <c r="CJ101" s="213"/>
      <c r="CK101" s="213"/>
      <c r="CL101" s="213"/>
      <c r="CM101" s="213"/>
      <c r="CN101" s="213"/>
      <c r="CO101" s="213"/>
      <c r="CP101" s="213"/>
      <c r="CQ101" s="213"/>
    </row>
    <row r="102" ht="15.75" customHeight="1">
      <c r="A102" s="213"/>
      <c r="B102" s="393"/>
      <c r="C102" s="350" t="s">
        <v>279</v>
      </c>
      <c r="D102" s="351"/>
      <c r="E102" s="355"/>
      <c r="F102" s="353"/>
      <c r="G102" s="355"/>
      <c r="H102" s="353"/>
      <c r="I102" s="394"/>
      <c r="J102" s="351"/>
      <c r="K102" s="355"/>
      <c r="L102" s="353"/>
      <c r="M102" s="355"/>
      <c r="N102" s="352"/>
      <c r="O102" s="358"/>
      <c r="P102" s="351"/>
      <c r="Q102" s="355"/>
      <c r="R102" s="353"/>
      <c r="S102" s="355"/>
      <c r="T102" s="352"/>
      <c r="U102" s="358"/>
      <c r="V102" s="351"/>
      <c r="W102" s="355"/>
      <c r="X102" s="353"/>
      <c r="Y102" s="355"/>
      <c r="Z102" s="352"/>
      <c r="AA102" s="358"/>
      <c r="AB102" s="351"/>
      <c r="AC102" s="355"/>
      <c r="AD102" s="353"/>
      <c r="AE102" s="355"/>
      <c r="AF102" s="352"/>
      <c r="AG102" s="358"/>
      <c r="AH102" s="351"/>
      <c r="AI102" s="355"/>
      <c r="AJ102" s="353"/>
      <c r="AK102" s="355"/>
      <c r="AL102" s="352"/>
      <c r="AM102" s="358"/>
      <c r="AN102" s="351"/>
      <c r="AO102" s="355"/>
      <c r="AP102" s="353"/>
      <c r="AQ102" s="355"/>
      <c r="AR102" s="359"/>
      <c r="AS102" s="358"/>
      <c r="AT102" s="351"/>
      <c r="AU102" s="355"/>
      <c r="AV102" s="353"/>
      <c r="AW102" s="355"/>
      <c r="AX102" s="353"/>
      <c r="AY102" s="358"/>
      <c r="AZ102" s="351"/>
      <c r="BA102" s="355"/>
      <c r="BB102" s="353"/>
      <c r="BC102" s="355"/>
      <c r="BD102" s="353"/>
      <c r="BE102" s="358"/>
      <c r="BF102" s="351"/>
      <c r="BG102" s="355"/>
      <c r="BH102" s="353"/>
      <c r="BI102" s="355"/>
      <c r="BJ102" s="352"/>
      <c r="BK102" s="358"/>
      <c r="BL102" s="396">
        <v>110526.8</v>
      </c>
      <c r="BM102" s="355">
        <f t="shared" si="303"/>
        <v>0.005119724896</v>
      </c>
      <c r="BN102" s="353"/>
      <c r="BO102" s="355"/>
      <c r="BP102" s="352"/>
      <c r="BQ102" s="358"/>
      <c r="BR102" s="360"/>
      <c r="BS102" s="355"/>
      <c r="BT102" s="353"/>
      <c r="BU102" s="355"/>
      <c r="BV102" s="352"/>
      <c r="BW102" s="358"/>
      <c r="BX102" s="213"/>
      <c r="BY102" s="213"/>
      <c r="BZ102" s="213"/>
      <c r="CA102" s="213"/>
      <c r="CB102" s="213"/>
      <c r="CC102" s="213"/>
      <c r="CD102" s="213"/>
      <c r="CE102" s="213"/>
      <c r="CF102" s="213"/>
      <c r="CG102" s="213"/>
      <c r="CH102" s="213"/>
      <c r="CI102" s="213"/>
      <c r="CJ102" s="213"/>
      <c r="CK102" s="213"/>
      <c r="CL102" s="213"/>
      <c r="CM102" s="213"/>
      <c r="CN102" s="213"/>
      <c r="CO102" s="213"/>
      <c r="CP102" s="213"/>
      <c r="CQ102" s="213"/>
    </row>
    <row r="103" ht="15.75" customHeight="1">
      <c r="A103" s="213"/>
      <c r="B103" s="393"/>
      <c r="C103" s="350" t="s">
        <v>280</v>
      </c>
      <c r="D103" s="351">
        <f>(66710/12)+86402</f>
        <v>91961.16667</v>
      </c>
      <c r="E103" s="355">
        <f t="shared" ref="E103:E104" si="305">D103/D$31</f>
        <v>0.005828203828</v>
      </c>
      <c r="F103" s="353">
        <v>91961.0</v>
      </c>
      <c r="G103" s="355">
        <f t="shared" ref="G103:G104" si="306">F103/F$31</f>
        <v>0.006331712439</v>
      </c>
      <c r="H103" s="353">
        <f t="shared" ref="H103:H104" si="307">D103-F103</f>
        <v>0.1666666667</v>
      </c>
      <c r="I103" s="394">
        <f t="shared" ref="I103:I104" si="308">IFERROR((H103/F103),"")</f>
        <v>0.000001812362487</v>
      </c>
      <c r="J103" s="351">
        <f>86402+(66710/12)</f>
        <v>91961.16667</v>
      </c>
      <c r="K103" s="355">
        <f t="shared" ref="K103:K104" si="309">J103/J$31</f>
        <v>0.005986074103</v>
      </c>
      <c r="L103" s="353">
        <f>$F$103</f>
        <v>91961</v>
      </c>
      <c r="M103" s="355">
        <f t="shared" ref="M103:M104" si="310">L103/L$31</f>
        <v>0.006898561267</v>
      </c>
      <c r="N103" s="352"/>
      <c r="O103" s="358"/>
      <c r="P103" s="351">
        <f>86402+(66710/12)</f>
        <v>91961.16667</v>
      </c>
      <c r="Q103" s="355">
        <f t="shared" ref="Q103:Q104" si="311">IFERROR(P103/P$31,)</f>
        <v>0.006735548668</v>
      </c>
      <c r="R103" s="353">
        <f>$F$103</f>
        <v>91961</v>
      </c>
      <c r="S103" s="355">
        <f t="shared" ref="S103:S104" si="312">R103/R$31</f>
        <v>0.00723097655</v>
      </c>
      <c r="T103" s="352"/>
      <c r="U103" s="358"/>
      <c r="V103" s="351">
        <f>86402+(66710/12)</f>
        <v>91961.16667</v>
      </c>
      <c r="W103" s="355">
        <f t="shared" ref="W103:W104" si="313">V103/V$31</f>
        <v>0.006345598367</v>
      </c>
      <c r="X103" s="353">
        <f>$F$103</f>
        <v>91961</v>
      </c>
      <c r="Y103" s="355">
        <f t="shared" ref="Y103:Y104" si="314">X103/X$31</f>
        <v>0.006851936158</v>
      </c>
      <c r="Z103" s="352"/>
      <c r="AA103" s="358"/>
      <c r="AB103" s="351">
        <f>86402+(66710/12)</f>
        <v>91961.16667</v>
      </c>
      <c r="AC103" s="355">
        <f t="shared" ref="AC103:AC104" si="315">AB103/AB$31</f>
        <v>0.005981100889</v>
      </c>
      <c r="AD103" s="353">
        <f>$F$103</f>
        <v>91961</v>
      </c>
      <c r="AE103" s="355">
        <f t="shared" ref="AE103:AE104" si="316">AD103/AD$31</f>
        <v>0.006300244348</v>
      </c>
      <c r="AF103" s="352"/>
      <c r="AG103" s="358"/>
      <c r="AH103" s="351">
        <f>86402+(66710/12)</f>
        <v>91961.16667</v>
      </c>
      <c r="AI103" s="355">
        <f t="shared" ref="AI103:AI107" si="317">AH103/$F$31</f>
        <v>0.006331723914</v>
      </c>
      <c r="AJ103" s="353">
        <f>$F$103</f>
        <v>91961</v>
      </c>
      <c r="AK103" s="355">
        <f t="shared" ref="AK103:AK104" si="318">AJ103/AJ$31</f>
        <v>0.006540571658</v>
      </c>
      <c r="AL103" s="352"/>
      <c r="AM103" s="358"/>
      <c r="AN103" s="351">
        <f>86402+(66710/12)</f>
        <v>91961.16667</v>
      </c>
      <c r="AO103" s="355">
        <f t="shared" ref="AO103:AO107" si="319">AN103/AN$31</f>
        <v>0.004258544441</v>
      </c>
      <c r="AP103" s="353">
        <f>$F$103</f>
        <v>91961</v>
      </c>
      <c r="AQ103" s="355">
        <f t="shared" ref="AQ103:AQ104" si="320">AP103/AP$31</f>
        <v>0.005435376231</v>
      </c>
      <c r="AR103" s="359"/>
      <c r="AS103" s="358"/>
      <c r="AT103" s="351">
        <f>86402+(66710/12)+4710</f>
        <v>96671.16667</v>
      </c>
      <c r="AU103" s="355">
        <f t="shared" ref="AU103:AU107" si="321">AT103/AT$31</f>
        <v>0.004018244934</v>
      </c>
      <c r="AV103" s="353">
        <f>AT103</f>
        <v>96671.16667</v>
      </c>
      <c r="AW103" s="355">
        <f t="shared" ref="AW103:AW104" si="322">AV103/AV$31</f>
        <v>0.005174480259</v>
      </c>
      <c r="AX103" s="353"/>
      <c r="AY103" s="358"/>
      <c r="AZ103" s="351">
        <f>86402+(66710/12)</f>
        <v>91961.16667</v>
      </c>
      <c r="BA103" s="355">
        <f t="shared" ref="BA103:BA107" si="323">AZ103/AZ$31</f>
        <v>0.003748418908</v>
      </c>
      <c r="BB103" s="353">
        <f>$F$103</f>
        <v>91961</v>
      </c>
      <c r="BC103" s="355">
        <f t="shared" ref="BC103:BC104" si="324">BB103/BB$31</f>
        <v>0.00421638243</v>
      </c>
      <c r="BD103" s="353"/>
      <c r="BE103" s="358"/>
      <c r="BF103" s="351">
        <f>86402+(66710/12)</f>
        <v>91961.16667</v>
      </c>
      <c r="BG103" s="355">
        <f t="shared" ref="BG103:BG107" si="325">BF103/BF$31</f>
        <v>0.003506667097</v>
      </c>
      <c r="BH103" s="353">
        <f>$F$103</f>
        <v>91961</v>
      </c>
      <c r="BI103" s="355">
        <f t="shared" ref="BI103:BI104" si="326">BH103/BH$31</f>
        <v>0.004574778559</v>
      </c>
      <c r="BJ103" s="352"/>
      <c r="BK103" s="358"/>
      <c r="BL103" s="351">
        <f>86402+(66710/12)</f>
        <v>91961.16667</v>
      </c>
      <c r="BM103" s="355">
        <f t="shared" si="303"/>
        <v>0.004259744011</v>
      </c>
      <c r="BN103" s="353">
        <f>$F$103</f>
        <v>91961</v>
      </c>
      <c r="BO103" s="355">
        <f t="shared" ref="BO103:BO104" si="327">BN103/BN$31</f>
        <v>0.004996867754</v>
      </c>
      <c r="BP103" s="352"/>
      <c r="BQ103" s="358"/>
      <c r="BR103" s="360">
        <f>86402+(66710/12)+3000</f>
        <v>94961.16667</v>
      </c>
      <c r="BS103" s="355">
        <f t="shared" ref="BS103:BS104" si="328">BR103/BR$31</f>
        <v>0.004288703414</v>
      </c>
      <c r="BT103" s="353">
        <f>$F$103</f>
        <v>91961</v>
      </c>
      <c r="BU103" s="355">
        <f t="shared" ref="BU103:BU104" si="329">BT103/BT$31</f>
        <v>0.004956101843</v>
      </c>
      <c r="BV103" s="352"/>
      <c r="BW103" s="358"/>
      <c r="BX103" s="213"/>
      <c r="BY103" s="213"/>
      <c r="BZ103" s="213"/>
      <c r="CA103" s="213"/>
      <c r="CB103" s="213"/>
      <c r="CC103" s="213"/>
      <c r="CD103" s="213"/>
      <c r="CE103" s="213"/>
      <c r="CF103" s="213"/>
      <c r="CG103" s="213"/>
      <c r="CH103" s="213"/>
      <c r="CI103" s="213"/>
      <c r="CJ103" s="213"/>
      <c r="CK103" s="213"/>
      <c r="CL103" s="213"/>
      <c r="CM103" s="213"/>
      <c r="CN103" s="213"/>
      <c r="CO103" s="213"/>
      <c r="CP103" s="213"/>
      <c r="CQ103" s="213"/>
    </row>
    <row r="104" ht="15.75" customHeight="1">
      <c r="A104" s="213"/>
      <c r="B104" s="393"/>
      <c r="C104" s="350" t="s">
        <v>281</v>
      </c>
      <c r="D104" s="351">
        <f>14000+8333+5000</f>
        <v>27333</v>
      </c>
      <c r="E104" s="355">
        <f t="shared" si="305"/>
        <v>0.001732277884</v>
      </c>
      <c r="F104" s="353">
        <f>14000+8333+5000</f>
        <v>27333</v>
      </c>
      <c r="G104" s="355">
        <f t="shared" si="306"/>
        <v>0.001881935778</v>
      </c>
      <c r="H104" s="353">
        <f t="shared" si="307"/>
        <v>0</v>
      </c>
      <c r="I104" s="394">
        <f t="shared" si="308"/>
        <v>0</v>
      </c>
      <c r="J104" s="351">
        <f>14000+8333+5000</f>
        <v>27333</v>
      </c>
      <c r="K104" s="355">
        <f t="shared" si="309"/>
        <v>0.001779200606</v>
      </c>
      <c r="L104" s="353">
        <f>$F$104</f>
        <v>27333</v>
      </c>
      <c r="M104" s="355">
        <f t="shared" si="310"/>
        <v>0.002050416754</v>
      </c>
      <c r="N104" s="352"/>
      <c r="O104" s="358"/>
      <c r="P104" s="351">
        <f>14000+8333+5000</f>
        <v>27333</v>
      </c>
      <c r="Q104" s="355">
        <f t="shared" si="311"/>
        <v>0.002001961898</v>
      </c>
      <c r="R104" s="353">
        <f>$F$104</f>
        <v>27333</v>
      </c>
      <c r="S104" s="355">
        <f t="shared" si="312"/>
        <v>0.002149218495</v>
      </c>
      <c r="T104" s="352"/>
      <c r="U104" s="358"/>
      <c r="V104" s="351">
        <f>14000+8333+5000</f>
        <v>27333</v>
      </c>
      <c r="W104" s="355">
        <f t="shared" si="313"/>
        <v>0.001886059589</v>
      </c>
      <c r="X104" s="353">
        <f>$F$104</f>
        <v>27333</v>
      </c>
      <c r="Y104" s="355">
        <f t="shared" si="314"/>
        <v>0.002036558661</v>
      </c>
      <c r="Z104" s="352"/>
      <c r="AA104" s="358"/>
      <c r="AB104" s="351">
        <f>14000+8333+5000</f>
        <v>27333</v>
      </c>
      <c r="AC104" s="355">
        <f t="shared" si="315"/>
        <v>0.001777722451</v>
      </c>
      <c r="AD104" s="353">
        <f>$F$104</f>
        <v>27333</v>
      </c>
      <c r="AE104" s="355">
        <f t="shared" si="316"/>
        <v>0.001872582712</v>
      </c>
      <c r="AF104" s="352"/>
      <c r="AG104" s="358"/>
      <c r="AH104" s="351">
        <f>14000+8333+5000</f>
        <v>27333</v>
      </c>
      <c r="AI104" s="355">
        <f t="shared" si="317"/>
        <v>0.001881935778</v>
      </c>
      <c r="AJ104" s="353">
        <f>$F$104</f>
        <v>27333</v>
      </c>
      <c r="AK104" s="355">
        <f t="shared" si="318"/>
        <v>0.001944013714</v>
      </c>
      <c r="AL104" s="352"/>
      <c r="AM104" s="358"/>
      <c r="AN104" s="351">
        <f>14000+8333+5000</f>
        <v>27333</v>
      </c>
      <c r="AO104" s="355">
        <f t="shared" si="319"/>
        <v>0.001265738566</v>
      </c>
      <c r="AP104" s="353">
        <f>$F$104</f>
        <v>27333</v>
      </c>
      <c r="AQ104" s="355">
        <f t="shared" si="320"/>
        <v>0.001615523304</v>
      </c>
      <c r="AR104" s="359"/>
      <c r="AS104" s="358"/>
      <c r="AT104" s="351">
        <f>14000+8333+5000</f>
        <v>27333</v>
      </c>
      <c r="AU104" s="355">
        <f t="shared" si="321"/>
        <v>0.00113612665</v>
      </c>
      <c r="AV104" s="353">
        <f>$F$104</f>
        <v>27333</v>
      </c>
      <c r="AW104" s="355">
        <f t="shared" si="322"/>
        <v>0.001463042951</v>
      </c>
      <c r="AX104" s="353"/>
      <c r="AY104" s="358"/>
      <c r="AZ104" s="351">
        <f>14000+8333+5000</f>
        <v>27333</v>
      </c>
      <c r="BA104" s="355">
        <f t="shared" si="323"/>
        <v>0.001114117379</v>
      </c>
      <c r="BB104" s="353">
        <f>$F$104</f>
        <v>27333</v>
      </c>
      <c r="BC104" s="355">
        <f t="shared" si="324"/>
        <v>0.001253209306</v>
      </c>
      <c r="BD104" s="353"/>
      <c r="BE104" s="358"/>
      <c r="BF104" s="351">
        <f>14000+8333+5000</f>
        <v>27333</v>
      </c>
      <c r="BG104" s="355">
        <f t="shared" si="325"/>
        <v>0.001042263112</v>
      </c>
      <c r="BH104" s="353">
        <f>$F$104</f>
        <v>27333</v>
      </c>
      <c r="BI104" s="355">
        <f t="shared" si="326"/>
        <v>0.001359733173</v>
      </c>
      <c r="BJ104" s="352"/>
      <c r="BK104" s="358"/>
      <c r="BL104" s="351">
        <f>14000+8333+5000</f>
        <v>27333</v>
      </c>
      <c r="BM104" s="355">
        <f t="shared" si="303"/>
        <v>0.001266095106</v>
      </c>
      <c r="BN104" s="353">
        <f>$F$104</f>
        <v>27333</v>
      </c>
      <c r="BO104" s="355">
        <f t="shared" si="327"/>
        <v>0.001485188138</v>
      </c>
      <c r="BP104" s="352"/>
      <c r="BQ104" s="358"/>
      <c r="BR104" s="360">
        <f>14000+8333+5000</f>
        <v>27333</v>
      </c>
      <c r="BS104" s="355">
        <f t="shared" si="328"/>
        <v>0.00123443229</v>
      </c>
      <c r="BT104" s="353">
        <f>$F$104</f>
        <v>27333</v>
      </c>
      <c r="BU104" s="355">
        <f t="shared" si="329"/>
        <v>0.001473071538</v>
      </c>
      <c r="BV104" s="352"/>
      <c r="BW104" s="358"/>
      <c r="BX104" s="213"/>
      <c r="BY104" s="213"/>
      <c r="BZ104" s="213"/>
      <c r="CA104" s="213"/>
      <c r="CB104" s="213"/>
      <c r="CC104" s="213"/>
      <c r="CD104" s="213"/>
      <c r="CE104" s="213"/>
      <c r="CF104" s="213"/>
      <c r="CG104" s="213"/>
      <c r="CH104" s="213"/>
      <c r="CI104" s="213"/>
      <c r="CJ104" s="213"/>
      <c r="CK104" s="213"/>
      <c r="CL104" s="213"/>
      <c r="CM104" s="213"/>
      <c r="CN104" s="213"/>
      <c r="CO104" s="213"/>
      <c r="CP104" s="213"/>
      <c r="CQ104" s="213"/>
    </row>
    <row r="105" ht="15.75" customHeight="1">
      <c r="A105" s="213"/>
      <c r="B105" s="403"/>
      <c r="C105" s="362"/>
      <c r="D105" s="363"/>
      <c r="E105" s="404"/>
      <c r="F105" s="365"/>
      <c r="G105" s="404"/>
      <c r="H105" s="365"/>
      <c r="I105" s="405"/>
      <c r="J105" s="363"/>
      <c r="K105" s="404"/>
      <c r="L105" s="365"/>
      <c r="M105" s="404"/>
      <c r="N105" s="364"/>
      <c r="O105" s="368"/>
      <c r="P105" s="363"/>
      <c r="Q105" s="404"/>
      <c r="R105" s="365"/>
      <c r="S105" s="404"/>
      <c r="T105" s="364"/>
      <c r="U105" s="368"/>
      <c r="V105" s="363"/>
      <c r="W105" s="404"/>
      <c r="X105" s="365"/>
      <c r="Y105" s="404"/>
      <c r="Z105" s="364"/>
      <c r="AA105" s="368"/>
      <c r="AB105" s="363"/>
      <c r="AC105" s="404"/>
      <c r="AD105" s="365"/>
      <c r="AE105" s="404"/>
      <c r="AF105" s="364"/>
      <c r="AG105" s="368"/>
      <c r="AH105" s="363"/>
      <c r="AI105" s="404">
        <f t="shared" si="317"/>
        <v>0</v>
      </c>
      <c r="AJ105" s="365"/>
      <c r="AK105" s="404"/>
      <c r="AL105" s="364"/>
      <c r="AM105" s="368"/>
      <c r="AN105" s="363"/>
      <c r="AO105" s="404">
        <f t="shared" si="319"/>
        <v>0</v>
      </c>
      <c r="AP105" s="365"/>
      <c r="AQ105" s="404"/>
      <c r="AR105" s="369"/>
      <c r="AS105" s="368"/>
      <c r="AT105" s="363"/>
      <c r="AU105" s="404">
        <f t="shared" si="321"/>
        <v>0</v>
      </c>
      <c r="AV105" s="365"/>
      <c r="AW105" s="404"/>
      <c r="AX105" s="365"/>
      <c r="AY105" s="368"/>
      <c r="AZ105" s="363"/>
      <c r="BA105" s="404">
        <f t="shared" si="323"/>
        <v>0</v>
      </c>
      <c r="BB105" s="365"/>
      <c r="BC105" s="404"/>
      <c r="BD105" s="365"/>
      <c r="BE105" s="368"/>
      <c r="BF105" s="363"/>
      <c r="BG105" s="404">
        <f t="shared" si="325"/>
        <v>0</v>
      </c>
      <c r="BH105" s="365"/>
      <c r="BI105" s="404"/>
      <c r="BJ105" s="364"/>
      <c r="BK105" s="368"/>
      <c r="BL105" s="363"/>
      <c r="BM105" s="364"/>
      <c r="BN105" s="365"/>
      <c r="BO105" s="404"/>
      <c r="BP105" s="364"/>
      <c r="BQ105" s="368"/>
      <c r="BR105" s="370"/>
      <c r="BS105" s="364"/>
      <c r="BT105" s="365"/>
      <c r="BU105" s="404"/>
      <c r="BV105" s="364"/>
      <c r="BW105" s="368"/>
      <c r="BX105" s="213"/>
      <c r="BY105" s="213"/>
      <c r="BZ105" s="213"/>
      <c r="CA105" s="213"/>
      <c r="CB105" s="213"/>
      <c r="CC105" s="213"/>
      <c r="CD105" s="213"/>
      <c r="CE105" s="213"/>
      <c r="CF105" s="213"/>
      <c r="CG105" s="213"/>
      <c r="CH105" s="213"/>
      <c r="CI105" s="213"/>
      <c r="CJ105" s="213"/>
      <c r="CK105" s="213"/>
      <c r="CL105" s="213"/>
      <c r="CM105" s="213"/>
      <c r="CN105" s="213"/>
      <c r="CO105" s="213"/>
      <c r="CP105" s="213"/>
      <c r="CQ105" s="213"/>
    </row>
    <row r="106" ht="15.75" customHeight="1">
      <c r="A106" s="213"/>
      <c r="B106" s="407"/>
      <c r="C106" s="447" t="s">
        <v>282</v>
      </c>
      <c r="D106" s="373">
        <f>SUM(D107)</f>
        <v>40033.58333</v>
      </c>
      <c r="E106" s="374">
        <f t="shared" ref="E106:E107" si="330">D106/D$31</f>
        <v>0.002537200126</v>
      </c>
      <c r="F106" s="373">
        <f>SUM(F107)</f>
        <v>40034</v>
      </c>
      <c r="G106" s="374">
        <f>F106/F$31</f>
        <v>0.002756426918</v>
      </c>
      <c r="H106" s="375">
        <f>D106-F106</f>
        <v>-0.4166666667</v>
      </c>
      <c r="I106" s="376">
        <f>IFERROR((H106/F106),"")</f>
        <v>-0.00001040782002</v>
      </c>
      <c r="J106" s="373">
        <f>SUM(J107)</f>
        <v>40033.58333</v>
      </c>
      <c r="K106" s="374">
        <f>J106/J$31</f>
        <v>0.002605926013</v>
      </c>
      <c r="L106" s="373">
        <f>SUM(L107)</f>
        <v>40034</v>
      </c>
      <c r="M106" s="374">
        <f>L106/L$31</f>
        <v>0.003003197027</v>
      </c>
      <c r="N106" s="408"/>
      <c r="O106" s="378"/>
      <c r="P106" s="373">
        <f>SUM(P107)</f>
        <v>32776.58333</v>
      </c>
      <c r="Q106" s="374">
        <f t="shared" ref="Q106:Q107" si="331">IFERROR(P106/P$31,)</f>
        <v>0.002400668458</v>
      </c>
      <c r="R106" s="373">
        <f>SUM(R107)</f>
        <v>32777</v>
      </c>
      <c r="S106" s="374">
        <f t="shared" ref="S106:S107" si="332">R106/R$31</f>
        <v>0.002577285136</v>
      </c>
      <c r="T106" s="408"/>
      <c r="U106" s="378"/>
      <c r="V106" s="373">
        <f>SUM(V107)</f>
        <v>32776.58333</v>
      </c>
      <c r="W106" s="374">
        <f t="shared" ref="W106:W107" si="333">V106/V$31</f>
        <v>0.002261683287</v>
      </c>
      <c r="X106" s="373">
        <f>SUM(X107)</f>
        <v>32777</v>
      </c>
      <c r="Y106" s="374">
        <f>X106/X$31</f>
        <v>0.002442186486</v>
      </c>
      <c r="Z106" s="408"/>
      <c r="AA106" s="378"/>
      <c r="AB106" s="373">
        <f>SUM(AB107)</f>
        <v>32776.58333</v>
      </c>
      <c r="AC106" s="374">
        <f t="shared" ref="AC106:AC107" si="334">AB106/AB$31</f>
        <v>0.00213176995</v>
      </c>
      <c r="AD106" s="373">
        <f>SUM(AD107)</f>
        <v>32777</v>
      </c>
      <c r="AE106" s="374">
        <f t="shared" ref="AE106:AE107" si="335">AD106/AD$31</f>
        <v>0.002245550929</v>
      </c>
      <c r="AF106" s="408"/>
      <c r="AG106" s="378"/>
      <c r="AH106" s="373">
        <f>SUM(AH107)</f>
        <v>32776.58333</v>
      </c>
      <c r="AI106" s="374">
        <f t="shared" si="317"/>
        <v>0.002256738187</v>
      </c>
      <c r="AJ106" s="373">
        <f>SUM(AJ107)</f>
        <v>32777</v>
      </c>
      <c r="AK106" s="374">
        <f>AJ106/AJ$31</f>
        <v>0.002331209069</v>
      </c>
      <c r="AL106" s="408"/>
      <c r="AM106" s="378"/>
      <c r="AN106" s="373">
        <f>SUM(AN107)</f>
        <v>32776.58333</v>
      </c>
      <c r="AO106" s="374">
        <f t="shared" si="319"/>
        <v>0.001517820421</v>
      </c>
      <c r="AP106" s="373">
        <f>SUM(AP107)</f>
        <v>32777</v>
      </c>
      <c r="AQ106" s="374">
        <f>AP106/AP$31</f>
        <v>0.001937292186</v>
      </c>
      <c r="AR106" s="380"/>
      <c r="AS106" s="378"/>
      <c r="AT106" s="373">
        <f>SUM(AT107)</f>
        <v>30760.75</v>
      </c>
      <c r="AU106" s="374">
        <f t="shared" si="321"/>
        <v>0.001278604905</v>
      </c>
      <c r="AV106" s="373">
        <f>SUM(AV107)</f>
        <v>32777</v>
      </c>
      <c r="AW106" s="374">
        <f>AV106/AV$31</f>
        <v>0.001754441839</v>
      </c>
      <c r="AX106" s="375"/>
      <c r="AY106" s="378"/>
      <c r="AZ106" s="373">
        <f>SUM(AZ107)</f>
        <v>30888.91667</v>
      </c>
      <c r="BA106" s="374">
        <f t="shared" si="323"/>
        <v>0.001259059704</v>
      </c>
      <c r="BB106" s="373">
        <f>SUM(BB107)</f>
        <v>32777</v>
      </c>
      <c r="BC106" s="374">
        <f>BB106/BB$31</f>
        <v>0.001502814964</v>
      </c>
      <c r="BD106" s="375"/>
      <c r="BE106" s="378"/>
      <c r="BF106" s="373">
        <f>SUM(BF107)</f>
        <v>30888.91667</v>
      </c>
      <c r="BG106" s="374">
        <f t="shared" si="325"/>
        <v>0.001177857477</v>
      </c>
      <c r="BH106" s="373">
        <f>SUM(BH107)</f>
        <v>32777</v>
      </c>
      <c r="BI106" s="374">
        <f>BH106/BH$31</f>
        <v>0.001630555527</v>
      </c>
      <c r="BJ106" s="408"/>
      <c r="BK106" s="378"/>
      <c r="BL106" s="373">
        <f>SUM(BL107)</f>
        <v>30888.91667</v>
      </c>
      <c r="BM106" s="374">
        <f>BL106/$BL$31</f>
        <v>0.00143080914</v>
      </c>
      <c r="BN106" s="373">
        <f>SUM(BN107)</f>
        <v>32777</v>
      </c>
      <c r="BO106" s="374">
        <f>BN106/BN$31</f>
        <v>0.001780997753</v>
      </c>
      <c r="BP106" s="408"/>
      <c r="BQ106" s="378"/>
      <c r="BR106" s="373">
        <f>SUM(BR107:BR108)</f>
        <v>126356.9167</v>
      </c>
      <c r="BS106" s="374">
        <f>BR106/$BL$31</f>
        <v>0.005852993591</v>
      </c>
      <c r="BT106" s="375">
        <f>SUM(BT107:BT108)</f>
        <v>32777</v>
      </c>
      <c r="BU106" s="374">
        <f>BT106/BT$31</f>
        <v>0.001766467852</v>
      </c>
      <c r="BV106" s="408"/>
      <c r="BW106" s="378"/>
      <c r="BX106" s="328">
        <f>SUM(D106,J106,P106,V106,AB106,AH106,AN106,AT106,AZ106,BF106,BL106,BR106)</f>
        <v>493734.5</v>
      </c>
      <c r="BY106" s="213"/>
      <c r="BZ106" s="213"/>
      <c r="CA106" s="213"/>
      <c r="CB106" s="213"/>
      <c r="CC106" s="213"/>
      <c r="CD106" s="213"/>
      <c r="CE106" s="213"/>
      <c r="CF106" s="213"/>
      <c r="CG106" s="213"/>
      <c r="CH106" s="213"/>
      <c r="CI106" s="213"/>
      <c r="CJ106" s="213"/>
      <c r="CK106" s="213"/>
      <c r="CL106" s="213"/>
      <c r="CM106" s="213"/>
      <c r="CN106" s="213"/>
      <c r="CO106" s="213"/>
      <c r="CP106" s="213"/>
      <c r="CQ106" s="213"/>
    </row>
    <row r="107" ht="15.75" customHeight="1">
      <c r="A107" s="213"/>
      <c r="B107" s="444"/>
      <c r="C107" s="383" t="s">
        <v>283</v>
      </c>
      <c r="D107" s="384">
        <f>(76459/12)+(62658/12)+(6107/12)+(8260/12)+(17700/12)+21240+(20650/12)+(9499/12)+(24190/12)</f>
        <v>40033.58333</v>
      </c>
      <c r="E107" s="385">
        <f t="shared" si="330"/>
        <v>0.002537200126</v>
      </c>
      <c r="F107" s="386">
        <v>40034.0</v>
      </c>
      <c r="G107" s="385"/>
      <c r="H107" s="386"/>
      <c r="I107" s="387"/>
      <c r="J107" s="384">
        <f>(76459/12)+(62658/12)+(6107/12)+(8260/12)+(17700/12)+21240+(20650/12)+(9499/12)+(24190/12)</f>
        <v>40033.58333</v>
      </c>
      <c r="K107" s="385"/>
      <c r="L107" s="386">
        <v>40034.0</v>
      </c>
      <c r="M107" s="385"/>
      <c r="N107" s="440"/>
      <c r="O107" s="389"/>
      <c r="P107" s="384">
        <f>(76459/12)+(62658/12)+(6107/12)+(8260/12)+(17700/12)+(167796/12)+(20650/12)+(9499/12)+(24190/12)</f>
        <v>32776.58333</v>
      </c>
      <c r="Q107" s="385">
        <f t="shared" si="331"/>
        <v>0.002400668458</v>
      </c>
      <c r="R107" s="386">
        <v>32777.0</v>
      </c>
      <c r="S107" s="385">
        <f t="shared" si="332"/>
        <v>0.002577285136</v>
      </c>
      <c r="T107" s="440"/>
      <c r="U107" s="389"/>
      <c r="V107" s="384">
        <f>(76459/12)+(62658/12)+(6107/12)+(8260/12)+(17700/12)+(167796/12)+(20650/12)+(9499/12)+(24190/12)</f>
        <v>32776.58333</v>
      </c>
      <c r="W107" s="385">
        <f t="shared" si="333"/>
        <v>0.002261683287</v>
      </c>
      <c r="X107" s="386">
        <v>32777.0</v>
      </c>
      <c r="Y107" s="385"/>
      <c r="Z107" s="440"/>
      <c r="AA107" s="389"/>
      <c r="AB107" s="384">
        <f>(76459/12)+(62658/12)+(6107/12)+(8260/12)+(17700/12)+(167796/12)+(20650/12)+(9499/12)+(24190/12)</f>
        <v>32776.58333</v>
      </c>
      <c r="AC107" s="385">
        <f t="shared" si="334"/>
        <v>0.00213176995</v>
      </c>
      <c r="AD107" s="386">
        <v>32777.0</v>
      </c>
      <c r="AE107" s="385">
        <f t="shared" si="335"/>
        <v>0.002245550929</v>
      </c>
      <c r="AF107" s="440"/>
      <c r="AG107" s="389"/>
      <c r="AH107" s="384">
        <f>(76459/12)+(62658/12)+(6107/12)+(8260/12)+(17700/12)+(167796/12)+(20650/12)+(9499/12)+(24190/12)</f>
        <v>32776.58333</v>
      </c>
      <c r="AI107" s="385">
        <f t="shared" si="317"/>
        <v>0.002256738187</v>
      </c>
      <c r="AJ107" s="386">
        <v>32777.0</v>
      </c>
      <c r="AK107" s="385"/>
      <c r="AL107" s="440"/>
      <c r="AM107" s="389"/>
      <c r="AN107" s="384">
        <f>(76459/12)+(62658/12)+(6107/12)+(8260/12)+(17700/12)+(167796/12)+(20650/12)+(9499/12)+(24190/12)</f>
        <v>32776.58333</v>
      </c>
      <c r="AO107" s="385">
        <f t="shared" si="319"/>
        <v>0.001517820421</v>
      </c>
      <c r="AP107" s="386">
        <v>32777.0</v>
      </c>
      <c r="AQ107" s="385"/>
      <c r="AR107" s="391"/>
      <c r="AS107" s="389"/>
      <c r="AT107" s="384">
        <f>(76459/12)+(62658/12)+(6107/12)+(8260/12)+(17700/12)+(167796/12)+(20650/12)+(9499/12)</f>
        <v>30760.75</v>
      </c>
      <c r="AU107" s="385">
        <f t="shared" si="321"/>
        <v>0.001278604905</v>
      </c>
      <c r="AV107" s="386">
        <v>32777.0</v>
      </c>
      <c r="AW107" s="385"/>
      <c r="AX107" s="386"/>
      <c r="AY107" s="389"/>
      <c r="AZ107" s="384">
        <f>(84104/12)+(8260/12)+(17700/12)+(167796/12)+(20650/12)+(62658/12)+(9499/12)</f>
        <v>30888.91667</v>
      </c>
      <c r="BA107" s="385">
        <f t="shared" si="323"/>
        <v>0.001259059704</v>
      </c>
      <c r="BB107" s="386">
        <v>32777.0</v>
      </c>
      <c r="BC107" s="385"/>
      <c r="BD107" s="386"/>
      <c r="BE107" s="389"/>
      <c r="BF107" s="384">
        <f>(84104/12)+(8260/12)+(17700/12)+(167796/12)+(20650/12)+(62658/12)+(9499/12)</f>
        <v>30888.91667</v>
      </c>
      <c r="BG107" s="385">
        <f t="shared" si="325"/>
        <v>0.001177857477</v>
      </c>
      <c r="BH107" s="386">
        <v>32777.0</v>
      </c>
      <c r="BI107" s="385"/>
      <c r="BJ107" s="440"/>
      <c r="BK107" s="389"/>
      <c r="BL107" s="384">
        <f>(84104/12)+(8260/12)+(17700/12)+(167796/12)+(20650/12)+(62658/12)+(9499/12)</f>
        <v>30888.91667</v>
      </c>
      <c r="BM107" s="355">
        <f t="shared" ref="BM107:BM108" si="336">BL107/BL$31</f>
        <v>0.00143080914</v>
      </c>
      <c r="BN107" s="386">
        <v>32777.0</v>
      </c>
      <c r="BO107" s="385"/>
      <c r="BP107" s="440"/>
      <c r="BQ107" s="389"/>
      <c r="BR107" s="392">
        <f>(84104/12)+(8260/12)+(17700/12)+(167796/12)+(20650/12)+(62658/12)+(9499/12)</f>
        <v>30888.91667</v>
      </c>
      <c r="BS107" s="355">
        <f t="shared" ref="BS107:BS108" si="337">BR107/BR$31</f>
        <v>0.001395027115</v>
      </c>
      <c r="BT107" s="386">
        <v>32777.0</v>
      </c>
      <c r="BU107" s="385"/>
      <c r="BV107" s="440"/>
      <c r="BW107" s="389"/>
      <c r="BX107" s="213"/>
      <c r="BY107" s="213"/>
      <c r="BZ107" s="213"/>
      <c r="CA107" s="213"/>
      <c r="CB107" s="213"/>
      <c r="CC107" s="213"/>
      <c r="CD107" s="213"/>
      <c r="CE107" s="213"/>
      <c r="CF107" s="213"/>
      <c r="CG107" s="213"/>
      <c r="CH107" s="213"/>
      <c r="CI107" s="213"/>
      <c r="CJ107" s="213"/>
      <c r="CK107" s="213"/>
      <c r="CL107" s="213"/>
      <c r="CM107" s="213"/>
      <c r="CN107" s="213"/>
      <c r="CO107" s="213"/>
      <c r="CP107" s="213"/>
      <c r="CQ107" s="213"/>
    </row>
    <row r="108" ht="15.75" customHeight="1">
      <c r="A108" s="213"/>
      <c r="B108" s="444"/>
      <c r="C108" s="383" t="s">
        <v>284</v>
      </c>
      <c r="D108" s="384">
        <v>0.0</v>
      </c>
      <c r="E108" s="385"/>
      <c r="F108" s="386"/>
      <c r="G108" s="385"/>
      <c r="H108" s="386"/>
      <c r="I108" s="387"/>
      <c r="J108" s="384"/>
      <c r="K108" s="385"/>
      <c r="L108" s="386"/>
      <c r="M108" s="385"/>
      <c r="N108" s="440"/>
      <c r="O108" s="389"/>
      <c r="P108" s="384"/>
      <c r="Q108" s="385"/>
      <c r="R108" s="386"/>
      <c r="S108" s="385"/>
      <c r="T108" s="440"/>
      <c r="U108" s="389"/>
      <c r="V108" s="384"/>
      <c r="W108" s="385"/>
      <c r="X108" s="386"/>
      <c r="Y108" s="385"/>
      <c r="Z108" s="440"/>
      <c r="AA108" s="389"/>
      <c r="AB108" s="384"/>
      <c r="AC108" s="385"/>
      <c r="AD108" s="386"/>
      <c r="AE108" s="385"/>
      <c r="AF108" s="440"/>
      <c r="AG108" s="389"/>
      <c r="AH108" s="384"/>
      <c r="AI108" s="385"/>
      <c r="AJ108" s="386"/>
      <c r="AK108" s="385"/>
      <c r="AL108" s="440"/>
      <c r="AM108" s="389"/>
      <c r="AN108" s="384"/>
      <c r="AO108" s="385"/>
      <c r="AP108" s="386"/>
      <c r="AQ108" s="385"/>
      <c r="AR108" s="391"/>
      <c r="AS108" s="389"/>
      <c r="AT108" s="384"/>
      <c r="AU108" s="385"/>
      <c r="AV108" s="386"/>
      <c r="AW108" s="385"/>
      <c r="AX108" s="386"/>
      <c r="AY108" s="389"/>
      <c r="AZ108" s="384"/>
      <c r="BA108" s="385"/>
      <c r="BB108" s="386"/>
      <c r="BC108" s="385"/>
      <c r="BD108" s="386"/>
      <c r="BE108" s="389"/>
      <c r="BF108" s="384"/>
      <c r="BG108" s="385"/>
      <c r="BH108" s="386"/>
      <c r="BI108" s="385"/>
      <c r="BJ108" s="440"/>
      <c r="BK108" s="389"/>
      <c r="BL108" s="384"/>
      <c r="BM108" s="355">
        <f t="shared" si="336"/>
        <v>0</v>
      </c>
      <c r="BN108" s="386"/>
      <c r="BO108" s="385"/>
      <c r="BP108" s="440"/>
      <c r="BQ108" s="389"/>
      <c r="BR108" s="392">
        <v>95468.0</v>
      </c>
      <c r="BS108" s="355">
        <f t="shared" si="337"/>
        <v>0.00431159338</v>
      </c>
      <c r="BT108" s="386"/>
      <c r="BU108" s="385"/>
      <c r="BV108" s="440"/>
      <c r="BW108" s="389"/>
      <c r="BX108" s="213"/>
      <c r="BY108" s="213"/>
      <c r="BZ108" s="213"/>
      <c r="CA108" s="213"/>
      <c r="CB108" s="213"/>
      <c r="CC108" s="213"/>
      <c r="CD108" s="213"/>
      <c r="CE108" s="213"/>
      <c r="CF108" s="213"/>
      <c r="CG108" s="213"/>
      <c r="CH108" s="213"/>
      <c r="CI108" s="213"/>
      <c r="CJ108" s="213"/>
      <c r="CK108" s="213"/>
      <c r="CL108" s="213"/>
      <c r="CM108" s="213"/>
      <c r="CN108" s="213"/>
      <c r="CO108" s="213"/>
      <c r="CP108" s="213"/>
      <c r="CQ108" s="213"/>
    </row>
    <row r="109" ht="15.75" customHeight="1">
      <c r="A109" s="213"/>
      <c r="B109" s="444"/>
      <c r="C109" s="383"/>
      <c r="D109" s="384"/>
      <c r="E109" s="385"/>
      <c r="F109" s="386"/>
      <c r="G109" s="385"/>
      <c r="H109" s="386"/>
      <c r="I109" s="387"/>
      <c r="J109" s="384"/>
      <c r="K109" s="385"/>
      <c r="L109" s="386"/>
      <c r="M109" s="385"/>
      <c r="N109" s="440"/>
      <c r="O109" s="389"/>
      <c r="P109" s="384"/>
      <c r="Q109" s="385"/>
      <c r="R109" s="386"/>
      <c r="S109" s="385"/>
      <c r="T109" s="440"/>
      <c r="U109" s="389"/>
      <c r="V109" s="384"/>
      <c r="W109" s="385"/>
      <c r="X109" s="386"/>
      <c r="Y109" s="385"/>
      <c r="Z109" s="440"/>
      <c r="AA109" s="389"/>
      <c r="AB109" s="384"/>
      <c r="AC109" s="385"/>
      <c r="AD109" s="386"/>
      <c r="AE109" s="385"/>
      <c r="AF109" s="440"/>
      <c r="AG109" s="389"/>
      <c r="AH109" s="384"/>
      <c r="AI109" s="385"/>
      <c r="AJ109" s="386"/>
      <c r="AK109" s="385"/>
      <c r="AL109" s="440"/>
      <c r="AM109" s="389"/>
      <c r="AN109" s="384"/>
      <c r="AO109" s="385"/>
      <c r="AP109" s="386"/>
      <c r="AQ109" s="385"/>
      <c r="AR109" s="391"/>
      <c r="AS109" s="389"/>
      <c r="AT109" s="384"/>
      <c r="AU109" s="385"/>
      <c r="AV109" s="386"/>
      <c r="AW109" s="385"/>
      <c r="AX109" s="386"/>
      <c r="AY109" s="389"/>
      <c r="AZ109" s="384"/>
      <c r="BA109" s="385"/>
      <c r="BB109" s="386"/>
      <c r="BC109" s="385"/>
      <c r="BD109" s="386"/>
      <c r="BE109" s="389"/>
      <c r="BF109" s="384"/>
      <c r="BG109" s="385"/>
      <c r="BH109" s="386"/>
      <c r="BI109" s="385"/>
      <c r="BJ109" s="440"/>
      <c r="BK109" s="389"/>
      <c r="BL109" s="384"/>
      <c r="BM109" s="440"/>
      <c r="BN109" s="386"/>
      <c r="BO109" s="385"/>
      <c r="BP109" s="440"/>
      <c r="BQ109" s="389"/>
      <c r="BR109" s="392"/>
      <c r="BS109" s="385"/>
      <c r="BT109" s="386"/>
      <c r="BU109" s="385"/>
      <c r="BV109" s="440"/>
      <c r="BW109" s="389"/>
      <c r="BX109" s="213"/>
      <c r="BY109" s="213"/>
      <c r="BZ109" s="213"/>
      <c r="CA109" s="213"/>
      <c r="CB109" s="213"/>
      <c r="CC109" s="213"/>
      <c r="CD109" s="213"/>
      <c r="CE109" s="213"/>
      <c r="CF109" s="213"/>
      <c r="CG109" s="213"/>
      <c r="CH109" s="213"/>
      <c r="CI109" s="213"/>
      <c r="CJ109" s="213"/>
      <c r="CK109" s="213"/>
      <c r="CL109" s="213"/>
      <c r="CM109" s="213"/>
      <c r="CN109" s="213"/>
      <c r="CO109" s="213"/>
      <c r="CP109" s="213"/>
      <c r="CQ109" s="213"/>
    </row>
    <row r="110" ht="15.75" customHeight="1">
      <c r="A110" s="213"/>
      <c r="B110" s="444"/>
      <c r="C110" s="383"/>
      <c r="D110" s="384"/>
      <c r="E110" s="385"/>
      <c r="F110" s="386"/>
      <c r="G110" s="385"/>
      <c r="H110" s="386"/>
      <c r="I110" s="387"/>
      <c r="J110" s="384"/>
      <c r="K110" s="385"/>
      <c r="L110" s="386"/>
      <c r="M110" s="385"/>
      <c r="N110" s="440"/>
      <c r="O110" s="389"/>
      <c r="P110" s="384"/>
      <c r="Q110" s="385"/>
      <c r="R110" s="386"/>
      <c r="S110" s="385"/>
      <c r="T110" s="440"/>
      <c r="U110" s="389"/>
      <c r="V110" s="384"/>
      <c r="W110" s="385"/>
      <c r="X110" s="386"/>
      <c r="Y110" s="385"/>
      <c r="Z110" s="440"/>
      <c r="AA110" s="389"/>
      <c r="AB110" s="384"/>
      <c r="AC110" s="385"/>
      <c r="AD110" s="386"/>
      <c r="AE110" s="385"/>
      <c r="AF110" s="440"/>
      <c r="AG110" s="389"/>
      <c r="AH110" s="384"/>
      <c r="AI110" s="385"/>
      <c r="AJ110" s="386"/>
      <c r="AK110" s="385"/>
      <c r="AL110" s="440"/>
      <c r="AM110" s="389"/>
      <c r="AN110" s="384"/>
      <c r="AO110" s="385"/>
      <c r="AP110" s="386"/>
      <c r="AQ110" s="385"/>
      <c r="AR110" s="391"/>
      <c r="AS110" s="389"/>
      <c r="AT110" s="384"/>
      <c r="AU110" s="385"/>
      <c r="AV110" s="386"/>
      <c r="AW110" s="385"/>
      <c r="AX110" s="386"/>
      <c r="AY110" s="389"/>
      <c r="AZ110" s="384"/>
      <c r="BA110" s="385"/>
      <c r="BB110" s="386"/>
      <c r="BC110" s="385"/>
      <c r="BD110" s="386"/>
      <c r="BE110" s="389"/>
      <c r="BF110" s="384"/>
      <c r="BG110" s="385"/>
      <c r="BH110" s="386"/>
      <c r="BI110" s="385"/>
      <c r="BJ110" s="440"/>
      <c r="BK110" s="389"/>
      <c r="BL110" s="384"/>
      <c r="BM110" s="440"/>
      <c r="BN110" s="386"/>
      <c r="BO110" s="385"/>
      <c r="BP110" s="440"/>
      <c r="BQ110" s="389"/>
      <c r="BR110" s="392"/>
      <c r="BS110" s="385"/>
      <c r="BT110" s="386"/>
      <c r="BU110" s="385"/>
      <c r="BV110" s="440"/>
      <c r="BW110" s="389"/>
      <c r="BX110" s="213"/>
      <c r="BY110" s="213"/>
      <c r="BZ110" s="213"/>
      <c r="CA110" s="213"/>
      <c r="CB110" s="213"/>
      <c r="CC110" s="213"/>
      <c r="CD110" s="213"/>
      <c r="CE110" s="213"/>
      <c r="CF110" s="213"/>
      <c r="CG110" s="213"/>
      <c r="CH110" s="213"/>
      <c r="CI110" s="213"/>
      <c r="CJ110" s="213"/>
      <c r="CK110" s="213"/>
      <c r="CL110" s="213"/>
      <c r="CM110" s="213"/>
      <c r="CN110" s="213"/>
      <c r="CO110" s="213"/>
      <c r="CP110" s="213"/>
      <c r="CQ110" s="213"/>
    </row>
    <row r="111" ht="15.75" customHeight="1">
      <c r="A111" s="213"/>
      <c r="B111" s="444"/>
      <c r="C111" s="383"/>
      <c r="D111" s="384"/>
      <c r="E111" s="385"/>
      <c r="F111" s="386"/>
      <c r="G111" s="385"/>
      <c r="H111" s="386"/>
      <c r="I111" s="387"/>
      <c r="J111" s="384"/>
      <c r="K111" s="385"/>
      <c r="L111" s="386"/>
      <c r="M111" s="385"/>
      <c r="N111" s="440"/>
      <c r="O111" s="389"/>
      <c r="P111" s="384"/>
      <c r="Q111" s="385"/>
      <c r="R111" s="386"/>
      <c r="S111" s="385"/>
      <c r="T111" s="440"/>
      <c r="U111" s="389"/>
      <c r="V111" s="384"/>
      <c r="W111" s="385"/>
      <c r="X111" s="386"/>
      <c r="Y111" s="385"/>
      <c r="Z111" s="440"/>
      <c r="AA111" s="389"/>
      <c r="AB111" s="384"/>
      <c r="AC111" s="385"/>
      <c r="AD111" s="386"/>
      <c r="AE111" s="385"/>
      <c r="AF111" s="440"/>
      <c r="AG111" s="389"/>
      <c r="AH111" s="384"/>
      <c r="AI111" s="385"/>
      <c r="AJ111" s="386"/>
      <c r="AK111" s="385"/>
      <c r="AL111" s="440"/>
      <c r="AM111" s="389"/>
      <c r="AN111" s="384"/>
      <c r="AO111" s="385"/>
      <c r="AP111" s="386"/>
      <c r="AQ111" s="385"/>
      <c r="AR111" s="391"/>
      <c r="AS111" s="389"/>
      <c r="AT111" s="384"/>
      <c r="AU111" s="385"/>
      <c r="AV111" s="386"/>
      <c r="AW111" s="385"/>
      <c r="AX111" s="386"/>
      <c r="AY111" s="389"/>
      <c r="AZ111" s="384"/>
      <c r="BA111" s="385"/>
      <c r="BB111" s="386"/>
      <c r="BC111" s="385"/>
      <c r="BD111" s="386"/>
      <c r="BE111" s="389"/>
      <c r="BF111" s="384"/>
      <c r="BG111" s="385"/>
      <c r="BH111" s="386"/>
      <c r="BI111" s="385"/>
      <c r="BJ111" s="440"/>
      <c r="BK111" s="389"/>
      <c r="BL111" s="384"/>
      <c r="BM111" s="440"/>
      <c r="BN111" s="386"/>
      <c r="BO111" s="385"/>
      <c r="BP111" s="440"/>
      <c r="BQ111" s="389"/>
      <c r="BR111" s="392"/>
      <c r="BS111" s="385"/>
      <c r="BT111" s="386"/>
      <c r="BU111" s="385"/>
      <c r="BV111" s="440"/>
      <c r="BW111" s="389"/>
      <c r="BX111" s="213"/>
      <c r="BY111" s="213"/>
      <c r="BZ111" s="213"/>
      <c r="CA111" s="213"/>
      <c r="CB111" s="213"/>
      <c r="CC111" s="213"/>
      <c r="CD111" s="213"/>
      <c r="CE111" s="213"/>
      <c r="CF111" s="213"/>
      <c r="CG111" s="213"/>
      <c r="CH111" s="213"/>
      <c r="CI111" s="213"/>
      <c r="CJ111" s="213"/>
      <c r="CK111" s="213"/>
      <c r="CL111" s="213"/>
      <c r="CM111" s="213"/>
      <c r="CN111" s="213"/>
      <c r="CO111" s="213"/>
      <c r="CP111" s="213"/>
      <c r="CQ111" s="213"/>
    </row>
    <row r="112" ht="15.75" customHeight="1">
      <c r="A112" s="213"/>
      <c r="B112" s="393"/>
      <c r="C112" s="350" t="s">
        <v>285</v>
      </c>
      <c r="D112" s="351">
        <f>124780/12</f>
        <v>10398.33333</v>
      </c>
      <c r="E112" s="355">
        <f>D112/D$31</f>
        <v>0.0006590130196</v>
      </c>
      <c r="F112" s="353">
        <v>20000.0</v>
      </c>
      <c r="G112" s="355">
        <f>F112/F$31</f>
        <v>0.001377042972</v>
      </c>
      <c r="H112" s="353">
        <f>D112-F112</f>
        <v>-9601.666667</v>
      </c>
      <c r="I112" s="394">
        <f>IFERROR((H112/F112),"")</f>
        <v>-0.4800833333</v>
      </c>
      <c r="J112" s="351">
        <f>124780/12</f>
        <v>10398.33333</v>
      </c>
      <c r="K112" s="355">
        <f>J112/J$31</f>
        <v>0.0006768638996</v>
      </c>
      <c r="L112" s="353">
        <f>$F$112</f>
        <v>20000</v>
      </c>
      <c r="M112" s="355">
        <f>L112/L$31</f>
        <v>0.001500323239</v>
      </c>
      <c r="N112" s="352"/>
      <c r="O112" s="358"/>
      <c r="P112" s="351">
        <f>124780/12</f>
        <v>10398.33333</v>
      </c>
      <c r="Q112" s="355">
        <f>IFERROR(P112/P$31,)</f>
        <v>0.000761609305</v>
      </c>
      <c r="R112" s="353">
        <f>$F$112</f>
        <v>20000</v>
      </c>
      <c r="S112" s="355">
        <f>R112/R$31</f>
        <v>0.001572618077</v>
      </c>
      <c r="T112" s="352"/>
      <c r="U112" s="358"/>
      <c r="V112" s="351">
        <f>124780/12</f>
        <v>10398.33333</v>
      </c>
      <c r="W112" s="355">
        <f>V112/V$31</f>
        <v>0.0007175164193</v>
      </c>
      <c r="X112" s="353">
        <f>$F$112</f>
        <v>20000</v>
      </c>
      <c r="Y112" s="355">
        <f>X112/X$31</f>
        <v>0.001490183047</v>
      </c>
      <c r="Z112" s="352"/>
      <c r="AA112" s="358"/>
      <c r="AB112" s="351">
        <f>124780/12</f>
        <v>10398.33333</v>
      </c>
      <c r="AC112" s="355">
        <f>AB112/AB$31</f>
        <v>0.0006763015629</v>
      </c>
      <c r="AD112" s="353">
        <f>$F$112</f>
        <v>20000</v>
      </c>
      <c r="AE112" s="355">
        <f>AD112/AD$31</f>
        <v>0.001370199182</v>
      </c>
      <c r="AF112" s="352"/>
      <c r="AG112" s="358"/>
      <c r="AH112" s="351">
        <f>124780/12</f>
        <v>10398.33333</v>
      </c>
      <c r="AI112" s="355">
        <f>AH112/$F$31</f>
        <v>0.000715947592</v>
      </c>
      <c r="AJ112" s="353">
        <f>$F$112</f>
        <v>20000</v>
      </c>
      <c r="AK112" s="355">
        <f>AJ112/AJ$31</f>
        <v>0.001422466406</v>
      </c>
      <c r="AL112" s="352"/>
      <c r="AM112" s="358"/>
      <c r="AN112" s="351">
        <f>124780/12</f>
        <v>10398.33333</v>
      </c>
      <c r="AO112" s="355">
        <f>AN112/AN$31</f>
        <v>0.0004815267815</v>
      </c>
      <c r="AP112" s="353">
        <f>$F$112</f>
        <v>20000</v>
      </c>
      <c r="AQ112" s="355">
        <f>AP112/AP$31</f>
        <v>0.001182104638</v>
      </c>
      <c r="AR112" s="359"/>
      <c r="AS112" s="358"/>
      <c r="AT112" s="351">
        <f>124780/12</f>
        <v>10398.33333</v>
      </c>
      <c r="AU112" s="355">
        <f>AT112/AT$31</f>
        <v>0.0004322183302</v>
      </c>
      <c r="AV112" s="353">
        <f>$F$112</f>
        <v>20000</v>
      </c>
      <c r="AW112" s="355">
        <f>AV112/AV$31</f>
        <v>0.001070532287</v>
      </c>
      <c r="AX112" s="353"/>
      <c r="AY112" s="358"/>
      <c r="AZ112" s="351">
        <f>124780/12</f>
        <v>10398.33333</v>
      </c>
      <c r="BA112" s="355">
        <f>AZ112/AZ$31</f>
        <v>0.0004238453109</v>
      </c>
      <c r="BB112" s="353">
        <f>$F$112</f>
        <v>20000</v>
      </c>
      <c r="BC112" s="355">
        <f>BB112/BB$31</f>
        <v>0.0009169936016</v>
      </c>
      <c r="BD112" s="353"/>
      <c r="BE112" s="358"/>
      <c r="BF112" s="351">
        <f>124780/12</f>
        <v>10398.33333</v>
      </c>
      <c r="BG112" s="355">
        <f>BF112/BF$31</f>
        <v>0.0003965096865</v>
      </c>
      <c r="BH112" s="353">
        <f>$F$112</f>
        <v>20000</v>
      </c>
      <c r="BI112" s="355">
        <f>BH112/BH$31</f>
        <v>0.0009949388456</v>
      </c>
      <c r="BJ112" s="352"/>
      <c r="BK112" s="358"/>
      <c r="BL112" s="351">
        <f>124780/12</f>
        <v>10398.33333</v>
      </c>
      <c r="BM112" s="355">
        <f>BL112/BL$31</f>
        <v>0.0004816624207</v>
      </c>
      <c r="BN112" s="353">
        <f>$F$112</f>
        <v>20000</v>
      </c>
      <c r="BO112" s="355">
        <f>BN112/BN$31</f>
        <v>0.00108673628</v>
      </c>
      <c r="BP112" s="352"/>
      <c r="BQ112" s="358"/>
      <c r="BR112" s="360">
        <f>124780/12</f>
        <v>10398.33333</v>
      </c>
      <c r="BS112" s="355">
        <f>BR112/BR$31</f>
        <v>0.000469616889</v>
      </c>
      <c r="BT112" s="353">
        <f>$F$112</f>
        <v>20000</v>
      </c>
      <c r="BU112" s="355">
        <f>BT112/BT$31</f>
        <v>0.001077870367</v>
      </c>
      <c r="BV112" s="352"/>
      <c r="BW112" s="358"/>
      <c r="BX112" s="328">
        <f>SUM(D112,J112,P112,V112,AB112,AH112,AN112,AT112,AZ112,BF112,BL112,BR112)</f>
        <v>124780</v>
      </c>
      <c r="BY112" s="213"/>
      <c r="BZ112" s="213"/>
      <c r="CA112" s="213"/>
      <c r="CB112" s="213"/>
      <c r="CC112" s="213"/>
      <c r="CD112" s="213"/>
      <c r="CE112" s="213"/>
      <c r="CF112" s="213"/>
      <c r="CG112" s="213"/>
      <c r="CH112" s="213"/>
      <c r="CI112" s="213"/>
      <c r="CJ112" s="213"/>
      <c r="CK112" s="213"/>
      <c r="CL112" s="213"/>
      <c r="CM112" s="213"/>
      <c r="CN112" s="213"/>
      <c r="CO112" s="213"/>
      <c r="CP112" s="213"/>
      <c r="CQ112" s="213"/>
    </row>
    <row r="113" ht="15.75" customHeight="1">
      <c r="A113" s="213"/>
      <c r="B113" s="393"/>
      <c r="C113" s="350"/>
      <c r="D113" s="351"/>
      <c r="E113" s="355"/>
      <c r="F113" s="353"/>
      <c r="G113" s="355"/>
      <c r="H113" s="353"/>
      <c r="I113" s="394"/>
      <c r="J113" s="351"/>
      <c r="K113" s="355"/>
      <c r="L113" s="353"/>
      <c r="M113" s="355"/>
      <c r="N113" s="352"/>
      <c r="O113" s="358"/>
      <c r="P113" s="351"/>
      <c r="Q113" s="355"/>
      <c r="R113" s="353"/>
      <c r="S113" s="355"/>
      <c r="T113" s="352"/>
      <c r="U113" s="358"/>
      <c r="V113" s="351"/>
      <c r="W113" s="355"/>
      <c r="X113" s="353"/>
      <c r="Y113" s="355"/>
      <c r="Z113" s="352"/>
      <c r="AA113" s="358"/>
      <c r="AB113" s="351"/>
      <c r="AC113" s="355"/>
      <c r="AD113" s="353"/>
      <c r="AE113" s="355"/>
      <c r="AF113" s="352"/>
      <c r="AG113" s="358"/>
      <c r="AH113" s="351"/>
      <c r="AI113" s="355"/>
      <c r="AJ113" s="353"/>
      <c r="AK113" s="355"/>
      <c r="AL113" s="352"/>
      <c r="AM113" s="358"/>
      <c r="AN113" s="351"/>
      <c r="AO113" s="355"/>
      <c r="AP113" s="353"/>
      <c r="AQ113" s="355"/>
      <c r="AR113" s="359"/>
      <c r="AS113" s="358"/>
      <c r="AT113" s="351"/>
      <c r="AU113" s="355"/>
      <c r="AV113" s="353"/>
      <c r="AW113" s="355"/>
      <c r="AX113" s="353"/>
      <c r="AY113" s="358"/>
      <c r="AZ113" s="351"/>
      <c r="BA113" s="355"/>
      <c r="BB113" s="353"/>
      <c r="BC113" s="355"/>
      <c r="BD113" s="353"/>
      <c r="BE113" s="358"/>
      <c r="BF113" s="351"/>
      <c r="BG113" s="355"/>
      <c r="BH113" s="353"/>
      <c r="BI113" s="355"/>
      <c r="BJ113" s="352"/>
      <c r="BK113" s="358"/>
      <c r="BL113" s="351"/>
      <c r="BM113" s="352"/>
      <c r="BN113" s="353"/>
      <c r="BO113" s="355"/>
      <c r="BP113" s="352"/>
      <c r="BQ113" s="358"/>
      <c r="BR113" s="360"/>
      <c r="BS113" s="355"/>
      <c r="BT113" s="353"/>
      <c r="BU113" s="355"/>
      <c r="BV113" s="352"/>
      <c r="BW113" s="358"/>
      <c r="BX113" s="213"/>
      <c r="BY113" s="213"/>
      <c r="BZ113" s="213"/>
      <c r="CA113" s="213"/>
      <c r="CB113" s="213"/>
      <c r="CC113" s="213"/>
      <c r="CD113" s="213"/>
      <c r="CE113" s="213"/>
      <c r="CF113" s="213"/>
      <c r="CG113" s="213"/>
      <c r="CH113" s="213"/>
      <c r="CI113" s="213"/>
      <c r="CJ113" s="213"/>
      <c r="CK113" s="213"/>
      <c r="CL113" s="213"/>
      <c r="CM113" s="213"/>
      <c r="CN113" s="213"/>
      <c r="CO113" s="213"/>
      <c r="CP113" s="213"/>
      <c r="CQ113" s="213"/>
    </row>
    <row r="114" ht="15.75" customHeight="1">
      <c r="A114" s="213"/>
      <c r="B114" s="393"/>
      <c r="C114" s="350" t="s">
        <v>286</v>
      </c>
      <c r="D114" s="351">
        <f>48798-2500</f>
        <v>46298</v>
      </c>
      <c r="E114" s="355">
        <f>D114/D$31</f>
        <v>0.002934218764</v>
      </c>
      <c r="F114" s="353">
        <v>40000.0</v>
      </c>
      <c r="G114" s="355">
        <f>F114/F$31</f>
        <v>0.002754085945</v>
      </c>
      <c r="H114" s="353">
        <f>D114-F114</f>
        <v>6298</v>
      </c>
      <c r="I114" s="394">
        <f>IFERROR((H114/F114),"")</f>
        <v>0.15745</v>
      </c>
      <c r="J114" s="351">
        <f>46801-2500</f>
        <v>44301</v>
      </c>
      <c r="K114" s="355">
        <f>J114/J$31</f>
        <v>0.002883707096</v>
      </c>
      <c r="L114" s="353">
        <f>$F$114</f>
        <v>40000</v>
      </c>
      <c r="M114" s="355">
        <f>L114/L$31</f>
        <v>0.003000646477</v>
      </c>
      <c r="N114" s="352"/>
      <c r="O114" s="358"/>
      <c r="P114" s="351">
        <v>45863.0</v>
      </c>
      <c r="Q114" s="355">
        <f>IFERROR(P114/P$31,)</f>
        <v>0.003359162131</v>
      </c>
      <c r="R114" s="353">
        <f>$F$114</f>
        <v>40000</v>
      </c>
      <c r="S114" s="355">
        <f>R114/R$31</f>
        <v>0.003145236155</v>
      </c>
      <c r="T114" s="352"/>
      <c r="U114" s="358"/>
      <c r="V114" s="351">
        <v>46734.0</v>
      </c>
      <c r="W114" s="355">
        <f>V114/V$31</f>
        <v>0.00322478721</v>
      </c>
      <c r="X114" s="353">
        <f>$F$114</f>
        <v>40000</v>
      </c>
      <c r="Y114" s="355">
        <f>X114/X$31</f>
        <v>0.002980366093</v>
      </c>
      <c r="Z114" s="352"/>
      <c r="AA114" s="358"/>
      <c r="AB114" s="351">
        <v>45433.0</v>
      </c>
      <c r="AC114" s="355">
        <f>AB114/AB$31</f>
        <v>0.002954935942</v>
      </c>
      <c r="AD114" s="353">
        <f>$F$114</f>
        <v>40000</v>
      </c>
      <c r="AE114" s="355">
        <f>AD114/AD$31</f>
        <v>0.002740398363</v>
      </c>
      <c r="AF114" s="352"/>
      <c r="AG114" s="358"/>
      <c r="AH114" s="351">
        <v>42930.0</v>
      </c>
      <c r="AI114" s="355">
        <f>AH114/$F$31</f>
        <v>0.00295582274</v>
      </c>
      <c r="AJ114" s="353">
        <f>$F$114</f>
        <v>40000</v>
      </c>
      <c r="AK114" s="355">
        <f>AJ114/AJ$31</f>
        <v>0.002844932812</v>
      </c>
      <c r="AL114" s="352"/>
      <c r="AM114" s="358"/>
      <c r="AN114" s="351">
        <v>50167.0</v>
      </c>
      <c r="AO114" s="355">
        <f>AN114/AN$31</f>
        <v>0.00232313711</v>
      </c>
      <c r="AP114" s="353">
        <f>$F$114</f>
        <v>40000</v>
      </c>
      <c r="AQ114" s="355">
        <f>AP114/AP$31</f>
        <v>0.002364209276</v>
      </c>
      <c r="AR114" s="359"/>
      <c r="AS114" s="358"/>
      <c r="AT114" s="351">
        <v>46026.0</v>
      </c>
      <c r="AU114" s="355">
        <f>AT114/AT$31</f>
        <v>0.001913122058</v>
      </c>
      <c r="AV114" s="353">
        <f>$F$114</f>
        <v>40000</v>
      </c>
      <c r="AW114" s="355">
        <f>AV114/AV$31</f>
        <v>0.002141064575</v>
      </c>
      <c r="AX114" s="353"/>
      <c r="AY114" s="358"/>
      <c r="AZ114" s="351">
        <v>47232.0</v>
      </c>
      <c r="BA114" s="355">
        <f>AZ114/AZ$31</f>
        <v>0.00192521831</v>
      </c>
      <c r="BB114" s="353">
        <f>$F$114</f>
        <v>40000</v>
      </c>
      <c r="BC114" s="355">
        <f>BB114/BB$31</f>
        <v>0.001833987203</v>
      </c>
      <c r="BD114" s="353"/>
      <c r="BE114" s="358"/>
      <c r="BF114" s="351">
        <v>57453.0</v>
      </c>
      <c r="BG114" s="355">
        <f>BF114/BF$31</f>
        <v>0.002190800226</v>
      </c>
      <c r="BH114" s="353">
        <f>$F$114</f>
        <v>40000</v>
      </c>
      <c r="BI114" s="355">
        <f>BH114/BH$31</f>
        <v>0.001989877691</v>
      </c>
      <c r="BJ114" s="352"/>
      <c r="BK114" s="358"/>
      <c r="BL114" s="351">
        <v>44625.0</v>
      </c>
      <c r="BM114" s="355">
        <f>BL114/BL$31</f>
        <v>0.002067079871</v>
      </c>
      <c r="BN114" s="353">
        <f>$F$114</f>
        <v>40000</v>
      </c>
      <c r="BO114" s="355">
        <f>BN114/BN$31</f>
        <v>0.002173472561</v>
      </c>
      <c r="BP114" s="352"/>
      <c r="BQ114" s="358"/>
      <c r="BR114" s="360">
        <v>45914.0</v>
      </c>
      <c r="BS114" s="355">
        <f>BR114/BR$31</f>
        <v>0.002073600562</v>
      </c>
      <c r="BT114" s="353">
        <f>$F$114</f>
        <v>40000</v>
      </c>
      <c r="BU114" s="355">
        <f>BT114/BT$31</f>
        <v>0.002155740735</v>
      </c>
      <c r="BV114" s="352"/>
      <c r="BW114" s="358"/>
      <c r="BX114" s="328">
        <f>SUM(D114,J114,P114,V114,AB114,AH114,AN114,AT114,AZ114,BF114,BL114,BR114)</f>
        <v>562976</v>
      </c>
      <c r="BY114" s="213"/>
      <c r="BZ114" s="213"/>
      <c r="CA114" s="213"/>
      <c r="CB114" s="213"/>
      <c r="CC114" s="213"/>
      <c r="CD114" s="213"/>
      <c r="CE114" s="213"/>
      <c r="CF114" s="213"/>
      <c r="CG114" s="213"/>
      <c r="CH114" s="213"/>
      <c r="CI114" s="213"/>
      <c r="CJ114" s="213"/>
      <c r="CK114" s="213"/>
      <c r="CL114" s="213"/>
      <c r="CM114" s="213"/>
      <c r="CN114" s="213"/>
      <c r="CO114" s="213"/>
      <c r="CP114" s="213"/>
      <c r="CQ114" s="213"/>
    </row>
    <row r="115" ht="15.75" customHeight="1">
      <c r="A115" s="213"/>
      <c r="B115" s="393"/>
      <c r="C115" s="350"/>
      <c r="D115" s="351"/>
      <c r="E115" s="355"/>
      <c r="F115" s="353"/>
      <c r="G115" s="355"/>
      <c r="H115" s="353"/>
      <c r="I115" s="394"/>
      <c r="J115" s="351"/>
      <c r="K115" s="355"/>
      <c r="L115" s="353"/>
      <c r="M115" s="355"/>
      <c r="N115" s="352"/>
      <c r="O115" s="358"/>
      <c r="P115" s="351"/>
      <c r="Q115" s="355"/>
      <c r="R115" s="353"/>
      <c r="S115" s="355"/>
      <c r="T115" s="352"/>
      <c r="U115" s="358"/>
      <c r="V115" s="351"/>
      <c r="W115" s="355"/>
      <c r="X115" s="353"/>
      <c r="Y115" s="355"/>
      <c r="Z115" s="352"/>
      <c r="AA115" s="358"/>
      <c r="AB115" s="351"/>
      <c r="AC115" s="355"/>
      <c r="AD115" s="353"/>
      <c r="AE115" s="355"/>
      <c r="AF115" s="352"/>
      <c r="AG115" s="358"/>
      <c r="AH115" s="351"/>
      <c r="AI115" s="355"/>
      <c r="AJ115" s="353"/>
      <c r="AK115" s="355"/>
      <c r="AL115" s="352"/>
      <c r="AM115" s="358"/>
      <c r="AN115" s="351"/>
      <c r="AO115" s="355"/>
      <c r="AP115" s="353"/>
      <c r="AQ115" s="355"/>
      <c r="AR115" s="359"/>
      <c r="AS115" s="358"/>
      <c r="AT115" s="351"/>
      <c r="AU115" s="355"/>
      <c r="AV115" s="353"/>
      <c r="AW115" s="355"/>
      <c r="AX115" s="353"/>
      <c r="AY115" s="358"/>
      <c r="AZ115" s="351"/>
      <c r="BA115" s="355"/>
      <c r="BB115" s="353"/>
      <c r="BC115" s="355"/>
      <c r="BD115" s="353"/>
      <c r="BE115" s="358"/>
      <c r="BF115" s="351"/>
      <c r="BG115" s="355"/>
      <c r="BH115" s="353"/>
      <c r="BI115" s="355"/>
      <c r="BJ115" s="352"/>
      <c r="BK115" s="358"/>
      <c r="BL115" s="351"/>
      <c r="BM115" s="352"/>
      <c r="BN115" s="353"/>
      <c r="BO115" s="355"/>
      <c r="BP115" s="352"/>
      <c r="BQ115" s="358"/>
      <c r="BR115" s="360"/>
      <c r="BS115" s="355"/>
      <c r="BT115" s="353"/>
      <c r="BU115" s="355"/>
      <c r="BV115" s="352"/>
      <c r="BW115" s="358"/>
      <c r="BX115" s="213"/>
      <c r="BY115" s="213"/>
      <c r="BZ115" s="213"/>
      <c r="CA115" s="213"/>
      <c r="CB115" s="213"/>
      <c r="CC115" s="213"/>
      <c r="CD115" s="213"/>
      <c r="CE115" s="213"/>
      <c r="CF115" s="213"/>
      <c r="CG115" s="213"/>
      <c r="CH115" s="213"/>
      <c r="CI115" s="213"/>
      <c r="CJ115" s="213"/>
      <c r="CK115" s="213"/>
      <c r="CL115" s="213"/>
      <c r="CM115" s="213"/>
      <c r="CN115" s="213"/>
      <c r="CO115" s="213"/>
      <c r="CP115" s="213"/>
      <c r="CQ115" s="213"/>
    </row>
    <row r="116" ht="15.75" customHeight="1">
      <c r="A116" s="213"/>
      <c r="B116" s="393"/>
      <c r="C116" s="350" t="s">
        <v>287</v>
      </c>
      <c r="D116" s="351">
        <f>11000+8700</f>
        <v>19700</v>
      </c>
      <c r="E116" s="355">
        <f>D116/D$31</f>
        <v>0.001248522823</v>
      </c>
      <c r="F116" s="353">
        <v>11000.0</v>
      </c>
      <c r="G116" s="355">
        <f>F116/F$31</f>
        <v>0.0007573736348</v>
      </c>
      <c r="H116" s="353">
        <f>D116-F116</f>
        <v>8700</v>
      </c>
      <c r="I116" s="394">
        <f>IFERROR((H116/F116),"")</f>
        <v>0.7909090909</v>
      </c>
      <c r="J116" s="351">
        <v>15300.0</v>
      </c>
      <c r="K116" s="355">
        <f>J116/J$31</f>
        <v>0.0009959305335</v>
      </c>
      <c r="L116" s="353">
        <v>11000.0</v>
      </c>
      <c r="M116" s="355">
        <f>L116/L$31</f>
        <v>0.0008251777813</v>
      </c>
      <c r="N116" s="352"/>
      <c r="O116" s="358"/>
      <c r="P116" s="351">
        <v>17200.0</v>
      </c>
      <c r="Q116" s="355">
        <f>IFERROR(P116/P$31,)</f>
        <v>0.001259786509</v>
      </c>
      <c r="R116" s="353">
        <v>20750.0</v>
      </c>
      <c r="S116" s="355">
        <f>R116/R$31</f>
        <v>0.001631591255</v>
      </c>
      <c r="T116" s="352"/>
      <c r="U116" s="358"/>
      <c r="V116" s="351">
        <v>15500.0</v>
      </c>
      <c r="W116" s="355">
        <f>V116/V$31</f>
        <v>0.001069546834</v>
      </c>
      <c r="X116" s="353">
        <v>20750.0</v>
      </c>
      <c r="Y116" s="355">
        <f>X116/X$31</f>
        <v>0.001546064911</v>
      </c>
      <c r="Z116" s="352"/>
      <c r="AA116" s="358"/>
      <c r="AB116" s="351">
        <v>18100.0</v>
      </c>
      <c r="AC116" s="355">
        <f>AB116/AB$31</f>
        <v>0.001177213491</v>
      </c>
      <c r="AD116" s="353">
        <v>20750.0</v>
      </c>
      <c r="AE116" s="355">
        <f>AD116/AD$31</f>
        <v>0.001421581651</v>
      </c>
      <c r="AF116" s="352"/>
      <c r="AG116" s="358"/>
      <c r="AH116" s="351">
        <v>13800.0</v>
      </c>
      <c r="AI116" s="355">
        <f>AH116/$F$31</f>
        <v>0.0009501596509</v>
      </c>
      <c r="AJ116" s="353">
        <v>20750.0</v>
      </c>
      <c r="AK116" s="355">
        <f>AJ116/AJ$31</f>
        <v>0.001475808896</v>
      </c>
      <c r="AL116" s="352"/>
      <c r="AM116" s="358"/>
      <c r="AN116" s="351">
        <v>14900.0</v>
      </c>
      <c r="AO116" s="355">
        <f>AN116/AN$31</f>
        <v>0.0006899902912</v>
      </c>
      <c r="AP116" s="353">
        <v>20750.0</v>
      </c>
      <c r="AQ116" s="355">
        <f>AP116/AP$31</f>
        <v>0.001226433562</v>
      </c>
      <c r="AR116" s="359"/>
      <c r="AS116" s="358"/>
      <c r="AT116" s="351">
        <v>18300.0</v>
      </c>
      <c r="AU116" s="355">
        <f>AT116/AT$31</f>
        <v>0.000760659924</v>
      </c>
      <c r="AV116" s="353">
        <v>20750.0</v>
      </c>
      <c r="AW116" s="355">
        <f>AV116/AV$31</f>
        <v>0.001110677248</v>
      </c>
      <c r="AX116" s="353"/>
      <c r="AY116" s="358"/>
      <c r="AZ116" s="351">
        <v>15000.0</v>
      </c>
      <c r="BA116" s="355">
        <f>AZ116/AZ$31</f>
        <v>0.0006114133351</v>
      </c>
      <c r="BB116" s="353">
        <v>20750.0</v>
      </c>
      <c r="BC116" s="355">
        <f>BB116/BB$31</f>
        <v>0.0009513808617</v>
      </c>
      <c r="BD116" s="353"/>
      <c r="BE116" s="358"/>
      <c r="BF116" s="351">
        <v>18400.0</v>
      </c>
      <c r="BG116" s="355">
        <f>BF116/BF$31</f>
        <v>0.0007016295783</v>
      </c>
      <c r="BH116" s="353">
        <v>20750.0</v>
      </c>
      <c r="BI116" s="355">
        <f>BH116/BH$31</f>
        <v>0.001032249052</v>
      </c>
      <c r="BJ116" s="352"/>
      <c r="BK116" s="358"/>
      <c r="BL116" s="351">
        <v>15700.0</v>
      </c>
      <c r="BM116" s="355">
        <f>BL116/BL$31</f>
        <v>0.0007272415456</v>
      </c>
      <c r="BN116" s="353">
        <v>20750.0</v>
      </c>
      <c r="BO116" s="355">
        <f>BN116/BN$31</f>
        <v>0.001127488891</v>
      </c>
      <c r="BP116" s="352"/>
      <c r="BQ116" s="358"/>
      <c r="BR116" s="360">
        <v>15200.0</v>
      </c>
      <c r="BS116" s="355">
        <f>BR116/BR$31</f>
        <v>0.0006864731572</v>
      </c>
      <c r="BT116" s="353">
        <v>20750.0</v>
      </c>
      <c r="BU116" s="355">
        <f>BT116/BT$31</f>
        <v>0.001118290506</v>
      </c>
      <c r="BV116" s="352"/>
      <c r="BW116" s="358"/>
      <c r="BX116" s="328">
        <f>SUM(D116,J116,P116,V116,AB116,AH116,AN116,AT116,AZ116,BF116,BL116,BR116)</f>
        <v>197100</v>
      </c>
      <c r="BY116" s="213"/>
      <c r="BZ116" s="213"/>
      <c r="CA116" s="213"/>
      <c r="CB116" s="213"/>
      <c r="CC116" s="213"/>
      <c r="CD116" s="213"/>
      <c r="CE116" s="213"/>
      <c r="CF116" s="213"/>
      <c r="CG116" s="213"/>
      <c r="CH116" s="213"/>
      <c r="CI116" s="213"/>
      <c r="CJ116" s="213"/>
      <c r="CK116" s="213"/>
      <c r="CL116" s="213"/>
      <c r="CM116" s="213"/>
      <c r="CN116" s="213"/>
      <c r="CO116" s="213"/>
      <c r="CP116" s="213"/>
      <c r="CQ116" s="213"/>
    </row>
    <row r="117" ht="15.75" customHeight="1">
      <c r="A117" s="213"/>
      <c r="B117" s="393"/>
      <c r="C117" s="350"/>
      <c r="D117" s="351"/>
      <c r="E117" s="355"/>
      <c r="F117" s="353"/>
      <c r="G117" s="355"/>
      <c r="H117" s="353"/>
      <c r="I117" s="394"/>
      <c r="J117" s="351"/>
      <c r="K117" s="355"/>
      <c r="L117" s="353"/>
      <c r="M117" s="355"/>
      <c r="N117" s="352"/>
      <c r="O117" s="358"/>
      <c r="P117" s="351"/>
      <c r="Q117" s="355"/>
      <c r="R117" s="353"/>
      <c r="S117" s="355"/>
      <c r="T117" s="352"/>
      <c r="U117" s="358"/>
      <c r="V117" s="351"/>
      <c r="W117" s="355"/>
      <c r="X117" s="353"/>
      <c r="Y117" s="355"/>
      <c r="Z117" s="352"/>
      <c r="AA117" s="358"/>
      <c r="AB117" s="351"/>
      <c r="AC117" s="355"/>
      <c r="AD117" s="353"/>
      <c r="AE117" s="355"/>
      <c r="AF117" s="352"/>
      <c r="AG117" s="358"/>
      <c r="AH117" s="351"/>
      <c r="AI117" s="355"/>
      <c r="AJ117" s="353"/>
      <c r="AK117" s="355"/>
      <c r="AL117" s="352"/>
      <c r="AM117" s="358"/>
      <c r="AN117" s="351"/>
      <c r="AO117" s="355"/>
      <c r="AP117" s="353"/>
      <c r="AQ117" s="355"/>
      <c r="AR117" s="359"/>
      <c r="AS117" s="358"/>
      <c r="AT117" s="351"/>
      <c r="AU117" s="355"/>
      <c r="AV117" s="353"/>
      <c r="AW117" s="355"/>
      <c r="AX117" s="353"/>
      <c r="AY117" s="358"/>
      <c r="AZ117" s="351"/>
      <c r="BA117" s="355"/>
      <c r="BB117" s="353"/>
      <c r="BC117" s="355"/>
      <c r="BD117" s="353"/>
      <c r="BE117" s="358"/>
      <c r="BF117" s="351"/>
      <c r="BG117" s="355"/>
      <c r="BH117" s="353"/>
      <c r="BI117" s="355"/>
      <c r="BJ117" s="352"/>
      <c r="BK117" s="358"/>
      <c r="BL117" s="351"/>
      <c r="BM117" s="352"/>
      <c r="BN117" s="353"/>
      <c r="BO117" s="355"/>
      <c r="BP117" s="352"/>
      <c r="BQ117" s="358"/>
      <c r="BR117" s="360"/>
      <c r="BS117" s="355"/>
      <c r="BT117" s="353"/>
      <c r="BU117" s="355"/>
      <c r="BV117" s="352"/>
      <c r="BW117" s="358"/>
      <c r="BX117" s="213"/>
      <c r="BY117" s="213"/>
      <c r="BZ117" s="213"/>
      <c r="CA117" s="213"/>
      <c r="CB117" s="213"/>
      <c r="CC117" s="213"/>
      <c r="CD117" s="213"/>
      <c r="CE117" s="213"/>
      <c r="CF117" s="213"/>
      <c r="CG117" s="213"/>
      <c r="CH117" s="213"/>
      <c r="CI117" s="213"/>
      <c r="CJ117" s="213"/>
      <c r="CK117" s="213"/>
      <c r="CL117" s="213"/>
      <c r="CM117" s="213"/>
      <c r="CN117" s="213"/>
      <c r="CO117" s="213"/>
      <c r="CP117" s="213"/>
      <c r="CQ117" s="213"/>
    </row>
    <row r="118" ht="15.75" customHeight="1">
      <c r="A118" s="213"/>
      <c r="B118" s="393"/>
      <c r="C118" s="350" t="s">
        <v>288</v>
      </c>
      <c r="D118" s="351">
        <f>20486+19942</f>
        <v>40428</v>
      </c>
      <c r="E118" s="355">
        <f>D118/D$31</f>
        <v>0.002562196989</v>
      </c>
      <c r="F118" s="353">
        <v>43382.0</v>
      </c>
      <c r="G118" s="355">
        <f>F118/F$31</f>
        <v>0.002986943911</v>
      </c>
      <c r="H118" s="353">
        <f>D118-F118</f>
        <v>-2954</v>
      </c>
      <c r="I118" s="394">
        <f>IFERROR((H118/F118),"")</f>
        <v>-0.06809275736</v>
      </c>
      <c r="J118" s="351">
        <f>16900+28792</f>
        <v>45692</v>
      </c>
      <c r="K118" s="355">
        <f>J118/J$31</f>
        <v>0.002974252153</v>
      </c>
      <c r="L118" s="353">
        <f>$F$118</f>
        <v>43382</v>
      </c>
      <c r="M118" s="355">
        <f>L118/L$31</f>
        <v>0.003254351137</v>
      </c>
      <c r="N118" s="352"/>
      <c r="O118" s="358"/>
      <c r="P118" s="351">
        <f>16900+27022</f>
        <v>43922</v>
      </c>
      <c r="Q118" s="355">
        <f>IFERROR(P118/P$31,)</f>
        <v>0.003216996688</v>
      </c>
      <c r="R118" s="353">
        <f>$F$118</f>
        <v>43382</v>
      </c>
      <c r="S118" s="355">
        <f>R118/R$31</f>
        <v>0.003411165871</v>
      </c>
      <c r="T118" s="352"/>
      <c r="U118" s="358"/>
      <c r="V118" s="351">
        <f>16900+27022</f>
        <v>43922</v>
      </c>
      <c r="W118" s="355">
        <f>V118/V$31</f>
        <v>0.003030750714</v>
      </c>
      <c r="X118" s="353">
        <f>$F$118</f>
        <v>43382</v>
      </c>
      <c r="Y118" s="355">
        <f>X118/X$31</f>
        <v>0.003232356046</v>
      </c>
      <c r="Z118" s="352"/>
      <c r="AA118" s="358"/>
      <c r="AB118" s="351">
        <f>17900+28792</f>
        <v>46692</v>
      </c>
      <c r="AC118" s="355">
        <f>AB118/AB$31</f>
        <v>0.003036820571</v>
      </c>
      <c r="AD118" s="353">
        <f>$F$118</f>
        <v>43382</v>
      </c>
      <c r="AE118" s="355">
        <f>AD118/AD$31</f>
        <v>0.002972099045</v>
      </c>
      <c r="AF118" s="352"/>
      <c r="AG118" s="358"/>
      <c r="AH118" s="351">
        <f>18100+27022</f>
        <v>45122</v>
      </c>
      <c r="AI118" s="355">
        <f>AH118/$F$31</f>
        <v>0.00310674665</v>
      </c>
      <c r="AJ118" s="353">
        <f>$F$118</f>
        <v>43382</v>
      </c>
      <c r="AK118" s="355">
        <f>AJ118/AJ$31</f>
        <v>0.003085471881</v>
      </c>
      <c r="AL118" s="352"/>
      <c r="AM118" s="358"/>
      <c r="AN118" s="351">
        <f>17600+28792</f>
        <v>46392</v>
      </c>
      <c r="AO118" s="355">
        <f>AN118/AN$31</f>
        <v>0.002148324133</v>
      </c>
      <c r="AP118" s="353">
        <f>$F$118</f>
        <v>43382</v>
      </c>
      <c r="AQ118" s="355">
        <f>AP118/AP$31</f>
        <v>0.00256410317</v>
      </c>
      <c r="AR118" s="359"/>
      <c r="AS118" s="358"/>
      <c r="AT118" s="351">
        <f>20400+27022</f>
        <v>47422</v>
      </c>
      <c r="AU118" s="355">
        <f>AT118/AT$31</f>
        <v>0.001971148356</v>
      </c>
      <c r="AV118" s="353">
        <f>$F$118</f>
        <v>43382</v>
      </c>
      <c r="AW118" s="355">
        <f>AV118/AV$31</f>
        <v>0.002322091585</v>
      </c>
      <c r="AX118" s="353"/>
      <c r="AY118" s="358"/>
      <c r="AZ118" s="351">
        <f>16900+35282</f>
        <v>52182</v>
      </c>
      <c r="BA118" s="355">
        <f>AZ118/AZ$31</f>
        <v>0.00212698471</v>
      </c>
      <c r="BB118" s="353">
        <f>$F$118</f>
        <v>43382</v>
      </c>
      <c r="BC118" s="355">
        <f>BB118/BB$31</f>
        <v>0.001989050821</v>
      </c>
      <c r="BD118" s="353"/>
      <c r="BE118" s="358"/>
      <c r="BF118" s="351">
        <f>16900+28792</f>
        <v>45692</v>
      </c>
      <c r="BG118" s="355">
        <f>BF118/BF$31</f>
        <v>0.001742329277</v>
      </c>
      <c r="BH118" s="353">
        <f>$F$118</f>
        <v>43382</v>
      </c>
      <c r="BI118" s="355">
        <f>BH118/BH$31</f>
        <v>0.00215812185</v>
      </c>
      <c r="BJ118" s="352"/>
      <c r="BK118" s="358"/>
      <c r="BL118" s="351">
        <f>16900+27022</f>
        <v>43922</v>
      </c>
      <c r="BM118" s="355">
        <f>BL118/BL$31</f>
        <v>0.002034516125</v>
      </c>
      <c r="BN118" s="353">
        <f>$F$118</f>
        <v>43382</v>
      </c>
      <c r="BO118" s="355">
        <f>BN118/BN$31</f>
        <v>0.002357239666</v>
      </c>
      <c r="BP118" s="352"/>
      <c r="BQ118" s="358"/>
      <c r="BR118" s="360">
        <f>16900+22900</f>
        <v>39800</v>
      </c>
      <c r="BS118" s="355">
        <f>BR118/BR$31</f>
        <v>0.001797475767</v>
      </c>
      <c r="BT118" s="353">
        <f>$F$118</f>
        <v>43382</v>
      </c>
      <c r="BU118" s="355">
        <f>BT118/BT$31</f>
        <v>0.002338008614</v>
      </c>
      <c r="BV118" s="352"/>
      <c r="BW118" s="358"/>
      <c r="BX118" s="328">
        <f>SUM(D118,J118,P118,V118,AB118,AH118,AN118,AT118,AZ118,BF118,BL118,BR118)</f>
        <v>541188</v>
      </c>
      <c r="BY118" s="213"/>
      <c r="BZ118" s="213"/>
      <c r="CA118" s="213"/>
      <c r="CB118" s="213"/>
      <c r="CC118" s="213"/>
      <c r="CD118" s="213"/>
      <c r="CE118" s="213"/>
      <c r="CF118" s="213"/>
      <c r="CG118" s="213"/>
      <c r="CH118" s="213"/>
      <c r="CI118" s="213"/>
      <c r="CJ118" s="213"/>
      <c r="CK118" s="213"/>
      <c r="CL118" s="213"/>
      <c r="CM118" s="213"/>
      <c r="CN118" s="213"/>
      <c r="CO118" s="213"/>
      <c r="CP118" s="213"/>
      <c r="CQ118" s="213"/>
    </row>
    <row r="119" ht="15.75" customHeight="1">
      <c r="A119" s="213"/>
      <c r="B119" s="393"/>
      <c r="C119" s="350"/>
      <c r="D119" s="351"/>
      <c r="E119" s="355"/>
      <c r="F119" s="353"/>
      <c r="G119" s="355"/>
      <c r="H119" s="353"/>
      <c r="I119" s="394"/>
      <c r="J119" s="351"/>
      <c r="K119" s="355"/>
      <c r="L119" s="353"/>
      <c r="M119" s="355"/>
      <c r="N119" s="352"/>
      <c r="O119" s="358"/>
      <c r="P119" s="351"/>
      <c r="Q119" s="355"/>
      <c r="R119" s="353"/>
      <c r="S119" s="355"/>
      <c r="T119" s="352"/>
      <c r="U119" s="358"/>
      <c r="V119" s="351"/>
      <c r="W119" s="355"/>
      <c r="X119" s="353"/>
      <c r="Y119" s="355"/>
      <c r="Z119" s="352"/>
      <c r="AA119" s="358"/>
      <c r="AB119" s="351"/>
      <c r="AC119" s="355"/>
      <c r="AD119" s="353"/>
      <c r="AE119" s="355"/>
      <c r="AF119" s="352"/>
      <c r="AG119" s="358"/>
      <c r="AH119" s="351"/>
      <c r="AI119" s="355"/>
      <c r="AJ119" s="353"/>
      <c r="AK119" s="355"/>
      <c r="AL119" s="352"/>
      <c r="AM119" s="358"/>
      <c r="AN119" s="351"/>
      <c r="AO119" s="355"/>
      <c r="AP119" s="353"/>
      <c r="AQ119" s="355"/>
      <c r="AR119" s="359"/>
      <c r="AS119" s="358"/>
      <c r="AT119" s="351"/>
      <c r="AU119" s="355"/>
      <c r="AV119" s="353"/>
      <c r="AW119" s="355"/>
      <c r="AX119" s="353"/>
      <c r="AY119" s="358"/>
      <c r="AZ119" s="351"/>
      <c r="BA119" s="355"/>
      <c r="BB119" s="353"/>
      <c r="BC119" s="355"/>
      <c r="BD119" s="353"/>
      <c r="BE119" s="358"/>
      <c r="BF119" s="351"/>
      <c r="BG119" s="355"/>
      <c r="BH119" s="353"/>
      <c r="BI119" s="355"/>
      <c r="BJ119" s="352"/>
      <c r="BK119" s="358"/>
      <c r="BL119" s="351"/>
      <c r="BM119" s="352"/>
      <c r="BN119" s="353"/>
      <c r="BO119" s="355"/>
      <c r="BP119" s="352"/>
      <c r="BQ119" s="358"/>
      <c r="BR119" s="360"/>
      <c r="BS119" s="352"/>
      <c r="BT119" s="353"/>
      <c r="BU119" s="355"/>
      <c r="BV119" s="352"/>
      <c r="BW119" s="358"/>
      <c r="BX119" s="213"/>
      <c r="BY119" s="213"/>
      <c r="BZ119" s="213"/>
      <c r="CA119" s="213"/>
      <c r="CB119" s="213"/>
      <c r="CC119" s="213"/>
      <c r="CD119" s="213"/>
      <c r="CE119" s="213"/>
      <c r="CF119" s="213"/>
      <c r="CG119" s="213"/>
      <c r="CH119" s="213"/>
      <c r="CI119" s="213"/>
      <c r="CJ119" s="213"/>
      <c r="CK119" s="213"/>
      <c r="CL119" s="213"/>
      <c r="CM119" s="213"/>
      <c r="CN119" s="213"/>
      <c r="CO119" s="213"/>
      <c r="CP119" s="213"/>
      <c r="CQ119" s="213"/>
    </row>
    <row r="120" ht="15.75" customHeight="1">
      <c r="A120" s="213"/>
      <c r="B120" s="393"/>
      <c r="C120" s="350" t="s">
        <v>289</v>
      </c>
      <c r="D120" s="351">
        <v>40071.0</v>
      </c>
      <c r="E120" s="355">
        <f>D120/D$31</f>
        <v>0.002539571474</v>
      </c>
      <c r="F120" s="353"/>
      <c r="G120" s="352"/>
      <c r="H120" s="353"/>
      <c r="I120" s="354"/>
      <c r="J120" s="351">
        <v>32857.0</v>
      </c>
      <c r="K120" s="355">
        <f>J120/J$31</f>
        <v>0.002138777094</v>
      </c>
      <c r="L120" s="353"/>
      <c r="M120" s="352"/>
      <c r="N120" s="352"/>
      <c r="O120" s="358"/>
      <c r="P120" s="351">
        <v>32857.0</v>
      </c>
      <c r="Q120" s="355">
        <f>IFERROR(P120/P$31,)</f>
        <v>0.002406558449</v>
      </c>
      <c r="R120" s="353"/>
      <c r="S120" s="355">
        <f>R120/R$31</f>
        <v>0</v>
      </c>
      <c r="T120" s="352"/>
      <c r="U120" s="358"/>
      <c r="V120" s="351">
        <f>37143+69112</f>
        <v>106255</v>
      </c>
      <c r="W120" s="355">
        <f>V120/V$31</f>
        <v>0.007331916057</v>
      </c>
      <c r="X120" s="353"/>
      <c r="Y120" s="352"/>
      <c r="Z120" s="352"/>
      <c r="AA120" s="358"/>
      <c r="AB120" s="351">
        <f>30000</f>
        <v>30000</v>
      </c>
      <c r="AC120" s="352"/>
      <c r="AD120" s="353"/>
      <c r="AE120" s="352"/>
      <c r="AF120" s="352"/>
      <c r="AG120" s="358"/>
      <c r="AH120" s="351">
        <v>114169.0</v>
      </c>
      <c r="AI120" s="355">
        <f>AH120/$F$31</f>
        <v>0.007860780955</v>
      </c>
      <c r="AJ120" s="353"/>
      <c r="AK120" s="352"/>
      <c r="AL120" s="352"/>
      <c r="AM120" s="358"/>
      <c r="AN120" s="351">
        <f>7666+30000</f>
        <v>37666</v>
      </c>
      <c r="AO120" s="355">
        <f>AN120/AN$31</f>
        <v>0.001744239886</v>
      </c>
      <c r="AP120" s="353"/>
      <c r="AQ120" s="352"/>
      <c r="AR120" s="359"/>
      <c r="AS120" s="358"/>
      <c r="AT120" s="351">
        <v>6444.0</v>
      </c>
      <c r="AU120" s="355">
        <f>AT120/AT$31</f>
        <v>0.0002678520519</v>
      </c>
      <c r="AV120" s="353"/>
      <c r="AW120" s="352"/>
      <c r="AX120" s="353"/>
      <c r="AY120" s="358"/>
      <c r="AZ120" s="351">
        <v>25714.0</v>
      </c>
      <c r="BA120" s="355">
        <f>AZ120/AZ$31</f>
        <v>0.0010481255</v>
      </c>
      <c r="BB120" s="353"/>
      <c r="BC120" s="352"/>
      <c r="BD120" s="353"/>
      <c r="BE120" s="358"/>
      <c r="BF120" s="351">
        <f>39326+3000+59000</f>
        <v>101326</v>
      </c>
      <c r="BG120" s="355">
        <f>BF120/BF$31</f>
        <v>0.003863767318</v>
      </c>
      <c r="BH120" s="353"/>
      <c r="BI120" s="352"/>
      <c r="BJ120" s="352"/>
      <c r="BK120" s="358"/>
      <c r="BL120" s="351">
        <f>4451+28571</f>
        <v>33022</v>
      </c>
      <c r="BM120" s="355">
        <f>BL120/BL$31</f>
        <v>0.001529615944</v>
      </c>
      <c r="BN120" s="353"/>
      <c r="BO120" s="352"/>
      <c r="BP120" s="352"/>
      <c r="BQ120" s="358"/>
      <c r="BR120" s="414">
        <v>37143.0</v>
      </c>
      <c r="BS120" s="352"/>
      <c r="BT120" s="353"/>
      <c r="BU120" s="352"/>
      <c r="BV120" s="352"/>
      <c r="BW120" s="358"/>
      <c r="BX120" s="328">
        <f>SUM(D120,J120,P120,V120,AB120,AH120,AN120,AT120,AZ120,BF120,BL120,BR120)</f>
        <v>597524</v>
      </c>
      <c r="BY120" s="213"/>
      <c r="BZ120" s="213"/>
      <c r="CA120" s="213"/>
      <c r="CB120" s="213"/>
      <c r="CC120" s="213"/>
      <c r="CD120" s="213"/>
      <c r="CE120" s="213"/>
      <c r="CF120" s="213"/>
      <c r="CG120" s="213"/>
      <c r="CH120" s="213"/>
      <c r="CI120" s="213"/>
      <c r="CJ120" s="213"/>
      <c r="CK120" s="213"/>
      <c r="CL120" s="213"/>
      <c r="CM120" s="213"/>
      <c r="CN120" s="213"/>
      <c r="CO120" s="213"/>
      <c r="CP120" s="213"/>
      <c r="CQ120" s="213"/>
    </row>
    <row r="121" ht="15.75" customHeight="1">
      <c r="A121" s="213"/>
      <c r="B121" s="403"/>
      <c r="C121" s="451"/>
      <c r="D121" s="363"/>
      <c r="E121" s="364"/>
      <c r="F121" s="365"/>
      <c r="G121" s="364"/>
      <c r="H121" s="365"/>
      <c r="I121" s="366"/>
      <c r="J121" s="363"/>
      <c r="K121" s="364"/>
      <c r="L121" s="365"/>
      <c r="M121" s="364"/>
      <c r="N121" s="364"/>
      <c r="O121" s="368"/>
      <c r="P121" s="363"/>
      <c r="Q121" s="364"/>
      <c r="R121" s="365"/>
      <c r="S121" s="364"/>
      <c r="T121" s="364"/>
      <c r="U121" s="368"/>
      <c r="V121" s="363"/>
      <c r="W121" s="364"/>
      <c r="X121" s="365"/>
      <c r="Y121" s="364"/>
      <c r="Z121" s="364"/>
      <c r="AA121" s="368"/>
      <c r="AB121" s="363"/>
      <c r="AC121" s="364"/>
      <c r="AD121" s="365"/>
      <c r="AE121" s="364"/>
      <c r="AF121" s="364"/>
      <c r="AG121" s="368"/>
      <c r="AH121" s="363"/>
      <c r="AI121" s="364"/>
      <c r="AJ121" s="365"/>
      <c r="AK121" s="364"/>
      <c r="AL121" s="364"/>
      <c r="AM121" s="368"/>
      <c r="AN121" s="363"/>
      <c r="AO121" s="364"/>
      <c r="AP121" s="365"/>
      <c r="AQ121" s="364"/>
      <c r="AR121" s="369"/>
      <c r="AS121" s="368"/>
      <c r="AT121" s="363"/>
      <c r="AU121" s="364"/>
      <c r="AV121" s="365"/>
      <c r="AW121" s="364"/>
      <c r="AX121" s="365"/>
      <c r="AY121" s="368"/>
      <c r="AZ121" s="363"/>
      <c r="BA121" s="364"/>
      <c r="BB121" s="365"/>
      <c r="BC121" s="364"/>
      <c r="BD121" s="365"/>
      <c r="BE121" s="368"/>
      <c r="BF121" s="363"/>
      <c r="BG121" s="364"/>
      <c r="BH121" s="365"/>
      <c r="BI121" s="364"/>
      <c r="BJ121" s="364"/>
      <c r="BK121" s="368"/>
      <c r="BL121" s="363"/>
      <c r="BM121" s="364"/>
      <c r="BN121" s="365"/>
      <c r="BO121" s="364"/>
      <c r="BP121" s="364"/>
      <c r="BQ121" s="368"/>
      <c r="BR121" s="370"/>
      <c r="BS121" s="364"/>
      <c r="BT121" s="365"/>
      <c r="BU121" s="364"/>
      <c r="BV121" s="364"/>
      <c r="BW121" s="368"/>
      <c r="BX121" s="213"/>
      <c r="BY121" s="213"/>
      <c r="BZ121" s="213"/>
      <c r="CA121" s="213"/>
      <c r="CB121" s="213"/>
      <c r="CC121" s="213"/>
      <c r="CD121" s="213"/>
      <c r="CE121" s="213"/>
      <c r="CF121" s="213"/>
      <c r="CG121" s="213"/>
      <c r="CH121" s="213"/>
      <c r="CI121" s="213"/>
      <c r="CJ121" s="213"/>
      <c r="CK121" s="213"/>
      <c r="CL121" s="213"/>
      <c r="CM121" s="213"/>
      <c r="CN121" s="213"/>
      <c r="CO121" s="213"/>
      <c r="CP121" s="213"/>
      <c r="CQ121" s="213"/>
    </row>
    <row r="122" ht="15.75" customHeight="1">
      <c r="A122" s="213"/>
      <c r="B122" s="407"/>
      <c r="C122" s="447" t="s">
        <v>42</v>
      </c>
      <c r="D122" s="373">
        <f>SUM(D123:D126)</f>
        <v>81700</v>
      </c>
      <c r="E122" s="374">
        <f t="shared" ref="E122:E124" si="338">D122/D$31</f>
        <v>0.005177883991</v>
      </c>
      <c r="F122" s="373">
        <f>SUM(F123:F126)</f>
        <v>0</v>
      </c>
      <c r="G122" s="374">
        <f t="shared" ref="G122:G124" si="339">F122/F$31</f>
        <v>0</v>
      </c>
      <c r="H122" s="373">
        <f>SUM(H123:H126)</f>
        <v>0</v>
      </c>
      <c r="I122" s="376">
        <f>H122/H$31</f>
        <v>0</v>
      </c>
      <c r="J122" s="373">
        <f>SUM(J123:J126)</f>
        <v>0</v>
      </c>
      <c r="K122" s="374">
        <f>J122/J$31</f>
        <v>0</v>
      </c>
      <c r="L122" s="373">
        <f>SUM(L123:L126)</f>
        <v>0</v>
      </c>
      <c r="M122" s="374">
        <f>L122/L$31</f>
        <v>0</v>
      </c>
      <c r="N122" s="373">
        <f>SUM(N123:N126)</f>
        <v>0</v>
      </c>
      <c r="O122" s="379">
        <f>N122/N$31</f>
        <v>0</v>
      </c>
      <c r="P122" s="373">
        <f>SUM(P123:P126)</f>
        <v>0</v>
      </c>
      <c r="Q122" s="374">
        <f>P122/P$31</f>
        <v>0</v>
      </c>
      <c r="R122" s="373">
        <f>SUM(R123:R126)</f>
        <v>0</v>
      </c>
      <c r="S122" s="408"/>
      <c r="T122" s="373">
        <f>SUM(T123:T126)</f>
        <v>0</v>
      </c>
      <c r="U122" s="378"/>
      <c r="V122" s="373">
        <f>SUM(V123:V126)</f>
        <v>0</v>
      </c>
      <c r="W122" s="408"/>
      <c r="X122" s="373">
        <f>SUM(X123:X126)</f>
        <v>0</v>
      </c>
      <c r="Y122" s="408"/>
      <c r="Z122" s="373">
        <f>SUM(Z123:Z126)</f>
        <v>0</v>
      </c>
      <c r="AA122" s="378"/>
      <c r="AB122" s="373">
        <f>SUM(AB123:AB126)</f>
        <v>0</v>
      </c>
      <c r="AC122" s="408"/>
      <c r="AD122" s="373">
        <f>SUM(AD123:AD126)</f>
        <v>0</v>
      </c>
      <c r="AE122" s="408"/>
      <c r="AF122" s="373">
        <f>SUM(AF123:AF126)</f>
        <v>0</v>
      </c>
      <c r="AG122" s="378"/>
      <c r="AH122" s="373">
        <f>SUM(AH123:AH126)</f>
        <v>0</v>
      </c>
      <c r="AI122" s="408"/>
      <c r="AJ122" s="373">
        <f>SUM(AJ123:AJ126)</f>
        <v>0</v>
      </c>
      <c r="AK122" s="408"/>
      <c r="AL122" s="373">
        <f>SUM(AL123:AL126)</f>
        <v>0</v>
      </c>
      <c r="AM122" s="378"/>
      <c r="AN122" s="373">
        <f>SUM(AN123:AN126)</f>
        <v>0</v>
      </c>
      <c r="AO122" s="408"/>
      <c r="AP122" s="373">
        <f>SUM(AP123:AP126)</f>
        <v>0</v>
      </c>
      <c r="AQ122" s="408"/>
      <c r="AR122" s="373">
        <f>SUM(AR123:AR126)</f>
        <v>0</v>
      </c>
      <c r="AS122" s="378"/>
      <c r="AT122" s="373">
        <f>SUM(AT123:AT126)</f>
        <v>0</v>
      </c>
      <c r="AU122" s="408"/>
      <c r="AV122" s="373">
        <f>SUM(AV123:AV126)</f>
        <v>0</v>
      </c>
      <c r="AW122" s="408"/>
      <c r="AX122" s="373">
        <f>SUM(AX123:AX126)</f>
        <v>0</v>
      </c>
      <c r="AY122" s="378"/>
      <c r="AZ122" s="373">
        <f>SUM(AZ123:AZ126)</f>
        <v>0</v>
      </c>
      <c r="BA122" s="408"/>
      <c r="BB122" s="373">
        <f>SUM(BB123:BB126)</f>
        <v>0</v>
      </c>
      <c r="BC122" s="408"/>
      <c r="BD122" s="373">
        <f>SUM(BD123:BD126)</f>
        <v>0</v>
      </c>
      <c r="BE122" s="378"/>
      <c r="BF122" s="373">
        <f>SUM(BF123:BF126)</f>
        <v>10270</v>
      </c>
      <c r="BG122" s="408"/>
      <c r="BH122" s="373">
        <f>SUM(BH123:BH126)</f>
        <v>0</v>
      </c>
      <c r="BI122" s="408"/>
      <c r="BJ122" s="373">
        <f>SUM(BJ123:BJ126)</f>
        <v>0</v>
      </c>
      <c r="BK122" s="378"/>
      <c r="BL122" s="373">
        <f>SUM(BL123:BL126)</f>
        <v>6000</v>
      </c>
      <c r="BM122" s="374">
        <f>BL122/$BL$31</f>
        <v>0.0002779267053</v>
      </c>
      <c r="BN122" s="373">
        <f>SUM(BN123:BN126)</f>
        <v>0</v>
      </c>
      <c r="BO122" s="408"/>
      <c r="BP122" s="373">
        <f>SUM(BP123:BP126)</f>
        <v>0</v>
      </c>
      <c r="BQ122" s="378"/>
      <c r="BR122" s="373">
        <f>SUM(BR123:BR126)</f>
        <v>45893</v>
      </c>
      <c r="BS122" s="374">
        <f>BR122/$BL$31</f>
        <v>0.002125815048</v>
      </c>
      <c r="BT122" s="373">
        <f>SUM(BT123:BT126)</f>
        <v>0</v>
      </c>
      <c r="BU122" s="408"/>
      <c r="BV122" s="408">
        <f>SUM(BV123:BV124)</f>
        <v>0</v>
      </c>
      <c r="BW122" s="378"/>
      <c r="BX122" s="328">
        <f>SUM(D122,J122,P122,V122,AB122,AH122,AN122,AT122,AZ122,BF122,BL122,BR122)</f>
        <v>143863</v>
      </c>
      <c r="BY122" s="216"/>
      <c r="BZ122" s="216"/>
      <c r="CA122" s="216"/>
      <c r="CB122" s="216"/>
      <c r="CC122" s="216"/>
      <c r="CD122" s="216"/>
      <c r="CE122" s="216"/>
      <c r="CF122" s="216"/>
      <c r="CG122" s="216"/>
      <c r="CH122" s="216"/>
      <c r="CI122" s="216"/>
      <c r="CJ122" s="216"/>
      <c r="CK122" s="216"/>
      <c r="CL122" s="216"/>
      <c r="CM122" s="216"/>
      <c r="CN122" s="216"/>
      <c r="CO122" s="216"/>
      <c r="CP122" s="216"/>
      <c r="CQ122" s="216"/>
    </row>
    <row r="123" ht="15.75" customHeight="1">
      <c r="A123" s="213"/>
      <c r="B123" s="444"/>
      <c r="C123" s="383" t="s">
        <v>290</v>
      </c>
      <c r="D123" s="384">
        <f>163400/2</f>
        <v>81700</v>
      </c>
      <c r="E123" s="385">
        <f t="shared" si="338"/>
        <v>0.005177883991</v>
      </c>
      <c r="F123" s="386"/>
      <c r="G123" s="385">
        <f t="shared" si="339"/>
        <v>0</v>
      </c>
      <c r="H123" s="386"/>
      <c r="I123" s="387" t="str">
        <f t="shared" ref="I123:I124" si="340">IFERROR((H123/F123),"")</f>
        <v/>
      </c>
      <c r="J123" s="384"/>
      <c r="K123" s="440"/>
      <c r="L123" s="386"/>
      <c r="M123" s="440"/>
      <c r="N123" s="440"/>
      <c r="O123" s="389"/>
      <c r="P123" s="384"/>
      <c r="Q123" s="440"/>
      <c r="R123" s="386"/>
      <c r="S123" s="440"/>
      <c r="T123" s="440"/>
      <c r="U123" s="389"/>
      <c r="V123" s="384"/>
      <c r="W123" s="440"/>
      <c r="X123" s="386"/>
      <c r="Y123" s="385">
        <f t="shared" ref="Y123:Y124" si="341">X123/X$31</f>
        <v>0</v>
      </c>
      <c r="Z123" s="440"/>
      <c r="AA123" s="389"/>
      <c r="AB123" s="384"/>
      <c r="AC123" s="440"/>
      <c r="AD123" s="386"/>
      <c r="AE123" s="385">
        <f t="shared" ref="AE123:AE124" si="342">AD123/AD$31</f>
        <v>0</v>
      </c>
      <c r="AF123" s="440"/>
      <c r="AG123" s="389"/>
      <c r="AH123" s="384"/>
      <c r="AI123" s="385">
        <f t="shared" ref="AI123:AI124" si="343">AH123/$F$31</f>
        <v>0</v>
      </c>
      <c r="AJ123" s="386"/>
      <c r="AK123" s="385">
        <f t="shared" ref="AK123:AK124" si="344">AJ123/AJ$31</f>
        <v>0</v>
      </c>
      <c r="AL123" s="440"/>
      <c r="AM123" s="389"/>
      <c r="AN123" s="384"/>
      <c r="AO123" s="385">
        <f t="shared" ref="AO123:AO124" si="345">AN123/$F$31</f>
        <v>0</v>
      </c>
      <c r="AP123" s="386"/>
      <c r="AQ123" s="385">
        <f t="shared" ref="AQ123:AQ124" si="346">AP123/AP$31</f>
        <v>0</v>
      </c>
      <c r="AR123" s="391"/>
      <c r="AS123" s="389"/>
      <c r="AT123" s="384"/>
      <c r="AU123" s="385">
        <f t="shared" ref="AU123:AU124" si="347">AT123/$F$31</f>
        <v>0</v>
      </c>
      <c r="AV123" s="386"/>
      <c r="AW123" s="385">
        <f t="shared" ref="AW123:AW124" si="348">AV123/AV$31</f>
        <v>0</v>
      </c>
      <c r="AX123" s="386"/>
      <c r="AY123" s="389"/>
      <c r="AZ123" s="384"/>
      <c r="BA123" s="440"/>
      <c r="BB123" s="386"/>
      <c r="BC123" s="385">
        <f t="shared" ref="BC123:BC124" si="349">BB123/BB$31</f>
        <v>0</v>
      </c>
      <c r="BD123" s="386"/>
      <c r="BE123" s="389"/>
      <c r="BF123" s="384">
        <v>10270.0</v>
      </c>
      <c r="BG123" s="440"/>
      <c r="BH123" s="386"/>
      <c r="BI123" s="385">
        <f t="shared" ref="BI123:BI124" si="350">BH123/BH$31</f>
        <v>0</v>
      </c>
      <c r="BJ123" s="440"/>
      <c r="BK123" s="389"/>
      <c r="BL123" s="384">
        <v>6000.0</v>
      </c>
      <c r="BM123" s="355">
        <f>BL123/BL$31</f>
        <v>0.0002779267053</v>
      </c>
      <c r="BN123" s="386"/>
      <c r="BO123" s="385">
        <f t="shared" ref="BO123:BO124" si="351">BN123/BN$31</f>
        <v>0</v>
      </c>
      <c r="BP123" s="440"/>
      <c r="BQ123" s="389"/>
      <c r="BR123" s="392">
        <v>0.0</v>
      </c>
      <c r="BS123" s="355">
        <f t="shared" ref="BS123:BS125" si="352">BR123/BR$31</f>
        <v>0</v>
      </c>
      <c r="BT123" s="386"/>
      <c r="BU123" s="385">
        <f t="shared" ref="BU123:BU124" si="353">BT123/BT$31</f>
        <v>0</v>
      </c>
      <c r="BV123" s="440"/>
      <c r="BW123" s="389"/>
      <c r="BX123" s="213"/>
      <c r="BY123" s="213"/>
      <c r="BZ123" s="213"/>
      <c r="CA123" s="213"/>
      <c r="CB123" s="213"/>
      <c r="CC123" s="213"/>
      <c r="CD123" s="213"/>
      <c r="CE123" s="213"/>
      <c r="CF123" s="213"/>
      <c r="CG123" s="213"/>
      <c r="CH123" s="213"/>
      <c r="CI123" s="213"/>
      <c r="CJ123" s="213"/>
      <c r="CK123" s="213"/>
      <c r="CL123" s="213"/>
      <c r="CM123" s="213"/>
      <c r="CN123" s="213"/>
      <c r="CO123" s="213"/>
      <c r="CP123" s="213"/>
      <c r="CQ123" s="213"/>
    </row>
    <row r="124" ht="15.75" customHeight="1">
      <c r="A124" s="213"/>
      <c r="B124" s="393"/>
      <c r="C124" s="350" t="s">
        <v>291</v>
      </c>
      <c r="D124" s="351"/>
      <c r="E124" s="355">
        <f t="shared" si="338"/>
        <v>0</v>
      </c>
      <c r="F124" s="353"/>
      <c r="G124" s="355">
        <f t="shared" si="339"/>
        <v>0</v>
      </c>
      <c r="H124" s="353">
        <f>D124-F124</f>
        <v>0</v>
      </c>
      <c r="I124" s="394" t="str">
        <f t="shared" si="340"/>
        <v/>
      </c>
      <c r="J124" s="351"/>
      <c r="K124" s="352"/>
      <c r="L124" s="353"/>
      <c r="M124" s="352"/>
      <c r="N124" s="352"/>
      <c r="O124" s="358"/>
      <c r="P124" s="351"/>
      <c r="Q124" s="352"/>
      <c r="R124" s="353"/>
      <c r="S124" s="352"/>
      <c r="T124" s="352"/>
      <c r="U124" s="358"/>
      <c r="V124" s="351"/>
      <c r="W124" s="352"/>
      <c r="X124" s="353"/>
      <c r="Y124" s="355">
        <f t="shared" si="341"/>
        <v>0</v>
      </c>
      <c r="Z124" s="352"/>
      <c r="AA124" s="358"/>
      <c r="AB124" s="351"/>
      <c r="AC124" s="352"/>
      <c r="AD124" s="353"/>
      <c r="AE124" s="355">
        <f t="shared" si="342"/>
        <v>0</v>
      </c>
      <c r="AF124" s="352"/>
      <c r="AG124" s="358"/>
      <c r="AH124" s="351"/>
      <c r="AI124" s="355">
        <f t="shared" si="343"/>
        <v>0</v>
      </c>
      <c r="AJ124" s="353"/>
      <c r="AK124" s="355">
        <f t="shared" si="344"/>
        <v>0</v>
      </c>
      <c r="AL124" s="352"/>
      <c r="AM124" s="358"/>
      <c r="AN124" s="351"/>
      <c r="AO124" s="355">
        <f t="shared" si="345"/>
        <v>0</v>
      </c>
      <c r="AP124" s="353"/>
      <c r="AQ124" s="355">
        <f t="shared" si="346"/>
        <v>0</v>
      </c>
      <c r="AR124" s="359"/>
      <c r="AS124" s="358"/>
      <c r="AT124" s="351"/>
      <c r="AU124" s="355">
        <f t="shared" si="347"/>
        <v>0</v>
      </c>
      <c r="AV124" s="353"/>
      <c r="AW124" s="355">
        <f t="shared" si="348"/>
        <v>0</v>
      </c>
      <c r="AX124" s="353"/>
      <c r="AY124" s="358"/>
      <c r="AZ124" s="351"/>
      <c r="BA124" s="352"/>
      <c r="BB124" s="353"/>
      <c r="BC124" s="355">
        <f t="shared" si="349"/>
        <v>0</v>
      </c>
      <c r="BD124" s="353"/>
      <c r="BE124" s="358"/>
      <c r="BF124" s="351"/>
      <c r="BG124" s="352"/>
      <c r="BH124" s="353"/>
      <c r="BI124" s="355">
        <f t="shared" si="350"/>
        <v>0</v>
      </c>
      <c r="BJ124" s="352"/>
      <c r="BK124" s="358"/>
      <c r="BL124" s="351"/>
      <c r="BM124" s="352"/>
      <c r="BN124" s="353"/>
      <c r="BO124" s="355">
        <f t="shared" si="351"/>
        <v>0</v>
      </c>
      <c r="BP124" s="352"/>
      <c r="BQ124" s="358"/>
      <c r="BR124" s="360"/>
      <c r="BS124" s="355">
        <f t="shared" si="352"/>
        <v>0</v>
      </c>
      <c r="BT124" s="353"/>
      <c r="BU124" s="355">
        <f t="shared" si="353"/>
        <v>0</v>
      </c>
      <c r="BV124" s="352"/>
      <c r="BW124" s="358"/>
      <c r="BX124" s="213"/>
      <c r="BY124" s="213"/>
      <c r="BZ124" s="213"/>
      <c r="CA124" s="213"/>
      <c r="CB124" s="213"/>
      <c r="CC124" s="213"/>
      <c r="CD124" s="213"/>
      <c r="CE124" s="213"/>
      <c r="CF124" s="213"/>
      <c r="CG124" s="213"/>
      <c r="CH124" s="213"/>
      <c r="CI124" s="213"/>
      <c r="CJ124" s="213"/>
      <c r="CK124" s="213"/>
      <c r="CL124" s="213"/>
      <c r="CM124" s="213"/>
      <c r="CN124" s="213"/>
      <c r="CO124" s="213"/>
      <c r="CP124" s="213"/>
      <c r="CQ124" s="213"/>
    </row>
    <row r="125" ht="15.75" customHeight="1">
      <c r="A125" s="213"/>
      <c r="B125" s="403"/>
      <c r="C125" s="362" t="s">
        <v>42</v>
      </c>
      <c r="D125" s="363"/>
      <c r="E125" s="404"/>
      <c r="F125" s="365"/>
      <c r="G125" s="404"/>
      <c r="H125" s="365"/>
      <c r="I125" s="405"/>
      <c r="J125" s="363"/>
      <c r="K125" s="364"/>
      <c r="L125" s="365"/>
      <c r="M125" s="364"/>
      <c r="N125" s="364"/>
      <c r="O125" s="368"/>
      <c r="P125" s="363"/>
      <c r="Q125" s="364"/>
      <c r="R125" s="365"/>
      <c r="S125" s="364"/>
      <c r="T125" s="364"/>
      <c r="U125" s="368"/>
      <c r="V125" s="363"/>
      <c r="W125" s="364"/>
      <c r="X125" s="365"/>
      <c r="Y125" s="404"/>
      <c r="Z125" s="364"/>
      <c r="AA125" s="368"/>
      <c r="AB125" s="363"/>
      <c r="AC125" s="364"/>
      <c r="AD125" s="365"/>
      <c r="AE125" s="404"/>
      <c r="AF125" s="364"/>
      <c r="AG125" s="368"/>
      <c r="AH125" s="363"/>
      <c r="AI125" s="404"/>
      <c r="AJ125" s="365"/>
      <c r="AK125" s="404"/>
      <c r="AL125" s="364"/>
      <c r="AM125" s="368"/>
      <c r="AN125" s="363"/>
      <c r="AO125" s="404"/>
      <c r="AP125" s="365"/>
      <c r="AQ125" s="404"/>
      <c r="AR125" s="369"/>
      <c r="AS125" s="368"/>
      <c r="AT125" s="363"/>
      <c r="AU125" s="404"/>
      <c r="AV125" s="365"/>
      <c r="AW125" s="404"/>
      <c r="AX125" s="365"/>
      <c r="AY125" s="368"/>
      <c r="AZ125" s="363"/>
      <c r="BA125" s="364"/>
      <c r="BB125" s="365"/>
      <c r="BC125" s="404"/>
      <c r="BD125" s="365"/>
      <c r="BE125" s="368"/>
      <c r="BF125" s="363"/>
      <c r="BG125" s="364"/>
      <c r="BH125" s="365"/>
      <c r="BI125" s="404"/>
      <c r="BJ125" s="364"/>
      <c r="BK125" s="368"/>
      <c r="BL125" s="363"/>
      <c r="BM125" s="364"/>
      <c r="BN125" s="365"/>
      <c r="BO125" s="404"/>
      <c r="BP125" s="364"/>
      <c r="BQ125" s="368"/>
      <c r="BR125" s="370">
        <f>8750+37143</f>
        <v>45893</v>
      </c>
      <c r="BS125" s="355">
        <f t="shared" si="352"/>
        <v>0.002072652145</v>
      </c>
      <c r="BT125" s="365"/>
      <c r="BU125" s="404"/>
      <c r="BV125" s="364"/>
      <c r="BW125" s="368"/>
      <c r="BX125" s="213"/>
      <c r="BY125" s="213"/>
      <c r="BZ125" s="213"/>
      <c r="CA125" s="213"/>
      <c r="CB125" s="213"/>
      <c r="CC125" s="213"/>
      <c r="CD125" s="213"/>
      <c r="CE125" s="213"/>
      <c r="CF125" s="213"/>
      <c r="CG125" s="213"/>
      <c r="CH125" s="213"/>
      <c r="CI125" s="213"/>
      <c r="CJ125" s="213"/>
      <c r="CK125" s="213"/>
      <c r="CL125" s="213"/>
      <c r="CM125" s="213"/>
      <c r="CN125" s="213"/>
      <c r="CO125" s="213"/>
      <c r="CP125" s="213"/>
      <c r="CQ125" s="213"/>
    </row>
    <row r="126" ht="15.75" customHeight="1">
      <c r="A126" s="213"/>
      <c r="B126" s="403"/>
      <c r="C126" s="362"/>
      <c r="D126" s="363"/>
      <c r="E126" s="364"/>
      <c r="F126" s="365"/>
      <c r="G126" s="364"/>
      <c r="H126" s="365"/>
      <c r="I126" s="405" t="str">
        <f>IFERROR((H126/F126),"")</f>
        <v/>
      </c>
      <c r="J126" s="363"/>
      <c r="K126" s="364"/>
      <c r="L126" s="365"/>
      <c r="M126" s="364"/>
      <c r="N126" s="364"/>
      <c r="O126" s="368"/>
      <c r="P126" s="363"/>
      <c r="Q126" s="364"/>
      <c r="R126" s="365"/>
      <c r="S126" s="364"/>
      <c r="T126" s="364"/>
      <c r="U126" s="368"/>
      <c r="V126" s="363"/>
      <c r="W126" s="364"/>
      <c r="X126" s="365"/>
      <c r="Y126" s="364"/>
      <c r="Z126" s="364"/>
      <c r="AA126" s="368"/>
      <c r="AB126" s="363"/>
      <c r="AC126" s="364"/>
      <c r="AD126" s="365"/>
      <c r="AE126" s="364"/>
      <c r="AF126" s="364"/>
      <c r="AG126" s="368"/>
      <c r="AH126" s="363"/>
      <c r="AI126" s="404">
        <f>AH126/$F$31</f>
        <v>0</v>
      </c>
      <c r="AJ126" s="365"/>
      <c r="AK126" s="364"/>
      <c r="AL126" s="364"/>
      <c r="AM126" s="368"/>
      <c r="AN126" s="363"/>
      <c r="AO126" s="404">
        <f>AN126/$F$31</f>
        <v>0</v>
      </c>
      <c r="AP126" s="365"/>
      <c r="AQ126" s="364"/>
      <c r="AR126" s="369"/>
      <c r="AS126" s="368"/>
      <c r="AT126" s="363"/>
      <c r="AU126" s="404">
        <f>AT126/$F$31</f>
        <v>0</v>
      </c>
      <c r="AV126" s="365"/>
      <c r="AW126" s="364"/>
      <c r="AX126" s="365"/>
      <c r="AY126" s="368"/>
      <c r="AZ126" s="363"/>
      <c r="BA126" s="364"/>
      <c r="BB126" s="365"/>
      <c r="BC126" s="364"/>
      <c r="BD126" s="365"/>
      <c r="BE126" s="368"/>
      <c r="BF126" s="363"/>
      <c r="BG126" s="364"/>
      <c r="BH126" s="365"/>
      <c r="BI126" s="364"/>
      <c r="BJ126" s="364"/>
      <c r="BK126" s="368"/>
      <c r="BL126" s="363"/>
      <c r="BM126" s="364"/>
      <c r="BN126" s="365"/>
      <c r="BO126" s="364"/>
      <c r="BP126" s="364"/>
      <c r="BQ126" s="368"/>
      <c r="BR126" s="370"/>
      <c r="BS126" s="364"/>
      <c r="BT126" s="365"/>
      <c r="BU126" s="364"/>
      <c r="BV126" s="364"/>
      <c r="BW126" s="368"/>
      <c r="BX126" s="213"/>
      <c r="BY126" s="213"/>
      <c r="BZ126" s="213"/>
      <c r="CA126" s="213"/>
      <c r="CB126" s="213"/>
      <c r="CC126" s="213"/>
      <c r="CD126" s="213"/>
      <c r="CE126" s="213"/>
      <c r="CF126" s="213"/>
      <c r="CG126" s="213"/>
      <c r="CH126" s="213"/>
      <c r="CI126" s="213"/>
      <c r="CJ126" s="213"/>
      <c r="CK126" s="213"/>
      <c r="CL126" s="213"/>
      <c r="CM126" s="213"/>
      <c r="CN126" s="213"/>
      <c r="CO126" s="213"/>
      <c r="CP126" s="213"/>
      <c r="CQ126" s="213"/>
    </row>
    <row r="127" ht="15.75" customHeight="1">
      <c r="A127" s="213"/>
      <c r="B127" s="407"/>
      <c r="C127" s="447" t="s">
        <v>43</v>
      </c>
      <c r="D127" s="373">
        <f>SUM(D128)</f>
        <v>0</v>
      </c>
      <c r="E127" s="374">
        <f t="shared" ref="E127:E128" si="354">D127/D$31</f>
        <v>0</v>
      </c>
      <c r="F127" s="375">
        <f>SUM(F128)</f>
        <v>0</v>
      </c>
      <c r="G127" s="374">
        <f>F127/F$31</f>
        <v>0</v>
      </c>
      <c r="H127" s="375">
        <f>SUM(H128)</f>
        <v>0</v>
      </c>
      <c r="I127" s="376">
        <f>H127/H$31</f>
        <v>0</v>
      </c>
      <c r="J127" s="373">
        <f>SUM(J128)</f>
        <v>0</v>
      </c>
      <c r="K127" s="408"/>
      <c r="L127" s="375">
        <f>SUM(L128)</f>
        <v>0</v>
      </c>
      <c r="M127" s="374">
        <f>L127/L$31</f>
        <v>0</v>
      </c>
      <c r="N127" s="408">
        <f>SUM(N128)</f>
        <v>0</v>
      </c>
      <c r="O127" s="378"/>
      <c r="P127" s="373">
        <f>SUM(P128)</f>
        <v>0</v>
      </c>
      <c r="Q127" s="374">
        <f>P127/P$31</f>
        <v>0</v>
      </c>
      <c r="R127" s="375">
        <f>SUM(R128)</f>
        <v>0</v>
      </c>
      <c r="S127" s="374">
        <f>R127/R$31</f>
        <v>0</v>
      </c>
      <c r="T127" s="408">
        <f>SUM(T128)</f>
        <v>0</v>
      </c>
      <c r="U127" s="378"/>
      <c r="V127" s="373">
        <f>SUM(V128)</f>
        <v>0</v>
      </c>
      <c r="W127" s="408"/>
      <c r="X127" s="375">
        <f>SUM(X128)</f>
        <v>0</v>
      </c>
      <c r="Y127" s="374">
        <f>X127/X$31</f>
        <v>0</v>
      </c>
      <c r="Z127" s="408">
        <f>SUM(Z128)</f>
        <v>0</v>
      </c>
      <c r="AA127" s="378"/>
      <c r="AB127" s="373">
        <f>SUM(AB128)</f>
        <v>0</v>
      </c>
      <c r="AC127" s="408"/>
      <c r="AD127" s="375">
        <f>SUM(AD128)</f>
        <v>0</v>
      </c>
      <c r="AE127" s="374">
        <f>AD127/AD$31</f>
        <v>0</v>
      </c>
      <c r="AF127" s="408">
        <f>SUM(AF128)</f>
        <v>0</v>
      </c>
      <c r="AG127" s="378"/>
      <c r="AH127" s="373">
        <f>SUM(AH128)</f>
        <v>0</v>
      </c>
      <c r="AI127" s="408"/>
      <c r="AJ127" s="375">
        <f>SUM(AJ128)</f>
        <v>0</v>
      </c>
      <c r="AK127" s="374">
        <f>AJ127/AJ$31</f>
        <v>0</v>
      </c>
      <c r="AL127" s="408">
        <f>SUM(AL128)</f>
        <v>0</v>
      </c>
      <c r="AM127" s="378"/>
      <c r="AN127" s="373">
        <f>SUM(AN128)</f>
        <v>0</v>
      </c>
      <c r="AO127" s="408"/>
      <c r="AP127" s="375">
        <f>SUM(AP128)</f>
        <v>0</v>
      </c>
      <c r="AQ127" s="374">
        <f>AP127/AP$31</f>
        <v>0</v>
      </c>
      <c r="AR127" s="380">
        <f>SUM(AR128)</f>
        <v>0</v>
      </c>
      <c r="AS127" s="378"/>
      <c r="AT127" s="373">
        <f>SUM(AT128)</f>
        <v>0</v>
      </c>
      <c r="AU127" s="408"/>
      <c r="AV127" s="375">
        <f>SUM(AV128)</f>
        <v>0</v>
      </c>
      <c r="AW127" s="374">
        <f>AV127/AV$31</f>
        <v>0</v>
      </c>
      <c r="AX127" s="375">
        <f>SUM(AX128)</f>
        <v>0</v>
      </c>
      <c r="AY127" s="378"/>
      <c r="AZ127" s="373">
        <f>SUM(AZ128)</f>
        <v>0</v>
      </c>
      <c r="BA127" s="408"/>
      <c r="BB127" s="375">
        <f>SUM(BB128)</f>
        <v>0</v>
      </c>
      <c r="BC127" s="374">
        <f>BB127/BB$31</f>
        <v>0</v>
      </c>
      <c r="BD127" s="375">
        <f>SUM(BD128)</f>
        <v>0</v>
      </c>
      <c r="BE127" s="378"/>
      <c r="BF127" s="373">
        <f>SUM(BF128)</f>
        <v>0</v>
      </c>
      <c r="BG127" s="408"/>
      <c r="BH127" s="375">
        <f>SUM(BH128)</f>
        <v>0</v>
      </c>
      <c r="BI127" s="374">
        <f>BH127/BH$31</f>
        <v>0</v>
      </c>
      <c r="BJ127" s="408">
        <f>SUM(BJ128)</f>
        <v>0</v>
      </c>
      <c r="BK127" s="378"/>
      <c r="BL127" s="373">
        <f>SUM(BL128)</f>
        <v>0</v>
      </c>
      <c r="BM127" s="374">
        <f>BL127/$BL$31</f>
        <v>0</v>
      </c>
      <c r="BN127" s="375">
        <f>SUM(BN128)</f>
        <v>0</v>
      </c>
      <c r="BO127" s="374">
        <f>BN127/BN$31</f>
        <v>0</v>
      </c>
      <c r="BP127" s="408">
        <f>SUM(BP128)</f>
        <v>0</v>
      </c>
      <c r="BQ127" s="378"/>
      <c r="BR127" s="381">
        <f>SUM(BR128)</f>
        <v>0</v>
      </c>
      <c r="BS127" s="408"/>
      <c r="BT127" s="375">
        <f>SUM(BT128)</f>
        <v>0</v>
      </c>
      <c r="BU127" s="374">
        <f>BT127/BT$31</f>
        <v>0</v>
      </c>
      <c r="BV127" s="408">
        <f>SUM(BV128)</f>
        <v>0</v>
      </c>
      <c r="BW127" s="378"/>
      <c r="BX127" s="328">
        <f>SUM(D127,J127,P127,V127,AB127,AH127,AN127,AT127,AZ127,BF127,BL127,BR127)</f>
        <v>0</v>
      </c>
      <c r="BY127" s="216"/>
      <c r="BZ127" s="216"/>
      <c r="CA127" s="216"/>
      <c r="CB127" s="216"/>
      <c r="CC127" s="216"/>
      <c r="CD127" s="216"/>
      <c r="CE127" s="216"/>
      <c r="CF127" s="216"/>
      <c r="CG127" s="216"/>
      <c r="CH127" s="216"/>
      <c r="CI127" s="216"/>
      <c r="CJ127" s="216"/>
      <c r="CK127" s="216"/>
      <c r="CL127" s="216"/>
      <c r="CM127" s="216"/>
      <c r="CN127" s="216"/>
      <c r="CO127" s="216"/>
      <c r="CP127" s="216"/>
      <c r="CQ127" s="216"/>
    </row>
    <row r="128" ht="15.75" customHeight="1">
      <c r="A128" s="213"/>
      <c r="B128" s="444"/>
      <c r="C128" s="383" t="s">
        <v>292</v>
      </c>
      <c r="D128" s="384"/>
      <c r="E128" s="385">
        <f t="shared" si="354"/>
        <v>0</v>
      </c>
      <c r="F128" s="386"/>
      <c r="G128" s="440"/>
      <c r="H128" s="386"/>
      <c r="I128" s="387" t="str">
        <f>IFERROR((H128/F128),"")</f>
        <v/>
      </c>
      <c r="J128" s="384"/>
      <c r="K128" s="440"/>
      <c r="L128" s="386"/>
      <c r="M128" s="440"/>
      <c r="N128" s="440"/>
      <c r="O128" s="389"/>
      <c r="P128" s="384"/>
      <c r="Q128" s="440"/>
      <c r="R128" s="386"/>
      <c r="S128" s="440"/>
      <c r="T128" s="440"/>
      <c r="U128" s="389"/>
      <c r="V128" s="384"/>
      <c r="W128" s="440"/>
      <c r="X128" s="386"/>
      <c r="Y128" s="440"/>
      <c r="Z128" s="440"/>
      <c r="AA128" s="389"/>
      <c r="AB128" s="384"/>
      <c r="AC128" s="440"/>
      <c r="AD128" s="386"/>
      <c r="AE128" s="440"/>
      <c r="AF128" s="440"/>
      <c r="AG128" s="389"/>
      <c r="AH128" s="384"/>
      <c r="AI128" s="440"/>
      <c r="AJ128" s="386"/>
      <c r="AK128" s="440"/>
      <c r="AL128" s="440"/>
      <c r="AM128" s="389"/>
      <c r="AN128" s="384"/>
      <c r="AO128" s="440"/>
      <c r="AP128" s="386"/>
      <c r="AQ128" s="440"/>
      <c r="AR128" s="391"/>
      <c r="AS128" s="389"/>
      <c r="AT128" s="384"/>
      <c r="AU128" s="440"/>
      <c r="AV128" s="386"/>
      <c r="AW128" s="440"/>
      <c r="AX128" s="386"/>
      <c r="AY128" s="389"/>
      <c r="AZ128" s="384"/>
      <c r="BA128" s="440"/>
      <c r="BB128" s="386"/>
      <c r="BC128" s="440"/>
      <c r="BD128" s="386"/>
      <c r="BE128" s="389"/>
      <c r="BF128" s="384"/>
      <c r="BG128" s="440"/>
      <c r="BH128" s="386"/>
      <c r="BI128" s="440"/>
      <c r="BJ128" s="440"/>
      <c r="BK128" s="389"/>
      <c r="BL128" s="384"/>
      <c r="BM128" s="440"/>
      <c r="BN128" s="386"/>
      <c r="BO128" s="440"/>
      <c r="BP128" s="440"/>
      <c r="BQ128" s="389"/>
      <c r="BR128" s="392"/>
      <c r="BS128" s="440"/>
      <c r="BT128" s="386"/>
      <c r="BU128" s="440"/>
      <c r="BV128" s="440"/>
      <c r="BW128" s="389"/>
      <c r="BX128" s="213"/>
      <c r="BY128" s="213"/>
      <c r="BZ128" s="213"/>
      <c r="CA128" s="213"/>
      <c r="CB128" s="213"/>
      <c r="CC128" s="213"/>
      <c r="CD128" s="213"/>
      <c r="CE128" s="213"/>
      <c r="CF128" s="213"/>
      <c r="CG128" s="213"/>
      <c r="CH128" s="213"/>
      <c r="CI128" s="213"/>
      <c r="CJ128" s="213"/>
      <c r="CK128" s="213"/>
      <c r="CL128" s="213"/>
      <c r="CM128" s="213"/>
      <c r="CN128" s="213"/>
      <c r="CO128" s="213"/>
      <c r="CP128" s="213"/>
      <c r="CQ128" s="213"/>
    </row>
    <row r="129" ht="15.75" customHeight="1">
      <c r="A129" s="213"/>
      <c r="B129" s="393"/>
      <c r="C129" s="350"/>
      <c r="D129" s="351"/>
      <c r="E129" s="352"/>
      <c r="F129" s="353"/>
      <c r="G129" s="352"/>
      <c r="H129" s="353"/>
      <c r="I129" s="354"/>
      <c r="J129" s="351"/>
      <c r="K129" s="352"/>
      <c r="L129" s="353"/>
      <c r="M129" s="352"/>
      <c r="N129" s="352"/>
      <c r="O129" s="358"/>
      <c r="P129" s="351"/>
      <c r="Q129" s="352"/>
      <c r="R129" s="353"/>
      <c r="S129" s="352"/>
      <c r="T129" s="352"/>
      <c r="U129" s="358"/>
      <c r="V129" s="351"/>
      <c r="W129" s="352"/>
      <c r="X129" s="353"/>
      <c r="Y129" s="352"/>
      <c r="Z129" s="352"/>
      <c r="AA129" s="358"/>
      <c r="AB129" s="351"/>
      <c r="AC129" s="352"/>
      <c r="AD129" s="353"/>
      <c r="AE129" s="352"/>
      <c r="AF129" s="352"/>
      <c r="AG129" s="358"/>
      <c r="AH129" s="351"/>
      <c r="AI129" s="352"/>
      <c r="AJ129" s="353"/>
      <c r="AK129" s="352"/>
      <c r="AL129" s="352"/>
      <c r="AM129" s="358"/>
      <c r="AN129" s="351"/>
      <c r="AO129" s="352"/>
      <c r="AP129" s="353"/>
      <c r="AQ129" s="352"/>
      <c r="AR129" s="359"/>
      <c r="AS129" s="358"/>
      <c r="AT129" s="351"/>
      <c r="AU129" s="352"/>
      <c r="AV129" s="353"/>
      <c r="AW129" s="352"/>
      <c r="AX129" s="353"/>
      <c r="AY129" s="358"/>
      <c r="AZ129" s="351"/>
      <c r="BA129" s="352"/>
      <c r="BB129" s="353"/>
      <c r="BC129" s="352"/>
      <c r="BD129" s="353"/>
      <c r="BE129" s="358"/>
      <c r="BF129" s="351"/>
      <c r="BG129" s="352"/>
      <c r="BH129" s="353"/>
      <c r="BI129" s="352"/>
      <c r="BJ129" s="352"/>
      <c r="BK129" s="358"/>
      <c r="BL129" s="351"/>
      <c r="BM129" s="352"/>
      <c r="BN129" s="353"/>
      <c r="BO129" s="352"/>
      <c r="BP129" s="352"/>
      <c r="BQ129" s="358"/>
      <c r="BR129" s="360"/>
      <c r="BS129" s="352"/>
      <c r="BT129" s="353"/>
      <c r="BU129" s="352"/>
      <c r="BV129" s="352"/>
      <c r="BW129" s="358"/>
      <c r="BX129" s="213"/>
      <c r="BY129" s="213"/>
      <c r="BZ129" s="213"/>
      <c r="CA129" s="213"/>
      <c r="CB129" s="213"/>
      <c r="CC129" s="213"/>
      <c r="CD129" s="213"/>
      <c r="CE129" s="213"/>
      <c r="CF129" s="213"/>
      <c r="CG129" s="213"/>
      <c r="CH129" s="213"/>
      <c r="CI129" s="213"/>
      <c r="CJ129" s="213"/>
      <c r="CK129" s="213"/>
      <c r="CL129" s="213"/>
      <c r="CM129" s="213"/>
      <c r="CN129" s="213"/>
      <c r="CO129" s="213"/>
      <c r="CP129" s="213"/>
      <c r="CQ129" s="213"/>
    </row>
    <row r="130" ht="15.75" customHeight="1">
      <c r="A130" s="213"/>
      <c r="B130" s="403"/>
      <c r="C130" s="362"/>
      <c r="D130" s="363"/>
      <c r="E130" s="364"/>
      <c r="F130" s="365"/>
      <c r="G130" s="364"/>
      <c r="H130" s="365"/>
      <c r="I130" s="366"/>
      <c r="J130" s="363"/>
      <c r="K130" s="364"/>
      <c r="L130" s="365"/>
      <c r="M130" s="364"/>
      <c r="N130" s="364"/>
      <c r="O130" s="368"/>
      <c r="P130" s="363"/>
      <c r="Q130" s="364"/>
      <c r="R130" s="365"/>
      <c r="S130" s="364"/>
      <c r="T130" s="364"/>
      <c r="U130" s="368"/>
      <c r="V130" s="363"/>
      <c r="W130" s="364"/>
      <c r="X130" s="365"/>
      <c r="Y130" s="364"/>
      <c r="Z130" s="364"/>
      <c r="AA130" s="368"/>
      <c r="AB130" s="363"/>
      <c r="AC130" s="364"/>
      <c r="AD130" s="365"/>
      <c r="AE130" s="364"/>
      <c r="AF130" s="364"/>
      <c r="AG130" s="368"/>
      <c r="AH130" s="363"/>
      <c r="AI130" s="364"/>
      <c r="AJ130" s="365"/>
      <c r="AK130" s="364"/>
      <c r="AL130" s="364"/>
      <c r="AM130" s="368"/>
      <c r="AN130" s="363"/>
      <c r="AO130" s="364"/>
      <c r="AP130" s="365"/>
      <c r="AQ130" s="364"/>
      <c r="AR130" s="369"/>
      <c r="AS130" s="368"/>
      <c r="AT130" s="363"/>
      <c r="AU130" s="364"/>
      <c r="AV130" s="365"/>
      <c r="AW130" s="364"/>
      <c r="AX130" s="365"/>
      <c r="AY130" s="368"/>
      <c r="AZ130" s="363"/>
      <c r="BA130" s="364"/>
      <c r="BB130" s="365"/>
      <c r="BC130" s="364"/>
      <c r="BD130" s="365"/>
      <c r="BE130" s="368"/>
      <c r="BF130" s="363"/>
      <c r="BG130" s="364"/>
      <c r="BH130" s="365"/>
      <c r="BI130" s="364"/>
      <c r="BJ130" s="364"/>
      <c r="BK130" s="368"/>
      <c r="BL130" s="363"/>
      <c r="BM130" s="364"/>
      <c r="BN130" s="365"/>
      <c r="BO130" s="364"/>
      <c r="BP130" s="364"/>
      <c r="BQ130" s="368"/>
      <c r="BR130" s="370"/>
      <c r="BS130" s="364"/>
      <c r="BT130" s="365"/>
      <c r="BU130" s="364"/>
      <c r="BV130" s="364"/>
      <c r="BW130" s="368"/>
      <c r="BX130" s="213"/>
      <c r="BY130" s="213"/>
      <c r="BZ130" s="213"/>
      <c r="CA130" s="213"/>
      <c r="CB130" s="213"/>
      <c r="CC130" s="213"/>
      <c r="CD130" s="213"/>
      <c r="CE130" s="213"/>
      <c r="CF130" s="213"/>
      <c r="CG130" s="213"/>
      <c r="CH130" s="213"/>
      <c r="CI130" s="213"/>
      <c r="CJ130" s="213"/>
      <c r="CK130" s="213"/>
      <c r="CL130" s="213"/>
      <c r="CM130" s="213"/>
      <c r="CN130" s="213"/>
      <c r="CO130" s="213"/>
      <c r="CP130" s="213"/>
      <c r="CQ130" s="213"/>
    </row>
    <row r="131" ht="15.75" customHeight="1">
      <c r="A131" s="213"/>
      <c r="B131" s="407"/>
      <c r="C131" s="372" t="s">
        <v>293</v>
      </c>
      <c r="D131" s="373">
        <f>D53+D62+D70+D76+D82+D91+D94+D99+D122+D127</f>
        <v>8258894.659</v>
      </c>
      <c r="E131" s="374">
        <f>D131/D$31</f>
        <v>0.5234222575</v>
      </c>
      <c r="F131" s="373">
        <f>F53+F62+F70+F76+F82+F91+F94+F99+F122+F127+F106+F112+F114+F116+F118+F120</f>
        <v>8340855.627</v>
      </c>
      <c r="G131" s="374">
        <f>F131/F$31</f>
        <v>0.5742858312</v>
      </c>
      <c r="H131" s="373">
        <f>H53+H62+H70+H76+H82+H91+H94+H99+H122+H127+H106</f>
        <v>-9282.385333</v>
      </c>
      <c r="I131" s="376">
        <f>IFERROR((H131/F131),"")</f>
        <v>-0.001112881669</v>
      </c>
      <c r="J131" s="373">
        <f>J53+J62+J70+J76+J82+J91+J94+J99+J122+J127</f>
        <v>8065108.232</v>
      </c>
      <c r="K131" s="374">
        <f>J131/J$31</f>
        <v>0.524986114</v>
      </c>
      <c r="L131" s="373">
        <f>L53+L62+L70+L76+L82+L91+L94+L99+L122+L127+L106+L112+L114+L116+L118+L120</f>
        <v>8109332.648</v>
      </c>
      <c r="M131" s="374">
        <f>L131/L$31</f>
        <v>0.6083310111</v>
      </c>
      <c r="N131" s="373">
        <f>N53+N62+N70+N76+N82+N91+N94+N99+N122+N127</f>
        <v>135598.6285</v>
      </c>
      <c r="O131" s="378"/>
      <c r="P131" s="373">
        <f>P53+P62+P70+P76+P82+P91+P94+P99+P122+P127</f>
        <v>8052295.633</v>
      </c>
      <c r="Q131" s="374">
        <f>P131/P$31</f>
        <v>0.5897775234</v>
      </c>
      <c r="R131" s="373">
        <f>R53+R62+R70+R76+R82+R91+R94+R99+R122+R127+R106+R112+R114+R116+R118+R120</f>
        <v>8330769.739</v>
      </c>
      <c r="S131" s="374">
        <f>R131/R$31</f>
        <v>0.6550559545</v>
      </c>
      <c r="T131" s="375">
        <f>T53+T62+T70+T76+T82+T91+T94+T99+T122+T127</f>
        <v>0</v>
      </c>
      <c r="U131" s="378"/>
      <c r="V131" s="373">
        <f>V53+V62+V70+V76+V82+V91+V94+V99+V122+V127</f>
        <v>8354033.541</v>
      </c>
      <c r="W131" s="374">
        <f>V131/V$31</f>
        <v>0.5764535567</v>
      </c>
      <c r="X131" s="373">
        <f>X53+X62+X70+X76+X82+X91+X94+X99+X122+X127+X106+X112+X114+X116+X118+X120</f>
        <v>8297762.081</v>
      </c>
      <c r="Y131" s="374">
        <f>X131/X$31</f>
        <v>0.6182592189</v>
      </c>
      <c r="Z131" s="373">
        <f>Z53+Z62+Z70+Z76+Z82+Z91+Z94+Z99+Z122+Z127+Z106</f>
        <v>0</v>
      </c>
      <c r="AA131" s="378"/>
      <c r="AB131" s="373">
        <f>AB53+AB62+AB70+AB76+AB82+AB91+AB94+AB99+AB122+AB127</f>
        <v>8035812.845</v>
      </c>
      <c r="AC131" s="374">
        <f>AB131/AB$31</f>
        <v>0.5226446019</v>
      </c>
      <c r="AD131" s="373">
        <f>AD53+AD62+AD70+AD76+AD82+AD91+AD94+AD99+AD122+AD127+AD106+AD112+AD114+AD116+AD118+AD120</f>
        <v>8404725.965</v>
      </c>
      <c r="AE131" s="374">
        <f>AD131/AD$31</f>
        <v>0.575807432</v>
      </c>
      <c r="AF131" s="408"/>
      <c r="AG131" s="378"/>
      <c r="AH131" s="373">
        <f>AH53+AH62+AH70+AH76+AH82+AH91+AH94+AH99+AH122+AH127</f>
        <v>8150033.577</v>
      </c>
      <c r="AI131" s="374">
        <f>AH131/AH$31</f>
        <v>0.5857228927</v>
      </c>
      <c r="AJ131" s="373">
        <f>AJ53+AJ62+AJ70+AJ76+AJ82+AJ91+AJ94+AJ99+AJ122+AJ127+AJ106</f>
        <v>8242967.652</v>
      </c>
      <c r="AK131" s="374">
        <f>AJ131/AJ$31</f>
        <v>0.5862672285</v>
      </c>
      <c r="AL131" s="375">
        <f>AL53+AL62+AL70+AL76+AL82+AL91+AL94+AL99+AL122+AL127</f>
        <v>0</v>
      </c>
      <c r="AM131" s="378"/>
      <c r="AN131" s="373">
        <f>AN53+AN62+AN70+AN76+AN82+AN91+AN94+AN99+AN122+AN127</f>
        <v>8831214.759</v>
      </c>
      <c r="AO131" s="374">
        <f>AN131/AN$31</f>
        <v>0.4089565398</v>
      </c>
      <c r="AP131" s="373">
        <f>AP53+AP62+AP70+AP76+AP82+AP91+AP94+AP99+AP122+AP127+AP106+AP112+AP114+AP116+AP118+AP120</f>
        <v>7635513.442</v>
      </c>
      <c r="AQ131" s="374">
        <f>AP131/AP$31</f>
        <v>0.4512987927</v>
      </c>
      <c r="AR131" s="380">
        <f>AR53+AR62+AR70+AR76+AR82+AR91+AR94+AR99+AR122+AR127</f>
        <v>0</v>
      </c>
      <c r="AS131" s="378"/>
      <c r="AT131" s="373">
        <f>AT53+AT62+AT70+AT76+AT82+AT91+AT94+AT99+AT122+AT127</f>
        <v>8457945.838</v>
      </c>
      <c r="AU131" s="374">
        <f>AT131/AT$31</f>
        <v>0.3515639584</v>
      </c>
      <c r="AV131" s="373">
        <f>AV53+AV62+AV70+AV76+AV82+AV91+AV94+AV99+AV122+AV127+AV106+AV112+AV114+AV116+AV118+AV120</f>
        <v>7770818.515</v>
      </c>
      <c r="AW131" s="374">
        <f>AV131/AV$31</f>
        <v>0.415945606</v>
      </c>
      <c r="AX131" s="375">
        <f>AX53+AX62+AX70+AX76+AX82+AX91+AX94+AX99+AX122+AX127</f>
        <v>0</v>
      </c>
      <c r="AY131" s="378"/>
      <c r="AZ131" s="373">
        <f>AZ53+AZ62+AZ70+AZ76+AZ82+AZ91+AZ94+AZ99+AZ122+AZ127</f>
        <v>8557051.02</v>
      </c>
      <c r="BA131" s="374">
        <f>AZ131/AZ$31</f>
        <v>0.3487930069</v>
      </c>
      <c r="BB131" s="373">
        <f>BB53+BB62+BB70+BB76+BB82+BB91+BB94+BB99+BB122+BB127+BB106+BB112+BB114+BB116+BB118+BB120</f>
        <v>7886558.007</v>
      </c>
      <c r="BC131" s="374">
        <f>BB131/BB$31</f>
        <v>0.3615961616</v>
      </c>
      <c r="BD131" s="373">
        <f>BD53+BD62+BD70+BD76+BD82+BD91+BD94+BD99+BD122+BD127+BD106</f>
        <v>0</v>
      </c>
      <c r="BE131" s="378"/>
      <c r="BF131" s="373">
        <f>BF53+BF62+BF70+BF76+BF82+BF91+BF94+BF99+BF122+BF127</f>
        <v>9036289.533</v>
      </c>
      <c r="BG131" s="374">
        <f>BF131/BF$31</f>
        <v>0.3445721747</v>
      </c>
      <c r="BH131" s="373">
        <f>BH53+BH62+BH70+BH76+BH82+BH91+BH94+BH99+BH122+BH127+BH106+BH112+BH114+BH116+BH118+BH120</f>
        <v>7617810.817</v>
      </c>
      <c r="BI131" s="374">
        <f>BH131/BH$31</f>
        <v>0.378962795</v>
      </c>
      <c r="BJ131" s="373">
        <f>BJ53+BJ62+BJ70+BJ76+BJ82+BJ91+BJ94+BJ99+BJ122+BJ127+BJ106</f>
        <v>0</v>
      </c>
      <c r="BK131" s="378"/>
      <c r="BL131" s="373">
        <f>BL53+BL62+BL70+BL76+BL82+BL91+BL94+BL99+BL122+BL127</f>
        <v>8210898.023</v>
      </c>
      <c r="BM131" s="374">
        <f>BL131/BL$31</f>
        <v>0.3803379726</v>
      </c>
      <c r="BN131" s="373">
        <f>BN53+BN62+BN70+BN76+BN82+BN91+BN94+BN99+BN122+BN127+BN106+BN112+BN114+BN116+BN118+BN120</f>
        <v>7649492.367</v>
      </c>
      <c r="BO131" s="374">
        <f>BN131/BN$31</f>
        <v>0.4156490441</v>
      </c>
      <c r="BP131" s="373">
        <f>BP53+BP62+BP70+BP76+BP82+BP91+BP94+BP99+BP122+BP127+BP106</f>
        <v>0</v>
      </c>
      <c r="BQ131" s="378"/>
      <c r="BR131" s="373">
        <f>BR53+BR62+BR70+BR76+BR82+BR91+BR94+BR99+BR122+BR127</f>
        <v>9078698.689</v>
      </c>
      <c r="BS131" s="374">
        <f>BR131/BR$31</f>
        <v>0.4100186153</v>
      </c>
      <c r="BT131" s="373">
        <f>BT53+BT62+BT70+BT76+BT82+BT91+BT94+BT99+BT122+BT127+BT106+BT112+BT114+BT116+BT118+BT120</f>
        <v>7498673.985</v>
      </c>
      <c r="BU131" s="374">
        <f>BT131/BT$31</f>
        <v>0.4041299242</v>
      </c>
      <c r="BV131" s="373">
        <f>BV53+BV62+BV70+BV76+BV82+BV91+BV94+BV99+BV122+BV127+BV106</f>
        <v>0</v>
      </c>
      <c r="BW131" s="378"/>
      <c r="BX131" s="328">
        <f t="shared" ref="BX131:BX133" si="355">SUM(D131,J131,P131,V131,AB131,AH131,AN131,AT131,AZ131,BF131,BL131,BR131)</f>
        <v>101088276.3</v>
      </c>
      <c r="BY131" s="213"/>
      <c r="BZ131" s="213"/>
      <c r="CA131" s="213"/>
      <c r="CB131" s="213"/>
      <c r="CC131" s="213"/>
      <c r="CD131" s="213"/>
      <c r="CE131" s="213"/>
      <c r="CF131" s="213"/>
      <c r="CG131" s="213"/>
      <c r="CH131" s="213"/>
      <c r="CI131" s="213"/>
      <c r="CJ131" s="213"/>
      <c r="CK131" s="213"/>
      <c r="CL131" s="213"/>
      <c r="CM131" s="213"/>
      <c r="CN131" s="213"/>
      <c r="CO131" s="213"/>
      <c r="CP131" s="213"/>
      <c r="CQ131" s="213"/>
    </row>
    <row r="132" ht="15.75" customHeight="1">
      <c r="A132" s="213"/>
      <c r="B132" s="415"/>
      <c r="C132" s="416"/>
      <c r="D132" s="417"/>
      <c r="E132" s="421"/>
      <c r="F132" s="419"/>
      <c r="G132" s="421"/>
      <c r="H132" s="419"/>
      <c r="I132" s="452"/>
      <c r="J132" s="417"/>
      <c r="K132" s="421"/>
      <c r="L132" s="419"/>
      <c r="M132" s="421"/>
      <c r="N132" s="421"/>
      <c r="O132" s="422"/>
      <c r="P132" s="417"/>
      <c r="Q132" s="421"/>
      <c r="R132" s="419"/>
      <c r="S132" s="421"/>
      <c r="T132" s="421"/>
      <c r="U132" s="422"/>
      <c r="V132" s="417"/>
      <c r="W132" s="421"/>
      <c r="X132" s="419"/>
      <c r="Y132" s="421"/>
      <c r="Z132" s="421"/>
      <c r="AA132" s="422"/>
      <c r="AB132" s="417"/>
      <c r="AC132" s="421"/>
      <c r="AD132" s="419"/>
      <c r="AE132" s="421"/>
      <c r="AF132" s="421"/>
      <c r="AG132" s="422"/>
      <c r="AH132" s="417"/>
      <c r="AI132" s="421"/>
      <c r="AJ132" s="419"/>
      <c r="AK132" s="421"/>
      <c r="AL132" s="421"/>
      <c r="AM132" s="422"/>
      <c r="AN132" s="417"/>
      <c r="AO132" s="421"/>
      <c r="AP132" s="419"/>
      <c r="AQ132" s="421"/>
      <c r="AR132" s="423"/>
      <c r="AS132" s="422"/>
      <c r="AT132" s="417"/>
      <c r="AU132" s="421"/>
      <c r="AV132" s="419"/>
      <c r="AW132" s="421"/>
      <c r="AX132" s="419"/>
      <c r="AY132" s="422"/>
      <c r="AZ132" s="417"/>
      <c r="BA132" s="421"/>
      <c r="BB132" s="419"/>
      <c r="BC132" s="421"/>
      <c r="BD132" s="419"/>
      <c r="BE132" s="422"/>
      <c r="BF132" s="417"/>
      <c r="BG132" s="421"/>
      <c r="BH132" s="419"/>
      <c r="BI132" s="421"/>
      <c r="BJ132" s="421"/>
      <c r="BK132" s="422"/>
      <c r="BL132" s="417"/>
      <c r="BM132" s="421"/>
      <c r="BN132" s="419"/>
      <c r="BO132" s="421"/>
      <c r="BP132" s="421"/>
      <c r="BQ132" s="422"/>
      <c r="BR132" s="453"/>
      <c r="BS132" s="421"/>
      <c r="BT132" s="419"/>
      <c r="BU132" s="421"/>
      <c r="BV132" s="421"/>
      <c r="BW132" s="422"/>
      <c r="BX132" s="328">
        <f t="shared" si="355"/>
        <v>0</v>
      </c>
      <c r="BY132" s="213"/>
      <c r="BZ132" s="213"/>
      <c r="CA132" s="213"/>
      <c r="CB132" s="213"/>
      <c r="CC132" s="213"/>
      <c r="CD132" s="213"/>
      <c r="CE132" s="213"/>
      <c r="CF132" s="213"/>
      <c r="CG132" s="213"/>
      <c r="CH132" s="213"/>
      <c r="CI132" s="213"/>
      <c r="CJ132" s="213"/>
      <c r="CK132" s="213"/>
      <c r="CL132" s="213"/>
      <c r="CM132" s="213"/>
      <c r="CN132" s="213"/>
      <c r="CO132" s="213"/>
      <c r="CP132" s="213"/>
      <c r="CQ132" s="213"/>
    </row>
    <row r="133" ht="15.75" customHeight="1">
      <c r="A133" s="213"/>
      <c r="B133" s="407"/>
      <c r="C133" s="372" t="s">
        <v>294</v>
      </c>
      <c r="D133" s="373">
        <f>D44-D131</f>
        <v>1294241.111</v>
      </c>
      <c r="E133" s="374">
        <f>D133/D$31</f>
        <v>0.08202485106</v>
      </c>
      <c r="F133" s="373">
        <f>F44-F131</f>
        <v>1315647.694</v>
      </c>
      <c r="G133" s="374">
        <f>F133/F$31</f>
        <v>0.09058517057</v>
      </c>
      <c r="H133" s="373">
        <f>H44-H131</f>
        <v>-94085.16624</v>
      </c>
      <c r="I133" s="376">
        <f>IFERROR((H133/F133),"")</f>
        <v>-0.07151243197</v>
      </c>
      <c r="J133" s="373">
        <f>J44-J131</f>
        <v>1216624.865</v>
      </c>
      <c r="K133" s="374">
        <f>J133/J$31</f>
        <v>0.07919436932</v>
      </c>
      <c r="L133" s="373">
        <f>L44-L131</f>
        <v>718575.1018</v>
      </c>
      <c r="M133" s="374">
        <f>L133/L$31</f>
        <v>0.0539047462</v>
      </c>
      <c r="N133" s="408"/>
      <c r="O133" s="378"/>
      <c r="P133" s="373">
        <f>P44-P131</f>
        <v>-240412.323</v>
      </c>
      <c r="Q133" s="374">
        <f>P133/P$31</f>
        <v>-0.01760861634</v>
      </c>
      <c r="R133" s="373">
        <f>R44-R131</f>
        <v>174036.8072</v>
      </c>
      <c r="S133" s="374">
        <f>R133/R$31</f>
        <v>0.01368467145</v>
      </c>
      <c r="T133" s="408"/>
      <c r="U133" s="378"/>
      <c r="V133" s="373">
        <f>V44-V131</f>
        <v>42852.98554</v>
      </c>
      <c r="W133" s="374">
        <f>V133/V$31</f>
        <v>0.002956985486</v>
      </c>
      <c r="X133" s="373">
        <f>X44-X131</f>
        <v>625584.4196</v>
      </c>
      <c r="Y133" s="374">
        <f>X133/X$31</f>
        <v>0.04661176482</v>
      </c>
      <c r="Z133" s="408"/>
      <c r="AA133" s="378"/>
      <c r="AB133" s="373">
        <f>AB44-AB131</f>
        <v>957388.7998</v>
      </c>
      <c r="AC133" s="374">
        <f>AB133/AB$31</f>
        <v>0.06226801169</v>
      </c>
      <c r="AD133" s="373">
        <f>AD44-AD131</f>
        <v>1300008.895</v>
      </c>
      <c r="AE133" s="374">
        <f>AD133/AD$31</f>
        <v>0.08906355623</v>
      </c>
      <c r="AF133" s="408"/>
      <c r="AG133" s="378"/>
      <c r="AH133" s="373">
        <f>AH44-AH131</f>
        <v>-153932.5861</v>
      </c>
      <c r="AI133" s="374">
        <f>AH133/AH$31</f>
        <v>-0.01106275683</v>
      </c>
      <c r="AJ133" s="373">
        <f>AJ44-AJ131</f>
        <v>1044348.005</v>
      </c>
      <c r="AK133" s="374">
        <f>AJ133/AJ$31</f>
        <v>0.07427749769</v>
      </c>
      <c r="AL133" s="408"/>
      <c r="AM133" s="378"/>
      <c r="AN133" s="373">
        <f>AN44-AN131</f>
        <v>6186885.565</v>
      </c>
      <c r="AO133" s="374">
        <f>AN133/AN$31</f>
        <v>0.2865027498</v>
      </c>
      <c r="AP133" s="373">
        <f>AP44-AP131</f>
        <v>3613422.918</v>
      </c>
      <c r="AQ133" s="374">
        <f>AP133/AP$31</f>
        <v>0.2135721995</v>
      </c>
      <c r="AR133" s="380"/>
      <c r="AS133" s="378"/>
      <c r="AT133" s="373">
        <f>AT44-AT131</f>
        <v>7996658.764</v>
      </c>
      <c r="AU133" s="374">
        <f>AT133/AT$31</f>
        <v>0.3323900463</v>
      </c>
      <c r="AV133" s="373">
        <f>AV44-AV131</f>
        <v>4569672.74</v>
      </c>
      <c r="AW133" s="374">
        <f>AV133/AV$31</f>
        <v>0.2445991106</v>
      </c>
      <c r="AX133" s="375"/>
      <c r="AY133" s="378"/>
      <c r="AZ133" s="373">
        <f>AZ44-AZ131</f>
        <v>8477960.06</v>
      </c>
      <c r="BA133" s="374">
        <f>AZ133/AZ$31</f>
        <v>0.345569189</v>
      </c>
      <c r="BB133" s="373">
        <f>BB44-BB131</f>
        <v>6614546.326</v>
      </c>
      <c r="BC133" s="374">
        <f>BB133/BB$31</f>
        <v>0.3032748329</v>
      </c>
      <c r="BD133" s="373">
        <f>BD44-BD131</f>
        <v>0</v>
      </c>
      <c r="BE133" s="378"/>
      <c r="BF133" s="373">
        <f>BF44-BF131</f>
        <v>9336697.928</v>
      </c>
      <c r="BG133" s="374">
        <f>BF133/BF$31</f>
        <v>0.3560273603</v>
      </c>
      <c r="BH133" s="373">
        <f>BH44-BH131</f>
        <v>4624803.92</v>
      </c>
      <c r="BI133" s="374">
        <f>BH133/BH$31</f>
        <v>0.2300698537</v>
      </c>
      <c r="BJ133" s="373">
        <f>BJ44-BJ131</f>
        <v>0</v>
      </c>
      <c r="BK133" s="378"/>
      <c r="BL133" s="373">
        <f>BL44-BL131</f>
        <v>6465975.536</v>
      </c>
      <c r="BM133" s="374">
        <f>BL133/BL$31</f>
        <v>0.2995112129</v>
      </c>
      <c r="BN133" s="373">
        <f>BN44-BN131</f>
        <v>3638598.862</v>
      </c>
      <c r="BO133" s="374">
        <f>BN133/BN$31</f>
        <v>0.1977098697</v>
      </c>
      <c r="BP133" s="373">
        <f>BP44-BP131</f>
        <v>0</v>
      </c>
      <c r="BQ133" s="378"/>
      <c r="BR133" s="381">
        <f>BR44-BR131</f>
        <v>6079762.719</v>
      </c>
      <c r="BS133" s="374">
        <f>BR133/BR$31</f>
        <v>0.2745785467</v>
      </c>
      <c r="BT133" s="373">
        <f>BT44-BT131</f>
        <v>3882266.469</v>
      </c>
      <c r="BU133" s="374">
        <f>BT133/BT31</f>
        <v>0.2092289993</v>
      </c>
      <c r="BV133" s="373">
        <f>BV44-BV131</f>
        <v>0</v>
      </c>
      <c r="BW133" s="378"/>
      <c r="BX133" s="328">
        <f t="shared" si="355"/>
        <v>47660703.42</v>
      </c>
      <c r="BY133" s="215">
        <f>BX133-'FY25-26'!O30</f>
        <v>-0.000000007450580597</v>
      </c>
      <c r="BZ133" s="213"/>
      <c r="CA133" s="213"/>
      <c r="CB133" s="213"/>
      <c r="CC133" s="213"/>
      <c r="CD133" s="213"/>
      <c r="CE133" s="213"/>
      <c r="CF133" s="213"/>
      <c r="CG133" s="213"/>
      <c r="CH133" s="213"/>
      <c r="CI133" s="213"/>
      <c r="CJ133" s="213"/>
      <c r="CK133" s="213"/>
      <c r="CL133" s="213"/>
      <c r="CM133" s="213"/>
      <c r="CN133" s="213"/>
      <c r="CO133" s="213"/>
      <c r="CP133" s="213"/>
      <c r="CQ133" s="213"/>
    </row>
    <row r="134" ht="15.75" customHeight="1">
      <c r="A134" s="213"/>
      <c r="B134" s="213"/>
      <c r="C134" s="213"/>
      <c r="D134" s="215"/>
      <c r="E134" s="213"/>
      <c r="F134" s="215"/>
      <c r="G134" s="213"/>
      <c r="H134" s="215"/>
      <c r="I134" s="213"/>
      <c r="J134" s="215"/>
      <c r="K134" s="213"/>
      <c r="L134" s="215"/>
      <c r="M134" s="213"/>
      <c r="N134" s="213"/>
      <c r="O134" s="213"/>
      <c r="P134" s="215"/>
      <c r="Q134" s="213"/>
      <c r="R134" s="215"/>
      <c r="S134" s="213"/>
      <c r="T134" s="213"/>
      <c r="U134" s="213"/>
      <c r="V134" s="215"/>
      <c r="W134" s="213"/>
      <c r="X134" s="215"/>
      <c r="Y134" s="213"/>
      <c r="Z134" s="213"/>
      <c r="AA134" s="213"/>
      <c r="AB134" s="215"/>
      <c r="AC134" s="213"/>
      <c r="AD134" s="215"/>
      <c r="AE134" s="213"/>
      <c r="AF134" s="213"/>
      <c r="AG134" s="213"/>
      <c r="AH134" s="215"/>
      <c r="AI134" s="213"/>
      <c r="AJ134" s="215"/>
      <c r="AK134" s="213"/>
      <c r="AL134" s="213"/>
      <c r="AM134" s="213"/>
      <c r="AN134" s="215"/>
      <c r="AO134" s="213"/>
      <c r="AP134" s="215"/>
      <c r="AQ134" s="213"/>
      <c r="AR134" s="325"/>
      <c r="AS134" s="213"/>
      <c r="AT134" s="215"/>
      <c r="AU134" s="213"/>
      <c r="AV134" s="215"/>
      <c r="AW134" s="213"/>
      <c r="AX134" s="215"/>
      <c r="AY134" s="213"/>
      <c r="AZ134" s="215"/>
      <c r="BA134" s="213"/>
      <c r="BB134" s="215"/>
      <c r="BC134" s="213"/>
      <c r="BD134" s="213"/>
      <c r="BE134" s="213"/>
      <c r="BF134" s="215"/>
      <c r="BG134" s="213"/>
      <c r="BH134" s="215"/>
      <c r="BI134" s="213"/>
      <c r="BJ134" s="213"/>
      <c r="BK134" s="213"/>
      <c r="BL134" s="215"/>
      <c r="BM134" s="213"/>
      <c r="BN134" s="215"/>
      <c r="BO134" s="213"/>
      <c r="BP134" s="213"/>
      <c r="BQ134" s="213"/>
      <c r="BR134" s="326"/>
      <c r="BS134" s="213"/>
      <c r="BT134" s="215"/>
      <c r="BU134" s="213"/>
      <c r="BV134" s="213"/>
      <c r="BW134" s="213"/>
      <c r="BX134" s="213"/>
      <c r="BY134" s="213"/>
      <c r="BZ134" s="213"/>
      <c r="CA134" s="213"/>
      <c r="CB134" s="213"/>
      <c r="CC134" s="213"/>
      <c r="CD134" s="213"/>
      <c r="CE134" s="213"/>
      <c r="CF134" s="213"/>
      <c r="CG134" s="213"/>
      <c r="CH134" s="213"/>
      <c r="CI134" s="213"/>
      <c r="CJ134" s="213"/>
      <c r="CK134" s="213"/>
      <c r="CL134" s="213"/>
      <c r="CM134" s="213"/>
      <c r="CN134" s="213"/>
      <c r="CO134" s="213"/>
      <c r="CP134" s="213"/>
      <c r="CQ134" s="213"/>
    </row>
    <row r="135" ht="15.75" customHeight="1">
      <c r="A135" s="213"/>
      <c r="B135" s="213"/>
      <c r="C135" s="213"/>
      <c r="D135" s="328"/>
      <c r="E135" s="213"/>
      <c r="F135" s="215"/>
      <c r="G135" s="213"/>
      <c r="H135" s="215"/>
      <c r="I135" s="213"/>
      <c r="J135" s="215"/>
      <c r="K135" s="213"/>
      <c r="L135" s="215"/>
      <c r="M135" s="213"/>
      <c r="N135" s="213"/>
      <c r="O135" s="213"/>
      <c r="P135" s="215"/>
      <c r="Q135" s="213"/>
      <c r="R135" s="215"/>
      <c r="S135" s="213"/>
      <c r="T135" s="213"/>
      <c r="U135" s="213"/>
      <c r="V135" s="215"/>
      <c r="W135" s="213"/>
      <c r="X135" s="215"/>
      <c r="Y135" s="213"/>
      <c r="Z135" s="213"/>
      <c r="AA135" s="213"/>
      <c r="AB135" s="215"/>
      <c r="AC135" s="213"/>
      <c r="AD135" s="215"/>
      <c r="AE135" s="213"/>
      <c r="AF135" s="213"/>
      <c r="AG135" s="213"/>
      <c r="AH135" s="215"/>
      <c r="AI135" s="213"/>
      <c r="AJ135" s="215"/>
      <c r="AK135" s="213"/>
      <c r="AL135" s="213"/>
      <c r="AM135" s="213"/>
      <c r="AN135" s="215"/>
      <c r="AO135" s="213"/>
      <c r="AP135" s="215"/>
      <c r="AQ135" s="213"/>
      <c r="AR135" s="325"/>
      <c r="AS135" s="213"/>
      <c r="AT135" s="215"/>
      <c r="AU135" s="213"/>
      <c r="AV135" s="215"/>
      <c r="AW135" s="213"/>
      <c r="AX135" s="215"/>
      <c r="AY135" s="213"/>
      <c r="AZ135" s="215"/>
      <c r="BA135" s="213"/>
      <c r="BB135" s="215"/>
      <c r="BC135" s="213"/>
      <c r="BD135" s="213"/>
      <c r="BE135" s="213"/>
      <c r="BF135" s="215"/>
      <c r="BG135" s="213"/>
      <c r="BH135" s="215"/>
      <c r="BI135" s="213"/>
      <c r="BJ135" s="213"/>
      <c r="BK135" s="213"/>
      <c r="BL135" s="215"/>
      <c r="BM135" s="213"/>
      <c r="BN135" s="215"/>
      <c r="BO135" s="213"/>
      <c r="BP135" s="213"/>
      <c r="BQ135" s="213"/>
      <c r="BR135" s="326"/>
      <c r="BS135" s="213"/>
      <c r="BT135" s="215"/>
      <c r="BU135" s="213"/>
      <c r="BV135" s="213"/>
      <c r="BW135" s="213"/>
      <c r="BX135" s="213"/>
      <c r="BY135" s="213"/>
      <c r="BZ135" s="213"/>
      <c r="CA135" s="213"/>
      <c r="CB135" s="213"/>
      <c r="CC135" s="213"/>
      <c r="CD135" s="213"/>
      <c r="CE135" s="213"/>
      <c r="CF135" s="213"/>
      <c r="CG135" s="213"/>
      <c r="CH135" s="213"/>
      <c r="CI135" s="213"/>
      <c r="CJ135" s="213"/>
      <c r="CK135" s="213"/>
      <c r="CL135" s="213"/>
      <c r="CM135" s="213"/>
      <c r="CN135" s="213"/>
      <c r="CO135" s="213"/>
      <c r="CP135" s="213"/>
      <c r="CQ135" s="213"/>
    </row>
    <row r="136" ht="15.75" customHeight="1">
      <c r="A136" s="213"/>
      <c r="B136" s="213"/>
      <c r="C136" s="213"/>
      <c r="D136" s="215"/>
      <c r="E136" s="213"/>
      <c r="F136" s="215"/>
      <c r="G136" s="213"/>
      <c r="H136" s="215"/>
      <c r="I136" s="213"/>
      <c r="J136" s="215"/>
      <c r="K136" s="213"/>
      <c r="L136" s="215"/>
      <c r="M136" s="213"/>
      <c r="N136" s="213"/>
      <c r="O136" s="213"/>
      <c r="P136" s="215"/>
      <c r="Q136" s="213"/>
      <c r="R136" s="215"/>
      <c r="S136" s="213"/>
      <c r="T136" s="213"/>
      <c r="U136" s="213"/>
      <c r="V136" s="215"/>
      <c r="W136" s="213"/>
      <c r="X136" s="215"/>
      <c r="Y136" s="213"/>
      <c r="Z136" s="213"/>
      <c r="AA136" s="213"/>
      <c r="AB136" s="215"/>
      <c r="AC136" s="213"/>
      <c r="AD136" s="215"/>
      <c r="AE136" s="213"/>
      <c r="AF136" s="213"/>
      <c r="AG136" s="213"/>
      <c r="AH136" s="215"/>
      <c r="AI136" s="213"/>
      <c r="AJ136" s="215"/>
      <c r="AK136" s="213"/>
      <c r="AL136" s="213"/>
      <c r="AM136" s="213"/>
      <c r="AN136" s="215"/>
      <c r="AO136" s="213"/>
      <c r="AP136" s="215"/>
      <c r="AQ136" s="213"/>
      <c r="AR136" s="325"/>
      <c r="AS136" s="213"/>
      <c r="AT136" s="215"/>
      <c r="AU136" s="213"/>
      <c r="AV136" s="215"/>
      <c r="AW136" s="213"/>
      <c r="AX136" s="215"/>
      <c r="AY136" s="213"/>
      <c r="AZ136" s="215"/>
      <c r="BA136" s="213"/>
      <c r="BB136" s="215"/>
      <c r="BC136" s="213"/>
      <c r="BD136" s="213"/>
      <c r="BE136" s="213"/>
      <c r="BF136" s="215"/>
      <c r="BG136" s="213"/>
      <c r="BH136" s="215"/>
      <c r="BI136" s="213"/>
      <c r="BJ136" s="213"/>
      <c r="BK136" s="213"/>
      <c r="BL136" s="215"/>
      <c r="BM136" s="213"/>
      <c r="BN136" s="215"/>
      <c r="BO136" s="213"/>
      <c r="BP136" s="213"/>
      <c r="BQ136" s="213"/>
      <c r="BR136" s="326"/>
      <c r="BS136" s="213"/>
      <c r="BT136" s="215"/>
      <c r="BU136" s="213"/>
      <c r="BV136" s="213"/>
      <c r="BW136" s="213"/>
      <c r="BX136" s="213"/>
      <c r="BY136" s="213"/>
      <c r="BZ136" s="213"/>
      <c r="CA136" s="213"/>
      <c r="CB136" s="213"/>
      <c r="CC136" s="213"/>
      <c r="CD136" s="213"/>
      <c r="CE136" s="213"/>
      <c r="CF136" s="213"/>
      <c r="CG136" s="213"/>
      <c r="CH136" s="213"/>
      <c r="CI136" s="213"/>
      <c r="CJ136" s="213"/>
      <c r="CK136" s="213"/>
      <c r="CL136" s="213"/>
      <c r="CM136" s="213"/>
      <c r="CN136" s="213"/>
      <c r="CO136" s="213"/>
      <c r="CP136" s="213"/>
      <c r="CQ136" s="213"/>
    </row>
    <row r="137" ht="15.75" customHeight="1">
      <c r="A137" s="213"/>
      <c r="B137" s="213"/>
      <c r="C137" s="213"/>
      <c r="D137" s="215"/>
      <c r="E137" s="213"/>
      <c r="F137" s="215"/>
      <c r="G137" s="213"/>
      <c r="H137" s="215"/>
      <c r="I137" s="213"/>
      <c r="J137" s="215"/>
      <c r="K137" s="213"/>
      <c r="L137" s="215"/>
      <c r="M137" s="213"/>
      <c r="N137" s="213"/>
      <c r="O137" s="213"/>
      <c r="P137" s="215"/>
      <c r="Q137" s="213"/>
      <c r="R137" s="215"/>
      <c r="S137" s="213"/>
      <c r="T137" s="213"/>
      <c r="U137" s="213"/>
      <c r="V137" s="215"/>
      <c r="W137" s="213"/>
      <c r="X137" s="215"/>
      <c r="Y137" s="213"/>
      <c r="Z137" s="213"/>
      <c r="AA137" s="213"/>
      <c r="AB137" s="215"/>
      <c r="AC137" s="213"/>
      <c r="AD137" s="215"/>
      <c r="AE137" s="213"/>
      <c r="AF137" s="213"/>
      <c r="AG137" s="213"/>
      <c r="AH137" s="215"/>
      <c r="AI137" s="213"/>
      <c r="AJ137" s="215"/>
      <c r="AK137" s="213"/>
      <c r="AL137" s="213"/>
      <c r="AM137" s="213"/>
      <c r="AN137" s="215"/>
      <c r="AO137" s="213"/>
      <c r="AP137" s="215"/>
      <c r="AQ137" s="213"/>
      <c r="AR137" s="325"/>
      <c r="AS137" s="213"/>
      <c r="AT137" s="215"/>
      <c r="AU137" s="213"/>
      <c r="AV137" s="215"/>
      <c r="AW137" s="213"/>
      <c r="AX137" s="215"/>
      <c r="AY137" s="213"/>
      <c r="AZ137" s="215"/>
      <c r="BA137" s="213"/>
      <c r="BB137" s="215"/>
      <c r="BC137" s="213"/>
      <c r="BD137" s="213"/>
      <c r="BE137" s="213"/>
      <c r="BF137" s="215"/>
      <c r="BG137" s="213"/>
      <c r="BH137" s="215"/>
      <c r="BI137" s="213"/>
      <c r="BJ137" s="213"/>
      <c r="BK137" s="213"/>
      <c r="BL137" s="215"/>
      <c r="BM137" s="213"/>
      <c r="BN137" s="215"/>
      <c r="BO137" s="213"/>
      <c r="BP137" s="213"/>
      <c r="BQ137" s="213"/>
      <c r="BR137" s="326"/>
      <c r="BS137" s="213"/>
      <c r="BT137" s="215"/>
      <c r="BU137" s="213"/>
      <c r="BV137" s="213"/>
      <c r="BW137" s="213"/>
      <c r="BX137" s="213"/>
      <c r="BY137" s="213"/>
      <c r="BZ137" s="213"/>
      <c r="CA137" s="213"/>
      <c r="CB137" s="213"/>
      <c r="CC137" s="213"/>
      <c r="CD137" s="213"/>
      <c r="CE137" s="213"/>
      <c r="CF137" s="213"/>
      <c r="CG137" s="213"/>
      <c r="CH137" s="213"/>
      <c r="CI137" s="213"/>
      <c r="CJ137" s="213"/>
      <c r="CK137" s="213"/>
      <c r="CL137" s="213"/>
      <c r="CM137" s="213"/>
      <c r="CN137" s="213"/>
      <c r="CO137" s="213"/>
      <c r="CP137" s="213"/>
      <c r="CQ137" s="213"/>
    </row>
    <row r="138" ht="15.75" customHeight="1">
      <c r="A138" s="213"/>
      <c r="B138" s="213"/>
      <c r="C138" s="213"/>
      <c r="D138" s="215"/>
      <c r="E138" s="213"/>
      <c r="F138" s="215"/>
      <c r="G138" s="213"/>
      <c r="H138" s="215"/>
      <c r="I138" s="213"/>
      <c r="J138" s="215"/>
      <c r="K138" s="213"/>
      <c r="L138" s="215"/>
      <c r="M138" s="213"/>
      <c r="N138" s="213"/>
      <c r="O138" s="213"/>
      <c r="P138" s="215"/>
      <c r="Q138" s="213"/>
      <c r="R138" s="215"/>
      <c r="S138" s="213"/>
      <c r="T138" s="213"/>
      <c r="U138" s="213"/>
      <c r="V138" s="215"/>
      <c r="W138" s="213"/>
      <c r="X138" s="215"/>
      <c r="Y138" s="213"/>
      <c r="Z138" s="213"/>
      <c r="AA138" s="213"/>
      <c r="AB138" s="215"/>
      <c r="AC138" s="213"/>
      <c r="AD138" s="215"/>
      <c r="AE138" s="213"/>
      <c r="AF138" s="213"/>
      <c r="AG138" s="213"/>
      <c r="AH138" s="215"/>
      <c r="AI138" s="213"/>
      <c r="AJ138" s="215"/>
      <c r="AK138" s="213"/>
      <c r="AL138" s="213"/>
      <c r="AM138" s="213"/>
      <c r="AN138" s="215"/>
      <c r="AO138" s="213"/>
      <c r="AP138" s="215"/>
      <c r="AQ138" s="213"/>
      <c r="AR138" s="325"/>
      <c r="AS138" s="213"/>
      <c r="AT138" s="215"/>
      <c r="AU138" s="213"/>
      <c r="AV138" s="215"/>
      <c r="AW138" s="213"/>
      <c r="AX138" s="215"/>
      <c r="AY138" s="213"/>
      <c r="AZ138" s="215"/>
      <c r="BA138" s="213"/>
      <c r="BB138" s="215"/>
      <c r="BC138" s="213"/>
      <c r="BD138" s="213"/>
      <c r="BE138" s="213"/>
      <c r="BF138" s="215"/>
      <c r="BG138" s="213"/>
      <c r="BH138" s="215"/>
      <c r="BI138" s="213"/>
      <c r="BJ138" s="213"/>
      <c r="BK138" s="213"/>
      <c r="BL138" s="215">
        <f>BL131-'Summary Sheet - Feb 2026'!O28</f>
        <v>0</v>
      </c>
      <c r="BM138" s="213"/>
      <c r="BN138" s="215"/>
      <c r="BO138" s="213"/>
      <c r="BP138" s="213"/>
      <c r="BQ138" s="213"/>
      <c r="BR138" s="326"/>
      <c r="BS138" s="213"/>
      <c r="BT138" s="215"/>
      <c r="BU138" s="213"/>
      <c r="BV138" s="213"/>
      <c r="BW138" s="213"/>
      <c r="BX138" s="213"/>
      <c r="BY138" s="213"/>
      <c r="BZ138" s="213"/>
      <c r="CA138" s="213"/>
      <c r="CB138" s="213"/>
      <c r="CC138" s="213"/>
      <c r="CD138" s="213"/>
      <c r="CE138" s="213"/>
      <c r="CF138" s="213"/>
      <c r="CG138" s="213"/>
      <c r="CH138" s="213"/>
      <c r="CI138" s="213"/>
      <c r="CJ138" s="213"/>
      <c r="CK138" s="213"/>
      <c r="CL138" s="213"/>
      <c r="CM138" s="213"/>
      <c r="CN138" s="213"/>
      <c r="CO138" s="213"/>
      <c r="CP138" s="213"/>
      <c r="CQ138" s="213"/>
    </row>
    <row r="139" ht="15.75" customHeight="1">
      <c r="A139" s="213"/>
      <c r="B139" s="213"/>
      <c r="C139" s="213"/>
      <c r="D139" s="215"/>
      <c r="E139" s="213"/>
      <c r="F139" s="215"/>
      <c r="G139" s="213"/>
      <c r="H139" s="215"/>
      <c r="I139" s="213"/>
      <c r="J139" s="215"/>
      <c r="K139" s="213"/>
      <c r="L139" s="215"/>
      <c r="M139" s="213"/>
      <c r="N139" s="213"/>
      <c r="O139" s="213"/>
      <c r="P139" s="215"/>
      <c r="Q139" s="213"/>
      <c r="R139" s="215"/>
      <c r="S139" s="213"/>
      <c r="T139" s="213"/>
      <c r="U139" s="213"/>
      <c r="V139" s="215"/>
      <c r="W139" s="213"/>
      <c r="X139" s="215"/>
      <c r="Y139" s="213"/>
      <c r="Z139" s="213"/>
      <c r="AA139" s="213"/>
      <c r="AB139" s="215"/>
      <c r="AC139" s="213"/>
      <c r="AD139" s="215"/>
      <c r="AE139" s="213"/>
      <c r="AF139" s="213"/>
      <c r="AG139" s="213"/>
      <c r="AH139" s="215"/>
      <c r="AI139" s="213"/>
      <c r="AJ139" s="215"/>
      <c r="AK139" s="213"/>
      <c r="AL139" s="213"/>
      <c r="AM139" s="213"/>
      <c r="AN139" s="215"/>
      <c r="AO139" s="213"/>
      <c r="AP139" s="215"/>
      <c r="AQ139" s="213"/>
      <c r="AR139" s="325"/>
      <c r="AS139" s="213"/>
      <c r="AT139" s="215"/>
      <c r="AU139" s="213"/>
      <c r="AV139" s="215"/>
      <c r="AW139" s="213"/>
      <c r="AX139" s="215"/>
      <c r="AY139" s="213"/>
      <c r="AZ139" s="215"/>
      <c r="BA139" s="213"/>
      <c r="BB139" s="215"/>
      <c r="BC139" s="213"/>
      <c r="BD139" s="213"/>
      <c r="BE139" s="213"/>
      <c r="BF139" s="215"/>
      <c r="BG139" s="213"/>
      <c r="BH139" s="215"/>
      <c r="BI139" s="213"/>
      <c r="BJ139" s="213"/>
      <c r="BK139" s="213"/>
      <c r="BL139" s="215"/>
      <c r="BM139" s="213"/>
      <c r="BN139" s="215"/>
      <c r="BO139" s="213"/>
      <c r="BP139" s="213"/>
      <c r="BQ139" s="213"/>
      <c r="BR139" s="326"/>
      <c r="BS139" s="213"/>
      <c r="BT139" s="215"/>
      <c r="BU139" s="213"/>
      <c r="BV139" s="213"/>
      <c r="BW139" s="213"/>
      <c r="BX139" s="213"/>
      <c r="BY139" s="213"/>
      <c r="BZ139" s="213"/>
      <c r="CA139" s="213"/>
      <c r="CB139" s="213"/>
      <c r="CC139" s="213"/>
      <c r="CD139" s="213"/>
      <c r="CE139" s="213"/>
      <c r="CF139" s="213"/>
      <c r="CG139" s="213"/>
      <c r="CH139" s="213"/>
      <c r="CI139" s="213"/>
      <c r="CJ139" s="213"/>
      <c r="CK139" s="213"/>
      <c r="CL139" s="213"/>
      <c r="CM139" s="213"/>
      <c r="CN139" s="213"/>
      <c r="CO139" s="213"/>
      <c r="CP139" s="213"/>
      <c r="CQ139" s="213"/>
    </row>
    <row r="140" ht="15.75" customHeight="1">
      <c r="A140" s="213"/>
      <c r="B140" s="213"/>
      <c r="C140" s="213"/>
      <c r="D140" s="215"/>
      <c r="E140" s="213"/>
      <c r="F140" s="215"/>
      <c r="G140" s="213"/>
      <c r="H140" s="215"/>
      <c r="I140" s="213"/>
      <c r="J140" s="215"/>
      <c r="K140" s="213"/>
      <c r="L140" s="215"/>
      <c r="M140" s="213"/>
      <c r="N140" s="213"/>
      <c r="O140" s="213"/>
      <c r="P140" s="215"/>
      <c r="Q140" s="213"/>
      <c r="R140" s="215"/>
      <c r="S140" s="213"/>
      <c r="T140" s="213"/>
      <c r="U140" s="213"/>
      <c r="V140" s="215"/>
      <c r="W140" s="213"/>
      <c r="X140" s="215"/>
      <c r="Y140" s="213"/>
      <c r="Z140" s="213"/>
      <c r="AA140" s="213"/>
      <c r="AB140" s="215"/>
      <c r="AC140" s="213"/>
      <c r="AD140" s="215"/>
      <c r="AE140" s="213"/>
      <c r="AF140" s="213"/>
      <c r="AG140" s="213"/>
      <c r="AH140" s="215"/>
      <c r="AI140" s="213"/>
      <c r="AJ140" s="215"/>
      <c r="AK140" s="213"/>
      <c r="AL140" s="213"/>
      <c r="AM140" s="213"/>
      <c r="AN140" s="215"/>
      <c r="AO140" s="213"/>
      <c r="AP140" s="215"/>
      <c r="AQ140" s="213"/>
      <c r="AR140" s="325"/>
      <c r="AS140" s="213"/>
      <c r="AT140" s="215"/>
      <c r="AU140" s="213"/>
      <c r="AV140" s="215"/>
      <c r="AW140" s="213"/>
      <c r="AX140" s="213"/>
      <c r="AY140" s="213"/>
      <c r="AZ140" s="215"/>
      <c r="BA140" s="213"/>
      <c r="BB140" s="215"/>
      <c r="BC140" s="213"/>
      <c r="BD140" s="213"/>
      <c r="BE140" s="213"/>
      <c r="BF140" s="215"/>
      <c r="BG140" s="213"/>
      <c r="BH140" s="215"/>
      <c r="BI140" s="213"/>
      <c r="BJ140" s="213"/>
      <c r="BK140" s="213"/>
      <c r="BL140" s="215"/>
      <c r="BM140" s="213"/>
      <c r="BN140" s="215"/>
      <c r="BO140" s="213"/>
      <c r="BP140" s="213"/>
      <c r="BQ140" s="213"/>
      <c r="BR140" s="326"/>
      <c r="BS140" s="213"/>
      <c r="BT140" s="215"/>
      <c r="BU140" s="213"/>
      <c r="BV140" s="213"/>
      <c r="BW140" s="213"/>
      <c r="BX140" s="213"/>
      <c r="BY140" s="213"/>
      <c r="BZ140" s="213"/>
      <c r="CA140" s="213"/>
      <c r="CB140" s="213"/>
      <c r="CC140" s="213"/>
      <c r="CD140" s="213"/>
      <c r="CE140" s="213"/>
      <c r="CF140" s="213"/>
      <c r="CG140" s="213"/>
      <c r="CH140" s="213"/>
      <c r="CI140" s="213"/>
      <c r="CJ140" s="213"/>
      <c r="CK140" s="213"/>
      <c r="CL140" s="213"/>
      <c r="CM140" s="213"/>
      <c r="CN140" s="213"/>
      <c r="CO140" s="213"/>
      <c r="CP140" s="213"/>
      <c r="CQ140" s="213"/>
    </row>
    <row r="141" ht="15.75" customHeight="1">
      <c r="A141" s="213"/>
      <c r="B141" s="213"/>
      <c r="C141" s="213"/>
      <c r="D141" s="215"/>
      <c r="E141" s="213"/>
      <c r="F141" s="215"/>
      <c r="G141" s="213"/>
      <c r="H141" s="215"/>
      <c r="I141" s="213"/>
      <c r="J141" s="215"/>
      <c r="K141" s="213"/>
      <c r="L141" s="215"/>
      <c r="M141" s="213"/>
      <c r="N141" s="213"/>
      <c r="O141" s="213"/>
      <c r="P141" s="215"/>
      <c r="Q141" s="213"/>
      <c r="R141" s="215"/>
      <c r="S141" s="213"/>
      <c r="T141" s="213"/>
      <c r="U141" s="213"/>
      <c r="V141" s="215"/>
      <c r="W141" s="213"/>
      <c r="X141" s="215"/>
      <c r="Y141" s="213"/>
      <c r="Z141" s="213"/>
      <c r="AA141" s="213"/>
      <c r="AB141" s="215"/>
      <c r="AC141" s="213"/>
      <c r="AD141" s="215"/>
      <c r="AE141" s="213"/>
      <c r="AF141" s="213"/>
      <c r="AG141" s="213"/>
      <c r="AH141" s="215"/>
      <c r="AI141" s="213"/>
      <c r="AJ141" s="215"/>
      <c r="AK141" s="213"/>
      <c r="AL141" s="213"/>
      <c r="AM141" s="213"/>
      <c r="AN141" s="215"/>
      <c r="AO141" s="213"/>
      <c r="AP141" s="215"/>
      <c r="AQ141" s="213"/>
      <c r="AR141" s="325"/>
      <c r="AS141" s="213"/>
      <c r="AT141" s="215"/>
      <c r="AU141" s="213"/>
      <c r="AV141" s="215"/>
      <c r="AW141" s="213"/>
      <c r="AX141" s="213"/>
      <c r="AY141" s="213"/>
      <c r="AZ141" s="215"/>
      <c r="BA141" s="213"/>
      <c r="BB141" s="215"/>
      <c r="BC141" s="213"/>
      <c r="BD141" s="213"/>
      <c r="BE141" s="213"/>
      <c r="BF141" s="215"/>
      <c r="BG141" s="213"/>
      <c r="BH141" s="215"/>
      <c r="BI141" s="213"/>
      <c r="BJ141" s="213"/>
      <c r="BK141" s="213"/>
      <c r="BL141" s="215"/>
      <c r="BM141" s="213"/>
      <c r="BN141" s="215"/>
      <c r="BO141" s="213"/>
      <c r="BP141" s="213"/>
      <c r="BQ141" s="213"/>
      <c r="BR141" s="326"/>
      <c r="BS141" s="213"/>
      <c r="BT141" s="215"/>
      <c r="BU141" s="213"/>
      <c r="BV141" s="213"/>
      <c r="BW141" s="213"/>
      <c r="BX141" s="213"/>
      <c r="BY141" s="213"/>
      <c r="BZ141" s="213"/>
      <c r="CA141" s="213"/>
      <c r="CB141" s="213"/>
      <c r="CC141" s="213"/>
      <c r="CD141" s="213"/>
      <c r="CE141" s="213"/>
      <c r="CF141" s="213"/>
      <c r="CG141" s="213"/>
      <c r="CH141" s="213"/>
      <c r="CI141" s="213"/>
      <c r="CJ141" s="213"/>
      <c r="CK141" s="213"/>
      <c r="CL141" s="213"/>
      <c r="CM141" s="213"/>
      <c r="CN141" s="213"/>
      <c r="CO141" s="213"/>
      <c r="CP141" s="213"/>
      <c r="CQ141" s="213"/>
    </row>
    <row r="142" ht="15.75" customHeight="1">
      <c r="A142" s="213"/>
      <c r="B142" s="213"/>
      <c r="C142" s="213"/>
      <c r="D142" s="215"/>
      <c r="E142" s="213"/>
      <c r="F142" s="215"/>
      <c r="G142" s="213"/>
      <c r="H142" s="215"/>
      <c r="I142" s="213"/>
      <c r="J142" s="215"/>
      <c r="K142" s="213"/>
      <c r="L142" s="215"/>
      <c r="M142" s="213"/>
      <c r="N142" s="213"/>
      <c r="O142" s="213"/>
      <c r="P142" s="215"/>
      <c r="Q142" s="213"/>
      <c r="R142" s="215"/>
      <c r="S142" s="213"/>
      <c r="T142" s="213"/>
      <c r="U142" s="213"/>
      <c r="V142" s="215"/>
      <c r="W142" s="213"/>
      <c r="X142" s="215"/>
      <c r="Y142" s="213"/>
      <c r="Z142" s="213"/>
      <c r="AA142" s="213"/>
      <c r="AB142" s="215"/>
      <c r="AC142" s="213"/>
      <c r="AD142" s="215"/>
      <c r="AE142" s="213"/>
      <c r="AF142" s="213"/>
      <c r="AG142" s="213"/>
      <c r="AH142" s="215"/>
      <c r="AI142" s="213"/>
      <c r="AJ142" s="215"/>
      <c r="AK142" s="213"/>
      <c r="AL142" s="213"/>
      <c r="AM142" s="213"/>
      <c r="AN142" s="215"/>
      <c r="AO142" s="213"/>
      <c r="AP142" s="215"/>
      <c r="AQ142" s="213"/>
      <c r="AR142" s="325"/>
      <c r="AS142" s="213"/>
      <c r="AT142" s="215"/>
      <c r="AU142" s="213"/>
      <c r="AV142" s="215"/>
      <c r="AW142" s="213"/>
      <c r="AX142" s="213"/>
      <c r="AY142" s="213"/>
      <c r="AZ142" s="215"/>
      <c r="BA142" s="213"/>
      <c r="BB142" s="215"/>
      <c r="BC142" s="213"/>
      <c r="BD142" s="213"/>
      <c r="BE142" s="213"/>
      <c r="BF142" s="215"/>
      <c r="BG142" s="213"/>
      <c r="BH142" s="215"/>
      <c r="BI142" s="213"/>
      <c r="BJ142" s="213"/>
      <c r="BK142" s="213"/>
      <c r="BL142" s="215"/>
      <c r="BM142" s="213"/>
      <c r="BN142" s="215"/>
      <c r="BO142" s="213"/>
      <c r="BP142" s="213"/>
      <c r="BQ142" s="213"/>
      <c r="BR142" s="326"/>
      <c r="BS142" s="213"/>
      <c r="BT142" s="215"/>
      <c r="BU142" s="213"/>
      <c r="BV142" s="213"/>
      <c r="BW142" s="213"/>
      <c r="BX142" s="213"/>
      <c r="BY142" s="213"/>
      <c r="BZ142" s="213"/>
      <c r="CA142" s="213"/>
      <c r="CB142" s="213"/>
      <c r="CC142" s="213"/>
      <c r="CD142" s="213"/>
      <c r="CE142" s="213"/>
      <c r="CF142" s="213"/>
      <c r="CG142" s="213"/>
      <c r="CH142" s="213"/>
      <c r="CI142" s="213"/>
      <c r="CJ142" s="213"/>
      <c r="CK142" s="213"/>
      <c r="CL142" s="213"/>
      <c r="CM142" s="213"/>
      <c r="CN142" s="213"/>
      <c r="CO142" s="213"/>
      <c r="CP142" s="213"/>
      <c r="CQ142" s="213"/>
    </row>
    <row r="143" ht="15.75" customHeight="1">
      <c r="A143" s="213"/>
      <c r="B143" s="213"/>
      <c r="C143" s="213"/>
      <c r="D143" s="215"/>
      <c r="E143" s="213"/>
      <c r="F143" s="215"/>
      <c r="G143" s="213"/>
      <c r="H143" s="215"/>
      <c r="I143" s="213"/>
      <c r="J143" s="215"/>
      <c r="K143" s="213"/>
      <c r="L143" s="215"/>
      <c r="M143" s="213"/>
      <c r="N143" s="213"/>
      <c r="O143" s="213"/>
      <c r="P143" s="215"/>
      <c r="Q143" s="213"/>
      <c r="R143" s="215"/>
      <c r="S143" s="213"/>
      <c r="T143" s="213"/>
      <c r="U143" s="213"/>
      <c r="V143" s="215"/>
      <c r="W143" s="213"/>
      <c r="X143" s="215"/>
      <c r="Y143" s="213"/>
      <c r="Z143" s="213"/>
      <c r="AA143" s="213"/>
      <c r="AB143" s="215"/>
      <c r="AC143" s="213"/>
      <c r="AD143" s="215"/>
      <c r="AE143" s="213"/>
      <c r="AF143" s="213"/>
      <c r="AG143" s="213"/>
      <c r="AH143" s="215"/>
      <c r="AI143" s="213"/>
      <c r="AJ143" s="215"/>
      <c r="AK143" s="213"/>
      <c r="AL143" s="213"/>
      <c r="AM143" s="213"/>
      <c r="AN143" s="215"/>
      <c r="AO143" s="213"/>
      <c r="AP143" s="215"/>
      <c r="AQ143" s="213"/>
      <c r="AR143" s="325"/>
      <c r="AS143" s="213"/>
      <c r="AT143" s="215"/>
      <c r="AU143" s="213"/>
      <c r="AV143" s="215"/>
      <c r="AW143" s="213"/>
      <c r="AX143" s="213"/>
      <c r="AY143" s="213"/>
      <c r="AZ143" s="215"/>
      <c r="BA143" s="213"/>
      <c r="BB143" s="215"/>
      <c r="BC143" s="213"/>
      <c r="BD143" s="213"/>
      <c r="BE143" s="213"/>
      <c r="BF143" s="215"/>
      <c r="BG143" s="213"/>
      <c r="BH143" s="215"/>
      <c r="BI143" s="213"/>
      <c r="BJ143" s="213"/>
      <c r="BK143" s="213"/>
      <c r="BL143" s="215"/>
      <c r="BM143" s="213"/>
      <c r="BN143" s="215"/>
      <c r="BO143" s="213"/>
      <c r="BP143" s="213"/>
      <c r="BQ143" s="213"/>
      <c r="BR143" s="326"/>
      <c r="BS143" s="213"/>
      <c r="BT143" s="215"/>
      <c r="BU143" s="213"/>
      <c r="BV143" s="213"/>
      <c r="BW143" s="213"/>
      <c r="BX143" s="213"/>
      <c r="BY143" s="213"/>
      <c r="BZ143" s="213"/>
      <c r="CA143" s="213"/>
      <c r="CB143" s="213"/>
      <c r="CC143" s="213"/>
      <c r="CD143" s="213"/>
      <c r="CE143" s="213"/>
      <c r="CF143" s="213"/>
      <c r="CG143" s="213"/>
      <c r="CH143" s="213"/>
      <c r="CI143" s="213"/>
      <c r="CJ143" s="213"/>
      <c r="CK143" s="213"/>
      <c r="CL143" s="213"/>
      <c r="CM143" s="213"/>
      <c r="CN143" s="213"/>
      <c r="CO143" s="213"/>
      <c r="CP143" s="213"/>
      <c r="CQ143" s="213"/>
    </row>
    <row r="144" ht="15.75" customHeight="1">
      <c r="A144" s="213"/>
      <c r="B144" s="213"/>
      <c r="C144" s="213"/>
      <c r="D144" s="215"/>
      <c r="E144" s="213"/>
      <c r="F144" s="215"/>
      <c r="G144" s="213"/>
      <c r="H144" s="215"/>
      <c r="I144" s="213"/>
      <c r="J144" s="215"/>
      <c r="K144" s="213"/>
      <c r="L144" s="215"/>
      <c r="M144" s="213"/>
      <c r="N144" s="213"/>
      <c r="O144" s="213"/>
      <c r="P144" s="215"/>
      <c r="Q144" s="213"/>
      <c r="R144" s="215"/>
      <c r="S144" s="213"/>
      <c r="T144" s="213"/>
      <c r="U144" s="213"/>
      <c r="V144" s="215"/>
      <c r="W144" s="213"/>
      <c r="X144" s="215"/>
      <c r="Y144" s="213"/>
      <c r="Z144" s="213"/>
      <c r="AA144" s="213"/>
      <c r="AB144" s="215"/>
      <c r="AC144" s="213"/>
      <c r="AD144" s="215"/>
      <c r="AE144" s="213"/>
      <c r="AF144" s="213"/>
      <c r="AG144" s="213"/>
      <c r="AH144" s="215"/>
      <c r="AI144" s="213"/>
      <c r="AJ144" s="215"/>
      <c r="AK144" s="213"/>
      <c r="AL144" s="213"/>
      <c r="AM144" s="213"/>
      <c r="AN144" s="215"/>
      <c r="AO144" s="213"/>
      <c r="AP144" s="215"/>
      <c r="AQ144" s="213"/>
      <c r="AR144" s="325"/>
      <c r="AS144" s="213"/>
      <c r="AT144" s="215"/>
      <c r="AU144" s="213"/>
      <c r="AV144" s="215"/>
      <c r="AW144" s="213"/>
      <c r="AX144" s="213"/>
      <c r="AY144" s="213"/>
      <c r="AZ144" s="215"/>
      <c r="BA144" s="213"/>
      <c r="BB144" s="215"/>
      <c r="BC144" s="213"/>
      <c r="BD144" s="213"/>
      <c r="BE144" s="213"/>
      <c r="BF144" s="215"/>
      <c r="BG144" s="213"/>
      <c r="BH144" s="215"/>
      <c r="BI144" s="213"/>
      <c r="BJ144" s="213"/>
      <c r="BK144" s="213"/>
      <c r="BL144" s="215"/>
      <c r="BM144" s="213"/>
      <c r="BN144" s="215"/>
      <c r="BO144" s="213"/>
      <c r="BP144" s="213"/>
      <c r="BQ144" s="213"/>
      <c r="BR144" s="326"/>
      <c r="BS144" s="213"/>
      <c r="BT144" s="215"/>
      <c r="BU144" s="213"/>
      <c r="BV144" s="213"/>
      <c r="BW144" s="213"/>
      <c r="BX144" s="213"/>
      <c r="BY144" s="213"/>
      <c r="BZ144" s="213"/>
      <c r="CA144" s="213"/>
      <c r="CB144" s="213"/>
      <c r="CC144" s="213"/>
      <c r="CD144" s="213"/>
      <c r="CE144" s="213"/>
      <c r="CF144" s="213"/>
      <c r="CG144" s="213"/>
      <c r="CH144" s="213"/>
      <c r="CI144" s="213"/>
      <c r="CJ144" s="213"/>
      <c r="CK144" s="213"/>
      <c r="CL144" s="213"/>
      <c r="CM144" s="213"/>
      <c r="CN144" s="213"/>
      <c r="CO144" s="213"/>
      <c r="CP144" s="213"/>
      <c r="CQ144" s="213"/>
    </row>
    <row r="145" ht="15.75" customHeight="1">
      <c r="A145" s="213"/>
      <c r="B145" s="213"/>
      <c r="C145" s="213"/>
      <c r="D145" s="215"/>
      <c r="E145" s="213"/>
      <c r="F145" s="215"/>
      <c r="G145" s="213"/>
      <c r="H145" s="215"/>
      <c r="I145" s="213"/>
      <c r="J145" s="215"/>
      <c r="K145" s="213"/>
      <c r="L145" s="215"/>
      <c r="M145" s="213"/>
      <c r="N145" s="213"/>
      <c r="O145" s="213"/>
      <c r="P145" s="215"/>
      <c r="Q145" s="213"/>
      <c r="R145" s="215"/>
      <c r="S145" s="213"/>
      <c r="T145" s="213"/>
      <c r="U145" s="213"/>
      <c r="V145" s="215"/>
      <c r="W145" s="213"/>
      <c r="X145" s="215"/>
      <c r="Y145" s="213"/>
      <c r="Z145" s="213"/>
      <c r="AA145" s="213"/>
      <c r="AB145" s="215"/>
      <c r="AC145" s="213"/>
      <c r="AD145" s="215"/>
      <c r="AE145" s="213"/>
      <c r="AF145" s="213"/>
      <c r="AG145" s="213"/>
      <c r="AH145" s="215"/>
      <c r="AI145" s="213"/>
      <c r="AJ145" s="215"/>
      <c r="AK145" s="213"/>
      <c r="AL145" s="213"/>
      <c r="AM145" s="213"/>
      <c r="AN145" s="215"/>
      <c r="AO145" s="213"/>
      <c r="AP145" s="215"/>
      <c r="AQ145" s="213"/>
      <c r="AR145" s="325"/>
      <c r="AS145" s="213"/>
      <c r="AT145" s="215"/>
      <c r="AU145" s="213"/>
      <c r="AV145" s="215"/>
      <c r="AW145" s="213"/>
      <c r="AX145" s="213"/>
      <c r="AY145" s="213"/>
      <c r="AZ145" s="215"/>
      <c r="BA145" s="213"/>
      <c r="BB145" s="215"/>
      <c r="BC145" s="213"/>
      <c r="BD145" s="213"/>
      <c r="BE145" s="213"/>
      <c r="BF145" s="215"/>
      <c r="BG145" s="213"/>
      <c r="BH145" s="215"/>
      <c r="BI145" s="213"/>
      <c r="BJ145" s="213"/>
      <c r="BK145" s="213"/>
      <c r="BL145" s="215"/>
      <c r="BM145" s="213"/>
      <c r="BN145" s="215"/>
      <c r="BO145" s="213"/>
      <c r="BP145" s="213"/>
      <c r="BQ145" s="213"/>
      <c r="BR145" s="326"/>
      <c r="BS145" s="213"/>
      <c r="BT145" s="215"/>
      <c r="BU145" s="213"/>
      <c r="BV145" s="213"/>
      <c r="BW145" s="213"/>
      <c r="BX145" s="213"/>
      <c r="BY145" s="213"/>
      <c r="BZ145" s="213"/>
      <c r="CA145" s="213"/>
      <c r="CB145" s="213"/>
      <c r="CC145" s="213"/>
      <c r="CD145" s="213"/>
      <c r="CE145" s="213"/>
      <c r="CF145" s="213"/>
      <c r="CG145" s="213"/>
      <c r="CH145" s="213"/>
      <c r="CI145" s="213"/>
      <c r="CJ145" s="213"/>
      <c r="CK145" s="213"/>
      <c r="CL145" s="213"/>
      <c r="CM145" s="213"/>
      <c r="CN145" s="213"/>
      <c r="CO145" s="213"/>
      <c r="CP145" s="213"/>
      <c r="CQ145" s="213"/>
    </row>
    <row r="146" ht="15.75" customHeight="1">
      <c r="A146" s="213"/>
      <c r="B146" s="213"/>
      <c r="C146" s="213"/>
      <c r="D146" s="215"/>
      <c r="E146" s="213"/>
      <c r="F146" s="215"/>
      <c r="G146" s="213"/>
      <c r="H146" s="215"/>
      <c r="I146" s="213"/>
      <c r="J146" s="215"/>
      <c r="K146" s="213"/>
      <c r="L146" s="215"/>
      <c r="M146" s="213"/>
      <c r="N146" s="213"/>
      <c r="O146" s="213"/>
      <c r="P146" s="215"/>
      <c r="Q146" s="213"/>
      <c r="R146" s="215"/>
      <c r="S146" s="213"/>
      <c r="T146" s="213"/>
      <c r="U146" s="213"/>
      <c r="V146" s="215"/>
      <c r="W146" s="213"/>
      <c r="X146" s="215"/>
      <c r="Y146" s="213"/>
      <c r="Z146" s="213"/>
      <c r="AA146" s="213"/>
      <c r="AB146" s="215"/>
      <c r="AC146" s="213"/>
      <c r="AD146" s="215"/>
      <c r="AE146" s="213"/>
      <c r="AF146" s="213"/>
      <c r="AG146" s="213"/>
      <c r="AH146" s="215"/>
      <c r="AI146" s="213"/>
      <c r="AJ146" s="215"/>
      <c r="AK146" s="213"/>
      <c r="AL146" s="213"/>
      <c r="AM146" s="213"/>
      <c r="AN146" s="215"/>
      <c r="AO146" s="213"/>
      <c r="AP146" s="215"/>
      <c r="AQ146" s="213"/>
      <c r="AR146" s="325"/>
      <c r="AS146" s="213"/>
      <c r="AT146" s="215"/>
      <c r="AU146" s="213"/>
      <c r="AV146" s="215"/>
      <c r="AW146" s="213"/>
      <c r="AX146" s="213"/>
      <c r="AY146" s="213"/>
      <c r="AZ146" s="215"/>
      <c r="BA146" s="213"/>
      <c r="BB146" s="215"/>
      <c r="BC146" s="213"/>
      <c r="BD146" s="213"/>
      <c r="BE146" s="213"/>
      <c r="BF146" s="215"/>
      <c r="BG146" s="213"/>
      <c r="BH146" s="215"/>
      <c r="BI146" s="213"/>
      <c r="BJ146" s="213"/>
      <c r="BK146" s="213"/>
      <c r="BL146" s="215"/>
      <c r="BM146" s="213"/>
      <c r="BN146" s="215"/>
      <c r="BO146" s="213"/>
      <c r="BP146" s="213"/>
      <c r="BQ146" s="213"/>
      <c r="BR146" s="326"/>
      <c r="BS146" s="213"/>
      <c r="BT146" s="215"/>
      <c r="BU146" s="213"/>
      <c r="BV146" s="213"/>
      <c r="BW146" s="213"/>
      <c r="BX146" s="213"/>
      <c r="BY146" s="213"/>
      <c r="BZ146" s="213"/>
      <c r="CA146" s="213"/>
      <c r="CB146" s="213"/>
      <c r="CC146" s="213"/>
      <c r="CD146" s="213"/>
      <c r="CE146" s="213"/>
      <c r="CF146" s="213"/>
      <c r="CG146" s="213"/>
      <c r="CH146" s="213"/>
      <c r="CI146" s="213"/>
      <c r="CJ146" s="213"/>
      <c r="CK146" s="213"/>
      <c r="CL146" s="213"/>
      <c r="CM146" s="213"/>
      <c r="CN146" s="213"/>
      <c r="CO146" s="213"/>
      <c r="CP146" s="213"/>
      <c r="CQ146" s="213"/>
    </row>
    <row r="147" ht="15.75" customHeight="1">
      <c r="A147" s="213"/>
      <c r="B147" s="213"/>
      <c r="C147" s="213"/>
      <c r="D147" s="215"/>
      <c r="E147" s="213"/>
      <c r="F147" s="215"/>
      <c r="G147" s="213"/>
      <c r="H147" s="215"/>
      <c r="I147" s="213"/>
      <c r="J147" s="215"/>
      <c r="K147" s="213"/>
      <c r="L147" s="215"/>
      <c r="M147" s="213"/>
      <c r="N147" s="213"/>
      <c r="O147" s="213"/>
      <c r="P147" s="215"/>
      <c r="Q147" s="213"/>
      <c r="R147" s="215"/>
      <c r="S147" s="213"/>
      <c r="T147" s="213"/>
      <c r="U147" s="213"/>
      <c r="V147" s="215"/>
      <c r="W147" s="213"/>
      <c r="X147" s="215"/>
      <c r="Y147" s="213"/>
      <c r="Z147" s="213"/>
      <c r="AA147" s="213"/>
      <c r="AB147" s="215"/>
      <c r="AC147" s="213"/>
      <c r="AD147" s="215"/>
      <c r="AE147" s="213"/>
      <c r="AF147" s="213"/>
      <c r="AG147" s="213"/>
      <c r="AH147" s="215"/>
      <c r="AI147" s="213"/>
      <c r="AJ147" s="215"/>
      <c r="AK147" s="213"/>
      <c r="AL147" s="213"/>
      <c r="AM147" s="213"/>
      <c r="AN147" s="215"/>
      <c r="AO147" s="213"/>
      <c r="AP147" s="215"/>
      <c r="AQ147" s="213"/>
      <c r="AR147" s="325"/>
      <c r="AS147" s="213"/>
      <c r="AT147" s="215"/>
      <c r="AU147" s="213"/>
      <c r="AV147" s="215"/>
      <c r="AW147" s="213"/>
      <c r="AX147" s="213"/>
      <c r="AY147" s="213"/>
      <c r="AZ147" s="215"/>
      <c r="BA147" s="213"/>
      <c r="BB147" s="215"/>
      <c r="BC147" s="213"/>
      <c r="BD147" s="213"/>
      <c r="BE147" s="213"/>
      <c r="BF147" s="215"/>
      <c r="BG147" s="213"/>
      <c r="BH147" s="215"/>
      <c r="BI147" s="213"/>
      <c r="BJ147" s="213"/>
      <c r="BK147" s="213"/>
      <c r="BL147" s="215"/>
      <c r="BM147" s="213"/>
      <c r="BN147" s="215"/>
      <c r="BO147" s="213"/>
      <c r="BP147" s="213"/>
      <c r="BQ147" s="213"/>
      <c r="BR147" s="326"/>
      <c r="BS147" s="213"/>
      <c r="BT147" s="215"/>
      <c r="BU147" s="213"/>
      <c r="BV147" s="213"/>
      <c r="BW147" s="213"/>
      <c r="BX147" s="213"/>
      <c r="BY147" s="213"/>
      <c r="BZ147" s="213"/>
      <c r="CA147" s="213"/>
      <c r="CB147" s="213"/>
      <c r="CC147" s="213"/>
      <c r="CD147" s="213"/>
      <c r="CE147" s="213"/>
      <c r="CF147" s="213"/>
      <c r="CG147" s="213"/>
      <c r="CH147" s="213"/>
      <c r="CI147" s="213"/>
      <c r="CJ147" s="213"/>
      <c r="CK147" s="213"/>
      <c r="CL147" s="213"/>
      <c r="CM147" s="213"/>
      <c r="CN147" s="213"/>
      <c r="CO147" s="213"/>
      <c r="CP147" s="213"/>
      <c r="CQ147" s="213"/>
    </row>
    <row r="148" ht="15.75" customHeight="1">
      <c r="A148" s="213"/>
      <c r="B148" s="213"/>
      <c r="C148" s="213"/>
      <c r="D148" s="215"/>
      <c r="E148" s="213"/>
      <c r="F148" s="215"/>
      <c r="G148" s="213"/>
      <c r="H148" s="215"/>
      <c r="I148" s="213"/>
      <c r="J148" s="215"/>
      <c r="K148" s="213"/>
      <c r="L148" s="215"/>
      <c r="M148" s="213"/>
      <c r="N148" s="213"/>
      <c r="O148" s="213"/>
      <c r="P148" s="215"/>
      <c r="Q148" s="213"/>
      <c r="R148" s="215"/>
      <c r="S148" s="213"/>
      <c r="T148" s="213"/>
      <c r="U148" s="213"/>
      <c r="V148" s="215"/>
      <c r="W148" s="213"/>
      <c r="X148" s="215"/>
      <c r="Y148" s="213"/>
      <c r="Z148" s="213"/>
      <c r="AA148" s="213"/>
      <c r="AB148" s="215"/>
      <c r="AC148" s="213"/>
      <c r="AD148" s="215"/>
      <c r="AE148" s="213"/>
      <c r="AF148" s="213"/>
      <c r="AG148" s="213"/>
      <c r="AH148" s="215"/>
      <c r="AI148" s="213"/>
      <c r="AJ148" s="215"/>
      <c r="AK148" s="213"/>
      <c r="AL148" s="213"/>
      <c r="AM148" s="213"/>
      <c r="AN148" s="215"/>
      <c r="AO148" s="213"/>
      <c r="AP148" s="215"/>
      <c r="AQ148" s="213"/>
      <c r="AR148" s="325"/>
      <c r="AS148" s="213"/>
      <c r="AT148" s="215"/>
      <c r="AU148" s="213"/>
      <c r="AV148" s="215"/>
      <c r="AW148" s="213"/>
      <c r="AX148" s="213"/>
      <c r="AY148" s="213"/>
      <c r="AZ148" s="215"/>
      <c r="BA148" s="213"/>
      <c r="BB148" s="215"/>
      <c r="BC148" s="213"/>
      <c r="BD148" s="213"/>
      <c r="BE148" s="213"/>
      <c r="BF148" s="215"/>
      <c r="BG148" s="213"/>
      <c r="BH148" s="215"/>
      <c r="BI148" s="213"/>
      <c r="BJ148" s="213"/>
      <c r="BK148" s="213"/>
      <c r="BL148" s="215"/>
      <c r="BM148" s="213"/>
      <c r="BN148" s="215"/>
      <c r="BO148" s="213"/>
      <c r="BP148" s="213"/>
      <c r="BQ148" s="213"/>
      <c r="BR148" s="326"/>
      <c r="BS148" s="213"/>
      <c r="BT148" s="215"/>
      <c r="BU148" s="213"/>
      <c r="BV148" s="213"/>
      <c r="BW148" s="213"/>
      <c r="BX148" s="213"/>
      <c r="BY148" s="213"/>
      <c r="BZ148" s="213"/>
      <c r="CA148" s="213"/>
      <c r="CB148" s="213"/>
      <c r="CC148" s="213"/>
      <c r="CD148" s="213"/>
      <c r="CE148" s="213"/>
      <c r="CF148" s="213"/>
      <c r="CG148" s="213"/>
      <c r="CH148" s="213"/>
      <c r="CI148" s="213"/>
      <c r="CJ148" s="213"/>
      <c r="CK148" s="213"/>
      <c r="CL148" s="213"/>
      <c r="CM148" s="213"/>
      <c r="CN148" s="213"/>
      <c r="CO148" s="213"/>
      <c r="CP148" s="213"/>
      <c r="CQ148" s="213"/>
    </row>
    <row r="149" ht="15.75" customHeight="1">
      <c r="A149" s="213"/>
      <c r="B149" s="213"/>
      <c r="C149" s="213"/>
      <c r="D149" s="215"/>
      <c r="E149" s="213"/>
      <c r="F149" s="215"/>
      <c r="G149" s="213"/>
      <c r="H149" s="215"/>
      <c r="I149" s="213"/>
      <c r="J149" s="215"/>
      <c r="K149" s="213"/>
      <c r="L149" s="215"/>
      <c r="M149" s="213"/>
      <c r="N149" s="213"/>
      <c r="O149" s="213"/>
      <c r="P149" s="215"/>
      <c r="Q149" s="213"/>
      <c r="R149" s="215"/>
      <c r="S149" s="213"/>
      <c r="T149" s="213"/>
      <c r="U149" s="213"/>
      <c r="V149" s="215"/>
      <c r="W149" s="213"/>
      <c r="X149" s="215"/>
      <c r="Y149" s="213"/>
      <c r="Z149" s="213"/>
      <c r="AA149" s="213"/>
      <c r="AB149" s="215"/>
      <c r="AC149" s="213"/>
      <c r="AD149" s="215"/>
      <c r="AE149" s="213"/>
      <c r="AF149" s="213"/>
      <c r="AG149" s="213"/>
      <c r="AH149" s="215"/>
      <c r="AI149" s="213"/>
      <c r="AJ149" s="215"/>
      <c r="AK149" s="213"/>
      <c r="AL149" s="213"/>
      <c r="AM149" s="213"/>
      <c r="AN149" s="215"/>
      <c r="AO149" s="213"/>
      <c r="AP149" s="215"/>
      <c r="AQ149" s="213"/>
      <c r="AR149" s="325"/>
      <c r="AS149" s="213"/>
      <c r="AT149" s="215"/>
      <c r="AU149" s="213"/>
      <c r="AV149" s="215"/>
      <c r="AW149" s="213"/>
      <c r="AX149" s="213"/>
      <c r="AY149" s="213"/>
      <c r="AZ149" s="215"/>
      <c r="BA149" s="213"/>
      <c r="BB149" s="215"/>
      <c r="BC149" s="213"/>
      <c r="BD149" s="213"/>
      <c r="BE149" s="213"/>
      <c r="BF149" s="215"/>
      <c r="BG149" s="213"/>
      <c r="BH149" s="215"/>
      <c r="BI149" s="213"/>
      <c r="BJ149" s="213"/>
      <c r="BK149" s="213"/>
      <c r="BL149" s="215"/>
      <c r="BM149" s="213"/>
      <c r="BN149" s="215"/>
      <c r="BO149" s="213"/>
      <c r="BP149" s="213"/>
      <c r="BQ149" s="213"/>
      <c r="BR149" s="326"/>
      <c r="BS149" s="213"/>
      <c r="BT149" s="215"/>
      <c r="BU149" s="213"/>
      <c r="BV149" s="213"/>
      <c r="BW149" s="213"/>
      <c r="BX149" s="213"/>
      <c r="BY149" s="213"/>
      <c r="BZ149" s="213"/>
      <c r="CA149" s="213"/>
      <c r="CB149" s="213"/>
      <c r="CC149" s="213"/>
      <c r="CD149" s="213"/>
      <c r="CE149" s="213"/>
      <c r="CF149" s="213"/>
      <c r="CG149" s="213"/>
      <c r="CH149" s="213"/>
      <c r="CI149" s="213"/>
      <c r="CJ149" s="213"/>
      <c r="CK149" s="213"/>
      <c r="CL149" s="213"/>
      <c r="CM149" s="213"/>
      <c r="CN149" s="213"/>
      <c r="CO149" s="213"/>
      <c r="CP149" s="213"/>
      <c r="CQ149" s="213"/>
    </row>
    <row r="150" ht="15.75" customHeight="1">
      <c r="A150" s="213"/>
      <c r="B150" s="213"/>
      <c r="C150" s="213"/>
      <c r="D150" s="215"/>
      <c r="E150" s="213"/>
      <c r="F150" s="215"/>
      <c r="G150" s="213"/>
      <c r="H150" s="215"/>
      <c r="I150" s="213"/>
      <c r="J150" s="215"/>
      <c r="K150" s="213"/>
      <c r="L150" s="215"/>
      <c r="M150" s="213"/>
      <c r="N150" s="213"/>
      <c r="O150" s="213"/>
      <c r="P150" s="215"/>
      <c r="Q150" s="213"/>
      <c r="R150" s="215"/>
      <c r="S150" s="213"/>
      <c r="T150" s="213"/>
      <c r="U150" s="213"/>
      <c r="V150" s="215"/>
      <c r="W150" s="213"/>
      <c r="X150" s="215"/>
      <c r="Y150" s="213"/>
      <c r="Z150" s="213"/>
      <c r="AA150" s="213"/>
      <c r="AB150" s="215"/>
      <c r="AC150" s="213"/>
      <c r="AD150" s="215"/>
      <c r="AE150" s="213"/>
      <c r="AF150" s="213"/>
      <c r="AG150" s="213"/>
      <c r="AH150" s="215"/>
      <c r="AI150" s="213"/>
      <c r="AJ150" s="215"/>
      <c r="AK150" s="213"/>
      <c r="AL150" s="213"/>
      <c r="AM150" s="213"/>
      <c r="AN150" s="215"/>
      <c r="AO150" s="213"/>
      <c r="AP150" s="215"/>
      <c r="AQ150" s="213"/>
      <c r="AR150" s="325"/>
      <c r="AS150" s="213"/>
      <c r="AT150" s="215"/>
      <c r="AU150" s="213"/>
      <c r="AV150" s="215"/>
      <c r="AW150" s="213"/>
      <c r="AX150" s="213"/>
      <c r="AY150" s="213"/>
      <c r="AZ150" s="215"/>
      <c r="BA150" s="213"/>
      <c r="BB150" s="215"/>
      <c r="BC150" s="213"/>
      <c r="BD150" s="213"/>
      <c r="BE150" s="213"/>
      <c r="BF150" s="215"/>
      <c r="BG150" s="213"/>
      <c r="BH150" s="215"/>
      <c r="BI150" s="213"/>
      <c r="BJ150" s="213"/>
      <c r="BK150" s="213"/>
      <c r="BL150" s="215"/>
      <c r="BM150" s="213"/>
      <c r="BN150" s="215"/>
      <c r="BO150" s="213"/>
      <c r="BP150" s="213"/>
      <c r="BQ150" s="213"/>
      <c r="BR150" s="326"/>
      <c r="BS150" s="213"/>
      <c r="BT150" s="215"/>
      <c r="BU150" s="213"/>
      <c r="BV150" s="213"/>
      <c r="BW150" s="213"/>
      <c r="BX150" s="213"/>
      <c r="BY150" s="213"/>
      <c r="BZ150" s="213"/>
      <c r="CA150" s="213"/>
      <c r="CB150" s="213"/>
      <c r="CC150" s="213"/>
      <c r="CD150" s="213"/>
      <c r="CE150" s="213"/>
      <c r="CF150" s="213"/>
      <c r="CG150" s="213"/>
      <c r="CH150" s="213"/>
      <c r="CI150" s="213"/>
      <c r="CJ150" s="213"/>
      <c r="CK150" s="213"/>
      <c r="CL150" s="213"/>
      <c r="CM150" s="213"/>
      <c r="CN150" s="213"/>
      <c r="CO150" s="213"/>
      <c r="CP150" s="213"/>
      <c r="CQ150" s="213"/>
    </row>
    <row r="151" ht="15.75" customHeight="1">
      <c r="A151" s="213"/>
      <c r="B151" s="213"/>
      <c r="C151" s="213"/>
      <c r="D151" s="215"/>
      <c r="E151" s="213"/>
      <c r="F151" s="215"/>
      <c r="G151" s="213"/>
      <c r="H151" s="215"/>
      <c r="I151" s="213"/>
      <c r="J151" s="215"/>
      <c r="K151" s="213"/>
      <c r="L151" s="215"/>
      <c r="M151" s="213"/>
      <c r="N151" s="213"/>
      <c r="O151" s="213"/>
      <c r="P151" s="215"/>
      <c r="Q151" s="213"/>
      <c r="R151" s="215"/>
      <c r="S151" s="213"/>
      <c r="T151" s="213"/>
      <c r="U151" s="213"/>
      <c r="V151" s="215"/>
      <c r="W151" s="213"/>
      <c r="X151" s="215"/>
      <c r="Y151" s="213"/>
      <c r="Z151" s="213"/>
      <c r="AA151" s="213"/>
      <c r="AB151" s="215"/>
      <c r="AC151" s="213"/>
      <c r="AD151" s="215"/>
      <c r="AE151" s="213"/>
      <c r="AF151" s="213"/>
      <c r="AG151" s="213"/>
      <c r="AH151" s="215"/>
      <c r="AI151" s="213"/>
      <c r="AJ151" s="215"/>
      <c r="AK151" s="213"/>
      <c r="AL151" s="213"/>
      <c r="AM151" s="213"/>
      <c r="AN151" s="215"/>
      <c r="AO151" s="213"/>
      <c r="AP151" s="215"/>
      <c r="AQ151" s="213"/>
      <c r="AR151" s="325"/>
      <c r="AS151" s="213"/>
      <c r="AT151" s="215"/>
      <c r="AU151" s="213"/>
      <c r="AV151" s="215"/>
      <c r="AW151" s="213"/>
      <c r="AX151" s="213"/>
      <c r="AY151" s="213"/>
      <c r="AZ151" s="215"/>
      <c r="BA151" s="213"/>
      <c r="BB151" s="215"/>
      <c r="BC151" s="213"/>
      <c r="BD151" s="213"/>
      <c r="BE151" s="213"/>
      <c r="BF151" s="215"/>
      <c r="BG151" s="213"/>
      <c r="BH151" s="215"/>
      <c r="BI151" s="213"/>
      <c r="BJ151" s="213"/>
      <c r="BK151" s="213"/>
      <c r="BL151" s="215"/>
      <c r="BM151" s="213"/>
      <c r="BN151" s="215"/>
      <c r="BO151" s="213"/>
      <c r="BP151" s="213"/>
      <c r="BQ151" s="213"/>
      <c r="BR151" s="326"/>
      <c r="BS151" s="213"/>
      <c r="BT151" s="215"/>
      <c r="BU151" s="213"/>
      <c r="BV151" s="213"/>
      <c r="BW151" s="213"/>
      <c r="BX151" s="213"/>
      <c r="BY151" s="213"/>
      <c r="BZ151" s="213"/>
      <c r="CA151" s="213"/>
      <c r="CB151" s="213"/>
      <c r="CC151" s="213"/>
      <c r="CD151" s="213"/>
      <c r="CE151" s="213"/>
      <c r="CF151" s="213"/>
      <c r="CG151" s="213"/>
      <c r="CH151" s="213"/>
      <c r="CI151" s="213"/>
      <c r="CJ151" s="213"/>
      <c r="CK151" s="213"/>
      <c r="CL151" s="213"/>
      <c r="CM151" s="213"/>
      <c r="CN151" s="213"/>
      <c r="CO151" s="213"/>
      <c r="CP151" s="213"/>
      <c r="CQ151" s="213"/>
    </row>
    <row r="152" ht="15.75" customHeight="1">
      <c r="A152" s="213"/>
      <c r="B152" s="213"/>
      <c r="C152" s="213"/>
      <c r="D152" s="215"/>
      <c r="E152" s="213"/>
      <c r="F152" s="215"/>
      <c r="G152" s="213"/>
      <c r="H152" s="215"/>
      <c r="I152" s="213"/>
      <c r="J152" s="215"/>
      <c r="K152" s="213"/>
      <c r="L152" s="215"/>
      <c r="M152" s="213"/>
      <c r="N152" s="213"/>
      <c r="O152" s="213"/>
      <c r="P152" s="215"/>
      <c r="Q152" s="213"/>
      <c r="R152" s="215"/>
      <c r="S152" s="213"/>
      <c r="T152" s="213"/>
      <c r="U152" s="213"/>
      <c r="V152" s="215"/>
      <c r="W152" s="213"/>
      <c r="X152" s="215"/>
      <c r="Y152" s="213"/>
      <c r="Z152" s="213"/>
      <c r="AA152" s="213"/>
      <c r="AB152" s="215"/>
      <c r="AC152" s="213"/>
      <c r="AD152" s="215"/>
      <c r="AE152" s="213"/>
      <c r="AF152" s="213"/>
      <c r="AG152" s="213"/>
      <c r="AH152" s="215"/>
      <c r="AI152" s="213"/>
      <c r="AJ152" s="215"/>
      <c r="AK152" s="213"/>
      <c r="AL152" s="213"/>
      <c r="AM152" s="213"/>
      <c r="AN152" s="215"/>
      <c r="AO152" s="213"/>
      <c r="AP152" s="215"/>
      <c r="AQ152" s="213"/>
      <c r="AR152" s="325"/>
      <c r="AS152" s="213"/>
      <c r="AT152" s="215"/>
      <c r="AU152" s="213"/>
      <c r="AV152" s="215"/>
      <c r="AW152" s="213"/>
      <c r="AX152" s="213"/>
      <c r="AY152" s="213"/>
      <c r="AZ152" s="215"/>
      <c r="BA152" s="213"/>
      <c r="BB152" s="215"/>
      <c r="BC152" s="213"/>
      <c r="BD152" s="213"/>
      <c r="BE152" s="213"/>
      <c r="BF152" s="215"/>
      <c r="BG152" s="213"/>
      <c r="BH152" s="215"/>
      <c r="BI152" s="213"/>
      <c r="BJ152" s="213"/>
      <c r="BK152" s="213"/>
      <c r="BL152" s="215"/>
      <c r="BM152" s="213"/>
      <c r="BN152" s="215"/>
      <c r="BO152" s="213"/>
      <c r="BP152" s="213"/>
      <c r="BQ152" s="213"/>
      <c r="BR152" s="326"/>
      <c r="BS152" s="213"/>
      <c r="BT152" s="215"/>
      <c r="BU152" s="213"/>
      <c r="BV152" s="213"/>
      <c r="BW152" s="213"/>
      <c r="BX152" s="213"/>
      <c r="BY152" s="213"/>
      <c r="BZ152" s="213"/>
      <c r="CA152" s="213"/>
      <c r="CB152" s="213"/>
      <c r="CC152" s="213"/>
      <c r="CD152" s="213"/>
      <c r="CE152" s="213"/>
      <c r="CF152" s="213"/>
      <c r="CG152" s="213"/>
      <c r="CH152" s="213"/>
      <c r="CI152" s="213"/>
      <c r="CJ152" s="213"/>
      <c r="CK152" s="213"/>
      <c r="CL152" s="213"/>
      <c r="CM152" s="213"/>
      <c r="CN152" s="213"/>
      <c r="CO152" s="213"/>
      <c r="CP152" s="213"/>
      <c r="CQ152" s="213"/>
    </row>
    <row r="153" ht="15.75" customHeight="1">
      <c r="A153" s="213"/>
      <c r="B153" s="213"/>
      <c r="C153" s="213"/>
      <c r="D153" s="215"/>
      <c r="E153" s="213"/>
      <c r="F153" s="215"/>
      <c r="G153" s="213"/>
      <c r="H153" s="215"/>
      <c r="I153" s="213"/>
      <c r="J153" s="215"/>
      <c r="K153" s="213"/>
      <c r="L153" s="215"/>
      <c r="M153" s="213"/>
      <c r="N153" s="213"/>
      <c r="O153" s="213"/>
      <c r="P153" s="215"/>
      <c r="Q153" s="213"/>
      <c r="R153" s="215"/>
      <c r="S153" s="213"/>
      <c r="T153" s="213"/>
      <c r="U153" s="213"/>
      <c r="V153" s="215"/>
      <c r="W153" s="213"/>
      <c r="X153" s="215"/>
      <c r="Y153" s="213"/>
      <c r="Z153" s="213"/>
      <c r="AA153" s="213"/>
      <c r="AB153" s="215"/>
      <c r="AC153" s="213"/>
      <c r="AD153" s="215"/>
      <c r="AE153" s="213"/>
      <c r="AF153" s="213"/>
      <c r="AG153" s="213"/>
      <c r="AH153" s="215"/>
      <c r="AI153" s="213"/>
      <c r="AJ153" s="215"/>
      <c r="AK153" s="213"/>
      <c r="AL153" s="213"/>
      <c r="AM153" s="213"/>
      <c r="AN153" s="215"/>
      <c r="AO153" s="213"/>
      <c r="AP153" s="215"/>
      <c r="AQ153" s="213"/>
      <c r="AR153" s="325"/>
      <c r="AS153" s="213"/>
      <c r="AT153" s="215"/>
      <c r="AU153" s="213"/>
      <c r="AV153" s="215"/>
      <c r="AW153" s="213"/>
      <c r="AX153" s="213"/>
      <c r="AY153" s="213"/>
      <c r="AZ153" s="215"/>
      <c r="BA153" s="213"/>
      <c r="BB153" s="215"/>
      <c r="BC153" s="213"/>
      <c r="BD153" s="213"/>
      <c r="BE153" s="213"/>
      <c r="BF153" s="215"/>
      <c r="BG153" s="213"/>
      <c r="BH153" s="215"/>
      <c r="BI153" s="213"/>
      <c r="BJ153" s="213"/>
      <c r="BK153" s="213"/>
      <c r="BL153" s="215"/>
      <c r="BM153" s="213"/>
      <c r="BN153" s="215"/>
      <c r="BO153" s="213"/>
      <c r="BP153" s="213"/>
      <c r="BQ153" s="213"/>
      <c r="BR153" s="326"/>
      <c r="BS153" s="213"/>
      <c r="BT153" s="215"/>
      <c r="BU153" s="213"/>
      <c r="BV153" s="213"/>
      <c r="BW153" s="213"/>
      <c r="BX153" s="213"/>
      <c r="BY153" s="213"/>
      <c r="BZ153" s="213"/>
      <c r="CA153" s="213"/>
      <c r="CB153" s="213"/>
      <c r="CC153" s="213"/>
      <c r="CD153" s="213"/>
      <c r="CE153" s="213"/>
      <c r="CF153" s="213"/>
      <c r="CG153" s="213"/>
      <c r="CH153" s="213"/>
      <c r="CI153" s="213"/>
      <c r="CJ153" s="213"/>
      <c r="CK153" s="213"/>
      <c r="CL153" s="213"/>
      <c r="CM153" s="213"/>
      <c r="CN153" s="213"/>
      <c r="CO153" s="213"/>
      <c r="CP153" s="213"/>
      <c r="CQ153" s="213"/>
    </row>
    <row r="154" ht="15.75" customHeight="1">
      <c r="A154" s="213"/>
      <c r="B154" s="213"/>
      <c r="C154" s="213"/>
      <c r="D154" s="215"/>
      <c r="E154" s="213"/>
      <c r="F154" s="215"/>
      <c r="G154" s="213"/>
      <c r="H154" s="215"/>
      <c r="I154" s="213"/>
      <c r="J154" s="215"/>
      <c r="K154" s="213"/>
      <c r="L154" s="215"/>
      <c r="M154" s="213"/>
      <c r="N154" s="213"/>
      <c r="O154" s="213"/>
      <c r="P154" s="215"/>
      <c r="Q154" s="213"/>
      <c r="R154" s="215"/>
      <c r="S154" s="213"/>
      <c r="T154" s="213"/>
      <c r="U154" s="213"/>
      <c r="V154" s="215"/>
      <c r="W154" s="213"/>
      <c r="X154" s="215"/>
      <c r="Y154" s="213"/>
      <c r="Z154" s="213"/>
      <c r="AA154" s="213"/>
      <c r="AB154" s="215"/>
      <c r="AC154" s="213"/>
      <c r="AD154" s="215"/>
      <c r="AE154" s="213"/>
      <c r="AF154" s="213"/>
      <c r="AG154" s="213"/>
      <c r="AH154" s="215"/>
      <c r="AI154" s="213"/>
      <c r="AJ154" s="215"/>
      <c r="AK154" s="213"/>
      <c r="AL154" s="213"/>
      <c r="AM154" s="213"/>
      <c r="AN154" s="215"/>
      <c r="AO154" s="213"/>
      <c r="AP154" s="215"/>
      <c r="AQ154" s="213"/>
      <c r="AR154" s="325"/>
      <c r="AS154" s="213"/>
      <c r="AT154" s="215"/>
      <c r="AU154" s="213"/>
      <c r="AV154" s="215"/>
      <c r="AW154" s="213"/>
      <c r="AX154" s="213"/>
      <c r="AY154" s="213"/>
      <c r="AZ154" s="215"/>
      <c r="BA154" s="213"/>
      <c r="BB154" s="215"/>
      <c r="BC154" s="213"/>
      <c r="BD154" s="213"/>
      <c r="BE154" s="213"/>
      <c r="BF154" s="215"/>
      <c r="BG154" s="213"/>
      <c r="BH154" s="215"/>
      <c r="BI154" s="213"/>
      <c r="BJ154" s="213"/>
      <c r="BK154" s="213"/>
      <c r="BL154" s="215"/>
      <c r="BM154" s="213"/>
      <c r="BN154" s="215"/>
      <c r="BO154" s="213"/>
      <c r="BP154" s="213"/>
      <c r="BQ154" s="213"/>
      <c r="BR154" s="326"/>
      <c r="BS154" s="213"/>
      <c r="BT154" s="215"/>
      <c r="BU154" s="213"/>
      <c r="BV154" s="213"/>
      <c r="BW154" s="213"/>
      <c r="BX154" s="213"/>
      <c r="BY154" s="213"/>
      <c r="BZ154" s="213"/>
      <c r="CA154" s="213"/>
      <c r="CB154" s="213"/>
      <c r="CC154" s="213"/>
      <c r="CD154" s="213"/>
      <c r="CE154" s="213"/>
      <c r="CF154" s="213"/>
      <c r="CG154" s="213"/>
      <c r="CH154" s="213"/>
      <c r="CI154" s="213"/>
      <c r="CJ154" s="213"/>
      <c r="CK154" s="213"/>
      <c r="CL154" s="213"/>
      <c r="CM154" s="213"/>
      <c r="CN154" s="213"/>
      <c r="CO154" s="213"/>
      <c r="CP154" s="213"/>
      <c r="CQ154" s="213"/>
    </row>
    <row r="155" ht="15.75" customHeight="1">
      <c r="A155" s="213"/>
      <c r="B155" s="213"/>
      <c r="C155" s="213"/>
      <c r="D155" s="215"/>
      <c r="E155" s="213"/>
      <c r="F155" s="215"/>
      <c r="G155" s="213"/>
      <c r="H155" s="215"/>
      <c r="I155" s="213"/>
      <c r="J155" s="215"/>
      <c r="K155" s="213"/>
      <c r="L155" s="215"/>
      <c r="M155" s="213"/>
      <c r="N155" s="213"/>
      <c r="O155" s="213"/>
      <c r="P155" s="215"/>
      <c r="Q155" s="213"/>
      <c r="R155" s="215"/>
      <c r="S155" s="213"/>
      <c r="T155" s="213"/>
      <c r="U155" s="213"/>
      <c r="V155" s="215"/>
      <c r="W155" s="213"/>
      <c r="X155" s="215"/>
      <c r="Y155" s="213"/>
      <c r="Z155" s="213"/>
      <c r="AA155" s="213"/>
      <c r="AB155" s="215"/>
      <c r="AC155" s="213"/>
      <c r="AD155" s="215"/>
      <c r="AE155" s="213"/>
      <c r="AF155" s="213"/>
      <c r="AG155" s="213"/>
      <c r="AH155" s="215"/>
      <c r="AI155" s="213"/>
      <c r="AJ155" s="215"/>
      <c r="AK155" s="213"/>
      <c r="AL155" s="213"/>
      <c r="AM155" s="213"/>
      <c r="AN155" s="215"/>
      <c r="AO155" s="213"/>
      <c r="AP155" s="215"/>
      <c r="AQ155" s="213"/>
      <c r="AR155" s="325"/>
      <c r="AS155" s="213"/>
      <c r="AT155" s="215"/>
      <c r="AU155" s="213"/>
      <c r="AV155" s="215"/>
      <c r="AW155" s="213"/>
      <c r="AX155" s="213"/>
      <c r="AY155" s="213"/>
      <c r="AZ155" s="215"/>
      <c r="BA155" s="213"/>
      <c r="BB155" s="215"/>
      <c r="BC155" s="213"/>
      <c r="BD155" s="213"/>
      <c r="BE155" s="213"/>
      <c r="BF155" s="215"/>
      <c r="BG155" s="213"/>
      <c r="BH155" s="215"/>
      <c r="BI155" s="213"/>
      <c r="BJ155" s="213"/>
      <c r="BK155" s="213"/>
      <c r="BL155" s="215"/>
      <c r="BM155" s="213"/>
      <c r="BN155" s="215"/>
      <c r="BO155" s="213"/>
      <c r="BP155" s="213"/>
      <c r="BQ155" s="213"/>
      <c r="BR155" s="326"/>
      <c r="BS155" s="213"/>
      <c r="BT155" s="215"/>
      <c r="BU155" s="213"/>
      <c r="BV155" s="213"/>
      <c r="BW155" s="213"/>
      <c r="BX155" s="213"/>
      <c r="BY155" s="213"/>
      <c r="BZ155" s="213"/>
      <c r="CA155" s="213"/>
      <c r="CB155" s="213"/>
      <c r="CC155" s="213"/>
      <c r="CD155" s="213"/>
      <c r="CE155" s="213"/>
      <c r="CF155" s="213"/>
      <c r="CG155" s="213"/>
      <c r="CH155" s="213"/>
      <c r="CI155" s="213"/>
      <c r="CJ155" s="213"/>
      <c r="CK155" s="213"/>
      <c r="CL155" s="213"/>
      <c r="CM155" s="213"/>
      <c r="CN155" s="213"/>
      <c r="CO155" s="213"/>
      <c r="CP155" s="213"/>
      <c r="CQ155" s="213"/>
    </row>
    <row r="156" ht="15.75" customHeight="1">
      <c r="A156" s="213"/>
      <c r="B156" s="213"/>
      <c r="C156" s="213"/>
      <c r="D156" s="215"/>
      <c r="E156" s="213"/>
      <c r="F156" s="215"/>
      <c r="G156" s="213"/>
      <c r="H156" s="215"/>
      <c r="I156" s="213"/>
      <c r="J156" s="215"/>
      <c r="K156" s="213"/>
      <c r="L156" s="215"/>
      <c r="M156" s="213"/>
      <c r="N156" s="213"/>
      <c r="O156" s="213"/>
      <c r="P156" s="215"/>
      <c r="Q156" s="213"/>
      <c r="R156" s="215"/>
      <c r="S156" s="213"/>
      <c r="T156" s="213"/>
      <c r="U156" s="213"/>
      <c r="V156" s="215"/>
      <c r="W156" s="213"/>
      <c r="X156" s="215"/>
      <c r="Y156" s="213"/>
      <c r="Z156" s="213"/>
      <c r="AA156" s="213"/>
      <c r="AB156" s="215"/>
      <c r="AC156" s="213"/>
      <c r="AD156" s="215"/>
      <c r="AE156" s="213"/>
      <c r="AF156" s="213"/>
      <c r="AG156" s="213"/>
      <c r="AH156" s="215"/>
      <c r="AI156" s="213"/>
      <c r="AJ156" s="215"/>
      <c r="AK156" s="213"/>
      <c r="AL156" s="213"/>
      <c r="AM156" s="213"/>
      <c r="AN156" s="215"/>
      <c r="AO156" s="213"/>
      <c r="AP156" s="215"/>
      <c r="AQ156" s="213"/>
      <c r="AR156" s="325"/>
      <c r="AS156" s="213"/>
      <c r="AT156" s="215"/>
      <c r="AU156" s="213"/>
      <c r="AV156" s="215"/>
      <c r="AW156" s="213"/>
      <c r="AX156" s="213"/>
      <c r="AY156" s="213"/>
      <c r="AZ156" s="215"/>
      <c r="BA156" s="213"/>
      <c r="BB156" s="215"/>
      <c r="BC156" s="213"/>
      <c r="BD156" s="213"/>
      <c r="BE156" s="213"/>
      <c r="BF156" s="215"/>
      <c r="BG156" s="213"/>
      <c r="BH156" s="215"/>
      <c r="BI156" s="213"/>
      <c r="BJ156" s="213"/>
      <c r="BK156" s="213"/>
      <c r="BL156" s="215"/>
      <c r="BM156" s="213"/>
      <c r="BN156" s="215"/>
      <c r="BO156" s="213"/>
      <c r="BP156" s="213"/>
      <c r="BQ156" s="213"/>
      <c r="BR156" s="326"/>
      <c r="BS156" s="213"/>
      <c r="BT156" s="215"/>
      <c r="BU156" s="213"/>
      <c r="BV156" s="213"/>
      <c r="BW156" s="213"/>
      <c r="BX156" s="213"/>
      <c r="BY156" s="213"/>
      <c r="BZ156" s="213"/>
      <c r="CA156" s="213"/>
      <c r="CB156" s="213"/>
      <c r="CC156" s="213"/>
      <c r="CD156" s="213"/>
      <c r="CE156" s="213"/>
      <c r="CF156" s="213"/>
      <c r="CG156" s="213"/>
      <c r="CH156" s="213"/>
      <c r="CI156" s="213"/>
      <c r="CJ156" s="213"/>
      <c r="CK156" s="213"/>
      <c r="CL156" s="213"/>
      <c r="CM156" s="213"/>
      <c r="CN156" s="213"/>
      <c r="CO156" s="213"/>
      <c r="CP156" s="213"/>
      <c r="CQ156" s="213"/>
    </row>
    <row r="157" ht="15.75" customHeight="1">
      <c r="A157" s="213"/>
      <c r="B157" s="213"/>
      <c r="C157" s="213"/>
      <c r="D157" s="215"/>
      <c r="E157" s="213"/>
      <c r="F157" s="215"/>
      <c r="G157" s="213"/>
      <c r="H157" s="215"/>
      <c r="I157" s="213"/>
      <c r="J157" s="215"/>
      <c r="K157" s="213"/>
      <c r="L157" s="215"/>
      <c r="M157" s="213"/>
      <c r="N157" s="213"/>
      <c r="O157" s="213"/>
      <c r="P157" s="215"/>
      <c r="Q157" s="213"/>
      <c r="R157" s="215"/>
      <c r="S157" s="213"/>
      <c r="T157" s="213"/>
      <c r="U157" s="213"/>
      <c r="V157" s="215"/>
      <c r="W157" s="213"/>
      <c r="X157" s="215"/>
      <c r="Y157" s="213"/>
      <c r="Z157" s="213"/>
      <c r="AA157" s="213"/>
      <c r="AB157" s="215"/>
      <c r="AC157" s="213"/>
      <c r="AD157" s="215"/>
      <c r="AE157" s="213"/>
      <c r="AF157" s="213"/>
      <c r="AG157" s="213"/>
      <c r="AH157" s="215"/>
      <c r="AI157" s="213"/>
      <c r="AJ157" s="215"/>
      <c r="AK157" s="213"/>
      <c r="AL157" s="213"/>
      <c r="AM157" s="213"/>
      <c r="AN157" s="215"/>
      <c r="AO157" s="213"/>
      <c r="AP157" s="215"/>
      <c r="AQ157" s="213"/>
      <c r="AR157" s="325"/>
      <c r="AS157" s="213"/>
      <c r="AT157" s="215"/>
      <c r="AU157" s="213"/>
      <c r="AV157" s="215"/>
      <c r="AW157" s="213"/>
      <c r="AX157" s="213"/>
      <c r="AY157" s="213"/>
      <c r="AZ157" s="215"/>
      <c r="BA157" s="213"/>
      <c r="BB157" s="215"/>
      <c r="BC157" s="213"/>
      <c r="BD157" s="213"/>
      <c r="BE157" s="213"/>
      <c r="BF157" s="215"/>
      <c r="BG157" s="213"/>
      <c r="BH157" s="215"/>
      <c r="BI157" s="213"/>
      <c r="BJ157" s="213"/>
      <c r="BK157" s="213"/>
      <c r="BL157" s="215"/>
      <c r="BM157" s="213"/>
      <c r="BN157" s="215"/>
      <c r="BO157" s="213"/>
      <c r="BP157" s="213"/>
      <c r="BQ157" s="213"/>
      <c r="BR157" s="326"/>
      <c r="BS157" s="213"/>
      <c r="BT157" s="215"/>
      <c r="BU157" s="213"/>
      <c r="BV157" s="213"/>
      <c r="BW157" s="213"/>
      <c r="BX157" s="213"/>
      <c r="BY157" s="213"/>
      <c r="BZ157" s="213"/>
      <c r="CA157" s="213"/>
      <c r="CB157" s="213"/>
      <c r="CC157" s="213"/>
      <c r="CD157" s="213"/>
      <c r="CE157" s="213"/>
      <c r="CF157" s="213"/>
      <c r="CG157" s="213"/>
      <c r="CH157" s="213"/>
      <c r="CI157" s="213"/>
      <c r="CJ157" s="213"/>
      <c r="CK157" s="213"/>
      <c r="CL157" s="213"/>
      <c r="CM157" s="213"/>
      <c r="CN157" s="213"/>
      <c r="CO157" s="213"/>
      <c r="CP157" s="213"/>
      <c r="CQ157" s="213"/>
    </row>
    <row r="158" ht="15.75" customHeight="1">
      <c r="A158" s="213"/>
      <c r="B158" s="213"/>
      <c r="C158" s="213"/>
      <c r="D158" s="215"/>
      <c r="E158" s="213"/>
      <c r="F158" s="215"/>
      <c r="G158" s="213"/>
      <c r="H158" s="215"/>
      <c r="I158" s="213"/>
      <c r="J158" s="215"/>
      <c r="K158" s="213"/>
      <c r="L158" s="215"/>
      <c r="M158" s="213"/>
      <c r="N158" s="213"/>
      <c r="O158" s="213"/>
      <c r="P158" s="215"/>
      <c r="Q158" s="213"/>
      <c r="R158" s="215"/>
      <c r="S158" s="213"/>
      <c r="T158" s="213"/>
      <c r="U158" s="213"/>
      <c r="V158" s="215"/>
      <c r="W158" s="213"/>
      <c r="X158" s="215"/>
      <c r="Y158" s="213"/>
      <c r="Z158" s="213"/>
      <c r="AA158" s="213"/>
      <c r="AB158" s="215"/>
      <c r="AC158" s="213"/>
      <c r="AD158" s="215"/>
      <c r="AE158" s="213"/>
      <c r="AF158" s="213"/>
      <c r="AG158" s="213"/>
      <c r="AH158" s="215"/>
      <c r="AI158" s="213"/>
      <c r="AJ158" s="215"/>
      <c r="AK158" s="213"/>
      <c r="AL158" s="213"/>
      <c r="AM158" s="213"/>
      <c r="AN158" s="215"/>
      <c r="AO158" s="213"/>
      <c r="AP158" s="215"/>
      <c r="AQ158" s="213"/>
      <c r="AR158" s="325"/>
      <c r="AS158" s="213"/>
      <c r="AT158" s="215"/>
      <c r="AU158" s="213"/>
      <c r="AV158" s="215"/>
      <c r="AW158" s="213"/>
      <c r="AX158" s="213"/>
      <c r="AY158" s="213"/>
      <c r="AZ158" s="215"/>
      <c r="BA158" s="213"/>
      <c r="BB158" s="215"/>
      <c r="BC158" s="213"/>
      <c r="BD158" s="213"/>
      <c r="BE158" s="213"/>
      <c r="BF158" s="215"/>
      <c r="BG158" s="213"/>
      <c r="BH158" s="215"/>
      <c r="BI158" s="213"/>
      <c r="BJ158" s="213"/>
      <c r="BK158" s="213"/>
      <c r="BL158" s="215"/>
      <c r="BM158" s="213"/>
      <c r="BN158" s="215"/>
      <c r="BO158" s="213"/>
      <c r="BP158" s="213"/>
      <c r="BQ158" s="213"/>
      <c r="BR158" s="326"/>
      <c r="BS158" s="213"/>
      <c r="BT158" s="215"/>
      <c r="BU158" s="213"/>
      <c r="BV158" s="213"/>
      <c r="BW158" s="213"/>
      <c r="BX158" s="213"/>
      <c r="BY158" s="213"/>
      <c r="BZ158" s="213"/>
      <c r="CA158" s="213"/>
      <c r="CB158" s="213"/>
      <c r="CC158" s="213"/>
      <c r="CD158" s="213"/>
      <c r="CE158" s="213"/>
      <c r="CF158" s="213"/>
      <c r="CG158" s="213"/>
      <c r="CH158" s="213"/>
      <c r="CI158" s="213"/>
      <c r="CJ158" s="213"/>
      <c r="CK158" s="213"/>
      <c r="CL158" s="213"/>
      <c r="CM158" s="213"/>
      <c r="CN158" s="213"/>
      <c r="CO158" s="213"/>
      <c r="CP158" s="213"/>
      <c r="CQ158" s="213"/>
    </row>
    <row r="159" ht="15.75" customHeight="1">
      <c r="A159" s="213"/>
      <c r="B159" s="213"/>
      <c r="C159" s="213"/>
      <c r="D159" s="215"/>
      <c r="E159" s="213"/>
      <c r="F159" s="215"/>
      <c r="G159" s="213"/>
      <c r="H159" s="215"/>
      <c r="I159" s="213"/>
      <c r="J159" s="215"/>
      <c r="K159" s="213"/>
      <c r="L159" s="215"/>
      <c r="M159" s="213"/>
      <c r="N159" s="213"/>
      <c r="O159" s="213"/>
      <c r="P159" s="215"/>
      <c r="Q159" s="213"/>
      <c r="R159" s="215"/>
      <c r="S159" s="213"/>
      <c r="T159" s="213"/>
      <c r="U159" s="213"/>
      <c r="V159" s="215"/>
      <c r="W159" s="213"/>
      <c r="X159" s="215"/>
      <c r="Y159" s="213"/>
      <c r="Z159" s="213"/>
      <c r="AA159" s="213"/>
      <c r="AB159" s="215"/>
      <c r="AC159" s="213"/>
      <c r="AD159" s="215"/>
      <c r="AE159" s="213"/>
      <c r="AF159" s="213"/>
      <c r="AG159" s="213"/>
      <c r="AH159" s="215"/>
      <c r="AI159" s="213"/>
      <c r="AJ159" s="215"/>
      <c r="AK159" s="213"/>
      <c r="AL159" s="213"/>
      <c r="AM159" s="213"/>
      <c r="AN159" s="215"/>
      <c r="AO159" s="213"/>
      <c r="AP159" s="215"/>
      <c r="AQ159" s="213"/>
      <c r="AR159" s="325"/>
      <c r="AS159" s="213"/>
      <c r="AT159" s="215"/>
      <c r="AU159" s="213"/>
      <c r="AV159" s="215"/>
      <c r="AW159" s="213"/>
      <c r="AX159" s="213"/>
      <c r="AY159" s="213"/>
      <c r="AZ159" s="215"/>
      <c r="BA159" s="213"/>
      <c r="BB159" s="215"/>
      <c r="BC159" s="213"/>
      <c r="BD159" s="213"/>
      <c r="BE159" s="213"/>
      <c r="BF159" s="215"/>
      <c r="BG159" s="213"/>
      <c r="BH159" s="215"/>
      <c r="BI159" s="213"/>
      <c r="BJ159" s="213"/>
      <c r="BK159" s="213"/>
      <c r="BL159" s="215"/>
      <c r="BM159" s="213"/>
      <c r="BN159" s="215"/>
      <c r="BO159" s="213"/>
      <c r="BP159" s="213"/>
      <c r="BQ159" s="213"/>
      <c r="BR159" s="326"/>
      <c r="BS159" s="213"/>
      <c r="BT159" s="215"/>
      <c r="BU159" s="213"/>
      <c r="BV159" s="213"/>
      <c r="BW159" s="213"/>
      <c r="BX159" s="213"/>
      <c r="BY159" s="213"/>
      <c r="BZ159" s="213"/>
      <c r="CA159" s="213"/>
      <c r="CB159" s="213"/>
      <c r="CC159" s="213"/>
      <c r="CD159" s="213"/>
      <c r="CE159" s="213"/>
      <c r="CF159" s="213"/>
      <c r="CG159" s="213"/>
      <c r="CH159" s="213"/>
      <c r="CI159" s="213"/>
      <c r="CJ159" s="213"/>
      <c r="CK159" s="213"/>
      <c r="CL159" s="213"/>
      <c r="CM159" s="213"/>
      <c r="CN159" s="213"/>
      <c r="CO159" s="213"/>
      <c r="CP159" s="213"/>
      <c r="CQ159" s="213"/>
    </row>
    <row r="160" ht="15.75" customHeight="1">
      <c r="A160" s="213"/>
      <c r="B160" s="213"/>
      <c r="C160" s="213"/>
      <c r="D160" s="215"/>
      <c r="E160" s="213"/>
      <c r="F160" s="215"/>
      <c r="G160" s="213"/>
      <c r="H160" s="215"/>
      <c r="I160" s="213"/>
      <c r="J160" s="215"/>
      <c r="K160" s="213"/>
      <c r="L160" s="215"/>
      <c r="M160" s="213"/>
      <c r="N160" s="213"/>
      <c r="O160" s="213"/>
      <c r="P160" s="215"/>
      <c r="Q160" s="213"/>
      <c r="R160" s="215"/>
      <c r="S160" s="213"/>
      <c r="T160" s="213"/>
      <c r="U160" s="213"/>
      <c r="V160" s="215"/>
      <c r="W160" s="213"/>
      <c r="X160" s="215"/>
      <c r="Y160" s="213"/>
      <c r="Z160" s="213"/>
      <c r="AA160" s="213"/>
      <c r="AB160" s="215"/>
      <c r="AC160" s="213"/>
      <c r="AD160" s="215"/>
      <c r="AE160" s="213"/>
      <c r="AF160" s="213"/>
      <c r="AG160" s="213"/>
      <c r="AH160" s="215"/>
      <c r="AI160" s="213"/>
      <c r="AJ160" s="215"/>
      <c r="AK160" s="213"/>
      <c r="AL160" s="213"/>
      <c r="AM160" s="213"/>
      <c r="AN160" s="215"/>
      <c r="AO160" s="213"/>
      <c r="AP160" s="215"/>
      <c r="AQ160" s="213"/>
      <c r="AR160" s="325"/>
      <c r="AS160" s="213"/>
      <c r="AT160" s="215"/>
      <c r="AU160" s="213"/>
      <c r="AV160" s="215"/>
      <c r="AW160" s="213"/>
      <c r="AX160" s="213"/>
      <c r="AY160" s="213"/>
      <c r="AZ160" s="215"/>
      <c r="BA160" s="213"/>
      <c r="BB160" s="215"/>
      <c r="BC160" s="213"/>
      <c r="BD160" s="213"/>
      <c r="BE160" s="213"/>
      <c r="BF160" s="215"/>
      <c r="BG160" s="213"/>
      <c r="BH160" s="215"/>
      <c r="BI160" s="213"/>
      <c r="BJ160" s="213"/>
      <c r="BK160" s="213"/>
      <c r="BL160" s="215"/>
      <c r="BM160" s="213"/>
      <c r="BN160" s="215"/>
      <c r="BO160" s="213"/>
      <c r="BP160" s="213"/>
      <c r="BQ160" s="213"/>
      <c r="BR160" s="326"/>
      <c r="BS160" s="213"/>
      <c r="BT160" s="215"/>
      <c r="BU160" s="213"/>
      <c r="BV160" s="213"/>
      <c r="BW160" s="213"/>
      <c r="BX160" s="213"/>
      <c r="BY160" s="213"/>
      <c r="BZ160" s="213"/>
      <c r="CA160" s="213"/>
      <c r="CB160" s="213"/>
      <c r="CC160" s="213"/>
      <c r="CD160" s="213"/>
      <c r="CE160" s="213"/>
      <c r="CF160" s="213"/>
      <c r="CG160" s="213"/>
      <c r="CH160" s="213"/>
      <c r="CI160" s="213"/>
      <c r="CJ160" s="213"/>
      <c r="CK160" s="213"/>
      <c r="CL160" s="213"/>
      <c r="CM160" s="213"/>
      <c r="CN160" s="213"/>
      <c r="CO160" s="213"/>
      <c r="CP160" s="213"/>
      <c r="CQ160" s="213"/>
    </row>
    <row r="161" ht="15.75" customHeight="1">
      <c r="A161" s="213"/>
      <c r="B161" s="213"/>
      <c r="C161" s="213"/>
      <c r="D161" s="215"/>
      <c r="E161" s="213"/>
      <c r="F161" s="215"/>
      <c r="G161" s="213"/>
      <c r="H161" s="215"/>
      <c r="I161" s="213"/>
      <c r="J161" s="215"/>
      <c r="K161" s="213"/>
      <c r="L161" s="215"/>
      <c r="M161" s="213"/>
      <c r="N161" s="213"/>
      <c r="O161" s="213"/>
      <c r="P161" s="215"/>
      <c r="Q161" s="213"/>
      <c r="R161" s="215"/>
      <c r="S161" s="213"/>
      <c r="T161" s="213"/>
      <c r="U161" s="213"/>
      <c r="V161" s="215"/>
      <c r="W161" s="213"/>
      <c r="X161" s="215"/>
      <c r="Y161" s="213"/>
      <c r="Z161" s="213"/>
      <c r="AA161" s="213"/>
      <c r="AB161" s="215"/>
      <c r="AC161" s="213"/>
      <c r="AD161" s="215"/>
      <c r="AE161" s="213"/>
      <c r="AF161" s="213"/>
      <c r="AG161" s="213"/>
      <c r="AH161" s="215"/>
      <c r="AI161" s="213"/>
      <c r="AJ161" s="215"/>
      <c r="AK161" s="213"/>
      <c r="AL161" s="213"/>
      <c r="AM161" s="213"/>
      <c r="AN161" s="215"/>
      <c r="AO161" s="213"/>
      <c r="AP161" s="215"/>
      <c r="AQ161" s="213"/>
      <c r="AR161" s="325"/>
      <c r="AS161" s="213"/>
      <c r="AT161" s="215"/>
      <c r="AU161" s="213"/>
      <c r="AV161" s="215"/>
      <c r="AW161" s="213"/>
      <c r="AX161" s="213"/>
      <c r="AY161" s="213"/>
      <c r="AZ161" s="215"/>
      <c r="BA161" s="213"/>
      <c r="BB161" s="215"/>
      <c r="BC161" s="213"/>
      <c r="BD161" s="213"/>
      <c r="BE161" s="213"/>
      <c r="BF161" s="215"/>
      <c r="BG161" s="213"/>
      <c r="BH161" s="215"/>
      <c r="BI161" s="213"/>
      <c r="BJ161" s="213"/>
      <c r="BK161" s="213"/>
      <c r="BL161" s="215"/>
      <c r="BM161" s="213"/>
      <c r="BN161" s="215"/>
      <c r="BO161" s="213"/>
      <c r="BP161" s="213"/>
      <c r="BQ161" s="213"/>
      <c r="BR161" s="326"/>
      <c r="BS161" s="213"/>
      <c r="BT161" s="215"/>
      <c r="BU161" s="213"/>
      <c r="BV161" s="213"/>
      <c r="BW161" s="213"/>
      <c r="BX161" s="213"/>
      <c r="BY161" s="213"/>
      <c r="BZ161" s="213"/>
      <c r="CA161" s="213"/>
      <c r="CB161" s="213"/>
      <c r="CC161" s="213"/>
      <c r="CD161" s="213"/>
      <c r="CE161" s="213"/>
      <c r="CF161" s="213"/>
      <c r="CG161" s="213"/>
      <c r="CH161" s="213"/>
      <c r="CI161" s="213"/>
      <c r="CJ161" s="213"/>
      <c r="CK161" s="213"/>
      <c r="CL161" s="213"/>
      <c r="CM161" s="213"/>
      <c r="CN161" s="213"/>
      <c r="CO161" s="213"/>
      <c r="CP161" s="213"/>
      <c r="CQ161" s="213"/>
    </row>
    <row r="162" ht="15.75" customHeight="1">
      <c r="A162" s="213"/>
      <c r="B162" s="213"/>
      <c r="C162" s="213"/>
      <c r="D162" s="215"/>
      <c r="E162" s="213"/>
      <c r="F162" s="215"/>
      <c r="G162" s="213"/>
      <c r="H162" s="215"/>
      <c r="I162" s="213"/>
      <c r="J162" s="215"/>
      <c r="K162" s="213"/>
      <c r="L162" s="215"/>
      <c r="M162" s="213"/>
      <c r="N162" s="213"/>
      <c r="O162" s="213"/>
      <c r="P162" s="215"/>
      <c r="Q162" s="213"/>
      <c r="R162" s="215"/>
      <c r="S162" s="213"/>
      <c r="T162" s="213"/>
      <c r="U162" s="213"/>
      <c r="V162" s="215"/>
      <c r="W162" s="213"/>
      <c r="X162" s="215"/>
      <c r="Y162" s="213"/>
      <c r="Z162" s="213"/>
      <c r="AA162" s="213"/>
      <c r="AB162" s="215"/>
      <c r="AC162" s="213"/>
      <c r="AD162" s="215"/>
      <c r="AE162" s="213"/>
      <c r="AF162" s="213"/>
      <c r="AG162" s="213"/>
      <c r="AH162" s="215"/>
      <c r="AI162" s="213"/>
      <c r="AJ162" s="215"/>
      <c r="AK162" s="213"/>
      <c r="AL162" s="213"/>
      <c r="AM162" s="213"/>
      <c r="AN162" s="215"/>
      <c r="AO162" s="213"/>
      <c r="AP162" s="215"/>
      <c r="AQ162" s="213"/>
      <c r="AR162" s="325"/>
      <c r="AS162" s="213"/>
      <c r="AT162" s="215"/>
      <c r="AU162" s="213"/>
      <c r="AV162" s="215"/>
      <c r="AW162" s="213"/>
      <c r="AX162" s="213"/>
      <c r="AY162" s="213"/>
      <c r="AZ162" s="215"/>
      <c r="BA162" s="213"/>
      <c r="BB162" s="215"/>
      <c r="BC162" s="213"/>
      <c r="BD162" s="213"/>
      <c r="BE162" s="213"/>
      <c r="BF162" s="215"/>
      <c r="BG162" s="213"/>
      <c r="BH162" s="215"/>
      <c r="BI162" s="213"/>
      <c r="BJ162" s="213"/>
      <c r="BK162" s="213"/>
      <c r="BL162" s="215"/>
      <c r="BM162" s="213"/>
      <c r="BN162" s="215"/>
      <c r="BO162" s="213"/>
      <c r="BP162" s="213"/>
      <c r="BQ162" s="213"/>
      <c r="BR162" s="326"/>
      <c r="BS162" s="213"/>
      <c r="BT162" s="215"/>
      <c r="BU162" s="213"/>
      <c r="BV162" s="213"/>
      <c r="BW162" s="213"/>
      <c r="BX162" s="213"/>
      <c r="BY162" s="213"/>
      <c r="BZ162" s="213"/>
      <c r="CA162" s="213"/>
      <c r="CB162" s="213"/>
      <c r="CC162" s="213"/>
      <c r="CD162" s="213"/>
      <c r="CE162" s="213"/>
      <c r="CF162" s="213"/>
      <c r="CG162" s="213"/>
      <c r="CH162" s="213"/>
      <c r="CI162" s="213"/>
      <c r="CJ162" s="213"/>
      <c r="CK162" s="213"/>
      <c r="CL162" s="213"/>
      <c r="CM162" s="213"/>
      <c r="CN162" s="213"/>
      <c r="CO162" s="213"/>
      <c r="CP162" s="213"/>
      <c r="CQ162" s="213"/>
    </row>
    <row r="163" ht="15.75" customHeight="1">
      <c r="A163" s="213"/>
      <c r="B163" s="213"/>
      <c r="C163" s="213"/>
      <c r="D163" s="215"/>
      <c r="E163" s="213"/>
      <c r="F163" s="215"/>
      <c r="G163" s="213"/>
      <c r="H163" s="215"/>
      <c r="I163" s="213"/>
      <c r="J163" s="215"/>
      <c r="K163" s="213"/>
      <c r="L163" s="215"/>
      <c r="M163" s="213"/>
      <c r="N163" s="213"/>
      <c r="O163" s="213"/>
      <c r="P163" s="215"/>
      <c r="Q163" s="213"/>
      <c r="R163" s="215"/>
      <c r="S163" s="213"/>
      <c r="T163" s="213"/>
      <c r="U163" s="213"/>
      <c r="V163" s="215"/>
      <c r="W163" s="213"/>
      <c r="X163" s="215"/>
      <c r="Y163" s="213"/>
      <c r="Z163" s="213"/>
      <c r="AA163" s="213"/>
      <c r="AB163" s="215"/>
      <c r="AC163" s="213"/>
      <c r="AD163" s="215"/>
      <c r="AE163" s="213"/>
      <c r="AF163" s="213"/>
      <c r="AG163" s="213"/>
      <c r="AH163" s="215"/>
      <c r="AI163" s="213"/>
      <c r="AJ163" s="215"/>
      <c r="AK163" s="213"/>
      <c r="AL163" s="213"/>
      <c r="AM163" s="213"/>
      <c r="AN163" s="215"/>
      <c r="AO163" s="213"/>
      <c r="AP163" s="215"/>
      <c r="AQ163" s="213"/>
      <c r="AR163" s="325"/>
      <c r="AS163" s="213"/>
      <c r="AT163" s="215"/>
      <c r="AU163" s="213"/>
      <c r="AV163" s="215"/>
      <c r="AW163" s="213"/>
      <c r="AX163" s="213"/>
      <c r="AY163" s="213"/>
      <c r="AZ163" s="215"/>
      <c r="BA163" s="213"/>
      <c r="BB163" s="215"/>
      <c r="BC163" s="213"/>
      <c r="BD163" s="213"/>
      <c r="BE163" s="213"/>
      <c r="BF163" s="215"/>
      <c r="BG163" s="213"/>
      <c r="BH163" s="215"/>
      <c r="BI163" s="213"/>
      <c r="BJ163" s="213"/>
      <c r="BK163" s="213"/>
      <c r="BL163" s="215"/>
      <c r="BM163" s="213"/>
      <c r="BN163" s="215"/>
      <c r="BO163" s="213"/>
      <c r="BP163" s="213"/>
      <c r="BQ163" s="213"/>
      <c r="BR163" s="326"/>
      <c r="BS163" s="213"/>
      <c r="BT163" s="215"/>
      <c r="BU163" s="213"/>
      <c r="BV163" s="213"/>
      <c r="BW163" s="213"/>
      <c r="BX163" s="213"/>
      <c r="BY163" s="213"/>
      <c r="BZ163" s="213"/>
      <c r="CA163" s="213"/>
      <c r="CB163" s="213"/>
      <c r="CC163" s="213"/>
      <c r="CD163" s="213"/>
      <c r="CE163" s="213"/>
      <c r="CF163" s="213"/>
      <c r="CG163" s="213"/>
      <c r="CH163" s="213"/>
      <c r="CI163" s="213"/>
      <c r="CJ163" s="213"/>
      <c r="CK163" s="213"/>
      <c r="CL163" s="213"/>
      <c r="CM163" s="213"/>
      <c r="CN163" s="213"/>
      <c r="CO163" s="213"/>
      <c r="CP163" s="213"/>
      <c r="CQ163" s="213"/>
    </row>
    <row r="164" ht="15.75" customHeight="1">
      <c r="A164" s="213"/>
      <c r="B164" s="213"/>
      <c r="C164" s="213"/>
      <c r="D164" s="215"/>
      <c r="E164" s="213"/>
      <c r="F164" s="215"/>
      <c r="G164" s="213"/>
      <c r="H164" s="215"/>
      <c r="I164" s="213"/>
      <c r="J164" s="215"/>
      <c r="K164" s="213"/>
      <c r="L164" s="215"/>
      <c r="M164" s="213"/>
      <c r="N164" s="213"/>
      <c r="O164" s="213"/>
      <c r="P164" s="215"/>
      <c r="Q164" s="213"/>
      <c r="R164" s="215"/>
      <c r="S164" s="213"/>
      <c r="T164" s="213"/>
      <c r="U164" s="213"/>
      <c r="V164" s="215"/>
      <c r="W164" s="213"/>
      <c r="X164" s="215"/>
      <c r="Y164" s="213"/>
      <c r="Z164" s="213"/>
      <c r="AA164" s="213"/>
      <c r="AB164" s="215"/>
      <c r="AC164" s="213"/>
      <c r="AD164" s="215"/>
      <c r="AE164" s="213"/>
      <c r="AF164" s="213"/>
      <c r="AG164" s="213"/>
      <c r="AH164" s="215"/>
      <c r="AI164" s="213"/>
      <c r="AJ164" s="215"/>
      <c r="AK164" s="213"/>
      <c r="AL164" s="213"/>
      <c r="AM164" s="213"/>
      <c r="AN164" s="215"/>
      <c r="AO164" s="213"/>
      <c r="AP164" s="215"/>
      <c r="AQ164" s="213"/>
      <c r="AR164" s="325"/>
      <c r="AS164" s="213"/>
      <c r="AT164" s="215"/>
      <c r="AU164" s="213"/>
      <c r="AV164" s="215"/>
      <c r="AW164" s="213"/>
      <c r="AX164" s="213"/>
      <c r="AY164" s="213"/>
      <c r="AZ164" s="215"/>
      <c r="BA164" s="213"/>
      <c r="BB164" s="215"/>
      <c r="BC164" s="213"/>
      <c r="BD164" s="213"/>
      <c r="BE164" s="213"/>
      <c r="BF164" s="215"/>
      <c r="BG164" s="213"/>
      <c r="BH164" s="215"/>
      <c r="BI164" s="213"/>
      <c r="BJ164" s="213"/>
      <c r="BK164" s="213"/>
      <c r="BL164" s="215"/>
      <c r="BM164" s="213"/>
      <c r="BN164" s="215"/>
      <c r="BO164" s="213"/>
      <c r="BP164" s="213"/>
      <c r="BQ164" s="213"/>
      <c r="BR164" s="326"/>
      <c r="BS164" s="213"/>
      <c r="BT164" s="215"/>
      <c r="BU164" s="213"/>
      <c r="BV164" s="213"/>
      <c r="BW164" s="213"/>
      <c r="BX164" s="213"/>
      <c r="BY164" s="213"/>
      <c r="BZ164" s="213"/>
      <c r="CA164" s="213"/>
      <c r="CB164" s="213"/>
      <c r="CC164" s="213"/>
      <c r="CD164" s="213"/>
      <c r="CE164" s="213"/>
      <c r="CF164" s="213"/>
      <c r="CG164" s="213"/>
      <c r="CH164" s="213"/>
      <c r="CI164" s="213"/>
      <c r="CJ164" s="213"/>
      <c r="CK164" s="213"/>
      <c r="CL164" s="213"/>
      <c r="CM164" s="213"/>
      <c r="CN164" s="213"/>
      <c r="CO164" s="213"/>
      <c r="CP164" s="213"/>
      <c r="CQ164" s="213"/>
    </row>
    <row r="165" ht="15.75" customHeight="1">
      <c r="A165" s="213"/>
      <c r="B165" s="213"/>
      <c r="C165" s="213"/>
      <c r="D165" s="215"/>
      <c r="E165" s="213"/>
      <c r="F165" s="215"/>
      <c r="G165" s="213"/>
      <c r="H165" s="215"/>
      <c r="I165" s="213"/>
      <c r="J165" s="215"/>
      <c r="K165" s="213"/>
      <c r="L165" s="215"/>
      <c r="M165" s="213"/>
      <c r="N165" s="213"/>
      <c r="O165" s="213"/>
      <c r="P165" s="215"/>
      <c r="Q165" s="213"/>
      <c r="R165" s="215"/>
      <c r="S165" s="213"/>
      <c r="T165" s="213"/>
      <c r="U165" s="213"/>
      <c r="V165" s="215"/>
      <c r="W165" s="213"/>
      <c r="X165" s="215"/>
      <c r="Y165" s="213"/>
      <c r="Z165" s="213"/>
      <c r="AA165" s="213"/>
      <c r="AB165" s="215"/>
      <c r="AC165" s="213"/>
      <c r="AD165" s="215"/>
      <c r="AE165" s="213"/>
      <c r="AF165" s="213"/>
      <c r="AG165" s="213"/>
      <c r="AH165" s="215"/>
      <c r="AI165" s="213"/>
      <c r="AJ165" s="215"/>
      <c r="AK165" s="213"/>
      <c r="AL165" s="213"/>
      <c r="AM165" s="213"/>
      <c r="AN165" s="215"/>
      <c r="AO165" s="213"/>
      <c r="AP165" s="215"/>
      <c r="AQ165" s="213"/>
      <c r="AR165" s="325"/>
      <c r="AS165" s="213"/>
      <c r="AT165" s="215"/>
      <c r="AU165" s="213"/>
      <c r="AV165" s="215"/>
      <c r="AW165" s="213"/>
      <c r="AX165" s="213"/>
      <c r="AY165" s="213"/>
      <c r="AZ165" s="215"/>
      <c r="BA165" s="213"/>
      <c r="BB165" s="215"/>
      <c r="BC165" s="213"/>
      <c r="BD165" s="213"/>
      <c r="BE165" s="213"/>
      <c r="BF165" s="215"/>
      <c r="BG165" s="213"/>
      <c r="BH165" s="215"/>
      <c r="BI165" s="213"/>
      <c r="BJ165" s="213"/>
      <c r="BK165" s="213"/>
      <c r="BL165" s="215"/>
      <c r="BM165" s="213"/>
      <c r="BN165" s="215"/>
      <c r="BO165" s="213"/>
      <c r="BP165" s="213"/>
      <c r="BQ165" s="213"/>
      <c r="BR165" s="326"/>
      <c r="BS165" s="213"/>
      <c r="BT165" s="215"/>
      <c r="BU165" s="213"/>
      <c r="BV165" s="213"/>
      <c r="BW165" s="213"/>
      <c r="BX165" s="213"/>
      <c r="BY165" s="213"/>
      <c r="BZ165" s="213"/>
      <c r="CA165" s="213"/>
      <c r="CB165" s="213"/>
      <c r="CC165" s="213"/>
      <c r="CD165" s="213"/>
      <c r="CE165" s="213"/>
      <c r="CF165" s="213"/>
      <c r="CG165" s="213"/>
      <c r="CH165" s="213"/>
      <c r="CI165" s="213"/>
      <c r="CJ165" s="213"/>
      <c r="CK165" s="213"/>
      <c r="CL165" s="213"/>
      <c r="CM165" s="213"/>
      <c r="CN165" s="213"/>
      <c r="CO165" s="213"/>
      <c r="CP165" s="213"/>
      <c r="CQ165" s="213"/>
    </row>
    <row r="166" ht="15.75" customHeight="1">
      <c r="A166" s="213"/>
      <c r="B166" s="213"/>
      <c r="C166" s="213"/>
      <c r="D166" s="215"/>
      <c r="E166" s="213"/>
      <c r="F166" s="215"/>
      <c r="G166" s="213"/>
      <c r="H166" s="215"/>
      <c r="I166" s="213"/>
      <c r="J166" s="215"/>
      <c r="K166" s="213"/>
      <c r="L166" s="215"/>
      <c r="M166" s="213"/>
      <c r="N166" s="213"/>
      <c r="O166" s="213"/>
      <c r="P166" s="215"/>
      <c r="Q166" s="213"/>
      <c r="R166" s="215"/>
      <c r="S166" s="213"/>
      <c r="T166" s="213"/>
      <c r="U166" s="213"/>
      <c r="V166" s="215"/>
      <c r="W166" s="213"/>
      <c r="X166" s="215"/>
      <c r="Y166" s="213"/>
      <c r="Z166" s="213"/>
      <c r="AA166" s="213"/>
      <c r="AB166" s="215"/>
      <c r="AC166" s="213"/>
      <c r="AD166" s="215"/>
      <c r="AE166" s="213"/>
      <c r="AF166" s="213"/>
      <c r="AG166" s="213"/>
      <c r="AH166" s="215"/>
      <c r="AI166" s="213"/>
      <c r="AJ166" s="215"/>
      <c r="AK166" s="213"/>
      <c r="AL166" s="213"/>
      <c r="AM166" s="213"/>
      <c r="AN166" s="215"/>
      <c r="AO166" s="213"/>
      <c r="AP166" s="215"/>
      <c r="AQ166" s="213"/>
      <c r="AR166" s="325"/>
      <c r="AS166" s="213"/>
      <c r="AT166" s="215"/>
      <c r="AU166" s="213"/>
      <c r="AV166" s="215"/>
      <c r="AW166" s="213"/>
      <c r="AX166" s="213"/>
      <c r="AY166" s="213"/>
      <c r="AZ166" s="215"/>
      <c r="BA166" s="213"/>
      <c r="BB166" s="215"/>
      <c r="BC166" s="213"/>
      <c r="BD166" s="213"/>
      <c r="BE166" s="213"/>
      <c r="BF166" s="215"/>
      <c r="BG166" s="213"/>
      <c r="BH166" s="215"/>
      <c r="BI166" s="213"/>
      <c r="BJ166" s="213"/>
      <c r="BK166" s="213"/>
      <c r="BL166" s="215"/>
      <c r="BM166" s="213"/>
      <c r="BN166" s="215"/>
      <c r="BO166" s="213"/>
      <c r="BP166" s="213"/>
      <c r="BQ166" s="213"/>
      <c r="BR166" s="326"/>
      <c r="BS166" s="213"/>
      <c r="BT166" s="215"/>
      <c r="BU166" s="213"/>
      <c r="BV166" s="213"/>
      <c r="BW166" s="213"/>
      <c r="BX166" s="213"/>
      <c r="BY166" s="213"/>
      <c r="BZ166" s="213"/>
      <c r="CA166" s="213"/>
      <c r="CB166" s="213"/>
      <c r="CC166" s="213"/>
      <c r="CD166" s="213"/>
      <c r="CE166" s="213"/>
      <c r="CF166" s="213"/>
      <c r="CG166" s="213"/>
      <c r="CH166" s="213"/>
      <c r="CI166" s="213"/>
      <c r="CJ166" s="213"/>
      <c r="CK166" s="213"/>
      <c r="CL166" s="213"/>
      <c r="CM166" s="213"/>
      <c r="CN166" s="213"/>
      <c r="CO166" s="213"/>
      <c r="CP166" s="213"/>
      <c r="CQ166" s="213"/>
    </row>
    <row r="167" ht="15.75" customHeight="1">
      <c r="A167" s="213"/>
      <c r="B167" s="213"/>
      <c r="C167" s="213"/>
      <c r="D167" s="215"/>
      <c r="E167" s="213"/>
      <c r="F167" s="215"/>
      <c r="G167" s="213"/>
      <c r="H167" s="215"/>
      <c r="I167" s="213"/>
      <c r="J167" s="215"/>
      <c r="K167" s="213"/>
      <c r="L167" s="215"/>
      <c r="M167" s="213"/>
      <c r="N167" s="213"/>
      <c r="O167" s="213"/>
      <c r="P167" s="215"/>
      <c r="Q167" s="213"/>
      <c r="R167" s="215"/>
      <c r="S167" s="213"/>
      <c r="T167" s="213"/>
      <c r="U167" s="213"/>
      <c r="V167" s="215"/>
      <c r="W167" s="213"/>
      <c r="X167" s="215"/>
      <c r="Y167" s="213"/>
      <c r="Z167" s="213"/>
      <c r="AA167" s="213"/>
      <c r="AB167" s="215"/>
      <c r="AC167" s="213"/>
      <c r="AD167" s="215"/>
      <c r="AE167" s="213"/>
      <c r="AF167" s="213"/>
      <c r="AG167" s="213"/>
      <c r="AH167" s="215"/>
      <c r="AI167" s="213"/>
      <c r="AJ167" s="215"/>
      <c r="AK167" s="213"/>
      <c r="AL167" s="213"/>
      <c r="AM167" s="213"/>
      <c r="AN167" s="215"/>
      <c r="AO167" s="213"/>
      <c r="AP167" s="215"/>
      <c r="AQ167" s="213"/>
      <c r="AR167" s="325"/>
      <c r="AS167" s="213"/>
      <c r="AT167" s="215"/>
      <c r="AU167" s="213"/>
      <c r="AV167" s="215"/>
      <c r="AW167" s="213"/>
      <c r="AX167" s="213"/>
      <c r="AY167" s="213"/>
      <c r="AZ167" s="215"/>
      <c r="BA167" s="213"/>
      <c r="BB167" s="215"/>
      <c r="BC167" s="213"/>
      <c r="BD167" s="213"/>
      <c r="BE167" s="213"/>
      <c r="BF167" s="215"/>
      <c r="BG167" s="213"/>
      <c r="BH167" s="215"/>
      <c r="BI167" s="213"/>
      <c r="BJ167" s="213"/>
      <c r="BK167" s="213"/>
      <c r="BL167" s="215"/>
      <c r="BM167" s="213"/>
      <c r="BN167" s="215"/>
      <c r="BO167" s="213"/>
      <c r="BP167" s="213"/>
      <c r="BQ167" s="213"/>
      <c r="BR167" s="326"/>
      <c r="BS167" s="213"/>
      <c r="BT167" s="215"/>
      <c r="BU167" s="213"/>
      <c r="BV167" s="213"/>
      <c r="BW167" s="213"/>
      <c r="BX167" s="213"/>
      <c r="BY167" s="213"/>
      <c r="BZ167" s="213"/>
      <c r="CA167" s="213"/>
      <c r="CB167" s="213"/>
      <c r="CC167" s="213"/>
      <c r="CD167" s="213"/>
      <c r="CE167" s="213"/>
      <c r="CF167" s="213"/>
      <c r="CG167" s="213"/>
      <c r="CH167" s="213"/>
      <c r="CI167" s="213"/>
      <c r="CJ167" s="213"/>
      <c r="CK167" s="213"/>
      <c r="CL167" s="213"/>
      <c r="CM167" s="213"/>
      <c r="CN167" s="213"/>
      <c r="CO167" s="213"/>
      <c r="CP167" s="213"/>
      <c r="CQ167" s="213"/>
    </row>
    <row r="168" ht="15.75" customHeight="1">
      <c r="A168" s="213"/>
      <c r="B168" s="213"/>
      <c r="C168" s="213"/>
      <c r="D168" s="215"/>
      <c r="E168" s="213"/>
      <c r="F168" s="215"/>
      <c r="G168" s="213"/>
      <c r="H168" s="215"/>
      <c r="I168" s="213"/>
      <c r="J168" s="215"/>
      <c r="K168" s="213"/>
      <c r="L168" s="215"/>
      <c r="M168" s="213"/>
      <c r="N168" s="213"/>
      <c r="O168" s="213"/>
      <c r="P168" s="215"/>
      <c r="Q168" s="213"/>
      <c r="R168" s="215"/>
      <c r="S168" s="213"/>
      <c r="T168" s="213"/>
      <c r="U168" s="213"/>
      <c r="V168" s="215"/>
      <c r="W168" s="213"/>
      <c r="X168" s="215"/>
      <c r="Y168" s="213"/>
      <c r="Z168" s="213"/>
      <c r="AA168" s="213"/>
      <c r="AB168" s="215"/>
      <c r="AC168" s="213"/>
      <c r="AD168" s="215"/>
      <c r="AE168" s="213"/>
      <c r="AF168" s="213"/>
      <c r="AG168" s="213"/>
      <c r="AH168" s="215"/>
      <c r="AI168" s="213"/>
      <c r="AJ168" s="215"/>
      <c r="AK168" s="213"/>
      <c r="AL168" s="213"/>
      <c r="AM168" s="213"/>
      <c r="AN168" s="215"/>
      <c r="AO168" s="213"/>
      <c r="AP168" s="215"/>
      <c r="AQ168" s="213"/>
      <c r="AR168" s="325"/>
      <c r="AS168" s="213"/>
      <c r="AT168" s="215"/>
      <c r="AU168" s="213"/>
      <c r="AV168" s="215"/>
      <c r="AW168" s="213"/>
      <c r="AX168" s="213"/>
      <c r="AY168" s="213"/>
      <c r="AZ168" s="215"/>
      <c r="BA168" s="213"/>
      <c r="BB168" s="215"/>
      <c r="BC168" s="213"/>
      <c r="BD168" s="213"/>
      <c r="BE168" s="213"/>
      <c r="BF168" s="215"/>
      <c r="BG168" s="213"/>
      <c r="BH168" s="215"/>
      <c r="BI168" s="213"/>
      <c r="BJ168" s="213"/>
      <c r="BK168" s="213"/>
      <c r="BL168" s="215"/>
      <c r="BM168" s="213"/>
      <c r="BN168" s="215"/>
      <c r="BO168" s="213"/>
      <c r="BP168" s="213"/>
      <c r="BQ168" s="213"/>
      <c r="BR168" s="326"/>
      <c r="BS168" s="213"/>
      <c r="BT168" s="215"/>
      <c r="BU168" s="213"/>
      <c r="BV168" s="213"/>
      <c r="BW168" s="213"/>
      <c r="BX168" s="213"/>
      <c r="BY168" s="213"/>
      <c r="BZ168" s="213"/>
      <c r="CA168" s="213"/>
      <c r="CB168" s="213"/>
      <c r="CC168" s="213"/>
      <c r="CD168" s="213"/>
      <c r="CE168" s="213"/>
      <c r="CF168" s="213"/>
      <c r="CG168" s="213"/>
      <c r="CH168" s="213"/>
      <c r="CI168" s="213"/>
      <c r="CJ168" s="213"/>
      <c r="CK168" s="213"/>
      <c r="CL168" s="213"/>
      <c r="CM168" s="213"/>
      <c r="CN168" s="213"/>
      <c r="CO168" s="213"/>
      <c r="CP168" s="213"/>
      <c r="CQ168" s="213"/>
    </row>
    <row r="169" ht="15.75" customHeight="1">
      <c r="A169" s="213"/>
      <c r="B169" s="213"/>
      <c r="C169" s="213"/>
      <c r="D169" s="215"/>
      <c r="E169" s="213"/>
      <c r="F169" s="215"/>
      <c r="G169" s="213"/>
      <c r="H169" s="215"/>
      <c r="I169" s="213"/>
      <c r="J169" s="215"/>
      <c r="K169" s="213"/>
      <c r="L169" s="215"/>
      <c r="M169" s="213"/>
      <c r="N169" s="213"/>
      <c r="O169" s="213"/>
      <c r="P169" s="215"/>
      <c r="Q169" s="213"/>
      <c r="R169" s="215"/>
      <c r="S169" s="213"/>
      <c r="T169" s="213"/>
      <c r="U169" s="213"/>
      <c r="V169" s="215"/>
      <c r="W169" s="213"/>
      <c r="X169" s="215"/>
      <c r="Y169" s="213"/>
      <c r="Z169" s="213"/>
      <c r="AA169" s="213"/>
      <c r="AB169" s="215"/>
      <c r="AC169" s="213"/>
      <c r="AD169" s="215"/>
      <c r="AE169" s="213"/>
      <c r="AF169" s="213"/>
      <c r="AG169" s="213"/>
      <c r="AH169" s="215"/>
      <c r="AI169" s="213"/>
      <c r="AJ169" s="215"/>
      <c r="AK169" s="213"/>
      <c r="AL169" s="213"/>
      <c r="AM169" s="213"/>
      <c r="AN169" s="215"/>
      <c r="AO169" s="213"/>
      <c r="AP169" s="215"/>
      <c r="AQ169" s="213"/>
      <c r="AR169" s="325"/>
      <c r="AS169" s="213"/>
      <c r="AT169" s="215"/>
      <c r="AU169" s="213"/>
      <c r="AV169" s="215"/>
      <c r="AW169" s="213"/>
      <c r="AX169" s="213"/>
      <c r="AY169" s="213"/>
      <c r="AZ169" s="215"/>
      <c r="BA169" s="213"/>
      <c r="BB169" s="215"/>
      <c r="BC169" s="213"/>
      <c r="BD169" s="213"/>
      <c r="BE169" s="213"/>
      <c r="BF169" s="215"/>
      <c r="BG169" s="213"/>
      <c r="BH169" s="215"/>
      <c r="BI169" s="213"/>
      <c r="BJ169" s="213"/>
      <c r="BK169" s="213"/>
      <c r="BL169" s="215"/>
      <c r="BM169" s="213"/>
      <c r="BN169" s="215"/>
      <c r="BO169" s="213"/>
      <c r="BP169" s="213"/>
      <c r="BQ169" s="213"/>
      <c r="BR169" s="326"/>
      <c r="BS169" s="213"/>
      <c r="BT169" s="215"/>
      <c r="BU169" s="213"/>
      <c r="BV169" s="213"/>
      <c r="BW169" s="213"/>
      <c r="BX169" s="213"/>
      <c r="BY169" s="213"/>
      <c r="BZ169" s="213"/>
      <c r="CA169" s="213"/>
      <c r="CB169" s="213"/>
      <c r="CC169" s="213"/>
      <c r="CD169" s="213"/>
      <c r="CE169" s="213"/>
      <c r="CF169" s="213"/>
      <c r="CG169" s="213"/>
      <c r="CH169" s="213"/>
      <c r="CI169" s="213"/>
      <c r="CJ169" s="213"/>
      <c r="CK169" s="213"/>
      <c r="CL169" s="213"/>
      <c r="CM169" s="213"/>
      <c r="CN169" s="213"/>
      <c r="CO169" s="213"/>
      <c r="CP169" s="213"/>
      <c r="CQ169" s="213"/>
    </row>
    <row r="170" ht="15.75" customHeight="1">
      <c r="A170" s="213"/>
      <c r="B170" s="213"/>
      <c r="C170" s="213"/>
      <c r="D170" s="215"/>
      <c r="E170" s="213"/>
      <c r="F170" s="215"/>
      <c r="G170" s="213"/>
      <c r="H170" s="215"/>
      <c r="I170" s="213"/>
      <c r="J170" s="215"/>
      <c r="K170" s="213"/>
      <c r="L170" s="215"/>
      <c r="M170" s="213"/>
      <c r="N170" s="213"/>
      <c r="O170" s="213"/>
      <c r="P170" s="215"/>
      <c r="Q170" s="213"/>
      <c r="R170" s="215"/>
      <c r="S170" s="213"/>
      <c r="T170" s="213"/>
      <c r="U170" s="213"/>
      <c r="V170" s="215"/>
      <c r="W170" s="213"/>
      <c r="X170" s="215"/>
      <c r="Y170" s="213"/>
      <c r="Z170" s="213"/>
      <c r="AA170" s="213"/>
      <c r="AB170" s="215"/>
      <c r="AC170" s="213"/>
      <c r="AD170" s="215"/>
      <c r="AE170" s="213"/>
      <c r="AF170" s="213"/>
      <c r="AG170" s="213"/>
      <c r="AH170" s="215"/>
      <c r="AI170" s="213"/>
      <c r="AJ170" s="215"/>
      <c r="AK170" s="213"/>
      <c r="AL170" s="213"/>
      <c r="AM170" s="213"/>
      <c r="AN170" s="215"/>
      <c r="AO170" s="213"/>
      <c r="AP170" s="215"/>
      <c r="AQ170" s="213"/>
      <c r="AR170" s="325"/>
      <c r="AS170" s="213"/>
      <c r="AT170" s="215"/>
      <c r="AU170" s="213"/>
      <c r="AV170" s="215"/>
      <c r="AW170" s="213"/>
      <c r="AX170" s="213"/>
      <c r="AY170" s="213"/>
      <c r="AZ170" s="215"/>
      <c r="BA170" s="213"/>
      <c r="BB170" s="215"/>
      <c r="BC170" s="213"/>
      <c r="BD170" s="213"/>
      <c r="BE170" s="213"/>
      <c r="BF170" s="215"/>
      <c r="BG170" s="213"/>
      <c r="BH170" s="215"/>
      <c r="BI170" s="213"/>
      <c r="BJ170" s="213"/>
      <c r="BK170" s="213"/>
      <c r="BL170" s="215"/>
      <c r="BM170" s="213"/>
      <c r="BN170" s="215"/>
      <c r="BO170" s="213"/>
      <c r="BP170" s="213"/>
      <c r="BQ170" s="213"/>
      <c r="BR170" s="326"/>
      <c r="BS170" s="213"/>
      <c r="BT170" s="215"/>
      <c r="BU170" s="213"/>
      <c r="BV170" s="213"/>
      <c r="BW170" s="213"/>
      <c r="BX170" s="213"/>
      <c r="BY170" s="213"/>
      <c r="BZ170" s="213"/>
      <c r="CA170" s="213"/>
      <c r="CB170" s="213"/>
      <c r="CC170" s="213"/>
      <c r="CD170" s="213"/>
      <c r="CE170" s="213"/>
      <c r="CF170" s="213"/>
      <c r="CG170" s="213"/>
      <c r="CH170" s="213"/>
      <c r="CI170" s="213"/>
      <c r="CJ170" s="213"/>
      <c r="CK170" s="213"/>
      <c r="CL170" s="213"/>
      <c r="CM170" s="213"/>
      <c r="CN170" s="213"/>
      <c r="CO170" s="213"/>
      <c r="CP170" s="213"/>
      <c r="CQ170" s="213"/>
    </row>
    <row r="171" ht="15.75" customHeight="1">
      <c r="A171" s="213"/>
      <c r="B171" s="213"/>
      <c r="C171" s="213"/>
      <c r="D171" s="215"/>
      <c r="E171" s="213"/>
      <c r="F171" s="215"/>
      <c r="G171" s="213"/>
      <c r="H171" s="215"/>
      <c r="I171" s="213"/>
      <c r="J171" s="215"/>
      <c r="K171" s="213"/>
      <c r="L171" s="215"/>
      <c r="M171" s="213"/>
      <c r="N171" s="213"/>
      <c r="O171" s="213"/>
      <c r="P171" s="215"/>
      <c r="Q171" s="213"/>
      <c r="R171" s="215"/>
      <c r="S171" s="213"/>
      <c r="T171" s="213"/>
      <c r="U171" s="213"/>
      <c r="V171" s="215"/>
      <c r="W171" s="213"/>
      <c r="X171" s="215"/>
      <c r="Y171" s="213"/>
      <c r="Z171" s="213"/>
      <c r="AA171" s="213"/>
      <c r="AB171" s="215"/>
      <c r="AC171" s="213"/>
      <c r="AD171" s="215"/>
      <c r="AE171" s="213"/>
      <c r="AF171" s="213"/>
      <c r="AG171" s="213"/>
      <c r="AH171" s="215"/>
      <c r="AI171" s="213"/>
      <c r="AJ171" s="215"/>
      <c r="AK171" s="213"/>
      <c r="AL171" s="213"/>
      <c r="AM171" s="213"/>
      <c r="AN171" s="215"/>
      <c r="AO171" s="213"/>
      <c r="AP171" s="215"/>
      <c r="AQ171" s="213"/>
      <c r="AR171" s="325"/>
      <c r="AS171" s="213"/>
      <c r="AT171" s="215"/>
      <c r="AU171" s="213"/>
      <c r="AV171" s="215"/>
      <c r="AW171" s="213"/>
      <c r="AX171" s="213"/>
      <c r="AY171" s="213"/>
      <c r="AZ171" s="215"/>
      <c r="BA171" s="213"/>
      <c r="BB171" s="215"/>
      <c r="BC171" s="213"/>
      <c r="BD171" s="213"/>
      <c r="BE171" s="213"/>
      <c r="BF171" s="215"/>
      <c r="BG171" s="213"/>
      <c r="BH171" s="215"/>
      <c r="BI171" s="213"/>
      <c r="BJ171" s="213"/>
      <c r="BK171" s="213"/>
      <c r="BL171" s="215"/>
      <c r="BM171" s="213"/>
      <c r="BN171" s="215"/>
      <c r="BO171" s="213"/>
      <c r="BP171" s="213"/>
      <c r="BQ171" s="213"/>
      <c r="BR171" s="326"/>
      <c r="BS171" s="213"/>
      <c r="BT171" s="215"/>
      <c r="BU171" s="213"/>
      <c r="BV171" s="213"/>
      <c r="BW171" s="213"/>
      <c r="BX171" s="213"/>
      <c r="BY171" s="213"/>
      <c r="BZ171" s="213"/>
      <c r="CA171" s="213"/>
      <c r="CB171" s="213"/>
      <c r="CC171" s="213"/>
      <c r="CD171" s="213"/>
      <c r="CE171" s="213"/>
      <c r="CF171" s="213"/>
      <c r="CG171" s="213"/>
      <c r="CH171" s="213"/>
      <c r="CI171" s="213"/>
      <c r="CJ171" s="213"/>
      <c r="CK171" s="213"/>
      <c r="CL171" s="213"/>
      <c r="CM171" s="213"/>
      <c r="CN171" s="213"/>
      <c r="CO171" s="213"/>
      <c r="CP171" s="213"/>
      <c r="CQ171" s="213"/>
    </row>
    <row r="172" ht="15.75" customHeight="1">
      <c r="A172" s="213"/>
      <c r="B172" s="213"/>
      <c r="C172" s="213"/>
      <c r="D172" s="215"/>
      <c r="E172" s="213"/>
      <c r="F172" s="215"/>
      <c r="G172" s="213"/>
      <c r="H172" s="215"/>
      <c r="I172" s="213"/>
      <c r="J172" s="215"/>
      <c r="K172" s="213"/>
      <c r="L172" s="215"/>
      <c r="M172" s="213"/>
      <c r="N172" s="213"/>
      <c r="O172" s="213"/>
      <c r="P172" s="215"/>
      <c r="Q172" s="213"/>
      <c r="R172" s="215"/>
      <c r="S172" s="213"/>
      <c r="T172" s="213"/>
      <c r="U172" s="213"/>
      <c r="V172" s="215"/>
      <c r="W172" s="213"/>
      <c r="X172" s="215"/>
      <c r="Y172" s="213"/>
      <c r="Z172" s="213"/>
      <c r="AA172" s="213"/>
      <c r="AB172" s="215"/>
      <c r="AC172" s="213"/>
      <c r="AD172" s="215"/>
      <c r="AE172" s="213"/>
      <c r="AF172" s="213"/>
      <c r="AG172" s="213"/>
      <c r="AH172" s="215"/>
      <c r="AI172" s="213"/>
      <c r="AJ172" s="215"/>
      <c r="AK172" s="213"/>
      <c r="AL172" s="213"/>
      <c r="AM172" s="213"/>
      <c r="AN172" s="215"/>
      <c r="AO172" s="213"/>
      <c r="AP172" s="215"/>
      <c r="AQ172" s="213"/>
      <c r="AR172" s="325"/>
      <c r="AS172" s="213"/>
      <c r="AT172" s="215"/>
      <c r="AU172" s="213"/>
      <c r="AV172" s="215"/>
      <c r="AW172" s="213"/>
      <c r="AX172" s="213"/>
      <c r="AY172" s="213"/>
      <c r="AZ172" s="215"/>
      <c r="BA172" s="213"/>
      <c r="BB172" s="215"/>
      <c r="BC172" s="213"/>
      <c r="BD172" s="213"/>
      <c r="BE172" s="213"/>
      <c r="BF172" s="215"/>
      <c r="BG172" s="213"/>
      <c r="BH172" s="215"/>
      <c r="BI172" s="213"/>
      <c r="BJ172" s="213"/>
      <c r="BK172" s="213"/>
      <c r="BL172" s="215"/>
      <c r="BM172" s="213"/>
      <c r="BN172" s="215"/>
      <c r="BO172" s="213"/>
      <c r="BP172" s="213"/>
      <c r="BQ172" s="213"/>
      <c r="BR172" s="326"/>
      <c r="BS172" s="213"/>
      <c r="BT172" s="215"/>
      <c r="BU172" s="213"/>
      <c r="BV172" s="213"/>
      <c r="BW172" s="213"/>
      <c r="BX172" s="213"/>
      <c r="BY172" s="213"/>
      <c r="BZ172" s="213"/>
      <c r="CA172" s="213"/>
      <c r="CB172" s="213"/>
      <c r="CC172" s="213"/>
      <c r="CD172" s="213"/>
      <c r="CE172" s="213"/>
      <c r="CF172" s="213"/>
      <c r="CG172" s="213"/>
      <c r="CH172" s="213"/>
      <c r="CI172" s="213"/>
      <c r="CJ172" s="213"/>
      <c r="CK172" s="213"/>
      <c r="CL172" s="213"/>
      <c r="CM172" s="213"/>
      <c r="CN172" s="213"/>
      <c r="CO172" s="213"/>
      <c r="CP172" s="213"/>
      <c r="CQ172" s="213"/>
    </row>
    <row r="173" ht="15.75" customHeight="1">
      <c r="A173" s="213"/>
      <c r="B173" s="213"/>
      <c r="C173" s="213"/>
      <c r="D173" s="215"/>
      <c r="E173" s="213"/>
      <c r="F173" s="215"/>
      <c r="G173" s="213"/>
      <c r="H173" s="215"/>
      <c r="I173" s="213"/>
      <c r="J173" s="215"/>
      <c r="K173" s="213"/>
      <c r="L173" s="215"/>
      <c r="M173" s="213"/>
      <c r="N173" s="213"/>
      <c r="O173" s="213"/>
      <c r="P173" s="215"/>
      <c r="Q173" s="213"/>
      <c r="R173" s="215"/>
      <c r="S173" s="213"/>
      <c r="T173" s="213"/>
      <c r="U173" s="213"/>
      <c r="V173" s="215"/>
      <c r="W173" s="213"/>
      <c r="X173" s="215"/>
      <c r="Y173" s="213"/>
      <c r="Z173" s="213"/>
      <c r="AA173" s="213"/>
      <c r="AB173" s="215"/>
      <c r="AC173" s="213"/>
      <c r="AD173" s="215"/>
      <c r="AE173" s="213"/>
      <c r="AF173" s="213"/>
      <c r="AG173" s="213"/>
      <c r="AH173" s="215"/>
      <c r="AI173" s="213"/>
      <c r="AJ173" s="215"/>
      <c r="AK173" s="213"/>
      <c r="AL173" s="213"/>
      <c r="AM173" s="213"/>
      <c r="AN173" s="215"/>
      <c r="AO173" s="213"/>
      <c r="AP173" s="215"/>
      <c r="AQ173" s="213"/>
      <c r="AR173" s="325"/>
      <c r="AS173" s="213"/>
      <c r="AT173" s="215"/>
      <c r="AU173" s="213"/>
      <c r="AV173" s="215"/>
      <c r="AW173" s="213"/>
      <c r="AX173" s="213"/>
      <c r="AY173" s="213"/>
      <c r="AZ173" s="215"/>
      <c r="BA173" s="213"/>
      <c r="BB173" s="215"/>
      <c r="BC173" s="213"/>
      <c r="BD173" s="213"/>
      <c r="BE173" s="213"/>
      <c r="BF173" s="215"/>
      <c r="BG173" s="213"/>
      <c r="BH173" s="215"/>
      <c r="BI173" s="213"/>
      <c r="BJ173" s="213"/>
      <c r="BK173" s="213"/>
      <c r="BL173" s="215"/>
      <c r="BM173" s="213"/>
      <c r="BN173" s="215"/>
      <c r="BO173" s="213"/>
      <c r="BP173" s="213"/>
      <c r="BQ173" s="213"/>
      <c r="BR173" s="326"/>
      <c r="BS173" s="213"/>
      <c r="BT173" s="215"/>
      <c r="BU173" s="213"/>
      <c r="BV173" s="213"/>
      <c r="BW173" s="213"/>
      <c r="BX173" s="213"/>
      <c r="BY173" s="213"/>
      <c r="BZ173" s="213"/>
      <c r="CA173" s="213"/>
      <c r="CB173" s="213"/>
      <c r="CC173" s="213"/>
      <c r="CD173" s="213"/>
      <c r="CE173" s="213"/>
      <c r="CF173" s="213"/>
      <c r="CG173" s="213"/>
      <c r="CH173" s="213"/>
      <c r="CI173" s="213"/>
      <c r="CJ173" s="213"/>
      <c r="CK173" s="213"/>
      <c r="CL173" s="213"/>
      <c r="CM173" s="213"/>
      <c r="CN173" s="213"/>
      <c r="CO173" s="213"/>
      <c r="CP173" s="213"/>
      <c r="CQ173" s="213"/>
    </row>
    <row r="174" ht="15.75" customHeight="1">
      <c r="A174" s="213"/>
      <c r="B174" s="213"/>
      <c r="C174" s="213"/>
      <c r="D174" s="215"/>
      <c r="E174" s="213"/>
      <c r="F174" s="215"/>
      <c r="G174" s="213"/>
      <c r="H174" s="215"/>
      <c r="I174" s="213"/>
      <c r="J174" s="215"/>
      <c r="K174" s="213"/>
      <c r="L174" s="215"/>
      <c r="M174" s="213"/>
      <c r="N174" s="213"/>
      <c r="O174" s="213"/>
      <c r="P174" s="215"/>
      <c r="Q174" s="213"/>
      <c r="R174" s="215"/>
      <c r="S174" s="213"/>
      <c r="T174" s="213"/>
      <c r="U174" s="213"/>
      <c r="V174" s="215"/>
      <c r="W174" s="213"/>
      <c r="X174" s="215"/>
      <c r="Y174" s="213"/>
      <c r="Z174" s="213"/>
      <c r="AA174" s="213"/>
      <c r="AB174" s="215"/>
      <c r="AC174" s="213"/>
      <c r="AD174" s="215"/>
      <c r="AE174" s="213"/>
      <c r="AF174" s="213"/>
      <c r="AG174" s="213"/>
      <c r="AH174" s="215"/>
      <c r="AI174" s="213"/>
      <c r="AJ174" s="215"/>
      <c r="AK174" s="213"/>
      <c r="AL174" s="213"/>
      <c r="AM174" s="213"/>
      <c r="AN174" s="215"/>
      <c r="AO174" s="213"/>
      <c r="AP174" s="215"/>
      <c r="AQ174" s="213"/>
      <c r="AR174" s="325"/>
      <c r="AS174" s="213"/>
      <c r="AT174" s="215"/>
      <c r="AU174" s="213"/>
      <c r="AV174" s="215"/>
      <c r="AW174" s="213"/>
      <c r="AX174" s="213"/>
      <c r="AY174" s="213"/>
      <c r="AZ174" s="215"/>
      <c r="BA174" s="213"/>
      <c r="BB174" s="215"/>
      <c r="BC174" s="213"/>
      <c r="BD174" s="213"/>
      <c r="BE174" s="213"/>
      <c r="BF174" s="215"/>
      <c r="BG174" s="213"/>
      <c r="BH174" s="215"/>
      <c r="BI174" s="213"/>
      <c r="BJ174" s="213"/>
      <c r="BK174" s="213"/>
      <c r="BL174" s="215"/>
      <c r="BM174" s="213"/>
      <c r="BN174" s="215"/>
      <c r="BO174" s="213"/>
      <c r="BP174" s="213"/>
      <c r="BQ174" s="213"/>
      <c r="BR174" s="326"/>
      <c r="BS174" s="213"/>
      <c r="BT174" s="215"/>
      <c r="BU174" s="213"/>
      <c r="BV174" s="213"/>
      <c r="BW174" s="213"/>
      <c r="BX174" s="213"/>
      <c r="BY174" s="213"/>
      <c r="BZ174" s="213"/>
      <c r="CA174" s="213"/>
      <c r="CB174" s="213"/>
      <c r="CC174" s="213"/>
      <c r="CD174" s="213"/>
      <c r="CE174" s="213"/>
      <c r="CF174" s="213"/>
      <c r="CG174" s="213"/>
      <c r="CH174" s="213"/>
      <c r="CI174" s="213"/>
      <c r="CJ174" s="213"/>
      <c r="CK174" s="213"/>
      <c r="CL174" s="213"/>
      <c r="CM174" s="213"/>
      <c r="CN174" s="213"/>
      <c r="CO174" s="213"/>
      <c r="CP174" s="213"/>
      <c r="CQ174" s="213"/>
    </row>
    <row r="175" ht="15.75" customHeight="1">
      <c r="A175" s="213"/>
      <c r="B175" s="213"/>
      <c r="C175" s="213"/>
      <c r="D175" s="215"/>
      <c r="E175" s="213"/>
      <c r="F175" s="215"/>
      <c r="G175" s="213"/>
      <c r="H175" s="215"/>
      <c r="I175" s="213"/>
      <c r="J175" s="215"/>
      <c r="K175" s="213"/>
      <c r="L175" s="215"/>
      <c r="M175" s="213"/>
      <c r="N175" s="213"/>
      <c r="O175" s="213"/>
      <c r="P175" s="215"/>
      <c r="Q175" s="213"/>
      <c r="R175" s="215"/>
      <c r="S175" s="213"/>
      <c r="T175" s="213"/>
      <c r="U175" s="213"/>
      <c r="V175" s="215"/>
      <c r="W175" s="213"/>
      <c r="X175" s="215"/>
      <c r="Y175" s="213"/>
      <c r="Z175" s="213"/>
      <c r="AA175" s="213"/>
      <c r="AB175" s="215"/>
      <c r="AC175" s="213"/>
      <c r="AD175" s="215"/>
      <c r="AE175" s="213"/>
      <c r="AF175" s="213"/>
      <c r="AG175" s="213"/>
      <c r="AH175" s="215"/>
      <c r="AI175" s="213"/>
      <c r="AJ175" s="215"/>
      <c r="AK175" s="213"/>
      <c r="AL175" s="213"/>
      <c r="AM175" s="213"/>
      <c r="AN175" s="215"/>
      <c r="AO175" s="213"/>
      <c r="AP175" s="215"/>
      <c r="AQ175" s="213"/>
      <c r="AR175" s="325"/>
      <c r="AS175" s="213"/>
      <c r="AT175" s="215"/>
      <c r="AU175" s="213"/>
      <c r="AV175" s="215"/>
      <c r="AW175" s="213"/>
      <c r="AX175" s="213"/>
      <c r="AY175" s="213"/>
      <c r="AZ175" s="215"/>
      <c r="BA175" s="213"/>
      <c r="BB175" s="215"/>
      <c r="BC175" s="213"/>
      <c r="BD175" s="213"/>
      <c r="BE175" s="213"/>
      <c r="BF175" s="215"/>
      <c r="BG175" s="213"/>
      <c r="BH175" s="215"/>
      <c r="BI175" s="213"/>
      <c r="BJ175" s="213"/>
      <c r="BK175" s="213"/>
      <c r="BL175" s="215"/>
      <c r="BM175" s="213"/>
      <c r="BN175" s="215"/>
      <c r="BO175" s="213"/>
      <c r="BP175" s="213"/>
      <c r="BQ175" s="213"/>
      <c r="BR175" s="326"/>
      <c r="BS175" s="213"/>
      <c r="BT175" s="215"/>
      <c r="BU175" s="213"/>
      <c r="BV175" s="213"/>
      <c r="BW175" s="213"/>
      <c r="BX175" s="213"/>
      <c r="BY175" s="213"/>
      <c r="BZ175" s="213"/>
      <c r="CA175" s="213"/>
      <c r="CB175" s="213"/>
      <c r="CC175" s="213"/>
      <c r="CD175" s="213"/>
      <c r="CE175" s="213"/>
      <c r="CF175" s="213"/>
      <c r="CG175" s="213"/>
      <c r="CH175" s="213"/>
      <c r="CI175" s="213"/>
      <c r="CJ175" s="213"/>
      <c r="CK175" s="213"/>
      <c r="CL175" s="213"/>
      <c r="CM175" s="213"/>
      <c r="CN175" s="213"/>
      <c r="CO175" s="213"/>
      <c r="CP175" s="213"/>
      <c r="CQ175" s="213"/>
    </row>
    <row r="176" ht="15.75" customHeight="1">
      <c r="A176" s="213"/>
      <c r="B176" s="213"/>
      <c r="C176" s="213"/>
      <c r="D176" s="215"/>
      <c r="E176" s="213"/>
      <c r="F176" s="215"/>
      <c r="G176" s="213"/>
      <c r="H176" s="215"/>
      <c r="I176" s="213"/>
      <c r="J176" s="215"/>
      <c r="K176" s="213"/>
      <c r="L176" s="215"/>
      <c r="M176" s="213"/>
      <c r="N176" s="213"/>
      <c r="O176" s="213"/>
      <c r="P176" s="215"/>
      <c r="Q176" s="213"/>
      <c r="R176" s="215"/>
      <c r="S176" s="213"/>
      <c r="T176" s="213"/>
      <c r="U176" s="213"/>
      <c r="V176" s="215"/>
      <c r="W176" s="213"/>
      <c r="X176" s="215"/>
      <c r="Y176" s="213"/>
      <c r="Z176" s="213"/>
      <c r="AA176" s="213"/>
      <c r="AB176" s="215"/>
      <c r="AC176" s="213"/>
      <c r="AD176" s="215"/>
      <c r="AE176" s="213"/>
      <c r="AF176" s="213"/>
      <c r="AG176" s="213"/>
      <c r="AH176" s="215"/>
      <c r="AI176" s="213"/>
      <c r="AJ176" s="215"/>
      <c r="AK176" s="213"/>
      <c r="AL176" s="213"/>
      <c r="AM176" s="213"/>
      <c r="AN176" s="215"/>
      <c r="AO176" s="213"/>
      <c r="AP176" s="215"/>
      <c r="AQ176" s="213"/>
      <c r="AR176" s="325"/>
      <c r="AS176" s="213"/>
      <c r="AT176" s="215"/>
      <c r="AU176" s="213"/>
      <c r="AV176" s="215"/>
      <c r="AW176" s="213"/>
      <c r="AX176" s="213"/>
      <c r="AY176" s="213"/>
      <c r="AZ176" s="215"/>
      <c r="BA176" s="213"/>
      <c r="BB176" s="215"/>
      <c r="BC176" s="213"/>
      <c r="BD176" s="213"/>
      <c r="BE176" s="213"/>
      <c r="BF176" s="215"/>
      <c r="BG176" s="213"/>
      <c r="BH176" s="215"/>
      <c r="BI176" s="213"/>
      <c r="BJ176" s="213"/>
      <c r="BK176" s="213"/>
      <c r="BL176" s="215"/>
      <c r="BM176" s="213"/>
      <c r="BN176" s="215"/>
      <c r="BO176" s="213"/>
      <c r="BP176" s="213"/>
      <c r="BQ176" s="213"/>
      <c r="BR176" s="326"/>
      <c r="BS176" s="213"/>
      <c r="BT176" s="215"/>
      <c r="BU176" s="213"/>
      <c r="BV176" s="213"/>
      <c r="BW176" s="213"/>
      <c r="BX176" s="213"/>
      <c r="BY176" s="213"/>
      <c r="BZ176" s="213"/>
      <c r="CA176" s="213"/>
      <c r="CB176" s="213"/>
      <c r="CC176" s="213"/>
      <c r="CD176" s="213"/>
      <c r="CE176" s="213"/>
      <c r="CF176" s="213"/>
      <c r="CG176" s="213"/>
      <c r="CH176" s="213"/>
      <c r="CI176" s="213"/>
      <c r="CJ176" s="213"/>
      <c r="CK176" s="213"/>
      <c r="CL176" s="213"/>
      <c r="CM176" s="213"/>
      <c r="CN176" s="213"/>
      <c r="CO176" s="213"/>
      <c r="CP176" s="213"/>
      <c r="CQ176" s="213"/>
    </row>
    <row r="177" ht="15.75" customHeight="1">
      <c r="A177" s="213"/>
      <c r="B177" s="213"/>
      <c r="C177" s="213"/>
      <c r="D177" s="215"/>
      <c r="E177" s="213"/>
      <c r="F177" s="215"/>
      <c r="G177" s="213"/>
      <c r="H177" s="215"/>
      <c r="I177" s="213"/>
      <c r="J177" s="215"/>
      <c r="K177" s="213"/>
      <c r="L177" s="215"/>
      <c r="M177" s="213"/>
      <c r="N177" s="213"/>
      <c r="O177" s="213"/>
      <c r="P177" s="215"/>
      <c r="Q177" s="213"/>
      <c r="R177" s="215"/>
      <c r="S177" s="213"/>
      <c r="T177" s="213"/>
      <c r="U177" s="213"/>
      <c r="V177" s="215"/>
      <c r="W177" s="213"/>
      <c r="X177" s="215"/>
      <c r="Y177" s="213"/>
      <c r="Z177" s="213"/>
      <c r="AA177" s="213"/>
      <c r="AB177" s="215"/>
      <c r="AC177" s="213"/>
      <c r="AD177" s="215"/>
      <c r="AE177" s="213"/>
      <c r="AF177" s="213"/>
      <c r="AG177" s="213"/>
      <c r="AH177" s="215"/>
      <c r="AI177" s="213"/>
      <c r="AJ177" s="215"/>
      <c r="AK177" s="213"/>
      <c r="AL177" s="213"/>
      <c r="AM177" s="213"/>
      <c r="AN177" s="215"/>
      <c r="AO177" s="213"/>
      <c r="AP177" s="215"/>
      <c r="AQ177" s="213"/>
      <c r="AR177" s="325"/>
      <c r="AS177" s="213"/>
      <c r="AT177" s="215"/>
      <c r="AU177" s="213"/>
      <c r="AV177" s="215"/>
      <c r="AW177" s="213"/>
      <c r="AX177" s="213"/>
      <c r="AY177" s="213"/>
      <c r="AZ177" s="215"/>
      <c r="BA177" s="213"/>
      <c r="BB177" s="215"/>
      <c r="BC177" s="213"/>
      <c r="BD177" s="213"/>
      <c r="BE177" s="213"/>
      <c r="BF177" s="215"/>
      <c r="BG177" s="213"/>
      <c r="BH177" s="215"/>
      <c r="BI177" s="213"/>
      <c r="BJ177" s="213"/>
      <c r="BK177" s="213"/>
      <c r="BL177" s="215"/>
      <c r="BM177" s="213"/>
      <c r="BN177" s="215"/>
      <c r="BO177" s="213"/>
      <c r="BP177" s="213"/>
      <c r="BQ177" s="213"/>
      <c r="BR177" s="326"/>
      <c r="BS177" s="213"/>
      <c r="BT177" s="215"/>
      <c r="BU177" s="213"/>
      <c r="BV177" s="213"/>
      <c r="BW177" s="213"/>
      <c r="BX177" s="213"/>
      <c r="BY177" s="213"/>
      <c r="BZ177" s="213"/>
      <c r="CA177" s="213"/>
      <c r="CB177" s="213"/>
      <c r="CC177" s="213"/>
      <c r="CD177" s="213"/>
      <c r="CE177" s="213"/>
      <c r="CF177" s="213"/>
      <c r="CG177" s="213"/>
      <c r="CH177" s="213"/>
      <c r="CI177" s="213"/>
      <c r="CJ177" s="213"/>
      <c r="CK177" s="213"/>
      <c r="CL177" s="213"/>
      <c r="CM177" s="213"/>
      <c r="CN177" s="213"/>
      <c r="CO177" s="213"/>
      <c r="CP177" s="213"/>
      <c r="CQ177" s="213"/>
    </row>
    <row r="178" ht="15.75" customHeight="1">
      <c r="A178" s="213"/>
      <c r="B178" s="213"/>
      <c r="C178" s="213"/>
      <c r="D178" s="215"/>
      <c r="E178" s="213"/>
      <c r="F178" s="215"/>
      <c r="G178" s="213"/>
      <c r="H178" s="215"/>
      <c r="I178" s="213"/>
      <c r="J178" s="215"/>
      <c r="K178" s="213"/>
      <c r="L178" s="215"/>
      <c r="M178" s="213"/>
      <c r="N178" s="213"/>
      <c r="O178" s="213"/>
      <c r="P178" s="215"/>
      <c r="Q178" s="213"/>
      <c r="R178" s="215"/>
      <c r="S178" s="213"/>
      <c r="T178" s="213"/>
      <c r="U178" s="213"/>
      <c r="V178" s="215"/>
      <c r="W178" s="213"/>
      <c r="X178" s="215"/>
      <c r="Y178" s="213"/>
      <c r="Z178" s="213"/>
      <c r="AA178" s="213"/>
      <c r="AB178" s="215"/>
      <c r="AC178" s="213"/>
      <c r="AD178" s="215"/>
      <c r="AE178" s="213"/>
      <c r="AF178" s="213"/>
      <c r="AG178" s="213"/>
      <c r="AH178" s="215"/>
      <c r="AI178" s="213"/>
      <c r="AJ178" s="215"/>
      <c r="AK178" s="213"/>
      <c r="AL178" s="213"/>
      <c r="AM178" s="213"/>
      <c r="AN178" s="215"/>
      <c r="AO178" s="213"/>
      <c r="AP178" s="215"/>
      <c r="AQ178" s="213"/>
      <c r="AR178" s="325"/>
      <c r="AS178" s="213"/>
      <c r="AT178" s="215"/>
      <c r="AU178" s="213"/>
      <c r="AV178" s="215"/>
      <c r="AW178" s="213"/>
      <c r="AX178" s="213"/>
      <c r="AY178" s="213"/>
      <c r="AZ178" s="215"/>
      <c r="BA178" s="213"/>
      <c r="BB178" s="215"/>
      <c r="BC178" s="213"/>
      <c r="BD178" s="213"/>
      <c r="BE178" s="213"/>
      <c r="BF178" s="215"/>
      <c r="BG178" s="213"/>
      <c r="BH178" s="215"/>
      <c r="BI178" s="213"/>
      <c r="BJ178" s="213"/>
      <c r="BK178" s="213"/>
      <c r="BL178" s="215"/>
      <c r="BM178" s="213"/>
      <c r="BN178" s="215"/>
      <c r="BO178" s="213"/>
      <c r="BP178" s="213"/>
      <c r="BQ178" s="213"/>
      <c r="BR178" s="326"/>
      <c r="BS178" s="213"/>
      <c r="BT178" s="215"/>
      <c r="BU178" s="213"/>
      <c r="BV178" s="213"/>
      <c r="BW178" s="213"/>
      <c r="BX178" s="213"/>
      <c r="BY178" s="213"/>
      <c r="BZ178" s="213"/>
      <c r="CA178" s="213"/>
      <c r="CB178" s="213"/>
      <c r="CC178" s="213"/>
      <c r="CD178" s="213"/>
      <c r="CE178" s="213"/>
      <c r="CF178" s="213"/>
      <c r="CG178" s="213"/>
      <c r="CH178" s="213"/>
      <c r="CI178" s="213"/>
      <c r="CJ178" s="213"/>
      <c r="CK178" s="213"/>
      <c r="CL178" s="213"/>
      <c r="CM178" s="213"/>
      <c r="CN178" s="213"/>
      <c r="CO178" s="213"/>
      <c r="CP178" s="213"/>
      <c r="CQ178" s="213"/>
    </row>
    <row r="179" ht="15.75" customHeight="1">
      <c r="A179" s="213"/>
      <c r="B179" s="213"/>
      <c r="C179" s="213"/>
      <c r="D179" s="215"/>
      <c r="E179" s="213"/>
      <c r="F179" s="215"/>
      <c r="G179" s="213"/>
      <c r="H179" s="215"/>
      <c r="I179" s="213"/>
      <c r="J179" s="215"/>
      <c r="K179" s="213"/>
      <c r="L179" s="215"/>
      <c r="M179" s="213"/>
      <c r="N179" s="213"/>
      <c r="O179" s="213"/>
      <c r="P179" s="215"/>
      <c r="Q179" s="213"/>
      <c r="R179" s="215"/>
      <c r="S179" s="213"/>
      <c r="T179" s="213"/>
      <c r="U179" s="213"/>
      <c r="V179" s="215"/>
      <c r="W179" s="213"/>
      <c r="X179" s="215"/>
      <c r="Y179" s="213"/>
      <c r="Z179" s="213"/>
      <c r="AA179" s="213"/>
      <c r="AB179" s="215"/>
      <c r="AC179" s="213"/>
      <c r="AD179" s="215"/>
      <c r="AE179" s="213"/>
      <c r="AF179" s="213"/>
      <c r="AG179" s="213"/>
      <c r="AH179" s="215"/>
      <c r="AI179" s="213"/>
      <c r="AJ179" s="215"/>
      <c r="AK179" s="213"/>
      <c r="AL179" s="213"/>
      <c r="AM179" s="213"/>
      <c r="AN179" s="215"/>
      <c r="AO179" s="213"/>
      <c r="AP179" s="215"/>
      <c r="AQ179" s="213"/>
      <c r="AR179" s="325"/>
      <c r="AS179" s="213"/>
      <c r="AT179" s="215"/>
      <c r="AU179" s="213"/>
      <c r="AV179" s="215"/>
      <c r="AW179" s="213"/>
      <c r="AX179" s="213"/>
      <c r="AY179" s="213"/>
      <c r="AZ179" s="215"/>
      <c r="BA179" s="213"/>
      <c r="BB179" s="215"/>
      <c r="BC179" s="213"/>
      <c r="BD179" s="213"/>
      <c r="BE179" s="213"/>
      <c r="BF179" s="215"/>
      <c r="BG179" s="213"/>
      <c r="BH179" s="215"/>
      <c r="BI179" s="213"/>
      <c r="BJ179" s="213"/>
      <c r="BK179" s="213"/>
      <c r="BL179" s="215"/>
      <c r="BM179" s="213"/>
      <c r="BN179" s="215"/>
      <c r="BO179" s="213"/>
      <c r="BP179" s="213"/>
      <c r="BQ179" s="213"/>
      <c r="BR179" s="326"/>
      <c r="BS179" s="213"/>
      <c r="BT179" s="215"/>
      <c r="BU179" s="213"/>
      <c r="BV179" s="213"/>
      <c r="BW179" s="213"/>
      <c r="BX179" s="213"/>
      <c r="BY179" s="213"/>
      <c r="BZ179" s="213"/>
      <c r="CA179" s="213"/>
      <c r="CB179" s="213"/>
      <c r="CC179" s="213"/>
      <c r="CD179" s="213"/>
      <c r="CE179" s="213"/>
      <c r="CF179" s="213"/>
      <c r="CG179" s="213"/>
      <c r="CH179" s="213"/>
      <c r="CI179" s="213"/>
      <c r="CJ179" s="213"/>
      <c r="CK179" s="213"/>
      <c r="CL179" s="213"/>
      <c r="CM179" s="213"/>
      <c r="CN179" s="213"/>
      <c r="CO179" s="213"/>
      <c r="CP179" s="213"/>
      <c r="CQ179" s="213"/>
    </row>
    <row r="180" ht="15.75" customHeight="1">
      <c r="A180" s="213"/>
      <c r="B180" s="213"/>
      <c r="C180" s="213"/>
      <c r="D180" s="215"/>
      <c r="E180" s="213"/>
      <c r="F180" s="215"/>
      <c r="G180" s="213"/>
      <c r="H180" s="215"/>
      <c r="I180" s="213"/>
      <c r="J180" s="215"/>
      <c r="K180" s="213"/>
      <c r="L180" s="215"/>
      <c r="M180" s="213"/>
      <c r="N180" s="213"/>
      <c r="O180" s="213"/>
      <c r="P180" s="215"/>
      <c r="Q180" s="213"/>
      <c r="R180" s="215"/>
      <c r="S180" s="213"/>
      <c r="T180" s="213"/>
      <c r="U180" s="213"/>
      <c r="V180" s="215"/>
      <c r="W180" s="213"/>
      <c r="X180" s="215"/>
      <c r="Y180" s="213"/>
      <c r="Z180" s="213"/>
      <c r="AA180" s="213"/>
      <c r="AB180" s="215"/>
      <c r="AC180" s="213"/>
      <c r="AD180" s="215"/>
      <c r="AE180" s="213"/>
      <c r="AF180" s="213"/>
      <c r="AG180" s="213"/>
      <c r="AH180" s="215"/>
      <c r="AI180" s="213"/>
      <c r="AJ180" s="215"/>
      <c r="AK180" s="213"/>
      <c r="AL180" s="213"/>
      <c r="AM180" s="213"/>
      <c r="AN180" s="215"/>
      <c r="AO180" s="213"/>
      <c r="AP180" s="215"/>
      <c r="AQ180" s="213"/>
      <c r="AR180" s="325"/>
      <c r="AS180" s="213"/>
      <c r="AT180" s="215"/>
      <c r="AU180" s="213"/>
      <c r="AV180" s="215"/>
      <c r="AW180" s="213"/>
      <c r="AX180" s="213"/>
      <c r="AY180" s="213"/>
      <c r="AZ180" s="215"/>
      <c r="BA180" s="213"/>
      <c r="BB180" s="215"/>
      <c r="BC180" s="213"/>
      <c r="BD180" s="213"/>
      <c r="BE180" s="213"/>
      <c r="BF180" s="215"/>
      <c r="BG180" s="213"/>
      <c r="BH180" s="215"/>
      <c r="BI180" s="213"/>
      <c r="BJ180" s="213"/>
      <c r="BK180" s="213"/>
      <c r="BL180" s="215"/>
      <c r="BM180" s="213"/>
      <c r="BN180" s="215"/>
      <c r="BO180" s="213"/>
      <c r="BP180" s="213"/>
      <c r="BQ180" s="213"/>
      <c r="BR180" s="326"/>
      <c r="BS180" s="213"/>
      <c r="BT180" s="215"/>
      <c r="BU180" s="213"/>
      <c r="BV180" s="213"/>
      <c r="BW180" s="213"/>
      <c r="BX180" s="213"/>
      <c r="BY180" s="213"/>
      <c r="BZ180" s="213"/>
      <c r="CA180" s="213"/>
      <c r="CB180" s="213"/>
      <c r="CC180" s="213"/>
      <c r="CD180" s="213"/>
      <c r="CE180" s="213"/>
      <c r="CF180" s="213"/>
      <c r="CG180" s="213"/>
      <c r="CH180" s="213"/>
      <c r="CI180" s="213"/>
      <c r="CJ180" s="213"/>
      <c r="CK180" s="213"/>
      <c r="CL180" s="213"/>
      <c r="CM180" s="213"/>
      <c r="CN180" s="213"/>
      <c r="CO180" s="213"/>
      <c r="CP180" s="213"/>
      <c r="CQ180" s="213"/>
    </row>
    <row r="181" ht="15.75" customHeight="1">
      <c r="A181" s="213"/>
      <c r="B181" s="213"/>
      <c r="C181" s="213"/>
      <c r="D181" s="215"/>
      <c r="E181" s="213"/>
      <c r="F181" s="215"/>
      <c r="G181" s="213"/>
      <c r="H181" s="215"/>
      <c r="I181" s="213"/>
      <c r="J181" s="215"/>
      <c r="K181" s="213"/>
      <c r="L181" s="215"/>
      <c r="M181" s="213"/>
      <c r="N181" s="213"/>
      <c r="O181" s="213"/>
      <c r="P181" s="215"/>
      <c r="Q181" s="213"/>
      <c r="R181" s="215"/>
      <c r="S181" s="213"/>
      <c r="T181" s="213"/>
      <c r="U181" s="213"/>
      <c r="V181" s="215"/>
      <c r="W181" s="213"/>
      <c r="X181" s="215"/>
      <c r="Y181" s="213"/>
      <c r="Z181" s="213"/>
      <c r="AA181" s="213"/>
      <c r="AB181" s="215"/>
      <c r="AC181" s="213"/>
      <c r="AD181" s="215"/>
      <c r="AE181" s="213"/>
      <c r="AF181" s="213"/>
      <c r="AG181" s="213"/>
      <c r="AH181" s="215"/>
      <c r="AI181" s="213"/>
      <c r="AJ181" s="215"/>
      <c r="AK181" s="213"/>
      <c r="AL181" s="213"/>
      <c r="AM181" s="213"/>
      <c r="AN181" s="215"/>
      <c r="AO181" s="213"/>
      <c r="AP181" s="215"/>
      <c r="AQ181" s="213"/>
      <c r="AR181" s="325"/>
      <c r="AS181" s="213"/>
      <c r="AT181" s="215"/>
      <c r="AU181" s="213"/>
      <c r="AV181" s="215"/>
      <c r="AW181" s="213"/>
      <c r="AX181" s="213"/>
      <c r="AY181" s="213"/>
      <c r="AZ181" s="215"/>
      <c r="BA181" s="213"/>
      <c r="BB181" s="215"/>
      <c r="BC181" s="213"/>
      <c r="BD181" s="213"/>
      <c r="BE181" s="213"/>
      <c r="BF181" s="215"/>
      <c r="BG181" s="213"/>
      <c r="BH181" s="215"/>
      <c r="BI181" s="213"/>
      <c r="BJ181" s="213"/>
      <c r="BK181" s="213"/>
      <c r="BL181" s="215"/>
      <c r="BM181" s="213"/>
      <c r="BN181" s="215"/>
      <c r="BO181" s="213"/>
      <c r="BP181" s="213"/>
      <c r="BQ181" s="213"/>
      <c r="BR181" s="326"/>
      <c r="BS181" s="213"/>
      <c r="BT181" s="215"/>
      <c r="BU181" s="213"/>
      <c r="BV181" s="213"/>
      <c r="BW181" s="213"/>
      <c r="BX181" s="213"/>
      <c r="BY181" s="213"/>
      <c r="BZ181" s="213"/>
      <c r="CA181" s="213"/>
      <c r="CB181" s="213"/>
      <c r="CC181" s="213"/>
      <c r="CD181" s="213"/>
      <c r="CE181" s="213"/>
      <c r="CF181" s="213"/>
      <c r="CG181" s="213"/>
      <c r="CH181" s="213"/>
      <c r="CI181" s="213"/>
      <c r="CJ181" s="213"/>
      <c r="CK181" s="213"/>
      <c r="CL181" s="213"/>
      <c r="CM181" s="213"/>
      <c r="CN181" s="213"/>
      <c r="CO181" s="213"/>
      <c r="CP181" s="213"/>
      <c r="CQ181" s="213"/>
    </row>
    <row r="182" ht="15.75" customHeight="1">
      <c r="A182" s="213"/>
      <c r="B182" s="213"/>
      <c r="C182" s="213"/>
      <c r="D182" s="215"/>
      <c r="E182" s="213"/>
      <c r="F182" s="215"/>
      <c r="G182" s="213"/>
      <c r="H182" s="215"/>
      <c r="I182" s="213"/>
      <c r="J182" s="215"/>
      <c r="K182" s="213"/>
      <c r="L182" s="215"/>
      <c r="M182" s="213"/>
      <c r="N182" s="213"/>
      <c r="O182" s="213"/>
      <c r="P182" s="215"/>
      <c r="Q182" s="213"/>
      <c r="R182" s="215"/>
      <c r="S182" s="213"/>
      <c r="T182" s="213"/>
      <c r="U182" s="213"/>
      <c r="V182" s="215"/>
      <c r="W182" s="213"/>
      <c r="X182" s="215"/>
      <c r="Y182" s="213"/>
      <c r="Z182" s="213"/>
      <c r="AA182" s="213"/>
      <c r="AB182" s="215"/>
      <c r="AC182" s="213"/>
      <c r="AD182" s="215"/>
      <c r="AE182" s="213"/>
      <c r="AF182" s="213"/>
      <c r="AG182" s="213"/>
      <c r="AH182" s="215"/>
      <c r="AI182" s="213"/>
      <c r="AJ182" s="215"/>
      <c r="AK182" s="213"/>
      <c r="AL182" s="213"/>
      <c r="AM182" s="213"/>
      <c r="AN182" s="215"/>
      <c r="AO182" s="213"/>
      <c r="AP182" s="215"/>
      <c r="AQ182" s="213"/>
      <c r="AR182" s="325"/>
      <c r="AS182" s="213"/>
      <c r="AT182" s="215"/>
      <c r="AU182" s="213"/>
      <c r="AV182" s="215"/>
      <c r="AW182" s="213"/>
      <c r="AX182" s="213"/>
      <c r="AY182" s="213"/>
      <c r="AZ182" s="215"/>
      <c r="BA182" s="213"/>
      <c r="BB182" s="215"/>
      <c r="BC182" s="213"/>
      <c r="BD182" s="213"/>
      <c r="BE182" s="213"/>
      <c r="BF182" s="215"/>
      <c r="BG182" s="213"/>
      <c r="BH182" s="215"/>
      <c r="BI182" s="213"/>
      <c r="BJ182" s="213"/>
      <c r="BK182" s="213"/>
      <c r="BL182" s="215"/>
      <c r="BM182" s="213"/>
      <c r="BN182" s="215"/>
      <c r="BO182" s="213"/>
      <c r="BP182" s="213"/>
      <c r="BQ182" s="213"/>
      <c r="BR182" s="326"/>
      <c r="BS182" s="213"/>
      <c r="BT182" s="215"/>
      <c r="BU182" s="213"/>
      <c r="BV182" s="213"/>
      <c r="BW182" s="213"/>
      <c r="BX182" s="213"/>
      <c r="BY182" s="213"/>
      <c r="BZ182" s="213"/>
      <c r="CA182" s="213"/>
      <c r="CB182" s="213"/>
      <c r="CC182" s="213"/>
      <c r="CD182" s="213"/>
      <c r="CE182" s="213"/>
      <c r="CF182" s="213"/>
      <c r="CG182" s="213"/>
      <c r="CH182" s="213"/>
      <c r="CI182" s="213"/>
      <c r="CJ182" s="213"/>
      <c r="CK182" s="213"/>
      <c r="CL182" s="213"/>
      <c r="CM182" s="213"/>
      <c r="CN182" s="213"/>
      <c r="CO182" s="213"/>
      <c r="CP182" s="213"/>
      <c r="CQ182" s="213"/>
    </row>
    <row r="183" ht="15.75" customHeight="1">
      <c r="A183" s="213"/>
      <c r="B183" s="213"/>
      <c r="C183" s="213"/>
      <c r="D183" s="215"/>
      <c r="E183" s="213"/>
      <c r="F183" s="215"/>
      <c r="G183" s="213"/>
      <c r="H183" s="215"/>
      <c r="I183" s="213"/>
      <c r="J183" s="215"/>
      <c r="K183" s="213"/>
      <c r="L183" s="215"/>
      <c r="M183" s="213"/>
      <c r="N183" s="213"/>
      <c r="O183" s="213"/>
      <c r="P183" s="215"/>
      <c r="Q183" s="213"/>
      <c r="R183" s="215"/>
      <c r="S183" s="213"/>
      <c r="T183" s="213"/>
      <c r="U183" s="213"/>
      <c r="V183" s="215"/>
      <c r="W183" s="213"/>
      <c r="X183" s="215"/>
      <c r="Y183" s="213"/>
      <c r="Z183" s="213"/>
      <c r="AA183" s="213"/>
      <c r="AB183" s="215"/>
      <c r="AC183" s="213"/>
      <c r="AD183" s="215"/>
      <c r="AE183" s="213"/>
      <c r="AF183" s="213"/>
      <c r="AG183" s="213"/>
      <c r="AH183" s="215"/>
      <c r="AI183" s="213"/>
      <c r="AJ183" s="215"/>
      <c r="AK183" s="213"/>
      <c r="AL183" s="213"/>
      <c r="AM183" s="213"/>
      <c r="AN183" s="215"/>
      <c r="AO183" s="213"/>
      <c r="AP183" s="215"/>
      <c r="AQ183" s="213"/>
      <c r="AR183" s="325"/>
      <c r="AS183" s="213"/>
      <c r="AT183" s="215"/>
      <c r="AU183" s="213"/>
      <c r="AV183" s="215"/>
      <c r="AW183" s="213"/>
      <c r="AX183" s="213"/>
      <c r="AY183" s="213"/>
      <c r="AZ183" s="215"/>
      <c r="BA183" s="213"/>
      <c r="BB183" s="215"/>
      <c r="BC183" s="213"/>
      <c r="BD183" s="213"/>
      <c r="BE183" s="213"/>
      <c r="BF183" s="215"/>
      <c r="BG183" s="213"/>
      <c r="BH183" s="215"/>
      <c r="BI183" s="213"/>
      <c r="BJ183" s="213"/>
      <c r="BK183" s="213"/>
      <c r="BL183" s="215"/>
      <c r="BM183" s="213"/>
      <c r="BN183" s="215"/>
      <c r="BO183" s="213"/>
      <c r="BP183" s="213"/>
      <c r="BQ183" s="213"/>
      <c r="BR183" s="326"/>
      <c r="BS183" s="213"/>
      <c r="BT183" s="215"/>
      <c r="BU183" s="213"/>
      <c r="BV183" s="213"/>
      <c r="BW183" s="213"/>
      <c r="BX183" s="213"/>
      <c r="BY183" s="213"/>
      <c r="BZ183" s="213"/>
      <c r="CA183" s="213"/>
      <c r="CB183" s="213"/>
      <c r="CC183" s="213"/>
      <c r="CD183" s="213"/>
      <c r="CE183" s="213"/>
      <c r="CF183" s="213"/>
      <c r="CG183" s="213"/>
      <c r="CH183" s="213"/>
      <c r="CI183" s="213"/>
      <c r="CJ183" s="213"/>
      <c r="CK183" s="213"/>
      <c r="CL183" s="213"/>
      <c r="CM183" s="213"/>
      <c r="CN183" s="213"/>
      <c r="CO183" s="213"/>
      <c r="CP183" s="213"/>
      <c r="CQ183" s="213"/>
    </row>
    <row r="184" ht="15.75" customHeight="1">
      <c r="A184" s="213"/>
      <c r="B184" s="213"/>
      <c r="C184" s="213"/>
      <c r="D184" s="215"/>
      <c r="E184" s="213"/>
      <c r="F184" s="215"/>
      <c r="G184" s="213"/>
      <c r="H184" s="215"/>
      <c r="I184" s="213"/>
      <c r="J184" s="215"/>
      <c r="K184" s="213"/>
      <c r="L184" s="215"/>
      <c r="M184" s="213"/>
      <c r="N184" s="213"/>
      <c r="O184" s="213"/>
      <c r="P184" s="215"/>
      <c r="Q184" s="213"/>
      <c r="R184" s="215"/>
      <c r="S184" s="213"/>
      <c r="T184" s="213"/>
      <c r="U184" s="213"/>
      <c r="V184" s="215"/>
      <c r="W184" s="213"/>
      <c r="X184" s="215"/>
      <c r="Y184" s="213"/>
      <c r="Z184" s="213"/>
      <c r="AA184" s="213"/>
      <c r="AB184" s="215"/>
      <c r="AC184" s="213"/>
      <c r="AD184" s="215"/>
      <c r="AE184" s="213"/>
      <c r="AF184" s="213"/>
      <c r="AG184" s="213"/>
      <c r="AH184" s="215"/>
      <c r="AI184" s="213"/>
      <c r="AJ184" s="215"/>
      <c r="AK184" s="213"/>
      <c r="AL184" s="213"/>
      <c r="AM184" s="213"/>
      <c r="AN184" s="215"/>
      <c r="AO184" s="213"/>
      <c r="AP184" s="215"/>
      <c r="AQ184" s="213"/>
      <c r="AR184" s="325"/>
      <c r="AS184" s="213"/>
      <c r="AT184" s="215"/>
      <c r="AU184" s="213"/>
      <c r="AV184" s="215"/>
      <c r="AW184" s="213"/>
      <c r="AX184" s="213"/>
      <c r="AY184" s="213"/>
      <c r="AZ184" s="215"/>
      <c r="BA184" s="213"/>
      <c r="BB184" s="215"/>
      <c r="BC184" s="213"/>
      <c r="BD184" s="213"/>
      <c r="BE184" s="213"/>
      <c r="BF184" s="215"/>
      <c r="BG184" s="213"/>
      <c r="BH184" s="215"/>
      <c r="BI184" s="213"/>
      <c r="BJ184" s="213"/>
      <c r="BK184" s="213"/>
      <c r="BL184" s="215"/>
      <c r="BM184" s="213"/>
      <c r="BN184" s="215"/>
      <c r="BO184" s="213"/>
      <c r="BP184" s="213"/>
      <c r="BQ184" s="213"/>
      <c r="BR184" s="326"/>
      <c r="BS184" s="213"/>
      <c r="BT184" s="215"/>
      <c r="BU184" s="213"/>
      <c r="BV184" s="213"/>
      <c r="BW184" s="213"/>
      <c r="BX184" s="213"/>
      <c r="BY184" s="213"/>
      <c r="BZ184" s="213"/>
      <c r="CA184" s="213"/>
      <c r="CB184" s="213"/>
      <c r="CC184" s="213"/>
      <c r="CD184" s="213"/>
      <c r="CE184" s="213"/>
      <c r="CF184" s="213"/>
      <c r="CG184" s="213"/>
      <c r="CH184" s="213"/>
      <c r="CI184" s="213"/>
      <c r="CJ184" s="213"/>
      <c r="CK184" s="213"/>
      <c r="CL184" s="213"/>
      <c r="CM184" s="213"/>
      <c r="CN184" s="213"/>
      <c r="CO184" s="213"/>
      <c r="CP184" s="213"/>
      <c r="CQ184" s="213"/>
    </row>
    <row r="185" ht="15.75" customHeight="1">
      <c r="A185" s="213"/>
      <c r="B185" s="213"/>
      <c r="C185" s="213"/>
      <c r="D185" s="215"/>
      <c r="E185" s="213"/>
      <c r="F185" s="215"/>
      <c r="G185" s="213"/>
      <c r="H185" s="215"/>
      <c r="I185" s="213"/>
      <c r="J185" s="215"/>
      <c r="K185" s="213"/>
      <c r="L185" s="215"/>
      <c r="M185" s="213"/>
      <c r="N185" s="213"/>
      <c r="O185" s="213"/>
      <c r="P185" s="215"/>
      <c r="Q185" s="213"/>
      <c r="R185" s="215"/>
      <c r="S185" s="213"/>
      <c r="T185" s="213"/>
      <c r="U185" s="213"/>
      <c r="V185" s="215"/>
      <c r="W185" s="213"/>
      <c r="X185" s="215"/>
      <c r="Y185" s="213"/>
      <c r="Z185" s="213"/>
      <c r="AA185" s="213"/>
      <c r="AB185" s="215"/>
      <c r="AC185" s="213"/>
      <c r="AD185" s="215"/>
      <c r="AE185" s="213"/>
      <c r="AF185" s="213"/>
      <c r="AG185" s="213"/>
      <c r="AH185" s="215"/>
      <c r="AI185" s="213"/>
      <c r="AJ185" s="215"/>
      <c r="AK185" s="213"/>
      <c r="AL185" s="213"/>
      <c r="AM185" s="213"/>
      <c r="AN185" s="215"/>
      <c r="AO185" s="213"/>
      <c r="AP185" s="215"/>
      <c r="AQ185" s="213"/>
      <c r="AR185" s="325"/>
      <c r="AS185" s="213"/>
      <c r="AT185" s="215"/>
      <c r="AU185" s="213"/>
      <c r="AV185" s="215"/>
      <c r="AW185" s="213"/>
      <c r="AX185" s="213"/>
      <c r="AY185" s="213"/>
      <c r="AZ185" s="215"/>
      <c r="BA185" s="213"/>
      <c r="BB185" s="215"/>
      <c r="BC185" s="213"/>
      <c r="BD185" s="213"/>
      <c r="BE185" s="213"/>
      <c r="BF185" s="215"/>
      <c r="BG185" s="213"/>
      <c r="BH185" s="215"/>
      <c r="BI185" s="213"/>
      <c r="BJ185" s="213"/>
      <c r="BK185" s="213"/>
      <c r="BL185" s="215"/>
      <c r="BM185" s="213"/>
      <c r="BN185" s="215"/>
      <c r="BO185" s="213"/>
      <c r="BP185" s="213"/>
      <c r="BQ185" s="213"/>
      <c r="BR185" s="326"/>
      <c r="BS185" s="213"/>
      <c r="BT185" s="215"/>
      <c r="BU185" s="213"/>
      <c r="BV185" s="213"/>
      <c r="BW185" s="213"/>
      <c r="BX185" s="213"/>
      <c r="BY185" s="213"/>
      <c r="BZ185" s="213"/>
      <c r="CA185" s="213"/>
      <c r="CB185" s="213"/>
      <c r="CC185" s="213"/>
      <c r="CD185" s="213"/>
      <c r="CE185" s="213"/>
      <c r="CF185" s="213"/>
      <c r="CG185" s="213"/>
      <c r="CH185" s="213"/>
      <c r="CI185" s="213"/>
      <c r="CJ185" s="213"/>
      <c r="CK185" s="213"/>
      <c r="CL185" s="213"/>
      <c r="CM185" s="213"/>
      <c r="CN185" s="213"/>
      <c r="CO185" s="213"/>
      <c r="CP185" s="213"/>
      <c r="CQ185" s="213"/>
    </row>
    <row r="186" ht="15.75" customHeight="1">
      <c r="A186" s="213"/>
      <c r="B186" s="213"/>
      <c r="C186" s="213"/>
      <c r="D186" s="215"/>
      <c r="E186" s="213"/>
      <c r="F186" s="215"/>
      <c r="G186" s="213"/>
      <c r="H186" s="215"/>
      <c r="I186" s="213"/>
      <c r="J186" s="215"/>
      <c r="K186" s="213"/>
      <c r="L186" s="215"/>
      <c r="M186" s="213"/>
      <c r="N186" s="213"/>
      <c r="O186" s="213"/>
      <c r="P186" s="215"/>
      <c r="Q186" s="213"/>
      <c r="R186" s="215"/>
      <c r="S186" s="213"/>
      <c r="T186" s="213"/>
      <c r="U186" s="213"/>
      <c r="V186" s="215"/>
      <c r="W186" s="213"/>
      <c r="X186" s="215"/>
      <c r="Y186" s="213"/>
      <c r="Z186" s="213"/>
      <c r="AA186" s="213"/>
      <c r="AB186" s="215"/>
      <c r="AC186" s="213"/>
      <c r="AD186" s="215"/>
      <c r="AE186" s="213"/>
      <c r="AF186" s="213"/>
      <c r="AG186" s="213"/>
      <c r="AH186" s="215"/>
      <c r="AI186" s="213"/>
      <c r="AJ186" s="215"/>
      <c r="AK186" s="213"/>
      <c r="AL186" s="213"/>
      <c r="AM186" s="213"/>
      <c r="AN186" s="215"/>
      <c r="AO186" s="213"/>
      <c r="AP186" s="215"/>
      <c r="AQ186" s="213"/>
      <c r="AR186" s="325"/>
      <c r="AS186" s="213"/>
      <c r="AT186" s="215"/>
      <c r="AU186" s="213"/>
      <c r="AV186" s="215"/>
      <c r="AW186" s="213"/>
      <c r="AX186" s="213"/>
      <c r="AY186" s="213"/>
      <c r="AZ186" s="215"/>
      <c r="BA186" s="213"/>
      <c r="BB186" s="215"/>
      <c r="BC186" s="213"/>
      <c r="BD186" s="213"/>
      <c r="BE186" s="213"/>
      <c r="BF186" s="215"/>
      <c r="BG186" s="213"/>
      <c r="BH186" s="215"/>
      <c r="BI186" s="213"/>
      <c r="BJ186" s="213"/>
      <c r="BK186" s="213"/>
      <c r="BL186" s="215"/>
      <c r="BM186" s="213"/>
      <c r="BN186" s="215"/>
      <c r="BO186" s="213"/>
      <c r="BP186" s="213"/>
      <c r="BQ186" s="213"/>
      <c r="BR186" s="326"/>
      <c r="BS186" s="213"/>
      <c r="BT186" s="215"/>
      <c r="BU186" s="213"/>
      <c r="BV186" s="213"/>
      <c r="BW186" s="213"/>
      <c r="BX186" s="213"/>
      <c r="BY186" s="213"/>
      <c r="BZ186" s="213"/>
      <c r="CA186" s="213"/>
      <c r="CB186" s="213"/>
      <c r="CC186" s="213"/>
      <c r="CD186" s="213"/>
      <c r="CE186" s="213"/>
      <c r="CF186" s="213"/>
      <c r="CG186" s="213"/>
      <c r="CH186" s="213"/>
      <c r="CI186" s="213"/>
      <c r="CJ186" s="213"/>
      <c r="CK186" s="213"/>
      <c r="CL186" s="213"/>
      <c r="CM186" s="213"/>
      <c r="CN186" s="213"/>
      <c r="CO186" s="213"/>
      <c r="CP186" s="213"/>
      <c r="CQ186" s="213"/>
    </row>
    <row r="187" ht="15.75" customHeight="1">
      <c r="A187" s="213"/>
      <c r="B187" s="213"/>
      <c r="C187" s="213"/>
      <c r="D187" s="215"/>
      <c r="E187" s="213"/>
      <c r="F187" s="215"/>
      <c r="G187" s="213"/>
      <c r="H187" s="215"/>
      <c r="I187" s="213"/>
      <c r="J187" s="215"/>
      <c r="K187" s="213"/>
      <c r="L187" s="215"/>
      <c r="M187" s="213"/>
      <c r="N187" s="213"/>
      <c r="O187" s="213"/>
      <c r="P187" s="215"/>
      <c r="Q187" s="213"/>
      <c r="R187" s="215"/>
      <c r="S187" s="213"/>
      <c r="T187" s="213"/>
      <c r="U187" s="213"/>
      <c r="V187" s="215"/>
      <c r="W187" s="213"/>
      <c r="X187" s="215"/>
      <c r="Y187" s="213"/>
      <c r="Z187" s="213"/>
      <c r="AA187" s="213"/>
      <c r="AB187" s="215"/>
      <c r="AC187" s="213"/>
      <c r="AD187" s="215"/>
      <c r="AE187" s="213"/>
      <c r="AF187" s="213"/>
      <c r="AG187" s="213"/>
      <c r="AH187" s="215"/>
      <c r="AI187" s="213"/>
      <c r="AJ187" s="215"/>
      <c r="AK187" s="213"/>
      <c r="AL187" s="213"/>
      <c r="AM187" s="213"/>
      <c r="AN187" s="215"/>
      <c r="AO187" s="213"/>
      <c r="AP187" s="215"/>
      <c r="AQ187" s="213"/>
      <c r="AR187" s="325"/>
      <c r="AS187" s="213"/>
      <c r="AT187" s="215"/>
      <c r="AU187" s="213"/>
      <c r="AV187" s="215"/>
      <c r="AW187" s="213"/>
      <c r="AX187" s="213"/>
      <c r="AY187" s="213"/>
      <c r="AZ187" s="215"/>
      <c r="BA187" s="213"/>
      <c r="BB187" s="215"/>
      <c r="BC187" s="213"/>
      <c r="BD187" s="213"/>
      <c r="BE187" s="213"/>
      <c r="BF187" s="215"/>
      <c r="BG187" s="213"/>
      <c r="BH187" s="215"/>
      <c r="BI187" s="213"/>
      <c r="BJ187" s="213"/>
      <c r="BK187" s="213"/>
      <c r="BL187" s="215"/>
      <c r="BM187" s="213"/>
      <c r="BN187" s="215"/>
      <c r="BO187" s="213"/>
      <c r="BP187" s="213"/>
      <c r="BQ187" s="213"/>
      <c r="BR187" s="326"/>
      <c r="BS187" s="213"/>
      <c r="BT187" s="215"/>
      <c r="BU187" s="213"/>
      <c r="BV187" s="213"/>
      <c r="BW187" s="213"/>
      <c r="BX187" s="213"/>
      <c r="BY187" s="213"/>
      <c r="BZ187" s="213"/>
      <c r="CA187" s="213"/>
      <c r="CB187" s="213"/>
      <c r="CC187" s="213"/>
      <c r="CD187" s="213"/>
      <c r="CE187" s="213"/>
      <c r="CF187" s="213"/>
      <c r="CG187" s="213"/>
      <c r="CH187" s="213"/>
      <c r="CI187" s="213"/>
      <c r="CJ187" s="213"/>
      <c r="CK187" s="213"/>
      <c r="CL187" s="213"/>
      <c r="CM187" s="213"/>
      <c r="CN187" s="213"/>
      <c r="CO187" s="213"/>
      <c r="CP187" s="213"/>
      <c r="CQ187" s="213"/>
    </row>
    <row r="188" ht="15.75" customHeight="1">
      <c r="A188" s="213"/>
      <c r="B188" s="213"/>
      <c r="C188" s="213"/>
      <c r="D188" s="215"/>
      <c r="E188" s="213"/>
      <c r="F188" s="215"/>
      <c r="G188" s="213"/>
      <c r="H188" s="215"/>
      <c r="I188" s="213"/>
      <c r="J188" s="215"/>
      <c r="K188" s="213"/>
      <c r="L188" s="215"/>
      <c r="M188" s="213"/>
      <c r="N188" s="213"/>
      <c r="O188" s="213"/>
      <c r="P188" s="215"/>
      <c r="Q188" s="213"/>
      <c r="R188" s="215"/>
      <c r="S188" s="213"/>
      <c r="T188" s="213"/>
      <c r="U188" s="213"/>
      <c r="V188" s="215"/>
      <c r="W188" s="213"/>
      <c r="X188" s="215"/>
      <c r="Y188" s="213"/>
      <c r="Z188" s="213"/>
      <c r="AA188" s="213"/>
      <c r="AB188" s="215"/>
      <c r="AC188" s="213"/>
      <c r="AD188" s="215"/>
      <c r="AE188" s="213"/>
      <c r="AF188" s="213"/>
      <c r="AG188" s="213"/>
      <c r="AH188" s="215"/>
      <c r="AI188" s="213"/>
      <c r="AJ188" s="215"/>
      <c r="AK188" s="213"/>
      <c r="AL188" s="213"/>
      <c r="AM188" s="213"/>
      <c r="AN188" s="215"/>
      <c r="AO188" s="213"/>
      <c r="AP188" s="215"/>
      <c r="AQ188" s="213"/>
      <c r="AR188" s="325"/>
      <c r="AS188" s="213"/>
      <c r="AT188" s="215"/>
      <c r="AU188" s="213"/>
      <c r="AV188" s="215"/>
      <c r="AW188" s="213"/>
      <c r="AX188" s="213"/>
      <c r="AY188" s="213"/>
      <c r="AZ188" s="215"/>
      <c r="BA188" s="213"/>
      <c r="BB188" s="215"/>
      <c r="BC188" s="213"/>
      <c r="BD188" s="213"/>
      <c r="BE188" s="213"/>
      <c r="BF188" s="215"/>
      <c r="BG188" s="213"/>
      <c r="BH188" s="215"/>
      <c r="BI188" s="213"/>
      <c r="BJ188" s="213"/>
      <c r="BK188" s="213"/>
      <c r="BL188" s="215"/>
      <c r="BM188" s="213"/>
      <c r="BN188" s="215"/>
      <c r="BO188" s="213"/>
      <c r="BP188" s="213"/>
      <c r="BQ188" s="213"/>
      <c r="BR188" s="326"/>
      <c r="BS188" s="213"/>
      <c r="BT188" s="215"/>
      <c r="BU188" s="213"/>
      <c r="BV188" s="213"/>
      <c r="BW188" s="213"/>
      <c r="BX188" s="213"/>
      <c r="BY188" s="213"/>
      <c r="BZ188" s="213"/>
      <c r="CA188" s="213"/>
      <c r="CB188" s="213"/>
      <c r="CC188" s="213"/>
      <c r="CD188" s="213"/>
      <c r="CE188" s="213"/>
      <c r="CF188" s="213"/>
      <c r="CG188" s="213"/>
      <c r="CH188" s="213"/>
      <c r="CI188" s="213"/>
      <c r="CJ188" s="213"/>
      <c r="CK188" s="213"/>
      <c r="CL188" s="213"/>
      <c r="CM188" s="213"/>
      <c r="CN188" s="213"/>
      <c r="CO188" s="213"/>
      <c r="CP188" s="213"/>
      <c r="CQ188" s="213"/>
    </row>
    <row r="189" ht="15.75" customHeight="1">
      <c r="A189" s="213"/>
      <c r="B189" s="213"/>
      <c r="C189" s="213"/>
      <c r="D189" s="215"/>
      <c r="E189" s="213"/>
      <c r="F189" s="215"/>
      <c r="G189" s="213"/>
      <c r="H189" s="215"/>
      <c r="I189" s="213"/>
      <c r="J189" s="215"/>
      <c r="K189" s="213"/>
      <c r="L189" s="215"/>
      <c r="M189" s="213"/>
      <c r="N189" s="213"/>
      <c r="O189" s="213"/>
      <c r="P189" s="215"/>
      <c r="Q189" s="213"/>
      <c r="R189" s="215"/>
      <c r="S189" s="213"/>
      <c r="T189" s="213"/>
      <c r="U189" s="213"/>
      <c r="V189" s="215"/>
      <c r="W189" s="213"/>
      <c r="X189" s="215"/>
      <c r="Y189" s="213"/>
      <c r="Z189" s="213"/>
      <c r="AA189" s="213"/>
      <c r="AB189" s="215"/>
      <c r="AC189" s="213"/>
      <c r="AD189" s="215"/>
      <c r="AE189" s="213"/>
      <c r="AF189" s="213"/>
      <c r="AG189" s="213"/>
      <c r="AH189" s="215"/>
      <c r="AI189" s="213"/>
      <c r="AJ189" s="215"/>
      <c r="AK189" s="213"/>
      <c r="AL189" s="213"/>
      <c r="AM189" s="213"/>
      <c r="AN189" s="215"/>
      <c r="AO189" s="213"/>
      <c r="AP189" s="215"/>
      <c r="AQ189" s="213"/>
      <c r="AR189" s="325"/>
      <c r="AS189" s="213"/>
      <c r="AT189" s="215"/>
      <c r="AU189" s="213"/>
      <c r="AV189" s="215"/>
      <c r="AW189" s="213"/>
      <c r="AX189" s="213"/>
      <c r="AY189" s="213"/>
      <c r="AZ189" s="215"/>
      <c r="BA189" s="213"/>
      <c r="BB189" s="215"/>
      <c r="BC189" s="213"/>
      <c r="BD189" s="213"/>
      <c r="BE189" s="213"/>
      <c r="BF189" s="215"/>
      <c r="BG189" s="213"/>
      <c r="BH189" s="215"/>
      <c r="BI189" s="213"/>
      <c r="BJ189" s="213"/>
      <c r="BK189" s="213"/>
      <c r="BL189" s="215"/>
      <c r="BM189" s="213"/>
      <c r="BN189" s="215"/>
      <c r="BO189" s="213"/>
      <c r="BP189" s="213"/>
      <c r="BQ189" s="213"/>
      <c r="BR189" s="326"/>
      <c r="BS189" s="213"/>
      <c r="BT189" s="215"/>
      <c r="BU189" s="213"/>
      <c r="BV189" s="213"/>
      <c r="BW189" s="213"/>
      <c r="BX189" s="213"/>
      <c r="BY189" s="213"/>
      <c r="BZ189" s="213"/>
      <c r="CA189" s="213"/>
      <c r="CB189" s="213"/>
      <c r="CC189" s="213"/>
      <c r="CD189" s="213"/>
      <c r="CE189" s="213"/>
      <c r="CF189" s="213"/>
      <c r="CG189" s="213"/>
      <c r="CH189" s="213"/>
      <c r="CI189" s="213"/>
      <c r="CJ189" s="213"/>
      <c r="CK189" s="213"/>
      <c r="CL189" s="213"/>
      <c r="CM189" s="213"/>
      <c r="CN189" s="213"/>
      <c r="CO189" s="213"/>
      <c r="CP189" s="213"/>
      <c r="CQ189" s="213"/>
    </row>
    <row r="190" ht="15.75" customHeight="1">
      <c r="A190" s="213"/>
      <c r="B190" s="213"/>
      <c r="C190" s="213"/>
      <c r="D190" s="215"/>
      <c r="E190" s="213"/>
      <c r="F190" s="215"/>
      <c r="G190" s="213"/>
      <c r="H190" s="215"/>
      <c r="I190" s="213"/>
      <c r="J190" s="215"/>
      <c r="K190" s="213"/>
      <c r="L190" s="215"/>
      <c r="M190" s="213"/>
      <c r="N190" s="213"/>
      <c r="O190" s="213"/>
      <c r="P190" s="215"/>
      <c r="Q190" s="213"/>
      <c r="R190" s="215"/>
      <c r="S190" s="213"/>
      <c r="T190" s="213"/>
      <c r="U190" s="213"/>
      <c r="V190" s="215"/>
      <c r="W190" s="213"/>
      <c r="X190" s="215"/>
      <c r="Y190" s="213"/>
      <c r="Z190" s="213"/>
      <c r="AA190" s="213"/>
      <c r="AB190" s="215"/>
      <c r="AC190" s="213"/>
      <c r="AD190" s="215"/>
      <c r="AE190" s="213"/>
      <c r="AF190" s="213"/>
      <c r="AG190" s="213"/>
      <c r="AH190" s="215"/>
      <c r="AI190" s="213"/>
      <c r="AJ190" s="215"/>
      <c r="AK190" s="213"/>
      <c r="AL190" s="213"/>
      <c r="AM190" s="213"/>
      <c r="AN190" s="215"/>
      <c r="AO190" s="213"/>
      <c r="AP190" s="215"/>
      <c r="AQ190" s="213"/>
      <c r="AR190" s="325"/>
      <c r="AS190" s="213"/>
      <c r="AT190" s="215"/>
      <c r="AU190" s="213"/>
      <c r="AV190" s="215"/>
      <c r="AW190" s="213"/>
      <c r="AX190" s="213"/>
      <c r="AY190" s="213"/>
      <c r="AZ190" s="215"/>
      <c r="BA190" s="213"/>
      <c r="BB190" s="215"/>
      <c r="BC190" s="213"/>
      <c r="BD190" s="213"/>
      <c r="BE190" s="213"/>
      <c r="BF190" s="215"/>
      <c r="BG190" s="213"/>
      <c r="BH190" s="215"/>
      <c r="BI190" s="213"/>
      <c r="BJ190" s="213"/>
      <c r="BK190" s="213"/>
      <c r="BL190" s="215"/>
      <c r="BM190" s="213"/>
      <c r="BN190" s="215"/>
      <c r="BO190" s="213"/>
      <c r="BP190" s="213"/>
      <c r="BQ190" s="213"/>
      <c r="BR190" s="326"/>
      <c r="BS190" s="213"/>
      <c r="BT190" s="215"/>
      <c r="BU190" s="213"/>
      <c r="BV190" s="213"/>
      <c r="BW190" s="213"/>
      <c r="BX190" s="213"/>
      <c r="BY190" s="213"/>
      <c r="BZ190" s="213"/>
      <c r="CA190" s="213"/>
      <c r="CB190" s="213"/>
      <c r="CC190" s="213"/>
      <c r="CD190" s="213"/>
      <c r="CE190" s="213"/>
      <c r="CF190" s="213"/>
      <c r="CG190" s="213"/>
      <c r="CH190" s="213"/>
      <c r="CI190" s="213"/>
      <c r="CJ190" s="213"/>
      <c r="CK190" s="213"/>
      <c r="CL190" s="213"/>
      <c r="CM190" s="213"/>
      <c r="CN190" s="213"/>
      <c r="CO190" s="213"/>
      <c r="CP190" s="213"/>
      <c r="CQ190" s="213"/>
    </row>
    <row r="191" ht="15.75" customHeight="1">
      <c r="A191" s="213"/>
      <c r="B191" s="213"/>
      <c r="C191" s="213"/>
      <c r="D191" s="215"/>
      <c r="E191" s="213"/>
      <c r="F191" s="215"/>
      <c r="G191" s="213"/>
      <c r="H191" s="215"/>
      <c r="I191" s="213"/>
      <c r="J191" s="215"/>
      <c r="K191" s="213"/>
      <c r="L191" s="215"/>
      <c r="M191" s="213"/>
      <c r="N191" s="213"/>
      <c r="O191" s="213"/>
      <c r="P191" s="215"/>
      <c r="Q191" s="213"/>
      <c r="R191" s="215"/>
      <c r="S191" s="213"/>
      <c r="T191" s="213"/>
      <c r="U191" s="213"/>
      <c r="V191" s="215"/>
      <c r="W191" s="213"/>
      <c r="X191" s="215"/>
      <c r="Y191" s="213"/>
      <c r="Z191" s="213"/>
      <c r="AA191" s="213"/>
      <c r="AB191" s="215"/>
      <c r="AC191" s="213"/>
      <c r="AD191" s="215"/>
      <c r="AE191" s="213"/>
      <c r="AF191" s="213"/>
      <c r="AG191" s="213"/>
      <c r="AH191" s="215"/>
      <c r="AI191" s="213"/>
      <c r="AJ191" s="215"/>
      <c r="AK191" s="213"/>
      <c r="AL191" s="213"/>
      <c r="AM191" s="213"/>
      <c r="AN191" s="215"/>
      <c r="AO191" s="213"/>
      <c r="AP191" s="215"/>
      <c r="AQ191" s="213"/>
      <c r="AR191" s="325"/>
      <c r="AS191" s="213"/>
      <c r="AT191" s="215"/>
      <c r="AU191" s="213"/>
      <c r="AV191" s="215"/>
      <c r="AW191" s="213"/>
      <c r="AX191" s="213"/>
      <c r="AY191" s="213"/>
      <c r="AZ191" s="215"/>
      <c r="BA191" s="213"/>
      <c r="BB191" s="215"/>
      <c r="BC191" s="213"/>
      <c r="BD191" s="213"/>
      <c r="BE191" s="213"/>
      <c r="BF191" s="215"/>
      <c r="BG191" s="213"/>
      <c r="BH191" s="215"/>
      <c r="BI191" s="213"/>
      <c r="BJ191" s="213"/>
      <c r="BK191" s="213"/>
      <c r="BL191" s="215"/>
      <c r="BM191" s="213"/>
      <c r="BN191" s="215"/>
      <c r="BO191" s="213"/>
      <c r="BP191" s="213"/>
      <c r="BQ191" s="213"/>
      <c r="BR191" s="326"/>
      <c r="BS191" s="213"/>
      <c r="BT191" s="215"/>
      <c r="BU191" s="213"/>
      <c r="BV191" s="213"/>
      <c r="BW191" s="213"/>
      <c r="BX191" s="213"/>
      <c r="BY191" s="213"/>
      <c r="BZ191" s="213"/>
      <c r="CA191" s="213"/>
      <c r="CB191" s="213"/>
      <c r="CC191" s="213"/>
      <c r="CD191" s="213"/>
      <c r="CE191" s="213"/>
      <c r="CF191" s="213"/>
      <c r="CG191" s="213"/>
      <c r="CH191" s="213"/>
      <c r="CI191" s="213"/>
      <c r="CJ191" s="213"/>
      <c r="CK191" s="213"/>
      <c r="CL191" s="213"/>
      <c r="CM191" s="213"/>
      <c r="CN191" s="213"/>
      <c r="CO191" s="213"/>
      <c r="CP191" s="213"/>
      <c r="CQ191" s="213"/>
    </row>
    <row r="192" ht="15.75" customHeight="1">
      <c r="A192" s="213"/>
      <c r="B192" s="213"/>
      <c r="C192" s="213"/>
      <c r="D192" s="215"/>
      <c r="E192" s="213"/>
      <c r="F192" s="215"/>
      <c r="G192" s="213"/>
      <c r="H192" s="215"/>
      <c r="I192" s="213"/>
      <c r="J192" s="215"/>
      <c r="K192" s="213"/>
      <c r="L192" s="215"/>
      <c r="M192" s="213"/>
      <c r="N192" s="213"/>
      <c r="O192" s="213"/>
      <c r="P192" s="215"/>
      <c r="Q192" s="213"/>
      <c r="R192" s="215"/>
      <c r="S192" s="213"/>
      <c r="T192" s="213"/>
      <c r="U192" s="213"/>
      <c r="V192" s="215"/>
      <c r="W192" s="213"/>
      <c r="X192" s="215"/>
      <c r="Y192" s="213"/>
      <c r="Z192" s="213"/>
      <c r="AA192" s="213"/>
      <c r="AB192" s="215"/>
      <c r="AC192" s="213"/>
      <c r="AD192" s="215"/>
      <c r="AE192" s="213"/>
      <c r="AF192" s="213"/>
      <c r="AG192" s="213"/>
      <c r="AH192" s="215"/>
      <c r="AI192" s="213"/>
      <c r="AJ192" s="215"/>
      <c r="AK192" s="213"/>
      <c r="AL192" s="213"/>
      <c r="AM192" s="213"/>
      <c r="AN192" s="215"/>
      <c r="AO192" s="213"/>
      <c r="AP192" s="215"/>
      <c r="AQ192" s="213"/>
      <c r="AR192" s="325"/>
      <c r="AS192" s="213"/>
      <c r="AT192" s="215"/>
      <c r="AU192" s="213"/>
      <c r="AV192" s="215"/>
      <c r="AW192" s="213"/>
      <c r="AX192" s="213"/>
      <c r="AY192" s="213"/>
      <c r="AZ192" s="215"/>
      <c r="BA192" s="213"/>
      <c r="BB192" s="215"/>
      <c r="BC192" s="213"/>
      <c r="BD192" s="213"/>
      <c r="BE192" s="213"/>
      <c r="BF192" s="215"/>
      <c r="BG192" s="213"/>
      <c r="BH192" s="215"/>
      <c r="BI192" s="213"/>
      <c r="BJ192" s="213"/>
      <c r="BK192" s="213"/>
      <c r="BL192" s="215"/>
      <c r="BM192" s="213"/>
      <c r="BN192" s="215"/>
      <c r="BO192" s="213"/>
      <c r="BP192" s="213"/>
      <c r="BQ192" s="213"/>
      <c r="BR192" s="326"/>
      <c r="BS192" s="213"/>
      <c r="BT192" s="215"/>
      <c r="BU192" s="213"/>
      <c r="BV192" s="213"/>
      <c r="BW192" s="213"/>
      <c r="BX192" s="213"/>
      <c r="BY192" s="213"/>
      <c r="BZ192" s="213"/>
      <c r="CA192" s="213"/>
      <c r="CB192" s="213"/>
      <c r="CC192" s="213"/>
      <c r="CD192" s="213"/>
      <c r="CE192" s="213"/>
      <c r="CF192" s="213"/>
      <c r="CG192" s="213"/>
      <c r="CH192" s="213"/>
      <c r="CI192" s="213"/>
      <c r="CJ192" s="213"/>
      <c r="CK192" s="213"/>
      <c r="CL192" s="213"/>
      <c r="CM192" s="213"/>
      <c r="CN192" s="213"/>
      <c r="CO192" s="213"/>
      <c r="CP192" s="213"/>
      <c r="CQ192" s="213"/>
    </row>
    <row r="193" ht="15.75" customHeight="1">
      <c r="A193" s="213"/>
      <c r="B193" s="213"/>
      <c r="C193" s="213"/>
      <c r="D193" s="215"/>
      <c r="E193" s="213"/>
      <c r="F193" s="215"/>
      <c r="G193" s="213"/>
      <c r="H193" s="215"/>
      <c r="I193" s="213"/>
      <c r="J193" s="215"/>
      <c r="K193" s="213"/>
      <c r="L193" s="215"/>
      <c r="M193" s="213"/>
      <c r="N193" s="213"/>
      <c r="O193" s="213"/>
      <c r="P193" s="215"/>
      <c r="Q193" s="213"/>
      <c r="R193" s="215"/>
      <c r="S193" s="213"/>
      <c r="T193" s="213"/>
      <c r="U193" s="213"/>
      <c r="V193" s="215"/>
      <c r="W193" s="213"/>
      <c r="X193" s="215"/>
      <c r="Y193" s="213"/>
      <c r="Z193" s="213"/>
      <c r="AA193" s="213"/>
      <c r="AB193" s="215"/>
      <c r="AC193" s="213"/>
      <c r="AD193" s="215"/>
      <c r="AE193" s="213"/>
      <c r="AF193" s="213"/>
      <c r="AG193" s="213"/>
      <c r="AH193" s="215"/>
      <c r="AI193" s="213"/>
      <c r="AJ193" s="215"/>
      <c r="AK193" s="213"/>
      <c r="AL193" s="213"/>
      <c r="AM193" s="213"/>
      <c r="AN193" s="215"/>
      <c r="AO193" s="213"/>
      <c r="AP193" s="215"/>
      <c r="AQ193" s="213"/>
      <c r="AR193" s="325"/>
      <c r="AS193" s="213"/>
      <c r="AT193" s="215"/>
      <c r="AU193" s="213"/>
      <c r="AV193" s="215"/>
      <c r="AW193" s="213"/>
      <c r="AX193" s="213"/>
      <c r="AY193" s="213"/>
      <c r="AZ193" s="215"/>
      <c r="BA193" s="213"/>
      <c r="BB193" s="215"/>
      <c r="BC193" s="213"/>
      <c r="BD193" s="213"/>
      <c r="BE193" s="213"/>
      <c r="BF193" s="215"/>
      <c r="BG193" s="213"/>
      <c r="BH193" s="215"/>
      <c r="BI193" s="213"/>
      <c r="BJ193" s="213"/>
      <c r="BK193" s="213"/>
      <c r="BL193" s="215"/>
      <c r="BM193" s="213"/>
      <c r="BN193" s="215"/>
      <c r="BO193" s="213"/>
      <c r="BP193" s="213"/>
      <c r="BQ193" s="213"/>
      <c r="BR193" s="326"/>
      <c r="BS193" s="213"/>
      <c r="BT193" s="215"/>
      <c r="BU193" s="213"/>
      <c r="BV193" s="213"/>
      <c r="BW193" s="213"/>
      <c r="BX193" s="213"/>
      <c r="BY193" s="213"/>
      <c r="BZ193" s="213"/>
      <c r="CA193" s="213"/>
      <c r="CB193" s="213"/>
      <c r="CC193" s="213"/>
      <c r="CD193" s="213"/>
      <c r="CE193" s="213"/>
      <c r="CF193" s="213"/>
      <c r="CG193" s="213"/>
      <c r="CH193" s="213"/>
      <c r="CI193" s="213"/>
      <c r="CJ193" s="213"/>
      <c r="CK193" s="213"/>
      <c r="CL193" s="213"/>
      <c r="CM193" s="213"/>
      <c r="CN193" s="213"/>
      <c r="CO193" s="213"/>
      <c r="CP193" s="213"/>
      <c r="CQ193" s="213"/>
    </row>
    <row r="194" ht="15.75" customHeight="1">
      <c r="A194" s="213"/>
      <c r="B194" s="213"/>
      <c r="C194" s="213"/>
      <c r="D194" s="215"/>
      <c r="E194" s="213"/>
      <c r="F194" s="215"/>
      <c r="G194" s="213"/>
      <c r="H194" s="215"/>
      <c r="I194" s="213"/>
      <c r="J194" s="215"/>
      <c r="K194" s="213"/>
      <c r="L194" s="215"/>
      <c r="M194" s="213"/>
      <c r="N194" s="213"/>
      <c r="O194" s="213"/>
      <c r="P194" s="215"/>
      <c r="Q194" s="213"/>
      <c r="R194" s="215"/>
      <c r="S194" s="213"/>
      <c r="T194" s="213"/>
      <c r="U194" s="213"/>
      <c r="V194" s="215"/>
      <c r="W194" s="213"/>
      <c r="X194" s="215"/>
      <c r="Y194" s="213"/>
      <c r="Z194" s="213"/>
      <c r="AA194" s="213"/>
      <c r="AB194" s="215"/>
      <c r="AC194" s="213"/>
      <c r="AD194" s="215"/>
      <c r="AE194" s="213"/>
      <c r="AF194" s="213"/>
      <c r="AG194" s="213"/>
      <c r="AH194" s="215"/>
      <c r="AI194" s="213"/>
      <c r="AJ194" s="215"/>
      <c r="AK194" s="213"/>
      <c r="AL194" s="213"/>
      <c r="AM194" s="213"/>
      <c r="AN194" s="215"/>
      <c r="AO194" s="213"/>
      <c r="AP194" s="215"/>
      <c r="AQ194" s="213"/>
      <c r="AR194" s="325"/>
      <c r="AS194" s="213"/>
      <c r="AT194" s="215"/>
      <c r="AU194" s="213"/>
      <c r="AV194" s="215"/>
      <c r="AW194" s="213"/>
      <c r="AX194" s="213"/>
      <c r="AY194" s="213"/>
      <c r="AZ194" s="215"/>
      <c r="BA194" s="213"/>
      <c r="BB194" s="215"/>
      <c r="BC194" s="213"/>
      <c r="BD194" s="213"/>
      <c r="BE194" s="213"/>
      <c r="BF194" s="215"/>
      <c r="BG194" s="213"/>
      <c r="BH194" s="215"/>
      <c r="BI194" s="213"/>
      <c r="BJ194" s="213"/>
      <c r="BK194" s="213"/>
      <c r="BL194" s="215"/>
      <c r="BM194" s="213"/>
      <c r="BN194" s="215"/>
      <c r="BO194" s="213"/>
      <c r="BP194" s="213"/>
      <c r="BQ194" s="213"/>
      <c r="BR194" s="326"/>
      <c r="BS194" s="213"/>
      <c r="BT194" s="215"/>
      <c r="BU194" s="213"/>
      <c r="BV194" s="213"/>
      <c r="BW194" s="213"/>
      <c r="BX194" s="213"/>
      <c r="BY194" s="213"/>
      <c r="BZ194" s="213"/>
      <c r="CA194" s="213"/>
      <c r="CB194" s="213"/>
      <c r="CC194" s="213"/>
      <c r="CD194" s="213"/>
      <c r="CE194" s="213"/>
      <c r="CF194" s="213"/>
      <c r="CG194" s="213"/>
      <c r="CH194" s="213"/>
      <c r="CI194" s="213"/>
      <c r="CJ194" s="213"/>
      <c r="CK194" s="213"/>
      <c r="CL194" s="213"/>
      <c r="CM194" s="213"/>
      <c r="CN194" s="213"/>
      <c r="CO194" s="213"/>
      <c r="CP194" s="213"/>
      <c r="CQ194" s="213"/>
    </row>
    <row r="195" ht="15.75" customHeight="1">
      <c r="A195" s="213"/>
      <c r="B195" s="213"/>
      <c r="C195" s="213"/>
      <c r="D195" s="215"/>
      <c r="E195" s="213"/>
      <c r="F195" s="215"/>
      <c r="G195" s="213"/>
      <c r="H195" s="215"/>
      <c r="I195" s="213"/>
      <c r="J195" s="215"/>
      <c r="K195" s="213"/>
      <c r="L195" s="215"/>
      <c r="M195" s="213"/>
      <c r="N195" s="213"/>
      <c r="O195" s="213"/>
      <c r="P195" s="215"/>
      <c r="Q195" s="213"/>
      <c r="R195" s="215"/>
      <c r="S195" s="213"/>
      <c r="T195" s="213"/>
      <c r="U195" s="213"/>
      <c r="V195" s="215"/>
      <c r="W195" s="213"/>
      <c r="X195" s="215"/>
      <c r="Y195" s="213"/>
      <c r="Z195" s="213"/>
      <c r="AA195" s="213"/>
      <c r="AB195" s="215"/>
      <c r="AC195" s="213"/>
      <c r="AD195" s="215"/>
      <c r="AE195" s="213"/>
      <c r="AF195" s="213"/>
      <c r="AG195" s="213"/>
      <c r="AH195" s="215"/>
      <c r="AI195" s="213"/>
      <c r="AJ195" s="215"/>
      <c r="AK195" s="213"/>
      <c r="AL195" s="213"/>
      <c r="AM195" s="213"/>
      <c r="AN195" s="215"/>
      <c r="AO195" s="213"/>
      <c r="AP195" s="215"/>
      <c r="AQ195" s="213"/>
      <c r="AR195" s="325"/>
      <c r="AS195" s="213"/>
      <c r="AT195" s="215"/>
      <c r="AU195" s="213"/>
      <c r="AV195" s="215"/>
      <c r="AW195" s="213"/>
      <c r="AX195" s="213"/>
      <c r="AY195" s="213"/>
      <c r="AZ195" s="215"/>
      <c r="BA195" s="213"/>
      <c r="BB195" s="215"/>
      <c r="BC195" s="213"/>
      <c r="BD195" s="213"/>
      <c r="BE195" s="213"/>
      <c r="BF195" s="215"/>
      <c r="BG195" s="213"/>
      <c r="BH195" s="215"/>
      <c r="BI195" s="213"/>
      <c r="BJ195" s="213"/>
      <c r="BK195" s="213"/>
      <c r="BL195" s="215"/>
      <c r="BM195" s="213"/>
      <c r="BN195" s="215"/>
      <c r="BO195" s="213"/>
      <c r="BP195" s="213"/>
      <c r="BQ195" s="213"/>
      <c r="BR195" s="326"/>
      <c r="BS195" s="213"/>
      <c r="BT195" s="215"/>
      <c r="BU195" s="213"/>
      <c r="BV195" s="213"/>
      <c r="BW195" s="213"/>
      <c r="BX195" s="213"/>
      <c r="BY195" s="213"/>
      <c r="BZ195" s="213"/>
      <c r="CA195" s="213"/>
      <c r="CB195" s="213"/>
      <c r="CC195" s="213"/>
      <c r="CD195" s="213"/>
      <c r="CE195" s="213"/>
      <c r="CF195" s="213"/>
      <c r="CG195" s="213"/>
      <c r="CH195" s="213"/>
      <c r="CI195" s="213"/>
      <c r="CJ195" s="213"/>
      <c r="CK195" s="213"/>
      <c r="CL195" s="213"/>
      <c r="CM195" s="213"/>
      <c r="CN195" s="213"/>
      <c r="CO195" s="213"/>
      <c r="CP195" s="213"/>
      <c r="CQ195" s="213"/>
    </row>
    <row r="196" ht="15.75" customHeight="1">
      <c r="A196" s="213"/>
      <c r="B196" s="213"/>
      <c r="C196" s="213"/>
      <c r="D196" s="215"/>
      <c r="E196" s="213"/>
      <c r="F196" s="215"/>
      <c r="G196" s="213"/>
      <c r="H196" s="215"/>
      <c r="I196" s="213"/>
      <c r="J196" s="215"/>
      <c r="K196" s="213"/>
      <c r="L196" s="215"/>
      <c r="M196" s="213"/>
      <c r="N196" s="213"/>
      <c r="O196" s="213"/>
      <c r="P196" s="215"/>
      <c r="Q196" s="213"/>
      <c r="R196" s="215"/>
      <c r="S196" s="213"/>
      <c r="T196" s="213"/>
      <c r="U196" s="213"/>
      <c r="V196" s="215"/>
      <c r="W196" s="213"/>
      <c r="X196" s="215"/>
      <c r="Y196" s="213"/>
      <c r="Z196" s="213"/>
      <c r="AA196" s="213"/>
      <c r="AB196" s="215"/>
      <c r="AC196" s="213"/>
      <c r="AD196" s="215"/>
      <c r="AE196" s="213"/>
      <c r="AF196" s="213"/>
      <c r="AG196" s="213"/>
      <c r="AH196" s="215"/>
      <c r="AI196" s="213"/>
      <c r="AJ196" s="215"/>
      <c r="AK196" s="213"/>
      <c r="AL196" s="213"/>
      <c r="AM196" s="213"/>
      <c r="AN196" s="215"/>
      <c r="AO196" s="213"/>
      <c r="AP196" s="215"/>
      <c r="AQ196" s="213"/>
      <c r="AR196" s="325"/>
      <c r="AS196" s="213"/>
      <c r="AT196" s="215"/>
      <c r="AU196" s="213"/>
      <c r="AV196" s="215"/>
      <c r="AW196" s="213"/>
      <c r="AX196" s="213"/>
      <c r="AY196" s="213"/>
      <c r="AZ196" s="215"/>
      <c r="BA196" s="213"/>
      <c r="BB196" s="215"/>
      <c r="BC196" s="213"/>
      <c r="BD196" s="213"/>
      <c r="BE196" s="213"/>
      <c r="BF196" s="215"/>
      <c r="BG196" s="213"/>
      <c r="BH196" s="215"/>
      <c r="BI196" s="213"/>
      <c r="BJ196" s="213"/>
      <c r="BK196" s="213"/>
      <c r="BL196" s="215"/>
      <c r="BM196" s="213"/>
      <c r="BN196" s="215"/>
      <c r="BO196" s="213"/>
      <c r="BP196" s="213"/>
      <c r="BQ196" s="213"/>
      <c r="BR196" s="326"/>
      <c r="BS196" s="213"/>
      <c r="BT196" s="215"/>
      <c r="BU196" s="213"/>
      <c r="BV196" s="213"/>
      <c r="BW196" s="213"/>
      <c r="BX196" s="213"/>
      <c r="BY196" s="213"/>
      <c r="BZ196" s="213"/>
      <c r="CA196" s="213"/>
      <c r="CB196" s="213"/>
      <c r="CC196" s="213"/>
      <c r="CD196" s="213"/>
      <c r="CE196" s="213"/>
      <c r="CF196" s="213"/>
      <c r="CG196" s="213"/>
      <c r="CH196" s="213"/>
      <c r="CI196" s="213"/>
      <c r="CJ196" s="213"/>
      <c r="CK196" s="213"/>
      <c r="CL196" s="213"/>
      <c r="CM196" s="213"/>
      <c r="CN196" s="213"/>
      <c r="CO196" s="213"/>
      <c r="CP196" s="213"/>
      <c r="CQ196" s="213"/>
    </row>
    <row r="197" ht="15.75" customHeight="1">
      <c r="A197" s="213"/>
      <c r="B197" s="213"/>
      <c r="C197" s="213"/>
      <c r="D197" s="215"/>
      <c r="E197" s="213"/>
      <c r="F197" s="215"/>
      <c r="G197" s="213"/>
      <c r="H197" s="215"/>
      <c r="I197" s="213"/>
      <c r="J197" s="215"/>
      <c r="K197" s="213"/>
      <c r="L197" s="215"/>
      <c r="M197" s="213"/>
      <c r="N197" s="213"/>
      <c r="O197" s="213"/>
      <c r="P197" s="215"/>
      <c r="Q197" s="213"/>
      <c r="R197" s="215"/>
      <c r="S197" s="213"/>
      <c r="T197" s="213"/>
      <c r="U197" s="213"/>
      <c r="V197" s="215"/>
      <c r="W197" s="213"/>
      <c r="X197" s="215"/>
      <c r="Y197" s="213"/>
      <c r="Z197" s="213"/>
      <c r="AA197" s="213"/>
      <c r="AB197" s="215"/>
      <c r="AC197" s="213"/>
      <c r="AD197" s="215"/>
      <c r="AE197" s="213"/>
      <c r="AF197" s="213"/>
      <c r="AG197" s="213"/>
      <c r="AH197" s="215"/>
      <c r="AI197" s="213"/>
      <c r="AJ197" s="215"/>
      <c r="AK197" s="213"/>
      <c r="AL197" s="213"/>
      <c r="AM197" s="213"/>
      <c r="AN197" s="215"/>
      <c r="AO197" s="213"/>
      <c r="AP197" s="215"/>
      <c r="AQ197" s="213"/>
      <c r="AR197" s="325"/>
      <c r="AS197" s="213"/>
      <c r="AT197" s="215"/>
      <c r="AU197" s="213"/>
      <c r="AV197" s="215"/>
      <c r="AW197" s="213"/>
      <c r="AX197" s="213"/>
      <c r="AY197" s="213"/>
      <c r="AZ197" s="215"/>
      <c r="BA197" s="213"/>
      <c r="BB197" s="215"/>
      <c r="BC197" s="213"/>
      <c r="BD197" s="213"/>
      <c r="BE197" s="213"/>
      <c r="BF197" s="215"/>
      <c r="BG197" s="213"/>
      <c r="BH197" s="215"/>
      <c r="BI197" s="213"/>
      <c r="BJ197" s="213"/>
      <c r="BK197" s="213"/>
      <c r="BL197" s="215"/>
      <c r="BM197" s="213"/>
      <c r="BN197" s="215"/>
      <c r="BO197" s="213"/>
      <c r="BP197" s="213"/>
      <c r="BQ197" s="213"/>
      <c r="BR197" s="326"/>
      <c r="BS197" s="213"/>
      <c r="BT197" s="215"/>
      <c r="BU197" s="213"/>
      <c r="BV197" s="213"/>
      <c r="BW197" s="213"/>
      <c r="BX197" s="213"/>
      <c r="BY197" s="213"/>
      <c r="BZ197" s="213"/>
      <c r="CA197" s="213"/>
      <c r="CB197" s="213"/>
      <c r="CC197" s="213"/>
      <c r="CD197" s="213"/>
      <c r="CE197" s="213"/>
      <c r="CF197" s="213"/>
      <c r="CG197" s="213"/>
      <c r="CH197" s="213"/>
      <c r="CI197" s="213"/>
      <c r="CJ197" s="213"/>
      <c r="CK197" s="213"/>
      <c r="CL197" s="213"/>
      <c r="CM197" s="213"/>
      <c r="CN197" s="213"/>
      <c r="CO197" s="213"/>
      <c r="CP197" s="213"/>
      <c r="CQ197" s="213"/>
    </row>
    <row r="198" ht="15.75" customHeight="1">
      <c r="A198" s="213"/>
      <c r="B198" s="213"/>
      <c r="C198" s="213"/>
      <c r="D198" s="215"/>
      <c r="E198" s="213"/>
      <c r="F198" s="215"/>
      <c r="G198" s="213"/>
      <c r="H198" s="215"/>
      <c r="I198" s="213"/>
      <c r="J198" s="215"/>
      <c r="K198" s="213"/>
      <c r="L198" s="215"/>
      <c r="M198" s="213"/>
      <c r="N198" s="213"/>
      <c r="O198" s="213"/>
      <c r="P198" s="215"/>
      <c r="Q198" s="213"/>
      <c r="R198" s="215"/>
      <c r="S198" s="213"/>
      <c r="T198" s="213"/>
      <c r="U198" s="213"/>
      <c r="V198" s="215"/>
      <c r="W198" s="213"/>
      <c r="X198" s="215"/>
      <c r="Y198" s="213"/>
      <c r="Z198" s="213"/>
      <c r="AA198" s="213"/>
      <c r="AB198" s="215"/>
      <c r="AC198" s="213"/>
      <c r="AD198" s="215"/>
      <c r="AE198" s="213"/>
      <c r="AF198" s="213"/>
      <c r="AG198" s="213"/>
      <c r="AH198" s="215"/>
      <c r="AI198" s="213"/>
      <c r="AJ198" s="215"/>
      <c r="AK198" s="213"/>
      <c r="AL198" s="213"/>
      <c r="AM198" s="213"/>
      <c r="AN198" s="215"/>
      <c r="AO198" s="213"/>
      <c r="AP198" s="215"/>
      <c r="AQ198" s="213"/>
      <c r="AR198" s="325"/>
      <c r="AS198" s="213"/>
      <c r="AT198" s="215"/>
      <c r="AU198" s="213"/>
      <c r="AV198" s="215"/>
      <c r="AW198" s="213"/>
      <c r="AX198" s="213"/>
      <c r="AY198" s="213"/>
      <c r="AZ198" s="215"/>
      <c r="BA198" s="213"/>
      <c r="BB198" s="215"/>
      <c r="BC198" s="213"/>
      <c r="BD198" s="213"/>
      <c r="BE198" s="213"/>
      <c r="BF198" s="215"/>
      <c r="BG198" s="213"/>
      <c r="BH198" s="215"/>
      <c r="BI198" s="213"/>
      <c r="BJ198" s="213"/>
      <c r="BK198" s="213"/>
      <c r="BL198" s="215"/>
      <c r="BM198" s="213"/>
      <c r="BN198" s="215"/>
      <c r="BO198" s="213"/>
      <c r="BP198" s="213"/>
      <c r="BQ198" s="213"/>
      <c r="BR198" s="326"/>
      <c r="BS198" s="213"/>
      <c r="BT198" s="215"/>
      <c r="BU198" s="213"/>
      <c r="BV198" s="213"/>
      <c r="BW198" s="213"/>
      <c r="BX198" s="213"/>
      <c r="BY198" s="213"/>
      <c r="BZ198" s="213"/>
      <c r="CA198" s="213"/>
      <c r="CB198" s="213"/>
      <c r="CC198" s="213"/>
      <c r="CD198" s="213"/>
      <c r="CE198" s="213"/>
      <c r="CF198" s="213"/>
      <c r="CG198" s="213"/>
      <c r="CH198" s="213"/>
      <c r="CI198" s="213"/>
      <c r="CJ198" s="213"/>
      <c r="CK198" s="213"/>
      <c r="CL198" s="213"/>
      <c r="CM198" s="213"/>
      <c r="CN198" s="213"/>
      <c r="CO198" s="213"/>
      <c r="CP198" s="213"/>
      <c r="CQ198" s="213"/>
    </row>
    <row r="199" ht="15.75" customHeight="1">
      <c r="A199" s="213"/>
      <c r="B199" s="213"/>
      <c r="C199" s="213"/>
      <c r="D199" s="215"/>
      <c r="E199" s="213"/>
      <c r="F199" s="215"/>
      <c r="G199" s="213"/>
      <c r="H199" s="215"/>
      <c r="I199" s="213"/>
      <c r="J199" s="215"/>
      <c r="K199" s="213"/>
      <c r="L199" s="215"/>
      <c r="M199" s="213"/>
      <c r="N199" s="213"/>
      <c r="O199" s="213"/>
      <c r="P199" s="215"/>
      <c r="Q199" s="213"/>
      <c r="R199" s="215"/>
      <c r="S199" s="213"/>
      <c r="T199" s="213"/>
      <c r="U199" s="213"/>
      <c r="V199" s="215"/>
      <c r="W199" s="213"/>
      <c r="X199" s="215"/>
      <c r="Y199" s="213"/>
      <c r="Z199" s="213"/>
      <c r="AA199" s="213"/>
      <c r="AB199" s="215"/>
      <c r="AC199" s="213"/>
      <c r="AD199" s="215"/>
      <c r="AE199" s="213"/>
      <c r="AF199" s="213"/>
      <c r="AG199" s="213"/>
      <c r="AH199" s="215"/>
      <c r="AI199" s="213"/>
      <c r="AJ199" s="215"/>
      <c r="AK199" s="213"/>
      <c r="AL199" s="213"/>
      <c r="AM199" s="213"/>
      <c r="AN199" s="215"/>
      <c r="AO199" s="213"/>
      <c r="AP199" s="215"/>
      <c r="AQ199" s="213"/>
      <c r="AR199" s="325"/>
      <c r="AS199" s="213"/>
      <c r="AT199" s="215"/>
      <c r="AU199" s="213"/>
      <c r="AV199" s="215"/>
      <c r="AW199" s="213"/>
      <c r="AX199" s="213"/>
      <c r="AY199" s="213"/>
      <c r="AZ199" s="215"/>
      <c r="BA199" s="213"/>
      <c r="BB199" s="215"/>
      <c r="BC199" s="213"/>
      <c r="BD199" s="213"/>
      <c r="BE199" s="213"/>
      <c r="BF199" s="215"/>
      <c r="BG199" s="213"/>
      <c r="BH199" s="215"/>
      <c r="BI199" s="213"/>
      <c r="BJ199" s="213"/>
      <c r="BK199" s="213"/>
      <c r="BL199" s="215"/>
      <c r="BM199" s="213"/>
      <c r="BN199" s="215"/>
      <c r="BO199" s="213"/>
      <c r="BP199" s="213"/>
      <c r="BQ199" s="213"/>
      <c r="BR199" s="326"/>
      <c r="BS199" s="213"/>
      <c r="BT199" s="215"/>
      <c r="BU199" s="213"/>
      <c r="BV199" s="213"/>
      <c r="BW199" s="213"/>
      <c r="BX199" s="213"/>
      <c r="BY199" s="213"/>
      <c r="BZ199" s="213"/>
      <c r="CA199" s="213"/>
      <c r="CB199" s="213"/>
      <c r="CC199" s="213"/>
      <c r="CD199" s="213"/>
      <c r="CE199" s="213"/>
      <c r="CF199" s="213"/>
      <c r="CG199" s="213"/>
      <c r="CH199" s="213"/>
      <c r="CI199" s="213"/>
      <c r="CJ199" s="213"/>
      <c r="CK199" s="213"/>
      <c r="CL199" s="213"/>
      <c r="CM199" s="213"/>
      <c r="CN199" s="213"/>
      <c r="CO199" s="213"/>
      <c r="CP199" s="213"/>
      <c r="CQ199" s="213"/>
    </row>
    <row r="200" ht="15.75" customHeight="1">
      <c r="A200" s="213"/>
      <c r="B200" s="213"/>
      <c r="C200" s="213"/>
      <c r="D200" s="215"/>
      <c r="E200" s="213"/>
      <c r="F200" s="215"/>
      <c r="G200" s="213"/>
      <c r="H200" s="215"/>
      <c r="I200" s="213"/>
      <c r="J200" s="215"/>
      <c r="K200" s="213"/>
      <c r="L200" s="215"/>
      <c r="M200" s="213"/>
      <c r="N200" s="213"/>
      <c r="O200" s="213"/>
      <c r="P200" s="215"/>
      <c r="Q200" s="213"/>
      <c r="R200" s="215"/>
      <c r="S200" s="213"/>
      <c r="T200" s="213"/>
      <c r="U200" s="213"/>
      <c r="V200" s="215"/>
      <c r="W200" s="213"/>
      <c r="X200" s="215"/>
      <c r="Y200" s="213"/>
      <c r="Z200" s="213"/>
      <c r="AA200" s="213"/>
      <c r="AB200" s="215"/>
      <c r="AC200" s="213"/>
      <c r="AD200" s="215"/>
      <c r="AE200" s="213"/>
      <c r="AF200" s="213"/>
      <c r="AG200" s="213"/>
      <c r="AH200" s="215"/>
      <c r="AI200" s="213"/>
      <c r="AJ200" s="215"/>
      <c r="AK200" s="213"/>
      <c r="AL200" s="213"/>
      <c r="AM200" s="213"/>
      <c r="AN200" s="215"/>
      <c r="AO200" s="213"/>
      <c r="AP200" s="215"/>
      <c r="AQ200" s="213"/>
      <c r="AR200" s="325"/>
      <c r="AS200" s="213"/>
      <c r="AT200" s="215"/>
      <c r="AU200" s="213"/>
      <c r="AV200" s="215"/>
      <c r="AW200" s="213"/>
      <c r="AX200" s="213"/>
      <c r="AY200" s="213"/>
      <c r="AZ200" s="215"/>
      <c r="BA200" s="213"/>
      <c r="BB200" s="215"/>
      <c r="BC200" s="213"/>
      <c r="BD200" s="213"/>
      <c r="BE200" s="213"/>
      <c r="BF200" s="215"/>
      <c r="BG200" s="213"/>
      <c r="BH200" s="215"/>
      <c r="BI200" s="213"/>
      <c r="BJ200" s="213"/>
      <c r="BK200" s="213"/>
      <c r="BL200" s="215"/>
      <c r="BM200" s="213"/>
      <c r="BN200" s="215"/>
      <c r="BO200" s="213"/>
      <c r="BP200" s="213"/>
      <c r="BQ200" s="213"/>
      <c r="BR200" s="326"/>
      <c r="BS200" s="213"/>
      <c r="BT200" s="215"/>
      <c r="BU200" s="213"/>
      <c r="BV200" s="213"/>
      <c r="BW200" s="213"/>
      <c r="BX200" s="213"/>
      <c r="BY200" s="213"/>
      <c r="BZ200" s="213"/>
      <c r="CA200" s="213"/>
      <c r="CB200" s="213"/>
      <c r="CC200" s="213"/>
      <c r="CD200" s="213"/>
      <c r="CE200" s="213"/>
      <c r="CF200" s="213"/>
      <c r="CG200" s="213"/>
      <c r="CH200" s="213"/>
      <c r="CI200" s="213"/>
      <c r="CJ200" s="213"/>
      <c r="CK200" s="213"/>
      <c r="CL200" s="213"/>
      <c r="CM200" s="213"/>
      <c r="CN200" s="213"/>
      <c r="CO200" s="213"/>
      <c r="CP200" s="213"/>
      <c r="CQ200" s="213"/>
    </row>
    <row r="201" ht="15.75" customHeight="1">
      <c r="A201" s="213"/>
      <c r="B201" s="213"/>
      <c r="C201" s="213"/>
      <c r="D201" s="215"/>
      <c r="E201" s="213"/>
      <c r="F201" s="215"/>
      <c r="G201" s="213"/>
      <c r="H201" s="215"/>
      <c r="I201" s="213"/>
      <c r="J201" s="215"/>
      <c r="K201" s="213"/>
      <c r="L201" s="215"/>
      <c r="M201" s="213"/>
      <c r="N201" s="213"/>
      <c r="O201" s="213"/>
      <c r="P201" s="215"/>
      <c r="Q201" s="213"/>
      <c r="R201" s="215"/>
      <c r="S201" s="213"/>
      <c r="T201" s="213"/>
      <c r="U201" s="213"/>
      <c r="V201" s="215"/>
      <c r="W201" s="213"/>
      <c r="X201" s="215"/>
      <c r="Y201" s="213"/>
      <c r="Z201" s="213"/>
      <c r="AA201" s="213"/>
      <c r="AB201" s="215"/>
      <c r="AC201" s="213"/>
      <c r="AD201" s="215"/>
      <c r="AE201" s="213"/>
      <c r="AF201" s="213"/>
      <c r="AG201" s="213"/>
      <c r="AH201" s="215"/>
      <c r="AI201" s="213"/>
      <c r="AJ201" s="215"/>
      <c r="AK201" s="213"/>
      <c r="AL201" s="213"/>
      <c r="AM201" s="213"/>
      <c r="AN201" s="215"/>
      <c r="AO201" s="213"/>
      <c r="AP201" s="215"/>
      <c r="AQ201" s="213"/>
      <c r="AR201" s="325"/>
      <c r="AS201" s="213"/>
      <c r="AT201" s="215"/>
      <c r="AU201" s="213"/>
      <c r="AV201" s="215"/>
      <c r="AW201" s="213"/>
      <c r="AX201" s="213"/>
      <c r="AY201" s="213"/>
      <c r="AZ201" s="215"/>
      <c r="BA201" s="213"/>
      <c r="BB201" s="215"/>
      <c r="BC201" s="213"/>
      <c r="BD201" s="213"/>
      <c r="BE201" s="213"/>
      <c r="BF201" s="215"/>
      <c r="BG201" s="213"/>
      <c r="BH201" s="215"/>
      <c r="BI201" s="213"/>
      <c r="BJ201" s="213"/>
      <c r="BK201" s="213"/>
      <c r="BL201" s="215"/>
      <c r="BM201" s="213"/>
      <c r="BN201" s="215"/>
      <c r="BO201" s="213"/>
      <c r="BP201" s="213"/>
      <c r="BQ201" s="213"/>
      <c r="BR201" s="326"/>
      <c r="BS201" s="213"/>
      <c r="BT201" s="215"/>
      <c r="BU201" s="213"/>
      <c r="BV201" s="213"/>
      <c r="BW201" s="213"/>
      <c r="BX201" s="213"/>
      <c r="BY201" s="213"/>
      <c r="BZ201" s="213"/>
      <c r="CA201" s="213"/>
      <c r="CB201" s="213"/>
      <c r="CC201" s="213"/>
      <c r="CD201" s="213"/>
      <c r="CE201" s="213"/>
      <c r="CF201" s="213"/>
      <c r="CG201" s="213"/>
      <c r="CH201" s="213"/>
      <c r="CI201" s="213"/>
      <c r="CJ201" s="213"/>
      <c r="CK201" s="213"/>
      <c r="CL201" s="213"/>
      <c r="CM201" s="213"/>
      <c r="CN201" s="213"/>
      <c r="CO201" s="213"/>
      <c r="CP201" s="213"/>
      <c r="CQ201" s="213"/>
    </row>
    <row r="202" ht="15.75" customHeight="1">
      <c r="A202" s="213"/>
      <c r="B202" s="213"/>
      <c r="C202" s="213"/>
      <c r="D202" s="215"/>
      <c r="E202" s="213"/>
      <c r="F202" s="215"/>
      <c r="G202" s="213"/>
      <c r="H202" s="215"/>
      <c r="I202" s="213"/>
      <c r="J202" s="215"/>
      <c r="K202" s="213"/>
      <c r="L202" s="215"/>
      <c r="M202" s="213"/>
      <c r="N202" s="213"/>
      <c r="O202" s="213"/>
      <c r="P202" s="215"/>
      <c r="Q202" s="213"/>
      <c r="R202" s="215"/>
      <c r="S202" s="213"/>
      <c r="T202" s="213"/>
      <c r="U202" s="213"/>
      <c r="V202" s="215"/>
      <c r="W202" s="213"/>
      <c r="X202" s="215"/>
      <c r="Y202" s="213"/>
      <c r="Z202" s="213"/>
      <c r="AA202" s="213"/>
      <c r="AB202" s="215"/>
      <c r="AC202" s="213"/>
      <c r="AD202" s="215"/>
      <c r="AE202" s="213"/>
      <c r="AF202" s="213"/>
      <c r="AG202" s="213"/>
      <c r="AH202" s="215"/>
      <c r="AI202" s="213"/>
      <c r="AJ202" s="215"/>
      <c r="AK202" s="213"/>
      <c r="AL202" s="213"/>
      <c r="AM202" s="213"/>
      <c r="AN202" s="215"/>
      <c r="AO202" s="213"/>
      <c r="AP202" s="215"/>
      <c r="AQ202" s="213"/>
      <c r="AR202" s="325"/>
      <c r="AS202" s="213"/>
      <c r="AT202" s="215"/>
      <c r="AU202" s="213"/>
      <c r="AV202" s="215"/>
      <c r="AW202" s="213"/>
      <c r="AX202" s="213"/>
      <c r="AY202" s="213"/>
      <c r="AZ202" s="215"/>
      <c r="BA202" s="213"/>
      <c r="BB202" s="215"/>
      <c r="BC202" s="213"/>
      <c r="BD202" s="213"/>
      <c r="BE202" s="213"/>
      <c r="BF202" s="215"/>
      <c r="BG202" s="213"/>
      <c r="BH202" s="215"/>
      <c r="BI202" s="213"/>
      <c r="BJ202" s="213"/>
      <c r="BK202" s="213"/>
      <c r="BL202" s="215"/>
      <c r="BM202" s="213"/>
      <c r="BN202" s="215"/>
      <c r="BO202" s="213"/>
      <c r="BP202" s="213"/>
      <c r="BQ202" s="213"/>
      <c r="BR202" s="326"/>
      <c r="BS202" s="213"/>
      <c r="BT202" s="215"/>
      <c r="BU202" s="213"/>
      <c r="BV202" s="213"/>
      <c r="BW202" s="213"/>
      <c r="BX202" s="213"/>
      <c r="BY202" s="213"/>
      <c r="BZ202" s="213"/>
      <c r="CA202" s="213"/>
      <c r="CB202" s="213"/>
      <c r="CC202" s="213"/>
      <c r="CD202" s="213"/>
      <c r="CE202" s="213"/>
      <c r="CF202" s="213"/>
      <c r="CG202" s="213"/>
      <c r="CH202" s="213"/>
      <c r="CI202" s="213"/>
      <c r="CJ202" s="213"/>
      <c r="CK202" s="213"/>
      <c r="CL202" s="213"/>
      <c r="CM202" s="213"/>
      <c r="CN202" s="213"/>
      <c r="CO202" s="213"/>
      <c r="CP202" s="213"/>
      <c r="CQ202" s="213"/>
    </row>
    <row r="203" ht="15.75" customHeight="1">
      <c r="A203" s="213"/>
      <c r="B203" s="213"/>
      <c r="C203" s="213"/>
      <c r="D203" s="215"/>
      <c r="E203" s="213"/>
      <c r="F203" s="215"/>
      <c r="G203" s="213"/>
      <c r="H203" s="215"/>
      <c r="I203" s="213"/>
      <c r="J203" s="215"/>
      <c r="K203" s="213"/>
      <c r="L203" s="215"/>
      <c r="M203" s="213"/>
      <c r="N203" s="213"/>
      <c r="O203" s="213"/>
      <c r="P203" s="215"/>
      <c r="Q203" s="213"/>
      <c r="R203" s="215"/>
      <c r="S203" s="213"/>
      <c r="T203" s="213"/>
      <c r="U203" s="213"/>
      <c r="V203" s="215"/>
      <c r="W203" s="213"/>
      <c r="X203" s="215"/>
      <c r="Y203" s="213"/>
      <c r="Z203" s="213"/>
      <c r="AA203" s="213"/>
      <c r="AB203" s="215"/>
      <c r="AC203" s="213"/>
      <c r="AD203" s="215"/>
      <c r="AE203" s="213"/>
      <c r="AF203" s="213"/>
      <c r="AG203" s="213"/>
      <c r="AH203" s="215"/>
      <c r="AI203" s="213"/>
      <c r="AJ203" s="215"/>
      <c r="AK203" s="213"/>
      <c r="AL203" s="213"/>
      <c r="AM203" s="213"/>
      <c r="AN203" s="215"/>
      <c r="AO203" s="213"/>
      <c r="AP203" s="215"/>
      <c r="AQ203" s="213"/>
      <c r="AR203" s="325"/>
      <c r="AS203" s="213"/>
      <c r="AT203" s="215"/>
      <c r="AU203" s="213"/>
      <c r="AV203" s="215"/>
      <c r="AW203" s="213"/>
      <c r="AX203" s="213"/>
      <c r="AY203" s="213"/>
      <c r="AZ203" s="215"/>
      <c r="BA203" s="213"/>
      <c r="BB203" s="215"/>
      <c r="BC203" s="213"/>
      <c r="BD203" s="213"/>
      <c r="BE203" s="213"/>
      <c r="BF203" s="215"/>
      <c r="BG203" s="213"/>
      <c r="BH203" s="215"/>
      <c r="BI203" s="213"/>
      <c r="BJ203" s="213"/>
      <c r="BK203" s="213"/>
      <c r="BL203" s="215"/>
      <c r="BM203" s="213"/>
      <c r="BN203" s="215"/>
      <c r="BO203" s="213"/>
      <c r="BP203" s="213"/>
      <c r="BQ203" s="213"/>
      <c r="BR203" s="326"/>
      <c r="BS203" s="213"/>
      <c r="BT203" s="215"/>
      <c r="BU203" s="213"/>
      <c r="BV203" s="213"/>
      <c r="BW203" s="213"/>
      <c r="BX203" s="213"/>
      <c r="BY203" s="213"/>
      <c r="BZ203" s="213"/>
      <c r="CA203" s="213"/>
      <c r="CB203" s="213"/>
      <c r="CC203" s="213"/>
      <c r="CD203" s="213"/>
      <c r="CE203" s="213"/>
      <c r="CF203" s="213"/>
      <c r="CG203" s="213"/>
      <c r="CH203" s="213"/>
      <c r="CI203" s="213"/>
      <c r="CJ203" s="213"/>
      <c r="CK203" s="213"/>
      <c r="CL203" s="213"/>
      <c r="CM203" s="213"/>
      <c r="CN203" s="213"/>
      <c r="CO203" s="213"/>
      <c r="CP203" s="213"/>
      <c r="CQ203" s="213"/>
    </row>
    <row r="204" ht="15.75" customHeight="1">
      <c r="A204" s="213"/>
      <c r="B204" s="213"/>
      <c r="C204" s="213"/>
      <c r="D204" s="215"/>
      <c r="E204" s="213"/>
      <c r="F204" s="215"/>
      <c r="G204" s="213"/>
      <c r="H204" s="215"/>
      <c r="I204" s="213"/>
      <c r="J204" s="215"/>
      <c r="K204" s="213"/>
      <c r="L204" s="215"/>
      <c r="M204" s="213"/>
      <c r="N204" s="213"/>
      <c r="O204" s="213"/>
      <c r="P204" s="215"/>
      <c r="Q204" s="213"/>
      <c r="R204" s="215"/>
      <c r="S204" s="213"/>
      <c r="T204" s="213"/>
      <c r="U204" s="213"/>
      <c r="V204" s="215"/>
      <c r="W204" s="213"/>
      <c r="X204" s="215"/>
      <c r="Y204" s="213"/>
      <c r="Z204" s="213"/>
      <c r="AA204" s="213"/>
      <c r="AB204" s="215"/>
      <c r="AC204" s="213"/>
      <c r="AD204" s="215"/>
      <c r="AE204" s="213"/>
      <c r="AF204" s="213"/>
      <c r="AG204" s="213"/>
      <c r="AH204" s="215"/>
      <c r="AI204" s="213"/>
      <c r="AJ204" s="215"/>
      <c r="AK204" s="213"/>
      <c r="AL204" s="213"/>
      <c r="AM204" s="213"/>
      <c r="AN204" s="215"/>
      <c r="AO204" s="213"/>
      <c r="AP204" s="215"/>
      <c r="AQ204" s="213"/>
      <c r="AR204" s="325"/>
      <c r="AS204" s="213"/>
      <c r="AT204" s="215"/>
      <c r="AU204" s="213"/>
      <c r="AV204" s="215"/>
      <c r="AW204" s="213"/>
      <c r="AX204" s="213"/>
      <c r="AY204" s="213"/>
      <c r="AZ204" s="215"/>
      <c r="BA204" s="213"/>
      <c r="BB204" s="215"/>
      <c r="BC204" s="213"/>
      <c r="BD204" s="213"/>
      <c r="BE204" s="213"/>
      <c r="BF204" s="215"/>
      <c r="BG204" s="213"/>
      <c r="BH204" s="215"/>
      <c r="BI204" s="213"/>
      <c r="BJ204" s="213"/>
      <c r="BK204" s="213"/>
      <c r="BL204" s="215"/>
      <c r="BM204" s="213"/>
      <c r="BN204" s="215"/>
      <c r="BO204" s="213"/>
      <c r="BP204" s="213"/>
      <c r="BQ204" s="213"/>
      <c r="BR204" s="326"/>
      <c r="BS204" s="213"/>
      <c r="BT204" s="215"/>
      <c r="BU204" s="213"/>
      <c r="BV204" s="213"/>
      <c r="BW204" s="213"/>
      <c r="BX204" s="213"/>
      <c r="BY204" s="213"/>
      <c r="BZ204" s="213"/>
      <c r="CA204" s="213"/>
      <c r="CB204" s="213"/>
      <c r="CC204" s="213"/>
      <c r="CD204" s="213"/>
      <c r="CE204" s="213"/>
      <c r="CF204" s="213"/>
      <c r="CG204" s="213"/>
      <c r="CH204" s="213"/>
      <c r="CI204" s="213"/>
      <c r="CJ204" s="213"/>
      <c r="CK204" s="213"/>
      <c r="CL204" s="213"/>
      <c r="CM204" s="213"/>
      <c r="CN204" s="213"/>
      <c r="CO204" s="213"/>
      <c r="CP204" s="213"/>
      <c r="CQ204" s="213"/>
    </row>
    <row r="205" ht="15.75" customHeight="1">
      <c r="A205" s="213"/>
      <c r="B205" s="213"/>
      <c r="C205" s="213"/>
      <c r="D205" s="215"/>
      <c r="E205" s="213"/>
      <c r="F205" s="215"/>
      <c r="G205" s="213"/>
      <c r="H205" s="215"/>
      <c r="I205" s="213"/>
      <c r="J205" s="215"/>
      <c r="K205" s="213"/>
      <c r="L205" s="215"/>
      <c r="M205" s="213"/>
      <c r="N205" s="213"/>
      <c r="O205" s="213"/>
      <c r="P205" s="215"/>
      <c r="Q205" s="213"/>
      <c r="R205" s="215"/>
      <c r="S205" s="213"/>
      <c r="T205" s="213"/>
      <c r="U205" s="213"/>
      <c r="V205" s="215"/>
      <c r="W205" s="213"/>
      <c r="X205" s="215"/>
      <c r="Y205" s="213"/>
      <c r="Z205" s="213"/>
      <c r="AA205" s="213"/>
      <c r="AB205" s="215"/>
      <c r="AC205" s="213"/>
      <c r="AD205" s="215"/>
      <c r="AE205" s="213"/>
      <c r="AF205" s="213"/>
      <c r="AG205" s="213"/>
      <c r="AH205" s="215"/>
      <c r="AI205" s="213"/>
      <c r="AJ205" s="215"/>
      <c r="AK205" s="213"/>
      <c r="AL205" s="213"/>
      <c r="AM205" s="213"/>
      <c r="AN205" s="215"/>
      <c r="AO205" s="213"/>
      <c r="AP205" s="215"/>
      <c r="AQ205" s="213"/>
      <c r="AR205" s="325"/>
      <c r="AS205" s="213"/>
      <c r="AT205" s="215"/>
      <c r="AU205" s="213"/>
      <c r="AV205" s="215"/>
      <c r="AW205" s="213"/>
      <c r="AX205" s="213"/>
      <c r="AY205" s="213"/>
      <c r="AZ205" s="215"/>
      <c r="BA205" s="213"/>
      <c r="BB205" s="215"/>
      <c r="BC205" s="213"/>
      <c r="BD205" s="213"/>
      <c r="BE205" s="213"/>
      <c r="BF205" s="215"/>
      <c r="BG205" s="213"/>
      <c r="BH205" s="215"/>
      <c r="BI205" s="213"/>
      <c r="BJ205" s="213"/>
      <c r="BK205" s="213"/>
      <c r="BL205" s="215"/>
      <c r="BM205" s="213"/>
      <c r="BN205" s="215"/>
      <c r="BO205" s="213"/>
      <c r="BP205" s="213"/>
      <c r="BQ205" s="213"/>
      <c r="BR205" s="326"/>
      <c r="BS205" s="213"/>
      <c r="BT205" s="215"/>
      <c r="BU205" s="213"/>
      <c r="BV205" s="213"/>
      <c r="BW205" s="213"/>
      <c r="BX205" s="213"/>
      <c r="BY205" s="213"/>
      <c r="BZ205" s="213"/>
      <c r="CA205" s="213"/>
      <c r="CB205" s="213"/>
      <c r="CC205" s="213"/>
      <c r="CD205" s="213"/>
      <c r="CE205" s="213"/>
      <c r="CF205" s="213"/>
      <c r="CG205" s="213"/>
      <c r="CH205" s="213"/>
      <c r="CI205" s="213"/>
      <c r="CJ205" s="213"/>
      <c r="CK205" s="213"/>
      <c r="CL205" s="213"/>
      <c r="CM205" s="213"/>
      <c r="CN205" s="213"/>
      <c r="CO205" s="213"/>
      <c r="CP205" s="213"/>
      <c r="CQ205" s="213"/>
    </row>
    <row r="206" ht="15.75" customHeight="1">
      <c r="A206" s="213"/>
      <c r="B206" s="213"/>
      <c r="C206" s="213"/>
      <c r="D206" s="215"/>
      <c r="E206" s="213"/>
      <c r="F206" s="215"/>
      <c r="G206" s="213"/>
      <c r="H206" s="215"/>
      <c r="I206" s="213"/>
      <c r="J206" s="215"/>
      <c r="K206" s="213"/>
      <c r="L206" s="215"/>
      <c r="M206" s="213"/>
      <c r="N206" s="213"/>
      <c r="O206" s="213"/>
      <c r="P206" s="215"/>
      <c r="Q206" s="213"/>
      <c r="R206" s="215"/>
      <c r="S206" s="213"/>
      <c r="T206" s="213"/>
      <c r="U206" s="213"/>
      <c r="V206" s="215"/>
      <c r="W206" s="213"/>
      <c r="X206" s="215"/>
      <c r="Y206" s="213"/>
      <c r="Z206" s="213"/>
      <c r="AA206" s="213"/>
      <c r="AB206" s="215"/>
      <c r="AC206" s="213"/>
      <c r="AD206" s="215"/>
      <c r="AE206" s="213"/>
      <c r="AF206" s="213"/>
      <c r="AG206" s="213"/>
      <c r="AH206" s="215"/>
      <c r="AI206" s="213"/>
      <c r="AJ206" s="215"/>
      <c r="AK206" s="213"/>
      <c r="AL206" s="213"/>
      <c r="AM206" s="213"/>
      <c r="AN206" s="215"/>
      <c r="AO206" s="213"/>
      <c r="AP206" s="215"/>
      <c r="AQ206" s="213"/>
      <c r="AR206" s="325"/>
      <c r="AS206" s="213"/>
      <c r="AT206" s="215"/>
      <c r="AU206" s="213"/>
      <c r="AV206" s="215"/>
      <c r="AW206" s="213"/>
      <c r="AX206" s="213"/>
      <c r="AY206" s="213"/>
      <c r="AZ206" s="215"/>
      <c r="BA206" s="213"/>
      <c r="BB206" s="215"/>
      <c r="BC206" s="213"/>
      <c r="BD206" s="213"/>
      <c r="BE206" s="213"/>
      <c r="BF206" s="215"/>
      <c r="BG206" s="213"/>
      <c r="BH206" s="215"/>
      <c r="BI206" s="213"/>
      <c r="BJ206" s="213"/>
      <c r="BK206" s="213"/>
      <c r="BL206" s="215"/>
      <c r="BM206" s="213"/>
      <c r="BN206" s="215"/>
      <c r="BO206" s="213"/>
      <c r="BP206" s="213"/>
      <c r="BQ206" s="213"/>
      <c r="BR206" s="326"/>
      <c r="BS206" s="213"/>
      <c r="BT206" s="215"/>
      <c r="BU206" s="213"/>
      <c r="BV206" s="213"/>
      <c r="BW206" s="213"/>
      <c r="BX206" s="213"/>
      <c r="BY206" s="213"/>
      <c r="BZ206" s="213"/>
      <c r="CA206" s="213"/>
      <c r="CB206" s="213"/>
      <c r="CC206" s="213"/>
      <c r="CD206" s="213"/>
      <c r="CE206" s="213"/>
      <c r="CF206" s="213"/>
      <c r="CG206" s="213"/>
      <c r="CH206" s="213"/>
      <c r="CI206" s="213"/>
      <c r="CJ206" s="213"/>
      <c r="CK206" s="213"/>
      <c r="CL206" s="213"/>
      <c r="CM206" s="213"/>
      <c r="CN206" s="213"/>
      <c r="CO206" s="213"/>
      <c r="CP206" s="213"/>
      <c r="CQ206" s="213"/>
    </row>
    <row r="207" ht="15.75" customHeight="1">
      <c r="A207" s="213"/>
      <c r="B207" s="213"/>
      <c r="C207" s="213"/>
      <c r="D207" s="215"/>
      <c r="E207" s="213"/>
      <c r="F207" s="215"/>
      <c r="G207" s="213"/>
      <c r="H207" s="215"/>
      <c r="I207" s="213"/>
      <c r="J207" s="215"/>
      <c r="K207" s="213"/>
      <c r="L207" s="215"/>
      <c r="M207" s="213"/>
      <c r="N207" s="213"/>
      <c r="O207" s="213"/>
      <c r="P207" s="215"/>
      <c r="Q207" s="213"/>
      <c r="R207" s="215"/>
      <c r="S207" s="213"/>
      <c r="T207" s="213"/>
      <c r="U207" s="213"/>
      <c r="V207" s="215"/>
      <c r="W207" s="213"/>
      <c r="X207" s="215"/>
      <c r="Y207" s="213"/>
      <c r="Z207" s="213"/>
      <c r="AA207" s="213"/>
      <c r="AB207" s="215"/>
      <c r="AC207" s="213"/>
      <c r="AD207" s="215"/>
      <c r="AE207" s="213"/>
      <c r="AF207" s="213"/>
      <c r="AG207" s="213"/>
      <c r="AH207" s="215"/>
      <c r="AI207" s="213"/>
      <c r="AJ207" s="215"/>
      <c r="AK207" s="213"/>
      <c r="AL207" s="213"/>
      <c r="AM207" s="213"/>
      <c r="AN207" s="215"/>
      <c r="AO207" s="213"/>
      <c r="AP207" s="215"/>
      <c r="AQ207" s="213"/>
      <c r="AR207" s="325"/>
      <c r="AS207" s="213"/>
      <c r="AT207" s="215"/>
      <c r="AU207" s="213"/>
      <c r="AV207" s="215"/>
      <c r="AW207" s="213"/>
      <c r="AX207" s="213"/>
      <c r="AY207" s="213"/>
      <c r="AZ207" s="215"/>
      <c r="BA207" s="213"/>
      <c r="BB207" s="215"/>
      <c r="BC207" s="213"/>
      <c r="BD207" s="213"/>
      <c r="BE207" s="213"/>
      <c r="BF207" s="215"/>
      <c r="BG207" s="213"/>
      <c r="BH207" s="215"/>
      <c r="BI207" s="213"/>
      <c r="BJ207" s="213"/>
      <c r="BK207" s="213"/>
      <c r="BL207" s="215"/>
      <c r="BM207" s="213"/>
      <c r="BN207" s="215"/>
      <c r="BO207" s="213"/>
      <c r="BP207" s="213"/>
      <c r="BQ207" s="213"/>
      <c r="BR207" s="326"/>
      <c r="BS207" s="213"/>
      <c r="BT207" s="215"/>
      <c r="BU207" s="213"/>
      <c r="BV207" s="213"/>
      <c r="BW207" s="213"/>
      <c r="BX207" s="213"/>
      <c r="BY207" s="213"/>
      <c r="BZ207" s="213"/>
      <c r="CA207" s="213"/>
      <c r="CB207" s="213"/>
      <c r="CC207" s="213"/>
      <c r="CD207" s="213"/>
      <c r="CE207" s="213"/>
      <c r="CF207" s="213"/>
      <c r="CG207" s="213"/>
      <c r="CH207" s="213"/>
      <c r="CI207" s="213"/>
      <c r="CJ207" s="213"/>
      <c r="CK207" s="213"/>
      <c r="CL207" s="213"/>
      <c r="CM207" s="213"/>
      <c r="CN207" s="213"/>
      <c r="CO207" s="213"/>
      <c r="CP207" s="213"/>
      <c r="CQ207" s="213"/>
    </row>
    <row r="208" ht="15.75" customHeight="1">
      <c r="A208" s="213"/>
      <c r="B208" s="213"/>
      <c r="C208" s="213"/>
      <c r="D208" s="215"/>
      <c r="E208" s="213"/>
      <c r="F208" s="215"/>
      <c r="G208" s="213"/>
      <c r="H208" s="215"/>
      <c r="I208" s="213"/>
      <c r="J208" s="215"/>
      <c r="K208" s="213"/>
      <c r="L208" s="215"/>
      <c r="M208" s="213"/>
      <c r="N208" s="213"/>
      <c r="O208" s="213"/>
      <c r="P208" s="215"/>
      <c r="Q208" s="213"/>
      <c r="R208" s="215"/>
      <c r="S208" s="213"/>
      <c r="T208" s="213"/>
      <c r="U208" s="213"/>
      <c r="V208" s="215"/>
      <c r="W208" s="213"/>
      <c r="X208" s="215"/>
      <c r="Y208" s="213"/>
      <c r="Z208" s="213"/>
      <c r="AA208" s="213"/>
      <c r="AB208" s="215"/>
      <c r="AC208" s="213"/>
      <c r="AD208" s="215"/>
      <c r="AE208" s="213"/>
      <c r="AF208" s="213"/>
      <c r="AG208" s="213"/>
      <c r="AH208" s="215"/>
      <c r="AI208" s="213"/>
      <c r="AJ208" s="215"/>
      <c r="AK208" s="213"/>
      <c r="AL208" s="213"/>
      <c r="AM208" s="213"/>
      <c r="AN208" s="215"/>
      <c r="AO208" s="213"/>
      <c r="AP208" s="215"/>
      <c r="AQ208" s="213"/>
      <c r="AR208" s="325"/>
      <c r="AS208" s="213"/>
      <c r="AT208" s="215"/>
      <c r="AU208" s="213"/>
      <c r="AV208" s="215"/>
      <c r="AW208" s="213"/>
      <c r="AX208" s="213"/>
      <c r="AY208" s="213"/>
      <c r="AZ208" s="215"/>
      <c r="BA208" s="213"/>
      <c r="BB208" s="215"/>
      <c r="BC208" s="213"/>
      <c r="BD208" s="213"/>
      <c r="BE208" s="213"/>
      <c r="BF208" s="215"/>
      <c r="BG208" s="213"/>
      <c r="BH208" s="215"/>
      <c r="BI208" s="213"/>
      <c r="BJ208" s="213"/>
      <c r="BK208" s="213"/>
      <c r="BL208" s="215"/>
      <c r="BM208" s="213"/>
      <c r="BN208" s="215"/>
      <c r="BO208" s="213"/>
      <c r="BP208" s="213"/>
      <c r="BQ208" s="213"/>
      <c r="BR208" s="326"/>
      <c r="BS208" s="213"/>
      <c r="BT208" s="215"/>
      <c r="BU208" s="213"/>
      <c r="BV208" s="213"/>
      <c r="BW208" s="213"/>
      <c r="BX208" s="213"/>
      <c r="BY208" s="213"/>
      <c r="BZ208" s="213"/>
      <c r="CA208" s="213"/>
      <c r="CB208" s="213"/>
      <c r="CC208" s="213"/>
      <c r="CD208" s="213"/>
      <c r="CE208" s="213"/>
      <c r="CF208" s="213"/>
      <c r="CG208" s="213"/>
      <c r="CH208" s="213"/>
      <c r="CI208" s="213"/>
      <c r="CJ208" s="213"/>
      <c r="CK208" s="213"/>
      <c r="CL208" s="213"/>
      <c r="CM208" s="213"/>
      <c r="CN208" s="213"/>
      <c r="CO208" s="213"/>
      <c r="CP208" s="213"/>
      <c r="CQ208" s="213"/>
    </row>
    <row r="209" ht="15.75" customHeight="1">
      <c r="A209" s="213"/>
      <c r="B209" s="213"/>
      <c r="C209" s="213"/>
      <c r="D209" s="215"/>
      <c r="E209" s="213"/>
      <c r="F209" s="215"/>
      <c r="G209" s="213"/>
      <c r="H209" s="215"/>
      <c r="I209" s="213"/>
      <c r="J209" s="215"/>
      <c r="K209" s="213"/>
      <c r="L209" s="215"/>
      <c r="M209" s="213"/>
      <c r="N209" s="213"/>
      <c r="O209" s="213"/>
      <c r="P209" s="215"/>
      <c r="Q209" s="213"/>
      <c r="R209" s="215"/>
      <c r="S209" s="213"/>
      <c r="T209" s="213"/>
      <c r="U209" s="213"/>
      <c r="V209" s="215"/>
      <c r="W209" s="213"/>
      <c r="X209" s="215"/>
      <c r="Y209" s="213"/>
      <c r="Z209" s="213"/>
      <c r="AA209" s="213"/>
      <c r="AB209" s="215"/>
      <c r="AC209" s="213"/>
      <c r="AD209" s="215"/>
      <c r="AE209" s="213"/>
      <c r="AF209" s="213"/>
      <c r="AG209" s="213"/>
      <c r="AH209" s="215"/>
      <c r="AI209" s="213"/>
      <c r="AJ209" s="215"/>
      <c r="AK209" s="213"/>
      <c r="AL209" s="213"/>
      <c r="AM209" s="213"/>
      <c r="AN209" s="215"/>
      <c r="AO209" s="213"/>
      <c r="AP209" s="215"/>
      <c r="AQ209" s="213"/>
      <c r="AR209" s="325"/>
      <c r="AS209" s="213"/>
      <c r="AT209" s="215"/>
      <c r="AU209" s="213"/>
      <c r="AV209" s="215"/>
      <c r="AW209" s="213"/>
      <c r="AX209" s="213"/>
      <c r="AY209" s="213"/>
      <c r="AZ209" s="215"/>
      <c r="BA209" s="213"/>
      <c r="BB209" s="215"/>
      <c r="BC209" s="213"/>
      <c r="BD209" s="213"/>
      <c r="BE209" s="213"/>
      <c r="BF209" s="215"/>
      <c r="BG209" s="213"/>
      <c r="BH209" s="215"/>
      <c r="BI209" s="213"/>
      <c r="BJ209" s="213"/>
      <c r="BK209" s="213"/>
      <c r="BL209" s="215"/>
      <c r="BM209" s="213"/>
      <c r="BN209" s="215"/>
      <c r="BO209" s="213"/>
      <c r="BP209" s="213"/>
      <c r="BQ209" s="213"/>
      <c r="BR209" s="326"/>
      <c r="BS209" s="213"/>
      <c r="BT209" s="215"/>
      <c r="BU209" s="213"/>
      <c r="BV209" s="213"/>
      <c r="BW209" s="213"/>
      <c r="BX209" s="213"/>
      <c r="BY209" s="213"/>
      <c r="BZ209" s="213"/>
      <c r="CA209" s="213"/>
      <c r="CB209" s="213"/>
      <c r="CC209" s="213"/>
      <c r="CD209" s="213"/>
      <c r="CE209" s="213"/>
      <c r="CF209" s="213"/>
      <c r="CG209" s="213"/>
      <c r="CH209" s="213"/>
      <c r="CI209" s="213"/>
      <c r="CJ209" s="213"/>
      <c r="CK209" s="213"/>
      <c r="CL209" s="213"/>
      <c r="CM209" s="213"/>
      <c r="CN209" s="213"/>
      <c r="CO209" s="213"/>
      <c r="CP209" s="213"/>
      <c r="CQ209" s="213"/>
    </row>
    <row r="210" ht="15.75" customHeight="1">
      <c r="A210" s="213"/>
      <c r="B210" s="213"/>
      <c r="C210" s="213"/>
      <c r="D210" s="215"/>
      <c r="E210" s="213"/>
      <c r="F210" s="215"/>
      <c r="G210" s="213"/>
      <c r="H210" s="215"/>
      <c r="I210" s="213"/>
      <c r="J210" s="215"/>
      <c r="K210" s="213"/>
      <c r="L210" s="215"/>
      <c r="M210" s="213"/>
      <c r="N210" s="213"/>
      <c r="O210" s="213"/>
      <c r="P210" s="215"/>
      <c r="Q210" s="213"/>
      <c r="R210" s="215"/>
      <c r="S210" s="213"/>
      <c r="T210" s="213"/>
      <c r="U210" s="213"/>
      <c r="V210" s="215"/>
      <c r="W210" s="213"/>
      <c r="X210" s="215"/>
      <c r="Y210" s="213"/>
      <c r="Z210" s="213"/>
      <c r="AA210" s="213"/>
      <c r="AB210" s="215"/>
      <c r="AC210" s="213"/>
      <c r="AD210" s="215"/>
      <c r="AE210" s="213"/>
      <c r="AF210" s="213"/>
      <c r="AG210" s="213"/>
      <c r="AH210" s="215"/>
      <c r="AI210" s="213"/>
      <c r="AJ210" s="215"/>
      <c r="AK210" s="213"/>
      <c r="AL210" s="213"/>
      <c r="AM210" s="213"/>
      <c r="AN210" s="215"/>
      <c r="AO210" s="213"/>
      <c r="AP210" s="215"/>
      <c r="AQ210" s="213"/>
      <c r="AR210" s="325"/>
      <c r="AS210" s="213"/>
      <c r="AT210" s="215"/>
      <c r="AU210" s="213"/>
      <c r="AV210" s="215"/>
      <c r="AW210" s="213"/>
      <c r="AX210" s="213"/>
      <c r="AY210" s="213"/>
      <c r="AZ210" s="215"/>
      <c r="BA210" s="213"/>
      <c r="BB210" s="215"/>
      <c r="BC210" s="213"/>
      <c r="BD210" s="213"/>
      <c r="BE210" s="213"/>
      <c r="BF210" s="215"/>
      <c r="BG210" s="213"/>
      <c r="BH210" s="215"/>
      <c r="BI210" s="213"/>
      <c r="BJ210" s="213"/>
      <c r="BK210" s="213"/>
      <c r="BL210" s="215"/>
      <c r="BM210" s="213"/>
      <c r="BN210" s="215"/>
      <c r="BO210" s="213"/>
      <c r="BP210" s="213"/>
      <c r="BQ210" s="213"/>
      <c r="BR210" s="326"/>
      <c r="BS210" s="213"/>
      <c r="BT210" s="215"/>
      <c r="BU210" s="213"/>
      <c r="BV210" s="213"/>
      <c r="BW210" s="213"/>
      <c r="BX210" s="213"/>
      <c r="BY210" s="213"/>
      <c r="BZ210" s="213"/>
      <c r="CA210" s="213"/>
      <c r="CB210" s="213"/>
      <c r="CC210" s="213"/>
      <c r="CD210" s="213"/>
      <c r="CE210" s="213"/>
      <c r="CF210" s="213"/>
      <c r="CG210" s="213"/>
      <c r="CH210" s="213"/>
      <c r="CI210" s="213"/>
      <c r="CJ210" s="213"/>
      <c r="CK210" s="213"/>
      <c r="CL210" s="213"/>
      <c r="CM210" s="213"/>
      <c r="CN210" s="213"/>
      <c r="CO210" s="213"/>
      <c r="CP210" s="213"/>
      <c r="CQ210" s="213"/>
    </row>
    <row r="211" ht="15.75" customHeight="1">
      <c r="A211" s="213"/>
      <c r="B211" s="213"/>
      <c r="C211" s="213"/>
      <c r="D211" s="215"/>
      <c r="E211" s="213"/>
      <c r="F211" s="215"/>
      <c r="G211" s="213"/>
      <c r="H211" s="215"/>
      <c r="I211" s="213"/>
      <c r="J211" s="215"/>
      <c r="K211" s="213"/>
      <c r="L211" s="215"/>
      <c r="M211" s="213"/>
      <c r="N211" s="213"/>
      <c r="O211" s="213"/>
      <c r="P211" s="215"/>
      <c r="Q211" s="213"/>
      <c r="R211" s="215"/>
      <c r="S211" s="213"/>
      <c r="T211" s="213"/>
      <c r="U211" s="213"/>
      <c r="V211" s="215"/>
      <c r="W211" s="213"/>
      <c r="X211" s="215"/>
      <c r="Y211" s="213"/>
      <c r="Z211" s="213"/>
      <c r="AA211" s="213"/>
      <c r="AB211" s="215"/>
      <c r="AC211" s="213"/>
      <c r="AD211" s="215"/>
      <c r="AE211" s="213"/>
      <c r="AF211" s="213"/>
      <c r="AG211" s="213"/>
      <c r="AH211" s="215"/>
      <c r="AI211" s="213"/>
      <c r="AJ211" s="215"/>
      <c r="AK211" s="213"/>
      <c r="AL211" s="213"/>
      <c r="AM211" s="213"/>
      <c r="AN211" s="215"/>
      <c r="AO211" s="213"/>
      <c r="AP211" s="215"/>
      <c r="AQ211" s="213"/>
      <c r="AR211" s="325"/>
      <c r="AS211" s="213"/>
      <c r="AT211" s="215"/>
      <c r="AU211" s="213"/>
      <c r="AV211" s="215"/>
      <c r="AW211" s="213"/>
      <c r="AX211" s="213"/>
      <c r="AY211" s="213"/>
      <c r="AZ211" s="215"/>
      <c r="BA211" s="213"/>
      <c r="BB211" s="215"/>
      <c r="BC211" s="213"/>
      <c r="BD211" s="213"/>
      <c r="BE211" s="213"/>
      <c r="BF211" s="215"/>
      <c r="BG211" s="213"/>
      <c r="BH211" s="215"/>
      <c r="BI211" s="213"/>
      <c r="BJ211" s="213"/>
      <c r="BK211" s="213"/>
      <c r="BL211" s="215"/>
      <c r="BM211" s="213"/>
      <c r="BN211" s="215"/>
      <c r="BO211" s="213"/>
      <c r="BP211" s="213"/>
      <c r="BQ211" s="213"/>
      <c r="BR211" s="326"/>
      <c r="BS211" s="213"/>
      <c r="BT211" s="215"/>
      <c r="BU211" s="213"/>
      <c r="BV211" s="213"/>
      <c r="BW211" s="213"/>
      <c r="BX211" s="213"/>
      <c r="BY211" s="213"/>
      <c r="BZ211" s="213"/>
      <c r="CA211" s="213"/>
      <c r="CB211" s="213"/>
      <c r="CC211" s="213"/>
      <c r="CD211" s="213"/>
      <c r="CE211" s="213"/>
      <c r="CF211" s="213"/>
      <c r="CG211" s="213"/>
      <c r="CH211" s="213"/>
      <c r="CI211" s="213"/>
      <c r="CJ211" s="213"/>
      <c r="CK211" s="213"/>
      <c r="CL211" s="213"/>
      <c r="CM211" s="213"/>
      <c r="CN211" s="213"/>
      <c r="CO211" s="213"/>
      <c r="CP211" s="213"/>
      <c r="CQ211" s="213"/>
    </row>
    <row r="212" ht="15.75" customHeight="1">
      <c r="A212" s="213"/>
      <c r="B212" s="213"/>
      <c r="C212" s="213"/>
      <c r="D212" s="215"/>
      <c r="E212" s="213"/>
      <c r="F212" s="215"/>
      <c r="G212" s="213"/>
      <c r="H212" s="215"/>
      <c r="I212" s="213"/>
      <c r="J212" s="215"/>
      <c r="K212" s="213"/>
      <c r="L212" s="215"/>
      <c r="M212" s="213"/>
      <c r="N212" s="213"/>
      <c r="O212" s="213"/>
      <c r="P212" s="215"/>
      <c r="Q212" s="213"/>
      <c r="R212" s="215"/>
      <c r="S212" s="213"/>
      <c r="T212" s="213"/>
      <c r="U212" s="213"/>
      <c r="V212" s="215"/>
      <c r="W212" s="213"/>
      <c r="X212" s="215"/>
      <c r="Y212" s="213"/>
      <c r="Z212" s="213"/>
      <c r="AA212" s="213"/>
      <c r="AB212" s="215"/>
      <c r="AC212" s="213"/>
      <c r="AD212" s="215"/>
      <c r="AE212" s="213"/>
      <c r="AF212" s="213"/>
      <c r="AG212" s="213"/>
      <c r="AH212" s="215"/>
      <c r="AI212" s="213"/>
      <c r="AJ212" s="215"/>
      <c r="AK212" s="213"/>
      <c r="AL212" s="213"/>
      <c r="AM212" s="213"/>
      <c r="AN212" s="215"/>
      <c r="AO212" s="213"/>
      <c r="AP212" s="215"/>
      <c r="AQ212" s="213"/>
      <c r="AR212" s="325"/>
      <c r="AS212" s="213"/>
      <c r="AT212" s="215"/>
      <c r="AU212" s="213"/>
      <c r="AV212" s="215"/>
      <c r="AW212" s="213"/>
      <c r="AX212" s="213"/>
      <c r="AY212" s="213"/>
      <c r="AZ212" s="215"/>
      <c r="BA212" s="213"/>
      <c r="BB212" s="215"/>
      <c r="BC212" s="213"/>
      <c r="BD212" s="213"/>
      <c r="BE212" s="213"/>
      <c r="BF212" s="215"/>
      <c r="BG212" s="213"/>
      <c r="BH212" s="215"/>
      <c r="BI212" s="213"/>
      <c r="BJ212" s="213"/>
      <c r="BK212" s="213"/>
      <c r="BL212" s="215"/>
      <c r="BM212" s="213"/>
      <c r="BN212" s="215"/>
      <c r="BO212" s="213"/>
      <c r="BP212" s="213"/>
      <c r="BQ212" s="213"/>
      <c r="BR212" s="326"/>
      <c r="BS212" s="213"/>
      <c r="BT212" s="215"/>
      <c r="BU212" s="213"/>
      <c r="BV212" s="213"/>
      <c r="BW212" s="213"/>
      <c r="BX212" s="213"/>
      <c r="BY212" s="213"/>
      <c r="BZ212" s="213"/>
      <c r="CA212" s="213"/>
      <c r="CB212" s="213"/>
      <c r="CC212" s="213"/>
      <c r="CD212" s="213"/>
      <c r="CE212" s="213"/>
      <c r="CF212" s="213"/>
      <c r="CG212" s="213"/>
      <c r="CH212" s="213"/>
      <c r="CI212" s="213"/>
      <c r="CJ212" s="213"/>
      <c r="CK212" s="213"/>
      <c r="CL212" s="213"/>
      <c r="CM212" s="213"/>
      <c r="CN212" s="213"/>
      <c r="CO212" s="213"/>
      <c r="CP212" s="213"/>
      <c r="CQ212" s="213"/>
    </row>
    <row r="213" ht="15.75" customHeight="1">
      <c r="A213" s="213"/>
      <c r="B213" s="213"/>
      <c r="C213" s="213"/>
      <c r="D213" s="215"/>
      <c r="E213" s="213"/>
      <c r="F213" s="215"/>
      <c r="G213" s="213"/>
      <c r="H213" s="215"/>
      <c r="I213" s="213"/>
      <c r="J213" s="215"/>
      <c r="K213" s="213"/>
      <c r="L213" s="215"/>
      <c r="M213" s="213"/>
      <c r="N213" s="213"/>
      <c r="O213" s="213"/>
      <c r="P213" s="215"/>
      <c r="Q213" s="213"/>
      <c r="R213" s="215"/>
      <c r="S213" s="213"/>
      <c r="T213" s="213"/>
      <c r="U213" s="213"/>
      <c r="V213" s="215"/>
      <c r="W213" s="213"/>
      <c r="X213" s="215"/>
      <c r="Y213" s="213"/>
      <c r="Z213" s="213"/>
      <c r="AA213" s="213"/>
      <c r="AB213" s="215"/>
      <c r="AC213" s="213"/>
      <c r="AD213" s="215"/>
      <c r="AE213" s="213"/>
      <c r="AF213" s="213"/>
      <c r="AG213" s="213"/>
      <c r="AH213" s="215"/>
      <c r="AI213" s="213"/>
      <c r="AJ213" s="215"/>
      <c r="AK213" s="213"/>
      <c r="AL213" s="213"/>
      <c r="AM213" s="213"/>
      <c r="AN213" s="215"/>
      <c r="AO213" s="213"/>
      <c r="AP213" s="215"/>
      <c r="AQ213" s="213"/>
      <c r="AR213" s="325"/>
      <c r="AS213" s="213"/>
      <c r="AT213" s="215"/>
      <c r="AU213" s="213"/>
      <c r="AV213" s="215"/>
      <c r="AW213" s="213"/>
      <c r="AX213" s="213"/>
      <c r="AY213" s="213"/>
      <c r="AZ213" s="215"/>
      <c r="BA213" s="213"/>
      <c r="BB213" s="215"/>
      <c r="BC213" s="213"/>
      <c r="BD213" s="213"/>
      <c r="BE213" s="213"/>
      <c r="BF213" s="215"/>
      <c r="BG213" s="213"/>
      <c r="BH213" s="215"/>
      <c r="BI213" s="213"/>
      <c r="BJ213" s="213"/>
      <c r="BK213" s="213"/>
      <c r="BL213" s="215"/>
      <c r="BM213" s="213"/>
      <c r="BN213" s="215"/>
      <c r="BO213" s="213"/>
      <c r="BP213" s="213"/>
      <c r="BQ213" s="213"/>
      <c r="BR213" s="326"/>
      <c r="BS213" s="213"/>
      <c r="BT213" s="215"/>
      <c r="BU213" s="213"/>
      <c r="BV213" s="213"/>
      <c r="BW213" s="213"/>
      <c r="BX213" s="213"/>
      <c r="BY213" s="213"/>
      <c r="BZ213" s="213"/>
      <c r="CA213" s="213"/>
      <c r="CB213" s="213"/>
      <c r="CC213" s="213"/>
      <c r="CD213" s="213"/>
      <c r="CE213" s="213"/>
      <c r="CF213" s="213"/>
      <c r="CG213" s="213"/>
      <c r="CH213" s="213"/>
      <c r="CI213" s="213"/>
      <c r="CJ213" s="213"/>
      <c r="CK213" s="213"/>
      <c r="CL213" s="213"/>
      <c r="CM213" s="213"/>
      <c r="CN213" s="213"/>
      <c r="CO213" s="213"/>
      <c r="CP213" s="213"/>
      <c r="CQ213" s="213"/>
    </row>
    <row r="214" ht="15.75" customHeight="1">
      <c r="A214" s="213"/>
      <c r="B214" s="213"/>
      <c r="C214" s="213"/>
      <c r="D214" s="215"/>
      <c r="E214" s="213"/>
      <c r="F214" s="215"/>
      <c r="G214" s="213"/>
      <c r="H214" s="215"/>
      <c r="I214" s="213"/>
      <c r="J214" s="215"/>
      <c r="K214" s="213"/>
      <c r="L214" s="215"/>
      <c r="M214" s="213"/>
      <c r="N214" s="213"/>
      <c r="O214" s="213"/>
      <c r="P214" s="215"/>
      <c r="Q214" s="213"/>
      <c r="R214" s="215"/>
      <c r="S214" s="213"/>
      <c r="T214" s="213"/>
      <c r="U214" s="213"/>
      <c r="V214" s="215"/>
      <c r="W214" s="213"/>
      <c r="X214" s="215"/>
      <c r="Y214" s="213"/>
      <c r="Z214" s="213"/>
      <c r="AA214" s="213"/>
      <c r="AB214" s="215"/>
      <c r="AC214" s="213"/>
      <c r="AD214" s="215"/>
      <c r="AE214" s="213"/>
      <c r="AF214" s="213"/>
      <c r="AG214" s="213"/>
      <c r="AH214" s="215"/>
      <c r="AI214" s="213"/>
      <c r="AJ214" s="215"/>
      <c r="AK214" s="213"/>
      <c r="AL214" s="213"/>
      <c r="AM214" s="213"/>
      <c r="AN214" s="215"/>
      <c r="AO214" s="213"/>
      <c r="AP214" s="215"/>
      <c r="AQ214" s="213"/>
      <c r="AR214" s="325"/>
      <c r="AS214" s="213"/>
      <c r="AT214" s="215"/>
      <c r="AU214" s="213"/>
      <c r="AV214" s="215"/>
      <c r="AW214" s="213"/>
      <c r="AX214" s="213"/>
      <c r="AY214" s="213"/>
      <c r="AZ214" s="215"/>
      <c r="BA214" s="213"/>
      <c r="BB214" s="215"/>
      <c r="BC214" s="213"/>
      <c r="BD214" s="213"/>
      <c r="BE214" s="213"/>
      <c r="BF214" s="215"/>
      <c r="BG214" s="213"/>
      <c r="BH214" s="215"/>
      <c r="BI214" s="213"/>
      <c r="BJ214" s="213"/>
      <c r="BK214" s="213"/>
      <c r="BL214" s="215"/>
      <c r="BM214" s="213"/>
      <c r="BN214" s="215"/>
      <c r="BO214" s="213"/>
      <c r="BP214" s="213"/>
      <c r="BQ214" s="213"/>
      <c r="BR214" s="326"/>
      <c r="BS214" s="213"/>
      <c r="BT214" s="215"/>
      <c r="BU214" s="213"/>
      <c r="BV214" s="213"/>
      <c r="BW214" s="213"/>
      <c r="BX214" s="213"/>
      <c r="BY214" s="213"/>
      <c r="BZ214" s="213"/>
      <c r="CA214" s="213"/>
      <c r="CB214" s="213"/>
      <c r="CC214" s="213"/>
      <c r="CD214" s="213"/>
      <c r="CE214" s="213"/>
      <c r="CF214" s="213"/>
      <c r="CG214" s="213"/>
      <c r="CH214" s="213"/>
      <c r="CI214" s="213"/>
      <c r="CJ214" s="213"/>
      <c r="CK214" s="213"/>
      <c r="CL214" s="213"/>
      <c r="CM214" s="213"/>
      <c r="CN214" s="213"/>
      <c r="CO214" s="213"/>
      <c r="CP214" s="213"/>
      <c r="CQ214" s="213"/>
    </row>
    <row r="215" ht="15.75" customHeight="1">
      <c r="A215" s="213"/>
      <c r="B215" s="213"/>
      <c r="C215" s="213"/>
      <c r="D215" s="215"/>
      <c r="E215" s="213"/>
      <c r="F215" s="215"/>
      <c r="G215" s="213"/>
      <c r="H215" s="215"/>
      <c r="I215" s="213"/>
      <c r="J215" s="215"/>
      <c r="K215" s="213"/>
      <c r="L215" s="215"/>
      <c r="M215" s="213"/>
      <c r="N215" s="213"/>
      <c r="O215" s="213"/>
      <c r="P215" s="215"/>
      <c r="Q215" s="213"/>
      <c r="R215" s="215"/>
      <c r="S215" s="213"/>
      <c r="T215" s="213"/>
      <c r="U215" s="213"/>
      <c r="V215" s="215"/>
      <c r="W215" s="213"/>
      <c r="X215" s="215"/>
      <c r="Y215" s="213"/>
      <c r="Z215" s="213"/>
      <c r="AA215" s="213"/>
      <c r="AB215" s="215"/>
      <c r="AC215" s="213"/>
      <c r="AD215" s="215"/>
      <c r="AE215" s="213"/>
      <c r="AF215" s="213"/>
      <c r="AG215" s="213"/>
      <c r="AH215" s="215"/>
      <c r="AI215" s="213"/>
      <c r="AJ215" s="215"/>
      <c r="AK215" s="213"/>
      <c r="AL215" s="213"/>
      <c r="AM215" s="213"/>
      <c r="AN215" s="215"/>
      <c r="AO215" s="213"/>
      <c r="AP215" s="215"/>
      <c r="AQ215" s="213"/>
      <c r="AR215" s="325"/>
      <c r="AS215" s="213"/>
      <c r="AT215" s="215"/>
      <c r="AU215" s="213"/>
      <c r="AV215" s="215"/>
      <c r="AW215" s="213"/>
      <c r="AX215" s="213"/>
      <c r="AY215" s="213"/>
      <c r="AZ215" s="215"/>
      <c r="BA215" s="213"/>
      <c r="BB215" s="215"/>
      <c r="BC215" s="213"/>
      <c r="BD215" s="213"/>
      <c r="BE215" s="213"/>
      <c r="BF215" s="215"/>
      <c r="BG215" s="213"/>
      <c r="BH215" s="215"/>
      <c r="BI215" s="213"/>
      <c r="BJ215" s="213"/>
      <c r="BK215" s="213"/>
      <c r="BL215" s="215"/>
      <c r="BM215" s="213"/>
      <c r="BN215" s="215"/>
      <c r="BO215" s="213"/>
      <c r="BP215" s="213"/>
      <c r="BQ215" s="213"/>
      <c r="BR215" s="326"/>
      <c r="BS215" s="213"/>
      <c r="BT215" s="215"/>
      <c r="BU215" s="213"/>
      <c r="BV215" s="213"/>
      <c r="BW215" s="213"/>
      <c r="BX215" s="213"/>
      <c r="BY215" s="213"/>
      <c r="BZ215" s="213"/>
      <c r="CA215" s="213"/>
      <c r="CB215" s="213"/>
      <c r="CC215" s="213"/>
      <c r="CD215" s="213"/>
      <c r="CE215" s="213"/>
      <c r="CF215" s="213"/>
      <c r="CG215" s="213"/>
      <c r="CH215" s="213"/>
      <c r="CI215" s="213"/>
      <c r="CJ215" s="213"/>
      <c r="CK215" s="213"/>
      <c r="CL215" s="213"/>
      <c r="CM215" s="213"/>
      <c r="CN215" s="213"/>
      <c r="CO215" s="213"/>
      <c r="CP215" s="213"/>
      <c r="CQ215" s="213"/>
    </row>
    <row r="216" ht="15.75" customHeight="1">
      <c r="A216" s="213"/>
      <c r="B216" s="213"/>
      <c r="C216" s="213"/>
      <c r="D216" s="215"/>
      <c r="E216" s="213"/>
      <c r="F216" s="215"/>
      <c r="G216" s="213"/>
      <c r="H216" s="215"/>
      <c r="I216" s="213"/>
      <c r="J216" s="215"/>
      <c r="K216" s="213"/>
      <c r="L216" s="215"/>
      <c r="M216" s="213"/>
      <c r="N216" s="213"/>
      <c r="O216" s="213"/>
      <c r="P216" s="215"/>
      <c r="Q216" s="213"/>
      <c r="R216" s="215"/>
      <c r="S216" s="213"/>
      <c r="T216" s="213"/>
      <c r="U216" s="213"/>
      <c r="V216" s="215"/>
      <c r="W216" s="213"/>
      <c r="X216" s="215"/>
      <c r="Y216" s="213"/>
      <c r="Z216" s="213"/>
      <c r="AA216" s="213"/>
      <c r="AB216" s="215"/>
      <c r="AC216" s="213"/>
      <c r="AD216" s="215"/>
      <c r="AE216" s="213"/>
      <c r="AF216" s="213"/>
      <c r="AG216" s="213"/>
      <c r="AH216" s="215"/>
      <c r="AI216" s="213"/>
      <c r="AJ216" s="215"/>
      <c r="AK216" s="213"/>
      <c r="AL216" s="213"/>
      <c r="AM216" s="213"/>
      <c r="AN216" s="215"/>
      <c r="AO216" s="213"/>
      <c r="AP216" s="215"/>
      <c r="AQ216" s="213"/>
      <c r="AR216" s="325"/>
      <c r="AS216" s="213"/>
      <c r="AT216" s="215"/>
      <c r="AU216" s="213"/>
      <c r="AV216" s="215"/>
      <c r="AW216" s="213"/>
      <c r="AX216" s="213"/>
      <c r="AY216" s="213"/>
      <c r="AZ216" s="215"/>
      <c r="BA216" s="213"/>
      <c r="BB216" s="215"/>
      <c r="BC216" s="213"/>
      <c r="BD216" s="213"/>
      <c r="BE216" s="213"/>
      <c r="BF216" s="215"/>
      <c r="BG216" s="213"/>
      <c r="BH216" s="215"/>
      <c r="BI216" s="213"/>
      <c r="BJ216" s="213"/>
      <c r="BK216" s="213"/>
      <c r="BL216" s="215"/>
      <c r="BM216" s="213"/>
      <c r="BN216" s="215"/>
      <c r="BO216" s="213"/>
      <c r="BP216" s="213"/>
      <c r="BQ216" s="213"/>
      <c r="BR216" s="326"/>
      <c r="BS216" s="213"/>
      <c r="BT216" s="215"/>
      <c r="BU216" s="213"/>
      <c r="BV216" s="213"/>
      <c r="BW216" s="213"/>
      <c r="BX216" s="213"/>
      <c r="BY216" s="213"/>
      <c r="BZ216" s="213"/>
      <c r="CA216" s="213"/>
      <c r="CB216" s="213"/>
      <c r="CC216" s="213"/>
      <c r="CD216" s="213"/>
      <c r="CE216" s="213"/>
      <c r="CF216" s="213"/>
      <c r="CG216" s="213"/>
      <c r="CH216" s="213"/>
      <c r="CI216" s="213"/>
      <c r="CJ216" s="213"/>
      <c r="CK216" s="213"/>
      <c r="CL216" s="213"/>
      <c r="CM216" s="213"/>
      <c r="CN216" s="213"/>
      <c r="CO216" s="213"/>
      <c r="CP216" s="213"/>
      <c r="CQ216" s="213"/>
    </row>
    <row r="217" ht="15.75" customHeight="1">
      <c r="A217" s="213"/>
      <c r="B217" s="213"/>
      <c r="C217" s="213"/>
      <c r="D217" s="215"/>
      <c r="E217" s="213"/>
      <c r="F217" s="215"/>
      <c r="G217" s="213"/>
      <c r="H217" s="215"/>
      <c r="I217" s="213"/>
      <c r="J217" s="215"/>
      <c r="K217" s="213"/>
      <c r="L217" s="215"/>
      <c r="M217" s="213"/>
      <c r="N217" s="213"/>
      <c r="O217" s="213"/>
      <c r="P217" s="215"/>
      <c r="Q217" s="213"/>
      <c r="R217" s="215"/>
      <c r="S217" s="213"/>
      <c r="T217" s="213"/>
      <c r="U217" s="213"/>
      <c r="V217" s="215"/>
      <c r="W217" s="213"/>
      <c r="X217" s="215"/>
      <c r="Y217" s="213"/>
      <c r="Z217" s="213"/>
      <c r="AA217" s="213"/>
      <c r="AB217" s="215"/>
      <c r="AC217" s="213"/>
      <c r="AD217" s="215"/>
      <c r="AE217" s="213"/>
      <c r="AF217" s="213"/>
      <c r="AG217" s="213"/>
      <c r="AH217" s="215"/>
      <c r="AI217" s="213"/>
      <c r="AJ217" s="215"/>
      <c r="AK217" s="213"/>
      <c r="AL217" s="213"/>
      <c r="AM217" s="213"/>
      <c r="AN217" s="215"/>
      <c r="AO217" s="213"/>
      <c r="AP217" s="215"/>
      <c r="AQ217" s="213"/>
      <c r="AR217" s="325"/>
      <c r="AS217" s="213"/>
      <c r="AT217" s="215"/>
      <c r="AU217" s="213"/>
      <c r="AV217" s="215"/>
      <c r="AW217" s="213"/>
      <c r="AX217" s="213"/>
      <c r="AY217" s="213"/>
      <c r="AZ217" s="215"/>
      <c r="BA217" s="213"/>
      <c r="BB217" s="215"/>
      <c r="BC217" s="213"/>
      <c r="BD217" s="213"/>
      <c r="BE217" s="213"/>
      <c r="BF217" s="215"/>
      <c r="BG217" s="213"/>
      <c r="BH217" s="215"/>
      <c r="BI217" s="213"/>
      <c r="BJ217" s="213"/>
      <c r="BK217" s="213"/>
      <c r="BL217" s="215"/>
      <c r="BM217" s="213"/>
      <c r="BN217" s="215"/>
      <c r="BO217" s="213"/>
      <c r="BP217" s="213"/>
      <c r="BQ217" s="213"/>
      <c r="BR217" s="326"/>
      <c r="BS217" s="213"/>
      <c r="BT217" s="215"/>
      <c r="BU217" s="213"/>
      <c r="BV217" s="213"/>
      <c r="BW217" s="213"/>
      <c r="BX217" s="213"/>
      <c r="BY217" s="213"/>
      <c r="BZ217" s="213"/>
      <c r="CA217" s="213"/>
      <c r="CB217" s="213"/>
      <c r="CC217" s="213"/>
      <c r="CD217" s="213"/>
      <c r="CE217" s="213"/>
      <c r="CF217" s="213"/>
      <c r="CG217" s="213"/>
      <c r="CH217" s="213"/>
      <c r="CI217" s="213"/>
      <c r="CJ217" s="213"/>
      <c r="CK217" s="213"/>
      <c r="CL217" s="213"/>
      <c r="CM217" s="213"/>
      <c r="CN217" s="213"/>
      <c r="CO217" s="213"/>
      <c r="CP217" s="213"/>
      <c r="CQ217" s="213"/>
    </row>
    <row r="218" ht="15.75" customHeight="1">
      <c r="A218" s="213"/>
      <c r="B218" s="213"/>
      <c r="C218" s="213"/>
      <c r="D218" s="215"/>
      <c r="E218" s="213"/>
      <c r="F218" s="215"/>
      <c r="G218" s="213"/>
      <c r="H218" s="215"/>
      <c r="I218" s="213"/>
      <c r="J218" s="215"/>
      <c r="K218" s="213"/>
      <c r="L218" s="215"/>
      <c r="M218" s="213"/>
      <c r="N218" s="213"/>
      <c r="O218" s="213"/>
      <c r="P218" s="215"/>
      <c r="Q218" s="213"/>
      <c r="R218" s="215"/>
      <c r="S218" s="213"/>
      <c r="T218" s="213"/>
      <c r="U218" s="213"/>
      <c r="V218" s="215"/>
      <c r="W218" s="213"/>
      <c r="X218" s="215"/>
      <c r="Y218" s="213"/>
      <c r="Z218" s="213"/>
      <c r="AA218" s="213"/>
      <c r="AB218" s="215"/>
      <c r="AC218" s="213"/>
      <c r="AD218" s="215"/>
      <c r="AE218" s="213"/>
      <c r="AF218" s="213"/>
      <c r="AG218" s="213"/>
      <c r="AH218" s="215"/>
      <c r="AI218" s="213"/>
      <c r="AJ218" s="215"/>
      <c r="AK218" s="213"/>
      <c r="AL218" s="213"/>
      <c r="AM218" s="213"/>
      <c r="AN218" s="215"/>
      <c r="AO218" s="213"/>
      <c r="AP218" s="215"/>
      <c r="AQ218" s="213"/>
      <c r="AR218" s="325"/>
      <c r="AS218" s="213"/>
      <c r="AT218" s="215"/>
      <c r="AU218" s="213"/>
      <c r="AV218" s="215"/>
      <c r="AW218" s="213"/>
      <c r="AX218" s="213"/>
      <c r="AY218" s="213"/>
      <c r="AZ218" s="215"/>
      <c r="BA218" s="213"/>
      <c r="BB218" s="215"/>
      <c r="BC218" s="213"/>
      <c r="BD218" s="213"/>
      <c r="BE218" s="213"/>
      <c r="BF218" s="215"/>
      <c r="BG218" s="213"/>
      <c r="BH218" s="215"/>
      <c r="BI218" s="213"/>
      <c r="BJ218" s="213"/>
      <c r="BK218" s="213"/>
      <c r="BL218" s="215"/>
      <c r="BM218" s="213"/>
      <c r="BN218" s="215"/>
      <c r="BO218" s="213"/>
      <c r="BP218" s="213"/>
      <c r="BQ218" s="213"/>
      <c r="BR218" s="326"/>
      <c r="BS218" s="213"/>
      <c r="BT218" s="215"/>
      <c r="BU218" s="213"/>
      <c r="BV218" s="213"/>
      <c r="BW218" s="213"/>
      <c r="BX218" s="213"/>
      <c r="BY218" s="213"/>
      <c r="BZ218" s="213"/>
      <c r="CA218" s="213"/>
      <c r="CB218" s="213"/>
      <c r="CC218" s="213"/>
      <c r="CD218" s="213"/>
      <c r="CE218" s="213"/>
      <c r="CF218" s="213"/>
      <c r="CG218" s="213"/>
      <c r="CH218" s="213"/>
      <c r="CI218" s="213"/>
      <c r="CJ218" s="213"/>
      <c r="CK218" s="213"/>
      <c r="CL218" s="213"/>
      <c r="CM218" s="213"/>
      <c r="CN218" s="213"/>
      <c r="CO218" s="213"/>
      <c r="CP218" s="213"/>
      <c r="CQ218" s="213"/>
    </row>
    <row r="219" ht="15.75" customHeight="1">
      <c r="A219" s="213"/>
      <c r="B219" s="213"/>
      <c r="C219" s="213"/>
      <c r="D219" s="215"/>
      <c r="E219" s="213"/>
      <c r="F219" s="215"/>
      <c r="G219" s="213"/>
      <c r="H219" s="215"/>
      <c r="I219" s="213"/>
      <c r="J219" s="215"/>
      <c r="K219" s="213"/>
      <c r="L219" s="215"/>
      <c r="M219" s="213"/>
      <c r="N219" s="213"/>
      <c r="O219" s="213"/>
      <c r="P219" s="215"/>
      <c r="Q219" s="213"/>
      <c r="R219" s="215"/>
      <c r="S219" s="213"/>
      <c r="T219" s="213"/>
      <c r="U219" s="213"/>
      <c r="V219" s="215"/>
      <c r="W219" s="213"/>
      <c r="X219" s="215"/>
      <c r="Y219" s="213"/>
      <c r="Z219" s="213"/>
      <c r="AA219" s="213"/>
      <c r="AB219" s="215"/>
      <c r="AC219" s="213"/>
      <c r="AD219" s="215"/>
      <c r="AE219" s="213"/>
      <c r="AF219" s="213"/>
      <c r="AG219" s="213"/>
      <c r="AH219" s="215"/>
      <c r="AI219" s="213"/>
      <c r="AJ219" s="215"/>
      <c r="AK219" s="213"/>
      <c r="AL219" s="213"/>
      <c r="AM219" s="213"/>
      <c r="AN219" s="215"/>
      <c r="AO219" s="213"/>
      <c r="AP219" s="215"/>
      <c r="AQ219" s="213"/>
      <c r="AR219" s="325"/>
      <c r="AS219" s="213"/>
      <c r="AT219" s="215"/>
      <c r="AU219" s="213"/>
      <c r="AV219" s="215"/>
      <c r="AW219" s="213"/>
      <c r="AX219" s="213"/>
      <c r="AY219" s="213"/>
      <c r="AZ219" s="215"/>
      <c r="BA219" s="213"/>
      <c r="BB219" s="215"/>
      <c r="BC219" s="213"/>
      <c r="BD219" s="213"/>
      <c r="BE219" s="213"/>
      <c r="BF219" s="215"/>
      <c r="BG219" s="213"/>
      <c r="BH219" s="215"/>
      <c r="BI219" s="213"/>
      <c r="BJ219" s="213"/>
      <c r="BK219" s="213"/>
      <c r="BL219" s="215"/>
      <c r="BM219" s="213"/>
      <c r="BN219" s="215"/>
      <c r="BO219" s="213"/>
      <c r="BP219" s="213"/>
      <c r="BQ219" s="213"/>
      <c r="BR219" s="326"/>
      <c r="BS219" s="213"/>
      <c r="BT219" s="215"/>
      <c r="BU219" s="213"/>
      <c r="BV219" s="213"/>
      <c r="BW219" s="213"/>
      <c r="BX219" s="213"/>
      <c r="BY219" s="213"/>
      <c r="BZ219" s="213"/>
      <c r="CA219" s="213"/>
      <c r="CB219" s="213"/>
      <c r="CC219" s="213"/>
      <c r="CD219" s="213"/>
      <c r="CE219" s="213"/>
      <c r="CF219" s="213"/>
      <c r="CG219" s="213"/>
      <c r="CH219" s="213"/>
      <c r="CI219" s="213"/>
      <c r="CJ219" s="213"/>
      <c r="CK219" s="213"/>
      <c r="CL219" s="213"/>
      <c r="CM219" s="213"/>
      <c r="CN219" s="213"/>
      <c r="CO219" s="213"/>
      <c r="CP219" s="213"/>
      <c r="CQ219" s="213"/>
    </row>
    <row r="220" ht="15.75" customHeight="1">
      <c r="A220" s="213"/>
      <c r="B220" s="213"/>
      <c r="C220" s="213"/>
      <c r="D220" s="215"/>
      <c r="E220" s="213"/>
      <c r="F220" s="215"/>
      <c r="G220" s="213"/>
      <c r="H220" s="215"/>
      <c r="I220" s="213"/>
      <c r="J220" s="215"/>
      <c r="K220" s="213"/>
      <c r="L220" s="215"/>
      <c r="M220" s="213"/>
      <c r="N220" s="213"/>
      <c r="O220" s="213"/>
      <c r="P220" s="215"/>
      <c r="Q220" s="213"/>
      <c r="R220" s="215"/>
      <c r="S220" s="213"/>
      <c r="T220" s="213"/>
      <c r="U220" s="213"/>
      <c r="V220" s="215"/>
      <c r="W220" s="213"/>
      <c r="X220" s="215"/>
      <c r="Y220" s="213"/>
      <c r="Z220" s="213"/>
      <c r="AA220" s="213"/>
      <c r="AB220" s="215"/>
      <c r="AC220" s="213"/>
      <c r="AD220" s="215"/>
      <c r="AE220" s="213"/>
      <c r="AF220" s="213"/>
      <c r="AG220" s="213"/>
      <c r="AH220" s="215"/>
      <c r="AI220" s="213"/>
      <c r="AJ220" s="215"/>
      <c r="AK220" s="213"/>
      <c r="AL220" s="213"/>
      <c r="AM220" s="213"/>
      <c r="AN220" s="215"/>
      <c r="AO220" s="213"/>
      <c r="AP220" s="215"/>
      <c r="AQ220" s="213"/>
      <c r="AR220" s="325"/>
      <c r="AS220" s="213"/>
      <c r="AT220" s="215"/>
      <c r="AU220" s="213"/>
      <c r="AV220" s="215"/>
      <c r="AW220" s="213"/>
      <c r="AX220" s="213"/>
      <c r="AY220" s="213"/>
      <c r="AZ220" s="215"/>
      <c r="BA220" s="213"/>
      <c r="BB220" s="215"/>
      <c r="BC220" s="213"/>
      <c r="BD220" s="213"/>
      <c r="BE220" s="213"/>
      <c r="BF220" s="215"/>
      <c r="BG220" s="213"/>
      <c r="BH220" s="215"/>
      <c r="BI220" s="213"/>
      <c r="BJ220" s="213"/>
      <c r="BK220" s="213"/>
      <c r="BL220" s="215"/>
      <c r="BM220" s="213"/>
      <c r="BN220" s="215"/>
      <c r="BO220" s="213"/>
      <c r="BP220" s="213"/>
      <c r="BQ220" s="213"/>
      <c r="BR220" s="326"/>
      <c r="BS220" s="213"/>
      <c r="BT220" s="215"/>
      <c r="BU220" s="213"/>
      <c r="BV220" s="213"/>
      <c r="BW220" s="213"/>
      <c r="BX220" s="213"/>
      <c r="BY220" s="213"/>
      <c r="BZ220" s="213"/>
      <c r="CA220" s="213"/>
      <c r="CB220" s="213"/>
      <c r="CC220" s="213"/>
      <c r="CD220" s="213"/>
      <c r="CE220" s="213"/>
      <c r="CF220" s="213"/>
      <c r="CG220" s="213"/>
      <c r="CH220" s="213"/>
      <c r="CI220" s="213"/>
      <c r="CJ220" s="213"/>
      <c r="CK220" s="213"/>
      <c r="CL220" s="213"/>
      <c r="CM220" s="213"/>
      <c r="CN220" s="213"/>
      <c r="CO220" s="213"/>
      <c r="CP220" s="213"/>
      <c r="CQ220" s="213"/>
    </row>
    <row r="221" ht="15.75" customHeight="1">
      <c r="A221" s="213"/>
      <c r="B221" s="213"/>
      <c r="C221" s="213"/>
      <c r="D221" s="215"/>
      <c r="E221" s="213"/>
      <c r="F221" s="215"/>
      <c r="G221" s="213"/>
      <c r="H221" s="215"/>
      <c r="I221" s="213"/>
      <c r="J221" s="215"/>
      <c r="K221" s="213"/>
      <c r="L221" s="215"/>
      <c r="M221" s="213"/>
      <c r="N221" s="213"/>
      <c r="O221" s="213"/>
      <c r="P221" s="215"/>
      <c r="Q221" s="213"/>
      <c r="R221" s="215"/>
      <c r="S221" s="213"/>
      <c r="T221" s="213"/>
      <c r="U221" s="213"/>
      <c r="V221" s="215"/>
      <c r="W221" s="213"/>
      <c r="X221" s="215"/>
      <c r="Y221" s="213"/>
      <c r="Z221" s="213"/>
      <c r="AA221" s="213"/>
      <c r="AB221" s="215"/>
      <c r="AC221" s="213"/>
      <c r="AD221" s="215"/>
      <c r="AE221" s="213"/>
      <c r="AF221" s="213"/>
      <c r="AG221" s="213"/>
      <c r="AH221" s="215"/>
      <c r="AI221" s="213"/>
      <c r="AJ221" s="215"/>
      <c r="AK221" s="213"/>
      <c r="AL221" s="213"/>
      <c r="AM221" s="213"/>
      <c r="AN221" s="215"/>
      <c r="AO221" s="213"/>
      <c r="AP221" s="215"/>
      <c r="AQ221" s="213"/>
      <c r="AR221" s="325"/>
      <c r="AS221" s="213"/>
      <c r="AT221" s="215"/>
      <c r="AU221" s="213"/>
      <c r="AV221" s="215"/>
      <c r="AW221" s="213"/>
      <c r="AX221" s="213"/>
      <c r="AY221" s="213"/>
      <c r="AZ221" s="215"/>
      <c r="BA221" s="213"/>
      <c r="BB221" s="215"/>
      <c r="BC221" s="213"/>
      <c r="BD221" s="213"/>
      <c r="BE221" s="213"/>
      <c r="BF221" s="215"/>
      <c r="BG221" s="213"/>
      <c r="BH221" s="215"/>
      <c r="BI221" s="213"/>
      <c r="BJ221" s="213"/>
      <c r="BK221" s="213"/>
      <c r="BL221" s="215"/>
      <c r="BM221" s="213"/>
      <c r="BN221" s="215"/>
      <c r="BO221" s="213"/>
      <c r="BP221" s="213"/>
      <c r="BQ221" s="213"/>
      <c r="BR221" s="326"/>
      <c r="BS221" s="213"/>
      <c r="BT221" s="215"/>
      <c r="BU221" s="213"/>
      <c r="BV221" s="213"/>
      <c r="BW221" s="213"/>
      <c r="BX221" s="213"/>
      <c r="BY221" s="213"/>
      <c r="BZ221" s="213"/>
      <c r="CA221" s="213"/>
      <c r="CB221" s="213"/>
      <c r="CC221" s="213"/>
      <c r="CD221" s="213"/>
      <c r="CE221" s="213"/>
      <c r="CF221" s="213"/>
      <c r="CG221" s="213"/>
      <c r="CH221" s="213"/>
      <c r="CI221" s="213"/>
      <c r="CJ221" s="213"/>
      <c r="CK221" s="213"/>
      <c r="CL221" s="213"/>
      <c r="CM221" s="213"/>
      <c r="CN221" s="213"/>
      <c r="CO221" s="213"/>
      <c r="CP221" s="213"/>
      <c r="CQ221" s="213"/>
    </row>
    <row r="222" ht="15.75" customHeight="1">
      <c r="A222" s="213"/>
      <c r="B222" s="213"/>
      <c r="C222" s="213"/>
      <c r="D222" s="215"/>
      <c r="E222" s="213"/>
      <c r="F222" s="215"/>
      <c r="G222" s="213"/>
      <c r="H222" s="215"/>
      <c r="I222" s="213"/>
      <c r="J222" s="215"/>
      <c r="K222" s="213"/>
      <c r="L222" s="215"/>
      <c r="M222" s="213"/>
      <c r="N222" s="213"/>
      <c r="O222" s="213"/>
      <c r="P222" s="215"/>
      <c r="Q222" s="213"/>
      <c r="R222" s="215"/>
      <c r="S222" s="213"/>
      <c r="T222" s="213"/>
      <c r="U222" s="213"/>
      <c r="V222" s="215"/>
      <c r="W222" s="213"/>
      <c r="X222" s="215"/>
      <c r="Y222" s="213"/>
      <c r="Z222" s="213"/>
      <c r="AA222" s="213"/>
      <c r="AB222" s="215"/>
      <c r="AC222" s="213"/>
      <c r="AD222" s="215"/>
      <c r="AE222" s="213"/>
      <c r="AF222" s="213"/>
      <c r="AG222" s="213"/>
      <c r="AH222" s="215"/>
      <c r="AI222" s="213"/>
      <c r="AJ222" s="215"/>
      <c r="AK222" s="213"/>
      <c r="AL222" s="213"/>
      <c r="AM222" s="213"/>
      <c r="AN222" s="215"/>
      <c r="AO222" s="213"/>
      <c r="AP222" s="215"/>
      <c r="AQ222" s="213"/>
      <c r="AR222" s="325"/>
      <c r="AS222" s="213"/>
      <c r="AT222" s="215"/>
      <c r="AU222" s="213"/>
      <c r="AV222" s="215"/>
      <c r="AW222" s="213"/>
      <c r="AX222" s="213"/>
      <c r="AY222" s="213"/>
      <c r="AZ222" s="215"/>
      <c r="BA222" s="213"/>
      <c r="BB222" s="215"/>
      <c r="BC222" s="213"/>
      <c r="BD222" s="213"/>
      <c r="BE222" s="213"/>
      <c r="BF222" s="215"/>
      <c r="BG222" s="213"/>
      <c r="BH222" s="215"/>
      <c r="BI222" s="213"/>
      <c r="BJ222" s="213"/>
      <c r="BK222" s="213"/>
      <c r="BL222" s="215"/>
      <c r="BM222" s="213"/>
      <c r="BN222" s="215"/>
      <c r="BO222" s="213"/>
      <c r="BP222" s="213"/>
      <c r="BQ222" s="213"/>
      <c r="BR222" s="326"/>
      <c r="BS222" s="213"/>
      <c r="BT222" s="215"/>
      <c r="BU222" s="213"/>
      <c r="BV222" s="213"/>
      <c r="BW222" s="213"/>
      <c r="BX222" s="213"/>
      <c r="BY222" s="213"/>
      <c r="BZ222" s="213"/>
      <c r="CA222" s="213"/>
      <c r="CB222" s="213"/>
      <c r="CC222" s="213"/>
      <c r="CD222" s="213"/>
      <c r="CE222" s="213"/>
      <c r="CF222" s="213"/>
      <c r="CG222" s="213"/>
      <c r="CH222" s="213"/>
      <c r="CI222" s="213"/>
      <c r="CJ222" s="213"/>
      <c r="CK222" s="213"/>
      <c r="CL222" s="213"/>
      <c r="CM222" s="213"/>
      <c r="CN222" s="213"/>
      <c r="CO222" s="213"/>
      <c r="CP222" s="213"/>
      <c r="CQ222" s="213"/>
    </row>
    <row r="223" ht="15.75" customHeight="1">
      <c r="A223" s="213"/>
      <c r="B223" s="213"/>
      <c r="C223" s="213"/>
      <c r="D223" s="215"/>
      <c r="E223" s="213"/>
      <c r="F223" s="215"/>
      <c r="G223" s="213"/>
      <c r="H223" s="215"/>
      <c r="I223" s="213"/>
      <c r="J223" s="215"/>
      <c r="K223" s="213"/>
      <c r="L223" s="215"/>
      <c r="M223" s="213"/>
      <c r="N223" s="213"/>
      <c r="O223" s="213"/>
      <c r="P223" s="215"/>
      <c r="Q223" s="213"/>
      <c r="R223" s="215"/>
      <c r="S223" s="213"/>
      <c r="T223" s="213"/>
      <c r="U223" s="213"/>
      <c r="V223" s="215"/>
      <c r="W223" s="213"/>
      <c r="X223" s="215"/>
      <c r="Y223" s="213"/>
      <c r="Z223" s="213"/>
      <c r="AA223" s="213"/>
      <c r="AB223" s="215"/>
      <c r="AC223" s="213"/>
      <c r="AD223" s="215"/>
      <c r="AE223" s="213"/>
      <c r="AF223" s="213"/>
      <c r="AG223" s="213"/>
      <c r="AH223" s="215"/>
      <c r="AI223" s="213"/>
      <c r="AJ223" s="215"/>
      <c r="AK223" s="213"/>
      <c r="AL223" s="213"/>
      <c r="AM223" s="213"/>
      <c r="AN223" s="215"/>
      <c r="AO223" s="213"/>
      <c r="AP223" s="215"/>
      <c r="AQ223" s="213"/>
      <c r="AR223" s="325"/>
      <c r="AS223" s="213"/>
      <c r="AT223" s="215"/>
      <c r="AU223" s="213"/>
      <c r="AV223" s="215"/>
      <c r="AW223" s="213"/>
      <c r="AX223" s="213"/>
      <c r="AY223" s="213"/>
      <c r="AZ223" s="215"/>
      <c r="BA223" s="213"/>
      <c r="BB223" s="215"/>
      <c r="BC223" s="213"/>
      <c r="BD223" s="213"/>
      <c r="BE223" s="213"/>
      <c r="BF223" s="215"/>
      <c r="BG223" s="213"/>
      <c r="BH223" s="215"/>
      <c r="BI223" s="213"/>
      <c r="BJ223" s="213"/>
      <c r="BK223" s="213"/>
      <c r="BL223" s="215"/>
      <c r="BM223" s="213"/>
      <c r="BN223" s="215"/>
      <c r="BO223" s="213"/>
      <c r="BP223" s="213"/>
      <c r="BQ223" s="213"/>
      <c r="BR223" s="326"/>
      <c r="BS223" s="213"/>
      <c r="BT223" s="215"/>
      <c r="BU223" s="213"/>
      <c r="BV223" s="213"/>
      <c r="BW223" s="213"/>
      <c r="BX223" s="213"/>
      <c r="BY223" s="213"/>
      <c r="BZ223" s="213"/>
      <c r="CA223" s="213"/>
      <c r="CB223" s="213"/>
      <c r="CC223" s="213"/>
      <c r="CD223" s="213"/>
      <c r="CE223" s="213"/>
      <c r="CF223" s="213"/>
      <c r="CG223" s="213"/>
      <c r="CH223" s="213"/>
      <c r="CI223" s="213"/>
      <c r="CJ223" s="213"/>
      <c r="CK223" s="213"/>
      <c r="CL223" s="213"/>
      <c r="CM223" s="213"/>
      <c r="CN223" s="213"/>
      <c r="CO223" s="213"/>
      <c r="CP223" s="213"/>
      <c r="CQ223" s="213"/>
    </row>
    <row r="224" ht="15.75" customHeight="1">
      <c r="A224" s="213"/>
      <c r="B224" s="213"/>
      <c r="C224" s="213"/>
      <c r="D224" s="215"/>
      <c r="E224" s="213"/>
      <c r="F224" s="215"/>
      <c r="G224" s="213"/>
      <c r="H224" s="215"/>
      <c r="I224" s="213"/>
      <c r="J224" s="215"/>
      <c r="K224" s="213"/>
      <c r="L224" s="215"/>
      <c r="M224" s="213"/>
      <c r="N224" s="213"/>
      <c r="O224" s="213"/>
      <c r="P224" s="215"/>
      <c r="Q224" s="213"/>
      <c r="R224" s="215"/>
      <c r="S224" s="213"/>
      <c r="T224" s="213"/>
      <c r="U224" s="213"/>
      <c r="V224" s="215"/>
      <c r="W224" s="213"/>
      <c r="X224" s="215"/>
      <c r="Y224" s="213"/>
      <c r="Z224" s="213"/>
      <c r="AA224" s="213"/>
      <c r="AB224" s="215"/>
      <c r="AC224" s="213"/>
      <c r="AD224" s="215"/>
      <c r="AE224" s="213"/>
      <c r="AF224" s="213"/>
      <c r="AG224" s="213"/>
      <c r="AH224" s="215"/>
      <c r="AI224" s="213"/>
      <c r="AJ224" s="215"/>
      <c r="AK224" s="213"/>
      <c r="AL224" s="213"/>
      <c r="AM224" s="213"/>
      <c r="AN224" s="215"/>
      <c r="AO224" s="213"/>
      <c r="AP224" s="215"/>
      <c r="AQ224" s="213"/>
      <c r="AR224" s="325"/>
      <c r="AS224" s="213"/>
      <c r="AT224" s="215"/>
      <c r="AU224" s="213"/>
      <c r="AV224" s="215"/>
      <c r="AW224" s="213"/>
      <c r="AX224" s="213"/>
      <c r="AY224" s="213"/>
      <c r="AZ224" s="215"/>
      <c r="BA224" s="213"/>
      <c r="BB224" s="215"/>
      <c r="BC224" s="213"/>
      <c r="BD224" s="213"/>
      <c r="BE224" s="213"/>
      <c r="BF224" s="215"/>
      <c r="BG224" s="213"/>
      <c r="BH224" s="215"/>
      <c r="BI224" s="213"/>
      <c r="BJ224" s="213"/>
      <c r="BK224" s="213"/>
      <c r="BL224" s="215"/>
      <c r="BM224" s="213"/>
      <c r="BN224" s="215"/>
      <c r="BO224" s="213"/>
      <c r="BP224" s="213"/>
      <c r="BQ224" s="213"/>
      <c r="BR224" s="326"/>
      <c r="BS224" s="213"/>
      <c r="BT224" s="215"/>
      <c r="BU224" s="213"/>
      <c r="BV224" s="213"/>
      <c r="BW224" s="213"/>
      <c r="BX224" s="213"/>
      <c r="BY224" s="213"/>
      <c r="BZ224" s="213"/>
      <c r="CA224" s="213"/>
      <c r="CB224" s="213"/>
      <c r="CC224" s="213"/>
      <c r="CD224" s="213"/>
      <c r="CE224" s="213"/>
      <c r="CF224" s="213"/>
      <c r="CG224" s="213"/>
      <c r="CH224" s="213"/>
      <c r="CI224" s="213"/>
      <c r="CJ224" s="213"/>
      <c r="CK224" s="213"/>
      <c r="CL224" s="213"/>
      <c r="CM224" s="213"/>
      <c r="CN224" s="213"/>
      <c r="CO224" s="213"/>
      <c r="CP224" s="213"/>
      <c r="CQ224" s="213"/>
    </row>
    <row r="225" ht="15.75" customHeight="1">
      <c r="A225" s="213"/>
      <c r="B225" s="213"/>
      <c r="C225" s="213"/>
      <c r="D225" s="215"/>
      <c r="E225" s="213"/>
      <c r="F225" s="215"/>
      <c r="G225" s="213"/>
      <c r="H225" s="215"/>
      <c r="I225" s="213"/>
      <c r="J225" s="215"/>
      <c r="K225" s="213"/>
      <c r="L225" s="215"/>
      <c r="M225" s="213"/>
      <c r="N225" s="213"/>
      <c r="O225" s="213"/>
      <c r="P225" s="215"/>
      <c r="Q225" s="213"/>
      <c r="R225" s="215"/>
      <c r="S225" s="213"/>
      <c r="T225" s="213"/>
      <c r="U225" s="213"/>
      <c r="V225" s="215"/>
      <c r="W225" s="213"/>
      <c r="X225" s="215"/>
      <c r="Y225" s="213"/>
      <c r="Z225" s="213"/>
      <c r="AA225" s="213"/>
      <c r="AB225" s="215"/>
      <c r="AC225" s="213"/>
      <c r="AD225" s="215"/>
      <c r="AE225" s="213"/>
      <c r="AF225" s="213"/>
      <c r="AG225" s="213"/>
      <c r="AH225" s="215"/>
      <c r="AI225" s="213"/>
      <c r="AJ225" s="215"/>
      <c r="AK225" s="213"/>
      <c r="AL225" s="213"/>
      <c r="AM225" s="213"/>
      <c r="AN225" s="215"/>
      <c r="AO225" s="213"/>
      <c r="AP225" s="215"/>
      <c r="AQ225" s="213"/>
      <c r="AR225" s="325"/>
      <c r="AS225" s="213"/>
      <c r="AT225" s="215"/>
      <c r="AU225" s="213"/>
      <c r="AV225" s="215"/>
      <c r="AW225" s="213"/>
      <c r="AX225" s="213"/>
      <c r="AY225" s="213"/>
      <c r="AZ225" s="215"/>
      <c r="BA225" s="213"/>
      <c r="BB225" s="215"/>
      <c r="BC225" s="213"/>
      <c r="BD225" s="213"/>
      <c r="BE225" s="213"/>
      <c r="BF225" s="215"/>
      <c r="BG225" s="213"/>
      <c r="BH225" s="215"/>
      <c r="BI225" s="213"/>
      <c r="BJ225" s="213"/>
      <c r="BK225" s="213"/>
      <c r="BL225" s="215"/>
      <c r="BM225" s="213"/>
      <c r="BN225" s="215"/>
      <c r="BO225" s="213"/>
      <c r="BP225" s="213"/>
      <c r="BQ225" s="213"/>
      <c r="BR225" s="326"/>
      <c r="BS225" s="213"/>
      <c r="BT225" s="215"/>
      <c r="BU225" s="213"/>
      <c r="BV225" s="213"/>
      <c r="BW225" s="213"/>
      <c r="BX225" s="213"/>
      <c r="BY225" s="213"/>
      <c r="BZ225" s="213"/>
      <c r="CA225" s="213"/>
      <c r="CB225" s="213"/>
      <c r="CC225" s="213"/>
      <c r="CD225" s="213"/>
      <c r="CE225" s="213"/>
      <c r="CF225" s="213"/>
      <c r="CG225" s="213"/>
      <c r="CH225" s="213"/>
      <c r="CI225" s="213"/>
      <c r="CJ225" s="213"/>
      <c r="CK225" s="213"/>
      <c r="CL225" s="213"/>
      <c r="CM225" s="213"/>
      <c r="CN225" s="213"/>
      <c r="CO225" s="213"/>
      <c r="CP225" s="213"/>
      <c r="CQ225" s="213"/>
    </row>
    <row r="226" ht="15.75" customHeight="1">
      <c r="A226" s="213"/>
      <c r="B226" s="213"/>
      <c r="C226" s="213"/>
      <c r="D226" s="215"/>
      <c r="E226" s="213"/>
      <c r="F226" s="215"/>
      <c r="G226" s="213"/>
      <c r="H226" s="215"/>
      <c r="I226" s="213"/>
      <c r="J226" s="215"/>
      <c r="K226" s="213"/>
      <c r="L226" s="215"/>
      <c r="M226" s="213"/>
      <c r="N226" s="213"/>
      <c r="O226" s="213"/>
      <c r="P226" s="215"/>
      <c r="Q226" s="213"/>
      <c r="R226" s="215"/>
      <c r="S226" s="213"/>
      <c r="T226" s="213"/>
      <c r="U226" s="213"/>
      <c r="V226" s="215"/>
      <c r="W226" s="213"/>
      <c r="X226" s="215"/>
      <c r="Y226" s="213"/>
      <c r="Z226" s="213"/>
      <c r="AA226" s="213"/>
      <c r="AB226" s="215"/>
      <c r="AC226" s="213"/>
      <c r="AD226" s="215"/>
      <c r="AE226" s="213"/>
      <c r="AF226" s="213"/>
      <c r="AG226" s="213"/>
      <c r="AH226" s="215"/>
      <c r="AI226" s="213"/>
      <c r="AJ226" s="215"/>
      <c r="AK226" s="213"/>
      <c r="AL226" s="213"/>
      <c r="AM226" s="213"/>
      <c r="AN226" s="215"/>
      <c r="AO226" s="213"/>
      <c r="AP226" s="215"/>
      <c r="AQ226" s="213"/>
      <c r="AR226" s="325"/>
      <c r="AS226" s="213"/>
      <c r="AT226" s="215"/>
      <c r="AU226" s="213"/>
      <c r="AV226" s="215"/>
      <c r="AW226" s="213"/>
      <c r="AX226" s="213"/>
      <c r="AY226" s="213"/>
      <c r="AZ226" s="215"/>
      <c r="BA226" s="213"/>
      <c r="BB226" s="215"/>
      <c r="BC226" s="213"/>
      <c r="BD226" s="213"/>
      <c r="BE226" s="213"/>
      <c r="BF226" s="215"/>
      <c r="BG226" s="213"/>
      <c r="BH226" s="215"/>
      <c r="BI226" s="213"/>
      <c r="BJ226" s="213"/>
      <c r="BK226" s="213"/>
      <c r="BL226" s="215"/>
      <c r="BM226" s="213"/>
      <c r="BN226" s="215"/>
      <c r="BO226" s="213"/>
      <c r="BP226" s="213"/>
      <c r="BQ226" s="213"/>
      <c r="BR226" s="326"/>
      <c r="BS226" s="213"/>
      <c r="BT226" s="215"/>
      <c r="BU226" s="213"/>
      <c r="BV226" s="213"/>
      <c r="BW226" s="213"/>
      <c r="BX226" s="213"/>
      <c r="BY226" s="213"/>
      <c r="BZ226" s="213"/>
      <c r="CA226" s="213"/>
      <c r="CB226" s="213"/>
      <c r="CC226" s="213"/>
      <c r="CD226" s="213"/>
      <c r="CE226" s="213"/>
      <c r="CF226" s="213"/>
      <c r="CG226" s="213"/>
      <c r="CH226" s="213"/>
      <c r="CI226" s="213"/>
      <c r="CJ226" s="213"/>
      <c r="CK226" s="213"/>
      <c r="CL226" s="213"/>
      <c r="CM226" s="213"/>
      <c r="CN226" s="213"/>
      <c r="CO226" s="213"/>
      <c r="CP226" s="213"/>
      <c r="CQ226" s="213"/>
    </row>
    <row r="227" ht="15.75" customHeight="1">
      <c r="A227" s="213"/>
      <c r="B227" s="213"/>
      <c r="C227" s="213"/>
      <c r="D227" s="215"/>
      <c r="E227" s="213"/>
      <c r="F227" s="215"/>
      <c r="G227" s="213"/>
      <c r="H227" s="215"/>
      <c r="I227" s="213"/>
      <c r="J227" s="215"/>
      <c r="K227" s="213"/>
      <c r="L227" s="215"/>
      <c r="M227" s="213"/>
      <c r="N227" s="213"/>
      <c r="O227" s="213"/>
      <c r="P227" s="215"/>
      <c r="Q227" s="213"/>
      <c r="R227" s="215"/>
      <c r="S227" s="213"/>
      <c r="T227" s="213"/>
      <c r="U227" s="213"/>
      <c r="V227" s="215"/>
      <c r="W227" s="213"/>
      <c r="X227" s="215"/>
      <c r="Y227" s="213"/>
      <c r="Z227" s="213"/>
      <c r="AA227" s="213"/>
      <c r="AB227" s="215"/>
      <c r="AC227" s="213"/>
      <c r="AD227" s="215"/>
      <c r="AE227" s="213"/>
      <c r="AF227" s="213"/>
      <c r="AG227" s="213"/>
      <c r="AH227" s="215"/>
      <c r="AI227" s="213"/>
      <c r="AJ227" s="215"/>
      <c r="AK227" s="213"/>
      <c r="AL227" s="213"/>
      <c r="AM227" s="213"/>
      <c r="AN227" s="215"/>
      <c r="AO227" s="213"/>
      <c r="AP227" s="215"/>
      <c r="AQ227" s="213"/>
      <c r="AR227" s="325"/>
      <c r="AS227" s="213"/>
      <c r="AT227" s="215"/>
      <c r="AU227" s="213"/>
      <c r="AV227" s="215"/>
      <c r="AW227" s="213"/>
      <c r="AX227" s="213"/>
      <c r="AY227" s="213"/>
      <c r="AZ227" s="215"/>
      <c r="BA227" s="213"/>
      <c r="BB227" s="215"/>
      <c r="BC227" s="213"/>
      <c r="BD227" s="213"/>
      <c r="BE227" s="213"/>
      <c r="BF227" s="215"/>
      <c r="BG227" s="213"/>
      <c r="BH227" s="215"/>
      <c r="BI227" s="213"/>
      <c r="BJ227" s="213"/>
      <c r="BK227" s="213"/>
      <c r="BL227" s="215"/>
      <c r="BM227" s="213"/>
      <c r="BN227" s="215"/>
      <c r="BO227" s="213"/>
      <c r="BP227" s="213"/>
      <c r="BQ227" s="213"/>
      <c r="BR227" s="326"/>
      <c r="BS227" s="213"/>
      <c r="BT227" s="215"/>
      <c r="BU227" s="213"/>
      <c r="BV227" s="213"/>
      <c r="BW227" s="213"/>
      <c r="BX227" s="213"/>
      <c r="BY227" s="213"/>
      <c r="BZ227" s="213"/>
      <c r="CA227" s="213"/>
      <c r="CB227" s="213"/>
      <c r="CC227" s="213"/>
      <c r="CD227" s="213"/>
      <c r="CE227" s="213"/>
      <c r="CF227" s="213"/>
      <c r="CG227" s="213"/>
      <c r="CH227" s="213"/>
      <c r="CI227" s="213"/>
      <c r="CJ227" s="213"/>
      <c r="CK227" s="213"/>
      <c r="CL227" s="213"/>
      <c r="CM227" s="213"/>
      <c r="CN227" s="213"/>
      <c r="CO227" s="213"/>
      <c r="CP227" s="213"/>
      <c r="CQ227" s="213"/>
    </row>
    <row r="228" ht="15.75" customHeight="1">
      <c r="A228" s="213"/>
      <c r="B228" s="213"/>
      <c r="C228" s="213"/>
      <c r="D228" s="215"/>
      <c r="E228" s="213"/>
      <c r="F228" s="215"/>
      <c r="G228" s="213"/>
      <c r="H228" s="215"/>
      <c r="I228" s="213"/>
      <c r="J228" s="215"/>
      <c r="K228" s="213"/>
      <c r="L228" s="215"/>
      <c r="M228" s="213"/>
      <c r="N228" s="213"/>
      <c r="O228" s="213"/>
      <c r="P228" s="215"/>
      <c r="Q228" s="213"/>
      <c r="R228" s="215"/>
      <c r="S228" s="213"/>
      <c r="T228" s="213"/>
      <c r="U228" s="213"/>
      <c r="V228" s="215"/>
      <c r="W228" s="213"/>
      <c r="X228" s="215"/>
      <c r="Y228" s="213"/>
      <c r="Z228" s="213"/>
      <c r="AA228" s="213"/>
      <c r="AB228" s="215"/>
      <c r="AC228" s="213"/>
      <c r="AD228" s="215"/>
      <c r="AE228" s="213"/>
      <c r="AF228" s="213"/>
      <c r="AG228" s="213"/>
      <c r="AH228" s="215"/>
      <c r="AI228" s="213"/>
      <c r="AJ228" s="215"/>
      <c r="AK228" s="213"/>
      <c r="AL228" s="213"/>
      <c r="AM228" s="213"/>
      <c r="AN228" s="215"/>
      <c r="AO228" s="213"/>
      <c r="AP228" s="215"/>
      <c r="AQ228" s="213"/>
      <c r="AR228" s="325"/>
      <c r="AS228" s="213"/>
      <c r="AT228" s="215"/>
      <c r="AU228" s="213"/>
      <c r="AV228" s="215"/>
      <c r="AW228" s="213"/>
      <c r="AX228" s="213"/>
      <c r="AY228" s="213"/>
      <c r="AZ228" s="215"/>
      <c r="BA228" s="213"/>
      <c r="BB228" s="215"/>
      <c r="BC228" s="213"/>
      <c r="BD228" s="213"/>
      <c r="BE228" s="213"/>
      <c r="BF228" s="215"/>
      <c r="BG228" s="213"/>
      <c r="BH228" s="215"/>
      <c r="BI228" s="213"/>
      <c r="BJ228" s="213"/>
      <c r="BK228" s="213"/>
      <c r="BL228" s="215"/>
      <c r="BM228" s="213"/>
      <c r="BN228" s="215"/>
      <c r="BO228" s="213"/>
      <c r="BP228" s="213"/>
      <c r="BQ228" s="213"/>
      <c r="BR228" s="326"/>
      <c r="BS228" s="213"/>
      <c r="BT228" s="215"/>
      <c r="BU228" s="213"/>
      <c r="BV228" s="213"/>
      <c r="BW228" s="213"/>
      <c r="BX228" s="213"/>
      <c r="BY228" s="213"/>
      <c r="BZ228" s="213"/>
      <c r="CA228" s="213"/>
      <c r="CB228" s="213"/>
      <c r="CC228" s="213"/>
      <c r="CD228" s="213"/>
      <c r="CE228" s="213"/>
      <c r="CF228" s="213"/>
      <c r="CG228" s="213"/>
      <c r="CH228" s="213"/>
      <c r="CI228" s="213"/>
      <c r="CJ228" s="213"/>
      <c r="CK228" s="213"/>
      <c r="CL228" s="213"/>
      <c r="CM228" s="213"/>
      <c r="CN228" s="213"/>
      <c r="CO228" s="213"/>
      <c r="CP228" s="213"/>
      <c r="CQ228" s="213"/>
    </row>
    <row r="229" ht="15.75" customHeight="1">
      <c r="A229" s="213"/>
      <c r="B229" s="213"/>
      <c r="C229" s="213"/>
      <c r="D229" s="215"/>
      <c r="E229" s="213"/>
      <c r="F229" s="215"/>
      <c r="G229" s="213"/>
      <c r="H229" s="215"/>
      <c r="I229" s="213"/>
      <c r="J229" s="215"/>
      <c r="K229" s="213"/>
      <c r="L229" s="215"/>
      <c r="M229" s="213"/>
      <c r="N229" s="213"/>
      <c r="O229" s="213"/>
      <c r="P229" s="215"/>
      <c r="Q229" s="213"/>
      <c r="R229" s="215"/>
      <c r="S229" s="213"/>
      <c r="T229" s="213"/>
      <c r="U229" s="213"/>
      <c r="V229" s="215"/>
      <c r="W229" s="213"/>
      <c r="X229" s="215"/>
      <c r="Y229" s="213"/>
      <c r="Z229" s="213"/>
      <c r="AA229" s="213"/>
      <c r="AB229" s="215"/>
      <c r="AC229" s="213"/>
      <c r="AD229" s="215"/>
      <c r="AE229" s="213"/>
      <c r="AF229" s="213"/>
      <c r="AG229" s="213"/>
      <c r="AH229" s="215"/>
      <c r="AI229" s="213"/>
      <c r="AJ229" s="215"/>
      <c r="AK229" s="213"/>
      <c r="AL229" s="213"/>
      <c r="AM229" s="213"/>
      <c r="AN229" s="215"/>
      <c r="AO229" s="213"/>
      <c r="AP229" s="215"/>
      <c r="AQ229" s="213"/>
      <c r="AR229" s="325"/>
      <c r="AS229" s="213"/>
      <c r="AT229" s="215"/>
      <c r="AU229" s="213"/>
      <c r="AV229" s="215"/>
      <c r="AW229" s="213"/>
      <c r="AX229" s="213"/>
      <c r="AY229" s="213"/>
      <c r="AZ229" s="215"/>
      <c r="BA229" s="213"/>
      <c r="BB229" s="215"/>
      <c r="BC229" s="213"/>
      <c r="BD229" s="213"/>
      <c r="BE229" s="213"/>
      <c r="BF229" s="215"/>
      <c r="BG229" s="213"/>
      <c r="BH229" s="215"/>
      <c r="BI229" s="213"/>
      <c r="BJ229" s="213"/>
      <c r="BK229" s="213"/>
      <c r="BL229" s="215"/>
      <c r="BM229" s="213"/>
      <c r="BN229" s="215"/>
      <c r="BO229" s="213"/>
      <c r="BP229" s="213"/>
      <c r="BQ229" s="213"/>
      <c r="BR229" s="326"/>
      <c r="BS229" s="213"/>
      <c r="BT229" s="215"/>
      <c r="BU229" s="213"/>
      <c r="BV229" s="213"/>
      <c r="BW229" s="213"/>
      <c r="BX229" s="213"/>
      <c r="BY229" s="213"/>
      <c r="BZ229" s="213"/>
      <c r="CA229" s="213"/>
      <c r="CB229" s="213"/>
      <c r="CC229" s="213"/>
      <c r="CD229" s="213"/>
      <c r="CE229" s="213"/>
      <c r="CF229" s="213"/>
      <c r="CG229" s="213"/>
      <c r="CH229" s="213"/>
      <c r="CI229" s="213"/>
      <c r="CJ229" s="213"/>
      <c r="CK229" s="213"/>
      <c r="CL229" s="213"/>
      <c r="CM229" s="213"/>
      <c r="CN229" s="213"/>
      <c r="CO229" s="213"/>
      <c r="CP229" s="213"/>
      <c r="CQ229" s="213"/>
    </row>
    <row r="230" ht="15.75" customHeight="1">
      <c r="A230" s="213"/>
      <c r="B230" s="213"/>
      <c r="C230" s="213"/>
      <c r="D230" s="215"/>
      <c r="E230" s="213"/>
      <c r="F230" s="215"/>
      <c r="G230" s="213"/>
      <c r="H230" s="215"/>
      <c r="I230" s="213"/>
      <c r="J230" s="215"/>
      <c r="K230" s="213"/>
      <c r="L230" s="215"/>
      <c r="M230" s="213"/>
      <c r="N230" s="213"/>
      <c r="O230" s="213"/>
      <c r="P230" s="215"/>
      <c r="Q230" s="213"/>
      <c r="R230" s="215"/>
      <c r="S230" s="213"/>
      <c r="T230" s="213"/>
      <c r="U230" s="213"/>
      <c r="V230" s="215"/>
      <c r="W230" s="213"/>
      <c r="X230" s="215"/>
      <c r="Y230" s="213"/>
      <c r="Z230" s="213"/>
      <c r="AA230" s="213"/>
      <c r="AB230" s="215"/>
      <c r="AC230" s="213"/>
      <c r="AD230" s="215"/>
      <c r="AE230" s="213"/>
      <c r="AF230" s="213"/>
      <c r="AG230" s="213"/>
      <c r="AH230" s="215"/>
      <c r="AI230" s="213"/>
      <c r="AJ230" s="215"/>
      <c r="AK230" s="213"/>
      <c r="AL230" s="213"/>
      <c r="AM230" s="213"/>
      <c r="AN230" s="215"/>
      <c r="AO230" s="213"/>
      <c r="AP230" s="215"/>
      <c r="AQ230" s="213"/>
      <c r="AR230" s="325"/>
      <c r="AS230" s="213"/>
      <c r="AT230" s="215"/>
      <c r="AU230" s="213"/>
      <c r="AV230" s="215"/>
      <c r="AW230" s="213"/>
      <c r="AX230" s="213"/>
      <c r="AY230" s="213"/>
      <c r="AZ230" s="215"/>
      <c r="BA230" s="213"/>
      <c r="BB230" s="215"/>
      <c r="BC230" s="213"/>
      <c r="BD230" s="213"/>
      <c r="BE230" s="213"/>
      <c r="BF230" s="215"/>
      <c r="BG230" s="213"/>
      <c r="BH230" s="215"/>
      <c r="BI230" s="213"/>
      <c r="BJ230" s="213"/>
      <c r="BK230" s="213"/>
      <c r="BL230" s="215"/>
      <c r="BM230" s="213"/>
      <c r="BN230" s="215"/>
      <c r="BO230" s="213"/>
      <c r="BP230" s="213"/>
      <c r="BQ230" s="213"/>
      <c r="BR230" s="326"/>
      <c r="BS230" s="213"/>
      <c r="BT230" s="215"/>
      <c r="BU230" s="213"/>
      <c r="BV230" s="213"/>
      <c r="BW230" s="213"/>
      <c r="BX230" s="213"/>
      <c r="BY230" s="213"/>
      <c r="BZ230" s="213"/>
      <c r="CA230" s="213"/>
      <c r="CB230" s="213"/>
      <c r="CC230" s="213"/>
      <c r="CD230" s="213"/>
      <c r="CE230" s="213"/>
      <c r="CF230" s="213"/>
      <c r="CG230" s="213"/>
      <c r="CH230" s="213"/>
      <c r="CI230" s="213"/>
      <c r="CJ230" s="213"/>
      <c r="CK230" s="213"/>
      <c r="CL230" s="213"/>
      <c r="CM230" s="213"/>
      <c r="CN230" s="213"/>
      <c r="CO230" s="213"/>
      <c r="CP230" s="213"/>
      <c r="CQ230" s="213"/>
    </row>
    <row r="231" ht="15.75" customHeight="1">
      <c r="A231" s="213"/>
      <c r="B231" s="213"/>
      <c r="C231" s="213"/>
      <c r="D231" s="215"/>
      <c r="E231" s="213"/>
      <c r="F231" s="215"/>
      <c r="G231" s="213"/>
      <c r="H231" s="215"/>
      <c r="I231" s="213"/>
      <c r="J231" s="215"/>
      <c r="K231" s="213"/>
      <c r="L231" s="215"/>
      <c r="M231" s="213"/>
      <c r="N231" s="213"/>
      <c r="O231" s="213"/>
      <c r="P231" s="215"/>
      <c r="Q231" s="213"/>
      <c r="R231" s="215"/>
      <c r="S231" s="213"/>
      <c r="T231" s="213"/>
      <c r="U231" s="213"/>
      <c r="V231" s="215"/>
      <c r="W231" s="213"/>
      <c r="X231" s="215"/>
      <c r="Y231" s="213"/>
      <c r="Z231" s="213"/>
      <c r="AA231" s="213"/>
      <c r="AB231" s="215"/>
      <c r="AC231" s="213"/>
      <c r="AD231" s="215"/>
      <c r="AE231" s="213"/>
      <c r="AF231" s="213"/>
      <c r="AG231" s="213"/>
      <c r="AH231" s="215"/>
      <c r="AI231" s="213"/>
      <c r="AJ231" s="215"/>
      <c r="AK231" s="213"/>
      <c r="AL231" s="213"/>
      <c r="AM231" s="213"/>
      <c r="AN231" s="215"/>
      <c r="AO231" s="213"/>
      <c r="AP231" s="215"/>
      <c r="AQ231" s="213"/>
      <c r="AR231" s="325"/>
      <c r="AS231" s="213"/>
      <c r="AT231" s="215"/>
      <c r="AU231" s="213"/>
      <c r="AV231" s="215"/>
      <c r="AW231" s="213"/>
      <c r="AX231" s="213"/>
      <c r="AY231" s="213"/>
      <c r="AZ231" s="215"/>
      <c r="BA231" s="213"/>
      <c r="BB231" s="215"/>
      <c r="BC231" s="213"/>
      <c r="BD231" s="213"/>
      <c r="BE231" s="213"/>
      <c r="BF231" s="215"/>
      <c r="BG231" s="213"/>
      <c r="BH231" s="215"/>
      <c r="BI231" s="213"/>
      <c r="BJ231" s="213"/>
      <c r="BK231" s="213"/>
      <c r="BL231" s="215"/>
      <c r="BM231" s="213"/>
      <c r="BN231" s="215"/>
      <c r="BO231" s="213"/>
      <c r="BP231" s="213"/>
      <c r="BQ231" s="213"/>
      <c r="BR231" s="326"/>
      <c r="BS231" s="213"/>
      <c r="BT231" s="215"/>
      <c r="BU231" s="213"/>
      <c r="BV231" s="213"/>
      <c r="BW231" s="213"/>
      <c r="BX231" s="213"/>
      <c r="BY231" s="213"/>
      <c r="BZ231" s="213"/>
      <c r="CA231" s="213"/>
      <c r="CB231" s="213"/>
      <c r="CC231" s="213"/>
      <c r="CD231" s="213"/>
      <c r="CE231" s="213"/>
      <c r="CF231" s="213"/>
      <c r="CG231" s="213"/>
      <c r="CH231" s="213"/>
      <c r="CI231" s="213"/>
      <c r="CJ231" s="213"/>
      <c r="CK231" s="213"/>
      <c r="CL231" s="213"/>
      <c r="CM231" s="213"/>
      <c r="CN231" s="213"/>
      <c r="CO231" s="213"/>
      <c r="CP231" s="213"/>
      <c r="CQ231" s="213"/>
    </row>
    <row r="232" ht="15.75" customHeight="1">
      <c r="A232" s="213"/>
      <c r="B232" s="213"/>
      <c r="C232" s="213"/>
      <c r="D232" s="215"/>
      <c r="E232" s="213"/>
      <c r="F232" s="215"/>
      <c r="G232" s="213"/>
      <c r="H232" s="215"/>
      <c r="I232" s="213"/>
      <c r="J232" s="215"/>
      <c r="K232" s="213"/>
      <c r="L232" s="215"/>
      <c r="M232" s="213"/>
      <c r="N232" s="213"/>
      <c r="O232" s="213"/>
      <c r="P232" s="215"/>
      <c r="Q232" s="213"/>
      <c r="R232" s="215"/>
      <c r="S232" s="213"/>
      <c r="T232" s="213"/>
      <c r="U232" s="213"/>
      <c r="V232" s="215"/>
      <c r="W232" s="213"/>
      <c r="X232" s="215"/>
      <c r="Y232" s="213"/>
      <c r="Z232" s="213"/>
      <c r="AA232" s="213"/>
      <c r="AB232" s="215"/>
      <c r="AC232" s="213"/>
      <c r="AD232" s="215"/>
      <c r="AE232" s="213"/>
      <c r="AF232" s="213"/>
      <c r="AG232" s="213"/>
      <c r="AH232" s="215"/>
      <c r="AI232" s="213"/>
      <c r="AJ232" s="215"/>
      <c r="AK232" s="213"/>
      <c r="AL232" s="213"/>
      <c r="AM232" s="213"/>
      <c r="AN232" s="215"/>
      <c r="AO232" s="213"/>
      <c r="AP232" s="215"/>
      <c r="AQ232" s="213"/>
      <c r="AR232" s="325"/>
      <c r="AS232" s="213"/>
      <c r="AT232" s="215"/>
      <c r="AU232" s="213"/>
      <c r="AV232" s="215"/>
      <c r="AW232" s="213"/>
      <c r="AX232" s="213"/>
      <c r="AY232" s="213"/>
      <c r="AZ232" s="215"/>
      <c r="BA232" s="213"/>
      <c r="BB232" s="215"/>
      <c r="BC232" s="213"/>
      <c r="BD232" s="213"/>
      <c r="BE232" s="213"/>
      <c r="BF232" s="215"/>
      <c r="BG232" s="213"/>
      <c r="BH232" s="215"/>
      <c r="BI232" s="213"/>
      <c r="BJ232" s="213"/>
      <c r="BK232" s="213"/>
      <c r="BL232" s="215"/>
      <c r="BM232" s="213"/>
      <c r="BN232" s="215"/>
      <c r="BO232" s="213"/>
      <c r="BP232" s="213"/>
      <c r="BQ232" s="213"/>
      <c r="BR232" s="326"/>
      <c r="BS232" s="213"/>
      <c r="BT232" s="215"/>
      <c r="BU232" s="213"/>
      <c r="BV232" s="213"/>
      <c r="BW232" s="213"/>
      <c r="BX232" s="213"/>
      <c r="BY232" s="213"/>
      <c r="BZ232" s="213"/>
      <c r="CA232" s="213"/>
      <c r="CB232" s="213"/>
      <c r="CC232" s="213"/>
      <c r="CD232" s="213"/>
      <c r="CE232" s="213"/>
      <c r="CF232" s="213"/>
      <c r="CG232" s="213"/>
      <c r="CH232" s="213"/>
      <c r="CI232" s="213"/>
      <c r="CJ232" s="213"/>
      <c r="CK232" s="213"/>
      <c r="CL232" s="213"/>
      <c r="CM232" s="213"/>
      <c r="CN232" s="213"/>
      <c r="CO232" s="213"/>
      <c r="CP232" s="213"/>
      <c r="CQ232" s="213"/>
    </row>
    <row r="233" ht="15.75" customHeight="1">
      <c r="A233" s="213"/>
      <c r="B233" s="213"/>
      <c r="C233" s="213"/>
      <c r="D233" s="215"/>
      <c r="E233" s="213"/>
      <c r="F233" s="215"/>
      <c r="G233" s="213"/>
      <c r="H233" s="215"/>
      <c r="I233" s="213"/>
      <c r="J233" s="215"/>
      <c r="K233" s="213"/>
      <c r="L233" s="215"/>
      <c r="M233" s="213"/>
      <c r="N233" s="213"/>
      <c r="O233" s="213"/>
      <c r="P233" s="215"/>
      <c r="Q233" s="213"/>
      <c r="R233" s="215"/>
      <c r="S233" s="213"/>
      <c r="T233" s="213"/>
      <c r="U233" s="213"/>
      <c r="V233" s="215"/>
      <c r="W233" s="213"/>
      <c r="X233" s="215"/>
      <c r="Y233" s="213"/>
      <c r="Z233" s="213"/>
      <c r="AA233" s="213"/>
      <c r="AB233" s="215"/>
      <c r="AC233" s="213"/>
      <c r="AD233" s="215"/>
      <c r="AE233" s="213"/>
      <c r="AF233" s="213"/>
      <c r="AG233" s="213"/>
      <c r="AH233" s="215"/>
      <c r="AI233" s="213"/>
      <c r="AJ233" s="215"/>
      <c r="AK233" s="213"/>
      <c r="AL233" s="213"/>
      <c r="AM233" s="213"/>
      <c r="AN233" s="215"/>
      <c r="AO233" s="213"/>
      <c r="AP233" s="215"/>
      <c r="AQ233" s="213"/>
      <c r="AR233" s="325"/>
      <c r="AS233" s="213"/>
      <c r="AT233" s="215"/>
      <c r="AU233" s="213"/>
      <c r="AV233" s="215"/>
      <c r="AW233" s="213"/>
      <c r="AX233" s="213"/>
      <c r="AY233" s="213"/>
      <c r="AZ233" s="215"/>
      <c r="BA233" s="213"/>
      <c r="BB233" s="215"/>
      <c r="BC233" s="213"/>
      <c r="BD233" s="213"/>
      <c r="BE233" s="213"/>
      <c r="BF233" s="215"/>
      <c r="BG233" s="213"/>
      <c r="BH233" s="215"/>
      <c r="BI233" s="213"/>
      <c r="BJ233" s="213"/>
      <c r="BK233" s="213"/>
      <c r="BL233" s="215"/>
      <c r="BM233" s="213"/>
      <c r="BN233" s="215"/>
      <c r="BO233" s="213"/>
      <c r="BP233" s="213"/>
      <c r="BQ233" s="213"/>
      <c r="BR233" s="326"/>
      <c r="BS233" s="213"/>
      <c r="BT233" s="215"/>
      <c r="BU233" s="213"/>
      <c r="BV233" s="213"/>
      <c r="BW233" s="213"/>
      <c r="BX233" s="213"/>
      <c r="BY233" s="213"/>
      <c r="BZ233" s="213"/>
      <c r="CA233" s="213"/>
      <c r="CB233" s="213"/>
      <c r="CC233" s="213"/>
      <c r="CD233" s="213"/>
      <c r="CE233" s="213"/>
      <c r="CF233" s="213"/>
      <c r="CG233" s="213"/>
      <c r="CH233" s="213"/>
      <c r="CI233" s="213"/>
      <c r="CJ233" s="213"/>
      <c r="CK233" s="213"/>
      <c r="CL233" s="213"/>
      <c r="CM233" s="213"/>
      <c r="CN233" s="213"/>
      <c r="CO233" s="213"/>
      <c r="CP233" s="213"/>
      <c r="CQ233" s="213"/>
    </row>
    <row r="234" ht="15.75" customHeight="1">
      <c r="A234" s="213"/>
      <c r="B234" s="213"/>
      <c r="C234" s="213"/>
      <c r="D234" s="215"/>
      <c r="E234" s="213"/>
      <c r="F234" s="215"/>
      <c r="G234" s="213"/>
      <c r="H234" s="215"/>
      <c r="I234" s="213"/>
      <c r="J234" s="215"/>
      <c r="K234" s="213"/>
      <c r="L234" s="215"/>
      <c r="M234" s="213"/>
      <c r="N234" s="213"/>
      <c r="O234" s="213"/>
      <c r="P234" s="215"/>
      <c r="Q234" s="213"/>
      <c r="R234" s="215"/>
      <c r="S234" s="213"/>
      <c r="T234" s="213"/>
      <c r="U234" s="213"/>
      <c r="V234" s="215"/>
      <c r="W234" s="213"/>
      <c r="X234" s="215"/>
      <c r="Y234" s="213"/>
      <c r="Z234" s="213"/>
      <c r="AA234" s="213"/>
      <c r="AB234" s="215"/>
      <c r="AC234" s="213"/>
      <c r="AD234" s="215"/>
      <c r="AE234" s="213"/>
      <c r="AF234" s="213"/>
      <c r="AG234" s="213"/>
      <c r="AH234" s="215"/>
      <c r="AI234" s="213"/>
      <c r="AJ234" s="215"/>
      <c r="AK234" s="213"/>
      <c r="AL234" s="213"/>
      <c r="AM234" s="213"/>
      <c r="AN234" s="215"/>
      <c r="AO234" s="213"/>
      <c r="AP234" s="215"/>
      <c r="AQ234" s="213"/>
      <c r="AR234" s="325"/>
      <c r="AS234" s="213"/>
      <c r="AT234" s="215"/>
      <c r="AU234" s="213"/>
      <c r="AV234" s="215"/>
      <c r="AW234" s="213"/>
      <c r="AX234" s="213"/>
      <c r="AY234" s="213"/>
      <c r="AZ234" s="215"/>
      <c r="BA234" s="213"/>
      <c r="BB234" s="215"/>
      <c r="BC234" s="213"/>
      <c r="BD234" s="213"/>
      <c r="BE234" s="213"/>
      <c r="BF234" s="215"/>
      <c r="BG234" s="213"/>
      <c r="BH234" s="215"/>
      <c r="BI234" s="213"/>
      <c r="BJ234" s="213"/>
      <c r="BK234" s="213"/>
      <c r="BL234" s="215"/>
      <c r="BM234" s="213"/>
      <c r="BN234" s="215"/>
      <c r="BO234" s="213"/>
      <c r="BP234" s="213"/>
      <c r="BQ234" s="213"/>
      <c r="BR234" s="326"/>
      <c r="BS234" s="213"/>
      <c r="BT234" s="215"/>
      <c r="BU234" s="213"/>
      <c r="BV234" s="213"/>
      <c r="BW234" s="213"/>
      <c r="BX234" s="213"/>
      <c r="BY234" s="213"/>
      <c r="BZ234" s="213"/>
      <c r="CA234" s="213"/>
      <c r="CB234" s="213"/>
      <c r="CC234" s="213"/>
      <c r="CD234" s="213"/>
      <c r="CE234" s="213"/>
      <c r="CF234" s="213"/>
      <c r="CG234" s="213"/>
      <c r="CH234" s="213"/>
      <c r="CI234" s="213"/>
      <c r="CJ234" s="213"/>
      <c r="CK234" s="213"/>
      <c r="CL234" s="213"/>
      <c r="CM234" s="213"/>
      <c r="CN234" s="213"/>
      <c r="CO234" s="213"/>
      <c r="CP234" s="213"/>
      <c r="CQ234" s="213"/>
    </row>
    <row r="235" ht="15.75" customHeight="1">
      <c r="A235" s="213"/>
      <c r="B235" s="213"/>
      <c r="C235" s="213"/>
      <c r="D235" s="215"/>
      <c r="E235" s="213"/>
      <c r="F235" s="215"/>
      <c r="G235" s="213"/>
      <c r="H235" s="215"/>
      <c r="I235" s="213"/>
      <c r="J235" s="215"/>
      <c r="K235" s="213"/>
      <c r="L235" s="215"/>
      <c r="M235" s="213"/>
      <c r="N235" s="213"/>
      <c r="O235" s="213"/>
      <c r="P235" s="215"/>
      <c r="Q235" s="213"/>
      <c r="R235" s="215"/>
      <c r="S235" s="213"/>
      <c r="T235" s="213"/>
      <c r="U235" s="213"/>
      <c r="V235" s="215"/>
      <c r="W235" s="213"/>
      <c r="X235" s="215"/>
      <c r="Y235" s="213"/>
      <c r="Z235" s="213"/>
      <c r="AA235" s="213"/>
      <c r="AB235" s="215"/>
      <c r="AC235" s="213"/>
      <c r="AD235" s="215"/>
      <c r="AE235" s="213"/>
      <c r="AF235" s="213"/>
      <c r="AG235" s="213"/>
      <c r="AH235" s="215"/>
      <c r="AI235" s="213"/>
      <c r="AJ235" s="215"/>
      <c r="AK235" s="213"/>
      <c r="AL235" s="213"/>
      <c r="AM235" s="213"/>
      <c r="AN235" s="215"/>
      <c r="AO235" s="213"/>
      <c r="AP235" s="215"/>
      <c r="AQ235" s="213"/>
      <c r="AR235" s="325"/>
      <c r="AS235" s="213"/>
      <c r="AT235" s="215"/>
      <c r="AU235" s="213"/>
      <c r="AV235" s="215"/>
      <c r="AW235" s="213"/>
      <c r="AX235" s="213"/>
      <c r="AY235" s="213"/>
      <c r="AZ235" s="215"/>
      <c r="BA235" s="213"/>
      <c r="BB235" s="215"/>
      <c r="BC235" s="213"/>
      <c r="BD235" s="213"/>
      <c r="BE235" s="213"/>
      <c r="BF235" s="215"/>
      <c r="BG235" s="213"/>
      <c r="BH235" s="215"/>
      <c r="BI235" s="213"/>
      <c r="BJ235" s="213"/>
      <c r="BK235" s="213"/>
      <c r="BL235" s="215"/>
      <c r="BM235" s="213"/>
      <c r="BN235" s="215"/>
      <c r="BO235" s="213"/>
      <c r="BP235" s="213"/>
      <c r="BQ235" s="213"/>
      <c r="BR235" s="326"/>
      <c r="BS235" s="213"/>
      <c r="BT235" s="215"/>
      <c r="BU235" s="213"/>
      <c r="BV235" s="213"/>
      <c r="BW235" s="213"/>
      <c r="BX235" s="213"/>
      <c r="BY235" s="213"/>
      <c r="BZ235" s="213"/>
      <c r="CA235" s="213"/>
      <c r="CB235" s="213"/>
      <c r="CC235" s="213"/>
      <c r="CD235" s="213"/>
      <c r="CE235" s="213"/>
      <c r="CF235" s="213"/>
      <c r="CG235" s="213"/>
      <c r="CH235" s="213"/>
      <c r="CI235" s="213"/>
      <c r="CJ235" s="213"/>
      <c r="CK235" s="213"/>
      <c r="CL235" s="213"/>
      <c r="CM235" s="213"/>
      <c r="CN235" s="213"/>
      <c r="CO235" s="213"/>
      <c r="CP235" s="213"/>
      <c r="CQ235" s="213"/>
    </row>
    <row r="236" ht="15.75" customHeight="1">
      <c r="A236" s="213"/>
      <c r="B236" s="213"/>
      <c r="C236" s="213"/>
      <c r="D236" s="215"/>
      <c r="E236" s="213"/>
      <c r="F236" s="215"/>
      <c r="G236" s="213"/>
      <c r="H236" s="215"/>
      <c r="I236" s="213"/>
      <c r="J236" s="215"/>
      <c r="K236" s="213"/>
      <c r="L236" s="215"/>
      <c r="M236" s="213"/>
      <c r="N236" s="213"/>
      <c r="O236" s="213"/>
      <c r="P236" s="215"/>
      <c r="Q236" s="213"/>
      <c r="R236" s="215"/>
      <c r="S236" s="213"/>
      <c r="T236" s="213"/>
      <c r="U236" s="213"/>
      <c r="V236" s="215"/>
      <c r="W236" s="213"/>
      <c r="X236" s="215"/>
      <c r="Y236" s="213"/>
      <c r="Z236" s="213"/>
      <c r="AA236" s="213"/>
      <c r="AB236" s="215"/>
      <c r="AC236" s="213"/>
      <c r="AD236" s="215"/>
      <c r="AE236" s="213"/>
      <c r="AF236" s="213"/>
      <c r="AG236" s="213"/>
      <c r="AH236" s="215"/>
      <c r="AI236" s="213"/>
      <c r="AJ236" s="215"/>
      <c r="AK236" s="213"/>
      <c r="AL236" s="213"/>
      <c r="AM236" s="213"/>
      <c r="AN236" s="215"/>
      <c r="AO236" s="213"/>
      <c r="AP236" s="215"/>
      <c r="AQ236" s="213"/>
      <c r="AR236" s="325"/>
      <c r="AS236" s="213"/>
      <c r="AT236" s="215"/>
      <c r="AU236" s="213"/>
      <c r="AV236" s="215"/>
      <c r="AW236" s="213"/>
      <c r="AX236" s="213"/>
      <c r="AY236" s="213"/>
      <c r="AZ236" s="215"/>
      <c r="BA236" s="213"/>
      <c r="BB236" s="215"/>
      <c r="BC236" s="213"/>
      <c r="BD236" s="213"/>
      <c r="BE236" s="213"/>
      <c r="BF236" s="215"/>
      <c r="BG236" s="213"/>
      <c r="BH236" s="215"/>
      <c r="BI236" s="213"/>
      <c r="BJ236" s="213"/>
      <c r="BK236" s="213"/>
      <c r="BL236" s="215"/>
      <c r="BM236" s="213"/>
      <c r="BN236" s="215"/>
      <c r="BO236" s="213"/>
      <c r="BP236" s="213"/>
      <c r="BQ236" s="213"/>
      <c r="BR236" s="326"/>
      <c r="BS236" s="213"/>
      <c r="BT236" s="215"/>
      <c r="BU236" s="213"/>
      <c r="BV236" s="213"/>
      <c r="BW236" s="213"/>
      <c r="BX236" s="213"/>
      <c r="BY236" s="213"/>
      <c r="BZ236" s="213"/>
      <c r="CA236" s="213"/>
      <c r="CB236" s="213"/>
      <c r="CC236" s="213"/>
      <c r="CD236" s="213"/>
      <c r="CE236" s="213"/>
      <c r="CF236" s="213"/>
      <c r="CG236" s="213"/>
      <c r="CH236" s="213"/>
      <c r="CI236" s="213"/>
      <c r="CJ236" s="213"/>
      <c r="CK236" s="213"/>
      <c r="CL236" s="213"/>
      <c r="CM236" s="213"/>
      <c r="CN236" s="213"/>
      <c r="CO236" s="213"/>
      <c r="CP236" s="213"/>
      <c r="CQ236" s="213"/>
    </row>
    <row r="237" ht="15.75" customHeight="1">
      <c r="A237" s="213"/>
      <c r="B237" s="213"/>
      <c r="C237" s="213"/>
      <c r="D237" s="215"/>
      <c r="E237" s="213"/>
      <c r="F237" s="215"/>
      <c r="G237" s="213"/>
      <c r="H237" s="215"/>
      <c r="I237" s="213"/>
      <c r="J237" s="215"/>
      <c r="K237" s="213"/>
      <c r="L237" s="215"/>
      <c r="M237" s="213"/>
      <c r="N237" s="213"/>
      <c r="O237" s="213"/>
      <c r="P237" s="215"/>
      <c r="Q237" s="213"/>
      <c r="R237" s="215"/>
      <c r="S237" s="213"/>
      <c r="T237" s="213"/>
      <c r="U237" s="213"/>
      <c r="V237" s="215"/>
      <c r="W237" s="213"/>
      <c r="X237" s="215"/>
      <c r="Y237" s="213"/>
      <c r="Z237" s="213"/>
      <c r="AA237" s="213"/>
      <c r="AB237" s="215"/>
      <c r="AC237" s="213"/>
      <c r="AD237" s="215"/>
      <c r="AE237" s="213"/>
      <c r="AF237" s="213"/>
      <c r="AG237" s="213"/>
      <c r="AH237" s="215"/>
      <c r="AI237" s="213"/>
      <c r="AJ237" s="215"/>
      <c r="AK237" s="213"/>
      <c r="AL237" s="213"/>
      <c r="AM237" s="213"/>
      <c r="AN237" s="215"/>
      <c r="AO237" s="213"/>
      <c r="AP237" s="215"/>
      <c r="AQ237" s="213"/>
      <c r="AR237" s="325"/>
      <c r="AS237" s="213"/>
      <c r="AT237" s="215"/>
      <c r="AU237" s="213"/>
      <c r="AV237" s="215"/>
      <c r="AW237" s="213"/>
      <c r="AX237" s="213"/>
      <c r="AY237" s="213"/>
      <c r="AZ237" s="215"/>
      <c r="BA237" s="213"/>
      <c r="BB237" s="215"/>
      <c r="BC237" s="213"/>
      <c r="BD237" s="213"/>
      <c r="BE237" s="213"/>
      <c r="BF237" s="215"/>
      <c r="BG237" s="213"/>
      <c r="BH237" s="215"/>
      <c r="BI237" s="213"/>
      <c r="BJ237" s="213"/>
      <c r="BK237" s="213"/>
      <c r="BL237" s="215"/>
      <c r="BM237" s="213"/>
      <c r="BN237" s="215"/>
      <c r="BO237" s="213"/>
      <c r="BP237" s="213"/>
      <c r="BQ237" s="213"/>
      <c r="BR237" s="326"/>
      <c r="BS237" s="213"/>
      <c r="BT237" s="215"/>
      <c r="BU237" s="213"/>
      <c r="BV237" s="213"/>
      <c r="BW237" s="213"/>
      <c r="BX237" s="213"/>
      <c r="BY237" s="213"/>
      <c r="BZ237" s="213"/>
      <c r="CA237" s="213"/>
      <c r="CB237" s="213"/>
      <c r="CC237" s="213"/>
      <c r="CD237" s="213"/>
      <c r="CE237" s="213"/>
      <c r="CF237" s="213"/>
      <c r="CG237" s="213"/>
      <c r="CH237" s="213"/>
      <c r="CI237" s="213"/>
      <c r="CJ237" s="213"/>
      <c r="CK237" s="213"/>
      <c r="CL237" s="213"/>
      <c r="CM237" s="213"/>
      <c r="CN237" s="213"/>
      <c r="CO237" s="213"/>
      <c r="CP237" s="213"/>
      <c r="CQ237" s="213"/>
    </row>
    <row r="238" ht="15.75" customHeight="1">
      <c r="A238" s="213"/>
      <c r="B238" s="213"/>
      <c r="C238" s="213"/>
      <c r="D238" s="215"/>
      <c r="E238" s="213"/>
      <c r="F238" s="215"/>
      <c r="G238" s="213"/>
      <c r="H238" s="215"/>
      <c r="I238" s="213"/>
      <c r="J238" s="215"/>
      <c r="K238" s="213"/>
      <c r="L238" s="215"/>
      <c r="M238" s="213"/>
      <c r="N238" s="213"/>
      <c r="O238" s="213"/>
      <c r="P238" s="215"/>
      <c r="Q238" s="213"/>
      <c r="R238" s="215"/>
      <c r="S238" s="213"/>
      <c r="T238" s="213"/>
      <c r="U238" s="213"/>
      <c r="V238" s="215"/>
      <c r="W238" s="213"/>
      <c r="X238" s="215"/>
      <c r="Y238" s="213"/>
      <c r="Z238" s="213"/>
      <c r="AA238" s="213"/>
      <c r="AB238" s="215"/>
      <c r="AC238" s="213"/>
      <c r="AD238" s="215"/>
      <c r="AE238" s="213"/>
      <c r="AF238" s="213"/>
      <c r="AG238" s="213"/>
      <c r="AH238" s="215"/>
      <c r="AI238" s="213"/>
      <c r="AJ238" s="215"/>
      <c r="AK238" s="213"/>
      <c r="AL238" s="213"/>
      <c r="AM238" s="213"/>
      <c r="AN238" s="215"/>
      <c r="AO238" s="213"/>
      <c r="AP238" s="215"/>
      <c r="AQ238" s="213"/>
      <c r="AR238" s="325"/>
      <c r="AS238" s="213"/>
      <c r="AT238" s="215"/>
      <c r="AU238" s="213"/>
      <c r="AV238" s="215"/>
      <c r="AW238" s="213"/>
      <c r="AX238" s="213"/>
      <c r="AY238" s="213"/>
      <c r="AZ238" s="215"/>
      <c r="BA238" s="213"/>
      <c r="BB238" s="215"/>
      <c r="BC238" s="213"/>
      <c r="BD238" s="213"/>
      <c r="BE238" s="213"/>
      <c r="BF238" s="215"/>
      <c r="BG238" s="213"/>
      <c r="BH238" s="215"/>
      <c r="BI238" s="213"/>
      <c r="BJ238" s="213"/>
      <c r="BK238" s="213"/>
      <c r="BL238" s="215"/>
      <c r="BM238" s="213"/>
      <c r="BN238" s="215"/>
      <c r="BO238" s="213"/>
      <c r="BP238" s="213"/>
      <c r="BQ238" s="213"/>
      <c r="BR238" s="326"/>
      <c r="BS238" s="213"/>
      <c r="BT238" s="215"/>
      <c r="BU238" s="213"/>
      <c r="BV238" s="213"/>
      <c r="BW238" s="213"/>
      <c r="BX238" s="213"/>
      <c r="BY238" s="213"/>
      <c r="BZ238" s="213"/>
      <c r="CA238" s="213"/>
      <c r="CB238" s="213"/>
      <c r="CC238" s="213"/>
      <c r="CD238" s="213"/>
      <c r="CE238" s="213"/>
      <c r="CF238" s="213"/>
      <c r="CG238" s="213"/>
      <c r="CH238" s="213"/>
      <c r="CI238" s="213"/>
      <c r="CJ238" s="213"/>
      <c r="CK238" s="213"/>
      <c r="CL238" s="213"/>
      <c r="CM238" s="213"/>
      <c r="CN238" s="213"/>
      <c r="CO238" s="213"/>
      <c r="CP238" s="213"/>
      <c r="CQ238" s="213"/>
    </row>
    <row r="239" ht="15.75" customHeight="1">
      <c r="A239" s="213"/>
      <c r="B239" s="213"/>
      <c r="C239" s="213"/>
      <c r="D239" s="215"/>
      <c r="E239" s="213"/>
      <c r="F239" s="215"/>
      <c r="G239" s="213"/>
      <c r="H239" s="215"/>
      <c r="I239" s="213"/>
      <c r="J239" s="215"/>
      <c r="K239" s="213"/>
      <c r="L239" s="215"/>
      <c r="M239" s="213"/>
      <c r="N239" s="213"/>
      <c r="O239" s="213"/>
      <c r="P239" s="215"/>
      <c r="Q239" s="213"/>
      <c r="R239" s="215"/>
      <c r="S239" s="213"/>
      <c r="T239" s="213"/>
      <c r="U239" s="213"/>
      <c r="V239" s="215"/>
      <c r="W239" s="213"/>
      <c r="X239" s="215"/>
      <c r="Y239" s="213"/>
      <c r="Z239" s="213"/>
      <c r="AA239" s="213"/>
      <c r="AB239" s="215"/>
      <c r="AC239" s="213"/>
      <c r="AD239" s="215"/>
      <c r="AE239" s="213"/>
      <c r="AF239" s="213"/>
      <c r="AG239" s="213"/>
      <c r="AH239" s="215"/>
      <c r="AI239" s="213"/>
      <c r="AJ239" s="215"/>
      <c r="AK239" s="213"/>
      <c r="AL239" s="213"/>
      <c r="AM239" s="213"/>
      <c r="AN239" s="215"/>
      <c r="AO239" s="213"/>
      <c r="AP239" s="215"/>
      <c r="AQ239" s="213"/>
      <c r="AR239" s="325"/>
      <c r="AS239" s="213"/>
      <c r="AT239" s="215"/>
      <c r="AU239" s="213"/>
      <c r="AV239" s="215"/>
      <c r="AW239" s="213"/>
      <c r="AX239" s="213"/>
      <c r="AY239" s="213"/>
      <c r="AZ239" s="215"/>
      <c r="BA239" s="213"/>
      <c r="BB239" s="215"/>
      <c r="BC239" s="213"/>
      <c r="BD239" s="213"/>
      <c r="BE239" s="213"/>
      <c r="BF239" s="215"/>
      <c r="BG239" s="213"/>
      <c r="BH239" s="215"/>
      <c r="BI239" s="213"/>
      <c r="BJ239" s="213"/>
      <c r="BK239" s="213"/>
      <c r="BL239" s="215"/>
      <c r="BM239" s="213"/>
      <c r="BN239" s="215"/>
      <c r="BO239" s="213"/>
      <c r="BP239" s="213"/>
      <c r="BQ239" s="213"/>
      <c r="BR239" s="326"/>
      <c r="BS239" s="213"/>
      <c r="BT239" s="215"/>
      <c r="BU239" s="213"/>
      <c r="BV239" s="213"/>
      <c r="BW239" s="213"/>
      <c r="BX239" s="213"/>
      <c r="BY239" s="213"/>
      <c r="BZ239" s="213"/>
      <c r="CA239" s="213"/>
      <c r="CB239" s="213"/>
      <c r="CC239" s="213"/>
      <c r="CD239" s="213"/>
      <c r="CE239" s="213"/>
      <c r="CF239" s="213"/>
      <c r="CG239" s="213"/>
      <c r="CH239" s="213"/>
      <c r="CI239" s="213"/>
      <c r="CJ239" s="213"/>
      <c r="CK239" s="213"/>
      <c r="CL239" s="213"/>
      <c r="CM239" s="213"/>
      <c r="CN239" s="213"/>
      <c r="CO239" s="213"/>
      <c r="CP239" s="213"/>
      <c r="CQ239" s="213"/>
    </row>
    <row r="240" ht="15.75" customHeight="1">
      <c r="A240" s="213"/>
      <c r="B240" s="213"/>
      <c r="C240" s="213"/>
      <c r="D240" s="215"/>
      <c r="E240" s="213"/>
      <c r="F240" s="215"/>
      <c r="G240" s="213"/>
      <c r="H240" s="215"/>
      <c r="I240" s="213"/>
      <c r="J240" s="215"/>
      <c r="K240" s="213"/>
      <c r="L240" s="215"/>
      <c r="M240" s="213"/>
      <c r="N240" s="213"/>
      <c r="O240" s="213"/>
      <c r="P240" s="215"/>
      <c r="Q240" s="213"/>
      <c r="R240" s="215"/>
      <c r="S240" s="213"/>
      <c r="T240" s="213"/>
      <c r="U240" s="213"/>
      <c r="V240" s="215"/>
      <c r="W240" s="213"/>
      <c r="X240" s="215"/>
      <c r="Y240" s="213"/>
      <c r="Z240" s="213"/>
      <c r="AA240" s="213"/>
      <c r="AB240" s="215"/>
      <c r="AC240" s="213"/>
      <c r="AD240" s="215"/>
      <c r="AE240" s="213"/>
      <c r="AF240" s="213"/>
      <c r="AG240" s="213"/>
      <c r="AH240" s="215"/>
      <c r="AI240" s="213"/>
      <c r="AJ240" s="215"/>
      <c r="AK240" s="213"/>
      <c r="AL240" s="213"/>
      <c r="AM240" s="213"/>
      <c r="AN240" s="215"/>
      <c r="AO240" s="213"/>
      <c r="AP240" s="215"/>
      <c r="AQ240" s="213"/>
      <c r="AR240" s="325"/>
      <c r="AS240" s="213"/>
      <c r="AT240" s="215"/>
      <c r="AU240" s="213"/>
      <c r="AV240" s="215"/>
      <c r="AW240" s="213"/>
      <c r="AX240" s="213"/>
      <c r="AY240" s="213"/>
      <c r="AZ240" s="215"/>
      <c r="BA240" s="213"/>
      <c r="BB240" s="215"/>
      <c r="BC240" s="213"/>
      <c r="BD240" s="213"/>
      <c r="BE240" s="213"/>
      <c r="BF240" s="215"/>
      <c r="BG240" s="213"/>
      <c r="BH240" s="215"/>
      <c r="BI240" s="213"/>
      <c r="BJ240" s="213"/>
      <c r="BK240" s="213"/>
      <c r="BL240" s="215"/>
      <c r="BM240" s="213"/>
      <c r="BN240" s="215"/>
      <c r="BO240" s="213"/>
      <c r="BP240" s="213"/>
      <c r="BQ240" s="213"/>
      <c r="BR240" s="326"/>
      <c r="BS240" s="213"/>
      <c r="BT240" s="215"/>
      <c r="BU240" s="213"/>
      <c r="BV240" s="213"/>
      <c r="BW240" s="213"/>
      <c r="BX240" s="213"/>
      <c r="BY240" s="213"/>
      <c r="BZ240" s="213"/>
      <c r="CA240" s="213"/>
      <c r="CB240" s="213"/>
      <c r="CC240" s="213"/>
      <c r="CD240" s="213"/>
      <c r="CE240" s="213"/>
      <c r="CF240" s="213"/>
      <c r="CG240" s="213"/>
      <c r="CH240" s="213"/>
      <c r="CI240" s="213"/>
      <c r="CJ240" s="213"/>
      <c r="CK240" s="213"/>
      <c r="CL240" s="213"/>
      <c r="CM240" s="213"/>
      <c r="CN240" s="213"/>
      <c r="CO240" s="213"/>
      <c r="CP240" s="213"/>
      <c r="CQ240" s="213"/>
    </row>
    <row r="241" ht="15.75" customHeight="1">
      <c r="A241" s="213"/>
      <c r="B241" s="213"/>
      <c r="C241" s="213"/>
      <c r="D241" s="215"/>
      <c r="E241" s="213"/>
      <c r="F241" s="215"/>
      <c r="G241" s="213"/>
      <c r="H241" s="215"/>
      <c r="I241" s="213"/>
      <c r="J241" s="215"/>
      <c r="K241" s="213"/>
      <c r="L241" s="215"/>
      <c r="M241" s="213"/>
      <c r="N241" s="213"/>
      <c r="O241" s="213"/>
      <c r="P241" s="215"/>
      <c r="Q241" s="213"/>
      <c r="R241" s="215"/>
      <c r="S241" s="213"/>
      <c r="T241" s="213"/>
      <c r="U241" s="213"/>
      <c r="V241" s="215"/>
      <c r="W241" s="213"/>
      <c r="X241" s="215"/>
      <c r="Y241" s="213"/>
      <c r="Z241" s="213"/>
      <c r="AA241" s="213"/>
      <c r="AB241" s="215"/>
      <c r="AC241" s="213"/>
      <c r="AD241" s="215"/>
      <c r="AE241" s="213"/>
      <c r="AF241" s="213"/>
      <c r="AG241" s="213"/>
      <c r="AH241" s="215"/>
      <c r="AI241" s="213"/>
      <c r="AJ241" s="215"/>
      <c r="AK241" s="213"/>
      <c r="AL241" s="213"/>
      <c r="AM241" s="213"/>
      <c r="AN241" s="215"/>
      <c r="AO241" s="213"/>
      <c r="AP241" s="215"/>
      <c r="AQ241" s="213"/>
      <c r="AR241" s="325"/>
      <c r="AS241" s="213"/>
      <c r="AT241" s="215"/>
      <c r="AU241" s="213"/>
      <c r="AV241" s="215"/>
      <c r="AW241" s="213"/>
      <c r="AX241" s="213"/>
      <c r="AY241" s="213"/>
      <c r="AZ241" s="215"/>
      <c r="BA241" s="213"/>
      <c r="BB241" s="215"/>
      <c r="BC241" s="213"/>
      <c r="BD241" s="213"/>
      <c r="BE241" s="213"/>
      <c r="BF241" s="215"/>
      <c r="BG241" s="213"/>
      <c r="BH241" s="215"/>
      <c r="BI241" s="213"/>
      <c r="BJ241" s="213"/>
      <c r="BK241" s="213"/>
      <c r="BL241" s="215"/>
      <c r="BM241" s="213"/>
      <c r="BN241" s="215"/>
      <c r="BO241" s="213"/>
      <c r="BP241" s="213"/>
      <c r="BQ241" s="213"/>
      <c r="BR241" s="326"/>
      <c r="BS241" s="213"/>
      <c r="BT241" s="215"/>
      <c r="BU241" s="213"/>
      <c r="BV241" s="213"/>
      <c r="BW241" s="213"/>
      <c r="BX241" s="213"/>
      <c r="BY241" s="213"/>
      <c r="BZ241" s="213"/>
      <c r="CA241" s="213"/>
      <c r="CB241" s="213"/>
      <c r="CC241" s="213"/>
      <c r="CD241" s="213"/>
      <c r="CE241" s="213"/>
      <c r="CF241" s="213"/>
      <c r="CG241" s="213"/>
      <c r="CH241" s="213"/>
      <c r="CI241" s="213"/>
      <c r="CJ241" s="213"/>
      <c r="CK241" s="213"/>
      <c r="CL241" s="213"/>
      <c r="CM241" s="213"/>
      <c r="CN241" s="213"/>
      <c r="CO241" s="213"/>
      <c r="CP241" s="213"/>
      <c r="CQ241" s="213"/>
    </row>
    <row r="242" ht="15.75" customHeight="1">
      <c r="A242" s="213"/>
      <c r="B242" s="213"/>
      <c r="C242" s="213"/>
      <c r="D242" s="215"/>
      <c r="E242" s="213"/>
      <c r="F242" s="215"/>
      <c r="G242" s="213"/>
      <c r="H242" s="215"/>
      <c r="I242" s="213"/>
      <c r="J242" s="215"/>
      <c r="K242" s="213"/>
      <c r="L242" s="215"/>
      <c r="M242" s="213"/>
      <c r="N242" s="213"/>
      <c r="O242" s="213"/>
      <c r="P242" s="215"/>
      <c r="Q242" s="213"/>
      <c r="R242" s="215"/>
      <c r="S242" s="213"/>
      <c r="T242" s="213"/>
      <c r="U242" s="213"/>
      <c r="V242" s="215"/>
      <c r="W242" s="213"/>
      <c r="X242" s="215"/>
      <c r="Y242" s="213"/>
      <c r="Z242" s="213"/>
      <c r="AA242" s="213"/>
      <c r="AB242" s="215"/>
      <c r="AC242" s="213"/>
      <c r="AD242" s="215"/>
      <c r="AE242" s="213"/>
      <c r="AF242" s="213"/>
      <c r="AG242" s="213"/>
      <c r="AH242" s="215"/>
      <c r="AI242" s="213"/>
      <c r="AJ242" s="215"/>
      <c r="AK242" s="213"/>
      <c r="AL242" s="213"/>
      <c r="AM242" s="213"/>
      <c r="AN242" s="215"/>
      <c r="AO242" s="213"/>
      <c r="AP242" s="215"/>
      <c r="AQ242" s="213"/>
      <c r="AR242" s="325"/>
      <c r="AS242" s="213"/>
      <c r="AT242" s="215"/>
      <c r="AU242" s="213"/>
      <c r="AV242" s="215"/>
      <c r="AW242" s="213"/>
      <c r="AX242" s="213"/>
      <c r="AY242" s="213"/>
      <c r="AZ242" s="215"/>
      <c r="BA242" s="213"/>
      <c r="BB242" s="215"/>
      <c r="BC242" s="213"/>
      <c r="BD242" s="213"/>
      <c r="BE242" s="213"/>
      <c r="BF242" s="215"/>
      <c r="BG242" s="213"/>
      <c r="BH242" s="215"/>
      <c r="BI242" s="213"/>
      <c r="BJ242" s="213"/>
      <c r="BK242" s="213"/>
      <c r="BL242" s="215"/>
      <c r="BM242" s="213"/>
      <c r="BN242" s="215"/>
      <c r="BO242" s="213"/>
      <c r="BP242" s="213"/>
      <c r="BQ242" s="213"/>
      <c r="BR242" s="326"/>
      <c r="BS242" s="213"/>
      <c r="BT242" s="215"/>
      <c r="BU242" s="213"/>
      <c r="BV242" s="213"/>
      <c r="BW242" s="213"/>
      <c r="BX242" s="213"/>
      <c r="BY242" s="213"/>
      <c r="BZ242" s="213"/>
      <c r="CA242" s="213"/>
      <c r="CB242" s="213"/>
      <c r="CC242" s="213"/>
      <c r="CD242" s="213"/>
      <c r="CE242" s="213"/>
      <c r="CF242" s="213"/>
      <c r="CG242" s="213"/>
      <c r="CH242" s="213"/>
      <c r="CI242" s="213"/>
      <c r="CJ242" s="213"/>
      <c r="CK242" s="213"/>
      <c r="CL242" s="213"/>
      <c r="CM242" s="213"/>
      <c r="CN242" s="213"/>
      <c r="CO242" s="213"/>
      <c r="CP242" s="213"/>
      <c r="CQ242" s="213"/>
    </row>
    <row r="243" ht="15.75" customHeight="1">
      <c r="A243" s="213"/>
      <c r="B243" s="213"/>
      <c r="C243" s="213"/>
      <c r="D243" s="215"/>
      <c r="E243" s="213"/>
      <c r="F243" s="215"/>
      <c r="G243" s="213"/>
      <c r="H243" s="215"/>
      <c r="I243" s="213"/>
      <c r="J243" s="215"/>
      <c r="K243" s="213"/>
      <c r="L243" s="215"/>
      <c r="M243" s="213"/>
      <c r="N243" s="213"/>
      <c r="O243" s="213"/>
      <c r="P243" s="215"/>
      <c r="Q243" s="213"/>
      <c r="R243" s="215"/>
      <c r="S243" s="213"/>
      <c r="T243" s="213"/>
      <c r="U243" s="213"/>
      <c r="V243" s="215"/>
      <c r="W243" s="213"/>
      <c r="X243" s="215"/>
      <c r="Y243" s="213"/>
      <c r="Z243" s="213"/>
      <c r="AA243" s="213"/>
      <c r="AB243" s="215"/>
      <c r="AC243" s="213"/>
      <c r="AD243" s="215"/>
      <c r="AE243" s="213"/>
      <c r="AF243" s="213"/>
      <c r="AG243" s="213"/>
      <c r="AH243" s="215"/>
      <c r="AI243" s="213"/>
      <c r="AJ243" s="215"/>
      <c r="AK243" s="213"/>
      <c r="AL243" s="213"/>
      <c r="AM243" s="213"/>
      <c r="AN243" s="215"/>
      <c r="AO243" s="213"/>
      <c r="AP243" s="215"/>
      <c r="AQ243" s="213"/>
      <c r="AR243" s="325"/>
      <c r="AS243" s="213"/>
      <c r="AT243" s="215"/>
      <c r="AU243" s="213"/>
      <c r="AV243" s="215"/>
      <c r="AW243" s="213"/>
      <c r="AX243" s="213"/>
      <c r="AY243" s="213"/>
      <c r="AZ243" s="215"/>
      <c r="BA243" s="213"/>
      <c r="BB243" s="215"/>
      <c r="BC243" s="213"/>
      <c r="BD243" s="213"/>
      <c r="BE243" s="213"/>
      <c r="BF243" s="215"/>
      <c r="BG243" s="213"/>
      <c r="BH243" s="215"/>
      <c r="BI243" s="213"/>
      <c r="BJ243" s="213"/>
      <c r="BK243" s="213"/>
      <c r="BL243" s="215"/>
      <c r="BM243" s="213"/>
      <c r="BN243" s="215"/>
      <c r="BO243" s="213"/>
      <c r="BP243" s="213"/>
      <c r="BQ243" s="213"/>
      <c r="BR243" s="326"/>
      <c r="BS243" s="213"/>
      <c r="BT243" s="215"/>
      <c r="BU243" s="213"/>
      <c r="BV243" s="213"/>
      <c r="BW243" s="213"/>
      <c r="BX243" s="213"/>
      <c r="BY243" s="213"/>
      <c r="BZ243" s="213"/>
      <c r="CA243" s="213"/>
      <c r="CB243" s="213"/>
      <c r="CC243" s="213"/>
      <c r="CD243" s="213"/>
      <c r="CE243" s="213"/>
      <c r="CF243" s="213"/>
      <c r="CG243" s="213"/>
      <c r="CH243" s="213"/>
      <c r="CI243" s="213"/>
      <c r="CJ243" s="213"/>
      <c r="CK243" s="213"/>
      <c r="CL243" s="213"/>
      <c r="CM243" s="213"/>
      <c r="CN243" s="213"/>
      <c r="CO243" s="213"/>
      <c r="CP243" s="213"/>
      <c r="CQ243" s="213"/>
    </row>
    <row r="244" ht="15.75" customHeight="1">
      <c r="A244" s="213"/>
      <c r="B244" s="213"/>
      <c r="C244" s="213"/>
      <c r="D244" s="215"/>
      <c r="E244" s="213"/>
      <c r="F244" s="215"/>
      <c r="G244" s="213"/>
      <c r="H244" s="215"/>
      <c r="I244" s="213"/>
      <c r="J244" s="215"/>
      <c r="K244" s="213"/>
      <c r="L244" s="215"/>
      <c r="M244" s="213"/>
      <c r="N244" s="213"/>
      <c r="O244" s="213"/>
      <c r="P244" s="215"/>
      <c r="Q244" s="213"/>
      <c r="R244" s="215"/>
      <c r="S244" s="213"/>
      <c r="T244" s="213"/>
      <c r="U244" s="213"/>
      <c r="V244" s="215"/>
      <c r="W244" s="213"/>
      <c r="X244" s="215"/>
      <c r="Y244" s="213"/>
      <c r="Z244" s="213"/>
      <c r="AA244" s="213"/>
      <c r="AB244" s="215"/>
      <c r="AC244" s="213"/>
      <c r="AD244" s="215"/>
      <c r="AE244" s="213"/>
      <c r="AF244" s="213"/>
      <c r="AG244" s="213"/>
      <c r="AH244" s="215"/>
      <c r="AI244" s="213"/>
      <c r="AJ244" s="215"/>
      <c r="AK244" s="213"/>
      <c r="AL244" s="213"/>
      <c r="AM244" s="213"/>
      <c r="AN244" s="215"/>
      <c r="AO244" s="213"/>
      <c r="AP244" s="215"/>
      <c r="AQ244" s="213"/>
      <c r="AR244" s="325"/>
      <c r="AS244" s="213"/>
      <c r="AT244" s="215"/>
      <c r="AU244" s="213"/>
      <c r="AV244" s="215"/>
      <c r="AW244" s="213"/>
      <c r="AX244" s="213"/>
      <c r="AY244" s="213"/>
      <c r="AZ244" s="215"/>
      <c r="BA244" s="213"/>
      <c r="BB244" s="215"/>
      <c r="BC244" s="213"/>
      <c r="BD244" s="213"/>
      <c r="BE244" s="213"/>
      <c r="BF244" s="215"/>
      <c r="BG244" s="213"/>
      <c r="BH244" s="215"/>
      <c r="BI244" s="213"/>
      <c r="BJ244" s="213"/>
      <c r="BK244" s="213"/>
      <c r="BL244" s="215"/>
      <c r="BM244" s="213"/>
      <c r="BN244" s="215"/>
      <c r="BO244" s="213"/>
      <c r="BP244" s="213"/>
      <c r="BQ244" s="213"/>
      <c r="BR244" s="326"/>
      <c r="BS244" s="213"/>
      <c r="BT244" s="215"/>
      <c r="BU244" s="213"/>
      <c r="BV244" s="213"/>
      <c r="BW244" s="213"/>
      <c r="BX244" s="213"/>
      <c r="BY244" s="213"/>
      <c r="BZ244" s="213"/>
      <c r="CA244" s="213"/>
      <c r="CB244" s="213"/>
      <c r="CC244" s="213"/>
      <c r="CD244" s="213"/>
      <c r="CE244" s="213"/>
      <c r="CF244" s="213"/>
      <c r="CG244" s="213"/>
      <c r="CH244" s="213"/>
      <c r="CI244" s="213"/>
      <c r="CJ244" s="213"/>
      <c r="CK244" s="213"/>
      <c r="CL244" s="213"/>
      <c r="CM244" s="213"/>
      <c r="CN244" s="213"/>
      <c r="CO244" s="213"/>
      <c r="CP244" s="213"/>
      <c r="CQ244" s="213"/>
    </row>
    <row r="245" ht="15.75" customHeight="1">
      <c r="A245" s="213"/>
      <c r="B245" s="213"/>
      <c r="C245" s="213"/>
      <c r="D245" s="215"/>
      <c r="E245" s="213"/>
      <c r="F245" s="215"/>
      <c r="G245" s="213"/>
      <c r="H245" s="215"/>
      <c r="I245" s="213"/>
      <c r="J245" s="215"/>
      <c r="K245" s="213"/>
      <c r="L245" s="215"/>
      <c r="M245" s="213"/>
      <c r="N245" s="213"/>
      <c r="O245" s="213"/>
      <c r="P245" s="215"/>
      <c r="Q245" s="213"/>
      <c r="R245" s="215"/>
      <c r="S245" s="213"/>
      <c r="T245" s="213"/>
      <c r="U245" s="213"/>
      <c r="V245" s="215"/>
      <c r="W245" s="213"/>
      <c r="X245" s="215"/>
      <c r="Y245" s="213"/>
      <c r="Z245" s="213"/>
      <c r="AA245" s="213"/>
      <c r="AB245" s="215"/>
      <c r="AC245" s="213"/>
      <c r="AD245" s="215"/>
      <c r="AE245" s="213"/>
      <c r="AF245" s="213"/>
      <c r="AG245" s="213"/>
      <c r="AH245" s="215"/>
      <c r="AI245" s="213"/>
      <c r="AJ245" s="215"/>
      <c r="AK245" s="213"/>
      <c r="AL245" s="213"/>
      <c r="AM245" s="213"/>
      <c r="AN245" s="215"/>
      <c r="AO245" s="213"/>
      <c r="AP245" s="215"/>
      <c r="AQ245" s="213"/>
      <c r="AR245" s="325"/>
      <c r="AS245" s="213"/>
      <c r="AT245" s="215"/>
      <c r="AU245" s="213"/>
      <c r="AV245" s="215"/>
      <c r="AW245" s="213"/>
      <c r="AX245" s="213"/>
      <c r="AY245" s="213"/>
      <c r="AZ245" s="215"/>
      <c r="BA245" s="213"/>
      <c r="BB245" s="215"/>
      <c r="BC245" s="213"/>
      <c r="BD245" s="213"/>
      <c r="BE245" s="213"/>
      <c r="BF245" s="215"/>
      <c r="BG245" s="213"/>
      <c r="BH245" s="215"/>
      <c r="BI245" s="213"/>
      <c r="BJ245" s="213"/>
      <c r="BK245" s="213"/>
      <c r="BL245" s="215"/>
      <c r="BM245" s="213"/>
      <c r="BN245" s="215"/>
      <c r="BO245" s="213"/>
      <c r="BP245" s="213"/>
      <c r="BQ245" s="213"/>
      <c r="BR245" s="326"/>
      <c r="BS245" s="213"/>
      <c r="BT245" s="215"/>
      <c r="BU245" s="213"/>
      <c r="BV245" s="213"/>
      <c r="BW245" s="213"/>
      <c r="BX245" s="213"/>
      <c r="BY245" s="213"/>
      <c r="BZ245" s="213"/>
      <c r="CA245" s="213"/>
      <c r="CB245" s="213"/>
      <c r="CC245" s="213"/>
      <c r="CD245" s="213"/>
      <c r="CE245" s="213"/>
      <c r="CF245" s="213"/>
      <c r="CG245" s="213"/>
      <c r="CH245" s="213"/>
      <c r="CI245" s="213"/>
      <c r="CJ245" s="213"/>
      <c r="CK245" s="213"/>
      <c r="CL245" s="213"/>
      <c r="CM245" s="213"/>
      <c r="CN245" s="213"/>
      <c r="CO245" s="213"/>
      <c r="CP245" s="213"/>
      <c r="CQ245" s="213"/>
    </row>
    <row r="246" ht="15.75" customHeight="1">
      <c r="A246" s="213"/>
      <c r="B246" s="213"/>
      <c r="C246" s="213"/>
      <c r="D246" s="215"/>
      <c r="E246" s="213"/>
      <c r="F246" s="215"/>
      <c r="G246" s="213"/>
      <c r="H246" s="215"/>
      <c r="I246" s="213"/>
      <c r="J246" s="215"/>
      <c r="K246" s="213"/>
      <c r="L246" s="215"/>
      <c r="M246" s="213"/>
      <c r="N246" s="213"/>
      <c r="O246" s="213"/>
      <c r="P246" s="215"/>
      <c r="Q246" s="213"/>
      <c r="R246" s="215"/>
      <c r="S246" s="213"/>
      <c r="T246" s="213"/>
      <c r="U246" s="213"/>
      <c r="V246" s="215"/>
      <c r="W246" s="213"/>
      <c r="X246" s="215"/>
      <c r="Y246" s="213"/>
      <c r="Z246" s="213"/>
      <c r="AA246" s="213"/>
      <c r="AB246" s="215"/>
      <c r="AC246" s="213"/>
      <c r="AD246" s="215"/>
      <c r="AE246" s="213"/>
      <c r="AF246" s="213"/>
      <c r="AG246" s="213"/>
      <c r="AH246" s="215"/>
      <c r="AI246" s="213"/>
      <c r="AJ246" s="215"/>
      <c r="AK246" s="213"/>
      <c r="AL246" s="213"/>
      <c r="AM246" s="213"/>
      <c r="AN246" s="215"/>
      <c r="AO246" s="213"/>
      <c r="AP246" s="215"/>
      <c r="AQ246" s="213"/>
      <c r="AR246" s="325"/>
      <c r="AS246" s="213"/>
      <c r="AT246" s="215"/>
      <c r="AU246" s="213"/>
      <c r="AV246" s="215"/>
      <c r="AW246" s="213"/>
      <c r="AX246" s="213"/>
      <c r="AY246" s="213"/>
      <c r="AZ246" s="215"/>
      <c r="BA246" s="213"/>
      <c r="BB246" s="215"/>
      <c r="BC246" s="213"/>
      <c r="BD246" s="213"/>
      <c r="BE246" s="213"/>
      <c r="BF246" s="215"/>
      <c r="BG246" s="213"/>
      <c r="BH246" s="215"/>
      <c r="BI246" s="213"/>
      <c r="BJ246" s="213"/>
      <c r="BK246" s="213"/>
      <c r="BL246" s="215"/>
      <c r="BM246" s="213"/>
      <c r="BN246" s="215"/>
      <c r="BO246" s="213"/>
      <c r="BP246" s="213"/>
      <c r="BQ246" s="213"/>
      <c r="BR246" s="326"/>
      <c r="BS246" s="213"/>
      <c r="BT246" s="215"/>
      <c r="BU246" s="213"/>
      <c r="BV246" s="213"/>
      <c r="BW246" s="213"/>
      <c r="BX246" s="213"/>
      <c r="BY246" s="213"/>
      <c r="BZ246" s="213"/>
      <c r="CA246" s="213"/>
      <c r="CB246" s="213"/>
      <c r="CC246" s="213"/>
      <c r="CD246" s="213"/>
      <c r="CE246" s="213"/>
      <c r="CF246" s="213"/>
      <c r="CG246" s="213"/>
      <c r="CH246" s="213"/>
      <c r="CI246" s="213"/>
      <c r="CJ246" s="213"/>
      <c r="CK246" s="213"/>
      <c r="CL246" s="213"/>
      <c r="CM246" s="213"/>
      <c r="CN246" s="213"/>
      <c r="CO246" s="213"/>
      <c r="CP246" s="213"/>
      <c r="CQ246" s="213"/>
    </row>
    <row r="247" ht="15.75" customHeight="1">
      <c r="A247" s="213"/>
      <c r="B247" s="213"/>
      <c r="C247" s="213"/>
      <c r="D247" s="215"/>
      <c r="E247" s="213"/>
      <c r="F247" s="215"/>
      <c r="G247" s="213"/>
      <c r="H247" s="215"/>
      <c r="I247" s="213"/>
      <c r="J247" s="215"/>
      <c r="K247" s="213"/>
      <c r="L247" s="215"/>
      <c r="M247" s="213"/>
      <c r="N247" s="213"/>
      <c r="O247" s="213"/>
      <c r="P247" s="215"/>
      <c r="Q247" s="213"/>
      <c r="R247" s="215"/>
      <c r="S247" s="213"/>
      <c r="T247" s="213"/>
      <c r="U247" s="213"/>
      <c r="V247" s="215"/>
      <c r="W247" s="213"/>
      <c r="X247" s="215"/>
      <c r="Y247" s="213"/>
      <c r="Z247" s="213"/>
      <c r="AA247" s="213"/>
      <c r="AB247" s="215"/>
      <c r="AC247" s="213"/>
      <c r="AD247" s="215"/>
      <c r="AE247" s="213"/>
      <c r="AF247" s="213"/>
      <c r="AG247" s="213"/>
      <c r="AH247" s="215"/>
      <c r="AI247" s="213"/>
      <c r="AJ247" s="215"/>
      <c r="AK247" s="213"/>
      <c r="AL247" s="213"/>
      <c r="AM247" s="213"/>
      <c r="AN247" s="215"/>
      <c r="AO247" s="213"/>
      <c r="AP247" s="215"/>
      <c r="AQ247" s="213"/>
      <c r="AR247" s="325"/>
      <c r="AS247" s="213"/>
      <c r="AT247" s="215"/>
      <c r="AU247" s="213"/>
      <c r="AV247" s="215"/>
      <c r="AW247" s="213"/>
      <c r="AX247" s="213"/>
      <c r="AY247" s="213"/>
      <c r="AZ247" s="215"/>
      <c r="BA247" s="213"/>
      <c r="BB247" s="215"/>
      <c r="BC247" s="213"/>
      <c r="BD247" s="213"/>
      <c r="BE247" s="213"/>
      <c r="BF247" s="215"/>
      <c r="BG247" s="213"/>
      <c r="BH247" s="215"/>
      <c r="BI247" s="213"/>
      <c r="BJ247" s="213"/>
      <c r="BK247" s="213"/>
      <c r="BL247" s="215"/>
      <c r="BM247" s="213"/>
      <c r="BN247" s="215"/>
      <c r="BO247" s="213"/>
      <c r="BP247" s="213"/>
      <c r="BQ247" s="213"/>
      <c r="BR247" s="326"/>
      <c r="BS247" s="213"/>
      <c r="BT247" s="215"/>
      <c r="BU247" s="213"/>
      <c r="BV247" s="213"/>
      <c r="BW247" s="213"/>
      <c r="BX247" s="213"/>
      <c r="BY247" s="213"/>
      <c r="BZ247" s="213"/>
      <c r="CA247" s="213"/>
      <c r="CB247" s="213"/>
      <c r="CC247" s="213"/>
      <c r="CD247" s="213"/>
      <c r="CE247" s="213"/>
      <c r="CF247" s="213"/>
      <c r="CG247" s="213"/>
      <c r="CH247" s="213"/>
      <c r="CI247" s="213"/>
      <c r="CJ247" s="213"/>
      <c r="CK247" s="213"/>
      <c r="CL247" s="213"/>
      <c r="CM247" s="213"/>
      <c r="CN247" s="213"/>
      <c r="CO247" s="213"/>
      <c r="CP247" s="213"/>
      <c r="CQ247" s="213"/>
    </row>
    <row r="248" ht="15.75" customHeight="1">
      <c r="A248" s="213"/>
      <c r="B248" s="213"/>
      <c r="C248" s="213"/>
      <c r="D248" s="215"/>
      <c r="E248" s="213"/>
      <c r="F248" s="215"/>
      <c r="G248" s="213"/>
      <c r="H248" s="215"/>
      <c r="I248" s="213"/>
      <c r="J248" s="215"/>
      <c r="K248" s="213"/>
      <c r="L248" s="215"/>
      <c r="M248" s="213"/>
      <c r="N248" s="213"/>
      <c r="O248" s="213"/>
      <c r="P248" s="215"/>
      <c r="Q248" s="213"/>
      <c r="R248" s="215"/>
      <c r="S248" s="213"/>
      <c r="T248" s="213"/>
      <c r="U248" s="213"/>
      <c r="V248" s="215"/>
      <c r="W248" s="213"/>
      <c r="X248" s="215"/>
      <c r="Y248" s="213"/>
      <c r="Z248" s="213"/>
      <c r="AA248" s="213"/>
      <c r="AB248" s="215"/>
      <c r="AC248" s="213"/>
      <c r="AD248" s="215"/>
      <c r="AE248" s="213"/>
      <c r="AF248" s="213"/>
      <c r="AG248" s="213"/>
      <c r="AH248" s="215"/>
      <c r="AI248" s="213"/>
      <c r="AJ248" s="215"/>
      <c r="AK248" s="213"/>
      <c r="AL248" s="213"/>
      <c r="AM248" s="213"/>
      <c r="AN248" s="215"/>
      <c r="AO248" s="213"/>
      <c r="AP248" s="215"/>
      <c r="AQ248" s="213"/>
      <c r="AR248" s="325"/>
      <c r="AS248" s="213"/>
      <c r="AT248" s="215"/>
      <c r="AU248" s="213"/>
      <c r="AV248" s="215"/>
      <c r="AW248" s="213"/>
      <c r="AX248" s="213"/>
      <c r="AY248" s="213"/>
      <c r="AZ248" s="215"/>
      <c r="BA248" s="213"/>
      <c r="BB248" s="215"/>
      <c r="BC248" s="213"/>
      <c r="BD248" s="213"/>
      <c r="BE248" s="213"/>
      <c r="BF248" s="215"/>
      <c r="BG248" s="213"/>
      <c r="BH248" s="215"/>
      <c r="BI248" s="213"/>
      <c r="BJ248" s="213"/>
      <c r="BK248" s="213"/>
      <c r="BL248" s="215"/>
      <c r="BM248" s="213"/>
      <c r="BN248" s="215"/>
      <c r="BO248" s="213"/>
      <c r="BP248" s="213"/>
      <c r="BQ248" s="213"/>
      <c r="BR248" s="326"/>
      <c r="BS248" s="213"/>
      <c r="BT248" s="215"/>
      <c r="BU248" s="213"/>
      <c r="BV248" s="213"/>
      <c r="BW248" s="213"/>
      <c r="BX248" s="213"/>
      <c r="BY248" s="213"/>
      <c r="BZ248" s="213"/>
      <c r="CA248" s="213"/>
      <c r="CB248" s="213"/>
      <c r="CC248" s="213"/>
      <c r="CD248" s="213"/>
      <c r="CE248" s="213"/>
      <c r="CF248" s="213"/>
      <c r="CG248" s="213"/>
      <c r="CH248" s="213"/>
      <c r="CI248" s="213"/>
      <c r="CJ248" s="213"/>
      <c r="CK248" s="213"/>
      <c r="CL248" s="213"/>
      <c r="CM248" s="213"/>
      <c r="CN248" s="213"/>
      <c r="CO248" s="213"/>
      <c r="CP248" s="213"/>
      <c r="CQ248" s="213"/>
    </row>
    <row r="249" ht="15.75" customHeight="1">
      <c r="A249" s="213"/>
      <c r="B249" s="213"/>
      <c r="C249" s="213"/>
      <c r="D249" s="215"/>
      <c r="E249" s="213"/>
      <c r="F249" s="215"/>
      <c r="G249" s="213"/>
      <c r="H249" s="215"/>
      <c r="I249" s="213"/>
      <c r="J249" s="215"/>
      <c r="K249" s="213"/>
      <c r="L249" s="215"/>
      <c r="M249" s="213"/>
      <c r="N249" s="213"/>
      <c r="O249" s="213"/>
      <c r="P249" s="215"/>
      <c r="Q249" s="213"/>
      <c r="R249" s="215"/>
      <c r="S249" s="213"/>
      <c r="T249" s="213"/>
      <c r="U249" s="213"/>
      <c r="V249" s="215"/>
      <c r="W249" s="213"/>
      <c r="X249" s="215"/>
      <c r="Y249" s="213"/>
      <c r="Z249" s="213"/>
      <c r="AA249" s="213"/>
      <c r="AB249" s="215"/>
      <c r="AC249" s="213"/>
      <c r="AD249" s="215"/>
      <c r="AE249" s="213"/>
      <c r="AF249" s="213"/>
      <c r="AG249" s="213"/>
      <c r="AH249" s="215"/>
      <c r="AI249" s="213"/>
      <c r="AJ249" s="215"/>
      <c r="AK249" s="213"/>
      <c r="AL249" s="213"/>
      <c r="AM249" s="213"/>
      <c r="AN249" s="215"/>
      <c r="AO249" s="213"/>
      <c r="AP249" s="215"/>
      <c r="AQ249" s="213"/>
      <c r="AR249" s="325"/>
      <c r="AS249" s="213"/>
      <c r="AT249" s="215"/>
      <c r="AU249" s="213"/>
      <c r="AV249" s="215"/>
      <c r="AW249" s="213"/>
      <c r="AX249" s="213"/>
      <c r="AY249" s="213"/>
      <c r="AZ249" s="215"/>
      <c r="BA249" s="213"/>
      <c r="BB249" s="215"/>
      <c r="BC249" s="213"/>
      <c r="BD249" s="213"/>
      <c r="BE249" s="213"/>
      <c r="BF249" s="215"/>
      <c r="BG249" s="213"/>
      <c r="BH249" s="215"/>
      <c r="BI249" s="213"/>
      <c r="BJ249" s="213"/>
      <c r="BK249" s="213"/>
      <c r="BL249" s="215"/>
      <c r="BM249" s="213"/>
      <c r="BN249" s="215"/>
      <c r="BO249" s="213"/>
      <c r="BP249" s="213"/>
      <c r="BQ249" s="213"/>
      <c r="BR249" s="326"/>
      <c r="BS249" s="213"/>
      <c r="BT249" s="215"/>
      <c r="BU249" s="213"/>
      <c r="BV249" s="213"/>
      <c r="BW249" s="213"/>
      <c r="BX249" s="213"/>
      <c r="BY249" s="213"/>
      <c r="BZ249" s="213"/>
      <c r="CA249" s="213"/>
      <c r="CB249" s="213"/>
      <c r="CC249" s="213"/>
      <c r="CD249" s="213"/>
      <c r="CE249" s="213"/>
      <c r="CF249" s="213"/>
      <c r="CG249" s="213"/>
      <c r="CH249" s="213"/>
      <c r="CI249" s="213"/>
      <c r="CJ249" s="213"/>
      <c r="CK249" s="213"/>
      <c r="CL249" s="213"/>
      <c r="CM249" s="213"/>
      <c r="CN249" s="213"/>
      <c r="CO249" s="213"/>
      <c r="CP249" s="213"/>
      <c r="CQ249" s="213"/>
    </row>
    <row r="250" ht="15.75" customHeight="1">
      <c r="A250" s="213"/>
      <c r="B250" s="213"/>
      <c r="C250" s="213"/>
      <c r="D250" s="215"/>
      <c r="E250" s="213"/>
      <c r="F250" s="215"/>
      <c r="G250" s="213"/>
      <c r="H250" s="215"/>
      <c r="I250" s="213"/>
      <c r="J250" s="215"/>
      <c r="K250" s="213"/>
      <c r="L250" s="215"/>
      <c r="M250" s="213"/>
      <c r="N250" s="213"/>
      <c r="O250" s="213"/>
      <c r="P250" s="215"/>
      <c r="Q250" s="213"/>
      <c r="R250" s="215"/>
      <c r="S250" s="213"/>
      <c r="T250" s="213"/>
      <c r="U250" s="213"/>
      <c r="V250" s="215"/>
      <c r="W250" s="213"/>
      <c r="X250" s="215"/>
      <c r="Y250" s="213"/>
      <c r="Z250" s="213"/>
      <c r="AA250" s="213"/>
      <c r="AB250" s="215"/>
      <c r="AC250" s="213"/>
      <c r="AD250" s="215"/>
      <c r="AE250" s="213"/>
      <c r="AF250" s="213"/>
      <c r="AG250" s="213"/>
      <c r="AH250" s="215"/>
      <c r="AI250" s="213"/>
      <c r="AJ250" s="215"/>
      <c r="AK250" s="213"/>
      <c r="AL250" s="213"/>
      <c r="AM250" s="213"/>
      <c r="AN250" s="215"/>
      <c r="AO250" s="213"/>
      <c r="AP250" s="215"/>
      <c r="AQ250" s="213"/>
      <c r="AR250" s="325"/>
      <c r="AS250" s="213"/>
      <c r="AT250" s="215"/>
      <c r="AU250" s="213"/>
      <c r="AV250" s="215"/>
      <c r="AW250" s="213"/>
      <c r="AX250" s="213"/>
      <c r="AY250" s="213"/>
      <c r="AZ250" s="215"/>
      <c r="BA250" s="213"/>
      <c r="BB250" s="215"/>
      <c r="BC250" s="213"/>
      <c r="BD250" s="213"/>
      <c r="BE250" s="213"/>
      <c r="BF250" s="215"/>
      <c r="BG250" s="213"/>
      <c r="BH250" s="215"/>
      <c r="BI250" s="213"/>
      <c r="BJ250" s="213"/>
      <c r="BK250" s="213"/>
      <c r="BL250" s="215"/>
      <c r="BM250" s="213"/>
      <c r="BN250" s="215"/>
      <c r="BO250" s="213"/>
      <c r="BP250" s="213"/>
      <c r="BQ250" s="213"/>
      <c r="BR250" s="326"/>
      <c r="BS250" s="213"/>
      <c r="BT250" s="215"/>
      <c r="BU250" s="213"/>
      <c r="BV250" s="213"/>
      <c r="BW250" s="213"/>
      <c r="BX250" s="213"/>
      <c r="BY250" s="213"/>
      <c r="BZ250" s="213"/>
      <c r="CA250" s="213"/>
      <c r="CB250" s="213"/>
      <c r="CC250" s="213"/>
      <c r="CD250" s="213"/>
      <c r="CE250" s="213"/>
      <c r="CF250" s="213"/>
      <c r="CG250" s="213"/>
      <c r="CH250" s="213"/>
      <c r="CI250" s="213"/>
      <c r="CJ250" s="213"/>
      <c r="CK250" s="213"/>
      <c r="CL250" s="213"/>
      <c r="CM250" s="213"/>
      <c r="CN250" s="213"/>
      <c r="CO250" s="213"/>
      <c r="CP250" s="213"/>
      <c r="CQ250" s="213"/>
    </row>
    <row r="251" ht="15.75" customHeight="1">
      <c r="A251" s="213"/>
      <c r="B251" s="213"/>
      <c r="C251" s="213"/>
      <c r="D251" s="215"/>
      <c r="E251" s="213"/>
      <c r="F251" s="215"/>
      <c r="G251" s="213"/>
      <c r="H251" s="215"/>
      <c r="I251" s="213"/>
      <c r="J251" s="215"/>
      <c r="K251" s="213"/>
      <c r="L251" s="215"/>
      <c r="M251" s="213"/>
      <c r="N251" s="213"/>
      <c r="O251" s="213"/>
      <c r="P251" s="215"/>
      <c r="Q251" s="213"/>
      <c r="R251" s="215"/>
      <c r="S251" s="213"/>
      <c r="T251" s="213"/>
      <c r="U251" s="213"/>
      <c r="V251" s="215"/>
      <c r="W251" s="213"/>
      <c r="X251" s="215"/>
      <c r="Y251" s="213"/>
      <c r="Z251" s="213"/>
      <c r="AA251" s="213"/>
      <c r="AB251" s="215"/>
      <c r="AC251" s="213"/>
      <c r="AD251" s="215"/>
      <c r="AE251" s="213"/>
      <c r="AF251" s="213"/>
      <c r="AG251" s="213"/>
      <c r="AH251" s="215"/>
      <c r="AI251" s="213"/>
      <c r="AJ251" s="215"/>
      <c r="AK251" s="213"/>
      <c r="AL251" s="213"/>
      <c r="AM251" s="213"/>
      <c r="AN251" s="215"/>
      <c r="AO251" s="213"/>
      <c r="AP251" s="215"/>
      <c r="AQ251" s="213"/>
      <c r="AR251" s="325"/>
      <c r="AS251" s="213"/>
      <c r="AT251" s="215"/>
      <c r="AU251" s="213"/>
      <c r="AV251" s="215"/>
      <c r="AW251" s="213"/>
      <c r="AX251" s="213"/>
      <c r="AY251" s="213"/>
      <c r="AZ251" s="215"/>
      <c r="BA251" s="213"/>
      <c r="BB251" s="215"/>
      <c r="BC251" s="213"/>
      <c r="BD251" s="213"/>
      <c r="BE251" s="213"/>
      <c r="BF251" s="215"/>
      <c r="BG251" s="213"/>
      <c r="BH251" s="215"/>
      <c r="BI251" s="213"/>
      <c r="BJ251" s="213"/>
      <c r="BK251" s="213"/>
      <c r="BL251" s="215"/>
      <c r="BM251" s="213"/>
      <c r="BN251" s="215"/>
      <c r="BO251" s="213"/>
      <c r="BP251" s="213"/>
      <c r="BQ251" s="213"/>
      <c r="BR251" s="326"/>
      <c r="BS251" s="213"/>
      <c r="BT251" s="215"/>
      <c r="BU251" s="213"/>
      <c r="BV251" s="213"/>
      <c r="BW251" s="213"/>
      <c r="BX251" s="213"/>
      <c r="BY251" s="213"/>
      <c r="BZ251" s="213"/>
      <c r="CA251" s="213"/>
      <c r="CB251" s="213"/>
      <c r="CC251" s="213"/>
      <c r="CD251" s="213"/>
      <c r="CE251" s="213"/>
      <c r="CF251" s="213"/>
      <c r="CG251" s="213"/>
      <c r="CH251" s="213"/>
      <c r="CI251" s="213"/>
      <c r="CJ251" s="213"/>
      <c r="CK251" s="213"/>
      <c r="CL251" s="213"/>
      <c r="CM251" s="213"/>
      <c r="CN251" s="213"/>
      <c r="CO251" s="213"/>
      <c r="CP251" s="213"/>
      <c r="CQ251" s="213"/>
    </row>
    <row r="252" ht="15.75" customHeight="1">
      <c r="A252" s="213"/>
      <c r="B252" s="213"/>
      <c r="C252" s="213"/>
      <c r="D252" s="215"/>
      <c r="E252" s="213"/>
      <c r="F252" s="215"/>
      <c r="G252" s="213"/>
      <c r="H252" s="215"/>
      <c r="I252" s="213"/>
      <c r="J252" s="215"/>
      <c r="K252" s="213"/>
      <c r="L252" s="215"/>
      <c r="M252" s="213"/>
      <c r="N252" s="213"/>
      <c r="O252" s="213"/>
      <c r="P252" s="215"/>
      <c r="Q252" s="213"/>
      <c r="R252" s="215"/>
      <c r="S252" s="213"/>
      <c r="T252" s="213"/>
      <c r="U252" s="213"/>
      <c r="V252" s="215"/>
      <c r="W252" s="213"/>
      <c r="X252" s="215"/>
      <c r="Y252" s="213"/>
      <c r="Z252" s="213"/>
      <c r="AA252" s="213"/>
      <c r="AB252" s="215"/>
      <c r="AC252" s="213"/>
      <c r="AD252" s="215"/>
      <c r="AE252" s="213"/>
      <c r="AF252" s="213"/>
      <c r="AG252" s="213"/>
      <c r="AH252" s="215"/>
      <c r="AI252" s="213"/>
      <c r="AJ252" s="215"/>
      <c r="AK252" s="213"/>
      <c r="AL252" s="213"/>
      <c r="AM252" s="213"/>
      <c r="AN252" s="215"/>
      <c r="AO252" s="213"/>
      <c r="AP252" s="215"/>
      <c r="AQ252" s="213"/>
      <c r="AR252" s="325"/>
      <c r="AS252" s="213"/>
      <c r="AT252" s="215"/>
      <c r="AU252" s="213"/>
      <c r="AV252" s="215"/>
      <c r="AW252" s="213"/>
      <c r="AX252" s="213"/>
      <c r="AY252" s="213"/>
      <c r="AZ252" s="215"/>
      <c r="BA252" s="213"/>
      <c r="BB252" s="215"/>
      <c r="BC252" s="213"/>
      <c r="BD252" s="213"/>
      <c r="BE252" s="213"/>
      <c r="BF252" s="215"/>
      <c r="BG252" s="213"/>
      <c r="BH252" s="215"/>
      <c r="BI252" s="213"/>
      <c r="BJ252" s="213"/>
      <c r="BK252" s="213"/>
      <c r="BL252" s="215"/>
      <c r="BM252" s="213"/>
      <c r="BN252" s="215"/>
      <c r="BO252" s="213"/>
      <c r="BP252" s="213"/>
      <c r="BQ252" s="213"/>
      <c r="BR252" s="326"/>
      <c r="BS252" s="213"/>
      <c r="BT252" s="215"/>
      <c r="BU252" s="213"/>
      <c r="BV252" s="213"/>
      <c r="BW252" s="213"/>
      <c r="BX252" s="213"/>
      <c r="BY252" s="213"/>
      <c r="BZ252" s="213"/>
      <c r="CA252" s="213"/>
      <c r="CB252" s="213"/>
      <c r="CC252" s="213"/>
      <c r="CD252" s="213"/>
      <c r="CE252" s="213"/>
      <c r="CF252" s="213"/>
      <c r="CG252" s="213"/>
      <c r="CH252" s="213"/>
      <c r="CI252" s="213"/>
      <c r="CJ252" s="213"/>
      <c r="CK252" s="213"/>
      <c r="CL252" s="213"/>
      <c r="CM252" s="213"/>
      <c r="CN252" s="213"/>
      <c r="CO252" s="213"/>
      <c r="CP252" s="213"/>
      <c r="CQ252" s="213"/>
    </row>
    <row r="253" ht="15.75" customHeight="1">
      <c r="A253" s="213"/>
      <c r="B253" s="213"/>
      <c r="C253" s="213"/>
      <c r="D253" s="215"/>
      <c r="E253" s="213"/>
      <c r="F253" s="215"/>
      <c r="G253" s="213"/>
      <c r="H253" s="215"/>
      <c r="I253" s="213"/>
      <c r="J253" s="215"/>
      <c r="K253" s="213"/>
      <c r="L253" s="215"/>
      <c r="M253" s="213"/>
      <c r="N253" s="213"/>
      <c r="O253" s="213"/>
      <c r="P253" s="215"/>
      <c r="Q253" s="213"/>
      <c r="R253" s="215"/>
      <c r="S253" s="213"/>
      <c r="T253" s="213"/>
      <c r="U253" s="213"/>
      <c r="V253" s="215"/>
      <c r="W253" s="213"/>
      <c r="X253" s="215"/>
      <c r="Y253" s="213"/>
      <c r="Z253" s="213"/>
      <c r="AA253" s="213"/>
      <c r="AB253" s="215"/>
      <c r="AC253" s="213"/>
      <c r="AD253" s="215"/>
      <c r="AE253" s="213"/>
      <c r="AF253" s="213"/>
      <c r="AG253" s="213"/>
      <c r="AH253" s="215"/>
      <c r="AI253" s="213"/>
      <c r="AJ253" s="215"/>
      <c r="AK253" s="213"/>
      <c r="AL253" s="213"/>
      <c r="AM253" s="213"/>
      <c r="AN253" s="215"/>
      <c r="AO253" s="213"/>
      <c r="AP253" s="215"/>
      <c r="AQ253" s="213"/>
      <c r="AR253" s="325"/>
      <c r="AS253" s="213"/>
      <c r="AT253" s="215"/>
      <c r="AU253" s="213"/>
      <c r="AV253" s="215"/>
      <c r="AW253" s="213"/>
      <c r="AX253" s="213"/>
      <c r="AY253" s="213"/>
      <c r="AZ253" s="215"/>
      <c r="BA253" s="213"/>
      <c r="BB253" s="215"/>
      <c r="BC253" s="213"/>
      <c r="BD253" s="213"/>
      <c r="BE253" s="213"/>
      <c r="BF253" s="215"/>
      <c r="BG253" s="213"/>
      <c r="BH253" s="215"/>
      <c r="BI253" s="213"/>
      <c r="BJ253" s="213"/>
      <c r="BK253" s="213"/>
      <c r="BL253" s="215"/>
      <c r="BM253" s="213"/>
      <c r="BN253" s="215"/>
      <c r="BO253" s="213"/>
      <c r="BP253" s="213"/>
      <c r="BQ253" s="213"/>
      <c r="BR253" s="326"/>
      <c r="BS253" s="213"/>
      <c r="BT253" s="215"/>
      <c r="BU253" s="213"/>
      <c r="BV253" s="213"/>
      <c r="BW253" s="213"/>
      <c r="BX253" s="213"/>
      <c r="BY253" s="213"/>
      <c r="BZ253" s="213"/>
      <c r="CA253" s="213"/>
      <c r="CB253" s="213"/>
      <c r="CC253" s="213"/>
      <c r="CD253" s="213"/>
      <c r="CE253" s="213"/>
      <c r="CF253" s="213"/>
      <c r="CG253" s="213"/>
      <c r="CH253" s="213"/>
      <c r="CI253" s="213"/>
      <c r="CJ253" s="213"/>
      <c r="CK253" s="213"/>
      <c r="CL253" s="213"/>
      <c r="CM253" s="213"/>
      <c r="CN253" s="213"/>
      <c r="CO253" s="213"/>
      <c r="CP253" s="213"/>
      <c r="CQ253" s="213"/>
    </row>
    <row r="254" ht="15.75" customHeight="1">
      <c r="A254" s="213"/>
      <c r="B254" s="213"/>
      <c r="C254" s="213"/>
      <c r="D254" s="215"/>
      <c r="E254" s="213"/>
      <c r="F254" s="215"/>
      <c r="G254" s="213"/>
      <c r="H254" s="215"/>
      <c r="I254" s="213"/>
      <c r="J254" s="215"/>
      <c r="K254" s="213"/>
      <c r="L254" s="215"/>
      <c r="M254" s="213"/>
      <c r="N254" s="213"/>
      <c r="O254" s="213"/>
      <c r="P254" s="215"/>
      <c r="Q254" s="213"/>
      <c r="R254" s="215"/>
      <c r="S254" s="213"/>
      <c r="T254" s="213"/>
      <c r="U254" s="213"/>
      <c r="V254" s="215"/>
      <c r="W254" s="213"/>
      <c r="X254" s="215"/>
      <c r="Y254" s="213"/>
      <c r="Z254" s="213"/>
      <c r="AA254" s="213"/>
      <c r="AB254" s="215"/>
      <c r="AC254" s="213"/>
      <c r="AD254" s="215"/>
      <c r="AE254" s="213"/>
      <c r="AF254" s="213"/>
      <c r="AG254" s="213"/>
      <c r="AH254" s="215"/>
      <c r="AI254" s="213"/>
      <c r="AJ254" s="215"/>
      <c r="AK254" s="213"/>
      <c r="AL254" s="213"/>
      <c r="AM254" s="213"/>
      <c r="AN254" s="215"/>
      <c r="AO254" s="213"/>
      <c r="AP254" s="215"/>
      <c r="AQ254" s="213"/>
      <c r="AR254" s="325"/>
      <c r="AS254" s="213"/>
      <c r="AT254" s="215"/>
      <c r="AU254" s="213"/>
      <c r="AV254" s="215"/>
      <c r="AW254" s="213"/>
      <c r="AX254" s="213"/>
      <c r="AY254" s="213"/>
      <c r="AZ254" s="215"/>
      <c r="BA254" s="213"/>
      <c r="BB254" s="215"/>
      <c r="BC254" s="213"/>
      <c r="BD254" s="213"/>
      <c r="BE254" s="213"/>
      <c r="BF254" s="215"/>
      <c r="BG254" s="213"/>
      <c r="BH254" s="215"/>
      <c r="BI254" s="213"/>
      <c r="BJ254" s="213"/>
      <c r="BK254" s="213"/>
      <c r="BL254" s="215"/>
      <c r="BM254" s="213"/>
      <c r="BN254" s="215"/>
      <c r="BO254" s="213"/>
      <c r="BP254" s="213"/>
      <c r="BQ254" s="213"/>
      <c r="BR254" s="326"/>
      <c r="BS254" s="213"/>
      <c r="BT254" s="215"/>
      <c r="BU254" s="213"/>
      <c r="BV254" s="213"/>
      <c r="BW254" s="213"/>
      <c r="BX254" s="213"/>
      <c r="BY254" s="213"/>
      <c r="BZ254" s="213"/>
      <c r="CA254" s="213"/>
      <c r="CB254" s="213"/>
      <c r="CC254" s="213"/>
      <c r="CD254" s="213"/>
      <c r="CE254" s="213"/>
      <c r="CF254" s="213"/>
      <c r="CG254" s="213"/>
      <c r="CH254" s="213"/>
      <c r="CI254" s="213"/>
      <c r="CJ254" s="213"/>
      <c r="CK254" s="213"/>
      <c r="CL254" s="213"/>
      <c r="CM254" s="213"/>
      <c r="CN254" s="213"/>
      <c r="CO254" s="213"/>
      <c r="CP254" s="213"/>
      <c r="CQ254" s="213"/>
    </row>
    <row r="255" ht="15.75" customHeight="1">
      <c r="A255" s="213"/>
      <c r="B255" s="213"/>
      <c r="C255" s="213"/>
      <c r="D255" s="215"/>
      <c r="E255" s="213"/>
      <c r="F255" s="215"/>
      <c r="G255" s="213"/>
      <c r="H255" s="215"/>
      <c r="I255" s="213"/>
      <c r="J255" s="215"/>
      <c r="K255" s="213"/>
      <c r="L255" s="215"/>
      <c r="M255" s="213"/>
      <c r="N255" s="213"/>
      <c r="O255" s="213"/>
      <c r="P255" s="215"/>
      <c r="Q255" s="213"/>
      <c r="R255" s="215"/>
      <c r="S255" s="213"/>
      <c r="T255" s="213"/>
      <c r="U255" s="213"/>
      <c r="V255" s="215"/>
      <c r="W255" s="213"/>
      <c r="X255" s="215"/>
      <c r="Y255" s="213"/>
      <c r="Z255" s="213"/>
      <c r="AA255" s="213"/>
      <c r="AB255" s="215"/>
      <c r="AC255" s="213"/>
      <c r="AD255" s="215"/>
      <c r="AE255" s="213"/>
      <c r="AF255" s="213"/>
      <c r="AG255" s="213"/>
      <c r="AH255" s="215"/>
      <c r="AI255" s="213"/>
      <c r="AJ255" s="215"/>
      <c r="AK255" s="213"/>
      <c r="AL255" s="213"/>
      <c r="AM255" s="213"/>
      <c r="AN255" s="215"/>
      <c r="AO255" s="213"/>
      <c r="AP255" s="215"/>
      <c r="AQ255" s="213"/>
      <c r="AR255" s="325"/>
      <c r="AS255" s="213"/>
      <c r="AT255" s="215"/>
      <c r="AU255" s="213"/>
      <c r="AV255" s="215"/>
      <c r="AW255" s="213"/>
      <c r="AX255" s="213"/>
      <c r="AY255" s="213"/>
      <c r="AZ255" s="215"/>
      <c r="BA255" s="213"/>
      <c r="BB255" s="215"/>
      <c r="BC255" s="213"/>
      <c r="BD255" s="213"/>
      <c r="BE255" s="213"/>
      <c r="BF255" s="215"/>
      <c r="BG255" s="213"/>
      <c r="BH255" s="215"/>
      <c r="BI255" s="213"/>
      <c r="BJ255" s="213"/>
      <c r="BK255" s="213"/>
      <c r="BL255" s="215"/>
      <c r="BM255" s="213"/>
      <c r="BN255" s="215"/>
      <c r="BO255" s="213"/>
      <c r="BP255" s="213"/>
      <c r="BQ255" s="213"/>
      <c r="BR255" s="326"/>
      <c r="BS255" s="213"/>
      <c r="BT255" s="215"/>
      <c r="BU255" s="213"/>
      <c r="BV255" s="213"/>
      <c r="BW255" s="213"/>
      <c r="BX255" s="213"/>
      <c r="BY255" s="213"/>
      <c r="BZ255" s="213"/>
      <c r="CA255" s="213"/>
      <c r="CB255" s="213"/>
      <c r="CC255" s="213"/>
      <c r="CD255" s="213"/>
      <c r="CE255" s="213"/>
      <c r="CF255" s="213"/>
      <c r="CG255" s="213"/>
      <c r="CH255" s="213"/>
      <c r="CI255" s="213"/>
      <c r="CJ255" s="213"/>
      <c r="CK255" s="213"/>
      <c r="CL255" s="213"/>
      <c r="CM255" s="213"/>
      <c r="CN255" s="213"/>
      <c r="CO255" s="213"/>
      <c r="CP255" s="213"/>
      <c r="CQ255" s="213"/>
    </row>
    <row r="256" ht="15.75" customHeight="1">
      <c r="A256" s="213"/>
      <c r="B256" s="213"/>
      <c r="C256" s="213"/>
      <c r="D256" s="215"/>
      <c r="E256" s="213"/>
      <c r="F256" s="215"/>
      <c r="G256" s="213"/>
      <c r="H256" s="215"/>
      <c r="I256" s="213"/>
      <c r="J256" s="215"/>
      <c r="K256" s="213"/>
      <c r="L256" s="215"/>
      <c r="M256" s="213"/>
      <c r="N256" s="213"/>
      <c r="O256" s="213"/>
      <c r="P256" s="215"/>
      <c r="Q256" s="213"/>
      <c r="R256" s="215"/>
      <c r="S256" s="213"/>
      <c r="T256" s="213"/>
      <c r="U256" s="213"/>
      <c r="V256" s="215"/>
      <c r="W256" s="213"/>
      <c r="X256" s="215"/>
      <c r="Y256" s="213"/>
      <c r="Z256" s="213"/>
      <c r="AA256" s="213"/>
      <c r="AB256" s="215"/>
      <c r="AC256" s="213"/>
      <c r="AD256" s="215"/>
      <c r="AE256" s="213"/>
      <c r="AF256" s="213"/>
      <c r="AG256" s="213"/>
      <c r="AH256" s="215"/>
      <c r="AI256" s="213"/>
      <c r="AJ256" s="215"/>
      <c r="AK256" s="213"/>
      <c r="AL256" s="213"/>
      <c r="AM256" s="213"/>
      <c r="AN256" s="215"/>
      <c r="AO256" s="213"/>
      <c r="AP256" s="215"/>
      <c r="AQ256" s="213"/>
      <c r="AR256" s="325"/>
      <c r="AS256" s="213"/>
      <c r="AT256" s="215"/>
      <c r="AU256" s="213"/>
      <c r="AV256" s="215"/>
      <c r="AW256" s="213"/>
      <c r="AX256" s="213"/>
      <c r="AY256" s="213"/>
      <c r="AZ256" s="215"/>
      <c r="BA256" s="213"/>
      <c r="BB256" s="215"/>
      <c r="BC256" s="213"/>
      <c r="BD256" s="213"/>
      <c r="BE256" s="213"/>
      <c r="BF256" s="215"/>
      <c r="BG256" s="213"/>
      <c r="BH256" s="215"/>
      <c r="BI256" s="213"/>
      <c r="BJ256" s="213"/>
      <c r="BK256" s="213"/>
      <c r="BL256" s="215"/>
      <c r="BM256" s="213"/>
      <c r="BN256" s="215"/>
      <c r="BO256" s="213"/>
      <c r="BP256" s="213"/>
      <c r="BQ256" s="213"/>
      <c r="BR256" s="326"/>
      <c r="BS256" s="213"/>
      <c r="BT256" s="215"/>
      <c r="BU256" s="213"/>
      <c r="BV256" s="213"/>
      <c r="BW256" s="213"/>
      <c r="BX256" s="213"/>
      <c r="BY256" s="213"/>
      <c r="BZ256" s="213"/>
      <c r="CA256" s="213"/>
      <c r="CB256" s="213"/>
      <c r="CC256" s="213"/>
      <c r="CD256" s="213"/>
      <c r="CE256" s="213"/>
      <c r="CF256" s="213"/>
      <c r="CG256" s="213"/>
      <c r="CH256" s="213"/>
      <c r="CI256" s="213"/>
      <c r="CJ256" s="213"/>
      <c r="CK256" s="213"/>
      <c r="CL256" s="213"/>
      <c r="CM256" s="213"/>
      <c r="CN256" s="213"/>
      <c r="CO256" s="213"/>
      <c r="CP256" s="213"/>
      <c r="CQ256" s="213"/>
    </row>
    <row r="257" ht="15.75" customHeight="1">
      <c r="A257" s="213"/>
      <c r="B257" s="213"/>
      <c r="C257" s="213"/>
      <c r="D257" s="215"/>
      <c r="E257" s="213"/>
      <c r="F257" s="215"/>
      <c r="G257" s="213"/>
      <c r="H257" s="215"/>
      <c r="I257" s="213"/>
      <c r="J257" s="215"/>
      <c r="K257" s="213"/>
      <c r="L257" s="215"/>
      <c r="M257" s="213"/>
      <c r="N257" s="213"/>
      <c r="O257" s="213"/>
      <c r="P257" s="215"/>
      <c r="Q257" s="213"/>
      <c r="R257" s="215"/>
      <c r="S257" s="213"/>
      <c r="T257" s="213"/>
      <c r="U257" s="213"/>
      <c r="V257" s="215"/>
      <c r="W257" s="213"/>
      <c r="X257" s="215"/>
      <c r="Y257" s="213"/>
      <c r="Z257" s="213"/>
      <c r="AA257" s="213"/>
      <c r="AB257" s="215"/>
      <c r="AC257" s="213"/>
      <c r="AD257" s="215"/>
      <c r="AE257" s="213"/>
      <c r="AF257" s="213"/>
      <c r="AG257" s="213"/>
      <c r="AH257" s="215"/>
      <c r="AI257" s="213"/>
      <c r="AJ257" s="215"/>
      <c r="AK257" s="213"/>
      <c r="AL257" s="213"/>
      <c r="AM257" s="213"/>
      <c r="AN257" s="215"/>
      <c r="AO257" s="213"/>
      <c r="AP257" s="215"/>
      <c r="AQ257" s="213"/>
      <c r="AR257" s="325"/>
      <c r="AS257" s="213"/>
      <c r="AT257" s="215"/>
      <c r="AU257" s="213"/>
      <c r="AV257" s="215"/>
      <c r="AW257" s="213"/>
      <c r="AX257" s="213"/>
      <c r="AY257" s="213"/>
      <c r="AZ257" s="215"/>
      <c r="BA257" s="213"/>
      <c r="BB257" s="215"/>
      <c r="BC257" s="213"/>
      <c r="BD257" s="213"/>
      <c r="BE257" s="213"/>
      <c r="BF257" s="215"/>
      <c r="BG257" s="213"/>
      <c r="BH257" s="215"/>
      <c r="BI257" s="213"/>
      <c r="BJ257" s="213"/>
      <c r="BK257" s="213"/>
      <c r="BL257" s="215"/>
      <c r="BM257" s="213"/>
      <c r="BN257" s="215"/>
      <c r="BO257" s="213"/>
      <c r="BP257" s="213"/>
      <c r="BQ257" s="213"/>
      <c r="BR257" s="326"/>
      <c r="BS257" s="213"/>
      <c r="BT257" s="215"/>
      <c r="BU257" s="213"/>
      <c r="BV257" s="213"/>
      <c r="BW257" s="213"/>
      <c r="BX257" s="213"/>
      <c r="BY257" s="213"/>
      <c r="BZ257" s="213"/>
      <c r="CA257" s="213"/>
      <c r="CB257" s="213"/>
      <c r="CC257" s="213"/>
      <c r="CD257" s="213"/>
      <c r="CE257" s="213"/>
      <c r="CF257" s="213"/>
      <c r="CG257" s="213"/>
      <c r="CH257" s="213"/>
      <c r="CI257" s="213"/>
      <c r="CJ257" s="213"/>
      <c r="CK257" s="213"/>
      <c r="CL257" s="213"/>
      <c r="CM257" s="213"/>
      <c r="CN257" s="213"/>
      <c r="CO257" s="213"/>
      <c r="CP257" s="213"/>
      <c r="CQ257" s="213"/>
    </row>
    <row r="258" ht="15.75" customHeight="1">
      <c r="A258" s="213"/>
      <c r="B258" s="213"/>
      <c r="C258" s="213"/>
      <c r="D258" s="215"/>
      <c r="E258" s="213"/>
      <c r="F258" s="215"/>
      <c r="G258" s="213"/>
      <c r="H258" s="215"/>
      <c r="I258" s="213"/>
      <c r="J258" s="215"/>
      <c r="K258" s="213"/>
      <c r="L258" s="215"/>
      <c r="M258" s="213"/>
      <c r="N258" s="213"/>
      <c r="O258" s="213"/>
      <c r="P258" s="215"/>
      <c r="Q258" s="213"/>
      <c r="R258" s="215"/>
      <c r="S258" s="213"/>
      <c r="T258" s="213"/>
      <c r="U258" s="213"/>
      <c r="V258" s="215"/>
      <c r="W258" s="213"/>
      <c r="X258" s="215"/>
      <c r="Y258" s="213"/>
      <c r="Z258" s="213"/>
      <c r="AA258" s="213"/>
      <c r="AB258" s="215"/>
      <c r="AC258" s="213"/>
      <c r="AD258" s="215"/>
      <c r="AE258" s="213"/>
      <c r="AF258" s="213"/>
      <c r="AG258" s="213"/>
      <c r="AH258" s="215"/>
      <c r="AI258" s="213"/>
      <c r="AJ258" s="215"/>
      <c r="AK258" s="213"/>
      <c r="AL258" s="213"/>
      <c r="AM258" s="213"/>
      <c r="AN258" s="215"/>
      <c r="AO258" s="213"/>
      <c r="AP258" s="215"/>
      <c r="AQ258" s="213"/>
      <c r="AR258" s="325"/>
      <c r="AS258" s="213"/>
      <c r="AT258" s="215"/>
      <c r="AU258" s="213"/>
      <c r="AV258" s="215"/>
      <c r="AW258" s="213"/>
      <c r="AX258" s="213"/>
      <c r="AY258" s="213"/>
      <c r="AZ258" s="215"/>
      <c r="BA258" s="213"/>
      <c r="BB258" s="215"/>
      <c r="BC258" s="213"/>
      <c r="BD258" s="213"/>
      <c r="BE258" s="213"/>
      <c r="BF258" s="215"/>
      <c r="BG258" s="213"/>
      <c r="BH258" s="215"/>
      <c r="BI258" s="213"/>
      <c r="BJ258" s="213"/>
      <c r="BK258" s="213"/>
      <c r="BL258" s="215"/>
      <c r="BM258" s="213"/>
      <c r="BN258" s="215"/>
      <c r="BO258" s="213"/>
      <c r="BP258" s="213"/>
      <c r="BQ258" s="213"/>
      <c r="BR258" s="326"/>
      <c r="BS258" s="213"/>
      <c r="BT258" s="215"/>
      <c r="BU258" s="213"/>
      <c r="BV258" s="213"/>
      <c r="BW258" s="213"/>
      <c r="BX258" s="213"/>
      <c r="BY258" s="213"/>
      <c r="BZ258" s="213"/>
      <c r="CA258" s="213"/>
      <c r="CB258" s="213"/>
      <c r="CC258" s="213"/>
      <c r="CD258" s="213"/>
      <c r="CE258" s="213"/>
      <c r="CF258" s="213"/>
      <c r="CG258" s="213"/>
      <c r="CH258" s="213"/>
      <c r="CI258" s="213"/>
      <c r="CJ258" s="213"/>
      <c r="CK258" s="213"/>
      <c r="CL258" s="213"/>
      <c r="CM258" s="213"/>
      <c r="CN258" s="213"/>
      <c r="CO258" s="213"/>
      <c r="CP258" s="213"/>
      <c r="CQ258" s="213"/>
    </row>
    <row r="259" ht="15.75" customHeight="1">
      <c r="A259" s="213"/>
      <c r="B259" s="213"/>
      <c r="C259" s="213"/>
      <c r="D259" s="215"/>
      <c r="E259" s="213"/>
      <c r="F259" s="215"/>
      <c r="G259" s="213"/>
      <c r="H259" s="215"/>
      <c r="I259" s="213"/>
      <c r="J259" s="215"/>
      <c r="K259" s="213"/>
      <c r="L259" s="215"/>
      <c r="M259" s="213"/>
      <c r="N259" s="213"/>
      <c r="O259" s="213"/>
      <c r="P259" s="215"/>
      <c r="Q259" s="213"/>
      <c r="R259" s="215"/>
      <c r="S259" s="213"/>
      <c r="T259" s="213"/>
      <c r="U259" s="213"/>
      <c r="V259" s="215"/>
      <c r="W259" s="213"/>
      <c r="X259" s="215"/>
      <c r="Y259" s="213"/>
      <c r="Z259" s="213"/>
      <c r="AA259" s="213"/>
      <c r="AB259" s="215"/>
      <c r="AC259" s="213"/>
      <c r="AD259" s="215"/>
      <c r="AE259" s="213"/>
      <c r="AF259" s="213"/>
      <c r="AG259" s="213"/>
      <c r="AH259" s="215"/>
      <c r="AI259" s="213"/>
      <c r="AJ259" s="215"/>
      <c r="AK259" s="213"/>
      <c r="AL259" s="213"/>
      <c r="AM259" s="213"/>
      <c r="AN259" s="215"/>
      <c r="AO259" s="213"/>
      <c r="AP259" s="215"/>
      <c r="AQ259" s="213"/>
      <c r="AR259" s="325"/>
      <c r="AS259" s="213"/>
      <c r="AT259" s="215"/>
      <c r="AU259" s="213"/>
      <c r="AV259" s="215"/>
      <c r="AW259" s="213"/>
      <c r="AX259" s="213"/>
      <c r="AY259" s="213"/>
      <c r="AZ259" s="215"/>
      <c r="BA259" s="213"/>
      <c r="BB259" s="215"/>
      <c r="BC259" s="213"/>
      <c r="BD259" s="213"/>
      <c r="BE259" s="213"/>
      <c r="BF259" s="215"/>
      <c r="BG259" s="213"/>
      <c r="BH259" s="215"/>
      <c r="BI259" s="213"/>
      <c r="BJ259" s="213"/>
      <c r="BK259" s="213"/>
      <c r="BL259" s="215"/>
      <c r="BM259" s="213"/>
      <c r="BN259" s="215"/>
      <c r="BO259" s="213"/>
      <c r="BP259" s="213"/>
      <c r="BQ259" s="213"/>
      <c r="BR259" s="326"/>
      <c r="BS259" s="213"/>
      <c r="BT259" s="215"/>
      <c r="BU259" s="213"/>
      <c r="BV259" s="213"/>
      <c r="BW259" s="213"/>
      <c r="BX259" s="213"/>
      <c r="BY259" s="213"/>
      <c r="BZ259" s="213"/>
      <c r="CA259" s="213"/>
      <c r="CB259" s="213"/>
      <c r="CC259" s="213"/>
      <c r="CD259" s="213"/>
      <c r="CE259" s="213"/>
      <c r="CF259" s="213"/>
      <c r="CG259" s="213"/>
      <c r="CH259" s="213"/>
      <c r="CI259" s="213"/>
      <c r="CJ259" s="213"/>
      <c r="CK259" s="213"/>
      <c r="CL259" s="213"/>
      <c r="CM259" s="213"/>
      <c r="CN259" s="213"/>
      <c r="CO259" s="213"/>
      <c r="CP259" s="213"/>
      <c r="CQ259" s="213"/>
    </row>
    <row r="260" ht="15.75" customHeight="1">
      <c r="A260" s="213"/>
      <c r="B260" s="213"/>
      <c r="C260" s="213"/>
      <c r="D260" s="215"/>
      <c r="E260" s="213"/>
      <c r="F260" s="215"/>
      <c r="G260" s="213"/>
      <c r="H260" s="215"/>
      <c r="I260" s="213"/>
      <c r="J260" s="215"/>
      <c r="K260" s="213"/>
      <c r="L260" s="215"/>
      <c r="M260" s="213"/>
      <c r="N260" s="213"/>
      <c r="O260" s="213"/>
      <c r="P260" s="215"/>
      <c r="Q260" s="213"/>
      <c r="R260" s="215"/>
      <c r="S260" s="213"/>
      <c r="T260" s="213"/>
      <c r="U260" s="213"/>
      <c r="V260" s="215"/>
      <c r="W260" s="213"/>
      <c r="X260" s="215"/>
      <c r="Y260" s="213"/>
      <c r="Z260" s="213"/>
      <c r="AA260" s="213"/>
      <c r="AB260" s="215"/>
      <c r="AC260" s="213"/>
      <c r="AD260" s="215"/>
      <c r="AE260" s="213"/>
      <c r="AF260" s="213"/>
      <c r="AG260" s="213"/>
      <c r="AH260" s="215"/>
      <c r="AI260" s="213"/>
      <c r="AJ260" s="215"/>
      <c r="AK260" s="213"/>
      <c r="AL260" s="213"/>
      <c r="AM260" s="213"/>
      <c r="AN260" s="215"/>
      <c r="AO260" s="213"/>
      <c r="AP260" s="215"/>
      <c r="AQ260" s="213"/>
      <c r="AR260" s="325"/>
      <c r="AS260" s="213"/>
      <c r="AT260" s="215"/>
      <c r="AU260" s="213"/>
      <c r="AV260" s="215"/>
      <c r="AW260" s="213"/>
      <c r="AX260" s="213"/>
      <c r="AY260" s="213"/>
      <c r="AZ260" s="215"/>
      <c r="BA260" s="213"/>
      <c r="BB260" s="215"/>
      <c r="BC260" s="213"/>
      <c r="BD260" s="213"/>
      <c r="BE260" s="213"/>
      <c r="BF260" s="215"/>
      <c r="BG260" s="213"/>
      <c r="BH260" s="215"/>
      <c r="BI260" s="213"/>
      <c r="BJ260" s="213"/>
      <c r="BK260" s="213"/>
      <c r="BL260" s="215"/>
      <c r="BM260" s="213"/>
      <c r="BN260" s="215"/>
      <c r="BO260" s="213"/>
      <c r="BP260" s="213"/>
      <c r="BQ260" s="213"/>
      <c r="BR260" s="326"/>
      <c r="BS260" s="213"/>
      <c r="BT260" s="215"/>
      <c r="BU260" s="213"/>
      <c r="BV260" s="213"/>
      <c r="BW260" s="213"/>
      <c r="BX260" s="213"/>
      <c r="BY260" s="213"/>
      <c r="BZ260" s="213"/>
      <c r="CA260" s="213"/>
      <c r="CB260" s="213"/>
      <c r="CC260" s="213"/>
      <c r="CD260" s="213"/>
      <c r="CE260" s="213"/>
      <c r="CF260" s="213"/>
      <c r="CG260" s="213"/>
      <c r="CH260" s="213"/>
      <c r="CI260" s="213"/>
      <c r="CJ260" s="213"/>
      <c r="CK260" s="213"/>
      <c r="CL260" s="213"/>
      <c r="CM260" s="213"/>
      <c r="CN260" s="213"/>
      <c r="CO260" s="213"/>
      <c r="CP260" s="213"/>
      <c r="CQ260" s="213"/>
    </row>
    <row r="261" ht="15.75" customHeight="1">
      <c r="A261" s="213"/>
      <c r="B261" s="213"/>
      <c r="C261" s="213"/>
      <c r="D261" s="215"/>
      <c r="E261" s="213"/>
      <c r="F261" s="215"/>
      <c r="G261" s="213"/>
      <c r="H261" s="215"/>
      <c r="I261" s="213"/>
      <c r="J261" s="215"/>
      <c r="K261" s="213"/>
      <c r="L261" s="215"/>
      <c r="M261" s="213"/>
      <c r="N261" s="213"/>
      <c r="O261" s="213"/>
      <c r="P261" s="215"/>
      <c r="Q261" s="213"/>
      <c r="R261" s="215"/>
      <c r="S261" s="213"/>
      <c r="T261" s="213"/>
      <c r="U261" s="213"/>
      <c r="V261" s="215"/>
      <c r="W261" s="213"/>
      <c r="X261" s="215"/>
      <c r="Y261" s="213"/>
      <c r="Z261" s="213"/>
      <c r="AA261" s="213"/>
      <c r="AB261" s="215"/>
      <c r="AC261" s="213"/>
      <c r="AD261" s="215"/>
      <c r="AE261" s="213"/>
      <c r="AF261" s="213"/>
      <c r="AG261" s="213"/>
      <c r="AH261" s="215"/>
      <c r="AI261" s="213"/>
      <c r="AJ261" s="215"/>
      <c r="AK261" s="213"/>
      <c r="AL261" s="213"/>
      <c r="AM261" s="213"/>
      <c r="AN261" s="215"/>
      <c r="AO261" s="213"/>
      <c r="AP261" s="215"/>
      <c r="AQ261" s="213"/>
      <c r="AR261" s="325"/>
      <c r="AS261" s="213"/>
      <c r="AT261" s="215"/>
      <c r="AU261" s="213"/>
      <c r="AV261" s="215"/>
      <c r="AW261" s="213"/>
      <c r="AX261" s="213"/>
      <c r="AY261" s="213"/>
      <c r="AZ261" s="215"/>
      <c r="BA261" s="213"/>
      <c r="BB261" s="215"/>
      <c r="BC261" s="213"/>
      <c r="BD261" s="213"/>
      <c r="BE261" s="213"/>
      <c r="BF261" s="215"/>
      <c r="BG261" s="213"/>
      <c r="BH261" s="215"/>
      <c r="BI261" s="213"/>
      <c r="BJ261" s="213"/>
      <c r="BK261" s="213"/>
      <c r="BL261" s="215"/>
      <c r="BM261" s="213"/>
      <c r="BN261" s="215"/>
      <c r="BO261" s="213"/>
      <c r="BP261" s="213"/>
      <c r="BQ261" s="213"/>
      <c r="BR261" s="326"/>
      <c r="BS261" s="213"/>
      <c r="BT261" s="215"/>
      <c r="BU261" s="213"/>
      <c r="BV261" s="213"/>
      <c r="BW261" s="213"/>
      <c r="BX261" s="213"/>
      <c r="BY261" s="213"/>
      <c r="BZ261" s="213"/>
      <c r="CA261" s="213"/>
      <c r="CB261" s="213"/>
      <c r="CC261" s="213"/>
      <c r="CD261" s="213"/>
      <c r="CE261" s="213"/>
      <c r="CF261" s="213"/>
      <c r="CG261" s="213"/>
      <c r="CH261" s="213"/>
      <c r="CI261" s="213"/>
      <c r="CJ261" s="213"/>
      <c r="CK261" s="213"/>
      <c r="CL261" s="213"/>
      <c r="CM261" s="213"/>
      <c r="CN261" s="213"/>
      <c r="CO261" s="213"/>
      <c r="CP261" s="213"/>
      <c r="CQ261" s="213"/>
    </row>
    <row r="262" ht="15.75" customHeight="1">
      <c r="A262" s="213"/>
      <c r="B262" s="213"/>
      <c r="C262" s="213"/>
      <c r="D262" s="215"/>
      <c r="E262" s="213"/>
      <c r="F262" s="215"/>
      <c r="G262" s="213"/>
      <c r="H262" s="215"/>
      <c r="I262" s="213"/>
      <c r="J262" s="215"/>
      <c r="K262" s="213"/>
      <c r="L262" s="215"/>
      <c r="M262" s="213"/>
      <c r="N262" s="213"/>
      <c r="O262" s="213"/>
      <c r="P262" s="215"/>
      <c r="Q262" s="213"/>
      <c r="R262" s="215"/>
      <c r="S262" s="213"/>
      <c r="T262" s="213"/>
      <c r="U262" s="213"/>
      <c r="V262" s="215"/>
      <c r="W262" s="213"/>
      <c r="X262" s="215"/>
      <c r="Y262" s="213"/>
      <c r="Z262" s="213"/>
      <c r="AA262" s="213"/>
      <c r="AB262" s="215"/>
      <c r="AC262" s="213"/>
      <c r="AD262" s="215"/>
      <c r="AE262" s="213"/>
      <c r="AF262" s="213"/>
      <c r="AG262" s="213"/>
      <c r="AH262" s="215"/>
      <c r="AI262" s="213"/>
      <c r="AJ262" s="215"/>
      <c r="AK262" s="213"/>
      <c r="AL262" s="213"/>
      <c r="AM262" s="213"/>
      <c r="AN262" s="215"/>
      <c r="AO262" s="213"/>
      <c r="AP262" s="215"/>
      <c r="AQ262" s="213"/>
      <c r="AR262" s="325"/>
      <c r="AS262" s="213"/>
      <c r="AT262" s="215"/>
      <c r="AU262" s="213"/>
      <c r="AV262" s="215"/>
      <c r="AW262" s="213"/>
      <c r="AX262" s="213"/>
      <c r="AY262" s="213"/>
      <c r="AZ262" s="215"/>
      <c r="BA262" s="213"/>
      <c r="BB262" s="215"/>
      <c r="BC262" s="213"/>
      <c r="BD262" s="213"/>
      <c r="BE262" s="213"/>
      <c r="BF262" s="215"/>
      <c r="BG262" s="213"/>
      <c r="BH262" s="215"/>
      <c r="BI262" s="213"/>
      <c r="BJ262" s="213"/>
      <c r="BK262" s="213"/>
      <c r="BL262" s="215"/>
      <c r="BM262" s="213"/>
      <c r="BN262" s="215"/>
      <c r="BO262" s="213"/>
      <c r="BP262" s="213"/>
      <c r="BQ262" s="213"/>
      <c r="BR262" s="326"/>
      <c r="BS262" s="213"/>
      <c r="BT262" s="215"/>
      <c r="BU262" s="213"/>
      <c r="BV262" s="213"/>
      <c r="BW262" s="213"/>
      <c r="BX262" s="213"/>
      <c r="BY262" s="213"/>
      <c r="BZ262" s="213"/>
      <c r="CA262" s="213"/>
      <c r="CB262" s="213"/>
      <c r="CC262" s="213"/>
      <c r="CD262" s="213"/>
      <c r="CE262" s="213"/>
      <c r="CF262" s="213"/>
      <c r="CG262" s="213"/>
      <c r="CH262" s="213"/>
      <c r="CI262" s="213"/>
      <c r="CJ262" s="213"/>
      <c r="CK262" s="213"/>
      <c r="CL262" s="213"/>
      <c r="CM262" s="213"/>
      <c r="CN262" s="213"/>
      <c r="CO262" s="213"/>
      <c r="CP262" s="213"/>
      <c r="CQ262" s="213"/>
    </row>
    <row r="263" ht="15.75" customHeight="1">
      <c r="A263" s="213"/>
      <c r="B263" s="213"/>
      <c r="C263" s="213"/>
      <c r="D263" s="215"/>
      <c r="E263" s="213"/>
      <c r="F263" s="215"/>
      <c r="G263" s="213"/>
      <c r="H263" s="215"/>
      <c r="I263" s="213"/>
      <c r="J263" s="215"/>
      <c r="K263" s="213"/>
      <c r="L263" s="215"/>
      <c r="M263" s="213"/>
      <c r="N263" s="213"/>
      <c r="O263" s="213"/>
      <c r="P263" s="215"/>
      <c r="Q263" s="213"/>
      <c r="R263" s="215"/>
      <c r="S263" s="213"/>
      <c r="T263" s="213"/>
      <c r="U263" s="213"/>
      <c r="V263" s="215"/>
      <c r="W263" s="213"/>
      <c r="X263" s="215"/>
      <c r="Y263" s="213"/>
      <c r="Z263" s="213"/>
      <c r="AA263" s="213"/>
      <c r="AB263" s="215"/>
      <c r="AC263" s="213"/>
      <c r="AD263" s="215"/>
      <c r="AE263" s="213"/>
      <c r="AF263" s="213"/>
      <c r="AG263" s="213"/>
      <c r="AH263" s="215"/>
      <c r="AI263" s="213"/>
      <c r="AJ263" s="215"/>
      <c r="AK263" s="213"/>
      <c r="AL263" s="213"/>
      <c r="AM263" s="213"/>
      <c r="AN263" s="215"/>
      <c r="AO263" s="213"/>
      <c r="AP263" s="215"/>
      <c r="AQ263" s="213"/>
      <c r="AR263" s="325"/>
      <c r="AS263" s="213"/>
      <c r="AT263" s="215"/>
      <c r="AU263" s="213"/>
      <c r="AV263" s="215"/>
      <c r="AW263" s="213"/>
      <c r="AX263" s="213"/>
      <c r="AY263" s="213"/>
      <c r="AZ263" s="215"/>
      <c r="BA263" s="213"/>
      <c r="BB263" s="215"/>
      <c r="BC263" s="213"/>
      <c r="BD263" s="213"/>
      <c r="BE263" s="213"/>
      <c r="BF263" s="215"/>
      <c r="BG263" s="213"/>
      <c r="BH263" s="215"/>
      <c r="BI263" s="213"/>
      <c r="BJ263" s="213"/>
      <c r="BK263" s="213"/>
      <c r="BL263" s="215"/>
      <c r="BM263" s="213"/>
      <c r="BN263" s="215"/>
      <c r="BO263" s="213"/>
      <c r="BP263" s="213"/>
      <c r="BQ263" s="213"/>
      <c r="BR263" s="326"/>
      <c r="BS263" s="213"/>
      <c r="BT263" s="215"/>
      <c r="BU263" s="213"/>
      <c r="BV263" s="213"/>
      <c r="BW263" s="213"/>
      <c r="BX263" s="213"/>
      <c r="BY263" s="213"/>
      <c r="BZ263" s="213"/>
      <c r="CA263" s="213"/>
      <c r="CB263" s="213"/>
      <c r="CC263" s="213"/>
      <c r="CD263" s="213"/>
      <c r="CE263" s="213"/>
      <c r="CF263" s="213"/>
      <c r="CG263" s="213"/>
      <c r="CH263" s="213"/>
      <c r="CI263" s="213"/>
      <c r="CJ263" s="213"/>
      <c r="CK263" s="213"/>
      <c r="CL263" s="213"/>
      <c r="CM263" s="213"/>
      <c r="CN263" s="213"/>
      <c r="CO263" s="213"/>
      <c r="CP263" s="213"/>
      <c r="CQ263" s="213"/>
    </row>
    <row r="264" ht="15.75" customHeight="1">
      <c r="A264" s="213"/>
      <c r="B264" s="213"/>
      <c r="C264" s="213"/>
      <c r="D264" s="215"/>
      <c r="E264" s="213"/>
      <c r="F264" s="215"/>
      <c r="G264" s="213"/>
      <c r="H264" s="215"/>
      <c r="I264" s="213"/>
      <c r="J264" s="215"/>
      <c r="K264" s="213"/>
      <c r="L264" s="215"/>
      <c r="M264" s="213"/>
      <c r="N264" s="213"/>
      <c r="O264" s="213"/>
      <c r="P264" s="215"/>
      <c r="Q264" s="213"/>
      <c r="R264" s="215"/>
      <c r="S264" s="213"/>
      <c r="T264" s="213"/>
      <c r="U264" s="213"/>
      <c r="V264" s="215"/>
      <c r="W264" s="213"/>
      <c r="X264" s="215"/>
      <c r="Y264" s="213"/>
      <c r="Z264" s="213"/>
      <c r="AA264" s="213"/>
      <c r="AB264" s="215"/>
      <c r="AC264" s="213"/>
      <c r="AD264" s="215"/>
      <c r="AE264" s="213"/>
      <c r="AF264" s="213"/>
      <c r="AG264" s="213"/>
      <c r="AH264" s="215"/>
      <c r="AI264" s="213"/>
      <c r="AJ264" s="215"/>
      <c r="AK264" s="213"/>
      <c r="AL264" s="213"/>
      <c r="AM264" s="213"/>
      <c r="AN264" s="215"/>
      <c r="AO264" s="213"/>
      <c r="AP264" s="215"/>
      <c r="AQ264" s="213"/>
      <c r="AR264" s="325"/>
      <c r="AS264" s="213"/>
      <c r="AT264" s="215"/>
      <c r="AU264" s="213"/>
      <c r="AV264" s="215"/>
      <c r="AW264" s="213"/>
      <c r="AX264" s="213"/>
      <c r="AY264" s="213"/>
      <c r="AZ264" s="215"/>
      <c r="BA264" s="213"/>
      <c r="BB264" s="215"/>
      <c r="BC264" s="213"/>
      <c r="BD264" s="213"/>
      <c r="BE264" s="213"/>
      <c r="BF264" s="215"/>
      <c r="BG264" s="213"/>
      <c r="BH264" s="215"/>
      <c r="BI264" s="213"/>
      <c r="BJ264" s="213"/>
      <c r="BK264" s="213"/>
      <c r="BL264" s="215"/>
      <c r="BM264" s="213"/>
      <c r="BN264" s="215"/>
      <c r="BO264" s="213"/>
      <c r="BP264" s="213"/>
      <c r="BQ264" s="213"/>
      <c r="BR264" s="326"/>
      <c r="BS264" s="213"/>
      <c r="BT264" s="215"/>
      <c r="BU264" s="213"/>
      <c r="BV264" s="213"/>
      <c r="BW264" s="213"/>
      <c r="BX264" s="213"/>
      <c r="BY264" s="213"/>
      <c r="BZ264" s="213"/>
      <c r="CA264" s="213"/>
      <c r="CB264" s="213"/>
      <c r="CC264" s="213"/>
      <c r="CD264" s="213"/>
      <c r="CE264" s="213"/>
      <c r="CF264" s="213"/>
      <c r="CG264" s="213"/>
      <c r="CH264" s="213"/>
      <c r="CI264" s="213"/>
      <c r="CJ264" s="213"/>
      <c r="CK264" s="213"/>
      <c r="CL264" s="213"/>
      <c r="CM264" s="213"/>
      <c r="CN264" s="213"/>
      <c r="CO264" s="213"/>
      <c r="CP264" s="213"/>
      <c r="CQ264" s="213"/>
    </row>
    <row r="265" ht="15.75" customHeight="1">
      <c r="A265" s="213"/>
      <c r="B265" s="213"/>
      <c r="C265" s="213"/>
      <c r="D265" s="215"/>
      <c r="E265" s="213"/>
      <c r="F265" s="215"/>
      <c r="G265" s="213"/>
      <c r="H265" s="215"/>
      <c r="I265" s="213"/>
      <c r="J265" s="215"/>
      <c r="K265" s="213"/>
      <c r="L265" s="215"/>
      <c r="M265" s="213"/>
      <c r="N265" s="213"/>
      <c r="O265" s="213"/>
      <c r="P265" s="215"/>
      <c r="Q265" s="213"/>
      <c r="R265" s="215"/>
      <c r="S265" s="213"/>
      <c r="T265" s="213"/>
      <c r="U265" s="213"/>
      <c r="V265" s="215"/>
      <c r="W265" s="213"/>
      <c r="X265" s="215"/>
      <c r="Y265" s="213"/>
      <c r="Z265" s="213"/>
      <c r="AA265" s="213"/>
      <c r="AB265" s="215"/>
      <c r="AC265" s="213"/>
      <c r="AD265" s="215"/>
      <c r="AE265" s="213"/>
      <c r="AF265" s="213"/>
      <c r="AG265" s="213"/>
      <c r="AH265" s="215"/>
      <c r="AI265" s="213"/>
      <c r="AJ265" s="215"/>
      <c r="AK265" s="213"/>
      <c r="AL265" s="213"/>
      <c r="AM265" s="213"/>
      <c r="AN265" s="215"/>
      <c r="AO265" s="213"/>
      <c r="AP265" s="215"/>
      <c r="AQ265" s="213"/>
      <c r="AR265" s="325"/>
      <c r="AS265" s="213"/>
      <c r="AT265" s="215"/>
      <c r="AU265" s="213"/>
      <c r="AV265" s="215"/>
      <c r="AW265" s="213"/>
      <c r="AX265" s="213"/>
      <c r="AY265" s="213"/>
      <c r="AZ265" s="215"/>
      <c r="BA265" s="213"/>
      <c r="BB265" s="215"/>
      <c r="BC265" s="213"/>
      <c r="BD265" s="213"/>
      <c r="BE265" s="213"/>
      <c r="BF265" s="215"/>
      <c r="BG265" s="213"/>
      <c r="BH265" s="215"/>
      <c r="BI265" s="213"/>
      <c r="BJ265" s="213"/>
      <c r="BK265" s="213"/>
      <c r="BL265" s="215"/>
      <c r="BM265" s="213"/>
      <c r="BN265" s="215"/>
      <c r="BO265" s="213"/>
      <c r="BP265" s="213"/>
      <c r="BQ265" s="213"/>
      <c r="BR265" s="326"/>
      <c r="BS265" s="213"/>
      <c r="BT265" s="215"/>
      <c r="BU265" s="213"/>
      <c r="BV265" s="213"/>
      <c r="BW265" s="213"/>
      <c r="BX265" s="213"/>
      <c r="BY265" s="213"/>
      <c r="BZ265" s="213"/>
      <c r="CA265" s="213"/>
      <c r="CB265" s="213"/>
      <c r="CC265" s="213"/>
      <c r="CD265" s="213"/>
      <c r="CE265" s="213"/>
      <c r="CF265" s="213"/>
      <c r="CG265" s="213"/>
      <c r="CH265" s="213"/>
      <c r="CI265" s="213"/>
      <c r="CJ265" s="213"/>
      <c r="CK265" s="213"/>
      <c r="CL265" s="213"/>
      <c r="CM265" s="213"/>
      <c r="CN265" s="213"/>
      <c r="CO265" s="213"/>
      <c r="CP265" s="213"/>
      <c r="CQ265" s="213"/>
    </row>
    <row r="266" ht="15.75" customHeight="1">
      <c r="A266" s="213"/>
      <c r="B266" s="213"/>
      <c r="C266" s="213"/>
      <c r="D266" s="215"/>
      <c r="E266" s="213"/>
      <c r="F266" s="215"/>
      <c r="G266" s="213"/>
      <c r="H266" s="215"/>
      <c r="I266" s="213"/>
      <c r="J266" s="215"/>
      <c r="K266" s="213"/>
      <c r="L266" s="215"/>
      <c r="M266" s="213"/>
      <c r="N266" s="213"/>
      <c r="O266" s="213"/>
      <c r="P266" s="215"/>
      <c r="Q266" s="213"/>
      <c r="R266" s="215"/>
      <c r="S266" s="213"/>
      <c r="T266" s="213"/>
      <c r="U266" s="213"/>
      <c r="V266" s="215"/>
      <c r="W266" s="213"/>
      <c r="X266" s="215"/>
      <c r="Y266" s="213"/>
      <c r="Z266" s="213"/>
      <c r="AA266" s="213"/>
      <c r="AB266" s="215"/>
      <c r="AC266" s="213"/>
      <c r="AD266" s="215"/>
      <c r="AE266" s="213"/>
      <c r="AF266" s="213"/>
      <c r="AG266" s="213"/>
      <c r="AH266" s="215"/>
      <c r="AI266" s="213"/>
      <c r="AJ266" s="215"/>
      <c r="AK266" s="213"/>
      <c r="AL266" s="213"/>
      <c r="AM266" s="213"/>
      <c r="AN266" s="215"/>
      <c r="AO266" s="213"/>
      <c r="AP266" s="215"/>
      <c r="AQ266" s="213"/>
      <c r="AR266" s="325"/>
      <c r="AS266" s="213"/>
      <c r="AT266" s="215"/>
      <c r="AU266" s="213"/>
      <c r="AV266" s="215"/>
      <c r="AW266" s="213"/>
      <c r="AX266" s="213"/>
      <c r="AY266" s="213"/>
      <c r="AZ266" s="215"/>
      <c r="BA266" s="213"/>
      <c r="BB266" s="215"/>
      <c r="BC266" s="213"/>
      <c r="BD266" s="213"/>
      <c r="BE266" s="213"/>
      <c r="BF266" s="215"/>
      <c r="BG266" s="213"/>
      <c r="BH266" s="215"/>
      <c r="BI266" s="213"/>
      <c r="BJ266" s="213"/>
      <c r="BK266" s="213"/>
      <c r="BL266" s="215"/>
      <c r="BM266" s="213"/>
      <c r="BN266" s="215"/>
      <c r="BO266" s="213"/>
      <c r="BP266" s="213"/>
      <c r="BQ266" s="213"/>
      <c r="BR266" s="326"/>
      <c r="BS266" s="213"/>
      <c r="BT266" s="215"/>
      <c r="BU266" s="213"/>
      <c r="BV266" s="213"/>
      <c r="BW266" s="213"/>
      <c r="BX266" s="213"/>
      <c r="BY266" s="213"/>
      <c r="BZ266" s="213"/>
      <c r="CA266" s="213"/>
      <c r="CB266" s="213"/>
      <c r="CC266" s="213"/>
      <c r="CD266" s="213"/>
      <c r="CE266" s="213"/>
      <c r="CF266" s="213"/>
      <c r="CG266" s="213"/>
      <c r="CH266" s="213"/>
      <c r="CI266" s="213"/>
      <c r="CJ266" s="213"/>
      <c r="CK266" s="213"/>
      <c r="CL266" s="213"/>
      <c r="CM266" s="213"/>
      <c r="CN266" s="213"/>
      <c r="CO266" s="213"/>
      <c r="CP266" s="213"/>
      <c r="CQ266" s="213"/>
    </row>
    <row r="267" ht="15.75" customHeight="1">
      <c r="A267" s="213"/>
      <c r="B267" s="213"/>
      <c r="C267" s="213"/>
      <c r="D267" s="215"/>
      <c r="E267" s="213"/>
      <c r="F267" s="215"/>
      <c r="G267" s="213"/>
      <c r="H267" s="215"/>
      <c r="I267" s="213"/>
      <c r="J267" s="215"/>
      <c r="K267" s="213"/>
      <c r="L267" s="215"/>
      <c r="M267" s="213"/>
      <c r="N267" s="213"/>
      <c r="O267" s="213"/>
      <c r="P267" s="215"/>
      <c r="Q267" s="213"/>
      <c r="R267" s="215"/>
      <c r="S267" s="213"/>
      <c r="T267" s="213"/>
      <c r="U267" s="213"/>
      <c r="V267" s="215"/>
      <c r="W267" s="213"/>
      <c r="X267" s="215"/>
      <c r="Y267" s="213"/>
      <c r="Z267" s="213"/>
      <c r="AA267" s="213"/>
      <c r="AB267" s="215"/>
      <c r="AC267" s="213"/>
      <c r="AD267" s="215"/>
      <c r="AE267" s="213"/>
      <c r="AF267" s="213"/>
      <c r="AG267" s="213"/>
      <c r="AH267" s="215"/>
      <c r="AI267" s="213"/>
      <c r="AJ267" s="215"/>
      <c r="AK267" s="213"/>
      <c r="AL267" s="213"/>
      <c r="AM267" s="213"/>
      <c r="AN267" s="215"/>
      <c r="AO267" s="213"/>
      <c r="AP267" s="215"/>
      <c r="AQ267" s="213"/>
      <c r="AR267" s="325"/>
      <c r="AS267" s="213"/>
      <c r="AT267" s="215"/>
      <c r="AU267" s="213"/>
      <c r="AV267" s="215"/>
      <c r="AW267" s="213"/>
      <c r="AX267" s="213"/>
      <c r="AY267" s="213"/>
      <c r="AZ267" s="215"/>
      <c r="BA267" s="213"/>
      <c r="BB267" s="215"/>
      <c r="BC267" s="213"/>
      <c r="BD267" s="213"/>
      <c r="BE267" s="213"/>
      <c r="BF267" s="215"/>
      <c r="BG267" s="213"/>
      <c r="BH267" s="215"/>
      <c r="BI267" s="213"/>
      <c r="BJ267" s="213"/>
      <c r="BK267" s="213"/>
      <c r="BL267" s="215"/>
      <c r="BM267" s="213"/>
      <c r="BN267" s="215"/>
      <c r="BO267" s="213"/>
      <c r="BP267" s="213"/>
      <c r="BQ267" s="213"/>
      <c r="BR267" s="326"/>
      <c r="BS267" s="213"/>
      <c r="BT267" s="215"/>
      <c r="BU267" s="213"/>
      <c r="BV267" s="213"/>
      <c r="BW267" s="213"/>
      <c r="BX267" s="213"/>
      <c r="BY267" s="213"/>
      <c r="BZ267" s="213"/>
      <c r="CA267" s="213"/>
      <c r="CB267" s="213"/>
      <c r="CC267" s="213"/>
      <c r="CD267" s="213"/>
      <c r="CE267" s="213"/>
      <c r="CF267" s="213"/>
      <c r="CG267" s="213"/>
      <c r="CH267" s="213"/>
      <c r="CI267" s="213"/>
      <c r="CJ267" s="213"/>
      <c r="CK267" s="213"/>
      <c r="CL267" s="213"/>
      <c r="CM267" s="213"/>
      <c r="CN267" s="213"/>
      <c r="CO267" s="213"/>
      <c r="CP267" s="213"/>
      <c r="CQ267" s="213"/>
    </row>
    <row r="268" ht="15.75" customHeight="1">
      <c r="A268" s="213"/>
      <c r="B268" s="213"/>
      <c r="C268" s="213"/>
      <c r="D268" s="215"/>
      <c r="E268" s="213"/>
      <c r="F268" s="215"/>
      <c r="G268" s="213"/>
      <c r="H268" s="215"/>
      <c r="I268" s="213"/>
      <c r="J268" s="215"/>
      <c r="K268" s="213"/>
      <c r="L268" s="215"/>
      <c r="M268" s="213"/>
      <c r="N268" s="213"/>
      <c r="O268" s="213"/>
      <c r="P268" s="215"/>
      <c r="Q268" s="213"/>
      <c r="R268" s="215"/>
      <c r="S268" s="213"/>
      <c r="T268" s="213"/>
      <c r="U268" s="213"/>
      <c r="V268" s="215"/>
      <c r="W268" s="213"/>
      <c r="X268" s="215"/>
      <c r="Y268" s="213"/>
      <c r="Z268" s="213"/>
      <c r="AA268" s="213"/>
      <c r="AB268" s="215"/>
      <c r="AC268" s="213"/>
      <c r="AD268" s="215"/>
      <c r="AE268" s="213"/>
      <c r="AF268" s="213"/>
      <c r="AG268" s="213"/>
      <c r="AH268" s="215"/>
      <c r="AI268" s="213"/>
      <c r="AJ268" s="215"/>
      <c r="AK268" s="213"/>
      <c r="AL268" s="213"/>
      <c r="AM268" s="213"/>
      <c r="AN268" s="215"/>
      <c r="AO268" s="213"/>
      <c r="AP268" s="215"/>
      <c r="AQ268" s="213"/>
      <c r="AR268" s="325"/>
      <c r="AS268" s="213"/>
      <c r="AT268" s="215"/>
      <c r="AU268" s="213"/>
      <c r="AV268" s="215"/>
      <c r="AW268" s="213"/>
      <c r="AX268" s="213"/>
      <c r="AY268" s="213"/>
      <c r="AZ268" s="215"/>
      <c r="BA268" s="213"/>
      <c r="BB268" s="215"/>
      <c r="BC268" s="213"/>
      <c r="BD268" s="213"/>
      <c r="BE268" s="213"/>
      <c r="BF268" s="215"/>
      <c r="BG268" s="213"/>
      <c r="BH268" s="215"/>
      <c r="BI268" s="213"/>
      <c r="BJ268" s="213"/>
      <c r="BK268" s="213"/>
      <c r="BL268" s="215"/>
      <c r="BM268" s="213"/>
      <c r="BN268" s="215"/>
      <c r="BO268" s="213"/>
      <c r="BP268" s="213"/>
      <c r="BQ268" s="213"/>
      <c r="BR268" s="326"/>
      <c r="BS268" s="213"/>
      <c r="BT268" s="215"/>
      <c r="BU268" s="213"/>
      <c r="BV268" s="213"/>
      <c r="BW268" s="213"/>
      <c r="BX268" s="213"/>
      <c r="BY268" s="213"/>
      <c r="BZ268" s="213"/>
      <c r="CA268" s="213"/>
      <c r="CB268" s="213"/>
      <c r="CC268" s="213"/>
      <c r="CD268" s="213"/>
      <c r="CE268" s="213"/>
      <c r="CF268" s="213"/>
      <c r="CG268" s="213"/>
      <c r="CH268" s="213"/>
      <c r="CI268" s="213"/>
      <c r="CJ268" s="213"/>
      <c r="CK268" s="213"/>
      <c r="CL268" s="213"/>
      <c r="CM268" s="213"/>
      <c r="CN268" s="213"/>
      <c r="CO268" s="213"/>
      <c r="CP268" s="213"/>
      <c r="CQ268" s="213"/>
    </row>
    <row r="269" ht="15.75" customHeight="1">
      <c r="A269" s="213"/>
      <c r="B269" s="213"/>
      <c r="C269" s="213"/>
      <c r="D269" s="215"/>
      <c r="E269" s="213"/>
      <c r="F269" s="215"/>
      <c r="G269" s="213"/>
      <c r="H269" s="215"/>
      <c r="I269" s="213"/>
      <c r="J269" s="215"/>
      <c r="K269" s="213"/>
      <c r="L269" s="215"/>
      <c r="M269" s="213"/>
      <c r="N269" s="213"/>
      <c r="O269" s="213"/>
      <c r="P269" s="215"/>
      <c r="Q269" s="213"/>
      <c r="R269" s="215"/>
      <c r="S269" s="213"/>
      <c r="T269" s="213"/>
      <c r="U269" s="213"/>
      <c r="V269" s="215"/>
      <c r="W269" s="213"/>
      <c r="X269" s="215"/>
      <c r="Y269" s="213"/>
      <c r="Z269" s="213"/>
      <c r="AA269" s="213"/>
      <c r="AB269" s="215"/>
      <c r="AC269" s="213"/>
      <c r="AD269" s="215"/>
      <c r="AE269" s="213"/>
      <c r="AF269" s="213"/>
      <c r="AG269" s="213"/>
      <c r="AH269" s="215"/>
      <c r="AI269" s="213"/>
      <c r="AJ269" s="215"/>
      <c r="AK269" s="213"/>
      <c r="AL269" s="213"/>
      <c r="AM269" s="213"/>
      <c r="AN269" s="215"/>
      <c r="AO269" s="213"/>
      <c r="AP269" s="215"/>
      <c r="AQ269" s="213"/>
      <c r="AR269" s="325"/>
      <c r="AS269" s="213"/>
      <c r="AT269" s="215"/>
      <c r="AU269" s="213"/>
      <c r="AV269" s="215"/>
      <c r="AW269" s="213"/>
      <c r="AX269" s="213"/>
      <c r="AY269" s="213"/>
      <c r="AZ269" s="215"/>
      <c r="BA269" s="213"/>
      <c r="BB269" s="215"/>
      <c r="BC269" s="213"/>
      <c r="BD269" s="213"/>
      <c r="BE269" s="213"/>
      <c r="BF269" s="215"/>
      <c r="BG269" s="213"/>
      <c r="BH269" s="215"/>
      <c r="BI269" s="213"/>
      <c r="BJ269" s="213"/>
      <c r="BK269" s="213"/>
      <c r="BL269" s="215"/>
      <c r="BM269" s="213"/>
      <c r="BN269" s="215"/>
      <c r="BO269" s="213"/>
      <c r="BP269" s="213"/>
      <c r="BQ269" s="213"/>
      <c r="BR269" s="326"/>
      <c r="BS269" s="213"/>
      <c r="BT269" s="215"/>
      <c r="BU269" s="213"/>
      <c r="BV269" s="213"/>
      <c r="BW269" s="213"/>
      <c r="BX269" s="213"/>
      <c r="BY269" s="213"/>
      <c r="BZ269" s="213"/>
      <c r="CA269" s="213"/>
      <c r="CB269" s="213"/>
      <c r="CC269" s="213"/>
      <c r="CD269" s="213"/>
      <c r="CE269" s="213"/>
      <c r="CF269" s="213"/>
      <c r="CG269" s="213"/>
      <c r="CH269" s="213"/>
      <c r="CI269" s="213"/>
      <c r="CJ269" s="213"/>
      <c r="CK269" s="213"/>
      <c r="CL269" s="213"/>
      <c r="CM269" s="213"/>
      <c r="CN269" s="213"/>
      <c r="CO269" s="213"/>
      <c r="CP269" s="213"/>
      <c r="CQ269" s="213"/>
    </row>
    <row r="270" ht="15.75" customHeight="1">
      <c r="A270" s="213"/>
      <c r="B270" s="213"/>
      <c r="C270" s="213"/>
      <c r="D270" s="215"/>
      <c r="E270" s="213"/>
      <c r="F270" s="215"/>
      <c r="G270" s="213"/>
      <c r="H270" s="215"/>
      <c r="I270" s="213"/>
      <c r="J270" s="215"/>
      <c r="K270" s="213"/>
      <c r="L270" s="215"/>
      <c r="M270" s="213"/>
      <c r="N270" s="213"/>
      <c r="O270" s="213"/>
      <c r="P270" s="215"/>
      <c r="Q270" s="213"/>
      <c r="R270" s="215"/>
      <c r="S270" s="213"/>
      <c r="T270" s="213"/>
      <c r="U270" s="213"/>
      <c r="V270" s="215"/>
      <c r="W270" s="213"/>
      <c r="X270" s="215"/>
      <c r="Y270" s="213"/>
      <c r="Z270" s="213"/>
      <c r="AA270" s="213"/>
      <c r="AB270" s="215"/>
      <c r="AC270" s="213"/>
      <c r="AD270" s="215"/>
      <c r="AE270" s="213"/>
      <c r="AF270" s="213"/>
      <c r="AG270" s="213"/>
      <c r="AH270" s="215"/>
      <c r="AI270" s="213"/>
      <c r="AJ270" s="215"/>
      <c r="AK270" s="213"/>
      <c r="AL270" s="213"/>
      <c r="AM270" s="213"/>
      <c r="AN270" s="215"/>
      <c r="AO270" s="213"/>
      <c r="AP270" s="215"/>
      <c r="AQ270" s="213"/>
      <c r="AR270" s="325"/>
      <c r="AS270" s="213"/>
      <c r="AT270" s="215"/>
      <c r="AU270" s="213"/>
      <c r="AV270" s="215"/>
      <c r="AW270" s="213"/>
      <c r="AX270" s="213"/>
      <c r="AY270" s="213"/>
      <c r="AZ270" s="215"/>
      <c r="BA270" s="213"/>
      <c r="BB270" s="215"/>
      <c r="BC270" s="213"/>
      <c r="BD270" s="213"/>
      <c r="BE270" s="213"/>
      <c r="BF270" s="215"/>
      <c r="BG270" s="213"/>
      <c r="BH270" s="215"/>
      <c r="BI270" s="213"/>
      <c r="BJ270" s="213"/>
      <c r="BK270" s="213"/>
      <c r="BL270" s="215"/>
      <c r="BM270" s="213"/>
      <c r="BN270" s="215"/>
      <c r="BO270" s="213"/>
      <c r="BP270" s="213"/>
      <c r="BQ270" s="213"/>
      <c r="BR270" s="326"/>
      <c r="BS270" s="213"/>
      <c r="BT270" s="215"/>
      <c r="BU270" s="213"/>
      <c r="BV270" s="213"/>
      <c r="BW270" s="213"/>
      <c r="BX270" s="213"/>
      <c r="BY270" s="213"/>
      <c r="BZ270" s="213"/>
      <c r="CA270" s="213"/>
      <c r="CB270" s="213"/>
      <c r="CC270" s="213"/>
      <c r="CD270" s="213"/>
      <c r="CE270" s="213"/>
      <c r="CF270" s="213"/>
      <c r="CG270" s="213"/>
      <c r="CH270" s="213"/>
      <c r="CI270" s="213"/>
      <c r="CJ270" s="213"/>
      <c r="CK270" s="213"/>
      <c r="CL270" s="213"/>
      <c r="CM270" s="213"/>
      <c r="CN270" s="213"/>
      <c r="CO270" s="213"/>
      <c r="CP270" s="213"/>
      <c r="CQ270" s="213"/>
    </row>
    <row r="271" ht="15.75" customHeight="1">
      <c r="A271" s="213"/>
      <c r="B271" s="213"/>
      <c r="C271" s="213"/>
      <c r="D271" s="215"/>
      <c r="E271" s="213"/>
      <c r="F271" s="215"/>
      <c r="G271" s="213"/>
      <c r="H271" s="215"/>
      <c r="I271" s="213"/>
      <c r="J271" s="215"/>
      <c r="K271" s="213"/>
      <c r="L271" s="215"/>
      <c r="M271" s="213"/>
      <c r="N271" s="213"/>
      <c r="O271" s="213"/>
      <c r="P271" s="215"/>
      <c r="Q271" s="213"/>
      <c r="R271" s="215"/>
      <c r="S271" s="213"/>
      <c r="T271" s="213"/>
      <c r="U271" s="213"/>
      <c r="V271" s="215"/>
      <c r="W271" s="213"/>
      <c r="X271" s="215"/>
      <c r="Y271" s="213"/>
      <c r="Z271" s="213"/>
      <c r="AA271" s="213"/>
      <c r="AB271" s="215"/>
      <c r="AC271" s="213"/>
      <c r="AD271" s="215"/>
      <c r="AE271" s="213"/>
      <c r="AF271" s="213"/>
      <c r="AG271" s="213"/>
      <c r="AH271" s="215"/>
      <c r="AI271" s="213"/>
      <c r="AJ271" s="215"/>
      <c r="AK271" s="213"/>
      <c r="AL271" s="213"/>
      <c r="AM271" s="213"/>
      <c r="AN271" s="215"/>
      <c r="AO271" s="213"/>
      <c r="AP271" s="215"/>
      <c r="AQ271" s="213"/>
      <c r="AR271" s="325"/>
      <c r="AS271" s="213"/>
      <c r="AT271" s="215"/>
      <c r="AU271" s="213"/>
      <c r="AV271" s="215"/>
      <c r="AW271" s="213"/>
      <c r="AX271" s="213"/>
      <c r="AY271" s="213"/>
      <c r="AZ271" s="215"/>
      <c r="BA271" s="213"/>
      <c r="BB271" s="215"/>
      <c r="BC271" s="213"/>
      <c r="BD271" s="213"/>
      <c r="BE271" s="213"/>
      <c r="BF271" s="215"/>
      <c r="BG271" s="213"/>
      <c r="BH271" s="215"/>
      <c r="BI271" s="213"/>
      <c r="BJ271" s="213"/>
      <c r="BK271" s="213"/>
      <c r="BL271" s="215"/>
      <c r="BM271" s="213"/>
      <c r="BN271" s="215"/>
      <c r="BO271" s="213"/>
      <c r="BP271" s="213"/>
      <c r="BQ271" s="213"/>
      <c r="BR271" s="326"/>
      <c r="BS271" s="213"/>
      <c r="BT271" s="215"/>
      <c r="BU271" s="213"/>
      <c r="BV271" s="213"/>
      <c r="BW271" s="213"/>
      <c r="BX271" s="213"/>
      <c r="BY271" s="213"/>
      <c r="BZ271" s="213"/>
      <c r="CA271" s="213"/>
      <c r="CB271" s="213"/>
      <c r="CC271" s="213"/>
      <c r="CD271" s="213"/>
      <c r="CE271" s="213"/>
      <c r="CF271" s="213"/>
      <c r="CG271" s="213"/>
      <c r="CH271" s="213"/>
      <c r="CI271" s="213"/>
      <c r="CJ271" s="213"/>
      <c r="CK271" s="213"/>
      <c r="CL271" s="213"/>
      <c r="CM271" s="213"/>
      <c r="CN271" s="213"/>
      <c r="CO271" s="213"/>
      <c r="CP271" s="213"/>
      <c r="CQ271" s="213"/>
    </row>
    <row r="272" ht="15.75" customHeight="1">
      <c r="A272" s="213"/>
      <c r="B272" s="213"/>
      <c r="C272" s="213"/>
      <c r="D272" s="215"/>
      <c r="E272" s="213"/>
      <c r="F272" s="215"/>
      <c r="G272" s="213"/>
      <c r="H272" s="215"/>
      <c r="I272" s="213"/>
      <c r="J272" s="215"/>
      <c r="K272" s="213"/>
      <c r="L272" s="215"/>
      <c r="M272" s="213"/>
      <c r="N272" s="213"/>
      <c r="O272" s="213"/>
      <c r="P272" s="215"/>
      <c r="Q272" s="213"/>
      <c r="R272" s="215"/>
      <c r="S272" s="213"/>
      <c r="T272" s="213"/>
      <c r="U272" s="213"/>
      <c r="V272" s="215"/>
      <c r="W272" s="213"/>
      <c r="X272" s="215"/>
      <c r="Y272" s="213"/>
      <c r="Z272" s="213"/>
      <c r="AA272" s="213"/>
      <c r="AB272" s="215"/>
      <c r="AC272" s="213"/>
      <c r="AD272" s="215"/>
      <c r="AE272" s="213"/>
      <c r="AF272" s="213"/>
      <c r="AG272" s="213"/>
      <c r="AH272" s="215"/>
      <c r="AI272" s="213"/>
      <c r="AJ272" s="215"/>
      <c r="AK272" s="213"/>
      <c r="AL272" s="213"/>
      <c r="AM272" s="213"/>
      <c r="AN272" s="215"/>
      <c r="AO272" s="213"/>
      <c r="AP272" s="215"/>
      <c r="AQ272" s="213"/>
      <c r="AR272" s="325"/>
      <c r="AS272" s="213"/>
      <c r="AT272" s="215"/>
      <c r="AU272" s="213"/>
      <c r="AV272" s="215"/>
      <c r="AW272" s="213"/>
      <c r="AX272" s="213"/>
      <c r="AY272" s="213"/>
      <c r="AZ272" s="215"/>
      <c r="BA272" s="213"/>
      <c r="BB272" s="215"/>
      <c r="BC272" s="213"/>
      <c r="BD272" s="213"/>
      <c r="BE272" s="213"/>
      <c r="BF272" s="215"/>
      <c r="BG272" s="213"/>
      <c r="BH272" s="215"/>
      <c r="BI272" s="213"/>
      <c r="BJ272" s="213"/>
      <c r="BK272" s="213"/>
      <c r="BL272" s="215"/>
      <c r="BM272" s="213"/>
      <c r="BN272" s="215"/>
      <c r="BO272" s="213"/>
      <c r="BP272" s="213"/>
      <c r="BQ272" s="213"/>
      <c r="BR272" s="326"/>
      <c r="BS272" s="213"/>
      <c r="BT272" s="215"/>
      <c r="BU272" s="213"/>
      <c r="BV272" s="213"/>
      <c r="BW272" s="213"/>
      <c r="BX272" s="213"/>
      <c r="BY272" s="213"/>
      <c r="BZ272" s="213"/>
      <c r="CA272" s="213"/>
      <c r="CB272" s="213"/>
      <c r="CC272" s="213"/>
      <c r="CD272" s="213"/>
      <c r="CE272" s="213"/>
      <c r="CF272" s="213"/>
      <c r="CG272" s="213"/>
      <c r="CH272" s="213"/>
      <c r="CI272" s="213"/>
      <c r="CJ272" s="213"/>
      <c r="CK272" s="213"/>
      <c r="CL272" s="213"/>
      <c r="CM272" s="213"/>
      <c r="CN272" s="213"/>
      <c r="CO272" s="213"/>
      <c r="CP272" s="213"/>
      <c r="CQ272" s="213"/>
    </row>
    <row r="273" ht="15.75" customHeight="1">
      <c r="A273" s="213"/>
      <c r="B273" s="213"/>
      <c r="C273" s="213"/>
      <c r="D273" s="215"/>
      <c r="E273" s="213"/>
      <c r="F273" s="215"/>
      <c r="G273" s="213"/>
      <c r="H273" s="215"/>
      <c r="I273" s="213"/>
      <c r="J273" s="215"/>
      <c r="K273" s="213"/>
      <c r="L273" s="215"/>
      <c r="M273" s="213"/>
      <c r="N273" s="213"/>
      <c r="O273" s="213"/>
      <c r="P273" s="215"/>
      <c r="Q273" s="213"/>
      <c r="R273" s="215"/>
      <c r="S273" s="213"/>
      <c r="T273" s="213"/>
      <c r="U273" s="213"/>
      <c r="V273" s="215"/>
      <c r="W273" s="213"/>
      <c r="X273" s="215"/>
      <c r="Y273" s="213"/>
      <c r="Z273" s="213"/>
      <c r="AA273" s="213"/>
      <c r="AB273" s="215"/>
      <c r="AC273" s="213"/>
      <c r="AD273" s="215"/>
      <c r="AE273" s="213"/>
      <c r="AF273" s="213"/>
      <c r="AG273" s="213"/>
      <c r="AH273" s="215"/>
      <c r="AI273" s="213"/>
      <c r="AJ273" s="215"/>
      <c r="AK273" s="213"/>
      <c r="AL273" s="213"/>
      <c r="AM273" s="213"/>
      <c r="AN273" s="215"/>
      <c r="AO273" s="213"/>
      <c r="AP273" s="215"/>
      <c r="AQ273" s="213"/>
      <c r="AR273" s="325"/>
      <c r="AS273" s="213"/>
      <c r="AT273" s="215"/>
      <c r="AU273" s="213"/>
      <c r="AV273" s="215"/>
      <c r="AW273" s="213"/>
      <c r="AX273" s="213"/>
      <c r="AY273" s="213"/>
      <c r="AZ273" s="215"/>
      <c r="BA273" s="213"/>
      <c r="BB273" s="215"/>
      <c r="BC273" s="213"/>
      <c r="BD273" s="213"/>
      <c r="BE273" s="213"/>
      <c r="BF273" s="215"/>
      <c r="BG273" s="213"/>
      <c r="BH273" s="215"/>
      <c r="BI273" s="213"/>
      <c r="BJ273" s="213"/>
      <c r="BK273" s="213"/>
      <c r="BL273" s="215"/>
      <c r="BM273" s="213"/>
      <c r="BN273" s="215"/>
      <c r="BO273" s="213"/>
      <c r="BP273" s="213"/>
      <c r="BQ273" s="213"/>
      <c r="BR273" s="326"/>
      <c r="BS273" s="213"/>
      <c r="BT273" s="215"/>
      <c r="BU273" s="213"/>
      <c r="BV273" s="213"/>
      <c r="BW273" s="213"/>
      <c r="BX273" s="213"/>
      <c r="BY273" s="213"/>
      <c r="BZ273" s="213"/>
      <c r="CA273" s="213"/>
      <c r="CB273" s="213"/>
      <c r="CC273" s="213"/>
      <c r="CD273" s="213"/>
      <c r="CE273" s="213"/>
      <c r="CF273" s="213"/>
      <c r="CG273" s="213"/>
      <c r="CH273" s="213"/>
      <c r="CI273" s="213"/>
      <c r="CJ273" s="213"/>
      <c r="CK273" s="213"/>
      <c r="CL273" s="213"/>
      <c r="CM273" s="213"/>
      <c r="CN273" s="213"/>
      <c r="CO273" s="213"/>
      <c r="CP273" s="213"/>
      <c r="CQ273" s="213"/>
    </row>
    <row r="274" ht="15.75" customHeight="1">
      <c r="A274" s="213"/>
      <c r="B274" s="213"/>
      <c r="C274" s="213"/>
      <c r="D274" s="215"/>
      <c r="E274" s="213"/>
      <c r="F274" s="215"/>
      <c r="G274" s="213"/>
      <c r="H274" s="215"/>
      <c r="I274" s="213"/>
      <c r="J274" s="215"/>
      <c r="K274" s="213"/>
      <c r="L274" s="215"/>
      <c r="M274" s="213"/>
      <c r="N274" s="213"/>
      <c r="O274" s="213"/>
      <c r="P274" s="215"/>
      <c r="Q274" s="213"/>
      <c r="R274" s="215"/>
      <c r="S274" s="213"/>
      <c r="T274" s="213"/>
      <c r="U274" s="213"/>
      <c r="V274" s="215"/>
      <c r="W274" s="213"/>
      <c r="X274" s="215"/>
      <c r="Y274" s="213"/>
      <c r="Z274" s="213"/>
      <c r="AA274" s="213"/>
      <c r="AB274" s="215"/>
      <c r="AC274" s="213"/>
      <c r="AD274" s="215"/>
      <c r="AE274" s="213"/>
      <c r="AF274" s="213"/>
      <c r="AG274" s="213"/>
      <c r="AH274" s="215"/>
      <c r="AI274" s="213"/>
      <c r="AJ274" s="215"/>
      <c r="AK274" s="213"/>
      <c r="AL274" s="213"/>
      <c r="AM274" s="213"/>
      <c r="AN274" s="215"/>
      <c r="AO274" s="213"/>
      <c r="AP274" s="215"/>
      <c r="AQ274" s="213"/>
      <c r="AR274" s="325"/>
      <c r="AS274" s="213"/>
      <c r="AT274" s="215"/>
      <c r="AU274" s="213"/>
      <c r="AV274" s="215"/>
      <c r="AW274" s="213"/>
      <c r="AX274" s="213"/>
      <c r="AY274" s="213"/>
      <c r="AZ274" s="215"/>
      <c r="BA274" s="213"/>
      <c r="BB274" s="215"/>
      <c r="BC274" s="213"/>
      <c r="BD274" s="213"/>
      <c r="BE274" s="213"/>
      <c r="BF274" s="215"/>
      <c r="BG274" s="213"/>
      <c r="BH274" s="215"/>
      <c r="BI274" s="213"/>
      <c r="BJ274" s="213"/>
      <c r="BK274" s="213"/>
      <c r="BL274" s="215"/>
      <c r="BM274" s="213"/>
      <c r="BN274" s="215"/>
      <c r="BO274" s="213"/>
      <c r="BP274" s="213"/>
      <c r="BQ274" s="213"/>
      <c r="BR274" s="326"/>
      <c r="BS274" s="213"/>
      <c r="BT274" s="215"/>
      <c r="BU274" s="213"/>
      <c r="BV274" s="213"/>
      <c r="BW274" s="213"/>
      <c r="BX274" s="213"/>
      <c r="BY274" s="213"/>
      <c r="BZ274" s="213"/>
      <c r="CA274" s="213"/>
      <c r="CB274" s="213"/>
      <c r="CC274" s="213"/>
      <c r="CD274" s="213"/>
      <c r="CE274" s="213"/>
      <c r="CF274" s="213"/>
      <c r="CG274" s="213"/>
      <c r="CH274" s="213"/>
      <c r="CI274" s="213"/>
      <c r="CJ274" s="213"/>
      <c r="CK274" s="213"/>
      <c r="CL274" s="213"/>
      <c r="CM274" s="213"/>
      <c r="CN274" s="213"/>
      <c r="CO274" s="213"/>
      <c r="CP274" s="213"/>
      <c r="CQ274" s="213"/>
    </row>
    <row r="275" ht="15.75" customHeight="1">
      <c r="A275" s="213"/>
      <c r="B275" s="213"/>
      <c r="C275" s="213"/>
      <c r="D275" s="215"/>
      <c r="E275" s="213"/>
      <c r="F275" s="215"/>
      <c r="G275" s="213"/>
      <c r="H275" s="215"/>
      <c r="I275" s="213"/>
      <c r="J275" s="215"/>
      <c r="K275" s="213"/>
      <c r="L275" s="215"/>
      <c r="M275" s="213"/>
      <c r="N275" s="213"/>
      <c r="O275" s="213"/>
      <c r="P275" s="215"/>
      <c r="Q275" s="213"/>
      <c r="R275" s="215"/>
      <c r="S275" s="213"/>
      <c r="T275" s="213"/>
      <c r="U275" s="213"/>
      <c r="V275" s="215"/>
      <c r="W275" s="213"/>
      <c r="X275" s="215"/>
      <c r="Y275" s="213"/>
      <c r="Z275" s="213"/>
      <c r="AA275" s="213"/>
      <c r="AB275" s="215"/>
      <c r="AC275" s="213"/>
      <c r="AD275" s="215"/>
      <c r="AE275" s="213"/>
      <c r="AF275" s="213"/>
      <c r="AG275" s="213"/>
      <c r="AH275" s="215"/>
      <c r="AI275" s="213"/>
      <c r="AJ275" s="215"/>
      <c r="AK275" s="213"/>
      <c r="AL275" s="213"/>
      <c r="AM275" s="213"/>
      <c r="AN275" s="215"/>
      <c r="AO275" s="213"/>
      <c r="AP275" s="215"/>
      <c r="AQ275" s="213"/>
      <c r="AR275" s="325"/>
      <c r="AS275" s="213"/>
      <c r="AT275" s="215"/>
      <c r="AU275" s="213"/>
      <c r="AV275" s="215"/>
      <c r="AW275" s="213"/>
      <c r="AX275" s="213"/>
      <c r="AY275" s="213"/>
      <c r="AZ275" s="215"/>
      <c r="BA275" s="213"/>
      <c r="BB275" s="215"/>
      <c r="BC275" s="213"/>
      <c r="BD275" s="213"/>
      <c r="BE275" s="213"/>
      <c r="BF275" s="215"/>
      <c r="BG275" s="213"/>
      <c r="BH275" s="215"/>
      <c r="BI275" s="213"/>
      <c r="BJ275" s="213"/>
      <c r="BK275" s="213"/>
      <c r="BL275" s="215"/>
      <c r="BM275" s="213"/>
      <c r="BN275" s="215"/>
      <c r="BO275" s="213"/>
      <c r="BP275" s="213"/>
      <c r="BQ275" s="213"/>
      <c r="BR275" s="326"/>
      <c r="BS275" s="213"/>
      <c r="BT275" s="215"/>
      <c r="BU275" s="213"/>
      <c r="BV275" s="213"/>
      <c r="BW275" s="213"/>
      <c r="BX275" s="213"/>
      <c r="BY275" s="213"/>
      <c r="BZ275" s="213"/>
      <c r="CA275" s="213"/>
      <c r="CB275" s="213"/>
      <c r="CC275" s="213"/>
      <c r="CD275" s="213"/>
      <c r="CE275" s="213"/>
      <c r="CF275" s="213"/>
      <c r="CG275" s="213"/>
      <c r="CH275" s="213"/>
      <c r="CI275" s="213"/>
      <c r="CJ275" s="213"/>
      <c r="CK275" s="213"/>
      <c r="CL275" s="213"/>
      <c r="CM275" s="213"/>
      <c r="CN275" s="213"/>
      <c r="CO275" s="213"/>
      <c r="CP275" s="213"/>
      <c r="CQ275" s="213"/>
    </row>
    <row r="276" ht="15.75" customHeight="1">
      <c r="A276" s="213"/>
      <c r="B276" s="213"/>
      <c r="C276" s="213"/>
      <c r="D276" s="215"/>
      <c r="E276" s="213"/>
      <c r="F276" s="215"/>
      <c r="G276" s="213"/>
      <c r="H276" s="215"/>
      <c r="I276" s="213"/>
      <c r="J276" s="215"/>
      <c r="K276" s="213"/>
      <c r="L276" s="215"/>
      <c r="M276" s="213"/>
      <c r="N276" s="213"/>
      <c r="O276" s="213"/>
      <c r="P276" s="215"/>
      <c r="Q276" s="213"/>
      <c r="R276" s="215"/>
      <c r="S276" s="213"/>
      <c r="T276" s="213"/>
      <c r="U276" s="213"/>
      <c r="V276" s="215"/>
      <c r="W276" s="213"/>
      <c r="X276" s="215"/>
      <c r="Y276" s="213"/>
      <c r="Z276" s="213"/>
      <c r="AA276" s="213"/>
      <c r="AB276" s="215"/>
      <c r="AC276" s="213"/>
      <c r="AD276" s="215"/>
      <c r="AE276" s="213"/>
      <c r="AF276" s="213"/>
      <c r="AG276" s="213"/>
      <c r="AH276" s="215"/>
      <c r="AI276" s="213"/>
      <c r="AJ276" s="215"/>
      <c r="AK276" s="213"/>
      <c r="AL276" s="213"/>
      <c r="AM276" s="213"/>
      <c r="AN276" s="215"/>
      <c r="AO276" s="213"/>
      <c r="AP276" s="215"/>
      <c r="AQ276" s="213"/>
      <c r="AR276" s="325"/>
      <c r="AS276" s="213"/>
      <c r="AT276" s="215"/>
      <c r="AU276" s="213"/>
      <c r="AV276" s="215"/>
      <c r="AW276" s="213"/>
      <c r="AX276" s="213"/>
      <c r="AY276" s="213"/>
      <c r="AZ276" s="215"/>
      <c r="BA276" s="213"/>
      <c r="BB276" s="215"/>
      <c r="BC276" s="213"/>
      <c r="BD276" s="213"/>
      <c r="BE276" s="213"/>
      <c r="BF276" s="215"/>
      <c r="BG276" s="213"/>
      <c r="BH276" s="215"/>
      <c r="BI276" s="213"/>
      <c r="BJ276" s="213"/>
      <c r="BK276" s="213"/>
      <c r="BL276" s="215"/>
      <c r="BM276" s="213"/>
      <c r="BN276" s="215"/>
      <c r="BO276" s="213"/>
      <c r="BP276" s="213"/>
      <c r="BQ276" s="213"/>
      <c r="BR276" s="326"/>
      <c r="BS276" s="213"/>
      <c r="BT276" s="215"/>
      <c r="BU276" s="213"/>
      <c r="BV276" s="213"/>
      <c r="BW276" s="213"/>
      <c r="BX276" s="213"/>
      <c r="BY276" s="213"/>
      <c r="BZ276" s="213"/>
      <c r="CA276" s="213"/>
      <c r="CB276" s="213"/>
      <c r="CC276" s="213"/>
      <c r="CD276" s="213"/>
      <c r="CE276" s="213"/>
      <c r="CF276" s="213"/>
      <c r="CG276" s="213"/>
      <c r="CH276" s="213"/>
      <c r="CI276" s="213"/>
      <c r="CJ276" s="213"/>
      <c r="CK276" s="213"/>
      <c r="CL276" s="213"/>
      <c r="CM276" s="213"/>
      <c r="CN276" s="213"/>
      <c r="CO276" s="213"/>
      <c r="CP276" s="213"/>
      <c r="CQ276" s="213"/>
    </row>
    <row r="277" ht="15.75" customHeight="1">
      <c r="A277" s="213"/>
      <c r="B277" s="213"/>
      <c r="C277" s="213"/>
      <c r="D277" s="215"/>
      <c r="E277" s="213"/>
      <c r="F277" s="215"/>
      <c r="G277" s="213"/>
      <c r="H277" s="215"/>
      <c r="I277" s="213"/>
      <c r="J277" s="215"/>
      <c r="K277" s="213"/>
      <c r="L277" s="215"/>
      <c r="M277" s="213"/>
      <c r="N277" s="213"/>
      <c r="O277" s="213"/>
      <c r="P277" s="215"/>
      <c r="Q277" s="213"/>
      <c r="R277" s="215"/>
      <c r="S277" s="213"/>
      <c r="T277" s="213"/>
      <c r="U277" s="213"/>
      <c r="V277" s="215"/>
      <c r="W277" s="213"/>
      <c r="X277" s="215"/>
      <c r="Y277" s="213"/>
      <c r="Z277" s="213"/>
      <c r="AA277" s="213"/>
      <c r="AB277" s="215"/>
      <c r="AC277" s="213"/>
      <c r="AD277" s="215"/>
      <c r="AE277" s="213"/>
      <c r="AF277" s="213"/>
      <c r="AG277" s="213"/>
      <c r="AH277" s="215"/>
      <c r="AI277" s="213"/>
      <c r="AJ277" s="215"/>
      <c r="AK277" s="213"/>
      <c r="AL277" s="213"/>
      <c r="AM277" s="213"/>
      <c r="AN277" s="215"/>
      <c r="AO277" s="213"/>
      <c r="AP277" s="215"/>
      <c r="AQ277" s="213"/>
      <c r="AR277" s="325"/>
      <c r="AS277" s="213"/>
      <c r="AT277" s="215"/>
      <c r="AU277" s="213"/>
      <c r="AV277" s="215"/>
      <c r="AW277" s="213"/>
      <c r="AX277" s="213"/>
      <c r="AY277" s="213"/>
      <c r="AZ277" s="215"/>
      <c r="BA277" s="213"/>
      <c r="BB277" s="215"/>
      <c r="BC277" s="213"/>
      <c r="BD277" s="213"/>
      <c r="BE277" s="213"/>
      <c r="BF277" s="215"/>
      <c r="BG277" s="213"/>
      <c r="BH277" s="215"/>
      <c r="BI277" s="213"/>
      <c r="BJ277" s="213"/>
      <c r="BK277" s="213"/>
      <c r="BL277" s="215"/>
      <c r="BM277" s="213"/>
      <c r="BN277" s="215"/>
      <c r="BO277" s="213"/>
      <c r="BP277" s="213"/>
      <c r="BQ277" s="213"/>
      <c r="BR277" s="326"/>
      <c r="BS277" s="213"/>
      <c r="BT277" s="215"/>
      <c r="BU277" s="213"/>
      <c r="BV277" s="213"/>
      <c r="BW277" s="213"/>
      <c r="BX277" s="213"/>
      <c r="BY277" s="213"/>
      <c r="BZ277" s="213"/>
      <c r="CA277" s="213"/>
      <c r="CB277" s="213"/>
      <c r="CC277" s="213"/>
      <c r="CD277" s="213"/>
      <c r="CE277" s="213"/>
      <c r="CF277" s="213"/>
      <c r="CG277" s="213"/>
      <c r="CH277" s="213"/>
      <c r="CI277" s="213"/>
      <c r="CJ277" s="213"/>
      <c r="CK277" s="213"/>
      <c r="CL277" s="213"/>
      <c r="CM277" s="213"/>
      <c r="CN277" s="213"/>
      <c r="CO277" s="213"/>
      <c r="CP277" s="213"/>
      <c r="CQ277" s="213"/>
    </row>
    <row r="278" ht="15.75" customHeight="1">
      <c r="A278" s="213"/>
      <c r="B278" s="213"/>
      <c r="C278" s="213"/>
      <c r="D278" s="215"/>
      <c r="E278" s="213"/>
      <c r="F278" s="215"/>
      <c r="G278" s="213"/>
      <c r="H278" s="215"/>
      <c r="I278" s="213"/>
      <c r="J278" s="215"/>
      <c r="K278" s="213"/>
      <c r="L278" s="215"/>
      <c r="M278" s="213"/>
      <c r="N278" s="213"/>
      <c r="O278" s="213"/>
      <c r="P278" s="215"/>
      <c r="Q278" s="213"/>
      <c r="R278" s="215"/>
      <c r="S278" s="213"/>
      <c r="T278" s="213"/>
      <c r="U278" s="213"/>
      <c r="V278" s="215"/>
      <c r="W278" s="213"/>
      <c r="X278" s="215"/>
      <c r="Y278" s="213"/>
      <c r="Z278" s="213"/>
      <c r="AA278" s="213"/>
      <c r="AB278" s="215"/>
      <c r="AC278" s="213"/>
      <c r="AD278" s="215"/>
      <c r="AE278" s="213"/>
      <c r="AF278" s="213"/>
      <c r="AG278" s="213"/>
      <c r="AH278" s="215"/>
      <c r="AI278" s="213"/>
      <c r="AJ278" s="215"/>
      <c r="AK278" s="213"/>
      <c r="AL278" s="213"/>
      <c r="AM278" s="213"/>
      <c r="AN278" s="215"/>
      <c r="AO278" s="213"/>
      <c r="AP278" s="215"/>
      <c r="AQ278" s="213"/>
      <c r="AR278" s="325"/>
      <c r="AS278" s="213"/>
      <c r="AT278" s="215"/>
      <c r="AU278" s="213"/>
      <c r="AV278" s="215"/>
      <c r="AW278" s="213"/>
      <c r="AX278" s="213"/>
      <c r="AY278" s="213"/>
      <c r="AZ278" s="215"/>
      <c r="BA278" s="213"/>
      <c r="BB278" s="215"/>
      <c r="BC278" s="213"/>
      <c r="BD278" s="213"/>
      <c r="BE278" s="213"/>
      <c r="BF278" s="215"/>
      <c r="BG278" s="213"/>
      <c r="BH278" s="215"/>
      <c r="BI278" s="213"/>
      <c r="BJ278" s="213"/>
      <c r="BK278" s="213"/>
      <c r="BL278" s="215"/>
      <c r="BM278" s="213"/>
      <c r="BN278" s="215"/>
      <c r="BO278" s="213"/>
      <c r="BP278" s="213"/>
      <c r="BQ278" s="213"/>
      <c r="BR278" s="326"/>
      <c r="BS278" s="213"/>
      <c r="BT278" s="215"/>
      <c r="BU278" s="213"/>
      <c r="BV278" s="213"/>
      <c r="BW278" s="213"/>
      <c r="BX278" s="213"/>
      <c r="BY278" s="213"/>
      <c r="BZ278" s="213"/>
      <c r="CA278" s="213"/>
      <c r="CB278" s="213"/>
      <c r="CC278" s="213"/>
      <c r="CD278" s="213"/>
      <c r="CE278" s="213"/>
      <c r="CF278" s="213"/>
      <c r="CG278" s="213"/>
      <c r="CH278" s="213"/>
      <c r="CI278" s="213"/>
      <c r="CJ278" s="213"/>
      <c r="CK278" s="213"/>
      <c r="CL278" s="213"/>
      <c r="CM278" s="213"/>
      <c r="CN278" s="213"/>
      <c r="CO278" s="213"/>
      <c r="CP278" s="213"/>
      <c r="CQ278" s="213"/>
    </row>
    <row r="279" ht="15.75" customHeight="1">
      <c r="A279" s="213"/>
      <c r="B279" s="213"/>
      <c r="C279" s="213"/>
      <c r="D279" s="215"/>
      <c r="E279" s="213"/>
      <c r="F279" s="215"/>
      <c r="G279" s="213"/>
      <c r="H279" s="215"/>
      <c r="I279" s="213"/>
      <c r="J279" s="215"/>
      <c r="K279" s="213"/>
      <c r="L279" s="215"/>
      <c r="M279" s="213"/>
      <c r="N279" s="213"/>
      <c r="O279" s="213"/>
      <c r="P279" s="215"/>
      <c r="Q279" s="213"/>
      <c r="R279" s="215"/>
      <c r="S279" s="213"/>
      <c r="T279" s="213"/>
      <c r="U279" s="213"/>
      <c r="V279" s="215"/>
      <c r="W279" s="213"/>
      <c r="X279" s="215"/>
      <c r="Y279" s="213"/>
      <c r="Z279" s="213"/>
      <c r="AA279" s="213"/>
      <c r="AB279" s="215"/>
      <c r="AC279" s="213"/>
      <c r="AD279" s="215"/>
      <c r="AE279" s="213"/>
      <c r="AF279" s="213"/>
      <c r="AG279" s="213"/>
      <c r="AH279" s="215"/>
      <c r="AI279" s="213"/>
      <c r="AJ279" s="215"/>
      <c r="AK279" s="213"/>
      <c r="AL279" s="213"/>
      <c r="AM279" s="213"/>
      <c r="AN279" s="215"/>
      <c r="AO279" s="213"/>
      <c r="AP279" s="215"/>
      <c r="AQ279" s="213"/>
      <c r="AR279" s="325"/>
      <c r="AS279" s="213"/>
      <c r="AT279" s="215"/>
      <c r="AU279" s="213"/>
      <c r="AV279" s="215"/>
      <c r="AW279" s="213"/>
      <c r="AX279" s="213"/>
      <c r="AY279" s="213"/>
      <c r="AZ279" s="215"/>
      <c r="BA279" s="213"/>
      <c r="BB279" s="215"/>
      <c r="BC279" s="213"/>
      <c r="BD279" s="213"/>
      <c r="BE279" s="213"/>
      <c r="BF279" s="215"/>
      <c r="BG279" s="213"/>
      <c r="BH279" s="215"/>
      <c r="BI279" s="213"/>
      <c r="BJ279" s="213"/>
      <c r="BK279" s="213"/>
      <c r="BL279" s="215"/>
      <c r="BM279" s="213"/>
      <c r="BN279" s="215"/>
      <c r="BO279" s="213"/>
      <c r="BP279" s="213"/>
      <c r="BQ279" s="213"/>
      <c r="BR279" s="326"/>
      <c r="BS279" s="213"/>
      <c r="BT279" s="215"/>
      <c r="BU279" s="213"/>
      <c r="BV279" s="213"/>
      <c r="BW279" s="213"/>
      <c r="BX279" s="213"/>
      <c r="BY279" s="213"/>
      <c r="BZ279" s="213"/>
      <c r="CA279" s="213"/>
      <c r="CB279" s="213"/>
      <c r="CC279" s="213"/>
      <c r="CD279" s="213"/>
      <c r="CE279" s="213"/>
      <c r="CF279" s="213"/>
      <c r="CG279" s="213"/>
      <c r="CH279" s="213"/>
      <c r="CI279" s="213"/>
      <c r="CJ279" s="213"/>
      <c r="CK279" s="213"/>
      <c r="CL279" s="213"/>
      <c r="CM279" s="213"/>
      <c r="CN279" s="213"/>
      <c r="CO279" s="213"/>
      <c r="CP279" s="213"/>
      <c r="CQ279" s="213"/>
    </row>
    <row r="280" ht="15.75" customHeight="1">
      <c r="A280" s="213"/>
      <c r="B280" s="213"/>
      <c r="C280" s="213"/>
      <c r="D280" s="215"/>
      <c r="E280" s="213"/>
      <c r="F280" s="215"/>
      <c r="G280" s="213"/>
      <c r="H280" s="215"/>
      <c r="I280" s="213"/>
      <c r="J280" s="215"/>
      <c r="K280" s="213"/>
      <c r="L280" s="215"/>
      <c r="M280" s="213"/>
      <c r="N280" s="213"/>
      <c r="O280" s="213"/>
      <c r="P280" s="215"/>
      <c r="Q280" s="213"/>
      <c r="R280" s="215"/>
      <c r="S280" s="213"/>
      <c r="T280" s="213"/>
      <c r="U280" s="213"/>
      <c r="V280" s="215"/>
      <c r="W280" s="213"/>
      <c r="X280" s="215"/>
      <c r="Y280" s="213"/>
      <c r="Z280" s="213"/>
      <c r="AA280" s="213"/>
      <c r="AB280" s="215"/>
      <c r="AC280" s="213"/>
      <c r="AD280" s="215"/>
      <c r="AE280" s="213"/>
      <c r="AF280" s="213"/>
      <c r="AG280" s="213"/>
      <c r="AH280" s="215"/>
      <c r="AI280" s="213"/>
      <c r="AJ280" s="215"/>
      <c r="AK280" s="213"/>
      <c r="AL280" s="213"/>
      <c r="AM280" s="213"/>
      <c r="AN280" s="215"/>
      <c r="AO280" s="213"/>
      <c r="AP280" s="215"/>
      <c r="AQ280" s="213"/>
      <c r="AR280" s="325"/>
      <c r="AS280" s="213"/>
      <c r="AT280" s="215"/>
      <c r="AU280" s="213"/>
      <c r="AV280" s="215"/>
      <c r="AW280" s="213"/>
      <c r="AX280" s="213"/>
      <c r="AY280" s="213"/>
      <c r="AZ280" s="215"/>
      <c r="BA280" s="213"/>
      <c r="BB280" s="215"/>
      <c r="BC280" s="213"/>
      <c r="BD280" s="213"/>
      <c r="BE280" s="213"/>
      <c r="BF280" s="215"/>
      <c r="BG280" s="213"/>
      <c r="BH280" s="215"/>
      <c r="BI280" s="213"/>
      <c r="BJ280" s="213"/>
      <c r="BK280" s="213"/>
      <c r="BL280" s="215"/>
      <c r="BM280" s="213"/>
      <c r="BN280" s="215"/>
      <c r="BO280" s="213"/>
      <c r="BP280" s="213"/>
      <c r="BQ280" s="213"/>
      <c r="BR280" s="326"/>
      <c r="BS280" s="213"/>
      <c r="BT280" s="215"/>
      <c r="BU280" s="213"/>
      <c r="BV280" s="213"/>
      <c r="BW280" s="213"/>
      <c r="BX280" s="213"/>
      <c r="BY280" s="213"/>
      <c r="BZ280" s="213"/>
      <c r="CA280" s="213"/>
      <c r="CB280" s="213"/>
      <c r="CC280" s="213"/>
      <c r="CD280" s="213"/>
      <c r="CE280" s="213"/>
      <c r="CF280" s="213"/>
      <c r="CG280" s="213"/>
      <c r="CH280" s="213"/>
      <c r="CI280" s="213"/>
      <c r="CJ280" s="213"/>
      <c r="CK280" s="213"/>
      <c r="CL280" s="213"/>
      <c r="CM280" s="213"/>
      <c r="CN280" s="213"/>
      <c r="CO280" s="213"/>
      <c r="CP280" s="213"/>
      <c r="CQ280" s="213"/>
    </row>
    <row r="281" ht="15.75" customHeight="1">
      <c r="A281" s="213"/>
      <c r="B281" s="213"/>
      <c r="C281" s="213"/>
      <c r="D281" s="215"/>
      <c r="E281" s="213"/>
      <c r="F281" s="215"/>
      <c r="G281" s="213"/>
      <c r="H281" s="215"/>
      <c r="I281" s="213"/>
      <c r="J281" s="215"/>
      <c r="K281" s="213"/>
      <c r="L281" s="215"/>
      <c r="M281" s="213"/>
      <c r="N281" s="213"/>
      <c r="O281" s="213"/>
      <c r="P281" s="215"/>
      <c r="Q281" s="213"/>
      <c r="R281" s="215"/>
      <c r="S281" s="213"/>
      <c r="T281" s="213"/>
      <c r="U281" s="213"/>
      <c r="V281" s="215"/>
      <c r="W281" s="213"/>
      <c r="X281" s="215"/>
      <c r="Y281" s="213"/>
      <c r="Z281" s="213"/>
      <c r="AA281" s="213"/>
      <c r="AB281" s="215"/>
      <c r="AC281" s="213"/>
      <c r="AD281" s="215"/>
      <c r="AE281" s="213"/>
      <c r="AF281" s="213"/>
      <c r="AG281" s="213"/>
      <c r="AH281" s="215"/>
      <c r="AI281" s="213"/>
      <c r="AJ281" s="215"/>
      <c r="AK281" s="213"/>
      <c r="AL281" s="213"/>
      <c r="AM281" s="213"/>
      <c r="AN281" s="215"/>
      <c r="AO281" s="213"/>
      <c r="AP281" s="215"/>
      <c r="AQ281" s="213"/>
      <c r="AR281" s="325"/>
      <c r="AS281" s="213"/>
      <c r="AT281" s="215"/>
      <c r="AU281" s="213"/>
      <c r="AV281" s="215"/>
      <c r="AW281" s="213"/>
      <c r="AX281" s="213"/>
      <c r="AY281" s="213"/>
      <c r="AZ281" s="215"/>
      <c r="BA281" s="213"/>
      <c r="BB281" s="215"/>
      <c r="BC281" s="213"/>
      <c r="BD281" s="213"/>
      <c r="BE281" s="213"/>
      <c r="BF281" s="215"/>
      <c r="BG281" s="213"/>
      <c r="BH281" s="215"/>
      <c r="BI281" s="213"/>
      <c r="BJ281" s="213"/>
      <c r="BK281" s="213"/>
      <c r="BL281" s="215"/>
      <c r="BM281" s="213"/>
      <c r="BN281" s="215"/>
      <c r="BO281" s="213"/>
      <c r="BP281" s="213"/>
      <c r="BQ281" s="213"/>
      <c r="BR281" s="326"/>
      <c r="BS281" s="213"/>
      <c r="BT281" s="215"/>
      <c r="BU281" s="213"/>
      <c r="BV281" s="213"/>
      <c r="BW281" s="213"/>
      <c r="BX281" s="213"/>
      <c r="BY281" s="213"/>
      <c r="BZ281" s="213"/>
      <c r="CA281" s="213"/>
      <c r="CB281" s="213"/>
      <c r="CC281" s="213"/>
      <c r="CD281" s="213"/>
      <c r="CE281" s="213"/>
      <c r="CF281" s="213"/>
      <c r="CG281" s="213"/>
      <c r="CH281" s="213"/>
      <c r="CI281" s="213"/>
      <c r="CJ281" s="213"/>
      <c r="CK281" s="213"/>
      <c r="CL281" s="213"/>
      <c r="CM281" s="213"/>
      <c r="CN281" s="213"/>
      <c r="CO281" s="213"/>
      <c r="CP281" s="213"/>
      <c r="CQ281" s="213"/>
    </row>
    <row r="282" ht="15.75" customHeight="1">
      <c r="A282" s="213"/>
      <c r="B282" s="213"/>
      <c r="C282" s="213"/>
      <c r="D282" s="215"/>
      <c r="E282" s="213"/>
      <c r="F282" s="215"/>
      <c r="G282" s="213"/>
      <c r="H282" s="215"/>
      <c r="I282" s="213"/>
      <c r="J282" s="215"/>
      <c r="K282" s="213"/>
      <c r="L282" s="215"/>
      <c r="M282" s="213"/>
      <c r="N282" s="213"/>
      <c r="O282" s="213"/>
      <c r="P282" s="215"/>
      <c r="Q282" s="213"/>
      <c r="R282" s="215"/>
      <c r="S282" s="213"/>
      <c r="T282" s="213"/>
      <c r="U282" s="213"/>
      <c r="V282" s="215"/>
      <c r="W282" s="213"/>
      <c r="X282" s="215"/>
      <c r="Y282" s="213"/>
      <c r="Z282" s="213"/>
      <c r="AA282" s="213"/>
      <c r="AB282" s="215"/>
      <c r="AC282" s="213"/>
      <c r="AD282" s="215"/>
      <c r="AE282" s="213"/>
      <c r="AF282" s="213"/>
      <c r="AG282" s="213"/>
      <c r="AH282" s="215"/>
      <c r="AI282" s="213"/>
      <c r="AJ282" s="215"/>
      <c r="AK282" s="213"/>
      <c r="AL282" s="213"/>
      <c r="AM282" s="213"/>
      <c r="AN282" s="215"/>
      <c r="AO282" s="213"/>
      <c r="AP282" s="215"/>
      <c r="AQ282" s="213"/>
      <c r="AR282" s="325"/>
      <c r="AS282" s="213"/>
      <c r="AT282" s="215"/>
      <c r="AU282" s="213"/>
      <c r="AV282" s="215"/>
      <c r="AW282" s="213"/>
      <c r="AX282" s="213"/>
      <c r="AY282" s="213"/>
      <c r="AZ282" s="215"/>
      <c r="BA282" s="213"/>
      <c r="BB282" s="215"/>
      <c r="BC282" s="213"/>
      <c r="BD282" s="213"/>
      <c r="BE282" s="213"/>
      <c r="BF282" s="215"/>
      <c r="BG282" s="213"/>
      <c r="BH282" s="215"/>
      <c r="BI282" s="213"/>
      <c r="BJ282" s="213"/>
      <c r="BK282" s="213"/>
      <c r="BL282" s="215"/>
      <c r="BM282" s="213"/>
      <c r="BN282" s="215"/>
      <c r="BO282" s="213"/>
      <c r="BP282" s="213"/>
      <c r="BQ282" s="213"/>
      <c r="BR282" s="326"/>
      <c r="BS282" s="213"/>
      <c r="BT282" s="215"/>
      <c r="BU282" s="213"/>
      <c r="BV282" s="213"/>
      <c r="BW282" s="213"/>
      <c r="BX282" s="213"/>
      <c r="BY282" s="213"/>
      <c r="BZ282" s="213"/>
      <c r="CA282" s="213"/>
      <c r="CB282" s="213"/>
      <c r="CC282" s="213"/>
      <c r="CD282" s="213"/>
      <c r="CE282" s="213"/>
      <c r="CF282" s="213"/>
      <c r="CG282" s="213"/>
      <c r="CH282" s="213"/>
      <c r="CI282" s="213"/>
      <c r="CJ282" s="213"/>
      <c r="CK282" s="213"/>
      <c r="CL282" s="213"/>
      <c r="CM282" s="213"/>
      <c r="CN282" s="213"/>
      <c r="CO282" s="213"/>
      <c r="CP282" s="213"/>
      <c r="CQ282" s="213"/>
    </row>
    <row r="283" ht="15.75" customHeight="1">
      <c r="A283" s="213"/>
      <c r="B283" s="213"/>
      <c r="C283" s="213"/>
      <c r="D283" s="215"/>
      <c r="E283" s="213"/>
      <c r="F283" s="215"/>
      <c r="G283" s="213"/>
      <c r="H283" s="215"/>
      <c r="I283" s="213"/>
      <c r="J283" s="215"/>
      <c r="K283" s="213"/>
      <c r="L283" s="215"/>
      <c r="M283" s="213"/>
      <c r="N283" s="213"/>
      <c r="O283" s="213"/>
      <c r="P283" s="215"/>
      <c r="Q283" s="213"/>
      <c r="R283" s="215"/>
      <c r="S283" s="213"/>
      <c r="T283" s="213"/>
      <c r="U283" s="213"/>
      <c r="V283" s="215"/>
      <c r="W283" s="213"/>
      <c r="X283" s="215"/>
      <c r="Y283" s="213"/>
      <c r="Z283" s="213"/>
      <c r="AA283" s="213"/>
      <c r="AB283" s="215"/>
      <c r="AC283" s="213"/>
      <c r="AD283" s="215"/>
      <c r="AE283" s="213"/>
      <c r="AF283" s="213"/>
      <c r="AG283" s="213"/>
      <c r="AH283" s="215"/>
      <c r="AI283" s="213"/>
      <c r="AJ283" s="215"/>
      <c r="AK283" s="213"/>
      <c r="AL283" s="213"/>
      <c r="AM283" s="213"/>
      <c r="AN283" s="215"/>
      <c r="AO283" s="213"/>
      <c r="AP283" s="215"/>
      <c r="AQ283" s="213"/>
      <c r="AR283" s="325"/>
      <c r="AS283" s="213"/>
      <c r="AT283" s="215"/>
      <c r="AU283" s="213"/>
      <c r="AV283" s="215"/>
      <c r="AW283" s="213"/>
      <c r="AX283" s="213"/>
      <c r="AY283" s="213"/>
      <c r="AZ283" s="215"/>
      <c r="BA283" s="213"/>
      <c r="BB283" s="215"/>
      <c r="BC283" s="213"/>
      <c r="BD283" s="213"/>
      <c r="BE283" s="213"/>
      <c r="BF283" s="215"/>
      <c r="BG283" s="213"/>
      <c r="BH283" s="215"/>
      <c r="BI283" s="213"/>
      <c r="BJ283" s="213"/>
      <c r="BK283" s="213"/>
      <c r="BL283" s="215"/>
      <c r="BM283" s="213"/>
      <c r="BN283" s="215"/>
      <c r="BO283" s="213"/>
      <c r="BP283" s="213"/>
      <c r="BQ283" s="213"/>
      <c r="BR283" s="326"/>
      <c r="BS283" s="213"/>
      <c r="BT283" s="215"/>
      <c r="BU283" s="213"/>
      <c r="BV283" s="213"/>
      <c r="BW283" s="213"/>
      <c r="BX283" s="213"/>
      <c r="BY283" s="213"/>
      <c r="BZ283" s="213"/>
      <c r="CA283" s="213"/>
      <c r="CB283" s="213"/>
      <c r="CC283" s="213"/>
      <c r="CD283" s="213"/>
      <c r="CE283" s="213"/>
      <c r="CF283" s="213"/>
      <c r="CG283" s="213"/>
      <c r="CH283" s="213"/>
      <c r="CI283" s="213"/>
      <c r="CJ283" s="213"/>
      <c r="CK283" s="213"/>
      <c r="CL283" s="213"/>
      <c r="CM283" s="213"/>
      <c r="CN283" s="213"/>
      <c r="CO283" s="213"/>
      <c r="CP283" s="213"/>
      <c r="CQ283" s="213"/>
    </row>
    <row r="284" ht="15.75" customHeight="1">
      <c r="A284" s="213"/>
      <c r="B284" s="213"/>
      <c r="C284" s="213"/>
      <c r="D284" s="215"/>
      <c r="E284" s="213"/>
      <c r="F284" s="215"/>
      <c r="G284" s="213"/>
      <c r="H284" s="215"/>
      <c r="I284" s="213"/>
      <c r="J284" s="215"/>
      <c r="K284" s="213"/>
      <c r="L284" s="215"/>
      <c r="M284" s="213"/>
      <c r="N284" s="213"/>
      <c r="O284" s="213"/>
      <c r="P284" s="215"/>
      <c r="Q284" s="213"/>
      <c r="R284" s="215"/>
      <c r="S284" s="213"/>
      <c r="T284" s="213"/>
      <c r="U284" s="213"/>
      <c r="V284" s="215"/>
      <c r="W284" s="213"/>
      <c r="X284" s="215"/>
      <c r="Y284" s="213"/>
      <c r="Z284" s="213"/>
      <c r="AA284" s="213"/>
      <c r="AB284" s="215"/>
      <c r="AC284" s="213"/>
      <c r="AD284" s="215"/>
      <c r="AE284" s="213"/>
      <c r="AF284" s="213"/>
      <c r="AG284" s="213"/>
      <c r="AH284" s="215"/>
      <c r="AI284" s="213"/>
      <c r="AJ284" s="215"/>
      <c r="AK284" s="213"/>
      <c r="AL284" s="213"/>
      <c r="AM284" s="213"/>
      <c r="AN284" s="215"/>
      <c r="AO284" s="213"/>
      <c r="AP284" s="215"/>
      <c r="AQ284" s="213"/>
      <c r="AR284" s="325"/>
      <c r="AS284" s="213"/>
      <c r="AT284" s="215"/>
      <c r="AU284" s="213"/>
      <c r="AV284" s="215"/>
      <c r="AW284" s="213"/>
      <c r="AX284" s="213"/>
      <c r="AY284" s="213"/>
      <c r="AZ284" s="215"/>
      <c r="BA284" s="213"/>
      <c r="BB284" s="215"/>
      <c r="BC284" s="213"/>
      <c r="BD284" s="213"/>
      <c r="BE284" s="213"/>
      <c r="BF284" s="215"/>
      <c r="BG284" s="213"/>
      <c r="BH284" s="215"/>
      <c r="BI284" s="213"/>
      <c r="BJ284" s="213"/>
      <c r="BK284" s="213"/>
      <c r="BL284" s="215"/>
      <c r="BM284" s="213"/>
      <c r="BN284" s="215"/>
      <c r="BO284" s="213"/>
      <c r="BP284" s="213"/>
      <c r="BQ284" s="213"/>
      <c r="BR284" s="326"/>
      <c r="BS284" s="213"/>
      <c r="BT284" s="215"/>
      <c r="BU284" s="213"/>
      <c r="BV284" s="213"/>
      <c r="BW284" s="213"/>
      <c r="BX284" s="213"/>
      <c r="BY284" s="213"/>
      <c r="BZ284" s="213"/>
      <c r="CA284" s="213"/>
      <c r="CB284" s="213"/>
      <c r="CC284" s="213"/>
      <c r="CD284" s="213"/>
      <c r="CE284" s="213"/>
      <c r="CF284" s="213"/>
      <c r="CG284" s="213"/>
      <c r="CH284" s="213"/>
      <c r="CI284" s="213"/>
      <c r="CJ284" s="213"/>
      <c r="CK284" s="213"/>
      <c r="CL284" s="213"/>
      <c r="CM284" s="213"/>
      <c r="CN284" s="213"/>
      <c r="CO284" s="213"/>
      <c r="CP284" s="213"/>
      <c r="CQ284" s="213"/>
    </row>
    <row r="285" ht="15.75" customHeight="1">
      <c r="A285" s="213"/>
      <c r="B285" s="213"/>
      <c r="C285" s="213"/>
      <c r="D285" s="215"/>
      <c r="E285" s="213"/>
      <c r="F285" s="215"/>
      <c r="G285" s="213"/>
      <c r="H285" s="215"/>
      <c r="I285" s="213"/>
      <c r="J285" s="215"/>
      <c r="K285" s="213"/>
      <c r="L285" s="215"/>
      <c r="M285" s="213"/>
      <c r="N285" s="213"/>
      <c r="O285" s="213"/>
      <c r="P285" s="215"/>
      <c r="Q285" s="213"/>
      <c r="R285" s="215"/>
      <c r="S285" s="213"/>
      <c r="T285" s="213"/>
      <c r="U285" s="213"/>
      <c r="V285" s="215"/>
      <c r="W285" s="213"/>
      <c r="X285" s="215"/>
      <c r="Y285" s="213"/>
      <c r="Z285" s="213"/>
      <c r="AA285" s="213"/>
      <c r="AB285" s="215"/>
      <c r="AC285" s="213"/>
      <c r="AD285" s="215"/>
      <c r="AE285" s="213"/>
      <c r="AF285" s="213"/>
      <c r="AG285" s="213"/>
      <c r="AH285" s="215"/>
      <c r="AI285" s="213"/>
      <c r="AJ285" s="215"/>
      <c r="AK285" s="213"/>
      <c r="AL285" s="213"/>
      <c r="AM285" s="213"/>
      <c r="AN285" s="215"/>
      <c r="AO285" s="213"/>
      <c r="AP285" s="215"/>
      <c r="AQ285" s="213"/>
      <c r="AR285" s="325"/>
      <c r="AS285" s="213"/>
      <c r="AT285" s="215"/>
      <c r="AU285" s="213"/>
      <c r="AV285" s="215"/>
      <c r="AW285" s="213"/>
      <c r="AX285" s="213"/>
      <c r="AY285" s="213"/>
      <c r="AZ285" s="215"/>
      <c r="BA285" s="213"/>
      <c r="BB285" s="215"/>
      <c r="BC285" s="213"/>
      <c r="BD285" s="213"/>
      <c r="BE285" s="213"/>
      <c r="BF285" s="215"/>
      <c r="BG285" s="213"/>
      <c r="BH285" s="215"/>
      <c r="BI285" s="213"/>
      <c r="BJ285" s="213"/>
      <c r="BK285" s="213"/>
      <c r="BL285" s="215"/>
      <c r="BM285" s="213"/>
      <c r="BN285" s="215"/>
      <c r="BO285" s="213"/>
      <c r="BP285" s="213"/>
      <c r="BQ285" s="213"/>
      <c r="BR285" s="326"/>
      <c r="BS285" s="213"/>
      <c r="BT285" s="215"/>
      <c r="BU285" s="213"/>
      <c r="BV285" s="213"/>
      <c r="BW285" s="213"/>
      <c r="BX285" s="213"/>
      <c r="BY285" s="213"/>
      <c r="BZ285" s="213"/>
      <c r="CA285" s="213"/>
      <c r="CB285" s="213"/>
      <c r="CC285" s="213"/>
      <c r="CD285" s="213"/>
      <c r="CE285" s="213"/>
      <c r="CF285" s="213"/>
      <c r="CG285" s="213"/>
      <c r="CH285" s="213"/>
      <c r="CI285" s="213"/>
      <c r="CJ285" s="213"/>
      <c r="CK285" s="213"/>
      <c r="CL285" s="213"/>
      <c r="CM285" s="213"/>
      <c r="CN285" s="213"/>
      <c r="CO285" s="213"/>
      <c r="CP285" s="213"/>
      <c r="CQ285" s="213"/>
    </row>
    <row r="286" ht="15.75" customHeight="1">
      <c r="A286" s="213"/>
      <c r="B286" s="213"/>
      <c r="C286" s="213"/>
      <c r="D286" s="215"/>
      <c r="E286" s="213"/>
      <c r="F286" s="215"/>
      <c r="G286" s="213"/>
      <c r="H286" s="215"/>
      <c r="I286" s="213"/>
      <c r="J286" s="215"/>
      <c r="K286" s="213"/>
      <c r="L286" s="215"/>
      <c r="M286" s="213"/>
      <c r="N286" s="213"/>
      <c r="O286" s="213"/>
      <c r="P286" s="215"/>
      <c r="Q286" s="213"/>
      <c r="R286" s="215"/>
      <c r="S286" s="213"/>
      <c r="T286" s="213"/>
      <c r="U286" s="213"/>
      <c r="V286" s="215"/>
      <c r="W286" s="213"/>
      <c r="X286" s="215"/>
      <c r="Y286" s="213"/>
      <c r="Z286" s="213"/>
      <c r="AA286" s="213"/>
      <c r="AB286" s="215"/>
      <c r="AC286" s="213"/>
      <c r="AD286" s="215"/>
      <c r="AE286" s="213"/>
      <c r="AF286" s="213"/>
      <c r="AG286" s="213"/>
      <c r="AH286" s="215"/>
      <c r="AI286" s="213"/>
      <c r="AJ286" s="215"/>
      <c r="AK286" s="213"/>
      <c r="AL286" s="213"/>
      <c r="AM286" s="213"/>
      <c r="AN286" s="215"/>
      <c r="AO286" s="213"/>
      <c r="AP286" s="215"/>
      <c r="AQ286" s="213"/>
      <c r="AR286" s="325"/>
      <c r="AS286" s="213"/>
      <c r="AT286" s="215"/>
      <c r="AU286" s="213"/>
      <c r="AV286" s="215"/>
      <c r="AW286" s="213"/>
      <c r="AX286" s="213"/>
      <c r="AY286" s="213"/>
      <c r="AZ286" s="215"/>
      <c r="BA286" s="213"/>
      <c r="BB286" s="215"/>
      <c r="BC286" s="213"/>
      <c r="BD286" s="213"/>
      <c r="BE286" s="213"/>
      <c r="BF286" s="215"/>
      <c r="BG286" s="213"/>
      <c r="BH286" s="215"/>
      <c r="BI286" s="213"/>
      <c r="BJ286" s="213"/>
      <c r="BK286" s="213"/>
      <c r="BL286" s="215"/>
      <c r="BM286" s="213"/>
      <c r="BN286" s="215"/>
      <c r="BO286" s="213"/>
      <c r="BP286" s="213"/>
      <c r="BQ286" s="213"/>
      <c r="BR286" s="326"/>
      <c r="BS286" s="213"/>
      <c r="BT286" s="215"/>
      <c r="BU286" s="213"/>
      <c r="BV286" s="213"/>
      <c r="BW286" s="213"/>
      <c r="BX286" s="213"/>
      <c r="BY286" s="213"/>
      <c r="BZ286" s="213"/>
      <c r="CA286" s="213"/>
      <c r="CB286" s="213"/>
      <c r="CC286" s="213"/>
      <c r="CD286" s="213"/>
      <c r="CE286" s="213"/>
      <c r="CF286" s="213"/>
      <c r="CG286" s="213"/>
      <c r="CH286" s="213"/>
      <c r="CI286" s="213"/>
      <c r="CJ286" s="213"/>
      <c r="CK286" s="213"/>
      <c r="CL286" s="213"/>
      <c r="CM286" s="213"/>
      <c r="CN286" s="213"/>
      <c r="CO286" s="213"/>
      <c r="CP286" s="213"/>
      <c r="CQ286" s="213"/>
    </row>
    <row r="287" ht="15.75" customHeight="1">
      <c r="A287" s="213"/>
      <c r="B287" s="213"/>
      <c r="C287" s="213"/>
      <c r="D287" s="215"/>
      <c r="E287" s="213"/>
      <c r="F287" s="215"/>
      <c r="G287" s="213"/>
      <c r="H287" s="215"/>
      <c r="I287" s="213"/>
      <c r="J287" s="215"/>
      <c r="K287" s="213"/>
      <c r="L287" s="215"/>
      <c r="M287" s="213"/>
      <c r="N287" s="213"/>
      <c r="O287" s="213"/>
      <c r="P287" s="215"/>
      <c r="Q287" s="213"/>
      <c r="R287" s="215"/>
      <c r="S287" s="213"/>
      <c r="T287" s="213"/>
      <c r="U287" s="213"/>
      <c r="V287" s="215"/>
      <c r="W287" s="213"/>
      <c r="X287" s="215"/>
      <c r="Y287" s="213"/>
      <c r="Z287" s="213"/>
      <c r="AA287" s="213"/>
      <c r="AB287" s="215"/>
      <c r="AC287" s="213"/>
      <c r="AD287" s="215"/>
      <c r="AE287" s="213"/>
      <c r="AF287" s="213"/>
      <c r="AG287" s="213"/>
      <c r="AH287" s="215"/>
      <c r="AI287" s="213"/>
      <c r="AJ287" s="215"/>
      <c r="AK287" s="213"/>
      <c r="AL287" s="213"/>
      <c r="AM287" s="213"/>
      <c r="AN287" s="215"/>
      <c r="AO287" s="213"/>
      <c r="AP287" s="215"/>
      <c r="AQ287" s="213"/>
      <c r="AR287" s="325"/>
      <c r="AS287" s="213"/>
      <c r="AT287" s="215"/>
      <c r="AU287" s="213"/>
      <c r="AV287" s="215"/>
      <c r="AW287" s="213"/>
      <c r="AX287" s="213"/>
      <c r="AY287" s="213"/>
      <c r="AZ287" s="215"/>
      <c r="BA287" s="213"/>
      <c r="BB287" s="215"/>
      <c r="BC287" s="213"/>
      <c r="BD287" s="213"/>
      <c r="BE287" s="213"/>
      <c r="BF287" s="215"/>
      <c r="BG287" s="213"/>
      <c r="BH287" s="215"/>
      <c r="BI287" s="213"/>
      <c r="BJ287" s="213"/>
      <c r="BK287" s="213"/>
      <c r="BL287" s="215"/>
      <c r="BM287" s="213"/>
      <c r="BN287" s="215"/>
      <c r="BO287" s="213"/>
      <c r="BP287" s="213"/>
      <c r="BQ287" s="213"/>
      <c r="BR287" s="326"/>
      <c r="BS287" s="213"/>
      <c r="BT287" s="215"/>
      <c r="BU287" s="213"/>
      <c r="BV287" s="213"/>
      <c r="BW287" s="213"/>
      <c r="BX287" s="213"/>
      <c r="BY287" s="213"/>
      <c r="BZ287" s="213"/>
      <c r="CA287" s="213"/>
      <c r="CB287" s="213"/>
      <c r="CC287" s="213"/>
      <c r="CD287" s="213"/>
      <c r="CE287" s="213"/>
      <c r="CF287" s="213"/>
      <c r="CG287" s="213"/>
      <c r="CH287" s="213"/>
      <c r="CI287" s="213"/>
      <c r="CJ287" s="213"/>
      <c r="CK287" s="213"/>
      <c r="CL287" s="213"/>
      <c r="CM287" s="213"/>
      <c r="CN287" s="213"/>
      <c r="CO287" s="213"/>
      <c r="CP287" s="213"/>
      <c r="CQ287" s="213"/>
    </row>
    <row r="288" ht="15.75" customHeight="1">
      <c r="A288" s="213"/>
      <c r="B288" s="213"/>
      <c r="C288" s="213"/>
      <c r="D288" s="215"/>
      <c r="E288" s="213"/>
      <c r="F288" s="215"/>
      <c r="G288" s="213"/>
      <c r="H288" s="215"/>
      <c r="I288" s="213"/>
      <c r="J288" s="215"/>
      <c r="K288" s="213"/>
      <c r="L288" s="215"/>
      <c r="M288" s="213"/>
      <c r="N288" s="213"/>
      <c r="O288" s="213"/>
      <c r="P288" s="215"/>
      <c r="Q288" s="213"/>
      <c r="R288" s="215"/>
      <c r="S288" s="213"/>
      <c r="T288" s="213"/>
      <c r="U288" s="213"/>
      <c r="V288" s="215"/>
      <c r="W288" s="213"/>
      <c r="X288" s="215"/>
      <c r="Y288" s="213"/>
      <c r="Z288" s="213"/>
      <c r="AA288" s="213"/>
      <c r="AB288" s="215"/>
      <c r="AC288" s="213"/>
      <c r="AD288" s="215"/>
      <c r="AE288" s="213"/>
      <c r="AF288" s="213"/>
      <c r="AG288" s="213"/>
      <c r="AH288" s="215"/>
      <c r="AI288" s="213"/>
      <c r="AJ288" s="215"/>
      <c r="AK288" s="213"/>
      <c r="AL288" s="213"/>
      <c r="AM288" s="213"/>
      <c r="AN288" s="215"/>
      <c r="AO288" s="213"/>
      <c r="AP288" s="215"/>
      <c r="AQ288" s="213"/>
      <c r="AR288" s="325"/>
      <c r="AS288" s="213"/>
      <c r="AT288" s="215"/>
      <c r="AU288" s="213"/>
      <c r="AV288" s="215"/>
      <c r="AW288" s="213"/>
      <c r="AX288" s="213"/>
      <c r="AY288" s="213"/>
      <c r="AZ288" s="215"/>
      <c r="BA288" s="213"/>
      <c r="BB288" s="215"/>
      <c r="BC288" s="213"/>
      <c r="BD288" s="213"/>
      <c r="BE288" s="213"/>
      <c r="BF288" s="215"/>
      <c r="BG288" s="213"/>
      <c r="BH288" s="215"/>
      <c r="BI288" s="213"/>
      <c r="BJ288" s="213"/>
      <c r="BK288" s="213"/>
      <c r="BL288" s="215"/>
      <c r="BM288" s="213"/>
      <c r="BN288" s="215"/>
      <c r="BO288" s="213"/>
      <c r="BP288" s="213"/>
      <c r="BQ288" s="213"/>
      <c r="BR288" s="326"/>
      <c r="BS288" s="213"/>
      <c r="BT288" s="215"/>
      <c r="BU288" s="213"/>
      <c r="BV288" s="213"/>
      <c r="BW288" s="213"/>
      <c r="BX288" s="213"/>
      <c r="BY288" s="213"/>
      <c r="BZ288" s="213"/>
      <c r="CA288" s="213"/>
      <c r="CB288" s="213"/>
      <c r="CC288" s="213"/>
      <c r="CD288" s="213"/>
      <c r="CE288" s="213"/>
      <c r="CF288" s="213"/>
      <c r="CG288" s="213"/>
      <c r="CH288" s="213"/>
      <c r="CI288" s="213"/>
      <c r="CJ288" s="213"/>
      <c r="CK288" s="213"/>
      <c r="CL288" s="213"/>
      <c r="CM288" s="213"/>
      <c r="CN288" s="213"/>
      <c r="CO288" s="213"/>
      <c r="CP288" s="213"/>
      <c r="CQ288" s="213"/>
    </row>
    <row r="289" ht="15.75" customHeight="1">
      <c r="A289" s="213"/>
      <c r="B289" s="213"/>
      <c r="C289" s="213"/>
      <c r="D289" s="215"/>
      <c r="E289" s="213"/>
      <c r="F289" s="215"/>
      <c r="G289" s="213"/>
      <c r="H289" s="215"/>
      <c r="I289" s="213"/>
      <c r="J289" s="215"/>
      <c r="K289" s="213"/>
      <c r="L289" s="215"/>
      <c r="M289" s="213"/>
      <c r="N289" s="213"/>
      <c r="O289" s="213"/>
      <c r="P289" s="215"/>
      <c r="Q289" s="213"/>
      <c r="R289" s="215"/>
      <c r="S289" s="213"/>
      <c r="T289" s="213"/>
      <c r="U289" s="213"/>
      <c r="V289" s="215"/>
      <c r="W289" s="213"/>
      <c r="X289" s="215"/>
      <c r="Y289" s="213"/>
      <c r="Z289" s="213"/>
      <c r="AA289" s="213"/>
      <c r="AB289" s="215"/>
      <c r="AC289" s="213"/>
      <c r="AD289" s="215"/>
      <c r="AE289" s="213"/>
      <c r="AF289" s="213"/>
      <c r="AG289" s="213"/>
      <c r="AH289" s="215"/>
      <c r="AI289" s="213"/>
      <c r="AJ289" s="215"/>
      <c r="AK289" s="213"/>
      <c r="AL289" s="213"/>
      <c r="AM289" s="213"/>
      <c r="AN289" s="215"/>
      <c r="AO289" s="213"/>
      <c r="AP289" s="215"/>
      <c r="AQ289" s="213"/>
      <c r="AR289" s="325"/>
      <c r="AS289" s="213"/>
      <c r="AT289" s="215"/>
      <c r="AU289" s="213"/>
      <c r="AV289" s="215"/>
      <c r="AW289" s="213"/>
      <c r="AX289" s="213"/>
      <c r="AY289" s="213"/>
      <c r="AZ289" s="215"/>
      <c r="BA289" s="213"/>
      <c r="BB289" s="215"/>
      <c r="BC289" s="213"/>
      <c r="BD289" s="213"/>
      <c r="BE289" s="213"/>
      <c r="BF289" s="215"/>
      <c r="BG289" s="213"/>
      <c r="BH289" s="215"/>
      <c r="BI289" s="213"/>
      <c r="BJ289" s="213"/>
      <c r="BK289" s="213"/>
      <c r="BL289" s="215"/>
      <c r="BM289" s="213"/>
      <c r="BN289" s="215"/>
      <c r="BO289" s="213"/>
      <c r="BP289" s="213"/>
      <c r="BQ289" s="213"/>
      <c r="BR289" s="326"/>
      <c r="BS289" s="213"/>
      <c r="BT289" s="215"/>
      <c r="BU289" s="213"/>
      <c r="BV289" s="213"/>
      <c r="BW289" s="213"/>
      <c r="BX289" s="213"/>
      <c r="BY289" s="213"/>
      <c r="BZ289" s="213"/>
      <c r="CA289" s="213"/>
      <c r="CB289" s="213"/>
      <c r="CC289" s="213"/>
      <c r="CD289" s="213"/>
      <c r="CE289" s="213"/>
      <c r="CF289" s="213"/>
      <c r="CG289" s="213"/>
      <c r="CH289" s="213"/>
      <c r="CI289" s="213"/>
      <c r="CJ289" s="213"/>
      <c r="CK289" s="213"/>
      <c r="CL289" s="213"/>
      <c r="CM289" s="213"/>
      <c r="CN289" s="213"/>
      <c r="CO289" s="213"/>
      <c r="CP289" s="213"/>
      <c r="CQ289" s="213"/>
    </row>
    <row r="290" ht="15.75" customHeight="1">
      <c r="A290" s="213"/>
      <c r="B290" s="213"/>
      <c r="C290" s="213"/>
      <c r="D290" s="215"/>
      <c r="E290" s="213"/>
      <c r="F290" s="215"/>
      <c r="G290" s="213"/>
      <c r="H290" s="215"/>
      <c r="I290" s="213"/>
      <c r="J290" s="215"/>
      <c r="K290" s="213"/>
      <c r="L290" s="215"/>
      <c r="M290" s="213"/>
      <c r="N290" s="213"/>
      <c r="O290" s="213"/>
      <c r="P290" s="215"/>
      <c r="Q290" s="213"/>
      <c r="R290" s="215"/>
      <c r="S290" s="213"/>
      <c r="T290" s="213"/>
      <c r="U290" s="213"/>
      <c r="V290" s="215"/>
      <c r="W290" s="213"/>
      <c r="X290" s="215"/>
      <c r="Y290" s="213"/>
      <c r="Z290" s="213"/>
      <c r="AA290" s="213"/>
      <c r="AB290" s="215"/>
      <c r="AC290" s="213"/>
      <c r="AD290" s="215"/>
      <c r="AE290" s="213"/>
      <c r="AF290" s="213"/>
      <c r="AG290" s="213"/>
      <c r="AH290" s="215"/>
      <c r="AI290" s="213"/>
      <c r="AJ290" s="215"/>
      <c r="AK290" s="213"/>
      <c r="AL290" s="213"/>
      <c r="AM290" s="213"/>
      <c r="AN290" s="215"/>
      <c r="AO290" s="213"/>
      <c r="AP290" s="215"/>
      <c r="AQ290" s="213"/>
      <c r="AR290" s="325"/>
      <c r="AS290" s="213"/>
      <c r="AT290" s="215"/>
      <c r="AU290" s="213"/>
      <c r="AV290" s="215"/>
      <c r="AW290" s="213"/>
      <c r="AX290" s="213"/>
      <c r="AY290" s="213"/>
      <c r="AZ290" s="215"/>
      <c r="BA290" s="213"/>
      <c r="BB290" s="215"/>
      <c r="BC290" s="213"/>
      <c r="BD290" s="213"/>
      <c r="BE290" s="213"/>
      <c r="BF290" s="215"/>
      <c r="BG290" s="213"/>
      <c r="BH290" s="215"/>
      <c r="BI290" s="213"/>
      <c r="BJ290" s="213"/>
      <c r="BK290" s="213"/>
      <c r="BL290" s="215"/>
      <c r="BM290" s="213"/>
      <c r="BN290" s="215"/>
      <c r="BO290" s="213"/>
      <c r="BP290" s="213"/>
      <c r="BQ290" s="213"/>
      <c r="BR290" s="326"/>
      <c r="BS290" s="213"/>
      <c r="BT290" s="215"/>
      <c r="BU290" s="213"/>
      <c r="BV290" s="213"/>
      <c r="BW290" s="213"/>
      <c r="BX290" s="213"/>
      <c r="BY290" s="213"/>
      <c r="BZ290" s="213"/>
      <c r="CA290" s="213"/>
      <c r="CB290" s="213"/>
      <c r="CC290" s="213"/>
      <c r="CD290" s="213"/>
      <c r="CE290" s="213"/>
      <c r="CF290" s="213"/>
      <c r="CG290" s="213"/>
      <c r="CH290" s="213"/>
      <c r="CI290" s="213"/>
      <c r="CJ290" s="213"/>
      <c r="CK290" s="213"/>
      <c r="CL290" s="213"/>
      <c r="CM290" s="213"/>
      <c r="CN290" s="213"/>
      <c r="CO290" s="213"/>
      <c r="CP290" s="213"/>
      <c r="CQ290" s="213"/>
    </row>
    <row r="291" ht="15.75" customHeight="1">
      <c r="A291" s="213"/>
      <c r="B291" s="213"/>
      <c r="C291" s="213"/>
      <c r="D291" s="215"/>
      <c r="E291" s="213"/>
      <c r="F291" s="215"/>
      <c r="G291" s="213"/>
      <c r="H291" s="215"/>
      <c r="I291" s="213"/>
      <c r="J291" s="215"/>
      <c r="K291" s="213"/>
      <c r="L291" s="215"/>
      <c r="M291" s="213"/>
      <c r="N291" s="213"/>
      <c r="O291" s="213"/>
      <c r="P291" s="215"/>
      <c r="Q291" s="213"/>
      <c r="R291" s="215"/>
      <c r="S291" s="213"/>
      <c r="T291" s="213"/>
      <c r="U291" s="213"/>
      <c r="V291" s="215"/>
      <c r="W291" s="213"/>
      <c r="X291" s="215"/>
      <c r="Y291" s="213"/>
      <c r="Z291" s="213"/>
      <c r="AA291" s="213"/>
      <c r="AB291" s="215"/>
      <c r="AC291" s="213"/>
      <c r="AD291" s="215"/>
      <c r="AE291" s="213"/>
      <c r="AF291" s="213"/>
      <c r="AG291" s="213"/>
      <c r="AH291" s="215"/>
      <c r="AI291" s="213"/>
      <c r="AJ291" s="215"/>
      <c r="AK291" s="213"/>
      <c r="AL291" s="213"/>
      <c r="AM291" s="213"/>
      <c r="AN291" s="215"/>
      <c r="AO291" s="213"/>
      <c r="AP291" s="215"/>
      <c r="AQ291" s="213"/>
      <c r="AR291" s="325"/>
      <c r="AS291" s="213"/>
      <c r="AT291" s="215"/>
      <c r="AU291" s="213"/>
      <c r="AV291" s="215"/>
      <c r="AW291" s="213"/>
      <c r="AX291" s="213"/>
      <c r="AY291" s="213"/>
      <c r="AZ291" s="215"/>
      <c r="BA291" s="213"/>
      <c r="BB291" s="215"/>
      <c r="BC291" s="213"/>
      <c r="BD291" s="213"/>
      <c r="BE291" s="213"/>
      <c r="BF291" s="215"/>
      <c r="BG291" s="213"/>
      <c r="BH291" s="215"/>
      <c r="BI291" s="213"/>
      <c r="BJ291" s="213"/>
      <c r="BK291" s="213"/>
      <c r="BL291" s="215"/>
      <c r="BM291" s="213"/>
      <c r="BN291" s="215"/>
      <c r="BO291" s="213"/>
      <c r="BP291" s="213"/>
      <c r="BQ291" s="213"/>
      <c r="BR291" s="326"/>
      <c r="BS291" s="213"/>
      <c r="BT291" s="215"/>
      <c r="BU291" s="213"/>
      <c r="BV291" s="213"/>
      <c r="BW291" s="213"/>
      <c r="BX291" s="213"/>
      <c r="BY291" s="213"/>
      <c r="BZ291" s="213"/>
      <c r="CA291" s="213"/>
      <c r="CB291" s="213"/>
      <c r="CC291" s="213"/>
      <c r="CD291" s="213"/>
      <c r="CE291" s="213"/>
      <c r="CF291" s="213"/>
      <c r="CG291" s="213"/>
      <c r="CH291" s="213"/>
      <c r="CI291" s="213"/>
      <c r="CJ291" s="213"/>
      <c r="CK291" s="213"/>
      <c r="CL291" s="213"/>
      <c r="CM291" s="213"/>
      <c r="CN291" s="213"/>
      <c r="CO291" s="213"/>
      <c r="CP291" s="213"/>
      <c r="CQ291" s="213"/>
    </row>
    <row r="292" ht="15.75" customHeight="1">
      <c r="A292" s="213"/>
      <c r="B292" s="213"/>
      <c r="C292" s="213"/>
      <c r="D292" s="215"/>
      <c r="E292" s="213"/>
      <c r="F292" s="215"/>
      <c r="G292" s="213"/>
      <c r="H292" s="215"/>
      <c r="I292" s="213"/>
      <c r="J292" s="215"/>
      <c r="K292" s="213"/>
      <c r="L292" s="215"/>
      <c r="M292" s="213"/>
      <c r="N292" s="213"/>
      <c r="O292" s="213"/>
      <c r="P292" s="215"/>
      <c r="Q292" s="213"/>
      <c r="R292" s="215"/>
      <c r="S292" s="213"/>
      <c r="T292" s="213"/>
      <c r="U292" s="213"/>
      <c r="V292" s="215"/>
      <c r="W292" s="213"/>
      <c r="X292" s="215"/>
      <c r="Y292" s="213"/>
      <c r="Z292" s="213"/>
      <c r="AA292" s="213"/>
      <c r="AB292" s="215"/>
      <c r="AC292" s="213"/>
      <c r="AD292" s="215"/>
      <c r="AE292" s="213"/>
      <c r="AF292" s="213"/>
      <c r="AG292" s="213"/>
      <c r="AH292" s="215"/>
      <c r="AI292" s="213"/>
      <c r="AJ292" s="215"/>
      <c r="AK292" s="213"/>
      <c r="AL292" s="213"/>
      <c r="AM292" s="213"/>
      <c r="AN292" s="215"/>
      <c r="AO292" s="213"/>
      <c r="AP292" s="215"/>
      <c r="AQ292" s="213"/>
      <c r="AR292" s="325"/>
      <c r="AS292" s="213"/>
      <c r="AT292" s="215"/>
      <c r="AU292" s="213"/>
      <c r="AV292" s="215"/>
      <c r="AW292" s="213"/>
      <c r="AX292" s="213"/>
      <c r="AY292" s="213"/>
      <c r="AZ292" s="215"/>
      <c r="BA292" s="213"/>
      <c r="BB292" s="215"/>
      <c r="BC292" s="213"/>
      <c r="BD292" s="213"/>
      <c r="BE292" s="213"/>
      <c r="BF292" s="215"/>
      <c r="BG292" s="213"/>
      <c r="BH292" s="215"/>
      <c r="BI292" s="213"/>
      <c r="BJ292" s="213"/>
      <c r="BK292" s="213"/>
      <c r="BL292" s="215"/>
      <c r="BM292" s="213"/>
      <c r="BN292" s="215"/>
      <c r="BO292" s="213"/>
      <c r="BP292" s="213"/>
      <c r="BQ292" s="213"/>
      <c r="BR292" s="326"/>
      <c r="BS292" s="213"/>
      <c r="BT292" s="215"/>
      <c r="BU292" s="213"/>
      <c r="BV292" s="213"/>
      <c r="BW292" s="213"/>
      <c r="BX292" s="213"/>
      <c r="BY292" s="213"/>
      <c r="BZ292" s="213"/>
      <c r="CA292" s="213"/>
      <c r="CB292" s="213"/>
      <c r="CC292" s="213"/>
      <c r="CD292" s="213"/>
      <c r="CE292" s="213"/>
      <c r="CF292" s="213"/>
      <c r="CG292" s="213"/>
      <c r="CH292" s="213"/>
      <c r="CI292" s="213"/>
      <c r="CJ292" s="213"/>
      <c r="CK292" s="213"/>
      <c r="CL292" s="213"/>
      <c r="CM292" s="213"/>
      <c r="CN292" s="213"/>
      <c r="CO292" s="213"/>
      <c r="CP292" s="213"/>
      <c r="CQ292" s="213"/>
    </row>
    <row r="293" ht="15.75" customHeight="1">
      <c r="A293" s="213"/>
      <c r="B293" s="213"/>
      <c r="C293" s="213"/>
      <c r="D293" s="215"/>
      <c r="E293" s="213"/>
      <c r="F293" s="215"/>
      <c r="G293" s="213"/>
      <c r="H293" s="215"/>
      <c r="I293" s="213"/>
      <c r="J293" s="215"/>
      <c r="K293" s="213"/>
      <c r="L293" s="215"/>
      <c r="M293" s="213"/>
      <c r="N293" s="213"/>
      <c r="O293" s="213"/>
      <c r="P293" s="215"/>
      <c r="Q293" s="213"/>
      <c r="R293" s="215"/>
      <c r="S293" s="213"/>
      <c r="T293" s="213"/>
      <c r="U293" s="213"/>
      <c r="V293" s="215"/>
      <c r="W293" s="213"/>
      <c r="X293" s="215"/>
      <c r="Y293" s="213"/>
      <c r="Z293" s="213"/>
      <c r="AA293" s="213"/>
      <c r="AB293" s="215"/>
      <c r="AC293" s="213"/>
      <c r="AD293" s="215"/>
      <c r="AE293" s="213"/>
      <c r="AF293" s="213"/>
      <c r="AG293" s="213"/>
      <c r="AH293" s="215"/>
      <c r="AI293" s="213"/>
      <c r="AJ293" s="215"/>
      <c r="AK293" s="213"/>
      <c r="AL293" s="213"/>
      <c r="AM293" s="213"/>
      <c r="AN293" s="215"/>
      <c r="AO293" s="213"/>
      <c r="AP293" s="215"/>
      <c r="AQ293" s="213"/>
      <c r="AR293" s="325"/>
      <c r="AS293" s="213"/>
      <c r="AT293" s="215"/>
      <c r="AU293" s="213"/>
      <c r="AV293" s="215"/>
      <c r="AW293" s="213"/>
      <c r="AX293" s="213"/>
      <c r="AY293" s="213"/>
      <c r="AZ293" s="215"/>
      <c r="BA293" s="213"/>
      <c r="BB293" s="215"/>
      <c r="BC293" s="213"/>
      <c r="BD293" s="213"/>
      <c r="BE293" s="213"/>
      <c r="BF293" s="215"/>
      <c r="BG293" s="213"/>
      <c r="BH293" s="215"/>
      <c r="BI293" s="213"/>
      <c r="BJ293" s="213"/>
      <c r="BK293" s="213"/>
      <c r="BL293" s="215"/>
      <c r="BM293" s="213"/>
      <c r="BN293" s="215"/>
      <c r="BO293" s="213"/>
      <c r="BP293" s="213"/>
      <c r="BQ293" s="213"/>
      <c r="BR293" s="326"/>
      <c r="BS293" s="213"/>
      <c r="BT293" s="215"/>
      <c r="BU293" s="213"/>
      <c r="BV293" s="213"/>
      <c r="BW293" s="213"/>
      <c r="BX293" s="213"/>
      <c r="BY293" s="213"/>
      <c r="BZ293" s="213"/>
      <c r="CA293" s="213"/>
      <c r="CB293" s="213"/>
      <c r="CC293" s="213"/>
      <c r="CD293" s="213"/>
      <c r="CE293" s="213"/>
      <c r="CF293" s="213"/>
      <c r="CG293" s="213"/>
      <c r="CH293" s="213"/>
      <c r="CI293" s="213"/>
      <c r="CJ293" s="213"/>
      <c r="CK293" s="213"/>
      <c r="CL293" s="213"/>
      <c r="CM293" s="213"/>
      <c r="CN293" s="213"/>
      <c r="CO293" s="213"/>
      <c r="CP293" s="213"/>
      <c r="CQ293" s="213"/>
    </row>
    <row r="294" ht="15.75" customHeight="1">
      <c r="A294" s="213"/>
      <c r="B294" s="213"/>
      <c r="C294" s="213"/>
      <c r="D294" s="215"/>
      <c r="E294" s="213"/>
      <c r="F294" s="215"/>
      <c r="G294" s="213"/>
      <c r="H294" s="215"/>
      <c r="I294" s="213"/>
      <c r="J294" s="215"/>
      <c r="K294" s="213"/>
      <c r="L294" s="215"/>
      <c r="M294" s="213"/>
      <c r="N294" s="213"/>
      <c r="O294" s="213"/>
      <c r="P294" s="215"/>
      <c r="Q294" s="213"/>
      <c r="R294" s="215"/>
      <c r="S294" s="213"/>
      <c r="T294" s="213"/>
      <c r="U294" s="213"/>
      <c r="V294" s="215"/>
      <c r="W294" s="213"/>
      <c r="X294" s="215"/>
      <c r="Y294" s="213"/>
      <c r="Z294" s="213"/>
      <c r="AA294" s="213"/>
      <c r="AB294" s="215"/>
      <c r="AC294" s="213"/>
      <c r="AD294" s="215"/>
      <c r="AE294" s="213"/>
      <c r="AF294" s="213"/>
      <c r="AG294" s="213"/>
      <c r="AH294" s="215"/>
      <c r="AI294" s="213"/>
      <c r="AJ294" s="215"/>
      <c r="AK294" s="213"/>
      <c r="AL294" s="213"/>
      <c r="AM294" s="213"/>
      <c r="AN294" s="215"/>
      <c r="AO294" s="213"/>
      <c r="AP294" s="215"/>
      <c r="AQ294" s="213"/>
      <c r="AR294" s="325"/>
      <c r="AS294" s="213"/>
      <c r="AT294" s="215"/>
      <c r="AU294" s="213"/>
      <c r="AV294" s="215"/>
      <c r="AW294" s="213"/>
      <c r="AX294" s="213"/>
      <c r="AY294" s="213"/>
      <c r="AZ294" s="215"/>
      <c r="BA294" s="213"/>
      <c r="BB294" s="215"/>
      <c r="BC294" s="213"/>
      <c r="BD294" s="213"/>
      <c r="BE294" s="213"/>
      <c r="BF294" s="215"/>
      <c r="BG294" s="213"/>
      <c r="BH294" s="215"/>
      <c r="BI294" s="213"/>
      <c r="BJ294" s="213"/>
      <c r="BK294" s="213"/>
      <c r="BL294" s="215"/>
      <c r="BM294" s="213"/>
      <c r="BN294" s="215"/>
      <c r="BO294" s="213"/>
      <c r="BP294" s="213"/>
      <c r="BQ294" s="213"/>
      <c r="BR294" s="326"/>
      <c r="BS294" s="213"/>
      <c r="BT294" s="215"/>
      <c r="BU294" s="213"/>
      <c r="BV294" s="213"/>
      <c r="BW294" s="213"/>
      <c r="BX294" s="213"/>
      <c r="BY294" s="213"/>
      <c r="BZ294" s="213"/>
      <c r="CA294" s="213"/>
      <c r="CB294" s="213"/>
      <c r="CC294" s="213"/>
      <c r="CD294" s="213"/>
      <c r="CE294" s="213"/>
      <c r="CF294" s="213"/>
      <c r="CG294" s="213"/>
      <c r="CH294" s="213"/>
      <c r="CI294" s="213"/>
      <c r="CJ294" s="213"/>
      <c r="CK294" s="213"/>
      <c r="CL294" s="213"/>
      <c r="CM294" s="213"/>
      <c r="CN294" s="213"/>
      <c r="CO294" s="213"/>
      <c r="CP294" s="213"/>
      <c r="CQ294" s="213"/>
    </row>
    <row r="295" ht="15.75" customHeight="1">
      <c r="A295" s="213"/>
      <c r="B295" s="213"/>
      <c r="C295" s="213"/>
      <c r="D295" s="215"/>
      <c r="E295" s="213"/>
      <c r="F295" s="215"/>
      <c r="G295" s="213"/>
      <c r="H295" s="215"/>
      <c r="I295" s="213"/>
      <c r="J295" s="215"/>
      <c r="K295" s="213"/>
      <c r="L295" s="215"/>
      <c r="M295" s="213"/>
      <c r="N295" s="213"/>
      <c r="O295" s="213"/>
      <c r="P295" s="215"/>
      <c r="Q295" s="213"/>
      <c r="R295" s="215"/>
      <c r="S295" s="213"/>
      <c r="T295" s="213"/>
      <c r="U295" s="213"/>
      <c r="V295" s="215"/>
      <c r="W295" s="213"/>
      <c r="X295" s="215"/>
      <c r="Y295" s="213"/>
      <c r="Z295" s="213"/>
      <c r="AA295" s="213"/>
      <c r="AB295" s="215"/>
      <c r="AC295" s="213"/>
      <c r="AD295" s="215"/>
      <c r="AE295" s="213"/>
      <c r="AF295" s="213"/>
      <c r="AG295" s="213"/>
      <c r="AH295" s="215"/>
      <c r="AI295" s="213"/>
      <c r="AJ295" s="215"/>
      <c r="AK295" s="213"/>
      <c r="AL295" s="213"/>
      <c r="AM295" s="213"/>
      <c r="AN295" s="215"/>
      <c r="AO295" s="213"/>
      <c r="AP295" s="215"/>
      <c r="AQ295" s="213"/>
      <c r="AR295" s="325"/>
      <c r="AS295" s="213"/>
      <c r="AT295" s="215"/>
      <c r="AU295" s="213"/>
      <c r="AV295" s="215"/>
      <c r="AW295" s="213"/>
      <c r="AX295" s="213"/>
      <c r="AY295" s="213"/>
      <c r="AZ295" s="215"/>
      <c r="BA295" s="213"/>
      <c r="BB295" s="215"/>
      <c r="BC295" s="213"/>
      <c r="BD295" s="213"/>
      <c r="BE295" s="213"/>
      <c r="BF295" s="215"/>
      <c r="BG295" s="213"/>
      <c r="BH295" s="215"/>
      <c r="BI295" s="213"/>
      <c r="BJ295" s="213"/>
      <c r="BK295" s="213"/>
      <c r="BL295" s="215"/>
      <c r="BM295" s="213"/>
      <c r="BN295" s="215"/>
      <c r="BO295" s="213"/>
      <c r="BP295" s="213"/>
      <c r="BQ295" s="213"/>
      <c r="BR295" s="326"/>
      <c r="BS295" s="213"/>
      <c r="BT295" s="215"/>
      <c r="BU295" s="213"/>
      <c r="BV295" s="213"/>
      <c r="BW295" s="213"/>
      <c r="BX295" s="213"/>
      <c r="BY295" s="213"/>
      <c r="BZ295" s="213"/>
      <c r="CA295" s="213"/>
      <c r="CB295" s="213"/>
      <c r="CC295" s="213"/>
      <c r="CD295" s="213"/>
      <c r="CE295" s="213"/>
      <c r="CF295" s="213"/>
      <c r="CG295" s="213"/>
      <c r="CH295" s="213"/>
      <c r="CI295" s="213"/>
      <c r="CJ295" s="213"/>
      <c r="CK295" s="213"/>
      <c r="CL295" s="213"/>
      <c r="CM295" s="213"/>
      <c r="CN295" s="213"/>
      <c r="CO295" s="213"/>
      <c r="CP295" s="213"/>
      <c r="CQ295" s="213"/>
    </row>
    <row r="296" ht="15.75" customHeight="1">
      <c r="A296" s="213"/>
      <c r="B296" s="213"/>
      <c r="C296" s="213"/>
      <c r="D296" s="215"/>
      <c r="E296" s="213"/>
      <c r="F296" s="215"/>
      <c r="G296" s="213"/>
      <c r="H296" s="215"/>
      <c r="I296" s="213"/>
      <c r="J296" s="215"/>
      <c r="K296" s="213"/>
      <c r="L296" s="215"/>
      <c r="M296" s="213"/>
      <c r="N296" s="213"/>
      <c r="O296" s="213"/>
      <c r="P296" s="215"/>
      <c r="Q296" s="213"/>
      <c r="R296" s="215"/>
      <c r="S296" s="213"/>
      <c r="T296" s="213"/>
      <c r="U296" s="213"/>
      <c r="V296" s="215"/>
      <c r="W296" s="213"/>
      <c r="X296" s="215"/>
      <c r="Y296" s="213"/>
      <c r="Z296" s="213"/>
      <c r="AA296" s="213"/>
      <c r="AB296" s="215"/>
      <c r="AC296" s="213"/>
      <c r="AD296" s="215"/>
      <c r="AE296" s="213"/>
      <c r="AF296" s="213"/>
      <c r="AG296" s="213"/>
      <c r="AH296" s="215"/>
      <c r="AI296" s="213"/>
      <c r="AJ296" s="215"/>
      <c r="AK296" s="213"/>
      <c r="AL296" s="213"/>
      <c r="AM296" s="213"/>
      <c r="AN296" s="215"/>
      <c r="AO296" s="213"/>
      <c r="AP296" s="215"/>
      <c r="AQ296" s="213"/>
      <c r="AR296" s="325"/>
      <c r="AS296" s="213"/>
      <c r="AT296" s="215"/>
      <c r="AU296" s="213"/>
      <c r="AV296" s="215"/>
      <c r="AW296" s="213"/>
      <c r="AX296" s="213"/>
      <c r="AY296" s="213"/>
      <c r="AZ296" s="215"/>
      <c r="BA296" s="213"/>
      <c r="BB296" s="215"/>
      <c r="BC296" s="213"/>
      <c r="BD296" s="213"/>
      <c r="BE296" s="213"/>
      <c r="BF296" s="215"/>
      <c r="BG296" s="213"/>
      <c r="BH296" s="215"/>
      <c r="BI296" s="213"/>
      <c r="BJ296" s="213"/>
      <c r="BK296" s="213"/>
      <c r="BL296" s="215"/>
      <c r="BM296" s="213"/>
      <c r="BN296" s="215"/>
      <c r="BO296" s="213"/>
      <c r="BP296" s="213"/>
      <c r="BQ296" s="213"/>
      <c r="BR296" s="326"/>
      <c r="BS296" s="213"/>
      <c r="BT296" s="215"/>
      <c r="BU296" s="213"/>
      <c r="BV296" s="213"/>
      <c r="BW296" s="213"/>
      <c r="BX296" s="213"/>
      <c r="BY296" s="213"/>
      <c r="BZ296" s="213"/>
      <c r="CA296" s="213"/>
      <c r="CB296" s="213"/>
      <c r="CC296" s="213"/>
      <c r="CD296" s="213"/>
      <c r="CE296" s="213"/>
      <c r="CF296" s="213"/>
      <c r="CG296" s="213"/>
      <c r="CH296" s="213"/>
      <c r="CI296" s="213"/>
      <c r="CJ296" s="213"/>
      <c r="CK296" s="213"/>
      <c r="CL296" s="213"/>
      <c r="CM296" s="213"/>
      <c r="CN296" s="213"/>
      <c r="CO296" s="213"/>
      <c r="CP296" s="213"/>
      <c r="CQ296" s="213"/>
    </row>
    <row r="297" ht="15.75" customHeight="1">
      <c r="A297" s="213"/>
      <c r="B297" s="213"/>
      <c r="C297" s="213"/>
      <c r="D297" s="215"/>
      <c r="E297" s="213"/>
      <c r="F297" s="215"/>
      <c r="G297" s="213"/>
      <c r="H297" s="215"/>
      <c r="I297" s="213"/>
      <c r="J297" s="215"/>
      <c r="K297" s="213"/>
      <c r="L297" s="215"/>
      <c r="M297" s="213"/>
      <c r="N297" s="213"/>
      <c r="O297" s="213"/>
      <c r="P297" s="215"/>
      <c r="Q297" s="213"/>
      <c r="R297" s="215"/>
      <c r="S297" s="213"/>
      <c r="T297" s="213"/>
      <c r="U297" s="213"/>
      <c r="V297" s="215"/>
      <c r="W297" s="213"/>
      <c r="X297" s="215"/>
      <c r="Y297" s="213"/>
      <c r="Z297" s="213"/>
      <c r="AA297" s="213"/>
      <c r="AB297" s="215"/>
      <c r="AC297" s="213"/>
      <c r="AD297" s="215"/>
      <c r="AE297" s="213"/>
      <c r="AF297" s="213"/>
      <c r="AG297" s="213"/>
      <c r="AH297" s="215"/>
      <c r="AI297" s="213"/>
      <c r="AJ297" s="215"/>
      <c r="AK297" s="213"/>
      <c r="AL297" s="213"/>
      <c r="AM297" s="213"/>
      <c r="AN297" s="215"/>
      <c r="AO297" s="213"/>
      <c r="AP297" s="215"/>
      <c r="AQ297" s="213"/>
      <c r="AR297" s="325"/>
      <c r="AS297" s="213"/>
      <c r="AT297" s="215"/>
      <c r="AU297" s="213"/>
      <c r="AV297" s="215"/>
      <c r="AW297" s="213"/>
      <c r="AX297" s="213"/>
      <c r="AY297" s="213"/>
      <c r="AZ297" s="215"/>
      <c r="BA297" s="213"/>
      <c r="BB297" s="215"/>
      <c r="BC297" s="213"/>
      <c r="BD297" s="213"/>
      <c r="BE297" s="213"/>
      <c r="BF297" s="215"/>
      <c r="BG297" s="213"/>
      <c r="BH297" s="215"/>
      <c r="BI297" s="213"/>
      <c r="BJ297" s="213"/>
      <c r="BK297" s="213"/>
      <c r="BL297" s="215"/>
      <c r="BM297" s="213"/>
      <c r="BN297" s="215"/>
      <c r="BO297" s="213"/>
      <c r="BP297" s="213"/>
      <c r="BQ297" s="213"/>
      <c r="BR297" s="326"/>
      <c r="BS297" s="213"/>
      <c r="BT297" s="215"/>
      <c r="BU297" s="213"/>
      <c r="BV297" s="213"/>
      <c r="BW297" s="213"/>
      <c r="BX297" s="213"/>
      <c r="BY297" s="213"/>
      <c r="BZ297" s="213"/>
      <c r="CA297" s="213"/>
      <c r="CB297" s="213"/>
      <c r="CC297" s="213"/>
      <c r="CD297" s="213"/>
      <c r="CE297" s="213"/>
      <c r="CF297" s="213"/>
      <c r="CG297" s="213"/>
      <c r="CH297" s="213"/>
      <c r="CI297" s="213"/>
      <c r="CJ297" s="213"/>
      <c r="CK297" s="213"/>
      <c r="CL297" s="213"/>
      <c r="CM297" s="213"/>
      <c r="CN297" s="213"/>
      <c r="CO297" s="213"/>
      <c r="CP297" s="213"/>
      <c r="CQ297" s="213"/>
    </row>
    <row r="298" ht="15.75" customHeight="1">
      <c r="A298" s="213"/>
      <c r="B298" s="213"/>
      <c r="C298" s="213"/>
      <c r="D298" s="215"/>
      <c r="E298" s="213"/>
      <c r="F298" s="215"/>
      <c r="G298" s="213"/>
      <c r="H298" s="215"/>
      <c r="I298" s="213"/>
      <c r="J298" s="215"/>
      <c r="K298" s="213"/>
      <c r="L298" s="215"/>
      <c r="M298" s="213"/>
      <c r="N298" s="213"/>
      <c r="O298" s="213"/>
      <c r="P298" s="215"/>
      <c r="Q298" s="213"/>
      <c r="R298" s="215"/>
      <c r="S298" s="213"/>
      <c r="T298" s="213"/>
      <c r="U298" s="213"/>
      <c r="V298" s="215"/>
      <c r="W298" s="213"/>
      <c r="X298" s="215"/>
      <c r="Y298" s="213"/>
      <c r="Z298" s="213"/>
      <c r="AA298" s="213"/>
      <c r="AB298" s="215"/>
      <c r="AC298" s="213"/>
      <c r="AD298" s="215"/>
      <c r="AE298" s="213"/>
      <c r="AF298" s="213"/>
      <c r="AG298" s="213"/>
      <c r="AH298" s="215"/>
      <c r="AI298" s="213"/>
      <c r="AJ298" s="215"/>
      <c r="AK298" s="213"/>
      <c r="AL298" s="213"/>
      <c r="AM298" s="213"/>
      <c r="AN298" s="215"/>
      <c r="AO298" s="213"/>
      <c r="AP298" s="215"/>
      <c r="AQ298" s="213"/>
      <c r="AR298" s="325"/>
      <c r="AS298" s="213"/>
      <c r="AT298" s="215"/>
      <c r="AU298" s="213"/>
      <c r="AV298" s="215"/>
      <c r="AW298" s="213"/>
      <c r="AX298" s="213"/>
      <c r="AY298" s="213"/>
      <c r="AZ298" s="215"/>
      <c r="BA298" s="213"/>
      <c r="BB298" s="215"/>
      <c r="BC298" s="213"/>
      <c r="BD298" s="213"/>
      <c r="BE298" s="213"/>
      <c r="BF298" s="215"/>
      <c r="BG298" s="213"/>
      <c r="BH298" s="215"/>
      <c r="BI298" s="213"/>
      <c r="BJ298" s="213"/>
      <c r="BK298" s="213"/>
      <c r="BL298" s="215"/>
      <c r="BM298" s="213"/>
      <c r="BN298" s="215"/>
      <c r="BO298" s="213"/>
      <c r="BP298" s="213"/>
      <c r="BQ298" s="213"/>
      <c r="BR298" s="326"/>
      <c r="BS298" s="213"/>
      <c r="BT298" s="215"/>
      <c r="BU298" s="213"/>
      <c r="BV298" s="213"/>
      <c r="BW298" s="213"/>
      <c r="BX298" s="213"/>
      <c r="BY298" s="213"/>
      <c r="BZ298" s="213"/>
      <c r="CA298" s="213"/>
      <c r="CB298" s="213"/>
      <c r="CC298" s="213"/>
      <c r="CD298" s="213"/>
      <c r="CE298" s="213"/>
      <c r="CF298" s="213"/>
      <c r="CG298" s="213"/>
      <c r="CH298" s="213"/>
      <c r="CI298" s="213"/>
      <c r="CJ298" s="213"/>
      <c r="CK298" s="213"/>
      <c r="CL298" s="213"/>
      <c r="CM298" s="213"/>
      <c r="CN298" s="213"/>
      <c r="CO298" s="213"/>
      <c r="CP298" s="213"/>
      <c r="CQ298" s="213"/>
    </row>
    <row r="299" ht="15.75" customHeight="1">
      <c r="A299" s="213"/>
      <c r="B299" s="213"/>
      <c r="C299" s="213"/>
      <c r="D299" s="215"/>
      <c r="E299" s="213"/>
      <c r="F299" s="215"/>
      <c r="G299" s="213"/>
      <c r="H299" s="215"/>
      <c r="I299" s="213"/>
      <c r="J299" s="215"/>
      <c r="K299" s="213"/>
      <c r="L299" s="215"/>
      <c r="M299" s="213"/>
      <c r="N299" s="213"/>
      <c r="O299" s="213"/>
      <c r="P299" s="215"/>
      <c r="Q299" s="213"/>
      <c r="R299" s="215"/>
      <c r="S299" s="213"/>
      <c r="T299" s="213"/>
      <c r="U299" s="213"/>
      <c r="V299" s="215"/>
      <c r="W299" s="213"/>
      <c r="X299" s="215"/>
      <c r="Y299" s="213"/>
      <c r="Z299" s="213"/>
      <c r="AA299" s="213"/>
      <c r="AB299" s="215"/>
      <c r="AC299" s="213"/>
      <c r="AD299" s="215"/>
      <c r="AE299" s="213"/>
      <c r="AF299" s="213"/>
      <c r="AG299" s="213"/>
      <c r="AH299" s="215"/>
      <c r="AI299" s="213"/>
      <c r="AJ299" s="215"/>
      <c r="AK299" s="213"/>
      <c r="AL299" s="213"/>
      <c r="AM299" s="213"/>
      <c r="AN299" s="215"/>
      <c r="AO299" s="213"/>
      <c r="AP299" s="215"/>
      <c r="AQ299" s="213"/>
      <c r="AR299" s="325"/>
      <c r="AS299" s="213"/>
      <c r="AT299" s="215"/>
      <c r="AU299" s="213"/>
      <c r="AV299" s="215"/>
      <c r="AW299" s="213"/>
      <c r="AX299" s="213"/>
      <c r="AY299" s="213"/>
      <c r="AZ299" s="215"/>
      <c r="BA299" s="213"/>
      <c r="BB299" s="215"/>
      <c r="BC299" s="213"/>
      <c r="BD299" s="213"/>
      <c r="BE299" s="213"/>
      <c r="BF299" s="215"/>
      <c r="BG299" s="213"/>
      <c r="BH299" s="215"/>
      <c r="BI299" s="213"/>
      <c r="BJ299" s="213"/>
      <c r="BK299" s="213"/>
      <c r="BL299" s="215"/>
      <c r="BM299" s="213"/>
      <c r="BN299" s="215"/>
      <c r="BO299" s="213"/>
      <c r="BP299" s="213"/>
      <c r="BQ299" s="213"/>
      <c r="BR299" s="326"/>
      <c r="BS299" s="213"/>
      <c r="BT299" s="215"/>
      <c r="BU299" s="213"/>
      <c r="BV299" s="213"/>
      <c r="BW299" s="213"/>
      <c r="BX299" s="213"/>
      <c r="BY299" s="213"/>
      <c r="BZ299" s="213"/>
      <c r="CA299" s="213"/>
      <c r="CB299" s="213"/>
      <c r="CC299" s="213"/>
      <c r="CD299" s="213"/>
      <c r="CE299" s="213"/>
      <c r="CF299" s="213"/>
      <c r="CG299" s="213"/>
      <c r="CH299" s="213"/>
      <c r="CI299" s="213"/>
      <c r="CJ299" s="213"/>
      <c r="CK299" s="213"/>
      <c r="CL299" s="213"/>
      <c r="CM299" s="213"/>
      <c r="CN299" s="213"/>
      <c r="CO299" s="213"/>
      <c r="CP299" s="213"/>
      <c r="CQ299" s="213"/>
    </row>
    <row r="300" ht="15.75" customHeight="1">
      <c r="A300" s="213"/>
      <c r="B300" s="213"/>
      <c r="C300" s="213"/>
      <c r="D300" s="215"/>
      <c r="E300" s="213"/>
      <c r="F300" s="215"/>
      <c r="G300" s="213"/>
      <c r="H300" s="215"/>
      <c r="I300" s="213"/>
      <c r="J300" s="215"/>
      <c r="K300" s="213"/>
      <c r="L300" s="215"/>
      <c r="M300" s="213"/>
      <c r="N300" s="213"/>
      <c r="O300" s="213"/>
      <c r="P300" s="215"/>
      <c r="Q300" s="213"/>
      <c r="R300" s="215"/>
      <c r="S300" s="213"/>
      <c r="T300" s="213"/>
      <c r="U300" s="213"/>
      <c r="V300" s="215"/>
      <c r="W300" s="213"/>
      <c r="X300" s="215"/>
      <c r="Y300" s="213"/>
      <c r="Z300" s="213"/>
      <c r="AA300" s="213"/>
      <c r="AB300" s="215"/>
      <c r="AC300" s="213"/>
      <c r="AD300" s="215"/>
      <c r="AE300" s="213"/>
      <c r="AF300" s="213"/>
      <c r="AG300" s="213"/>
      <c r="AH300" s="215"/>
      <c r="AI300" s="213"/>
      <c r="AJ300" s="215"/>
      <c r="AK300" s="213"/>
      <c r="AL300" s="213"/>
      <c r="AM300" s="213"/>
      <c r="AN300" s="215"/>
      <c r="AO300" s="213"/>
      <c r="AP300" s="215"/>
      <c r="AQ300" s="213"/>
      <c r="AR300" s="325"/>
      <c r="AS300" s="213"/>
      <c r="AT300" s="215"/>
      <c r="AU300" s="213"/>
      <c r="AV300" s="215"/>
      <c r="AW300" s="213"/>
      <c r="AX300" s="213"/>
      <c r="AY300" s="213"/>
      <c r="AZ300" s="215"/>
      <c r="BA300" s="213"/>
      <c r="BB300" s="215"/>
      <c r="BC300" s="213"/>
      <c r="BD300" s="213"/>
      <c r="BE300" s="213"/>
      <c r="BF300" s="215"/>
      <c r="BG300" s="213"/>
      <c r="BH300" s="215"/>
      <c r="BI300" s="213"/>
      <c r="BJ300" s="213"/>
      <c r="BK300" s="213"/>
      <c r="BL300" s="215"/>
      <c r="BM300" s="213"/>
      <c r="BN300" s="215"/>
      <c r="BO300" s="213"/>
      <c r="BP300" s="213"/>
      <c r="BQ300" s="213"/>
      <c r="BR300" s="326"/>
      <c r="BS300" s="213"/>
      <c r="BT300" s="215"/>
      <c r="BU300" s="213"/>
      <c r="BV300" s="213"/>
      <c r="BW300" s="213"/>
      <c r="BX300" s="213"/>
      <c r="BY300" s="213"/>
      <c r="BZ300" s="213"/>
      <c r="CA300" s="213"/>
      <c r="CB300" s="213"/>
      <c r="CC300" s="213"/>
      <c r="CD300" s="213"/>
      <c r="CE300" s="213"/>
      <c r="CF300" s="213"/>
      <c r="CG300" s="213"/>
      <c r="CH300" s="213"/>
      <c r="CI300" s="213"/>
      <c r="CJ300" s="213"/>
      <c r="CK300" s="213"/>
      <c r="CL300" s="213"/>
      <c r="CM300" s="213"/>
      <c r="CN300" s="213"/>
      <c r="CO300" s="213"/>
      <c r="CP300" s="213"/>
      <c r="CQ300" s="213"/>
    </row>
    <row r="301" ht="15.75" customHeight="1">
      <c r="A301" s="213"/>
      <c r="B301" s="213"/>
      <c r="C301" s="213"/>
      <c r="D301" s="215"/>
      <c r="E301" s="213"/>
      <c r="F301" s="215"/>
      <c r="G301" s="213"/>
      <c r="H301" s="215"/>
      <c r="I301" s="213"/>
      <c r="J301" s="215"/>
      <c r="K301" s="213"/>
      <c r="L301" s="215"/>
      <c r="M301" s="213"/>
      <c r="N301" s="213"/>
      <c r="O301" s="213"/>
      <c r="P301" s="215"/>
      <c r="Q301" s="213"/>
      <c r="R301" s="215"/>
      <c r="S301" s="213"/>
      <c r="T301" s="213"/>
      <c r="U301" s="213"/>
      <c r="V301" s="215"/>
      <c r="W301" s="213"/>
      <c r="X301" s="215"/>
      <c r="Y301" s="213"/>
      <c r="Z301" s="213"/>
      <c r="AA301" s="213"/>
      <c r="AB301" s="215"/>
      <c r="AC301" s="213"/>
      <c r="AD301" s="215"/>
      <c r="AE301" s="213"/>
      <c r="AF301" s="213"/>
      <c r="AG301" s="213"/>
      <c r="AH301" s="215"/>
      <c r="AI301" s="213"/>
      <c r="AJ301" s="215"/>
      <c r="AK301" s="213"/>
      <c r="AL301" s="213"/>
      <c r="AM301" s="213"/>
      <c r="AN301" s="215"/>
      <c r="AO301" s="213"/>
      <c r="AP301" s="215"/>
      <c r="AQ301" s="213"/>
      <c r="AR301" s="325"/>
      <c r="AS301" s="213"/>
      <c r="AT301" s="215"/>
      <c r="AU301" s="213"/>
      <c r="AV301" s="215"/>
      <c r="AW301" s="213"/>
      <c r="AX301" s="213"/>
      <c r="AY301" s="213"/>
      <c r="AZ301" s="215"/>
      <c r="BA301" s="213"/>
      <c r="BB301" s="215"/>
      <c r="BC301" s="213"/>
      <c r="BD301" s="213"/>
      <c r="BE301" s="213"/>
      <c r="BF301" s="215"/>
      <c r="BG301" s="213"/>
      <c r="BH301" s="215"/>
      <c r="BI301" s="213"/>
      <c r="BJ301" s="213"/>
      <c r="BK301" s="213"/>
      <c r="BL301" s="215"/>
      <c r="BM301" s="213"/>
      <c r="BN301" s="215"/>
      <c r="BO301" s="213"/>
      <c r="BP301" s="213"/>
      <c r="BQ301" s="213"/>
      <c r="BR301" s="326"/>
      <c r="BS301" s="213"/>
      <c r="BT301" s="215"/>
      <c r="BU301" s="213"/>
      <c r="BV301" s="213"/>
      <c r="BW301" s="213"/>
      <c r="BX301" s="213"/>
      <c r="BY301" s="213"/>
      <c r="BZ301" s="213"/>
      <c r="CA301" s="213"/>
      <c r="CB301" s="213"/>
      <c r="CC301" s="213"/>
      <c r="CD301" s="213"/>
      <c r="CE301" s="213"/>
      <c r="CF301" s="213"/>
      <c r="CG301" s="213"/>
      <c r="CH301" s="213"/>
      <c r="CI301" s="213"/>
      <c r="CJ301" s="213"/>
      <c r="CK301" s="213"/>
      <c r="CL301" s="213"/>
      <c r="CM301" s="213"/>
      <c r="CN301" s="213"/>
      <c r="CO301" s="213"/>
      <c r="CP301" s="213"/>
      <c r="CQ301" s="213"/>
    </row>
    <row r="302" ht="15.75" customHeight="1">
      <c r="A302" s="213"/>
      <c r="B302" s="213"/>
      <c r="C302" s="213"/>
      <c r="D302" s="215"/>
      <c r="E302" s="213"/>
      <c r="F302" s="215"/>
      <c r="G302" s="213"/>
      <c r="H302" s="215"/>
      <c r="I302" s="213"/>
      <c r="J302" s="215"/>
      <c r="K302" s="213"/>
      <c r="L302" s="215"/>
      <c r="M302" s="213"/>
      <c r="N302" s="213"/>
      <c r="O302" s="213"/>
      <c r="P302" s="215"/>
      <c r="Q302" s="213"/>
      <c r="R302" s="215"/>
      <c r="S302" s="213"/>
      <c r="T302" s="213"/>
      <c r="U302" s="213"/>
      <c r="V302" s="215"/>
      <c r="W302" s="213"/>
      <c r="X302" s="215"/>
      <c r="Y302" s="213"/>
      <c r="Z302" s="213"/>
      <c r="AA302" s="213"/>
      <c r="AB302" s="215"/>
      <c r="AC302" s="213"/>
      <c r="AD302" s="215"/>
      <c r="AE302" s="213"/>
      <c r="AF302" s="213"/>
      <c r="AG302" s="213"/>
      <c r="AH302" s="215"/>
      <c r="AI302" s="213"/>
      <c r="AJ302" s="215"/>
      <c r="AK302" s="213"/>
      <c r="AL302" s="213"/>
      <c r="AM302" s="213"/>
      <c r="AN302" s="215"/>
      <c r="AO302" s="213"/>
      <c r="AP302" s="215"/>
      <c r="AQ302" s="213"/>
      <c r="AR302" s="325"/>
      <c r="AS302" s="213"/>
      <c r="AT302" s="215"/>
      <c r="AU302" s="213"/>
      <c r="AV302" s="215"/>
      <c r="AW302" s="213"/>
      <c r="AX302" s="213"/>
      <c r="AY302" s="213"/>
      <c r="AZ302" s="215"/>
      <c r="BA302" s="213"/>
      <c r="BB302" s="215"/>
      <c r="BC302" s="213"/>
      <c r="BD302" s="213"/>
      <c r="BE302" s="213"/>
      <c r="BF302" s="215"/>
      <c r="BG302" s="213"/>
      <c r="BH302" s="215"/>
      <c r="BI302" s="213"/>
      <c r="BJ302" s="213"/>
      <c r="BK302" s="213"/>
      <c r="BL302" s="215"/>
      <c r="BM302" s="213"/>
      <c r="BN302" s="215"/>
      <c r="BO302" s="213"/>
      <c r="BP302" s="213"/>
      <c r="BQ302" s="213"/>
      <c r="BR302" s="326"/>
      <c r="BS302" s="213"/>
      <c r="BT302" s="215"/>
      <c r="BU302" s="213"/>
      <c r="BV302" s="213"/>
      <c r="BW302" s="213"/>
      <c r="BX302" s="213"/>
      <c r="BY302" s="213"/>
      <c r="BZ302" s="213"/>
      <c r="CA302" s="213"/>
      <c r="CB302" s="213"/>
      <c r="CC302" s="213"/>
      <c r="CD302" s="213"/>
      <c r="CE302" s="213"/>
      <c r="CF302" s="213"/>
      <c r="CG302" s="213"/>
      <c r="CH302" s="213"/>
      <c r="CI302" s="213"/>
      <c r="CJ302" s="213"/>
      <c r="CK302" s="213"/>
      <c r="CL302" s="213"/>
      <c r="CM302" s="213"/>
      <c r="CN302" s="213"/>
      <c r="CO302" s="213"/>
      <c r="CP302" s="213"/>
      <c r="CQ302" s="213"/>
    </row>
    <row r="303" ht="15.75" customHeight="1">
      <c r="A303" s="213"/>
      <c r="B303" s="213"/>
      <c r="C303" s="213"/>
      <c r="D303" s="215"/>
      <c r="E303" s="213"/>
      <c r="F303" s="215"/>
      <c r="G303" s="213"/>
      <c r="H303" s="215"/>
      <c r="I303" s="213"/>
      <c r="J303" s="215"/>
      <c r="K303" s="213"/>
      <c r="L303" s="215"/>
      <c r="M303" s="213"/>
      <c r="N303" s="213"/>
      <c r="O303" s="213"/>
      <c r="P303" s="215"/>
      <c r="Q303" s="213"/>
      <c r="R303" s="215"/>
      <c r="S303" s="213"/>
      <c r="T303" s="213"/>
      <c r="U303" s="213"/>
      <c r="V303" s="215"/>
      <c r="W303" s="213"/>
      <c r="X303" s="215"/>
      <c r="Y303" s="213"/>
      <c r="Z303" s="213"/>
      <c r="AA303" s="213"/>
      <c r="AB303" s="215"/>
      <c r="AC303" s="213"/>
      <c r="AD303" s="215"/>
      <c r="AE303" s="213"/>
      <c r="AF303" s="213"/>
      <c r="AG303" s="213"/>
      <c r="AH303" s="215"/>
      <c r="AI303" s="213"/>
      <c r="AJ303" s="215"/>
      <c r="AK303" s="213"/>
      <c r="AL303" s="213"/>
      <c r="AM303" s="213"/>
      <c r="AN303" s="215"/>
      <c r="AO303" s="213"/>
      <c r="AP303" s="215"/>
      <c r="AQ303" s="213"/>
      <c r="AR303" s="325"/>
      <c r="AS303" s="213"/>
      <c r="AT303" s="215"/>
      <c r="AU303" s="213"/>
      <c r="AV303" s="215"/>
      <c r="AW303" s="213"/>
      <c r="AX303" s="213"/>
      <c r="AY303" s="213"/>
      <c r="AZ303" s="215"/>
      <c r="BA303" s="213"/>
      <c r="BB303" s="215"/>
      <c r="BC303" s="213"/>
      <c r="BD303" s="213"/>
      <c r="BE303" s="213"/>
      <c r="BF303" s="215"/>
      <c r="BG303" s="213"/>
      <c r="BH303" s="215"/>
      <c r="BI303" s="213"/>
      <c r="BJ303" s="213"/>
      <c r="BK303" s="213"/>
      <c r="BL303" s="215"/>
      <c r="BM303" s="213"/>
      <c r="BN303" s="215"/>
      <c r="BO303" s="213"/>
      <c r="BP303" s="213"/>
      <c r="BQ303" s="213"/>
      <c r="BR303" s="326"/>
      <c r="BS303" s="213"/>
      <c r="BT303" s="215"/>
      <c r="BU303" s="213"/>
      <c r="BV303" s="213"/>
      <c r="BW303" s="213"/>
      <c r="BX303" s="213"/>
      <c r="BY303" s="213"/>
      <c r="BZ303" s="213"/>
      <c r="CA303" s="213"/>
      <c r="CB303" s="213"/>
      <c r="CC303" s="213"/>
      <c r="CD303" s="213"/>
      <c r="CE303" s="213"/>
      <c r="CF303" s="213"/>
      <c r="CG303" s="213"/>
      <c r="CH303" s="213"/>
      <c r="CI303" s="213"/>
      <c r="CJ303" s="213"/>
      <c r="CK303" s="213"/>
      <c r="CL303" s="213"/>
      <c r="CM303" s="213"/>
      <c r="CN303" s="213"/>
      <c r="CO303" s="213"/>
      <c r="CP303" s="213"/>
      <c r="CQ303" s="213"/>
    </row>
    <row r="304" ht="15.75" customHeight="1">
      <c r="A304" s="213"/>
      <c r="B304" s="213"/>
      <c r="C304" s="213"/>
      <c r="D304" s="215"/>
      <c r="E304" s="213"/>
      <c r="F304" s="215"/>
      <c r="G304" s="213"/>
      <c r="H304" s="215"/>
      <c r="I304" s="213"/>
      <c r="J304" s="215"/>
      <c r="K304" s="213"/>
      <c r="L304" s="215"/>
      <c r="M304" s="213"/>
      <c r="N304" s="213"/>
      <c r="O304" s="213"/>
      <c r="P304" s="215"/>
      <c r="Q304" s="213"/>
      <c r="R304" s="215"/>
      <c r="S304" s="213"/>
      <c r="T304" s="213"/>
      <c r="U304" s="213"/>
      <c r="V304" s="215"/>
      <c r="W304" s="213"/>
      <c r="X304" s="215"/>
      <c r="Y304" s="213"/>
      <c r="Z304" s="213"/>
      <c r="AA304" s="213"/>
      <c r="AB304" s="215"/>
      <c r="AC304" s="213"/>
      <c r="AD304" s="215"/>
      <c r="AE304" s="213"/>
      <c r="AF304" s="213"/>
      <c r="AG304" s="213"/>
      <c r="AH304" s="215"/>
      <c r="AI304" s="213"/>
      <c r="AJ304" s="215"/>
      <c r="AK304" s="213"/>
      <c r="AL304" s="213"/>
      <c r="AM304" s="213"/>
      <c r="AN304" s="215"/>
      <c r="AO304" s="213"/>
      <c r="AP304" s="215"/>
      <c r="AQ304" s="213"/>
      <c r="AR304" s="325"/>
      <c r="AS304" s="213"/>
      <c r="AT304" s="215"/>
      <c r="AU304" s="213"/>
      <c r="AV304" s="215"/>
      <c r="AW304" s="213"/>
      <c r="AX304" s="213"/>
      <c r="AY304" s="213"/>
      <c r="AZ304" s="215"/>
      <c r="BA304" s="213"/>
      <c r="BB304" s="215"/>
      <c r="BC304" s="213"/>
      <c r="BD304" s="213"/>
      <c r="BE304" s="213"/>
      <c r="BF304" s="215"/>
      <c r="BG304" s="213"/>
      <c r="BH304" s="215"/>
      <c r="BI304" s="213"/>
      <c r="BJ304" s="213"/>
      <c r="BK304" s="213"/>
      <c r="BL304" s="215"/>
      <c r="BM304" s="213"/>
      <c r="BN304" s="215"/>
      <c r="BO304" s="213"/>
      <c r="BP304" s="213"/>
      <c r="BQ304" s="213"/>
      <c r="BR304" s="326"/>
      <c r="BS304" s="213"/>
      <c r="BT304" s="215"/>
      <c r="BU304" s="213"/>
      <c r="BV304" s="213"/>
      <c r="BW304" s="213"/>
      <c r="BX304" s="213"/>
      <c r="BY304" s="213"/>
      <c r="BZ304" s="213"/>
      <c r="CA304" s="213"/>
      <c r="CB304" s="213"/>
      <c r="CC304" s="213"/>
      <c r="CD304" s="213"/>
      <c r="CE304" s="213"/>
      <c r="CF304" s="213"/>
      <c r="CG304" s="213"/>
      <c r="CH304" s="213"/>
      <c r="CI304" s="213"/>
      <c r="CJ304" s="213"/>
      <c r="CK304" s="213"/>
      <c r="CL304" s="213"/>
      <c r="CM304" s="213"/>
      <c r="CN304" s="213"/>
      <c r="CO304" s="213"/>
      <c r="CP304" s="213"/>
      <c r="CQ304" s="213"/>
    </row>
    <row r="305" ht="15.75" customHeight="1">
      <c r="A305" s="213"/>
      <c r="B305" s="213"/>
      <c r="C305" s="213"/>
      <c r="D305" s="215"/>
      <c r="E305" s="213"/>
      <c r="F305" s="215"/>
      <c r="G305" s="213"/>
      <c r="H305" s="215"/>
      <c r="I305" s="213"/>
      <c r="J305" s="215"/>
      <c r="K305" s="213"/>
      <c r="L305" s="215"/>
      <c r="M305" s="213"/>
      <c r="N305" s="213"/>
      <c r="O305" s="213"/>
      <c r="P305" s="215"/>
      <c r="Q305" s="213"/>
      <c r="R305" s="215"/>
      <c r="S305" s="213"/>
      <c r="T305" s="213"/>
      <c r="U305" s="213"/>
      <c r="V305" s="215"/>
      <c r="W305" s="213"/>
      <c r="X305" s="215"/>
      <c r="Y305" s="213"/>
      <c r="Z305" s="213"/>
      <c r="AA305" s="213"/>
      <c r="AB305" s="215"/>
      <c r="AC305" s="213"/>
      <c r="AD305" s="215"/>
      <c r="AE305" s="213"/>
      <c r="AF305" s="213"/>
      <c r="AG305" s="213"/>
      <c r="AH305" s="215"/>
      <c r="AI305" s="213"/>
      <c r="AJ305" s="215"/>
      <c r="AK305" s="213"/>
      <c r="AL305" s="213"/>
      <c r="AM305" s="213"/>
      <c r="AN305" s="215"/>
      <c r="AO305" s="213"/>
      <c r="AP305" s="215"/>
      <c r="AQ305" s="213"/>
      <c r="AR305" s="325"/>
      <c r="AS305" s="213"/>
      <c r="AT305" s="215"/>
      <c r="AU305" s="213"/>
      <c r="AV305" s="215"/>
      <c r="AW305" s="213"/>
      <c r="AX305" s="213"/>
      <c r="AY305" s="213"/>
      <c r="AZ305" s="215"/>
      <c r="BA305" s="213"/>
      <c r="BB305" s="215"/>
      <c r="BC305" s="213"/>
      <c r="BD305" s="213"/>
      <c r="BE305" s="213"/>
      <c r="BF305" s="215"/>
      <c r="BG305" s="213"/>
      <c r="BH305" s="215"/>
      <c r="BI305" s="213"/>
      <c r="BJ305" s="213"/>
      <c r="BK305" s="213"/>
      <c r="BL305" s="215"/>
      <c r="BM305" s="213"/>
      <c r="BN305" s="215"/>
      <c r="BO305" s="213"/>
      <c r="BP305" s="213"/>
      <c r="BQ305" s="213"/>
      <c r="BR305" s="326"/>
      <c r="BS305" s="213"/>
      <c r="BT305" s="215"/>
      <c r="BU305" s="213"/>
      <c r="BV305" s="213"/>
      <c r="BW305" s="213"/>
      <c r="BX305" s="213"/>
      <c r="BY305" s="213"/>
      <c r="BZ305" s="213"/>
      <c r="CA305" s="213"/>
      <c r="CB305" s="213"/>
      <c r="CC305" s="213"/>
      <c r="CD305" s="213"/>
      <c r="CE305" s="213"/>
      <c r="CF305" s="213"/>
      <c r="CG305" s="213"/>
      <c r="CH305" s="213"/>
      <c r="CI305" s="213"/>
      <c r="CJ305" s="213"/>
      <c r="CK305" s="213"/>
      <c r="CL305" s="213"/>
      <c r="CM305" s="213"/>
      <c r="CN305" s="213"/>
      <c r="CO305" s="213"/>
      <c r="CP305" s="213"/>
      <c r="CQ305" s="213"/>
    </row>
    <row r="306" ht="15.75" customHeight="1">
      <c r="A306" s="213"/>
      <c r="B306" s="213"/>
      <c r="C306" s="213"/>
      <c r="D306" s="215"/>
      <c r="E306" s="213"/>
      <c r="F306" s="215"/>
      <c r="G306" s="213"/>
      <c r="H306" s="215"/>
      <c r="I306" s="213"/>
      <c r="J306" s="215"/>
      <c r="K306" s="213"/>
      <c r="L306" s="215"/>
      <c r="M306" s="213"/>
      <c r="N306" s="213"/>
      <c r="O306" s="213"/>
      <c r="P306" s="215"/>
      <c r="Q306" s="213"/>
      <c r="R306" s="215"/>
      <c r="S306" s="213"/>
      <c r="T306" s="213"/>
      <c r="U306" s="213"/>
      <c r="V306" s="215"/>
      <c r="W306" s="213"/>
      <c r="X306" s="215"/>
      <c r="Y306" s="213"/>
      <c r="Z306" s="213"/>
      <c r="AA306" s="213"/>
      <c r="AB306" s="215"/>
      <c r="AC306" s="213"/>
      <c r="AD306" s="215"/>
      <c r="AE306" s="213"/>
      <c r="AF306" s="213"/>
      <c r="AG306" s="213"/>
      <c r="AH306" s="215"/>
      <c r="AI306" s="213"/>
      <c r="AJ306" s="215"/>
      <c r="AK306" s="213"/>
      <c r="AL306" s="213"/>
      <c r="AM306" s="213"/>
      <c r="AN306" s="215"/>
      <c r="AO306" s="213"/>
      <c r="AP306" s="215"/>
      <c r="AQ306" s="213"/>
      <c r="AR306" s="325"/>
      <c r="AS306" s="213"/>
      <c r="AT306" s="215"/>
      <c r="AU306" s="213"/>
      <c r="AV306" s="215"/>
      <c r="AW306" s="213"/>
      <c r="AX306" s="213"/>
      <c r="AY306" s="213"/>
      <c r="AZ306" s="215"/>
      <c r="BA306" s="213"/>
      <c r="BB306" s="215"/>
      <c r="BC306" s="213"/>
      <c r="BD306" s="213"/>
      <c r="BE306" s="213"/>
      <c r="BF306" s="215"/>
      <c r="BG306" s="213"/>
      <c r="BH306" s="215"/>
      <c r="BI306" s="213"/>
      <c r="BJ306" s="213"/>
      <c r="BK306" s="213"/>
      <c r="BL306" s="215"/>
      <c r="BM306" s="213"/>
      <c r="BN306" s="215"/>
      <c r="BO306" s="213"/>
      <c r="BP306" s="213"/>
      <c r="BQ306" s="213"/>
      <c r="BR306" s="326"/>
      <c r="BS306" s="213"/>
      <c r="BT306" s="215"/>
      <c r="BU306" s="213"/>
      <c r="BV306" s="213"/>
      <c r="BW306" s="213"/>
      <c r="BX306" s="213"/>
      <c r="BY306" s="213"/>
      <c r="BZ306" s="213"/>
      <c r="CA306" s="213"/>
      <c r="CB306" s="213"/>
      <c r="CC306" s="213"/>
      <c r="CD306" s="213"/>
      <c r="CE306" s="213"/>
      <c r="CF306" s="213"/>
      <c r="CG306" s="213"/>
      <c r="CH306" s="213"/>
      <c r="CI306" s="213"/>
      <c r="CJ306" s="213"/>
      <c r="CK306" s="213"/>
      <c r="CL306" s="213"/>
      <c r="CM306" s="213"/>
      <c r="CN306" s="213"/>
      <c r="CO306" s="213"/>
      <c r="CP306" s="213"/>
      <c r="CQ306" s="213"/>
    </row>
    <row r="307" ht="15.75" customHeight="1">
      <c r="A307" s="213"/>
      <c r="B307" s="213"/>
      <c r="C307" s="213"/>
      <c r="D307" s="215"/>
      <c r="E307" s="213"/>
      <c r="F307" s="215"/>
      <c r="G307" s="213"/>
      <c r="H307" s="215"/>
      <c r="I307" s="213"/>
      <c r="J307" s="215"/>
      <c r="K307" s="213"/>
      <c r="L307" s="215"/>
      <c r="M307" s="213"/>
      <c r="N307" s="213"/>
      <c r="O307" s="213"/>
      <c r="P307" s="215"/>
      <c r="Q307" s="213"/>
      <c r="R307" s="215"/>
      <c r="S307" s="213"/>
      <c r="T307" s="213"/>
      <c r="U307" s="213"/>
      <c r="V307" s="215"/>
      <c r="W307" s="213"/>
      <c r="X307" s="215"/>
      <c r="Y307" s="213"/>
      <c r="Z307" s="213"/>
      <c r="AA307" s="213"/>
      <c r="AB307" s="215"/>
      <c r="AC307" s="213"/>
      <c r="AD307" s="215"/>
      <c r="AE307" s="213"/>
      <c r="AF307" s="213"/>
      <c r="AG307" s="213"/>
      <c r="AH307" s="215"/>
      <c r="AI307" s="213"/>
      <c r="AJ307" s="215"/>
      <c r="AK307" s="213"/>
      <c r="AL307" s="213"/>
      <c r="AM307" s="213"/>
      <c r="AN307" s="215"/>
      <c r="AO307" s="213"/>
      <c r="AP307" s="215"/>
      <c r="AQ307" s="213"/>
      <c r="AR307" s="325"/>
      <c r="AS307" s="213"/>
      <c r="AT307" s="215"/>
      <c r="AU307" s="213"/>
      <c r="AV307" s="215"/>
      <c r="AW307" s="213"/>
      <c r="AX307" s="213"/>
      <c r="AY307" s="213"/>
      <c r="AZ307" s="215"/>
      <c r="BA307" s="213"/>
      <c r="BB307" s="215"/>
      <c r="BC307" s="213"/>
      <c r="BD307" s="213"/>
      <c r="BE307" s="213"/>
      <c r="BF307" s="215"/>
      <c r="BG307" s="213"/>
      <c r="BH307" s="215"/>
      <c r="BI307" s="213"/>
      <c r="BJ307" s="213"/>
      <c r="BK307" s="213"/>
      <c r="BL307" s="215"/>
      <c r="BM307" s="213"/>
      <c r="BN307" s="215"/>
      <c r="BO307" s="213"/>
      <c r="BP307" s="213"/>
      <c r="BQ307" s="213"/>
      <c r="BR307" s="326"/>
      <c r="BS307" s="213"/>
      <c r="BT307" s="215"/>
      <c r="BU307" s="213"/>
      <c r="BV307" s="213"/>
      <c r="BW307" s="213"/>
      <c r="BX307" s="213"/>
      <c r="BY307" s="213"/>
      <c r="BZ307" s="213"/>
      <c r="CA307" s="213"/>
      <c r="CB307" s="213"/>
      <c r="CC307" s="213"/>
      <c r="CD307" s="213"/>
      <c r="CE307" s="213"/>
      <c r="CF307" s="213"/>
      <c r="CG307" s="213"/>
      <c r="CH307" s="213"/>
      <c r="CI307" s="213"/>
      <c r="CJ307" s="213"/>
      <c r="CK307" s="213"/>
      <c r="CL307" s="213"/>
      <c r="CM307" s="213"/>
      <c r="CN307" s="213"/>
      <c r="CO307" s="213"/>
      <c r="CP307" s="213"/>
      <c r="CQ307" s="213"/>
    </row>
    <row r="308" ht="15.75" customHeight="1">
      <c r="A308" s="213"/>
      <c r="B308" s="213"/>
      <c r="C308" s="213"/>
      <c r="D308" s="215"/>
      <c r="E308" s="213"/>
      <c r="F308" s="215"/>
      <c r="G308" s="213"/>
      <c r="H308" s="215"/>
      <c r="I308" s="213"/>
      <c r="J308" s="215"/>
      <c r="K308" s="213"/>
      <c r="L308" s="215"/>
      <c r="M308" s="213"/>
      <c r="N308" s="213"/>
      <c r="O308" s="213"/>
      <c r="P308" s="215"/>
      <c r="Q308" s="213"/>
      <c r="R308" s="215"/>
      <c r="S308" s="213"/>
      <c r="T308" s="213"/>
      <c r="U308" s="213"/>
      <c r="V308" s="215"/>
      <c r="W308" s="213"/>
      <c r="X308" s="215"/>
      <c r="Y308" s="213"/>
      <c r="Z308" s="213"/>
      <c r="AA308" s="213"/>
      <c r="AB308" s="215"/>
      <c r="AC308" s="213"/>
      <c r="AD308" s="215"/>
      <c r="AE308" s="213"/>
      <c r="AF308" s="213"/>
      <c r="AG308" s="213"/>
      <c r="AH308" s="215"/>
      <c r="AI308" s="213"/>
      <c r="AJ308" s="215"/>
      <c r="AK308" s="213"/>
      <c r="AL308" s="213"/>
      <c r="AM308" s="213"/>
      <c r="AN308" s="215"/>
      <c r="AO308" s="213"/>
      <c r="AP308" s="215"/>
      <c r="AQ308" s="213"/>
      <c r="AR308" s="325"/>
      <c r="AS308" s="213"/>
      <c r="AT308" s="215"/>
      <c r="AU308" s="213"/>
      <c r="AV308" s="215"/>
      <c r="AW308" s="213"/>
      <c r="AX308" s="213"/>
      <c r="AY308" s="213"/>
      <c r="AZ308" s="215"/>
      <c r="BA308" s="213"/>
      <c r="BB308" s="215"/>
      <c r="BC308" s="213"/>
      <c r="BD308" s="213"/>
      <c r="BE308" s="213"/>
      <c r="BF308" s="215"/>
      <c r="BG308" s="213"/>
      <c r="BH308" s="215"/>
      <c r="BI308" s="213"/>
      <c r="BJ308" s="213"/>
      <c r="BK308" s="213"/>
      <c r="BL308" s="215"/>
      <c r="BM308" s="213"/>
      <c r="BN308" s="215"/>
      <c r="BO308" s="213"/>
      <c r="BP308" s="213"/>
      <c r="BQ308" s="213"/>
      <c r="BR308" s="326"/>
      <c r="BS308" s="213"/>
      <c r="BT308" s="215"/>
      <c r="BU308" s="213"/>
      <c r="BV308" s="213"/>
      <c r="BW308" s="213"/>
      <c r="BX308" s="213"/>
      <c r="BY308" s="213"/>
      <c r="BZ308" s="213"/>
      <c r="CA308" s="213"/>
      <c r="CB308" s="213"/>
      <c r="CC308" s="213"/>
      <c r="CD308" s="213"/>
      <c r="CE308" s="213"/>
      <c r="CF308" s="213"/>
      <c r="CG308" s="213"/>
      <c r="CH308" s="213"/>
      <c r="CI308" s="213"/>
      <c r="CJ308" s="213"/>
      <c r="CK308" s="213"/>
      <c r="CL308" s="213"/>
      <c r="CM308" s="213"/>
      <c r="CN308" s="213"/>
      <c r="CO308" s="213"/>
      <c r="CP308" s="213"/>
      <c r="CQ308" s="213"/>
    </row>
    <row r="309" ht="15.75" customHeight="1">
      <c r="A309" s="213"/>
      <c r="B309" s="213"/>
      <c r="C309" s="213"/>
      <c r="D309" s="215"/>
      <c r="E309" s="213"/>
      <c r="F309" s="215"/>
      <c r="G309" s="213"/>
      <c r="H309" s="215"/>
      <c r="I309" s="213"/>
      <c r="J309" s="215"/>
      <c r="K309" s="213"/>
      <c r="L309" s="215"/>
      <c r="M309" s="213"/>
      <c r="N309" s="213"/>
      <c r="O309" s="213"/>
      <c r="P309" s="215"/>
      <c r="Q309" s="213"/>
      <c r="R309" s="215"/>
      <c r="S309" s="213"/>
      <c r="T309" s="213"/>
      <c r="U309" s="213"/>
      <c r="V309" s="215"/>
      <c r="W309" s="213"/>
      <c r="X309" s="215"/>
      <c r="Y309" s="213"/>
      <c r="Z309" s="213"/>
      <c r="AA309" s="213"/>
      <c r="AB309" s="215"/>
      <c r="AC309" s="213"/>
      <c r="AD309" s="215"/>
      <c r="AE309" s="213"/>
      <c r="AF309" s="213"/>
      <c r="AG309" s="213"/>
      <c r="AH309" s="215"/>
      <c r="AI309" s="213"/>
      <c r="AJ309" s="215"/>
      <c r="AK309" s="213"/>
      <c r="AL309" s="213"/>
      <c r="AM309" s="213"/>
      <c r="AN309" s="215"/>
      <c r="AO309" s="213"/>
      <c r="AP309" s="215"/>
      <c r="AQ309" s="213"/>
      <c r="AR309" s="325"/>
      <c r="AS309" s="213"/>
      <c r="AT309" s="215"/>
      <c r="AU309" s="213"/>
      <c r="AV309" s="215"/>
      <c r="AW309" s="213"/>
      <c r="AX309" s="213"/>
      <c r="AY309" s="213"/>
      <c r="AZ309" s="215"/>
      <c r="BA309" s="213"/>
      <c r="BB309" s="215"/>
      <c r="BC309" s="213"/>
      <c r="BD309" s="213"/>
      <c r="BE309" s="213"/>
      <c r="BF309" s="215"/>
      <c r="BG309" s="213"/>
      <c r="BH309" s="215"/>
      <c r="BI309" s="213"/>
      <c r="BJ309" s="213"/>
      <c r="BK309" s="213"/>
      <c r="BL309" s="215"/>
      <c r="BM309" s="213"/>
      <c r="BN309" s="215"/>
      <c r="BO309" s="213"/>
      <c r="BP309" s="213"/>
      <c r="BQ309" s="213"/>
      <c r="BR309" s="326"/>
      <c r="BS309" s="213"/>
      <c r="BT309" s="215"/>
      <c r="BU309" s="213"/>
      <c r="BV309" s="213"/>
      <c r="BW309" s="213"/>
      <c r="BX309" s="213"/>
      <c r="BY309" s="213"/>
      <c r="BZ309" s="213"/>
      <c r="CA309" s="213"/>
      <c r="CB309" s="213"/>
      <c r="CC309" s="213"/>
      <c r="CD309" s="213"/>
      <c r="CE309" s="213"/>
      <c r="CF309" s="213"/>
      <c r="CG309" s="213"/>
      <c r="CH309" s="213"/>
      <c r="CI309" s="213"/>
      <c r="CJ309" s="213"/>
      <c r="CK309" s="213"/>
      <c r="CL309" s="213"/>
      <c r="CM309" s="213"/>
      <c r="CN309" s="213"/>
      <c r="CO309" s="213"/>
      <c r="CP309" s="213"/>
      <c r="CQ309" s="213"/>
    </row>
    <row r="310" ht="15.75" customHeight="1">
      <c r="A310" s="213"/>
      <c r="B310" s="213"/>
      <c r="C310" s="213"/>
      <c r="D310" s="215"/>
      <c r="E310" s="213"/>
      <c r="F310" s="215"/>
      <c r="G310" s="213"/>
      <c r="H310" s="215"/>
      <c r="I310" s="213"/>
      <c r="J310" s="215"/>
      <c r="K310" s="213"/>
      <c r="L310" s="215"/>
      <c r="M310" s="213"/>
      <c r="N310" s="213"/>
      <c r="O310" s="213"/>
      <c r="P310" s="215"/>
      <c r="Q310" s="213"/>
      <c r="R310" s="215"/>
      <c r="S310" s="213"/>
      <c r="T310" s="213"/>
      <c r="U310" s="213"/>
      <c r="V310" s="215"/>
      <c r="W310" s="213"/>
      <c r="X310" s="215"/>
      <c r="Y310" s="213"/>
      <c r="Z310" s="213"/>
      <c r="AA310" s="213"/>
      <c r="AB310" s="215"/>
      <c r="AC310" s="213"/>
      <c r="AD310" s="215"/>
      <c r="AE310" s="213"/>
      <c r="AF310" s="213"/>
      <c r="AG310" s="213"/>
      <c r="AH310" s="215"/>
      <c r="AI310" s="213"/>
      <c r="AJ310" s="215"/>
      <c r="AK310" s="213"/>
      <c r="AL310" s="213"/>
      <c r="AM310" s="213"/>
      <c r="AN310" s="215"/>
      <c r="AO310" s="213"/>
      <c r="AP310" s="215"/>
      <c r="AQ310" s="213"/>
      <c r="AR310" s="325"/>
      <c r="AS310" s="213"/>
      <c r="AT310" s="215"/>
      <c r="AU310" s="213"/>
      <c r="AV310" s="215"/>
      <c r="AW310" s="213"/>
      <c r="AX310" s="213"/>
      <c r="AY310" s="213"/>
      <c r="AZ310" s="215"/>
      <c r="BA310" s="213"/>
      <c r="BB310" s="215"/>
      <c r="BC310" s="213"/>
      <c r="BD310" s="213"/>
      <c r="BE310" s="213"/>
      <c r="BF310" s="215"/>
      <c r="BG310" s="213"/>
      <c r="BH310" s="215"/>
      <c r="BI310" s="213"/>
      <c r="BJ310" s="213"/>
      <c r="BK310" s="213"/>
      <c r="BL310" s="215"/>
      <c r="BM310" s="213"/>
      <c r="BN310" s="215"/>
      <c r="BO310" s="213"/>
      <c r="BP310" s="213"/>
      <c r="BQ310" s="213"/>
      <c r="BR310" s="326"/>
      <c r="BS310" s="213"/>
      <c r="BT310" s="215"/>
      <c r="BU310" s="213"/>
      <c r="BV310" s="213"/>
      <c r="BW310" s="213"/>
      <c r="BX310" s="213"/>
      <c r="BY310" s="213"/>
      <c r="BZ310" s="213"/>
      <c r="CA310" s="213"/>
      <c r="CB310" s="213"/>
      <c r="CC310" s="213"/>
      <c r="CD310" s="213"/>
      <c r="CE310" s="213"/>
      <c r="CF310" s="213"/>
      <c r="CG310" s="213"/>
      <c r="CH310" s="213"/>
      <c r="CI310" s="213"/>
      <c r="CJ310" s="213"/>
      <c r="CK310" s="213"/>
      <c r="CL310" s="213"/>
      <c r="CM310" s="213"/>
      <c r="CN310" s="213"/>
      <c r="CO310" s="213"/>
      <c r="CP310" s="213"/>
      <c r="CQ310" s="213"/>
    </row>
    <row r="311" ht="15.75" customHeight="1">
      <c r="A311" s="213"/>
      <c r="B311" s="213"/>
      <c r="C311" s="213"/>
      <c r="D311" s="215"/>
      <c r="E311" s="213"/>
      <c r="F311" s="215"/>
      <c r="G311" s="213"/>
      <c r="H311" s="215"/>
      <c r="I311" s="213"/>
      <c r="J311" s="215"/>
      <c r="K311" s="213"/>
      <c r="L311" s="215"/>
      <c r="M311" s="213"/>
      <c r="N311" s="213"/>
      <c r="O311" s="213"/>
      <c r="P311" s="215"/>
      <c r="Q311" s="213"/>
      <c r="R311" s="215"/>
      <c r="S311" s="213"/>
      <c r="T311" s="213"/>
      <c r="U311" s="213"/>
      <c r="V311" s="215"/>
      <c r="W311" s="213"/>
      <c r="X311" s="215"/>
      <c r="Y311" s="213"/>
      <c r="Z311" s="213"/>
      <c r="AA311" s="213"/>
      <c r="AB311" s="215"/>
      <c r="AC311" s="213"/>
      <c r="AD311" s="215"/>
      <c r="AE311" s="213"/>
      <c r="AF311" s="213"/>
      <c r="AG311" s="213"/>
      <c r="AH311" s="215"/>
      <c r="AI311" s="213"/>
      <c r="AJ311" s="215"/>
      <c r="AK311" s="213"/>
      <c r="AL311" s="213"/>
      <c r="AM311" s="213"/>
      <c r="AN311" s="215"/>
      <c r="AO311" s="213"/>
      <c r="AP311" s="215"/>
      <c r="AQ311" s="213"/>
      <c r="AR311" s="325"/>
      <c r="AS311" s="213"/>
      <c r="AT311" s="215"/>
      <c r="AU311" s="213"/>
      <c r="AV311" s="215"/>
      <c r="AW311" s="213"/>
      <c r="AX311" s="213"/>
      <c r="AY311" s="213"/>
      <c r="AZ311" s="215"/>
      <c r="BA311" s="213"/>
      <c r="BB311" s="215"/>
      <c r="BC311" s="213"/>
      <c r="BD311" s="213"/>
      <c r="BE311" s="213"/>
      <c r="BF311" s="215"/>
      <c r="BG311" s="213"/>
      <c r="BH311" s="215"/>
      <c r="BI311" s="213"/>
      <c r="BJ311" s="213"/>
      <c r="BK311" s="213"/>
      <c r="BL311" s="215"/>
      <c r="BM311" s="213"/>
      <c r="BN311" s="215"/>
      <c r="BO311" s="213"/>
      <c r="BP311" s="213"/>
      <c r="BQ311" s="213"/>
      <c r="BR311" s="326"/>
      <c r="BS311" s="213"/>
      <c r="BT311" s="215"/>
      <c r="BU311" s="213"/>
      <c r="BV311" s="213"/>
      <c r="BW311" s="213"/>
      <c r="BX311" s="213"/>
      <c r="BY311" s="213"/>
      <c r="BZ311" s="213"/>
      <c r="CA311" s="213"/>
      <c r="CB311" s="213"/>
      <c r="CC311" s="213"/>
      <c r="CD311" s="213"/>
      <c r="CE311" s="213"/>
      <c r="CF311" s="213"/>
      <c r="CG311" s="213"/>
      <c r="CH311" s="213"/>
      <c r="CI311" s="213"/>
      <c r="CJ311" s="213"/>
      <c r="CK311" s="213"/>
      <c r="CL311" s="213"/>
      <c r="CM311" s="213"/>
      <c r="CN311" s="213"/>
      <c r="CO311" s="213"/>
      <c r="CP311" s="213"/>
      <c r="CQ311" s="213"/>
    </row>
    <row r="312" ht="15.75" customHeight="1">
      <c r="A312" s="213"/>
      <c r="B312" s="213"/>
      <c r="C312" s="213"/>
      <c r="D312" s="215"/>
      <c r="E312" s="213"/>
      <c r="F312" s="215"/>
      <c r="G312" s="213"/>
      <c r="H312" s="215"/>
      <c r="I312" s="213"/>
      <c r="J312" s="215"/>
      <c r="K312" s="213"/>
      <c r="L312" s="215"/>
      <c r="M312" s="213"/>
      <c r="N312" s="213"/>
      <c r="O312" s="213"/>
      <c r="P312" s="215"/>
      <c r="Q312" s="213"/>
      <c r="R312" s="215"/>
      <c r="S312" s="213"/>
      <c r="T312" s="213"/>
      <c r="U312" s="213"/>
      <c r="V312" s="215"/>
      <c r="W312" s="213"/>
      <c r="X312" s="215"/>
      <c r="Y312" s="213"/>
      <c r="Z312" s="213"/>
      <c r="AA312" s="213"/>
      <c r="AB312" s="215"/>
      <c r="AC312" s="213"/>
      <c r="AD312" s="215"/>
      <c r="AE312" s="213"/>
      <c r="AF312" s="213"/>
      <c r="AG312" s="213"/>
      <c r="AH312" s="215"/>
      <c r="AI312" s="213"/>
      <c r="AJ312" s="215"/>
      <c r="AK312" s="213"/>
      <c r="AL312" s="213"/>
      <c r="AM312" s="213"/>
      <c r="AN312" s="215"/>
      <c r="AO312" s="213"/>
      <c r="AP312" s="215"/>
      <c r="AQ312" s="213"/>
      <c r="AR312" s="325"/>
      <c r="AS312" s="213"/>
      <c r="AT312" s="215"/>
      <c r="AU312" s="213"/>
      <c r="AV312" s="215"/>
      <c r="AW312" s="213"/>
      <c r="AX312" s="213"/>
      <c r="AY312" s="213"/>
      <c r="AZ312" s="215"/>
      <c r="BA312" s="213"/>
      <c r="BB312" s="215"/>
      <c r="BC312" s="213"/>
      <c r="BD312" s="213"/>
      <c r="BE312" s="213"/>
      <c r="BF312" s="215"/>
      <c r="BG312" s="213"/>
      <c r="BH312" s="215"/>
      <c r="BI312" s="213"/>
      <c r="BJ312" s="213"/>
      <c r="BK312" s="213"/>
      <c r="BL312" s="215"/>
      <c r="BM312" s="213"/>
      <c r="BN312" s="215"/>
      <c r="BO312" s="213"/>
      <c r="BP312" s="213"/>
      <c r="BQ312" s="213"/>
      <c r="BR312" s="326"/>
      <c r="BS312" s="213"/>
      <c r="BT312" s="215"/>
      <c r="BU312" s="213"/>
      <c r="BV312" s="213"/>
      <c r="BW312" s="213"/>
      <c r="BX312" s="213"/>
      <c r="BY312" s="213"/>
      <c r="BZ312" s="213"/>
      <c r="CA312" s="213"/>
      <c r="CB312" s="213"/>
      <c r="CC312" s="213"/>
      <c r="CD312" s="213"/>
      <c r="CE312" s="213"/>
      <c r="CF312" s="213"/>
      <c r="CG312" s="213"/>
      <c r="CH312" s="213"/>
      <c r="CI312" s="213"/>
      <c r="CJ312" s="213"/>
      <c r="CK312" s="213"/>
      <c r="CL312" s="213"/>
      <c r="CM312" s="213"/>
      <c r="CN312" s="213"/>
      <c r="CO312" s="213"/>
      <c r="CP312" s="213"/>
      <c r="CQ312" s="213"/>
    </row>
    <row r="313" ht="15.75" customHeight="1">
      <c r="A313" s="213"/>
      <c r="B313" s="213"/>
      <c r="C313" s="213"/>
      <c r="D313" s="215"/>
      <c r="E313" s="213"/>
      <c r="F313" s="215"/>
      <c r="G313" s="213"/>
      <c r="H313" s="215"/>
      <c r="I313" s="213"/>
      <c r="J313" s="215"/>
      <c r="K313" s="213"/>
      <c r="L313" s="215"/>
      <c r="M313" s="213"/>
      <c r="N313" s="213"/>
      <c r="O313" s="213"/>
      <c r="P313" s="215"/>
      <c r="Q313" s="213"/>
      <c r="R313" s="215"/>
      <c r="S313" s="213"/>
      <c r="T313" s="213"/>
      <c r="U313" s="213"/>
      <c r="V313" s="215"/>
      <c r="W313" s="213"/>
      <c r="X313" s="215"/>
      <c r="Y313" s="213"/>
      <c r="Z313" s="213"/>
      <c r="AA313" s="213"/>
      <c r="AB313" s="215"/>
      <c r="AC313" s="213"/>
      <c r="AD313" s="215"/>
      <c r="AE313" s="213"/>
      <c r="AF313" s="213"/>
      <c r="AG313" s="213"/>
      <c r="AH313" s="215"/>
      <c r="AI313" s="213"/>
      <c r="AJ313" s="215"/>
      <c r="AK313" s="213"/>
      <c r="AL313" s="213"/>
      <c r="AM313" s="213"/>
      <c r="AN313" s="215"/>
      <c r="AO313" s="213"/>
      <c r="AP313" s="215"/>
      <c r="AQ313" s="213"/>
      <c r="AR313" s="325"/>
      <c r="AS313" s="213"/>
      <c r="AT313" s="215"/>
      <c r="AU313" s="213"/>
      <c r="AV313" s="215"/>
      <c r="AW313" s="213"/>
      <c r="AX313" s="213"/>
      <c r="AY313" s="213"/>
      <c r="AZ313" s="215"/>
      <c r="BA313" s="213"/>
      <c r="BB313" s="215"/>
      <c r="BC313" s="213"/>
      <c r="BD313" s="213"/>
      <c r="BE313" s="213"/>
      <c r="BF313" s="215"/>
      <c r="BG313" s="213"/>
      <c r="BH313" s="215"/>
      <c r="BI313" s="213"/>
      <c r="BJ313" s="213"/>
      <c r="BK313" s="213"/>
      <c r="BL313" s="215"/>
      <c r="BM313" s="213"/>
      <c r="BN313" s="215"/>
      <c r="BO313" s="213"/>
      <c r="BP313" s="213"/>
      <c r="BQ313" s="213"/>
      <c r="BR313" s="326"/>
      <c r="BS313" s="213"/>
      <c r="BT313" s="215"/>
      <c r="BU313" s="213"/>
      <c r="BV313" s="213"/>
      <c r="BW313" s="213"/>
      <c r="BX313" s="213"/>
      <c r="BY313" s="213"/>
      <c r="BZ313" s="213"/>
      <c r="CA313" s="213"/>
      <c r="CB313" s="213"/>
      <c r="CC313" s="213"/>
      <c r="CD313" s="213"/>
      <c r="CE313" s="213"/>
      <c r="CF313" s="213"/>
      <c r="CG313" s="213"/>
      <c r="CH313" s="213"/>
      <c r="CI313" s="213"/>
      <c r="CJ313" s="213"/>
      <c r="CK313" s="213"/>
      <c r="CL313" s="213"/>
      <c r="CM313" s="213"/>
      <c r="CN313" s="213"/>
      <c r="CO313" s="213"/>
      <c r="CP313" s="213"/>
      <c r="CQ313" s="213"/>
    </row>
    <row r="314" ht="15.75" customHeight="1">
      <c r="A314" s="213"/>
      <c r="B314" s="213"/>
      <c r="C314" s="213"/>
      <c r="D314" s="215"/>
      <c r="E314" s="213"/>
      <c r="F314" s="215"/>
      <c r="G314" s="213"/>
      <c r="H314" s="215"/>
      <c r="I314" s="213"/>
      <c r="J314" s="215"/>
      <c r="K314" s="213"/>
      <c r="L314" s="215"/>
      <c r="M314" s="213"/>
      <c r="N314" s="213"/>
      <c r="O314" s="213"/>
      <c r="P314" s="215"/>
      <c r="Q314" s="213"/>
      <c r="R314" s="215"/>
      <c r="S314" s="213"/>
      <c r="T314" s="213"/>
      <c r="U314" s="213"/>
      <c r="V314" s="215"/>
      <c r="W314" s="213"/>
      <c r="X314" s="215"/>
      <c r="Y314" s="213"/>
      <c r="Z314" s="213"/>
      <c r="AA314" s="213"/>
      <c r="AB314" s="215"/>
      <c r="AC314" s="213"/>
      <c r="AD314" s="215"/>
      <c r="AE314" s="213"/>
      <c r="AF314" s="213"/>
      <c r="AG314" s="213"/>
      <c r="AH314" s="215"/>
      <c r="AI314" s="213"/>
      <c r="AJ314" s="215"/>
      <c r="AK314" s="213"/>
      <c r="AL314" s="213"/>
      <c r="AM314" s="213"/>
      <c r="AN314" s="215"/>
      <c r="AO314" s="213"/>
      <c r="AP314" s="215"/>
      <c r="AQ314" s="213"/>
      <c r="AR314" s="325"/>
      <c r="AS314" s="213"/>
      <c r="AT314" s="215"/>
      <c r="AU314" s="213"/>
      <c r="AV314" s="215"/>
      <c r="AW314" s="213"/>
      <c r="AX314" s="213"/>
      <c r="AY314" s="213"/>
      <c r="AZ314" s="215"/>
      <c r="BA314" s="213"/>
      <c r="BB314" s="215"/>
      <c r="BC314" s="213"/>
      <c r="BD314" s="213"/>
      <c r="BE314" s="213"/>
      <c r="BF314" s="215"/>
      <c r="BG314" s="213"/>
      <c r="BH314" s="215"/>
      <c r="BI314" s="213"/>
      <c r="BJ314" s="213"/>
      <c r="BK314" s="213"/>
      <c r="BL314" s="215"/>
      <c r="BM314" s="213"/>
      <c r="BN314" s="215"/>
      <c r="BO314" s="213"/>
      <c r="BP314" s="213"/>
      <c r="BQ314" s="213"/>
      <c r="BR314" s="326"/>
      <c r="BS314" s="213"/>
      <c r="BT314" s="215"/>
      <c r="BU314" s="213"/>
      <c r="BV314" s="213"/>
      <c r="BW314" s="213"/>
      <c r="BX314" s="213"/>
      <c r="BY314" s="213"/>
      <c r="BZ314" s="213"/>
      <c r="CA314" s="213"/>
      <c r="CB314" s="213"/>
      <c r="CC314" s="213"/>
      <c r="CD314" s="213"/>
      <c r="CE314" s="213"/>
      <c r="CF314" s="213"/>
      <c r="CG314" s="213"/>
      <c r="CH314" s="213"/>
      <c r="CI314" s="213"/>
      <c r="CJ314" s="213"/>
      <c r="CK314" s="213"/>
      <c r="CL314" s="213"/>
      <c r="CM314" s="213"/>
      <c r="CN314" s="213"/>
      <c r="CO314" s="213"/>
      <c r="CP314" s="213"/>
      <c r="CQ314" s="213"/>
    </row>
    <row r="315" ht="15.75" customHeight="1">
      <c r="A315" s="213"/>
      <c r="B315" s="213"/>
      <c r="C315" s="213"/>
      <c r="D315" s="215"/>
      <c r="E315" s="213"/>
      <c r="F315" s="215"/>
      <c r="G315" s="213"/>
      <c r="H315" s="215"/>
      <c r="I315" s="213"/>
      <c r="J315" s="215"/>
      <c r="K315" s="213"/>
      <c r="L315" s="215"/>
      <c r="M315" s="213"/>
      <c r="N315" s="213"/>
      <c r="O315" s="213"/>
      <c r="P315" s="215"/>
      <c r="Q315" s="213"/>
      <c r="R315" s="215"/>
      <c r="S315" s="213"/>
      <c r="T315" s="213"/>
      <c r="U315" s="213"/>
      <c r="V315" s="215"/>
      <c r="W315" s="213"/>
      <c r="X315" s="215"/>
      <c r="Y315" s="213"/>
      <c r="Z315" s="213"/>
      <c r="AA315" s="213"/>
      <c r="AB315" s="215"/>
      <c r="AC315" s="213"/>
      <c r="AD315" s="215"/>
      <c r="AE315" s="213"/>
      <c r="AF315" s="213"/>
      <c r="AG315" s="213"/>
      <c r="AH315" s="215"/>
      <c r="AI315" s="213"/>
      <c r="AJ315" s="215"/>
      <c r="AK315" s="213"/>
      <c r="AL315" s="213"/>
      <c r="AM315" s="213"/>
      <c r="AN315" s="215"/>
      <c r="AO315" s="213"/>
      <c r="AP315" s="215"/>
      <c r="AQ315" s="213"/>
      <c r="AR315" s="325"/>
      <c r="AS315" s="213"/>
      <c r="AT315" s="215"/>
      <c r="AU315" s="213"/>
      <c r="AV315" s="215"/>
      <c r="AW315" s="213"/>
      <c r="AX315" s="213"/>
      <c r="AY315" s="213"/>
      <c r="AZ315" s="215"/>
      <c r="BA315" s="213"/>
      <c r="BB315" s="215"/>
      <c r="BC315" s="213"/>
      <c r="BD315" s="213"/>
      <c r="BE315" s="213"/>
      <c r="BF315" s="215"/>
      <c r="BG315" s="213"/>
      <c r="BH315" s="215"/>
      <c r="BI315" s="213"/>
      <c r="BJ315" s="213"/>
      <c r="BK315" s="213"/>
      <c r="BL315" s="215"/>
      <c r="BM315" s="213"/>
      <c r="BN315" s="215"/>
      <c r="BO315" s="213"/>
      <c r="BP315" s="213"/>
      <c r="BQ315" s="213"/>
      <c r="BR315" s="326"/>
      <c r="BS315" s="213"/>
      <c r="BT315" s="215"/>
      <c r="BU315" s="213"/>
      <c r="BV315" s="213"/>
      <c r="BW315" s="213"/>
      <c r="BX315" s="213"/>
      <c r="BY315" s="213"/>
      <c r="BZ315" s="213"/>
      <c r="CA315" s="213"/>
      <c r="CB315" s="213"/>
      <c r="CC315" s="213"/>
      <c r="CD315" s="213"/>
      <c r="CE315" s="213"/>
      <c r="CF315" s="213"/>
      <c r="CG315" s="213"/>
      <c r="CH315" s="213"/>
      <c r="CI315" s="213"/>
      <c r="CJ315" s="213"/>
      <c r="CK315" s="213"/>
      <c r="CL315" s="213"/>
      <c r="CM315" s="213"/>
      <c r="CN315" s="213"/>
      <c r="CO315" s="213"/>
      <c r="CP315" s="213"/>
      <c r="CQ315" s="213"/>
    </row>
    <row r="316" ht="15.75" customHeight="1">
      <c r="A316" s="213"/>
      <c r="B316" s="213"/>
      <c r="C316" s="213"/>
      <c r="D316" s="215"/>
      <c r="E316" s="213"/>
      <c r="F316" s="215"/>
      <c r="G316" s="213"/>
      <c r="H316" s="215"/>
      <c r="I316" s="213"/>
      <c r="J316" s="215"/>
      <c r="K316" s="213"/>
      <c r="L316" s="215"/>
      <c r="M316" s="213"/>
      <c r="N316" s="213"/>
      <c r="O316" s="213"/>
      <c r="P316" s="215"/>
      <c r="Q316" s="213"/>
      <c r="R316" s="215"/>
      <c r="S316" s="213"/>
      <c r="T316" s="213"/>
      <c r="U316" s="213"/>
      <c r="V316" s="215"/>
      <c r="W316" s="213"/>
      <c r="X316" s="215"/>
      <c r="Y316" s="213"/>
      <c r="Z316" s="213"/>
      <c r="AA316" s="213"/>
      <c r="AB316" s="215"/>
      <c r="AC316" s="213"/>
      <c r="AD316" s="215"/>
      <c r="AE316" s="213"/>
      <c r="AF316" s="213"/>
      <c r="AG316" s="213"/>
      <c r="AH316" s="215"/>
      <c r="AI316" s="213"/>
      <c r="AJ316" s="215"/>
      <c r="AK316" s="213"/>
      <c r="AL316" s="213"/>
      <c r="AM316" s="213"/>
      <c r="AN316" s="215"/>
      <c r="AO316" s="213"/>
      <c r="AP316" s="215"/>
      <c r="AQ316" s="213"/>
      <c r="AR316" s="325"/>
      <c r="AS316" s="213"/>
      <c r="AT316" s="215"/>
      <c r="AU316" s="213"/>
      <c r="AV316" s="215"/>
      <c r="AW316" s="213"/>
      <c r="AX316" s="213"/>
      <c r="AY316" s="213"/>
      <c r="AZ316" s="215"/>
      <c r="BA316" s="213"/>
      <c r="BB316" s="215"/>
      <c r="BC316" s="213"/>
      <c r="BD316" s="213"/>
      <c r="BE316" s="213"/>
      <c r="BF316" s="215"/>
      <c r="BG316" s="213"/>
      <c r="BH316" s="215"/>
      <c r="BI316" s="213"/>
      <c r="BJ316" s="213"/>
      <c r="BK316" s="213"/>
      <c r="BL316" s="215"/>
      <c r="BM316" s="213"/>
      <c r="BN316" s="215"/>
      <c r="BO316" s="213"/>
      <c r="BP316" s="213"/>
      <c r="BQ316" s="213"/>
      <c r="BR316" s="326"/>
      <c r="BS316" s="213"/>
      <c r="BT316" s="215"/>
      <c r="BU316" s="213"/>
      <c r="BV316" s="213"/>
      <c r="BW316" s="213"/>
      <c r="BX316" s="213"/>
      <c r="BY316" s="213"/>
      <c r="BZ316" s="213"/>
      <c r="CA316" s="213"/>
      <c r="CB316" s="213"/>
      <c r="CC316" s="213"/>
      <c r="CD316" s="213"/>
      <c r="CE316" s="213"/>
      <c r="CF316" s="213"/>
      <c r="CG316" s="213"/>
      <c r="CH316" s="213"/>
      <c r="CI316" s="213"/>
      <c r="CJ316" s="213"/>
      <c r="CK316" s="213"/>
      <c r="CL316" s="213"/>
      <c r="CM316" s="213"/>
      <c r="CN316" s="213"/>
      <c r="CO316" s="213"/>
      <c r="CP316" s="213"/>
      <c r="CQ316" s="213"/>
    </row>
    <row r="317" ht="15.75" customHeight="1">
      <c r="A317" s="213"/>
      <c r="B317" s="213"/>
      <c r="C317" s="213"/>
      <c r="D317" s="215"/>
      <c r="E317" s="213"/>
      <c r="F317" s="215"/>
      <c r="G317" s="213"/>
      <c r="H317" s="215"/>
      <c r="I317" s="213"/>
      <c r="J317" s="215"/>
      <c r="K317" s="213"/>
      <c r="L317" s="215"/>
      <c r="M317" s="213"/>
      <c r="N317" s="213"/>
      <c r="O317" s="213"/>
      <c r="P317" s="215"/>
      <c r="Q317" s="213"/>
      <c r="R317" s="215"/>
      <c r="S317" s="213"/>
      <c r="T317" s="213"/>
      <c r="U317" s="213"/>
      <c r="V317" s="215"/>
      <c r="W317" s="213"/>
      <c r="X317" s="215"/>
      <c r="Y317" s="213"/>
      <c r="Z317" s="213"/>
      <c r="AA317" s="213"/>
      <c r="AB317" s="215"/>
      <c r="AC317" s="213"/>
      <c r="AD317" s="215"/>
      <c r="AE317" s="213"/>
      <c r="AF317" s="213"/>
      <c r="AG317" s="213"/>
      <c r="AH317" s="215"/>
      <c r="AI317" s="213"/>
      <c r="AJ317" s="215"/>
      <c r="AK317" s="213"/>
      <c r="AL317" s="213"/>
      <c r="AM317" s="213"/>
      <c r="AN317" s="215"/>
      <c r="AO317" s="213"/>
      <c r="AP317" s="215"/>
      <c r="AQ317" s="213"/>
      <c r="AR317" s="325"/>
      <c r="AS317" s="213"/>
      <c r="AT317" s="215"/>
      <c r="AU317" s="213"/>
      <c r="AV317" s="215"/>
      <c r="AW317" s="213"/>
      <c r="AX317" s="213"/>
      <c r="AY317" s="213"/>
      <c r="AZ317" s="215"/>
      <c r="BA317" s="213"/>
      <c r="BB317" s="215"/>
      <c r="BC317" s="213"/>
      <c r="BD317" s="213"/>
      <c r="BE317" s="213"/>
      <c r="BF317" s="215"/>
      <c r="BG317" s="213"/>
      <c r="BH317" s="215"/>
      <c r="BI317" s="213"/>
      <c r="BJ317" s="213"/>
      <c r="BK317" s="213"/>
      <c r="BL317" s="215"/>
      <c r="BM317" s="213"/>
      <c r="BN317" s="215"/>
      <c r="BO317" s="213"/>
      <c r="BP317" s="213"/>
      <c r="BQ317" s="213"/>
      <c r="BR317" s="326"/>
      <c r="BS317" s="213"/>
      <c r="BT317" s="215"/>
      <c r="BU317" s="213"/>
      <c r="BV317" s="213"/>
      <c r="BW317" s="213"/>
      <c r="BX317" s="213"/>
      <c r="BY317" s="213"/>
      <c r="BZ317" s="213"/>
      <c r="CA317" s="213"/>
      <c r="CB317" s="213"/>
      <c r="CC317" s="213"/>
      <c r="CD317" s="213"/>
      <c r="CE317" s="213"/>
      <c r="CF317" s="213"/>
      <c r="CG317" s="213"/>
      <c r="CH317" s="213"/>
      <c r="CI317" s="213"/>
      <c r="CJ317" s="213"/>
      <c r="CK317" s="213"/>
      <c r="CL317" s="213"/>
      <c r="CM317" s="213"/>
      <c r="CN317" s="213"/>
      <c r="CO317" s="213"/>
      <c r="CP317" s="213"/>
      <c r="CQ317" s="213"/>
    </row>
    <row r="318" ht="15.75" customHeight="1">
      <c r="A318" s="213"/>
      <c r="B318" s="213"/>
      <c r="C318" s="213"/>
      <c r="D318" s="215"/>
      <c r="E318" s="213"/>
      <c r="F318" s="215"/>
      <c r="G318" s="213"/>
      <c r="H318" s="215"/>
      <c r="I318" s="213"/>
      <c r="J318" s="215"/>
      <c r="K318" s="213"/>
      <c r="L318" s="215"/>
      <c r="M318" s="213"/>
      <c r="N318" s="213"/>
      <c r="O318" s="213"/>
      <c r="P318" s="215"/>
      <c r="Q318" s="213"/>
      <c r="R318" s="215"/>
      <c r="S318" s="213"/>
      <c r="T318" s="213"/>
      <c r="U318" s="213"/>
      <c r="V318" s="215"/>
      <c r="W318" s="213"/>
      <c r="X318" s="215"/>
      <c r="Y318" s="213"/>
      <c r="Z318" s="213"/>
      <c r="AA318" s="213"/>
      <c r="AB318" s="215"/>
      <c r="AC318" s="213"/>
      <c r="AD318" s="215"/>
      <c r="AE318" s="213"/>
      <c r="AF318" s="213"/>
      <c r="AG318" s="213"/>
      <c r="AH318" s="215"/>
      <c r="AI318" s="213"/>
      <c r="AJ318" s="215"/>
      <c r="AK318" s="213"/>
      <c r="AL318" s="213"/>
      <c r="AM318" s="213"/>
      <c r="AN318" s="215"/>
      <c r="AO318" s="213"/>
      <c r="AP318" s="215"/>
      <c r="AQ318" s="213"/>
      <c r="AR318" s="325"/>
      <c r="AS318" s="213"/>
      <c r="AT318" s="215"/>
      <c r="AU318" s="213"/>
      <c r="AV318" s="215"/>
      <c r="AW318" s="213"/>
      <c r="AX318" s="213"/>
      <c r="AY318" s="213"/>
      <c r="AZ318" s="215"/>
      <c r="BA318" s="213"/>
      <c r="BB318" s="215"/>
      <c r="BC318" s="213"/>
      <c r="BD318" s="213"/>
      <c r="BE318" s="213"/>
      <c r="BF318" s="215"/>
      <c r="BG318" s="213"/>
      <c r="BH318" s="215"/>
      <c r="BI318" s="213"/>
      <c r="BJ318" s="213"/>
      <c r="BK318" s="213"/>
      <c r="BL318" s="215"/>
      <c r="BM318" s="213"/>
      <c r="BN318" s="215"/>
      <c r="BO318" s="213"/>
      <c r="BP318" s="213"/>
      <c r="BQ318" s="213"/>
      <c r="BR318" s="326"/>
      <c r="BS318" s="213"/>
      <c r="BT318" s="215"/>
      <c r="BU318" s="213"/>
      <c r="BV318" s="213"/>
      <c r="BW318" s="213"/>
      <c r="BX318" s="213"/>
      <c r="BY318" s="213"/>
      <c r="BZ318" s="213"/>
      <c r="CA318" s="213"/>
      <c r="CB318" s="213"/>
      <c r="CC318" s="213"/>
      <c r="CD318" s="213"/>
      <c r="CE318" s="213"/>
      <c r="CF318" s="213"/>
      <c r="CG318" s="213"/>
      <c r="CH318" s="213"/>
      <c r="CI318" s="213"/>
      <c r="CJ318" s="213"/>
      <c r="CK318" s="213"/>
      <c r="CL318" s="213"/>
      <c r="CM318" s="213"/>
      <c r="CN318" s="213"/>
      <c r="CO318" s="213"/>
      <c r="CP318" s="213"/>
      <c r="CQ318" s="213"/>
    </row>
    <row r="319" ht="15.75" customHeight="1">
      <c r="A319" s="213"/>
      <c r="B319" s="213"/>
      <c r="C319" s="213"/>
      <c r="D319" s="215"/>
      <c r="E319" s="213"/>
      <c r="F319" s="215"/>
      <c r="G319" s="213"/>
      <c r="H319" s="215"/>
      <c r="I319" s="213"/>
      <c r="J319" s="215"/>
      <c r="K319" s="213"/>
      <c r="L319" s="215"/>
      <c r="M319" s="213"/>
      <c r="N319" s="213"/>
      <c r="O319" s="213"/>
      <c r="P319" s="215"/>
      <c r="Q319" s="213"/>
      <c r="R319" s="215"/>
      <c r="S319" s="213"/>
      <c r="T319" s="213"/>
      <c r="U319" s="213"/>
      <c r="V319" s="215"/>
      <c r="W319" s="213"/>
      <c r="X319" s="215"/>
      <c r="Y319" s="213"/>
      <c r="Z319" s="213"/>
      <c r="AA319" s="213"/>
      <c r="AB319" s="215"/>
      <c r="AC319" s="213"/>
      <c r="AD319" s="215"/>
      <c r="AE319" s="213"/>
      <c r="AF319" s="213"/>
      <c r="AG319" s="213"/>
      <c r="AH319" s="215"/>
      <c r="AI319" s="213"/>
      <c r="AJ319" s="215"/>
      <c r="AK319" s="213"/>
      <c r="AL319" s="213"/>
      <c r="AM319" s="213"/>
      <c r="AN319" s="215"/>
      <c r="AO319" s="213"/>
      <c r="AP319" s="215"/>
      <c r="AQ319" s="213"/>
      <c r="AR319" s="325"/>
      <c r="AS319" s="213"/>
      <c r="AT319" s="215"/>
      <c r="AU319" s="213"/>
      <c r="AV319" s="215"/>
      <c r="AW319" s="213"/>
      <c r="AX319" s="213"/>
      <c r="AY319" s="213"/>
      <c r="AZ319" s="215"/>
      <c r="BA319" s="213"/>
      <c r="BB319" s="215"/>
      <c r="BC319" s="213"/>
      <c r="BD319" s="213"/>
      <c r="BE319" s="213"/>
      <c r="BF319" s="215"/>
      <c r="BG319" s="213"/>
      <c r="BH319" s="215"/>
      <c r="BI319" s="213"/>
      <c r="BJ319" s="213"/>
      <c r="BK319" s="213"/>
      <c r="BL319" s="215"/>
      <c r="BM319" s="213"/>
      <c r="BN319" s="215"/>
      <c r="BO319" s="213"/>
      <c r="BP319" s="213"/>
      <c r="BQ319" s="213"/>
      <c r="BR319" s="326"/>
      <c r="BS319" s="213"/>
      <c r="BT319" s="215"/>
      <c r="BU319" s="213"/>
      <c r="BV319" s="213"/>
      <c r="BW319" s="213"/>
      <c r="BX319" s="213"/>
      <c r="BY319" s="213"/>
      <c r="BZ319" s="213"/>
      <c r="CA319" s="213"/>
      <c r="CB319" s="213"/>
      <c r="CC319" s="213"/>
      <c r="CD319" s="213"/>
      <c r="CE319" s="213"/>
      <c r="CF319" s="213"/>
      <c r="CG319" s="213"/>
      <c r="CH319" s="213"/>
      <c r="CI319" s="213"/>
      <c r="CJ319" s="213"/>
      <c r="CK319" s="213"/>
      <c r="CL319" s="213"/>
      <c r="CM319" s="213"/>
      <c r="CN319" s="213"/>
      <c r="CO319" s="213"/>
      <c r="CP319" s="213"/>
      <c r="CQ319" s="213"/>
    </row>
    <row r="320" ht="15.75" customHeight="1">
      <c r="A320" s="213"/>
      <c r="B320" s="213"/>
      <c r="C320" s="213"/>
      <c r="D320" s="215"/>
      <c r="E320" s="213"/>
      <c r="F320" s="215"/>
      <c r="G320" s="213"/>
      <c r="H320" s="215"/>
      <c r="I320" s="213"/>
      <c r="J320" s="215"/>
      <c r="K320" s="213"/>
      <c r="L320" s="215"/>
      <c r="M320" s="213"/>
      <c r="N320" s="213"/>
      <c r="O320" s="213"/>
      <c r="P320" s="215"/>
      <c r="Q320" s="213"/>
      <c r="R320" s="215"/>
      <c r="S320" s="213"/>
      <c r="T320" s="213"/>
      <c r="U320" s="213"/>
      <c r="V320" s="215"/>
      <c r="W320" s="213"/>
      <c r="X320" s="215"/>
      <c r="Y320" s="213"/>
      <c r="Z320" s="213"/>
      <c r="AA320" s="213"/>
      <c r="AB320" s="215"/>
      <c r="AC320" s="213"/>
      <c r="AD320" s="215"/>
      <c r="AE320" s="213"/>
      <c r="AF320" s="213"/>
      <c r="AG320" s="213"/>
      <c r="AH320" s="215"/>
      <c r="AI320" s="213"/>
      <c r="AJ320" s="215"/>
      <c r="AK320" s="213"/>
      <c r="AL320" s="213"/>
      <c r="AM320" s="213"/>
      <c r="AN320" s="215"/>
      <c r="AO320" s="213"/>
      <c r="AP320" s="215"/>
      <c r="AQ320" s="213"/>
      <c r="AR320" s="325"/>
      <c r="AS320" s="213"/>
      <c r="AT320" s="215"/>
      <c r="AU320" s="213"/>
      <c r="AV320" s="215"/>
      <c r="AW320" s="213"/>
      <c r="AX320" s="213"/>
      <c r="AY320" s="213"/>
      <c r="AZ320" s="215"/>
      <c r="BA320" s="213"/>
      <c r="BB320" s="215"/>
      <c r="BC320" s="213"/>
      <c r="BD320" s="213"/>
      <c r="BE320" s="213"/>
      <c r="BF320" s="215"/>
      <c r="BG320" s="213"/>
      <c r="BH320" s="215"/>
      <c r="BI320" s="213"/>
      <c r="BJ320" s="213"/>
      <c r="BK320" s="213"/>
      <c r="BL320" s="215"/>
      <c r="BM320" s="213"/>
      <c r="BN320" s="215"/>
      <c r="BO320" s="213"/>
      <c r="BP320" s="213"/>
      <c r="BQ320" s="213"/>
      <c r="BR320" s="326"/>
      <c r="BS320" s="213"/>
      <c r="BT320" s="215"/>
      <c r="BU320" s="213"/>
      <c r="BV320" s="213"/>
      <c r="BW320" s="213"/>
      <c r="BX320" s="213"/>
      <c r="BY320" s="213"/>
      <c r="BZ320" s="213"/>
      <c r="CA320" s="213"/>
      <c r="CB320" s="213"/>
      <c r="CC320" s="213"/>
      <c r="CD320" s="213"/>
      <c r="CE320" s="213"/>
      <c r="CF320" s="213"/>
      <c r="CG320" s="213"/>
      <c r="CH320" s="213"/>
      <c r="CI320" s="213"/>
      <c r="CJ320" s="213"/>
      <c r="CK320" s="213"/>
      <c r="CL320" s="213"/>
      <c r="CM320" s="213"/>
      <c r="CN320" s="213"/>
      <c r="CO320" s="213"/>
      <c r="CP320" s="213"/>
      <c r="CQ320" s="213"/>
    </row>
    <row r="321" ht="15.75" customHeight="1">
      <c r="A321" s="213"/>
      <c r="B321" s="213"/>
      <c r="C321" s="213"/>
      <c r="D321" s="215"/>
      <c r="E321" s="213"/>
      <c r="F321" s="215"/>
      <c r="G321" s="213"/>
      <c r="H321" s="215"/>
      <c r="I321" s="213"/>
      <c r="J321" s="215"/>
      <c r="K321" s="213"/>
      <c r="L321" s="215"/>
      <c r="M321" s="213"/>
      <c r="N321" s="213"/>
      <c r="O321" s="213"/>
      <c r="P321" s="215"/>
      <c r="Q321" s="213"/>
      <c r="R321" s="215"/>
      <c r="S321" s="213"/>
      <c r="T321" s="213"/>
      <c r="U321" s="213"/>
      <c r="V321" s="215"/>
      <c r="W321" s="213"/>
      <c r="X321" s="215"/>
      <c r="Y321" s="213"/>
      <c r="Z321" s="213"/>
      <c r="AA321" s="213"/>
      <c r="AB321" s="215"/>
      <c r="AC321" s="213"/>
      <c r="AD321" s="215"/>
      <c r="AE321" s="213"/>
      <c r="AF321" s="213"/>
      <c r="AG321" s="213"/>
      <c r="AH321" s="215"/>
      <c r="AI321" s="213"/>
      <c r="AJ321" s="215"/>
      <c r="AK321" s="213"/>
      <c r="AL321" s="213"/>
      <c r="AM321" s="213"/>
      <c r="AN321" s="215"/>
      <c r="AO321" s="213"/>
      <c r="AP321" s="215"/>
      <c r="AQ321" s="213"/>
      <c r="AR321" s="325"/>
      <c r="AS321" s="213"/>
      <c r="AT321" s="215"/>
      <c r="AU321" s="213"/>
      <c r="AV321" s="215"/>
      <c r="AW321" s="213"/>
      <c r="AX321" s="213"/>
      <c r="AY321" s="213"/>
      <c r="AZ321" s="215"/>
      <c r="BA321" s="213"/>
      <c r="BB321" s="215"/>
      <c r="BC321" s="213"/>
      <c r="BD321" s="213"/>
      <c r="BE321" s="213"/>
      <c r="BF321" s="215"/>
      <c r="BG321" s="213"/>
      <c r="BH321" s="215"/>
      <c r="BI321" s="213"/>
      <c r="BJ321" s="213"/>
      <c r="BK321" s="213"/>
      <c r="BL321" s="215"/>
      <c r="BM321" s="213"/>
      <c r="BN321" s="215"/>
      <c r="BO321" s="213"/>
      <c r="BP321" s="213"/>
      <c r="BQ321" s="213"/>
      <c r="BR321" s="326"/>
      <c r="BS321" s="213"/>
      <c r="BT321" s="215"/>
      <c r="BU321" s="213"/>
      <c r="BV321" s="213"/>
      <c r="BW321" s="213"/>
      <c r="BX321" s="213"/>
      <c r="BY321" s="213"/>
      <c r="BZ321" s="213"/>
      <c r="CA321" s="213"/>
      <c r="CB321" s="213"/>
      <c r="CC321" s="213"/>
      <c r="CD321" s="213"/>
      <c r="CE321" s="213"/>
      <c r="CF321" s="213"/>
      <c r="CG321" s="213"/>
      <c r="CH321" s="213"/>
      <c r="CI321" s="213"/>
      <c r="CJ321" s="213"/>
      <c r="CK321" s="213"/>
      <c r="CL321" s="213"/>
      <c r="CM321" s="213"/>
      <c r="CN321" s="213"/>
      <c r="CO321" s="213"/>
      <c r="CP321" s="213"/>
      <c r="CQ321" s="213"/>
    </row>
    <row r="322" ht="15.75" customHeight="1">
      <c r="A322" s="213"/>
      <c r="B322" s="213"/>
      <c r="C322" s="213"/>
      <c r="D322" s="215"/>
      <c r="E322" s="213"/>
      <c r="F322" s="215"/>
      <c r="G322" s="213"/>
      <c r="H322" s="215"/>
      <c r="I322" s="213"/>
      <c r="J322" s="215"/>
      <c r="K322" s="213"/>
      <c r="L322" s="215"/>
      <c r="M322" s="213"/>
      <c r="N322" s="213"/>
      <c r="O322" s="213"/>
      <c r="P322" s="215"/>
      <c r="Q322" s="213"/>
      <c r="R322" s="215"/>
      <c r="S322" s="213"/>
      <c r="T322" s="213"/>
      <c r="U322" s="213"/>
      <c r="V322" s="215"/>
      <c r="W322" s="213"/>
      <c r="X322" s="215"/>
      <c r="Y322" s="213"/>
      <c r="Z322" s="213"/>
      <c r="AA322" s="213"/>
      <c r="AB322" s="215"/>
      <c r="AC322" s="213"/>
      <c r="AD322" s="215"/>
      <c r="AE322" s="213"/>
      <c r="AF322" s="213"/>
      <c r="AG322" s="213"/>
      <c r="AH322" s="215"/>
      <c r="AI322" s="213"/>
      <c r="AJ322" s="215"/>
      <c r="AK322" s="213"/>
      <c r="AL322" s="213"/>
      <c r="AM322" s="213"/>
      <c r="AN322" s="215"/>
      <c r="AO322" s="213"/>
      <c r="AP322" s="215"/>
      <c r="AQ322" s="213"/>
      <c r="AR322" s="325"/>
      <c r="AS322" s="213"/>
      <c r="AT322" s="215"/>
      <c r="AU322" s="213"/>
      <c r="AV322" s="215"/>
      <c r="AW322" s="213"/>
      <c r="AX322" s="213"/>
      <c r="AY322" s="213"/>
      <c r="AZ322" s="215"/>
      <c r="BA322" s="213"/>
      <c r="BB322" s="215"/>
      <c r="BC322" s="213"/>
      <c r="BD322" s="213"/>
      <c r="BE322" s="213"/>
      <c r="BF322" s="215"/>
      <c r="BG322" s="213"/>
      <c r="BH322" s="215"/>
      <c r="BI322" s="213"/>
      <c r="BJ322" s="213"/>
      <c r="BK322" s="213"/>
      <c r="BL322" s="215"/>
      <c r="BM322" s="213"/>
      <c r="BN322" s="215"/>
      <c r="BO322" s="213"/>
      <c r="BP322" s="213"/>
      <c r="BQ322" s="213"/>
      <c r="BR322" s="326"/>
      <c r="BS322" s="213"/>
      <c r="BT322" s="215"/>
      <c r="BU322" s="213"/>
      <c r="BV322" s="213"/>
      <c r="BW322" s="213"/>
      <c r="BX322" s="213"/>
      <c r="BY322" s="213"/>
      <c r="BZ322" s="213"/>
      <c r="CA322" s="213"/>
      <c r="CB322" s="213"/>
      <c r="CC322" s="213"/>
      <c r="CD322" s="213"/>
      <c r="CE322" s="213"/>
      <c r="CF322" s="213"/>
      <c r="CG322" s="213"/>
      <c r="CH322" s="213"/>
      <c r="CI322" s="213"/>
      <c r="CJ322" s="213"/>
      <c r="CK322" s="213"/>
      <c r="CL322" s="213"/>
      <c r="CM322" s="213"/>
      <c r="CN322" s="213"/>
      <c r="CO322" s="213"/>
      <c r="CP322" s="213"/>
      <c r="CQ322" s="213"/>
    </row>
    <row r="323" ht="15.75" customHeight="1">
      <c r="A323" s="213"/>
      <c r="B323" s="213"/>
      <c r="C323" s="213"/>
      <c r="D323" s="215"/>
      <c r="E323" s="213"/>
      <c r="F323" s="215"/>
      <c r="G323" s="213"/>
      <c r="H323" s="215"/>
      <c r="I323" s="213"/>
      <c r="J323" s="215"/>
      <c r="K323" s="213"/>
      <c r="L323" s="215"/>
      <c r="M323" s="213"/>
      <c r="N323" s="213"/>
      <c r="O323" s="213"/>
      <c r="P323" s="215"/>
      <c r="Q323" s="213"/>
      <c r="R323" s="215"/>
      <c r="S323" s="213"/>
      <c r="T323" s="213"/>
      <c r="U323" s="213"/>
      <c r="V323" s="215"/>
      <c r="W323" s="213"/>
      <c r="X323" s="215"/>
      <c r="Y323" s="213"/>
      <c r="Z323" s="213"/>
      <c r="AA323" s="213"/>
      <c r="AB323" s="215"/>
      <c r="AC323" s="213"/>
      <c r="AD323" s="215"/>
      <c r="AE323" s="213"/>
      <c r="AF323" s="213"/>
      <c r="AG323" s="213"/>
      <c r="AH323" s="215"/>
      <c r="AI323" s="213"/>
      <c r="AJ323" s="215"/>
      <c r="AK323" s="213"/>
      <c r="AL323" s="213"/>
      <c r="AM323" s="213"/>
      <c r="AN323" s="215"/>
      <c r="AO323" s="213"/>
      <c r="AP323" s="215"/>
      <c r="AQ323" s="213"/>
      <c r="AR323" s="325"/>
      <c r="AS323" s="213"/>
      <c r="AT323" s="215"/>
      <c r="AU323" s="213"/>
      <c r="AV323" s="215"/>
      <c r="AW323" s="213"/>
      <c r="AX323" s="213"/>
      <c r="AY323" s="213"/>
      <c r="AZ323" s="215"/>
      <c r="BA323" s="213"/>
      <c r="BB323" s="215"/>
      <c r="BC323" s="213"/>
      <c r="BD323" s="213"/>
      <c r="BE323" s="213"/>
      <c r="BF323" s="215"/>
      <c r="BG323" s="213"/>
      <c r="BH323" s="215"/>
      <c r="BI323" s="213"/>
      <c r="BJ323" s="213"/>
      <c r="BK323" s="213"/>
      <c r="BL323" s="215"/>
      <c r="BM323" s="213"/>
      <c r="BN323" s="215"/>
      <c r="BO323" s="213"/>
      <c r="BP323" s="213"/>
      <c r="BQ323" s="213"/>
      <c r="BR323" s="326"/>
      <c r="BS323" s="213"/>
      <c r="BT323" s="215"/>
      <c r="BU323" s="213"/>
      <c r="BV323" s="213"/>
      <c r="BW323" s="213"/>
      <c r="BX323" s="213"/>
      <c r="BY323" s="213"/>
      <c r="BZ323" s="213"/>
      <c r="CA323" s="213"/>
      <c r="CB323" s="213"/>
      <c r="CC323" s="213"/>
      <c r="CD323" s="213"/>
      <c r="CE323" s="213"/>
      <c r="CF323" s="213"/>
      <c r="CG323" s="213"/>
      <c r="CH323" s="213"/>
      <c r="CI323" s="213"/>
      <c r="CJ323" s="213"/>
      <c r="CK323" s="213"/>
      <c r="CL323" s="213"/>
      <c r="CM323" s="213"/>
      <c r="CN323" s="213"/>
      <c r="CO323" s="213"/>
      <c r="CP323" s="213"/>
      <c r="CQ323" s="213"/>
    </row>
    <row r="324" ht="15.75" customHeight="1">
      <c r="A324" s="213"/>
      <c r="B324" s="213"/>
      <c r="C324" s="213"/>
      <c r="D324" s="215"/>
      <c r="E324" s="213"/>
      <c r="F324" s="215"/>
      <c r="G324" s="213"/>
      <c r="H324" s="215"/>
      <c r="I324" s="213"/>
      <c r="J324" s="215"/>
      <c r="K324" s="213"/>
      <c r="L324" s="215"/>
      <c r="M324" s="213"/>
      <c r="N324" s="213"/>
      <c r="O324" s="213"/>
      <c r="P324" s="215"/>
      <c r="Q324" s="213"/>
      <c r="R324" s="215"/>
      <c r="S324" s="213"/>
      <c r="T324" s="213"/>
      <c r="U324" s="213"/>
      <c r="V324" s="215"/>
      <c r="W324" s="213"/>
      <c r="X324" s="215"/>
      <c r="Y324" s="213"/>
      <c r="Z324" s="213"/>
      <c r="AA324" s="213"/>
      <c r="AB324" s="215"/>
      <c r="AC324" s="213"/>
      <c r="AD324" s="215"/>
      <c r="AE324" s="213"/>
      <c r="AF324" s="213"/>
      <c r="AG324" s="213"/>
      <c r="AH324" s="215"/>
      <c r="AI324" s="213"/>
      <c r="AJ324" s="215"/>
      <c r="AK324" s="213"/>
      <c r="AL324" s="213"/>
      <c r="AM324" s="213"/>
      <c r="AN324" s="215"/>
      <c r="AO324" s="213"/>
      <c r="AP324" s="215"/>
      <c r="AQ324" s="213"/>
      <c r="AR324" s="325"/>
      <c r="AS324" s="213"/>
      <c r="AT324" s="215"/>
      <c r="AU324" s="213"/>
      <c r="AV324" s="215"/>
      <c r="AW324" s="213"/>
      <c r="AX324" s="213"/>
      <c r="AY324" s="213"/>
      <c r="AZ324" s="215"/>
      <c r="BA324" s="213"/>
      <c r="BB324" s="215"/>
      <c r="BC324" s="213"/>
      <c r="BD324" s="213"/>
      <c r="BE324" s="213"/>
      <c r="BF324" s="215"/>
      <c r="BG324" s="213"/>
      <c r="BH324" s="215"/>
      <c r="BI324" s="213"/>
      <c r="BJ324" s="213"/>
      <c r="BK324" s="213"/>
      <c r="BL324" s="215"/>
      <c r="BM324" s="213"/>
      <c r="BN324" s="215"/>
      <c r="BO324" s="213"/>
      <c r="BP324" s="213"/>
      <c r="BQ324" s="213"/>
      <c r="BR324" s="326"/>
      <c r="BS324" s="213"/>
      <c r="BT324" s="215"/>
      <c r="BU324" s="213"/>
      <c r="BV324" s="213"/>
      <c r="BW324" s="213"/>
      <c r="BX324" s="213"/>
      <c r="BY324" s="213"/>
      <c r="BZ324" s="213"/>
      <c r="CA324" s="213"/>
      <c r="CB324" s="213"/>
      <c r="CC324" s="213"/>
      <c r="CD324" s="213"/>
      <c r="CE324" s="213"/>
      <c r="CF324" s="213"/>
      <c r="CG324" s="213"/>
      <c r="CH324" s="213"/>
      <c r="CI324" s="213"/>
      <c r="CJ324" s="213"/>
      <c r="CK324" s="213"/>
      <c r="CL324" s="213"/>
      <c r="CM324" s="213"/>
      <c r="CN324" s="213"/>
      <c r="CO324" s="213"/>
      <c r="CP324" s="213"/>
      <c r="CQ324" s="213"/>
    </row>
    <row r="325" ht="15.75" customHeight="1">
      <c r="A325" s="213"/>
      <c r="B325" s="213"/>
      <c r="C325" s="213"/>
      <c r="D325" s="215"/>
      <c r="E325" s="213"/>
      <c r="F325" s="215"/>
      <c r="G325" s="213"/>
      <c r="H325" s="215"/>
      <c r="I325" s="213"/>
      <c r="J325" s="215"/>
      <c r="K325" s="213"/>
      <c r="L325" s="215"/>
      <c r="M325" s="213"/>
      <c r="N325" s="213"/>
      <c r="O325" s="213"/>
      <c r="P325" s="215"/>
      <c r="Q325" s="213"/>
      <c r="R325" s="215"/>
      <c r="S325" s="213"/>
      <c r="T325" s="213"/>
      <c r="U325" s="213"/>
      <c r="V325" s="215"/>
      <c r="W325" s="213"/>
      <c r="X325" s="215"/>
      <c r="Y325" s="213"/>
      <c r="Z325" s="213"/>
      <c r="AA325" s="213"/>
      <c r="AB325" s="215"/>
      <c r="AC325" s="213"/>
      <c r="AD325" s="215"/>
      <c r="AE325" s="213"/>
      <c r="AF325" s="213"/>
      <c r="AG325" s="213"/>
      <c r="AH325" s="215"/>
      <c r="AI325" s="213"/>
      <c r="AJ325" s="215"/>
      <c r="AK325" s="213"/>
      <c r="AL325" s="213"/>
      <c r="AM325" s="213"/>
      <c r="AN325" s="215"/>
      <c r="AO325" s="213"/>
      <c r="AP325" s="215"/>
      <c r="AQ325" s="213"/>
      <c r="AR325" s="325"/>
      <c r="AS325" s="213"/>
      <c r="AT325" s="215"/>
      <c r="AU325" s="213"/>
      <c r="AV325" s="215"/>
      <c r="AW325" s="213"/>
      <c r="AX325" s="213"/>
      <c r="AY325" s="213"/>
      <c r="AZ325" s="215"/>
      <c r="BA325" s="213"/>
      <c r="BB325" s="215"/>
      <c r="BC325" s="213"/>
      <c r="BD325" s="213"/>
      <c r="BE325" s="213"/>
      <c r="BF325" s="215"/>
      <c r="BG325" s="213"/>
      <c r="BH325" s="215"/>
      <c r="BI325" s="213"/>
      <c r="BJ325" s="213"/>
      <c r="BK325" s="213"/>
      <c r="BL325" s="215"/>
      <c r="BM325" s="213"/>
      <c r="BN325" s="215"/>
      <c r="BO325" s="213"/>
      <c r="BP325" s="213"/>
      <c r="BQ325" s="213"/>
      <c r="BR325" s="326"/>
      <c r="BS325" s="213"/>
      <c r="BT325" s="215"/>
      <c r="BU325" s="213"/>
      <c r="BV325" s="213"/>
      <c r="BW325" s="213"/>
      <c r="BX325" s="213"/>
      <c r="BY325" s="213"/>
      <c r="BZ325" s="213"/>
      <c r="CA325" s="213"/>
      <c r="CB325" s="213"/>
      <c r="CC325" s="213"/>
      <c r="CD325" s="213"/>
      <c r="CE325" s="213"/>
      <c r="CF325" s="213"/>
      <c r="CG325" s="213"/>
      <c r="CH325" s="213"/>
      <c r="CI325" s="213"/>
      <c r="CJ325" s="213"/>
      <c r="CK325" s="213"/>
      <c r="CL325" s="213"/>
      <c r="CM325" s="213"/>
      <c r="CN325" s="213"/>
      <c r="CO325" s="213"/>
      <c r="CP325" s="213"/>
      <c r="CQ325" s="213"/>
    </row>
    <row r="326" ht="15.75" customHeight="1">
      <c r="A326" s="213"/>
      <c r="B326" s="213"/>
      <c r="C326" s="213"/>
      <c r="D326" s="215"/>
      <c r="E326" s="213"/>
      <c r="F326" s="215"/>
      <c r="G326" s="213"/>
      <c r="H326" s="215"/>
      <c r="I326" s="213"/>
      <c r="J326" s="215"/>
      <c r="K326" s="213"/>
      <c r="L326" s="215"/>
      <c r="M326" s="213"/>
      <c r="N326" s="213"/>
      <c r="O326" s="213"/>
      <c r="P326" s="215"/>
      <c r="Q326" s="213"/>
      <c r="R326" s="215"/>
      <c r="S326" s="213"/>
      <c r="T326" s="213"/>
      <c r="U326" s="213"/>
      <c r="V326" s="215"/>
      <c r="W326" s="213"/>
      <c r="X326" s="215"/>
      <c r="Y326" s="213"/>
      <c r="Z326" s="213"/>
      <c r="AA326" s="213"/>
      <c r="AB326" s="215"/>
      <c r="AC326" s="213"/>
      <c r="AD326" s="215"/>
      <c r="AE326" s="213"/>
      <c r="AF326" s="213"/>
      <c r="AG326" s="213"/>
      <c r="AH326" s="215"/>
      <c r="AI326" s="213"/>
      <c r="AJ326" s="215"/>
      <c r="AK326" s="213"/>
      <c r="AL326" s="213"/>
      <c r="AM326" s="213"/>
      <c r="AN326" s="215"/>
      <c r="AO326" s="213"/>
      <c r="AP326" s="215"/>
      <c r="AQ326" s="213"/>
      <c r="AR326" s="325"/>
      <c r="AS326" s="213"/>
      <c r="AT326" s="215"/>
      <c r="AU326" s="213"/>
      <c r="AV326" s="215"/>
      <c r="AW326" s="213"/>
      <c r="AX326" s="213"/>
      <c r="AY326" s="213"/>
      <c r="AZ326" s="215"/>
      <c r="BA326" s="213"/>
      <c r="BB326" s="215"/>
      <c r="BC326" s="213"/>
      <c r="BD326" s="213"/>
      <c r="BE326" s="213"/>
      <c r="BF326" s="215"/>
      <c r="BG326" s="213"/>
      <c r="BH326" s="215"/>
      <c r="BI326" s="213"/>
      <c r="BJ326" s="213"/>
      <c r="BK326" s="213"/>
      <c r="BL326" s="215"/>
      <c r="BM326" s="213"/>
      <c r="BN326" s="215"/>
      <c r="BO326" s="213"/>
      <c r="BP326" s="213"/>
      <c r="BQ326" s="213"/>
      <c r="BR326" s="326"/>
      <c r="BS326" s="213"/>
      <c r="BT326" s="215"/>
      <c r="BU326" s="213"/>
      <c r="BV326" s="213"/>
      <c r="BW326" s="213"/>
      <c r="BX326" s="213"/>
      <c r="BY326" s="213"/>
      <c r="BZ326" s="213"/>
      <c r="CA326" s="213"/>
      <c r="CB326" s="213"/>
      <c r="CC326" s="213"/>
      <c r="CD326" s="213"/>
      <c r="CE326" s="213"/>
      <c r="CF326" s="213"/>
      <c r="CG326" s="213"/>
      <c r="CH326" s="213"/>
      <c r="CI326" s="213"/>
      <c r="CJ326" s="213"/>
      <c r="CK326" s="213"/>
      <c r="CL326" s="213"/>
      <c r="CM326" s="213"/>
      <c r="CN326" s="213"/>
      <c r="CO326" s="213"/>
      <c r="CP326" s="213"/>
      <c r="CQ326" s="213"/>
    </row>
    <row r="327" ht="15.75" customHeight="1">
      <c r="A327" s="213"/>
      <c r="B327" s="213"/>
      <c r="C327" s="213"/>
      <c r="D327" s="215"/>
      <c r="E327" s="213"/>
      <c r="F327" s="215"/>
      <c r="G327" s="213"/>
      <c r="H327" s="215"/>
      <c r="I327" s="213"/>
      <c r="J327" s="215"/>
      <c r="K327" s="213"/>
      <c r="L327" s="215"/>
      <c r="M327" s="213"/>
      <c r="N327" s="213"/>
      <c r="O327" s="213"/>
      <c r="P327" s="215"/>
      <c r="Q327" s="213"/>
      <c r="R327" s="215"/>
      <c r="S327" s="213"/>
      <c r="T327" s="213"/>
      <c r="U327" s="213"/>
      <c r="V327" s="215"/>
      <c r="W327" s="213"/>
      <c r="X327" s="215"/>
      <c r="Y327" s="213"/>
      <c r="Z327" s="213"/>
      <c r="AA327" s="213"/>
      <c r="AB327" s="215"/>
      <c r="AC327" s="213"/>
      <c r="AD327" s="215"/>
      <c r="AE327" s="213"/>
      <c r="AF327" s="213"/>
      <c r="AG327" s="213"/>
      <c r="AH327" s="215"/>
      <c r="AI327" s="213"/>
      <c r="AJ327" s="215"/>
      <c r="AK327" s="213"/>
      <c r="AL327" s="213"/>
      <c r="AM327" s="213"/>
      <c r="AN327" s="215"/>
      <c r="AO327" s="213"/>
      <c r="AP327" s="215"/>
      <c r="AQ327" s="213"/>
      <c r="AR327" s="325"/>
      <c r="AS327" s="213"/>
      <c r="AT327" s="215"/>
      <c r="AU327" s="213"/>
      <c r="AV327" s="215"/>
      <c r="AW327" s="213"/>
      <c r="AX327" s="213"/>
      <c r="AY327" s="213"/>
      <c r="AZ327" s="215"/>
      <c r="BA327" s="213"/>
      <c r="BB327" s="215"/>
      <c r="BC327" s="213"/>
      <c r="BD327" s="213"/>
      <c r="BE327" s="213"/>
      <c r="BF327" s="215"/>
      <c r="BG327" s="213"/>
      <c r="BH327" s="215"/>
      <c r="BI327" s="213"/>
      <c r="BJ327" s="213"/>
      <c r="BK327" s="213"/>
      <c r="BL327" s="215"/>
      <c r="BM327" s="213"/>
      <c r="BN327" s="215"/>
      <c r="BO327" s="213"/>
      <c r="BP327" s="213"/>
      <c r="BQ327" s="213"/>
      <c r="BR327" s="326"/>
      <c r="BS327" s="213"/>
      <c r="BT327" s="215"/>
      <c r="BU327" s="213"/>
      <c r="BV327" s="213"/>
      <c r="BW327" s="213"/>
      <c r="BX327" s="213"/>
      <c r="BY327" s="213"/>
      <c r="BZ327" s="213"/>
      <c r="CA327" s="213"/>
      <c r="CB327" s="213"/>
      <c r="CC327" s="213"/>
      <c r="CD327" s="213"/>
      <c r="CE327" s="213"/>
      <c r="CF327" s="213"/>
      <c r="CG327" s="213"/>
      <c r="CH327" s="213"/>
      <c r="CI327" s="213"/>
      <c r="CJ327" s="213"/>
      <c r="CK327" s="213"/>
      <c r="CL327" s="213"/>
      <c r="CM327" s="213"/>
      <c r="CN327" s="213"/>
      <c r="CO327" s="213"/>
      <c r="CP327" s="213"/>
      <c r="CQ327" s="213"/>
    </row>
    <row r="328" ht="15.75" customHeight="1">
      <c r="A328" s="213"/>
      <c r="B328" s="213"/>
      <c r="C328" s="213"/>
      <c r="D328" s="215"/>
      <c r="E328" s="213"/>
      <c r="F328" s="215"/>
      <c r="G328" s="213"/>
      <c r="H328" s="215"/>
      <c r="I328" s="213"/>
      <c r="J328" s="215"/>
      <c r="K328" s="213"/>
      <c r="L328" s="215"/>
      <c r="M328" s="213"/>
      <c r="N328" s="213"/>
      <c r="O328" s="213"/>
      <c r="P328" s="215"/>
      <c r="Q328" s="213"/>
      <c r="R328" s="215"/>
      <c r="S328" s="213"/>
      <c r="T328" s="213"/>
      <c r="U328" s="213"/>
      <c r="V328" s="215"/>
      <c r="W328" s="213"/>
      <c r="X328" s="215"/>
      <c r="Y328" s="213"/>
      <c r="Z328" s="213"/>
      <c r="AA328" s="213"/>
      <c r="AB328" s="215"/>
      <c r="AC328" s="213"/>
      <c r="AD328" s="215"/>
      <c r="AE328" s="213"/>
      <c r="AF328" s="213"/>
      <c r="AG328" s="213"/>
      <c r="AH328" s="215"/>
      <c r="AI328" s="213"/>
      <c r="AJ328" s="215"/>
      <c r="AK328" s="213"/>
      <c r="AL328" s="213"/>
      <c r="AM328" s="213"/>
      <c r="AN328" s="215"/>
      <c r="AO328" s="213"/>
      <c r="AP328" s="215"/>
      <c r="AQ328" s="213"/>
      <c r="AR328" s="325"/>
      <c r="AS328" s="213"/>
      <c r="AT328" s="215"/>
      <c r="AU328" s="213"/>
      <c r="AV328" s="215"/>
      <c r="AW328" s="213"/>
      <c r="AX328" s="213"/>
      <c r="AY328" s="213"/>
      <c r="AZ328" s="215"/>
      <c r="BA328" s="213"/>
      <c r="BB328" s="215"/>
      <c r="BC328" s="213"/>
      <c r="BD328" s="213"/>
      <c r="BE328" s="213"/>
      <c r="BF328" s="215"/>
      <c r="BG328" s="213"/>
      <c r="BH328" s="215"/>
      <c r="BI328" s="213"/>
      <c r="BJ328" s="213"/>
      <c r="BK328" s="213"/>
      <c r="BL328" s="215"/>
      <c r="BM328" s="213"/>
      <c r="BN328" s="215"/>
      <c r="BO328" s="213"/>
      <c r="BP328" s="213"/>
      <c r="BQ328" s="213"/>
      <c r="BR328" s="326"/>
      <c r="BS328" s="213"/>
      <c r="BT328" s="215"/>
      <c r="BU328" s="213"/>
      <c r="BV328" s="213"/>
      <c r="BW328" s="213"/>
      <c r="BX328" s="213"/>
      <c r="BY328" s="213"/>
      <c r="BZ328" s="213"/>
      <c r="CA328" s="213"/>
      <c r="CB328" s="213"/>
      <c r="CC328" s="213"/>
      <c r="CD328" s="213"/>
      <c r="CE328" s="213"/>
      <c r="CF328" s="213"/>
      <c r="CG328" s="213"/>
      <c r="CH328" s="213"/>
      <c r="CI328" s="213"/>
      <c r="CJ328" s="213"/>
      <c r="CK328" s="213"/>
      <c r="CL328" s="213"/>
      <c r="CM328" s="213"/>
      <c r="CN328" s="213"/>
      <c r="CO328" s="213"/>
      <c r="CP328" s="213"/>
      <c r="CQ328" s="213"/>
    </row>
    <row r="329" ht="15.75" customHeight="1">
      <c r="A329" s="213"/>
      <c r="B329" s="213"/>
      <c r="C329" s="213"/>
      <c r="D329" s="215"/>
      <c r="E329" s="213"/>
      <c r="F329" s="215"/>
      <c r="G329" s="213"/>
      <c r="H329" s="215"/>
      <c r="I329" s="213"/>
      <c r="J329" s="215"/>
      <c r="K329" s="213"/>
      <c r="L329" s="215"/>
      <c r="M329" s="213"/>
      <c r="N329" s="213"/>
      <c r="O329" s="213"/>
      <c r="P329" s="215"/>
      <c r="Q329" s="213"/>
      <c r="R329" s="215"/>
      <c r="S329" s="213"/>
      <c r="T329" s="213"/>
      <c r="U329" s="213"/>
      <c r="V329" s="215"/>
      <c r="W329" s="213"/>
      <c r="X329" s="215"/>
      <c r="Y329" s="213"/>
      <c r="Z329" s="213"/>
      <c r="AA329" s="213"/>
      <c r="AB329" s="215"/>
      <c r="AC329" s="213"/>
      <c r="AD329" s="215"/>
      <c r="AE329" s="213"/>
      <c r="AF329" s="213"/>
      <c r="AG329" s="213"/>
      <c r="AH329" s="215"/>
      <c r="AI329" s="213"/>
      <c r="AJ329" s="215"/>
      <c r="AK329" s="213"/>
      <c r="AL329" s="213"/>
      <c r="AM329" s="213"/>
      <c r="AN329" s="215"/>
      <c r="AO329" s="213"/>
      <c r="AP329" s="215"/>
      <c r="AQ329" s="213"/>
      <c r="AR329" s="325"/>
      <c r="AS329" s="213"/>
      <c r="AT329" s="215"/>
      <c r="AU329" s="213"/>
      <c r="AV329" s="215"/>
      <c r="AW329" s="213"/>
      <c r="AX329" s="213"/>
      <c r="AY329" s="213"/>
      <c r="AZ329" s="215"/>
      <c r="BA329" s="213"/>
      <c r="BB329" s="215"/>
      <c r="BC329" s="213"/>
      <c r="BD329" s="213"/>
      <c r="BE329" s="213"/>
      <c r="BF329" s="215"/>
      <c r="BG329" s="213"/>
      <c r="BH329" s="215"/>
      <c r="BI329" s="213"/>
      <c r="BJ329" s="213"/>
      <c r="BK329" s="213"/>
      <c r="BL329" s="215"/>
      <c r="BM329" s="213"/>
      <c r="BN329" s="215"/>
      <c r="BO329" s="213"/>
      <c r="BP329" s="213"/>
      <c r="BQ329" s="213"/>
      <c r="BR329" s="326"/>
      <c r="BS329" s="213"/>
      <c r="BT329" s="215"/>
      <c r="BU329" s="213"/>
      <c r="BV329" s="213"/>
      <c r="BW329" s="213"/>
      <c r="BX329" s="213"/>
      <c r="BY329" s="213"/>
      <c r="BZ329" s="213"/>
      <c r="CA329" s="213"/>
      <c r="CB329" s="213"/>
      <c r="CC329" s="213"/>
      <c r="CD329" s="213"/>
      <c r="CE329" s="213"/>
      <c r="CF329" s="213"/>
      <c r="CG329" s="213"/>
      <c r="CH329" s="213"/>
      <c r="CI329" s="213"/>
      <c r="CJ329" s="213"/>
      <c r="CK329" s="213"/>
      <c r="CL329" s="213"/>
      <c r="CM329" s="213"/>
      <c r="CN329" s="213"/>
      <c r="CO329" s="213"/>
      <c r="CP329" s="213"/>
      <c r="CQ329" s="213"/>
    </row>
    <row r="330" ht="15.75" customHeight="1">
      <c r="A330" s="213"/>
      <c r="B330" s="213"/>
      <c r="C330" s="213"/>
      <c r="D330" s="215"/>
      <c r="E330" s="213"/>
      <c r="F330" s="215"/>
      <c r="G330" s="213"/>
      <c r="H330" s="215"/>
      <c r="I330" s="213"/>
      <c r="J330" s="215"/>
      <c r="K330" s="213"/>
      <c r="L330" s="215"/>
      <c r="M330" s="213"/>
      <c r="N330" s="213"/>
      <c r="O330" s="213"/>
      <c r="P330" s="215"/>
      <c r="Q330" s="213"/>
      <c r="R330" s="215"/>
      <c r="S330" s="213"/>
      <c r="T330" s="213"/>
      <c r="U330" s="213"/>
      <c r="V330" s="215"/>
      <c r="W330" s="213"/>
      <c r="X330" s="215"/>
      <c r="Y330" s="213"/>
      <c r="Z330" s="213"/>
      <c r="AA330" s="213"/>
      <c r="AB330" s="215"/>
      <c r="AC330" s="213"/>
      <c r="AD330" s="215"/>
      <c r="AE330" s="213"/>
      <c r="AF330" s="213"/>
      <c r="AG330" s="213"/>
      <c r="AH330" s="215"/>
      <c r="AI330" s="213"/>
      <c r="AJ330" s="215"/>
      <c r="AK330" s="213"/>
      <c r="AL330" s="213"/>
      <c r="AM330" s="213"/>
      <c r="AN330" s="215"/>
      <c r="AO330" s="213"/>
      <c r="AP330" s="215"/>
      <c r="AQ330" s="213"/>
      <c r="AR330" s="325"/>
      <c r="AS330" s="213"/>
      <c r="AT330" s="215"/>
      <c r="AU330" s="213"/>
      <c r="AV330" s="215"/>
      <c r="AW330" s="213"/>
      <c r="AX330" s="213"/>
      <c r="AY330" s="213"/>
      <c r="AZ330" s="215"/>
      <c r="BA330" s="213"/>
      <c r="BB330" s="215"/>
      <c r="BC330" s="213"/>
      <c r="BD330" s="213"/>
      <c r="BE330" s="213"/>
      <c r="BF330" s="215"/>
      <c r="BG330" s="213"/>
      <c r="BH330" s="215"/>
      <c r="BI330" s="213"/>
      <c r="BJ330" s="213"/>
      <c r="BK330" s="213"/>
      <c r="BL330" s="215"/>
      <c r="BM330" s="213"/>
      <c r="BN330" s="215"/>
      <c r="BO330" s="213"/>
      <c r="BP330" s="213"/>
      <c r="BQ330" s="213"/>
      <c r="BR330" s="326"/>
      <c r="BS330" s="213"/>
      <c r="BT330" s="215"/>
      <c r="BU330" s="213"/>
      <c r="BV330" s="213"/>
      <c r="BW330" s="213"/>
      <c r="BX330" s="213"/>
      <c r="BY330" s="213"/>
      <c r="BZ330" s="213"/>
      <c r="CA330" s="213"/>
      <c r="CB330" s="213"/>
      <c r="CC330" s="213"/>
      <c r="CD330" s="213"/>
      <c r="CE330" s="213"/>
      <c r="CF330" s="213"/>
      <c r="CG330" s="213"/>
      <c r="CH330" s="213"/>
      <c r="CI330" s="213"/>
      <c r="CJ330" s="213"/>
      <c r="CK330" s="213"/>
      <c r="CL330" s="213"/>
      <c r="CM330" s="213"/>
      <c r="CN330" s="213"/>
      <c r="CO330" s="213"/>
      <c r="CP330" s="213"/>
      <c r="CQ330" s="213"/>
    </row>
    <row r="331" ht="15.75" customHeight="1">
      <c r="A331" s="213"/>
      <c r="B331" s="213"/>
      <c r="C331" s="213"/>
      <c r="D331" s="215"/>
      <c r="E331" s="213"/>
      <c r="F331" s="215"/>
      <c r="G331" s="213"/>
      <c r="H331" s="215"/>
      <c r="I331" s="213"/>
      <c r="J331" s="215"/>
      <c r="K331" s="213"/>
      <c r="L331" s="215"/>
      <c r="M331" s="213"/>
      <c r="N331" s="213"/>
      <c r="O331" s="213"/>
      <c r="P331" s="215"/>
      <c r="Q331" s="213"/>
      <c r="R331" s="215"/>
      <c r="S331" s="213"/>
      <c r="T331" s="213"/>
      <c r="U331" s="213"/>
      <c r="V331" s="215"/>
      <c r="W331" s="213"/>
      <c r="X331" s="215"/>
      <c r="Y331" s="213"/>
      <c r="Z331" s="213"/>
      <c r="AA331" s="213"/>
      <c r="AB331" s="215"/>
      <c r="AC331" s="213"/>
      <c r="AD331" s="215"/>
      <c r="AE331" s="213"/>
      <c r="AF331" s="213"/>
      <c r="AG331" s="213"/>
      <c r="AH331" s="215"/>
      <c r="AI331" s="213"/>
      <c r="AJ331" s="215"/>
      <c r="AK331" s="213"/>
      <c r="AL331" s="213"/>
      <c r="AM331" s="213"/>
      <c r="AN331" s="215"/>
      <c r="AO331" s="213"/>
      <c r="AP331" s="215"/>
      <c r="AQ331" s="213"/>
      <c r="AR331" s="325"/>
      <c r="AS331" s="213"/>
      <c r="AT331" s="215"/>
      <c r="AU331" s="213"/>
      <c r="AV331" s="215"/>
      <c r="AW331" s="213"/>
      <c r="AX331" s="213"/>
      <c r="AY331" s="213"/>
      <c r="AZ331" s="215"/>
      <c r="BA331" s="213"/>
      <c r="BB331" s="215"/>
      <c r="BC331" s="213"/>
      <c r="BD331" s="213"/>
      <c r="BE331" s="213"/>
      <c r="BF331" s="215"/>
      <c r="BG331" s="213"/>
      <c r="BH331" s="215"/>
      <c r="BI331" s="213"/>
      <c r="BJ331" s="213"/>
      <c r="BK331" s="213"/>
      <c r="BL331" s="215"/>
      <c r="BM331" s="213"/>
      <c r="BN331" s="215"/>
      <c r="BO331" s="213"/>
      <c r="BP331" s="213"/>
      <c r="BQ331" s="213"/>
      <c r="BR331" s="326"/>
      <c r="BS331" s="213"/>
      <c r="BT331" s="215"/>
      <c r="BU331" s="213"/>
      <c r="BV331" s="213"/>
      <c r="BW331" s="213"/>
      <c r="BX331" s="213"/>
      <c r="BY331" s="213"/>
      <c r="BZ331" s="213"/>
      <c r="CA331" s="213"/>
      <c r="CB331" s="213"/>
      <c r="CC331" s="213"/>
      <c r="CD331" s="213"/>
      <c r="CE331" s="213"/>
      <c r="CF331" s="213"/>
      <c r="CG331" s="213"/>
      <c r="CH331" s="213"/>
      <c r="CI331" s="213"/>
      <c r="CJ331" s="213"/>
      <c r="CK331" s="213"/>
      <c r="CL331" s="213"/>
      <c r="CM331" s="213"/>
      <c r="CN331" s="213"/>
      <c r="CO331" s="213"/>
      <c r="CP331" s="213"/>
      <c r="CQ331" s="213"/>
    </row>
    <row r="332" ht="15.75" customHeight="1">
      <c r="A332" s="213"/>
      <c r="B332" s="213"/>
      <c r="C332" s="213"/>
      <c r="D332" s="215"/>
      <c r="E332" s="213"/>
      <c r="F332" s="215"/>
      <c r="G332" s="213"/>
      <c r="H332" s="215"/>
      <c r="I332" s="213"/>
      <c r="J332" s="215"/>
      <c r="K332" s="213"/>
      <c r="L332" s="215"/>
      <c r="M332" s="213"/>
      <c r="N332" s="213"/>
      <c r="O332" s="213"/>
      <c r="P332" s="215"/>
      <c r="Q332" s="213"/>
      <c r="R332" s="215"/>
      <c r="S332" s="213"/>
      <c r="T332" s="213"/>
      <c r="U332" s="213"/>
      <c r="V332" s="215"/>
      <c r="W332" s="213"/>
      <c r="X332" s="215"/>
      <c r="Y332" s="213"/>
      <c r="Z332" s="213"/>
      <c r="AA332" s="213"/>
      <c r="AB332" s="215"/>
      <c r="AC332" s="213"/>
      <c r="AD332" s="215"/>
      <c r="AE332" s="213"/>
      <c r="AF332" s="213"/>
      <c r="AG332" s="213"/>
      <c r="AH332" s="215"/>
      <c r="AI332" s="213"/>
      <c r="AJ332" s="215"/>
      <c r="AK332" s="213"/>
      <c r="AL332" s="213"/>
      <c r="AM332" s="213"/>
      <c r="AN332" s="215"/>
      <c r="AO332" s="213"/>
      <c r="AP332" s="215"/>
      <c r="AQ332" s="213"/>
      <c r="AR332" s="325"/>
      <c r="AS332" s="213"/>
      <c r="AT332" s="215"/>
      <c r="AU332" s="213"/>
      <c r="AV332" s="215"/>
      <c r="AW332" s="213"/>
      <c r="AX332" s="213"/>
      <c r="AY332" s="213"/>
      <c r="AZ332" s="215"/>
      <c r="BA332" s="213"/>
      <c r="BB332" s="215"/>
      <c r="BC332" s="213"/>
      <c r="BD332" s="213"/>
      <c r="BE332" s="213"/>
      <c r="BF332" s="215"/>
      <c r="BG332" s="213"/>
      <c r="BH332" s="215"/>
      <c r="BI332" s="213"/>
      <c r="BJ332" s="213"/>
      <c r="BK332" s="213"/>
      <c r="BL332" s="215"/>
      <c r="BM332" s="213"/>
      <c r="BN332" s="215"/>
      <c r="BO332" s="213"/>
      <c r="BP332" s="213"/>
      <c r="BQ332" s="213"/>
      <c r="BR332" s="326"/>
      <c r="BS332" s="213"/>
      <c r="BT332" s="215"/>
      <c r="BU332" s="213"/>
      <c r="BV332" s="213"/>
      <c r="BW332" s="213"/>
      <c r="BX332" s="213"/>
      <c r="BY332" s="213"/>
      <c r="BZ332" s="213"/>
      <c r="CA332" s="213"/>
      <c r="CB332" s="213"/>
      <c r="CC332" s="213"/>
      <c r="CD332" s="213"/>
      <c r="CE332" s="213"/>
      <c r="CF332" s="213"/>
      <c r="CG332" s="213"/>
      <c r="CH332" s="213"/>
      <c r="CI332" s="213"/>
      <c r="CJ332" s="213"/>
      <c r="CK332" s="213"/>
      <c r="CL332" s="213"/>
      <c r="CM332" s="213"/>
      <c r="CN332" s="213"/>
      <c r="CO332" s="213"/>
      <c r="CP332" s="213"/>
      <c r="CQ332" s="213"/>
    </row>
    <row r="333" ht="15.75" customHeight="1">
      <c r="A333" s="213"/>
      <c r="B333" s="213"/>
      <c r="C333" s="213"/>
      <c r="D333" s="215"/>
      <c r="E333" s="213"/>
      <c r="F333" s="215"/>
      <c r="G333" s="213"/>
      <c r="H333" s="215"/>
      <c r="I333" s="213"/>
      <c r="J333" s="215"/>
      <c r="K333" s="213"/>
      <c r="L333" s="215"/>
      <c r="M333" s="213"/>
      <c r="N333" s="213"/>
      <c r="O333" s="213"/>
      <c r="P333" s="215"/>
      <c r="Q333" s="213"/>
      <c r="R333" s="215"/>
      <c r="S333" s="213"/>
      <c r="T333" s="213"/>
      <c r="U333" s="213"/>
      <c r="V333" s="215"/>
      <c r="W333" s="213"/>
      <c r="X333" s="215"/>
      <c r="Y333" s="213"/>
      <c r="Z333" s="213"/>
      <c r="AA333" s="213"/>
      <c r="AB333" s="215"/>
      <c r="AC333" s="213"/>
      <c r="AD333" s="215"/>
      <c r="AE333" s="213"/>
      <c r="AF333" s="213"/>
      <c r="AG333" s="213"/>
      <c r="AH333" s="215"/>
      <c r="AI333" s="213"/>
      <c r="AJ333" s="215"/>
      <c r="AK333" s="213"/>
      <c r="AL333" s="213"/>
      <c r="AM333" s="213"/>
      <c r="AN333" s="215"/>
      <c r="AO333" s="213"/>
      <c r="AP333" s="215"/>
      <c r="AQ333" s="213"/>
      <c r="AR333" s="325"/>
      <c r="AS333" s="213"/>
      <c r="AT333" s="215"/>
      <c r="AU333" s="213"/>
      <c r="AV333" s="215"/>
      <c r="AW333" s="213"/>
      <c r="AX333" s="213"/>
      <c r="AY333" s="213"/>
      <c r="AZ333" s="215"/>
      <c r="BA333" s="213"/>
      <c r="BB333" s="215"/>
      <c r="BC333" s="213"/>
      <c r="BD333" s="213"/>
      <c r="BE333" s="213"/>
      <c r="BF333" s="215"/>
      <c r="BG333" s="213"/>
      <c r="BH333" s="215"/>
      <c r="BI333" s="213"/>
      <c r="BJ333" s="213"/>
      <c r="BK333" s="213"/>
      <c r="BL333" s="215"/>
      <c r="BM333" s="213"/>
      <c r="BN333" s="215"/>
      <c r="BO333" s="213"/>
      <c r="BP333" s="213"/>
      <c r="BQ333" s="213"/>
      <c r="BR333" s="326"/>
      <c r="BS333" s="213"/>
      <c r="BT333" s="215"/>
      <c r="BU333" s="213"/>
      <c r="BV333" s="213"/>
      <c r="BW333" s="213"/>
      <c r="BX333" s="213"/>
      <c r="BY333" s="213"/>
      <c r="BZ333" s="213"/>
      <c r="CA333" s="213"/>
      <c r="CB333" s="213"/>
      <c r="CC333" s="213"/>
      <c r="CD333" s="213"/>
      <c r="CE333" s="213"/>
      <c r="CF333" s="213"/>
      <c r="CG333" s="213"/>
      <c r="CH333" s="213"/>
      <c r="CI333" s="213"/>
      <c r="CJ333" s="213"/>
      <c r="CK333" s="213"/>
      <c r="CL333" s="213"/>
      <c r="CM333" s="213"/>
      <c r="CN333" s="213"/>
      <c r="CO333" s="213"/>
      <c r="CP333" s="213"/>
      <c r="CQ333" s="213"/>
    </row>
    <row r="334" ht="15.75" customHeight="1">
      <c r="A334" s="213"/>
      <c r="B334" s="213"/>
      <c r="C334" s="213"/>
      <c r="D334" s="215"/>
      <c r="E334" s="213"/>
      <c r="F334" s="215"/>
      <c r="G334" s="213"/>
      <c r="H334" s="215"/>
      <c r="I334" s="213"/>
      <c r="J334" s="215"/>
      <c r="K334" s="213"/>
      <c r="L334" s="215"/>
      <c r="M334" s="213"/>
      <c r="N334" s="213"/>
      <c r="O334" s="213"/>
      <c r="P334" s="215"/>
      <c r="Q334" s="213"/>
      <c r="R334" s="215"/>
      <c r="S334" s="213"/>
      <c r="T334" s="213"/>
      <c r="U334" s="213"/>
      <c r="V334" s="215"/>
      <c r="W334" s="213"/>
      <c r="X334" s="215"/>
      <c r="Y334" s="213"/>
      <c r="Z334" s="213"/>
      <c r="AA334" s="213"/>
      <c r="AB334" s="215"/>
      <c r="AC334" s="213"/>
      <c r="AD334" s="215"/>
      <c r="AE334" s="213"/>
      <c r="AF334" s="213"/>
      <c r="AG334" s="213"/>
      <c r="AH334" s="215"/>
      <c r="AI334" s="213"/>
      <c r="AJ334" s="215"/>
      <c r="AK334" s="213"/>
      <c r="AL334" s="213"/>
      <c r="AM334" s="213"/>
      <c r="AN334" s="215"/>
      <c r="AO334" s="213"/>
      <c r="AP334" s="215"/>
      <c r="AQ334" s="213"/>
      <c r="AR334" s="325"/>
      <c r="AS334" s="213"/>
      <c r="AT334" s="215"/>
      <c r="AU334" s="213"/>
      <c r="AV334" s="215"/>
      <c r="AW334" s="213"/>
      <c r="AX334" s="213"/>
      <c r="AY334" s="213"/>
      <c r="AZ334" s="215"/>
      <c r="BA334" s="213"/>
      <c r="BB334" s="215"/>
      <c r="BC334" s="213"/>
      <c r="BD334" s="213"/>
      <c r="BE334" s="213"/>
      <c r="BF334" s="215"/>
      <c r="BG334" s="213"/>
      <c r="BH334" s="215"/>
      <c r="BI334" s="213"/>
      <c r="BJ334" s="213"/>
      <c r="BK334" s="213"/>
      <c r="BL334" s="215"/>
      <c r="BM334" s="213"/>
      <c r="BN334" s="215"/>
      <c r="BO334" s="213"/>
      <c r="BP334" s="213"/>
      <c r="BQ334" s="213"/>
      <c r="BR334" s="326"/>
      <c r="BS334" s="213"/>
      <c r="BT334" s="215"/>
      <c r="BU334" s="213"/>
      <c r="BV334" s="213"/>
      <c r="BW334" s="213"/>
      <c r="BX334" s="213"/>
      <c r="BY334" s="213"/>
      <c r="BZ334" s="213"/>
      <c r="CA334" s="213"/>
      <c r="CB334" s="213"/>
      <c r="CC334" s="213"/>
      <c r="CD334" s="213"/>
      <c r="CE334" s="213"/>
      <c r="CF334" s="213"/>
      <c r="CG334" s="213"/>
      <c r="CH334" s="213"/>
      <c r="CI334" s="213"/>
      <c r="CJ334" s="213"/>
      <c r="CK334" s="213"/>
      <c r="CL334" s="213"/>
      <c r="CM334" s="213"/>
      <c r="CN334" s="213"/>
      <c r="CO334" s="213"/>
      <c r="CP334" s="213"/>
      <c r="CQ334" s="213"/>
    </row>
    <row r="335" ht="15.75" customHeight="1">
      <c r="A335" s="213"/>
      <c r="B335" s="213"/>
      <c r="C335" s="213"/>
      <c r="D335" s="215"/>
      <c r="E335" s="213"/>
      <c r="F335" s="215"/>
      <c r="G335" s="213"/>
      <c r="H335" s="215"/>
      <c r="I335" s="213"/>
      <c r="J335" s="215"/>
      <c r="K335" s="213"/>
      <c r="L335" s="215"/>
      <c r="M335" s="213"/>
      <c r="N335" s="213"/>
      <c r="O335" s="213"/>
      <c r="P335" s="215"/>
      <c r="Q335" s="213"/>
      <c r="R335" s="215"/>
      <c r="S335" s="213"/>
      <c r="T335" s="213"/>
      <c r="U335" s="213"/>
      <c r="V335" s="215"/>
      <c r="W335" s="213"/>
      <c r="X335" s="215"/>
      <c r="Y335" s="213"/>
      <c r="Z335" s="213"/>
      <c r="AA335" s="213"/>
      <c r="AB335" s="215"/>
      <c r="AC335" s="213"/>
      <c r="AD335" s="215"/>
      <c r="AE335" s="213"/>
      <c r="AF335" s="213"/>
      <c r="AG335" s="213"/>
      <c r="AH335" s="215"/>
      <c r="AI335" s="213"/>
      <c r="AJ335" s="215"/>
      <c r="AK335" s="213"/>
      <c r="AL335" s="213"/>
      <c r="AM335" s="213"/>
      <c r="AN335" s="215"/>
      <c r="AO335" s="213"/>
      <c r="AP335" s="215"/>
      <c r="AQ335" s="213"/>
      <c r="AR335" s="325"/>
      <c r="AS335" s="213"/>
      <c r="AT335" s="215"/>
      <c r="AU335" s="213"/>
      <c r="AV335" s="215"/>
      <c r="AW335" s="213"/>
      <c r="AX335" s="213"/>
      <c r="AY335" s="213"/>
      <c r="AZ335" s="215"/>
      <c r="BA335" s="213"/>
      <c r="BB335" s="215"/>
      <c r="BC335" s="213"/>
      <c r="BD335" s="213"/>
      <c r="BE335" s="213"/>
      <c r="BF335" s="215"/>
      <c r="BG335" s="213"/>
      <c r="BH335" s="215"/>
      <c r="BI335" s="213"/>
      <c r="BJ335" s="213"/>
      <c r="BK335" s="213"/>
      <c r="BL335" s="215"/>
      <c r="BM335" s="213"/>
      <c r="BN335" s="215"/>
      <c r="BO335" s="213"/>
      <c r="BP335" s="213"/>
      <c r="BQ335" s="213"/>
      <c r="BR335" s="326"/>
      <c r="BS335" s="213"/>
      <c r="BT335" s="215"/>
      <c r="BU335" s="213"/>
      <c r="BV335" s="213"/>
      <c r="BW335" s="213"/>
      <c r="BX335" s="213"/>
      <c r="BY335" s="213"/>
      <c r="BZ335" s="213"/>
      <c r="CA335" s="213"/>
      <c r="CB335" s="213"/>
      <c r="CC335" s="213"/>
      <c r="CD335" s="213"/>
      <c r="CE335" s="213"/>
      <c r="CF335" s="213"/>
      <c r="CG335" s="213"/>
      <c r="CH335" s="213"/>
      <c r="CI335" s="213"/>
      <c r="CJ335" s="213"/>
      <c r="CK335" s="213"/>
      <c r="CL335" s="213"/>
      <c r="CM335" s="213"/>
      <c r="CN335" s="213"/>
      <c r="CO335" s="213"/>
      <c r="CP335" s="213"/>
      <c r="CQ335" s="213"/>
    </row>
    <row r="336" ht="15.75" customHeight="1">
      <c r="A336" s="213"/>
      <c r="B336" s="213"/>
      <c r="C336" s="213"/>
      <c r="D336" s="215"/>
      <c r="E336" s="213"/>
      <c r="F336" s="215"/>
      <c r="G336" s="213"/>
      <c r="H336" s="215"/>
      <c r="I336" s="213"/>
      <c r="J336" s="215"/>
      <c r="K336" s="213"/>
      <c r="L336" s="215"/>
      <c r="M336" s="213"/>
      <c r="N336" s="213"/>
      <c r="O336" s="213"/>
      <c r="P336" s="215"/>
      <c r="Q336" s="213"/>
      <c r="R336" s="215"/>
      <c r="S336" s="213"/>
      <c r="T336" s="213"/>
      <c r="U336" s="213"/>
      <c r="V336" s="215"/>
      <c r="W336" s="213"/>
      <c r="X336" s="215"/>
      <c r="Y336" s="213"/>
      <c r="Z336" s="213"/>
      <c r="AA336" s="213"/>
      <c r="AB336" s="215"/>
      <c r="AC336" s="213"/>
      <c r="AD336" s="215"/>
      <c r="AE336" s="213"/>
      <c r="AF336" s="213"/>
      <c r="AG336" s="213"/>
      <c r="AH336" s="215"/>
      <c r="AI336" s="213"/>
      <c r="AJ336" s="215"/>
      <c r="AK336" s="213"/>
      <c r="AL336" s="213"/>
      <c r="AM336" s="213"/>
      <c r="AN336" s="215"/>
      <c r="AO336" s="213"/>
      <c r="AP336" s="215"/>
      <c r="AQ336" s="213"/>
      <c r="AR336" s="325"/>
      <c r="AS336" s="213"/>
      <c r="AT336" s="215"/>
      <c r="AU336" s="213"/>
      <c r="AV336" s="215"/>
      <c r="AW336" s="213"/>
      <c r="AX336" s="213"/>
      <c r="AY336" s="213"/>
      <c r="AZ336" s="215"/>
      <c r="BA336" s="213"/>
      <c r="BB336" s="215"/>
      <c r="BC336" s="213"/>
      <c r="BD336" s="213"/>
      <c r="BE336" s="213"/>
      <c r="BF336" s="215"/>
      <c r="BG336" s="213"/>
      <c r="BH336" s="215"/>
      <c r="BI336" s="213"/>
      <c r="BJ336" s="213"/>
      <c r="BK336" s="213"/>
      <c r="BL336" s="215"/>
      <c r="BM336" s="213"/>
      <c r="BN336" s="215"/>
      <c r="BO336" s="213"/>
      <c r="BP336" s="213"/>
      <c r="BQ336" s="213"/>
      <c r="BR336" s="326"/>
      <c r="BS336" s="213"/>
      <c r="BT336" s="215"/>
      <c r="BU336" s="213"/>
      <c r="BV336" s="213"/>
      <c r="BW336" s="213"/>
      <c r="BX336" s="213"/>
      <c r="BY336" s="213"/>
      <c r="BZ336" s="213"/>
      <c r="CA336" s="213"/>
      <c r="CB336" s="213"/>
      <c r="CC336" s="213"/>
      <c r="CD336" s="213"/>
      <c r="CE336" s="213"/>
      <c r="CF336" s="213"/>
      <c r="CG336" s="213"/>
      <c r="CH336" s="213"/>
      <c r="CI336" s="213"/>
      <c r="CJ336" s="213"/>
      <c r="CK336" s="213"/>
      <c r="CL336" s="213"/>
      <c r="CM336" s="213"/>
      <c r="CN336" s="213"/>
      <c r="CO336" s="213"/>
      <c r="CP336" s="213"/>
      <c r="CQ336" s="213"/>
    </row>
    <row r="337" ht="15.75" customHeight="1">
      <c r="A337" s="213"/>
      <c r="B337" s="213"/>
      <c r="C337" s="213"/>
      <c r="D337" s="215"/>
      <c r="E337" s="213"/>
      <c r="F337" s="215"/>
      <c r="G337" s="213"/>
      <c r="H337" s="215"/>
      <c r="I337" s="213"/>
      <c r="J337" s="215"/>
      <c r="K337" s="213"/>
      <c r="L337" s="215"/>
      <c r="M337" s="213"/>
      <c r="N337" s="213"/>
      <c r="O337" s="213"/>
      <c r="P337" s="215"/>
      <c r="Q337" s="213"/>
      <c r="R337" s="215"/>
      <c r="S337" s="213"/>
      <c r="T337" s="213"/>
      <c r="U337" s="213"/>
      <c r="V337" s="215"/>
      <c r="W337" s="213"/>
      <c r="X337" s="215"/>
      <c r="Y337" s="213"/>
      <c r="Z337" s="213"/>
      <c r="AA337" s="213"/>
      <c r="AB337" s="215"/>
      <c r="AC337" s="213"/>
      <c r="AD337" s="215"/>
      <c r="AE337" s="213"/>
      <c r="AF337" s="213"/>
      <c r="AG337" s="213"/>
      <c r="AH337" s="215"/>
      <c r="AI337" s="213"/>
      <c r="AJ337" s="215"/>
      <c r="AK337" s="213"/>
      <c r="AL337" s="213"/>
      <c r="AM337" s="213"/>
      <c r="AN337" s="215"/>
      <c r="AO337" s="213"/>
      <c r="AP337" s="215"/>
      <c r="AQ337" s="213"/>
      <c r="AR337" s="325"/>
      <c r="AS337" s="213"/>
      <c r="AT337" s="215"/>
      <c r="AU337" s="213"/>
      <c r="AV337" s="215"/>
      <c r="AW337" s="213"/>
      <c r="AX337" s="213"/>
      <c r="AY337" s="213"/>
      <c r="AZ337" s="215"/>
      <c r="BA337" s="213"/>
      <c r="BB337" s="215"/>
      <c r="BC337" s="213"/>
      <c r="BD337" s="213"/>
      <c r="BE337" s="213"/>
      <c r="BF337" s="215"/>
      <c r="BG337" s="213"/>
      <c r="BH337" s="215"/>
      <c r="BI337" s="213"/>
      <c r="BJ337" s="213"/>
      <c r="BK337" s="213"/>
      <c r="BL337" s="215"/>
      <c r="BM337" s="213"/>
      <c r="BN337" s="215"/>
      <c r="BO337" s="213"/>
      <c r="BP337" s="213"/>
      <c r="BQ337" s="213"/>
      <c r="BR337" s="326"/>
      <c r="BS337" s="213"/>
      <c r="BT337" s="215"/>
      <c r="BU337" s="213"/>
      <c r="BV337" s="213"/>
      <c r="BW337" s="213"/>
      <c r="BX337" s="213"/>
      <c r="BY337" s="213"/>
      <c r="BZ337" s="213"/>
      <c r="CA337" s="213"/>
      <c r="CB337" s="213"/>
      <c r="CC337" s="213"/>
      <c r="CD337" s="213"/>
      <c r="CE337" s="213"/>
      <c r="CF337" s="213"/>
      <c r="CG337" s="213"/>
      <c r="CH337" s="213"/>
      <c r="CI337" s="213"/>
      <c r="CJ337" s="213"/>
      <c r="CK337" s="213"/>
      <c r="CL337" s="213"/>
      <c r="CM337" s="213"/>
      <c r="CN337" s="213"/>
      <c r="CO337" s="213"/>
      <c r="CP337" s="213"/>
      <c r="CQ337" s="213"/>
    </row>
    <row r="338" ht="15.75" customHeight="1">
      <c r="A338" s="213"/>
      <c r="B338" s="213"/>
      <c r="C338" s="213"/>
      <c r="D338" s="215"/>
      <c r="E338" s="213"/>
      <c r="F338" s="215"/>
      <c r="G338" s="213"/>
      <c r="H338" s="215"/>
      <c r="I338" s="213"/>
      <c r="J338" s="215"/>
      <c r="K338" s="213"/>
      <c r="L338" s="215"/>
      <c r="M338" s="213"/>
      <c r="N338" s="213"/>
      <c r="O338" s="213"/>
      <c r="P338" s="215"/>
      <c r="Q338" s="213"/>
      <c r="R338" s="215"/>
      <c r="S338" s="213"/>
      <c r="T338" s="213"/>
      <c r="U338" s="213"/>
      <c r="V338" s="215"/>
      <c r="W338" s="213"/>
      <c r="X338" s="215"/>
      <c r="Y338" s="213"/>
      <c r="Z338" s="213"/>
      <c r="AA338" s="213"/>
      <c r="AB338" s="215"/>
      <c r="AC338" s="213"/>
      <c r="AD338" s="215"/>
      <c r="AE338" s="213"/>
      <c r="AF338" s="213"/>
      <c r="AG338" s="213"/>
      <c r="AH338" s="215"/>
      <c r="AI338" s="213"/>
      <c r="AJ338" s="215"/>
      <c r="AK338" s="213"/>
      <c r="AL338" s="213"/>
      <c r="AM338" s="213"/>
      <c r="AN338" s="215"/>
      <c r="AO338" s="213"/>
      <c r="AP338" s="215"/>
      <c r="AQ338" s="213"/>
      <c r="AR338" s="325"/>
      <c r="AS338" s="213"/>
      <c r="AT338" s="215"/>
      <c r="AU338" s="213"/>
      <c r="AV338" s="215"/>
      <c r="AW338" s="213"/>
      <c r="AX338" s="213"/>
      <c r="AY338" s="213"/>
      <c r="AZ338" s="215"/>
      <c r="BA338" s="213"/>
      <c r="BB338" s="215"/>
      <c r="BC338" s="213"/>
      <c r="BD338" s="213"/>
      <c r="BE338" s="213"/>
      <c r="BF338" s="215"/>
      <c r="BG338" s="213"/>
      <c r="BH338" s="215"/>
      <c r="BI338" s="213"/>
      <c r="BJ338" s="213"/>
      <c r="BK338" s="213"/>
      <c r="BL338" s="215"/>
      <c r="BM338" s="213"/>
      <c r="BN338" s="215"/>
      <c r="BO338" s="213"/>
      <c r="BP338" s="213"/>
      <c r="BQ338" s="213"/>
      <c r="BR338" s="326"/>
      <c r="BS338" s="213"/>
      <c r="BT338" s="215"/>
      <c r="BU338" s="213"/>
      <c r="BV338" s="213"/>
      <c r="BW338" s="213"/>
      <c r="BX338" s="213"/>
      <c r="BY338" s="213"/>
      <c r="BZ338" s="213"/>
      <c r="CA338" s="213"/>
      <c r="CB338" s="213"/>
      <c r="CC338" s="213"/>
      <c r="CD338" s="213"/>
      <c r="CE338" s="213"/>
      <c r="CF338" s="213"/>
      <c r="CG338" s="213"/>
      <c r="CH338" s="213"/>
      <c r="CI338" s="213"/>
      <c r="CJ338" s="213"/>
      <c r="CK338" s="213"/>
      <c r="CL338" s="213"/>
      <c r="CM338" s="213"/>
      <c r="CN338" s="213"/>
      <c r="CO338" s="213"/>
      <c r="CP338" s="213"/>
      <c r="CQ338" s="213"/>
    </row>
  </sheetData>
  <mergeCells count="15">
    <mergeCell ref="AH4:AM4"/>
    <mergeCell ref="AN4:AS4"/>
    <mergeCell ref="AT4:AY4"/>
    <mergeCell ref="AZ4:BE4"/>
    <mergeCell ref="BF4:BK4"/>
    <mergeCell ref="BL4:BQ4"/>
    <mergeCell ref="BR4:BW4"/>
    <mergeCell ref="B4:B5"/>
    <mergeCell ref="C4:C5"/>
    <mergeCell ref="D4:I4"/>
    <mergeCell ref="J4:O4"/>
    <mergeCell ref="P4:U4"/>
    <mergeCell ref="V4:AA4"/>
    <mergeCell ref="AB4:AG4"/>
    <mergeCell ref="B61:C61"/>
  </mergeCells>
  <printOptions/>
  <pageMargins bottom="0.75" footer="0.0" header="0.0" left="0.7" right="0.7" top="0.75"/>
  <pageSetup orientation="landscape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0"/>
  <cols>
    <col customWidth="1" min="1" max="1" width="5.63"/>
    <col customWidth="1" min="2" max="2" width="9.75"/>
    <col customWidth="1" min="3" max="3" width="47.38"/>
    <col customWidth="1" min="4" max="4" width="13.63"/>
    <col customWidth="1" hidden="1" min="5" max="9" width="12.63"/>
    <col customWidth="1" min="10" max="10" width="13.63"/>
    <col customWidth="1" hidden="1" min="11" max="14" width="12.63"/>
    <col customWidth="1" hidden="1" min="15" max="15" width="13.63"/>
    <col customWidth="1" min="16" max="16" width="13.63"/>
    <col customWidth="1" hidden="1" min="17" max="20" width="12.63"/>
    <col customWidth="1" hidden="1" min="21" max="21" width="13.63"/>
    <col customWidth="1" min="22" max="22" width="13.63"/>
    <col customWidth="1" hidden="1" min="23" max="26" width="12.63"/>
    <col customWidth="1" hidden="1" min="27" max="27" width="13.63"/>
    <col customWidth="1" min="28" max="28" width="12.0"/>
    <col customWidth="1" hidden="1" min="29" max="29" width="7.88"/>
    <col customWidth="1" hidden="1" min="30" max="30" width="12.0"/>
    <col customWidth="1" hidden="1" min="31" max="31" width="9.38"/>
    <col customWidth="1" hidden="1" min="32" max="32" width="10.25"/>
    <col customWidth="1" hidden="1" min="33" max="33" width="12.0"/>
    <col customWidth="1" min="34" max="34" width="13.63"/>
    <col customWidth="1" hidden="1" min="35" max="38" width="12.63"/>
    <col customWidth="1" hidden="1" min="39" max="39" width="12.38"/>
    <col customWidth="1" min="40" max="40" width="12.88"/>
    <col customWidth="1" hidden="1" min="41" max="41" width="12.63"/>
    <col customWidth="1" hidden="1" min="42" max="42" width="13.63"/>
    <col customWidth="1" hidden="1" min="43" max="45" width="12.63"/>
    <col customWidth="1" min="46" max="46" width="12.88"/>
    <col customWidth="1" hidden="1" min="47" max="51" width="12.63"/>
    <col customWidth="1" min="52" max="52" width="12.75"/>
    <col customWidth="1" hidden="1" min="53" max="53" width="12.75"/>
    <col customWidth="1" hidden="1" min="54" max="54" width="13.63"/>
    <col customWidth="1" hidden="1" min="55" max="57" width="12.75"/>
    <col customWidth="1" min="58" max="58" width="12.75"/>
    <col customWidth="1" hidden="1" min="59" max="59" width="12.75"/>
    <col customWidth="1" hidden="1" min="60" max="60" width="13.63"/>
    <col customWidth="1" hidden="1" min="61" max="63" width="12.75"/>
    <col customWidth="1" min="64" max="64" width="12.75"/>
    <col customWidth="1" hidden="1" min="65" max="65" width="12.75"/>
    <col customWidth="1" hidden="1" min="66" max="66" width="13.63"/>
    <col customWidth="1" hidden="1" min="67" max="69" width="12.75"/>
    <col customWidth="1" min="70" max="70" width="12.88"/>
    <col customWidth="1" min="71" max="71" width="12.75"/>
    <col customWidth="1" min="72" max="72" width="13.63"/>
    <col customWidth="1" min="73" max="74" width="12.75"/>
    <col customWidth="1" min="75" max="95" width="12.63"/>
  </cols>
  <sheetData>
    <row r="1" ht="15.75" customHeight="1">
      <c r="A1" s="213"/>
      <c r="B1" s="214" t="s">
        <v>1</v>
      </c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6"/>
      <c r="Q1" s="213"/>
      <c r="R1" s="213"/>
      <c r="S1" s="213"/>
      <c r="T1" s="213"/>
      <c r="U1" s="213"/>
      <c r="V1" s="216"/>
      <c r="W1" s="213"/>
      <c r="X1" s="213"/>
      <c r="Y1" s="213"/>
      <c r="Z1" s="213"/>
      <c r="AA1" s="213"/>
      <c r="AB1" s="216"/>
      <c r="AC1" s="213"/>
      <c r="AD1" s="213"/>
      <c r="AE1" s="213"/>
      <c r="AF1" s="213"/>
      <c r="AG1" s="213"/>
      <c r="AH1" s="216"/>
      <c r="AI1" s="213"/>
      <c r="AJ1" s="213"/>
      <c r="AK1" s="213"/>
      <c r="AL1" s="213"/>
      <c r="AM1" s="213"/>
      <c r="AN1" s="216"/>
      <c r="AO1" s="213"/>
      <c r="AP1" s="213"/>
      <c r="AQ1" s="213"/>
      <c r="AR1" s="213"/>
      <c r="AS1" s="213"/>
      <c r="AT1" s="216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213"/>
      <c r="BH1" s="213"/>
      <c r="BI1" s="213"/>
      <c r="BJ1" s="213"/>
      <c r="BK1" s="213"/>
      <c r="BL1" s="213"/>
      <c r="BM1" s="213"/>
      <c r="BN1" s="213"/>
      <c r="BO1" s="213"/>
      <c r="BP1" s="213"/>
      <c r="BQ1" s="213"/>
      <c r="BR1" s="454"/>
      <c r="BS1" s="213"/>
      <c r="BT1" s="213"/>
      <c r="BU1" s="213"/>
      <c r="BV1" s="213"/>
      <c r="BW1" s="213"/>
      <c r="BX1" s="213"/>
      <c r="BY1" s="213"/>
      <c r="BZ1" s="213"/>
      <c r="CA1" s="213"/>
      <c r="CB1" s="213"/>
      <c r="CC1" s="213"/>
      <c r="CD1" s="213"/>
      <c r="CE1" s="213"/>
      <c r="CF1" s="213"/>
      <c r="CG1" s="213"/>
      <c r="CH1" s="213"/>
      <c r="CI1" s="213"/>
      <c r="CJ1" s="213"/>
      <c r="CK1" s="213"/>
      <c r="CL1" s="213"/>
      <c r="CM1" s="213"/>
      <c r="CN1" s="213"/>
      <c r="CO1" s="213"/>
      <c r="CP1" s="213"/>
      <c r="CQ1" s="213"/>
    </row>
    <row r="2" ht="15.75" customHeight="1">
      <c r="A2" s="213"/>
      <c r="B2" s="216" t="s">
        <v>295</v>
      </c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6"/>
      <c r="Q2" s="213"/>
      <c r="R2" s="213"/>
      <c r="S2" s="213"/>
      <c r="T2" s="213"/>
      <c r="U2" s="213"/>
      <c r="V2" s="216"/>
      <c r="W2" s="213"/>
      <c r="X2" s="213"/>
      <c r="Y2" s="213"/>
      <c r="Z2" s="213"/>
      <c r="AA2" s="213"/>
      <c r="AB2" s="216"/>
      <c r="AC2" s="213"/>
      <c r="AD2" s="213"/>
      <c r="AE2" s="213"/>
      <c r="AF2" s="213"/>
      <c r="AG2" s="213"/>
      <c r="AH2" s="216"/>
      <c r="AI2" s="213"/>
      <c r="AJ2" s="213"/>
      <c r="AK2" s="213"/>
      <c r="AL2" s="213"/>
      <c r="AM2" s="213"/>
      <c r="AN2" s="216"/>
      <c r="AO2" s="213"/>
      <c r="AP2" s="213"/>
      <c r="AQ2" s="213"/>
      <c r="AR2" s="213"/>
      <c r="AS2" s="213"/>
      <c r="AT2" s="216"/>
      <c r="AU2" s="213"/>
      <c r="AV2" s="213"/>
      <c r="AW2" s="213"/>
      <c r="AX2" s="213"/>
      <c r="AY2" s="213"/>
      <c r="AZ2" s="213"/>
      <c r="BA2" s="213"/>
      <c r="BB2" s="213"/>
      <c r="BC2" s="213"/>
      <c r="BD2" s="213"/>
      <c r="BE2" s="213"/>
      <c r="BF2" s="216"/>
      <c r="BG2" s="213"/>
      <c r="BH2" s="213"/>
      <c r="BI2" s="213"/>
      <c r="BJ2" s="213"/>
      <c r="BK2" s="213"/>
      <c r="BL2" s="213"/>
      <c r="BM2" s="213"/>
      <c r="BN2" s="213"/>
      <c r="BO2" s="213"/>
      <c r="BP2" s="213"/>
      <c r="BQ2" s="213"/>
      <c r="BR2" s="454"/>
      <c r="BS2" s="213"/>
      <c r="BT2" s="213"/>
      <c r="BU2" s="213"/>
      <c r="BV2" s="213"/>
      <c r="BW2" s="213"/>
      <c r="BX2" s="213"/>
      <c r="BY2" s="213"/>
      <c r="BZ2" s="213"/>
      <c r="CA2" s="213"/>
      <c r="CB2" s="213"/>
      <c r="CC2" s="213"/>
      <c r="CD2" s="213"/>
      <c r="CE2" s="213"/>
      <c r="CF2" s="213"/>
      <c r="CG2" s="213"/>
      <c r="CH2" s="213"/>
      <c r="CI2" s="213"/>
      <c r="CJ2" s="213"/>
      <c r="CK2" s="213"/>
      <c r="CL2" s="213"/>
      <c r="CM2" s="213"/>
      <c r="CN2" s="213"/>
      <c r="CO2" s="213"/>
      <c r="CP2" s="213"/>
      <c r="CQ2" s="213"/>
    </row>
    <row r="3" ht="15.75" customHeight="1">
      <c r="A3" s="213"/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6"/>
      <c r="Q3" s="213"/>
      <c r="R3" s="213"/>
      <c r="S3" s="213"/>
      <c r="T3" s="213"/>
      <c r="U3" s="213"/>
      <c r="V3" s="216"/>
      <c r="W3" s="213"/>
      <c r="X3" s="213"/>
      <c r="Y3" s="213"/>
      <c r="Z3" s="213"/>
      <c r="AA3" s="213"/>
      <c r="AB3" s="216"/>
      <c r="AC3" s="213"/>
      <c r="AD3" s="213"/>
      <c r="AE3" s="213"/>
      <c r="AF3" s="213"/>
      <c r="AG3" s="213"/>
      <c r="AH3" s="216"/>
      <c r="AI3" s="213"/>
      <c r="AJ3" s="213"/>
      <c r="AK3" s="213"/>
      <c r="AL3" s="213"/>
      <c r="AM3" s="213"/>
      <c r="AN3" s="216"/>
      <c r="AO3" s="213"/>
      <c r="AP3" s="213"/>
      <c r="AQ3" s="213"/>
      <c r="AR3" s="213"/>
      <c r="AS3" s="213"/>
      <c r="AT3" s="216"/>
      <c r="AU3" s="213"/>
      <c r="AV3" s="213"/>
      <c r="AW3" s="213"/>
      <c r="AX3" s="213"/>
      <c r="AY3" s="213"/>
      <c r="AZ3" s="213"/>
      <c r="BA3" s="213"/>
      <c r="BB3" s="213"/>
      <c r="BC3" s="213"/>
      <c r="BD3" s="213"/>
      <c r="BE3" s="213"/>
      <c r="BF3" s="216"/>
      <c r="BG3" s="213"/>
      <c r="BH3" s="213"/>
      <c r="BI3" s="213"/>
      <c r="BJ3" s="213"/>
      <c r="BK3" s="213"/>
      <c r="BL3" s="213"/>
      <c r="BM3" s="213"/>
      <c r="BN3" s="213"/>
      <c r="BO3" s="213"/>
      <c r="BP3" s="213"/>
      <c r="BQ3" s="213"/>
      <c r="BR3" s="454"/>
      <c r="BS3" s="213"/>
      <c r="BT3" s="213"/>
      <c r="BU3" s="213"/>
      <c r="BV3" s="213"/>
      <c r="BW3" s="213"/>
      <c r="BX3" s="213"/>
      <c r="BY3" s="213"/>
      <c r="BZ3" s="213"/>
      <c r="CA3" s="213"/>
      <c r="CB3" s="213"/>
      <c r="CC3" s="213"/>
      <c r="CD3" s="213"/>
      <c r="CE3" s="213"/>
      <c r="CF3" s="213"/>
      <c r="CG3" s="213"/>
      <c r="CH3" s="213"/>
      <c r="CI3" s="213"/>
      <c r="CJ3" s="213"/>
      <c r="CK3" s="213"/>
      <c r="CL3" s="213"/>
      <c r="CM3" s="213"/>
      <c r="CN3" s="213"/>
      <c r="CO3" s="213"/>
      <c r="CP3" s="213"/>
      <c r="CQ3" s="213"/>
    </row>
    <row r="4" ht="15.75" customHeight="1">
      <c r="A4" s="213"/>
      <c r="B4" s="455" t="s">
        <v>201</v>
      </c>
      <c r="C4" s="455" t="s">
        <v>47</v>
      </c>
      <c r="D4" s="456" t="s">
        <v>202</v>
      </c>
      <c r="E4" s="11"/>
      <c r="F4" s="11"/>
      <c r="G4" s="11"/>
      <c r="H4" s="11"/>
      <c r="I4" s="14"/>
      <c r="J4" s="456" t="s">
        <v>203</v>
      </c>
      <c r="K4" s="11"/>
      <c r="L4" s="11"/>
      <c r="M4" s="11"/>
      <c r="N4" s="11"/>
      <c r="O4" s="14"/>
      <c r="P4" s="456" t="s">
        <v>204</v>
      </c>
      <c r="Q4" s="11"/>
      <c r="R4" s="11"/>
      <c r="S4" s="11"/>
      <c r="T4" s="11"/>
      <c r="U4" s="14"/>
      <c r="V4" s="457" t="s">
        <v>205</v>
      </c>
      <c r="W4" s="458"/>
      <c r="X4" s="458"/>
      <c r="Y4" s="458"/>
      <c r="Z4" s="458"/>
      <c r="AA4" s="459"/>
      <c r="AB4" s="456" t="s">
        <v>206</v>
      </c>
      <c r="AC4" s="11"/>
      <c r="AD4" s="11"/>
      <c r="AE4" s="11"/>
      <c r="AF4" s="11"/>
      <c r="AG4" s="14"/>
      <c r="AH4" s="457" t="s">
        <v>207</v>
      </c>
      <c r="AI4" s="458"/>
      <c r="AJ4" s="458"/>
      <c r="AK4" s="458"/>
      <c r="AL4" s="458"/>
      <c r="AM4" s="459"/>
      <c r="AN4" s="456" t="s">
        <v>208</v>
      </c>
      <c r="AO4" s="11"/>
      <c r="AP4" s="11"/>
      <c r="AQ4" s="11"/>
      <c r="AR4" s="11"/>
      <c r="AS4" s="14"/>
      <c r="AT4" s="456" t="s">
        <v>209</v>
      </c>
      <c r="AU4" s="11"/>
      <c r="AV4" s="11"/>
      <c r="AW4" s="11"/>
      <c r="AX4" s="11"/>
      <c r="AY4" s="14"/>
      <c r="AZ4" s="460" t="s">
        <v>210</v>
      </c>
      <c r="BA4" s="7"/>
      <c r="BB4" s="7"/>
      <c r="BC4" s="7"/>
      <c r="BD4" s="7"/>
      <c r="BE4" s="461"/>
      <c r="BF4" s="456" t="s">
        <v>211</v>
      </c>
      <c r="BG4" s="11"/>
      <c r="BH4" s="11"/>
      <c r="BI4" s="11"/>
      <c r="BJ4" s="11"/>
      <c r="BK4" s="14"/>
      <c r="BL4" s="456" t="s">
        <v>212</v>
      </c>
      <c r="BM4" s="11"/>
      <c r="BN4" s="11"/>
      <c r="BO4" s="11"/>
      <c r="BP4" s="11"/>
      <c r="BQ4" s="14"/>
      <c r="BR4" s="462" t="s">
        <v>213</v>
      </c>
      <c r="BS4" s="7"/>
      <c r="BT4" s="7"/>
      <c r="BU4" s="7"/>
      <c r="BV4" s="7"/>
      <c r="BW4" s="8"/>
      <c r="BX4" s="334"/>
      <c r="BY4" s="334"/>
      <c r="BZ4" s="334"/>
      <c r="CA4" s="334"/>
      <c r="CB4" s="334"/>
      <c r="CC4" s="334"/>
      <c r="CD4" s="334"/>
      <c r="CE4" s="334"/>
      <c r="CF4" s="334"/>
      <c r="CG4" s="334"/>
      <c r="CH4" s="334"/>
      <c r="CI4" s="334"/>
      <c r="CJ4" s="334"/>
      <c r="CK4" s="334"/>
      <c r="CL4" s="334"/>
      <c r="CM4" s="334"/>
      <c r="CN4" s="334"/>
      <c r="CO4" s="334"/>
      <c r="CP4" s="334"/>
      <c r="CQ4" s="334"/>
    </row>
    <row r="5" ht="15.75" customHeight="1">
      <c r="A5" s="463"/>
      <c r="B5" s="134"/>
      <c r="C5" s="134"/>
      <c r="D5" s="464" t="s">
        <v>215</v>
      </c>
      <c r="E5" s="465" t="s">
        <v>19</v>
      </c>
      <c r="F5" s="465" t="s">
        <v>216</v>
      </c>
      <c r="G5" s="465" t="s">
        <v>19</v>
      </c>
      <c r="H5" s="465" t="s">
        <v>217</v>
      </c>
      <c r="I5" s="466" t="s">
        <v>218</v>
      </c>
      <c r="J5" s="464" t="s">
        <v>215</v>
      </c>
      <c r="K5" s="465" t="s">
        <v>19</v>
      </c>
      <c r="L5" s="465" t="s">
        <v>216</v>
      </c>
      <c r="M5" s="465" t="s">
        <v>19</v>
      </c>
      <c r="N5" s="465" t="s">
        <v>217</v>
      </c>
      <c r="O5" s="465" t="s">
        <v>218</v>
      </c>
      <c r="P5" s="467" t="s">
        <v>215</v>
      </c>
      <c r="Q5" s="468" t="s">
        <v>19</v>
      </c>
      <c r="R5" s="468" t="s">
        <v>216</v>
      </c>
      <c r="S5" s="468" t="s">
        <v>19</v>
      </c>
      <c r="T5" s="468" t="s">
        <v>217</v>
      </c>
      <c r="U5" s="469" t="s">
        <v>218</v>
      </c>
      <c r="V5" s="467" t="s">
        <v>215</v>
      </c>
      <c r="W5" s="468" t="s">
        <v>19</v>
      </c>
      <c r="X5" s="468" t="s">
        <v>216</v>
      </c>
      <c r="Y5" s="468" t="s">
        <v>19</v>
      </c>
      <c r="Z5" s="468" t="s">
        <v>217</v>
      </c>
      <c r="AA5" s="469" t="s">
        <v>218</v>
      </c>
      <c r="AB5" s="464" t="s">
        <v>215</v>
      </c>
      <c r="AC5" s="465" t="s">
        <v>19</v>
      </c>
      <c r="AD5" s="465" t="s">
        <v>216</v>
      </c>
      <c r="AE5" s="465" t="s">
        <v>19</v>
      </c>
      <c r="AF5" s="465" t="s">
        <v>217</v>
      </c>
      <c r="AG5" s="466" t="s">
        <v>218</v>
      </c>
      <c r="AH5" s="467" t="s">
        <v>215</v>
      </c>
      <c r="AI5" s="468" t="s">
        <v>19</v>
      </c>
      <c r="AJ5" s="468" t="s">
        <v>216</v>
      </c>
      <c r="AK5" s="468" t="s">
        <v>19</v>
      </c>
      <c r="AL5" s="468" t="s">
        <v>217</v>
      </c>
      <c r="AM5" s="469" t="s">
        <v>218</v>
      </c>
      <c r="AN5" s="464" t="s">
        <v>215</v>
      </c>
      <c r="AO5" s="465" t="s">
        <v>19</v>
      </c>
      <c r="AP5" s="465" t="s">
        <v>216</v>
      </c>
      <c r="AQ5" s="465" t="s">
        <v>19</v>
      </c>
      <c r="AR5" s="465" t="s">
        <v>217</v>
      </c>
      <c r="AS5" s="466" t="s">
        <v>218</v>
      </c>
      <c r="AT5" s="464" t="s">
        <v>215</v>
      </c>
      <c r="AU5" s="465" t="s">
        <v>19</v>
      </c>
      <c r="AV5" s="465" t="s">
        <v>216</v>
      </c>
      <c r="AW5" s="465" t="s">
        <v>19</v>
      </c>
      <c r="AX5" s="465" t="s">
        <v>217</v>
      </c>
      <c r="AY5" s="465" t="s">
        <v>19</v>
      </c>
      <c r="AZ5" s="467" t="s">
        <v>215</v>
      </c>
      <c r="BA5" s="468" t="s">
        <v>19</v>
      </c>
      <c r="BB5" s="468" t="s">
        <v>216</v>
      </c>
      <c r="BC5" s="468" t="s">
        <v>19</v>
      </c>
      <c r="BD5" s="468" t="s">
        <v>217</v>
      </c>
      <c r="BE5" s="470" t="s">
        <v>218</v>
      </c>
      <c r="BF5" s="467" t="s">
        <v>215</v>
      </c>
      <c r="BG5" s="468" t="s">
        <v>19</v>
      </c>
      <c r="BH5" s="468" t="s">
        <v>216</v>
      </c>
      <c r="BI5" s="468" t="s">
        <v>19</v>
      </c>
      <c r="BJ5" s="468" t="s">
        <v>217</v>
      </c>
      <c r="BK5" s="469" t="s">
        <v>218</v>
      </c>
      <c r="BL5" s="467" t="s">
        <v>215</v>
      </c>
      <c r="BM5" s="468" t="s">
        <v>19</v>
      </c>
      <c r="BN5" s="468" t="s">
        <v>216</v>
      </c>
      <c r="BO5" s="468" t="s">
        <v>19</v>
      </c>
      <c r="BP5" s="468" t="s">
        <v>217</v>
      </c>
      <c r="BQ5" s="469" t="s">
        <v>218</v>
      </c>
      <c r="BR5" s="471" t="s">
        <v>215</v>
      </c>
      <c r="BS5" s="472" t="s">
        <v>19</v>
      </c>
      <c r="BT5" s="472" t="s">
        <v>216</v>
      </c>
      <c r="BU5" s="472" t="s">
        <v>19</v>
      </c>
      <c r="BV5" s="472" t="s">
        <v>217</v>
      </c>
      <c r="BW5" s="473" t="s">
        <v>218</v>
      </c>
      <c r="BX5" s="474"/>
      <c r="BY5" s="474"/>
      <c r="BZ5" s="474"/>
      <c r="CA5" s="474"/>
      <c r="CB5" s="474"/>
      <c r="CC5" s="474"/>
      <c r="CD5" s="474"/>
      <c r="CE5" s="474"/>
      <c r="CF5" s="474"/>
      <c r="CG5" s="474"/>
      <c r="CH5" s="474"/>
      <c r="CI5" s="474"/>
      <c r="CJ5" s="474"/>
      <c r="CK5" s="474"/>
      <c r="CL5" s="474"/>
      <c r="CM5" s="474"/>
      <c r="CN5" s="474"/>
      <c r="CO5" s="474"/>
      <c r="CP5" s="474"/>
      <c r="CQ5" s="474"/>
    </row>
    <row r="6" ht="15.75" customHeight="1">
      <c r="A6" s="213"/>
      <c r="B6" s="475" t="s">
        <v>220</v>
      </c>
      <c r="C6" s="476"/>
      <c r="D6" s="477"/>
      <c r="E6" s="421"/>
      <c r="F6" s="421"/>
      <c r="G6" s="421"/>
      <c r="H6" s="478"/>
      <c r="I6" s="422"/>
      <c r="J6" s="477"/>
      <c r="K6" s="421"/>
      <c r="L6" s="421"/>
      <c r="M6" s="421"/>
      <c r="N6" s="421"/>
      <c r="O6" s="478"/>
      <c r="P6" s="477"/>
      <c r="Q6" s="421"/>
      <c r="R6" s="421"/>
      <c r="S6" s="421"/>
      <c r="T6" s="421"/>
      <c r="U6" s="478"/>
      <c r="V6" s="477"/>
      <c r="W6" s="421"/>
      <c r="X6" s="421"/>
      <c r="Y6" s="421"/>
      <c r="Z6" s="421"/>
      <c r="AA6" s="478"/>
      <c r="AB6" s="477"/>
      <c r="AC6" s="421"/>
      <c r="AD6" s="478"/>
      <c r="AE6" s="421"/>
      <c r="AF6" s="421"/>
      <c r="AG6" s="421"/>
      <c r="AH6" s="477"/>
      <c r="AI6" s="421"/>
      <c r="AJ6" s="478"/>
      <c r="AK6" s="421"/>
      <c r="AL6" s="421"/>
      <c r="AM6" s="421"/>
      <c r="AN6" s="477"/>
      <c r="AO6" s="421"/>
      <c r="AP6" s="478"/>
      <c r="AQ6" s="421"/>
      <c r="AR6" s="421"/>
      <c r="AS6" s="421"/>
      <c r="AT6" s="477"/>
      <c r="AU6" s="421"/>
      <c r="AV6" s="478"/>
      <c r="AW6" s="421"/>
      <c r="AX6" s="478"/>
      <c r="AY6" s="479"/>
      <c r="AZ6" s="480"/>
      <c r="BA6" s="421"/>
      <c r="BB6" s="478"/>
      <c r="BC6" s="421"/>
      <c r="BD6" s="478"/>
      <c r="BE6" s="452"/>
      <c r="BF6" s="477"/>
      <c r="BG6" s="421"/>
      <c r="BH6" s="478"/>
      <c r="BI6" s="421"/>
      <c r="BJ6" s="478"/>
      <c r="BK6" s="422"/>
      <c r="BL6" s="477"/>
      <c r="BM6" s="421"/>
      <c r="BN6" s="478"/>
      <c r="BO6" s="421"/>
      <c r="BP6" s="478"/>
      <c r="BQ6" s="422"/>
      <c r="BR6" s="481"/>
      <c r="BS6" s="421"/>
      <c r="BT6" s="478"/>
      <c r="BU6" s="421"/>
      <c r="BV6" s="478"/>
      <c r="BW6" s="422"/>
      <c r="BX6" s="213"/>
      <c r="BY6" s="213"/>
      <c r="BZ6" s="213"/>
      <c r="CA6" s="213"/>
      <c r="CB6" s="213"/>
      <c r="CC6" s="213"/>
      <c r="CD6" s="213"/>
      <c r="CE6" s="213"/>
      <c r="CF6" s="213"/>
      <c r="CG6" s="213"/>
      <c r="CH6" s="213"/>
      <c r="CI6" s="213"/>
      <c r="CJ6" s="213"/>
      <c r="CK6" s="213"/>
      <c r="CL6" s="213"/>
      <c r="CM6" s="213"/>
      <c r="CN6" s="213"/>
      <c r="CO6" s="213"/>
      <c r="CP6" s="213"/>
      <c r="CQ6" s="213"/>
    </row>
    <row r="7" ht="15.75" customHeight="1">
      <c r="A7" s="213"/>
      <c r="B7" s="482"/>
      <c r="C7" s="483" t="s">
        <v>296</v>
      </c>
      <c r="D7" s="373">
        <f>SUM(D8:D12)</f>
        <v>0</v>
      </c>
      <c r="E7" s="375"/>
      <c r="F7" s="375"/>
      <c r="G7" s="375"/>
      <c r="H7" s="375" t="str">
        <f>SUM(H8:H12)</f>
        <v>#REF!</v>
      </c>
      <c r="I7" s="484"/>
      <c r="J7" s="373">
        <f>SUM(J8:J12)</f>
        <v>0</v>
      </c>
      <c r="K7" s="375"/>
      <c r="L7" s="375"/>
      <c r="M7" s="375"/>
      <c r="N7" s="375"/>
      <c r="O7" s="375">
        <f t="shared" ref="O7:P7" si="1">SUM(O8:O12)</f>
        <v>0</v>
      </c>
      <c r="P7" s="373">
        <f t="shared" si="1"/>
        <v>0</v>
      </c>
      <c r="Q7" s="375"/>
      <c r="R7" s="375"/>
      <c r="S7" s="375"/>
      <c r="T7" s="375"/>
      <c r="U7" s="375">
        <f t="shared" ref="U7:V7" si="2">SUM(U8:U12)</f>
        <v>0</v>
      </c>
      <c r="V7" s="373">
        <f t="shared" si="2"/>
        <v>0</v>
      </c>
      <c r="W7" s="375"/>
      <c r="X7" s="375"/>
      <c r="Y7" s="375"/>
      <c r="Z7" s="375"/>
      <c r="AA7" s="375">
        <f t="shared" ref="AA7:AB7" si="3">SUM(AA8:AA12)</f>
        <v>0</v>
      </c>
      <c r="AB7" s="373">
        <f t="shared" si="3"/>
        <v>0</v>
      </c>
      <c r="AC7" s="375"/>
      <c r="AD7" s="375">
        <f>SUM(AD8:AD12)</f>
        <v>0</v>
      </c>
      <c r="AE7" s="375"/>
      <c r="AF7" s="375"/>
      <c r="AG7" s="375"/>
      <c r="AH7" s="373">
        <f>SUM(AH8:AH12)</f>
        <v>0</v>
      </c>
      <c r="AI7" s="375"/>
      <c r="AJ7" s="375">
        <f>SUM(AJ8:AJ12)</f>
        <v>0</v>
      </c>
      <c r="AK7" s="375"/>
      <c r="AL7" s="375"/>
      <c r="AM7" s="375"/>
      <c r="AN7" s="373">
        <f>SUM(AN8:AN12)</f>
        <v>0</v>
      </c>
      <c r="AO7" s="375"/>
      <c r="AP7" s="375">
        <f>SUM(AP8:AP12)</f>
        <v>0</v>
      </c>
      <c r="AQ7" s="375"/>
      <c r="AR7" s="375">
        <f>SUM(AR8:AR12)</f>
        <v>0</v>
      </c>
      <c r="AS7" s="375"/>
      <c r="AT7" s="373">
        <f>SUM(AT8:AT12)</f>
        <v>0</v>
      </c>
      <c r="AU7" s="375"/>
      <c r="AV7" s="375">
        <f>SUM(AV8:AV12)</f>
        <v>0</v>
      </c>
      <c r="AW7" s="375"/>
      <c r="AX7" s="375">
        <f>SUM(AX8:AX12)</f>
        <v>0</v>
      </c>
      <c r="AY7" s="485"/>
      <c r="AZ7" s="486">
        <f>SUM(AZ8:AZ12)</f>
        <v>0</v>
      </c>
      <c r="BA7" s="375"/>
      <c r="BB7" s="375">
        <f>SUM(BB8:BB12)</f>
        <v>0</v>
      </c>
      <c r="BC7" s="375"/>
      <c r="BD7" s="375">
        <f>SUM(BD8:BD12)</f>
        <v>0</v>
      </c>
      <c r="BE7" s="485"/>
      <c r="BF7" s="373">
        <f>SUM(BF8:BF12)</f>
        <v>0</v>
      </c>
      <c r="BG7" s="375"/>
      <c r="BH7" s="375">
        <f>SUM(BH8:BH12)</f>
        <v>0</v>
      </c>
      <c r="BI7" s="375"/>
      <c r="BJ7" s="375">
        <f>SUM(BJ8:BJ12)</f>
        <v>0</v>
      </c>
      <c r="BK7" s="484"/>
      <c r="BL7" s="373">
        <f>SUM(BL8:BL12)</f>
        <v>0</v>
      </c>
      <c r="BM7" s="375"/>
      <c r="BN7" s="375">
        <f>SUM(BN8:BN12)</f>
        <v>0</v>
      </c>
      <c r="BO7" s="375"/>
      <c r="BP7" s="375">
        <f>SUM(BP8:BP12)</f>
        <v>0</v>
      </c>
      <c r="BQ7" s="484"/>
      <c r="BR7" s="373">
        <f>SUM(BR8:BR12)</f>
        <v>0</v>
      </c>
      <c r="BS7" s="375"/>
      <c r="BT7" s="375">
        <f>SUM(BT8:BT12)</f>
        <v>0</v>
      </c>
      <c r="BU7" s="375"/>
      <c r="BV7" s="375">
        <f>SUM(BV8:BV12)</f>
        <v>0</v>
      </c>
      <c r="BW7" s="484"/>
      <c r="BX7" s="216"/>
      <c r="BY7" s="216"/>
      <c r="BZ7" s="216"/>
      <c r="CA7" s="216"/>
      <c r="CB7" s="216"/>
      <c r="CC7" s="216"/>
      <c r="CD7" s="216"/>
      <c r="CE7" s="216"/>
      <c r="CF7" s="216"/>
      <c r="CG7" s="216"/>
      <c r="CH7" s="216"/>
      <c r="CI7" s="216"/>
      <c r="CJ7" s="216"/>
      <c r="CK7" s="216"/>
      <c r="CL7" s="216"/>
      <c r="CM7" s="216"/>
      <c r="CN7" s="216"/>
      <c r="CO7" s="216"/>
      <c r="CP7" s="216"/>
      <c r="CQ7" s="216"/>
    </row>
    <row r="8" ht="15.75" customHeight="1">
      <c r="A8" s="213"/>
      <c r="B8" s="487" t="s">
        <v>24</v>
      </c>
      <c r="C8" s="488" t="s">
        <v>221</v>
      </c>
      <c r="D8" s="384">
        <v>0.0</v>
      </c>
      <c r="E8" s="386"/>
      <c r="F8" s="386"/>
      <c r="G8" s="386"/>
      <c r="H8" s="386" t="str">
        <f t="shared" ref="H8:H12" si="4">D8-#REF!</f>
        <v>#REF!</v>
      </c>
      <c r="I8" s="489"/>
      <c r="J8" s="384"/>
      <c r="K8" s="386"/>
      <c r="L8" s="386"/>
      <c r="M8" s="386"/>
      <c r="N8" s="386"/>
      <c r="O8" s="386"/>
      <c r="P8" s="384"/>
      <c r="Q8" s="386"/>
      <c r="R8" s="386"/>
      <c r="S8" s="386"/>
      <c r="T8" s="386"/>
      <c r="U8" s="386"/>
      <c r="V8" s="384"/>
      <c r="W8" s="386"/>
      <c r="X8" s="386"/>
      <c r="Y8" s="386"/>
      <c r="Z8" s="386"/>
      <c r="AA8" s="386"/>
      <c r="AB8" s="384"/>
      <c r="AC8" s="386"/>
      <c r="AD8" s="386"/>
      <c r="AE8" s="386"/>
      <c r="AF8" s="386"/>
      <c r="AG8" s="386"/>
      <c r="AH8" s="384"/>
      <c r="AI8" s="386"/>
      <c r="AJ8" s="386"/>
      <c r="AK8" s="386"/>
      <c r="AL8" s="386"/>
      <c r="AM8" s="386"/>
      <c r="AN8" s="384"/>
      <c r="AO8" s="386"/>
      <c r="AP8" s="386"/>
      <c r="AQ8" s="386"/>
      <c r="AR8" s="386"/>
      <c r="AS8" s="386"/>
      <c r="AT8" s="384"/>
      <c r="AU8" s="386"/>
      <c r="AV8" s="386"/>
      <c r="AW8" s="386"/>
      <c r="AX8" s="386"/>
      <c r="AY8" s="490"/>
      <c r="AZ8" s="439"/>
      <c r="BA8" s="386"/>
      <c r="BB8" s="386"/>
      <c r="BC8" s="386"/>
      <c r="BD8" s="386"/>
      <c r="BE8" s="490"/>
      <c r="BF8" s="384"/>
      <c r="BG8" s="386"/>
      <c r="BH8" s="386"/>
      <c r="BI8" s="386"/>
      <c r="BJ8" s="386"/>
      <c r="BK8" s="489"/>
      <c r="BL8" s="384"/>
      <c r="BM8" s="386"/>
      <c r="BN8" s="386"/>
      <c r="BO8" s="386"/>
      <c r="BP8" s="386"/>
      <c r="BQ8" s="489"/>
      <c r="BR8" s="491"/>
      <c r="BS8" s="386"/>
      <c r="BT8" s="386"/>
      <c r="BU8" s="386"/>
      <c r="BV8" s="386"/>
      <c r="BW8" s="489"/>
      <c r="BX8" s="213"/>
      <c r="BY8" s="213"/>
      <c r="BZ8" s="213"/>
      <c r="CA8" s="213"/>
      <c r="CB8" s="213"/>
      <c r="CC8" s="213"/>
      <c r="CD8" s="213"/>
      <c r="CE8" s="213"/>
      <c r="CF8" s="213"/>
      <c r="CG8" s="213"/>
      <c r="CH8" s="213"/>
      <c r="CI8" s="213"/>
      <c r="CJ8" s="213"/>
      <c r="CK8" s="213"/>
      <c r="CL8" s="213"/>
      <c r="CM8" s="213"/>
      <c r="CN8" s="213"/>
      <c r="CO8" s="213"/>
      <c r="CP8" s="213"/>
      <c r="CQ8" s="213"/>
    </row>
    <row r="9" ht="15.75" customHeight="1">
      <c r="A9" s="213"/>
      <c r="B9" s="492"/>
      <c r="C9" s="492" t="s">
        <v>222</v>
      </c>
      <c r="D9" s="351">
        <v>0.0</v>
      </c>
      <c r="E9" s="353"/>
      <c r="F9" s="353"/>
      <c r="G9" s="353"/>
      <c r="H9" s="353" t="str">
        <f t="shared" si="4"/>
        <v>#REF!</v>
      </c>
      <c r="I9" s="493"/>
      <c r="J9" s="351"/>
      <c r="K9" s="353"/>
      <c r="L9" s="353"/>
      <c r="M9" s="353"/>
      <c r="N9" s="353"/>
      <c r="O9" s="353"/>
      <c r="P9" s="351"/>
      <c r="Q9" s="353"/>
      <c r="R9" s="353"/>
      <c r="S9" s="353"/>
      <c r="T9" s="353"/>
      <c r="U9" s="353"/>
      <c r="V9" s="351"/>
      <c r="W9" s="353"/>
      <c r="X9" s="353"/>
      <c r="Y9" s="353"/>
      <c r="Z9" s="353"/>
      <c r="AA9" s="353"/>
      <c r="AB9" s="351"/>
      <c r="AC9" s="353"/>
      <c r="AD9" s="353"/>
      <c r="AE9" s="353"/>
      <c r="AF9" s="353"/>
      <c r="AG9" s="353"/>
      <c r="AH9" s="351"/>
      <c r="AI9" s="353"/>
      <c r="AJ9" s="353"/>
      <c r="AK9" s="353"/>
      <c r="AL9" s="353"/>
      <c r="AM9" s="353"/>
      <c r="AN9" s="351"/>
      <c r="AO9" s="353"/>
      <c r="AP9" s="353"/>
      <c r="AQ9" s="353"/>
      <c r="AR9" s="353"/>
      <c r="AS9" s="353"/>
      <c r="AT9" s="351"/>
      <c r="AU9" s="353"/>
      <c r="AV9" s="353"/>
      <c r="AW9" s="353"/>
      <c r="AX9" s="353"/>
      <c r="AY9" s="494"/>
      <c r="AZ9" s="495"/>
      <c r="BA9" s="353"/>
      <c r="BB9" s="353"/>
      <c r="BC9" s="353"/>
      <c r="BD9" s="353"/>
      <c r="BE9" s="494"/>
      <c r="BF9" s="351"/>
      <c r="BG9" s="353"/>
      <c r="BH9" s="353"/>
      <c r="BI9" s="353"/>
      <c r="BJ9" s="353"/>
      <c r="BK9" s="493"/>
      <c r="BL9" s="351"/>
      <c r="BM9" s="353"/>
      <c r="BN9" s="353"/>
      <c r="BO9" s="353"/>
      <c r="BP9" s="353"/>
      <c r="BQ9" s="493"/>
      <c r="BR9" s="351"/>
      <c r="BS9" s="353"/>
      <c r="BT9" s="353"/>
      <c r="BU9" s="353"/>
      <c r="BV9" s="353"/>
      <c r="BW9" s="493"/>
      <c r="BX9" s="213"/>
      <c r="BY9" s="213"/>
      <c r="BZ9" s="213"/>
      <c r="CA9" s="213"/>
      <c r="CB9" s="213"/>
      <c r="CC9" s="213"/>
      <c r="CD9" s="213"/>
      <c r="CE9" s="213"/>
      <c r="CF9" s="213"/>
      <c r="CG9" s="213"/>
      <c r="CH9" s="213"/>
      <c r="CI9" s="213"/>
      <c r="CJ9" s="213"/>
      <c r="CK9" s="213"/>
      <c r="CL9" s="213"/>
      <c r="CM9" s="213"/>
      <c r="CN9" s="213"/>
      <c r="CO9" s="213"/>
      <c r="CP9" s="213"/>
      <c r="CQ9" s="213"/>
    </row>
    <row r="10" ht="15.75" customHeight="1">
      <c r="A10" s="213"/>
      <c r="B10" s="492"/>
      <c r="C10" s="492" t="s">
        <v>297</v>
      </c>
      <c r="D10" s="351">
        <v>0.0</v>
      </c>
      <c r="E10" s="353"/>
      <c r="F10" s="353"/>
      <c r="G10" s="353"/>
      <c r="H10" s="353" t="str">
        <f t="shared" si="4"/>
        <v>#REF!</v>
      </c>
      <c r="I10" s="493"/>
      <c r="J10" s="351"/>
      <c r="K10" s="353"/>
      <c r="L10" s="353"/>
      <c r="M10" s="353"/>
      <c r="N10" s="353"/>
      <c r="O10" s="353"/>
      <c r="P10" s="351"/>
      <c r="Q10" s="353"/>
      <c r="R10" s="353"/>
      <c r="S10" s="353"/>
      <c r="T10" s="353"/>
      <c r="U10" s="353"/>
      <c r="V10" s="351"/>
      <c r="W10" s="353"/>
      <c r="X10" s="353"/>
      <c r="Y10" s="353"/>
      <c r="Z10" s="353"/>
      <c r="AA10" s="353"/>
      <c r="AB10" s="351"/>
      <c r="AC10" s="353"/>
      <c r="AD10" s="353"/>
      <c r="AE10" s="353"/>
      <c r="AF10" s="353"/>
      <c r="AG10" s="353"/>
      <c r="AH10" s="351"/>
      <c r="AI10" s="353"/>
      <c r="AJ10" s="353"/>
      <c r="AK10" s="353"/>
      <c r="AL10" s="353"/>
      <c r="AM10" s="353"/>
      <c r="AN10" s="351"/>
      <c r="AO10" s="353"/>
      <c r="AP10" s="353"/>
      <c r="AQ10" s="353"/>
      <c r="AR10" s="353"/>
      <c r="AS10" s="353"/>
      <c r="AT10" s="351"/>
      <c r="AU10" s="353"/>
      <c r="AV10" s="353"/>
      <c r="AW10" s="353"/>
      <c r="AX10" s="353"/>
      <c r="AY10" s="494"/>
      <c r="AZ10" s="495"/>
      <c r="BA10" s="353"/>
      <c r="BB10" s="353"/>
      <c r="BC10" s="353"/>
      <c r="BD10" s="353"/>
      <c r="BE10" s="494"/>
      <c r="BF10" s="351"/>
      <c r="BG10" s="353"/>
      <c r="BH10" s="353"/>
      <c r="BI10" s="353"/>
      <c r="BJ10" s="353"/>
      <c r="BK10" s="493"/>
      <c r="BL10" s="351"/>
      <c r="BM10" s="353"/>
      <c r="BN10" s="353"/>
      <c r="BO10" s="353"/>
      <c r="BP10" s="353"/>
      <c r="BQ10" s="493"/>
      <c r="BR10" s="351"/>
      <c r="BS10" s="353"/>
      <c r="BT10" s="353"/>
      <c r="BU10" s="353"/>
      <c r="BV10" s="353"/>
      <c r="BW10" s="493"/>
      <c r="BX10" s="213"/>
      <c r="BY10" s="213"/>
      <c r="BZ10" s="213"/>
      <c r="CA10" s="213"/>
      <c r="CB10" s="213"/>
      <c r="CC10" s="213"/>
      <c r="CD10" s="213"/>
      <c r="CE10" s="213"/>
      <c r="CF10" s="213"/>
      <c r="CG10" s="213"/>
      <c r="CH10" s="213"/>
      <c r="CI10" s="213"/>
      <c r="CJ10" s="213"/>
      <c r="CK10" s="213"/>
      <c r="CL10" s="213"/>
      <c r="CM10" s="213"/>
      <c r="CN10" s="213"/>
      <c r="CO10" s="213"/>
      <c r="CP10" s="213"/>
      <c r="CQ10" s="213"/>
    </row>
    <row r="11" ht="15.75" customHeight="1">
      <c r="A11" s="213"/>
      <c r="B11" s="492"/>
      <c r="C11" s="492" t="s">
        <v>225</v>
      </c>
      <c r="D11" s="351">
        <v>0.0</v>
      </c>
      <c r="E11" s="353"/>
      <c r="F11" s="353"/>
      <c r="G11" s="353"/>
      <c r="H11" s="353" t="str">
        <f t="shared" si="4"/>
        <v>#REF!</v>
      </c>
      <c r="I11" s="493"/>
      <c r="J11" s="351"/>
      <c r="K11" s="353"/>
      <c r="L11" s="353"/>
      <c r="M11" s="353"/>
      <c r="N11" s="353"/>
      <c r="O11" s="353"/>
      <c r="P11" s="351"/>
      <c r="Q11" s="353"/>
      <c r="R11" s="353"/>
      <c r="S11" s="353"/>
      <c r="T11" s="353"/>
      <c r="U11" s="353"/>
      <c r="V11" s="351"/>
      <c r="W11" s="353"/>
      <c r="X11" s="353"/>
      <c r="Y11" s="353"/>
      <c r="Z11" s="353"/>
      <c r="AA11" s="353"/>
      <c r="AB11" s="351"/>
      <c r="AC11" s="353"/>
      <c r="AD11" s="353"/>
      <c r="AE11" s="353"/>
      <c r="AF11" s="353"/>
      <c r="AG11" s="353"/>
      <c r="AH11" s="351"/>
      <c r="AI11" s="353"/>
      <c r="AJ11" s="353"/>
      <c r="AK11" s="353"/>
      <c r="AL11" s="353"/>
      <c r="AM11" s="353"/>
      <c r="AN11" s="351"/>
      <c r="AO11" s="353"/>
      <c r="AP11" s="353"/>
      <c r="AQ11" s="353"/>
      <c r="AR11" s="353"/>
      <c r="AS11" s="353"/>
      <c r="AT11" s="351"/>
      <c r="AU11" s="353"/>
      <c r="AV11" s="353"/>
      <c r="AW11" s="353"/>
      <c r="AX11" s="353"/>
      <c r="AY11" s="494"/>
      <c r="AZ11" s="495"/>
      <c r="BA11" s="353"/>
      <c r="BB11" s="353"/>
      <c r="BC11" s="353"/>
      <c r="BD11" s="353"/>
      <c r="BE11" s="494"/>
      <c r="BF11" s="351"/>
      <c r="BG11" s="353"/>
      <c r="BH11" s="353"/>
      <c r="BI11" s="353"/>
      <c r="BJ11" s="353"/>
      <c r="BK11" s="493"/>
      <c r="BL11" s="351"/>
      <c r="BM11" s="353"/>
      <c r="BN11" s="353"/>
      <c r="BO11" s="353"/>
      <c r="BP11" s="353"/>
      <c r="BQ11" s="493"/>
      <c r="BR11" s="351"/>
      <c r="BS11" s="353"/>
      <c r="BT11" s="353"/>
      <c r="BU11" s="353"/>
      <c r="BV11" s="353"/>
      <c r="BW11" s="493"/>
      <c r="BX11" s="213"/>
      <c r="BY11" s="213"/>
      <c r="BZ11" s="213"/>
      <c r="CA11" s="213"/>
      <c r="CB11" s="213"/>
      <c r="CC11" s="213"/>
      <c r="CD11" s="213"/>
      <c r="CE11" s="213"/>
      <c r="CF11" s="213"/>
      <c r="CG11" s="213"/>
      <c r="CH11" s="213"/>
      <c r="CI11" s="213"/>
      <c r="CJ11" s="213"/>
      <c r="CK11" s="213"/>
      <c r="CL11" s="213"/>
      <c r="CM11" s="213"/>
      <c r="CN11" s="213"/>
      <c r="CO11" s="213"/>
      <c r="CP11" s="213"/>
      <c r="CQ11" s="213"/>
    </row>
    <row r="12" ht="15.75" customHeight="1">
      <c r="A12" s="213"/>
      <c r="B12" s="492"/>
      <c r="C12" s="492" t="s">
        <v>226</v>
      </c>
      <c r="D12" s="351">
        <v>0.0</v>
      </c>
      <c r="E12" s="353"/>
      <c r="F12" s="353"/>
      <c r="G12" s="353"/>
      <c r="H12" s="353" t="str">
        <f t="shared" si="4"/>
        <v>#REF!</v>
      </c>
      <c r="I12" s="493"/>
      <c r="J12" s="351"/>
      <c r="K12" s="353"/>
      <c r="L12" s="353"/>
      <c r="M12" s="353"/>
      <c r="N12" s="353"/>
      <c r="O12" s="353"/>
      <c r="P12" s="351"/>
      <c r="Q12" s="353"/>
      <c r="R12" s="353"/>
      <c r="S12" s="353"/>
      <c r="T12" s="353"/>
      <c r="U12" s="353"/>
      <c r="V12" s="351"/>
      <c r="W12" s="353"/>
      <c r="X12" s="353"/>
      <c r="Y12" s="353"/>
      <c r="Z12" s="353"/>
      <c r="AA12" s="353"/>
      <c r="AB12" s="351"/>
      <c r="AC12" s="353"/>
      <c r="AD12" s="353"/>
      <c r="AE12" s="353"/>
      <c r="AF12" s="353"/>
      <c r="AG12" s="353"/>
      <c r="AH12" s="351"/>
      <c r="AI12" s="353"/>
      <c r="AJ12" s="353"/>
      <c r="AK12" s="353"/>
      <c r="AL12" s="353"/>
      <c r="AM12" s="353"/>
      <c r="AN12" s="351"/>
      <c r="AO12" s="353"/>
      <c r="AP12" s="353"/>
      <c r="AQ12" s="353"/>
      <c r="AR12" s="353"/>
      <c r="AS12" s="353"/>
      <c r="AT12" s="351"/>
      <c r="AU12" s="353"/>
      <c r="AV12" s="353"/>
      <c r="AW12" s="353"/>
      <c r="AX12" s="353"/>
      <c r="AY12" s="494"/>
      <c r="AZ12" s="495"/>
      <c r="BA12" s="353"/>
      <c r="BB12" s="353"/>
      <c r="BC12" s="353"/>
      <c r="BD12" s="353"/>
      <c r="BE12" s="494"/>
      <c r="BF12" s="351"/>
      <c r="BG12" s="353"/>
      <c r="BH12" s="353"/>
      <c r="BI12" s="353"/>
      <c r="BJ12" s="353"/>
      <c r="BK12" s="493"/>
      <c r="BL12" s="351"/>
      <c r="BM12" s="353"/>
      <c r="BN12" s="353"/>
      <c r="BO12" s="353"/>
      <c r="BP12" s="353"/>
      <c r="BQ12" s="493"/>
      <c r="BR12" s="351"/>
      <c r="BS12" s="353"/>
      <c r="BT12" s="353"/>
      <c r="BU12" s="353"/>
      <c r="BV12" s="353"/>
      <c r="BW12" s="493"/>
      <c r="BX12" s="213"/>
      <c r="BY12" s="213"/>
      <c r="BZ12" s="213"/>
      <c r="CA12" s="213"/>
      <c r="CB12" s="213"/>
      <c r="CC12" s="213"/>
      <c r="CD12" s="213"/>
      <c r="CE12" s="213"/>
      <c r="CF12" s="213"/>
      <c r="CG12" s="213"/>
      <c r="CH12" s="213"/>
      <c r="CI12" s="213"/>
      <c r="CJ12" s="213"/>
      <c r="CK12" s="213"/>
      <c r="CL12" s="213"/>
      <c r="CM12" s="213"/>
      <c r="CN12" s="213"/>
      <c r="CO12" s="213"/>
      <c r="CP12" s="213"/>
      <c r="CQ12" s="213"/>
    </row>
    <row r="13" ht="15.75" customHeight="1">
      <c r="A13" s="213"/>
      <c r="B13" s="492"/>
      <c r="C13" s="492"/>
      <c r="D13" s="351"/>
      <c r="E13" s="353"/>
      <c r="F13" s="353"/>
      <c r="G13" s="353"/>
      <c r="H13" s="353"/>
      <c r="I13" s="493"/>
      <c r="J13" s="351"/>
      <c r="K13" s="353"/>
      <c r="L13" s="353"/>
      <c r="M13" s="353"/>
      <c r="N13" s="353"/>
      <c r="O13" s="353"/>
      <c r="P13" s="351"/>
      <c r="Q13" s="353"/>
      <c r="R13" s="353"/>
      <c r="S13" s="353"/>
      <c r="T13" s="353"/>
      <c r="U13" s="353"/>
      <c r="V13" s="351"/>
      <c r="W13" s="353"/>
      <c r="X13" s="353"/>
      <c r="Y13" s="353"/>
      <c r="Z13" s="353"/>
      <c r="AA13" s="353"/>
      <c r="AB13" s="351"/>
      <c r="AC13" s="353"/>
      <c r="AD13" s="353"/>
      <c r="AE13" s="353"/>
      <c r="AF13" s="353"/>
      <c r="AG13" s="353"/>
      <c r="AH13" s="351"/>
      <c r="AI13" s="353"/>
      <c r="AJ13" s="353"/>
      <c r="AK13" s="353"/>
      <c r="AL13" s="353"/>
      <c r="AM13" s="353"/>
      <c r="AN13" s="351"/>
      <c r="AO13" s="353"/>
      <c r="AP13" s="353"/>
      <c r="AQ13" s="353"/>
      <c r="AR13" s="353"/>
      <c r="AS13" s="353"/>
      <c r="AT13" s="351"/>
      <c r="AU13" s="353"/>
      <c r="AV13" s="353"/>
      <c r="AW13" s="353"/>
      <c r="AX13" s="353"/>
      <c r="AY13" s="494"/>
      <c r="AZ13" s="495"/>
      <c r="BA13" s="353"/>
      <c r="BB13" s="353"/>
      <c r="BC13" s="353"/>
      <c r="BD13" s="353"/>
      <c r="BE13" s="494"/>
      <c r="BF13" s="351"/>
      <c r="BG13" s="353"/>
      <c r="BH13" s="353"/>
      <c r="BI13" s="353"/>
      <c r="BJ13" s="353"/>
      <c r="BK13" s="493"/>
      <c r="BL13" s="351"/>
      <c r="BM13" s="353"/>
      <c r="BN13" s="353"/>
      <c r="BO13" s="353"/>
      <c r="BP13" s="353"/>
      <c r="BQ13" s="493"/>
      <c r="BR13" s="351"/>
      <c r="BS13" s="353"/>
      <c r="BT13" s="353"/>
      <c r="BU13" s="353"/>
      <c r="BV13" s="353"/>
      <c r="BW13" s="493"/>
      <c r="BX13" s="213"/>
      <c r="BY13" s="213"/>
      <c r="BZ13" s="213"/>
      <c r="CA13" s="213"/>
      <c r="CB13" s="213"/>
      <c r="CC13" s="213"/>
      <c r="CD13" s="213"/>
      <c r="CE13" s="213"/>
      <c r="CF13" s="213"/>
      <c r="CG13" s="213"/>
      <c r="CH13" s="213"/>
      <c r="CI13" s="213"/>
      <c r="CJ13" s="213"/>
      <c r="CK13" s="213"/>
      <c r="CL13" s="213"/>
      <c r="CM13" s="213"/>
      <c r="CN13" s="213"/>
      <c r="CO13" s="213"/>
      <c r="CP13" s="213"/>
      <c r="CQ13" s="213"/>
    </row>
    <row r="14" ht="15.75" customHeight="1">
      <c r="A14" s="213"/>
      <c r="B14" s="496" t="s">
        <v>22</v>
      </c>
      <c r="C14" s="492" t="s">
        <v>22</v>
      </c>
      <c r="D14" s="351">
        <v>0.0</v>
      </c>
      <c r="E14" s="353"/>
      <c r="F14" s="353"/>
      <c r="G14" s="353"/>
      <c r="H14" s="353" t="str">
        <f t="shared" ref="H14:H16" si="5">D14-#REF!</f>
        <v>#REF!</v>
      </c>
      <c r="I14" s="493"/>
      <c r="J14" s="351">
        <v>0.0</v>
      </c>
      <c r="K14" s="353"/>
      <c r="L14" s="353"/>
      <c r="M14" s="353"/>
      <c r="N14" s="353"/>
      <c r="O14" s="353">
        <v>0.0</v>
      </c>
      <c r="P14" s="351">
        <v>0.0</v>
      </c>
      <c r="Q14" s="353"/>
      <c r="R14" s="353"/>
      <c r="S14" s="353"/>
      <c r="T14" s="353"/>
      <c r="U14" s="353">
        <v>0.0</v>
      </c>
      <c r="V14" s="351">
        <v>0.0</v>
      </c>
      <c r="W14" s="353"/>
      <c r="X14" s="353"/>
      <c r="Y14" s="353"/>
      <c r="Z14" s="353"/>
      <c r="AA14" s="353">
        <v>0.0</v>
      </c>
      <c r="AB14" s="351">
        <v>0.0</v>
      </c>
      <c r="AC14" s="353"/>
      <c r="AD14" s="353">
        <v>0.0</v>
      </c>
      <c r="AE14" s="353"/>
      <c r="AF14" s="353"/>
      <c r="AG14" s="353"/>
      <c r="AH14" s="351">
        <v>0.0</v>
      </c>
      <c r="AI14" s="353"/>
      <c r="AJ14" s="353">
        <v>0.0</v>
      </c>
      <c r="AK14" s="353"/>
      <c r="AL14" s="353"/>
      <c r="AM14" s="353"/>
      <c r="AN14" s="351">
        <v>0.0</v>
      </c>
      <c r="AO14" s="353"/>
      <c r="AP14" s="353">
        <v>0.0</v>
      </c>
      <c r="AQ14" s="353"/>
      <c r="AR14" s="353">
        <v>0.0</v>
      </c>
      <c r="AS14" s="353"/>
      <c r="AT14" s="351">
        <v>0.0</v>
      </c>
      <c r="AU14" s="353"/>
      <c r="AV14" s="353">
        <v>0.0</v>
      </c>
      <c r="AW14" s="353"/>
      <c r="AX14" s="353">
        <v>0.0</v>
      </c>
      <c r="AY14" s="494"/>
      <c r="AZ14" s="495">
        <v>0.0</v>
      </c>
      <c r="BA14" s="353"/>
      <c r="BB14" s="353">
        <v>0.0</v>
      </c>
      <c r="BC14" s="353"/>
      <c r="BD14" s="353">
        <v>0.0</v>
      </c>
      <c r="BE14" s="494"/>
      <c r="BF14" s="351">
        <v>0.0</v>
      </c>
      <c r="BG14" s="353"/>
      <c r="BH14" s="353">
        <v>0.0</v>
      </c>
      <c r="BI14" s="353"/>
      <c r="BJ14" s="353">
        <v>0.0</v>
      </c>
      <c r="BK14" s="493"/>
      <c r="BL14" s="351">
        <v>0.0</v>
      </c>
      <c r="BM14" s="353"/>
      <c r="BN14" s="353">
        <v>0.0</v>
      </c>
      <c r="BO14" s="353"/>
      <c r="BP14" s="353">
        <v>0.0</v>
      </c>
      <c r="BQ14" s="493"/>
      <c r="BR14" s="351">
        <v>0.0</v>
      </c>
      <c r="BS14" s="353"/>
      <c r="BT14" s="353">
        <v>0.0</v>
      </c>
      <c r="BU14" s="353"/>
      <c r="BV14" s="353">
        <v>0.0</v>
      </c>
      <c r="BW14" s="493"/>
      <c r="BX14" s="213"/>
      <c r="BY14" s="213"/>
      <c r="BZ14" s="213"/>
      <c r="CA14" s="213"/>
      <c r="CB14" s="213"/>
      <c r="CC14" s="213"/>
      <c r="CD14" s="213"/>
      <c r="CE14" s="213"/>
      <c r="CF14" s="213"/>
      <c r="CG14" s="213"/>
      <c r="CH14" s="213"/>
      <c r="CI14" s="213"/>
      <c r="CJ14" s="213"/>
      <c r="CK14" s="213"/>
      <c r="CL14" s="213"/>
      <c r="CM14" s="213"/>
      <c r="CN14" s="213"/>
      <c r="CO14" s="213"/>
      <c r="CP14" s="213"/>
      <c r="CQ14" s="213"/>
    </row>
    <row r="15" ht="15.75" customHeight="1">
      <c r="A15" s="213"/>
      <c r="B15" s="496" t="s">
        <v>23</v>
      </c>
      <c r="C15" s="492" t="s">
        <v>23</v>
      </c>
      <c r="D15" s="351">
        <v>0.0</v>
      </c>
      <c r="E15" s="353"/>
      <c r="F15" s="353"/>
      <c r="G15" s="353"/>
      <c r="H15" s="353" t="str">
        <f t="shared" si="5"/>
        <v>#REF!</v>
      </c>
      <c r="I15" s="493"/>
      <c r="J15" s="351">
        <v>0.0</v>
      </c>
      <c r="K15" s="353"/>
      <c r="L15" s="353"/>
      <c r="M15" s="353"/>
      <c r="N15" s="353"/>
      <c r="O15" s="353">
        <v>0.0</v>
      </c>
      <c r="P15" s="351">
        <v>0.0</v>
      </c>
      <c r="Q15" s="353"/>
      <c r="R15" s="353"/>
      <c r="S15" s="353"/>
      <c r="T15" s="353"/>
      <c r="U15" s="353">
        <v>0.0</v>
      </c>
      <c r="V15" s="351">
        <v>0.0</v>
      </c>
      <c r="W15" s="353"/>
      <c r="X15" s="353"/>
      <c r="Y15" s="353"/>
      <c r="Z15" s="353"/>
      <c r="AA15" s="353">
        <v>0.0</v>
      </c>
      <c r="AB15" s="351">
        <v>0.0</v>
      </c>
      <c r="AC15" s="353"/>
      <c r="AD15" s="353">
        <v>0.0</v>
      </c>
      <c r="AE15" s="353"/>
      <c r="AF15" s="353"/>
      <c r="AG15" s="353"/>
      <c r="AH15" s="351">
        <v>0.0</v>
      </c>
      <c r="AI15" s="353"/>
      <c r="AJ15" s="353">
        <v>0.0</v>
      </c>
      <c r="AK15" s="353"/>
      <c r="AL15" s="353"/>
      <c r="AM15" s="353"/>
      <c r="AN15" s="351">
        <v>0.0</v>
      </c>
      <c r="AO15" s="353"/>
      <c r="AP15" s="353">
        <v>0.0</v>
      </c>
      <c r="AQ15" s="353"/>
      <c r="AR15" s="353">
        <v>0.0</v>
      </c>
      <c r="AS15" s="353"/>
      <c r="AT15" s="351">
        <v>0.0</v>
      </c>
      <c r="AU15" s="353"/>
      <c r="AV15" s="353">
        <v>0.0</v>
      </c>
      <c r="AW15" s="353"/>
      <c r="AX15" s="353">
        <v>0.0</v>
      </c>
      <c r="AY15" s="494"/>
      <c r="AZ15" s="495">
        <v>0.0</v>
      </c>
      <c r="BA15" s="353"/>
      <c r="BB15" s="353">
        <v>0.0</v>
      </c>
      <c r="BC15" s="353"/>
      <c r="BD15" s="353">
        <v>0.0</v>
      </c>
      <c r="BE15" s="494"/>
      <c r="BF15" s="351">
        <v>0.0</v>
      </c>
      <c r="BG15" s="353"/>
      <c r="BH15" s="353">
        <v>0.0</v>
      </c>
      <c r="BI15" s="353"/>
      <c r="BJ15" s="353">
        <v>0.0</v>
      </c>
      <c r="BK15" s="493"/>
      <c r="BL15" s="351">
        <v>0.0</v>
      </c>
      <c r="BM15" s="353"/>
      <c r="BN15" s="353">
        <v>0.0</v>
      </c>
      <c r="BO15" s="353"/>
      <c r="BP15" s="353">
        <v>0.0</v>
      </c>
      <c r="BQ15" s="493"/>
      <c r="BR15" s="351">
        <v>0.0</v>
      </c>
      <c r="BS15" s="353"/>
      <c r="BT15" s="353">
        <v>0.0</v>
      </c>
      <c r="BU15" s="353"/>
      <c r="BV15" s="353">
        <v>0.0</v>
      </c>
      <c r="BW15" s="493"/>
      <c r="BX15" s="213"/>
      <c r="BY15" s="213"/>
      <c r="BZ15" s="213"/>
      <c r="CA15" s="213"/>
      <c r="CB15" s="213"/>
      <c r="CC15" s="213"/>
      <c r="CD15" s="213"/>
      <c r="CE15" s="213"/>
      <c r="CF15" s="213"/>
      <c r="CG15" s="213"/>
      <c r="CH15" s="213"/>
      <c r="CI15" s="213"/>
      <c r="CJ15" s="213"/>
      <c r="CK15" s="213"/>
      <c r="CL15" s="213"/>
      <c r="CM15" s="213"/>
      <c r="CN15" s="213"/>
      <c r="CO15" s="213"/>
      <c r="CP15" s="213"/>
      <c r="CQ15" s="213"/>
    </row>
    <row r="16" ht="15.75" customHeight="1">
      <c r="A16" s="213"/>
      <c r="B16" s="496" t="s">
        <v>24</v>
      </c>
      <c r="C16" s="492" t="s">
        <v>230</v>
      </c>
      <c r="D16" s="398">
        <f>SUM(D8:D12)</f>
        <v>0</v>
      </c>
      <c r="E16" s="353"/>
      <c r="F16" s="353"/>
      <c r="G16" s="353"/>
      <c r="H16" s="353" t="str">
        <f t="shared" si="5"/>
        <v>#REF!</v>
      </c>
      <c r="I16" s="493"/>
      <c r="J16" s="398">
        <f>SUM(J8:J12)</f>
        <v>0</v>
      </c>
      <c r="K16" s="353"/>
      <c r="L16" s="353"/>
      <c r="M16" s="353"/>
      <c r="N16" s="353"/>
      <c r="O16" s="399">
        <f t="shared" ref="O16:P16" si="6">SUM(O8:O12)</f>
        <v>0</v>
      </c>
      <c r="P16" s="398">
        <f t="shared" si="6"/>
        <v>0</v>
      </c>
      <c r="Q16" s="353"/>
      <c r="R16" s="353"/>
      <c r="S16" s="353"/>
      <c r="T16" s="353"/>
      <c r="U16" s="399">
        <f t="shared" ref="U16:V16" si="7">SUM(U8:U12)</f>
        <v>0</v>
      </c>
      <c r="V16" s="398">
        <f t="shared" si="7"/>
        <v>0</v>
      </c>
      <c r="W16" s="353"/>
      <c r="X16" s="353"/>
      <c r="Y16" s="353"/>
      <c r="Z16" s="353"/>
      <c r="AA16" s="399">
        <f t="shared" ref="AA16:AB16" si="8">SUM(AA8:AA12)</f>
        <v>0</v>
      </c>
      <c r="AB16" s="398">
        <f t="shared" si="8"/>
        <v>0</v>
      </c>
      <c r="AC16" s="353"/>
      <c r="AD16" s="399">
        <f>SUM(AD8:AD12)</f>
        <v>0</v>
      </c>
      <c r="AE16" s="353"/>
      <c r="AF16" s="353"/>
      <c r="AG16" s="353"/>
      <c r="AH16" s="398">
        <f>SUM(AH8:AH12)</f>
        <v>0</v>
      </c>
      <c r="AI16" s="353"/>
      <c r="AJ16" s="399">
        <f>SUM(AJ8:AJ12)</f>
        <v>0</v>
      </c>
      <c r="AK16" s="353"/>
      <c r="AL16" s="353"/>
      <c r="AM16" s="353"/>
      <c r="AN16" s="398">
        <f>SUM(AN8:AN12)</f>
        <v>0</v>
      </c>
      <c r="AO16" s="353"/>
      <c r="AP16" s="399">
        <f>SUM(AP8:AP12)</f>
        <v>0</v>
      </c>
      <c r="AQ16" s="353"/>
      <c r="AR16" s="353">
        <f>SUM(AR8:AR12)</f>
        <v>0</v>
      </c>
      <c r="AS16" s="353"/>
      <c r="AT16" s="398">
        <f>SUM(AT8:AT12)</f>
        <v>0</v>
      </c>
      <c r="AU16" s="353"/>
      <c r="AV16" s="399">
        <f>SUM(AV8:AV12)</f>
        <v>0</v>
      </c>
      <c r="AW16" s="353"/>
      <c r="AX16" s="399">
        <f>SUM(AX8:AX12)</f>
        <v>0</v>
      </c>
      <c r="AY16" s="497"/>
      <c r="AZ16" s="498">
        <f>SUM(AZ8:AZ12)</f>
        <v>0</v>
      </c>
      <c r="BA16" s="353"/>
      <c r="BB16" s="399">
        <f>SUM(BB8:BB12)</f>
        <v>0</v>
      </c>
      <c r="BC16" s="353"/>
      <c r="BD16" s="399">
        <f>SUM(BD8:BD12)</f>
        <v>0</v>
      </c>
      <c r="BE16" s="494"/>
      <c r="BF16" s="398">
        <f>SUM(BF8:BF12)</f>
        <v>0</v>
      </c>
      <c r="BG16" s="353"/>
      <c r="BH16" s="399">
        <f>SUM(BH8:BH12)</f>
        <v>0</v>
      </c>
      <c r="BI16" s="353"/>
      <c r="BJ16" s="399">
        <f>SUM(BJ8:BJ12)</f>
        <v>0</v>
      </c>
      <c r="BK16" s="493"/>
      <c r="BL16" s="398">
        <f>SUM(BL8:BL12)</f>
        <v>0</v>
      </c>
      <c r="BM16" s="353"/>
      <c r="BN16" s="399">
        <f>SUM(BN8:BN12)</f>
        <v>0</v>
      </c>
      <c r="BO16" s="353"/>
      <c r="BP16" s="399">
        <f>SUM(BP8:BP12)</f>
        <v>0</v>
      </c>
      <c r="BQ16" s="493"/>
      <c r="BR16" s="398">
        <f>SUM(BR8:BR12)</f>
        <v>0</v>
      </c>
      <c r="BS16" s="353"/>
      <c r="BT16" s="399">
        <f>SUM(BT8:BT12)</f>
        <v>0</v>
      </c>
      <c r="BU16" s="353"/>
      <c r="BV16" s="399">
        <f>SUM(BV8:BV12)</f>
        <v>0</v>
      </c>
      <c r="BW16" s="493"/>
      <c r="BX16" s="213"/>
      <c r="BY16" s="213"/>
      <c r="BZ16" s="213"/>
      <c r="CA16" s="213"/>
      <c r="CB16" s="213"/>
      <c r="CC16" s="213"/>
      <c r="CD16" s="213"/>
      <c r="CE16" s="213"/>
      <c r="CF16" s="213"/>
      <c r="CG16" s="213"/>
      <c r="CH16" s="213"/>
      <c r="CI16" s="213"/>
      <c r="CJ16" s="213"/>
      <c r="CK16" s="213"/>
      <c r="CL16" s="213"/>
      <c r="CM16" s="213"/>
      <c r="CN16" s="213"/>
      <c r="CO16" s="213"/>
      <c r="CP16" s="213"/>
      <c r="CQ16" s="213"/>
    </row>
    <row r="17" ht="15.75" customHeight="1">
      <c r="A17" s="213"/>
      <c r="B17" s="492"/>
      <c r="C17" s="492"/>
      <c r="D17" s="351"/>
      <c r="E17" s="353"/>
      <c r="F17" s="353"/>
      <c r="G17" s="353"/>
      <c r="H17" s="353"/>
      <c r="I17" s="493"/>
      <c r="J17" s="351"/>
      <c r="K17" s="353"/>
      <c r="L17" s="353"/>
      <c r="M17" s="353"/>
      <c r="N17" s="353"/>
      <c r="O17" s="353"/>
      <c r="P17" s="351"/>
      <c r="Q17" s="353"/>
      <c r="R17" s="353"/>
      <c r="S17" s="353"/>
      <c r="T17" s="353"/>
      <c r="U17" s="353"/>
      <c r="V17" s="351"/>
      <c r="W17" s="353"/>
      <c r="X17" s="353"/>
      <c r="Y17" s="353"/>
      <c r="Z17" s="353"/>
      <c r="AA17" s="353"/>
      <c r="AB17" s="351"/>
      <c r="AC17" s="353"/>
      <c r="AD17" s="353"/>
      <c r="AE17" s="353"/>
      <c r="AF17" s="353"/>
      <c r="AG17" s="353"/>
      <c r="AH17" s="351"/>
      <c r="AI17" s="353"/>
      <c r="AJ17" s="353"/>
      <c r="AK17" s="353"/>
      <c r="AL17" s="353"/>
      <c r="AM17" s="353"/>
      <c r="AN17" s="351"/>
      <c r="AO17" s="353"/>
      <c r="AP17" s="353"/>
      <c r="AQ17" s="353"/>
      <c r="AR17" s="353"/>
      <c r="AS17" s="353"/>
      <c r="AT17" s="351"/>
      <c r="AU17" s="353"/>
      <c r="AV17" s="353"/>
      <c r="AW17" s="353"/>
      <c r="AX17" s="353"/>
      <c r="AY17" s="494"/>
      <c r="AZ17" s="495"/>
      <c r="BA17" s="353"/>
      <c r="BB17" s="353"/>
      <c r="BC17" s="353"/>
      <c r="BD17" s="353"/>
      <c r="BE17" s="494"/>
      <c r="BF17" s="351"/>
      <c r="BG17" s="353"/>
      <c r="BH17" s="353"/>
      <c r="BI17" s="353"/>
      <c r="BJ17" s="353"/>
      <c r="BK17" s="493"/>
      <c r="BL17" s="351"/>
      <c r="BM17" s="353"/>
      <c r="BN17" s="353"/>
      <c r="BO17" s="353"/>
      <c r="BP17" s="353"/>
      <c r="BQ17" s="493"/>
      <c r="BR17" s="351"/>
      <c r="BS17" s="353"/>
      <c r="BT17" s="353"/>
      <c r="BU17" s="353"/>
      <c r="BV17" s="353"/>
      <c r="BW17" s="493"/>
      <c r="BX17" s="213"/>
      <c r="BY17" s="213"/>
      <c r="BZ17" s="213"/>
      <c r="CA17" s="213"/>
      <c r="CB17" s="213"/>
      <c r="CC17" s="213"/>
      <c r="CD17" s="213"/>
      <c r="CE17" s="213"/>
      <c r="CF17" s="213"/>
      <c r="CG17" s="213"/>
      <c r="CH17" s="213"/>
      <c r="CI17" s="213"/>
      <c r="CJ17" s="213"/>
      <c r="CK17" s="213"/>
      <c r="CL17" s="213"/>
      <c r="CM17" s="213"/>
      <c r="CN17" s="213"/>
      <c r="CO17" s="213"/>
      <c r="CP17" s="213"/>
      <c r="CQ17" s="213"/>
    </row>
    <row r="18" ht="15.75" customHeight="1">
      <c r="A18" s="213"/>
      <c r="B18" s="492"/>
      <c r="C18" s="492" t="s">
        <v>231</v>
      </c>
      <c r="D18" s="351">
        <v>0.0</v>
      </c>
      <c r="E18" s="353"/>
      <c r="F18" s="353"/>
      <c r="G18" s="353"/>
      <c r="H18" s="353" t="str">
        <f>D18-#REF!</f>
        <v>#REF!</v>
      </c>
      <c r="I18" s="493"/>
      <c r="J18" s="351"/>
      <c r="K18" s="353"/>
      <c r="L18" s="353"/>
      <c r="M18" s="353"/>
      <c r="N18" s="353"/>
      <c r="O18" s="353"/>
      <c r="P18" s="351"/>
      <c r="Q18" s="353"/>
      <c r="R18" s="353"/>
      <c r="S18" s="353"/>
      <c r="T18" s="353"/>
      <c r="U18" s="353"/>
      <c r="V18" s="351"/>
      <c r="W18" s="353"/>
      <c r="X18" s="353"/>
      <c r="Y18" s="353"/>
      <c r="Z18" s="353"/>
      <c r="AA18" s="353"/>
      <c r="AB18" s="351"/>
      <c r="AC18" s="353"/>
      <c r="AD18" s="353"/>
      <c r="AE18" s="353"/>
      <c r="AF18" s="353"/>
      <c r="AG18" s="353"/>
      <c r="AH18" s="351"/>
      <c r="AI18" s="353"/>
      <c r="AJ18" s="353"/>
      <c r="AK18" s="353"/>
      <c r="AL18" s="353"/>
      <c r="AM18" s="353"/>
      <c r="AN18" s="351"/>
      <c r="AO18" s="353"/>
      <c r="AP18" s="353"/>
      <c r="AQ18" s="353"/>
      <c r="AR18" s="353"/>
      <c r="AS18" s="353"/>
      <c r="AT18" s="351"/>
      <c r="AU18" s="353"/>
      <c r="AV18" s="353"/>
      <c r="AW18" s="353"/>
      <c r="AX18" s="353"/>
      <c r="AY18" s="494"/>
      <c r="AZ18" s="495"/>
      <c r="BA18" s="353"/>
      <c r="BB18" s="353"/>
      <c r="BC18" s="353"/>
      <c r="BD18" s="353"/>
      <c r="BE18" s="494"/>
      <c r="BF18" s="351"/>
      <c r="BG18" s="353"/>
      <c r="BH18" s="353"/>
      <c r="BI18" s="353"/>
      <c r="BJ18" s="353"/>
      <c r="BK18" s="493"/>
      <c r="BL18" s="351"/>
      <c r="BM18" s="353"/>
      <c r="BN18" s="353"/>
      <c r="BO18" s="353"/>
      <c r="BP18" s="353"/>
      <c r="BQ18" s="493"/>
      <c r="BR18" s="351"/>
      <c r="BS18" s="353"/>
      <c r="BT18" s="353"/>
      <c r="BU18" s="353"/>
      <c r="BV18" s="353"/>
      <c r="BW18" s="493"/>
      <c r="BX18" s="213"/>
      <c r="BY18" s="213"/>
      <c r="BZ18" s="213"/>
      <c r="CA18" s="213"/>
      <c r="CB18" s="213"/>
      <c r="CC18" s="213"/>
      <c r="CD18" s="213"/>
      <c r="CE18" s="213"/>
      <c r="CF18" s="213"/>
      <c r="CG18" s="213"/>
      <c r="CH18" s="213"/>
      <c r="CI18" s="213"/>
      <c r="CJ18" s="213"/>
      <c r="CK18" s="213"/>
      <c r="CL18" s="213"/>
      <c r="CM18" s="213"/>
      <c r="CN18" s="213"/>
      <c r="CO18" s="213"/>
      <c r="CP18" s="213"/>
      <c r="CQ18" s="213"/>
    </row>
    <row r="19" ht="15.75" customHeight="1">
      <c r="A19" s="213"/>
      <c r="B19" s="492"/>
      <c r="C19" s="492" t="s">
        <v>232</v>
      </c>
      <c r="D19" s="351">
        <f>D14+D15+D16</f>
        <v>0</v>
      </c>
      <c r="E19" s="353"/>
      <c r="F19" s="353"/>
      <c r="G19" s="353"/>
      <c r="H19" s="353" t="str">
        <f>H14+H15+H16</f>
        <v>#REF!</v>
      </c>
      <c r="I19" s="493"/>
      <c r="J19" s="351">
        <f>J14+J15+J16</f>
        <v>0</v>
      </c>
      <c r="K19" s="353"/>
      <c r="L19" s="353"/>
      <c r="M19" s="353"/>
      <c r="N19" s="353"/>
      <c r="O19" s="353">
        <f t="shared" ref="O19:P19" si="9">O14+O15+O16</f>
        <v>0</v>
      </c>
      <c r="P19" s="351">
        <f t="shared" si="9"/>
        <v>0</v>
      </c>
      <c r="Q19" s="353"/>
      <c r="R19" s="353"/>
      <c r="S19" s="353"/>
      <c r="T19" s="353"/>
      <c r="U19" s="353">
        <f t="shared" ref="U19:V19" si="10">U14+U15+U16</f>
        <v>0</v>
      </c>
      <c r="V19" s="351">
        <f t="shared" si="10"/>
        <v>0</v>
      </c>
      <c r="W19" s="353"/>
      <c r="X19" s="353"/>
      <c r="Y19" s="353"/>
      <c r="Z19" s="353"/>
      <c r="AA19" s="353">
        <f t="shared" ref="AA19:AB19" si="11">AA14+AA15+AA16</f>
        <v>0</v>
      </c>
      <c r="AB19" s="351">
        <f t="shared" si="11"/>
        <v>0</v>
      </c>
      <c r="AC19" s="353"/>
      <c r="AD19" s="353">
        <f>AD14+AD15+AD16</f>
        <v>0</v>
      </c>
      <c r="AE19" s="353"/>
      <c r="AF19" s="353"/>
      <c r="AG19" s="353"/>
      <c r="AH19" s="351">
        <f>AH14+AH15+AH16</f>
        <v>0</v>
      </c>
      <c r="AI19" s="353"/>
      <c r="AJ19" s="353">
        <f>AJ14+AJ15+AJ16</f>
        <v>0</v>
      </c>
      <c r="AK19" s="353"/>
      <c r="AL19" s="353"/>
      <c r="AM19" s="353"/>
      <c r="AN19" s="351">
        <f>AN14+AN15+AN16</f>
        <v>0</v>
      </c>
      <c r="AO19" s="353"/>
      <c r="AP19" s="353">
        <f>AP14+AP15+AP16</f>
        <v>0</v>
      </c>
      <c r="AQ19" s="353"/>
      <c r="AR19" s="353">
        <f>AR14+AR15+AR16</f>
        <v>0</v>
      </c>
      <c r="AS19" s="353"/>
      <c r="AT19" s="351">
        <f>AT14+AT15+AT16</f>
        <v>0</v>
      </c>
      <c r="AU19" s="353"/>
      <c r="AV19" s="353">
        <f>AV14+AV15+AV16</f>
        <v>0</v>
      </c>
      <c r="AW19" s="353"/>
      <c r="AX19" s="353">
        <f>AX14+AX15+AX16</f>
        <v>0</v>
      </c>
      <c r="AY19" s="494"/>
      <c r="AZ19" s="495">
        <f>AZ14+AZ15+AZ16</f>
        <v>0</v>
      </c>
      <c r="BA19" s="353"/>
      <c r="BB19" s="353">
        <f>BB14+BB15+BB16</f>
        <v>0</v>
      </c>
      <c r="BC19" s="353"/>
      <c r="BD19" s="353">
        <f>BD14+BD15+BD16</f>
        <v>0</v>
      </c>
      <c r="BE19" s="494"/>
      <c r="BF19" s="351">
        <f>BF14+BF15+BF16</f>
        <v>0</v>
      </c>
      <c r="BG19" s="353"/>
      <c r="BH19" s="353">
        <f>BH14+BH15+BH16</f>
        <v>0</v>
      </c>
      <c r="BI19" s="353"/>
      <c r="BJ19" s="353">
        <f>BJ14+BJ15+BJ16</f>
        <v>0</v>
      </c>
      <c r="BK19" s="493"/>
      <c r="BL19" s="351">
        <f>BL14+BL15+BL16</f>
        <v>0</v>
      </c>
      <c r="BM19" s="353"/>
      <c r="BN19" s="353">
        <f>BN14+BN15+BN16</f>
        <v>0</v>
      </c>
      <c r="BO19" s="353"/>
      <c r="BP19" s="353">
        <f>BP14+BP15+BP16</f>
        <v>0</v>
      </c>
      <c r="BQ19" s="493"/>
      <c r="BR19" s="351">
        <f>BR14+BR15+BR16</f>
        <v>0</v>
      </c>
      <c r="BS19" s="353"/>
      <c r="BT19" s="353">
        <f>BT14+BT15+BT16</f>
        <v>0</v>
      </c>
      <c r="BU19" s="353"/>
      <c r="BV19" s="353">
        <f>BV14+BV15+BV16</f>
        <v>0</v>
      </c>
      <c r="BW19" s="493"/>
      <c r="BX19" s="216"/>
      <c r="BY19" s="216"/>
      <c r="BZ19" s="216"/>
      <c r="CA19" s="216"/>
      <c r="CB19" s="216"/>
      <c r="CC19" s="216"/>
      <c r="CD19" s="216"/>
      <c r="CE19" s="216"/>
      <c r="CF19" s="216"/>
      <c r="CG19" s="216"/>
      <c r="CH19" s="216"/>
      <c r="CI19" s="216"/>
      <c r="CJ19" s="216"/>
      <c r="CK19" s="216"/>
      <c r="CL19" s="216"/>
      <c r="CM19" s="216"/>
      <c r="CN19" s="216"/>
      <c r="CO19" s="216"/>
      <c r="CP19" s="216"/>
      <c r="CQ19" s="216"/>
    </row>
    <row r="20" ht="15.75" customHeight="1">
      <c r="A20" s="213"/>
      <c r="B20" s="496" t="s">
        <v>298</v>
      </c>
      <c r="C20" s="492"/>
      <c r="D20" s="351"/>
      <c r="E20" s="353"/>
      <c r="F20" s="353"/>
      <c r="G20" s="353"/>
      <c r="H20" s="353"/>
      <c r="I20" s="493"/>
      <c r="J20" s="351"/>
      <c r="K20" s="353"/>
      <c r="L20" s="353"/>
      <c r="M20" s="353"/>
      <c r="N20" s="353"/>
      <c r="O20" s="353"/>
      <c r="P20" s="351"/>
      <c r="Q20" s="353"/>
      <c r="R20" s="353"/>
      <c r="S20" s="353"/>
      <c r="T20" s="353"/>
      <c r="U20" s="353"/>
      <c r="V20" s="351"/>
      <c r="W20" s="353"/>
      <c r="X20" s="353"/>
      <c r="Y20" s="353"/>
      <c r="Z20" s="353"/>
      <c r="AA20" s="353"/>
      <c r="AB20" s="351"/>
      <c r="AC20" s="353"/>
      <c r="AD20" s="353"/>
      <c r="AE20" s="353"/>
      <c r="AF20" s="353"/>
      <c r="AG20" s="353"/>
      <c r="AH20" s="351"/>
      <c r="AI20" s="353"/>
      <c r="AJ20" s="353"/>
      <c r="AK20" s="353"/>
      <c r="AL20" s="353"/>
      <c r="AM20" s="353"/>
      <c r="AN20" s="351"/>
      <c r="AO20" s="353"/>
      <c r="AP20" s="353"/>
      <c r="AQ20" s="353"/>
      <c r="AR20" s="353"/>
      <c r="AS20" s="353"/>
      <c r="AT20" s="351"/>
      <c r="AU20" s="353"/>
      <c r="AV20" s="353"/>
      <c r="AW20" s="353"/>
      <c r="AX20" s="353"/>
      <c r="AY20" s="494"/>
      <c r="AZ20" s="495"/>
      <c r="BA20" s="353"/>
      <c r="BB20" s="353"/>
      <c r="BC20" s="353"/>
      <c r="BD20" s="353"/>
      <c r="BE20" s="494"/>
      <c r="BF20" s="351"/>
      <c r="BG20" s="353"/>
      <c r="BH20" s="353"/>
      <c r="BI20" s="353"/>
      <c r="BJ20" s="353"/>
      <c r="BK20" s="493"/>
      <c r="BL20" s="351"/>
      <c r="BM20" s="353"/>
      <c r="BN20" s="353"/>
      <c r="BO20" s="353"/>
      <c r="BP20" s="353"/>
      <c r="BQ20" s="493"/>
      <c r="BR20" s="351"/>
      <c r="BS20" s="353"/>
      <c r="BT20" s="353"/>
      <c r="BU20" s="353"/>
      <c r="BV20" s="353"/>
      <c r="BW20" s="493"/>
      <c r="BX20" s="213"/>
      <c r="BY20" s="213"/>
      <c r="BZ20" s="213"/>
      <c r="CA20" s="213"/>
      <c r="CB20" s="213"/>
      <c r="CC20" s="213"/>
      <c r="CD20" s="213"/>
      <c r="CE20" s="213"/>
      <c r="CF20" s="213"/>
      <c r="CG20" s="213"/>
      <c r="CH20" s="213"/>
      <c r="CI20" s="213"/>
      <c r="CJ20" s="213"/>
      <c r="CK20" s="213"/>
      <c r="CL20" s="213"/>
      <c r="CM20" s="213"/>
      <c r="CN20" s="213"/>
      <c r="CO20" s="213"/>
      <c r="CP20" s="213"/>
      <c r="CQ20" s="213"/>
    </row>
    <row r="21" ht="15.75" customHeight="1">
      <c r="A21" s="213"/>
      <c r="B21" s="492"/>
      <c r="C21" s="492" t="s">
        <v>299</v>
      </c>
      <c r="D21" s="351"/>
      <c r="E21" s="353"/>
      <c r="F21" s="353"/>
      <c r="G21" s="353"/>
      <c r="H21" s="353"/>
      <c r="I21" s="493"/>
      <c r="J21" s="351"/>
      <c r="K21" s="353"/>
      <c r="L21" s="353"/>
      <c r="M21" s="353"/>
      <c r="N21" s="353"/>
      <c r="O21" s="353"/>
      <c r="P21" s="351"/>
      <c r="Q21" s="353"/>
      <c r="R21" s="353"/>
      <c r="S21" s="353"/>
      <c r="T21" s="353"/>
      <c r="U21" s="353"/>
      <c r="V21" s="351"/>
      <c r="W21" s="353"/>
      <c r="X21" s="353"/>
      <c r="Y21" s="353"/>
      <c r="Z21" s="353"/>
      <c r="AA21" s="353"/>
      <c r="AB21" s="351"/>
      <c r="AC21" s="353"/>
      <c r="AD21" s="353"/>
      <c r="AE21" s="353"/>
      <c r="AF21" s="353"/>
      <c r="AG21" s="353"/>
      <c r="AH21" s="351"/>
      <c r="AI21" s="353"/>
      <c r="AJ21" s="353"/>
      <c r="AK21" s="353"/>
      <c r="AL21" s="353"/>
      <c r="AM21" s="353"/>
      <c r="AN21" s="351"/>
      <c r="AO21" s="353"/>
      <c r="AP21" s="353"/>
      <c r="AQ21" s="353"/>
      <c r="AR21" s="353"/>
      <c r="AS21" s="353"/>
      <c r="AT21" s="351"/>
      <c r="AU21" s="353"/>
      <c r="AV21" s="353"/>
      <c r="AW21" s="353"/>
      <c r="AX21" s="353"/>
      <c r="AY21" s="494"/>
      <c r="AZ21" s="495"/>
      <c r="BA21" s="353"/>
      <c r="BB21" s="353"/>
      <c r="BC21" s="353"/>
      <c r="BD21" s="353"/>
      <c r="BE21" s="494"/>
      <c r="BF21" s="351"/>
      <c r="BG21" s="353"/>
      <c r="BH21" s="353"/>
      <c r="BI21" s="353"/>
      <c r="BJ21" s="353"/>
      <c r="BK21" s="493"/>
      <c r="BL21" s="351"/>
      <c r="BM21" s="353"/>
      <c r="BN21" s="353"/>
      <c r="BO21" s="353"/>
      <c r="BP21" s="353"/>
      <c r="BQ21" s="493"/>
      <c r="BR21" s="351"/>
      <c r="BS21" s="353"/>
      <c r="BT21" s="353"/>
      <c r="BU21" s="353"/>
      <c r="BV21" s="353"/>
      <c r="BW21" s="493"/>
      <c r="BX21" s="213"/>
      <c r="BY21" s="213"/>
      <c r="BZ21" s="213"/>
      <c r="CA21" s="213"/>
      <c r="CB21" s="213"/>
      <c r="CC21" s="213"/>
      <c r="CD21" s="213"/>
      <c r="CE21" s="213"/>
      <c r="CF21" s="213"/>
      <c r="CG21" s="213"/>
      <c r="CH21" s="213"/>
      <c r="CI21" s="213"/>
      <c r="CJ21" s="213"/>
      <c r="CK21" s="213"/>
      <c r="CL21" s="213"/>
      <c r="CM21" s="213"/>
      <c r="CN21" s="213"/>
      <c r="CO21" s="213"/>
      <c r="CP21" s="213"/>
      <c r="CQ21" s="213"/>
    </row>
    <row r="22" ht="15.75" customHeight="1">
      <c r="A22" s="213"/>
      <c r="B22" s="492"/>
      <c r="C22" s="492" t="s">
        <v>300</v>
      </c>
      <c r="D22" s="351">
        <f>SUM(D20:D21)</f>
        <v>0</v>
      </c>
      <c r="E22" s="353"/>
      <c r="F22" s="353"/>
      <c r="G22" s="353"/>
      <c r="H22" s="353">
        <f>SUM(H20:H21)</f>
        <v>0</v>
      </c>
      <c r="I22" s="493"/>
      <c r="J22" s="351">
        <f>SUM(J20:J21)</f>
        <v>0</v>
      </c>
      <c r="K22" s="353"/>
      <c r="L22" s="353"/>
      <c r="M22" s="353"/>
      <c r="N22" s="353"/>
      <c r="O22" s="353">
        <f t="shared" ref="O22:P22" si="12">SUM(O20:O21)</f>
        <v>0</v>
      </c>
      <c r="P22" s="351">
        <f t="shared" si="12"/>
        <v>0</v>
      </c>
      <c r="Q22" s="353"/>
      <c r="R22" s="353"/>
      <c r="S22" s="353"/>
      <c r="T22" s="353"/>
      <c r="U22" s="353">
        <f t="shared" ref="U22:V22" si="13">SUM(U20:U21)</f>
        <v>0</v>
      </c>
      <c r="V22" s="351">
        <f t="shared" si="13"/>
        <v>0</v>
      </c>
      <c r="W22" s="353"/>
      <c r="X22" s="353"/>
      <c r="Y22" s="353"/>
      <c r="Z22" s="353"/>
      <c r="AA22" s="353">
        <f t="shared" ref="AA22:AB22" si="14">SUM(AA20:AA21)</f>
        <v>0</v>
      </c>
      <c r="AB22" s="351">
        <f t="shared" si="14"/>
        <v>0</v>
      </c>
      <c r="AC22" s="353"/>
      <c r="AD22" s="353">
        <f>SUM(AD20:AD21)</f>
        <v>0</v>
      </c>
      <c r="AE22" s="353"/>
      <c r="AF22" s="353"/>
      <c r="AG22" s="353"/>
      <c r="AH22" s="351">
        <f>SUM(AH20:AH21)</f>
        <v>0</v>
      </c>
      <c r="AI22" s="353"/>
      <c r="AJ22" s="353">
        <f>SUM(AJ20:AJ21)</f>
        <v>0</v>
      </c>
      <c r="AK22" s="353"/>
      <c r="AL22" s="353"/>
      <c r="AM22" s="353"/>
      <c r="AN22" s="351">
        <f>SUM(AN20:AN21)</f>
        <v>0</v>
      </c>
      <c r="AO22" s="353"/>
      <c r="AP22" s="353">
        <f>SUM(AP20:AP21)</f>
        <v>0</v>
      </c>
      <c r="AQ22" s="353"/>
      <c r="AR22" s="353">
        <f>SUM(AR20:AR21)</f>
        <v>0</v>
      </c>
      <c r="AS22" s="353"/>
      <c r="AT22" s="351">
        <f>SUM(AT20:AT21)</f>
        <v>0</v>
      </c>
      <c r="AU22" s="353"/>
      <c r="AV22" s="353">
        <f>SUM(AV20:AV21)</f>
        <v>0</v>
      </c>
      <c r="AW22" s="353"/>
      <c r="AX22" s="353">
        <f>SUM(AX20:AX21)</f>
        <v>0</v>
      </c>
      <c r="AY22" s="494"/>
      <c r="AZ22" s="495">
        <f>SUM(AZ20:AZ21)</f>
        <v>0</v>
      </c>
      <c r="BA22" s="353"/>
      <c r="BB22" s="353">
        <f>SUM(BB20:BB21)</f>
        <v>0</v>
      </c>
      <c r="BC22" s="353"/>
      <c r="BD22" s="353">
        <f>SUM(BD20:BD21)</f>
        <v>0</v>
      </c>
      <c r="BE22" s="494"/>
      <c r="BF22" s="351">
        <f>SUM(BF20:BF21)</f>
        <v>0</v>
      </c>
      <c r="BG22" s="353"/>
      <c r="BH22" s="353">
        <f>SUM(BH20:BH21)</f>
        <v>0</v>
      </c>
      <c r="BI22" s="353"/>
      <c r="BJ22" s="353">
        <f>SUM(BJ20:BJ21)</f>
        <v>0</v>
      </c>
      <c r="BK22" s="493"/>
      <c r="BL22" s="351">
        <f>SUM(BL20:BL21)</f>
        <v>0</v>
      </c>
      <c r="BM22" s="353"/>
      <c r="BN22" s="353">
        <f>SUM(BN20:BN21)</f>
        <v>0</v>
      </c>
      <c r="BO22" s="353"/>
      <c r="BP22" s="353">
        <f>SUM(BP20:BP21)</f>
        <v>0</v>
      </c>
      <c r="BQ22" s="493"/>
      <c r="BR22" s="351">
        <f>SUM(BR20:BR21)</f>
        <v>0</v>
      </c>
      <c r="BS22" s="353"/>
      <c r="BT22" s="353">
        <f>SUM(BT20:BT21)</f>
        <v>0</v>
      </c>
      <c r="BU22" s="353"/>
      <c r="BV22" s="353">
        <f>SUM(BV20:BV21)</f>
        <v>0</v>
      </c>
      <c r="BW22" s="493"/>
      <c r="BX22" s="216"/>
      <c r="BY22" s="216"/>
      <c r="BZ22" s="216"/>
      <c r="CA22" s="216"/>
      <c r="CB22" s="216"/>
      <c r="CC22" s="216"/>
      <c r="CD22" s="216"/>
      <c r="CE22" s="216"/>
      <c r="CF22" s="216"/>
      <c r="CG22" s="216"/>
      <c r="CH22" s="216"/>
      <c r="CI22" s="216"/>
      <c r="CJ22" s="216"/>
      <c r="CK22" s="216"/>
      <c r="CL22" s="216"/>
      <c r="CM22" s="216"/>
      <c r="CN22" s="216"/>
      <c r="CO22" s="216"/>
      <c r="CP22" s="216"/>
      <c r="CQ22" s="216"/>
    </row>
    <row r="23" ht="15.75" customHeight="1">
      <c r="A23" s="213"/>
      <c r="B23" s="496"/>
      <c r="C23" s="496"/>
      <c r="D23" s="349"/>
      <c r="E23" s="352"/>
      <c r="F23" s="352"/>
      <c r="G23" s="352"/>
      <c r="H23" s="352"/>
      <c r="I23" s="358"/>
      <c r="J23" s="349"/>
      <c r="K23" s="352"/>
      <c r="L23" s="352"/>
      <c r="M23" s="352"/>
      <c r="N23" s="352"/>
      <c r="O23" s="352"/>
      <c r="P23" s="349"/>
      <c r="Q23" s="352"/>
      <c r="R23" s="352"/>
      <c r="S23" s="352"/>
      <c r="T23" s="352"/>
      <c r="U23" s="352"/>
      <c r="V23" s="349"/>
      <c r="W23" s="352"/>
      <c r="X23" s="352"/>
      <c r="Y23" s="352"/>
      <c r="Z23" s="352"/>
      <c r="AA23" s="352"/>
      <c r="AB23" s="349"/>
      <c r="AC23" s="352"/>
      <c r="AD23" s="352"/>
      <c r="AE23" s="352"/>
      <c r="AF23" s="352"/>
      <c r="AG23" s="352"/>
      <c r="AH23" s="349"/>
      <c r="AI23" s="352"/>
      <c r="AJ23" s="352"/>
      <c r="AK23" s="352"/>
      <c r="AL23" s="352"/>
      <c r="AM23" s="352"/>
      <c r="AN23" s="349"/>
      <c r="AO23" s="352"/>
      <c r="AP23" s="352"/>
      <c r="AQ23" s="352"/>
      <c r="AR23" s="352"/>
      <c r="AS23" s="352"/>
      <c r="AT23" s="349"/>
      <c r="AU23" s="352"/>
      <c r="AV23" s="352"/>
      <c r="AW23" s="352"/>
      <c r="AX23" s="352"/>
      <c r="AY23" s="354"/>
      <c r="AZ23" s="499"/>
      <c r="BA23" s="352"/>
      <c r="BB23" s="352"/>
      <c r="BC23" s="352"/>
      <c r="BD23" s="352"/>
      <c r="BE23" s="354"/>
      <c r="BF23" s="349"/>
      <c r="BG23" s="352"/>
      <c r="BH23" s="352"/>
      <c r="BI23" s="352"/>
      <c r="BJ23" s="352"/>
      <c r="BK23" s="358"/>
      <c r="BL23" s="349"/>
      <c r="BM23" s="352"/>
      <c r="BN23" s="352"/>
      <c r="BO23" s="352"/>
      <c r="BP23" s="352"/>
      <c r="BQ23" s="358"/>
      <c r="BR23" s="349"/>
      <c r="BS23" s="352"/>
      <c r="BT23" s="352"/>
      <c r="BU23" s="352"/>
      <c r="BV23" s="352"/>
      <c r="BW23" s="358"/>
      <c r="BX23" s="213"/>
      <c r="BY23" s="213"/>
      <c r="BZ23" s="213"/>
      <c r="CA23" s="213"/>
      <c r="CB23" s="213"/>
      <c r="CC23" s="213"/>
      <c r="CD23" s="213"/>
      <c r="CE23" s="213"/>
      <c r="CF23" s="213"/>
      <c r="CG23" s="213"/>
      <c r="CH23" s="213"/>
      <c r="CI23" s="213"/>
      <c r="CJ23" s="213"/>
      <c r="CK23" s="213"/>
      <c r="CL23" s="213"/>
      <c r="CM23" s="213"/>
      <c r="CN23" s="213"/>
      <c r="CO23" s="213"/>
      <c r="CP23" s="213"/>
      <c r="CQ23" s="213"/>
    </row>
    <row r="24" ht="15.75" customHeight="1">
      <c r="A24" s="213"/>
      <c r="B24" s="500" t="s">
        <v>233</v>
      </c>
      <c r="C24" s="496"/>
      <c r="D24" s="349"/>
      <c r="E24" s="352"/>
      <c r="F24" s="352"/>
      <c r="G24" s="352"/>
      <c r="H24" s="352"/>
      <c r="I24" s="358"/>
      <c r="J24" s="349"/>
      <c r="K24" s="352"/>
      <c r="L24" s="352"/>
      <c r="M24" s="352"/>
      <c r="N24" s="352"/>
      <c r="O24" s="352"/>
      <c r="P24" s="349"/>
      <c r="Q24" s="352"/>
      <c r="R24" s="352"/>
      <c r="S24" s="352"/>
      <c r="T24" s="352"/>
      <c r="U24" s="352"/>
      <c r="V24" s="349"/>
      <c r="W24" s="352"/>
      <c r="X24" s="352"/>
      <c r="Y24" s="352"/>
      <c r="Z24" s="352"/>
      <c r="AA24" s="352"/>
      <c r="AB24" s="349"/>
      <c r="AC24" s="352"/>
      <c r="AD24" s="352"/>
      <c r="AE24" s="352"/>
      <c r="AF24" s="352"/>
      <c r="AG24" s="352"/>
      <c r="AH24" s="349"/>
      <c r="AI24" s="352"/>
      <c r="AJ24" s="352"/>
      <c r="AK24" s="352"/>
      <c r="AL24" s="352"/>
      <c r="AM24" s="352"/>
      <c r="AN24" s="349"/>
      <c r="AO24" s="352"/>
      <c r="AP24" s="352"/>
      <c r="AQ24" s="352"/>
      <c r="AR24" s="352"/>
      <c r="AS24" s="352"/>
      <c r="AT24" s="349"/>
      <c r="AU24" s="352"/>
      <c r="AV24" s="352"/>
      <c r="AW24" s="352"/>
      <c r="AX24" s="352"/>
      <c r="AY24" s="354"/>
      <c r="AZ24" s="499"/>
      <c r="BA24" s="352"/>
      <c r="BB24" s="352"/>
      <c r="BC24" s="352"/>
      <c r="BD24" s="352"/>
      <c r="BE24" s="354"/>
      <c r="BF24" s="349"/>
      <c r="BG24" s="352"/>
      <c r="BH24" s="352"/>
      <c r="BI24" s="352"/>
      <c r="BJ24" s="352"/>
      <c r="BK24" s="358"/>
      <c r="BL24" s="349"/>
      <c r="BM24" s="352"/>
      <c r="BN24" s="352"/>
      <c r="BO24" s="352"/>
      <c r="BP24" s="352"/>
      <c r="BQ24" s="358"/>
      <c r="BR24" s="349"/>
      <c r="BS24" s="352"/>
      <c r="BT24" s="352"/>
      <c r="BU24" s="352"/>
      <c r="BV24" s="352"/>
      <c r="BW24" s="358"/>
      <c r="BX24" s="213"/>
      <c r="BY24" s="213"/>
      <c r="BZ24" s="213"/>
      <c r="CA24" s="213"/>
      <c r="CB24" s="213"/>
      <c r="CC24" s="213"/>
      <c r="CD24" s="213"/>
      <c r="CE24" s="213"/>
      <c r="CF24" s="213"/>
      <c r="CG24" s="213"/>
      <c r="CH24" s="213"/>
      <c r="CI24" s="213"/>
      <c r="CJ24" s="213"/>
      <c r="CK24" s="213"/>
      <c r="CL24" s="213"/>
      <c r="CM24" s="213"/>
      <c r="CN24" s="213"/>
      <c r="CO24" s="213"/>
      <c r="CP24" s="213"/>
      <c r="CQ24" s="213"/>
    </row>
    <row r="25" ht="15.75" customHeight="1">
      <c r="A25" s="213"/>
      <c r="B25" s="496" t="s">
        <v>29</v>
      </c>
      <c r="C25" s="496"/>
      <c r="D25" s="349"/>
      <c r="E25" s="352"/>
      <c r="F25" s="352"/>
      <c r="G25" s="352"/>
      <c r="H25" s="352"/>
      <c r="I25" s="358"/>
      <c r="J25" s="349"/>
      <c r="K25" s="352"/>
      <c r="L25" s="352"/>
      <c r="M25" s="352"/>
      <c r="N25" s="352"/>
      <c r="O25" s="352"/>
      <c r="P25" s="349"/>
      <c r="Q25" s="352"/>
      <c r="R25" s="352"/>
      <c r="S25" s="352"/>
      <c r="T25" s="352"/>
      <c r="U25" s="352"/>
      <c r="V25" s="349"/>
      <c r="W25" s="352"/>
      <c r="X25" s="352"/>
      <c r="Y25" s="352"/>
      <c r="Z25" s="352"/>
      <c r="AA25" s="352"/>
      <c r="AB25" s="349"/>
      <c r="AC25" s="352"/>
      <c r="AD25" s="352"/>
      <c r="AE25" s="352"/>
      <c r="AF25" s="352"/>
      <c r="AG25" s="352"/>
      <c r="AH25" s="349"/>
      <c r="AI25" s="352"/>
      <c r="AJ25" s="352"/>
      <c r="AK25" s="352"/>
      <c r="AL25" s="352"/>
      <c r="AM25" s="352"/>
      <c r="AN25" s="349"/>
      <c r="AO25" s="352"/>
      <c r="AP25" s="352"/>
      <c r="AQ25" s="352"/>
      <c r="AR25" s="352"/>
      <c r="AS25" s="352"/>
      <c r="AT25" s="349"/>
      <c r="AU25" s="352"/>
      <c r="AV25" s="352"/>
      <c r="AW25" s="352"/>
      <c r="AX25" s="352"/>
      <c r="AY25" s="354"/>
      <c r="AZ25" s="499"/>
      <c r="BA25" s="352"/>
      <c r="BB25" s="352"/>
      <c r="BC25" s="352"/>
      <c r="BD25" s="352"/>
      <c r="BE25" s="354"/>
      <c r="BF25" s="349"/>
      <c r="BG25" s="352"/>
      <c r="BH25" s="352"/>
      <c r="BI25" s="352"/>
      <c r="BJ25" s="352"/>
      <c r="BK25" s="358"/>
      <c r="BL25" s="349"/>
      <c r="BM25" s="352"/>
      <c r="BN25" s="352"/>
      <c r="BO25" s="352"/>
      <c r="BP25" s="352"/>
      <c r="BQ25" s="358"/>
      <c r="BR25" s="349"/>
      <c r="BS25" s="352"/>
      <c r="BT25" s="352"/>
      <c r="BU25" s="352"/>
      <c r="BV25" s="352"/>
      <c r="BW25" s="358"/>
      <c r="BX25" s="213"/>
      <c r="BY25" s="213"/>
      <c r="BZ25" s="213"/>
      <c r="CA25" s="213"/>
      <c r="CB25" s="213"/>
      <c r="CC25" s="213"/>
      <c r="CD25" s="213"/>
      <c r="CE25" s="213"/>
      <c r="CF25" s="213"/>
      <c r="CG25" s="213"/>
      <c r="CH25" s="213"/>
      <c r="CI25" s="213"/>
      <c r="CJ25" s="213"/>
      <c r="CK25" s="213"/>
      <c r="CL25" s="213"/>
      <c r="CM25" s="213"/>
      <c r="CN25" s="213"/>
      <c r="CO25" s="213"/>
      <c r="CP25" s="213"/>
      <c r="CQ25" s="213"/>
    </row>
    <row r="26" ht="15.75" customHeight="1">
      <c r="A26" s="213"/>
      <c r="B26" s="492"/>
      <c r="C26" s="501" t="s">
        <v>234</v>
      </c>
      <c r="D26" s="349"/>
      <c r="E26" s="352"/>
      <c r="F26" s="352"/>
      <c r="G26" s="352"/>
      <c r="H26" s="352"/>
      <c r="I26" s="358"/>
      <c r="J26" s="349"/>
      <c r="K26" s="352"/>
      <c r="L26" s="352"/>
      <c r="M26" s="352"/>
      <c r="N26" s="352"/>
      <c r="O26" s="352"/>
      <c r="P26" s="349"/>
      <c r="Q26" s="352"/>
      <c r="R26" s="352"/>
      <c r="S26" s="352"/>
      <c r="T26" s="352"/>
      <c r="U26" s="352"/>
      <c r="V26" s="349"/>
      <c r="W26" s="352"/>
      <c r="X26" s="352"/>
      <c r="Y26" s="352"/>
      <c r="Z26" s="352"/>
      <c r="AA26" s="352"/>
      <c r="AB26" s="349"/>
      <c r="AC26" s="352"/>
      <c r="AD26" s="352"/>
      <c r="AE26" s="352"/>
      <c r="AF26" s="352"/>
      <c r="AG26" s="352"/>
      <c r="AH26" s="349"/>
      <c r="AI26" s="352"/>
      <c r="AJ26" s="352"/>
      <c r="AK26" s="352"/>
      <c r="AL26" s="352"/>
      <c r="AM26" s="352"/>
      <c r="AN26" s="349"/>
      <c r="AO26" s="352"/>
      <c r="AP26" s="352"/>
      <c r="AQ26" s="352"/>
      <c r="AR26" s="352"/>
      <c r="AS26" s="352"/>
      <c r="AT26" s="349"/>
      <c r="AU26" s="352"/>
      <c r="AV26" s="352"/>
      <c r="AW26" s="352"/>
      <c r="AX26" s="352"/>
      <c r="AY26" s="354"/>
      <c r="AZ26" s="499"/>
      <c r="BA26" s="352"/>
      <c r="BB26" s="352"/>
      <c r="BC26" s="352"/>
      <c r="BD26" s="352"/>
      <c r="BE26" s="354"/>
      <c r="BF26" s="349"/>
      <c r="BG26" s="352"/>
      <c r="BH26" s="352"/>
      <c r="BI26" s="352"/>
      <c r="BJ26" s="352"/>
      <c r="BK26" s="358"/>
      <c r="BL26" s="349"/>
      <c r="BM26" s="352"/>
      <c r="BN26" s="352"/>
      <c r="BO26" s="352"/>
      <c r="BP26" s="352"/>
      <c r="BQ26" s="358"/>
      <c r="BR26" s="349"/>
      <c r="BS26" s="352"/>
      <c r="BT26" s="352"/>
      <c r="BU26" s="352"/>
      <c r="BV26" s="352"/>
      <c r="BW26" s="358"/>
      <c r="BX26" s="213"/>
      <c r="BY26" s="213"/>
      <c r="BZ26" s="213"/>
      <c r="CA26" s="213"/>
      <c r="CB26" s="213"/>
      <c r="CC26" s="213"/>
      <c r="CD26" s="213"/>
      <c r="CE26" s="213"/>
      <c r="CF26" s="213"/>
      <c r="CG26" s="213"/>
      <c r="CH26" s="213"/>
      <c r="CI26" s="213"/>
      <c r="CJ26" s="213"/>
      <c r="CK26" s="213"/>
      <c r="CL26" s="213"/>
      <c r="CM26" s="213"/>
      <c r="CN26" s="213"/>
      <c r="CO26" s="213"/>
      <c r="CP26" s="213"/>
      <c r="CQ26" s="213"/>
    </row>
    <row r="27" ht="15.75" customHeight="1">
      <c r="A27" s="213"/>
      <c r="B27" s="492"/>
      <c r="C27" s="492" t="s">
        <v>235</v>
      </c>
      <c r="D27" s="351"/>
      <c r="E27" s="353"/>
      <c r="F27" s="353"/>
      <c r="G27" s="353"/>
      <c r="H27" s="353"/>
      <c r="I27" s="493"/>
      <c r="J27" s="351"/>
      <c r="K27" s="353"/>
      <c r="L27" s="353"/>
      <c r="M27" s="353"/>
      <c r="N27" s="353"/>
      <c r="O27" s="353"/>
      <c r="P27" s="351"/>
      <c r="Q27" s="353"/>
      <c r="R27" s="353"/>
      <c r="S27" s="353"/>
      <c r="T27" s="353"/>
      <c r="U27" s="353"/>
      <c r="V27" s="351"/>
      <c r="W27" s="353"/>
      <c r="X27" s="353"/>
      <c r="Y27" s="353"/>
      <c r="Z27" s="353"/>
      <c r="AA27" s="353"/>
      <c r="AB27" s="351"/>
      <c r="AC27" s="353"/>
      <c r="AD27" s="353"/>
      <c r="AE27" s="353"/>
      <c r="AF27" s="353"/>
      <c r="AG27" s="353"/>
      <c r="AH27" s="351"/>
      <c r="AI27" s="353"/>
      <c r="AJ27" s="353"/>
      <c r="AK27" s="353"/>
      <c r="AL27" s="353"/>
      <c r="AM27" s="353"/>
      <c r="AN27" s="351"/>
      <c r="AO27" s="353"/>
      <c r="AP27" s="353"/>
      <c r="AQ27" s="353"/>
      <c r="AR27" s="353"/>
      <c r="AS27" s="353"/>
      <c r="AT27" s="351"/>
      <c r="AU27" s="353"/>
      <c r="AV27" s="353"/>
      <c r="AW27" s="353"/>
      <c r="AX27" s="353"/>
      <c r="AY27" s="494"/>
      <c r="AZ27" s="495"/>
      <c r="BA27" s="353"/>
      <c r="BB27" s="353"/>
      <c r="BC27" s="353"/>
      <c r="BD27" s="353"/>
      <c r="BE27" s="494"/>
      <c r="BF27" s="351"/>
      <c r="BG27" s="353"/>
      <c r="BH27" s="353"/>
      <c r="BI27" s="353"/>
      <c r="BJ27" s="353"/>
      <c r="BK27" s="493"/>
      <c r="BL27" s="351"/>
      <c r="BM27" s="353"/>
      <c r="BN27" s="353"/>
      <c r="BO27" s="353"/>
      <c r="BP27" s="353"/>
      <c r="BQ27" s="493"/>
      <c r="BR27" s="351"/>
      <c r="BS27" s="353"/>
      <c r="BT27" s="353"/>
      <c r="BU27" s="353"/>
      <c r="BV27" s="353"/>
      <c r="BW27" s="358"/>
      <c r="BX27" s="213"/>
      <c r="BY27" s="213"/>
      <c r="BZ27" s="213"/>
      <c r="CA27" s="213"/>
      <c r="CB27" s="213"/>
      <c r="CC27" s="213"/>
      <c r="CD27" s="213"/>
      <c r="CE27" s="213"/>
      <c r="CF27" s="213"/>
      <c r="CG27" s="213"/>
      <c r="CH27" s="213"/>
      <c r="CI27" s="213"/>
      <c r="CJ27" s="213"/>
      <c r="CK27" s="213"/>
      <c r="CL27" s="213"/>
      <c r="CM27" s="213"/>
      <c r="CN27" s="213"/>
      <c r="CO27" s="213"/>
      <c r="CP27" s="213"/>
      <c r="CQ27" s="213"/>
    </row>
    <row r="28" ht="15.75" customHeight="1">
      <c r="A28" s="213"/>
      <c r="B28" s="492"/>
      <c r="C28" s="492" t="s">
        <v>301</v>
      </c>
      <c r="D28" s="351"/>
      <c r="E28" s="353"/>
      <c r="F28" s="353"/>
      <c r="G28" s="353"/>
      <c r="H28" s="353"/>
      <c r="I28" s="493"/>
      <c r="J28" s="351"/>
      <c r="K28" s="353"/>
      <c r="L28" s="353"/>
      <c r="M28" s="353"/>
      <c r="N28" s="353"/>
      <c r="O28" s="353"/>
      <c r="P28" s="351"/>
      <c r="Q28" s="353"/>
      <c r="R28" s="353"/>
      <c r="S28" s="353"/>
      <c r="T28" s="353"/>
      <c r="U28" s="353"/>
      <c r="V28" s="351"/>
      <c r="W28" s="353"/>
      <c r="X28" s="353"/>
      <c r="Y28" s="353"/>
      <c r="Z28" s="353"/>
      <c r="AA28" s="353"/>
      <c r="AB28" s="351"/>
      <c r="AC28" s="353"/>
      <c r="AD28" s="353"/>
      <c r="AE28" s="353"/>
      <c r="AF28" s="353"/>
      <c r="AG28" s="353"/>
      <c r="AH28" s="351"/>
      <c r="AI28" s="353"/>
      <c r="AJ28" s="353"/>
      <c r="AK28" s="353"/>
      <c r="AL28" s="353"/>
      <c r="AM28" s="353"/>
      <c r="AN28" s="351"/>
      <c r="AO28" s="353"/>
      <c r="AP28" s="353"/>
      <c r="AQ28" s="353"/>
      <c r="AR28" s="353"/>
      <c r="AS28" s="353"/>
      <c r="AT28" s="351"/>
      <c r="AU28" s="353"/>
      <c r="AV28" s="353"/>
      <c r="AW28" s="353"/>
      <c r="AX28" s="353"/>
      <c r="AY28" s="494"/>
      <c r="AZ28" s="495"/>
      <c r="BA28" s="353"/>
      <c r="BB28" s="353"/>
      <c r="BC28" s="353"/>
      <c r="BD28" s="353"/>
      <c r="BE28" s="494"/>
      <c r="BF28" s="351"/>
      <c r="BG28" s="353"/>
      <c r="BH28" s="353"/>
      <c r="BI28" s="353"/>
      <c r="BJ28" s="353"/>
      <c r="BK28" s="493"/>
      <c r="BL28" s="351"/>
      <c r="BM28" s="353"/>
      <c r="BN28" s="353"/>
      <c r="BO28" s="353"/>
      <c r="BP28" s="353"/>
      <c r="BQ28" s="493"/>
      <c r="BR28" s="351"/>
      <c r="BS28" s="353"/>
      <c r="BT28" s="353"/>
      <c r="BU28" s="353"/>
      <c r="BV28" s="353"/>
      <c r="BW28" s="358"/>
      <c r="BX28" s="213"/>
      <c r="BY28" s="213"/>
      <c r="BZ28" s="213"/>
      <c r="CA28" s="213"/>
      <c r="CB28" s="213"/>
      <c r="CC28" s="213"/>
      <c r="CD28" s="213"/>
      <c r="CE28" s="213"/>
      <c r="CF28" s="213"/>
      <c r="CG28" s="213"/>
      <c r="CH28" s="213"/>
      <c r="CI28" s="213"/>
      <c r="CJ28" s="213"/>
      <c r="CK28" s="213"/>
      <c r="CL28" s="213"/>
      <c r="CM28" s="213"/>
      <c r="CN28" s="213"/>
      <c r="CO28" s="213"/>
      <c r="CP28" s="213"/>
      <c r="CQ28" s="213"/>
    </row>
    <row r="29" ht="15.75" customHeight="1">
      <c r="A29" s="213"/>
      <c r="B29" s="492"/>
      <c r="C29" s="492" t="s">
        <v>22</v>
      </c>
      <c r="D29" s="351"/>
      <c r="E29" s="353"/>
      <c r="F29" s="353"/>
      <c r="G29" s="353"/>
      <c r="H29" s="353"/>
      <c r="I29" s="493"/>
      <c r="J29" s="351"/>
      <c r="K29" s="353"/>
      <c r="L29" s="353"/>
      <c r="M29" s="353"/>
      <c r="N29" s="353"/>
      <c r="O29" s="353"/>
      <c r="P29" s="351"/>
      <c r="Q29" s="353"/>
      <c r="R29" s="353"/>
      <c r="S29" s="353"/>
      <c r="T29" s="353"/>
      <c r="U29" s="353"/>
      <c r="V29" s="351"/>
      <c r="W29" s="353"/>
      <c r="X29" s="353"/>
      <c r="Y29" s="353"/>
      <c r="Z29" s="353"/>
      <c r="AA29" s="353"/>
      <c r="AB29" s="351"/>
      <c r="AC29" s="353"/>
      <c r="AD29" s="353"/>
      <c r="AE29" s="353"/>
      <c r="AF29" s="353"/>
      <c r="AG29" s="353"/>
      <c r="AH29" s="351"/>
      <c r="AI29" s="353"/>
      <c r="AJ29" s="353"/>
      <c r="AK29" s="353"/>
      <c r="AL29" s="353"/>
      <c r="AM29" s="353"/>
      <c r="AN29" s="351"/>
      <c r="AO29" s="353"/>
      <c r="AP29" s="353"/>
      <c r="AQ29" s="353"/>
      <c r="AR29" s="353"/>
      <c r="AS29" s="353"/>
      <c r="AT29" s="351"/>
      <c r="AU29" s="353"/>
      <c r="AV29" s="353"/>
      <c r="AW29" s="353"/>
      <c r="AX29" s="353"/>
      <c r="AY29" s="494"/>
      <c r="AZ29" s="495"/>
      <c r="BA29" s="353"/>
      <c r="BB29" s="353"/>
      <c r="BC29" s="353"/>
      <c r="BD29" s="353"/>
      <c r="BE29" s="494"/>
      <c r="BF29" s="351"/>
      <c r="BG29" s="353"/>
      <c r="BH29" s="353"/>
      <c r="BI29" s="353"/>
      <c r="BJ29" s="353"/>
      <c r="BK29" s="493"/>
      <c r="BL29" s="351"/>
      <c r="BM29" s="353"/>
      <c r="BN29" s="353"/>
      <c r="BO29" s="353"/>
      <c r="BP29" s="353"/>
      <c r="BQ29" s="493"/>
      <c r="BR29" s="351"/>
      <c r="BS29" s="353"/>
      <c r="BT29" s="353"/>
      <c r="BU29" s="353"/>
      <c r="BV29" s="353"/>
      <c r="BW29" s="358"/>
      <c r="BX29" s="213"/>
      <c r="BY29" s="213"/>
      <c r="BZ29" s="213"/>
      <c r="CA29" s="213"/>
      <c r="CB29" s="213"/>
      <c r="CC29" s="213"/>
      <c r="CD29" s="213"/>
      <c r="CE29" s="213"/>
      <c r="CF29" s="213"/>
      <c r="CG29" s="213"/>
      <c r="CH29" s="213"/>
      <c r="CI29" s="213"/>
      <c r="CJ29" s="213"/>
      <c r="CK29" s="213"/>
      <c r="CL29" s="213"/>
      <c r="CM29" s="213"/>
      <c r="CN29" s="213"/>
      <c r="CO29" s="213"/>
      <c r="CP29" s="213"/>
      <c r="CQ29" s="213"/>
    </row>
    <row r="30" ht="15.75" customHeight="1">
      <c r="A30" s="213"/>
      <c r="B30" s="492"/>
      <c r="C30" s="492" t="s">
        <v>23</v>
      </c>
      <c r="D30" s="351"/>
      <c r="E30" s="353"/>
      <c r="F30" s="353"/>
      <c r="G30" s="353"/>
      <c r="H30" s="353"/>
      <c r="I30" s="493"/>
      <c r="J30" s="351"/>
      <c r="K30" s="353"/>
      <c r="L30" s="353"/>
      <c r="M30" s="353"/>
      <c r="N30" s="353"/>
      <c r="O30" s="353"/>
      <c r="P30" s="351"/>
      <c r="Q30" s="353"/>
      <c r="R30" s="353"/>
      <c r="S30" s="353"/>
      <c r="T30" s="353"/>
      <c r="U30" s="353"/>
      <c r="V30" s="351"/>
      <c r="W30" s="353"/>
      <c r="X30" s="353"/>
      <c r="Y30" s="353"/>
      <c r="Z30" s="353"/>
      <c r="AA30" s="353"/>
      <c r="AB30" s="351"/>
      <c r="AC30" s="353"/>
      <c r="AD30" s="353"/>
      <c r="AE30" s="353"/>
      <c r="AF30" s="353"/>
      <c r="AG30" s="353"/>
      <c r="AH30" s="351"/>
      <c r="AI30" s="353"/>
      <c r="AJ30" s="353"/>
      <c r="AK30" s="353"/>
      <c r="AL30" s="353"/>
      <c r="AM30" s="353"/>
      <c r="AN30" s="351"/>
      <c r="AO30" s="353"/>
      <c r="AP30" s="353"/>
      <c r="AQ30" s="353"/>
      <c r="AR30" s="353"/>
      <c r="AS30" s="353"/>
      <c r="AT30" s="351"/>
      <c r="AU30" s="353"/>
      <c r="AV30" s="353"/>
      <c r="AW30" s="353"/>
      <c r="AX30" s="353"/>
      <c r="AY30" s="494"/>
      <c r="AZ30" s="495"/>
      <c r="BA30" s="353"/>
      <c r="BB30" s="353"/>
      <c r="BC30" s="353"/>
      <c r="BD30" s="353"/>
      <c r="BE30" s="494"/>
      <c r="BF30" s="351"/>
      <c r="BG30" s="353"/>
      <c r="BH30" s="353"/>
      <c r="BI30" s="353"/>
      <c r="BJ30" s="353"/>
      <c r="BK30" s="493"/>
      <c r="BL30" s="351"/>
      <c r="BM30" s="353"/>
      <c r="BN30" s="353"/>
      <c r="BO30" s="353"/>
      <c r="BP30" s="353"/>
      <c r="BQ30" s="493"/>
      <c r="BR30" s="351"/>
      <c r="BS30" s="353"/>
      <c r="BT30" s="353"/>
      <c r="BU30" s="353"/>
      <c r="BV30" s="353"/>
      <c r="BW30" s="358"/>
      <c r="BX30" s="213"/>
      <c r="BY30" s="213"/>
      <c r="BZ30" s="213"/>
      <c r="CA30" s="213"/>
      <c r="CB30" s="213"/>
      <c r="CC30" s="213"/>
      <c r="CD30" s="213"/>
      <c r="CE30" s="213"/>
      <c r="CF30" s="213"/>
      <c r="CG30" s="213"/>
      <c r="CH30" s="213"/>
      <c r="CI30" s="213"/>
      <c r="CJ30" s="213"/>
      <c r="CK30" s="213"/>
      <c r="CL30" s="213"/>
      <c r="CM30" s="213"/>
      <c r="CN30" s="213"/>
      <c r="CO30" s="213"/>
      <c r="CP30" s="213"/>
      <c r="CQ30" s="213"/>
    </row>
    <row r="31" ht="15.75" customHeight="1">
      <c r="A31" s="213"/>
      <c r="B31" s="492"/>
      <c r="C31" s="492" t="s">
        <v>302</v>
      </c>
      <c r="D31" s="351"/>
      <c r="E31" s="353"/>
      <c r="F31" s="353"/>
      <c r="G31" s="353"/>
      <c r="H31" s="353"/>
      <c r="I31" s="493"/>
      <c r="J31" s="351"/>
      <c r="K31" s="353"/>
      <c r="L31" s="353"/>
      <c r="M31" s="353"/>
      <c r="N31" s="353"/>
      <c r="O31" s="353"/>
      <c r="P31" s="351"/>
      <c r="Q31" s="353"/>
      <c r="R31" s="353"/>
      <c r="S31" s="353"/>
      <c r="T31" s="353"/>
      <c r="U31" s="353"/>
      <c r="V31" s="351"/>
      <c r="W31" s="353"/>
      <c r="X31" s="353"/>
      <c r="Y31" s="353"/>
      <c r="Z31" s="353"/>
      <c r="AA31" s="353"/>
      <c r="AB31" s="351">
        <f>1385728+82882</f>
        <v>1468610</v>
      </c>
      <c r="AC31" s="353"/>
      <c r="AD31" s="353"/>
      <c r="AE31" s="353"/>
      <c r="AF31" s="353"/>
      <c r="AG31" s="353"/>
      <c r="AH31" s="351"/>
      <c r="AI31" s="353"/>
      <c r="AJ31" s="353"/>
      <c r="AK31" s="353"/>
      <c r="AL31" s="353"/>
      <c r="AM31" s="353"/>
      <c r="AN31" s="351"/>
      <c r="AO31" s="353"/>
      <c r="AP31" s="353"/>
      <c r="AQ31" s="353"/>
      <c r="AR31" s="353"/>
      <c r="AS31" s="353"/>
      <c r="AT31" s="351"/>
      <c r="AU31" s="353"/>
      <c r="AV31" s="353"/>
      <c r="AW31" s="353"/>
      <c r="AX31" s="353"/>
      <c r="AY31" s="494"/>
      <c r="AZ31" s="495"/>
      <c r="BA31" s="353"/>
      <c r="BB31" s="353"/>
      <c r="BC31" s="353"/>
      <c r="BD31" s="353"/>
      <c r="BE31" s="494"/>
      <c r="BF31" s="351"/>
      <c r="BG31" s="353"/>
      <c r="BH31" s="353"/>
      <c r="BI31" s="353"/>
      <c r="BJ31" s="353"/>
      <c r="BK31" s="493"/>
      <c r="BL31" s="351"/>
      <c r="BM31" s="353"/>
      <c r="BN31" s="353"/>
      <c r="BO31" s="353"/>
      <c r="BP31" s="353"/>
      <c r="BQ31" s="493"/>
      <c r="BR31" s="351"/>
      <c r="BS31" s="353"/>
      <c r="BT31" s="353"/>
      <c r="BU31" s="353"/>
      <c r="BV31" s="353"/>
      <c r="BW31" s="358"/>
      <c r="BX31" s="213"/>
      <c r="BY31" s="213"/>
      <c r="BZ31" s="213"/>
      <c r="CA31" s="213"/>
      <c r="CB31" s="213"/>
      <c r="CC31" s="213"/>
      <c r="CD31" s="213"/>
      <c r="CE31" s="213"/>
      <c r="CF31" s="213"/>
      <c r="CG31" s="213"/>
      <c r="CH31" s="213"/>
      <c r="CI31" s="213"/>
      <c r="CJ31" s="213"/>
      <c r="CK31" s="213"/>
      <c r="CL31" s="213"/>
      <c r="CM31" s="213"/>
      <c r="CN31" s="213"/>
      <c r="CO31" s="213"/>
      <c r="CP31" s="213"/>
      <c r="CQ31" s="213"/>
    </row>
    <row r="32" ht="15.75" customHeight="1">
      <c r="A32" s="213"/>
      <c r="B32" s="492"/>
      <c r="C32" s="492" t="s">
        <v>238</v>
      </c>
      <c r="D32" s="351">
        <f>SUM(D27:D31)</f>
        <v>0</v>
      </c>
      <c r="E32" s="353"/>
      <c r="F32" s="353"/>
      <c r="G32" s="353"/>
      <c r="H32" s="353">
        <f>SUM(H27:H31)</f>
        <v>0</v>
      </c>
      <c r="I32" s="493"/>
      <c r="J32" s="351">
        <f>SUM(J27:J31)</f>
        <v>0</v>
      </c>
      <c r="K32" s="353"/>
      <c r="L32" s="353"/>
      <c r="M32" s="353"/>
      <c r="N32" s="353"/>
      <c r="O32" s="353">
        <f t="shared" ref="O32:P32" si="15">SUM(O27:O31)</f>
        <v>0</v>
      </c>
      <c r="P32" s="351">
        <f t="shared" si="15"/>
        <v>0</v>
      </c>
      <c r="Q32" s="353"/>
      <c r="R32" s="353"/>
      <c r="S32" s="353"/>
      <c r="T32" s="353"/>
      <c r="U32" s="353">
        <f t="shared" ref="U32:V32" si="16">SUM(U27:U31)</f>
        <v>0</v>
      </c>
      <c r="V32" s="351">
        <f t="shared" si="16"/>
        <v>0</v>
      </c>
      <c r="W32" s="353"/>
      <c r="X32" s="353"/>
      <c r="Y32" s="353"/>
      <c r="Z32" s="353"/>
      <c r="AA32" s="353">
        <f t="shared" ref="AA32:AB32" si="17">SUM(AA27:AA31)</f>
        <v>0</v>
      </c>
      <c r="AB32" s="351">
        <f t="shared" si="17"/>
        <v>1468610</v>
      </c>
      <c r="AC32" s="353"/>
      <c r="AD32" s="353">
        <f>SUM(AD27:AD31)</f>
        <v>0</v>
      </c>
      <c r="AE32" s="353"/>
      <c r="AF32" s="353"/>
      <c r="AG32" s="353"/>
      <c r="AH32" s="351">
        <f>SUM(AH27:AH31)</f>
        <v>0</v>
      </c>
      <c r="AI32" s="353"/>
      <c r="AJ32" s="353">
        <f>SUM(AJ27:AJ31)</f>
        <v>0</v>
      </c>
      <c r="AK32" s="353"/>
      <c r="AL32" s="353"/>
      <c r="AM32" s="353"/>
      <c r="AN32" s="351">
        <f>SUM(AN27:AN31)</f>
        <v>0</v>
      </c>
      <c r="AO32" s="353"/>
      <c r="AP32" s="353">
        <f>SUM(AP27:AP31)</f>
        <v>0</v>
      </c>
      <c r="AQ32" s="353"/>
      <c r="AR32" s="353">
        <f>SUM(AR27:AR31)</f>
        <v>0</v>
      </c>
      <c r="AS32" s="353"/>
      <c r="AT32" s="351">
        <f>SUM(AT27:AT31)</f>
        <v>0</v>
      </c>
      <c r="AU32" s="353"/>
      <c r="AV32" s="353">
        <f>SUM(AV27:AV31)</f>
        <v>0</v>
      </c>
      <c r="AW32" s="353"/>
      <c r="AX32" s="353">
        <f>SUM(AX27:AX31)</f>
        <v>0</v>
      </c>
      <c r="AY32" s="494"/>
      <c r="AZ32" s="495">
        <f>SUM(AZ27:AZ31)</f>
        <v>0</v>
      </c>
      <c r="BA32" s="353"/>
      <c r="BB32" s="353">
        <f>SUM(BB27:BB31)</f>
        <v>0</v>
      </c>
      <c r="BC32" s="353"/>
      <c r="BD32" s="353">
        <f>SUM(BD27:BD31)</f>
        <v>0</v>
      </c>
      <c r="BE32" s="494"/>
      <c r="BF32" s="351">
        <f>SUM(BF27:BF31)</f>
        <v>0</v>
      </c>
      <c r="BG32" s="353"/>
      <c r="BH32" s="353">
        <f>SUM(BH27:BH31)</f>
        <v>0</v>
      </c>
      <c r="BI32" s="353"/>
      <c r="BJ32" s="353">
        <f>SUM(BJ27:BJ31)</f>
        <v>0</v>
      </c>
      <c r="BK32" s="493"/>
      <c r="BL32" s="351">
        <f>SUM(BL27:BL31)</f>
        <v>0</v>
      </c>
      <c r="BM32" s="353"/>
      <c r="BN32" s="353">
        <f>SUM(BN27:BN31)</f>
        <v>0</v>
      </c>
      <c r="BO32" s="353"/>
      <c r="BP32" s="353">
        <f>SUM(BP27:BP31)</f>
        <v>0</v>
      </c>
      <c r="BQ32" s="493"/>
      <c r="BR32" s="351">
        <f>SUM(BR27:BR31)</f>
        <v>0</v>
      </c>
      <c r="BS32" s="353"/>
      <c r="BT32" s="353">
        <f>SUM(BT27:BT31)</f>
        <v>0</v>
      </c>
      <c r="BU32" s="353"/>
      <c r="BV32" s="353">
        <f>SUM(BV27:BV31)</f>
        <v>0</v>
      </c>
      <c r="BW32" s="358"/>
      <c r="BX32" s="216"/>
      <c r="BY32" s="216"/>
      <c r="BZ32" s="216"/>
      <c r="CA32" s="216"/>
      <c r="CB32" s="216"/>
      <c r="CC32" s="216"/>
      <c r="CD32" s="216"/>
      <c r="CE32" s="216"/>
      <c r="CF32" s="216"/>
      <c r="CG32" s="216"/>
      <c r="CH32" s="216"/>
      <c r="CI32" s="216"/>
      <c r="CJ32" s="216"/>
      <c r="CK32" s="216"/>
      <c r="CL32" s="216"/>
      <c r="CM32" s="216"/>
      <c r="CN32" s="216"/>
      <c r="CO32" s="216"/>
      <c r="CP32" s="216"/>
      <c r="CQ32" s="216"/>
    </row>
    <row r="33" ht="15.75" customHeight="1">
      <c r="A33" s="213"/>
      <c r="B33" s="502"/>
      <c r="C33" s="502" t="s">
        <v>239</v>
      </c>
      <c r="D33" s="363"/>
      <c r="E33" s="365"/>
      <c r="F33" s="365"/>
      <c r="G33" s="365"/>
      <c r="H33" s="365"/>
      <c r="I33" s="503"/>
      <c r="J33" s="363"/>
      <c r="K33" s="365"/>
      <c r="L33" s="365"/>
      <c r="M33" s="365"/>
      <c r="N33" s="365"/>
      <c r="O33" s="365"/>
      <c r="P33" s="363"/>
      <c r="Q33" s="365"/>
      <c r="R33" s="365"/>
      <c r="S33" s="365"/>
      <c r="T33" s="365"/>
      <c r="U33" s="365"/>
      <c r="V33" s="363"/>
      <c r="W33" s="365"/>
      <c r="X33" s="365"/>
      <c r="Y33" s="365"/>
      <c r="Z33" s="365"/>
      <c r="AA33" s="365"/>
      <c r="AB33" s="363"/>
      <c r="AC33" s="365"/>
      <c r="AD33" s="365"/>
      <c r="AE33" s="365"/>
      <c r="AF33" s="365"/>
      <c r="AG33" s="365"/>
      <c r="AH33" s="363"/>
      <c r="AI33" s="365"/>
      <c r="AJ33" s="365"/>
      <c r="AK33" s="365"/>
      <c r="AL33" s="365"/>
      <c r="AM33" s="365"/>
      <c r="AN33" s="363"/>
      <c r="AO33" s="365"/>
      <c r="AP33" s="365"/>
      <c r="AQ33" s="365"/>
      <c r="AR33" s="365"/>
      <c r="AS33" s="365"/>
      <c r="AT33" s="363"/>
      <c r="AU33" s="365"/>
      <c r="AV33" s="365"/>
      <c r="AW33" s="365"/>
      <c r="AX33" s="365"/>
      <c r="AY33" s="504"/>
      <c r="AZ33" s="505"/>
      <c r="BA33" s="365"/>
      <c r="BB33" s="365"/>
      <c r="BC33" s="365"/>
      <c r="BD33" s="365"/>
      <c r="BE33" s="504"/>
      <c r="BF33" s="363"/>
      <c r="BG33" s="365"/>
      <c r="BH33" s="365"/>
      <c r="BI33" s="365"/>
      <c r="BJ33" s="365"/>
      <c r="BK33" s="503"/>
      <c r="BL33" s="363"/>
      <c r="BM33" s="365"/>
      <c r="BN33" s="365"/>
      <c r="BO33" s="365"/>
      <c r="BP33" s="365"/>
      <c r="BQ33" s="503"/>
      <c r="BR33" s="506"/>
      <c r="BS33" s="365"/>
      <c r="BT33" s="365"/>
      <c r="BU33" s="365"/>
      <c r="BV33" s="365"/>
      <c r="BW33" s="368"/>
      <c r="BX33" s="213"/>
      <c r="BY33" s="213"/>
      <c r="BZ33" s="213"/>
      <c r="CA33" s="213"/>
      <c r="CB33" s="213"/>
      <c r="CC33" s="213"/>
      <c r="CD33" s="213"/>
      <c r="CE33" s="213"/>
      <c r="CF33" s="213"/>
      <c r="CG33" s="213"/>
      <c r="CH33" s="213"/>
      <c r="CI33" s="213"/>
      <c r="CJ33" s="213"/>
      <c r="CK33" s="213"/>
      <c r="CL33" s="213"/>
      <c r="CM33" s="213"/>
      <c r="CN33" s="213"/>
      <c r="CO33" s="213"/>
      <c r="CP33" s="213"/>
      <c r="CQ33" s="213"/>
    </row>
    <row r="34" ht="15.75" customHeight="1">
      <c r="A34" s="213"/>
      <c r="B34" s="483"/>
      <c r="C34" s="483" t="s">
        <v>240</v>
      </c>
      <c r="D34" s="373">
        <f>D32+D33</f>
        <v>0</v>
      </c>
      <c r="E34" s="375"/>
      <c r="F34" s="375"/>
      <c r="G34" s="375"/>
      <c r="H34" s="375">
        <f>H32+H33</f>
        <v>0</v>
      </c>
      <c r="I34" s="484"/>
      <c r="J34" s="373">
        <f>J32+J33</f>
        <v>0</v>
      </c>
      <c r="K34" s="375"/>
      <c r="L34" s="375"/>
      <c r="M34" s="375"/>
      <c r="N34" s="375"/>
      <c r="O34" s="375">
        <f t="shared" ref="O34:P34" si="18">O32+O33</f>
        <v>0</v>
      </c>
      <c r="P34" s="373">
        <f t="shared" si="18"/>
        <v>0</v>
      </c>
      <c r="Q34" s="375"/>
      <c r="R34" s="375"/>
      <c r="S34" s="375"/>
      <c r="T34" s="375"/>
      <c r="U34" s="375">
        <f t="shared" ref="U34:V34" si="19">U32+U33</f>
        <v>0</v>
      </c>
      <c r="V34" s="373">
        <f t="shared" si="19"/>
        <v>0</v>
      </c>
      <c r="W34" s="375"/>
      <c r="X34" s="375"/>
      <c r="Y34" s="375"/>
      <c r="Z34" s="375"/>
      <c r="AA34" s="375">
        <f t="shared" ref="AA34:AB34" si="20">AA32+AA33</f>
        <v>0</v>
      </c>
      <c r="AB34" s="373">
        <f t="shared" si="20"/>
        <v>1468610</v>
      </c>
      <c r="AC34" s="375"/>
      <c r="AD34" s="375">
        <f>AD32+AD33</f>
        <v>0</v>
      </c>
      <c r="AE34" s="375"/>
      <c r="AF34" s="375"/>
      <c r="AG34" s="375"/>
      <c r="AH34" s="373">
        <f>AH32+AH33</f>
        <v>0</v>
      </c>
      <c r="AI34" s="375"/>
      <c r="AJ34" s="375">
        <f>AJ32+AJ33</f>
        <v>0</v>
      </c>
      <c r="AK34" s="375"/>
      <c r="AL34" s="375"/>
      <c r="AM34" s="375"/>
      <c r="AN34" s="373">
        <f>AN32+AN33</f>
        <v>0</v>
      </c>
      <c r="AO34" s="375"/>
      <c r="AP34" s="375">
        <f>AP32+AP33</f>
        <v>0</v>
      </c>
      <c r="AQ34" s="375"/>
      <c r="AR34" s="375">
        <f>AR32+AR33</f>
        <v>0</v>
      </c>
      <c r="AS34" s="375"/>
      <c r="AT34" s="373">
        <f>AT32+AT33</f>
        <v>0</v>
      </c>
      <c r="AU34" s="375"/>
      <c r="AV34" s="375">
        <f>AV32+AV33</f>
        <v>0</v>
      </c>
      <c r="AW34" s="375"/>
      <c r="AX34" s="375">
        <f>AX32+AX33</f>
        <v>0</v>
      </c>
      <c r="AY34" s="485"/>
      <c r="AZ34" s="486">
        <f>AZ32+AZ33</f>
        <v>0</v>
      </c>
      <c r="BA34" s="375"/>
      <c r="BB34" s="375">
        <f>BB32+BB33</f>
        <v>0</v>
      </c>
      <c r="BC34" s="375"/>
      <c r="BD34" s="375">
        <f>BD32+BD33</f>
        <v>0</v>
      </c>
      <c r="BE34" s="485"/>
      <c r="BF34" s="373">
        <f>BF32+BF33</f>
        <v>0</v>
      </c>
      <c r="BG34" s="375"/>
      <c r="BH34" s="375">
        <f>BH32+BH33</f>
        <v>0</v>
      </c>
      <c r="BI34" s="375"/>
      <c r="BJ34" s="375">
        <f>BJ32+BJ33</f>
        <v>0</v>
      </c>
      <c r="BK34" s="484"/>
      <c r="BL34" s="373">
        <f>BL32+BL33</f>
        <v>0</v>
      </c>
      <c r="BM34" s="375"/>
      <c r="BN34" s="375">
        <f>BN32+BN33</f>
        <v>0</v>
      </c>
      <c r="BO34" s="375"/>
      <c r="BP34" s="375">
        <f>BP32+BP33</f>
        <v>0</v>
      </c>
      <c r="BQ34" s="484"/>
      <c r="BR34" s="373">
        <f>BR32+BR33</f>
        <v>0</v>
      </c>
      <c r="BS34" s="375"/>
      <c r="BT34" s="375">
        <f>BT32+BT33</f>
        <v>0</v>
      </c>
      <c r="BU34" s="375"/>
      <c r="BV34" s="375">
        <f>BV32+BV33</f>
        <v>0</v>
      </c>
      <c r="BW34" s="378"/>
      <c r="BX34" s="216"/>
      <c r="BY34" s="216"/>
      <c r="BZ34" s="216"/>
      <c r="CA34" s="216"/>
      <c r="CB34" s="216"/>
      <c r="CC34" s="216"/>
      <c r="CD34" s="216"/>
      <c r="CE34" s="216"/>
      <c r="CF34" s="216"/>
      <c r="CG34" s="216"/>
      <c r="CH34" s="216"/>
      <c r="CI34" s="216"/>
      <c r="CJ34" s="216"/>
      <c r="CK34" s="216"/>
      <c r="CL34" s="216"/>
      <c r="CM34" s="216"/>
      <c r="CN34" s="216"/>
      <c r="CO34" s="216"/>
      <c r="CP34" s="216"/>
      <c r="CQ34" s="216"/>
    </row>
    <row r="35" ht="15.75" customHeight="1">
      <c r="A35" s="213"/>
      <c r="B35" s="507"/>
      <c r="C35" s="483" t="s">
        <v>33</v>
      </c>
      <c r="D35" s="508">
        <f>D19-D34</f>
        <v>0</v>
      </c>
      <c r="E35" s="509"/>
      <c r="F35" s="509"/>
      <c r="G35" s="509"/>
      <c r="H35" s="509" t="str">
        <f>H19-H34</f>
        <v>#REF!</v>
      </c>
      <c r="I35" s="510"/>
      <c r="J35" s="508">
        <f>J19-J34</f>
        <v>0</v>
      </c>
      <c r="K35" s="509"/>
      <c r="L35" s="509"/>
      <c r="M35" s="509"/>
      <c r="N35" s="509"/>
      <c r="O35" s="509">
        <f t="shared" ref="O35:P35" si="21">O19-O34</f>
        <v>0</v>
      </c>
      <c r="P35" s="508">
        <f t="shared" si="21"/>
        <v>0</v>
      </c>
      <c r="Q35" s="509"/>
      <c r="R35" s="509"/>
      <c r="S35" s="509"/>
      <c r="T35" s="509"/>
      <c r="U35" s="509">
        <f t="shared" ref="U35:V35" si="22">U19-U34</f>
        <v>0</v>
      </c>
      <c r="V35" s="508">
        <f t="shared" si="22"/>
        <v>0</v>
      </c>
      <c r="W35" s="509"/>
      <c r="X35" s="509"/>
      <c r="Y35" s="509"/>
      <c r="Z35" s="509"/>
      <c r="AA35" s="509">
        <f t="shared" ref="AA35:AB35" si="23">AA19-AA34</f>
        <v>0</v>
      </c>
      <c r="AB35" s="508">
        <f t="shared" si="23"/>
        <v>-1468610</v>
      </c>
      <c r="AC35" s="509"/>
      <c r="AD35" s="509">
        <f>AD19-AD34</f>
        <v>0</v>
      </c>
      <c r="AE35" s="509"/>
      <c r="AF35" s="509"/>
      <c r="AG35" s="509"/>
      <c r="AH35" s="508">
        <f>AH19-AH34</f>
        <v>0</v>
      </c>
      <c r="AI35" s="509"/>
      <c r="AJ35" s="509">
        <f>AJ19-AJ34</f>
        <v>0</v>
      </c>
      <c r="AK35" s="509"/>
      <c r="AL35" s="509"/>
      <c r="AM35" s="509"/>
      <c r="AN35" s="508">
        <f>AN19-AN34</f>
        <v>0</v>
      </c>
      <c r="AO35" s="509"/>
      <c r="AP35" s="509">
        <f>AP19-AP34</f>
        <v>0</v>
      </c>
      <c r="AQ35" s="509"/>
      <c r="AR35" s="509">
        <f>AR19-AR34</f>
        <v>0</v>
      </c>
      <c r="AS35" s="509"/>
      <c r="AT35" s="508">
        <f>AT19-AT34</f>
        <v>0</v>
      </c>
      <c r="AU35" s="509"/>
      <c r="AV35" s="509">
        <f>AV19-AV34</f>
        <v>0</v>
      </c>
      <c r="AW35" s="509"/>
      <c r="AX35" s="509">
        <f>AX19-AX34</f>
        <v>0</v>
      </c>
      <c r="AY35" s="511"/>
      <c r="AZ35" s="512">
        <f>AZ19-AZ34</f>
        <v>0</v>
      </c>
      <c r="BA35" s="509"/>
      <c r="BB35" s="509">
        <f>BB19-BB34</f>
        <v>0</v>
      </c>
      <c r="BC35" s="509"/>
      <c r="BD35" s="509">
        <f>BD19-BD34</f>
        <v>0</v>
      </c>
      <c r="BE35" s="511"/>
      <c r="BF35" s="508">
        <f>BF19-BF34</f>
        <v>0</v>
      </c>
      <c r="BG35" s="509"/>
      <c r="BH35" s="509">
        <f>BH19-BH34</f>
        <v>0</v>
      </c>
      <c r="BI35" s="509"/>
      <c r="BJ35" s="509">
        <f>BJ19-BJ34</f>
        <v>0</v>
      </c>
      <c r="BK35" s="510"/>
      <c r="BL35" s="508">
        <f>BL19-BL34</f>
        <v>0</v>
      </c>
      <c r="BM35" s="509"/>
      <c r="BN35" s="509">
        <f>BN19-BN34</f>
        <v>0</v>
      </c>
      <c r="BO35" s="509"/>
      <c r="BP35" s="509">
        <f>BP19-BP34</f>
        <v>0</v>
      </c>
      <c r="BQ35" s="510"/>
      <c r="BR35" s="508">
        <f>BR19-BR34</f>
        <v>0</v>
      </c>
      <c r="BS35" s="509"/>
      <c r="BT35" s="509">
        <f>BT19-BT34</f>
        <v>0</v>
      </c>
      <c r="BU35" s="509"/>
      <c r="BV35" s="509">
        <f>BV19-BV34</f>
        <v>0</v>
      </c>
      <c r="BW35" s="513"/>
      <c r="BX35" s="213"/>
      <c r="BY35" s="213"/>
      <c r="BZ35" s="213"/>
      <c r="CA35" s="213"/>
      <c r="CB35" s="213"/>
      <c r="CC35" s="213"/>
      <c r="CD35" s="213"/>
      <c r="CE35" s="213"/>
      <c r="CF35" s="213"/>
      <c r="CG35" s="213"/>
      <c r="CH35" s="213"/>
      <c r="CI35" s="213"/>
      <c r="CJ35" s="213"/>
      <c r="CK35" s="213"/>
      <c r="CL35" s="213"/>
      <c r="CM35" s="213"/>
      <c r="CN35" s="213"/>
      <c r="CO35" s="213"/>
      <c r="CP35" s="213"/>
      <c r="CQ35" s="213"/>
    </row>
    <row r="36" ht="15.75" customHeight="1">
      <c r="A36" s="213"/>
      <c r="B36" s="488"/>
      <c r="C36" s="488"/>
      <c r="D36" s="384"/>
      <c r="E36" s="386"/>
      <c r="F36" s="386"/>
      <c r="G36" s="386"/>
      <c r="H36" s="386"/>
      <c r="I36" s="489"/>
      <c r="J36" s="384"/>
      <c r="K36" s="386"/>
      <c r="L36" s="386"/>
      <c r="M36" s="386"/>
      <c r="N36" s="386"/>
      <c r="O36" s="386"/>
      <c r="P36" s="384"/>
      <c r="Q36" s="386"/>
      <c r="R36" s="386"/>
      <c r="S36" s="386"/>
      <c r="T36" s="386"/>
      <c r="U36" s="386"/>
      <c r="V36" s="384"/>
      <c r="W36" s="386"/>
      <c r="X36" s="386"/>
      <c r="Y36" s="386"/>
      <c r="Z36" s="386"/>
      <c r="AA36" s="386"/>
      <c r="AB36" s="384"/>
      <c r="AC36" s="386"/>
      <c r="AD36" s="386"/>
      <c r="AE36" s="386"/>
      <c r="AF36" s="386"/>
      <c r="AG36" s="386"/>
      <c r="AH36" s="384"/>
      <c r="AI36" s="386"/>
      <c r="AJ36" s="386"/>
      <c r="AK36" s="386"/>
      <c r="AL36" s="386"/>
      <c r="AM36" s="386"/>
      <c r="AN36" s="384"/>
      <c r="AO36" s="386"/>
      <c r="AP36" s="386"/>
      <c r="AQ36" s="386"/>
      <c r="AR36" s="386"/>
      <c r="AS36" s="386"/>
      <c r="AT36" s="384"/>
      <c r="AU36" s="386"/>
      <c r="AV36" s="386"/>
      <c r="AW36" s="386"/>
      <c r="AX36" s="386"/>
      <c r="AY36" s="490"/>
      <c r="AZ36" s="439"/>
      <c r="BA36" s="386"/>
      <c r="BB36" s="386"/>
      <c r="BC36" s="386"/>
      <c r="BD36" s="386"/>
      <c r="BE36" s="490"/>
      <c r="BF36" s="384"/>
      <c r="BG36" s="386"/>
      <c r="BH36" s="386"/>
      <c r="BI36" s="386"/>
      <c r="BJ36" s="386"/>
      <c r="BK36" s="489"/>
      <c r="BL36" s="384"/>
      <c r="BM36" s="386"/>
      <c r="BN36" s="386"/>
      <c r="BO36" s="386"/>
      <c r="BP36" s="386"/>
      <c r="BQ36" s="489"/>
      <c r="BR36" s="491"/>
      <c r="BS36" s="386"/>
      <c r="BT36" s="386"/>
      <c r="BU36" s="386"/>
      <c r="BV36" s="386"/>
      <c r="BW36" s="389"/>
      <c r="BX36" s="213"/>
      <c r="BY36" s="213"/>
      <c r="BZ36" s="213"/>
      <c r="CA36" s="213"/>
      <c r="CB36" s="213"/>
      <c r="CC36" s="213"/>
      <c r="CD36" s="213"/>
      <c r="CE36" s="213"/>
      <c r="CF36" s="213"/>
      <c r="CG36" s="213"/>
      <c r="CH36" s="213"/>
      <c r="CI36" s="213"/>
      <c r="CJ36" s="213"/>
      <c r="CK36" s="213"/>
      <c r="CL36" s="213"/>
      <c r="CM36" s="213"/>
      <c r="CN36" s="213"/>
      <c r="CO36" s="213"/>
      <c r="CP36" s="213"/>
      <c r="CQ36" s="213"/>
    </row>
    <row r="37" ht="15.75" customHeight="1">
      <c r="A37" s="213"/>
      <c r="B37" s="492"/>
      <c r="C37" s="514" t="s">
        <v>241</v>
      </c>
      <c r="D37" s="351"/>
      <c r="E37" s="353"/>
      <c r="F37" s="353"/>
      <c r="G37" s="353"/>
      <c r="H37" s="353"/>
      <c r="I37" s="493"/>
      <c r="J37" s="351"/>
      <c r="K37" s="353"/>
      <c r="L37" s="353"/>
      <c r="M37" s="353"/>
      <c r="N37" s="353"/>
      <c r="O37" s="353"/>
      <c r="P37" s="351"/>
      <c r="Q37" s="353"/>
      <c r="R37" s="353"/>
      <c r="S37" s="353"/>
      <c r="T37" s="353"/>
      <c r="U37" s="353"/>
      <c r="V37" s="351"/>
      <c r="W37" s="353"/>
      <c r="X37" s="353"/>
      <c r="Y37" s="353"/>
      <c r="Z37" s="353"/>
      <c r="AA37" s="353"/>
      <c r="AB37" s="351"/>
      <c r="AC37" s="353"/>
      <c r="AD37" s="353"/>
      <c r="AE37" s="353"/>
      <c r="AF37" s="353"/>
      <c r="AG37" s="353"/>
      <c r="AH37" s="351"/>
      <c r="AI37" s="353"/>
      <c r="AJ37" s="353"/>
      <c r="AK37" s="353"/>
      <c r="AL37" s="353"/>
      <c r="AM37" s="353"/>
      <c r="AN37" s="351"/>
      <c r="AO37" s="353"/>
      <c r="AP37" s="353"/>
      <c r="AQ37" s="353"/>
      <c r="AR37" s="353"/>
      <c r="AS37" s="353"/>
      <c r="AT37" s="351"/>
      <c r="AU37" s="353"/>
      <c r="AV37" s="353"/>
      <c r="AW37" s="353"/>
      <c r="AX37" s="353"/>
      <c r="AY37" s="494"/>
      <c r="AZ37" s="495"/>
      <c r="BA37" s="353"/>
      <c r="BB37" s="353"/>
      <c r="BC37" s="353"/>
      <c r="BD37" s="353"/>
      <c r="BE37" s="494"/>
      <c r="BF37" s="351"/>
      <c r="BG37" s="353"/>
      <c r="BH37" s="353"/>
      <c r="BI37" s="353"/>
      <c r="BJ37" s="353"/>
      <c r="BK37" s="493"/>
      <c r="BL37" s="351"/>
      <c r="BM37" s="353"/>
      <c r="BN37" s="353"/>
      <c r="BO37" s="353"/>
      <c r="BP37" s="353"/>
      <c r="BQ37" s="493"/>
      <c r="BR37" s="351"/>
      <c r="BS37" s="353"/>
      <c r="BT37" s="353"/>
      <c r="BU37" s="353"/>
      <c r="BV37" s="353"/>
      <c r="BW37" s="358"/>
      <c r="BX37" s="213"/>
      <c r="BY37" s="213"/>
      <c r="BZ37" s="213"/>
      <c r="CA37" s="213"/>
      <c r="CB37" s="213"/>
      <c r="CC37" s="213"/>
      <c r="CD37" s="213"/>
      <c r="CE37" s="213"/>
      <c r="CF37" s="213"/>
      <c r="CG37" s="213"/>
      <c r="CH37" s="213"/>
      <c r="CI37" s="213"/>
      <c r="CJ37" s="213"/>
      <c r="CK37" s="213"/>
      <c r="CL37" s="213"/>
      <c r="CM37" s="213"/>
      <c r="CN37" s="213"/>
      <c r="CO37" s="213"/>
      <c r="CP37" s="213"/>
      <c r="CQ37" s="213"/>
    </row>
    <row r="38" ht="15.75" customHeight="1">
      <c r="A38" s="213"/>
      <c r="B38" s="492"/>
      <c r="C38" s="492" t="s">
        <v>242</v>
      </c>
      <c r="D38" s="351">
        <v>3173.0</v>
      </c>
      <c r="E38" s="353"/>
      <c r="F38" s="353"/>
      <c r="G38" s="353"/>
      <c r="H38" s="353"/>
      <c r="I38" s="493"/>
      <c r="J38" s="351">
        <v>1045.0</v>
      </c>
      <c r="K38" s="353"/>
      <c r="L38" s="353"/>
      <c r="M38" s="353"/>
      <c r="N38" s="353"/>
      <c r="O38" s="353"/>
      <c r="P38" s="351"/>
      <c r="Q38" s="353"/>
      <c r="R38" s="353"/>
      <c r="S38" s="353"/>
      <c r="T38" s="353"/>
      <c r="U38" s="353"/>
      <c r="V38" s="351"/>
      <c r="W38" s="353"/>
      <c r="X38" s="353"/>
      <c r="Y38" s="353"/>
      <c r="Z38" s="353"/>
      <c r="AA38" s="353"/>
      <c r="AB38" s="351"/>
      <c r="AC38" s="353"/>
      <c r="AD38" s="353"/>
      <c r="AE38" s="353"/>
      <c r="AF38" s="353"/>
      <c r="AG38" s="353"/>
      <c r="AH38" s="351"/>
      <c r="AI38" s="353"/>
      <c r="AJ38" s="353"/>
      <c r="AK38" s="353"/>
      <c r="AL38" s="353"/>
      <c r="AM38" s="353"/>
      <c r="AN38" s="351"/>
      <c r="AO38" s="353"/>
      <c r="AP38" s="353"/>
      <c r="AQ38" s="353"/>
      <c r="AR38" s="353"/>
      <c r="AS38" s="353"/>
      <c r="AT38" s="351"/>
      <c r="AU38" s="353"/>
      <c r="AV38" s="353"/>
      <c r="AW38" s="353"/>
      <c r="AX38" s="353"/>
      <c r="AY38" s="494"/>
      <c r="AZ38" s="495"/>
      <c r="BA38" s="353"/>
      <c r="BB38" s="353"/>
      <c r="BC38" s="353"/>
      <c r="BD38" s="353"/>
      <c r="BE38" s="494"/>
      <c r="BF38" s="351"/>
      <c r="BG38" s="353"/>
      <c r="BH38" s="353"/>
      <c r="BI38" s="353"/>
      <c r="BJ38" s="353"/>
      <c r="BK38" s="493"/>
      <c r="BL38" s="396">
        <f>1397.5+625+495</f>
        <v>2517.5</v>
      </c>
      <c r="BM38" s="353"/>
      <c r="BN38" s="353"/>
      <c r="BO38" s="353"/>
      <c r="BP38" s="353"/>
      <c r="BQ38" s="493"/>
      <c r="BR38" s="351"/>
      <c r="BS38" s="353"/>
      <c r="BT38" s="353"/>
      <c r="BU38" s="353"/>
      <c r="BV38" s="353"/>
      <c r="BW38" s="358"/>
      <c r="BX38" s="213"/>
      <c r="BY38" s="213"/>
      <c r="BZ38" s="213"/>
      <c r="CA38" s="213"/>
      <c r="CB38" s="213"/>
      <c r="CC38" s="213"/>
      <c r="CD38" s="213"/>
      <c r="CE38" s="213"/>
      <c r="CF38" s="213"/>
      <c r="CG38" s="213"/>
      <c r="CH38" s="213"/>
      <c r="CI38" s="213"/>
      <c r="CJ38" s="213"/>
      <c r="CK38" s="213"/>
      <c r="CL38" s="213"/>
      <c r="CM38" s="213"/>
      <c r="CN38" s="213"/>
      <c r="CO38" s="213"/>
      <c r="CP38" s="213"/>
      <c r="CQ38" s="213"/>
    </row>
    <row r="39" ht="15.75" customHeight="1">
      <c r="A39" s="213"/>
      <c r="B39" s="492"/>
      <c r="C39" s="492" t="s">
        <v>243</v>
      </c>
      <c r="D39" s="351"/>
      <c r="E39" s="353"/>
      <c r="F39" s="353"/>
      <c r="G39" s="353"/>
      <c r="H39" s="353"/>
      <c r="I39" s="493"/>
      <c r="J39" s="351"/>
      <c r="K39" s="353"/>
      <c r="L39" s="353"/>
      <c r="M39" s="353"/>
      <c r="N39" s="353"/>
      <c r="O39" s="353"/>
      <c r="P39" s="351"/>
      <c r="Q39" s="353"/>
      <c r="R39" s="353"/>
      <c r="S39" s="353"/>
      <c r="T39" s="353"/>
      <c r="U39" s="353"/>
      <c r="V39" s="351"/>
      <c r="W39" s="353"/>
      <c r="X39" s="353"/>
      <c r="Y39" s="353"/>
      <c r="Z39" s="353"/>
      <c r="AA39" s="353"/>
      <c r="AB39" s="351"/>
      <c r="AC39" s="353"/>
      <c r="AD39" s="353"/>
      <c r="AE39" s="353"/>
      <c r="AF39" s="353"/>
      <c r="AG39" s="353"/>
      <c r="AH39" s="351"/>
      <c r="AI39" s="353"/>
      <c r="AJ39" s="353"/>
      <c r="AK39" s="353"/>
      <c r="AL39" s="353"/>
      <c r="AM39" s="353"/>
      <c r="AN39" s="351"/>
      <c r="AO39" s="353"/>
      <c r="AP39" s="353"/>
      <c r="AQ39" s="353"/>
      <c r="AR39" s="353"/>
      <c r="AS39" s="353"/>
      <c r="AT39" s="351"/>
      <c r="AU39" s="353"/>
      <c r="AV39" s="353"/>
      <c r="AW39" s="353"/>
      <c r="AX39" s="353"/>
      <c r="AY39" s="494"/>
      <c r="AZ39" s="495"/>
      <c r="BA39" s="353"/>
      <c r="BB39" s="353"/>
      <c r="BC39" s="353"/>
      <c r="BD39" s="353"/>
      <c r="BE39" s="494"/>
      <c r="BF39" s="351"/>
      <c r="BG39" s="353"/>
      <c r="BH39" s="353"/>
      <c r="BI39" s="353"/>
      <c r="BJ39" s="353"/>
      <c r="BK39" s="493"/>
      <c r="BL39" s="351"/>
      <c r="BM39" s="353"/>
      <c r="BN39" s="353"/>
      <c r="BO39" s="353"/>
      <c r="BP39" s="353"/>
      <c r="BQ39" s="493"/>
      <c r="BR39" s="351"/>
      <c r="BS39" s="353"/>
      <c r="BT39" s="353"/>
      <c r="BU39" s="353"/>
      <c r="BV39" s="353"/>
      <c r="BW39" s="358"/>
      <c r="BX39" s="213"/>
      <c r="BY39" s="213"/>
      <c r="BZ39" s="213"/>
      <c r="CA39" s="213"/>
      <c r="CB39" s="213"/>
      <c r="CC39" s="213"/>
      <c r="CD39" s="213"/>
      <c r="CE39" s="213"/>
      <c r="CF39" s="213"/>
      <c r="CG39" s="213"/>
      <c r="CH39" s="213"/>
      <c r="CI39" s="213"/>
      <c r="CJ39" s="213"/>
      <c r="CK39" s="213"/>
      <c r="CL39" s="213"/>
      <c r="CM39" s="213"/>
      <c r="CN39" s="213"/>
      <c r="CO39" s="213"/>
      <c r="CP39" s="213"/>
      <c r="CQ39" s="213"/>
    </row>
    <row r="40" ht="15.75" customHeight="1">
      <c r="A40" s="213"/>
      <c r="B40" s="492"/>
      <c r="C40" s="492" t="s">
        <v>244</v>
      </c>
      <c r="D40" s="351"/>
      <c r="E40" s="353"/>
      <c r="F40" s="353"/>
      <c r="G40" s="353"/>
      <c r="H40" s="353"/>
      <c r="I40" s="493"/>
      <c r="J40" s="351">
        <v>3810.0</v>
      </c>
      <c r="K40" s="353"/>
      <c r="L40" s="353"/>
      <c r="M40" s="353"/>
      <c r="N40" s="353"/>
      <c r="O40" s="353"/>
      <c r="P40" s="351"/>
      <c r="Q40" s="353"/>
      <c r="R40" s="353"/>
      <c r="S40" s="353"/>
      <c r="T40" s="353"/>
      <c r="U40" s="353"/>
      <c r="V40" s="351"/>
      <c r="W40" s="353"/>
      <c r="X40" s="353"/>
      <c r="Y40" s="353"/>
      <c r="Z40" s="353"/>
      <c r="AA40" s="353"/>
      <c r="AB40" s="351"/>
      <c r="AC40" s="353"/>
      <c r="AD40" s="353"/>
      <c r="AE40" s="353"/>
      <c r="AF40" s="353"/>
      <c r="AG40" s="353"/>
      <c r="AH40" s="351"/>
      <c r="AI40" s="353"/>
      <c r="AJ40" s="353"/>
      <c r="AK40" s="353"/>
      <c r="AL40" s="353"/>
      <c r="AM40" s="353"/>
      <c r="AN40" s="351"/>
      <c r="AO40" s="353"/>
      <c r="AP40" s="353"/>
      <c r="AQ40" s="353"/>
      <c r="AR40" s="353"/>
      <c r="AS40" s="353"/>
      <c r="AT40" s="351"/>
      <c r="AU40" s="353"/>
      <c r="AV40" s="353"/>
      <c r="AW40" s="353"/>
      <c r="AX40" s="353"/>
      <c r="AY40" s="494"/>
      <c r="AZ40" s="495"/>
      <c r="BA40" s="353"/>
      <c r="BB40" s="353"/>
      <c r="BC40" s="353"/>
      <c r="BD40" s="353"/>
      <c r="BE40" s="494"/>
      <c r="BF40" s="351"/>
      <c r="BG40" s="353"/>
      <c r="BH40" s="353"/>
      <c r="BI40" s="353"/>
      <c r="BJ40" s="353"/>
      <c r="BK40" s="493"/>
      <c r="BL40" s="351"/>
      <c r="BM40" s="353"/>
      <c r="BN40" s="353"/>
      <c r="BO40" s="353"/>
      <c r="BP40" s="353"/>
      <c r="BQ40" s="493"/>
      <c r="BR40" s="351"/>
      <c r="BS40" s="353"/>
      <c r="BT40" s="353"/>
      <c r="BU40" s="353"/>
      <c r="BV40" s="353"/>
      <c r="BW40" s="358"/>
      <c r="BX40" s="213"/>
      <c r="BY40" s="213"/>
      <c r="BZ40" s="213"/>
      <c r="CA40" s="213"/>
      <c r="CB40" s="213"/>
      <c r="CC40" s="213"/>
      <c r="CD40" s="213"/>
      <c r="CE40" s="213"/>
      <c r="CF40" s="213"/>
      <c r="CG40" s="213"/>
      <c r="CH40" s="213"/>
      <c r="CI40" s="213"/>
      <c r="CJ40" s="213"/>
      <c r="CK40" s="213"/>
      <c r="CL40" s="213"/>
      <c r="CM40" s="213"/>
      <c r="CN40" s="213"/>
      <c r="CO40" s="213"/>
      <c r="CP40" s="213"/>
      <c r="CQ40" s="213"/>
    </row>
    <row r="41" ht="15.75" customHeight="1">
      <c r="A41" s="213"/>
      <c r="B41" s="492"/>
      <c r="C41" s="492" t="s">
        <v>303</v>
      </c>
      <c r="D41" s="351">
        <v>6935.0</v>
      </c>
      <c r="E41" s="353"/>
      <c r="F41" s="353"/>
      <c r="G41" s="353"/>
      <c r="H41" s="353"/>
      <c r="I41" s="493"/>
      <c r="J41" s="351">
        <f>9528+2461</f>
        <v>11989</v>
      </c>
      <c r="K41" s="353"/>
      <c r="L41" s="353"/>
      <c r="M41" s="353"/>
      <c r="N41" s="353"/>
      <c r="O41" s="353"/>
      <c r="P41" s="351"/>
      <c r="Q41" s="353"/>
      <c r="R41" s="353"/>
      <c r="S41" s="353"/>
      <c r="T41" s="353"/>
      <c r="U41" s="353"/>
      <c r="V41" s="351"/>
      <c r="W41" s="353"/>
      <c r="X41" s="353"/>
      <c r="Y41" s="353"/>
      <c r="Z41" s="353"/>
      <c r="AA41" s="353"/>
      <c r="AB41" s="351"/>
      <c r="AC41" s="353"/>
      <c r="AD41" s="353"/>
      <c r="AE41" s="353"/>
      <c r="AF41" s="353"/>
      <c r="AG41" s="353"/>
      <c r="AH41" s="351"/>
      <c r="AI41" s="353"/>
      <c r="AJ41" s="353"/>
      <c r="AK41" s="353"/>
      <c r="AL41" s="353"/>
      <c r="AM41" s="353"/>
      <c r="AN41" s="351"/>
      <c r="AO41" s="353"/>
      <c r="AP41" s="353"/>
      <c r="AQ41" s="353"/>
      <c r="AR41" s="353"/>
      <c r="AS41" s="353"/>
      <c r="AT41" s="351"/>
      <c r="AU41" s="353"/>
      <c r="AV41" s="353"/>
      <c r="AW41" s="353"/>
      <c r="AX41" s="353"/>
      <c r="AY41" s="494"/>
      <c r="AZ41" s="495"/>
      <c r="BA41" s="353"/>
      <c r="BB41" s="353"/>
      <c r="BC41" s="353"/>
      <c r="BD41" s="353"/>
      <c r="BE41" s="494"/>
      <c r="BF41" s="351"/>
      <c r="BG41" s="353"/>
      <c r="BH41" s="353"/>
      <c r="BI41" s="353"/>
      <c r="BJ41" s="353"/>
      <c r="BK41" s="493"/>
      <c r="BL41" s="396">
        <v>8054.0</v>
      </c>
      <c r="BM41" s="353"/>
      <c r="BN41" s="353"/>
      <c r="BO41" s="353"/>
      <c r="BP41" s="353"/>
      <c r="BQ41" s="493"/>
      <c r="BR41" s="351"/>
      <c r="BS41" s="353"/>
      <c r="BT41" s="353"/>
      <c r="BU41" s="353"/>
      <c r="BV41" s="353"/>
      <c r="BW41" s="358"/>
      <c r="BX41" s="213"/>
      <c r="BY41" s="213"/>
      <c r="BZ41" s="213"/>
      <c r="CA41" s="213"/>
      <c r="CB41" s="213"/>
      <c r="CC41" s="213"/>
      <c r="CD41" s="213"/>
      <c r="CE41" s="213"/>
      <c r="CF41" s="213"/>
      <c r="CG41" s="213"/>
      <c r="CH41" s="213"/>
      <c r="CI41" s="213"/>
      <c r="CJ41" s="213"/>
      <c r="CK41" s="213"/>
      <c r="CL41" s="213"/>
      <c r="CM41" s="213"/>
      <c r="CN41" s="213"/>
      <c r="CO41" s="213"/>
      <c r="CP41" s="213"/>
      <c r="CQ41" s="213"/>
    </row>
    <row r="42" ht="15.75" customHeight="1">
      <c r="A42" s="213"/>
      <c r="B42" s="492"/>
      <c r="C42" s="492" t="s">
        <v>246</v>
      </c>
      <c r="D42" s="351"/>
      <c r="E42" s="353"/>
      <c r="F42" s="353"/>
      <c r="G42" s="353"/>
      <c r="H42" s="353"/>
      <c r="I42" s="493"/>
      <c r="J42" s="351"/>
      <c r="K42" s="353"/>
      <c r="L42" s="353"/>
      <c r="M42" s="353"/>
      <c r="N42" s="353"/>
      <c r="O42" s="353"/>
      <c r="P42" s="351"/>
      <c r="Q42" s="353"/>
      <c r="R42" s="353"/>
      <c r="S42" s="353"/>
      <c r="T42" s="353"/>
      <c r="U42" s="353"/>
      <c r="V42" s="351"/>
      <c r="W42" s="353"/>
      <c r="X42" s="353"/>
      <c r="Y42" s="353"/>
      <c r="Z42" s="353"/>
      <c r="AA42" s="353"/>
      <c r="AB42" s="351"/>
      <c r="AC42" s="353"/>
      <c r="AD42" s="353"/>
      <c r="AE42" s="353"/>
      <c r="AF42" s="353"/>
      <c r="AG42" s="353"/>
      <c r="AH42" s="351"/>
      <c r="AI42" s="353"/>
      <c r="AJ42" s="353"/>
      <c r="AK42" s="353"/>
      <c r="AL42" s="353"/>
      <c r="AM42" s="353"/>
      <c r="AN42" s="351"/>
      <c r="AO42" s="353"/>
      <c r="AP42" s="353"/>
      <c r="AQ42" s="353"/>
      <c r="AR42" s="353"/>
      <c r="AS42" s="353"/>
      <c r="AT42" s="351"/>
      <c r="AU42" s="353"/>
      <c r="AV42" s="353"/>
      <c r="AW42" s="353"/>
      <c r="AX42" s="353"/>
      <c r="AY42" s="494"/>
      <c r="AZ42" s="495"/>
      <c r="BA42" s="353"/>
      <c r="BB42" s="353"/>
      <c r="BC42" s="353"/>
      <c r="BD42" s="353"/>
      <c r="BE42" s="494"/>
      <c r="BF42" s="351"/>
      <c r="BG42" s="353"/>
      <c r="BH42" s="353"/>
      <c r="BI42" s="353"/>
      <c r="BJ42" s="353"/>
      <c r="BK42" s="493"/>
      <c r="BL42" s="396">
        <v>5131.0</v>
      </c>
      <c r="BM42" s="353"/>
      <c r="BN42" s="353"/>
      <c r="BO42" s="353"/>
      <c r="BP42" s="353"/>
      <c r="BQ42" s="493"/>
      <c r="BR42" s="351"/>
      <c r="BS42" s="353"/>
      <c r="BT42" s="353"/>
      <c r="BU42" s="353"/>
      <c r="BV42" s="353"/>
      <c r="BW42" s="358"/>
      <c r="BX42" s="213"/>
      <c r="BY42" s="213"/>
      <c r="BZ42" s="213"/>
      <c r="CA42" s="213"/>
      <c r="CB42" s="213"/>
      <c r="CC42" s="213"/>
      <c r="CD42" s="213"/>
      <c r="CE42" s="213"/>
      <c r="CF42" s="213"/>
      <c r="CG42" s="213"/>
      <c r="CH42" s="213"/>
      <c r="CI42" s="213"/>
      <c r="CJ42" s="213"/>
      <c r="CK42" s="213"/>
      <c r="CL42" s="213"/>
      <c r="CM42" s="213"/>
      <c r="CN42" s="213"/>
      <c r="CO42" s="213"/>
      <c r="CP42" s="213"/>
      <c r="CQ42" s="213"/>
    </row>
    <row r="43" ht="15.75" customHeight="1">
      <c r="A43" s="213"/>
      <c r="B43" s="502"/>
      <c r="C43" s="502" t="s">
        <v>247</v>
      </c>
      <c r="D43" s="363">
        <v>11607.0</v>
      </c>
      <c r="E43" s="365"/>
      <c r="F43" s="365"/>
      <c r="G43" s="365"/>
      <c r="H43" s="365"/>
      <c r="I43" s="503"/>
      <c r="J43" s="363">
        <v>260.0</v>
      </c>
      <c r="K43" s="365"/>
      <c r="L43" s="365"/>
      <c r="M43" s="365"/>
      <c r="N43" s="365"/>
      <c r="O43" s="365"/>
      <c r="P43" s="363"/>
      <c r="Q43" s="365"/>
      <c r="R43" s="365"/>
      <c r="S43" s="365"/>
      <c r="T43" s="365"/>
      <c r="U43" s="365"/>
      <c r="V43" s="363"/>
      <c r="W43" s="365"/>
      <c r="X43" s="365"/>
      <c r="Y43" s="365"/>
      <c r="Z43" s="365"/>
      <c r="AA43" s="365"/>
      <c r="AB43" s="363"/>
      <c r="AC43" s="365"/>
      <c r="AD43" s="365"/>
      <c r="AE43" s="365"/>
      <c r="AF43" s="365"/>
      <c r="AG43" s="365"/>
      <c r="AH43" s="363"/>
      <c r="AI43" s="365"/>
      <c r="AJ43" s="365"/>
      <c r="AK43" s="365"/>
      <c r="AL43" s="365"/>
      <c r="AM43" s="365"/>
      <c r="AN43" s="363"/>
      <c r="AO43" s="365"/>
      <c r="AP43" s="365"/>
      <c r="AQ43" s="365"/>
      <c r="AR43" s="365"/>
      <c r="AS43" s="365"/>
      <c r="AT43" s="363"/>
      <c r="AU43" s="365"/>
      <c r="AV43" s="365"/>
      <c r="AW43" s="365"/>
      <c r="AX43" s="365"/>
      <c r="AY43" s="504"/>
      <c r="AZ43" s="505"/>
      <c r="BA43" s="365"/>
      <c r="BB43" s="365"/>
      <c r="BC43" s="365"/>
      <c r="BD43" s="365"/>
      <c r="BE43" s="504"/>
      <c r="BF43" s="515">
        <v>123157.0</v>
      </c>
      <c r="BG43" s="365"/>
      <c r="BH43" s="365"/>
      <c r="BI43" s="365"/>
      <c r="BJ43" s="365"/>
      <c r="BK43" s="503"/>
      <c r="BL43" s="515">
        <f>27218</f>
        <v>27218</v>
      </c>
      <c r="BM43" s="365"/>
      <c r="BN43" s="365"/>
      <c r="BO43" s="365"/>
      <c r="BP43" s="365"/>
      <c r="BQ43" s="503"/>
      <c r="BR43" s="516">
        <v>102271.0</v>
      </c>
      <c r="BS43" s="365"/>
      <c r="BT43" s="365"/>
      <c r="BU43" s="365"/>
      <c r="BV43" s="365"/>
      <c r="BW43" s="368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 ht="15.75" customHeight="1">
      <c r="A44" s="213"/>
      <c r="B44" s="483"/>
      <c r="C44" s="483" t="s">
        <v>248</v>
      </c>
      <c r="D44" s="373">
        <f>SUM(D38:D43)</f>
        <v>21715</v>
      </c>
      <c r="E44" s="375"/>
      <c r="F44" s="375"/>
      <c r="G44" s="375"/>
      <c r="H44" s="375">
        <f>SUM(H38:H43)</f>
        <v>0</v>
      </c>
      <c r="I44" s="484"/>
      <c r="J44" s="373">
        <f>SUM(J38:J43)</f>
        <v>17104</v>
      </c>
      <c r="K44" s="375"/>
      <c r="L44" s="375"/>
      <c r="M44" s="375"/>
      <c r="N44" s="375"/>
      <c r="O44" s="375">
        <f t="shared" ref="O44:P44" si="24">SUM(O38:O43)</f>
        <v>0</v>
      </c>
      <c r="P44" s="373">
        <f t="shared" si="24"/>
        <v>0</v>
      </c>
      <c r="Q44" s="375"/>
      <c r="R44" s="375"/>
      <c r="S44" s="375"/>
      <c r="T44" s="375"/>
      <c r="U44" s="375">
        <f t="shared" ref="U44:V44" si="25">SUM(U38:U43)</f>
        <v>0</v>
      </c>
      <c r="V44" s="373">
        <f t="shared" si="25"/>
        <v>0</v>
      </c>
      <c r="W44" s="375"/>
      <c r="X44" s="375"/>
      <c r="Y44" s="375"/>
      <c r="Z44" s="375"/>
      <c r="AA44" s="375">
        <f t="shared" ref="AA44:AB44" si="26">SUM(AA38:AA43)</f>
        <v>0</v>
      </c>
      <c r="AB44" s="373">
        <f t="shared" si="26"/>
        <v>0</v>
      </c>
      <c r="AC44" s="375"/>
      <c r="AD44" s="375">
        <f>SUM(AD38:AD43)</f>
        <v>0</v>
      </c>
      <c r="AE44" s="375"/>
      <c r="AF44" s="375"/>
      <c r="AG44" s="375"/>
      <c r="AH44" s="373">
        <f>SUM(AH38:AH43)</f>
        <v>0</v>
      </c>
      <c r="AI44" s="375"/>
      <c r="AJ44" s="375">
        <f>SUM(AJ38:AJ43)</f>
        <v>0</v>
      </c>
      <c r="AK44" s="375"/>
      <c r="AL44" s="375"/>
      <c r="AM44" s="375"/>
      <c r="AN44" s="373">
        <f>SUM(AN38:AN43)</f>
        <v>0</v>
      </c>
      <c r="AO44" s="375"/>
      <c r="AP44" s="375">
        <f>SUM(AP38:AP43)</f>
        <v>0</v>
      </c>
      <c r="AQ44" s="375"/>
      <c r="AR44" s="375">
        <f>SUM(AR38:AR43)</f>
        <v>0</v>
      </c>
      <c r="AS44" s="375"/>
      <c r="AT44" s="373">
        <f>SUM(AT38:AT43)</f>
        <v>0</v>
      </c>
      <c r="AU44" s="375"/>
      <c r="AV44" s="375">
        <f>SUM(AV38:AV43)</f>
        <v>0</v>
      </c>
      <c r="AW44" s="375"/>
      <c r="AX44" s="375">
        <f>SUM(AX38:AX43)</f>
        <v>0</v>
      </c>
      <c r="AY44" s="485"/>
      <c r="AZ44" s="486">
        <f>SUM(AZ38:AZ43)</f>
        <v>0</v>
      </c>
      <c r="BA44" s="375"/>
      <c r="BB44" s="375">
        <f>SUM(BB38:BB43)</f>
        <v>0</v>
      </c>
      <c r="BC44" s="375"/>
      <c r="BD44" s="375">
        <f>SUM(BD38:BD43)</f>
        <v>0</v>
      </c>
      <c r="BE44" s="485"/>
      <c r="BF44" s="373">
        <f>SUM(BF38:BF43)</f>
        <v>123157</v>
      </c>
      <c r="BG44" s="375"/>
      <c r="BH44" s="375">
        <f>SUM(BH38:BH43)</f>
        <v>0</v>
      </c>
      <c r="BI44" s="375"/>
      <c r="BJ44" s="375">
        <f>SUM(BJ38:BJ43)</f>
        <v>0</v>
      </c>
      <c r="BK44" s="484"/>
      <c r="BL44" s="373">
        <f>SUM(BL38:BL43)</f>
        <v>42920.5</v>
      </c>
      <c r="BM44" s="375"/>
      <c r="BN44" s="375">
        <f>SUM(BN38:BN43)</f>
        <v>0</v>
      </c>
      <c r="BO44" s="375"/>
      <c r="BP44" s="375">
        <f>SUM(BP38:BP43)</f>
        <v>0</v>
      </c>
      <c r="BQ44" s="484"/>
      <c r="BR44" s="373">
        <f>SUM(BR38:BR43)</f>
        <v>102271</v>
      </c>
      <c r="BS44" s="375"/>
      <c r="BT44" s="375">
        <f>SUM(BT38:BT43)</f>
        <v>0</v>
      </c>
      <c r="BU44" s="375"/>
      <c r="BV44" s="375">
        <f>SUM(BV38:BV43)</f>
        <v>0</v>
      </c>
      <c r="BW44" s="378"/>
      <c r="BX44" s="216"/>
      <c r="BY44" s="216"/>
      <c r="BZ44" s="216"/>
      <c r="CA44" s="216"/>
      <c r="CB44" s="216"/>
      <c r="CC44" s="216"/>
      <c r="CD44" s="216"/>
      <c r="CE44" s="216"/>
      <c r="CF44" s="216"/>
      <c r="CG44" s="216"/>
      <c r="CH44" s="216"/>
      <c r="CI44" s="216"/>
      <c r="CJ44" s="216"/>
      <c r="CK44" s="216"/>
      <c r="CL44" s="216"/>
      <c r="CM44" s="216"/>
      <c r="CN44" s="216"/>
      <c r="CO44" s="216"/>
      <c r="CP44" s="216"/>
      <c r="CQ44" s="216"/>
    </row>
    <row r="45" ht="15.75" hidden="1" customHeight="1">
      <c r="A45" s="213"/>
      <c r="B45" s="492" t="s">
        <v>24</v>
      </c>
      <c r="C45" s="492" t="s">
        <v>304</v>
      </c>
      <c r="D45" s="351">
        <v>0.0</v>
      </c>
      <c r="E45" s="353"/>
      <c r="F45" s="353"/>
      <c r="G45" s="353"/>
      <c r="H45" s="353"/>
      <c r="I45" s="493"/>
      <c r="J45" s="351">
        <v>0.0</v>
      </c>
      <c r="K45" s="353"/>
      <c r="L45" s="353"/>
      <c r="M45" s="353"/>
      <c r="N45" s="353"/>
      <c r="O45" s="353"/>
      <c r="P45" s="351"/>
      <c r="Q45" s="353"/>
      <c r="R45" s="353"/>
      <c r="S45" s="353"/>
      <c r="T45" s="353"/>
      <c r="U45" s="353"/>
      <c r="V45" s="351"/>
      <c r="W45" s="353"/>
      <c r="X45" s="353"/>
      <c r="Y45" s="353"/>
      <c r="Z45" s="353"/>
      <c r="AA45" s="353"/>
      <c r="AB45" s="351"/>
      <c r="AC45" s="353"/>
      <c r="AD45" s="353"/>
      <c r="AE45" s="353"/>
      <c r="AF45" s="353"/>
      <c r="AG45" s="353"/>
      <c r="AH45" s="351"/>
      <c r="AI45" s="353"/>
      <c r="AJ45" s="353"/>
      <c r="AK45" s="353"/>
      <c r="AL45" s="353"/>
      <c r="AM45" s="353"/>
      <c r="AN45" s="351"/>
      <c r="AO45" s="353"/>
      <c r="AP45" s="353"/>
      <c r="AQ45" s="353"/>
      <c r="AR45" s="353"/>
      <c r="AS45" s="353"/>
      <c r="AT45" s="351"/>
      <c r="AU45" s="353"/>
      <c r="AV45" s="353"/>
      <c r="AW45" s="353"/>
      <c r="AX45" s="353"/>
      <c r="AY45" s="494"/>
      <c r="AZ45" s="495"/>
      <c r="BA45" s="353"/>
      <c r="BB45" s="353"/>
      <c r="BC45" s="353"/>
      <c r="BD45" s="353"/>
      <c r="BE45" s="494"/>
      <c r="BF45" s="351"/>
      <c r="BG45" s="353"/>
      <c r="BH45" s="353"/>
      <c r="BI45" s="353"/>
      <c r="BJ45" s="353"/>
      <c r="BK45" s="493"/>
      <c r="BL45" s="351"/>
      <c r="BM45" s="353"/>
      <c r="BN45" s="353"/>
      <c r="BO45" s="353"/>
      <c r="BP45" s="353"/>
      <c r="BQ45" s="493"/>
      <c r="BR45" s="351"/>
      <c r="BS45" s="353"/>
      <c r="BT45" s="353"/>
      <c r="BU45" s="353"/>
      <c r="BV45" s="353"/>
      <c r="BW45" s="358"/>
      <c r="BX45" s="213"/>
      <c r="BY45" s="213"/>
      <c r="BZ45" s="213"/>
      <c r="CA45" s="213"/>
      <c r="CB45" s="213"/>
      <c r="CC45" s="213"/>
      <c r="CD45" s="213"/>
      <c r="CE45" s="213"/>
      <c r="CF45" s="213"/>
      <c r="CG45" s="213"/>
      <c r="CH45" s="213"/>
      <c r="CI45" s="213"/>
      <c r="CJ45" s="213"/>
      <c r="CK45" s="213"/>
      <c r="CL45" s="213"/>
      <c r="CM45" s="213"/>
      <c r="CN45" s="213"/>
      <c r="CO45" s="213"/>
      <c r="CP45" s="213"/>
      <c r="CQ45" s="213"/>
    </row>
    <row r="46" ht="15.75" hidden="1" customHeight="1">
      <c r="A46" s="213"/>
      <c r="B46" s="492" t="s">
        <v>22</v>
      </c>
      <c r="C46" s="492" t="s">
        <v>305</v>
      </c>
      <c r="D46" s="351">
        <v>0.0</v>
      </c>
      <c r="E46" s="353"/>
      <c r="F46" s="353"/>
      <c r="G46" s="353"/>
      <c r="H46" s="353"/>
      <c r="I46" s="493"/>
      <c r="J46" s="351">
        <v>0.0</v>
      </c>
      <c r="K46" s="353"/>
      <c r="L46" s="353"/>
      <c r="M46" s="353"/>
      <c r="N46" s="353"/>
      <c r="O46" s="353"/>
      <c r="P46" s="351"/>
      <c r="Q46" s="353"/>
      <c r="R46" s="353"/>
      <c r="S46" s="353"/>
      <c r="T46" s="353"/>
      <c r="U46" s="353"/>
      <c r="V46" s="351"/>
      <c r="W46" s="353"/>
      <c r="X46" s="353"/>
      <c r="Y46" s="353"/>
      <c r="Z46" s="353"/>
      <c r="AA46" s="353"/>
      <c r="AB46" s="351"/>
      <c r="AC46" s="353"/>
      <c r="AD46" s="353"/>
      <c r="AE46" s="353"/>
      <c r="AF46" s="353"/>
      <c r="AG46" s="353"/>
      <c r="AH46" s="351"/>
      <c r="AI46" s="353"/>
      <c r="AJ46" s="353"/>
      <c r="AK46" s="353"/>
      <c r="AL46" s="353"/>
      <c r="AM46" s="353"/>
      <c r="AN46" s="351"/>
      <c r="AO46" s="353"/>
      <c r="AP46" s="353"/>
      <c r="AQ46" s="353"/>
      <c r="AR46" s="353"/>
      <c r="AS46" s="353"/>
      <c r="AT46" s="351"/>
      <c r="AU46" s="353"/>
      <c r="AV46" s="353"/>
      <c r="AW46" s="353"/>
      <c r="AX46" s="353"/>
      <c r="AY46" s="494"/>
      <c r="AZ46" s="495"/>
      <c r="BA46" s="353"/>
      <c r="BB46" s="353"/>
      <c r="BC46" s="353"/>
      <c r="BD46" s="353"/>
      <c r="BE46" s="494"/>
      <c r="BF46" s="351"/>
      <c r="BG46" s="353"/>
      <c r="BH46" s="353"/>
      <c r="BI46" s="353"/>
      <c r="BJ46" s="353"/>
      <c r="BK46" s="493"/>
      <c r="BL46" s="351"/>
      <c r="BM46" s="353"/>
      <c r="BN46" s="353"/>
      <c r="BO46" s="353"/>
      <c r="BP46" s="353"/>
      <c r="BQ46" s="493"/>
      <c r="BR46" s="351"/>
      <c r="BS46" s="353"/>
      <c r="BT46" s="353"/>
      <c r="BU46" s="353"/>
      <c r="BV46" s="353"/>
      <c r="BW46" s="358"/>
      <c r="BX46" s="213"/>
      <c r="BY46" s="213"/>
      <c r="BZ46" s="213"/>
      <c r="CA46" s="213"/>
      <c r="CB46" s="213"/>
      <c r="CC46" s="213"/>
      <c r="CD46" s="213"/>
      <c r="CE46" s="213"/>
      <c r="CF46" s="213"/>
      <c r="CG46" s="213"/>
      <c r="CH46" s="213"/>
      <c r="CI46" s="213"/>
      <c r="CJ46" s="213"/>
      <c r="CK46" s="213"/>
      <c r="CL46" s="213"/>
      <c r="CM46" s="213"/>
      <c r="CN46" s="213"/>
      <c r="CO46" s="213"/>
      <c r="CP46" s="213"/>
      <c r="CQ46" s="213"/>
    </row>
    <row r="47" ht="15.75" hidden="1" customHeight="1">
      <c r="A47" s="213"/>
      <c r="B47" s="492" t="s">
        <v>22</v>
      </c>
      <c r="C47" s="492" t="s">
        <v>304</v>
      </c>
      <c r="D47" s="351">
        <v>0.0</v>
      </c>
      <c r="E47" s="353"/>
      <c r="F47" s="353"/>
      <c r="G47" s="353"/>
      <c r="H47" s="353"/>
      <c r="I47" s="493"/>
      <c r="J47" s="351">
        <v>0.0</v>
      </c>
      <c r="K47" s="353"/>
      <c r="L47" s="353"/>
      <c r="M47" s="353"/>
      <c r="N47" s="353"/>
      <c r="O47" s="353"/>
      <c r="P47" s="351"/>
      <c r="Q47" s="353"/>
      <c r="R47" s="353"/>
      <c r="S47" s="353"/>
      <c r="T47" s="353"/>
      <c r="U47" s="353"/>
      <c r="V47" s="351"/>
      <c r="W47" s="353"/>
      <c r="X47" s="353"/>
      <c r="Y47" s="353"/>
      <c r="Z47" s="353"/>
      <c r="AA47" s="353"/>
      <c r="AB47" s="351"/>
      <c r="AC47" s="353"/>
      <c r="AD47" s="353"/>
      <c r="AE47" s="353"/>
      <c r="AF47" s="353"/>
      <c r="AG47" s="353"/>
      <c r="AH47" s="351"/>
      <c r="AI47" s="353"/>
      <c r="AJ47" s="353"/>
      <c r="AK47" s="353"/>
      <c r="AL47" s="353"/>
      <c r="AM47" s="353"/>
      <c r="AN47" s="351"/>
      <c r="AO47" s="353"/>
      <c r="AP47" s="353"/>
      <c r="AQ47" s="353"/>
      <c r="AR47" s="353"/>
      <c r="AS47" s="353"/>
      <c r="AT47" s="351"/>
      <c r="AU47" s="353"/>
      <c r="AV47" s="353"/>
      <c r="AW47" s="353"/>
      <c r="AX47" s="353"/>
      <c r="AY47" s="494"/>
      <c r="AZ47" s="495"/>
      <c r="BA47" s="353"/>
      <c r="BB47" s="353"/>
      <c r="BC47" s="353"/>
      <c r="BD47" s="353"/>
      <c r="BE47" s="494"/>
      <c r="BF47" s="351"/>
      <c r="BG47" s="353"/>
      <c r="BH47" s="353"/>
      <c r="BI47" s="353"/>
      <c r="BJ47" s="353"/>
      <c r="BK47" s="493"/>
      <c r="BL47" s="351"/>
      <c r="BM47" s="353"/>
      <c r="BN47" s="353"/>
      <c r="BO47" s="353"/>
      <c r="BP47" s="353"/>
      <c r="BQ47" s="493"/>
      <c r="BR47" s="351"/>
      <c r="BS47" s="353"/>
      <c r="BT47" s="353"/>
      <c r="BU47" s="353"/>
      <c r="BV47" s="353"/>
      <c r="BW47" s="358"/>
      <c r="BX47" s="213"/>
      <c r="BY47" s="213"/>
      <c r="BZ47" s="213"/>
      <c r="CA47" s="213"/>
      <c r="CB47" s="213"/>
      <c r="CC47" s="213"/>
      <c r="CD47" s="213"/>
      <c r="CE47" s="213"/>
      <c r="CF47" s="213"/>
      <c r="CG47" s="213"/>
      <c r="CH47" s="213"/>
      <c r="CI47" s="213"/>
      <c r="CJ47" s="213"/>
      <c r="CK47" s="213"/>
      <c r="CL47" s="213"/>
      <c r="CM47" s="213"/>
      <c r="CN47" s="213"/>
      <c r="CO47" s="213"/>
      <c r="CP47" s="213"/>
      <c r="CQ47" s="213"/>
    </row>
    <row r="48" ht="15.75" hidden="1" customHeight="1">
      <c r="A48" s="213"/>
      <c r="B48" s="492" t="s">
        <v>23</v>
      </c>
      <c r="C48" s="492" t="s">
        <v>305</v>
      </c>
      <c r="D48" s="351">
        <v>0.0</v>
      </c>
      <c r="E48" s="353"/>
      <c r="F48" s="353"/>
      <c r="G48" s="353"/>
      <c r="H48" s="353"/>
      <c r="I48" s="493"/>
      <c r="J48" s="351">
        <v>0.0</v>
      </c>
      <c r="K48" s="353"/>
      <c r="L48" s="353"/>
      <c r="M48" s="353"/>
      <c r="N48" s="353"/>
      <c r="O48" s="353"/>
      <c r="P48" s="351"/>
      <c r="Q48" s="353"/>
      <c r="R48" s="353"/>
      <c r="S48" s="353"/>
      <c r="T48" s="353"/>
      <c r="U48" s="353"/>
      <c r="V48" s="351"/>
      <c r="W48" s="353"/>
      <c r="X48" s="353"/>
      <c r="Y48" s="353"/>
      <c r="Z48" s="353"/>
      <c r="AA48" s="353"/>
      <c r="AB48" s="351"/>
      <c r="AC48" s="353"/>
      <c r="AD48" s="353"/>
      <c r="AE48" s="353"/>
      <c r="AF48" s="353"/>
      <c r="AG48" s="353"/>
      <c r="AH48" s="351"/>
      <c r="AI48" s="353"/>
      <c r="AJ48" s="353"/>
      <c r="AK48" s="353"/>
      <c r="AL48" s="353"/>
      <c r="AM48" s="353"/>
      <c r="AN48" s="351"/>
      <c r="AO48" s="353"/>
      <c r="AP48" s="353"/>
      <c r="AQ48" s="353"/>
      <c r="AR48" s="353"/>
      <c r="AS48" s="353"/>
      <c r="AT48" s="351"/>
      <c r="AU48" s="353"/>
      <c r="AV48" s="353"/>
      <c r="AW48" s="353"/>
      <c r="AX48" s="353"/>
      <c r="AY48" s="494"/>
      <c r="AZ48" s="495"/>
      <c r="BA48" s="353"/>
      <c r="BB48" s="353"/>
      <c r="BC48" s="353"/>
      <c r="BD48" s="353"/>
      <c r="BE48" s="494"/>
      <c r="BF48" s="351"/>
      <c r="BG48" s="353"/>
      <c r="BH48" s="353"/>
      <c r="BI48" s="353"/>
      <c r="BJ48" s="353"/>
      <c r="BK48" s="493"/>
      <c r="BL48" s="351"/>
      <c r="BM48" s="353"/>
      <c r="BN48" s="353"/>
      <c r="BO48" s="353"/>
      <c r="BP48" s="353"/>
      <c r="BQ48" s="493"/>
      <c r="BR48" s="351"/>
      <c r="BS48" s="353"/>
      <c r="BT48" s="353"/>
      <c r="BU48" s="353"/>
      <c r="BV48" s="353"/>
      <c r="BW48" s="358"/>
      <c r="BX48" s="213"/>
      <c r="BY48" s="213"/>
      <c r="BZ48" s="213"/>
      <c r="CA48" s="213"/>
      <c r="CB48" s="213"/>
      <c r="CC48" s="213"/>
      <c r="CD48" s="213"/>
      <c r="CE48" s="213"/>
      <c r="CF48" s="213"/>
      <c r="CG48" s="213"/>
      <c r="CH48" s="213"/>
      <c r="CI48" s="213"/>
      <c r="CJ48" s="213"/>
      <c r="CK48" s="213"/>
      <c r="CL48" s="213"/>
      <c r="CM48" s="213"/>
      <c r="CN48" s="213"/>
      <c r="CO48" s="213"/>
      <c r="CP48" s="213"/>
      <c r="CQ48" s="213"/>
    </row>
    <row r="49" ht="15.75" hidden="1" customHeight="1">
      <c r="A49" s="213"/>
      <c r="B49" s="492" t="s">
        <v>23</v>
      </c>
      <c r="C49" s="492" t="s">
        <v>304</v>
      </c>
      <c r="D49" s="351">
        <v>0.0</v>
      </c>
      <c r="E49" s="353"/>
      <c r="F49" s="353"/>
      <c r="G49" s="353"/>
      <c r="H49" s="353"/>
      <c r="I49" s="493"/>
      <c r="J49" s="351">
        <v>0.0</v>
      </c>
      <c r="K49" s="353"/>
      <c r="L49" s="353"/>
      <c r="M49" s="353"/>
      <c r="N49" s="353"/>
      <c r="O49" s="353"/>
      <c r="P49" s="351"/>
      <c r="Q49" s="353"/>
      <c r="R49" s="353"/>
      <c r="S49" s="353"/>
      <c r="T49" s="353"/>
      <c r="U49" s="353"/>
      <c r="V49" s="351"/>
      <c r="W49" s="353"/>
      <c r="X49" s="353"/>
      <c r="Y49" s="353"/>
      <c r="Z49" s="353"/>
      <c r="AA49" s="353"/>
      <c r="AB49" s="351"/>
      <c r="AC49" s="353"/>
      <c r="AD49" s="353"/>
      <c r="AE49" s="353"/>
      <c r="AF49" s="353"/>
      <c r="AG49" s="353"/>
      <c r="AH49" s="351"/>
      <c r="AI49" s="353"/>
      <c r="AJ49" s="353"/>
      <c r="AK49" s="353"/>
      <c r="AL49" s="353"/>
      <c r="AM49" s="353"/>
      <c r="AN49" s="351"/>
      <c r="AO49" s="353"/>
      <c r="AP49" s="353"/>
      <c r="AQ49" s="353"/>
      <c r="AR49" s="353"/>
      <c r="AS49" s="353"/>
      <c r="AT49" s="351"/>
      <c r="AU49" s="353"/>
      <c r="AV49" s="353"/>
      <c r="AW49" s="353"/>
      <c r="AX49" s="353"/>
      <c r="AY49" s="494"/>
      <c r="AZ49" s="495"/>
      <c r="BA49" s="353"/>
      <c r="BB49" s="353"/>
      <c r="BC49" s="353"/>
      <c r="BD49" s="353"/>
      <c r="BE49" s="494"/>
      <c r="BF49" s="351"/>
      <c r="BG49" s="353"/>
      <c r="BH49" s="353"/>
      <c r="BI49" s="353"/>
      <c r="BJ49" s="353"/>
      <c r="BK49" s="493"/>
      <c r="BL49" s="351"/>
      <c r="BM49" s="353"/>
      <c r="BN49" s="353"/>
      <c r="BO49" s="353"/>
      <c r="BP49" s="353"/>
      <c r="BQ49" s="493"/>
      <c r="BR49" s="351"/>
      <c r="BS49" s="353"/>
      <c r="BT49" s="353"/>
      <c r="BU49" s="353"/>
      <c r="BV49" s="353"/>
      <c r="BW49" s="358"/>
      <c r="BX49" s="213"/>
      <c r="BY49" s="213"/>
      <c r="BZ49" s="213"/>
      <c r="CA49" s="213"/>
      <c r="CB49" s="213"/>
      <c r="CC49" s="213"/>
      <c r="CD49" s="213"/>
      <c r="CE49" s="213"/>
      <c r="CF49" s="213"/>
      <c r="CG49" s="213"/>
      <c r="CH49" s="213"/>
      <c r="CI49" s="213"/>
      <c r="CJ49" s="213"/>
      <c r="CK49" s="213"/>
      <c r="CL49" s="213"/>
      <c r="CM49" s="213"/>
      <c r="CN49" s="213"/>
      <c r="CO49" s="213"/>
      <c r="CP49" s="213"/>
      <c r="CQ49" s="213"/>
    </row>
    <row r="50" ht="15.75" hidden="1" customHeight="1">
      <c r="A50" s="213"/>
      <c r="B50" s="492"/>
      <c r="C50" s="492"/>
      <c r="D50" s="351"/>
      <c r="E50" s="353"/>
      <c r="F50" s="353"/>
      <c r="G50" s="353"/>
      <c r="H50" s="353"/>
      <c r="I50" s="493"/>
      <c r="J50" s="351"/>
      <c r="K50" s="353"/>
      <c r="L50" s="353"/>
      <c r="M50" s="353"/>
      <c r="N50" s="353"/>
      <c r="O50" s="353"/>
      <c r="P50" s="351"/>
      <c r="Q50" s="353"/>
      <c r="R50" s="353"/>
      <c r="S50" s="353"/>
      <c r="T50" s="353"/>
      <c r="U50" s="353"/>
      <c r="V50" s="351"/>
      <c r="W50" s="353"/>
      <c r="X50" s="353"/>
      <c r="Y50" s="353"/>
      <c r="Z50" s="353"/>
      <c r="AA50" s="353"/>
      <c r="AB50" s="351"/>
      <c r="AC50" s="353"/>
      <c r="AD50" s="353"/>
      <c r="AE50" s="353"/>
      <c r="AF50" s="353"/>
      <c r="AG50" s="353"/>
      <c r="AH50" s="351"/>
      <c r="AI50" s="353"/>
      <c r="AJ50" s="353"/>
      <c r="AK50" s="353"/>
      <c r="AL50" s="353"/>
      <c r="AM50" s="353"/>
      <c r="AN50" s="351"/>
      <c r="AO50" s="353"/>
      <c r="AP50" s="353"/>
      <c r="AQ50" s="353"/>
      <c r="AR50" s="353"/>
      <c r="AS50" s="353"/>
      <c r="AT50" s="351"/>
      <c r="AU50" s="353"/>
      <c r="AV50" s="353"/>
      <c r="AW50" s="353"/>
      <c r="AX50" s="353"/>
      <c r="AY50" s="494"/>
      <c r="AZ50" s="495"/>
      <c r="BA50" s="353"/>
      <c r="BB50" s="353"/>
      <c r="BC50" s="353"/>
      <c r="BD50" s="353"/>
      <c r="BE50" s="494"/>
      <c r="BF50" s="351"/>
      <c r="BG50" s="353"/>
      <c r="BH50" s="353"/>
      <c r="BI50" s="353"/>
      <c r="BJ50" s="353"/>
      <c r="BK50" s="493"/>
      <c r="BL50" s="351"/>
      <c r="BM50" s="353"/>
      <c r="BN50" s="353"/>
      <c r="BO50" s="353"/>
      <c r="BP50" s="353"/>
      <c r="BQ50" s="493"/>
      <c r="BR50" s="351"/>
      <c r="BS50" s="353"/>
      <c r="BT50" s="353"/>
      <c r="BU50" s="353"/>
      <c r="BV50" s="353"/>
      <c r="BW50" s="358"/>
      <c r="BX50" s="213"/>
      <c r="BY50" s="213"/>
      <c r="BZ50" s="213"/>
      <c r="CA50" s="213"/>
      <c r="CB50" s="213"/>
      <c r="CC50" s="213"/>
      <c r="CD50" s="213"/>
      <c r="CE50" s="213"/>
      <c r="CF50" s="213"/>
      <c r="CG50" s="213"/>
      <c r="CH50" s="213"/>
      <c r="CI50" s="213"/>
      <c r="CJ50" s="213"/>
      <c r="CK50" s="213"/>
      <c r="CL50" s="213"/>
      <c r="CM50" s="213"/>
      <c r="CN50" s="213"/>
      <c r="CO50" s="213"/>
      <c r="CP50" s="213"/>
      <c r="CQ50" s="213"/>
    </row>
    <row r="51" ht="15.75" hidden="1" customHeight="1">
      <c r="A51" s="213"/>
      <c r="B51" s="502"/>
      <c r="C51" s="502" t="s">
        <v>248</v>
      </c>
      <c r="D51" s="351">
        <f>SUM(D45:D50)</f>
        <v>0</v>
      </c>
      <c r="E51" s="353" t="str">
        <f>D51/D21</f>
        <v>#DIV/0!</v>
      </c>
      <c r="F51" s="353"/>
      <c r="G51" s="353"/>
      <c r="H51" s="353">
        <f>SUM(H45:H50)</f>
        <v>0</v>
      </c>
      <c r="I51" s="493" t="str">
        <f>H51/H21</f>
        <v>#DIV/0!</v>
      </c>
      <c r="J51" s="351">
        <f>SUM(J45:J49)</f>
        <v>0</v>
      </c>
      <c r="K51" s="353"/>
      <c r="L51" s="353"/>
      <c r="M51" s="353"/>
      <c r="N51" s="353"/>
      <c r="O51" s="353">
        <f>SUM(O45:O49)</f>
        <v>0</v>
      </c>
      <c r="P51" s="351">
        <f>SUM(P45:P50)</f>
        <v>0</v>
      </c>
      <c r="Q51" s="353"/>
      <c r="R51" s="353"/>
      <c r="S51" s="353"/>
      <c r="T51" s="353"/>
      <c r="U51" s="353">
        <f t="shared" ref="U51:V51" si="27">SUM(U45:U50)</f>
        <v>0</v>
      </c>
      <c r="V51" s="351">
        <f t="shared" si="27"/>
        <v>0</v>
      </c>
      <c r="W51" s="353"/>
      <c r="X51" s="353"/>
      <c r="Y51" s="353"/>
      <c r="Z51" s="353"/>
      <c r="AA51" s="353">
        <f t="shared" ref="AA51:AB51" si="28">SUM(AA45:AA50)</f>
        <v>0</v>
      </c>
      <c r="AB51" s="351">
        <f t="shared" si="28"/>
        <v>0</v>
      </c>
      <c r="AC51" s="353"/>
      <c r="AD51" s="353">
        <f>SUM(AD45:AD50)</f>
        <v>0</v>
      </c>
      <c r="AE51" s="353"/>
      <c r="AF51" s="353"/>
      <c r="AG51" s="353"/>
      <c r="AH51" s="351">
        <f>SUM(AH45:AH50)</f>
        <v>0</v>
      </c>
      <c r="AI51" s="353"/>
      <c r="AJ51" s="353">
        <f>SUM(AJ45:AJ50)</f>
        <v>0</v>
      </c>
      <c r="AK51" s="353"/>
      <c r="AL51" s="353"/>
      <c r="AM51" s="353"/>
      <c r="AN51" s="351">
        <f>SUM(AN45:AN50)</f>
        <v>0</v>
      </c>
      <c r="AO51" s="353"/>
      <c r="AP51" s="353">
        <f>SUM(AP45:AP50)</f>
        <v>0</v>
      </c>
      <c r="AQ51" s="353" t="str">
        <f>AP51/AP21</f>
        <v>#DIV/0!</v>
      </c>
      <c r="AR51" s="353">
        <f>SUM(AR45:AR50)</f>
        <v>0</v>
      </c>
      <c r="AS51" s="353"/>
      <c r="AT51" s="351">
        <f>SUM(AT45:AT50)</f>
        <v>0</v>
      </c>
      <c r="AU51" s="353"/>
      <c r="AV51" s="353">
        <f>SUM(AV45:AV50)</f>
        <v>0</v>
      </c>
      <c r="AW51" s="353" t="str">
        <f>AV51/AV21</f>
        <v>#DIV/0!</v>
      </c>
      <c r="AX51" s="353">
        <f>SUM(AX45:AX50)</f>
        <v>0</v>
      </c>
      <c r="AY51" s="494"/>
      <c r="AZ51" s="495">
        <f>SUM(AZ45:AZ50)</f>
        <v>0</v>
      </c>
      <c r="BA51" s="353"/>
      <c r="BB51" s="353">
        <f>SUM(BB45:BB50)</f>
        <v>0</v>
      </c>
      <c r="BC51" s="353" t="str">
        <f>BB51/BB21</f>
        <v>#DIV/0!</v>
      </c>
      <c r="BD51" s="353">
        <f>SUM(BD45:BD50)</f>
        <v>0</v>
      </c>
      <c r="BE51" s="494"/>
      <c r="BF51" s="351">
        <f>SUM(BF45:BF50)</f>
        <v>0</v>
      </c>
      <c r="BG51" s="353"/>
      <c r="BH51" s="353">
        <f>SUM(BH45:BH50)</f>
        <v>0</v>
      </c>
      <c r="BI51" s="353" t="str">
        <f>BH51/BH21</f>
        <v>#DIV/0!</v>
      </c>
      <c r="BJ51" s="353">
        <f>SUM(BJ45:BJ50)</f>
        <v>0</v>
      </c>
      <c r="BK51" s="493"/>
      <c r="BL51" s="351">
        <f>SUM(BL45:BL50)</f>
        <v>0</v>
      </c>
      <c r="BM51" s="353"/>
      <c r="BN51" s="353">
        <f>SUM(BN45:BN50)</f>
        <v>0</v>
      </c>
      <c r="BO51" s="353" t="str">
        <f>BN51/BN21</f>
        <v>#DIV/0!</v>
      </c>
      <c r="BP51" s="353">
        <f>SUM(BP45:BP50)</f>
        <v>0</v>
      </c>
      <c r="BQ51" s="493"/>
      <c r="BR51" s="351">
        <f>SUM(BR45:BR50)</f>
        <v>0</v>
      </c>
      <c r="BS51" s="353"/>
      <c r="BT51" s="353">
        <f>SUM(BT45:BT50)</f>
        <v>0</v>
      </c>
      <c r="BU51" s="353" t="str">
        <f>BT51/BT21</f>
        <v>#DIV/0!</v>
      </c>
      <c r="BV51" s="353">
        <f>SUM(BV45:BV50)</f>
        <v>0</v>
      </c>
      <c r="BW51" s="358"/>
      <c r="BX51" s="213"/>
      <c r="BY51" s="213"/>
      <c r="BZ51" s="213"/>
      <c r="CA51" s="213"/>
      <c r="CB51" s="213"/>
      <c r="CC51" s="213"/>
      <c r="CD51" s="213"/>
      <c r="CE51" s="213"/>
      <c r="CF51" s="213"/>
      <c r="CG51" s="213"/>
      <c r="CH51" s="213"/>
      <c r="CI51" s="213"/>
      <c r="CJ51" s="213"/>
      <c r="CK51" s="213"/>
      <c r="CL51" s="213"/>
      <c r="CM51" s="213"/>
      <c r="CN51" s="213"/>
      <c r="CO51" s="213"/>
      <c r="CP51" s="213"/>
      <c r="CQ51" s="213"/>
    </row>
    <row r="52" ht="15.75" customHeight="1">
      <c r="A52" s="213"/>
      <c r="B52" s="517" t="s">
        <v>306</v>
      </c>
      <c r="C52" s="518"/>
      <c r="D52" s="505"/>
      <c r="E52" s="365"/>
      <c r="F52" s="365"/>
      <c r="G52" s="365"/>
      <c r="H52" s="365"/>
      <c r="I52" s="503"/>
      <c r="J52" s="363"/>
      <c r="K52" s="365"/>
      <c r="L52" s="365"/>
      <c r="M52" s="365"/>
      <c r="N52" s="365"/>
      <c r="O52" s="365"/>
      <c r="P52" s="363"/>
      <c r="Q52" s="365"/>
      <c r="R52" s="365"/>
      <c r="S52" s="365"/>
      <c r="T52" s="365"/>
      <c r="U52" s="365"/>
      <c r="V52" s="363"/>
      <c r="W52" s="365"/>
      <c r="X52" s="365"/>
      <c r="Y52" s="365"/>
      <c r="Z52" s="365"/>
      <c r="AA52" s="365"/>
      <c r="AB52" s="363"/>
      <c r="AC52" s="365"/>
      <c r="AD52" s="365"/>
      <c r="AE52" s="365"/>
      <c r="AF52" s="365"/>
      <c r="AG52" s="365"/>
      <c r="AH52" s="363"/>
      <c r="AI52" s="365"/>
      <c r="AJ52" s="365"/>
      <c r="AK52" s="365"/>
      <c r="AL52" s="365"/>
      <c r="AM52" s="365"/>
      <c r="AN52" s="363"/>
      <c r="AO52" s="365"/>
      <c r="AP52" s="365"/>
      <c r="AQ52" s="365"/>
      <c r="AR52" s="365"/>
      <c r="AS52" s="365"/>
      <c r="AT52" s="363"/>
      <c r="AU52" s="365"/>
      <c r="AV52" s="365"/>
      <c r="AW52" s="365"/>
      <c r="AX52" s="365"/>
      <c r="AY52" s="504"/>
      <c r="AZ52" s="505"/>
      <c r="BA52" s="365"/>
      <c r="BB52" s="365"/>
      <c r="BC52" s="365"/>
      <c r="BD52" s="365"/>
      <c r="BE52" s="504"/>
      <c r="BF52" s="363"/>
      <c r="BG52" s="365"/>
      <c r="BH52" s="365"/>
      <c r="BI52" s="365"/>
      <c r="BJ52" s="365"/>
      <c r="BK52" s="503"/>
      <c r="BL52" s="363"/>
      <c r="BM52" s="365"/>
      <c r="BN52" s="365"/>
      <c r="BO52" s="365"/>
      <c r="BP52" s="365"/>
      <c r="BQ52" s="503"/>
      <c r="BR52" s="506"/>
      <c r="BS52" s="365"/>
      <c r="BT52" s="365"/>
      <c r="BU52" s="365"/>
      <c r="BV52" s="365"/>
      <c r="BW52" s="368"/>
      <c r="BX52" s="213"/>
      <c r="BY52" s="213"/>
      <c r="BZ52" s="213"/>
      <c r="CA52" s="213"/>
      <c r="CB52" s="213"/>
      <c r="CC52" s="213"/>
      <c r="CD52" s="213"/>
      <c r="CE52" s="213"/>
      <c r="CF52" s="213"/>
      <c r="CG52" s="213"/>
      <c r="CH52" s="213"/>
      <c r="CI52" s="213"/>
      <c r="CJ52" s="213"/>
      <c r="CK52" s="213"/>
      <c r="CL52" s="213"/>
      <c r="CM52" s="213"/>
      <c r="CN52" s="213"/>
      <c r="CO52" s="213"/>
      <c r="CP52" s="213"/>
      <c r="CQ52" s="213"/>
    </row>
    <row r="53" ht="15.75" customHeight="1">
      <c r="A53" s="213"/>
      <c r="B53" s="507"/>
      <c r="C53" s="519" t="s">
        <v>250</v>
      </c>
      <c r="D53" s="373">
        <f>SUM(D54:D61)</f>
        <v>132065</v>
      </c>
      <c r="E53" s="375"/>
      <c r="F53" s="375">
        <f>SUM(F54:F61)</f>
        <v>121164</v>
      </c>
      <c r="G53" s="375"/>
      <c r="H53" s="375">
        <f>SUM(H54:H61)</f>
        <v>10901</v>
      </c>
      <c r="I53" s="484"/>
      <c r="J53" s="373">
        <f>SUM(J54:J61)</f>
        <v>74161</v>
      </c>
      <c r="K53" s="375"/>
      <c r="L53" s="375">
        <f>SUM(L54:L61)</f>
        <v>12874</v>
      </c>
      <c r="M53" s="375"/>
      <c r="N53" s="375"/>
      <c r="O53" s="520"/>
      <c r="P53" s="373">
        <f>SUM(P54:P61)</f>
        <v>64900</v>
      </c>
      <c r="Q53" s="375"/>
      <c r="R53" s="375">
        <f>SUM(R54:R61)</f>
        <v>12874</v>
      </c>
      <c r="S53" s="375"/>
      <c r="T53" s="375"/>
      <c r="U53" s="520"/>
      <c r="V53" s="373">
        <f>SUM(V54:V61)</f>
        <v>42390</v>
      </c>
      <c r="W53" s="375"/>
      <c r="X53" s="375">
        <f>SUM(X54:X61)</f>
        <v>12874</v>
      </c>
      <c r="Y53" s="375"/>
      <c r="Z53" s="375"/>
      <c r="AA53" s="520"/>
      <c r="AB53" s="373">
        <f>SUM(AB54:AB61)</f>
        <v>41300</v>
      </c>
      <c r="AC53" s="375"/>
      <c r="AD53" s="375">
        <f>SUM(AD54:AD61)</f>
        <v>12874</v>
      </c>
      <c r="AE53" s="375"/>
      <c r="AF53" s="375"/>
      <c r="AG53" s="375"/>
      <c r="AH53" s="373">
        <f>SUM(AH54:AH61)</f>
        <v>48588</v>
      </c>
      <c r="AI53" s="375"/>
      <c r="AJ53" s="375">
        <f>SUM(AJ54:AJ61)</f>
        <v>12874</v>
      </c>
      <c r="AK53" s="375"/>
      <c r="AL53" s="375"/>
      <c r="AM53" s="375"/>
      <c r="AN53" s="373">
        <f>SUM(AN54:AN61)</f>
        <v>70638</v>
      </c>
      <c r="AO53" s="375"/>
      <c r="AP53" s="375">
        <f>SUM(AP54:AP61)</f>
        <v>12874</v>
      </c>
      <c r="AQ53" s="375"/>
      <c r="AR53" s="375">
        <f>SUM(AR54:AR61)</f>
        <v>0</v>
      </c>
      <c r="AS53" s="375"/>
      <c r="AT53" s="373">
        <f>SUM(AT54:AT61)</f>
        <v>43478</v>
      </c>
      <c r="AU53" s="375"/>
      <c r="AV53" s="375">
        <f>SUM(AV54:AV61)</f>
        <v>12874</v>
      </c>
      <c r="AW53" s="375"/>
      <c r="AX53" s="375">
        <f>SUM(AX54:AX61)</f>
        <v>0</v>
      </c>
      <c r="AY53" s="485"/>
      <c r="AZ53" s="486">
        <f>SUM(AZ54:AZ61)</f>
        <v>41300</v>
      </c>
      <c r="BA53" s="375"/>
      <c r="BB53" s="375">
        <f>SUM(BB54:BB61)</f>
        <v>12874</v>
      </c>
      <c r="BC53" s="375"/>
      <c r="BD53" s="375">
        <f>SUM(BD54:BD61)</f>
        <v>0</v>
      </c>
      <c r="BE53" s="485"/>
      <c r="BF53" s="373">
        <f>SUM(BF54:BF61)</f>
        <v>46383</v>
      </c>
      <c r="BG53" s="375"/>
      <c r="BH53" s="375">
        <f>SUM(BH54:BH61)</f>
        <v>12874</v>
      </c>
      <c r="BI53" s="375"/>
      <c r="BJ53" s="375">
        <f>SUM(BJ54:BJ61)</f>
        <v>0</v>
      </c>
      <c r="BK53" s="484"/>
      <c r="BL53" s="373">
        <f>SUM(BL54:BL61)</f>
        <v>44485</v>
      </c>
      <c r="BM53" s="375"/>
      <c r="BN53" s="375">
        <f>SUM(BN54:BN61)</f>
        <v>12874</v>
      </c>
      <c r="BO53" s="375"/>
      <c r="BP53" s="375">
        <f>SUM(BP54:BP61)</f>
        <v>0</v>
      </c>
      <c r="BQ53" s="484"/>
      <c r="BR53" s="373">
        <f>SUM(BR54:BR61)</f>
        <v>57386</v>
      </c>
      <c r="BS53" s="375"/>
      <c r="BT53" s="375">
        <f>SUM(BT54:BT61)</f>
        <v>12874</v>
      </c>
      <c r="BU53" s="375"/>
      <c r="BV53" s="375">
        <f>SUM(BV54:BV61)</f>
        <v>0</v>
      </c>
      <c r="BW53" s="378"/>
      <c r="BX53" s="216"/>
      <c r="BY53" s="216"/>
      <c r="BZ53" s="216"/>
      <c r="CA53" s="216"/>
      <c r="CB53" s="216"/>
      <c r="CC53" s="216"/>
      <c r="CD53" s="216"/>
      <c r="CE53" s="216"/>
      <c r="CF53" s="216"/>
      <c r="CG53" s="216"/>
      <c r="CH53" s="216"/>
      <c r="CI53" s="216"/>
      <c r="CJ53" s="216"/>
      <c r="CK53" s="216"/>
      <c r="CL53" s="216"/>
      <c r="CM53" s="216"/>
      <c r="CN53" s="216"/>
      <c r="CO53" s="216"/>
      <c r="CP53" s="216"/>
      <c r="CQ53" s="216"/>
    </row>
    <row r="54" ht="15.75" customHeight="1">
      <c r="A54" s="213"/>
      <c r="B54" s="488"/>
      <c r="C54" s="521" t="s">
        <v>307</v>
      </c>
      <c r="D54" s="384"/>
      <c r="E54" s="386"/>
      <c r="F54" s="386"/>
      <c r="G54" s="386"/>
      <c r="H54" s="386"/>
      <c r="I54" s="489"/>
      <c r="J54" s="384"/>
      <c r="K54" s="386"/>
      <c r="L54" s="386"/>
      <c r="M54" s="386"/>
      <c r="N54" s="386"/>
      <c r="O54" s="522"/>
      <c r="P54" s="384"/>
      <c r="Q54" s="386"/>
      <c r="R54" s="386"/>
      <c r="S54" s="386"/>
      <c r="T54" s="386"/>
      <c r="U54" s="522"/>
      <c r="V54" s="384"/>
      <c r="W54" s="386"/>
      <c r="X54" s="386"/>
      <c r="Y54" s="386"/>
      <c r="Z54" s="386"/>
      <c r="AA54" s="522"/>
      <c r="AB54" s="384"/>
      <c r="AC54" s="386"/>
      <c r="AD54" s="386"/>
      <c r="AE54" s="386"/>
      <c r="AF54" s="386"/>
      <c r="AG54" s="386"/>
      <c r="AH54" s="384"/>
      <c r="AI54" s="386"/>
      <c r="AJ54" s="386"/>
      <c r="AK54" s="386"/>
      <c r="AL54" s="386"/>
      <c r="AM54" s="386"/>
      <c r="AN54" s="384"/>
      <c r="AO54" s="386"/>
      <c r="AP54" s="386"/>
      <c r="AQ54" s="386"/>
      <c r="AR54" s="386"/>
      <c r="AS54" s="386"/>
      <c r="AT54" s="384"/>
      <c r="AU54" s="386"/>
      <c r="AV54" s="386"/>
      <c r="AW54" s="386"/>
      <c r="AX54" s="386"/>
      <c r="AY54" s="490"/>
      <c r="AZ54" s="439"/>
      <c r="BA54" s="386"/>
      <c r="BB54" s="386"/>
      <c r="BC54" s="386"/>
      <c r="BD54" s="386"/>
      <c r="BE54" s="490"/>
      <c r="BF54" s="450"/>
      <c r="BG54" s="386"/>
      <c r="BH54" s="386"/>
      <c r="BI54" s="386"/>
      <c r="BJ54" s="386"/>
      <c r="BK54" s="489"/>
      <c r="BL54" s="450"/>
      <c r="BM54" s="386"/>
      <c r="BN54" s="386"/>
      <c r="BO54" s="386"/>
      <c r="BP54" s="386"/>
      <c r="BQ54" s="489"/>
      <c r="BR54" s="491"/>
      <c r="BS54" s="386"/>
      <c r="BT54" s="386"/>
      <c r="BU54" s="386"/>
      <c r="BV54" s="386"/>
      <c r="BW54" s="389"/>
      <c r="BX54" s="213"/>
      <c r="BY54" s="213"/>
      <c r="BZ54" s="213"/>
      <c r="CA54" s="213"/>
      <c r="CB54" s="213"/>
      <c r="CC54" s="213"/>
      <c r="CD54" s="213"/>
      <c r="CE54" s="213"/>
      <c r="CF54" s="213"/>
      <c r="CG54" s="213"/>
      <c r="CH54" s="213"/>
      <c r="CI54" s="213"/>
      <c r="CJ54" s="213"/>
      <c r="CK54" s="213"/>
      <c r="CL54" s="213"/>
      <c r="CM54" s="213"/>
      <c r="CN54" s="213"/>
      <c r="CO54" s="213"/>
      <c r="CP54" s="213"/>
      <c r="CQ54" s="213"/>
    </row>
    <row r="55" ht="15.75" customHeight="1">
      <c r="A55" s="213"/>
      <c r="B55" s="492"/>
      <c r="C55" s="492" t="s">
        <v>308</v>
      </c>
      <c r="D55" s="351">
        <v>17700.0</v>
      </c>
      <c r="E55" s="353"/>
      <c r="F55" s="353">
        <v>16250.0</v>
      </c>
      <c r="G55" s="353"/>
      <c r="H55" s="353">
        <f t="shared" ref="H55:H57" si="29">D55-F55</f>
        <v>1450</v>
      </c>
      <c r="I55" s="493"/>
      <c r="J55" s="351">
        <v>17700.0</v>
      </c>
      <c r="K55" s="353"/>
      <c r="L55" s="353"/>
      <c r="M55" s="353"/>
      <c r="N55" s="353"/>
      <c r="O55" s="523"/>
      <c r="P55" s="351">
        <v>17700.0</v>
      </c>
      <c r="Q55" s="353"/>
      <c r="R55" s="353"/>
      <c r="S55" s="353"/>
      <c r="T55" s="353"/>
      <c r="U55" s="523"/>
      <c r="V55" s="351">
        <v>17700.0</v>
      </c>
      <c r="W55" s="353"/>
      <c r="X55" s="353"/>
      <c r="Y55" s="353"/>
      <c r="Z55" s="353"/>
      <c r="AA55" s="523"/>
      <c r="AB55" s="351">
        <v>17700.0</v>
      </c>
      <c r="AC55" s="353"/>
      <c r="AD55" s="353"/>
      <c r="AE55" s="353"/>
      <c r="AF55" s="353"/>
      <c r="AG55" s="353"/>
      <c r="AH55" s="351">
        <v>17700.0</v>
      </c>
      <c r="AI55" s="353"/>
      <c r="AJ55" s="353"/>
      <c r="AK55" s="353"/>
      <c r="AL55" s="353"/>
      <c r="AM55" s="353"/>
      <c r="AN55" s="351">
        <v>17700.0</v>
      </c>
      <c r="AO55" s="353"/>
      <c r="AP55" s="353"/>
      <c r="AQ55" s="353"/>
      <c r="AR55" s="353"/>
      <c r="AS55" s="353"/>
      <c r="AT55" s="351">
        <v>17700.0</v>
      </c>
      <c r="AU55" s="353"/>
      <c r="AV55" s="353"/>
      <c r="AW55" s="353"/>
      <c r="AX55" s="353"/>
      <c r="AY55" s="494"/>
      <c r="AZ55" s="351">
        <v>17700.0</v>
      </c>
      <c r="BA55" s="353"/>
      <c r="BB55" s="353"/>
      <c r="BC55" s="353"/>
      <c r="BD55" s="353"/>
      <c r="BE55" s="494"/>
      <c r="BF55" s="351">
        <v>17700.0</v>
      </c>
      <c r="BG55" s="353"/>
      <c r="BH55" s="353"/>
      <c r="BI55" s="353"/>
      <c r="BJ55" s="353"/>
      <c r="BK55" s="493"/>
      <c r="BL55" s="351">
        <v>17700.0</v>
      </c>
      <c r="BM55" s="353"/>
      <c r="BN55" s="353"/>
      <c r="BO55" s="353"/>
      <c r="BP55" s="353"/>
      <c r="BQ55" s="493"/>
      <c r="BR55" s="351">
        <v>17700.0</v>
      </c>
      <c r="BS55" s="353"/>
      <c r="BT55" s="353"/>
      <c r="BU55" s="353"/>
      <c r="BV55" s="353"/>
      <c r="BW55" s="358"/>
      <c r="BX55" s="213"/>
      <c r="BY55" s="213"/>
      <c r="BZ55" s="213"/>
      <c r="CA55" s="213"/>
      <c r="CB55" s="213"/>
      <c r="CC55" s="213"/>
      <c r="CD55" s="213"/>
      <c r="CE55" s="213"/>
      <c r="CF55" s="213"/>
      <c r="CG55" s="213"/>
      <c r="CH55" s="213"/>
      <c r="CI55" s="213"/>
      <c r="CJ55" s="213"/>
      <c r="CK55" s="213"/>
      <c r="CL55" s="213"/>
      <c r="CM55" s="213"/>
      <c r="CN55" s="213"/>
      <c r="CO55" s="213"/>
      <c r="CP55" s="213"/>
      <c r="CQ55" s="213"/>
    </row>
    <row r="56" ht="15.75" customHeight="1">
      <c r="A56" s="213"/>
      <c r="B56" s="492"/>
      <c r="C56" s="492" t="s">
        <v>309</v>
      </c>
      <c r="D56" s="351">
        <v>47200.0</v>
      </c>
      <c r="E56" s="353"/>
      <c r="F56" s="353">
        <v>47200.0</v>
      </c>
      <c r="G56" s="353"/>
      <c r="H56" s="353">
        <f t="shared" si="29"/>
        <v>0</v>
      </c>
      <c r="I56" s="493"/>
      <c r="J56" s="351">
        <v>47200.0</v>
      </c>
      <c r="K56" s="353"/>
      <c r="L56" s="353"/>
      <c r="M56" s="353"/>
      <c r="N56" s="353"/>
      <c r="O56" s="523"/>
      <c r="P56" s="351">
        <v>47200.0</v>
      </c>
      <c r="Q56" s="353"/>
      <c r="R56" s="353"/>
      <c r="S56" s="353"/>
      <c r="T56" s="353"/>
      <c r="U56" s="523"/>
      <c r="V56" s="351">
        <v>23600.0</v>
      </c>
      <c r="W56" s="353"/>
      <c r="X56" s="353"/>
      <c r="Y56" s="353"/>
      <c r="Z56" s="353"/>
      <c r="AA56" s="523"/>
      <c r="AB56" s="351">
        <v>23600.0</v>
      </c>
      <c r="AC56" s="353"/>
      <c r="AD56" s="353"/>
      <c r="AE56" s="353"/>
      <c r="AF56" s="353"/>
      <c r="AG56" s="353"/>
      <c r="AH56" s="351">
        <v>29500.0</v>
      </c>
      <c r="AI56" s="353"/>
      <c r="AJ56" s="353"/>
      <c r="AK56" s="353"/>
      <c r="AL56" s="353"/>
      <c r="AM56" s="353"/>
      <c r="AN56" s="351">
        <v>47200.0</v>
      </c>
      <c r="AO56" s="353"/>
      <c r="AP56" s="353"/>
      <c r="AQ56" s="353"/>
      <c r="AR56" s="353"/>
      <c r="AS56" s="353"/>
      <c r="AT56" s="351">
        <v>23600.0</v>
      </c>
      <c r="AU56" s="353"/>
      <c r="AV56" s="353"/>
      <c r="AW56" s="353"/>
      <c r="AX56" s="353"/>
      <c r="AY56" s="494"/>
      <c r="AZ56" s="495">
        <v>23600.0</v>
      </c>
      <c r="BA56" s="353"/>
      <c r="BB56" s="353"/>
      <c r="BC56" s="353"/>
      <c r="BD56" s="353"/>
      <c r="BE56" s="494"/>
      <c r="BF56" s="351">
        <v>23600.0</v>
      </c>
      <c r="BG56" s="353"/>
      <c r="BH56" s="353"/>
      <c r="BI56" s="353"/>
      <c r="BJ56" s="353"/>
      <c r="BK56" s="493"/>
      <c r="BL56" s="351">
        <v>23600.0</v>
      </c>
      <c r="BM56" s="353"/>
      <c r="BN56" s="353"/>
      <c r="BO56" s="353"/>
      <c r="BP56" s="353"/>
      <c r="BQ56" s="493"/>
      <c r="BR56" s="396">
        <v>35400.0</v>
      </c>
      <c r="BS56" s="353"/>
      <c r="BT56" s="353"/>
      <c r="BU56" s="353"/>
      <c r="BV56" s="353"/>
      <c r="BW56" s="358"/>
      <c r="BX56" s="213"/>
      <c r="BY56" s="213"/>
      <c r="BZ56" s="213"/>
      <c r="CA56" s="213"/>
      <c r="CB56" s="213"/>
      <c r="CC56" s="213"/>
      <c r="CD56" s="213"/>
      <c r="CE56" s="213"/>
      <c r="CF56" s="213"/>
      <c r="CG56" s="213"/>
      <c r="CH56" s="213"/>
      <c r="CI56" s="213"/>
      <c r="CJ56" s="213"/>
      <c r="CK56" s="213"/>
      <c r="CL56" s="213"/>
      <c r="CM56" s="213"/>
      <c r="CN56" s="213"/>
      <c r="CO56" s="213"/>
      <c r="CP56" s="213"/>
      <c r="CQ56" s="213"/>
    </row>
    <row r="57" ht="15.75" customHeight="1">
      <c r="A57" s="213"/>
      <c r="B57" s="492"/>
      <c r="C57" s="492" t="s">
        <v>310</v>
      </c>
      <c r="D57" s="351">
        <v>44840.0</v>
      </c>
      <c r="E57" s="353"/>
      <c r="F57" s="353">
        <v>44840.0</v>
      </c>
      <c r="G57" s="353"/>
      <c r="H57" s="353">
        <f t="shared" si="29"/>
        <v>0</v>
      </c>
      <c r="I57" s="493"/>
      <c r="J57" s="524"/>
      <c r="K57" s="353"/>
      <c r="L57" s="353"/>
      <c r="M57" s="353"/>
      <c r="N57" s="353"/>
      <c r="O57" s="523"/>
      <c r="P57" s="351"/>
      <c r="Q57" s="353"/>
      <c r="R57" s="353"/>
      <c r="S57" s="353"/>
      <c r="T57" s="353"/>
      <c r="U57" s="523"/>
      <c r="V57" s="351"/>
      <c r="W57" s="353"/>
      <c r="X57" s="353"/>
      <c r="Y57" s="353"/>
      <c r="Z57" s="353"/>
      <c r="AA57" s="523"/>
      <c r="AB57" s="351"/>
      <c r="AC57" s="353"/>
      <c r="AD57" s="353"/>
      <c r="AE57" s="353"/>
      <c r="AF57" s="353"/>
      <c r="AG57" s="353"/>
      <c r="AH57" s="351"/>
      <c r="AI57" s="353"/>
      <c r="AJ57" s="353"/>
      <c r="AK57" s="353"/>
      <c r="AL57" s="353"/>
      <c r="AM57" s="353"/>
      <c r="AN57" s="351"/>
      <c r="AO57" s="353"/>
      <c r="AP57" s="353"/>
      <c r="AQ57" s="353"/>
      <c r="AR57" s="353"/>
      <c r="AS57" s="353"/>
      <c r="AT57" s="351"/>
      <c r="AU57" s="353"/>
      <c r="AV57" s="353"/>
      <c r="AW57" s="353"/>
      <c r="AX57" s="353"/>
      <c r="AY57" s="494"/>
      <c r="AZ57" s="495"/>
      <c r="BA57" s="353"/>
      <c r="BB57" s="353"/>
      <c r="BC57" s="353"/>
      <c r="BD57" s="353"/>
      <c r="BE57" s="494"/>
      <c r="BF57" s="351"/>
      <c r="BG57" s="353"/>
      <c r="BH57" s="353"/>
      <c r="BI57" s="353"/>
      <c r="BJ57" s="353"/>
      <c r="BK57" s="493"/>
      <c r="BL57" s="351"/>
      <c r="BM57" s="353"/>
      <c r="BN57" s="353"/>
      <c r="BO57" s="353"/>
      <c r="BP57" s="353"/>
      <c r="BQ57" s="493"/>
      <c r="BR57" s="351"/>
      <c r="BS57" s="353"/>
      <c r="BT57" s="353"/>
      <c r="BU57" s="353"/>
      <c r="BV57" s="353"/>
      <c r="BW57" s="358"/>
      <c r="BX57" s="213"/>
      <c r="BY57" s="213"/>
      <c r="BZ57" s="213"/>
      <c r="CA57" s="213"/>
      <c r="CB57" s="213"/>
      <c r="CC57" s="213"/>
      <c r="CD57" s="213"/>
      <c r="CE57" s="213"/>
      <c r="CF57" s="213"/>
      <c r="CG57" s="213"/>
      <c r="CH57" s="213"/>
      <c r="CI57" s="213"/>
      <c r="CJ57" s="213"/>
      <c r="CK57" s="213"/>
      <c r="CL57" s="213"/>
      <c r="CM57" s="213"/>
      <c r="CN57" s="213"/>
      <c r="CO57" s="213"/>
      <c r="CP57" s="213"/>
      <c r="CQ57" s="213"/>
    </row>
    <row r="58" ht="15.75" customHeight="1">
      <c r="A58" s="213"/>
      <c r="B58" s="492"/>
      <c r="C58" s="492" t="s">
        <v>311</v>
      </c>
      <c r="D58" s="351"/>
      <c r="E58" s="353"/>
      <c r="F58" s="353"/>
      <c r="G58" s="353"/>
      <c r="H58" s="353"/>
      <c r="I58" s="493"/>
      <c r="J58" s="351"/>
      <c r="K58" s="353"/>
      <c r="L58" s="353"/>
      <c r="M58" s="353"/>
      <c r="N58" s="353"/>
      <c r="O58" s="523"/>
      <c r="P58" s="351"/>
      <c r="Q58" s="353"/>
      <c r="R58" s="353"/>
      <c r="S58" s="353"/>
      <c r="T58" s="353"/>
      <c r="U58" s="523"/>
      <c r="V58" s="396">
        <v>1090.0</v>
      </c>
      <c r="W58" s="353"/>
      <c r="X58" s="353"/>
      <c r="Y58" s="353"/>
      <c r="Z58" s="353"/>
      <c r="AA58" s="523"/>
      <c r="AB58" s="396">
        <v>0.0</v>
      </c>
      <c r="AC58" s="353"/>
      <c r="AD58" s="353"/>
      <c r="AE58" s="353"/>
      <c r="AF58" s="353"/>
      <c r="AG58" s="353"/>
      <c r="AH58" s="396">
        <v>1388.0</v>
      </c>
      <c r="AI58" s="353"/>
      <c r="AJ58" s="353"/>
      <c r="AK58" s="353"/>
      <c r="AL58" s="353"/>
      <c r="AM58" s="353"/>
      <c r="AN58" s="396">
        <v>5738.0</v>
      </c>
      <c r="AO58" s="353"/>
      <c r="AP58" s="353"/>
      <c r="AQ58" s="353"/>
      <c r="AR58" s="353"/>
      <c r="AS58" s="353"/>
      <c r="AT58" s="396">
        <v>2178.0</v>
      </c>
      <c r="AU58" s="353"/>
      <c r="AV58" s="353"/>
      <c r="AW58" s="353"/>
      <c r="AX58" s="353"/>
      <c r="AY58" s="494"/>
      <c r="AZ58" s="525">
        <v>0.0</v>
      </c>
      <c r="BA58" s="353"/>
      <c r="BB58" s="353"/>
      <c r="BC58" s="353"/>
      <c r="BD58" s="353"/>
      <c r="BE58" s="494"/>
      <c r="BF58" s="396">
        <v>5083.0</v>
      </c>
      <c r="BG58" s="353"/>
      <c r="BH58" s="353"/>
      <c r="BI58" s="353"/>
      <c r="BJ58" s="353"/>
      <c r="BK58" s="493"/>
      <c r="BL58" s="396">
        <v>3185.0</v>
      </c>
      <c r="BM58" s="353"/>
      <c r="BN58" s="353"/>
      <c r="BO58" s="353"/>
      <c r="BP58" s="353"/>
      <c r="BQ58" s="493"/>
      <c r="BR58" s="396">
        <v>4286.0</v>
      </c>
      <c r="BS58" s="353"/>
      <c r="BT58" s="353"/>
      <c r="BU58" s="353"/>
      <c r="BV58" s="353"/>
      <c r="BW58" s="358"/>
      <c r="BX58" s="213"/>
      <c r="BY58" s="213"/>
      <c r="BZ58" s="213"/>
      <c r="CA58" s="213"/>
      <c r="CB58" s="213"/>
      <c r="CC58" s="213"/>
      <c r="CD58" s="213"/>
      <c r="CE58" s="213"/>
      <c r="CF58" s="213"/>
      <c r="CG58" s="213"/>
      <c r="CH58" s="213"/>
      <c r="CI58" s="213"/>
      <c r="CJ58" s="213"/>
      <c r="CK58" s="213"/>
      <c r="CL58" s="213"/>
      <c r="CM58" s="213"/>
      <c r="CN58" s="213"/>
      <c r="CO58" s="213"/>
      <c r="CP58" s="213"/>
      <c r="CQ58" s="213"/>
    </row>
    <row r="59" ht="15.75" customHeight="1">
      <c r="A59" s="213"/>
      <c r="B59" s="492"/>
      <c r="C59" s="492" t="s">
        <v>254</v>
      </c>
      <c r="D59" s="351"/>
      <c r="E59" s="353"/>
      <c r="F59" s="353"/>
      <c r="G59" s="353"/>
      <c r="H59" s="353">
        <f t="shared" ref="H59:H61" si="30">D59-F59</f>
        <v>0</v>
      </c>
      <c r="I59" s="493"/>
      <c r="J59" s="351">
        <v>2461.0</v>
      </c>
      <c r="K59" s="353"/>
      <c r="L59" s="353"/>
      <c r="M59" s="353"/>
      <c r="N59" s="353"/>
      <c r="O59" s="523"/>
      <c r="P59" s="351"/>
      <c r="Q59" s="353"/>
      <c r="R59" s="353"/>
      <c r="S59" s="353"/>
      <c r="T59" s="353"/>
      <c r="U59" s="523"/>
      <c r="V59" s="351"/>
      <c r="W59" s="353"/>
      <c r="X59" s="353"/>
      <c r="Y59" s="353"/>
      <c r="Z59" s="353"/>
      <c r="AA59" s="523"/>
      <c r="AB59" s="351"/>
      <c r="AC59" s="353"/>
      <c r="AD59" s="353"/>
      <c r="AE59" s="353"/>
      <c r="AF59" s="353"/>
      <c r="AG59" s="353"/>
      <c r="AH59" s="351"/>
      <c r="AI59" s="353"/>
      <c r="AJ59" s="353"/>
      <c r="AK59" s="353"/>
      <c r="AL59" s="353"/>
      <c r="AM59" s="353"/>
      <c r="AN59" s="351"/>
      <c r="AO59" s="353"/>
      <c r="AP59" s="353"/>
      <c r="AQ59" s="353"/>
      <c r="AR59" s="353"/>
      <c r="AS59" s="353"/>
      <c r="AT59" s="351"/>
      <c r="AU59" s="353"/>
      <c r="AV59" s="353"/>
      <c r="AW59" s="353"/>
      <c r="AX59" s="353"/>
      <c r="AY59" s="494"/>
      <c r="AZ59" s="495"/>
      <c r="BA59" s="353"/>
      <c r="BB59" s="353"/>
      <c r="BC59" s="353"/>
      <c r="BD59" s="353"/>
      <c r="BE59" s="494"/>
      <c r="BF59" s="351"/>
      <c r="BG59" s="353"/>
      <c r="BH59" s="353"/>
      <c r="BI59" s="353"/>
      <c r="BJ59" s="353"/>
      <c r="BK59" s="493"/>
      <c r="BL59" s="351"/>
      <c r="BM59" s="353"/>
      <c r="BN59" s="353"/>
      <c r="BO59" s="353"/>
      <c r="BP59" s="353"/>
      <c r="BQ59" s="493"/>
      <c r="BR59" s="351"/>
      <c r="BS59" s="353"/>
      <c r="BT59" s="353"/>
      <c r="BU59" s="353"/>
      <c r="BV59" s="353"/>
      <c r="BW59" s="358"/>
      <c r="BX59" s="213"/>
      <c r="BY59" s="213"/>
      <c r="BZ59" s="213"/>
      <c r="CA59" s="213"/>
      <c r="CB59" s="213"/>
      <c r="CC59" s="213"/>
      <c r="CD59" s="213"/>
      <c r="CE59" s="213"/>
      <c r="CF59" s="213"/>
      <c r="CG59" s="213"/>
      <c r="CH59" s="213"/>
      <c r="CI59" s="213"/>
      <c r="CJ59" s="213"/>
      <c r="CK59" s="213"/>
      <c r="CL59" s="213"/>
      <c r="CM59" s="213"/>
      <c r="CN59" s="213"/>
      <c r="CO59" s="213"/>
      <c r="CP59" s="213"/>
      <c r="CQ59" s="213"/>
    </row>
    <row r="60" ht="15.75" customHeight="1">
      <c r="A60" s="213"/>
      <c r="B60" s="492"/>
      <c r="C60" s="476" t="s">
        <v>253</v>
      </c>
      <c r="D60" s="351"/>
      <c r="E60" s="353"/>
      <c r="F60" s="353">
        <v>8333.0</v>
      </c>
      <c r="G60" s="353"/>
      <c r="H60" s="353">
        <f t="shared" si="30"/>
        <v>-8333</v>
      </c>
      <c r="I60" s="493"/>
      <c r="J60" s="351"/>
      <c r="K60" s="353"/>
      <c r="L60" s="353">
        <v>8333.0</v>
      </c>
      <c r="M60" s="353"/>
      <c r="N60" s="353"/>
      <c r="O60" s="523"/>
      <c r="P60" s="351"/>
      <c r="Q60" s="353"/>
      <c r="R60" s="353">
        <v>8333.0</v>
      </c>
      <c r="S60" s="353"/>
      <c r="T60" s="353"/>
      <c r="U60" s="523"/>
      <c r="V60" s="351"/>
      <c r="W60" s="353"/>
      <c r="X60" s="353">
        <f>$F$60</f>
        <v>8333</v>
      </c>
      <c r="Y60" s="353"/>
      <c r="Z60" s="353"/>
      <c r="AA60" s="523"/>
      <c r="AB60" s="351"/>
      <c r="AC60" s="353"/>
      <c r="AD60" s="353">
        <f>$F$60</f>
        <v>8333</v>
      </c>
      <c r="AE60" s="353"/>
      <c r="AF60" s="353"/>
      <c r="AG60" s="353"/>
      <c r="AH60" s="351"/>
      <c r="AI60" s="353"/>
      <c r="AJ60" s="353">
        <f>$F$60</f>
        <v>8333</v>
      </c>
      <c r="AK60" s="353"/>
      <c r="AL60" s="353"/>
      <c r="AM60" s="353"/>
      <c r="AN60" s="351"/>
      <c r="AO60" s="353"/>
      <c r="AP60" s="353">
        <f>$F$60</f>
        <v>8333</v>
      </c>
      <c r="AQ60" s="353"/>
      <c r="AR60" s="353"/>
      <c r="AS60" s="353"/>
      <c r="AT60" s="351"/>
      <c r="AU60" s="353"/>
      <c r="AV60" s="353">
        <f>$F$60</f>
        <v>8333</v>
      </c>
      <c r="AW60" s="353"/>
      <c r="AX60" s="353"/>
      <c r="AY60" s="494"/>
      <c r="AZ60" s="495"/>
      <c r="BA60" s="353"/>
      <c r="BB60" s="353">
        <f>$F$60</f>
        <v>8333</v>
      </c>
      <c r="BC60" s="353"/>
      <c r="BD60" s="353"/>
      <c r="BE60" s="494"/>
      <c r="BF60" s="351"/>
      <c r="BG60" s="353"/>
      <c r="BH60" s="353">
        <f>$F$60</f>
        <v>8333</v>
      </c>
      <c r="BI60" s="353"/>
      <c r="BJ60" s="353"/>
      <c r="BK60" s="493"/>
      <c r="BL60" s="351"/>
      <c r="BM60" s="353"/>
      <c r="BN60" s="353">
        <f>$F$60</f>
        <v>8333</v>
      </c>
      <c r="BO60" s="353"/>
      <c r="BP60" s="353"/>
      <c r="BQ60" s="493"/>
      <c r="BR60" s="351"/>
      <c r="BS60" s="353"/>
      <c r="BT60" s="353">
        <f>$F$60</f>
        <v>8333</v>
      </c>
      <c r="BU60" s="353"/>
      <c r="BV60" s="353"/>
      <c r="BW60" s="358"/>
      <c r="BX60" s="213"/>
      <c r="BY60" s="213"/>
      <c r="BZ60" s="213"/>
      <c r="CA60" s="213"/>
      <c r="CB60" s="213"/>
      <c r="CC60" s="213"/>
      <c r="CD60" s="213"/>
      <c r="CE60" s="213"/>
      <c r="CF60" s="213"/>
      <c r="CG60" s="213"/>
      <c r="CH60" s="213"/>
      <c r="CI60" s="213"/>
      <c r="CJ60" s="213"/>
      <c r="CK60" s="213"/>
      <c r="CL60" s="213"/>
      <c r="CM60" s="213"/>
      <c r="CN60" s="213"/>
      <c r="CO60" s="213"/>
      <c r="CP60" s="213"/>
      <c r="CQ60" s="213"/>
    </row>
    <row r="61" ht="15.75" customHeight="1">
      <c r="A61" s="213"/>
      <c r="B61" s="492"/>
      <c r="C61" s="492" t="s">
        <v>312</v>
      </c>
      <c r="D61" s="351">
        <v>22325.0</v>
      </c>
      <c r="E61" s="353"/>
      <c r="F61" s="353">
        <v>4541.0</v>
      </c>
      <c r="G61" s="353"/>
      <c r="H61" s="353">
        <f t="shared" si="30"/>
        <v>17784</v>
      </c>
      <c r="I61" s="493"/>
      <c r="J61" s="351">
        <v>6800.0</v>
      </c>
      <c r="K61" s="353"/>
      <c r="L61" s="353">
        <v>4541.0</v>
      </c>
      <c r="M61" s="353"/>
      <c r="N61" s="353"/>
      <c r="O61" s="523"/>
      <c r="P61" s="351"/>
      <c r="Q61" s="353"/>
      <c r="R61" s="353">
        <v>4541.0</v>
      </c>
      <c r="S61" s="353"/>
      <c r="T61" s="353"/>
      <c r="U61" s="523"/>
      <c r="V61" s="351"/>
      <c r="W61" s="353"/>
      <c r="X61" s="353">
        <v>4541.0</v>
      </c>
      <c r="Y61" s="353"/>
      <c r="Z61" s="353"/>
      <c r="AA61" s="523"/>
      <c r="AB61" s="351"/>
      <c r="AC61" s="353"/>
      <c r="AD61" s="353">
        <v>4541.0</v>
      </c>
      <c r="AE61" s="353"/>
      <c r="AF61" s="353"/>
      <c r="AG61" s="353"/>
      <c r="AH61" s="351"/>
      <c r="AI61" s="353"/>
      <c r="AJ61" s="353">
        <v>4541.0</v>
      </c>
      <c r="AK61" s="353"/>
      <c r="AL61" s="353"/>
      <c r="AM61" s="353"/>
      <c r="AN61" s="351"/>
      <c r="AO61" s="353"/>
      <c r="AP61" s="353">
        <v>4541.0</v>
      </c>
      <c r="AQ61" s="353"/>
      <c r="AR61" s="353"/>
      <c r="AS61" s="353"/>
      <c r="AT61" s="351"/>
      <c r="AU61" s="353"/>
      <c r="AV61" s="353">
        <v>4541.0</v>
      </c>
      <c r="AW61" s="353"/>
      <c r="AX61" s="353"/>
      <c r="AY61" s="494"/>
      <c r="AZ61" s="495"/>
      <c r="BA61" s="353"/>
      <c r="BB61" s="353">
        <v>4541.0</v>
      </c>
      <c r="BC61" s="353"/>
      <c r="BD61" s="353"/>
      <c r="BE61" s="494"/>
      <c r="BF61" s="351"/>
      <c r="BG61" s="353"/>
      <c r="BH61" s="353">
        <v>4541.0</v>
      </c>
      <c r="BI61" s="353"/>
      <c r="BJ61" s="353"/>
      <c r="BK61" s="493"/>
      <c r="BL61" s="351"/>
      <c r="BM61" s="353"/>
      <c r="BN61" s="353">
        <v>4541.0</v>
      </c>
      <c r="BO61" s="353"/>
      <c r="BP61" s="353"/>
      <c r="BQ61" s="493"/>
      <c r="BR61" s="351"/>
      <c r="BS61" s="353"/>
      <c r="BT61" s="353">
        <v>4541.0</v>
      </c>
      <c r="BU61" s="353"/>
      <c r="BV61" s="353"/>
      <c r="BW61" s="358"/>
      <c r="BX61" s="213"/>
      <c r="BY61" s="213"/>
      <c r="BZ61" s="213"/>
      <c r="CA61" s="213"/>
      <c r="CB61" s="213"/>
      <c r="CC61" s="213"/>
      <c r="CD61" s="213"/>
      <c r="CE61" s="213"/>
      <c r="CF61" s="213"/>
      <c r="CG61" s="213"/>
      <c r="CH61" s="213"/>
      <c r="CI61" s="213"/>
      <c r="CJ61" s="213"/>
      <c r="CK61" s="213"/>
      <c r="CL61" s="213"/>
      <c r="CM61" s="213"/>
      <c r="CN61" s="213"/>
      <c r="CO61" s="213"/>
      <c r="CP61" s="213"/>
      <c r="CQ61" s="213"/>
    </row>
    <row r="62" ht="15.75" customHeight="1">
      <c r="A62" s="213"/>
      <c r="B62" s="492"/>
      <c r="C62" s="501"/>
      <c r="D62" s="351"/>
      <c r="E62" s="353"/>
      <c r="F62" s="353"/>
      <c r="G62" s="353"/>
      <c r="H62" s="353"/>
      <c r="I62" s="493"/>
      <c r="J62" s="351"/>
      <c r="K62" s="353"/>
      <c r="L62" s="353"/>
      <c r="M62" s="353"/>
      <c r="N62" s="353"/>
      <c r="O62" s="523"/>
      <c r="P62" s="351"/>
      <c r="Q62" s="353"/>
      <c r="R62" s="353"/>
      <c r="S62" s="353"/>
      <c r="T62" s="353"/>
      <c r="U62" s="523"/>
      <c r="V62" s="351"/>
      <c r="W62" s="353"/>
      <c r="X62" s="353"/>
      <c r="Y62" s="353"/>
      <c r="Z62" s="353"/>
      <c r="AA62" s="523"/>
      <c r="AB62" s="351"/>
      <c r="AC62" s="353"/>
      <c r="AD62" s="353"/>
      <c r="AE62" s="353"/>
      <c r="AF62" s="353"/>
      <c r="AG62" s="353"/>
      <c r="AH62" s="351"/>
      <c r="AI62" s="353"/>
      <c r="AJ62" s="353"/>
      <c r="AK62" s="353"/>
      <c r="AL62" s="353"/>
      <c r="AM62" s="353"/>
      <c r="AN62" s="351"/>
      <c r="AO62" s="353"/>
      <c r="AP62" s="353"/>
      <c r="AQ62" s="353"/>
      <c r="AR62" s="353"/>
      <c r="AS62" s="353"/>
      <c r="AT62" s="351"/>
      <c r="AU62" s="353"/>
      <c r="AV62" s="353"/>
      <c r="AW62" s="353"/>
      <c r="AX62" s="353"/>
      <c r="AY62" s="494"/>
      <c r="AZ62" s="495"/>
      <c r="BA62" s="353"/>
      <c r="BB62" s="353"/>
      <c r="BC62" s="353"/>
      <c r="BD62" s="353"/>
      <c r="BE62" s="494"/>
      <c r="BF62" s="351"/>
      <c r="BG62" s="353"/>
      <c r="BH62" s="353"/>
      <c r="BI62" s="353"/>
      <c r="BJ62" s="353"/>
      <c r="BK62" s="493"/>
      <c r="BL62" s="351"/>
      <c r="BM62" s="353"/>
      <c r="BN62" s="353"/>
      <c r="BO62" s="353"/>
      <c r="BP62" s="353"/>
      <c r="BQ62" s="493"/>
      <c r="BR62" s="351"/>
      <c r="BS62" s="353"/>
      <c r="BT62" s="353"/>
      <c r="BU62" s="353"/>
      <c r="BV62" s="353"/>
      <c r="BW62" s="358"/>
      <c r="BX62" s="213"/>
      <c r="BY62" s="213"/>
      <c r="BZ62" s="213"/>
      <c r="CA62" s="213"/>
      <c r="CB62" s="213"/>
      <c r="CC62" s="213"/>
      <c r="CD62" s="213"/>
      <c r="CE62" s="213"/>
      <c r="CF62" s="213"/>
      <c r="CG62" s="213"/>
      <c r="CH62" s="213"/>
      <c r="CI62" s="213"/>
      <c r="CJ62" s="213"/>
      <c r="CK62" s="213"/>
      <c r="CL62" s="213"/>
      <c r="CM62" s="213"/>
      <c r="CN62" s="213"/>
      <c r="CO62" s="213"/>
      <c r="CP62" s="213"/>
      <c r="CQ62" s="213"/>
    </row>
    <row r="63" ht="15.75" hidden="1" customHeight="1">
      <c r="A63" s="213"/>
      <c r="B63" s="492"/>
      <c r="C63" s="501" t="s">
        <v>36</v>
      </c>
      <c r="D63" s="351">
        <f>SUM(D64:D67)</f>
        <v>0</v>
      </c>
      <c r="E63" s="353"/>
      <c r="F63" s="353">
        <f>SUM(F64:F67)</f>
        <v>0</v>
      </c>
      <c r="G63" s="353"/>
      <c r="H63" s="353">
        <f>SUM(H64:H67)</f>
        <v>0</v>
      </c>
      <c r="I63" s="493"/>
      <c r="J63" s="351">
        <f>SUM(J64:J67)</f>
        <v>0</v>
      </c>
      <c r="K63" s="353"/>
      <c r="L63" s="353">
        <f>SUM(L64:L67)</f>
        <v>0</v>
      </c>
      <c r="M63" s="353"/>
      <c r="N63" s="353"/>
      <c r="O63" s="523"/>
      <c r="P63" s="351">
        <f>SUM(P64:P67)</f>
        <v>0</v>
      </c>
      <c r="Q63" s="353"/>
      <c r="R63" s="353">
        <f>SUM(R64:R67)</f>
        <v>0</v>
      </c>
      <c r="S63" s="353"/>
      <c r="T63" s="353"/>
      <c r="U63" s="523"/>
      <c r="V63" s="351">
        <f>SUM(V64:V67)</f>
        <v>0</v>
      </c>
      <c r="W63" s="353"/>
      <c r="X63" s="353">
        <f>SUM(X64:X67)</f>
        <v>0</v>
      </c>
      <c r="Y63" s="353"/>
      <c r="Z63" s="353"/>
      <c r="AA63" s="523"/>
      <c r="AB63" s="351">
        <f>SUM(AB64:AB67)</f>
        <v>0</v>
      </c>
      <c r="AC63" s="353"/>
      <c r="AD63" s="353">
        <f>SUM(AD64:AD67)</f>
        <v>0</v>
      </c>
      <c r="AE63" s="353"/>
      <c r="AF63" s="353"/>
      <c r="AG63" s="353"/>
      <c r="AH63" s="351">
        <f>SUM(AH64:AH67)</f>
        <v>0</v>
      </c>
      <c r="AI63" s="353"/>
      <c r="AJ63" s="353">
        <f>SUM(AJ64:AJ67)</f>
        <v>0</v>
      </c>
      <c r="AK63" s="353"/>
      <c r="AL63" s="353"/>
      <c r="AM63" s="353"/>
      <c r="AN63" s="351">
        <f>SUM(AN64:AN67)</f>
        <v>0</v>
      </c>
      <c r="AO63" s="353"/>
      <c r="AP63" s="353">
        <f>SUM(AP64:AP67)</f>
        <v>0</v>
      </c>
      <c r="AQ63" s="353"/>
      <c r="AR63" s="353">
        <f>SUM(AR64:AR67)</f>
        <v>0</v>
      </c>
      <c r="AS63" s="353"/>
      <c r="AT63" s="351">
        <f>SUM(AT64:AT67)</f>
        <v>0</v>
      </c>
      <c r="AU63" s="353"/>
      <c r="AV63" s="353">
        <f>SUM(AV64:AV67)</f>
        <v>0</v>
      </c>
      <c r="AW63" s="353"/>
      <c r="AX63" s="353">
        <f>SUM(AX64:AX67)</f>
        <v>0</v>
      </c>
      <c r="AY63" s="494"/>
      <c r="AZ63" s="495">
        <f>SUM(AZ64:AZ67)</f>
        <v>0</v>
      </c>
      <c r="BA63" s="353"/>
      <c r="BB63" s="353">
        <f>SUM(BB64:BB67)</f>
        <v>0</v>
      </c>
      <c r="BC63" s="353"/>
      <c r="BD63" s="353">
        <f>SUM(BD64:BD67)</f>
        <v>0</v>
      </c>
      <c r="BE63" s="494"/>
      <c r="BF63" s="351">
        <f>SUM(BF64:BF67)</f>
        <v>0</v>
      </c>
      <c r="BG63" s="353"/>
      <c r="BH63" s="353">
        <f>SUM(BH64:BH67)</f>
        <v>0</v>
      </c>
      <c r="BI63" s="353"/>
      <c r="BJ63" s="353">
        <f>SUM(BJ64:BJ67)</f>
        <v>0</v>
      </c>
      <c r="BK63" s="493"/>
      <c r="BL63" s="351">
        <f>SUM(BL64:BL67)</f>
        <v>0</v>
      </c>
      <c r="BM63" s="353"/>
      <c r="BN63" s="353">
        <f>SUM(BN64:BN67)</f>
        <v>0</v>
      </c>
      <c r="BO63" s="353"/>
      <c r="BP63" s="353">
        <f>SUM(BP64:BP67)</f>
        <v>0</v>
      </c>
      <c r="BQ63" s="493"/>
      <c r="BR63" s="351">
        <f>SUM(BR64:BR67)</f>
        <v>0</v>
      </c>
      <c r="BS63" s="353"/>
      <c r="BT63" s="353">
        <f>SUM(BT64:BT67)</f>
        <v>0</v>
      </c>
      <c r="BU63" s="353"/>
      <c r="BV63" s="353">
        <f>SUM(BV64:BV67)</f>
        <v>0</v>
      </c>
      <c r="BW63" s="358"/>
      <c r="BX63" s="216"/>
      <c r="BY63" s="216"/>
      <c r="BZ63" s="216"/>
      <c r="CA63" s="216"/>
      <c r="CB63" s="216"/>
      <c r="CC63" s="216"/>
      <c r="CD63" s="216"/>
      <c r="CE63" s="216"/>
      <c r="CF63" s="216"/>
      <c r="CG63" s="216"/>
      <c r="CH63" s="216"/>
      <c r="CI63" s="216"/>
      <c r="CJ63" s="216"/>
      <c r="CK63" s="216"/>
      <c r="CL63" s="216"/>
      <c r="CM63" s="216"/>
      <c r="CN63" s="216"/>
      <c r="CO63" s="216"/>
      <c r="CP63" s="216"/>
      <c r="CQ63" s="216"/>
    </row>
    <row r="64" ht="15.75" hidden="1" customHeight="1">
      <c r="A64" s="213"/>
      <c r="B64" s="492"/>
      <c r="C64" s="492" t="s">
        <v>257</v>
      </c>
      <c r="D64" s="351"/>
      <c r="E64" s="353"/>
      <c r="F64" s="353"/>
      <c r="G64" s="353"/>
      <c r="H64" s="353"/>
      <c r="I64" s="493"/>
      <c r="J64" s="351"/>
      <c r="K64" s="353"/>
      <c r="L64" s="353"/>
      <c r="M64" s="353"/>
      <c r="N64" s="353"/>
      <c r="O64" s="523"/>
      <c r="P64" s="351"/>
      <c r="Q64" s="353"/>
      <c r="R64" s="353"/>
      <c r="S64" s="353"/>
      <c r="T64" s="353"/>
      <c r="U64" s="523"/>
      <c r="V64" s="351"/>
      <c r="W64" s="353"/>
      <c r="X64" s="353"/>
      <c r="Y64" s="353"/>
      <c r="Z64" s="353"/>
      <c r="AA64" s="523"/>
      <c r="AB64" s="351"/>
      <c r="AC64" s="353"/>
      <c r="AD64" s="353"/>
      <c r="AE64" s="353"/>
      <c r="AF64" s="353"/>
      <c r="AG64" s="353"/>
      <c r="AH64" s="351"/>
      <c r="AI64" s="353"/>
      <c r="AJ64" s="353"/>
      <c r="AK64" s="353"/>
      <c r="AL64" s="353"/>
      <c r="AM64" s="353"/>
      <c r="AN64" s="351"/>
      <c r="AO64" s="353"/>
      <c r="AP64" s="353"/>
      <c r="AQ64" s="353"/>
      <c r="AR64" s="353"/>
      <c r="AS64" s="353"/>
      <c r="AT64" s="351"/>
      <c r="AU64" s="353"/>
      <c r="AV64" s="353"/>
      <c r="AW64" s="353"/>
      <c r="AX64" s="353"/>
      <c r="AY64" s="494"/>
      <c r="AZ64" s="495"/>
      <c r="BA64" s="353"/>
      <c r="BB64" s="353"/>
      <c r="BC64" s="353"/>
      <c r="BD64" s="353"/>
      <c r="BE64" s="494"/>
      <c r="BF64" s="351"/>
      <c r="BG64" s="353"/>
      <c r="BH64" s="353"/>
      <c r="BI64" s="353"/>
      <c r="BJ64" s="353"/>
      <c r="BK64" s="493"/>
      <c r="BL64" s="351"/>
      <c r="BM64" s="353"/>
      <c r="BN64" s="353"/>
      <c r="BO64" s="353"/>
      <c r="BP64" s="353"/>
      <c r="BQ64" s="493"/>
      <c r="BR64" s="351"/>
      <c r="BS64" s="353"/>
      <c r="BT64" s="353"/>
      <c r="BU64" s="353"/>
      <c r="BV64" s="353"/>
      <c r="BW64" s="358"/>
      <c r="BX64" s="213"/>
      <c r="BY64" s="213"/>
      <c r="BZ64" s="213"/>
      <c r="CA64" s="213"/>
      <c r="CB64" s="213"/>
      <c r="CC64" s="213"/>
      <c r="CD64" s="213"/>
      <c r="CE64" s="213"/>
      <c r="CF64" s="213"/>
      <c r="CG64" s="213"/>
      <c r="CH64" s="213"/>
      <c r="CI64" s="213"/>
      <c r="CJ64" s="213"/>
      <c r="CK64" s="213"/>
      <c r="CL64" s="213"/>
      <c r="CM64" s="213"/>
      <c r="CN64" s="213"/>
      <c r="CO64" s="213"/>
      <c r="CP64" s="213"/>
      <c r="CQ64" s="213"/>
    </row>
    <row r="65" ht="15.75" hidden="1" customHeight="1">
      <c r="A65" s="213"/>
      <c r="B65" s="492"/>
      <c r="C65" s="492" t="s">
        <v>258</v>
      </c>
      <c r="D65" s="351"/>
      <c r="E65" s="353"/>
      <c r="F65" s="353"/>
      <c r="G65" s="353"/>
      <c r="H65" s="353"/>
      <c r="I65" s="493"/>
      <c r="J65" s="351"/>
      <c r="K65" s="353"/>
      <c r="L65" s="353"/>
      <c r="M65" s="353"/>
      <c r="N65" s="353"/>
      <c r="O65" s="523"/>
      <c r="P65" s="351"/>
      <c r="Q65" s="353"/>
      <c r="R65" s="353"/>
      <c r="S65" s="353"/>
      <c r="T65" s="353"/>
      <c r="U65" s="523"/>
      <c r="V65" s="351"/>
      <c r="W65" s="353"/>
      <c r="X65" s="353"/>
      <c r="Y65" s="353"/>
      <c r="Z65" s="353"/>
      <c r="AA65" s="523"/>
      <c r="AB65" s="351"/>
      <c r="AC65" s="353"/>
      <c r="AD65" s="353"/>
      <c r="AE65" s="353"/>
      <c r="AF65" s="353"/>
      <c r="AG65" s="353"/>
      <c r="AH65" s="351"/>
      <c r="AI65" s="353"/>
      <c r="AJ65" s="353"/>
      <c r="AK65" s="353"/>
      <c r="AL65" s="353"/>
      <c r="AM65" s="353"/>
      <c r="AN65" s="351"/>
      <c r="AO65" s="353"/>
      <c r="AP65" s="353"/>
      <c r="AQ65" s="353"/>
      <c r="AR65" s="353"/>
      <c r="AS65" s="353"/>
      <c r="AT65" s="351"/>
      <c r="AU65" s="353"/>
      <c r="AV65" s="353"/>
      <c r="AW65" s="353"/>
      <c r="AX65" s="353"/>
      <c r="AY65" s="494"/>
      <c r="AZ65" s="495"/>
      <c r="BA65" s="353"/>
      <c r="BB65" s="353"/>
      <c r="BC65" s="353"/>
      <c r="BD65" s="353"/>
      <c r="BE65" s="494"/>
      <c r="BF65" s="351"/>
      <c r="BG65" s="353"/>
      <c r="BH65" s="353"/>
      <c r="BI65" s="353"/>
      <c r="BJ65" s="353"/>
      <c r="BK65" s="493"/>
      <c r="BL65" s="351"/>
      <c r="BM65" s="353"/>
      <c r="BN65" s="353"/>
      <c r="BO65" s="353"/>
      <c r="BP65" s="353"/>
      <c r="BQ65" s="493"/>
      <c r="BR65" s="351"/>
      <c r="BS65" s="353"/>
      <c r="BT65" s="353"/>
      <c r="BU65" s="353"/>
      <c r="BV65" s="353"/>
      <c r="BW65" s="358"/>
      <c r="BX65" s="213"/>
      <c r="BY65" s="213"/>
      <c r="BZ65" s="213"/>
      <c r="CA65" s="213"/>
      <c r="CB65" s="213"/>
      <c r="CC65" s="213"/>
      <c r="CD65" s="213"/>
      <c r="CE65" s="213"/>
      <c r="CF65" s="213"/>
      <c r="CG65" s="213"/>
      <c r="CH65" s="213"/>
      <c r="CI65" s="213"/>
      <c r="CJ65" s="213"/>
      <c r="CK65" s="213"/>
      <c r="CL65" s="213"/>
      <c r="CM65" s="213"/>
      <c r="CN65" s="213"/>
      <c r="CO65" s="213"/>
      <c r="CP65" s="213"/>
      <c r="CQ65" s="213"/>
    </row>
    <row r="66" ht="15.75" hidden="1" customHeight="1">
      <c r="A66" s="213"/>
      <c r="B66" s="492"/>
      <c r="C66" s="492" t="s">
        <v>313</v>
      </c>
      <c r="D66" s="351"/>
      <c r="E66" s="353"/>
      <c r="F66" s="353"/>
      <c r="G66" s="353"/>
      <c r="H66" s="353"/>
      <c r="I66" s="493"/>
      <c r="J66" s="351"/>
      <c r="K66" s="353"/>
      <c r="L66" s="353"/>
      <c r="M66" s="353"/>
      <c r="N66" s="353"/>
      <c r="O66" s="523"/>
      <c r="P66" s="351"/>
      <c r="Q66" s="353"/>
      <c r="R66" s="353"/>
      <c r="S66" s="353"/>
      <c r="T66" s="353"/>
      <c r="U66" s="523"/>
      <c r="V66" s="351"/>
      <c r="W66" s="353"/>
      <c r="X66" s="353"/>
      <c r="Y66" s="353"/>
      <c r="Z66" s="353"/>
      <c r="AA66" s="523"/>
      <c r="AB66" s="351"/>
      <c r="AC66" s="353"/>
      <c r="AD66" s="353"/>
      <c r="AE66" s="353"/>
      <c r="AF66" s="353"/>
      <c r="AG66" s="353"/>
      <c r="AH66" s="351"/>
      <c r="AI66" s="353"/>
      <c r="AJ66" s="353"/>
      <c r="AK66" s="353"/>
      <c r="AL66" s="353"/>
      <c r="AM66" s="353"/>
      <c r="AN66" s="351"/>
      <c r="AO66" s="353"/>
      <c r="AP66" s="353"/>
      <c r="AQ66" s="353"/>
      <c r="AR66" s="353"/>
      <c r="AS66" s="353"/>
      <c r="AT66" s="351"/>
      <c r="AU66" s="353"/>
      <c r="AV66" s="353"/>
      <c r="AW66" s="353"/>
      <c r="AX66" s="353"/>
      <c r="AY66" s="494"/>
      <c r="AZ66" s="495"/>
      <c r="BA66" s="353"/>
      <c r="BB66" s="353"/>
      <c r="BC66" s="353"/>
      <c r="BD66" s="353"/>
      <c r="BE66" s="494"/>
      <c r="BF66" s="351"/>
      <c r="BG66" s="353"/>
      <c r="BH66" s="353"/>
      <c r="BI66" s="353"/>
      <c r="BJ66" s="353"/>
      <c r="BK66" s="493"/>
      <c r="BL66" s="351"/>
      <c r="BM66" s="353"/>
      <c r="BN66" s="353"/>
      <c r="BO66" s="353"/>
      <c r="BP66" s="353"/>
      <c r="BQ66" s="493"/>
      <c r="BR66" s="351"/>
      <c r="BS66" s="353"/>
      <c r="BT66" s="353"/>
      <c r="BU66" s="353"/>
      <c r="BV66" s="353"/>
      <c r="BW66" s="358"/>
      <c r="BX66" s="213"/>
      <c r="BY66" s="213"/>
      <c r="BZ66" s="213"/>
      <c r="CA66" s="213"/>
      <c r="CB66" s="213"/>
      <c r="CC66" s="213"/>
      <c r="CD66" s="213"/>
      <c r="CE66" s="213"/>
      <c r="CF66" s="213"/>
      <c r="CG66" s="213"/>
      <c r="CH66" s="213"/>
      <c r="CI66" s="213"/>
      <c r="CJ66" s="213"/>
      <c r="CK66" s="213"/>
      <c r="CL66" s="213"/>
      <c r="CM66" s="213"/>
      <c r="CN66" s="213"/>
      <c r="CO66" s="213"/>
      <c r="CP66" s="213"/>
      <c r="CQ66" s="213"/>
    </row>
    <row r="67" ht="15.75" hidden="1" customHeight="1">
      <c r="A67" s="213"/>
      <c r="B67" s="492"/>
      <c r="C67" s="492" t="s">
        <v>314</v>
      </c>
      <c r="D67" s="351"/>
      <c r="E67" s="353"/>
      <c r="F67" s="353"/>
      <c r="G67" s="353"/>
      <c r="H67" s="353"/>
      <c r="I67" s="493"/>
      <c r="J67" s="351"/>
      <c r="K67" s="353"/>
      <c r="L67" s="353"/>
      <c r="M67" s="353"/>
      <c r="N67" s="353"/>
      <c r="O67" s="523"/>
      <c r="P67" s="351"/>
      <c r="Q67" s="353"/>
      <c r="R67" s="353"/>
      <c r="S67" s="353"/>
      <c r="T67" s="353"/>
      <c r="U67" s="523"/>
      <c r="V67" s="351"/>
      <c r="W67" s="353"/>
      <c r="X67" s="353"/>
      <c r="Y67" s="353"/>
      <c r="Z67" s="353"/>
      <c r="AA67" s="523"/>
      <c r="AB67" s="351"/>
      <c r="AC67" s="353"/>
      <c r="AD67" s="353"/>
      <c r="AE67" s="353"/>
      <c r="AF67" s="353"/>
      <c r="AG67" s="353"/>
      <c r="AH67" s="351"/>
      <c r="AI67" s="353"/>
      <c r="AJ67" s="353"/>
      <c r="AK67" s="353"/>
      <c r="AL67" s="353"/>
      <c r="AM67" s="353"/>
      <c r="AN67" s="351"/>
      <c r="AO67" s="353"/>
      <c r="AP67" s="353"/>
      <c r="AQ67" s="353"/>
      <c r="AR67" s="353"/>
      <c r="AS67" s="353"/>
      <c r="AT67" s="351"/>
      <c r="AU67" s="353"/>
      <c r="AV67" s="353"/>
      <c r="AW67" s="353"/>
      <c r="AX67" s="353"/>
      <c r="AY67" s="494"/>
      <c r="AZ67" s="495"/>
      <c r="BA67" s="353"/>
      <c r="BB67" s="353"/>
      <c r="BC67" s="353"/>
      <c r="BD67" s="353"/>
      <c r="BE67" s="494"/>
      <c r="BF67" s="351"/>
      <c r="BG67" s="353"/>
      <c r="BH67" s="353"/>
      <c r="BI67" s="353"/>
      <c r="BJ67" s="353"/>
      <c r="BK67" s="493"/>
      <c r="BL67" s="351"/>
      <c r="BM67" s="353"/>
      <c r="BN67" s="353"/>
      <c r="BO67" s="353"/>
      <c r="BP67" s="353"/>
      <c r="BQ67" s="493"/>
      <c r="BR67" s="351"/>
      <c r="BS67" s="353"/>
      <c r="BT67" s="353"/>
      <c r="BU67" s="353"/>
      <c r="BV67" s="353"/>
      <c r="BW67" s="358"/>
      <c r="BX67" s="213"/>
      <c r="BY67" s="213"/>
      <c r="BZ67" s="213"/>
      <c r="CA67" s="213"/>
      <c r="CB67" s="213"/>
      <c r="CC67" s="213"/>
      <c r="CD67" s="213"/>
      <c r="CE67" s="213"/>
      <c r="CF67" s="213"/>
      <c r="CG67" s="213"/>
      <c r="CH67" s="213"/>
      <c r="CI67" s="213"/>
      <c r="CJ67" s="213"/>
      <c r="CK67" s="213"/>
      <c r="CL67" s="213"/>
      <c r="CM67" s="213"/>
      <c r="CN67" s="213"/>
      <c r="CO67" s="213"/>
      <c r="CP67" s="213"/>
      <c r="CQ67" s="213"/>
    </row>
    <row r="68" ht="15.75" hidden="1" customHeight="1">
      <c r="A68" s="213"/>
      <c r="B68" s="492"/>
      <c r="C68" s="492"/>
      <c r="D68" s="351"/>
      <c r="E68" s="353"/>
      <c r="F68" s="353"/>
      <c r="G68" s="353"/>
      <c r="H68" s="353"/>
      <c r="I68" s="493"/>
      <c r="J68" s="351"/>
      <c r="K68" s="353"/>
      <c r="L68" s="353"/>
      <c r="M68" s="353"/>
      <c r="N68" s="353"/>
      <c r="O68" s="523"/>
      <c r="P68" s="351"/>
      <c r="Q68" s="353"/>
      <c r="R68" s="353"/>
      <c r="S68" s="353"/>
      <c r="T68" s="353"/>
      <c r="U68" s="523"/>
      <c r="V68" s="351"/>
      <c r="W68" s="353"/>
      <c r="X68" s="353"/>
      <c r="Y68" s="353"/>
      <c r="Z68" s="353"/>
      <c r="AA68" s="523"/>
      <c r="AB68" s="351"/>
      <c r="AC68" s="353"/>
      <c r="AD68" s="353"/>
      <c r="AE68" s="353"/>
      <c r="AF68" s="353"/>
      <c r="AG68" s="353"/>
      <c r="AH68" s="351"/>
      <c r="AI68" s="353"/>
      <c r="AJ68" s="353"/>
      <c r="AK68" s="353"/>
      <c r="AL68" s="353"/>
      <c r="AM68" s="353"/>
      <c r="AN68" s="351"/>
      <c r="AO68" s="353"/>
      <c r="AP68" s="353"/>
      <c r="AQ68" s="353"/>
      <c r="AR68" s="353"/>
      <c r="AS68" s="353"/>
      <c r="AT68" s="351"/>
      <c r="AU68" s="353"/>
      <c r="AV68" s="353"/>
      <c r="AW68" s="353"/>
      <c r="AX68" s="353"/>
      <c r="AY68" s="494"/>
      <c r="AZ68" s="495"/>
      <c r="BA68" s="353"/>
      <c r="BB68" s="353"/>
      <c r="BC68" s="353"/>
      <c r="BD68" s="353"/>
      <c r="BE68" s="494"/>
      <c r="BF68" s="351"/>
      <c r="BG68" s="353"/>
      <c r="BH68" s="353"/>
      <c r="BI68" s="353"/>
      <c r="BJ68" s="353"/>
      <c r="BK68" s="493"/>
      <c r="BL68" s="351"/>
      <c r="BM68" s="353"/>
      <c r="BN68" s="353"/>
      <c r="BO68" s="353"/>
      <c r="BP68" s="353"/>
      <c r="BQ68" s="493"/>
      <c r="BR68" s="351"/>
      <c r="BS68" s="353"/>
      <c r="BT68" s="353"/>
      <c r="BU68" s="353"/>
      <c r="BV68" s="353"/>
      <c r="BW68" s="358"/>
      <c r="BX68" s="213"/>
      <c r="BY68" s="213"/>
      <c r="BZ68" s="213"/>
      <c r="CA68" s="213"/>
      <c r="CB68" s="213"/>
      <c r="CC68" s="213"/>
      <c r="CD68" s="213"/>
      <c r="CE68" s="213"/>
      <c r="CF68" s="213"/>
      <c r="CG68" s="213"/>
      <c r="CH68" s="213"/>
      <c r="CI68" s="213"/>
      <c r="CJ68" s="213"/>
      <c r="CK68" s="213"/>
      <c r="CL68" s="213"/>
      <c r="CM68" s="213"/>
      <c r="CN68" s="213"/>
      <c r="CO68" s="213"/>
      <c r="CP68" s="213"/>
      <c r="CQ68" s="213"/>
    </row>
    <row r="69" ht="15.75" hidden="1" customHeight="1">
      <c r="A69" s="213"/>
      <c r="B69" s="502"/>
      <c r="C69" s="502"/>
      <c r="D69" s="363"/>
      <c r="E69" s="365"/>
      <c r="F69" s="365"/>
      <c r="G69" s="365"/>
      <c r="H69" s="365"/>
      <c r="I69" s="503"/>
      <c r="J69" s="363"/>
      <c r="K69" s="365"/>
      <c r="L69" s="365"/>
      <c r="M69" s="365"/>
      <c r="N69" s="365"/>
      <c r="O69" s="526"/>
      <c r="P69" s="363"/>
      <c r="Q69" s="365"/>
      <c r="R69" s="365"/>
      <c r="S69" s="365"/>
      <c r="T69" s="365"/>
      <c r="U69" s="526"/>
      <c r="V69" s="363"/>
      <c r="W69" s="365"/>
      <c r="X69" s="365"/>
      <c r="Y69" s="365"/>
      <c r="Z69" s="365"/>
      <c r="AA69" s="526"/>
      <c r="AB69" s="363"/>
      <c r="AC69" s="365"/>
      <c r="AD69" s="365"/>
      <c r="AE69" s="365"/>
      <c r="AF69" s="365"/>
      <c r="AG69" s="365"/>
      <c r="AH69" s="363"/>
      <c r="AI69" s="365"/>
      <c r="AJ69" s="365"/>
      <c r="AK69" s="365"/>
      <c r="AL69" s="365"/>
      <c r="AM69" s="365"/>
      <c r="AN69" s="363"/>
      <c r="AO69" s="365"/>
      <c r="AP69" s="365"/>
      <c r="AQ69" s="365"/>
      <c r="AR69" s="365"/>
      <c r="AS69" s="365"/>
      <c r="AT69" s="363"/>
      <c r="AU69" s="365"/>
      <c r="AV69" s="365"/>
      <c r="AW69" s="365"/>
      <c r="AX69" s="365"/>
      <c r="AY69" s="504"/>
      <c r="AZ69" s="505"/>
      <c r="BA69" s="365"/>
      <c r="BB69" s="365"/>
      <c r="BC69" s="365"/>
      <c r="BD69" s="365"/>
      <c r="BE69" s="504"/>
      <c r="BF69" s="363"/>
      <c r="BG69" s="365"/>
      <c r="BH69" s="365"/>
      <c r="BI69" s="365"/>
      <c r="BJ69" s="365"/>
      <c r="BK69" s="503"/>
      <c r="BL69" s="363"/>
      <c r="BM69" s="365"/>
      <c r="BN69" s="365"/>
      <c r="BO69" s="365"/>
      <c r="BP69" s="365"/>
      <c r="BQ69" s="503"/>
      <c r="BR69" s="506"/>
      <c r="BS69" s="365"/>
      <c r="BT69" s="365"/>
      <c r="BU69" s="365"/>
      <c r="BV69" s="365"/>
      <c r="BW69" s="368"/>
      <c r="BX69" s="213"/>
      <c r="BY69" s="213"/>
      <c r="BZ69" s="213"/>
      <c r="CA69" s="213"/>
      <c r="CB69" s="213"/>
      <c r="CC69" s="213"/>
      <c r="CD69" s="213"/>
      <c r="CE69" s="213"/>
      <c r="CF69" s="213"/>
      <c r="CG69" s="213"/>
      <c r="CH69" s="213"/>
      <c r="CI69" s="213"/>
      <c r="CJ69" s="213"/>
      <c r="CK69" s="213"/>
      <c r="CL69" s="213"/>
      <c r="CM69" s="213"/>
      <c r="CN69" s="213"/>
      <c r="CO69" s="213"/>
      <c r="CP69" s="213"/>
      <c r="CQ69" s="213"/>
    </row>
    <row r="70" ht="15.75" customHeight="1">
      <c r="A70" s="213"/>
      <c r="B70" s="483"/>
      <c r="C70" s="519" t="s">
        <v>315</v>
      </c>
      <c r="D70" s="373">
        <f>SUM(D71:D75)</f>
        <v>364828</v>
      </c>
      <c r="E70" s="375"/>
      <c r="F70" s="375">
        <f>SUM(F71:F75)</f>
        <v>369273</v>
      </c>
      <c r="G70" s="375"/>
      <c r="H70" s="375">
        <f t="shared" ref="H70:H71" si="31">D70-F70</f>
        <v>-4445</v>
      </c>
      <c r="I70" s="484"/>
      <c r="J70" s="373">
        <f>SUM(J71:J75)</f>
        <v>351973</v>
      </c>
      <c r="K70" s="375"/>
      <c r="L70" s="375">
        <f>SUM(L71:L75)</f>
        <v>364773</v>
      </c>
      <c r="M70" s="375"/>
      <c r="N70" s="375"/>
      <c r="O70" s="527"/>
      <c r="P70" s="373">
        <f>SUM(P71:P75)</f>
        <v>359261</v>
      </c>
      <c r="Q70" s="375"/>
      <c r="R70" s="375">
        <f>SUM(R71:R75)</f>
        <v>364773</v>
      </c>
      <c r="S70" s="375"/>
      <c r="T70" s="375"/>
      <c r="U70" s="527"/>
      <c r="V70" s="373">
        <f>SUM(V71:V75)</f>
        <v>355921</v>
      </c>
      <c r="W70" s="375"/>
      <c r="X70" s="375">
        <f>SUM(X71:X75)</f>
        <v>367923</v>
      </c>
      <c r="Y70" s="375"/>
      <c r="Z70" s="375"/>
      <c r="AA70" s="527"/>
      <c r="AB70" s="373">
        <f>SUM(AB71:AB75)</f>
        <v>357421</v>
      </c>
      <c r="AC70" s="375"/>
      <c r="AD70" s="375">
        <f>SUM(AD71:AD75)</f>
        <v>364773</v>
      </c>
      <c r="AE70" s="375"/>
      <c r="AF70" s="375"/>
      <c r="AG70" s="375"/>
      <c r="AH70" s="373">
        <f>SUM(AH71:AH75)</f>
        <v>372385</v>
      </c>
      <c r="AI70" s="375"/>
      <c r="AJ70" s="375">
        <f>SUM(AJ71:AJ75)</f>
        <v>380880</v>
      </c>
      <c r="AK70" s="375"/>
      <c r="AL70" s="375"/>
      <c r="AM70" s="375"/>
      <c r="AN70" s="373">
        <f>SUM(AN71:AN75)</f>
        <v>374190</v>
      </c>
      <c r="AO70" s="375"/>
      <c r="AP70" s="375">
        <f>SUM(AP71:AP75)</f>
        <v>380880</v>
      </c>
      <c r="AQ70" s="375"/>
      <c r="AR70" s="375">
        <f>SUM(AR71:AR75)</f>
        <v>0</v>
      </c>
      <c r="AS70" s="375"/>
      <c r="AT70" s="373">
        <f>SUM(AT71:AT75)</f>
        <v>366100</v>
      </c>
      <c r="AU70" s="375"/>
      <c r="AV70" s="375">
        <f>SUM(AV71:AV75)</f>
        <v>380880</v>
      </c>
      <c r="AW70" s="375"/>
      <c r="AX70" s="375">
        <f>SUM(AX71:AX75)</f>
        <v>0</v>
      </c>
      <c r="AY70" s="485"/>
      <c r="AZ70" s="486">
        <f>SUM(AZ71:AZ75)</f>
        <v>405195</v>
      </c>
      <c r="BA70" s="375"/>
      <c r="BB70" s="375">
        <f>SUM(BB71:BB75)</f>
        <v>380880</v>
      </c>
      <c r="BC70" s="375"/>
      <c r="BD70" s="375">
        <f>SUM(BD71:BD75)</f>
        <v>0</v>
      </c>
      <c r="BE70" s="485"/>
      <c r="BF70" s="373">
        <f>SUM(BF71:BF75)</f>
        <v>452088</v>
      </c>
      <c r="BG70" s="375"/>
      <c r="BH70" s="375">
        <f>SUM(BH71:BH75)</f>
        <v>380880</v>
      </c>
      <c r="BI70" s="375"/>
      <c r="BJ70" s="375">
        <f>SUM(BJ71:BJ75)</f>
        <v>0</v>
      </c>
      <c r="BK70" s="484"/>
      <c r="BL70" s="373">
        <f>SUM(BL71:BL75)</f>
        <v>400997</v>
      </c>
      <c r="BM70" s="375"/>
      <c r="BN70" s="375">
        <f>SUM(BN71:BN75)</f>
        <v>380880</v>
      </c>
      <c r="BO70" s="375"/>
      <c r="BP70" s="375">
        <f>SUM(BP71:BP75)</f>
        <v>0</v>
      </c>
      <c r="BQ70" s="484"/>
      <c r="BR70" s="373">
        <f>SUM(BR71:BR75)</f>
        <v>768274.16</v>
      </c>
      <c r="BS70" s="375"/>
      <c r="BT70" s="375">
        <f>SUM(BT71:BT75)</f>
        <v>380880</v>
      </c>
      <c r="BU70" s="375"/>
      <c r="BV70" s="375">
        <f>SUM(BV71:BV75)</f>
        <v>0</v>
      </c>
      <c r="BW70" s="528"/>
      <c r="BX70" s="216"/>
      <c r="BY70" s="216"/>
      <c r="BZ70" s="216"/>
      <c r="CA70" s="216"/>
      <c r="CB70" s="216"/>
      <c r="CC70" s="216"/>
      <c r="CD70" s="216"/>
      <c r="CE70" s="216"/>
      <c r="CF70" s="216"/>
      <c r="CG70" s="216"/>
      <c r="CH70" s="216"/>
      <c r="CI70" s="216"/>
      <c r="CJ70" s="216"/>
      <c r="CK70" s="216"/>
      <c r="CL70" s="216"/>
      <c r="CM70" s="216"/>
      <c r="CN70" s="216"/>
      <c r="CO70" s="216"/>
      <c r="CP70" s="216"/>
      <c r="CQ70" s="216"/>
    </row>
    <row r="71" ht="15.75" customHeight="1">
      <c r="A71" s="213"/>
      <c r="B71" s="488"/>
      <c r="C71" s="488" t="s">
        <v>261</v>
      </c>
      <c r="D71" s="384">
        <v>326773.0</v>
      </c>
      <c r="E71" s="386"/>
      <c r="F71" s="386">
        <v>326773.0</v>
      </c>
      <c r="G71" s="386"/>
      <c r="H71" s="386">
        <f t="shared" si="31"/>
        <v>0</v>
      </c>
      <c r="I71" s="489">
        <f>IFERROR((H71)/F71,"")</f>
        <v>0</v>
      </c>
      <c r="J71" s="384">
        <v>326773.0</v>
      </c>
      <c r="K71" s="386"/>
      <c r="L71" s="386">
        <v>326773.0</v>
      </c>
      <c r="M71" s="386"/>
      <c r="N71" s="386"/>
      <c r="O71" s="522"/>
      <c r="P71" s="384">
        <v>326773.0</v>
      </c>
      <c r="Q71" s="386"/>
      <c r="R71" s="386">
        <v>326773.0</v>
      </c>
      <c r="S71" s="386"/>
      <c r="T71" s="386"/>
      <c r="U71" s="522"/>
      <c r="V71" s="384">
        <v>326773.0</v>
      </c>
      <c r="W71" s="386"/>
      <c r="X71" s="386">
        <v>326773.0</v>
      </c>
      <c r="Y71" s="386"/>
      <c r="Z71" s="386"/>
      <c r="AA71" s="522"/>
      <c r="AB71" s="384">
        <v>326773.0</v>
      </c>
      <c r="AC71" s="386"/>
      <c r="AD71" s="386">
        <v>326773.0</v>
      </c>
      <c r="AE71" s="386"/>
      <c r="AF71" s="386"/>
      <c r="AG71" s="386"/>
      <c r="AH71" s="384">
        <v>342880.0</v>
      </c>
      <c r="AI71" s="386"/>
      <c r="AJ71" s="386">
        <v>342880.0</v>
      </c>
      <c r="AK71" s="386"/>
      <c r="AL71" s="386"/>
      <c r="AM71" s="386"/>
      <c r="AN71" s="384">
        <v>342880.0</v>
      </c>
      <c r="AO71" s="386"/>
      <c r="AP71" s="386">
        <f>AJ71</f>
        <v>342880</v>
      </c>
      <c r="AQ71" s="386"/>
      <c r="AR71" s="386"/>
      <c r="AS71" s="386"/>
      <c r="AT71" s="384">
        <v>342880.0</v>
      </c>
      <c r="AU71" s="386"/>
      <c r="AV71" s="386">
        <f>AP71</f>
        <v>342880</v>
      </c>
      <c r="AW71" s="386"/>
      <c r="AX71" s="386"/>
      <c r="AY71" s="490"/>
      <c r="AZ71" s="439">
        <v>360580.0</v>
      </c>
      <c r="BA71" s="386"/>
      <c r="BB71" s="386">
        <f>AV71</f>
        <v>342880</v>
      </c>
      <c r="BC71" s="386"/>
      <c r="BD71" s="386"/>
      <c r="BE71" s="490"/>
      <c r="BF71" s="384">
        <v>420760.0</v>
      </c>
      <c r="BG71" s="386"/>
      <c r="BH71" s="386">
        <f>BB71</f>
        <v>342880</v>
      </c>
      <c r="BI71" s="386"/>
      <c r="BJ71" s="386"/>
      <c r="BK71" s="489"/>
      <c r="BL71" s="386">
        <f>351347+21240</f>
        <v>372587</v>
      </c>
      <c r="BM71" s="386"/>
      <c r="BN71" s="386">
        <f>+BH71</f>
        <v>342880</v>
      </c>
      <c r="BO71" s="386"/>
      <c r="BP71" s="386"/>
      <c r="BQ71" s="489"/>
      <c r="BR71" s="529">
        <f>291986.1+27000</f>
        <v>318986.1</v>
      </c>
      <c r="BS71" s="386"/>
      <c r="BT71" s="386">
        <f>BN71</f>
        <v>342880</v>
      </c>
      <c r="BU71" s="386"/>
      <c r="BV71" s="386"/>
      <c r="BW71" s="530"/>
      <c r="BX71" s="531" t="s">
        <v>316</v>
      </c>
      <c r="BY71" s="213"/>
      <c r="BZ71" s="213"/>
      <c r="CA71" s="213"/>
      <c r="CB71" s="213"/>
      <c r="CC71" s="213"/>
      <c r="CD71" s="213"/>
      <c r="CE71" s="213"/>
      <c r="CF71" s="213"/>
      <c r="CG71" s="213"/>
      <c r="CH71" s="213"/>
      <c r="CI71" s="213"/>
      <c r="CJ71" s="213"/>
      <c r="CK71" s="213"/>
      <c r="CL71" s="213"/>
      <c r="CM71" s="213"/>
      <c r="CN71" s="213"/>
      <c r="CO71" s="213"/>
      <c r="CP71" s="213"/>
      <c r="CQ71" s="213"/>
    </row>
    <row r="72" ht="15.75" customHeight="1">
      <c r="A72" s="213"/>
      <c r="B72" s="488"/>
      <c r="C72" s="521" t="s">
        <v>317</v>
      </c>
      <c r="D72" s="384"/>
      <c r="E72" s="386"/>
      <c r="F72" s="386"/>
      <c r="G72" s="386"/>
      <c r="H72" s="386"/>
      <c r="I72" s="489"/>
      <c r="J72" s="384"/>
      <c r="K72" s="386"/>
      <c r="L72" s="386"/>
      <c r="M72" s="386"/>
      <c r="N72" s="386"/>
      <c r="O72" s="522"/>
      <c r="P72" s="384"/>
      <c r="Q72" s="386"/>
      <c r="R72" s="386"/>
      <c r="S72" s="386"/>
      <c r="T72" s="386"/>
      <c r="U72" s="522"/>
      <c r="V72" s="384"/>
      <c r="W72" s="386"/>
      <c r="X72" s="386"/>
      <c r="Y72" s="386"/>
      <c r="Z72" s="386"/>
      <c r="AA72" s="522"/>
      <c r="AB72" s="384"/>
      <c r="AC72" s="386"/>
      <c r="AD72" s="386"/>
      <c r="AE72" s="386"/>
      <c r="AF72" s="386"/>
      <c r="AG72" s="386"/>
      <c r="AH72" s="384"/>
      <c r="AI72" s="386"/>
      <c r="AJ72" s="386"/>
      <c r="AK72" s="386"/>
      <c r="AL72" s="386"/>
      <c r="AM72" s="386"/>
      <c r="AN72" s="384"/>
      <c r="AO72" s="386"/>
      <c r="AP72" s="386"/>
      <c r="AQ72" s="386"/>
      <c r="AR72" s="386"/>
      <c r="AS72" s="386"/>
      <c r="AT72" s="384"/>
      <c r="AU72" s="386"/>
      <c r="AV72" s="386"/>
      <c r="AW72" s="386"/>
      <c r="AX72" s="386"/>
      <c r="AY72" s="490"/>
      <c r="AZ72" s="439"/>
      <c r="BA72" s="386"/>
      <c r="BB72" s="386"/>
      <c r="BC72" s="386"/>
      <c r="BD72" s="386"/>
      <c r="BE72" s="490"/>
      <c r="BF72" s="384"/>
      <c r="BG72" s="386"/>
      <c r="BH72" s="386"/>
      <c r="BI72" s="386"/>
      <c r="BJ72" s="386"/>
      <c r="BK72" s="489"/>
      <c r="BL72" s="439"/>
      <c r="BM72" s="386"/>
      <c r="BN72" s="386"/>
      <c r="BO72" s="386"/>
      <c r="BP72" s="386"/>
      <c r="BQ72" s="489"/>
      <c r="BR72" s="532">
        <v>413000.0</v>
      </c>
      <c r="BS72" s="386"/>
      <c r="BT72" s="386"/>
      <c r="BU72" s="386"/>
      <c r="BV72" s="386"/>
      <c r="BW72" s="530"/>
      <c r="BX72" s="213"/>
      <c r="BY72" s="213"/>
      <c r="BZ72" s="213"/>
      <c r="CA72" s="213"/>
      <c r="CB72" s="213"/>
      <c r="CC72" s="213"/>
      <c r="CD72" s="213"/>
      <c r="CE72" s="213"/>
      <c r="CF72" s="213"/>
      <c r="CG72" s="213"/>
      <c r="CH72" s="213"/>
      <c r="CI72" s="213"/>
      <c r="CJ72" s="213"/>
      <c r="CK72" s="213"/>
      <c r="CL72" s="213"/>
      <c r="CM72" s="213"/>
      <c r="CN72" s="213"/>
      <c r="CO72" s="213"/>
      <c r="CP72" s="213"/>
      <c r="CQ72" s="213"/>
    </row>
    <row r="73" ht="15.75" customHeight="1">
      <c r="A73" s="213"/>
      <c r="B73" s="492"/>
      <c r="C73" s="492" t="s">
        <v>262</v>
      </c>
      <c r="D73" s="351">
        <v>31940.0</v>
      </c>
      <c r="E73" s="353"/>
      <c r="F73" s="353">
        <v>26500.0</v>
      </c>
      <c r="G73" s="353"/>
      <c r="H73" s="353">
        <f t="shared" ref="H73:H75" si="32">D73-F73</f>
        <v>5440</v>
      </c>
      <c r="I73" s="493">
        <f t="shared" ref="I73:I75" si="33">IFERROR((H73)/F73,"")</f>
        <v>0.2052830189</v>
      </c>
      <c r="J73" s="351">
        <v>23400.0</v>
      </c>
      <c r="K73" s="353"/>
      <c r="L73" s="353">
        <v>22000.0</v>
      </c>
      <c r="M73" s="353"/>
      <c r="N73" s="353"/>
      <c r="O73" s="523"/>
      <c r="P73" s="351">
        <v>21920.0</v>
      </c>
      <c r="Q73" s="353"/>
      <c r="R73" s="353">
        <v>22000.0</v>
      </c>
      <c r="S73" s="353"/>
      <c r="T73" s="353"/>
      <c r="U73" s="523"/>
      <c r="V73" s="351">
        <v>21920.0</v>
      </c>
      <c r="W73" s="353"/>
      <c r="X73" s="353">
        <v>25150.0</v>
      </c>
      <c r="Y73" s="353"/>
      <c r="Z73" s="353"/>
      <c r="AA73" s="523"/>
      <c r="AB73" s="351">
        <v>23420.0</v>
      </c>
      <c r="AC73" s="353"/>
      <c r="AD73" s="353">
        <v>22000.0</v>
      </c>
      <c r="AE73" s="353"/>
      <c r="AF73" s="353"/>
      <c r="AG73" s="353"/>
      <c r="AH73" s="351">
        <v>21940.0</v>
      </c>
      <c r="AI73" s="353"/>
      <c r="AJ73" s="353">
        <v>22000.0</v>
      </c>
      <c r="AK73" s="353"/>
      <c r="AL73" s="353"/>
      <c r="AM73" s="353"/>
      <c r="AN73" s="351">
        <v>23680.0</v>
      </c>
      <c r="AO73" s="353"/>
      <c r="AP73" s="353">
        <v>22000.0</v>
      </c>
      <c r="AQ73" s="353"/>
      <c r="AR73" s="353"/>
      <c r="AS73" s="353"/>
      <c r="AT73" s="351">
        <v>15590.0</v>
      </c>
      <c r="AU73" s="353"/>
      <c r="AV73" s="353">
        <v>22000.0</v>
      </c>
      <c r="AW73" s="353"/>
      <c r="AX73" s="353"/>
      <c r="AY73" s="494"/>
      <c r="AZ73" s="495">
        <v>18710.0</v>
      </c>
      <c r="BA73" s="353"/>
      <c r="BB73" s="353">
        <v>22000.0</v>
      </c>
      <c r="BC73" s="353"/>
      <c r="BD73" s="353"/>
      <c r="BE73" s="494"/>
      <c r="BF73" s="351">
        <v>19970.0</v>
      </c>
      <c r="BG73" s="353"/>
      <c r="BH73" s="353">
        <v>22000.0</v>
      </c>
      <c r="BI73" s="353"/>
      <c r="BJ73" s="353"/>
      <c r="BK73" s="493"/>
      <c r="BL73" s="351">
        <v>19970.0</v>
      </c>
      <c r="BM73" s="353"/>
      <c r="BN73" s="353">
        <v>22000.0</v>
      </c>
      <c r="BO73" s="353"/>
      <c r="BP73" s="353"/>
      <c r="BQ73" s="493"/>
      <c r="BR73" s="351">
        <v>18930.0</v>
      </c>
      <c r="BS73" s="353"/>
      <c r="BT73" s="353">
        <v>22000.0</v>
      </c>
      <c r="BU73" s="353"/>
      <c r="BV73" s="353"/>
      <c r="BW73" s="533"/>
      <c r="BX73" s="213"/>
      <c r="BY73" s="213"/>
      <c r="BZ73" s="213"/>
      <c r="CA73" s="213"/>
      <c r="CB73" s="213"/>
      <c r="CC73" s="213"/>
      <c r="CD73" s="213"/>
      <c r="CE73" s="213"/>
      <c r="CF73" s="213"/>
      <c r="CG73" s="213"/>
      <c r="CH73" s="213"/>
      <c r="CI73" s="213"/>
      <c r="CJ73" s="213"/>
      <c r="CK73" s="213"/>
      <c r="CL73" s="213"/>
      <c r="CM73" s="213"/>
      <c r="CN73" s="213"/>
      <c r="CO73" s="213"/>
      <c r="CP73" s="213"/>
      <c r="CQ73" s="213"/>
    </row>
    <row r="74" ht="15.75" customHeight="1">
      <c r="A74" s="213"/>
      <c r="B74" s="492"/>
      <c r="C74" s="492" t="s">
        <v>263</v>
      </c>
      <c r="D74" s="351"/>
      <c r="E74" s="353"/>
      <c r="F74" s="353"/>
      <c r="G74" s="353"/>
      <c r="H74" s="353">
        <f t="shared" si="32"/>
        <v>0</v>
      </c>
      <c r="I74" s="493" t="str">
        <f t="shared" si="33"/>
        <v/>
      </c>
      <c r="J74" s="351"/>
      <c r="K74" s="353"/>
      <c r="L74" s="353"/>
      <c r="M74" s="353"/>
      <c r="N74" s="353"/>
      <c r="O74" s="523"/>
      <c r="P74" s="351"/>
      <c r="Q74" s="353"/>
      <c r="R74" s="353"/>
      <c r="S74" s="353"/>
      <c r="T74" s="353"/>
      <c r="U74" s="523"/>
      <c r="V74" s="351"/>
      <c r="W74" s="353"/>
      <c r="X74" s="353"/>
      <c r="Y74" s="353"/>
      <c r="Z74" s="353"/>
      <c r="AA74" s="523"/>
      <c r="AB74" s="351"/>
      <c r="AC74" s="353"/>
      <c r="AD74" s="353"/>
      <c r="AE74" s="353"/>
      <c r="AF74" s="353"/>
      <c r="AG74" s="353"/>
      <c r="AH74" s="351"/>
      <c r="AI74" s="353"/>
      <c r="AJ74" s="353"/>
      <c r="AK74" s="353"/>
      <c r="AL74" s="353"/>
      <c r="AM74" s="353"/>
      <c r="AN74" s="351"/>
      <c r="AO74" s="353"/>
      <c r="AP74" s="353"/>
      <c r="AQ74" s="353"/>
      <c r="AR74" s="353"/>
      <c r="AS74" s="353"/>
      <c r="AT74" s="351"/>
      <c r="AU74" s="353"/>
      <c r="AV74" s="353"/>
      <c r="AW74" s="353"/>
      <c r="AX74" s="353"/>
      <c r="AY74" s="494"/>
      <c r="AZ74" s="495"/>
      <c r="BA74" s="353"/>
      <c r="BB74" s="353"/>
      <c r="BC74" s="353"/>
      <c r="BD74" s="353"/>
      <c r="BE74" s="494"/>
      <c r="BF74" s="351"/>
      <c r="BG74" s="353"/>
      <c r="BH74" s="353"/>
      <c r="BI74" s="353"/>
      <c r="BJ74" s="353"/>
      <c r="BK74" s="493"/>
      <c r="BL74" s="351"/>
      <c r="BM74" s="353"/>
      <c r="BN74" s="353"/>
      <c r="BO74" s="353"/>
      <c r="BP74" s="353"/>
      <c r="BQ74" s="493"/>
      <c r="BR74" s="351"/>
      <c r="BS74" s="353"/>
      <c r="BT74" s="353"/>
      <c r="BU74" s="353"/>
      <c r="BV74" s="353"/>
      <c r="BW74" s="533"/>
      <c r="BX74" s="213"/>
      <c r="BY74" s="213"/>
      <c r="BZ74" s="213"/>
      <c r="CA74" s="213"/>
      <c r="CB74" s="213"/>
      <c r="CC74" s="213"/>
      <c r="CD74" s="213"/>
      <c r="CE74" s="213"/>
      <c r="CF74" s="213"/>
      <c r="CG74" s="213"/>
      <c r="CH74" s="213"/>
      <c r="CI74" s="213"/>
      <c r="CJ74" s="213"/>
      <c r="CK74" s="213"/>
      <c r="CL74" s="213"/>
      <c r="CM74" s="213"/>
      <c r="CN74" s="213"/>
      <c r="CO74" s="213"/>
      <c r="CP74" s="213"/>
      <c r="CQ74" s="213"/>
    </row>
    <row r="75" ht="15.75" customHeight="1">
      <c r="A75" s="213"/>
      <c r="B75" s="492"/>
      <c r="C75" s="492" t="s">
        <v>264</v>
      </c>
      <c r="D75" s="351">
        <f>6115</f>
        <v>6115</v>
      </c>
      <c r="E75" s="353"/>
      <c r="F75" s="353">
        <v>16000.0</v>
      </c>
      <c r="G75" s="353"/>
      <c r="H75" s="353">
        <f t="shared" si="32"/>
        <v>-9885</v>
      </c>
      <c r="I75" s="493">
        <f t="shared" si="33"/>
        <v>-0.6178125</v>
      </c>
      <c r="J75" s="351">
        <f>895+905</f>
        <v>1800</v>
      </c>
      <c r="K75" s="353"/>
      <c r="L75" s="353">
        <v>16000.0</v>
      </c>
      <c r="M75" s="353"/>
      <c r="N75" s="353"/>
      <c r="O75" s="523"/>
      <c r="P75" s="351">
        <f>6260+(3672/3)+895+2189</f>
        <v>10568</v>
      </c>
      <c r="Q75" s="353"/>
      <c r="R75" s="353">
        <v>16000.0</v>
      </c>
      <c r="S75" s="353"/>
      <c r="T75" s="353"/>
      <c r="U75" s="523"/>
      <c r="V75" s="351">
        <v>7228.0</v>
      </c>
      <c r="W75" s="353"/>
      <c r="X75" s="353">
        <v>16000.0</v>
      </c>
      <c r="Y75" s="353"/>
      <c r="Z75" s="353"/>
      <c r="AA75" s="523"/>
      <c r="AB75" s="351">
        <v>7228.0</v>
      </c>
      <c r="AC75" s="353"/>
      <c r="AD75" s="353">
        <v>16000.0</v>
      </c>
      <c r="AE75" s="353"/>
      <c r="AF75" s="353"/>
      <c r="AG75" s="353"/>
      <c r="AH75" s="351">
        <v>7565.0</v>
      </c>
      <c r="AI75" s="353"/>
      <c r="AJ75" s="353">
        <v>16000.0</v>
      </c>
      <c r="AK75" s="353"/>
      <c r="AL75" s="353"/>
      <c r="AM75" s="353"/>
      <c r="AN75" s="351">
        <v>7630.0</v>
      </c>
      <c r="AO75" s="353"/>
      <c r="AP75" s="353">
        <v>16000.0</v>
      </c>
      <c r="AQ75" s="353"/>
      <c r="AR75" s="353"/>
      <c r="AS75" s="353"/>
      <c r="AT75" s="351">
        <f>905+6725</f>
        <v>7630</v>
      </c>
      <c r="AU75" s="353"/>
      <c r="AV75" s="353">
        <v>16000.0</v>
      </c>
      <c r="AW75" s="353"/>
      <c r="AX75" s="353"/>
      <c r="AY75" s="494"/>
      <c r="AZ75" s="495">
        <v>25905.0</v>
      </c>
      <c r="BA75" s="353"/>
      <c r="BB75" s="353">
        <v>16000.0</v>
      </c>
      <c r="BC75" s="353"/>
      <c r="BD75" s="353"/>
      <c r="BE75" s="494"/>
      <c r="BF75" s="351">
        <v>11358.0</v>
      </c>
      <c r="BG75" s="353"/>
      <c r="BH75" s="353">
        <v>16000.0</v>
      </c>
      <c r="BI75" s="353"/>
      <c r="BJ75" s="353"/>
      <c r="BK75" s="493"/>
      <c r="BL75" s="351">
        <v>8440.0</v>
      </c>
      <c r="BM75" s="353"/>
      <c r="BN75" s="353">
        <v>16000.0</v>
      </c>
      <c r="BO75" s="353"/>
      <c r="BP75" s="353"/>
      <c r="BQ75" s="493"/>
      <c r="BR75" s="396">
        <v>17358.06</v>
      </c>
      <c r="BS75" s="353"/>
      <c r="BT75" s="353">
        <v>16000.0</v>
      </c>
      <c r="BU75" s="353"/>
      <c r="BV75" s="353"/>
      <c r="BW75" s="533"/>
      <c r="BX75" s="213"/>
      <c r="BY75" s="213"/>
      <c r="BZ75" s="213"/>
      <c r="CA75" s="213"/>
      <c r="CB75" s="213"/>
      <c r="CC75" s="213"/>
      <c r="CD75" s="213"/>
      <c r="CE75" s="213"/>
      <c r="CF75" s="213"/>
      <c r="CG75" s="213"/>
      <c r="CH75" s="213"/>
      <c r="CI75" s="213"/>
      <c r="CJ75" s="213"/>
      <c r="CK75" s="213"/>
      <c r="CL75" s="213"/>
      <c r="CM75" s="213"/>
      <c r="CN75" s="213"/>
      <c r="CO75" s="213"/>
      <c r="CP75" s="213"/>
      <c r="CQ75" s="213"/>
    </row>
    <row r="76" ht="15.75" customHeight="1">
      <c r="A76" s="213"/>
      <c r="B76" s="502"/>
      <c r="C76" s="534"/>
      <c r="D76" s="363"/>
      <c r="E76" s="365"/>
      <c r="F76" s="365"/>
      <c r="G76" s="365"/>
      <c r="H76" s="365"/>
      <c r="I76" s="503"/>
      <c r="J76" s="363"/>
      <c r="K76" s="365"/>
      <c r="L76" s="365"/>
      <c r="M76" s="365"/>
      <c r="N76" s="365"/>
      <c r="O76" s="526"/>
      <c r="P76" s="363"/>
      <c r="Q76" s="365"/>
      <c r="R76" s="365"/>
      <c r="S76" s="365"/>
      <c r="T76" s="365"/>
      <c r="U76" s="526"/>
      <c r="V76" s="363"/>
      <c r="W76" s="365"/>
      <c r="X76" s="365"/>
      <c r="Y76" s="365"/>
      <c r="Z76" s="365"/>
      <c r="AA76" s="526"/>
      <c r="AB76" s="363"/>
      <c r="AC76" s="365"/>
      <c r="AD76" s="365"/>
      <c r="AE76" s="365"/>
      <c r="AF76" s="365"/>
      <c r="AG76" s="365"/>
      <c r="AH76" s="363"/>
      <c r="AI76" s="365"/>
      <c r="AJ76" s="365"/>
      <c r="AK76" s="365"/>
      <c r="AL76" s="365"/>
      <c r="AM76" s="365"/>
      <c r="AN76" s="363"/>
      <c r="AO76" s="365"/>
      <c r="AP76" s="365"/>
      <c r="AQ76" s="365"/>
      <c r="AR76" s="365"/>
      <c r="AS76" s="365"/>
      <c r="AT76" s="363"/>
      <c r="AU76" s="365"/>
      <c r="AV76" s="365"/>
      <c r="AW76" s="365"/>
      <c r="AX76" s="365"/>
      <c r="AY76" s="504"/>
      <c r="AZ76" s="505"/>
      <c r="BA76" s="365"/>
      <c r="BB76" s="365"/>
      <c r="BC76" s="365"/>
      <c r="BD76" s="365"/>
      <c r="BE76" s="504"/>
      <c r="BF76" s="363"/>
      <c r="BG76" s="365"/>
      <c r="BH76" s="365"/>
      <c r="BI76" s="365"/>
      <c r="BJ76" s="365"/>
      <c r="BK76" s="503"/>
      <c r="BL76" s="363"/>
      <c r="BM76" s="365"/>
      <c r="BN76" s="365"/>
      <c r="BO76" s="365"/>
      <c r="BP76" s="365"/>
      <c r="BQ76" s="503"/>
      <c r="BR76" s="506"/>
      <c r="BS76" s="365"/>
      <c r="BT76" s="365"/>
      <c r="BU76" s="365"/>
      <c r="BV76" s="365"/>
      <c r="BW76" s="535"/>
      <c r="BX76" s="213"/>
      <c r="BY76" s="213"/>
      <c r="BZ76" s="213"/>
      <c r="CA76" s="213"/>
      <c r="CB76" s="213"/>
      <c r="CC76" s="213"/>
      <c r="CD76" s="213"/>
      <c r="CE76" s="213"/>
      <c r="CF76" s="213"/>
      <c r="CG76" s="213"/>
      <c r="CH76" s="213"/>
      <c r="CI76" s="213"/>
      <c r="CJ76" s="213"/>
      <c r="CK76" s="213"/>
      <c r="CL76" s="213"/>
      <c r="CM76" s="213"/>
      <c r="CN76" s="213"/>
      <c r="CO76" s="213"/>
      <c r="CP76" s="213"/>
      <c r="CQ76" s="213"/>
    </row>
    <row r="77" ht="15.75" customHeight="1">
      <c r="A77" s="213"/>
      <c r="B77" s="483"/>
      <c r="C77" s="519" t="s">
        <v>38</v>
      </c>
      <c r="D77" s="373">
        <f>SUM(D78:D86)</f>
        <v>3644878.187</v>
      </c>
      <c r="E77" s="375"/>
      <c r="F77" s="373">
        <f>SUM(F78:F86)</f>
        <v>4043806</v>
      </c>
      <c r="G77" s="375"/>
      <c r="H77" s="375">
        <f>SUM(H78:H85)</f>
        <v>-398927.8133</v>
      </c>
      <c r="I77" s="484"/>
      <c r="J77" s="373">
        <f>SUM(J78:J86)</f>
        <v>4412357.107</v>
      </c>
      <c r="K77" s="375"/>
      <c r="L77" s="373">
        <f>SUM(L78:L86)</f>
        <v>4043806</v>
      </c>
      <c r="M77" s="375"/>
      <c r="N77" s="373">
        <f>SUM(N78:N86)</f>
        <v>0</v>
      </c>
      <c r="O77" s="527"/>
      <c r="P77" s="373">
        <f>SUM(P78:P86)</f>
        <v>3900423.717</v>
      </c>
      <c r="Q77" s="375"/>
      <c r="R77" s="373">
        <f>SUM(R78:R86)</f>
        <v>4043806</v>
      </c>
      <c r="S77" s="375"/>
      <c r="T77" s="375"/>
      <c r="U77" s="527"/>
      <c r="V77" s="373">
        <f>SUM(V78:V86)</f>
        <v>4013463.461</v>
      </c>
      <c r="W77" s="375"/>
      <c r="X77" s="373">
        <f>SUM(X78:X86)</f>
        <v>4043806</v>
      </c>
      <c r="Y77" s="375"/>
      <c r="Z77" s="375"/>
      <c r="AA77" s="527"/>
      <c r="AB77" s="373">
        <f>SUM(AB78:AB86)</f>
        <v>3974626.667</v>
      </c>
      <c r="AC77" s="375"/>
      <c r="AD77" s="373">
        <f>SUM(AD78:AD86)</f>
        <v>4043806</v>
      </c>
      <c r="AE77" s="375"/>
      <c r="AF77" s="375"/>
      <c r="AG77" s="375"/>
      <c r="AH77" s="373">
        <f>SUM(AH78:AH86)</f>
        <v>4021922.297</v>
      </c>
      <c r="AI77" s="375"/>
      <c r="AJ77" s="373">
        <f>SUM(AJ78:AJ86)</f>
        <v>4043806</v>
      </c>
      <c r="AK77" s="375"/>
      <c r="AL77" s="375"/>
      <c r="AM77" s="375"/>
      <c r="AN77" s="373">
        <f>SUM(AN78:AN86)</f>
        <v>6902122.657</v>
      </c>
      <c r="AO77" s="375"/>
      <c r="AP77" s="373">
        <f>SUM(AP78:AP86)</f>
        <v>6806784.99</v>
      </c>
      <c r="AQ77" s="375"/>
      <c r="AR77" s="375">
        <f>SUM(AR78:AR85)</f>
        <v>0</v>
      </c>
      <c r="AS77" s="375"/>
      <c r="AT77" s="373">
        <f>SUM(AT78:AT86)</f>
        <v>4276440.997</v>
      </c>
      <c r="AU77" s="375"/>
      <c r="AV77" s="373">
        <f>SUM(AV78:AV86)</f>
        <v>4043806</v>
      </c>
      <c r="AW77" s="375"/>
      <c r="AX77" s="375">
        <f>SUM(AX78:AX85)</f>
        <v>0</v>
      </c>
      <c r="AY77" s="485"/>
      <c r="AZ77" s="373">
        <f>SUM(AZ78:AZ86)</f>
        <v>110549.6667</v>
      </c>
      <c r="BA77" s="375"/>
      <c r="BB77" s="373">
        <f>SUM(BB78:BB86)</f>
        <v>4043806</v>
      </c>
      <c r="BC77" s="375"/>
      <c r="BD77" s="375">
        <f>SUM(BD78:BD85)</f>
        <v>0</v>
      </c>
      <c r="BE77" s="485"/>
      <c r="BF77" s="373">
        <f>SUM(BF78:BF86)</f>
        <v>4278463.667</v>
      </c>
      <c r="BG77" s="375"/>
      <c r="BH77" s="373">
        <f>SUM(BH78:BH86)</f>
        <v>4043806</v>
      </c>
      <c r="BI77" s="375"/>
      <c r="BJ77" s="373">
        <f>SUM(BJ78:BJ86)</f>
        <v>0</v>
      </c>
      <c r="BK77" s="484"/>
      <c r="BL77" s="373">
        <f>SUM(BL78:BL86)</f>
        <v>4398667.277</v>
      </c>
      <c r="BM77" s="375"/>
      <c r="BN77" s="373">
        <f>SUM(BN78:BN86)</f>
        <v>4043806</v>
      </c>
      <c r="BO77" s="375"/>
      <c r="BP77" s="373">
        <f>SUM(BP78:BP86)</f>
        <v>0</v>
      </c>
      <c r="BQ77" s="484"/>
      <c r="BR77" s="373">
        <f>SUM(BR78:BR86)</f>
        <v>5514398.667</v>
      </c>
      <c r="BS77" s="375"/>
      <c r="BT77" s="373">
        <f>SUM(BT78:BT86)</f>
        <v>4043806</v>
      </c>
      <c r="BU77" s="375"/>
      <c r="BV77" s="373">
        <f>SUM(BV78:BV86)</f>
        <v>0</v>
      </c>
      <c r="BW77" s="528"/>
      <c r="BX77" s="216"/>
      <c r="BY77" s="216"/>
      <c r="BZ77" s="216"/>
      <c r="CA77" s="216"/>
      <c r="CB77" s="216"/>
      <c r="CC77" s="216"/>
      <c r="CD77" s="216"/>
      <c r="CE77" s="216"/>
      <c r="CF77" s="216"/>
      <c r="CG77" s="216"/>
      <c r="CH77" s="216"/>
      <c r="CI77" s="216"/>
      <c r="CJ77" s="216"/>
      <c r="CK77" s="216"/>
      <c r="CL77" s="216"/>
      <c r="CM77" s="216"/>
      <c r="CN77" s="216"/>
      <c r="CO77" s="216"/>
      <c r="CP77" s="216"/>
      <c r="CQ77" s="216"/>
    </row>
    <row r="78" ht="15.75" customHeight="1">
      <c r="A78" s="213"/>
      <c r="B78" s="488"/>
      <c r="C78" s="488" t="s">
        <v>318</v>
      </c>
      <c r="D78" s="384"/>
      <c r="E78" s="386"/>
      <c r="F78" s="386"/>
      <c r="G78" s="386"/>
      <c r="H78" s="386">
        <f t="shared" ref="H78:H80" si="34">D78-F78</f>
        <v>0</v>
      </c>
      <c r="I78" s="489" t="str">
        <f>IFERROR((H78-F78)/F78,"")</f>
        <v/>
      </c>
      <c r="J78" s="384"/>
      <c r="K78" s="386"/>
      <c r="L78" s="386"/>
      <c r="M78" s="386"/>
      <c r="N78" s="386"/>
      <c r="O78" s="522"/>
      <c r="P78" s="384"/>
      <c r="Q78" s="386"/>
      <c r="R78" s="386"/>
      <c r="S78" s="386"/>
      <c r="T78" s="386"/>
      <c r="U78" s="522"/>
      <c r="V78" s="384"/>
      <c r="W78" s="386"/>
      <c r="X78" s="386"/>
      <c r="Y78" s="386"/>
      <c r="Z78" s="386"/>
      <c r="AA78" s="522"/>
      <c r="AB78" s="384"/>
      <c r="AC78" s="386"/>
      <c r="AD78" s="386"/>
      <c r="AE78" s="386"/>
      <c r="AF78" s="386"/>
      <c r="AG78" s="386"/>
      <c r="AH78" s="384"/>
      <c r="AI78" s="386"/>
      <c r="AJ78" s="386"/>
      <c r="AK78" s="386"/>
      <c r="AL78" s="386"/>
      <c r="AM78" s="386"/>
      <c r="AN78" s="384"/>
      <c r="AO78" s="386"/>
      <c r="AP78" s="386"/>
      <c r="AQ78" s="386"/>
      <c r="AR78" s="386"/>
      <c r="AS78" s="386"/>
      <c r="AT78" s="384"/>
      <c r="AU78" s="386"/>
      <c r="AV78" s="386"/>
      <c r="AW78" s="386"/>
      <c r="AX78" s="386"/>
      <c r="AY78" s="490"/>
      <c r="AZ78" s="439"/>
      <c r="BA78" s="386"/>
      <c r="BB78" s="386"/>
      <c r="BC78" s="386"/>
      <c r="BD78" s="386"/>
      <c r="BE78" s="490"/>
      <c r="BF78" s="384"/>
      <c r="BG78" s="386"/>
      <c r="BH78" s="386"/>
      <c r="BI78" s="386"/>
      <c r="BJ78" s="386"/>
      <c r="BK78" s="489"/>
      <c r="BL78" s="384"/>
      <c r="BM78" s="386"/>
      <c r="BN78" s="386"/>
      <c r="BO78" s="386"/>
      <c r="BP78" s="386"/>
      <c r="BQ78" s="489"/>
      <c r="BR78" s="491"/>
      <c r="BS78" s="386"/>
      <c r="BT78" s="386"/>
      <c r="BU78" s="386"/>
      <c r="BV78" s="386"/>
      <c r="BW78" s="530"/>
      <c r="BX78" s="213"/>
      <c r="BY78" s="213"/>
      <c r="BZ78" s="213"/>
      <c r="CA78" s="213"/>
      <c r="CB78" s="213"/>
      <c r="CC78" s="213"/>
      <c r="CD78" s="213"/>
      <c r="CE78" s="213"/>
      <c r="CF78" s="213"/>
      <c r="CG78" s="213"/>
      <c r="CH78" s="213"/>
      <c r="CI78" s="213"/>
      <c r="CJ78" s="213"/>
      <c r="CK78" s="213"/>
      <c r="CL78" s="213"/>
      <c r="CM78" s="213"/>
      <c r="CN78" s="213"/>
      <c r="CO78" s="213"/>
      <c r="CP78" s="213"/>
      <c r="CQ78" s="213"/>
    </row>
    <row r="79" ht="15.75" customHeight="1">
      <c r="A79" s="213"/>
      <c r="B79" s="492"/>
      <c r="C79" s="492" t="s">
        <v>265</v>
      </c>
      <c r="D79" s="351">
        <v>3551459.0</v>
      </c>
      <c r="E79" s="353"/>
      <c r="F79" s="353">
        <v>3576306.0</v>
      </c>
      <c r="G79" s="353"/>
      <c r="H79" s="353">
        <f t="shared" si="34"/>
        <v>-24847</v>
      </c>
      <c r="I79" s="493">
        <f t="shared" ref="I79:I80" si="35">IFERROR((H79)/F79,"")</f>
        <v>-0.006947671704</v>
      </c>
      <c r="J79" s="351">
        <v>3564403.0</v>
      </c>
      <c r="K79" s="353"/>
      <c r="L79" s="353">
        <f t="shared" ref="L79:L80" si="36">$F79</f>
        <v>3576306</v>
      </c>
      <c r="M79" s="353"/>
      <c r="N79" s="353"/>
      <c r="O79" s="523"/>
      <c r="P79" s="351">
        <v>3771956.0</v>
      </c>
      <c r="Q79" s="353"/>
      <c r="R79" s="353">
        <f t="shared" ref="R79:R80" si="37">$F79</f>
        <v>3576306</v>
      </c>
      <c r="S79" s="353"/>
      <c r="T79" s="353"/>
      <c r="U79" s="523"/>
      <c r="V79" s="351">
        <v>3881384.0</v>
      </c>
      <c r="W79" s="353"/>
      <c r="X79" s="353">
        <f t="shared" ref="X79:X80" si="38">$F79</f>
        <v>3576306</v>
      </c>
      <c r="Y79" s="353"/>
      <c r="Z79" s="353"/>
      <c r="AA79" s="523"/>
      <c r="AB79" s="351">
        <v>3936159.0</v>
      </c>
      <c r="AC79" s="353"/>
      <c r="AD79" s="353">
        <f t="shared" ref="AD79:AD80" si="39">$F79</f>
        <v>3576306</v>
      </c>
      <c r="AE79" s="353"/>
      <c r="AF79" s="353"/>
      <c r="AG79" s="353"/>
      <c r="AH79" s="351">
        <v>3903208.0</v>
      </c>
      <c r="AI79" s="353"/>
      <c r="AJ79" s="353">
        <f t="shared" ref="AJ79:AJ80" si="40">$F79</f>
        <v>3576306</v>
      </c>
      <c r="AK79" s="353"/>
      <c r="AL79" s="353"/>
      <c r="AM79" s="353"/>
      <c r="AN79" s="351">
        <v>3950283.0</v>
      </c>
      <c r="AO79" s="353"/>
      <c r="AP79" s="353">
        <f t="shared" ref="AP79:AP80" si="41">$F79</f>
        <v>3576306</v>
      </c>
      <c r="AQ79" s="353"/>
      <c r="AR79" s="353"/>
      <c r="AS79" s="353"/>
      <c r="AT79" s="351">
        <v>4040618.0</v>
      </c>
      <c r="AU79" s="353"/>
      <c r="AV79" s="353">
        <f t="shared" ref="AV79:AV80" si="42">$F79</f>
        <v>3576306</v>
      </c>
      <c r="AW79" s="353"/>
      <c r="AX79" s="353"/>
      <c r="AY79" s="494"/>
      <c r="AZ79" s="495"/>
      <c r="BA79" s="353"/>
      <c r="BB79" s="353">
        <f t="shared" ref="BB79:BB80" si="43">$F79</f>
        <v>3576306</v>
      </c>
      <c r="BC79" s="353"/>
      <c r="BD79" s="353"/>
      <c r="BE79" s="494"/>
      <c r="BF79" s="536">
        <v>3996297.0</v>
      </c>
      <c r="BG79" s="353"/>
      <c r="BH79" s="353">
        <f t="shared" ref="BH79:BH80" si="44">$F79</f>
        <v>3576306</v>
      </c>
      <c r="BI79" s="353"/>
      <c r="BJ79" s="353"/>
      <c r="BK79" s="493"/>
      <c r="BL79" s="396">
        <v>4047445.0</v>
      </c>
      <c r="BM79" s="353"/>
      <c r="BN79" s="353">
        <f t="shared" ref="BN79:BN80" si="45">$F79</f>
        <v>3576306</v>
      </c>
      <c r="BO79" s="353"/>
      <c r="BP79" s="353"/>
      <c r="BQ79" s="493"/>
      <c r="BR79" s="351">
        <f>4561518+270851</f>
        <v>4832369</v>
      </c>
      <c r="BS79" s="353"/>
      <c r="BT79" s="353">
        <f t="shared" ref="BT79:BT80" si="46">$F79</f>
        <v>3576306</v>
      </c>
      <c r="BU79" s="353"/>
      <c r="BV79" s="353"/>
      <c r="BW79" s="533"/>
      <c r="BX79" s="213"/>
      <c r="BY79" s="213"/>
      <c r="BZ79" s="213"/>
      <c r="CA79" s="213"/>
      <c r="CB79" s="213"/>
      <c r="CC79" s="213"/>
      <c r="CD79" s="213"/>
      <c r="CE79" s="213"/>
      <c r="CF79" s="213"/>
      <c r="CG79" s="213"/>
      <c r="CH79" s="213"/>
      <c r="CI79" s="213"/>
      <c r="CJ79" s="213"/>
      <c r="CK79" s="213"/>
      <c r="CL79" s="213"/>
      <c r="CM79" s="213"/>
      <c r="CN79" s="213"/>
      <c r="CO79" s="213"/>
      <c r="CP79" s="213"/>
      <c r="CQ79" s="213"/>
    </row>
    <row r="80" ht="15.75" customHeight="1">
      <c r="A80" s="213"/>
      <c r="B80" s="492"/>
      <c r="C80" s="492" t="s">
        <v>266</v>
      </c>
      <c r="D80" s="351">
        <f>14715+48500/12</f>
        <v>18756.66667</v>
      </c>
      <c r="E80" s="353"/>
      <c r="F80" s="353">
        <v>17500.0</v>
      </c>
      <c r="G80" s="353"/>
      <c r="H80" s="353">
        <f t="shared" si="34"/>
        <v>1256.666667</v>
      </c>
      <c r="I80" s="493">
        <f t="shared" si="35"/>
        <v>0.07180952381</v>
      </c>
      <c r="J80" s="351">
        <f>30500+48500/12</f>
        <v>34541.66667</v>
      </c>
      <c r="K80" s="353"/>
      <c r="L80" s="353">
        <f t="shared" si="36"/>
        <v>17500</v>
      </c>
      <c r="M80" s="353"/>
      <c r="N80" s="353"/>
      <c r="O80" s="523"/>
      <c r="P80" s="351">
        <f>48500/12</f>
        <v>4041.666667</v>
      </c>
      <c r="Q80" s="353"/>
      <c r="R80" s="353">
        <f t="shared" si="37"/>
        <v>17500</v>
      </c>
      <c r="S80" s="353"/>
      <c r="T80" s="353"/>
      <c r="U80" s="523"/>
      <c r="V80" s="351">
        <f>48500/12</f>
        <v>4041.666667</v>
      </c>
      <c r="W80" s="353"/>
      <c r="X80" s="353">
        <f t="shared" si="38"/>
        <v>17500</v>
      </c>
      <c r="Y80" s="353"/>
      <c r="Z80" s="353"/>
      <c r="AA80" s="523"/>
      <c r="AB80" s="351">
        <f>10000+48500/12</f>
        <v>14041.66667</v>
      </c>
      <c r="AC80" s="353"/>
      <c r="AD80" s="353">
        <f t="shared" si="39"/>
        <v>17500</v>
      </c>
      <c r="AE80" s="353"/>
      <c r="AF80" s="353"/>
      <c r="AG80" s="353"/>
      <c r="AH80" s="351">
        <f>48500/12</f>
        <v>4041.666667</v>
      </c>
      <c r="AI80" s="353"/>
      <c r="AJ80" s="353">
        <f t="shared" si="40"/>
        <v>17500</v>
      </c>
      <c r="AK80" s="353"/>
      <c r="AL80" s="353"/>
      <c r="AM80" s="353"/>
      <c r="AN80" s="351">
        <f>53175+834+48500/12</f>
        <v>58050.66667</v>
      </c>
      <c r="AO80" s="353"/>
      <c r="AP80" s="353">
        <f t="shared" si="41"/>
        <v>17500</v>
      </c>
      <c r="AQ80" s="353"/>
      <c r="AR80" s="353"/>
      <c r="AS80" s="353"/>
      <c r="AT80" s="351">
        <f>16840+48500/12</f>
        <v>20881.66667</v>
      </c>
      <c r="AU80" s="353"/>
      <c r="AV80" s="353">
        <f t="shared" si="42"/>
        <v>17500</v>
      </c>
      <c r="AW80" s="353"/>
      <c r="AX80" s="353"/>
      <c r="AY80" s="494"/>
      <c r="AZ80" s="495">
        <f>10004+48500/12</f>
        <v>14045.66667</v>
      </c>
      <c r="BA80" s="353"/>
      <c r="BB80" s="353">
        <f t="shared" si="43"/>
        <v>17500</v>
      </c>
      <c r="BC80" s="353"/>
      <c r="BD80" s="353"/>
      <c r="BE80" s="494"/>
      <c r="BF80" s="351">
        <f>48500/12</f>
        <v>4041.666667</v>
      </c>
      <c r="BG80" s="353"/>
      <c r="BH80" s="353">
        <f t="shared" si="44"/>
        <v>17500</v>
      </c>
      <c r="BI80" s="353"/>
      <c r="BJ80" s="353"/>
      <c r="BK80" s="493"/>
      <c r="BL80" s="351">
        <f>31772+48500/12</f>
        <v>35813.66667</v>
      </c>
      <c r="BM80" s="353"/>
      <c r="BN80" s="353">
        <f t="shared" si="45"/>
        <v>17500</v>
      </c>
      <c r="BO80" s="353"/>
      <c r="BP80" s="353"/>
      <c r="BQ80" s="493"/>
      <c r="BR80" s="351">
        <f>48500/12+1932</f>
        <v>5973.666667</v>
      </c>
      <c r="BS80" s="353"/>
      <c r="BT80" s="353">
        <f t="shared" si="46"/>
        <v>17500</v>
      </c>
      <c r="BU80" s="353"/>
      <c r="BV80" s="353"/>
      <c r="BW80" s="533"/>
      <c r="BX80" s="213"/>
      <c r="BY80" s="213"/>
      <c r="BZ80" s="213"/>
      <c r="CA80" s="213"/>
      <c r="CB80" s="213"/>
      <c r="CC80" s="213"/>
      <c r="CD80" s="213"/>
      <c r="CE80" s="213"/>
      <c r="CF80" s="213"/>
      <c r="CG80" s="213"/>
      <c r="CH80" s="213"/>
      <c r="CI80" s="213"/>
      <c r="CJ80" s="213"/>
      <c r="CK80" s="213"/>
      <c r="CL80" s="213"/>
      <c r="CM80" s="213"/>
      <c r="CN80" s="213"/>
      <c r="CO80" s="213"/>
      <c r="CP80" s="213"/>
      <c r="CQ80" s="213"/>
    </row>
    <row r="81" ht="15.75" customHeight="1">
      <c r="A81" s="213"/>
      <c r="B81" s="492"/>
      <c r="C81" s="492" t="s">
        <v>319</v>
      </c>
      <c r="D81" s="351"/>
      <c r="E81" s="353"/>
      <c r="F81" s="353"/>
      <c r="G81" s="353"/>
      <c r="H81" s="353"/>
      <c r="I81" s="493"/>
      <c r="J81" s="351">
        <f>495600+39166</f>
        <v>534766</v>
      </c>
      <c r="K81" s="353"/>
      <c r="L81" s="353"/>
      <c r="M81" s="353"/>
      <c r="N81" s="353"/>
      <c r="O81" s="523"/>
      <c r="P81" s="351"/>
      <c r="Q81" s="353"/>
      <c r="R81" s="353"/>
      <c r="S81" s="353"/>
      <c r="T81" s="353"/>
      <c r="U81" s="523"/>
      <c r="V81" s="351"/>
      <c r="W81" s="353"/>
      <c r="X81" s="353"/>
      <c r="Y81" s="353"/>
      <c r="Z81" s="353"/>
      <c r="AA81" s="523"/>
      <c r="AB81" s="351"/>
      <c r="AC81" s="353"/>
      <c r="AD81" s="353"/>
      <c r="AE81" s="353"/>
      <c r="AF81" s="353"/>
      <c r="AG81" s="353"/>
      <c r="AH81" s="351">
        <v>47181.0</v>
      </c>
      <c r="AI81" s="353"/>
      <c r="AJ81" s="353"/>
      <c r="AK81" s="353"/>
      <c r="AL81" s="353"/>
      <c r="AM81" s="353"/>
      <c r="AN81" s="351"/>
      <c r="AO81" s="353"/>
      <c r="AP81" s="353"/>
      <c r="AQ81" s="353"/>
      <c r="AR81" s="353"/>
      <c r="AS81" s="353"/>
      <c r="AT81" s="351">
        <f>2495+108494</f>
        <v>110989</v>
      </c>
      <c r="AU81" s="353"/>
      <c r="AV81" s="353"/>
      <c r="AW81" s="353"/>
      <c r="AX81" s="353"/>
      <c r="AY81" s="494"/>
      <c r="AZ81" s="495"/>
      <c r="BA81" s="353"/>
      <c r="BB81" s="353"/>
      <c r="BC81" s="353"/>
      <c r="BD81" s="353"/>
      <c r="BE81" s="494"/>
      <c r="BF81" s="351"/>
      <c r="BG81" s="353"/>
      <c r="BH81" s="353"/>
      <c r="BI81" s="353"/>
      <c r="BJ81" s="353"/>
      <c r="BK81" s="493"/>
      <c r="BL81" s="351">
        <f>53079+174626</f>
        <v>227705</v>
      </c>
      <c r="BM81" s="353"/>
      <c r="BN81" s="353"/>
      <c r="BO81" s="353"/>
      <c r="BP81" s="353"/>
      <c r="BQ81" s="493"/>
      <c r="BR81" s="351"/>
      <c r="BS81" s="353"/>
      <c r="BT81" s="353"/>
      <c r="BU81" s="353"/>
      <c r="BV81" s="353"/>
      <c r="BW81" s="533"/>
      <c r="BX81" s="213"/>
      <c r="BY81" s="213"/>
      <c r="BZ81" s="213"/>
      <c r="CA81" s="213"/>
      <c r="CB81" s="213"/>
      <c r="CC81" s="213"/>
      <c r="CD81" s="213"/>
      <c r="CE81" s="213"/>
      <c r="CF81" s="213"/>
      <c r="CG81" s="213"/>
      <c r="CH81" s="213"/>
      <c r="CI81" s="213"/>
      <c r="CJ81" s="213"/>
      <c r="CK81" s="213"/>
      <c r="CL81" s="213"/>
      <c r="CM81" s="213"/>
      <c r="CN81" s="213"/>
      <c r="CO81" s="213"/>
      <c r="CP81" s="213"/>
      <c r="CQ81" s="213"/>
    </row>
    <row r="82" ht="15.75" customHeight="1">
      <c r="A82" s="213"/>
      <c r="B82" s="492"/>
      <c r="C82" s="492" t="s">
        <v>267</v>
      </c>
      <c r="D82" s="351">
        <v>63038.52</v>
      </c>
      <c r="E82" s="353"/>
      <c r="F82" s="353">
        <v>70000.0</v>
      </c>
      <c r="G82" s="353"/>
      <c r="H82" s="353">
        <f t="shared" ref="H82:H85" si="47">D82-F82</f>
        <v>-6961.48</v>
      </c>
      <c r="I82" s="493">
        <f t="shared" ref="I82:I85" si="48">IFERROR((H82)/F82,"")</f>
        <v>-0.09944971429</v>
      </c>
      <c r="J82" s="351">
        <v>68711.44</v>
      </c>
      <c r="K82" s="353"/>
      <c r="L82" s="353">
        <f t="shared" ref="L82:L85" si="49">$F82</f>
        <v>70000</v>
      </c>
      <c r="M82" s="353"/>
      <c r="N82" s="353"/>
      <c r="O82" s="523"/>
      <c r="P82" s="351">
        <v>66798.05</v>
      </c>
      <c r="Q82" s="353"/>
      <c r="R82" s="353">
        <f t="shared" ref="R82:R85" si="50">$F82</f>
        <v>70000</v>
      </c>
      <c r="S82" s="353"/>
      <c r="T82" s="353"/>
      <c r="U82" s="523"/>
      <c r="V82" s="351">
        <v>69650.7940384616</v>
      </c>
      <c r="W82" s="353"/>
      <c r="X82" s="353">
        <f t="shared" ref="X82:X86" si="51">$F82</f>
        <v>70000</v>
      </c>
      <c r="Y82" s="353"/>
      <c r="Z82" s="353"/>
      <c r="AA82" s="523"/>
      <c r="AB82" s="351"/>
      <c r="AC82" s="353"/>
      <c r="AD82" s="353">
        <f t="shared" ref="AD82:AD85" si="52">$F82</f>
        <v>70000</v>
      </c>
      <c r="AE82" s="353"/>
      <c r="AF82" s="353"/>
      <c r="AG82" s="353"/>
      <c r="AH82" s="351">
        <v>63931.63</v>
      </c>
      <c r="AI82" s="353"/>
      <c r="AJ82" s="353">
        <f t="shared" ref="AJ82:AJ86" si="53">$F82</f>
        <v>70000</v>
      </c>
      <c r="AK82" s="353"/>
      <c r="AL82" s="353"/>
      <c r="AM82" s="353"/>
      <c r="AN82" s="351">
        <v>74858.99</v>
      </c>
      <c r="AO82" s="353"/>
      <c r="AP82" s="353">
        <v>74858.99</v>
      </c>
      <c r="AQ82" s="353"/>
      <c r="AR82" s="353"/>
      <c r="AS82" s="353"/>
      <c r="AT82" s="351">
        <v>94278.33</v>
      </c>
      <c r="AU82" s="353"/>
      <c r="AV82" s="353">
        <f t="shared" ref="AV82:AV86" si="54">$F82</f>
        <v>70000</v>
      </c>
      <c r="AW82" s="353"/>
      <c r="AX82" s="353"/>
      <c r="AY82" s="494"/>
      <c r="AZ82" s="495"/>
      <c r="BA82" s="353"/>
      <c r="BB82" s="353">
        <f t="shared" ref="BB82:BB86" si="55">$F82</f>
        <v>70000</v>
      </c>
      <c r="BC82" s="353"/>
      <c r="BD82" s="353"/>
      <c r="BE82" s="494"/>
      <c r="BF82" s="351"/>
      <c r="BG82" s="353"/>
      <c r="BH82" s="353">
        <f t="shared" ref="BH82:BH86" si="56">$F82</f>
        <v>70000</v>
      </c>
      <c r="BI82" s="353"/>
      <c r="BJ82" s="353"/>
      <c r="BK82" s="493"/>
      <c r="BL82" s="351"/>
      <c r="BM82" s="353"/>
      <c r="BN82" s="353">
        <f t="shared" ref="BN82:BN86" si="57">$F82</f>
        <v>70000</v>
      </c>
      <c r="BO82" s="353"/>
      <c r="BP82" s="353"/>
      <c r="BQ82" s="493"/>
      <c r="BR82" s="351"/>
      <c r="BS82" s="353"/>
      <c r="BT82" s="353">
        <f t="shared" ref="BT82:BT86" si="58">$F82</f>
        <v>70000</v>
      </c>
      <c r="BU82" s="353"/>
      <c r="BV82" s="353"/>
      <c r="BW82" s="533"/>
      <c r="BX82" s="213"/>
      <c r="BY82" s="213"/>
      <c r="BZ82" s="213"/>
      <c r="CA82" s="213"/>
      <c r="CB82" s="213"/>
      <c r="CC82" s="213"/>
      <c r="CD82" s="213"/>
      <c r="CE82" s="213"/>
      <c r="CF82" s="213"/>
      <c r="CG82" s="213"/>
      <c r="CH82" s="213"/>
      <c r="CI82" s="213"/>
      <c r="CJ82" s="213"/>
      <c r="CK82" s="213"/>
      <c r="CL82" s="213"/>
      <c r="CM82" s="213"/>
      <c r="CN82" s="213"/>
      <c r="CO82" s="213"/>
      <c r="CP82" s="213"/>
      <c r="CQ82" s="213"/>
    </row>
    <row r="83" ht="15.75" customHeight="1">
      <c r="A83" s="213"/>
      <c r="B83" s="492"/>
      <c r="C83" s="492" t="s">
        <v>268</v>
      </c>
      <c r="D83" s="351"/>
      <c r="E83" s="353"/>
      <c r="F83" s="353"/>
      <c r="G83" s="353"/>
      <c r="H83" s="353">
        <f t="shared" si="47"/>
        <v>0</v>
      </c>
      <c r="I83" s="493" t="str">
        <f t="shared" si="48"/>
        <v/>
      </c>
      <c r="J83" s="351"/>
      <c r="K83" s="353"/>
      <c r="L83" s="353" t="str">
        <f t="shared" si="49"/>
        <v/>
      </c>
      <c r="M83" s="353"/>
      <c r="N83" s="353"/>
      <c r="O83" s="523"/>
      <c r="P83" s="351"/>
      <c r="Q83" s="353"/>
      <c r="R83" s="353" t="str">
        <f t="shared" si="50"/>
        <v/>
      </c>
      <c r="S83" s="353"/>
      <c r="T83" s="353"/>
      <c r="U83" s="523"/>
      <c r="V83" s="351"/>
      <c r="W83" s="353"/>
      <c r="X83" s="353" t="str">
        <f t="shared" si="51"/>
        <v/>
      </c>
      <c r="Y83" s="353"/>
      <c r="Z83" s="353"/>
      <c r="AA83" s="523"/>
      <c r="AB83" s="351"/>
      <c r="AC83" s="353"/>
      <c r="AD83" s="353" t="str">
        <f t="shared" si="52"/>
        <v/>
      </c>
      <c r="AE83" s="353"/>
      <c r="AF83" s="353"/>
      <c r="AG83" s="353"/>
      <c r="AH83" s="351"/>
      <c r="AI83" s="353"/>
      <c r="AJ83" s="353" t="str">
        <f t="shared" si="53"/>
        <v/>
      </c>
      <c r="AK83" s="353"/>
      <c r="AL83" s="353"/>
      <c r="AM83" s="353"/>
      <c r="AN83" s="351"/>
      <c r="AO83" s="353"/>
      <c r="AP83" s="353" t="str">
        <f t="shared" ref="AP83:AP85" si="59">$F83</f>
        <v/>
      </c>
      <c r="AQ83" s="353"/>
      <c r="AR83" s="353"/>
      <c r="AS83" s="353"/>
      <c r="AT83" s="351"/>
      <c r="AU83" s="353"/>
      <c r="AV83" s="353" t="str">
        <f t="shared" si="54"/>
        <v/>
      </c>
      <c r="AW83" s="353"/>
      <c r="AX83" s="353"/>
      <c r="AY83" s="494"/>
      <c r="AZ83" s="495"/>
      <c r="BA83" s="353"/>
      <c r="BB83" s="353" t="str">
        <f t="shared" si="55"/>
        <v/>
      </c>
      <c r="BC83" s="353"/>
      <c r="BD83" s="353"/>
      <c r="BE83" s="494"/>
      <c r="BF83" s="351"/>
      <c r="BG83" s="353"/>
      <c r="BH83" s="353" t="str">
        <f t="shared" si="56"/>
        <v/>
      </c>
      <c r="BI83" s="353"/>
      <c r="BJ83" s="353"/>
      <c r="BK83" s="493"/>
      <c r="BL83" s="351"/>
      <c r="BM83" s="353"/>
      <c r="BN83" s="353" t="str">
        <f t="shared" si="57"/>
        <v/>
      </c>
      <c r="BO83" s="353"/>
      <c r="BP83" s="353"/>
      <c r="BQ83" s="493"/>
      <c r="BR83" s="351"/>
      <c r="BS83" s="353"/>
      <c r="BT83" s="353" t="str">
        <f t="shared" si="58"/>
        <v/>
      </c>
      <c r="BU83" s="353"/>
      <c r="BV83" s="353"/>
      <c r="BW83" s="533"/>
      <c r="BX83" s="213"/>
      <c r="BY83" s="213"/>
      <c r="BZ83" s="213"/>
      <c r="CA83" s="213"/>
      <c r="CB83" s="213"/>
      <c r="CC83" s="213"/>
      <c r="CD83" s="213"/>
      <c r="CE83" s="213"/>
      <c r="CF83" s="213"/>
      <c r="CG83" s="213"/>
      <c r="CH83" s="213"/>
      <c r="CI83" s="213"/>
      <c r="CJ83" s="213"/>
      <c r="CK83" s="213"/>
      <c r="CL83" s="213"/>
      <c r="CM83" s="213"/>
      <c r="CN83" s="213"/>
      <c r="CO83" s="213"/>
      <c r="CP83" s="213"/>
      <c r="CQ83" s="213"/>
    </row>
    <row r="84" ht="15.75" customHeight="1">
      <c r="A84" s="213"/>
      <c r="B84" s="492"/>
      <c r="C84" s="492" t="s">
        <v>320</v>
      </c>
      <c r="D84" s="351">
        <f>6117+728+4779</f>
        <v>11624</v>
      </c>
      <c r="E84" s="353"/>
      <c r="F84" s="353">
        <v>280000.0</v>
      </c>
      <c r="G84" s="353"/>
      <c r="H84" s="353">
        <f t="shared" si="47"/>
        <v>-268376</v>
      </c>
      <c r="I84" s="493">
        <f t="shared" si="48"/>
        <v>-0.9584857143</v>
      </c>
      <c r="J84" s="351">
        <v>82907.0</v>
      </c>
      <c r="K84" s="353"/>
      <c r="L84" s="353">
        <f t="shared" si="49"/>
        <v>280000</v>
      </c>
      <c r="M84" s="353"/>
      <c r="N84" s="353"/>
      <c r="O84" s="523"/>
      <c r="P84" s="351">
        <f>5187+13651+3326</f>
        <v>22164</v>
      </c>
      <c r="Q84" s="353"/>
      <c r="R84" s="353">
        <f t="shared" si="50"/>
        <v>280000</v>
      </c>
      <c r="S84" s="353"/>
      <c r="T84" s="353"/>
      <c r="U84" s="523"/>
      <c r="V84" s="351">
        <f>28246+2000</f>
        <v>30246</v>
      </c>
      <c r="W84" s="353"/>
      <c r="X84" s="353">
        <f t="shared" si="51"/>
        <v>280000</v>
      </c>
      <c r="Y84" s="353"/>
      <c r="Z84" s="353"/>
      <c r="AA84" s="523"/>
      <c r="AB84" s="351">
        <v>24426.0</v>
      </c>
      <c r="AC84" s="353"/>
      <c r="AD84" s="353">
        <f t="shared" si="52"/>
        <v>280000</v>
      </c>
      <c r="AE84" s="353"/>
      <c r="AF84" s="353"/>
      <c r="AG84" s="353"/>
      <c r="AH84" s="351">
        <v>3560.0</v>
      </c>
      <c r="AI84" s="353"/>
      <c r="AJ84" s="353">
        <f t="shared" si="53"/>
        <v>280000</v>
      </c>
      <c r="AK84" s="353"/>
      <c r="AL84" s="353"/>
      <c r="AM84" s="353"/>
      <c r="AN84" s="351">
        <f>48075+2005+10730</f>
        <v>60810</v>
      </c>
      <c r="AO84" s="353"/>
      <c r="AP84" s="353">
        <f t="shared" si="59"/>
        <v>280000</v>
      </c>
      <c r="AQ84" s="353"/>
      <c r="AR84" s="353"/>
      <c r="AS84" s="353"/>
      <c r="AT84" s="351">
        <v>9674.0</v>
      </c>
      <c r="AU84" s="353"/>
      <c r="AV84" s="353">
        <f t="shared" si="54"/>
        <v>280000</v>
      </c>
      <c r="AW84" s="353"/>
      <c r="AX84" s="353"/>
      <c r="AY84" s="494"/>
      <c r="AZ84" s="495">
        <v>56968.0</v>
      </c>
      <c r="BA84" s="353"/>
      <c r="BB84" s="353">
        <f t="shared" si="55"/>
        <v>280000</v>
      </c>
      <c r="BC84" s="353"/>
      <c r="BD84" s="353"/>
      <c r="BE84" s="494"/>
      <c r="BF84" s="351">
        <v>278125.0</v>
      </c>
      <c r="BG84" s="353"/>
      <c r="BH84" s="353">
        <f t="shared" si="56"/>
        <v>280000</v>
      </c>
      <c r="BI84" s="353"/>
      <c r="BJ84" s="353"/>
      <c r="BK84" s="493"/>
      <c r="BL84" s="396">
        <v>87703.61</v>
      </c>
      <c r="BM84" s="353"/>
      <c r="BN84" s="353">
        <f t="shared" si="57"/>
        <v>280000</v>
      </c>
      <c r="BO84" s="353"/>
      <c r="BP84" s="353"/>
      <c r="BQ84" s="493"/>
      <c r="BR84" s="396">
        <v>676056.0</v>
      </c>
      <c r="BS84" s="353"/>
      <c r="BT84" s="353">
        <f t="shared" si="58"/>
        <v>280000</v>
      </c>
      <c r="BU84" s="353"/>
      <c r="BV84" s="353"/>
      <c r="BW84" s="533"/>
      <c r="BX84" s="213"/>
      <c r="BY84" s="213"/>
      <c r="BZ84" s="213"/>
      <c r="CA84" s="213"/>
      <c r="CB84" s="213"/>
      <c r="CC84" s="213"/>
      <c r="CD84" s="213"/>
      <c r="CE84" s="213"/>
      <c r="CF84" s="213"/>
      <c r="CG84" s="213"/>
      <c r="CH84" s="213"/>
      <c r="CI84" s="213"/>
      <c r="CJ84" s="213"/>
      <c r="CK84" s="213"/>
      <c r="CL84" s="213"/>
      <c r="CM84" s="213"/>
      <c r="CN84" s="213"/>
      <c r="CO84" s="213"/>
      <c r="CP84" s="213"/>
      <c r="CQ84" s="213"/>
    </row>
    <row r="85" ht="15.75" customHeight="1">
      <c r="A85" s="213"/>
      <c r="B85" s="492"/>
      <c r="C85" s="492" t="s">
        <v>270</v>
      </c>
      <c r="D85" s="351"/>
      <c r="E85" s="353"/>
      <c r="F85" s="353">
        <v>100000.0</v>
      </c>
      <c r="G85" s="353"/>
      <c r="H85" s="353">
        <f t="shared" si="47"/>
        <v>-100000</v>
      </c>
      <c r="I85" s="493">
        <f t="shared" si="48"/>
        <v>-1</v>
      </c>
      <c r="J85" s="351">
        <v>127028.0</v>
      </c>
      <c r="K85" s="353"/>
      <c r="L85" s="353">
        <f t="shared" si="49"/>
        <v>100000</v>
      </c>
      <c r="M85" s="353"/>
      <c r="N85" s="353"/>
      <c r="O85" s="523"/>
      <c r="P85" s="351">
        <f>15005+20459</f>
        <v>35464</v>
      </c>
      <c r="Q85" s="353"/>
      <c r="R85" s="353">
        <f t="shared" si="50"/>
        <v>100000</v>
      </c>
      <c r="S85" s="353"/>
      <c r="T85" s="353"/>
      <c r="U85" s="523"/>
      <c r="V85" s="351">
        <f>19818+8323</f>
        <v>28141</v>
      </c>
      <c r="W85" s="353"/>
      <c r="X85" s="353">
        <f t="shared" si="51"/>
        <v>100000</v>
      </c>
      <c r="Y85" s="353"/>
      <c r="Z85" s="353"/>
      <c r="AA85" s="523"/>
      <c r="AB85" s="351"/>
      <c r="AC85" s="353"/>
      <c r="AD85" s="353">
        <f t="shared" si="52"/>
        <v>100000</v>
      </c>
      <c r="AE85" s="353"/>
      <c r="AF85" s="353"/>
      <c r="AG85" s="353"/>
      <c r="AH85" s="351"/>
      <c r="AI85" s="353"/>
      <c r="AJ85" s="353">
        <f t="shared" si="53"/>
        <v>100000</v>
      </c>
      <c r="AK85" s="353"/>
      <c r="AL85" s="353"/>
      <c r="AM85" s="353"/>
      <c r="AN85" s="351"/>
      <c r="AO85" s="353"/>
      <c r="AP85" s="353">
        <f t="shared" si="59"/>
        <v>100000</v>
      </c>
      <c r="AQ85" s="353"/>
      <c r="AR85" s="353"/>
      <c r="AS85" s="353"/>
      <c r="AT85" s="351"/>
      <c r="AU85" s="353"/>
      <c r="AV85" s="353">
        <f t="shared" si="54"/>
        <v>100000</v>
      </c>
      <c r="AW85" s="353"/>
      <c r="AX85" s="353"/>
      <c r="AY85" s="494"/>
      <c r="AZ85" s="495">
        <v>39536.0</v>
      </c>
      <c r="BA85" s="353"/>
      <c r="BB85" s="353">
        <f t="shared" si="55"/>
        <v>100000</v>
      </c>
      <c r="BC85" s="353"/>
      <c r="BD85" s="353"/>
      <c r="BE85" s="494"/>
      <c r="BF85" s="351"/>
      <c r="BG85" s="353"/>
      <c r="BH85" s="353">
        <f t="shared" si="56"/>
        <v>100000</v>
      </c>
      <c r="BI85" s="353"/>
      <c r="BJ85" s="353"/>
      <c r="BK85" s="493"/>
      <c r="BL85" s="351"/>
      <c r="BM85" s="353"/>
      <c r="BN85" s="353">
        <f t="shared" si="57"/>
        <v>100000</v>
      </c>
      <c r="BO85" s="353"/>
      <c r="BP85" s="353"/>
      <c r="BQ85" s="493"/>
      <c r="BR85" s="351"/>
      <c r="BS85" s="353"/>
      <c r="BT85" s="353">
        <f t="shared" si="58"/>
        <v>100000</v>
      </c>
      <c r="BU85" s="353"/>
      <c r="BV85" s="353"/>
      <c r="BW85" s="533"/>
      <c r="BX85" s="213"/>
      <c r="BY85" s="213"/>
      <c r="BZ85" s="213"/>
      <c r="CA85" s="213"/>
      <c r="CB85" s="213"/>
      <c r="CC85" s="213"/>
      <c r="CD85" s="213"/>
      <c r="CE85" s="213"/>
      <c r="CF85" s="213"/>
      <c r="CG85" s="213"/>
      <c r="CH85" s="213"/>
      <c r="CI85" s="213"/>
      <c r="CJ85" s="213"/>
      <c r="CK85" s="213"/>
      <c r="CL85" s="213"/>
      <c r="CM85" s="213"/>
      <c r="CN85" s="213"/>
      <c r="CO85" s="213"/>
      <c r="CP85" s="213"/>
      <c r="CQ85" s="213"/>
    </row>
    <row r="86" ht="15.75" customHeight="1">
      <c r="A86" s="213"/>
      <c r="B86" s="492"/>
      <c r="C86" s="492" t="s">
        <v>271</v>
      </c>
      <c r="D86" s="351"/>
      <c r="E86" s="353"/>
      <c r="F86" s="353"/>
      <c r="G86" s="353"/>
      <c r="H86" s="353"/>
      <c r="I86" s="493"/>
      <c r="J86" s="351"/>
      <c r="K86" s="353"/>
      <c r="L86" s="353"/>
      <c r="M86" s="353"/>
      <c r="N86" s="353"/>
      <c r="O86" s="523"/>
      <c r="P86" s="351"/>
      <c r="Q86" s="353"/>
      <c r="R86" s="353"/>
      <c r="S86" s="353"/>
      <c r="T86" s="353"/>
      <c r="U86" s="523"/>
      <c r="V86" s="351"/>
      <c r="W86" s="353"/>
      <c r="X86" s="353" t="str">
        <f t="shared" si="51"/>
        <v/>
      </c>
      <c r="Y86" s="353"/>
      <c r="Z86" s="353"/>
      <c r="AA86" s="523"/>
      <c r="AB86" s="351"/>
      <c r="AC86" s="353"/>
      <c r="AD86" s="353"/>
      <c r="AE86" s="353"/>
      <c r="AF86" s="353"/>
      <c r="AG86" s="353"/>
      <c r="AH86" s="351"/>
      <c r="AI86" s="353"/>
      <c r="AJ86" s="353" t="str">
        <f t="shared" si="53"/>
        <v/>
      </c>
      <c r="AK86" s="353"/>
      <c r="AL86" s="353"/>
      <c r="AM86" s="353"/>
      <c r="AN86" s="351">
        <v>2758120.0</v>
      </c>
      <c r="AO86" s="353"/>
      <c r="AP86" s="353">
        <f>AN86</f>
        <v>2758120</v>
      </c>
      <c r="AQ86" s="353"/>
      <c r="AR86" s="353"/>
      <c r="AS86" s="353"/>
      <c r="AT86" s="351"/>
      <c r="AU86" s="353"/>
      <c r="AV86" s="353" t="str">
        <f t="shared" si="54"/>
        <v/>
      </c>
      <c r="AW86" s="353"/>
      <c r="AX86" s="353"/>
      <c r="AY86" s="494"/>
      <c r="AZ86" s="495"/>
      <c r="BA86" s="353"/>
      <c r="BB86" s="353" t="str">
        <f t="shared" si="55"/>
        <v/>
      </c>
      <c r="BC86" s="353"/>
      <c r="BD86" s="353"/>
      <c r="BE86" s="494"/>
      <c r="BF86" s="351"/>
      <c r="BG86" s="353"/>
      <c r="BH86" s="353" t="str">
        <f t="shared" si="56"/>
        <v/>
      </c>
      <c r="BI86" s="353"/>
      <c r="BJ86" s="353"/>
      <c r="BK86" s="493"/>
      <c r="BL86" s="351"/>
      <c r="BM86" s="353"/>
      <c r="BN86" s="353" t="str">
        <f t="shared" si="57"/>
        <v/>
      </c>
      <c r="BO86" s="353"/>
      <c r="BP86" s="353"/>
      <c r="BQ86" s="493"/>
      <c r="BR86" s="351"/>
      <c r="BS86" s="353"/>
      <c r="BT86" s="353" t="str">
        <f t="shared" si="58"/>
        <v/>
      </c>
      <c r="BU86" s="353"/>
      <c r="BV86" s="353"/>
      <c r="BW86" s="533"/>
      <c r="BX86" s="213"/>
      <c r="BY86" s="213"/>
      <c r="BZ86" s="213"/>
      <c r="CA86" s="213"/>
      <c r="CB86" s="213"/>
      <c r="CC86" s="213"/>
      <c r="CD86" s="213"/>
      <c r="CE86" s="213"/>
      <c r="CF86" s="213"/>
      <c r="CG86" s="213"/>
      <c r="CH86" s="213"/>
      <c r="CI86" s="213"/>
      <c r="CJ86" s="213"/>
      <c r="CK86" s="213"/>
      <c r="CL86" s="213"/>
      <c r="CM86" s="213"/>
      <c r="CN86" s="213"/>
      <c r="CO86" s="213"/>
      <c r="CP86" s="213"/>
      <c r="CQ86" s="213"/>
    </row>
    <row r="87" ht="15.75" customHeight="1">
      <c r="A87" s="213"/>
      <c r="B87" s="502"/>
      <c r="C87" s="534"/>
      <c r="D87" s="363"/>
      <c r="E87" s="365"/>
      <c r="F87" s="365"/>
      <c r="G87" s="365"/>
      <c r="H87" s="365"/>
      <c r="I87" s="503"/>
      <c r="J87" s="363"/>
      <c r="K87" s="365"/>
      <c r="L87" s="365"/>
      <c r="M87" s="365"/>
      <c r="N87" s="365"/>
      <c r="O87" s="526"/>
      <c r="P87" s="363"/>
      <c r="Q87" s="365"/>
      <c r="R87" s="365"/>
      <c r="S87" s="365"/>
      <c r="T87" s="365"/>
      <c r="U87" s="526"/>
      <c r="V87" s="363"/>
      <c r="W87" s="365"/>
      <c r="X87" s="365"/>
      <c r="Y87" s="365"/>
      <c r="Z87" s="365"/>
      <c r="AA87" s="526"/>
      <c r="AB87" s="363"/>
      <c r="AC87" s="365"/>
      <c r="AD87" s="365"/>
      <c r="AE87" s="365"/>
      <c r="AF87" s="365"/>
      <c r="AG87" s="365"/>
      <c r="AH87" s="363"/>
      <c r="AI87" s="365"/>
      <c r="AJ87" s="365"/>
      <c r="AK87" s="365"/>
      <c r="AL87" s="365"/>
      <c r="AM87" s="365"/>
      <c r="AN87" s="363"/>
      <c r="AO87" s="365"/>
      <c r="AP87" s="365"/>
      <c r="AQ87" s="365"/>
      <c r="AR87" s="365"/>
      <c r="AS87" s="365"/>
      <c r="AT87" s="363"/>
      <c r="AU87" s="365"/>
      <c r="AV87" s="365"/>
      <c r="AW87" s="365"/>
      <c r="AX87" s="365"/>
      <c r="AY87" s="504"/>
      <c r="AZ87" s="505"/>
      <c r="BA87" s="365"/>
      <c r="BB87" s="365"/>
      <c r="BC87" s="365"/>
      <c r="BD87" s="365"/>
      <c r="BE87" s="504"/>
      <c r="BF87" s="363"/>
      <c r="BG87" s="365"/>
      <c r="BH87" s="365"/>
      <c r="BI87" s="365"/>
      <c r="BJ87" s="365"/>
      <c r="BK87" s="503"/>
      <c r="BL87" s="363"/>
      <c r="BM87" s="365"/>
      <c r="BN87" s="365"/>
      <c r="BO87" s="365"/>
      <c r="BP87" s="365"/>
      <c r="BQ87" s="503"/>
      <c r="BR87" s="506"/>
      <c r="BS87" s="365"/>
      <c r="BT87" s="365"/>
      <c r="BU87" s="365"/>
      <c r="BV87" s="365"/>
      <c r="BW87" s="535"/>
      <c r="BX87" s="213"/>
      <c r="BY87" s="213"/>
      <c r="BZ87" s="213"/>
      <c r="CA87" s="213"/>
      <c r="CB87" s="213"/>
      <c r="CC87" s="213"/>
      <c r="CD87" s="213"/>
      <c r="CE87" s="213"/>
      <c r="CF87" s="213"/>
      <c r="CG87" s="213"/>
      <c r="CH87" s="213"/>
      <c r="CI87" s="213"/>
      <c r="CJ87" s="213"/>
      <c r="CK87" s="213"/>
      <c r="CL87" s="213"/>
      <c r="CM87" s="213"/>
      <c r="CN87" s="213"/>
      <c r="CO87" s="213"/>
      <c r="CP87" s="213"/>
      <c r="CQ87" s="213"/>
    </row>
    <row r="88" ht="15.75" customHeight="1">
      <c r="A88" s="213"/>
      <c r="B88" s="483"/>
      <c r="C88" s="519" t="s">
        <v>39</v>
      </c>
      <c r="D88" s="373">
        <f>SUM(D89:D93)</f>
        <v>535643.38</v>
      </c>
      <c r="E88" s="375"/>
      <c r="F88" s="375">
        <f>SUM(F89:F93)</f>
        <v>66566.82</v>
      </c>
      <c r="G88" s="375"/>
      <c r="H88" s="375">
        <f>SUM(H89:H93)</f>
        <v>-26225.74</v>
      </c>
      <c r="I88" s="484"/>
      <c r="J88" s="375">
        <f>SUM(J89:J93)</f>
        <v>484854</v>
      </c>
      <c r="K88" s="375"/>
      <c r="L88" s="375">
        <f>SUM(L89:L93)</f>
        <v>36220</v>
      </c>
      <c r="M88" s="375"/>
      <c r="N88" s="375">
        <f>SUM(N89:N93)</f>
        <v>0</v>
      </c>
      <c r="O88" s="527"/>
      <c r="P88" s="375">
        <f>SUM(P89:P93)</f>
        <v>541679</v>
      </c>
      <c r="Q88" s="375"/>
      <c r="R88" s="375">
        <f>SUM(R89:R93)</f>
        <v>65125</v>
      </c>
      <c r="S88" s="375"/>
      <c r="T88" s="375">
        <f>SUM(T89:T93)</f>
        <v>0</v>
      </c>
      <c r="U88" s="527"/>
      <c r="V88" s="375">
        <f>SUM(V89:V93)</f>
        <v>536935</v>
      </c>
      <c r="W88" s="375"/>
      <c r="X88" s="375">
        <f>SUM(X89:X93)</f>
        <v>12500</v>
      </c>
      <c r="Y88" s="375"/>
      <c r="Z88" s="375">
        <f>SUM(Z89:Z93)</f>
        <v>0</v>
      </c>
      <c r="AA88" s="527"/>
      <c r="AB88" s="373">
        <f>SUM(AB89:AB93)</f>
        <v>526579.85</v>
      </c>
      <c r="AC88" s="375"/>
      <c r="AD88" s="375">
        <f>SUM(AD89:AD93)</f>
        <v>12500</v>
      </c>
      <c r="AE88" s="375"/>
      <c r="AF88" s="375">
        <f>SUM(AF89:AF93)</f>
        <v>0</v>
      </c>
      <c r="AG88" s="375"/>
      <c r="AH88" s="373">
        <f>SUM(AH89:AH93)</f>
        <v>527137</v>
      </c>
      <c r="AI88" s="375"/>
      <c r="AJ88" s="375">
        <f>SUM(AJ89:AJ93)</f>
        <v>12500</v>
      </c>
      <c r="AK88" s="375"/>
      <c r="AL88" s="375">
        <f>SUM(AL89:AL93)</f>
        <v>0</v>
      </c>
      <c r="AM88" s="375"/>
      <c r="AN88" s="373">
        <f>SUM(AN89:AN93)</f>
        <v>523055</v>
      </c>
      <c r="AO88" s="375"/>
      <c r="AP88" s="375">
        <f>SUM(AP89:AP93)</f>
        <v>12500</v>
      </c>
      <c r="AQ88" s="375"/>
      <c r="AR88" s="375">
        <f>SUM(AR89:AR93)</f>
        <v>0</v>
      </c>
      <c r="AS88" s="375"/>
      <c r="AT88" s="373">
        <f>SUM(AT89:AT93)</f>
        <v>492093</v>
      </c>
      <c r="AU88" s="375"/>
      <c r="AV88" s="375">
        <f>SUM(AV89:AV93)</f>
        <v>12500</v>
      </c>
      <c r="AW88" s="375"/>
      <c r="AX88" s="375">
        <f>SUM(AX89:AX93)</f>
        <v>0</v>
      </c>
      <c r="AY88" s="485"/>
      <c r="AZ88" s="486">
        <f>SUM(AZ89:AZ93)</f>
        <v>483550</v>
      </c>
      <c r="BA88" s="375"/>
      <c r="BB88" s="375">
        <f>SUM(BB89:BB93)</f>
        <v>12500</v>
      </c>
      <c r="BC88" s="375"/>
      <c r="BD88" s="375">
        <f>SUM(BD89:BD93)</f>
        <v>0</v>
      </c>
      <c r="BE88" s="485"/>
      <c r="BF88" s="373">
        <f>SUM(BF89:BF93)</f>
        <v>414553.4</v>
      </c>
      <c r="BG88" s="375"/>
      <c r="BH88" s="375">
        <f>SUM(BH89:BH93)</f>
        <v>12500</v>
      </c>
      <c r="BI88" s="375"/>
      <c r="BJ88" s="375">
        <f>SUM(BJ89:BJ93)</f>
        <v>0</v>
      </c>
      <c r="BK88" s="484"/>
      <c r="BL88" s="373">
        <f>SUM(BL89:BL93)</f>
        <v>470898.19</v>
      </c>
      <c r="BM88" s="375"/>
      <c r="BN88" s="375">
        <f>SUM(BN89:BN93)</f>
        <v>12500</v>
      </c>
      <c r="BO88" s="375"/>
      <c r="BP88" s="375">
        <f>SUM(BP89:BP93)</f>
        <v>0</v>
      </c>
      <c r="BQ88" s="484"/>
      <c r="BR88" s="373">
        <f>SUM(BR89:BR93)</f>
        <v>494787.45</v>
      </c>
      <c r="BS88" s="375"/>
      <c r="BT88" s="375">
        <f>SUM(BT89:BT93)</f>
        <v>12500</v>
      </c>
      <c r="BU88" s="375"/>
      <c r="BV88" s="375">
        <f>SUM(BV89:BV93)</f>
        <v>0</v>
      </c>
      <c r="BW88" s="528"/>
      <c r="BX88" s="216"/>
      <c r="BY88" s="216"/>
      <c r="BZ88" s="216"/>
      <c r="CA88" s="216"/>
      <c r="CB88" s="216"/>
      <c r="CC88" s="216"/>
      <c r="CD88" s="216"/>
      <c r="CE88" s="216"/>
      <c r="CF88" s="216"/>
      <c r="CG88" s="216"/>
      <c r="CH88" s="216"/>
      <c r="CI88" s="216"/>
      <c r="CJ88" s="216"/>
      <c r="CK88" s="216"/>
      <c r="CL88" s="216"/>
      <c r="CM88" s="216"/>
      <c r="CN88" s="216"/>
      <c r="CO88" s="216"/>
      <c r="CP88" s="216"/>
      <c r="CQ88" s="216"/>
    </row>
    <row r="89" ht="15.75" customHeight="1">
      <c r="A89" s="213"/>
      <c r="B89" s="488"/>
      <c r="C89" s="488" t="s">
        <v>321</v>
      </c>
      <c r="D89" s="384">
        <f>30185+5433.3</f>
        <v>35618.3</v>
      </c>
      <c r="E89" s="386"/>
      <c r="F89" s="386">
        <v>35618.0</v>
      </c>
      <c r="G89" s="386"/>
      <c r="H89" s="386"/>
      <c r="I89" s="489"/>
      <c r="J89" s="537">
        <f>3500</f>
        <v>3500</v>
      </c>
      <c r="K89" s="386"/>
      <c r="L89" s="386">
        <v>3500.0</v>
      </c>
      <c r="M89" s="386"/>
      <c r="N89" s="386"/>
      <c r="O89" s="522"/>
      <c r="P89" s="384"/>
      <c r="Q89" s="386"/>
      <c r="R89" s="386"/>
      <c r="S89" s="386"/>
      <c r="T89" s="386"/>
      <c r="U89" s="522"/>
      <c r="V89" s="384"/>
      <c r="W89" s="386"/>
      <c r="X89" s="386"/>
      <c r="Y89" s="386"/>
      <c r="Z89" s="386"/>
      <c r="AA89" s="522"/>
      <c r="AB89" s="384"/>
      <c r="AC89" s="386"/>
      <c r="AD89" s="386"/>
      <c r="AE89" s="386"/>
      <c r="AF89" s="386"/>
      <c r="AG89" s="386"/>
      <c r="AH89" s="384"/>
      <c r="AI89" s="386"/>
      <c r="AJ89" s="386"/>
      <c r="AK89" s="386"/>
      <c r="AL89" s="386"/>
      <c r="AM89" s="386"/>
      <c r="AN89" s="384"/>
      <c r="AO89" s="386"/>
      <c r="AP89" s="386"/>
      <c r="AQ89" s="386"/>
      <c r="AR89" s="386"/>
      <c r="AS89" s="386"/>
      <c r="AT89" s="384"/>
      <c r="AU89" s="386"/>
      <c r="AV89" s="386"/>
      <c r="AW89" s="386"/>
      <c r="AX89" s="386"/>
      <c r="AY89" s="490"/>
      <c r="AZ89" s="439"/>
      <c r="BA89" s="386"/>
      <c r="BB89" s="386"/>
      <c r="BC89" s="386"/>
      <c r="BD89" s="386"/>
      <c r="BE89" s="490"/>
      <c r="BF89" s="384">
        <v>3798.0</v>
      </c>
      <c r="BG89" s="386"/>
      <c r="BH89" s="386"/>
      <c r="BI89" s="386"/>
      <c r="BJ89" s="386"/>
      <c r="BK89" s="489"/>
      <c r="BL89" s="384"/>
      <c r="BM89" s="386"/>
      <c r="BN89" s="386"/>
      <c r="BO89" s="386"/>
      <c r="BP89" s="386"/>
      <c r="BQ89" s="489"/>
      <c r="BR89" s="491"/>
      <c r="BS89" s="386"/>
      <c r="BT89" s="386"/>
      <c r="BU89" s="386"/>
      <c r="BV89" s="386"/>
      <c r="BW89" s="530"/>
      <c r="BX89" s="213"/>
      <c r="BY89" s="213"/>
      <c r="BZ89" s="213"/>
      <c r="CA89" s="213"/>
      <c r="CB89" s="213"/>
      <c r="CC89" s="213"/>
      <c r="CD89" s="213"/>
      <c r="CE89" s="213"/>
      <c r="CF89" s="213"/>
      <c r="CG89" s="213"/>
      <c r="CH89" s="213"/>
      <c r="CI89" s="213"/>
      <c r="CJ89" s="213"/>
      <c r="CK89" s="213"/>
      <c r="CL89" s="213"/>
      <c r="CM89" s="213"/>
      <c r="CN89" s="213"/>
      <c r="CO89" s="213"/>
      <c r="CP89" s="213"/>
      <c r="CQ89" s="213"/>
    </row>
    <row r="90" ht="15.75" customHeight="1">
      <c r="A90" s="213"/>
      <c r="B90" s="492"/>
      <c r="C90" s="492" t="s">
        <v>322</v>
      </c>
      <c r="D90" s="351">
        <v>448612.0</v>
      </c>
      <c r="E90" s="353"/>
      <c r="F90" s="353">
        <v>0.0</v>
      </c>
      <c r="G90" s="353"/>
      <c r="H90" s="353"/>
      <c r="I90" s="493"/>
      <c r="J90" s="351">
        <v>428176.0</v>
      </c>
      <c r="K90" s="353"/>
      <c r="L90" s="353">
        <v>0.0</v>
      </c>
      <c r="M90" s="353"/>
      <c r="N90" s="353"/>
      <c r="O90" s="523"/>
      <c r="P90" s="351">
        <v>437677.0</v>
      </c>
      <c r="Q90" s="353"/>
      <c r="R90" s="353">
        <v>0.0</v>
      </c>
      <c r="S90" s="353"/>
      <c r="T90" s="353"/>
      <c r="U90" s="523"/>
      <c r="V90" s="351">
        <v>473121.0</v>
      </c>
      <c r="W90" s="353"/>
      <c r="X90" s="353">
        <v>0.0</v>
      </c>
      <c r="Y90" s="353"/>
      <c r="Z90" s="353"/>
      <c r="AA90" s="523"/>
      <c r="AB90" s="351">
        <v>459324.0</v>
      </c>
      <c r="AC90" s="353"/>
      <c r="AD90" s="353">
        <v>0.0</v>
      </c>
      <c r="AE90" s="353"/>
      <c r="AF90" s="353"/>
      <c r="AG90" s="353"/>
      <c r="AH90" s="351">
        <v>460013.0</v>
      </c>
      <c r="AI90" s="353"/>
      <c r="AJ90" s="353"/>
      <c r="AK90" s="353"/>
      <c r="AL90" s="353"/>
      <c r="AM90" s="353"/>
      <c r="AN90" s="351">
        <v>471250.0</v>
      </c>
      <c r="AO90" s="353"/>
      <c r="AP90" s="353"/>
      <c r="AQ90" s="353"/>
      <c r="AR90" s="353"/>
      <c r="AS90" s="353"/>
      <c r="AT90" s="351">
        <f>445528</f>
        <v>445528</v>
      </c>
      <c r="AU90" s="353"/>
      <c r="AV90" s="353"/>
      <c r="AW90" s="353"/>
      <c r="AX90" s="353"/>
      <c r="AY90" s="494"/>
      <c r="AZ90" s="495">
        <f>436776</f>
        <v>436776</v>
      </c>
      <c r="BA90" s="353"/>
      <c r="BB90" s="353"/>
      <c r="BC90" s="353"/>
      <c r="BD90" s="353"/>
      <c r="BE90" s="494"/>
      <c r="BF90" s="396">
        <f>349265</f>
        <v>349265</v>
      </c>
      <c r="BG90" s="353"/>
      <c r="BH90" s="353"/>
      <c r="BI90" s="353"/>
      <c r="BJ90" s="353"/>
      <c r="BK90" s="493"/>
      <c r="BL90" s="396">
        <f>334380</f>
        <v>334380</v>
      </c>
      <c r="BM90" s="353"/>
      <c r="BN90" s="353"/>
      <c r="BO90" s="353"/>
      <c r="BP90" s="353"/>
      <c r="BQ90" s="493"/>
      <c r="BR90" s="351">
        <f>398794</f>
        <v>398794</v>
      </c>
      <c r="BS90" s="353"/>
      <c r="BT90" s="353"/>
      <c r="BU90" s="353"/>
      <c r="BV90" s="353"/>
      <c r="BW90" s="533"/>
      <c r="BX90" s="213"/>
      <c r="BY90" s="213"/>
      <c r="BZ90" s="213"/>
      <c r="CA90" s="213"/>
      <c r="CB90" s="213"/>
      <c r="CC90" s="213"/>
      <c r="CD90" s="213"/>
      <c r="CE90" s="213"/>
      <c r="CF90" s="213"/>
      <c r="CG90" s="213"/>
      <c r="CH90" s="213"/>
      <c r="CI90" s="213"/>
      <c r="CJ90" s="213"/>
      <c r="CK90" s="213"/>
      <c r="CL90" s="213"/>
      <c r="CM90" s="213"/>
      <c r="CN90" s="213"/>
      <c r="CO90" s="213"/>
      <c r="CP90" s="213"/>
      <c r="CQ90" s="213"/>
    </row>
    <row r="91" ht="15.75" customHeight="1">
      <c r="A91" s="213"/>
      <c r="B91" s="492"/>
      <c r="C91" s="492" t="s">
        <v>323</v>
      </c>
      <c r="D91" s="351">
        <v>46690.0</v>
      </c>
      <c r="E91" s="353"/>
      <c r="F91" s="353">
        <v>0.0</v>
      </c>
      <c r="G91" s="353"/>
      <c r="H91" s="353"/>
      <c r="I91" s="493"/>
      <c r="J91" s="351">
        <v>45801.0</v>
      </c>
      <c r="K91" s="353"/>
      <c r="L91" s="353">
        <v>0.0</v>
      </c>
      <c r="M91" s="353"/>
      <c r="N91" s="353"/>
      <c r="O91" s="523"/>
      <c r="P91" s="351">
        <v>44904.0</v>
      </c>
      <c r="Q91" s="353"/>
      <c r="R91" s="353">
        <v>0.0</v>
      </c>
      <c r="S91" s="353"/>
      <c r="T91" s="353"/>
      <c r="U91" s="523"/>
      <c r="V91" s="351">
        <v>44000.0</v>
      </c>
      <c r="W91" s="353"/>
      <c r="X91" s="353">
        <v>0.0</v>
      </c>
      <c r="Y91" s="353"/>
      <c r="Z91" s="353"/>
      <c r="AA91" s="523"/>
      <c r="AB91" s="351">
        <v>43089.0</v>
      </c>
      <c r="AC91" s="353"/>
      <c r="AD91" s="353">
        <v>0.0</v>
      </c>
      <c r="AE91" s="353"/>
      <c r="AF91" s="353"/>
      <c r="AG91" s="353"/>
      <c r="AH91" s="351">
        <v>42171.0</v>
      </c>
      <c r="AI91" s="353"/>
      <c r="AJ91" s="353"/>
      <c r="AK91" s="353"/>
      <c r="AL91" s="353"/>
      <c r="AM91" s="353"/>
      <c r="AN91" s="351">
        <v>41245.0</v>
      </c>
      <c r="AO91" s="353"/>
      <c r="AP91" s="353"/>
      <c r="AQ91" s="353"/>
      <c r="AR91" s="353"/>
      <c r="AS91" s="353"/>
      <c r="AT91" s="351">
        <v>40312.0</v>
      </c>
      <c r="AU91" s="353"/>
      <c r="AV91" s="353"/>
      <c r="AW91" s="353"/>
      <c r="AX91" s="353"/>
      <c r="AY91" s="494"/>
      <c r="AZ91" s="495">
        <v>39372.0</v>
      </c>
      <c r="BA91" s="353"/>
      <c r="BB91" s="353"/>
      <c r="BC91" s="353"/>
      <c r="BD91" s="353"/>
      <c r="BE91" s="494"/>
      <c r="BF91" s="351">
        <v>38424.0</v>
      </c>
      <c r="BG91" s="353"/>
      <c r="BH91" s="353"/>
      <c r="BI91" s="353"/>
      <c r="BJ91" s="353"/>
      <c r="BK91" s="493"/>
      <c r="BL91" s="351">
        <v>37468.0</v>
      </c>
      <c r="BM91" s="353"/>
      <c r="BN91" s="353"/>
      <c r="BO91" s="353"/>
      <c r="BP91" s="353"/>
      <c r="BQ91" s="493"/>
      <c r="BR91" s="396">
        <v>0.0</v>
      </c>
      <c r="BS91" s="353"/>
      <c r="BT91" s="353"/>
      <c r="BU91" s="353"/>
      <c r="BV91" s="353"/>
      <c r="BW91" s="533"/>
      <c r="BX91" s="213"/>
      <c r="BY91" s="213"/>
      <c r="BZ91" s="213"/>
      <c r="CA91" s="213"/>
      <c r="CB91" s="213"/>
      <c r="CC91" s="213"/>
      <c r="CD91" s="213"/>
      <c r="CE91" s="213"/>
      <c r="CF91" s="213"/>
      <c r="CG91" s="213"/>
      <c r="CH91" s="213"/>
      <c r="CI91" s="213"/>
      <c r="CJ91" s="213"/>
      <c r="CK91" s="213"/>
      <c r="CL91" s="213"/>
      <c r="CM91" s="213"/>
      <c r="CN91" s="213"/>
      <c r="CO91" s="213"/>
      <c r="CP91" s="213"/>
      <c r="CQ91" s="213"/>
    </row>
    <row r="92" ht="15.75" customHeight="1">
      <c r="A92" s="213"/>
      <c r="B92" s="492"/>
      <c r="C92" s="492" t="s">
        <v>324</v>
      </c>
      <c r="D92" s="351">
        <v>1774.26</v>
      </c>
      <c r="E92" s="353"/>
      <c r="F92" s="353">
        <v>28000.0</v>
      </c>
      <c r="G92" s="353"/>
      <c r="H92" s="353">
        <f>D92-F92</f>
        <v>-26225.74</v>
      </c>
      <c r="I92" s="493">
        <f>IFERROR((H92)/F92,"")</f>
        <v>-0.9366335714</v>
      </c>
      <c r="J92" s="351">
        <f>5017-2360</f>
        <v>2657</v>
      </c>
      <c r="K92" s="353"/>
      <c r="L92" s="353">
        <v>28000.0</v>
      </c>
      <c r="M92" s="353"/>
      <c r="N92" s="353"/>
      <c r="O92" s="523"/>
      <c r="P92" s="351">
        <v>6473.0</v>
      </c>
      <c r="Q92" s="353"/>
      <c r="R92" s="353">
        <v>12500.0</v>
      </c>
      <c r="S92" s="353"/>
      <c r="T92" s="353"/>
      <c r="U92" s="523"/>
      <c r="V92" s="351">
        <f>8060+796</f>
        <v>8856</v>
      </c>
      <c r="W92" s="353"/>
      <c r="X92" s="353">
        <v>12500.0</v>
      </c>
      <c r="Y92" s="353"/>
      <c r="Z92" s="353"/>
      <c r="AA92" s="523"/>
      <c r="AB92" s="351">
        <v>13822.85</v>
      </c>
      <c r="AC92" s="353"/>
      <c r="AD92" s="353">
        <v>12500.0</v>
      </c>
      <c r="AE92" s="353"/>
      <c r="AF92" s="353"/>
      <c r="AG92" s="353"/>
      <c r="AH92" s="351">
        <v>14595.0</v>
      </c>
      <c r="AI92" s="353"/>
      <c r="AJ92" s="353">
        <v>12500.0</v>
      </c>
      <c r="AK92" s="353"/>
      <c r="AL92" s="353"/>
      <c r="AM92" s="353"/>
      <c r="AN92" s="351"/>
      <c r="AO92" s="353"/>
      <c r="AP92" s="353">
        <v>12500.0</v>
      </c>
      <c r="AQ92" s="353"/>
      <c r="AR92" s="353"/>
      <c r="AS92" s="353"/>
      <c r="AT92" s="351">
        <v>2343.0</v>
      </c>
      <c r="AU92" s="353"/>
      <c r="AV92" s="353">
        <v>12500.0</v>
      </c>
      <c r="AW92" s="353"/>
      <c r="AX92" s="353"/>
      <c r="AY92" s="494"/>
      <c r="AZ92" s="495"/>
      <c r="BA92" s="353"/>
      <c r="BB92" s="353">
        <v>12500.0</v>
      </c>
      <c r="BC92" s="353"/>
      <c r="BD92" s="353"/>
      <c r="BE92" s="494"/>
      <c r="BF92" s="396">
        <v>8488.4</v>
      </c>
      <c r="BG92" s="353"/>
      <c r="BH92" s="353">
        <v>12500.0</v>
      </c>
      <c r="BI92" s="353"/>
      <c r="BJ92" s="353"/>
      <c r="BK92" s="493"/>
      <c r="BL92" s="396">
        <v>78239.19</v>
      </c>
      <c r="BM92" s="353"/>
      <c r="BN92" s="353">
        <v>12500.0</v>
      </c>
      <c r="BO92" s="353"/>
      <c r="BP92" s="353"/>
      <c r="BQ92" s="493"/>
      <c r="BR92" s="396">
        <v>51998.91</v>
      </c>
      <c r="BS92" s="353"/>
      <c r="BT92" s="353">
        <v>12500.0</v>
      </c>
      <c r="BU92" s="353"/>
      <c r="BV92" s="353"/>
      <c r="BW92" s="533"/>
      <c r="BX92" s="213"/>
      <c r="BY92" s="213"/>
      <c r="BZ92" s="213"/>
      <c r="CA92" s="213"/>
      <c r="CB92" s="213"/>
      <c r="CC92" s="213"/>
      <c r="CD92" s="213"/>
      <c r="CE92" s="213"/>
      <c r="CF92" s="213"/>
      <c r="CG92" s="213"/>
      <c r="CH92" s="213"/>
      <c r="CI92" s="213"/>
      <c r="CJ92" s="213"/>
      <c r="CK92" s="213"/>
      <c r="CL92" s="213"/>
      <c r="CM92" s="213"/>
      <c r="CN92" s="213"/>
      <c r="CO92" s="213"/>
      <c r="CP92" s="213"/>
      <c r="CQ92" s="213"/>
    </row>
    <row r="93" ht="15.75" customHeight="1">
      <c r="A93" s="213"/>
      <c r="B93" s="492"/>
      <c r="C93" s="492" t="s">
        <v>325</v>
      </c>
      <c r="D93" s="351">
        <v>2948.82</v>
      </c>
      <c r="E93" s="353"/>
      <c r="F93" s="353">
        <v>2948.82</v>
      </c>
      <c r="G93" s="353"/>
      <c r="H93" s="353"/>
      <c r="I93" s="493"/>
      <c r="J93" s="351">
        <f>2360+2360</f>
        <v>4720</v>
      </c>
      <c r="K93" s="353"/>
      <c r="L93" s="353">
        <f>2360+2360</f>
        <v>4720</v>
      </c>
      <c r="M93" s="353"/>
      <c r="N93" s="353"/>
      <c r="O93" s="523"/>
      <c r="P93" s="351">
        <f>45545+7080</f>
        <v>52625</v>
      </c>
      <c r="Q93" s="353"/>
      <c r="R93" s="353">
        <v>52625.0</v>
      </c>
      <c r="S93" s="353"/>
      <c r="T93" s="353"/>
      <c r="U93" s="523"/>
      <c r="V93" s="351">
        <f>3878+7080</f>
        <v>10958</v>
      </c>
      <c r="W93" s="353"/>
      <c r="X93" s="353">
        <v>0.0</v>
      </c>
      <c r="Y93" s="353"/>
      <c r="Z93" s="353"/>
      <c r="AA93" s="523"/>
      <c r="AB93" s="351">
        <v>10344.0</v>
      </c>
      <c r="AC93" s="353"/>
      <c r="AD93" s="353">
        <v>0.0</v>
      </c>
      <c r="AE93" s="353"/>
      <c r="AF93" s="353"/>
      <c r="AG93" s="353"/>
      <c r="AH93" s="351">
        <v>10358.0</v>
      </c>
      <c r="AI93" s="353"/>
      <c r="AJ93" s="353"/>
      <c r="AK93" s="353"/>
      <c r="AL93" s="353"/>
      <c r="AM93" s="353"/>
      <c r="AN93" s="351">
        <v>10560.0</v>
      </c>
      <c r="AO93" s="353"/>
      <c r="AP93" s="353"/>
      <c r="AQ93" s="353"/>
      <c r="AR93" s="353"/>
      <c r="AS93" s="353"/>
      <c r="AT93" s="351">
        <v>3910.0</v>
      </c>
      <c r="AU93" s="353"/>
      <c r="AV93" s="353"/>
      <c r="AW93" s="353"/>
      <c r="AX93" s="353"/>
      <c r="AY93" s="494"/>
      <c r="AZ93" s="495">
        <v>7402.0</v>
      </c>
      <c r="BA93" s="353"/>
      <c r="BB93" s="353"/>
      <c r="BC93" s="353"/>
      <c r="BD93" s="353"/>
      <c r="BE93" s="494"/>
      <c r="BF93" s="351">
        <f>6733+7845</f>
        <v>14578</v>
      </c>
      <c r="BG93" s="353"/>
      <c r="BH93" s="353"/>
      <c r="BI93" s="353"/>
      <c r="BJ93" s="353"/>
      <c r="BK93" s="493"/>
      <c r="BL93" s="351">
        <f>7335+13476</f>
        <v>20811</v>
      </c>
      <c r="BM93" s="353"/>
      <c r="BN93" s="353"/>
      <c r="BO93" s="353"/>
      <c r="BP93" s="353"/>
      <c r="BQ93" s="493"/>
      <c r="BR93" s="396">
        <v>43994.54</v>
      </c>
      <c r="BS93" s="353"/>
      <c r="BT93" s="353"/>
      <c r="BU93" s="353"/>
      <c r="BV93" s="353"/>
      <c r="BW93" s="533"/>
      <c r="BX93" s="213"/>
      <c r="BY93" s="213"/>
      <c r="BZ93" s="213"/>
      <c r="CA93" s="213"/>
      <c r="CB93" s="213"/>
      <c r="CC93" s="213"/>
      <c r="CD93" s="213"/>
      <c r="CE93" s="213"/>
      <c r="CF93" s="213"/>
      <c r="CG93" s="213"/>
      <c r="CH93" s="213"/>
      <c r="CI93" s="213"/>
      <c r="CJ93" s="213"/>
      <c r="CK93" s="213"/>
      <c r="CL93" s="213"/>
      <c r="CM93" s="213"/>
      <c r="CN93" s="213"/>
      <c r="CO93" s="213"/>
      <c r="CP93" s="213"/>
      <c r="CQ93" s="213"/>
    </row>
    <row r="94" ht="15.75" customHeight="1">
      <c r="A94" s="213"/>
      <c r="B94" s="502"/>
      <c r="C94" s="502"/>
      <c r="D94" s="363"/>
      <c r="E94" s="365"/>
      <c r="F94" s="365"/>
      <c r="G94" s="365"/>
      <c r="H94" s="365"/>
      <c r="I94" s="503"/>
      <c r="J94" s="363"/>
      <c r="K94" s="365"/>
      <c r="L94" s="365"/>
      <c r="M94" s="365"/>
      <c r="N94" s="365"/>
      <c r="O94" s="526"/>
      <c r="P94" s="363"/>
      <c r="Q94" s="365"/>
      <c r="R94" s="365"/>
      <c r="S94" s="365"/>
      <c r="T94" s="365"/>
      <c r="U94" s="526"/>
      <c r="V94" s="363"/>
      <c r="W94" s="365"/>
      <c r="X94" s="365"/>
      <c r="Y94" s="365"/>
      <c r="Z94" s="365"/>
      <c r="AA94" s="526"/>
      <c r="AB94" s="363"/>
      <c r="AC94" s="365"/>
      <c r="AD94" s="365"/>
      <c r="AE94" s="365"/>
      <c r="AF94" s="365"/>
      <c r="AG94" s="365"/>
      <c r="AH94" s="363"/>
      <c r="AI94" s="365"/>
      <c r="AJ94" s="365"/>
      <c r="AK94" s="365"/>
      <c r="AL94" s="365"/>
      <c r="AM94" s="365"/>
      <c r="AN94" s="363"/>
      <c r="AO94" s="365"/>
      <c r="AP94" s="365"/>
      <c r="AQ94" s="365"/>
      <c r="AR94" s="365"/>
      <c r="AS94" s="365"/>
      <c r="AT94" s="363"/>
      <c r="AU94" s="365"/>
      <c r="AV94" s="365"/>
      <c r="AW94" s="365"/>
      <c r="AX94" s="365"/>
      <c r="AY94" s="504"/>
      <c r="AZ94" s="505"/>
      <c r="BA94" s="365"/>
      <c r="BB94" s="365"/>
      <c r="BC94" s="365"/>
      <c r="BD94" s="365"/>
      <c r="BE94" s="504"/>
      <c r="BF94" s="363"/>
      <c r="BG94" s="365"/>
      <c r="BH94" s="365"/>
      <c r="BI94" s="365"/>
      <c r="BJ94" s="365"/>
      <c r="BK94" s="503"/>
      <c r="BL94" s="363"/>
      <c r="BM94" s="365"/>
      <c r="BN94" s="365"/>
      <c r="BO94" s="365"/>
      <c r="BP94" s="365"/>
      <c r="BQ94" s="503"/>
      <c r="BR94" s="506"/>
      <c r="BS94" s="365"/>
      <c r="BT94" s="365"/>
      <c r="BU94" s="365"/>
      <c r="BV94" s="365"/>
      <c r="BW94" s="535"/>
      <c r="BX94" s="213"/>
      <c r="BY94" s="213"/>
      <c r="BZ94" s="213"/>
      <c r="CA94" s="213"/>
      <c r="CB94" s="213"/>
      <c r="CC94" s="213"/>
      <c r="CD94" s="213"/>
      <c r="CE94" s="213"/>
      <c r="CF94" s="213"/>
      <c r="CG94" s="213"/>
      <c r="CH94" s="213"/>
      <c r="CI94" s="213"/>
      <c r="CJ94" s="213"/>
      <c r="CK94" s="213"/>
      <c r="CL94" s="213"/>
      <c r="CM94" s="213"/>
      <c r="CN94" s="213"/>
      <c r="CO94" s="213"/>
      <c r="CP94" s="213"/>
      <c r="CQ94" s="213"/>
    </row>
    <row r="95" ht="15.75" customHeight="1">
      <c r="A95" s="213"/>
      <c r="B95" s="483"/>
      <c r="C95" s="519" t="s">
        <v>273</v>
      </c>
      <c r="D95" s="373">
        <f>SUM(D96:D104)</f>
        <v>112944.1667</v>
      </c>
      <c r="E95" s="375"/>
      <c r="F95" s="375">
        <f>SUM(F96:F104)</f>
        <v>121381.8333</v>
      </c>
      <c r="G95" s="375"/>
      <c r="H95" s="375">
        <f>SUM(H96:H104)</f>
        <v>-10152.66667</v>
      </c>
      <c r="I95" s="484"/>
      <c r="J95" s="373">
        <f>SUM(J96:J104)</f>
        <v>114585.1667</v>
      </c>
      <c r="K95" s="375"/>
      <c r="L95" s="375">
        <f>SUM(L96:L104)</f>
        <v>121381.8333</v>
      </c>
      <c r="M95" s="375"/>
      <c r="N95" s="375"/>
      <c r="O95" s="527"/>
      <c r="P95" s="373">
        <f>SUM(P96:P104)</f>
        <v>131645.1667</v>
      </c>
      <c r="Q95" s="375"/>
      <c r="R95" s="375">
        <f>SUM(R96:R104)</f>
        <v>121381.8333</v>
      </c>
      <c r="S95" s="375"/>
      <c r="T95" s="375"/>
      <c r="U95" s="527"/>
      <c r="V95" s="373">
        <f>SUM(V96:V104)</f>
        <v>117022.1667</v>
      </c>
      <c r="W95" s="375"/>
      <c r="X95" s="375">
        <f>SUM(X96:X104)</f>
        <v>121381.8333</v>
      </c>
      <c r="Y95" s="375"/>
      <c r="Z95" s="375"/>
      <c r="AA95" s="527"/>
      <c r="AB95" s="373">
        <f>SUM(AB96:AB104)</f>
        <v>117256.1667</v>
      </c>
      <c r="AC95" s="375"/>
      <c r="AD95" s="375">
        <f>SUM(AD96:AD104)</f>
        <v>121381.8333</v>
      </c>
      <c r="AE95" s="375"/>
      <c r="AF95" s="375"/>
      <c r="AG95" s="375"/>
      <c r="AH95" s="373">
        <f>SUM(AH96:AH104)</f>
        <v>118053.1667</v>
      </c>
      <c r="AI95" s="375"/>
      <c r="AJ95" s="375">
        <f>SUM(AJ96:AJ104)</f>
        <v>114596.8333</v>
      </c>
      <c r="AK95" s="375"/>
      <c r="AL95" s="375"/>
      <c r="AM95" s="375"/>
      <c r="AN95" s="373">
        <f>SUM(AN96:AN104)</f>
        <v>122763.1667</v>
      </c>
      <c r="AO95" s="375"/>
      <c r="AP95" s="375">
        <f>SUM(AP96:AP104)</f>
        <v>114596.8333</v>
      </c>
      <c r="AQ95" s="375"/>
      <c r="AR95" s="375">
        <f>SUM(AR96:AR104)</f>
        <v>0</v>
      </c>
      <c r="AS95" s="375"/>
      <c r="AT95" s="373">
        <f>SUM(AT96:AT104)</f>
        <v>114253.5833</v>
      </c>
      <c r="AU95" s="375"/>
      <c r="AV95" s="375">
        <f>SUM(AV96:AV104)</f>
        <v>114596.8333</v>
      </c>
      <c r="AW95" s="375"/>
      <c r="AX95" s="375">
        <f>SUM(AX96:AX104)</f>
        <v>2416.666667</v>
      </c>
      <c r="AY95" s="485"/>
      <c r="AZ95" s="486">
        <f>SUM(AZ96:AZ104)</f>
        <v>127123.5833</v>
      </c>
      <c r="BA95" s="375"/>
      <c r="BB95" s="375">
        <f>SUM(BB96:BB104)</f>
        <v>114596.8333</v>
      </c>
      <c r="BC95" s="375"/>
      <c r="BD95" s="375">
        <f>SUM(BD96:BD104)</f>
        <v>2416.666667</v>
      </c>
      <c r="BE95" s="485"/>
      <c r="BF95" s="373">
        <f>SUM(BF96:BF104)</f>
        <v>156817.9167</v>
      </c>
      <c r="BG95" s="375"/>
      <c r="BH95" s="375">
        <f>SUM(BH96:BH104)</f>
        <v>114596.8333</v>
      </c>
      <c r="BI95" s="375"/>
      <c r="BJ95" s="375">
        <f>SUM(BJ96:BJ104)</f>
        <v>0</v>
      </c>
      <c r="BK95" s="484"/>
      <c r="BL95" s="373">
        <f>SUM(BL96:BL104)</f>
        <v>128663.9167</v>
      </c>
      <c r="BM95" s="375"/>
      <c r="BN95" s="375">
        <f>SUM(BN96:BN104)</f>
        <v>114596.8333</v>
      </c>
      <c r="BO95" s="375"/>
      <c r="BP95" s="375">
        <f>SUM(BP96:BP104)</f>
        <v>0</v>
      </c>
      <c r="BQ95" s="484"/>
      <c r="BR95" s="373">
        <f>SUM(BR96:BR104)</f>
        <v>129212.9167</v>
      </c>
      <c r="BS95" s="375"/>
      <c r="BT95" s="375">
        <f>SUM(BT96:BT104)</f>
        <v>114596.8333</v>
      </c>
      <c r="BU95" s="375"/>
      <c r="BV95" s="375">
        <f>SUM(BV96:BV104)</f>
        <v>0</v>
      </c>
      <c r="BW95" s="528"/>
      <c r="BX95" s="216"/>
      <c r="BY95" s="216"/>
      <c r="BZ95" s="216"/>
      <c r="CA95" s="216"/>
      <c r="CB95" s="216"/>
      <c r="CC95" s="216"/>
      <c r="CD95" s="216"/>
      <c r="CE95" s="216"/>
      <c r="CF95" s="216"/>
      <c r="CG95" s="216"/>
      <c r="CH95" s="216"/>
      <c r="CI95" s="216"/>
      <c r="CJ95" s="216"/>
      <c r="CK95" s="216"/>
      <c r="CL95" s="216"/>
      <c r="CM95" s="216"/>
      <c r="CN95" s="216"/>
      <c r="CO95" s="216"/>
      <c r="CP95" s="216"/>
      <c r="CQ95" s="216"/>
    </row>
    <row r="96" ht="15.75" customHeight="1">
      <c r="A96" s="213"/>
      <c r="B96" s="488"/>
      <c r="C96" s="488" t="s">
        <v>274</v>
      </c>
      <c r="D96" s="384">
        <v>2979.0</v>
      </c>
      <c r="E96" s="386"/>
      <c r="F96" s="386">
        <v>15000.0</v>
      </c>
      <c r="G96" s="386"/>
      <c r="H96" s="386">
        <f>D96-F96</f>
        <v>-12021</v>
      </c>
      <c r="I96" s="489">
        <f>IFERROR((H96)/F96,"")</f>
        <v>-0.8014</v>
      </c>
      <c r="J96" s="384">
        <v>3953.0</v>
      </c>
      <c r="K96" s="386"/>
      <c r="L96" s="386">
        <f>$F96</f>
        <v>15000</v>
      </c>
      <c r="M96" s="386"/>
      <c r="N96" s="386"/>
      <c r="O96" s="522"/>
      <c r="P96" s="384">
        <v>16000.0</v>
      </c>
      <c r="Q96" s="386"/>
      <c r="R96" s="386">
        <f>$F96</f>
        <v>15000</v>
      </c>
      <c r="S96" s="386"/>
      <c r="T96" s="386"/>
      <c r="U96" s="522"/>
      <c r="V96" s="384"/>
      <c r="W96" s="386"/>
      <c r="X96" s="386">
        <f>$F96</f>
        <v>15000</v>
      </c>
      <c r="Y96" s="386"/>
      <c r="Z96" s="386"/>
      <c r="AA96" s="522"/>
      <c r="AB96" s="384"/>
      <c r="AC96" s="386"/>
      <c r="AD96" s="386">
        <f>$F96</f>
        <v>15000</v>
      </c>
      <c r="AE96" s="386"/>
      <c r="AF96" s="386"/>
      <c r="AG96" s="386"/>
      <c r="AH96" s="384"/>
      <c r="AI96" s="386"/>
      <c r="AJ96" s="386">
        <f>$F96</f>
        <v>15000</v>
      </c>
      <c r="AK96" s="386"/>
      <c r="AL96" s="386"/>
      <c r="AM96" s="386"/>
      <c r="AN96" s="384">
        <v>7480.0</v>
      </c>
      <c r="AO96" s="386"/>
      <c r="AP96" s="386">
        <f>$F96</f>
        <v>15000</v>
      </c>
      <c r="AQ96" s="386"/>
      <c r="AR96" s="386"/>
      <c r="AS96" s="386"/>
      <c r="AT96" s="384">
        <v>1416.0</v>
      </c>
      <c r="AU96" s="386"/>
      <c r="AV96" s="386">
        <f>$F96</f>
        <v>15000</v>
      </c>
      <c r="AW96" s="386"/>
      <c r="AX96" s="386"/>
      <c r="AY96" s="490"/>
      <c r="AZ96" s="439">
        <v>13756.0</v>
      </c>
      <c r="BA96" s="386"/>
      <c r="BB96" s="386">
        <f>$F96</f>
        <v>15000</v>
      </c>
      <c r="BC96" s="386"/>
      <c r="BD96" s="386"/>
      <c r="BE96" s="490"/>
      <c r="BF96" s="450">
        <v>25175.0</v>
      </c>
      <c r="BG96" s="386"/>
      <c r="BH96" s="386">
        <f>$F96</f>
        <v>15000</v>
      </c>
      <c r="BI96" s="386"/>
      <c r="BJ96" s="386"/>
      <c r="BK96" s="489"/>
      <c r="BL96" s="384">
        <v>3422.0</v>
      </c>
      <c r="BM96" s="386"/>
      <c r="BN96" s="386">
        <f>$F96</f>
        <v>15000</v>
      </c>
      <c r="BO96" s="386"/>
      <c r="BP96" s="386"/>
      <c r="BQ96" s="489"/>
      <c r="BR96" s="491">
        <v>1850.0</v>
      </c>
      <c r="BS96" s="386"/>
      <c r="BT96" s="386">
        <f>$F96</f>
        <v>15000</v>
      </c>
      <c r="BU96" s="386"/>
      <c r="BV96" s="386"/>
      <c r="BW96" s="530"/>
      <c r="BX96" s="213"/>
      <c r="BY96" s="213"/>
      <c r="BZ96" s="213"/>
      <c r="CA96" s="213"/>
      <c r="CB96" s="213"/>
      <c r="CC96" s="213"/>
      <c r="CD96" s="213"/>
      <c r="CE96" s="213"/>
      <c r="CF96" s="213"/>
      <c r="CG96" s="213"/>
      <c r="CH96" s="213"/>
      <c r="CI96" s="213"/>
      <c r="CJ96" s="213"/>
      <c r="CK96" s="213"/>
      <c r="CL96" s="213"/>
      <c r="CM96" s="213"/>
      <c r="CN96" s="213"/>
      <c r="CO96" s="213"/>
      <c r="CP96" s="213"/>
      <c r="CQ96" s="213"/>
    </row>
    <row r="97" ht="15.75" customHeight="1">
      <c r="A97" s="213"/>
      <c r="B97" s="492"/>
      <c r="C97" s="492" t="s">
        <v>326</v>
      </c>
      <c r="D97" s="351">
        <f>(8850/12)+(42480/12)+(15930/12)+(14160/12)</f>
        <v>6785</v>
      </c>
      <c r="E97" s="353"/>
      <c r="F97" s="353">
        <f>(8850/12)+(42480/12)+(15930/12)+(14160/12)</f>
        <v>6785</v>
      </c>
      <c r="G97" s="353"/>
      <c r="H97" s="353"/>
      <c r="I97" s="493"/>
      <c r="J97" s="351">
        <f>(8850/12)+(42480/12)+(15930/12)+(14160/12)</f>
        <v>6785</v>
      </c>
      <c r="K97" s="353"/>
      <c r="L97" s="353">
        <f>(8850/12)+(42480/12)+(15930/12)+(14160/12)</f>
        <v>6785</v>
      </c>
      <c r="M97" s="353"/>
      <c r="N97" s="353"/>
      <c r="O97" s="523"/>
      <c r="P97" s="351">
        <f>(8850/12)+(42480/12)+(15930/12)+(14160/12)</f>
        <v>6785</v>
      </c>
      <c r="Q97" s="353"/>
      <c r="R97" s="353">
        <f>(8850/12)+(42480/12)+(15930/12)+(14160/12)</f>
        <v>6785</v>
      </c>
      <c r="S97" s="353"/>
      <c r="T97" s="353"/>
      <c r="U97" s="523"/>
      <c r="V97" s="351">
        <f>(8850/12)+(42480/12)+(15930/12)+(14160/12)</f>
        <v>6785</v>
      </c>
      <c r="W97" s="353"/>
      <c r="X97" s="353">
        <f>(8850/12)+(42480/12)+(15930/12)+(14160/12)</f>
        <v>6785</v>
      </c>
      <c r="Y97" s="353"/>
      <c r="Z97" s="353"/>
      <c r="AA97" s="523"/>
      <c r="AB97" s="351">
        <f>(8850/12)+(42480/12)+(15930/12)+(14160/12)</f>
        <v>6785</v>
      </c>
      <c r="AC97" s="353"/>
      <c r="AD97" s="353">
        <f>(8850/12)+(42480/12)+(15930/12)+(14160/12)</f>
        <v>6785</v>
      </c>
      <c r="AE97" s="353"/>
      <c r="AF97" s="353"/>
      <c r="AG97" s="353"/>
      <c r="AH97" s="351">
        <f>(8850/12)+(42480/12)+(15930/12)+(14160/12)</f>
        <v>6785</v>
      </c>
      <c r="AI97" s="353"/>
      <c r="AJ97" s="353"/>
      <c r="AK97" s="353"/>
      <c r="AL97" s="353"/>
      <c r="AM97" s="353"/>
      <c r="AN97" s="351">
        <f>14160/12+(30090/6)</f>
        <v>6195</v>
      </c>
      <c r="AO97" s="353"/>
      <c r="AP97" s="353"/>
      <c r="AQ97" s="353"/>
      <c r="AR97" s="353"/>
      <c r="AS97" s="353"/>
      <c r="AT97" s="351">
        <f>14160/12+(30090/6)+(28674/24)</f>
        <v>7389.75</v>
      </c>
      <c r="AU97" s="353"/>
      <c r="AV97" s="353"/>
      <c r="AW97" s="353"/>
      <c r="AX97" s="353"/>
      <c r="AY97" s="494"/>
      <c r="AZ97" s="495">
        <f>14160/12+(30090/6)+(28674/24)</f>
        <v>7389.75</v>
      </c>
      <c r="BA97" s="353"/>
      <c r="BB97" s="353"/>
      <c r="BC97" s="353"/>
      <c r="BD97" s="353"/>
      <c r="BE97" s="494"/>
      <c r="BF97" s="351">
        <f>14160/12+(30090/6)+(28674/24)</f>
        <v>7389.75</v>
      </c>
      <c r="BG97" s="353"/>
      <c r="BH97" s="353"/>
      <c r="BI97" s="353"/>
      <c r="BJ97" s="353"/>
      <c r="BK97" s="493"/>
      <c r="BL97" s="351">
        <f>14160/12+(30090/6)+(28674/24)</f>
        <v>7389.75</v>
      </c>
      <c r="BM97" s="353"/>
      <c r="BN97" s="353"/>
      <c r="BO97" s="353"/>
      <c r="BP97" s="353"/>
      <c r="BQ97" s="493"/>
      <c r="BR97" s="351">
        <f>14160/12+(30090/6)+(28674/24)</f>
        <v>7389.75</v>
      </c>
      <c r="BS97" s="353"/>
      <c r="BT97" s="353"/>
      <c r="BU97" s="353"/>
      <c r="BV97" s="353"/>
      <c r="BW97" s="533"/>
      <c r="BX97" s="213"/>
      <c r="BY97" s="213"/>
      <c r="BZ97" s="213"/>
      <c r="CA97" s="213"/>
      <c r="CB97" s="213"/>
      <c r="CC97" s="213"/>
      <c r="CD97" s="213"/>
      <c r="CE97" s="213"/>
      <c r="CF97" s="213"/>
      <c r="CG97" s="213"/>
      <c r="CH97" s="213"/>
      <c r="CI97" s="213"/>
      <c r="CJ97" s="213"/>
      <c r="CK97" s="213"/>
      <c r="CL97" s="213"/>
      <c r="CM97" s="213"/>
      <c r="CN97" s="213"/>
      <c r="CO97" s="213"/>
      <c r="CP97" s="213"/>
      <c r="CQ97" s="213"/>
    </row>
    <row r="98" ht="15.75" customHeight="1">
      <c r="A98" s="213"/>
      <c r="B98" s="492"/>
      <c r="C98" s="492" t="s">
        <v>327</v>
      </c>
      <c r="D98" s="351">
        <f>29000/12</f>
        <v>2416.666667</v>
      </c>
      <c r="E98" s="353"/>
      <c r="F98" s="353">
        <f>29000/12</f>
        <v>2416.666667</v>
      </c>
      <c r="G98" s="353"/>
      <c r="H98" s="353"/>
      <c r="I98" s="493"/>
      <c r="J98" s="351">
        <f>29000/12</f>
        <v>2416.666667</v>
      </c>
      <c r="K98" s="353"/>
      <c r="L98" s="353">
        <f>29000/12</f>
        <v>2416.666667</v>
      </c>
      <c r="M98" s="353"/>
      <c r="N98" s="353"/>
      <c r="O98" s="523"/>
      <c r="P98" s="351">
        <f>29000/12</f>
        <v>2416.666667</v>
      </c>
      <c r="Q98" s="353"/>
      <c r="R98" s="353">
        <f>29000/12</f>
        <v>2416.666667</v>
      </c>
      <c r="S98" s="353"/>
      <c r="T98" s="353"/>
      <c r="U98" s="523"/>
      <c r="V98" s="351">
        <f>29000/12</f>
        <v>2416.666667</v>
      </c>
      <c r="W98" s="353"/>
      <c r="X98" s="353">
        <f>29000/12</f>
        <v>2416.666667</v>
      </c>
      <c r="Y98" s="353"/>
      <c r="Z98" s="353"/>
      <c r="AA98" s="523"/>
      <c r="AB98" s="351">
        <f>29000/12</f>
        <v>2416.666667</v>
      </c>
      <c r="AC98" s="353"/>
      <c r="AD98" s="353">
        <f>29000/12</f>
        <v>2416.666667</v>
      </c>
      <c r="AE98" s="353"/>
      <c r="AF98" s="353"/>
      <c r="AG98" s="353"/>
      <c r="AH98" s="351">
        <f>29000/12</f>
        <v>2416.666667</v>
      </c>
      <c r="AI98" s="353"/>
      <c r="AJ98" s="353">
        <f>29000/12</f>
        <v>2416.666667</v>
      </c>
      <c r="AK98" s="353"/>
      <c r="AL98" s="353"/>
      <c r="AM98" s="353"/>
      <c r="AN98" s="351">
        <f>29000/12</f>
        <v>2416.666667</v>
      </c>
      <c r="AO98" s="353"/>
      <c r="AP98" s="353">
        <f>29000/12</f>
        <v>2416.666667</v>
      </c>
      <c r="AQ98" s="353"/>
      <c r="AR98" s="353"/>
      <c r="AS98" s="353"/>
      <c r="AT98" s="351"/>
      <c r="AU98" s="353"/>
      <c r="AV98" s="353">
        <f>29000/12</f>
        <v>2416.666667</v>
      </c>
      <c r="AW98" s="353"/>
      <c r="AX98" s="353">
        <f>29000/12</f>
        <v>2416.666667</v>
      </c>
      <c r="AY98" s="494"/>
      <c r="AZ98" s="495"/>
      <c r="BA98" s="353"/>
      <c r="BB98" s="353">
        <f>29000/12</f>
        <v>2416.666667</v>
      </c>
      <c r="BC98" s="353"/>
      <c r="BD98" s="353">
        <f>29000/12</f>
        <v>2416.666667</v>
      </c>
      <c r="BE98" s="494"/>
      <c r="BF98" s="351">
        <f>29000/12</f>
        <v>2416.666667</v>
      </c>
      <c r="BG98" s="353"/>
      <c r="BH98" s="353">
        <f>29000/12</f>
        <v>2416.666667</v>
      </c>
      <c r="BI98" s="353"/>
      <c r="BJ98" s="353"/>
      <c r="BK98" s="493"/>
      <c r="BL98" s="351">
        <f>29000/12</f>
        <v>2416.666667</v>
      </c>
      <c r="BM98" s="353"/>
      <c r="BN98" s="353">
        <f>29000/12</f>
        <v>2416.666667</v>
      </c>
      <c r="BO98" s="353"/>
      <c r="BP98" s="353"/>
      <c r="BQ98" s="493"/>
      <c r="BR98" s="351">
        <f>29000/12</f>
        <v>2416.666667</v>
      </c>
      <c r="BS98" s="353"/>
      <c r="BT98" s="353">
        <f>29000/12</f>
        <v>2416.666667</v>
      </c>
      <c r="BU98" s="353"/>
      <c r="BV98" s="353"/>
      <c r="BW98" s="533"/>
      <c r="BX98" s="213"/>
      <c r="BY98" s="213"/>
      <c r="BZ98" s="213"/>
      <c r="CA98" s="213"/>
      <c r="CB98" s="213"/>
      <c r="CC98" s="213"/>
      <c r="CD98" s="213"/>
      <c r="CE98" s="213"/>
      <c r="CF98" s="213"/>
      <c r="CG98" s="213"/>
      <c r="CH98" s="213"/>
      <c r="CI98" s="213"/>
      <c r="CJ98" s="213"/>
      <c r="CK98" s="213"/>
      <c r="CL98" s="213"/>
      <c r="CM98" s="213"/>
      <c r="CN98" s="213"/>
      <c r="CO98" s="213"/>
      <c r="CP98" s="213"/>
      <c r="CQ98" s="213"/>
    </row>
    <row r="99" ht="15.75" customHeight="1">
      <c r="A99" s="213"/>
      <c r="B99" s="492"/>
      <c r="C99" s="492" t="s">
        <v>328</v>
      </c>
      <c r="D99" s="351">
        <f>(44652/12)+(14160/12)</f>
        <v>4901</v>
      </c>
      <c r="E99" s="353"/>
      <c r="F99" s="353">
        <f>44652/12</f>
        <v>3721</v>
      </c>
      <c r="G99" s="353"/>
      <c r="H99" s="353"/>
      <c r="I99" s="493"/>
      <c r="J99" s="351">
        <f>(44652/12)+(14160/12)</f>
        <v>4901</v>
      </c>
      <c r="K99" s="353"/>
      <c r="L99" s="353">
        <f>44652/12</f>
        <v>3721</v>
      </c>
      <c r="M99" s="353"/>
      <c r="N99" s="353"/>
      <c r="O99" s="523"/>
      <c r="P99" s="351">
        <f>(44652/12)+(14160/12)</f>
        <v>4901</v>
      </c>
      <c r="Q99" s="353"/>
      <c r="R99" s="353">
        <f>44652/12</f>
        <v>3721</v>
      </c>
      <c r="S99" s="353"/>
      <c r="T99" s="353"/>
      <c r="U99" s="523"/>
      <c r="V99" s="351">
        <f>(44652/12)+(14160/12)</f>
        <v>4901</v>
      </c>
      <c r="W99" s="353"/>
      <c r="X99" s="353">
        <f>44652/12</f>
        <v>3721</v>
      </c>
      <c r="Y99" s="353"/>
      <c r="Z99" s="353"/>
      <c r="AA99" s="523"/>
      <c r="AB99" s="351">
        <f>(44652/12)+(14160/12)</f>
        <v>4901</v>
      </c>
      <c r="AC99" s="353"/>
      <c r="AD99" s="353">
        <f>44652/12</f>
        <v>3721</v>
      </c>
      <c r="AE99" s="353"/>
      <c r="AF99" s="353"/>
      <c r="AG99" s="353"/>
      <c r="AH99" s="351">
        <f>(44652/12)+(14160/12)</f>
        <v>4901</v>
      </c>
      <c r="AI99" s="353"/>
      <c r="AJ99" s="353">
        <f>44652/12</f>
        <v>3721</v>
      </c>
      <c r="AK99" s="353"/>
      <c r="AL99" s="353"/>
      <c r="AM99" s="353"/>
      <c r="AN99" s="351">
        <f>(44652/12)+(14160/12)</f>
        <v>4901</v>
      </c>
      <c r="AO99" s="353"/>
      <c r="AP99" s="353">
        <f>44652/12</f>
        <v>3721</v>
      </c>
      <c r="AQ99" s="353"/>
      <c r="AR99" s="353"/>
      <c r="AS99" s="353"/>
      <c r="AT99" s="351">
        <f>(44652/12)+(14160/12)</f>
        <v>4901</v>
      </c>
      <c r="AU99" s="353"/>
      <c r="AV99" s="353">
        <f>44652/12</f>
        <v>3721</v>
      </c>
      <c r="AW99" s="353"/>
      <c r="AX99" s="353"/>
      <c r="AY99" s="494"/>
      <c r="AZ99" s="495">
        <f>(44652/12)+(14160/12)</f>
        <v>4901</v>
      </c>
      <c r="BA99" s="353"/>
      <c r="BB99" s="353">
        <f>44652/12</f>
        <v>3721</v>
      </c>
      <c r="BC99" s="353"/>
      <c r="BD99" s="353"/>
      <c r="BE99" s="494"/>
      <c r="BF99" s="351">
        <f>(44652/12)+(14160/12)</f>
        <v>4901</v>
      </c>
      <c r="BG99" s="353"/>
      <c r="BH99" s="353">
        <f>44652/12</f>
        <v>3721</v>
      </c>
      <c r="BI99" s="353"/>
      <c r="BJ99" s="353"/>
      <c r="BK99" s="493"/>
      <c r="BL99" s="351">
        <f>(44652/12)+(14160/12)</f>
        <v>4901</v>
      </c>
      <c r="BM99" s="353"/>
      <c r="BN99" s="353">
        <f>44652/12</f>
        <v>3721</v>
      </c>
      <c r="BO99" s="353"/>
      <c r="BP99" s="353"/>
      <c r="BQ99" s="493"/>
      <c r="BR99" s="351">
        <f>(44652/12)+(14160/12)</f>
        <v>4901</v>
      </c>
      <c r="BS99" s="353"/>
      <c r="BT99" s="353">
        <f>44652/12</f>
        <v>3721</v>
      </c>
      <c r="BU99" s="353"/>
      <c r="BV99" s="353"/>
      <c r="BW99" s="533"/>
      <c r="BX99" s="213"/>
      <c r="BY99" s="213"/>
      <c r="BZ99" s="213"/>
      <c r="CA99" s="213"/>
      <c r="CB99" s="213"/>
      <c r="CC99" s="213"/>
      <c r="CD99" s="213"/>
      <c r="CE99" s="213"/>
      <c r="CF99" s="213"/>
      <c r="CG99" s="213"/>
      <c r="CH99" s="213"/>
      <c r="CI99" s="213"/>
      <c r="CJ99" s="213"/>
      <c r="CK99" s="213"/>
      <c r="CL99" s="213"/>
      <c r="CM99" s="213"/>
      <c r="CN99" s="213"/>
      <c r="CO99" s="213"/>
      <c r="CP99" s="213"/>
      <c r="CQ99" s="213"/>
    </row>
    <row r="100" ht="15.75" customHeight="1">
      <c r="A100" s="213"/>
      <c r="B100" s="492"/>
      <c r="C100" s="492" t="s">
        <v>329</v>
      </c>
      <c r="D100" s="351">
        <f>15200/12</f>
        <v>1266.666667</v>
      </c>
      <c r="E100" s="353"/>
      <c r="F100" s="353">
        <f>15200/12</f>
        <v>1266.666667</v>
      </c>
      <c r="G100" s="353"/>
      <c r="H100" s="353"/>
      <c r="I100" s="493"/>
      <c r="J100" s="351">
        <f>15200/12</f>
        <v>1266.666667</v>
      </c>
      <c r="K100" s="353"/>
      <c r="L100" s="353">
        <f>15200/12</f>
        <v>1266.666667</v>
      </c>
      <c r="M100" s="353"/>
      <c r="N100" s="353"/>
      <c r="O100" s="523"/>
      <c r="P100" s="351">
        <f>15200/12</f>
        <v>1266.666667</v>
      </c>
      <c r="Q100" s="353"/>
      <c r="R100" s="353">
        <f>15200/12</f>
        <v>1266.666667</v>
      </c>
      <c r="S100" s="353"/>
      <c r="T100" s="353"/>
      <c r="U100" s="523"/>
      <c r="V100" s="351">
        <f>15200/12</f>
        <v>1266.666667</v>
      </c>
      <c r="W100" s="353"/>
      <c r="X100" s="353">
        <f>15200/12</f>
        <v>1266.666667</v>
      </c>
      <c r="Y100" s="353"/>
      <c r="Z100" s="353"/>
      <c r="AA100" s="523"/>
      <c r="AB100" s="351">
        <f>15200/12</f>
        <v>1266.666667</v>
      </c>
      <c r="AC100" s="353"/>
      <c r="AD100" s="353">
        <f>15200/12</f>
        <v>1266.666667</v>
      </c>
      <c r="AE100" s="353"/>
      <c r="AF100" s="353"/>
      <c r="AG100" s="353"/>
      <c r="AH100" s="351">
        <f>15200/12</f>
        <v>1266.666667</v>
      </c>
      <c r="AI100" s="353"/>
      <c r="AJ100" s="353">
        <f>15200/12</f>
        <v>1266.666667</v>
      </c>
      <c r="AK100" s="353"/>
      <c r="AL100" s="353"/>
      <c r="AM100" s="353"/>
      <c r="AN100" s="351">
        <f>15200/12</f>
        <v>1266.666667</v>
      </c>
      <c r="AO100" s="353"/>
      <c r="AP100" s="353">
        <f>15200/12</f>
        <v>1266.666667</v>
      </c>
      <c r="AQ100" s="353"/>
      <c r="AR100" s="353"/>
      <c r="AS100" s="353"/>
      <c r="AT100" s="351"/>
      <c r="AU100" s="353"/>
      <c r="AV100" s="353">
        <f>15200/12</f>
        <v>1266.666667</v>
      </c>
      <c r="AW100" s="353"/>
      <c r="AX100" s="353"/>
      <c r="AY100" s="494"/>
      <c r="AZ100" s="495"/>
      <c r="BA100" s="353"/>
      <c r="BB100" s="353">
        <f>15200/12</f>
        <v>1266.666667</v>
      </c>
      <c r="BC100" s="353"/>
      <c r="BD100" s="353"/>
      <c r="BE100" s="494"/>
      <c r="BF100" s="351">
        <f>15200/12</f>
        <v>1266.666667</v>
      </c>
      <c r="BG100" s="353"/>
      <c r="BH100" s="353">
        <f>15200/12</f>
        <v>1266.666667</v>
      </c>
      <c r="BI100" s="353"/>
      <c r="BJ100" s="353"/>
      <c r="BK100" s="493"/>
      <c r="BL100" s="351">
        <f>15200/12</f>
        <v>1266.666667</v>
      </c>
      <c r="BM100" s="353"/>
      <c r="BN100" s="353">
        <f>15200/12</f>
        <v>1266.666667</v>
      </c>
      <c r="BO100" s="353"/>
      <c r="BP100" s="353"/>
      <c r="BQ100" s="493"/>
      <c r="BR100" s="351">
        <f>15200/12</f>
        <v>1266.666667</v>
      </c>
      <c r="BS100" s="353"/>
      <c r="BT100" s="353">
        <f>15200/12</f>
        <v>1266.666667</v>
      </c>
      <c r="BU100" s="353"/>
      <c r="BV100" s="353"/>
      <c r="BW100" s="533"/>
      <c r="BX100" s="213"/>
      <c r="BY100" s="213"/>
      <c r="BZ100" s="213"/>
      <c r="CA100" s="213"/>
      <c r="CB100" s="213"/>
      <c r="CC100" s="213"/>
      <c r="CD100" s="213"/>
      <c r="CE100" s="213"/>
      <c r="CF100" s="213"/>
      <c r="CG100" s="213"/>
      <c r="CH100" s="213"/>
      <c r="CI100" s="213"/>
      <c r="CJ100" s="213"/>
      <c r="CK100" s="213"/>
      <c r="CL100" s="213"/>
      <c r="CM100" s="213"/>
      <c r="CN100" s="213"/>
      <c r="CO100" s="213"/>
      <c r="CP100" s="213"/>
      <c r="CQ100" s="213"/>
    </row>
    <row r="101" ht="15.75" customHeight="1">
      <c r="A101" s="213"/>
      <c r="B101" s="492"/>
      <c r="C101" s="492" t="s">
        <v>330</v>
      </c>
      <c r="D101" s="351">
        <f>52200/12</f>
        <v>4350</v>
      </c>
      <c r="E101" s="353"/>
      <c r="F101" s="353">
        <f>52200/12</f>
        <v>4350</v>
      </c>
      <c r="G101" s="353"/>
      <c r="H101" s="353"/>
      <c r="I101" s="493"/>
      <c r="J101" s="351">
        <f>52200/12</f>
        <v>4350</v>
      </c>
      <c r="K101" s="353"/>
      <c r="L101" s="353">
        <f>52200/12</f>
        <v>4350</v>
      </c>
      <c r="M101" s="353"/>
      <c r="N101" s="353"/>
      <c r="O101" s="523"/>
      <c r="P101" s="351">
        <f>52200/12</f>
        <v>4350</v>
      </c>
      <c r="Q101" s="353"/>
      <c r="R101" s="353">
        <f>52200/12</f>
        <v>4350</v>
      </c>
      <c r="S101" s="353"/>
      <c r="T101" s="353"/>
      <c r="U101" s="523"/>
      <c r="V101" s="351">
        <f>52200/12</f>
        <v>4350</v>
      </c>
      <c r="W101" s="353"/>
      <c r="X101" s="353">
        <f>52200/12</f>
        <v>4350</v>
      </c>
      <c r="Y101" s="353"/>
      <c r="Z101" s="353"/>
      <c r="AA101" s="523"/>
      <c r="AB101" s="351">
        <f>52200/12</f>
        <v>4350</v>
      </c>
      <c r="AC101" s="353"/>
      <c r="AD101" s="353">
        <f>52200/12</f>
        <v>4350</v>
      </c>
      <c r="AE101" s="353"/>
      <c r="AF101" s="353"/>
      <c r="AG101" s="353"/>
      <c r="AH101" s="351">
        <f>52200/12</f>
        <v>4350</v>
      </c>
      <c r="AI101" s="353"/>
      <c r="AJ101" s="353">
        <f>52200/12</f>
        <v>4350</v>
      </c>
      <c r="AK101" s="353"/>
      <c r="AL101" s="353"/>
      <c r="AM101" s="353"/>
      <c r="AN101" s="351">
        <f>52200/12</f>
        <v>4350</v>
      </c>
      <c r="AO101" s="353"/>
      <c r="AP101" s="353">
        <f>52200/12</f>
        <v>4350</v>
      </c>
      <c r="AQ101" s="353"/>
      <c r="AR101" s="353"/>
      <c r="AS101" s="353"/>
      <c r="AT101" s="351"/>
      <c r="AU101" s="353"/>
      <c r="AV101" s="353">
        <f>52200/12</f>
        <v>4350</v>
      </c>
      <c r="AW101" s="353"/>
      <c r="AX101" s="353"/>
      <c r="AY101" s="494"/>
      <c r="AZ101" s="495"/>
      <c r="BA101" s="353"/>
      <c r="BB101" s="353">
        <f>52200/12</f>
        <v>4350</v>
      </c>
      <c r="BC101" s="353"/>
      <c r="BD101" s="353"/>
      <c r="BE101" s="494"/>
      <c r="BF101" s="351">
        <f>52200/12</f>
        <v>4350</v>
      </c>
      <c r="BG101" s="353"/>
      <c r="BH101" s="353">
        <f>52200/12</f>
        <v>4350</v>
      </c>
      <c r="BI101" s="353"/>
      <c r="BJ101" s="353"/>
      <c r="BK101" s="493"/>
      <c r="BL101" s="351">
        <f>52200/12</f>
        <v>4350</v>
      </c>
      <c r="BM101" s="353"/>
      <c r="BN101" s="353">
        <f>52200/12</f>
        <v>4350</v>
      </c>
      <c r="BO101" s="353"/>
      <c r="BP101" s="353"/>
      <c r="BQ101" s="493"/>
      <c r="BR101" s="351">
        <f>52200/12</f>
        <v>4350</v>
      </c>
      <c r="BS101" s="353"/>
      <c r="BT101" s="353">
        <f>52200/12</f>
        <v>4350</v>
      </c>
      <c r="BU101" s="353"/>
      <c r="BV101" s="353"/>
      <c r="BW101" s="533"/>
      <c r="BX101" s="213"/>
      <c r="BY101" s="213"/>
      <c r="BZ101" s="213"/>
      <c r="CA101" s="213"/>
      <c r="CB101" s="213"/>
      <c r="CC101" s="213"/>
      <c r="CD101" s="213"/>
      <c r="CE101" s="213"/>
      <c r="CF101" s="213"/>
      <c r="CG101" s="213"/>
      <c r="CH101" s="213"/>
      <c r="CI101" s="213"/>
      <c r="CJ101" s="213"/>
      <c r="CK101" s="213"/>
      <c r="CL101" s="213"/>
      <c r="CM101" s="213"/>
      <c r="CN101" s="213"/>
      <c r="CO101" s="213"/>
      <c r="CP101" s="213"/>
      <c r="CQ101" s="213"/>
    </row>
    <row r="102" ht="15.75" customHeight="1">
      <c r="A102" s="213"/>
      <c r="B102" s="492"/>
      <c r="C102" s="492" t="s">
        <v>331</v>
      </c>
      <c r="D102" s="396">
        <v>43508.0</v>
      </c>
      <c r="E102" s="353"/>
      <c r="F102" s="353">
        <f>516000/12</f>
        <v>43000</v>
      </c>
      <c r="G102" s="353"/>
      <c r="H102" s="353"/>
      <c r="I102" s="493"/>
      <c r="J102" s="396">
        <v>43562.0</v>
      </c>
      <c r="K102" s="353"/>
      <c r="L102" s="353">
        <f>516000/12</f>
        <v>43000</v>
      </c>
      <c r="M102" s="353"/>
      <c r="N102" s="353"/>
      <c r="O102" s="523"/>
      <c r="P102" s="396">
        <v>47534.0</v>
      </c>
      <c r="Q102" s="353"/>
      <c r="R102" s="353">
        <f>516000/12</f>
        <v>43000</v>
      </c>
      <c r="S102" s="353"/>
      <c r="T102" s="353"/>
      <c r="U102" s="523"/>
      <c r="V102" s="396">
        <v>48675.0</v>
      </c>
      <c r="W102" s="353"/>
      <c r="X102" s="353">
        <f>516000/12</f>
        <v>43000</v>
      </c>
      <c r="Y102" s="353"/>
      <c r="Z102" s="353"/>
      <c r="AA102" s="523"/>
      <c r="AB102" s="396">
        <v>48675.0</v>
      </c>
      <c r="AC102" s="353"/>
      <c r="AD102" s="353">
        <f>516000/12</f>
        <v>43000</v>
      </c>
      <c r="AE102" s="353"/>
      <c r="AF102" s="353"/>
      <c r="AG102" s="353"/>
      <c r="AH102" s="396">
        <v>48675.0</v>
      </c>
      <c r="AI102" s="353"/>
      <c r="AJ102" s="353">
        <f>516000/12</f>
        <v>43000</v>
      </c>
      <c r="AK102" s="353"/>
      <c r="AL102" s="353"/>
      <c r="AM102" s="353"/>
      <c r="AN102" s="396">
        <v>48675.0</v>
      </c>
      <c r="AO102" s="353"/>
      <c r="AP102" s="353">
        <f>516000/12</f>
        <v>43000</v>
      </c>
      <c r="AQ102" s="353"/>
      <c r="AR102" s="353"/>
      <c r="AS102" s="353"/>
      <c r="AT102" s="396">
        <v>48675.0</v>
      </c>
      <c r="AU102" s="353"/>
      <c r="AV102" s="353">
        <f>516000/12</f>
        <v>43000</v>
      </c>
      <c r="AW102" s="353"/>
      <c r="AX102" s="353"/>
      <c r="AY102" s="494"/>
      <c r="AZ102" s="396">
        <v>48675.0</v>
      </c>
      <c r="BA102" s="353"/>
      <c r="BB102" s="353">
        <f>516000/12</f>
        <v>43000</v>
      </c>
      <c r="BC102" s="353"/>
      <c r="BD102" s="353"/>
      <c r="BE102" s="494"/>
      <c r="BF102" s="396">
        <v>49929.0</v>
      </c>
      <c r="BG102" s="353"/>
      <c r="BH102" s="353">
        <f>516000/12</f>
        <v>43000</v>
      </c>
      <c r="BI102" s="353"/>
      <c r="BJ102" s="353"/>
      <c r="BK102" s="493"/>
      <c r="BL102" s="396">
        <v>50392.0</v>
      </c>
      <c r="BM102" s="353"/>
      <c r="BN102" s="353">
        <f>516000/12</f>
        <v>43000</v>
      </c>
      <c r="BO102" s="353"/>
      <c r="BP102" s="353"/>
      <c r="BQ102" s="493"/>
      <c r="BR102" s="396">
        <v>51894.0</v>
      </c>
      <c r="BS102" s="353"/>
      <c r="BT102" s="353">
        <f>516000/12</f>
        <v>43000</v>
      </c>
      <c r="BU102" s="353"/>
      <c r="BV102" s="353"/>
      <c r="BW102" s="533"/>
      <c r="BX102" s="213"/>
      <c r="BY102" s="213"/>
      <c r="BZ102" s="213"/>
      <c r="CA102" s="213"/>
      <c r="CB102" s="213"/>
      <c r="CC102" s="213"/>
      <c r="CD102" s="213"/>
      <c r="CE102" s="213"/>
      <c r="CF102" s="213"/>
      <c r="CG102" s="213"/>
      <c r="CH102" s="213"/>
      <c r="CI102" s="213"/>
      <c r="CJ102" s="213"/>
      <c r="CK102" s="213"/>
      <c r="CL102" s="213"/>
      <c r="CM102" s="213"/>
      <c r="CN102" s="213"/>
      <c r="CO102" s="213"/>
      <c r="CP102" s="213"/>
      <c r="CQ102" s="213"/>
    </row>
    <row r="103" ht="15.75" customHeight="1">
      <c r="A103" s="213"/>
      <c r="B103" s="492"/>
      <c r="C103" s="492" t="s">
        <v>332</v>
      </c>
      <c r="D103" s="351">
        <v>43542.0</v>
      </c>
      <c r="E103" s="353"/>
      <c r="F103" s="353">
        <v>43515.0</v>
      </c>
      <c r="G103" s="353"/>
      <c r="H103" s="353"/>
      <c r="I103" s="493"/>
      <c r="J103" s="351">
        <v>44155.0</v>
      </c>
      <c r="K103" s="353"/>
      <c r="L103" s="353">
        <v>43515.0</v>
      </c>
      <c r="M103" s="353"/>
      <c r="N103" s="353"/>
      <c r="O103" s="523"/>
      <c r="P103" s="351">
        <v>44428.0</v>
      </c>
      <c r="Q103" s="353"/>
      <c r="R103" s="353">
        <v>43515.0</v>
      </c>
      <c r="S103" s="353"/>
      <c r="T103" s="353"/>
      <c r="U103" s="523"/>
      <c r="V103" s="351">
        <v>45432.0</v>
      </c>
      <c r="W103" s="353"/>
      <c r="X103" s="353">
        <v>43515.0</v>
      </c>
      <c r="Y103" s="353"/>
      <c r="Z103" s="353"/>
      <c r="AA103" s="523"/>
      <c r="AB103" s="351">
        <v>45666.0</v>
      </c>
      <c r="AC103" s="353"/>
      <c r="AD103" s="353">
        <v>43515.0</v>
      </c>
      <c r="AE103" s="353"/>
      <c r="AF103" s="353"/>
      <c r="AG103" s="353"/>
      <c r="AH103" s="351">
        <v>46463.0</v>
      </c>
      <c r="AI103" s="353"/>
      <c r="AJ103" s="353">
        <v>43515.0</v>
      </c>
      <c r="AK103" s="353"/>
      <c r="AL103" s="353"/>
      <c r="AM103" s="353"/>
      <c r="AN103" s="351">
        <v>43515.0</v>
      </c>
      <c r="AO103" s="353"/>
      <c r="AP103" s="353">
        <v>43515.0</v>
      </c>
      <c r="AQ103" s="353"/>
      <c r="AR103" s="353"/>
      <c r="AS103" s="353"/>
      <c r="AT103" s="351">
        <v>48676.0</v>
      </c>
      <c r="AU103" s="353"/>
      <c r="AV103" s="353">
        <v>43515.0</v>
      </c>
      <c r="AW103" s="353"/>
      <c r="AX103" s="353"/>
      <c r="AY103" s="494"/>
      <c r="AZ103" s="495">
        <v>49206.0</v>
      </c>
      <c r="BA103" s="353"/>
      <c r="BB103" s="353">
        <v>43515.0</v>
      </c>
      <c r="BC103" s="353"/>
      <c r="BD103" s="353"/>
      <c r="BE103" s="494"/>
      <c r="BF103" s="351">
        <v>50703.0</v>
      </c>
      <c r="BG103" s="353"/>
      <c r="BH103" s="353">
        <v>43515.0</v>
      </c>
      <c r="BI103" s="353"/>
      <c r="BJ103" s="353"/>
      <c r="BK103" s="493"/>
      <c r="BL103" s="351">
        <v>51330.0</v>
      </c>
      <c r="BM103" s="353"/>
      <c r="BN103" s="353">
        <v>43515.0</v>
      </c>
      <c r="BO103" s="353"/>
      <c r="BP103" s="353"/>
      <c r="BQ103" s="493"/>
      <c r="BR103" s="396">
        <v>51949.0</v>
      </c>
      <c r="BS103" s="353"/>
      <c r="BT103" s="353">
        <v>43515.0</v>
      </c>
      <c r="BU103" s="353"/>
      <c r="BV103" s="353"/>
      <c r="BW103" s="533"/>
      <c r="BX103" s="213"/>
      <c r="BY103" s="213"/>
      <c r="BZ103" s="213"/>
      <c r="CA103" s="213"/>
      <c r="CB103" s="213"/>
      <c r="CC103" s="213"/>
      <c r="CD103" s="213"/>
      <c r="CE103" s="213"/>
      <c r="CF103" s="213"/>
      <c r="CG103" s="213"/>
      <c r="CH103" s="213"/>
      <c r="CI103" s="213"/>
      <c r="CJ103" s="213"/>
      <c r="CK103" s="213"/>
      <c r="CL103" s="213"/>
      <c r="CM103" s="213"/>
      <c r="CN103" s="213"/>
      <c r="CO103" s="213"/>
      <c r="CP103" s="213"/>
      <c r="CQ103" s="213"/>
    </row>
    <row r="104" ht="15.75" customHeight="1">
      <c r="A104" s="213"/>
      <c r="B104" s="492"/>
      <c r="C104" s="492" t="s">
        <v>333</v>
      </c>
      <c r="D104" s="351">
        <f>(15930/12)+(22420/12)</f>
        <v>3195.833333</v>
      </c>
      <c r="E104" s="353"/>
      <c r="F104" s="353">
        <f>(15930/12)</f>
        <v>1327.5</v>
      </c>
      <c r="G104" s="353"/>
      <c r="H104" s="353">
        <f>D104-F104</f>
        <v>1868.333333</v>
      </c>
      <c r="I104" s="493">
        <f>IFERROR((H104)/F104,"")</f>
        <v>1.407407407</v>
      </c>
      <c r="J104" s="351">
        <f>(15930/12)+(22420/12)</f>
        <v>3195.833333</v>
      </c>
      <c r="K104" s="353"/>
      <c r="L104" s="353">
        <f>(15930/12)</f>
        <v>1327.5</v>
      </c>
      <c r="M104" s="353"/>
      <c r="N104" s="353"/>
      <c r="O104" s="523"/>
      <c r="P104" s="351">
        <f>(15930/12)+(22420/12)+768</f>
        <v>3963.833333</v>
      </c>
      <c r="Q104" s="353"/>
      <c r="R104" s="353">
        <f>(15930/12)</f>
        <v>1327.5</v>
      </c>
      <c r="S104" s="353"/>
      <c r="T104" s="353"/>
      <c r="U104" s="523"/>
      <c r="V104" s="351">
        <f>(15930/12)+(22420/12)</f>
        <v>3195.833333</v>
      </c>
      <c r="W104" s="353"/>
      <c r="X104" s="353">
        <f>(15930/12)</f>
        <v>1327.5</v>
      </c>
      <c r="Y104" s="353"/>
      <c r="Z104" s="353"/>
      <c r="AA104" s="523"/>
      <c r="AB104" s="351">
        <f>(15930/12)+(22420/12)</f>
        <v>3195.833333</v>
      </c>
      <c r="AC104" s="353"/>
      <c r="AD104" s="353">
        <f>(15930/12)</f>
        <v>1327.5</v>
      </c>
      <c r="AE104" s="353"/>
      <c r="AF104" s="353"/>
      <c r="AG104" s="353"/>
      <c r="AH104" s="351">
        <f>(15930/12)+(22420/12)</f>
        <v>3195.833333</v>
      </c>
      <c r="AI104" s="353"/>
      <c r="AJ104" s="353">
        <f>(15930/12)</f>
        <v>1327.5</v>
      </c>
      <c r="AK104" s="353"/>
      <c r="AL104" s="353"/>
      <c r="AM104" s="353"/>
      <c r="AN104" s="351">
        <f>(15930/12)+(22420/12)+768</f>
        <v>3963.833333</v>
      </c>
      <c r="AO104" s="353"/>
      <c r="AP104" s="353">
        <f>(15930/12)</f>
        <v>1327.5</v>
      </c>
      <c r="AQ104" s="353"/>
      <c r="AR104" s="353"/>
      <c r="AS104" s="353"/>
      <c r="AT104" s="351">
        <f>(15930/12)+(22420/12)</f>
        <v>3195.833333</v>
      </c>
      <c r="AU104" s="353"/>
      <c r="AV104" s="353">
        <f>(15930/12)</f>
        <v>1327.5</v>
      </c>
      <c r="AW104" s="353"/>
      <c r="AX104" s="353"/>
      <c r="AY104" s="494"/>
      <c r="AZ104" s="495">
        <f>(15930/12)+(22420/12)</f>
        <v>3195.833333</v>
      </c>
      <c r="BA104" s="353"/>
      <c r="BB104" s="353">
        <f>(15930/12)</f>
        <v>1327.5</v>
      </c>
      <c r="BC104" s="353"/>
      <c r="BD104" s="353"/>
      <c r="BE104" s="494"/>
      <c r="BF104" s="351">
        <f>(15930/12)+(22420/12)+7491</f>
        <v>10686.83333</v>
      </c>
      <c r="BG104" s="353"/>
      <c r="BH104" s="353">
        <f>(15930/12)</f>
        <v>1327.5</v>
      </c>
      <c r="BI104" s="353"/>
      <c r="BJ104" s="353"/>
      <c r="BK104" s="493"/>
      <c r="BL104" s="351">
        <f>(15930/12)+(22420/12)</f>
        <v>3195.833333</v>
      </c>
      <c r="BM104" s="353"/>
      <c r="BN104" s="353">
        <f>(15930/12)</f>
        <v>1327.5</v>
      </c>
      <c r="BO104" s="353"/>
      <c r="BP104" s="353"/>
      <c r="BQ104" s="493"/>
      <c r="BR104" s="351">
        <f>(15930/12)+(22420/12)</f>
        <v>3195.833333</v>
      </c>
      <c r="BS104" s="353"/>
      <c r="BT104" s="353">
        <f>(15930/12)</f>
        <v>1327.5</v>
      </c>
      <c r="BU104" s="353"/>
      <c r="BV104" s="353"/>
      <c r="BW104" s="533"/>
      <c r="BX104" s="213"/>
      <c r="BY104" s="213"/>
      <c r="BZ104" s="213"/>
      <c r="CA104" s="213"/>
      <c r="CB104" s="213"/>
      <c r="CC104" s="213"/>
      <c r="CD104" s="213"/>
      <c r="CE104" s="213"/>
      <c r="CF104" s="213"/>
      <c r="CG104" s="213"/>
      <c r="CH104" s="213"/>
      <c r="CI104" s="213"/>
      <c r="CJ104" s="213"/>
      <c r="CK104" s="213"/>
      <c r="CL104" s="213"/>
      <c r="CM104" s="213"/>
      <c r="CN104" s="213"/>
      <c r="CO104" s="213"/>
      <c r="CP104" s="213"/>
      <c r="CQ104" s="213"/>
    </row>
    <row r="105" ht="15.75" customHeight="1">
      <c r="A105" s="213"/>
      <c r="B105" s="502"/>
      <c r="C105" s="502"/>
      <c r="D105" s="363"/>
      <c r="E105" s="365"/>
      <c r="F105" s="365"/>
      <c r="G105" s="365"/>
      <c r="H105" s="365"/>
      <c r="I105" s="503"/>
      <c r="J105" s="363"/>
      <c r="K105" s="365"/>
      <c r="L105" s="365"/>
      <c r="M105" s="365"/>
      <c r="N105" s="365"/>
      <c r="O105" s="526"/>
      <c r="P105" s="363"/>
      <c r="Q105" s="365"/>
      <c r="R105" s="365"/>
      <c r="S105" s="365"/>
      <c r="T105" s="365"/>
      <c r="U105" s="526"/>
      <c r="V105" s="363"/>
      <c r="W105" s="365"/>
      <c r="X105" s="365"/>
      <c r="Y105" s="365"/>
      <c r="Z105" s="365"/>
      <c r="AA105" s="526"/>
      <c r="AB105" s="363"/>
      <c r="AC105" s="365"/>
      <c r="AD105" s="365"/>
      <c r="AE105" s="365"/>
      <c r="AF105" s="365"/>
      <c r="AG105" s="365"/>
      <c r="AH105" s="363"/>
      <c r="AI105" s="365"/>
      <c r="AJ105" s="365"/>
      <c r="AK105" s="365"/>
      <c r="AL105" s="365"/>
      <c r="AM105" s="365"/>
      <c r="AN105" s="363"/>
      <c r="AO105" s="365"/>
      <c r="AP105" s="365"/>
      <c r="AQ105" s="365"/>
      <c r="AR105" s="365"/>
      <c r="AS105" s="365"/>
      <c r="AT105" s="363"/>
      <c r="AU105" s="365"/>
      <c r="AV105" s="365"/>
      <c r="AW105" s="365"/>
      <c r="AX105" s="365"/>
      <c r="AY105" s="504"/>
      <c r="AZ105" s="505"/>
      <c r="BA105" s="365"/>
      <c r="BB105" s="365"/>
      <c r="BC105" s="365"/>
      <c r="BD105" s="365"/>
      <c r="BE105" s="504"/>
      <c r="BF105" s="363"/>
      <c r="BG105" s="365"/>
      <c r="BH105" s="365"/>
      <c r="BI105" s="365"/>
      <c r="BJ105" s="365"/>
      <c r="BK105" s="503"/>
      <c r="BL105" s="363"/>
      <c r="BM105" s="365"/>
      <c r="BN105" s="365"/>
      <c r="BO105" s="365"/>
      <c r="BP105" s="365"/>
      <c r="BQ105" s="503"/>
      <c r="BR105" s="506"/>
      <c r="BS105" s="365"/>
      <c r="BT105" s="365"/>
      <c r="BU105" s="365"/>
      <c r="BV105" s="365"/>
      <c r="BW105" s="535"/>
      <c r="BX105" s="213"/>
      <c r="BY105" s="213"/>
      <c r="BZ105" s="213"/>
      <c r="CA105" s="213"/>
      <c r="CB105" s="213"/>
      <c r="CC105" s="213"/>
      <c r="CD105" s="213"/>
      <c r="CE105" s="213"/>
      <c r="CF105" s="213"/>
      <c r="CG105" s="213"/>
      <c r="CH105" s="213"/>
      <c r="CI105" s="213"/>
      <c r="CJ105" s="213"/>
      <c r="CK105" s="213"/>
      <c r="CL105" s="213"/>
      <c r="CM105" s="213"/>
      <c r="CN105" s="213"/>
      <c r="CO105" s="213"/>
      <c r="CP105" s="213"/>
      <c r="CQ105" s="213"/>
    </row>
    <row r="106" ht="15.75" customHeight="1">
      <c r="A106" s="213"/>
      <c r="B106" s="483"/>
      <c r="C106" s="519" t="s">
        <v>41</v>
      </c>
      <c r="D106" s="373">
        <f>SUM(D107:D122)</f>
        <v>135644.5</v>
      </c>
      <c r="E106" s="375"/>
      <c r="F106" s="373">
        <f>SUM(F107:F119)</f>
        <v>76500</v>
      </c>
      <c r="G106" s="375"/>
      <c r="H106" s="375">
        <f>SUM(H107:H118)</f>
        <v>58407</v>
      </c>
      <c r="I106" s="484"/>
      <c r="J106" s="373">
        <f>SUM(J107:J119)</f>
        <v>269769.5</v>
      </c>
      <c r="K106" s="375"/>
      <c r="L106" s="373">
        <f>SUM(L107:L119)</f>
        <v>76500</v>
      </c>
      <c r="M106" s="375"/>
      <c r="N106" s="373">
        <f>SUM(N107:N119)</f>
        <v>0</v>
      </c>
      <c r="O106" s="527"/>
      <c r="P106" s="373">
        <f>SUM(P107:P119)</f>
        <v>1400209.333</v>
      </c>
      <c r="Q106" s="375"/>
      <c r="R106" s="373">
        <f>SUM(R107:R119)</f>
        <v>76500</v>
      </c>
      <c r="S106" s="375"/>
      <c r="T106" s="373">
        <f>SUM(T107:T119)</f>
        <v>0</v>
      </c>
      <c r="U106" s="527"/>
      <c r="V106" s="373">
        <f>SUM(V107:V119)</f>
        <v>109139.3333</v>
      </c>
      <c r="W106" s="375"/>
      <c r="X106" s="373">
        <f>SUM(X107:X119)</f>
        <v>76500</v>
      </c>
      <c r="Y106" s="375"/>
      <c r="Z106" s="373">
        <f>SUM(Z107:Z119)</f>
        <v>0</v>
      </c>
      <c r="AA106" s="527"/>
      <c r="AB106" s="373">
        <f>SUM(AB107:AB119)</f>
        <v>138804.3333</v>
      </c>
      <c r="AC106" s="375"/>
      <c r="AD106" s="373">
        <f>SUM(AD107:AD119)</f>
        <v>76500</v>
      </c>
      <c r="AE106" s="375"/>
      <c r="AF106" s="373">
        <f>SUM(AF107:AF119)</f>
        <v>0</v>
      </c>
      <c r="AG106" s="375"/>
      <c r="AH106" s="373">
        <f>SUM(AH107:AH119)</f>
        <v>112855.3333</v>
      </c>
      <c r="AI106" s="375"/>
      <c r="AJ106" s="373">
        <f>SUM(AJ107:AJ119)</f>
        <v>76500</v>
      </c>
      <c r="AK106" s="375"/>
      <c r="AL106" s="373">
        <f>SUM(AL107:AL119)</f>
        <v>0</v>
      </c>
      <c r="AM106" s="375"/>
      <c r="AN106" s="373">
        <f>SUM(AN107:AN119)</f>
        <v>222289.3333</v>
      </c>
      <c r="AO106" s="375"/>
      <c r="AP106" s="373">
        <f>SUM(AP107:AP119)</f>
        <v>76500</v>
      </c>
      <c r="AQ106" s="375"/>
      <c r="AR106" s="375">
        <f>SUM(AR107:AR118)</f>
        <v>0</v>
      </c>
      <c r="AS106" s="375"/>
      <c r="AT106" s="373">
        <f>SUM(AT107:AT122)</f>
        <v>308026.3333</v>
      </c>
      <c r="AU106" s="375"/>
      <c r="AV106" s="373">
        <f>SUM(AV107:AV122)</f>
        <v>76500</v>
      </c>
      <c r="AW106" s="375"/>
      <c r="AX106" s="375">
        <f>SUM(AX107:AX118)</f>
        <v>0</v>
      </c>
      <c r="AY106" s="485"/>
      <c r="AZ106" s="373">
        <f>SUM(AZ107:AZ122)</f>
        <v>518148.25</v>
      </c>
      <c r="BA106" s="375"/>
      <c r="BB106" s="373">
        <f>SUM(BB107:BB122)</f>
        <v>76500</v>
      </c>
      <c r="BC106" s="375"/>
      <c r="BD106" s="373">
        <f>SUM(BD107:BD119)</f>
        <v>0</v>
      </c>
      <c r="BE106" s="485"/>
      <c r="BF106" s="373">
        <f>SUM(BF107:BF122)</f>
        <v>472295.88</v>
      </c>
      <c r="BG106" s="375"/>
      <c r="BH106" s="373">
        <f>SUM(BH107:BH122)</f>
        <v>26500</v>
      </c>
      <c r="BI106" s="375"/>
      <c r="BJ106" s="373">
        <f>SUM(BJ107:BJ119)</f>
        <v>0</v>
      </c>
      <c r="BK106" s="484"/>
      <c r="BL106" s="373">
        <f>SUM(BL107:BL122)</f>
        <v>277116.32</v>
      </c>
      <c r="BM106" s="375"/>
      <c r="BN106" s="373">
        <f>SUM(BN107:BN122)</f>
        <v>76500</v>
      </c>
      <c r="BO106" s="375"/>
      <c r="BP106" s="373">
        <f>SUM(BP107:BP119)</f>
        <v>0</v>
      </c>
      <c r="BQ106" s="484"/>
      <c r="BR106" s="373">
        <f>SUM(BR107:BR122)</f>
        <v>841554.87</v>
      </c>
      <c r="BS106" s="375"/>
      <c r="BT106" s="373">
        <f>SUM(BT107:BT122)</f>
        <v>76500</v>
      </c>
      <c r="BU106" s="375"/>
      <c r="BV106" s="373">
        <f>SUM(BV107:BV119)</f>
        <v>0</v>
      </c>
      <c r="BW106" s="528"/>
      <c r="BX106" s="216"/>
      <c r="BY106" s="216"/>
      <c r="BZ106" s="216"/>
      <c r="CA106" s="216"/>
      <c r="CB106" s="216"/>
      <c r="CC106" s="216"/>
      <c r="CD106" s="216"/>
      <c r="CE106" s="216"/>
      <c r="CF106" s="216"/>
      <c r="CG106" s="216"/>
      <c r="CH106" s="216"/>
      <c r="CI106" s="216"/>
      <c r="CJ106" s="216"/>
      <c r="CK106" s="216"/>
      <c r="CL106" s="216"/>
      <c r="CM106" s="216"/>
      <c r="CN106" s="216"/>
      <c r="CO106" s="216"/>
      <c r="CP106" s="216"/>
      <c r="CQ106" s="216"/>
    </row>
    <row r="107" ht="15.75" customHeight="1">
      <c r="A107" s="213"/>
      <c r="B107" s="492"/>
      <c r="C107" s="492" t="s">
        <v>278</v>
      </c>
      <c r="D107" s="351">
        <f>70868-16200</f>
        <v>54668</v>
      </c>
      <c r="E107" s="353"/>
      <c r="F107" s="353">
        <v>6500.0</v>
      </c>
      <c r="G107" s="353"/>
      <c r="H107" s="353">
        <f t="shared" ref="H107:H110" si="60">D107-F107</f>
        <v>48168</v>
      </c>
      <c r="I107" s="493">
        <f t="shared" ref="I107:I110" si="61">IFERROR((H107)/F107,"")</f>
        <v>7.410461538</v>
      </c>
      <c r="J107" s="351">
        <v>0.0</v>
      </c>
      <c r="K107" s="353"/>
      <c r="L107" s="353">
        <f t="shared" ref="L107:L110" si="62">$F107</f>
        <v>6500</v>
      </c>
      <c r="M107" s="353"/>
      <c r="N107" s="353"/>
      <c r="O107" s="523"/>
      <c r="P107" s="351">
        <v>22312.0</v>
      </c>
      <c r="Q107" s="353"/>
      <c r="R107" s="353">
        <f t="shared" ref="R107:R110" si="63">$F107</f>
        <v>6500</v>
      </c>
      <c r="S107" s="353"/>
      <c r="T107" s="353"/>
      <c r="U107" s="523"/>
      <c r="V107" s="351">
        <v>38830.0</v>
      </c>
      <c r="W107" s="353"/>
      <c r="X107" s="353">
        <f t="shared" ref="X107:X110" si="64">$F107</f>
        <v>6500</v>
      </c>
      <c r="Y107" s="353"/>
      <c r="Z107" s="353"/>
      <c r="AA107" s="523"/>
      <c r="AB107" s="351">
        <v>14880.0</v>
      </c>
      <c r="AC107" s="353"/>
      <c r="AD107" s="353">
        <f t="shared" ref="AD107:AD110" si="65">$F107</f>
        <v>6500</v>
      </c>
      <c r="AE107" s="353"/>
      <c r="AF107" s="353"/>
      <c r="AG107" s="353"/>
      <c r="AH107" s="351">
        <f>63886-32400</f>
        <v>31486</v>
      </c>
      <c r="AI107" s="353"/>
      <c r="AJ107" s="353">
        <f t="shared" ref="AJ107:AJ110" si="66">$F107</f>
        <v>6500</v>
      </c>
      <c r="AK107" s="353"/>
      <c r="AL107" s="353"/>
      <c r="AM107" s="353"/>
      <c r="AN107" s="351">
        <f>67886-32400</f>
        <v>35486</v>
      </c>
      <c r="AO107" s="353"/>
      <c r="AP107" s="353">
        <f t="shared" ref="AP107:AP110" si="67">$F107</f>
        <v>6500</v>
      </c>
      <c r="AQ107" s="353"/>
      <c r="AR107" s="353"/>
      <c r="AS107" s="353"/>
      <c r="AT107" s="351">
        <f>72796-32400</f>
        <v>40396</v>
      </c>
      <c r="AU107" s="353"/>
      <c r="AV107" s="353">
        <f t="shared" ref="AV107:AV110" si="68">$F107</f>
        <v>6500</v>
      </c>
      <c r="AW107" s="353"/>
      <c r="AX107" s="353"/>
      <c r="AY107" s="494"/>
      <c r="AZ107" s="495">
        <f>51536-32400</f>
        <v>19136</v>
      </c>
      <c r="BA107" s="353"/>
      <c r="BB107" s="353">
        <f t="shared" ref="BB107:BB110" si="69">$F107</f>
        <v>6500</v>
      </c>
      <c r="BC107" s="353"/>
      <c r="BD107" s="353"/>
      <c r="BE107" s="494"/>
      <c r="BF107" s="396">
        <f>44240</f>
        <v>44240</v>
      </c>
      <c r="BG107" s="353"/>
      <c r="BH107" s="353">
        <v>6500.0</v>
      </c>
      <c r="BI107" s="353"/>
      <c r="BJ107" s="353"/>
      <c r="BK107" s="493"/>
      <c r="BL107" s="351">
        <v>28338.0</v>
      </c>
      <c r="BM107" s="353"/>
      <c r="BN107" s="353">
        <f t="shared" ref="BN107:BN110" si="70">$F107</f>
        <v>6500</v>
      </c>
      <c r="BO107" s="353"/>
      <c r="BP107" s="353"/>
      <c r="BQ107" s="493"/>
      <c r="BR107" s="396">
        <v>34666.0</v>
      </c>
      <c r="BS107" s="353"/>
      <c r="BT107" s="353">
        <f t="shared" ref="BT107:BT110" si="71">$F107</f>
        <v>6500</v>
      </c>
      <c r="BU107" s="353"/>
      <c r="BV107" s="353"/>
      <c r="BW107" s="533"/>
      <c r="BX107" s="213"/>
      <c r="BY107" s="213"/>
      <c r="BZ107" s="213"/>
      <c r="CA107" s="213"/>
      <c r="CB107" s="213"/>
      <c r="CC107" s="213"/>
      <c r="CD107" s="213"/>
      <c r="CE107" s="213"/>
      <c r="CF107" s="213"/>
      <c r="CG107" s="213"/>
      <c r="CH107" s="213"/>
      <c r="CI107" s="213"/>
      <c r="CJ107" s="213"/>
      <c r="CK107" s="213"/>
      <c r="CL107" s="213"/>
      <c r="CM107" s="213"/>
      <c r="CN107" s="213"/>
      <c r="CO107" s="213"/>
      <c r="CP107" s="213"/>
      <c r="CQ107" s="213"/>
    </row>
    <row r="108" ht="15.75" customHeight="1">
      <c r="A108" s="213"/>
      <c r="B108" s="492"/>
      <c r="C108" s="492" t="s">
        <v>280</v>
      </c>
      <c r="D108" s="351"/>
      <c r="E108" s="353"/>
      <c r="F108" s="353"/>
      <c r="G108" s="353"/>
      <c r="H108" s="353">
        <f t="shared" si="60"/>
        <v>0</v>
      </c>
      <c r="I108" s="493" t="str">
        <f t="shared" si="61"/>
        <v/>
      </c>
      <c r="J108" s="351"/>
      <c r="K108" s="353"/>
      <c r="L108" s="353" t="str">
        <f t="shared" si="62"/>
        <v/>
      </c>
      <c r="M108" s="353"/>
      <c r="N108" s="353"/>
      <c r="O108" s="523"/>
      <c r="P108" s="351"/>
      <c r="Q108" s="353"/>
      <c r="R108" s="353" t="str">
        <f t="shared" si="63"/>
        <v/>
      </c>
      <c r="S108" s="353"/>
      <c r="T108" s="353"/>
      <c r="U108" s="523"/>
      <c r="V108" s="351"/>
      <c r="W108" s="353"/>
      <c r="X108" s="353" t="str">
        <f t="shared" si="64"/>
        <v/>
      </c>
      <c r="Y108" s="353"/>
      <c r="Z108" s="353"/>
      <c r="AA108" s="523"/>
      <c r="AB108" s="351"/>
      <c r="AC108" s="353"/>
      <c r="AD108" s="353" t="str">
        <f t="shared" si="65"/>
        <v/>
      </c>
      <c r="AE108" s="353"/>
      <c r="AF108" s="353"/>
      <c r="AG108" s="353"/>
      <c r="AH108" s="351"/>
      <c r="AI108" s="353"/>
      <c r="AJ108" s="353" t="str">
        <f t="shared" si="66"/>
        <v/>
      </c>
      <c r="AK108" s="353"/>
      <c r="AL108" s="353"/>
      <c r="AM108" s="353"/>
      <c r="AN108" s="351"/>
      <c r="AO108" s="353"/>
      <c r="AP108" s="353" t="str">
        <f t="shared" si="67"/>
        <v/>
      </c>
      <c r="AQ108" s="353"/>
      <c r="AR108" s="353"/>
      <c r="AS108" s="353"/>
      <c r="AT108" s="351">
        <f>6000+8860</f>
        <v>14860</v>
      </c>
      <c r="AU108" s="353"/>
      <c r="AV108" s="353" t="str">
        <f t="shared" si="68"/>
        <v/>
      </c>
      <c r="AW108" s="353"/>
      <c r="AX108" s="353"/>
      <c r="AY108" s="494"/>
      <c r="AZ108" s="495"/>
      <c r="BA108" s="353"/>
      <c r="BB108" s="353" t="str">
        <f t="shared" si="69"/>
        <v/>
      </c>
      <c r="BC108" s="353"/>
      <c r="BD108" s="353"/>
      <c r="BE108" s="494"/>
      <c r="BF108" s="351"/>
      <c r="BG108" s="353"/>
      <c r="BH108" s="353"/>
      <c r="BI108" s="353"/>
      <c r="BJ108" s="353"/>
      <c r="BK108" s="493"/>
      <c r="BL108" s="351"/>
      <c r="BM108" s="353"/>
      <c r="BN108" s="353" t="str">
        <f t="shared" si="70"/>
        <v/>
      </c>
      <c r="BO108" s="353"/>
      <c r="BP108" s="353"/>
      <c r="BQ108" s="493"/>
      <c r="BR108" s="351"/>
      <c r="BS108" s="353"/>
      <c r="BT108" s="353" t="str">
        <f t="shared" si="71"/>
        <v/>
      </c>
      <c r="BU108" s="353"/>
      <c r="BV108" s="353"/>
      <c r="BW108" s="533"/>
      <c r="BX108" s="213"/>
      <c r="BY108" s="213"/>
      <c r="BZ108" s="213"/>
      <c r="CA108" s="213"/>
      <c r="CB108" s="213"/>
      <c r="CC108" s="213"/>
      <c r="CD108" s="213"/>
      <c r="CE108" s="213"/>
      <c r="CF108" s="213"/>
      <c r="CG108" s="213"/>
      <c r="CH108" s="213"/>
      <c r="CI108" s="213"/>
      <c r="CJ108" s="213"/>
      <c r="CK108" s="213"/>
      <c r="CL108" s="213"/>
      <c r="CM108" s="213"/>
      <c r="CN108" s="213"/>
      <c r="CO108" s="213"/>
      <c r="CP108" s="213"/>
      <c r="CQ108" s="213"/>
    </row>
    <row r="109" ht="15.75" customHeight="1">
      <c r="A109" s="213"/>
      <c r="B109" s="492"/>
      <c r="C109" s="492" t="s">
        <v>334</v>
      </c>
      <c r="D109" s="351"/>
      <c r="E109" s="353"/>
      <c r="F109" s="353"/>
      <c r="G109" s="353"/>
      <c r="H109" s="353">
        <f t="shared" si="60"/>
        <v>0</v>
      </c>
      <c r="I109" s="493" t="str">
        <f t="shared" si="61"/>
        <v/>
      </c>
      <c r="J109" s="351"/>
      <c r="K109" s="353"/>
      <c r="L109" s="353" t="str">
        <f t="shared" si="62"/>
        <v/>
      </c>
      <c r="M109" s="353"/>
      <c r="N109" s="353"/>
      <c r="O109" s="523"/>
      <c r="P109" s="351"/>
      <c r="Q109" s="353"/>
      <c r="R109" s="353" t="str">
        <f t="shared" si="63"/>
        <v/>
      </c>
      <c r="S109" s="353"/>
      <c r="T109" s="353"/>
      <c r="U109" s="523"/>
      <c r="V109" s="351"/>
      <c r="W109" s="353"/>
      <c r="X109" s="353" t="str">
        <f t="shared" si="64"/>
        <v/>
      </c>
      <c r="Y109" s="353"/>
      <c r="Z109" s="353"/>
      <c r="AA109" s="523"/>
      <c r="AB109" s="351"/>
      <c r="AC109" s="353"/>
      <c r="AD109" s="353" t="str">
        <f t="shared" si="65"/>
        <v/>
      </c>
      <c r="AE109" s="353"/>
      <c r="AF109" s="353"/>
      <c r="AG109" s="353"/>
      <c r="AH109" s="351"/>
      <c r="AI109" s="353"/>
      <c r="AJ109" s="353" t="str">
        <f t="shared" si="66"/>
        <v/>
      </c>
      <c r="AK109" s="353"/>
      <c r="AL109" s="353"/>
      <c r="AM109" s="353"/>
      <c r="AN109" s="351"/>
      <c r="AO109" s="353"/>
      <c r="AP109" s="353" t="str">
        <f t="shared" si="67"/>
        <v/>
      </c>
      <c r="AQ109" s="353"/>
      <c r="AR109" s="353"/>
      <c r="AS109" s="353"/>
      <c r="AT109" s="351"/>
      <c r="AU109" s="353"/>
      <c r="AV109" s="353" t="str">
        <f t="shared" si="68"/>
        <v/>
      </c>
      <c r="AW109" s="353"/>
      <c r="AX109" s="353"/>
      <c r="AY109" s="494"/>
      <c r="AZ109" s="495"/>
      <c r="BA109" s="353"/>
      <c r="BB109" s="353" t="str">
        <f t="shared" si="69"/>
        <v/>
      </c>
      <c r="BC109" s="353"/>
      <c r="BD109" s="353"/>
      <c r="BE109" s="494"/>
      <c r="BF109" s="351"/>
      <c r="BG109" s="353"/>
      <c r="BH109" s="353"/>
      <c r="BI109" s="353"/>
      <c r="BJ109" s="353"/>
      <c r="BK109" s="493"/>
      <c r="BL109" s="351"/>
      <c r="BM109" s="353"/>
      <c r="BN109" s="353" t="str">
        <f t="shared" si="70"/>
        <v/>
      </c>
      <c r="BO109" s="353"/>
      <c r="BP109" s="353"/>
      <c r="BQ109" s="493"/>
      <c r="BR109" s="351"/>
      <c r="BS109" s="353"/>
      <c r="BT109" s="353" t="str">
        <f t="shared" si="71"/>
        <v/>
      </c>
      <c r="BU109" s="353"/>
      <c r="BV109" s="353"/>
      <c r="BW109" s="533"/>
      <c r="BX109" s="213"/>
      <c r="BY109" s="213"/>
      <c r="BZ109" s="213"/>
      <c r="CA109" s="213"/>
      <c r="CB109" s="213"/>
      <c r="CC109" s="213"/>
      <c r="CD109" s="213"/>
      <c r="CE109" s="213"/>
      <c r="CF109" s="213"/>
      <c r="CG109" s="213"/>
      <c r="CH109" s="213"/>
      <c r="CI109" s="213"/>
      <c r="CJ109" s="213"/>
      <c r="CK109" s="213"/>
      <c r="CL109" s="213"/>
      <c r="CM109" s="213"/>
      <c r="CN109" s="213"/>
      <c r="CO109" s="213"/>
      <c r="CP109" s="213"/>
      <c r="CQ109" s="213"/>
    </row>
    <row r="110" ht="15.75" customHeight="1">
      <c r="A110" s="213"/>
      <c r="B110" s="492"/>
      <c r="C110" s="492" t="s">
        <v>335</v>
      </c>
      <c r="D110" s="351">
        <v>57967.0</v>
      </c>
      <c r="E110" s="353"/>
      <c r="F110" s="353">
        <v>30000.0</v>
      </c>
      <c r="G110" s="353"/>
      <c r="H110" s="353">
        <f t="shared" si="60"/>
        <v>27967</v>
      </c>
      <c r="I110" s="493">
        <f t="shared" si="61"/>
        <v>0.9322333333</v>
      </c>
      <c r="J110" s="351">
        <f>85324-16200</f>
        <v>69124</v>
      </c>
      <c r="K110" s="353"/>
      <c r="L110" s="353">
        <f t="shared" si="62"/>
        <v>30000</v>
      </c>
      <c r="M110" s="353"/>
      <c r="N110" s="353"/>
      <c r="O110" s="523"/>
      <c r="P110" s="351">
        <f>66259+(20458/12)-32400</f>
        <v>35563.83333</v>
      </c>
      <c r="Q110" s="353"/>
      <c r="R110" s="353">
        <f t="shared" si="63"/>
        <v>30000</v>
      </c>
      <c r="S110" s="353"/>
      <c r="T110" s="353"/>
      <c r="U110" s="523"/>
      <c r="V110" s="351">
        <f>20458/12+75213-32400</f>
        <v>44517.83333</v>
      </c>
      <c r="W110" s="353"/>
      <c r="X110" s="353">
        <f t="shared" si="64"/>
        <v>30000</v>
      </c>
      <c r="Y110" s="353"/>
      <c r="Z110" s="353"/>
      <c r="AA110" s="523"/>
      <c r="AB110" s="351">
        <f>20458/12+72656+14259-32400</f>
        <v>56219.83333</v>
      </c>
      <c r="AC110" s="353"/>
      <c r="AD110" s="353">
        <f t="shared" si="65"/>
        <v>30000</v>
      </c>
      <c r="AE110" s="353"/>
      <c r="AF110" s="353"/>
      <c r="AG110" s="353"/>
      <c r="AH110" s="351">
        <f>20458/12+78927</f>
        <v>80631.83333</v>
      </c>
      <c r="AI110" s="353"/>
      <c r="AJ110" s="353">
        <f t="shared" si="66"/>
        <v>30000</v>
      </c>
      <c r="AK110" s="353"/>
      <c r="AL110" s="353"/>
      <c r="AM110" s="353"/>
      <c r="AN110" s="351">
        <f>20458/12+131573+(19500/12)+16240</f>
        <v>151142.8333</v>
      </c>
      <c r="AO110" s="353"/>
      <c r="AP110" s="353">
        <f t="shared" si="67"/>
        <v>30000</v>
      </c>
      <c r="AQ110" s="353"/>
      <c r="AR110" s="353"/>
      <c r="AS110" s="353"/>
      <c r="AT110" s="351">
        <f>20458/12+59057+19500/12</f>
        <v>62386.83333</v>
      </c>
      <c r="AU110" s="353"/>
      <c r="AV110" s="353">
        <f t="shared" si="68"/>
        <v>30000</v>
      </c>
      <c r="AW110" s="353"/>
      <c r="AX110" s="353"/>
      <c r="AY110" s="494"/>
      <c r="AZ110" s="495">
        <f>20458/12+67583+186359/12+19500/12</f>
        <v>86442.75</v>
      </c>
      <c r="BA110" s="353"/>
      <c r="BB110" s="353">
        <f t="shared" si="69"/>
        <v>30000</v>
      </c>
      <c r="BC110" s="353"/>
      <c r="BD110" s="353"/>
      <c r="BE110" s="494"/>
      <c r="BF110" s="351">
        <f>20458/12+63829+186359/12+19500/12</f>
        <v>82688.75</v>
      </c>
      <c r="BG110" s="353"/>
      <c r="BH110" s="353">
        <v>20000.0</v>
      </c>
      <c r="BI110" s="353"/>
      <c r="BJ110" s="353"/>
      <c r="BK110" s="493"/>
      <c r="BL110" s="351">
        <f>20458/12+68673+186359/12+19500/12</f>
        <v>87532.75</v>
      </c>
      <c r="BM110" s="353"/>
      <c r="BN110" s="353">
        <f t="shared" si="70"/>
        <v>30000</v>
      </c>
      <c r="BO110" s="353"/>
      <c r="BP110" s="353"/>
      <c r="BQ110" s="493"/>
      <c r="BR110" s="351">
        <f>20458/12+186359/12+19500/12+95871</f>
        <v>114730.75</v>
      </c>
      <c r="BS110" s="353"/>
      <c r="BT110" s="353">
        <f t="shared" si="71"/>
        <v>30000</v>
      </c>
      <c r="BU110" s="353"/>
      <c r="BV110" s="353"/>
      <c r="BW110" s="533"/>
      <c r="BX110" s="213"/>
      <c r="BY110" s="213"/>
      <c r="BZ110" s="213"/>
      <c r="CA110" s="213"/>
      <c r="CB110" s="213"/>
      <c r="CC110" s="213"/>
      <c r="CD110" s="213"/>
      <c r="CE110" s="213"/>
      <c r="CF110" s="213"/>
      <c r="CG110" s="213"/>
      <c r="CH110" s="213"/>
      <c r="CI110" s="213"/>
      <c r="CJ110" s="213"/>
      <c r="CK110" s="213"/>
      <c r="CL110" s="213"/>
      <c r="CM110" s="213"/>
      <c r="CN110" s="213"/>
      <c r="CO110" s="213"/>
      <c r="CP110" s="213"/>
      <c r="CQ110" s="213"/>
    </row>
    <row r="111" ht="15.75" customHeight="1">
      <c r="A111" s="213"/>
      <c r="B111" s="492"/>
      <c r="C111" s="492" t="s">
        <v>283</v>
      </c>
      <c r="D111" s="351">
        <f>8850/12</f>
        <v>737.5</v>
      </c>
      <c r="E111" s="353"/>
      <c r="F111" s="353"/>
      <c r="G111" s="353"/>
      <c r="H111" s="353"/>
      <c r="I111" s="493"/>
      <c r="J111" s="351">
        <f>8850/12</f>
        <v>737.5</v>
      </c>
      <c r="K111" s="353"/>
      <c r="L111" s="353"/>
      <c r="M111" s="353"/>
      <c r="N111" s="353"/>
      <c r="O111" s="523"/>
      <c r="P111" s="351">
        <f>8850/12</f>
        <v>737.5</v>
      </c>
      <c r="Q111" s="353"/>
      <c r="R111" s="353"/>
      <c r="S111" s="353"/>
      <c r="T111" s="353"/>
      <c r="U111" s="523"/>
      <c r="V111" s="351">
        <f>8850/12</f>
        <v>737.5</v>
      </c>
      <c r="W111" s="353"/>
      <c r="X111" s="353"/>
      <c r="Y111" s="353"/>
      <c r="Z111" s="353"/>
      <c r="AA111" s="523"/>
      <c r="AB111" s="351">
        <f>8850/12</f>
        <v>737.5</v>
      </c>
      <c r="AC111" s="353"/>
      <c r="AD111" s="353"/>
      <c r="AE111" s="353"/>
      <c r="AF111" s="353"/>
      <c r="AG111" s="353"/>
      <c r="AH111" s="351">
        <f>8850/12</f>
        <v>737.5</v>
      </c>
      <c r="AI111" s="353"/>
      <c r="AJ111" s="353"/>
      <c r="AK111" s="353"/>
      <c r="AL111" s="353"/>
      <c r="AM111" s="353"/>
      <c r="AN111" s="351">
        <f>8850/12</f>
        <v>737.5</v>
      </c>
      <c r="AO111" s="353"/>
      <c r="AP111" s="353"/>
      <c r="AQ111" s="353"/>
      <c r="AR111" s="353"/>
      <c r="AS111" s="353"/>
      <c r="AT111" s="351">
        <f>8850/12</f>
        <v>737.5</v>
      </c>
      <c r="AU111" s="353"/>
      <c r="AV111" s="353"/>
      <c r="AW111" s="353"/>
      <c r="AX111" s="353"/>
      <c r="AY111" s="494"/>
      <c r="AZ111" s="495">
        <f>8850/12</f>
        <v>737.5</v>
      </c>
      <c r="BA111" s="353"/>
      <c r="BB111" s="353"/>
      <c r="BC111" s="353"/>
      <c r="BD111" s="353"/>
      <c r="BE111" s="494"/>
      <c r="BF111" s="351">
        <f>8850/12</f>
        <v>737.5</v>
      </c>
      <c r="BG111" s="353"/>
      <c r="BH111" s="353"/>
      <c r="BI111" s="353"/>
      <c r="BJ111" s="353"/>
      <c r="BK111" s="493"/>
      <c r="BL111" s="351">
        <f>8850/12</f>
        <v>737.5</v>
      </c>
      <c r="BM111" s="353"/>
      <c r="BN111" s="353"/>
      <c r="BO111" s="353"/>
      <c r="BP111" s="353"/>
      <c r="BQ111" s="493"/>
      <c r="BR111" s="351">
        <f>8850/12</f>
        <v>737.5</v>
      </c>
      <c r="BS111" s="353"/>
      <c r="BT111" s="353"/>
      <c r="BU111" s="353"/>
      <c r="BV111" s="353"/>
      <c r="BW111" s="533"/>
      <c r="BX111" s="213"/>
      <c r="BY111" s="213"/>
      <c r="BZ111" s="213"/>
      <c r="CA111" s="213"/>
      <c r="CB111" s="213"/>
      <c r="CC111" s="213"/>
      <c r="CD111" s="213"/>
      <c r="CE111" s="213"/>
      <c r="CF111" s="213"/>
      <c r="CG111" s="213"/>
      <c r="CH111" s="213"/>
      <c r="CI111" s="213"/>
      <c r="CJ111" s="213"/>
      <c r="CK111" s="213"/>
      <c r="CL111" s="213"/>
      <c r="CM111" s="213"/>
      <c r="CN111" s="213"/>
      <c r="CO111" s="213"/>
      <c r="CP111" s="213"/>
      <c r="CQ111" s="213"/>
    </row>
    <row r="112" ht="15.75" customHeight="1">
      <c r="A112" s="213"/>
      <c r="B112" s="492"/>
      <c r="C112" s="492" t="s">
        <v>282</v>
      </c>
      <c r="D112" s="351">
        <f>4443+3600+7750+6479</f>
        <v>22272</v>
      </c>
      <c r="E112" s="353"/>
      <c r="F112" s="353">
        <v>40000.0</v>
      </c>
      <c r="G112" s="353"/>
      <c r="H112" s="353">
        <f>D112-F112</f>
        <v>-17728</v>
      </c>
      <c r="I112" s="493">
        <f>IFERROR((H112)/F112,"")</f>
        <v>-0.4432</v>
      </c>
      <c r="J112" s="351">
        <v>1500.0</v>
      </c>
      <c r="K112" s="353"/>
      <c r="L112" s="353">
        <f>$F112</f>
        <v>40000</v>
      </c>
      <c r="M112" s="353"/>
      <c r="N112" s="353"/>
      <c r="O112" s="523"/>
      <c r="P112" s="351">
        <f>30600+27024</f>
        <v>57624</v>
      </c>
      <c r="Q112" s="353"/>
      <c r="R112" s="353">
        <f>$F112</f>
        <v>40000</v>
      </c>
      <c r="S112" s="353"/>
      <c r="T112" s="353"/>
      <c r="U112" s="523"/>
      <c r="V112" s="351">
        <v>1500.0</v>
      </c>
      <c r="W112" s="353"/>
      <c r="X112" s="353">
        <f>$F112</f>
        <v>40000</v>
      </c>
      <c r="Y112" s="353"/>
      <c r="Z112" s="353"/>
      <c r="AA112" s="523"/>
      <c r="AB112" s="351">
        <f>1500+35924</f>
        <v>37424</v>
      </c>
      <c r="AC112" s="353"/>
      <c r="AD112" s="353">
        <f>$F112</f>
        <v>40000</v>
      </c>
      <c r="AE112" s="353"/>
      <c r="AF112" s="353"/>
      <c r="AG112" s="353"/>
      <c r="AH112" s="351"/>
      <c r="AI112" s="353"/>
      <c r="AJ112" s="353">
        <f>$F112</f>
        <v>40000</v>
      </c>
      <c r="AK112" s="353"/>
      <c r="AL112" s="353"/>
      <c r="AM112" s="353"/>
      <c r="AN112" s="351">
        <f>5800+13473</f>
        <v>19273</v>
      </c>
      <c r="AO112" s="353"/>
      <c r="AP112" s="353">
        <f>$F112</f>
        <v>40000</v>
      </c>
      <c r="AQ112" s="353"/>
      <c r="AR112" s="353"/>
      <c r="AS112" s="353"/>
      <c r="AT112" s="351">
        <v>169836.0</v>
      </c>
      <c r="AU112" s="353"/>
      <c r="AV112" s="353">
        <f>$F112</f>
        <v>40000</v>
      </c>
      <c r="AW112" s="353"/>
      <c r="AX112" s="353"/>
      <c r="AY112" s="494"/>
      <c r="AZ112" s="495">
        <f>23600+255794+115877</f>
        <v>395271</v>
      </c>
      <c r="BA112" s="353"/>
      <c r="BB112" s="353">
        <f>$F112</f>
        <v>40000</v>
      </c>
      <c r="BC112" s="353"/>
      <c r="BD112" s="353"/>
      <c r="BE112" s="494"/>
      <c r="BF112" s="396">
        <v>42455.93</v>
      </c>
      <c r="BG112" s="353"/>
      <c r="BH112" s="353"/>
      <c r="BI112" s="353"/>
      <c r="BJ112" s="353"/>
      <c r="BK112" s="493"/>
      <c r="BL112" s="351">
        <v>27780.0</v>
      </c>
      <c r="BM112" s="353"/>
      <c r="BN112" s="353">
        <f>$F112</f>
        <v>40000</v>
      </c>
      <c r="BO112" s="353"/>
      <c r="BP112" s="353"/>
      <c r="BQ112" s="493"/>
      <c r="BR112" s="351">
        <v>582644.0</v>
      </c>
      <c r="BS112" s="353"/>
      <c r="BT112" s="353">
        <f>$F112</f>
        <v>40000</v>
      </c>
      <c r="BU112" s="353"/>
      <c r="BV112" s="353"/>
      <c r="BW112" s="533"/>
      <c r="BX112" s="213"/>
      <c r="BY112" s="213"/>
      <c r="BZ112" s="213"/>
      <c r="CA112" s="213"/>
      <c r="CB112" s="213"/>
      <c r="CC112" s="213"/>
      <c r="CD112" s="213"/>
      <c r="CE112" s="213"/>
      <c r="CF112" s="213"/>
      <c r="CG112" s="213"/>
      <c r="CH112" s="213"/>
      <c r="CI112" s="213"/>
      <c r="CJ112" s="213"/>
      <c r="CK112" s="213"/>
      <c r="CL112" s="213"/>
      <c r="CM112" s="213"/>
      <c r="CN112" s="213"/>
      <c r="CO112" s="213"/>
      <c r="CP112" s="213"/>
      <c r="CQ112" s="213"/>
    </row>
    <row r="113" ht="15.75" customHeight="1">
      <c r="A113" s="213"/>
      <c r="B113" s="492"/>
      <c r="C113" s="492" t="s">
        <v>336</v>
      </c>
      <c r="D113" s="351"/>
      <c r="E113" s="353"/>
      <c r="F113" s="353"/>
      <c r="G113" s="353"/>
      <c r="H113" s="353"/>
      <c r="I113" s="493"/>
      <c r="J113" s="351">
        <v>53970.0</v>
      </c>
      <c r="K113" s="353"/>
      <c r="L113" s="353"/>
      <c r="M113" s="353"/>
      <c r="N113" s="353"/>
      <c r="O113" s="523"/>
      <c r="P113" s="351">
        <v>9572.0</v>
      </c>
      <c r="Q113" s="353"/>
      <c r="R113" s="353"/>
      <c r="S113" s="353"/>
      <c r="T113" s="353"/>
      <c r="U113" s="523"/>
      <c r="V113" s="351">
        <v>16854.0</v>
      </c>
      <c r="W113" s="353"/>
      <c r="X113" s="353"/>
      <c r="Y113" s="353"/>
      <c r="Z113" s="353"/>
      <c r="AA113" s="523"/>
      <c r="AB113" s="351">
        <v>29543.0</v>
      </c>
      <c r="AC113" s="353"/>
      <c r="AD113" s="353"/>
      <c r="AE113" s="353"/>
      <c r="AF113" s="353"/>
      <c r="AG113" s="353"/>
      <c r="AH113" s="351"/>
      <c r="AI113" s="353"/>
      <c r="AJ113" s="353"/>
      <c r="AK113" s="353"/>
      <c r="AL113" s="353"/>
      <c r="AM113" s="353"/>
      <c r="AN113" s="351">
        <v>15650.0</v>
      </c>
      <c r="AO113" s="353"/>
      <c r="AP113" s="353"/>
      <c r="AQ113" s="353"/>
      <c r="AR113" s="353"/>
      <c r="AS113" s="353"/>
      <c r="AT113" s="351">
        <v>19810.0</v>
      </c>
      <c r="AU113" s="353"/>
      <c r="AV113" s="353"/>
      <c r="AW113" s="353"/>
      <c r="AX113" s="353"/>
      <c r="AY113" s="494"/>
      <c r="AZ113" s="495">
        <v>16561.0</v>
      </c>
      <c r="BA113" s="353"/>
      <c r="BB113" s="353"/>
      <c r="BC113" s="353"/>
      <c r="BD113" s="353"/>
      <c r="BE113" s="494"/>
      <c r="BF113" s="351">
        <f>112297+10860</f>
        <v>123157</v>
      </c>
      <c r="BG113" s="353"/>
      <c r="BH113" s="353"/>
      <c r="BI113" s="353"/>
      <c r="BJ113" s="353"/>
      <c r="BK113" s="493"/>
      <c r="BL113" s="351">
        <v>27218.0</v>
      </c>
      <c r="BM113" s="353"/>
      <c r="BN113" s="353"/>
      <c r="BO113" s="353"/>
      <c r="BP113" s="353"/>
      <c r="BQ113" s="493"/>
      <c r="BR113" s="351">
        <v>53856.0</v>
      </c>
      <c r="BS113" s="353"/>
      <c r="BT113" s="353"/>
      <c r="BU113" s="353"/>
      <c r="BV113" s="353"/>
      <c r="BW113" s="533"/>
      <c r="BX113" s="213"/>
      <c r="BY113" s="213"/>
      <c r="BZ113" s="213"/>
      <c r="CA113" s="213"/>
      <c r="CB113" s="213"/>
      <c r="CC113" s="213"/>
      <c r="CD113" s="213"/>
      <c r="CE113" s="213"/>
      <c r="CF113" s="213"/>
      <c r="CG113" s="213"/>
      <c r="CH113" s="213"/>
      <c r="CI113" s="213"/>
      <c r="CJ113" s="213"/>
      <c r="CK113" s="213"/>
      <c r="CL113" s="213"/>
      <c r="CM113" s="213"/>
      <c r="CN113" s="213"/>
      <c r="CO113" s="213"/>
      <c r="CP113" s="213"/>
      <c r="CQ113" s="213"/>
    </row>
    <row r="114" ht="15.75" customHeight="1">
      <c r="A114" s="213"/>
      <c r="B114" s="492"/>
      <c r="C114" s="492" t="s">
        <v>285</v>
      </c>
      <c r="D114" s="351"/>
      <c r="E114" s="353"/>
      <c r="F114" s="353"/>
      <c r="G114" s="353"/>
      <c r="H114" s="353">
        <f t="shared" ref="H114:H119" si="72">D114-F114</f>
        <v>0</v>
      </c>
      <c r="I114" s="493" t="str">
        <f t="shared" ref="I114:I119" si="73">IFERROR((H114)/F114,"")</f>
        <v/>
      </c>
      <c r="J114" s="351"/>
      <c r="K114" s="353"/>
      <c r="L114" s="353" t="str">
        <f t="shared" ref="L114:L119" si="74">$F114</f>
        <v/>
      </c>
      <c r="M114" s="353"/>
      <c r="N114" s="353"/>
      <c r="O114" s="523"/>
      <c r="P114" s="351"/>
      <c r="Q114" s="353"/>
      <c r="R114" s="353" t="str">
        <f t="shared" ref="R114:R118" si="75">$F114</f>
        <v/>
      </c>
      <c r="S114" s="353"/>
      <c r="T114" s="353"/>
      <c r="U114" s="523"/>
      <c r="V114" s="351"/>
      <c r="W114" s="353"/>
      <c r="X114" s="353" t="str">
        <f t="shared" ref="X114:X118" si="76">$F114</f>
        <v/>
      </c>
      <c r="Y114" s="353"/>
      <c r="Z114" s="353"/>
      <c r="AA114" s="523"/>
      <c r="AB114" s="351"/>
      <c r="AC114" s="353"/>
      <c r="AD114" s="353" t="str">
        <f t="shared" ref="AD114:AD118" si="77">$F114</f>
        <v/>
      </c>
      <c r="AE114" s="353"/>
      <c r="AF114" s="353"/>
      <c r="AG114" s="353"/>
      <c r="AH114" s="351"/>
      <c r="AI114" s="353"/>
      <c r="AJ114" s="353" t="str">
        <f t="shared" ref="AJ114:AJ118" si="78">$F114</f>
        <v/>
      </c>
      <c r="AK114" s="353"/>
      <c r="AL114" s="353"/>
      <c r="AM114" s="353"/>
      <c r="AN114" s="351"/>
      <c r="AO114" s="353"/>
      <c r="AP114" s="353" t="str">
        <f t="shared" ref="AP114:AP119" si="79">$F114</f>
        <v/>
      </c>
      <c r="AQ114" s="353"/>
      <c r="AR114" s="353"/>
      <c r="AS114" s="353"/>
      <c r="AT114" s="351"/>
      <c r="AU114" s="353"/>
      <c r="AV114" s="353" t="str">
        <f t="shared" ref="AV114:AV119" si="80">$F114</f>
        <v/>
      </c>
      <c r="AW114" s="353"/>
      <c r="AX114" s="353"/>
      <c r="AY114" s="494"/>
      <c r="AZ114" s="495"/>
      <c r="BA114" s="353"/>
      <c r="BB114" s="353" t="str">
        <f t="shared" ref="BB114:BB118" si="81">$F114</f>
        <v/>
      </c>
      <c r="BC114" s="353"/>
      <c r="BD114" s="353"/>
      <c r="BE114" s="494"/>
      <c r="BF114" s="351"/>
      <c r="BG114" s="353"/>
      <c r="BH114" s="353"/>
      <c r="BI114" s="353"/>
      <c r="BJ114" s="353"/>
      <c r="BK114" s="493"/>
      <c r="BL114" s="351"/>
      <c r="BM114" s="353"/>
      <c r="BN114" s="353" t="str">
        <f t="shared" ref="BN114:BN119" si="82">$F114</f>
        <v/>
      </c>
      <c r="BO114" s="353"/>
      <c r="BP114" s="353"/>
      <c r="BQ114" s="493"/>
      <c r="BR114" s="351"/>
      <c r="BS114" s="353"/>
      <c r="BT114" s="353" t="str">
        <f t="shared" ref="BT114:BT119" si="83">$F114</f>
        <v/>
      </c>
      <c r="BU114" s="353"/>
      <c r="BV114" s="353"/>
      <c r="BW114" s="533"/>
      <c r="BX114" s="213"/>
      <c r="BY114" s="213"/>
      <c r="BZ114" s="213"/>
      <c r="CA114" s="213"/>
      <c r="CB114" s="213"/>
      <c r="CC114" s="213"/>
      <c r="CD114" s="213"/>
      <c r="CE114" s="213"/>
      <c r="CF114" s="213"/>
      <c r="CG114" s="213"/>
      <c r="CH114" s="213"/>
      <c r="CI114" s="213"/>
      <c r="CJ114" s="213"/>
      <c r="CK114" s="213"/>
      <c r="CL114" s="213"/>
      <c r="CM114" s="213"/>
      <c r="CN114" s="213"/>
      <c r="CO114" s="213"/>
      <c r="CP114" s="213"/>
      <c r="CQ114" s="213"/>
    </row>
    <row r="115" ht="15.75" customHeight="1">
      <c r="A115" s="213"/>
      <c r="B115" s="492"/>
      <c r="C115" s="492" t="s">
        <v>286</v>
      </c>
      <c r="D115" s="351"/>
      <c r="E115" s="353"/>
      <c r="F115" s="353"/>
      <c r="G115" s="353"/>
      <c r="H115" s="353">
        <f t="shared" si="72"/>
        <v>0</v>
      </c>
      <c r="I115" s="493" t="str">
        <f t="shared" si="73"/>
        <v/>
      </c>
      <c r="J115" s="351"/>
      <c r="K115" s="353"/>
      <c r="L115" s="353" t="str">
        <f t="shared" si="74"/>
        <v/>
      </c>
      <c r="M115" s="353"/>
      <c r="N115" s="353"/>
      <c r="O115" s="523"/>
      <c r="P115" s="351"/>
      <c r="Q115" s="353"/>
      <c r="R115" s="353" t="str">
        <f t="shared" si="75"/>
        <v/>
      </c>
      <c r="S115" s="353"/>
      <c r="T115" s="353"/>
      <c r="U115" s="523"/>
      <c r="V115" s="351">
        <v>1800.0</v>
      </c>
      <c r="W115" s="353"/>
      <c r="X115" s="353" t="str">
        <f t="shared" si="76"/>
        <v/>
      </c>
      <c r="Y115" s="353"/>
      <c r="Z115" s="353"/>
      <c r="AA115" s="523"/>
      <c r="AB115" s="351"/>
      <c r="AC115" s="353"/>
      <c r="AD115" s="353" t="str">
        <f t="shared" si="77"/>
        <v/>
      </c>
      <c r="AE115" s="353"/>
      <c r="AF115" s="353"/>
      <c r="AG115" s="353"/>
      <c r="AH115" s="351"/>
      <c r="AI115" s="353"/>
      <c r="AJ115" s="353" t="str">
        <f t="shared" si="78"/>
        <v/>
      </c>
      <c r="AK115" s="353"/>
      <c r="AL115" s="353"/>
      <c r="AM115" s="353"/>
      <c r="AN115" s="351"/>
      <c r="AO115" s="353"/>
      <c r="AP115" s="353" t="str">
        <f t="shared" si="79"/>
        <v/>
      </c>
      <c r="AQ115" s="353"/>
      <c r="AR115" s="353"/>
      <c r="AS115" s="353"/>
      <c r="AT115" s="351"/>
      <c r="AU115" s="353"/>
      <c r="AV115" s="353" t="str">
        <f t="shared" si="80"/>
        <v/>
      </c>
      <c r="AW115" s="353"/>
      <c r="AX115" s="353"/>
      <c r="AY115" s="494"/>
      <c r="AZ115" s="495"/>
      <c r="BA115" s="353"/>
      <c r="BB115" s="353" t="str">
        <f t="shared" si="81"/>
        <v/>
      </c>
      <c r="BC115" s="353"/>
      <c r="BD115" s="353"/>
      <c r="BE115" s="494"/>
      <c r="BF115" s="351"/>
      <c r="BG115" s="353"/>
      <c r="BH115" s="353"/>
      <c r="BI115" s="353"/>
      <c r="BJ115" s="353"/>
      <c r="BK115" s="493"/>
      <c r="BL115" s="351"/>
      <c r="BM115" s="353"/>
      <c r="BN115" s="353" t="str">
        <f t="shared" si="82"/>
        <v/>
      </c>
      <c r="BO115" s="353"/>
      <c r="BP115" s="353"/>
      <c r="BQ115" s="493"/>
      <c r="BR115" s="351"/>
      <c r="BS115" s="353"/>
      <c r="BT115" s="353" t="str">
        <f t="shared" si="83"/>
        <v/>
      </c>
      <c r="BU115" s="353"/>
      <c r="BV115" s="353"/>
      <c r="BW115" s="533"/>
      <c r="BX115" s="213"/>
      <c r="BY115" s="213"/>
      <c r="BZ115" s="213"/>
      <c r="CA115" s="213"/>
      <c r="CB115" s="213"/>
      <c r="CC115" s="213"/>
      <c r="CD115" s="213"/>
      <c r="CE115" s="213"/>
      <c r="CF115" s="213"/>
      <c r="CG115" s="213"/>
      <c r="CH115" s="213"/>
      <c r="CI115" s="213"/>
      <c r="CJ115" s="213"/>
      <c r="CK115" s="213"/>
      <c r="CL115" s="213"/>
      <c r="CM115" s="213"/>
      <c r="CN115" s="213"/>
      <c r="CO115" s="213"/>
      <c r="CP115" s="213"/>
      <c r="CQ115" s="213"/>
    </row>
    <row r="116" ht="15.75" customHeight="1">
      <c r="A116" s="213"/>
      <c r="B116" s="492"/>
      <c r="C116" s="492" t="s">
        <v>279</v>
      </c>
      <c r="D116" s="351"/>
      <c r="E116" s="353"/>
      <c r="F116" s="353"/>
      <c r="G116" s="353"/>
      <c r="H116" s="353">
        <f t="shared" si="72"/>
        <v>0</v>
      </c>
      <c r="I116" s="493" t="str">
        <f t="shared" si="73"/>
        <v/>
      </c>
      <c r="J116" s="351"/>
      <c r="K116" s="353"/>
      <c r="L116" s="353" t="str">
        <f t="shared" si="74"/>
        <v/>
      </c>
      <c r="M116" s="353"/>
      <c r="N116" s="353"/>
      <c r="O116" s="523"/>
      <c r="P116" s="351"/>
      <c r="Q116" s="353"/>
      <c r="R116" s="353" t="str">
        <f t="shared" si="75"/>
        <v/>
      </c>
      <c r="S116" s="353"/>
      <c r="T116" s="353"/>
      <c r="U116" s="523"/>
      <c r="V116" s="351"/>
      <c r="W116" s="353"/>
      <c r="X116" s="353" t="str">
        <f t="shared" si="76"/>
        <v/>
      </c>
      <c r="Y116" s="353"/>
      <c r="Z116" s="353"/>
      <c r="AA116" s="523"/>
      <c r="AB116" s="351"/>
      <c r="AC116" s="353"/>
      <c r="AD116" s="353" t="str">
        <f t="shared" si="77"/>
        <v/>
      </c>
      <c r="AE116" s="353"/>
      <c r="AF116" s="353"/>
      <c r="AG116" s="353"/>
      <c r="AH116" s="351"/>
      <c r="AI116" s="353"/>
      <c r="AJ116" s="353" t="str">
        <f t="shared" si="78"/>
        <v/>
      </c>
      <c r="AK116" s="353"/>
      <c r="AL116" s="353"/>
      <c r="AM116" s="353"/>
      <c r="AN116" s="351"/>
      <c r="AO116" s="353"/>
      <c r="AP116" s="353" t="str">
        <f t="shared" si="79"/>
        <v/>
      </c>
      <c r="AQ116" s="353"/>
      <c r="AR116" s="353"/>
      <c r="AS116" s="353"/>
      <c r="AT116" s="351"/>
      <c r="AU116" s="353"/>
      <c r="AV116" s="353" t="str">
        <f t="shared" si="80"/>
        <v/>
      </c>
      <c r="AW116" s="353"/>
      <c r="AX116" s="353"/>
      <c r="AY116" s="494"/>
      <c r="AZ116" s="495"/>
      <c r="BA116" s="353"/>
      <c r="BB116" s="353" t="str">
        <f t="shared" si="81"/>
        <v/>
      </c>
      <c r="BC116" s="353"/>
      <c r="BD116" s="353"/>
      <c r="BE116" s="494"/>
      <c r="BF116" s="351"/>
      <c r="BG116" s="353"/>
      <c r="BH116" s="353"/>
      <c r="BI116" s="353"/>
      <c r="BJ116" s="353"/>
      <c r="BK116" s="493"/>
      <c r="BL116" s="351"/>
      <c r="BM116" s="353"/>
      <c r="BN116" s="353" t="str">
        <f t="shared" si="82"/>
        <v/>
      </c>
      <c r="BO116" s="353"/>
      <c r="BP116" s="353"/>
      <c r="BQ116" s="493"/>
      <c r="BR116" s="351"/>
      <c r="BS116" s="353"/>
      <c r="BT116" s="353" t="str">
        <f t="shared" si="83"/>
        <v/>
      </c>
      <c r="BU116" s="353"/>
      <c r="BV116" s="353"/>
      <c r="BW116" s="533"/>
      <c r="BX116" s="213"/>
      <c r="BY116" s="213"/>
      <c r="BZ116" s="213"/>
      <c r="CA116" s="213"/>
      <c r="CB116" s="213"/>
      <c r="CC116" s="213"/>
      <c r="CD116" s="213"/>
      <c r="CE116" s="213"/>
      <c r="CF116" s="213"/>
      <c r="CG116" s="213"/>
      <c r="CH116" s="213"/>
      <c r="CI116" s="213"/>
      <c r="CJ116" s="213"/>
      <c r="CK116" s="213"/>
      <c r="CL116" s="213"/>
      <c r="CM116" s="213"/>
      <c r="CN116" s="213"/>
      <c r="CO116" s="213"/>
      <c r="CP116" s="213"/>
      <c r="CQ116" s="213"/>
    </row>
    <row r="117" ht="15.75" customHeight="1">
      <c r="A117" s="213"/>
      <c r="B117" s="492"/>
      <c r="C117" s="492" t="s">
        <v>287</v>
      </c>
      <c r="D117" s="351"/>
      <c r="E117" s="353"/>
      <c r="F117" s="353"/>
      <c r="G117" s="353"/>
      <c r="H117" s="353">
        <f t="shared" si="72"/>
        <v>0</v>
      </c>
      <c r="I117" s="493" t="str">
        <f t="shared" si="73"/>
        <v/>
      </c>
      <c r="J117" s="351"/>
      <c r="K117" s="353"/>
      <c r="L117" s="353" t="str">
        <f t="shared" si="74"/>
        <v/>
      </c>
      <c r="M117" s="353"/>
      <c r="N117" s="353"/>
      <c r="O117" s="523"/>
      <c r="P117" s="351"/>
      <c r="Q117" s="353"/>
      <c r="R117" s="353" t="str">
        <f t="shared" si="75"/>
        <v/>
      </c>
      <c r="S117" s="353"/>
      <c r="T117" s="353"/>
      <c r="U117" s="523"/>
      <c r="V117" s="351"/>
      <c r="W117" s="353"/>
      <c r="X117" s="353" t="str">
        <f t="shared" si="76"/>
        <v/>
      </c>
      <c r="Y117" s="353"/>
      <c r="Z117" s="353"/>
      <c r="AA117" s="523"/>
      <c r="AB117" s="351"/>
      <c r="AC117" s="353"/>
      <c r="AD117" s="353" t="str">
        <f t="shared" si="77"/>
        <v/>
      </c>
      <c r="AE117" s="353"/>
      <c r="AF117" s="353"/>
      <c r="AG117" s="353"/>
      <c r="AH117" s="351"/>
      <c r="AI117" s="353"/>
      <c r="AJ117" s="353" t="str">
        <f t="shared" si="78"/>
        <v/>
      </c>
      <c r="AK117" s="353"/>
      <c r="AL117" s="353"/>
      <c r="AM117" s="353"/>
      <c r="AN117" s="351"/>
      <c r="AO117" s="353"/>
      <c r="AP117" s="353" t="str">
        <f t="shared" si="79"/>
        <v/>
      </c>
      <c r="AQ117" s="353"/>
      <c r="AR117" s="353"/>
      <c r="AS117" s="353"/>
      <c r="AT117" s="351"/>
      <c r="AU117" s="353"/>
      <c r="AV117" s="353" t="str">
        <f t="shared" si="80"/>
        <v/>
      </c>
      <c r="AW117" s="353"/>
      <c r="AX117" s="353"/>
      <c r="AY117" s="494"/>
      <c r="AZ117" s="495"/>
      <c r="BA117" s="353"/>
      <c r="BB117" s="353" t="str">
        <f t="shared" si="81"/>
        <v/>
      </c>
      <c r="BC117" s="353"/>
      <c r="BD117" s="353"/>
      <c r="BE117" s="494"/>
      <c r="BF117" s="351"/>
      <c r="BG117" s="353"/>
      <c r="BH117" s="353"/>
      <c r="BI117" s="353"/>
      <c r="BJ117" s="353"/>
      <c r="BK117" s="493"/>
      <c r="BL117" s="351"/>
      <c r="BM117" s="353"/>
      <c r="BN117" s="353" t="str">
        <f t="shared" si="82"/>
        <v/>
      </c>
      <c r="BO117" s="353"/>
      <c r="BP117" s="353"/>
      <c r="BQ117" s="493"/>
      <c r="BR117" s="351"/>
      <c r="BS117" s="353"/>
      <c r="BT117" s="353" t="str">
        <f t="shared" si="83"/>
        <v/>
      </c>
      <c r="BU117" s="353"/>
      <c r="BV117" s="353"/>
      <c r="BW117" s="533"/>
      <c r="BX117" s="213"/>
      <c r="BY117" s="213"/>
      <c r="BZ117" s="213"/>
      <c r="CA117" s="213"/>
      <c r="CB117" s="213"/>
      <c r="CC117" s="213"/>
      <c r="CD117" s="213"/>
      <c r="CE117" s="213"/>
      <c r="CF117" s="213"/>
      <c r="CG117" s="213"/>
      <c r="CH117" s="213"/>
      <c r="CI117" s="213"/>
      <c r="CJ117" s="213"/>
      <c r="CK117" s="213"/>
      <c r="CL117" s="213"/>
      <c r="CM117" s="213"/>
      <c r="CN117" s="213"/>
      <c r="CO117" s="213"/>
      <c r="CP117" s="213"/>
      <c r="CQ117" s="213"/>
    </row>
    <row r="118" ht="15.75" customHeight="1">
      <c r="A118" s="213"/>
      <c r="B118" s="492"/>
      <c r="C118" s="538" t="s">
        <v>297</v>
      </c>
      <c r="D118" s="351"/>
      <c r="E118" s="353"/>
      <c r="F118" s="353"/>
      <c r="G118" s="353"/>
      <c r="H118" s="353">
        <f t="shared" si="72"/>
        <v>0</v>
      </c>
      <c r="I118" s="493" t="str">
        <f t="shared" si="73"/>
        <v/>
      </c>
      <c r="J118" s="351">
        <f>27438+78000+39000</f>
        <v>144438</v>
      </c>
      <c r="K118" s="353"/>
      <c r="L118" s="353" t="str">
        <f t="shared" si="74"/>
        <v/>
      </c>
      <c r="M118" s="353"/>
      <c r="N118" s="353"/>
      <c r="O118" s="523"/>
      <c r="P118" s="351"/>
      <c r="Q118" s="353"/>
      <c r="R118" s="353" t="str">
        <f t="shared" si="75"/>
        <v/>
      </c>
      <c r="S118" s="353"/>
      <c r="T118" s="353"/>
      <c r="U118" s="523"/>
      <c r="V118" s="351">
        <v>4900.0</v>
      </c>
      <c r="W118" s="353"/>
      <c r="X118" s="353" t="str">
        <f t="shared" si="76"/>
        <v/>
      </c>
      <c r="Y118" s="353"/>
      <c r="Z118" s="353"/>
      <c r="AA118" s="523"/>
      <c r="AB118" s="351"/>
      <c r="AC118" s="353"/>
      <c r="AD118" s="353" t="str">
        <f t="shared" si="77"/>
        <v/>
      </c>
      <c r="AE118" s="353"/>
      <c r="AF118" s="353"/>
      <c r="AG118" s="353"/>
      <c r="AH118" s="351"/>
      <c r="AI118" s="353"/>
      <c r="AJ118" s="353" t="str">
        <f t="shared" si="78"/>
        <v/>
      </c>
      <c r="AK118" s="353"/>
      <c r="AL118" s="353"/>
      <c r="AM118" s="353"/>
      <c r="AN118" s="351"/>
      <c r="AO118" s="353"/>
      <c r="AP118" s="353" t="str">
        <f t="shared" si="79"/>
        <v/>
      </c>
      <c r="AQ118" s="353"/>
      <c r="AR118" s="353"/>
      <c r="AS118" s="353"/>
      <c r="AT118" s="351"/>
      <c r="AU118" s="353"/>
      <c r="AV118" s="353" t="str">
        <f t="shared" si="80"/>
        <v/>
      </c>
      <c r="AW118" s="353"/>
      <c r="AX118" s="353"/>
      <c r="AY118" s="494"/>
      <c r="AZ118" s="495"/>
      <c r="BA118" s="353"/>
      <c r="BB118" s="353" t="str">
        <f t="shared" si="81"/>
        <v/>
      </c>
      <c r="BC118" s="353"/>
      <c r="BD118" s="353"/>
      <c r="BE118" s="494"/>
      <c r="BF118" s="396">
        <v>111299.0</v>
      </c>
      <c r="BG118" s="353"/>
      <c r="BH118" s="353"/>
      <c r="BI118" s="353"/>
      <c r="BJ118" s="353"/>
      <c r="BK118" s="493"/>
      <c r="BL118" s="396">
        <v>61300.0</v>
      </c>
      <c r="BM118" s="353"/>
      <c r="BN118" s="353" t="str">
        <f t="shared" si="82"/>
        <v/>
      </c>
      <c r="BO118" s="353"/>
      <c r="BP118" s="353"/>
      <c r="BQ118" s="493"/>
      <c r="BR118" s="396">
        <v>28100.0</v>
      </c>
      <c r="BS118" s="353"/>
      <c r="BT118" s="353" t="str">
        <f t="shared" si="83"/>
        <v/>
      </c>
      <c r="BU118" s="353"/>
      <c r="BV118" s="353"/>
      <c r="BW118" s="533"/>
      <c r="BX118" s="213"/>
      <c r="BY118" s="213"/>
      <c r="BZ118" s="213"/>
      <c r="CA118" s="213"/>
      <c r="CB118" s="213"/>
      <c r="CC118" s="213"/>
      <c r="CD118" s="213"/>
      <c r="CE118" s="213"/>
      <c r="CF118" s="213"/>
      <c r="CG118" s="213"/>
      <c r="CH118" s="213"/>
      <c r="CI118" s="213"/>
      <c r="CJ118" s="213"/>
      <c r="CK118" s="213"/>
      <c r="CL118" s="213"/>
      <c r="CM118" s="213"/>
      <c r="CN118" s="213"/>
      <c r="CO118" s="213"/>
      <c r="CP118" s="213"/>
      <c r="CQ118" s="213"/>
    </row>
    <row r="119" ht="15.75" customHeight="1">
      <c r="A119" s="213"/>
      <c r="B119" s="492"/>
      <c r="C119" s="538" t="s">
        <v>337</v>
      </c>
      <c r="D119" s="351"/>
      <c r="E119" s="353"/>
      <c r="F119" s="353"/>
      <c r="G119" s="353"/>
      <c r="H119" s="353">
        <f t="shared" si="72"/>
        <v>0</v>
      </c>
      <c r="I119" s="493" t="str">
        <f t="shared" si="73"/>
        <v/>
      </c>
      <c r="J119" s="351"/>
      <c r="K119" s="353"/>
      <c r="L119" s="353" t="str">
        <f t="shared" si="74"/>
        <v/>
      </c>
      <c r="M119" s="353"/>
      <c r="N119" s="353"/>
      <c r="O119" s="523"/>
      <c r="P119" s="351">
        <f>1080000*1.18</f>
        <v>1274400</v>
      </c>
      <c r="Q119" s="353"/>
      <c r="R119" s="353"/>
      <c r="S119" s="353"/>
      <c r="T119" s="353"/>
      <c r="U119" s="523"/>
      <c r="V119" s="351"/>
      <c r="W119" s="353"/>
      <c r="X119" s="353"/>
      <c r="Y119" s="353"/>
      <c r="Z119" s="353"/>
      <c r="AA119" s="523"/>
      <c r="AB119" s="351"/>
      <c r="AC119" s="353"/>
      <c r="AD119" s="353"/>
      <c r="AE119" s="353"/>
      <c r="AF119" s="353"/>
      <c r="AG119" s="353"/>
      <c r="AH119" s="351"/>
      <c r="AI119" s="353"/>
      <c r="AJ119" s="353"/>
      <c r="AK119" s="353"/>
      <c r="AL119" s="353"/>
      <c r="AM119" s="353"/>
      <c r="AN119" s="351"/>
      <c r="AO119" s="353"/>
      <c r="AP119" s="353" t="str">
        <f t="shared" si="79"/>
        <v/>
      </c>
      <c r="AQ119" s="353"/>
      <c r="AR119" s="353"/>
      <c r="AS119" s="353"/>
      <c r="AT119" s="351"/>
      <c r="AU119" s="353"/>
      <c r="AV119" s="353" t="str">
        <f t="shared" si="80"/>
        <v/>
      </c>
      <c r="AW119" s="353"/>
      <c r="AX119" s="353"/>
      <c r="AY119" s="494"/>
      <c r="AZ119" s="495"/>
      <c r="BA119" s="353"/>
      <c r="BB119" s="353"/>
      <c r="BC119" s="353"/>
      <c r="BD119" s="353"/>
      <c r="BE119" s="494"/>
      <c r="BF119" s="351">
        <f>11000+25000</f>
        <v>36000</v>
      </c>
      <c r="BG119" s="353"/>
      <c r="BH119" s="353"/>
      <c r="BI119" s="353"/>
      <c r="BJ119" s="353"/>
      <c r="BK119" s="493"/>
      <c r="BL119" s="351"/>
      <c r="BM119" s="353"/>
      <c r="BN119" s="353" t="str">
        <f t="shared" si="82"/>
        <v/>
      </c>
      <c r="BO119" s="353"/>
      <c r="BP119" s="353"/>
      <c r="BQ119" s="493"/>
      <c r="BR119" s="351"/>
      <c r="BS119" s="353"/>
      <c r="BT119" s="353" t="str">
        <f t="shared" si="83"/>
        <v/>
      </c>
      <c r="BU119" s="353"/>
      <c r="BV119" s="353"/>
      <c r="BW119" s="533"/>
      <c r="BX119" s="213"/>
      <c r="BY119" s="213"/>
      <c r="BZ119" s="213"/>
      <c r="CA119" s="213"/>
      <c r="CB119" s="213"/>
      <c r="CC119" s="213"/>
      <c r="CD119" s="213"/>
      <c r="CE119" s="213"/>
      <c r="CF119" s="213"/>
      <c r="CG119" s="213"/>
      <c r="CH119" s="213"/>
      <c r="CI119" s="213"/>
      <c r="CJ119" s="213"/>
      <c r="CK119" s="213"/>
      <c r="CL119" s="213"/>
      <c r="CM119" s="213"/>
      <c r="CN119" s="213"/>
      <c r="CO119" s="213"/>
      <c r="CP119" s="213"/>
      <c r="CQ119" s="213"/>
    </row>
    <row r="120" ht="15.75" customHeight="1">
      <c r="A120" s="213"/>
      <c r="B120" s="492"/>
      <c r="C120" s="492" t="s">
        <v>338</v>
      </c>
      <c r="D120" s="351"/>
      <c r="E120" s="353"/>
      <c r="F120" s="353"/>
      <c r="G120" s="353"/>
      <c r="H120" s="353"/>
      <c r="I120" s="493"/>
      <c r="J120" s="351"/>
      <c r="K120" s="353"/>
      <c r="L120" s="353"/>
      <c r="M120" s="353"/>
      <c r="N120" s="353"/>
      <c r="O120" s="523"/>
      <c r="P120" s="351"/>
      <c r="Q120" s="353"/>
      <c r="R120" s="353"/>
      <c r="S120" s="353"/>
      <c r="T120" s="353"/>
      <c r="U120" s="523"/>
      <c r="V120" s="351"/>
      <c r="W120" s="353"/>
      <c r="X120" s="353"/>
      <c r="Y120" s="353"/>
      <c r="Z120" s="353"/>
      <c r="AA120" s="523"/>
      <c r="AB120" s="351"/>
      <c r="AC120" s="353"/>
      <c r="AD120" s="353"/>
      <c r="AE120" s="353"/>
      <c r="AF120" s="353"/>
      <c r="AG120" s="353"/>
      <c r="AH120" s="351"/>
      <c r="AI120" s="353"/>
      <c r="AJ120" s="353"/>
      <c r="AK120" s="353"/>
      <c r="AL120" s="353"/>
      <c r="AM120" s="353"/>
      <c r="AN120" s="351"/>
      <c r="AO120" s="353"/>
      <c r="AP120" s="353"/>
      <c r="AQ120" s="353"/>
      <c r="AR120" s="353"/>
      <c r="AS120" s="353"/>
      <c r="AT120" s="351"/>
      <c r="AU120" s="353"/>
      <c r="AV120" s="353"/>
      <c r="AW120" s="353"/>
      <c r="AX120" s="353"/>
      <c r="AY120" s="494"/>
      <c r="AZ120" s="495"/>
      <c r="BA120" s="353"/>
      <c r="BB120" s="353"/>
      <c r="BC120" s="353"/>
      <c r="BD120" s="353"/>
      <c r="BE120" s="494"/>
      <c r="BF120" s="396">
        <v>1351.0</v>
      </c>
      <c r="BG120" s="353"/>
      <c r="BH120" s="353"/>
      <c r="BI120" s="353"/>
      <c r="BJ120" s="353"/>
      <c r="BK120" s="493"/>
      <c r="BL120" s="396">
        <v>27567.0</v>
      </c>
      <c r="BM120" s="353"/>
      <c r="BN120" s="353"/>
      <c r="BO120" s="353"/>
      <c r="BP120" s="353"/>
      <c r="BQ120" s="493"/>
      <c r="BR120" s="351">
        <v>9914.0</v>
      </c>
      <c r="BS120" s="353"/>
      <c r="BT120" s="353"/>
      <c r="BU120" s="353"/>
      <c r="BV120" s="353"/>
      <c r="BW120" s="533"/>
      <c r="BX120" s="213"/>
      <c r="BY120" s="213"/>
      <c r="BZ120" s="213"/>
      <c r="CA120" s="213"/>
      <c r="CB120" s="213"/>
      <c r="CC120" s="213"/>
      <c r="CD120" s="213"/>
      <c r="CE120" s="213"/>
      <c r="CF120" s="213"/>
      <c r="CG120" s="213"/>
      <c r="CH120" s="213"/>
      <c r="CI120" s="213"/>
      <c r="CJ120" s="213"/>
      <c r="CK120" s="213"/>
      <c r="CL120" s="213"/>
      <c r="CM120" s="213"/>
      <c r="CN120" s="213"/>
      <c r="CO120" s="213"/>
      <c r="CP120" s="213"/>
      <c r="CQ120" s="213"/>
    </row>
    <row r="121" ht="15.75" customHeight="1">
      <c r="A121" s="213"/>
      <c r="B121" s="492"/>
      <c r="C121" s="492" t="s">
        <v>339</v>
      </c>
      <c r="D121" s="351"/>
      <c r="E121" s="353"/>
      <c r="F121" s="353"/>
      <c r="G121" s="353"/>
      <c r="H121" s="353"/>
      <c r="I121" s="493" t="str">
        <f>IFERROR((H121)/F121,"")</f>
        <v/>
      </c>
      <c r="J121" s="351"/>
      <c r="K121" s="353"/>
      <c r="L121" s="353"/>
      <c r="M121" s="353"/>
      <c r="N121" s="353"/>
      <c r="O121" s="523"/>
      <c r="P121" s="351"/>
      <c r="Q121" s="353"/>
      <c r="R121" s="353"/>
      <c r="S121" s="353"/>
      <c r="T121" s="353"/>
      <c r="U121" s="523"/>
      <c r="V121" s="351"/>
      <c r="W121" s="353"/>
      <c r="X121" s="353"/>
      <c r="Y121" s="353"/>
      <c r="Z121" s="353"/>
      <c r="AA121" s="523"/>
      <c r="AB121" s="351"/>
      <c r="AC121" s="353"/>
      <c r="AD121" s="353"/>
      <c r="AE121" s="353"/>
      <c r="AF121" s="353"/>
      <c r="AG121" s="353"/>
      <c r="AH121" s="351"/>
      <c r="AI121" s="353"/>
      <c r="AJ121" s="353"/>
      <c r="AK121" s="353"/>
      <c r="AL121" s="353"/>
      <c r="AM121" s="353"/>
      <c r="AN121" s="351"/>
      <c r="AO121" s="353"/>
      <c r="AP121" s="353"/>
      <c r="AQ121" s="353"/>
      <c r="AR121" s="353"/>
      <c r="AS121" s="353"/>
      <c r="AT121" s="351"/>
      <c r="AU121" s="353"/>
      <c r="AV121" s="353"/>
      <c r="AW121" s="353"/>
      <c r="AX121" s="353"/>
      <c r="AY121" s="494"/>
      <c r="AZ121" s="495"/>
      <c r="BA121" s="353"/>
      <c r="BB121" s="353"/>
      <c r="BC121" s="353"/>
      <c r="BD121" s="353"/>
      <c r="BE121" s="494"/>
      <c r="BF121" s="396">
        <v>30366.7</v>
      </c>
      <c r="BG121" s="353"/>
      <c r="BH121" s="353"/>
      <c r="BI121" s="353"/>
      <c r="BJ121" s="353"/>
      <c r="BK121" s="493"/>
      <c r="BL121" s="396">
        <v>16643.07</v>
      </c>
      <c r="BM121" s="353"/>
      <c r="BN121" s="353"/>
      <c r="BO121" s="353"/>
      <c r="BP121" s="353"/>
      <c r="BQ121" s="493"/>
      <c r="BR121" s="396">
        <v>16906.62</v>
      </c>
      <c r="BS121" s="353"/>
      <c r="BT121" s="353"/>
      <c r="BU121" s="353"/>
      <c r="BV121" s="353"/>
      <c r="BW121" s="533"/>
      <c r="BX121" s="213"/>
      <c r="BY121" s="213"/>
      <c r="BZ121" s="213"/>
      <c r="CA121" s="213"/>
      <c r="CB121" s="213"/>
      <c r="CC121" s="213"/>
      <c r="CD121" s="213"/>
      <c r="CE121" s="213"/>
      <c r="CF121" s="213"/>
      <c r="CG121" s="213"/>
      <c r="CH121" s="213"/>
      <c r="CI121" s="213"/>
      <c r="CJ121" s="213"/>
      <c r="CK121" s="213"/>
      <c r="CL121" s="213"/>
      <c r="CM121" s="213"/>
      <c r="CN121" s="213"/>
      <c r="CO121" s="213"/>
      <c r="CP121" s="213"/>
      <c r="CQ121" s="213"/>
    </row>
    <row r="122" ht="15.75" customHeight="1">
      <c r="A122" s="213"/>
      <c r="B122" s="502"/>
      <c r="C122" s="539"/>
      <c r="D122" s="363"/>
      <c r="E122" s="365"/>
      <c r="F122" s="365"/>
      <c r="G122" s="365"/>
      <c r="H122" s="365"/>
      <c r="I122" s="503"/>
      <c r="J122" s="363"/>
      <c r="K122" s="365"/>
      <c r="L122" s="365"/>
      <c r="M122" s="365"/>
      <c r="N122" s="365"/>
      <c r="O122" s="526"/>
      <c r="P122" s="363"/>
      <c r="Q122" s="365"/>
      <c r="R122" s="365"/>
      <c r="S122" s="365"/>
      <c r="T122" s="365"/>
      <c r="U122" s="526"/>
      <c r="V122" s="363"/>
      <c r="W122" s="365"/>
      <c r="X122" s="365"/>
      <c r="Y122" s="365"/>
      <c r="Z122" s="365"/>
      <c r="AA122" s="526"/>
      <c r="AB122" s="363"/>
      <c r="AC122" s="365"/>
      <c r="AD122" s="365"/>
      <c r="AE122" s="365"/>
      <c r="AF122" s="365"/>
      <c r="AG122" s="365"/>
      <c r="AH122" s="363"/>
      <c r="AI122" s="365"/>
      <c r="AJ122" s="365"/>
      <c r="AK122" s="365"/>
      <c r="AL122" s="365"/>
      <c r="AM122" s="365"/>
      <c r="AN122" s="363"/>
      <c r="AO122" s="365"/>
      <c r="AP122" s="365"/>
      <c r="AQ122" s="365"/>
      <c r="AR122" s="365"/>
      <c r="AS122" s="365"/>
      <c r="AT122" s="363"/>
      <c r="AU122" s="365"/>
      <c r="AV122" s="365"/>
      <c r="AW122" s="365"/>
      <c r="AX122" s="365"/>
      <c r="AY122" s="504"/>
      <c r="AZ122" s="505"/>
      <c r="BA122" s="365"/>
      <c r="BB122" s="365"/>
      <c r="BC122" s="365"/>
      <c r="BD122" s="365"/>
      <c r="BE122" s="504"/>
      <c r="BF122" s="363"/>
      <c r="BG122" s="365"/>
      <c r="BH122" s="365"/>
      <c r="BI122" s="365"/>
      <c r="BJ122" s="365"/>
      <c r="BK122" s="503"/>
      <c r="BL122" s="363"/>
      <c r="BM122" s="365"/>
      <c r="BN122" s="365"/>
      <c r="BO122" s="365"/>
      <c r="BP122" s="365"/>
      <c r="BQ122" s="503"/>
      <c r="BR122" s="506"/>
      <c r="BS122" s="365"/>
      <c r="BT122" s="365"/>
      <c r="BU122" s="365"/>
      <c r="BV122" s="365"/>
      <c r="BW122" s="535"/>
      <c r="BX122" s="213"/>
      <c r="BY122" s="213"/>
      <c r="BZ122" s="213"/>
      <c r="CA122" s="213"/>
      <c r="CB122" s="213"/>
      <c r="CC122" s="213"/>
      <c r="CD122" s="213"/>
      <c r="CE122" s="213"/>
      <c r="CF122" s="213"/>
      <c r="CG122" s="213"/>
      <c r="CH122" s="213"/>
      <c r="CI122" s="213"/>
      <c r="CJ122" s="213"/>
      <c r="CK122" s="213"/>
      <c r="CL122" s="213"/>
      <c r="CM122" s="213"/>
      <c r="CN122" s="213"/>
      <c r="CO122" s="213"/>
      <c r="CP122" s="213"/>
      <c r="CQ122" s="213"/>
    </row>
    <row r="123" ht="15.75" customHeight="1">
      <c r="A123" s="213"/>
      <c r="B123" s="483"/>
      <c r="C123" s="519" t="s">
        <v>42</v>
      </c>
      <c r="D123" s="373">
        <f>SUM(D124:D129)</f>
        <v>63308.33333</v>
      </c>
      <c r="E123" s="375">
        <f>SUM(E124:E125)</f>
        <v>0</v>
      </c>
      <c r="F123" s="373">
        <f>SUM(F124:F129)</f>
        <v>100000</v>
      </c>
      <c r="G123" s="375"/>
      <c r="H123" s="375">
        <f>SUM(H124:H125)</f>
        <v>-36691.66667</v>
      </c>
      <c r="I123" s="484"/>
      <c r="J123" s="373">
        <f>SUM(J124:J129)</f>
        <v>80064</v>
      </c>
      <c r="K123" s="375">
        <f>SUM(K124:K125)</f>
        <v>0</v>
      </c>
      <c r="L123" s="373">
        <f>SUM(L124:L129)</f>
        <v>100000</v>
      </c>
      <c r="M123" s="375"/>
      <c r="N123" s="375"/>
      <c r="O123" s="527"/>
      <c r="P123" s="373">
        <f>SUM(P124:P129)</f>
        <v>63100</v>
      </c>
      <c r="Q123" s="375">
        <f>SUM(Q124:Q125)</f>
        <v>0</v>
      </c>
      <c r="R123" s="373">
        <f>SUM(R124:R129)</f>
        <v>100000</v>
      </c>
      <c r="S123" s="375"/>
      <c r="T123" s="375"/>
      <c r="U123" s="527"/>
      <c r="V123" s="373">
        <f>SUM(V124:V129)</f>
        <v>64300</v>
      </c>
      <c r="W123" s="375">
        <f>SUM(W124:W125)</f>
        <v>0</v>
      </c>
      <c r="X123" s="373">
        <f>SUM(X124:X129)</f>
        <v>100000</v>
      </c>
      <c r="Y123" s="375"/>
      <c r="Z123" s="375"/>
      <c r="AA123" s="527"/>
      <c r="AB123" s="373">
        <f>SUM(AB124:AB129)</f>
        <v>63100</v>
      </c>
      <c r="AC123" s="375">
        <f>SUM(AC124:AC125)</f>
        <v>0</v>
      </c>
      <c r="AD123" s="373">
        <f>SUM(AD124:AD129)</f>
        <v>100000</v>
      </c>
      <c r="AE123" s="375"/>
      <c r="AF123" s="375"/>
      <c r="AG123" s="375"/>
      <c r="AH123" s="373">
        <f>SUM(AH124:AH129)</f>
        <v>63100</v>
      </c>
      <c r="AI123" s="375">
        <f>SUM(AI124:AI125)</f>
        <v>0</v>
      </c>
      <c r="AJ123" s="373">
        <f>SUM(AJ124:AJ129)</f>
        <v>100000</v>
      </c>
      <c r="AK123" s="375"/>
      <c r="AL123" s="375"/>
      <c r="AM123" s="375"/>
      <c r="AN123" s="373">
        <f>SUM(AN124:AN129)</f>
        <v>63492.36111</v>
      </c>
      <c r="AO123" s="375">
        <f>SUM(AO124:AO125)</f>
        <v>0</v>
      </c>
      <c r="AP123" s="373">
        <f>SUM(AP124:AP129)</f>
        <v>100000</v>
      </c>
      <c r="AQ123" s="375">
        <f t="shared" ref="AQ123:AS123" si="84">SUM(AQ124:AQ125)</f>
        <v>0</v>
      </c>
      <c r="AR123" s="375">
        <f t="shared" si="84"/>
        <v>0</v>
      </c>
      <c r="AS123" s="375">
        <f t="shared" si="84"/>
        <v>0</v>
      </c>
      <c r="AT123" s="373">
        <f>SUM(AT124:AT129)</f>
        <v>63492.36111</v>
      </c>
      <c r="AU123" s="375">
        <f>SUM(AU124:AU125)</f>
        <v>0</v>
      </c>
      <c r="AV123" s="373">
        <f>SUM(AV124:AV129)</f>
        <v>100000</v>
      </c>
      <c r="AW123" s="375">
        <f t="shared" ref="AW123:AX123" si="85">SUM(AW124:AW125)</f>
        <v>0</v>
      </c>
      <c r="AX123" s="375">
        <f t="shared" si="85"/>
        <v>0</v>
      </c>
      <c r="AY123" s="485"/>
      <c r="AZ123" s="373">
        <f>SUM(AZ124:AZ129)</f>
        <v>63492.36111</v>
      </c>
      <c r="BA123" s="375">
        <f>SUM(BA124:BA125)</f>
        <v>0</v>
      </c>
      <c r="BB123" s="373">
        <f>SUM(BB124:BB129)</f>
        <v>100000</v>
      </c>
      <c r="BC123" s="375">
        <f t="shared" ref="BC123:BE123" si="86">SUM(BC124:BC125)</f>
        <v>0</v>
      </c>
      <c r="BD123" s="375">
        <f t="shared" si="86"/>
        <v>0</v>
      </c>
      <c r="BE123" s="485">
        <f t="shared" si="86"/>
        <v>0</v>
      </c>
      <c r="BF123" s="373">
        <f>SUM(BF124:BF129)</f>
        <v>114392.3611</v>
      </c>
      <c r="BG123" s="375">
        <f>SUM(BG124:BG125)</f>
        <v>0</v>
      </c>
      <c r="BH123" s="373">
        <f>SUM(BH124:BH129)</f>
        <v>100000</v>
      </c>
      <c r="BI123" s="375">
        <f t="shared" ref="BI123:BK123" si="87">SUM(BI124:BI125)</f>
        <v>0</v>
      </c>
      <c r="BJ123" s="375">
        <f t="shared" si="87"/>
        <v>0</v>
      </c>
      <c r="BK123" s="484">
        <f t="shared" si="87"/>
        <v>0</v>
      </c>
      <c r="BL123" s="373">
        <f>SUM(BL124:BL129)</f>
        <v>147322.3611</v>
      </c>
      <c r="BM123" s="375">
        <f>SUM(BM124:BM125)</f>
        <v>0</v>
      </c>
      <c r="BN123" s="373">
        <f>SUM(BN124:BN129)</f>
        <v>100000</v>
      </c>
      <c r="BO123" s="375">
        <f t="shared" ref="BO123:BQ123" si="88">SUM(BO124:BO125)</f>
        <v>0</v>
      </c>
      <c r="BP123" s="375">
        <f t="shared" si="88"/>
        <v>0</v>
      </c>
      <c r="BQ123" s="484">
        <f t="shared" si="88"/>
        <v>0</v>
      </c>
      <c r="BR123" s="373">
        <f>SUM(BR124:BR129)</f>
        <v>970392.3611</v>
      </c>
      <c r="BS123" s="375">
        <f t="shared" ref="BS123:BW123" si="89">SUM(BS124:BS125)</f>
        <v>0</v>
      </c>
      <c r="BT123" s="375">
        <f t="shared" si="89"/>
        <v>100000</v>
      </c>
      <c r="BU123" s="375">
        <f t="shared" si="89"/>
        <v>0</v>
      </c>
      <c r="BV123" s="375">
        <f t="shared" si="89"/>
        <v>0</v>
      </c>
      <c r="BW123" s="528">
        <f t="shared" si="89"/>
        <v>0</v>
      </c>
      <c r="BX123" s="216"/>
      <c r="BY123" s="216"/>
      <c r="BZ123" s="216"/>
      <c r="CA123" s="216"/>
      <c r="CB123" s="216"/>
      <c r="CC123" s="216"/>
      <c r="CD123" s="216"/>
      <c r="CE123" s="216"/>
      <c r="CF123" s="216"/>
      <c r="CG123" s="216"/>
      <c r="CH123" s="216"/>
      <c r="CI123" s="216"/>
      <c r="CJ123" s="216"/>
      <c r="CK123" s="216"/>
      <c r="CL123" s="216"/>
      <c r="CM123" s="216"/>
      <c r="CN123" s="216"/>
      <c r="CO123" s="216"/>
      <c r="CP123" s="216"/>
      <c r="CQ123" s="216"/>
    </row>
    <row r="124" ht="15.75" customHeight="1">
      <c r="A124" s="213"/>
      <c r="B124" s="488"/>
      <c r="C124" s="488" t="s">
        <v>340</v>
      </c>
      <c r="D124" s="384">
        <f>(2500/12)</f>
        <v>208.3333333</v>
      </c>
      <c r="E124" s="386"/>
      <c r="F124" s="386"/>
      <c r="G124" s="386"/>
      <c r="H124" s="386">
        <f t="shared" ref="H124:H125" si="90">D124-F124</f>
        <v>208.3333333</v>
      </c>
      <c r="I124" s="489" t="str">
        <f t="shared" ref="I124:I125" si="91">IFERROR((H124)/F124,"")</f>
        <v/>
      </c>
      <c r="J124" s="384">
        <v>208.0</v>
      </c>
      <c r="K124" s="386"/>
      <c r="L124" s="386"/>
      <c r="M124" s="386"/>
      <c r="N124" s="386"/>
      <c r="O124" s="522"/>
      <c r="P124" s="384"/>
      <c r="Q124" s="386"/>
      <c r="R124" s="386"/>
      <c r="S124" s="386"/>
      <c r="T124" s="386"/>
      <c r="U124" s="522"/>
      <c r="V124" s="384">
        <v>1200.0</v>
      </c>
      <c r="W124" s="386"/>
      <c r="X124" s="386"/>
      <c r="Y124" s="386"/>
      <c r="Z124" s="386"/>
      <c r="AA124" s="522"/>
      <c r="AB124" s="384"/>
      <c r="AC124" s="386"/>
      <c r="AD124" s="386"/>
      <c r="AE124" s="386"/>
      <c r="AF124" s="386"/>
      <c r="AG124" s="386"/>
      <c r="AH124" s="384"/>
      <c r="AI124" s="386"/>
      <c r="AJ124" s="386"/>
      <c r="AK124" s="386"/>
      <c r="AL124" s="386"/>
      <c r="AM124" s="386"/>
      <c r="AN124" s="384">
        <f>14125/36</f>
        <v>392.3611111</v>
      </c>
      <c r="AO124" s="386"/>
      <c r="AP124" s="386"/>
      <c r="AQ124" s="386"/>
      <c r="AR124" s="386"/>
      <c r="AS124" s="386"/>
      <c r="AT124" s="384">
        <f>14125/36</f>
        <v>392.3611111</v>
      </c>
      <c r="AU124" s="386"/>
      <c r="AV124" s="386"/>
      <c r="AW124" s="386"/>
      <c r="AX124" s="386"/>
      <c r="AY124" s="490"/>
      <c r="AZ124" s="439">
        <f>14125/36</f>
        <v>392.3611111</v>
      </c>
      <c r="BA124" s="386"/>
      <c r="BB124" s="386"/>
      <c r="BC124" s="386"/>
      <c r="BD124" s="386"/>
      <c r="BE124" s="490"/>
      <c r="BF124" s="384">
        <f>14125/36</f>
        <v>392.3611111</v>
      </c>
      <c r="BG124" s="386"/>
      <c r="BH124" s="386"/>
      <c r="BI124" s="386"/>
      <c r="BJ124" s="386"/>
      <c r="BK124" s="489"/>
      <c r="BL124" s="384">
        <f>14125/36+11250+200+63000</f>
        <v>74842.36111</v>
      </c>
      <c r="BM124" s="386"/>
      <c r="BN124" s="386"/>
      <c r="BO124" s="386"/>
      <c r="BP124" s="386"/>
      <c r="BQ124" s="489"/>
      <c r="BR124" s="491">
        <f>14125/36+110000</f>
        <v>110392.3611</v>
      </c>
      <c r="BS124" s="386"/>
      <c r="BT124" s="386"/>
      <c r="BU124" s="386"/>
      <c r="BV124" s="386"/>
      <c r="BW124" s="530"/>
      <c r="BX124" s="213"/>
      <c r="BY124" s="213"/>
      <c r="BZ124" s="213"/>
      <c r="CA124" s="213"/>
      <c r="CB124" s="213"/>
      <c r="CC124" s="213"/>
      <c r="CD124" s="213"/>
      <c r="CE124" s="213"/>
      <c r="CF124" s="213"/>
      <c r="CG124" s="213"/>
      <c r="CH124" s="213"/>
      <c r="CI124" s="213"/>
      <c r="CJ124" s="213"/>
      <c r="CK124" s="213"/>
      <c r="CL124" s="213"/>
      <c r="CM124" s="213"/>
      <c r="CN124" s="213"/>
      <c r="CO124" s="213"/>
      <c r="CP124" s="213"/>
      <c r="CQ124" s="213"/>
    </row>
    <row r="125" ht="15.75" customHeight="1">
      <c r="A125" s="213"/>
      <c r="B125" s="492"/>
      <c r="C125" s="492" t="s">
        <v>341</v>
      </c>
      <c r="D125" s="351">
        <f>14750+20000+28350</f>
        <v>63100</v>
      </c>
      <c r="E125" s="353"/>
      <c r="F125" s="353">
        <v>100000.0</v>
      </c>
      <c r="G125" s="353"/>
      <c r="H125" s="353">
        <f t="shared" si="90"/>
        <v>-36900</v>
      </c>
      <c r="I125" s="493">
        <f t="shared" si="91"/>
        <v>-0.369</v>
      </c>
      <c r="J125" s="351">
        <f>14750+20000+28350+16756</f>
        <v>79856</v>
      </c>
      <c r="K125" s="353"/>
      <c r="L125" s="353">
        <f>$F125</f>
        <v>100000</v>
      </c>
      <c r="M125" s="353"/>
      <c r="N125" s="353"/>
      <c r="O125" s="523"/>
      <c r="P125" s="351">
        <f>14750+20000+28350</f>
        <v>63100</v>
      </c>
      <c r="Q125" s="353"/>
      <c r="R125" s="353">
        <f>$F125</f>
        <v>100000</v>
      </c>
      <c r="S125" s="353"/>
      <c r="T125" s="353"/>
      <c r="U125" s="523"/>
      <c r="V125" s="351">
        <f>28350+14750+20000</f>
        <v>63100</v>
      </c>
      <c r="W125" s="353"/>
      <c r="X125" s="353">
        <f>$F125</f>
        <v>100000</v>
      </c>
      <c r="Y125" s="353"/>
      <c r="Z125" s="353"/>
      <c r="AA125" s="523"/>
      <c r="AB125" s="351">
        <f>14750+20000+28350</f>
        <v>63100</v>
      </c>
      <c r="AC125" s="353"/>
      <c r="AD125" s="353">
        <f>$F125</f>
        <v>100000</v>
      </c>
      <c r="AE125" s="353"/>
      <c r="AF125" s="353"/>
      <c r="AG125" s="353"/>
      <c r="AH125" s="351">
        <f>14750+20000+28350</f>
        <v>63100</v>
      </c>
      <c r="AI125" s="353"/>
      <c r="AJ125" s="353">
        <f>$F125</f>
        <v>100000</v>
      </c>
      <c r="AK125" s="353"/>
      <c r="AL125" s="353"/>
      <c r="AM125" s="353"/>
      <c r="AN125" s="351">
        <f>14750+20000+28350</f>
        <v>63100</v>
      </c>
      <c r="AO125" s="353"/>
      <c r="AP125" s="353">
        <f>$F125</f>
        <v>100000</v>
      </c>
      <c r="AQ125" s="353"/>
      <c r="AR125" s="353"/>
      <c r="AS125" s="353"/>
      <c r="AT125" s="351">
        <f>14750+20000+28350</f>
        <v>63100</v>
      </c>
      <c r="AU125" s="353"/>
      <c r="AV125" s="353">
        <v>100000.0</v>
      </c>
      <c r="AW125" s="353"/>
      <c r="AX125" s="353"/>
      <c r="AY125" s="494"/>
      <c r="AZ125" s="495">
        <f>14750+20000+28350</f>
        <v>63100</v>
      </c>
      <c r="BA125" s="353"/>
      <c r="BB125" s="353">
        <v>100000.0</v>
      </c>
      <c r="BC125" s="353"/>
      <c r="BD125" s="353"/>
      <c r="BE125" s="494"/>
      <c r="BF125" s="351">
        <f>11000+6000+18000+20000+14750+14750+14750+14750</f>
        <v>114000</v>
      </c>
      <c r="BG125" s="353"/>
      <c r="BH125" s="353">
        <v>100000.0</v>
      </c>
      <c r="BI125" s="353"/>
      <c r="BJ125" s="353"/>
      <c r="BK125" s="493"/>
      <c r="BL125" s="351">
        <f>30000+40120+2360</f>
        <v>72480</v>
      </c>
      <c r="BM125" s="353"/>
      <c r="BN125" s="353">
        <v>100000.0</v>
      </c>
      <c r="BO125" s="353"/>
      <c r="BP125" s="353"/>
      <c r="BQ125" s="493"/>
      <c r="BR125" s="351">
        <f>30000+240000</f>
        <v>270000</v>
      </c>
      <c r="BS125" s="353"/>
      <c r="BT125" s="353">
        <v>100000.0</v>
      </c>
      <c r="BU125" s="353"/>
      <c r="BV125" s="353"/>
      <c r="BW125" s="533"/>
      <c r="BX125" s="213"/>
      <c r="BY125" s="213"/>
      <c r="BZ125" s="213"/>
      <c r="CA125" s="213"/>
      <c r="CB125" s="213"/>
      <c r="CC125" s="213"/>
      <c r="CD125" s="213"/>
      <c r="CE125" s="213"/>
      <c r="CF125" s="213"/>
      <c r="CG125" s="213"/>
      <c r="CH125" s="213"/>
      <c r="CI125" s="213"/>
      <c r="CJ125" s="213"/>
      <c r="CK125" s="213"/>
      <c r="CL125" s="213"/>
      <c r="CM125" s="213"/>
      <c r="CN125" s="213"/>
      <c r="CO125" s="213"/>
      <c r="CP125" s="213"/>
      <c r="CQ125" s="213"/>
    </row>
    <row r="126" ht="15.75" customHeight="1">
      <c r="A126" s="213"/>
      <c r="B126" s="502"/>
      <c r="C126" s="502" t="s">
        <v>342</v>
      </c>
      <c r="D126" s="363"/>
      <c r="E126" s="365"/>
      <c r="F126" s="365"/>
      <c r="G126" s="365"/>
      <c r="H126" s="365"/>
      <c r="I126" s="503"/>
      <c r="J126" s="363"/>
      <c r="K126" s="365"/>
      <c r="L126" s="365"/>
      <c r="M126" s="365"/>
      <c r="N126" s="365"/>
      <c r="O126" s="526"/>
      <c r="P126" s="363"/>
      <c r="Q126" s="365"/>
      <c r="R126" s="365"/>
      <c r="S126" s="365"/>
      <c r="T126" s="365"/>
      <c r="U126" s="526"/>
      <c r="V126" s="363"/>
      <c r="W126" s="365"/>
      <c r="X126" s="365"/>
      <c r="Y126" s="365"/>
      <c r="Z126" s="365"/>
      <c r="AA126" s="526"/>
      <c r="AB126" s="363"/>
      <c r="AC126" s="365"/>
      <c r="AD126" s="365"/>
      <c r="AE126" s="365"/>
      <c r="AF126" s="365"/>
      <c r="AG126" s="365"/>
      <c r="AH126" s="363"/>
      <c r="AI126" s="365"/>
      <c r="AJ126" s="365"/>
      <c r="AK126" s="365"/>
      <c r="AL126" s="365"/>
      <c r="AM126" s="365"/>
      <c r="AN126" s="363"/>
      <c r="AO126" s="365"/>
      <c r="AP126" s="365"/>
      <c r="AQ126" s="365"/>
      <c r="AR126" s="365"/>
      <c r="AS126" s="365"/>
      <c r="AT126" s="363"/>
      <c r="AU126" s="365"/>
      <c r="AV126" s="365"/>
      <c r="AW126" s="365"/>
      <c r="AX126" s="365"/>
      <c r="AY126" s="504"/>
      <c r="AZ126" s="505"/>
      <c r="BA126" s="365"/>
      <c r="BB126" s="365"/>
      <c r="BC126" s="365"/>
      <c r="BD126" s="365"/>
      <c r="BE126" s="504"/>
      <c r="BF126" s="363"/>
      <c r="BG126" s="365"/>
      <c r="BH126" s="365"/>
      <c r="BI126" s="365"/>
      <c r="BJ126" s="365"/>
      <c r="BK126" s="503"/>
      <c r="BL126" s="363"/>
      <c r="BM126" s="365"/>
      <c r="BN126" s="365"/>
      <c r="BO126" s="365"/>
      <c r="BP126" s="365"/>
      <c r="BQ126" s="503"/>
      <c r="BR126" s="506">
        <v>590000.0</v>
      </c>
      <c r="BS126" s="365"/>
      <c r="BT126" s="365"/>
      <c r="BU126" s="365"/>
      <c r="BV126" s="365"/>
      <c r="BW126" s="535"/>
      <c r="BX126" s="213"/>
      <c r="BY126" s="213"/>
      <c r="BZ126" s="213"/>
      <c r="CA126" s="213"/>
      <c r="CB126" s="213"/>
      <c r="CC126" s="213"/>
      <c r="CD126" s="213"/>
      <c r="CE126" s="213"/>
      <c r="CF126" s="213"/>
      <c r="CG126" s="213"/>
      <c r="CH126" s="213"/>
      <c r="CI126" s="213"/>
      <c r="CJ126" s="213"/>
      <c r="CK126" s="213"/>
      <c r="CL126" s="213"/>
      <c r="CM126" s="213"/>
      <c r="CN126" s="213"/>
      <c r="CO126" s="213"/>
      <c r="CP126" s="213"/>
      <c r="CQ126" s="213"/>
    </row>
    <row r="127" ht="15.75" customHeight="1">
      <c r="A127" s="213"/>
      <c r="B127" s="502"/>
      <c r="C127" s="502"/>
      <c r="D127" s="363"/>
      <c r="E127" s="365"/>
      <c r="F127" s="365"/>
      <c r="G127" s="365"/>
      <c r="H127" s="365"/>
      <c r="I127" s="503"/>
      <c r="J127" s="363"/>
      <c r="K127" s="365"/>
      <c r="L127" s="365"/>
      <c r="M127" s="365"/>
      <c r="N127" s="365"/>
      <c r="O127" s="526"/>
      <c r="P127" s="363"/>
      <c r="Q127" s="365"/>
      <c r="R127" s="365"/>
      <c r="S127" s="365"/>
      <c r="T127" s="365"/>
      <c r="U127" s="526"/>
      <c r="V127" s="363"/>
      <c r="W127" s="365"/>
      <c r="X127" s="365"/>
      <c r="Y127" s="365"/>
      <c r="Z127" s="365"/>
      <c r="AA127" s="526"/>
      <c r="AB127" s="363"/>
      <c r="AC127" s="365"/>
      <c r="AD127" s="365"/>
      <c r="AE127" s="365"/>
      <c r="AF127" s="365"/>
      <c r="AG127" s="365"/>
      <c r="AH127" s="363"/>
      <c r="AI127" s="365"/>
      <c r="AJ127" s="365"/>
      <c r="AK127" s="365"/>
      <c r="AL127" s="365"/>
      <c r="AM127" s="365"/>
      <c r="AN127" s="363"/>
      <c r="AO127" s="365"/>
      <c r="AP127" s="365"/>
      <c r="AQ127" s="365"/>
      <c r="AR127" s="365"/>
      <c r="AS127" s="365"/>
      <c r="AT127" s="363"/>
      <c r="AU127" s="365"/>
      <c r="AV127" s="365"/>
      <c r="AW127" s="365"/>
      <c r="AX127" s="365"/>
      <c r="AY127" s="504"/>
      <c r="AZ127" s="505"/>
      <c r="BA127" s="365"/>
      <c r="BB127" s="365"/>
      <c r="BC127" s="365"/>
      <c r="BD127" s="365"/>
      <c r="BE127" s="504"/>
      <c r="BF127" s="363"/>
      <c r="BG127" s="365"/>
      <c r="BH127" s="365"/>
      <c r="BI127" s="365"/>
      <c r="BJ127" s="365"/>
      <c r="BK127" s="503"/>
      <c r="BL127" s="363"/>
      <c r="BM127" s="365"/>
      <c r="BN127" s="365"/>
      <c r="BO127" s="365"/>
      <c r="BP127" s="365"/>
      <c r="BQ127" s="503"/>
      <c r="BR127" s="506"/>
      <c r="BS127" s="365"/>
      <c r="BT127" s="365"/>
      <c r="BU127" s="365"/>
      <c r="BV127" s="365"/>
      <c r="BW127" s="535"/>
      <c r="BX127" s="213"/>
      <c r="BY127" s="213"/>
      <c r="BZ127" s="213"/>
      <c r="CA127" s="213"/>
      <c r="CB127" s="213"/>
      <c r="CC127" s="213"/>
      <c r="CD127" s="213"/>
      <c r="CE127" s="213"/>
      <c r="CF127" s="213"/>
      <c r="CG127" s="213"/>
      <c r="CH127" s="213"/>
      <c r="CI127" s="213"/>
      <c r="CJ127" s="213"/>
      <c r="CK127" s="213"/>
      <c r="CL127" s="213"/>
      <c r="CM127" s="213"/>
      <c r="CN127" s="213"/>
      <c r="CO127" s="213"/>
      <c r="CP127" s="213"/>
      <c r="CQ127" s="213"/>
    </row>
    <row r="128" ht="15.75" customHeight="1">
      <c r="A128" s="213"/>
      <c r="B128" s="502"/>
      <c r="C128" s="502"/>
      <c r="D128" s="363"/>
      <c r="E128" s="365"/>
      <c r="F128" s="365"/>
      <c r="G128" s="365"/>
      <c r="H128" s="365"/>
      <c r="I128" s="503"/>
      <c r="J128" s="363"/>
      <c r="K128" s="365"/>
      <c r="L128" s="365"/>
      <c r="M128" s="365"/>
      <c r="N128" s="365"/>
      <c r="O128" s="526"/>
      <c r="P128" s="363"/>
      <c r="Q128" s="365"/>
      <c r="R128" s="365"/>
      <c r="S128" s="365"/>
      <c r="T128" s="365"/>
      <c r="U128" s="526"/>
      <c r="V128" s="363"/>
      <c r="W128" s="365"/>
      <c r="X128" s="365"/>
      <c r="Y128" s="365"/>
      <c r="Z128" s="365"/>
      <c r="AA128" s="526"/>
      <c r="AB128" s="363"/>
      <c r="AC128" s="365"/>
      <c r="AD128" s="365"/>
      <c r="AE128" s="365"/>
      <c r="AF128" s="365"/>
      <c r="AG128" s="365"/>
      <c r="AH128" s="363"/>
      <c r="AI128" s="365"/>
      <c r="AJ128" s="365"/>
      <c r="AK128" s="365"/>
      <c r="AL128" s="365"/>
      <c r="AM128" s="365"/>
      <c r="AN128" s="363"/>
      <c r="AO128" s="365"/>
      <c r="AP128" s="365"/>
      <c r="AQ128" s="365"/>
      <c r="AR128" s="365"/>
      <c r="AS128" s="365"/>
      <c r="AT128" s="363"/>
      <c r="AU128" s="365"/>
      <c r="AV128" s="365"/>
      <c r="AW128" s="365"/>
      <c r="AX128" s="365"/>
      <c r="AY128" s="504"/>
      <c r="AZ128" s="505"/>
      <c r="BA128" s="365"/>
      <c r="BB128" s="365"/>
      <c r="BC128" s="365"/>
      <c r="BD128" s="365"/>
      <c r="BE128" s="504"/>
      <c r="BF128" s="363"/>
      <c r="BG128" s="365"/>
      <c r="BH128" s="365"/>
      <c r="BI128" s="365"/>
      <c r="BJ128" s="365"/>
      <c r="BK128" s="503"/>
      <c r="BL128" s="363"/>
      <c r="BM128" s="365"/>
      <c r="BN128" s="365"/>
      <c r="BO128" s="365"/>
      <c r="BP128" s="365"/>
      <c r="BQ128" s="503"/>
      <c r="BR128" s="506"/>
      <c r="BS128" s="365"/>
      <c r="BT128" s="365"/>
      <c r="BU128" s="365"/>
      <c r="BV128" s="365"/>
      <c r="BW128" s="535"/>
      <c r="BX128" s="213"/>
      <c r="BY128" s="213"/>
      <c r="BZ128" s="213"/>
      <c r="CA128" s="213"/>
      <c r="CB128" s="213"/>
      <c r="CC128" s="213"/>
      <c r="CD128" s="213"/>
      <c r="CE128" s="213"/>
      <c r="CF128" s="213"/>
      <c r="CG128" s="213"/>
      <c r="CH128" s="213"/>
      <c r="CI128" s="213"/>
      <c r="CJ128" s="213"/>
      <c r="CK128" s="213"/>
      <c r="CL128" s="213"/>
      <c r="CM128" s="213"/>
      <c r="CN128" s="213"/>
      <c r="CO128" s="213"/>
      <c r="CP128" s="213"/>
      <c r="CQ128" s="213"/>
    </row>
    <row r="129" ht="15.75" customHeight="1">
      <c r="A129" s="213"/>
      <c r="B129" s="502"/>
      <c r="C129" s="502"/>
      <c r="D129" s="363"/>
      <c r="E129" s="365"/>
      <c r="F129" s="365"/>
      <c r="G129" s="365"/>
      <c r="H129" s="365"/>
      <c r="I129" s="503"/>
      <c r="J129" s="363"/>
      <c r="K129" s="365"/>
      <c r="L129" s="365"/>
      <c r="M129" s="365"/>
      <c r="N129" s="365"/>
      <c r="O129" s="526"/>
      <c r="P129" s="363"/>
      <c r="Q129" s="365"/>
      <c r="R129" s="365"/>
      <c r="S129" s="365"/>
      <c r="T129" s="365"/>
      <c r="U129" s="526"/>
      <c r="V129" s="363"/>
      <c r="W129" s="365"/>
      <c r="X129" s="365"/>
      <c r="Y129" s="365"/>
      <c r="Z129" s="365"/>
      <c r="AA129" s="526"/>
      <c r="AB129" s="363"/>
      <c r="AC129" s="365"/>
      <c r="AD129" s="365"/>
      <c r="AE129" s="365"/>
      <c r="AF129" s="365"/>
      <c r="AG129" s="365"/>
      <c r="AH129" s="363"/>
      <c r="AI129" s="365"/>
      <c r="AJ129" s="365"/>
      <c r="AK129" s="365"/>
      <c r="AL129" s="365"/>
      <c r="AM129" s="365"/>
      <c r="AN129" s="363"/>
      <c r="AO129" s="365"/>
      <c r="AP129" s="365"/>
      <c r="AQ129" s="365"/>
      <c r="AR129" s="365"/>
      <c r="AS129" s="365"/>
      <c r="AT129" s="363"/>
      <c r="AU129" s="365"/>
      <c r="AV129" s="365"/>
      <c r="AW129" s="365"/>
      <c r="AX129" s="365"/>
      <c r="AY129" s="504"/>
      <c r="AZ129" s="505"/>
      <c r="BA129" s="365"/>
      <c r="BB129" s="365"/>
      <c r="BC129" s="365"/>
      <c r="BD129" s="365"/>
      <c r="BE129" s="504"/>
      <c r="BF129" s="363"/>
      <c r="BG129" s="365"/>
      <c r="BH129" s="365"/>
      <c r="BI129" s="365"/>
      <c r="BJ129" s="365"/>
      <c r="BK129" s="503"/>
      <c r="BL129" s="363"/>
      <c r="BM129" s="365"/>
      <c r="BN129" s="365"/>
      <c r="BO129" s="365"/>
      <c r="BP129" s="365"/>
      <c r="BQ129" s="503"/>
      <c r="BR129" s="506"/>
      <c r="BS129" s="365"/>
      <c r="BT129" s="365"/>
      <c r="BU129" s="365"/>
      <c r="BV129" s="365"/>
      <c r="BW129" s="535"/>
      <c r="BX129" s="213"/>
      <c r="BY129" s="213"/>
      <c r="BZ129" s="213"/>
      <c r="CA129" s="213"/>
      <c r="CB129" s="213"/>
      <c r="CC129" s="213"/>
      <c r="CD129" s="213"/>
      <c r="CE129" s="213"/>
      <c r="CF129" s="213"/>
      <c r="CG129" s="213"/>
      <c r="CH129" s="213"/>
      <c r="CI129" s="213"/>
      <c r="CJ129" s="213"/>
      <c r="CK129" s="213"/>
      <c r="CL129" s="213"/>
      <c r="CM129" s="213"/>
      <c r="CN129" s="213"/>
      <c r="CO129" s="213"/>
      <c r="CP129" s="213"/>
      <c r="CQ129" s="213"/>
    </row>
    <row r="130" ht="15.75" customHeight="1">
      <c r="A130" s="213"/>
      <c r="B130" s="483"/>
      <c r="C130" s="519" t="s">
        <v>43</v>
      </c>
      <c r="D130" s="373">
        <f>SUM(D131:D132)</f>
        <v>270596</v>
      </c>
      <c r="E130" s="375"/>
      <c r="F130" s="375">
        <f>SUM(F131:F132)</f>
        <v>0</v>
      </c>
      <c r="G130" s="375"/>
      <c r="H130" s="375">
        <f>SUM(H131:H132)</f>
        <v>270596</v>
      </c>
      <c r="I130" s="484"/>
      <c r="J130" s="373">
        <f>SUM(J131:J132)</f>
        <v>177768</v>
      </c>
      <c r="K130" s="375"/>
      <c r="L130" s="375">
        <f>SUM(L131:L132)</f>
        <v>0</v>
      </c>
      <c r="M130" s="375"/>
      <c r="N130" s="375"/>
      <c r="O130" s="527"/>
      <c r="P130" s="373">
        <f>SUM(P131:P132)</f>
        <v>423526</v>
      </c>
      <c r="Q130" s="375"/>
      <c r="R130" s="375">
        <f>SUM(R131:R132)</f>
        <v>0</v>
      </c>
      <c r="S130" s="375"/>
      <c r="T130" s="375"/>
      <c r="U130" s="527"/>
      <c r="V130" s="373">
        <f>SUM(V131:V132)</f>
        <v>65233</v>
      </c>
      <c r="W130" s="375"/>
      <c r="X130" s="375">
        <f>SUM(X131:X132)</f>
        <v>0</v>
      </c>
      <c r="Y130" s="375"/>
      <c r="Z130" s="375"/>
      <c r="AA130" s="527"/>
      <c r="AB130" s="373">
        <f>SUM(AB131:AB132)</f>
        <v>32836</v>
      </c>
      <c r="AC130" s="375"/>
      <c r="AD130" s="375">
        <f>SUM(AD131:AD132)</f>
        <v>0</v>
      </c>
      <c r="AE130" s="375"/>
      <c r="AF130" s="375"/>
      <c r="AG130" s="375"/>
      <c r="AH130" s="373">
        <f>SUM(AH131:AH132)</f>
        <v>0</v>
      </c>
      <c r="AI130" s="375"/>
      <c r="AJ130" s="375">
        <f>SUM(AJ131:AJ132)</f>
        <v>0</v>
      </c>
      <c r="AK130" s="375"/>
      <c r="AL130" s="375"/>
      <c r="AM130" s="375"/>
      <c r="AN130" s="373">
        <f>SUM(AN131:AN132)</f>
        <v>204505</v>
      </c>
      <c r="AO130" s="375"/>
      <c r="AP130" s="375">
        <f>SUM(AP131:AP132)</f>
        <v>0</v>
      </c>
      <c r="AQ130" s="375"/>
      <c r="AR130" s="375">
        <f>SUM(AR131:AR132)</f>
        <v>0</v>
      </c>
      <c r="AS130" s="375"/>
      <c r="AT130" s="373">
        <f>SUM(AT131:AT132)</f>
        <v>271444</v>
      </c>
      <c r="AU130" s="375"/>
      <c r="AV130" s="375">
        <f>SUM(AV131:AV132)</f>
        <v>0</v>
      </c>
      <c r="AW130" s="375"/>
      <c r="AX130" s="375">
        <f>SUM(AX131:AX132)</f>
        <v>0</v>
      </c>
      <c r="AY130" s="485"/>
      <c r="AZ130" s="486">
        <f>SUM(AZ131:AZ132)</f>
        <v>136648</v>
      </c>
      <c r="BA130" s="375"/>
      <c r="BB130" s="375">
        <f>SUM(BB131:BB132)</f>
        <v>0</v>
      </c>
      <c r="BC130" s="375"/>
      <c r="BD130" s="375">
        <f>SUM(BD131:BD132)</f>
        <v>0</v>
      </c>
      <c r="BE130" s="485"/>
      <c r="BF130" s="373">
        <f>SUM(BF131:BF132)</f>
        <v>169396</v>
      </c>
      <c r="BG130" s="375"/>
      <c r="BH130" s="375">
        <f>SUM(BH131:BH132)</f>
        <v>156000</v>
      </c>
      <c r="BI130" s="375"/>
      <c r="BJ130" s="375">
        <f>SUM(BJ131:BJ132)</f>
        <v>0</v>
      </c>
      <c r="BK130" s="484"/>
      <c r="BL130" s="373">
        <f>SUM(BL131:BL132)</f>
        <v>0</v>
      </c>
      <c r="BM130" s="375"/>
      <c r="BN130" s="375">
        <f>SUM(BN131:BN132)</f>
        <v>0</v>
      </c>
      <c r="BO130" s="375"/>
      <c r="BP130" s="375">
        <f>SUM(BP131:BP132)</f>
        <v>0</v>
      </c>
      <c r="BQ130" s="484"/>
      <c r="BR130" s="373">
        <f>SUM(BR131:BR132)</f>
        <v>1624910.64</v>
      </c>
      <c r="BS130" s="375"/>
      <c r="BT130" s="375">
        <f>SUM(BT131:BT132)</f>
        <v>0</v>
      </c>
      <c r="BU130" s="375"/>
      <c r="BV130" s="375">
        <f>SUM(BV131:BV132)</f>
        <v>0</v>
      </c>
      <c r="BW130" s="528"/>
      <c r="BX130" s="216"/>
      <c r="BY130" s="216"/>
      <c r="BZ130" s="216"/>
      <c r="CA130" s="216"/>
      <c r="CB130" s="216"/>
      <c r="CC130" s="216"/>
      <c r="CD130" s="216"/>
      <c r="CE130" s="216"/>
      <c r="CF130" s="216"/>
      <c r="CG130" s="216"/>
      <c r="CH130" s="216"/>
      <c r="CI130" s="216"/>
      <c r="CJ130" s="216"/>
      <c r="CK130" s="216"/>
      <c r="CL130" s="216"/>
      <c r="CM130" s="216"/>
      <c r="CN130" s="216"/>
      <c r="CO130" s="216"/>
      <c r="CP130" s="216"/>
      <c r="CQ130" s="216"/>
    </row>
    <row r="131" ht="15.75" customHeight="1">
      <c r="A131" s="213"/>
      <c r="B131" s="488"/>
      <c r="C131" s="488" t="s">
        <v>343</v>
      </c>
      <c r="D131" s="384">
        <f>177000+70800+8081+14715</f>
        <v>270596</v>
      </c>
      <c r="E131" s="386"/>
      <c r="F131" s="386"/>
      <c r="G131" s="386"/>
      <c r="H131" s="386">
        <f t="shared" ref="H131:H132" si="92">D131-F131</f>
        <v>270596</v>
      </c>
      <c r="I131" s="489" t="str">
        <f t="shared" ref="I131:I132" si="93">IFERROR((H131)/F131,"")</f>
        <v/>
      </c>
      <c r="J131" s="384">
        <f>177000+768</f>
        <v>177768</v>
      </c>
      <c r="K131" s="386"/>
      <c r="L131" s="386"/>
      <c r="M131" s="386"/>
      <c r="N131" s="386"/>
      <c r="O131" s="522"/>
      <c r="P131" s="384">
        <f>416610+6916</f>
        <v>423526</v>
      </c>
      <c r="Q131" s="386"/>
      <c r="R131" s="386"/>
      <c r="S131" s="386"/>
      <c r="T131" s="386"/>
      <c r="U131" s="522"/>
      <c r="V131" s="384">
        <f>9178+55055+1000</f>
        <v>65233</v>
      </c>
      <c r="W131" s="386"/>
      <c r="X131" s="386"/>
      <c r="Y131" s="386"/>
      <c r="Z131" s="386"/>
      <c r="AA131" s="522"/>
      <c r="AB131" s="384">
        <v>32836.0</v>
      </c>
      <c r="AC131" s="386"/>
      <c r="AD131" s="386"/>
      <c r="AE131" s="386"/>
      <c r="AF131" s="386"/>
      <c r="AG131" s="386"/>
      <c r="AH131" s="384"/>
      <c r="AI131" s="386"/>
      <c r="AJ131" s="386"/>
      <c r="AK131" s="386"/>
      <c r="AL131" s="386"/>
      <c r="AM131" s="386"/>
      <c r="AN131" s="384">
        <f>123423+81082</f>
        <v>204505</v>
      </c>
      <c r="AO131" s="386"/>
      <c r="AP131" s="386"/>
      <c r="AQ131" s="386"/>
      <c r="AR131" s="386"/>
      <c r="AS131" s="386"/>
      <c r="AT131" s="384">
        <f>23600+247844</f>
        <v>271444</v>
      </c>
      <c r="AU131" s="386"/>
      <c r="AV131" s="386"/>
      <c r="AW131" s="386"/>
      <c r="AX131" s="386"/>
      <c r="AY131" s="490"/>
      <c r="AZ131" s="439">
        <v>136648.0</v>
      </c>
      <c r="BA131" s="386"/>
      <c r="BB131" s="386"/>
      <c r="BC131" s="386"/>
      <c r="BD131" s="386"/>
      <c r="BE131" s="490"/>
      <c r="BF131" s="384">
        <f>1351+168045</f>
        <v>169396</v>
      </c>
      <c r="BG131" s="386"/>
      <c r="BH131" s="386"/>
      <c r="BI131" s="386"/>
      <c r="BJ131" s="386"/>
      <c r="BK131" s="489"/>
      <c r="BL131" s="384"/>
      <c r="BM131" s="386"/>
      <c r="BN131" s="386"/>
      <c r="BO131" s="386"/>
      <c r="BP131" s="386"/>
      <c r="BQ131" s="489"/>
      <c r="BR131" s="491">
        <f>1624910.64</f>
        <v>1624910.64</v>
      </c>
      <c r="BS131" s="386"/>
      <c r="BT131" s="386"/>
      <c r="BU131" s="386"/>
      <c r="BV131" s="386"/>
      <c r="BW131" s="530"/>
      <c r="BX131" s="213"/>
      <c r="BY131" s="213"/>
      <c r="BZ131" s="213"/>
      <c r="CA131" s="213"/>
      <c r="CB131" s="213"/>
      <c r="CC131" s="213"/>
      <c r="CD131" s="213"/>
      <c r="CE131" s="213"/>
      <c r="CF131" s="213"/>
      <c r="CG131" s="213"/>
      <c r="CH131" s="213"/>
      <c r="CI131" s="213"/>
      <c r="CJ131" s="213"/>
      <c r="CK131" s="213"/>
      <c r="CL131" s="213"/>
      <c r="CM131" s="213"/>
      <c r="CN131" s="213"/>
      <c r="CO131" s="213"/>
      <c r="CP131" s="213"/>
      <c r="CQ131" s="213"/>
    </row>
    <row r="132" ht="15.75" customHeight="1">
      <c r="A132" s="213"/>
      <c r="B132" s="492"/>
      <c r="C132" s="492" t="s">
        <v>344</v>
      </c>
      <c r="D132" s="351"/>
      <c r="E132" s="353"/>
      <c r="F132" s="353"/>
      <c r="G132" s="353"/>
      <c r="H132" s="353">
        <f t="shared" si="92"/>
        <v>0</v>
      </c>
      <c r="I132" s="493" t="str">
        <f t="shared" si="93"/>
        <v/>
      </c>
      <c r="J132" s="351"/>
      <c r="K132" s="353"/>
      <c r="L132" s="353" t="str">
        <f>$F132</f>
        <v/>
      </c>
      <c r="M132" s="353"/>
      <c r="N132" s="353"/>
      <c r="O132" s="523"/>
      <c r="P132" s="351"/>
      <c r="Q132" s="353"/>
      <c r="R132" s="353" t="str">
        <f>$F132</f>
        <v/>
      </c>
      <c r="S132" s="353"/>
      <c r="T132" s="353"/>
      <c r="U132" s="523"/>
      <c r="V132" s="351"/>
      <c r="W132" s="353"/>
      <c r="X132" s="353" t="str">
        <f>$F132</f>
        <v/>
      </c>
      <c r="Y132" s="353"/>
      <c r="Z132" s="353"/>
      <c r="AA132" s="523"/>
      <c r="AB132" s="351"/>
      <c r="AC132" s="353"/>
      <c r="AD132" s="353" t="str">
        <f>$F132</f>
        <v/>
      </c>
      <c r="AE132" s="353"/>
      <c r="AF132" s="353"/>
      <c r="AG132" s="353"/>
      <c r="AH132" s="351"/>
      <c r="AI132" s="353"/>
      <c r="AJ132" s="353" t="str">
        <f>$F132</f>
        <v/>
      </c>
      <c r="AK132" s="353"/>
      <c r="AL132" s="353"/>
      <c r="AM132" s="353"/>
      <c r="AN132" s="351"/>
      <c r="AO132" s="353"/>
      <c r="AP132" s="353" t="str">
        <f>$F132</f>
        <v/>
      </c>
      <c r="AQ132" s="353"/>
      <c r="AR132" s="353"/>
      <c r="AS132" s="353"/>
      <c r="AT132" s="351"/>
      <c r="AU132" s="353"/>
      <c r="AV132" s="353" t="str">
        <f>$F132</f>
        <v/>
      </c>
      <c r="AW132" s="353"/>
      <c r="AX132" s="353"/>
      <c r="AY132" s="494"/>
      <c r="AZ132" s="495"/>
      <c r="BA132" s="353"/>
      <c r="BB132" s="353" t="str">
        <f>$F132</f>
        <v/>
      </c>
      <c r="BC132" s="353"/>
      <c r="BD132" s="353"/>
      <c r="BE132" s="494"/>
      <c r="BF132" s="351"/>
      <c r="BG132" s="353"/>
      <c r="BH132" s="353">
        <v>156000.0</v>
      </c>
      <c r="BI132" s="353"/>
      <c r="BJ132" s="353"/>
      <c r="BK132" s="493"/>
      <c r="BL132" s="351"/>
      <c r="BM132" s="353"/>
      <c r="BN132" s="353" t="str">
        <f>$F132</f>
        <v/>
      </c>
      <c r="BO132" s="353"/>
      <c r="BP132" s="353"/>
      <c r="BQ132" s="493"/>
      <c r="BR132" s="351"/>
      <c r="BS132" s="353"/>
      <c r="BT132" s="353" t="str">
        <f>$F132</f>
        <v/>
      </c>
      <c r="BU132" s="353"/>
      <c r="BV132" s="353"/>
      <c r="BW132" s="533"/>
      <c r="BX132" s="213"/>
      <c r="BY132" s="213"/>
      <c r="BZ132" s="213"/>
      <c r="CA132" s="213"/>
      <c r="CB132" s="213"/>
      <c r="CC132" s="213"/>
      <c r="CD132" s="213"/>
      <c r="CE132" s="213"/>
      <c r="CF132" s="213"/>
      <c r="CG132" s="213"/>
      <c r="CH132" s="213"/>
      <c r="CI132" s="213"/>
      <c r="CJ132" s="213"/>
      <c r="CK132" s="213"/>
      <c r="CL132" s="213"/>
      <c r="CM132" s="213"/>
      <c r="CN132" s="213"/>
      <c r="CO132" s="213"/>
      <c r="CP132" s="213"/>
      <c r="CQ132" s="213"/>
    </row>
    <row r="133" ht="15.75" customHeight="1">
      <c r="A133" s="213"/>
      <c r="B133" s="540"/>
      <c r="C133" s="502"/>
      <c r="D133" s="363"/>
      <c r="E133" s="365"/>
      <c r="F133" s="365"/>
      <c r="G133" s="365"/>
      <c r="H133" s="365"/>
      <c r="I133" s="503"/>
      <c r="J133" s="363"/>
      <c r="K133" s="365"/>
      <c r="L133" s="365"/>
      <c r="M133" s="365"/>
      <c r="N133" s="365"/>
      <c r="O133" s="526"/>
      <c r="P133" s="363"/>
      <c r="Q133" s="365"/>
      <c r="R133" s="365"/>
      <c r="S133" s="365"/>
      <c r="T133" s="365"/>
      <c r="U133" s="526"/>
      <c r="V133" s="363"/>
      <c r="W133" s="365"/>
      <c r="X133" s="365"/>
      <c r="Y133" s="365"/>
      <c r="Z133" s="365"/>
      <c r="AA133" s="526"/>
      <c r="AB133" s="363"/>
      <c r="AC133" s="365"/>
      <c r="AD133" s="365"/>
      <c r="AE133" s="365"/>
      <c r="AF133" s="365"/>
      <c r="AG133" s="365"/>
      <c r="AH133" s="363"/>
      <c r="AI133" s="365"/>
      <c r="AJ133" s="365"/>
      <c r="AK133" s="365"/>
      <c r="AL133" s="365"/>
      <c r="AM133" s="365"/>
      <c r="AN133" s="363"/>
      <c r="AO133" s="365"/>
      <c r="AP133" s="365"/>
      <c r="AQ133" s="365"/>
      <c r="AR133" s="365"/>
      <c r="AS133" s="365"/>
      <c r="AT133" s="363"/>
      <c r="AU133" s="365"/>
      <c r="AV133" s="365"/>
      <c r="AW133" s="365"/>
      <c r="AX133" s="365"/>
      <c r="AY133" s="504"/>
      <c r="AZ133" s="505"/>
      <c r="BA133" s="365"/>
      <c r="BB133" s="365"/>
      <c r="BC133" s="365"/>
      <c r="BD133" s="365"/>
      <c r="BE133" s="504"/>
      <c r="BF133" s="363"/>
      <c r="BG133" s="365"/>
      <c r="BH133" s="365"/>
      <c r="BI133" s="365"/>
      <c r="BJ133" s="365"/>
      <c r="BK133" s="503"/>
      <c r="BL133" s="363"/>
      <c r="BM133" s="365"/>
      <c r="BN133" s="365"/>
      <c r="BO133" s="365"/>
      <c r="BP133" s="365"/>
      <c r="BQ133" s="503"/>
      <c r="BR133" s="506"/>
      <c r="BS133" s="365"/>
      <c r="BT133" s="365"/>
      <c r="BU133" s="365"/>
      <c r="BV133" s="365"/>
      <c r="BW133" s="535"/>
      <c r="BX133" s="213"/>
      <c r="BY133" s="213"/>
      <c r="BZ133" s="213"/>
      <c r="CA133" s="213"/>
      <c r="CB133" s="213"/>
      <c r="CC133" s="213"/>
      <c r="CD133" s="213"/>
      <c r="CE133" s="213"/>
      <c r="CF133" s="213"/>
      <c r="CG133" s="213"/>
      <c r="CH133" s="213"/>
      <c r="CI133" s="213"/>
      <c r="CJ133" s="213"/>
      <c r="CK133" s="213"/>
      <c r="CL133" s="213"/>
      <c r="CM133" s="213"/>
      <c r="CN133" s="213"/>
      <c r="CO133" s="213"/>
      <c r="CP133" s="213"/>
      <c r="CQ133" s="213"/>
    </row>
    <row r="134" ht="15.75" customHeight="1">
      <c r="A134" s="213"/>
      <c r="B134" s="483"/>
      <c r="C134" s="483" t="s">
        <v>293</v>
      </c>
      <c r="D134" s="373">
        <f>D44+D53+D63+D70+D77+D88+D95+D106+D123+D130</f>
        <v>5281622.567</v>
      </c>
      <c r="E134" s="375"/>
      <c r="F134" s="375" t="str">
        <f>#REF!+F53+F63+F70+F77+F88+F95+F106+F123+F130</f>
        <v>#REF!</v>
      </c>
      <c r="G134" s="375"/>
      <c r="H134" s="375">
        <f>H44+H53+H63+H70+H77+H88+H95+H106+H123+H130</f>
        <v>-136538.8867</v>
      </c>
      <c r="I134" s="484" t="str">
        <f>IFERROR((H134)/F134,"")</f>
        <v/>
      </c>
      <c r="J134" s="373">
        <f>J44+J53+J63+J70+J77+J88+J95+J106+J123+J130</f>
        <v>5982635.773</v>
      </c>
      <c r="K134" s="375"/>
      <c r="L134" s="375">
        <f>O44+L53+L63+L70+L77+L88+L95+L106+L123+L130</f>
        <v>4755554.833</v>
      </c>
      <c r="M134" s="375"/>
      <c r="N134" s="375"/>
      <c r="O134" s="527"/>
      <c r="P134" s="373">
        <f>P44+P53+P63+P70+P77+P88+P95+P106+P123+P130</f>
        <v>6884744.217</v>
      </c>
      <c r="Q134" s="375"/>
      <c r="R134" s="375">
        <f>U44+R53+R63+R70+R77+R88+R95+R106+R123+R130</f>
        <v>4784459.833</v>
      </c>
      <c r="S134" s="375"/>
      <c r="T134" s="375"/>
      <c r="U134" s="527"/>
      <c r="V134" s="373">
        <f>V44+V53+V63+V70+V77+V88+V95+V106+V123+V130</f>
        <v>5304403.961</v>
      </c>
      <c r="W134" s="375"/>
      <c r="X134" s="375">
        <f>AA44+X53+X63+X70+X77+X88+X95+X106+X123+X130</f>
        <v>4734984.833</v>
      </c>
      <c r="Y134" s="375"/>
      <c r="Z134" s="375"/>
      <c r="AA134" s="527"/>
      <c r="AB134" s="373">
        <f>AB44+AB53+AB63+AB70+AB77+AB88+AB95+AB106+AB123+AB130</f>
        <v>5251924.017</v>
      </c>
      <c r="AC134" s="375"/>
      <c r="AD134" s="375">
        <f>AD44+AD53+AD63+AD70+AD77+AD88+AD95+AD106+AD123+AD130</f>
        <v>4731834.833</v>
      </c>
      <c r="AE134" s="375"/>
      <c r="AF134" s="375"/>
      <c r="AG134" s="375"/>
      <c r="AH134" s="373">
        <f>AH44+AH53+AH63+AH70+AH77+AH88+AH95+AH106+AH123+AH130</f>
        <v>5264040.797</v>
      </c>
      <c r="AI134" s="375"/>
      <c r="AJ134" s="375">
        <f>AJ44+AJ53+AJ63+AJ70+AJ77+AJ88+AJ95+AJ106+AJ123+AJ130</f>
        <v>4741156.833</v>
      </c>
      <c r="AK134" s="375"/>
      <c r="AL134" s="375"/>
      <c r="AM134" s="375"/>
      <c r="AN134" s="373">
        <f>AN44+AN53+AN63+AN70+AN77+AN88+AN95+AN106+AN123+AN130</f>
        <v>8483055.518</v>
      </c>
      <c r="AO134" s="375"/>
      <c r="AP134" s="375">
        <f>AP44+AP53+AP63+AP70+AP77+AP88+AP95+AP106+AP123+AP130</f>
        <v>7504135.823</v>
      </c>
      <c r="AQ134" s="375"/>
      <c r="AR134" s="375"/>
      <c r="AS134" s="375"/>
      <c r="AT134" s="375">
        <f>AT44+AT53+AT63+AT70+AT77+AT88+AT95+AT106+AT123+AT130</f>
        <v>5935328.274</v>
      </c>
      <c r="AU134" s="375"/>
      <c r="AV134" s="375">
        <f>AV44+AV53+AV63+AV70+AV77+AV88+AV95+AV106+AV123+AV130</f>
        <v>4741156.833</v>
      </c>
      <c r="AW134" s="375"/>
      <c r="AX134" s="375"/>
      <c r="AY134" s="485"/>
      <c r="AZ134" s="375">
        <f>AZ44+AZ53+AZ63+AZ70+AZ77+AZ88+AZ95+AZ106+AZ123+AZ130</f>
        <v>1886006.861</v>
      </c>
      <c r="BA134" s="375"/>
      <c r="BB134" s="375">
        <f>BB44+BB53+BB63+BB70+BB77+BB88+BB95+BB106+BB123+BB130</f>
        <v>4741156.833</v>
      </c>
      <c r="BC134" s="375"/>
      <c r="BD134" s="375"/>
      <c r="BE134" s="485"/>
      <c r="BF134" s="373">
        <f>BF44+BF53+BF63+BF70+BF77+BF88+BF95+BF106+BF123+BF130</f>
        <v>6227547.224</v>
      </c>
      <c r="BG134" s="375"/>
      <c r="BH134" s="375">
        <f>BH44+BH53+BH63+BH70+BH77+BH88+BH95+BH106+BH123+BH130</f>
        <v>4847156.833</v>
      </c>
      <c r="BI134" s="375"/>
      <c r="BJ134" s="375"/>
      <c r="BK134" s="484"/>
      <c r="BL134" s="375">
        <f>BL44+BL53+BL63+BL70+BL77+BL88+BL95+BL106+BL123+BL130</f>
        <v>5911070.564</v>
      </c>
      <c r="BM134" s="375"/>
      <c r="BN134" s="375">
        <f>BN44+BN53+BN63+BN70+BN77+BN88+BN95+BN106+BN123+BN130</f>
        <v>4741156.833</v>
      </c>
      <c r="BO134" s="375"/>
      <c r="BP134" s="375"/>
      <c r="BQ134" s="484"/>
      <c r="BR134" s="375">
        <f>BR44+BR53+BR63+BR70+BR77+BR88+BR95+BR106+BR123+BR130</f>
        <v>10503188.06</v>
      </c>
      <c r="BS134" s="375"/>
      <c r="BT134" s="375">
        <f>BT44+BT53+BT63+BT70+BT77+BT88+BT95+BT106+BT123+BT130</f>
        <v>4741156.833</v>
      </c>
      <c r="BU134" s="375"/>
      <c r="BV134" s="375"/>
      <c r="BW134" s="528"/>
      <c r="BX134" s="213"/>
      <c r="BY134" s="213"/>
      <c r="BZ134" s="213"/>
      <c r="CA134" s="213"/>
      <c r="CB134" s="213"/>
      <c r="CC134" s="213"/>
      <c r="CD134" s="213"/>
      <c r="CE134" s="213"/>
      <c r="CF134" s="213"/>
      <c r="CG134" s="213"/>
      <c r="CH134" s="213"/>
      <c r="CI134" s="213"/>
      <c r="CJ134" s="213"/>
      <c r="CK134" s="213"/>
      <c r="CL134" s="213"/>
      <c r="CM134" s="213"/>
      <c r="CN134" s="213"/>
      <c r="CO134" s="213"/>
      <c r="CP134" s="213"/>
      <c r="CQ134" s="213"/>
    </row>
    <row r="135" ht="15.75" customHeight="1">
      <c r="A135" s="213"/>
      <c r="B135" s="476"/>
      <c r="C135" s="476"/>
      <c r="D135" s="417"/>
      <c r="E135" s="419"/>
      <c r="F135" s="419"/>
      <c r="G135" s="419"/>
      <c r="H135" s="419"/>
      <c r="I135" s="541"/>
      <c r="J135" s="417"/>
      <c r="K135" s="419"/>
      <c r="L135" s="419"/>
      <c r="M135" s="419"/>
      <c r="N135" s="419"/>
      <c r="O135" s="542"/>
      <c r="P135" s="417"/>
      <c r="Q135" s="419"/>
      <c r="R135" s="419"/>
      <c r="S135" s="419"/>
      <c r="T135" s="419"/>
      <c r="U135" s="542"/>
      <c r="V135" s="417"/>
      <c r="W135" s="419"/>
      <c r="X135" s="419"/>
      <c r="Y135" s="419"/>
      <c r="Z135" s="419"/>
      <c r="AA135" s="542"/>
      <c r="AB135" s="417"/>
      <c r="AC135" s="419"/>
      <c r="AD135" s="419"/>
      <c r="AE135" s="419"/>
      <c r="AF135" s="419"/>
      <c r="AG135" s="419"/>
      <c r="AH135" s="417"/>
      <c r="AI135" s="419"/>
      <c r="AJ135" s="419"/>
      <c r="AK135" s="419"/>
      <c r="AL135" s="419"/>
      <c r="AM135" s="419"/>
      <c r="AN135" s="417"/>
      <c r="AO135" s="419"/>
      <c r="AP135" s="419"/>
      <c r="AQ135" s="419"/>
      <c r="AR135" s="419"/>
      <c r="AS135" s="419"/>
      <c r="AT135" s="417"/>
      <c r="AU135" s="419"/>
      <c r="AV135" s="419"/>
      <c r="AW135" s="419"/>
      <c r="AX135" s="419"/>
      <c r="AY135" s="543"/>
      <c r="AZ135" s="544"/>
      <c r="BA135" s="419"/>
      <c r="BB135" s="419"/>
      <c r="BC135" s="419"/>
      <c r="BD135" s="419"/>
      <c r="BE135" s="543"/>
      <c r="BF135" s="417"/>
      <c r="BG135" s="419"/>
      <c r="BH135" s="419"/>
      <c r="BI135" s="419"/>
      <c r="BJ135" s="419"/>
      <c r="BK135" s="541"/>
      <c r="BL135" s="419"/>
      <c r="BM135" s="419"/>
      <c r="BN135" s="419"/>
      <c r="BO135" s="419"/>
      <c r="BP135" s="419"/>
      <c r="BQ135" s="541"/>
      <c r="BR135" s="545"/>
      <c r="BS135" s="419"/>
      <c r="BT135" s="419"/>
      <c r="BU135" s="419"/>
      <c r="BV135" s="419"/>
      <c r="BW135" s="546"/>
      <c r="BX135" s="213"/>
      <c r="BY135" s="213"/>
      <c r="BZ135" s="213"/>
      <c r="CA135" s="213"/>
      <c r="CB135" s="213"/>
      <c r="CC135" s="213"/>
      <c r="CD135" s="213"/>
      <c r="CE135" s="213"/>
      <c r="CF135" s="213"/>
      <c r="CG135" s="213"/>
      <c r="CH135" s="213"/>
      <c r="CI135" s="213"/>
      <c r="CJ135" s="213"/>
      <c r="CK135" s="213"/>
      <c r="CL135" s="213"/>
      <c r="CM135" s="213"/>
      <c r="CN135" s="213"/>
      <c r="CO135" s="213"/>
      <c r="CP135" s="213"/>
      <c r="CQ135" s="213"/>
    </row>
    <row r="136" ht="15.75" customHeight="1">
      <c r="A136" s="213"/>
      <c r="B136" s="483"/>
      <c r="C136" s="483" t="s">
        <v>294</v>
      </c>
      <c r="D136" s="373">
        <f>D35-D134</f>
        <v>-5281622.567</v>
      </c>
      <c r="E136" s="375"/>
      <c r="F136" s="375" t="str">
        <f>#REF!-F134</f>
        <v>#REF!</v>
      </c>
      <c r="G136" s="375"/>
      <c r="H136" s="375">
        <f>H134</f>
        <v>-136538.8867</v>
      </c>
      <c r="I136" s="484" t="str">
        <f>IFERROR((H136)/F136,"")</f>
        <v/>
      </c>
      <c r="J136" s="373">
        <f>J35-J134</f>
        <v>-5982635.773</v>
      </c>
      <c r="K136" s="375"/>
      <c r="L136" s="375">
        <f>O35-L134</f>
        <v>-4755554.833</v>
      </c>
      <c r="M136" s="375"/>
      <c r="N136" s="375"/>
      <c r="O136" s="527"/>
      <c r="P136" s="373">
        <f>P35-P134</f>
        <v>-6884744.217</v>
      </c>
      <c r="Q136" s="375"/>
      <c r="R136" s="375">
        <f>U35-R134</f>
        <v>-4784459.833</v>
      </c>
      <c r="S136" s="375"/>
      <c r="T136" s="375"/>
      <c r="U136" s="527"/>
      <c r="V136" s="373">
        <f>V35-V134</f>
        <v>-5304403.961</v>
      </c>
      <c r="W136" s="375"/>
      <c r="X136" s="375">
        <f>AA35-X134</f>
        <v>-4734984.833</v>
      </c>
      <c r="Y136" s="375"/>
      <c r="Z136" s="375"/>
      <c r="AA136" s="527"/>
      <c r="AB136" s="373">
        <f>AB35-AB134</f>
        <v>-6720534.017</v>
      </c>
      <c r="AC136" s="375"/>
      <c r="AD136" s="375">
        <f>AD35-AD134</f>
        <v>-4731834.833</v>
      </c>
      <c r="AE136" s="375"/>
      <c r="AF136" s="375"/>
      <c r="AG136" s="375"/>
      <c r="AH136" s="373">
        <f>AH35-AH134</f>
        <v>-5264040.797</v>
      </c>
      <c r="AI136" s="375"/>
      <c r="AJ136" s="375">
        <f>AJ35-AJ134</f>
        <v>-4741156.833</v>
      </c>
      <c r="AK136" s="375"/>
      <c r="AL136" s="375"/>
      <c r="AM136" s="375"/>
      <c r="AN136" s="373">
        <f>AN35-AN134</f>
        <v>-8483055.518</v>
      </c>
      <c r="AO136" s="375"/>
      <c r="AP136" s="375">
        <f>AP35-AP134</f>
        <v>-7504135.823</v>
      </c>
      <c r="AQ136" s="375"/>
      <c r="AR136" s="375"/>
      <c r="AS136" s="375"/>
      <c r="AT136" s="375">
        <f>AT35-AT134</f>
        <v>-5935328.274</v>
      </c>
      <c r="AU136" s="375"/>
      <c r="AV136" s="375">
        <f>AV35-AV134</f>
        <v>-4741156.833</v>
      </c>
      <c r="AW136" s="375"/>
      <c r="AX136" s="375"/>
      <c r="AY136" s="485"/>
      <c r="AZ136" s="375">
        <f>AZ35-AZ134</f>
        <v>-1886006.861</v>
      </c>
      <c r="BA136" s="375"/>
      <c r="BB136" s="375">
        <f>BB35-BB134</f>
        <v>-4741156.833</v>
      </c>
      <c r="BC136" s="375"/>
      <c r="BD136" s="375"/>
      <c r="BE136" s="485"/>
      <c r="BF136" s="373">
        <f>BF35-BF134</f>
        <v>-6227547.224</v>
      </c>
      <c r="BG136" s="375"/>
      <c r="BH136" s="375">
        <f>BH35-BH134</f>
        <v>-4847156.833</v>
      </c>
      <c r="BI136" s="375"/>
      <c r="BJ136" s="375"/>
      <c r="BK136" s="484"/>
      <c r="BL136" s="375">
        <f>BL35-BL134</f>
        <v>-5911070.564</v>
      </c>
      <c r="BM136" s="375"/>
      <c r="BN136" s="375">
        <f>BN35-BN134</f>
        <v>-4741156.833</v>
      </c>
      <c r="BO136" s="375"/>
      <c r="BP136" s="375"/>
      <c r="BQ136" s="484"/>
      <c r="BR136" s="375">
        <f>BR35-BR134</f>
        <v>-10503188.06</v>
      </c>
      <c r="BS136" s="375"/>
      <c r="BT136" s="375">
        <f>BT35-BT134</f>
        <v>-4741156.833</v>
      </c>
      <c r="BU136" s="375"/>
      <c r="BV136" s="375"/>
      <c r="BW136" s="528"/>
      <c r="BX136" s="213"/>
      <c r="BY136" s="213"/>
      <c r="BZ136" s="213"/>
      <c r="CA136" s="213"/>
      <c r="CB136" s="213"/>
      <c r="CC136" s="213"/>
      <c r="CD136" s="213"/>
      <c r="CE136" s="213"/>
      <c r="CF136" s="213"/>
      <c r="CG136" s="213"/>
      <c r="CH136" s="213"/>
      <c r="CI136" s="213"/>
      <c r="CJ136" s="213"/>
      <c r="CK136" s="213"/>
      <c r="CL136" s="213"/>
      <c r="CM136" s="213"/>
      <c r="CN136" s="213"/>
      <c r="CO136" s="213"/>
      <c r="CP136" s="213"/>
      <c r="CQ136" s="213"/>
    </row>
    <row r="137" ht="15.75" customHeight="1">
      <c r="A137" s="213"/>
      <c r="B137" s="213"/>
      <c r="C137" s="213"/>
      <c r="D137" s="213"/>
      <c r="E137" s="213"/>
      <c r="F137" s="213"/>
      <c r="G137" s="213"/>
      <c r="H137" s="213"/>
      <c r="I137" s="213"/>
      <c r="J137" s="216"/>
      <c r="K137" s="213"/>
      <c r="L137" s="213"/>
      <c r="M137" s="213"/>
      <c r="N137" s="213"/>
      <c r="O137" s="213"/>
      <c r="P137" s="216"/>
      <c r="Q137" s="213"/>
      <c r="R137" s="213"/>
      <c r="S137" s="213"/>
      <c r="T137" s="213"/>
      <c r="U137" s="213"/>
      <c r="V137" s="216"/>
      <c r="W137" s="213"/>
      <c r="X137" s="213"/>
      <c r="Y137" s="213"/>
      <c r="Z137" s="213"/>
      <c r="AA137" s="213"/>
      <c r="AB137" s="216"/>
      <c r="AC137" s="213"/>
      <c r="AD137" s="213"/>
      <c r="AE137" s="213"/>
      <c r="AF137" s="213"/>
      <c r="AG137" s="213"/>
      <c r="AH137" s="216"/>
      <c r="AI137" s="213"/>
      <c r="AJ137" s="213"/>
      <c r="AK137" s="213"/>
      <c r="AL137" s="213"/>
      <c r="AM137" s="213"/>
      <c r="AN137" s="216"/>
      <c r="AO137" s="213"/>
      <c r="AP137" s="213"/>
      <c r="AQ137" s="213"/>
      <c r="AR137" s="213"/>
      <c r="AS137" s="213"/>
      <c r="AT137" s="216"/>
      <c r="AU137" s="213"/>
      <c r="AV137" s="213"/>
      <c r="AW137" s="213"/>
      <c r="AX137" s="213"/>
      <c r="AY137" s="213"/>
      <c r="AZ137" s="213"/>
      <c r="BA137" s="213"/>
      <c r="BB137" s="213"/>
      <c r="BC137" s="213"/>
      <c r="BD137" s="213"/>
      <c r="BE137" s="213"/>
      <c r="BF137" s="216"/>
      <c r="BG137" s="213"/>
      <c r="BH137" s="213"/>
      <c r="BI137" s="213"/>
      <c r="BJ137" s="213"/>
      <c r="BK137" s="213"/>
      <c r="BL137" s="213"/>
      <c r="BM137" s="213"/>
      <c r="BN137" s="213"/>
      <c r="BO137" s="213"/>
      <c r="BP137" s="213"/>
      <c r="BQ137" s="213"/>
      <c r="BR137" s="454"/>
      <c r="BS137" s="213"/>
      <c r="BT137" s="213"/>
      <c r="BU137" s="213"/>
      <c r="BV137" s="213"/>
      <c r="BW137" s="213"/>
      <c r="BX137" s="213"/>
      <c r="BY137" s="213"/>
      <c r="BZ137" s="213"/>
      <c r="CA137" s="213"/>
      <c r="CB137" s="213"/>
      <c r="CC137" s="213"/>
      <c r="CD137" s="213"/>
      <c r="CE137" s="213"/>
      <c r="CF137" s="213"/>
      <c r="CG137" s="213"/>
      <c r="CH137" s="213"/>
      <c r="CI137" s="213"/>
      <c r="CJ137" s="213"/>
      <c r="CK137" s="213"/>
      <c r="CL137" s="213"/>
      <c r="CM137" s="213"/>
      <c r="CN137" s="213"/>
      <c r="CO137" s="213"/>
      <c r="CP137" s="213"/>
      <c r="CQ137" s="213"/>
    </row>
    <row r="138" ht="15.75" customHeight="1">
      <c r="A138" s="213"/>
      <c r="B138" s="213"/>
      <c r="C138" s="213"/>
      <c r="D138" s="213"/>
      <c r="E138" s="213"/>
      <c r="F138" s="213"/>
      <c r="G138" s="213"/>
      <c r="H138" s="213"/>
      <c r="I138" s="213"/>
      <c r="J138" s="216"/>
      <c r="K138" s="213"/>
      <c r="L138" s="213"/>
      <c r="M138" s="213"/>
      <c r="N138" s="213"/>
      <c r="O138" s="213"/>
      <c r="P138" s="216"/>
      <c r="Q138" s="213"/>
      <c r="R138" s="213"/>
      <c r="S138" s="213"/>
      <c r="T138" s="213"/>
      <c r="U138" s="213"/>
      <c r="V138" s="216"/>
      <c r="W138" s="213"/>
      <c r="X138" s="213"/>
      <c r="Y138" s="213"/>
      <c r="Z138" s="213"/>
      <c r="AA138" s="213"/>
      <c r="AB138" s="216"/>
      <c r="AC138" s="213"/>
      <c r="AD138" s="213"/>
      <c r="AE138" s="213"/>
      <c r="AF138" s="213"/>
      <c r="AG138" s="213"/>
      <c r="AH138" s="216"/>
      <c r="AI138" s="213"/>
      <c r="AJ138" s="213"/>
      <c r="AK138" s="213"/>
      <c r="AL138" s="213"/>
      <c r="AM138" s="213"/>
      <c r="AN138" s="216"/>
      <c r="AO138" s="213"/>
      <c r="AP138" s="213"/>
      <c r="AQ138" s="213"/>
      <c r="AR138" s="213"/>
      <c r="AS138" s="213"/>
      <c r="AT138" s="216"/>
      <c r="AU138" s="213"/>
      <c r="AV138" s="213"/>
      <c r="AW138" s="213"/>
      <c r="AX138" s="213"/>
      <c r="AY138" s="213"/>
      <c r="AZ138" s="213"/>
      <c r="BA138" s="213"/>
      <c r="BB138" s="213"/>
      <c r="BC138" s="213"/>
      <c r="BD138" s="213"/>
      <c r="BE138" s="213"/>
      <c r="BF138" s="216"/>
      <c r="BG138" s="213"/>
      <c r="BH138" s="213"/>
      <c r="BI138" s="213"/>
      <c r="BJ138" s="213"/>
      <c r="BK138" s="213"/>
      <c r="BL138" s="213"/>
      <c r="BM138" s="213"/>
      <c r="BN138" s="213"/>
      <c r="BO138" s="213"/>
      <c r="BP138" s="213"/>
      <c r="BQ138" s="213"/>
      <c r="BR138" s="454"/>
      <c r="BS138" s="213"/>
      <c r="BT138" s="213"/>
      <c r="BU138" s="213"/>
      <c r="BV138" s="213"/>
      <c r="BW138" s="213"/>
      <c r="BX138" s="213"/>
      <c r="BY138" s="213"/>
      <c r="BZ138" s="213"/>
      <c r="CA138" s="213"/>
      <c r="CB138" s="213"/>
      <c r="CC138" s="213"/>
      <c r="CD138" s="213"/>
      <c r="CE138" s="213"/>
      <c r="CF138" s="213"/>
      <c r="CG138" s="213"/>
      <c r="CH138" s="213"/>
      <c r="CI138" s="213"/>
      <c r="CJ138" s="213"/>
      <c r="CK138" s="213"/>
      <c r="CL138" s="213"/>
      <c r="CM138" s="213"/>
      <c r="CN138" s="213"/>
      <c r="CO138" s="213"/>
      <c r="CP138" s="213"/>
      <c r="CQ138" s="213"/>
    </row>
    <row r="139" ht="15.75" customHeight="1">
      <c r="A139" s="213"/>
      <c r="B139" s="213"/>
      <c r="C139" s="213"/>
      <c r="D139" s="213"/>
      <c r="E139" s="213"/>
      <c r="F139" s="213"/>
      <c r="G139" s="213"/>
      <c r="H139" s="213"/>
      <c r="I139" s="213"/>
      <c r="J139" s="216"/>
      <c r="K139" s="213"/>
      <c r="L139" s="213"/>
      <c r="M139" s="213"/>
      <c r="N139" s="213"/>
      <c r="O139" s="213"/>
      <c r="P139" s="216"/>
      <c r="Q139" s="213"/>
      <c r="R139" s="213"/>
      <c r="S139" s="213"/>
      <c r="T139" s="213"/>
      <c r="U139" s="213"/>
      <c r="V139" s="216"/>
      <c r="W139" s="213"/>
      <c r="X139" s="213"/>
      <c r="Y139" s="213"/>
      <c r="Z139" s="213"/>
      <c r="AA139" s="213"/>
      <c r="AB139" s="216"/>
      <c r="AC139" s="213"/>
      <c r="AD139" s="213"/>
      <c r="AE139" s="213"/>
      <c r="AF139" s="213"/>
      <c r="AG139" s="213"/>
      <c r="AH139" s="216"/>
      <c r="AI139" s="213"/>
      <c r="AJ139" s="213"/>
      <c r="AK139" s="213"/>
      <c r="AL139" s="213"/>
      <c r="AM139" s="213"/>
      <c r="AN139" s="216"/>
      <c r="AO139" s="213"/>
      <c r="AP139" s="213"/>
      <c r="AQ139" s="213"/>
      <c r="AR139" s="213"/>
      <c r="AS139" s="213"/>
      <c r="AT139" s="216"/>
      <c r="AU139" s="213"/>
      <c r="AV139" s="213"/>
      <c r="AW139" s="213"/>
      <c r="AX139" s="213"/>
      <c r="AY139" s="213"/>
      <c r="AZ139" s="213"/>
      <c r="BA139" s="213"/>
      <c r="BB139" s="213"/>
      <c r="BC139" s="213"/>
      <c r="BD139" s="213"/>
      <c r="BE139" s="213"/>
      <c r="BF139" s="216"/>
      <c r="BG139" s="213"/>
      <c r="BH139" s="213"/>
      <c r="BI139" s="213"/>
      <c r="BJ139" s="213"/>
      <c r="BK139" s="213"/>
      <c r="BL139" s="213"/>
      <c r="BM139" s="213"/>
      <c r="BN139" s="213"/>
      <c r="BO139" s="213"/>
      <c r="BP139" s="213"/>
      <c r="BQ139" s="213"/>
      <c r="BR139" s="454"/>
      <c r="BS139" s="213"/>
      <c r="BT139" s="213"/>
      <c r="BU139" s="213"/>
      <c r="BV139" s="213"/>
      <c r="BW139" s="213"/>
      <c r="BX139" s="213"/>
      <c r="BY139" s="213"/>
      <c r="BZ139" s="213"/>
      <c r="CA139" s="213"/>
      <c r="CB139" s="213"/>
      <c r="CC139" s="213"/>
      <c r="CD139" s="213"/>
      <c r="CE139" s="213"/>
      <c r="CF139" s="213"/>
      <c r="CG139" s="213"/>
      <c r="CH139" s="213"/>
      <c r="CI139" s="213"/>
      <c r="CJ139" s="213"/>
      <c r="CK139" s="213"/>
      <c r="CL139" s="213"/>
      <c r="CM139" s="213"/>
      <c r="CN139" s="213"/>
      <c r="CO139" s="213"/>
      <c r="CP139" s="213"/>
      <c r="CQ139" s="213"/>
    </row>
    <row r="140" ht="15.75" customHeight="1">
      <c r="A140" s="213"/>
      <c r="B140" s="213"/>
      <c r="C140" s="213"/>
      <c r="D140" s="213"/>
      <c r="E140" s="213"/>
      <c r="F140" s="213"/>
      <c r="G140" s="213"/>
      <c r="H140" s="213"/>
      <c r="I140" s="213"/>
      <c r="J140" s="216"/>
      <c r="K140" s="213"/>
      <c r="L140" s="213"/>
      <c r="M140" s="213"/>
      <c r="N140" s="213"/>
      <c r="O140" s="213"/>
      <c r="P140" s="216"/>
      <c r="Q140" s="213"/>
      <c r="R140" s="213"/>
      <c r="S140" s="213"/>
      <c r="T140" s="213"/>
      <c r="U140" s="213"/>
      <c r="V140" s="216"/>
      <c r="W140" s="213"/>
      <c r="X140" s="213"/>
      <c r="Y140" s="213"/>
      <c r="Z140" s="213"/>
      <c r="AA140" s="213"/>
      <c r="AB140" s="216"/>
      <c r="AC140" s="213"/>
      <c r="AD140" s="213"/>
      <c r="AE140" s="213"/>
      <c r="AF140" s="213"/>
      <c r="AG140" s="213"/>
      <c r="AH140" s="216"/>
      <c r="AI140" s="213"/>
      <c r="AJ140" s="213"/>
      <c r="AK140" s="213"/>
      <c r="AL140" s="213"/>
      <c r="AM140" s="213"/>
      <c r="AN140" s="216"/>
      <c r="AO140" s="213"/>
      <c r="AP140" s="213"/>
      <c r="AQ140" s="213"/>
      <c r="AR140" s="213"/>
      <c r="AS140" s="213"/>
      <c r="AT140" s="216"/>
      <c r="AU140" s="213"/>
      <c r="AV140" s="213"/>
      <c r="AW140" s="213"/>
      <c r="AX140" s="213"/>
      <c r="AY140" s="213"/>
      <c r="AZ140" s="213"/>
      <c r="BA140" s="213"/>
      <c r="BB140" s="213"/>
      <c r="BC140" s="213"/>
      <c r="BD140" s="213"/>
      <c r="BE140" s="213"/>
      <c r="BF140" s="216"/>
      <c r="BG140" s="213"/>
      <c r="BH140" s="213"/>
      <c r="BI140" s="213"/>
      <c r="BJ140" s="213"/>
      <c r="BK140" s="213"/>
      <c r="BL140" s="213"/>
      <c r="BM140" s="213"/>
      <c r="BN140" s="213"/>
      <c r="BO140" s="213"/>
      <c r="BP140" s="213"/>
      <c r="BQ140" s="213"/>
      <c r="BR140" s="454"/>
      <c r="BS140" s="213"/>
      <c r="BT140" s="213"/>
      <c r="BU140" s="213"/>
      <c r="BV140" s="213"/>
      <c r="BW140" s="213"/>
      <c r="BX140" s="213"/>
      <c r="BY140" s="213"/>
      <c r="BZ140" s="213"/>
      <c r="CA140" s="213"/>
      <c r="CB140" s="213"/>
      <c r="CC140" s="213"/>
      <c r="CD140" s="213"/>
      <c r="CE140" s="213"/>
      <c r="CF140" s="213"/>
      <c r="CG140" s="213"/>
      <c r="CH140" s="213"/>
      <c r="CI140" s="213"/>
      <c r="CJ140" s="213"/>
      <c r="CK140" s="213"/>
      <c r="CL140" s="213"/>
      <c r="CM140" s="213"/>
      <c r="CN140" s="213"/>
      <c r="CO140" s="213"/>
      <c r="CP140" s="213"/>
      <c r="CQ140" s="213"/>
    </row>
    <row r="141" ht="15.75" customHeight="1">
      <c r="A141" s="213"/>
      <c r="B141" s="213"/>
      <c r="C141" s="213"/>
      <c r="D141" s="213"/>
      <c r="E141" s="213"/>
      <c r="F141" s="213"/>
      <c r="G141" s="213"/>
      <c r="H141" s="213"/>
      <c r="I141" s="213"/>
      <c r="J141" s="216"/>
      <c r="K141" s="213"/>
      <c r="L141" s="213"/>
      <c r="M141" s="213"/>
      <c r="N141" s="213"/>
      <c r="O141" s="213"/>
      <c r="P141" s="216"/>
      <c r="Q141" s="213"/>
      <c r="R141" s="213"/>
      <c r="S141" s="213"/>
      <c r="T141" s="213"/>
      <c r="U141" s="213"/>
      <c r="V141" s="216"/>
      <c r="W141" s="213"/>
      <c r="X141" s="213"/>
      <c r="Y141" s="213"/>
      <c r="Z141" s="213"/>
      <c r="AA141" s="213"/>
      <c r="AB141" s="216"/>
      <c r="AC141" s="213"/>
      <c r="AD141" s="213"/>
      <c r="AE141" s="213"/>
      <c r="AF141" s="213"/>
      <c r="AG141" s="213"/>
      <c r="AH141" s="216"/>
      <c r="AI141" s="213"/>
      <c r="AJ141" s="213"/>
      <c r="AK141" s="213"/>
      <c r="AL141" s="213"/>
      <c r="AM141" s="213"/>
      <c r="AN141" s="216"/>
      <c r="AO141" s="213"/>
      <c r="AP141" s="213"/>
      <c r="AQ141" s="213"/>
      <c r="AR141" s="213"/>
      <c r="AS141" s="213"/>
      <c r="AT141" s="216"/>
      <c r="AU141" s="213"/>
      <c r="AV141" s="213"/>
      <c r="AW141" s="213"/>
      <c r="AX141" s="213"/>
      <c r="AY141" s="213"/>
      <c r="AZ141" s="213"/>
      <c r="BA141" s="213"/>
      <c r="BB141" s="213"/>
      <c r="BC141" s="213"/>
      <c r="BD141" s="213"/>
      <c r="BE141" s="213"/>
      <c r="BF141" s="216"/>
      <c r="BG141" s="213"/>
      <c r="BH141" s="213"/>
      <c r="BI141" s="213"/>
      <c r="BJ141" s="213"/>
      <c r="BK141" s="213"/>
      <c r="BL141" s="213"/>
      <c r="BM141" s="213"/>
      <c r="BN141" s="213"/>
      <c r="BO141" s="213"/>
      <c r="BP141" s="213"/>
      <c r="BQ141" s="213"/>
      <c r="BR141" s="454"/>
      <c r="BS141" s="213"/>
      <c r="BT141" s="213"/>
      <c r="BU141" s="213"/>
      <c r="BV141" s="213"/>
      <c r="BW141" s="213"/>
      <c r="BX141" s="213"/>
      <c r="BY141" s="213"/>
      <c r="BZ141" s="213"/>
      <c r="CA141" s="213"/>
      <c r="CB141" s="213"/>
      <c r="CC141" s="213"/>
      <c r="CD141" s="213"/>
      <c r="CE141" s="213"/>
      <c r="CF141" s="213"/>
      <c r="CG141" s="213"/>
      <c r="CH141" s="213"/>
      <c r="CI141" s="213"/>
      <c r="CJ141" s="213"/>
      <c r="CK141" s="213"/>
      <c r="CL141" s="213"/>
      <c r="CM141" s="213"/>
      <c r="CN141" s="213"/>
      <c r="CO141" s="213"/>
      <c r="CP141" s="213"/>
      <c r="CQ141" s="213"/>
    </row>
    <row r="142" ht="15.75" customHeight="1">
      <c r="A142" s="213"/>
      <c r="B142" s="213"/>
      <c r="C142" s="213"/>
      <c r="D142" s="213"/>
      <c r="E142" s="213"/>
      <c r="F142" s="213"/>
      <c r="G142" s="213"/>
      <c r="H142" s="213"/>
      <c r="I142" s="213"/>
      <c r="J142" s="216"/>
      <c r="K142" s="213"/>
      <c r="L142" s="213"/>
      <c r="M142" s="213"/>
      <c r="N142" s="213"/>
      <c r="O142" s="213"/>
      <c r="P142" s="216"/>
      <c r="Q142" s="213"/>
      <c r="R142" s="213"/>
      <c r="S142" s="213"/>
      <c r="T142" s="213"/>
      <c r="U142" s="213"/>
      <c r="V142" s="216"/>
      <c r="W142" s="213"/>
      <c r="X142" s="213"/>
      <c r="Y142" s="213"/>
      <c r="Z142" s="213"/>
      <c r="AA142" s="213"/>
      <c r="AB142" s="216"/>
      <c r="AC142" s="213"/>
      <c r="AD142" s="213"/>
      <c r="AE142" s="213"/>
      <c r="AF142" s="213"/>
      <c r="AG142" s="213"/>
      <c r="AH142" s="216"/>
      <c r="AI142" s="213"/>
      <c r="AJ142" s="213"/>
      <c r="AK142" s="213"/>
      <c r="AL142" s="213"/>
      <c r="AM142" s="213"/>
      <c r="AN142" s="216"/>
      <c r="AO142" s="213"/>
      <c r="AP142" s="213"/>
      <c r="AQ142" s="213"/>
      <c r="AR142" s="213"/>
      <c r="AS142" s="213"/>
      <c r="AT142" s="216"/>
      <c r="AU142" s="213"/>
      <c r="AV142" s="213"/>
      <c r="AW142" s="213"/>
      <c r="AX142" s="213"/>
      <c r="AY142" s="213"/>
      <c r="AZ142" s="213"/>
      <c r="BA142" s="213"/>
      <c r="BB142" s="213"/>
      <c r="BC142" s="213"/>
      <c r="BD142" s="213"/>
      <c r="BE142" s="213"/>
      <c r="BF142" s="216"/>
      <c r="BG142" s="213"/>
      <c r="BH142" s="213"/>
      <c r="BI142" s="213"/>
      <c r="BJ142" s="213"/>
      <c r="BK142" s="213"/>
      <c r="BL142" s="213"/>
      <c r="BM142" s="213"/>
      <c r="BN142" s="213"/>
      <c r="BO142" s="213"/>
      <c r="BP142" s="213"/>
      <c r="BQ142" s="213"/>
      <c r="BR142" s="454"/>
      <c r="BS142" s="213"/>
      <c r="BT142" s="213"/>
      <c r="BU142" s="213"/>
      <c r="BV142" s="213"/>
      <c r="BW142" s="213"/>
      <c r="BX142" s="213"/>
      <c r="BY142" s="213"/>
      <c r="BZ142" s="213"/>
      <c r="CA142" s="213"/>
      <c r="CB142" s="213"/>
      <c r="CC142" s="213"/>
      <c r="CD142" s="213"/>
      <c r="CE142" s="213"/>
      <c r="CF142" s="213"/>
      <c r="CG142" s="213"/>
      <c r="CH142" s="213"/>
      <c r="CI142" s="213"/>
      <c r="CJ142" s="213"/>
      <c r="CK142" s="213"/>
      <c r="CL142" s="213"/>
      <c r="CM142" s="213"/>
      <c r="CN142" s="213"/>
      <c r="CO142" s="213"/>
      <c r="CP142" s="213"/>
      <c r="CQ142" s="213"/>
    </row>
    <row r="143" ht="15.75" customHeight="1">
      <c r="A143" s="213"/>
      <c r="B143" s="213"/>
      <c r="C143" s="213"/>
      <c r="D143" s="213"/>
      <c r="E143" s="213"/>
      <c r="F143" s="213"/>
      <c r="G143" s="213"/>
      <c r="H143" s="213"/>
      <c r="I143" s="213"/>
      <c r="J143" s="216"/>
      <c r="K143" s="213"/>
      <c r="L143" s="213"/>
      <c r="M143" s="213"/>
      <c r="N143" s="213"/>
      <c r="O143" s="213"/>
      <c r="P143" s="216"/>
      <c r="Q143" s="213"/>
      <c r="R143" s="213"/>
      <c r="S143" s="213"/>
      <c r="T143" s="213"/>
      <c r="U143" s="213"/>
      <c r="V143" s="216"/>
      <c r="W143" s="213"/>
      <c r="X143" s="213"/>
      <c r="Y143" s="213"/>
      <c r="Z143" s="213"/>
      <c r="AA143" s="213"/>
      <c r="AB143" s="216"/>
      <c r="AC143" s="213"/>
      <c r="AD143" s="213"/>
      <c r="AE143" s="213"/>
      <c r="AF143" s="213"/>
      <c r="AG143" s="213"/>
      <c r="AH143" s="216"/>
      <c r="AI143" s="213"/>
      <c r="AJ143" s="213"/>
      <c r="AK143" s="213"/>
      <c r="AL143" s="213"/>
      <c r="AM143" s="213"/>
      <c r="AN143" s="216"/>
      <c r="AO143" s="213"/>
      <c r="AP143" s="213"/>
      <c r="AQ143" s="213"/>
      <c r="AR143" s="213"/>
      <c r="AS143" s="213"/>
      <c r="AT143" s="216"/>
      <c r="AU143" s="213"/>
      <c r="AV143" s="213"/>
      <c r="AW143" s="213"/>
      <c r="AX143" s="213"/>
      <c r="AY143" s="213"/>
      <c r="AZ143" s="213"/>
      <c r="BA143" s="213"/>
      <c r="BB143" s="213"/>
      <c r="BC143" s="213"/>
      <c r="BD143" s="213"/>
      <c r="BE143" s="213"/>
      <c r="BF143" s="216"/>
      <c r="BG143" s="213"/>
      <c r="BH143" s="213"/>
      <c r="BI143" s="213"/>
      <c r="BJ143" s="213"/>
      <c r="BK143" s="213"/>
      <c r="BL143" s="213"/>
      <c r="BM143" s="213"/>
      <c r="BN143" s="213"/>
      <c r="BO143" s="213"/>
      <c r="BP143" s="213"/>
      <c r="BQ143" s="213"/>
      <c r="BR143" s="454"/>
      <c r="BS143" s="213"/>
      <c r="BT143" s="213"/>
      <c r="BU143" s="213"/>
      <c r="BV143" s="213"/>
      <c r="BW143" s="213"/>
      <c r="BX143" s="213"/>
      <c r="BY143" s="213"/>
      <c r="BZ143" s="213"/>
      <c r="CA143" s="213"/>
      <c r="CB143" s="213"/>
      <c r="CC143" s="213"/>
      <c r="CD143" s="213"/>
      <c r="CE143" s="213"/>
      <c r="CF143" s="213"/>
      <c r="CG143" s="213"/>
      <c r="CH143" s="213"/>
      <c r="CI143" s="213"/>
      <c r="CJ143" s="213"/>
      <c r="CK143" s="213"/>
      <c r="CL143" s="213"/>
      <c r="CM143" s="213"/>
      <c r="CN143" s="213"/>
      <c r="CO143" s="213"/>
      <c r="CP143" s="213"/>
      <c r="CQ143" s="213"/>
    </row>
    <row r="144" ht="15.75" customHeight="1">
      <c r="A144" s="213"/>
      <c r="B144" s="213"/>
      <c r="C144" s="213"/>
      <c r="D144" s="213"/>
      <c r="E144" s="213"/>
      <c r="F144" s="213"/>
      <c r="G144" s="213"/>
      <c r="H144" s="213"/>
      <c r="I144" s="213"/>
      <c r="J144" s="216"/>
      <c r="K144" s="213"/>
      <c r="L144" s="213"/>
      <c r="M144" s="213"/>
      <c r="N144" s="213"/>
      <c r="O144" s="213"/>
      <c r="P144" s="216"/>
      <c r="Q144" s="213"/>
      <c r="R144" s="213"/>
      <c r="S144" s="213"/>
      <c r="T144" s="213"/>
      <c r="U144" s="213"/>
      <c r="V144" s="216"/>
      <c r="W144" s="213"/>
      <c r="X144" s="213"/>
      <c r="Y144" s="213"/>
      <c r="Z144" s="213"/>
      <c r="AA144" s="213"/>
      <c r="AB144" s="216"/>
      <c r="AC144" s="213"/>
      <c r="AD144" s="213"/>
      <c r="AE144" s="213"/>
      <c r="AF144" s="213"/>
      <c r="AG144" s="213"/>
      <c r="AH144" s="216"/>
      <c r="AI144" s="213"/>
      <c r="AJ144" s="213"/>
      <c r="AK144" s="213"/>
      <c r="AL144" s="213"/>
      <c r="AM144" s="213"/>
      <c r="AN144" s="216"/>
      <c r="AO144" s="213"/>
      <c r="AP144" s="213"/>
      <c r="AQ144" s="213"/>
      <c r="AR144" s="213"/>
      <c r="AS144" s="213"/>
      <c r="AT144" s="216"/>
      <c r="AU144" s="213"/>
      <c r="AV144" s="213"/>
      <c r="AW144" s="213"/>
      <c r="AX144" s="213"/>
      <c r="AY144" s="213"/>
      <c r="AZ144" s="213"/>
      <c r="BA144" s="213"/>
      <c r="BB144" s="213"/>
      <c r="BC144" s="213"/>
      <c r="BD144" s="213"/>
      <c r="BE144" s="213"/>
      <c r="BF144" s="216"/>
      <c r="BG144" s="213"/>
      <c r="BH144" s="213"/>
      <c r="BI144" s="213"/>
      <c r="BJ144" s="213"/>
      <c r="BK144" s="213"/>
      <c r="BL144" s="213"/>
      <c r="BM144" s="213"/>
      <c r="BN144" s="213"/>
      <c r="BO144" s="213"/>
      <c r="BP144" s="213"/>
      <c r="BQ144" s="213"/>
      <c r="BR144" s="454"/>
      <c r="BS144" s="213"/>
      <c r="BT144" s="213"/>
      <c r="BU144" s="213"/>
      <c r="BV144" s="213"/>
      <c r="BW144" s="213"/>
      <c r="BX144" s="213"/>
      <c r="BY144" s="213"/>
      <c r="BZ144" s="213"/>
      <c r="CA144" s="213"/>
      <c r="CB144" s="213"/>
      <c r="CC144" s="213"/>
      <c r="CD144" s="213"/>
      <c r="CE144" s="213"/>
      <c r="CF144" s="213"/>
      <c r="CG144" s="213"/>
      <c r="CH144" s="213"/>
      <c r="CI144" s="213"/>
      <c r="CJ144" s="213"/>
      <c r="CK144" s="213"/>
      <c r="CL144" s="213"/>
      <c r="CM144" s="213"/>
      <c r="CN144" s="213"/>
      <c r="CO144" s="213"/>
      <c r="CP144" s="213"/>
      <c r="CQ144" s="213"/>
    </row>
    <row r="145" ht="15.75" customHeight="1">
      <c r="A145" s="213"/>
      <c r="B145" s="213"/>
      <c r="C145" s="213"/>
      <c r="D145" s="213"/>
      <c r="E145" s="213"/>
      <c r="F145" s="213"/>
      <c r="G145" s="213"/>
      <c r="H145" s="213"/>
      <c r="I145" s="213"/>
      <c r="J145" s="216"/>
      <c r="K145" s="213"/>
      <c r="L145" s="213"/>
      <c r="M145" s="213"/>
      <c r="N145" s="213"/>
      <c r="O145" s="213"/>
      <c r="P145" s="216"/>
      <c r="Q145" s="213"/>
      <c r="R145" s="213"/>
      <c r="S145" s="213"/>
      <c r="T145" s="213"/>
      <c r="U145" s="213"/>
      <c r="V145" s="216"/>
      <c r="W145" s="213"/>
      <c r="X145" s="213"/>
      <c r="Y145" s="213"/>
      <c r="Z145" s="213"/>
      <c r="AA145" s="213"/>
      <c r="AB145" s="216"/>
      <c r="AC145" s="213"/>
      <c r="AD145" s="213"/>
      <c r="AE145" s="213"/>
      <c r="AF145" s="213"/>
      <c r="AG145" s="213"/>
      <c r="AH145" s="216"/>
      <c r="AI145" s="213"/>
      <c r="AJ145" s="213"/>
      <c r="AK145" s="213"/>
      <c r="AL145" s="213"/>
      <c r="AM145" s="213"/>
      <c r="AN145" s="216"/>
      <c r="AO145" s="213"/>
      <c r="AP145" s="213"/>
      <c r="AQ145" s="213"/>
      <c r="AR145" s="213"/>
      <c r="AS145" s="213"/>
      <c r="AT145" s="216"/>
      <c r="AU145" s="213"/>
      <c r="AV145" s="213"/>
      <c r="AW145" s="213"/>
      <c r="AX145" s="213"/>
      <c r="AY145" s="213"/>
      <c r="AZ145" s="213"/>
      <c r="BA145" s="213"/>
      <c r="BB145" s="213"/>
      <c r="BC145" s="213"/>
      <c r="BD145" s="213"/>
      <c r="BE145" s="213"/>
      <c r="BF145" s="216"/>
      <c r="BG145" s="213"/>
      <c r="BH145" s="213"/>
      <c r="BI145" s="213"/>
      <c r="BJ145" s="213"/>
      <c r="BK145" s="213"/>
      <c r="BL145" s="213"/>
      <c r="BM145" s="213"/>
      <c r="BN145" s="213"/>
      <c r="BO145" s="213"/>
      <c r="BP145" s="213"/>
      <c r="BQ145" s="213"/>
      <c r="BR145" s="454"/>
      <c r="BS145" s="213"/>
      <c r="BT145" s="213"/>
      <c r="BU145" s="213"/>
      <c r="BV145" s="213"/>
      <c r="BW145" s="213"/>
      <c r="BX145" s="213"/>
      <c r="BY145" s="213"/>
      <c r="BZ145" s="213"/>
      <c r="CA145" s="213"/>
      <c r="CB145" s="213"/>
      <c r="CC145" s="213"/>
      <c r="CD145" s="213"/>
      <c r="CE145" s="213"/>
      <c r="CF145" s="213"/>
      <c r="CG145" s="213"/>
      <c r="CH145" s="213"/>
      <c r="CI145" s="213"/>
      <c r="CJ145" s="213"/>
      <c r="CK145" s="213"/>
      <c r="CL145" s="213"/>
      <c r="CM145" s="213"/>
      <c r="CN145" s="213"/>
      <c r="CO145" s="213"/>
      <c r="CP145" s="213"/>
      <c r="CQ145" s="213"/>
    </row>
    <row r="146" ht="15.75" customHeight="1">
      <c r="A146" s="213"/>
      <c r="B146" s="213"/>
      <c r="C146" s="213"/>
      <c r="D146" s="213"/>
      <c r="E146" s="213"/>
      <c r="F146" s="213"/>
      <c r="G146" s="213"/>
      <c r="H146" s="213"/>
      <c r="I146" s="213"/>
      <c r="J146" s="216"/>
      <c r="K146" s="213"/>
      <c r="L146" s="213"/>
      <c r="M146" s="213"/>
      <c r="N146" s="213"/>
      <c r="O146" s="213"/>
      <c r="P146" s="216"/>
      <c r="Q146" s="213"/>
      <c r="R146" s="213"/>
      <c r="S146" s="213"/>
      <c r="T146" s="213"/>
      <c r="U146" s="213"/>
      <c r="V146" s="216"/>
      <c r="W146" s="213"/>
      <c r="X146" s="213"/>
      <c r="Y146" s="213"/>
      <c r="Z146" s="213"/>
      <c r="AA146" s="213"/>
      <c r="AB146" s="216"/>
      <c r="AC146" s="213"/>
      <c r="AD146" s="213"/>
      <c r="AE146" s="213"/>
      <c r="AF146" s="213"/>
      <c r="AG146" s="213"/>
      <c r="AH146" s="216"/>
      <c r="AI146" s="213"/>
      <c r="AJ146" s="213"/>
      <c r="AK146" s="213"/>
      <c r="AL146" s="213"/>
      <c r="AM146" s="213"/>
      <c r="AN146" s="216"/>
      <c r="AO146" s="213"/>
      <c r="AP146" s="213"/>
      <c r="AQ146" s="213"/>
      <c r="AR146" s="213"/>
      <c r="AS146" s="213"/>
      <c r="AT146" s="216"/>
      <c r="AU146" s="213"/>
      <c r="AV146" s="213"/>
      <c r="AW146" s="213"/>
      <c r="AX146" s="213"/>
      <c r="AY146" s="213"/>
      <c r="AZ146" s="213"/>
      <c r="BA146" s="213"/>
      <c r="BB146" s="213"/>
      <c r="BC146" s="213"/>
      <c r="BD146" s="213"/>
      <c r="BE146" s="213"/>
      <c r="BF146" s="216"/>
      <c r="BG146" s="213"/>
      <c r="BH146" s="213"/>
      <c r="BI146" s="213"/>
      <c r="BJ146" s="213"/>
      <c r="BK146" s="213"/>
      <c r="BL146" s="213"/>
      <c r="BM146" s="213"/>
      <c r="BN146" s="213"/>
      <c r="BO146" s="213"/>
      <c r="BP146" s="213"/>
      <c r="BQ146" s="213"/>
      <c r="BR146" s="454"/>
      <c r="BS146" s="213"/>
      <c r="BT146" s="213"/>
      <c r="BU146" s="213"/>
      <c r="BV146" s="213"/>
      <c r="BW146" s="213"/>
      <c r="BX146" s="213"/>
      <c r="BY146" s="213"/>
      <c r="BZ146" s="213"/>
      <c r="CA146" s="213"/>
      <c r="CB146" s="213"/>
      <c r="CC146" s="213"/>
      <c r="CD146" s="213"/>
      <c r="CE146" s="213"/>
      <c r="CF146" s="213"/>
      <c r="CG146" s="213"/>
      <c r="CH146" s="213"/>
      <c r="CI146" s="213"/>
      <c r="CJ146" s="213"/>
      <c r="CK146" s="213"/>
      <c r="CL146" s="213"/>
      <c r="CM146" s="213"/>
      <c r="CN146" s="213"/>
      <c r="CO146" s="213"/>
      <c r="CP146" s="213"/>
      <c r="CQ146" s="213"/>
    </row>
    <row r="147" ht="15.75" customHeight="1">
      <c r="A147" s="213"/>
      <c r="B147" s="213"/>
      <c r="C147" s="213"/>
      <c r="D147" s="213"/>
      <c r="E147" s="213"/>
      <c r="F147" s="213"/>
      <c r="G147" s="213"/>
      <c r="H147" s="213"/>
      <c r="I147" s="213"/>
      <c r="J147" s="216"/>
      <c r="K147" s="213"/>
      <c r="L147" s="213"/>
      <c r="M147" s="213"/>
      <c r="N147" s="213"/>
      <c r="O147" s="213"/>
      <c r="P147" s="216"/>
      <c r="Q147" s="213"/>
      <c r="R147" s="213"/>
      <c r="S147" s="213"/>
      <c r="T147" s="213"/>
      <c r="U147" s="213"/>
      <c r="V147" s="216"/>
      <c r="W147" s="213"/>
      <c r="X147" s="213"/>
      <c r="Y147" s="213"/>
      <c r="Z147" s="213"/>
      <c r="AA147" s="213"/>
      <c r="AB147" s="216"/>
      <c r="AC147" s="213"/>
      <c r="AD147" s="213"/>
      <c r="AE147" s="213"/>
      <c r="AF147" s="213"/>
      <c r="AG147" s="213"/>
      <c r="AH147" s="216"/>
      <c r="AI147" s="213"/>
      <c r="AJ147" s="213"/>
      <c r="AK147" s="213"/>
      <c r="AL147" s="213"/>
      <c r="AM147" s="213"/>
      <c r="AN147" s="216"/>
      <c r="AO147" s="213"/>
      <c r="AP147" s="213"/>
      <c r="AQ147" s="213"/>
      <c r="AR147" s="213"/>
      <c r="AS147" s="213"/>
      <c r="AT147" s="216"/>
      <c r="AU147" s="213"/>
      <c r="AV147" s="213"/>
      <c r="AW147" s="213"/>
      <c r="AX147" s="213"/>
      <c r="AY147" s="213"/>
      <c r="AZ147" s="213"/>
      <c r="BA147" s="213"/>
      <c r="BB147" s="213"/>
      <c r="BC147" s="213"/>
      <c r="BD147" s="213"/>
      <c r="BE147" s="213"/>
      <c r="BF147" s="216"/>
      <c r="BG147" s="213"/>
      <c r="BH147" s="213"/>
      <c r="BI147" s="213"/>
      <c r="BJ147" s="213"/>
      <c r="BK147" s="213"/>
      <c r="BL147" s="213"/>
      <c r="BM147" s="213"/>
      <c r="BN147" s="213"/>
      <c r="BO147" s="213"/>
      <c r="BP147" s="213"/>
      <c r="BQ147" s="213"/>
      <c r="BR147" s="454"/>
      <c r="BS147" s="213"/>
      <c r="BT147" s="213"/>
      <c r="BU147" s="213"/>
      <c r="BV147" s="213"/>
      <c r="BW147" s="213"/>
      <c r="BX147" s="213"/>
      <c r="BY147" s="213"/>
      <c r="BZ147" s="213"/>
      <c r="CA147" s="213"/>
      <c r="CB147" s="213"/>
      <c r="CC147" s="213"/>
      <c r="CD147" s="213"/>
      <c r="CE147" s="213"/>
      <c r="CF147" s="213"/>
      <c r="CG147" s="213"/>
      <c r="CH147" s="213"/>
      <c r="CI147" s="213"/>
      <c r="CJ147" s="213"/>
      <c r="CK147" s="213"/>
      <c r="CL147" s="213"/>
      <c r="CM147" s="213"/>
      <c r="CN147" s="213"/>
      <c r="CO147" s="213"/>
      <c r="CP147" s="213"/>
      <c r="CQ147" s="213"/>
    </row>
    <row r="148" ht="15.75" customHeight="1">
      <c r="A148" s="213"/>
      <c r="B148" s="213"/>
      <c r="C148" s="213"/>
      <c r="D148" s="213"/>
      <c r="E148" s="213"/>
      <c r="F148" s="213"/>
      <c r="G148" s="213"/>
      <c r="H148" s="213"/>
      <c r="I148" s="213"/>
      <c r="J148" s="216"/>
      <c r="K148" s="213"/>
      <c r="L148" s="213"/>
      <c r="M148" s="213"/>
      <c r="N148" s="213"/>
      <c r="O148" s="213"/>
      <c r="P148" s="216"/>
      <c r="Q148" s="213"/>
      <c r="R148" s="213"/>
      <c r="S148" s="213"/>
      <c r="T148" s="213"/>
      <c r="U148" s="213"/>
      <c r="V148" s="216"/>
      <c r="W148" s="213"/>
      <c r="X148" s="213"/>
      <c r="Y148" s="213"/>
      <c r="Z148" s="213"/>
      <c r="AA148" s="213"/>
      <c r="AB148" s="216"/>
      <c r="AC148" s="213"/>
      <c r="AD148" s="213"/>
      <c r="AE148" s="213"/>
      <c r="AF148" s="213"/>
      <c r="AG148" s="213"/>
      <c r="AH148" s="216"/>
      <c r="AI148" s="213"/>
      <c r="AJ148" s="213"/>
      <c r="AK148" s="213"/>
      <c r="AL148" s="213"/>
      <c r="AM148" s="213"/>
      <c r="AN148" s="216"/>
      <c r="AO148" s="213"/>
      <c r="AP148" s="213"/>
      <c r="AQ148" s="213"/>
      <c r="AR148" s="213"/>
      <c r="AS148" s="213"/>
      <c r="AT148" s="216"/>
      <c r="AU148" s="213"/>
      <c r="AV148" s="213"/>
      <c r="AW148" s="213"/>
      <c r="AX148" s="213"/>
      <c r="AY148" s="213"/>
      <c r="AZ148" s="213"/>
      <c r="BA148" s="213"/>
      <c r="BB148" s="213"/>
      <c r="BC148" s="213"/>
      <c r="BD148" s="213"/>
      <c r="BE148" s="213"/>
      <c r="BF148" s="216"/>
      <c r="BG148" s="213"/>
      <c r="BH148" s="213"/>
      <c r="BI148" s="213"/>
      <c r="BJ148" s="213"/>
      <c r="BK148" s="213"/>
      <c r="BL148" s="213"/>
      <c r="BM148" s="213"/>
      <c r="BN148" s="213"/>
      <c r="BO148" s="213"/>
      <c r="BP148" s="213"/>
      <c r="BQ148" s="213"/>
      <c r="BR148" s="454"/>
      <c r="BS148" s="213"/>
      <c r="BT148" s="213"/>
      <c r="BU148" s="213"/>
      <c r="BV148" s="213"/>
      <c r="BW148" s="213"/>
      <c r="BX148" s="213"/>
      <c r="BY148" s="213"/>
      <c r="BZ148" s="213"/>
      <c r="CA148" s="213"/>
      <c r="CB148" s="213"/>
      <c r="CC148" s="213"/>
      <c r="CD148" s="213"/>
      <c r="CE148" s="213"/>
      <c r="CF148" s="213"/>
      <c r="CG148" s="213"/>
      <c r="CH148" s="213"/>
      <c r="CI148" s="213"/>
      <c r="CJ148" s="213"/>
      <c r="CK148" s="213"/>
      <c r="CL148" s="213"/>
      <c r="CM148" s="213"/>
      <c r="CN148" s="213"/>
      <c r="CO148" s="213"/>
      <c r="CP148" s="213"/>
      <c r="CQ148" s="213"/>
    </row>
    <row r="149" ht="15.75" customHeight="1">
      <c r="A149" s="213"/>
      <c r="B149" s="213"/>
      <c r="C149" s="213"/>
      <c r="D149" s="213"/>
      <c r="E149" s="213"/>
      <c r="F149" s="213"/>
      <c r="G149" s="213"/>
      <c r="H149" s="213"/>
      <c r="I149" s="213"/>
      <c r="J149" s="216"/>
      <c r="K149" s="213"/>
      <c r="L149" s="213"/>
      <c r="M149" s="213"/>
      <c r="N149" s="213"/>
      <c r="O149" s="213"/>
      <c r="P149" s="216"/>
      <c r="Q149" s="213"/>
      <c r="R149" s="213"/>
      <c r="S149" s="213"/>
      <c r="T149" s="213"/>
      <c r="U149" s="213"/>
      <c r="V149" s="216"/>
      <c r="W149" s="213"/>
      <c r="X149" s="213"/>
      <c r="Y149" s="213"/>
      <c r="Z149" s="213"/>
      <c r="AA149" s="213"/>
      <c r="AB149" s="216"/>
      <c r="AC149" s="213"/>
      <c r="AD149" s="213"/>
      <c r="AE149" s="213"/>
      <c r="AF149" s="213"/>
      <c r="AG149" s="213"/>
      <c r="AH149" s="216"/>
      <c r="AI149" s="213"/>
      <c r="AJ149" s="213"/>
      <c r="AK149" s="213"/>
      <c r="AL149" s="213"/>
      <c r="AM149" s="213"/>
      <c r="AN149" s="216"/>
      <c r="AO149" s="213"/>
      <c r="AP149" s="213"/>
      <c r="AQ149" s="213"/>
      <c r="AR149" s="213"/>
      <c r="AS149" s="213"/>
      <c r="AT149" s="216"/>
      <c r="AU149" s="213"/>
      <c r="AV149" s="213"/>
      <c r="AW149" s="213"/>
      <c r="AX149" s="213"/>
      <c r="AY149" s="213"/>
      <c r="AZ149" s="213"/>
      <c r="BA149" s="213"/>
      <c r="BB149" s="213"/>
      <c r="BC149" s="213"/>
      <c r="BD149" s="213"/>
      <c r="BE149" s="213"/>
      <c r="BF149" s="216"/>
      <c r="BG149" s="213"/>
      <c r="BH149" s="213"/>
      <c r="BI149" s="213"/>
      <c r="BJ149" s="213"/>
      <c r="BK149" s="213"/>
      <c r="BL149" s="213"/>
      <c r="BM149" s="213"/>
      <c r="BN149" s="213"/>
      <c r="BO149" s="213"/>
      <c r="BP149" s="213"/>
      <c r="BQ149" s="213"/>
      <c r="BR149" s="454"/>
      <c r="BS149" s="213"/>
      <c r="BT149" s="213"/>
      <c r="BU149" s="213"/>
      <c r="BV149" s="213"/>
      <c r="BW149" s="213"/>
      <c r="BX149" s="213"/>
      <c r="BY149" s="213"/>
      <c r="BZ149" s="213"/>
      <c r="CA149" s="213"/>
      <c r="CB149" s="213"/>
      <c r="CC149" s="213"/>
      <c r="CD149" s="213"/>
      <c r="CE149" s="213"/>
      <c r="CF149" s="213"/>
      <c r="CG149" s="213"/>
      <c r="CH149" s="213"/>
      <c r="CI149" s="213"/>
      <c r="CJ149" s="213"/>
      <c r="CK149" s="213"/>
      <c r="CL149" s="213"/>
      <c r="CM149" s="213"/>
      <c r="CN149" s="213"/>
      <c r="CO149" s="213"/>
      <c r="CP149" s="213"/>
      <c r="CQ149" s="213"/>
    </row>
    <row r="150" ht="15.75" customHeight="1">
      <c r="A150" s="213"/>
      <c r="B150" s="213"/>
      <c r="C150" s="213"/>
      <c r="D150" s="213"/>
      <c r="E150" s="213"/>
      <c r="F150" s="213"/>
      <c r="G150" s="213"/>
      <c r="H150" s="213"/>
      <c r="I150" s="213"/>
      <c r="J150" s="216"/>
      <c r="K150" s="213"/>
      <c r="L150" s="213"/>
      <c r="M150" s="213"/>
      <c r="N150" s="213"/>
      <c r="O150" s="213"/>
      <c r="P150" s="216"/>
      <c r="Q150" s="213"/>
      <c r="R150" s="213"/>
      <c r="S150" s="213"/>
      <c r="T150" s="213"/>
      <c r="U150" s="213"/>
      <c r="V150" s="216"/>
      <c r="W150" s="213"/>
      <c r="X150" s="213"/>
      <c r="Y150" s="213"/>
      <c r="Z150" s="213"/>
      <c r="AA150" s="213"/>
      <c r="AB150" s="216"/>
      <c r="AC150" s="213"/>
      <c r="AD150" s="213"/>
      <c r="AE150" s="213"/>
      <c r="AF150" s="213"/>
      <c r="AG150" s="213"/>
      <c r="AH150" s="216"/>
      <c r="AI150" s="213"/>
      <c r="AJ150" s="213"/>
      <c r="AK150" s="213"/>
      <c r="AL150" s="213"/>
      <c r="AM150" s="213"/>
      <c r="AN150" s="216"/>
      <c r="AO150" s="213"/>
      <c r="AP150" s="213"/>
      <c r="AQ150" s="213"/>
      <c r="AR150" s="213"/>
      <c r="AS150" s="213"/>
      <c r="AT150" s="216"/>
      <c r="AU150" s="213"/>
      <c r="AV150" s="213"/>
      <c r="AW150" s="213"/>
      <c r="AX150" s="213"/>
      <c r="AY150" s="213"/>
      <c r="AZ150" s="213"/>
      <c r="BA150" s="213"/>
      <c r="BB150" s="213"/>
      <c r="BC150" s="213"/>
      <c r="BD150" s="213"/>
      <c r="BE150" s="213"/>
      <c r="BF150" s="216"/>
      <c r="BG150" s="213"/>
      <c r="BH150" s="213"/>
      <c r="BI150" s="213"/>
      <c r="BJ150" s="213"/>
      <c r="BK150" s="213"/>
      <c r="BL150" s="213"/>
      <c r="BM150" s="213"/>
      <c r="BN150" s="213"/>
      <c r="BO150" s="213"/>
      <c r="BP150" s="213"/>
      <c r="BQ150" s="213"/>
      <c r="BR150" s="454"/>
      <c r="BS150" s="213"/>
      <c r="BT150" s="213"/>
      <c r="BU150" s="213"/>
      <c r="BV150" s="213"/>
      <c r="BW150" s="213"/>
      <c r="BX150" s="213"/>
      <c r="BY150" s="213"/>
      <c r="BZ150" s="213"/>
      <c r="CA150" s="213"/>
      <c r="CB150" s="213"/>
      <c r="CC150" s="213"/>
      <c r="CD150" s="213"/>
      <c r="CE150" s="213"/>
      <c r="CF150" s="213"/>
      <c r="CG150" s="213"/>
      <c r="CH150" s="213"/>
      <c r="CI150" s="213"/>
      <c r="CJ150" s="213"/>
      <c r="CK150" s="213"/>
      <c r="CL150" s="213"/>
      <c r="CM150" s="213"/>
      <c r="CN150" s="213"/>
      <c r="CO150" s="213"/>
      <c r="CP150" s="213"/>
      <c r="CQ150" s="213"/>
    </row>
    <row r="151" ht="15.75" customHeight="1">
      <c r="A151" s="213"/>
      <c r="B151" s="213"/>
      <c r="C151" s="213"/>
      <c r="D151" s="213"/>
      <c r="E151" s="213"/>
      <c r="F151" s="213"/>
      <c r="G151" s="213"/>
      <c r="H151" s="213"/>
      <c r="I151" s="213"/>
      <c r="J151" s="216"/>
      <c r="K151" s="213"/>
      <c r="L151" s="213"/>
      <c r="M151" s="213"/>
      <c r="N151" s="213"/>
      <c r="O151" s="213"/>
      <c r="P151" s="216"/>
      <c r="Q151" s="213"/>
      <c r="R151" s="213"/>
      <c r="S151" s="213"/>
      <c r="T151" s="213"/>
      <c r="U151" s="213"/>
      <c r="V151" s="216"/>
      <c r="W151" s="213"/>
      <c r="X151" s="213"/>
      <c r="Y151" s="213"/>
      <c r="Z151" s="213"/>
      <c r="AA151" s="213"/>
      <c r="AB151" s="216"/>
      <c r="AC151" s="213"/>
      <c r="AD151" s="213"/>
      <c r="AE151" s="213"/>
      <c r="AF151" s="213"/>
      <c r="AG151" s="213"/>
      <c r="AH151" s="216"/>
      <c r="AI151" s="213"/>
      <c r="AJ151" s="213"/>
      <c r="AK151" s="213"/>
      <c r="AL151" s="213"/>
      <c r="AM151" s="213"/>
      <c r="AN151" s="216"/>
      <c r="AO151" s="213"/>
      <c r="AP151" s="213"/>
      <c r="AQ151" s="213"/>
      <c r="AR151" s="213"/>
      <c r="AS151" s="213"/>
      <c r="AT151" s="216"/>
      <c r="AU151" s="213"/>
      <c r="AV151" s="213"/>
      <c r="AW151" s="213"/>
      <c r="AX151" s="213"/>
      <c r="AY151" s="213"/>
      <c r="AZ151" s="213"/>
      <c r="BA151" s="213"/>
      <c r="BB151" s="213"/>
      <c r="BC151" s="213"/>
      <c r="BD151" s="213"/>
      <c r="BE151" s="213"/>
      <c r="BF151" s="216"/>
      <c r="BG151" s="213"/>
      <c r="BH151" s="213"/>
      <c r="BI151" s="213"/>
      <c r="BJ151" s="213"/>
      <c r="BK151" s="213"/>
      <c r="BL151" s="213"/>
      <c r="BM151" s="213"/>
      <c r="BN151" s="213"/>
      <c r="BO151" s="213"/>
      <c r="BP151" s="213"/>
      <c r="BQ151" s="213"/>
      <c r="BR151" s="454"/>
      <c r="BS151" s="213"/>
      <c r="BT151" s="213"/>
      <c r="BU151" s="213"/>
      <c r="BV151" s="213"/>
      <c r="BW151" s="213"/>
      <c r="BX151" s="213"/>
      <c r="BY151" s="213"/>
      <c r="BZ151" s="213"/>
      <c r="CA151" s="213"/>
      <c r="CB151" s="213"/>
      <c r="CC151" s="213"/>
      <c r="CD151" s="213"/>
      <c r="CE151" s="213"/>
      <c r="CF151" s="213"/>
      <c r="CG151" s="213"/>
      <c r="CH151" s="213"/>
      <c r="CI151" s="213"/>
      <c r="CJ151" s="213"/>
      <c r="CK151" s="213"/>
      <c r="CL151" s="213"/>
      <c r="CM151" s="213"/>
      <c r="CN151" s="213"/>
      <c r="CO151" s="213"/>
      <c r="CP151" s="213"/>
      <c r="CQ151" s="213"/>
    </row>
    <row r="152" ht="15.75" customHeight="1">
      <c r="A152" s="213"/>
      <c r="B152" s="213"/>
      <c r="C152" s="213"/>
      <c r="D152" s="213"/>
      <c r="E152" s="213"/>
      <c r="F152" s="213"/>
      <c r="G152" s="213"/>
      <c r="H152" s="213"/>
      <c r="I152" s="213"/>
      <c r="J152" s="216"/>
      <c r="K152" s="213"/>
      <c r="L152" s="213"/>
      <c r="M152" s="213"/>
      <c r="N152" s="213"/>
      <c r="O152" s="213"/>
      <c r="P152" s="216"/>
      <c r="Q152" s="213"/>
      <c r="R152" s="213"/>
      <c r="S152" s="213"/>
      <c r="T152" s="213"/>
      <c r="U152" s="213"/>
      <c r="V152" s="216"/>
      <c r="W152" s="213"/>
      <c r="X152" s="213"/>
      <c r="Y152" s="213"/>
      <c r="Z152" s="213"/>
      <c r="AA152" s="213"/>
      <c r="AB152" s="216"/>
      <c r="AC152" s="213"/>
      <c r="AD152" s="213"/>
      <c r="AE152" s="213"/>
      <c r="AF152" s="213"/>
      <c r="AG152" s="213"/>
      <c r="AH152" s="216"/>
      <c r="AI152" s="213"/>
      <c r="AJ152" s="213"/>
      <c r="AK152" s="213"/>
      <c r="AL152" s="213"/>
      <c r="AM152" s="213"/>
      <c r="AN152" s="216"/>
      <c r="AO152" s="213"/>
      <c r="AP152" s="213"/>
      <c r="AQ152" s="213"/>
      <c r="AR152" s="213"/>
      <c r="AS152" s="213"/>
      <c r="AT152" s="216"/>
      <c r="AU152" s="213"/>
      <c r="AV152" s="213"/>
      <c r="AW152" s="213"/>
      <c r="AX152" s="213"/>
      <c r="AY152" s="213"/>
      <c r="AZ152" s="213"/>
      <c r="BA152" s="213"/>
      <c r="BB152" s="213"/>
      <c r="BC152" s="213"/>
      <c r="BD152" s="213"/>
      <c r="BE152" s="213"/>
      <c r="BF152" s="216"/>
      <c r="BG152" s="213"/>
      <c r="BH152" s="213"/>
      <c r="BI152" s="213"/>
      <c r="BJ152" s="213"/>
      <c r="BK152" s="213"/>
      <c r="BL152" s="213"/>
      <c r="BM152" s="213"/>
      <c r="BN152" s="213"/>
      <c r="BO152" s="213"/>
      <c r="BP152" s="213"/>
      <c r="BQ152" s="213"/>
      <c r="BR152" s="454"/>
      <c r="BS152" s="213"/>
      <c r="BT152" s="213"/>
      <c r="BU152" s="213"/>
      <c r="BV152" s="213"/>
      <c r="BW152" s="213"/>
      <c r="BX152" s="213"/>
      <c r="BY152" s="213"/>
      <c r="BZ152" s="213"/>
      <c r="CA152" s="213"/>
      <c r="CB152" s="213"/>
      <c r="CC152" s="213"/>
      <c r="CD152" s="213"/>
      <c r="CE152" s="213"/>
      <c r="CF152" s="213"/>
      <c r="CG152" s="213"/>
      <c r="CH152" s="213"/>
      <c r="CI152" s="213"/>
      <c r="CJ152" s="213"/>
      <c r="CK152" s="213"/>
      <c r="CL152" s="213"/>
      <c r="CM152" s="213"/>
      <c r="CN152" s="213"/>
      <c r="CO152" s="213"/>
      <c r="CP152" s="213"/>
      <c r="CQ152" s="213"/>
    </row>
    <row r="153" ht="15.75" customHeight="1">
      <c r="A153" s="213"/>
      <c r="B153" s="213"/>
      <c r="C153" s="213"/>
      <c r="D153" s="213"/>
      <c r="E153" s="213"/>
      <c r="F153" s="213"/>
      <c r="G153" s="213"/>
      <c r="H153" s="213"/>
      <c r="I153" s="213"/>
      <c r="J153" s="216"/>
      <c r="K153" s="213"/>
      <c r="L153" s="213"/>
      <c r="M153" s="213"/>
      <c r="N153" s="213"/>
      <c r="O153" s="213"/>
      <c r="P153" s="216"/>
      <c r="Q153" s="213"/>
      <c r="R153" s="213"/>
      <c r="S153" s="213"/>
      <c r="T153" s="213"/>
      <c r="U153" s="213"/>
      <c r="V153" s="216"/>
      <c r="W153" s="213"/>
      <c r="X153" s="213"/>
      <c r="Y153" s="213"/>
      <c r="Z153" s="213"/>
      <c r="AA153" s="213"/>
      <c r="AB153" s="216"/>
      <c r="AC153" s="213"/>
      <c r="AD153" s="213"/>
      <c r="AE153" s="213"/>
      <c r="AF153" s="213"/>
      <c r="AG153" s="213"/>
      <c r="AH153" s="216"/>
      <c r="AI153" s="213"/>
      <c r="AJ153" s="213"/>
      <c r="AK153" s="213"/>
      <c r="AL153" s="213"/>
      <c r="AM153" s="213"/>
      <c r="AN153" s="216"/>
      <c r="AO153" s="213"/>
      <c r="AP153" s="213"/>
      <c r="AQ153" s="213"/>
      <c r="AR153" s="213"/>
      <c r="AS153" s="213"/>
      <c r="AT153" s="216"/>
      <c r="AU153" s="213"/>
      <c r="AV153" s="213"/>
      <c r="AW153" s="213"/>
      <c r="AX153" s="213"/>
      <c r="AY153" s="213"/>
      <c r="AZ153" s="213"/>
      <c r="BA153" s="213"/>
      <c r="BB153" s="213"/>
      <c r="BC153" s="213"/>
      <c r="BD153" s="213"/>
      <c r="BE153" s="213"/>
      <c r="BF153" s="216"/>
      <c r="BG153" s="213"/>
      <c r="BH153" s="213"/>
      <c r="BI153" s="213"/>
      <c r="BJ153" s="213"/>
      <c r="BK153" s="213"/>
      <c r="BL153" s="213"/>
      <c r="BM153" s="213"/>
      <c r="BN153" s="213"/>
      <c r="BO153" s="213"/>
      <c r="BP153" s="213"/>
      <c r="BQ153" s="213"/>
      <c r="BR153" s="454"/>
      <c r="BS153" s="213"/>
      <c r="BT153" s="213"/>
      <c r="BU153" s="213"/>
      <c r="BV153" s="213"/>
      <c r="BW153" s="213"/>
      <c r="BX153" s="213"/>
      <c r="BY153" s="213"/>
      <c r="BZ153" s="213"/>
      <c r="CA153" s="213"/>
      <c r="CB153" s="213"/>
      <c r="CC153" s="213"/>
      <c r="CD153" s="213"/>
      <c r="CE153" s="213"/>
      <c r="CF153" s="213"/>
      <c r="CG153" s="213"/>
      <c r="CH153" s="213"/>
      <c r="CI153" s="213"/>
      <c r="CJ153" s="213"/>
      <c r="CK153" s="213"/>
      <c r="CL153" s="213"/>
      <c r="CM153" s="213"/>
      <c r="CN153" s="213"/>
      <c r="CO153" s="213"/>
      <c r="CP153" s="213"/>
      <c r="CQ153" s="213"/>
    </row>
    <row r="154" ht="15.75" customHeight="1">
      <c r="A154" s="213"/>
      <c r="B154" s="213"/>
      <c r="C154" s="213"/>
      <c r="D154" s="213"/>
      <c r="E154" s="213"/>
      <c r="F154" s="213"/>
      <c r="G154" s="213"/>
      <c r="H154" s="213"/>
      <c r="I154" s="213"/>
      <c r="J154" s="216"/>
      <c r="K154" s="213"/>
      <c r="L154" s="213"/>
      <c r="M154" s="213"/>
      <c r="N154" s="213"/>
      <c r="O154" s="213"/>
      <c r="P154" s="216"/>
      <c r="Q154" s="213"/>
      <c r="R154" s="213"/>
      <c r="S154" s="213"/>
      <c r="T154" s="213"/>
      <c r="U154" s="213"/>
      <c r="V154" s="216"/>
      <c r="W154" s="213"/>
      <c r="X154" s="213"/>
      <c r="Y154" s="213"/>
      <c r="Z154" s="213"/>
      <c r="AA154" s="213"/>
      <c r="AB154" s="216"/>
      <c r="AC154" s="213"/>
      <c r="AD154" s="213"/>
      <c r="AE154" s="213"/>
      <c r="AF154" s="213"/>
      <c r="AG154" s="213"/>
      <c r="AH154" s="216"/>
      <c r="AI154" s="213"/>
      <c r="AJ154" s="213"/>
      <c r="AK154" s="213"/>
      <c r="AL154" s="213"/>
      <c r="AM154" s="213"/>
      <c r="AN154" s="216"/>
      <c r="AO154" s="213"/>
      <c r="AP154" s="213"/>
      <c r="AQ154" s="213"/>
      <c r="AR154" s="213"/>
      <c r="AS154" s="213"/>
      <c r="AT154" s="216"/>
      <c r="AU154" s="213"/>
      <c r="AV154" s="213"/>
      <c r="AW154" s="213"/>
      <c r="AX154" s="213"/>
      <c r="AY154" s="213"/>
      <c r="AZ154" s="213"/>
      <c r="BA154" s="213"/>
      <c r="BB154" s="213"/>
      <c r="BC154" s="213"/>
      <c r="BD154" s="213"/>
      <c r="BE154" s="213"/>
      <c r="BF154" s="216"/>
      <c r="BG154" s="213"/>
      <c r="BH154" s="213"/>
      <c r="BI154" s="213"/>
      <c r="BJ154" s="213"/>
      <c r="BK154" s="213"/>
      <c r="BL154" s="213"/>
      <c r="BM154" s="213"/>
      <c r="BN154" s="213"/>
      <c r="BO154" s="213"/>
      <c r="BP154" s="213"/>
      <c r="BQ154" s="213"/>
      <c r="BR154" s="454"/>
      <c r="BS154" s="213"/>
      <c r="BT154" s="213"/>
      <c r="BU154" s="213"/>
      <c r="BV154" s="213"/>
      <c r="BW154" s="213"/>
      <c r="BX154" s="213"/>
      <c r="BY154" s="213"/>
      <c r="BZ154" s="213"/>
      <c r="CA154" s="213"/>
      <c r="CB154" s="213"/>
      <c r="CC154" s="213"/>
      <c r="CD154" s="213"/>
      <c r="CE154" s="213"/>
      <c r="CF154" s="213"/>
      <c r="CG154" s="213"/>
      <c r="CH154" s="213"/>
      <c r="CI154" s="213"/>
      <c r="CJ154" s="213"/>
      <c r="CK154" s="213"/>
      <c r="CL154" s="213"/>
      <c r="CM154" s="213"/>
      <c r="CN154" s="213"/>
      <c r="CO154" s="213"/>
      <c r="CP154" s="213"/>
      <c r="CQ154" s="213"/>
    </row>
    <row r="155" ht="15.75" customHeight="1">
      <c r="A155" s="213"/>
      <c r="B155" s="213"/>
      <c r="C155" s="213"/>
      <c r="D155" s="213"/>
      <c r="E155" s="213"/>
      <c r="F155" s="213"/>
      <c r="G155" s="213"/>
      <c r="H155" s="213"/>
      <c r="I155" s="213"/>
      <c r="J155" s="216"/>
      <c r="K155" s="213"/>
      <c r="L155" s="213"/>
      <c r="M155" s="213"/>
      <c r="N155" s="213"/>
      <c r="O155" s="213"/>
      <c r="P155" s="216"/>
      <c r="Q155" s="213"/>
      <c r="R155" s="213"/>
      <c r="S155" s="213"/>
      <c r="T155" s="213"/>
      <c r="U155" s="213"/>
      <c r="V155" s="216"/>
      <c r="W155" s="213"/>
      <c r="X155" s="213"/>
      <c r="Y155" s="213"/>
      <c r="Z155" s="213"/>
      <c r="AA155" s="213"/>
      <c r="AB155" s="216"/>
      <c r="AC155" s="213"/>
      <c r="AD155" s="213"/>
      <c r="AE155" s="213"/>
      <c r="AF155" s="213"/>
      <c r="AG155" s="213"/>
      <c r="AH155" s="216"/>
      <c r="AI155" s="213"/>
      <c r="AJ155" s="213"/>
      <c r="AK155" s="213"/>
      <c r="AL155" s="213"/>
      <c r="AM155" s="213"/>
      <c r="AN155" s="216"/>
      <c r="AO155" s="213"/>
      <c r="AP155" s="213"/>
      <c r="AQ155" s="213"/>
      <c r="AR155" s="213"/>
      <c r="AS155" s="213"/>
      <c r="AT155" s="216"/>
      <c r="AU155" s="213"/>
      <c r="AV155" s="213"/>
      <c r="AW155" s="213"/>
      <c r="AX155" s="213"/>
      <c r="AY155" s="213"/>
      <c r="AZ155" s="213"/>
      <c r="BA155" s="213"/>
      <c r="BB155" s="213"/>
      <c r="BC155" s="213"/>
      <c r="BD155" s="213"/>
      <c r="BE155" s="213"/>
      <c r="BF155" s="216"/>
      <c r="BG155" s="213"/>
      <c r="BH155" s="213"/>
      <c r="BI155" s="213"/>
      <c r="BJ155" s="213"/>
      <c r="BK155" s="213"/>
      <c r="BL155" s="213"/>
      <c r="BM155" s="213"/>
      <c r="BN155" s="213"/>
      <c r="BO155" s="213"/>
      <c r="BP155" s="213"/>
      <c r="BQ155" s="213"/>
      <c r="BR155" s="454"/>
      <c r="BS155" s="213"/>
      <c r="BT155" s="213"/>
      <c r="BU155" s="213"/>
      <c r="BV155" s="213"/>
      <c r="BW155" s="213"/>
      <c r="BX155" s="213"/>
      <c r="BY155" s="213"/>
      <c r="BZ155" s="213"/>
      <c r="CA155" s="213"/>
      <c r="CB155" s="213"/>
      <c r="CC155" s="213"/>
      <c r="CD155" s="213"/>
      <c r="CE155" s="213"/>
      <c r="CF155" s="213"/>
      <c r="CG155" s="213"/>
      <c r="CH155" s="213"/>
      <c r="CI155" s="213"/>
      <c r="CJ155" s="213"/>
      <c r="CK155" s="213"/>
      <c r="CL155" s="213"/>
      <c r="CM155" s="213"/>
      <c r="CN155" s="213"/>
      <c r="CO155" s="213"/>
      <c r="CP155" s="213"/>
      <c r="CQ155" s="213"/>
    </row>
    <row r="156" ht="15.75" customHeight="1">
      <c r="A156" s="213"/>
      <c r="B156" s="213"/>
      <c r="C156" s="213"/>
      <c r="D156" s="213"/>
      <c r="E156" s="213"/>
      <c r="F156" s="213"/>
      <c r="G156" s="213"/>
      <c r="H156" s="213"/>
      <c r="I156" s="213"/>
      <c r="J156" s="216"/>
      <c r="K156" s="213"/>
      <c r="L156" s="213"/>
      <c r="M156" s="213"/>
      <c r="N156" s="213"/>
      <c r="O156" s="213"/>
      <c r="P156" s="216"/>
      <c r="Q156" s="213"/>
      <c r="R156" s="213"/>
      <c r="S156" s="213"/>
      <c r="T156" s="213"/>
      <c r="U156" s="213"/>
      <c r="V156" s="216"/>
      <c r="W156" s="213"/>
      <c r="X156" s="213"/>
      <c r="Y156" s="213"/>
      <c r="Z156" s="213"/>
      <c r="AA156" s="213"/>
      <c r="AB156" s="216"/>
      <c r="AC156" s="213"/>
      <c r="AD156" s="213"/>
      <c r="AE156" s="213"/>
      <c r="AF156" s="213"/>
      <c r="AG156" s="213"/>
      <c r="AH156" s="216"/>
      <c r="AI156" s="213"/>
      <c r="AJ156" s="213"/>
      <c r="AK156" s="213"/>
      <c r="AL156" s="213"/>
      <c r="AM156" s="213"/>
      <c r="AN156" s="216"/>
      <c r="AO156" s="213"/>
      <c r="AP156" s="213"/>
      <c r="AQ156" s="213"/>
      <c r="AR156" s="213"/>
      <c r="AS156" s="213"/>
      <c r="AT156" s="216"/>
      <c r="AU156" s="213"/>
      <c r="AV156" s="213"/>
      <c r="AW156" s="213"/>
      <c r="AX156" s="213"/>
      <c r="AY156" s="213"/>
      <c r="AZ156" s="213"/>
      <c r="BA156" s="213"/>
      <c r="BB156" s="213"/>
      <c r="BC156" s="213"/>
      <c r="BD156" s="213"/>
      <c r="BE156" s="213"/>
      <c r="BF156" s="216"/>
      <c r="BG156" s="213"/>
      <c r="BH156" s="213"/>
      <c r="BI156" s="213"/>
      <c r="BJ156" s="213"/>
      <c r="BK156" s="213"/>
      <c r="BL156" s="213"/>
      <c r="BM156" s="213"/>
      <c r="BN156" s="213"/>
      <c r="BO156" s="213"/>
      <c r="BP156" s="213"/>
      <c r="BQ156" s="213"/>
      <c r="BR156" s="454"/>
      <c r="BS156" s="213"/>
      <c r="BT156" s="213"/>
      <c r="BU156" s="213"/>
      <c r="BV156" s="213"/>
      <c r="BW156" s="213"/>
      <c r="BX156" s="213"/>
      <c r="BY156" s="213"/>
      <c r="BZ156" s="213"/>
      <c r="CA156" s="213"/>
      <c r="CB156" s="213"/>
      <c r="CC156" s="213"/>
      <c r="CD156" s="213"/>
      <c r="CE156" s="213"/>
      <c r="CF156" s="213"/>
      <c r="CG156" s="213"/>
      <c r="CH156" s="213"/>
      <c r="CI156" s="213"/>
      <c r="CJ156" s="213"/>
      <c r="CK156" s="213"/>
      <c r="CL156" s="213"/>
      <c r="CM156" s="213"/>
      <c r="CN156" s="213"/>
      <c r="CO156" s="213"/>
      <c r="CP156" s="213"/>
      <c r="CQ156" s="213"/>
    </row>
    <row r="157" ht="15.75" customHeight="1">
      <c r="A157" s="213"/>
      <c r="B157" s="213"/>
      <c r="C157" s="213"/>
      <c r="D157" s="213"/>
      <c r="E157" s="213"/>
      <c r="F157" s="213"/>
      <c r="G157" s="213"/>
      <c r="H157" s="213"/>
      <c r="I157" s="213"/>
      <c r="J157" s="216"/>
      <c r="K157" s="213"/>
      <c r="L157" s="213"/>
      <c r="M157" s="213"/>
      <c r="N157" s="213"/>
      <c r="O157" s="213"/>
      <c r="P157" s="216"/>
      <c r="Q157" s="213"/>
      <c r="R157" s="213"/>
      <c r="S157" s="213"/>
      <c r="T157" s="213"/>
      <c r="U157" s="213"/>
      <c r="V157" s="216"/>
      <c r="W157" s="213"/>
      <c r="X157" s="213"/>
      <c r="Y157" s="213"/>
      <c r="Z157" s="213"/>
      <c r="AA157" s="213"/>
      <c r="AB157" s="216"/>
      <c r="AC157" s="213"/>
      <c r="AD157" s="213"/>
      <c r="AE157" s="213"/>
      <c r="AF157" s="213"/>
      <c r="AG157" s="213"/>
      <c r="AH157" s="216"/>
      <c r="AI157" s="213"/>
      <c r="AJ157" s="213"/>
      <c r="AK157" s="213"/>
      <c r="AL157" s="213"/>
      <c r="AM157" s="213"/>
      <c r="AN157" s="216"/>
      <c r="AO157" s="213"/>
      <c r="AP157" s="213"/>
      <c r="AQ157" s="213"/>
      <c r="AR157" s="213"/>
      <c r="AS157" s="213"/>
      <c r="AT157" s="216"/>
      <c r="AU157" s="213"/>
      <c r="AV157" s="213"/>
      <c r="AW157" s="213"/>
      <c r="AX157" s="213"/>
      <c r="AY157" s="213"/>
      <c r="AZ157" s="213"/>
      <c r="BA157" s="213"/>
      <c r="BB157" s="213"/>
      <c r="BC157" s="213"/>
      <c r="BD157" s="213"/>
      <c r="BE157" s="213"/>
      <c r="BF157" s="216"/>
      <c r="BG157" s="213"/>
      <c r="BH157" s="213"/>
      <c r="BI157" s="213"/>
      <c r="BJ157" s="213"/>
      <c r="BK157" s="213"/>
      <c r="BL157" s="213"/>
      <c r="BM157" s="213"/>
      <c r="BN157" s="213"/>
      <c r="BO157" s="213"/>
      <c r="BP157" s="213"/>
      <c r="BQ157" s="213"/>
      <c r="BR157" s="454"/>
      <c r="BS157" s="213"/>
      <c r="BT157" s="213"/>
      <c r="BU157" s="213"/>
      <c r="BV157" s="213"/>
      <c r="BW157" s="213"/>
      <c r="BX157" s="213"/>
      <c r="BY157" s="213"/>
      <c r="BZ157" s="213"/>
      <c r="CA157" s="213"/>
      <c r="CB157" s="213"/>
      <c r="CC157" s="213"/>
      <c r="CD157" s="213"/>
      <c r="CE157" s="213"/>
      <c r="CF157" s="213"/>
      <c r="CG157" s="213"/>
      <c r="CH157" s="213"/>
      <c r="CI157" s="213"/>
      <c r="CJ157" s="213"/>
      <c r="CK157" s="213"/>
      <c r="CL157" s="213"/>
      <c r="CM157" s="213"/>
      <c r="CN157" s="213"/>
      <c r="CO157" s="213"/>
      <c r="CP157" s="213"/>
      <c r="CQ157" s="213"/>
    </row>
    <row r="158" ht="15.75" customHeight="1">
      <c r="A158" s="213"/>
      <c r="B158" s="213"/>
      <c r="C158" s="213"/>
      <c r="D158" s="213"/>
      <c r="E158" s="213"/>
      <c r="F158" s="213"/>
      <c r="G158" s="213"/>
      <c r="H158" s="213"/>
      <c r="I158" s="213"/>
      <c r="J158" s="216"/>
      <c r="K158" s="213"/>
      <c r="L158" s="213"/>
      <c r="M158" s="213"/>
      <c r="N158" s="213"/>
      <c r="O158" s="213"/>
      <c r="P158" s="216"/>
      <c r="Q158" s="213"/>
      <c r="R158" s="213"/>
      <c r="S158" s="213"/>
      <c r="T158" s="213"/>
      <c r="U158" s="213"/>
      <c r="V158" s="216"/>
      <c r="W158" s="213"/>
      <c r="X158" s="213"/>
      <c r="Y158" s="213"/>
      <c r="Z158" s="213"/>
      <c r="AA158" s="213"/>
      <c r="AB158" s="216"/>
      <c r="AC158" s="213"/>
      <c r="AD158" s="213"/>
      <c r="AE158" s="213"/>
      <c r="AF158" s="213"/>
      <c r="AG158" s="213"/>
      <c r="AH158" s="216"/>
      <c r="AI158" s="213"/>
      <c r="AJ158" s="213"/>
      <c r="AK158" s="213"/>
      <c r="AL158" s="213"/>
      <c r="AM158" s="213"/>
      <c r="AN158" s="216"/>
      <c r="AO158" s="213"/>
      <c r="AP158" s="213"/>
      <c r="AQ158" s="213"/>
      <c r="AR158" s="213"/>
      <c r="AS158" s="213"/>
      <c r="AT158" s="216"/>
      <c r="AU158" s="213"/>
      <c r="AV158" s="213"/>
      <c r="AW158" s="213"/>
      <c r="AX158" s="213"/>
      <c r="AY158" s="213"/>
      <c r="AZ158" s="213"/>
      <c r="BA158" s="213"/>
      <c r="BB158" s="213"/>
      <c r="BC158" s="213"/>
      <c r="BD158" s="213"/>
      <c r="BE158" s="213"/>
      <c r="BF158" s="216"/>
      <c r="BG158" s="213"/>
      <c r="BH158" s="213"/>
      <c r="BI158" s="213"/>
      <c r="BJ158" s="213"/>
      <c r="BK158" s="213"/>
      <c r="BL158" s="213"/>
      <c r="BM158" s="213"/>
      <c r="BN158" s="213"/>
      <c r="BO158" s="213"/>
      <c r="BP158" s="213"/>
      <c r="BQ158" s="213"/>
      <c r="BR158" s="454"/>
      <c r="BS158" s="213"/>
      <c r="BT158" s="213"/>
      <c r="BU158" s="213"/>
      <c r="BV158" s="213"/>
      <c r="BW158" s="213"/>
      <c r="BX158" s="213"/>
      <c r="BY158" s="213"/>
      <c r="BZ158" s="213"/>
      <c r="CA158" s="213"/>
      <c r="CB158" s="213"/>
      <c r="CC158" s="213"/>
      <c r="CD158" s="213"/>
      <c r="CE158" s="213"/>
      <c r="CF158" s="213"/>
      <c r="CG158" s="213"/>
      <c r="CH158" s="213"/>
      <c r="CI158" s="213"/>
      <c r="CJ158" s="213"/>
      <c r="CK158" s="213"/>
      <c r="CL158" s="213"/>
      <c r="CM158" s="213"/>
      <c r="CN158" s="213"/>
      <c r="CO158" s="213"/>
      <c r="CP158" s="213"/>
      <c r="CQ158" s="213"/>
    </row>
    <row r="159" ht="15.75" customHeight="1">
      <c r="A159" s="213"/>
      <c r="B159" s="213"/>
      <c r="C159" s="213"/>
      <c r="D159" s="213"/>
      <c r="E159" s="213"/>
      <c r="F159" s="213"/>
      <c r="G159" s="213"/>
      <c r="H159" s="213"/>
      <c r="I159" s="213"/>
      <c r="J159" s="216"/>
      <c r="K159" s="213"/>
      <c r="L159" s="213"/>
      <c r="M159" s="213"/>
      <c r="N159" s="213"/>
      <c r="O159" s="213"/>
      <c r="P159" s="216"/>
      <c r="Q159" s="213"/>
      <c r="R159" s="213"/>
      <c r="S159" s="213"/>
      <c r="T159" s="213"/>
      <c r="U159" s="213"/>
      <c r="V159" s="216"/>
      <c r="W159" s="213"/>
      <c r="X159" s="213"/>
      <c r="Y159" s="213"/>
      <c r="Z159" s="213"/>
      <c r="AA159" s="213"/>
      <c r="AB159" s="216"/>
      <c r="AC159" s="213"/>
      <c r="AD159" s="213"/>
      <c r="AE159" s="213"/>
      <c r="AF159" s="213"/>
      <c r="AG159" s="213"/>
      <c r="AH159" s="216"/>
      <c r="AI159" s="213"/>
      <c r="AJ159" s="213"/>
      <c r="AK159" s="213"/>
      <c r="AL159" s="213"/>
      <c r="AM159" s="213"/>
      <c r="AN159" s="216"/>
      <c r="AO159" s="213"/>
      <c r="AP159" s="213"/>
      <c r="AQ159" s="213"/>
      <c r="AR159" s="213"/>
      <c r="AS159" s="213"/>
      <c r="AT159" s="216"/>
      <c r="AU159" s="213"/>
      <c r="AV159" s="213"/>
      <c r="AW159" s="213"/>
      <c r="AX159" s="213"/>
      <c r="AY159" s="213"/>
      <c r="AZ159" s="213"/>
      <c r="BA159" s="213"/>
      <c r="BB159" s="213"/>
      <c r="BC159" s="213"/>
      <c r="BD159" s="213"/>
      <c r="BE159" s="213"/>
      <c r="BF159" s="216"/>
      <c r="BG159" s="213"/>
      <c r="BH159" s="213"/>
      <c r="BI159" s="213"/>
      <c r="BJ159" s="213"/>
      <c r="BK159" s="213"/>
      <c r="BL159" s="213"/>
      <c r="BM159" s="213"/>
      <c r="BN159" s="213"/>
      <c r="BO159" s="213"/>
      <c r="BP159" s="213"/>
      <c r="BQ159" s="213"/>
      <c r="BR159" s="454"/>
      <c r="BS159" s="213"/>
      <c r="BT159" s="213"/>
      <c r="BU159" s="213"/>
      <c r="BV159" s="213"/>
      <c r="BW159" s="213"/>
      <c r="BX159" s="213"/>
      <c r="BY159" s="213"/>
      <c r="BZ159" s="213"/>
      <c r="CA159" s="213"/>
      <c r="CB159" s="213"/>
      <c r="CC159" s="213"/>
      <c r="CD159" s="213"/>
      <c r="CE159" s="213"/>
      <c r="CF159" s="213"/>
      <c r="CG159" s="213"/>
      <c r="CH159" s="213"/>
      <c r="CI159" s="213"/>
      <c r="CJ159" s="213"/>
      <c r="CK159" s="213"/>
      <c r="CL159" s="213"/>
      <c r="CM159" s="213"/>
      <c r="CN159" s="213"/>
      <c r="CO159" s="213"/>
      <c r="CP159" s="213"/>
      <c r="CQ159" s="213"/>
    </row>
    <row r="160" ht="15.75" customHeight="1">
      <c r="A160" s="213"/>
      <c r="B160" s="213"/>
      <c r="C160" s="213"/>
      <c r="D160" s="213"/>
      <c r="E160" s="213"/>
      <c r="F160" s="213"/>
      <c r="G160" s="213"/>
      <c r="H160" s="213"/>
      <c r="I160" s="213"/>
      <c r="J160" s="216"/>
      <c r="K160" s="213"/>
      <c r="L160" s="213"/>
      <c r="M160" s="213"/>
      <c r="N160" s="213"/>
      <c r="O160" s="213"/>
      <c r="P160" s="216"/>
      <c r="Q160" s="213"/>
      <c r="R160" s="213"/>
      <c r="S160" s="213"/>
      <c r="T160" s="213"/>
      <c r="U160" s="213"/>
      <c r="V160" s="216"/>
      <c r="W160" s="213"/>
      <c r="X160" s="213"/>
      <c r="Y160" s="213"/>
      <c r="Z160" s="213"/>
      <c r="AA160" s="213"/>
      <c r="AB160" s="216"/>
      <c r="AC160" s="213"/>
      <c r="AD160" s="213"/>
      <c r="AE160" s="213"/>
      <c r="AF160" s="213"/>
      <c r="AG160" s="213"/>
      <c r="AH160" s="216"/>
      <c r="AI160" s="213"/>
      <c r="AJ160" s="213"/>
      <c r="AK160" s="213"/>
      <c r="AL160" s="213"/>
      <c r="AM160" s="213"/>
      <c r="AN160" s="216"/>
      <c r="AO160" s="213"/>
      <c r="AP160" s="213"/>
      <c r="AQ160" s="213"/>
      <c r="AR160" s="213"/>
      <c r="AS160" s="213"/>
      <c r="AT160" s="216"/>
      <c r="AU160" s="213"/>
      <c r="AV160" s="213"/>
      <c r="AW160" s="213"/>
      <c r="AX160" s="213"/>
      <c r="AY160" s="213"/>
      <c r="AZ160" s="213"/>
      <c r="BA160" s="213"/>
      <c r="BB160" s="213"/>
      <c r="BC160" s="213"/>
      <c r="BD160" s="213"/>
      <c r="BE160" s="213"/>
      <c r="BF160" s="216"/>
      <c r="BG160" s="213"/>
      <c r="BH160" s="213"/>
      <c r="BI160" s="213"/>
      <c r="BJ160" s="213"/>
      <c r="BK160" s="213"/>
      <c r="BL160" s="213"/>
      <c r="BM160" s="213"/>
      <c r="BN160" s="213"/>
      <c r="BO160" s="213"/>
      <c r="BP160" s="213"/>
      <c r="BQ160" s="213"/>
      <c r="BR160" s="454"/>
      <c r="BS160" s="213"/>
      <c r="BT160" s="213"/>
      <c r="BU160" s="213"/>
      <c r="BV160" s="213"/>
      <c r="BW160" s="213"/>
      <c r="BX160" s="213"/>
      <c r="BY160" s="213"/>
      <c r="BZ160" s="213"/>
      <c r="CA160" s="213"/>
      <c r="CB160" s="213"/>
      <c r="CC160" s="213"/>
      <c r="CD160" s="213"/>
      <c r="CE160" s="213"/>
      <c r="CF160" s="213"/>
      <c r="CG160" s="213"/>
      <c r="CH160" s="213"/>
      <c r="CI160" s="213"/>
      <c r="CJ160" s="213"/>
      <c r="CK160" s="213"/>
      <c r="CL160" s="213"/>
      <c r="CM160" s="213"/>
      <c r="CN160" s="213"/>
      <c r="CO160" s="213"/>
      <c r="CP160" s="213"/>
      <c r="CQ160" s="213"/>
    </row>
    <row r="161" ht="15.75" customHeight="1">
      <c r="A161" s="213"/>
      <c r="B161" s="213"/>
      <c r="C161" s="213"/>
      <c r="D161" s="213"/>
      <c r="E161" s="213"/>
      <c r="F161" s="213"/>
      <c r="G161" s="213"/>
      <c r="H161" s="213"/>
      <c r="I161" s="213"/>
      <c r="J161" s="216"/>
      <c r="K161" s="213"/>
      <c r="L161" s="213"/>
      <c r="M161" s="213"/>
      <c r="N161" s="213"/>
      <c r="O161" s="213"/>
      <c r="P161" s="216"/>
      <c r="Q161" s="213"/>
      <c r="R161" s="213"/>
      <c r="S161" s="213"/>
      <c r="T161" s="213"/>
      <c r="U161" s="213"/>
      <c r="V161" s="216"/>
      <c r="W161" s="213"/>
      <c r="X161" s="213"/>
      <c r="Y161" s="213"/>
      <c r="Z161" s="213"/>
      <c r="AA161" s="213"/>
      <c r="AB161" s="216"/>
      <c r="AC161" s="213"/>
      <c r="AD161" s="213"/>
      <c r="AE161" s="213"/>
      <c r="AF161" s="213"/>
      <c r="AG161" s="213"/>
      <c r="AH161" s="216"/>
      <c r="AI161" s="213"/>
      <c r="AJ161" s="213"/>
      <c r="AK161" s="213"/>
      <c r="AL161" s="213"/>
      <c r="AM161" s="213"/>
      <c r="AN161" s="216"/>
      <c r="AO161" s="213"/>
      <c r="AP161" s="213"/>
      <c r="AQ161" s="213"/>
      <c r="AR161" s="213"/>
      <c r="AS161" s="213"/>
      <c r="AT161" s="216"/>
      <c r="AU161" s="213"/>
      <c r="AV161" s="213"/>
      <c r="AW161" s="213"/>
      <c r="AX161" s="213"/>
      <c r="AY161" s="213"/>
      <c r="AZ161" s="213"/>
      <c r="BA161" s="213"/>
      <c r="BB161" s="213"/>
      <c r="BC161" s="213"/>
      <c r="BD161" s="213"/>
      <c r="BE161" s="213"/>
      <c r="BF161" s="216"/>
      <c r="BG161" s="213"/>
      <c r="BH161" s="213"/>
      <c r="BI161" s="213"/>
      <c r="BJ161" s="213"/>
      <c r="BK161" s="213"/>
      <c r="BL161" s="213"/>
      <c r="BM161" s="213"/>
      <c r="BN161" s="213"/>
      <c r="BO161" s="213"/>
      <c r="BP161" s="213"/>
      <c r="BQ161" s="213"/>
      <c r="BR161" s="454"/>
      <c r="BS161" s="213"/>
      <c r="BT161" s="213"/>
      <c r="BU161" s="213"/>
      <c r="BV161" s="213"/>
      <c r="BW161" s="213"/>
      <c r="BX161" s="213"/>
      <c r="BY161" s="213"/>
      <c r="BZ161" s="213"/>
      <c r="CA161" s="213"/>
      <c r="CB161" s="213"/>
      <c r="CC161" s="213"/>
      <c r="CD161" s="213"/>
      <c r="CE161" s="213"/>
      <c r="CF161" s="213"/>
      <c r="CG161" s="213"/>
      <c r="CH161" s="213"/>
      <c r="CI161" s="213"/>
      <c r="CJ161" s="213"/>
      <c r="CK161" s="213"/>
      <c r="CL161" s="213"/>
      <c r="CM161" s="213"/>
      <c r="CN161" s="213"/>
      <c r="CO161" s="213"/>
      <c r="CP161" s="213"/>
      <c r="CQ161" s="213"/>
    </row>
    <row r="162" ht="15.75" customHeight="1">
      <c r="A162" s="213"/>
      <c r="B162" s="213"/>
      <c r="C162" s="213"/>
      <c r="D162" s="213"/>
      <c r="E162" s="213"/>
      <c r="F162" s="213"/>
      <c r="G162" s="213"/>
      <c r="H162" s="213"/>
      <c r="I162" s="213"/>
      <c r="J162" s="216"/>
      <c r="K162" s="213"/>
      <c r="L162" s="213"/>
      <c r="M162" s="213"/>
      <c r="N162" s="213"/>
      <c r="O162" s="213"/>
      <c r="P162" s="216"/>
      <c r="Q162" s="213"/>
      <c r="R162" s="213"/>
      <c r="S162" s="213"/>
      <c r="T162" s="213"/>
      <c r="U162" s="213"/>
      <c r="V162" s="216"/>
      <c r="W162" s="213"/>
      <c r="X162" s="213"/>
      <c r="Y162" s="213"/>
      <c r="Z162" s="213"/>
      <c r="AA162" s="213"/>
      <c r="AB162" s="216"/>
      <c r="AC162" s="213"/>
      <c r="AD162" s="213"/>
      <c r="AE162" s="213"/>
      <c r="AF162" s="213"/>
      <c r="AG162" s="213"/>
      <c r="AH162" s="216"/>
      <c r="AI162" s="213"/>
      <c r="AJ162" s="213"/>
      <c r="AK162" s="213"/>
      <c r="AL162" s="213"/>
      <c r="AM162" s="213"/>
      <c r="AN162" s="216"/>
      <c r="AO162" s="213"/>
      <c r="AP162" s="213"/>
      <c r="AQ162" s="213"/>
      <c r="AR162" s="213"/>
      <c r="AS162" s="213"/>
      <c r="AT162" s="216"/>
      <c r="AU162" s="213"/>
      <c r="AV162" s="213"/>
      <c r="AW162" s="213"/>
      <c r="AX162" s="213"/>
      <c r="AY162" s="213"/>
      <c r="AZ162" s="213"/>
      <c r="BA162" s="213"/>
      <c r="BB162" s="213"/>
      <c r="BC162" s="213"/>
      <c r="BD162" s="213"/>
      <c r="BE162" s="213"/>
      <c r="BF162" s="216"/>
      <c r="BG162" s="213"/>
      <c r="BH162" s="213"/>
      <c r="BI162" s="213"/>
      <c r="BJ162" s="213"/>
      <c r="BK162" s="213"/>
      <c r="BL162" s="213"/>
      <c r="BM162" s="213"/>
      <c r="BN162" s="213"/>
      <c r="BO162" s="213"/>
      <c r="BP162" s="213"/>
      <c r="BQ162" s="213"/>
      <c r="BR162" s="454"/>
      <c r="BS162" s="213"/>
      <c r="BT162" s="213"/>
      <c r="BU162" s="213"/>
      <c r="BV162" s="213"/>
      <c r="BW162" s="213"/>
      <c r="BX162" s="213"/>
      <c r="BY162" s="213"/>
      <c r="BZ162" s="213"/>
      <c r="CA162" s="213"/>
      <c r="CB162" s="213"/>
      <c r="CC162" s="213"/>
      <c r="CD162" s="213"/>
      <c r="CE162" s="213"/>
      <c r="CF162" s="213"/>
      <c r="CG162" s="213"/>
      <c r="CH162" s="213"/>
      <c r="CI162" s="213"/>
      <c r="CJ162" s="213"/>
      <c r="CK162" s="213"/>
      <c r="CL162" s="213"/>
      <c r="CM162" s="213"/>
      <c r="CN162" s="213"/>
      <c r="CO162" s="213"/>
      <c r="CP162" s="213"/>
      <c r="CQ162" s="213"/>
    </row>
    <row r="163" ht="15.75" customHeight="1">
      <c r="A163" s="213"/>
      <c r="B163" s="213"/>
      <c r="C163" s="213"/>
      <c r="D163" s="213"/>
      <c r="E163" s="213"/>
      <c r="F163" s="213"/>
      <c r="G163" s="213"/>
      <c r="H163" s="213"/>
      <c r="I163" s="213"/>
      <c r="J163" s="216"/>
      <c r="K163" s="213"/>
      <c r="L163" s="213"/>
      <c r="M163" s="213"/>
      <c r="N163" s="213"/>
      <c r="O163" s="213"/>
      <c r="P163" s="216"/>
      <c r="Q163" s="213"/>
      <c r="R163" s="213"/>
      <c r="S163" s="213"/>
      <c r="T163" s="213"/>
      <c r="U163" s="213"/>
      <c r="V163" s="216"/>
      <c r="W163" s="213"/>
      <c r="X163" s="213"/>
      <c r="Y163" s="213"/>
      <c r="Z163" s="213"/>
      <c r="AA163" s="213"/>
      <c r="AB163" s="216"/>
      <c r="AC163" s="213"/>
      <c r="AD163" s="213"/>
      <c r="AE163" s="213"/>
      <c r="AF163" s="213"/>
      <c r="AG163" s="213"/>
      <c r="AH163" s="216"/>
      <c r="AI163" s="213"/>
      <c r="AJ163" s="213"/>
      <c r="AK163" s="213"/>
      <c r="AL163" s="213"/>
      <c r="AM163" s="213"/>
      <c r="AN163" s="216"/>
      <c r="AO163" s="213"/>
      <c r="AP163" s="213"/>
      <c r="AQ163" s="213"/>
      <c r="AR163" s="213"/>
      <c r="AS163" s="213"/>
      <c r="AT163" s="216"/>
      <c r="AU163" s="213"/>
      <c r="AV163" s="213"/>
      <c r="AW163" s="213"/>
      <c r="AX163" s="213"/>
      <c r="AY163" s="213"/>
      <c r="AZ163" s="213"/>
      <c r="BA163" s="213"/>
      <c r="BB163" s="213"/>
      <c r="BC163" s="213"/>
      <c r="BD163" s="213"/>
      <c r="BE163" s="213"/>
      <c r="BF163" s="216"/>
      <c r="BG163" s="213"/>
      <c r="BH163" s="213"/>
      <c r="BI163" s="213"/>
      <c r="BJ163" s="213"/>
      <c r="BK163" s="213"/>
      <c r="BL163" s="213"/>
      <c r="BM163" s="213"/>
      <c r="BN163" s="213"/>
      <c r="BO163" s="213"/>
      <c r="BP163" s="213"/>
      <c r="BQ163" s="213"/>
      <c r="BR163" s="454"/>
      <c r="BS163" s="213"/>
      <c r="BT163" s="213"/>
      <c r="BU163" s="213"/>
      <c r="BV163" s="213"/>
      <c r="BW163" s="213"/>
      <c r="BX163" s="213"/>
      <c r="BY163" s="213"/>
      <c r="BZ163" s="213"/>
      <c r="CA163" s="213"/>
      <c r="CB163" s="213"/>
      <c r="CC163" s="213"/>
      <c r="CD163" s="213"/>
      <c r="CE163" s="213"/>
      <c r="CF163" s="213"/>
      <c r="CG163" s="213"/>
      <c r="CH163" s="213"/>
      <c r="CI163" s="213"/>
      <c r="CJ163" s="213"/>
      <c r="CK163" s="213"/>
      <c r="CL163" s="213"/>
      <c r="CM163" s="213"/>
      <c r="CN163" s="213"/>
      <c r="CO163" s="213"/>
      <c r="CP163" s="213"/>
      <c r="CQ163" s="213"/>
    </row>
    <row r="164" ht="15.75" customHeight="1">
      <c r="A164" s="213"/>
      <c r="B164" s="213"/>
      <c r="C164" s="213"/>
      <c r="D164" s="213"/>
      <c r="E164" s="213"/>
      <c r="F164" s="213"/>
      <c r="G164" s="213"/>
      <c r="H164" s="213"/>
      <c r="I164" s="213"/>
      <c r="J164" s="216"/>
      <c r="K164" s="213"/>
      <c r="L164" s="213"/>
      <c r="M164" s="213"/>
      <c r="N164" s="213"/>
      <c r="O164" s="213"/>
      <c r="P164" s="216"/>
      <c r="Q164" s="213"/>
      <c r="R164" s="213"/>
      <c r="S164" s="213"/>
      <c r="T164" s="213"/>
      <c r="U164" s="213"/>
      <c r="V164" s="216"/>
      <c r="W164" s="213"/>
      <c r="X164" s="213"/>
      <c r="Y164" s="213"/>
      <c r="Z164" s="213"/>
      <c r="AA164" s="213"/>
      <c r="AB164" s="216"/>
      <c r="AC164" s="213"/>
      <c r="AD164" s="213"/>
      <c r="AE164" s="213"/>
      <c r="AF164" s="213"/>
      <c r="AG164" s="213"/>
      <c r="AH164" s="216"/>
      <c r="AI164" s="213"/>
      <c r="AJ164" s="213"/>
      <c r="AK164" s="213"/>
      <c r="AL164" s="213"/>
      <c r="AM164" s="213"/>
      <c r="AN164" s="216"/>
      <c r="AO164" s="213"/>
      <c r="AP164" s="213"/>
      <c r="AQ164" s="213"/>
      <c r="AR164" s="213"/>
      <c r="AS164" s="213"/>
      <c r="AT164" s="216"/>
      <c r="AU164" s="213"/>
      <c r="AV164" s="213"/>
      <c r="AW164" s="213"/>
      <c r="AX164" s="213"/>
      <c r="AY164" s="213"/>
      <c r="AZ164" s="213"/>
      <c r="BA164" s="213"/>
      <c r="BB164" s="213"/>
      <c r="BC164" s="213"/>
      <c r="BD164" s="213"/>
      <c r="BE164" s="213"/>
      <c r="BF164" s="216"/>
      <c r="BG164" s="213"/>
      <c r="BH164" s="213"/>
      <c r="BI164" s="213"/>
      <c r="BJ164" s="213"/>
      <c r="BK164" s="213"/>
      <c r="BL164" s="213"/>
      <c r="BM164" s="213"/>
      <c r="BN164" s="213"/>
      <c r="BO164" s="213"/>
      <c r="BP164" s="213"/>
      <c r="BQ164" s="213"/>
      <c r="BR164" s="454"/>
      <c r="BS164" s="213"/>
      <c r="BT164" s="213"/>
      <c r="BU164" s="213"/>
      <c r="BV164" s="213"/>
      <c r="BW164" s="213"/>
      <c r="BX164" s="213"/>
      <c r="BY164" s="213"/>
      <c r="BZ164" s="213"/>
      <c r="CA164" s="213"/>
      <c r="CB164" s="213"/>
      <c r="CC164" s="213"/>
      <c r="CD164" s="213"/>
      <c r="CE164" s="213"/>
      <c r="CF164" s="213"/>
      <c r="CG164" s="213"/>
      <c r="CH164" s="213"/>
      <c r="CI164" s="213"/>
      <c r="CJ164" s="213"/>
      <c r="CK164" s="213"/>
      <c r="CL164" s="213"/>
      <c r="CM164" s="213"/>
      <c r="CN164" s="213"/>
      <c r="CO164" s="213"/>
      <c r="CP164" s="213"/>
      <c r="CQ164" s="213"/>
    </row>
    <row r="165" ht="15.75" customHeight="1">
      <c r="A165" s="213"/>
      <c r="B165" s="213"/>
      <c r="C165" s="213"/>
      <c r="D165" s="213"/>
      <c r="E165" s="213"/>
      <c r="F165" s="213"/>
      <c r="G165" s="213"/>
      <c r="H165" s="213"/>
      <c r="I165" s="213"/>
      <c r="J165" s="216"/>
      <c r="K165" s="213"/>
      <c r="L165" s="213"/>
      <c r="M165" s="213"/>
      <c r="N165" s="213"/>
      <c r="O165" s="213"/>
      <c r="P165" s="216"/>
      <c r="Q165" s="213"/>
      <c r="R165" s="213"/>
      <c r="S165" s="213"/>
      <c r="T165" s="213"/>
      <c r="U165" s="213"/>
      <c r="V165" s="216"/>
      <c r="W165" s="213"/>
      <c r="X165" s="213"/>
      <c r="Y165" s="213"/>
      <c r="Z165" s="213"/>
      <c r="AA165" s="213"/>
      <c r="AB165" s="216"/>
      <c r="AC165" s="213"/>
      <c r="AD165" s="213"/>
      <c r="AE165" s="213"/>
      <c r="AF165" s="213"/>
      <c r="AG165" s="213"/>
      <c r="AH165" s="216"/>
      <c r="AI165" s="213"/>
      <c r="AJ165" s="213"/>
      <c r="AK165" s="213"/>
      <c r="AL165" s="213"/>
      <c r="AM165" s="213"/>
      <c r="AN165" s="216"/>
      <c r="AO165" s="213"/>
      <c r="AP165" s="213"/>
      <c r="AQ165" s="213"/>
      <c r="AR165" s="213"/>
      <c r="AS165" s="213"/>
      <c r="AT165" s="216"/>
      <c r="AU165" s="213"/>
      <c r="AV165" s="213"/>
      <c r="AW165" s="213"/>
      <c r="AX165" s="213"/>
      <c r="AY165" s="213"/>
      <c r="AZ165" s="213"/>
      <c r="BA165" s="213"/>
      <c r="BB165" s="213"/>
      <c r="BC165" s="213"/>
      <c r="BD165" s="213"/>
      <c r="BE165" s="213"/>
      <c r="BF165" s="216"/>
      <c r="BG165" s="213"/>
      <c r="BH165" s="213"/>
      <c r="BI165" s="213"/>
      <c r="BJ165" s="213"/>
      <c r="BK165" s="213"/>
      <c r="BL165" s="213"/>
      <c r="BM165" s="213"/>
      <c r="BN165" s="213"/>
      <c r="BO165" s="213"/>
      <c r="BP165" s="213"/>
      <c r="BQ165" s="213"/>
      <c r="BR165" s="454"/>
      <c r="BS165" s="213"/>
      <c r="BT165" s="213"/>
      <c r="BU165" s="213"/>
      <c r="BV165" s="213"/>
      <c r="BW165" s="213"/>
      <c r="BX165" s="213"/>
      <c r="BY165" s="213"/>
      <c r="BZ165" s="213"/>
      <c r="CA165" s="213"/>
      <c r="CB165" s="213"/>
      <c r="CC165" s="213"/>
      <c r="CD165" s="213"/>
      <c r="CE165" s="213"/>
      <c r="CF165" s="213"/>
      <c r="CG165" s="213"/>
      <c r="CH165" s="213"/>
      <c r="CI165" s="213"/>
      <c r="CJ165" s="213"/>
      <c r="CK165" s="213"/>
      <c r="CL165" s="213"/>
      <c r="CM165" s="213"/>
      <c r="CN165" s="213"/>
      <c r="CO165" s="213"/>
      <c r="CP165" s="213"/>
      <c r="CQ165" s="213"/>
    </row>
    <row r="166" ht="15.75" customHeight="1">
      <c r="A166" s="213"/>
      <c r="B166" s="213"/>
      <c r="C166" s="213"/>
      <c r="D166" s="213"/>
      <c r="E166" s="213"/>
      <c r="F166" s="213"/>
      <c r="G166" s="213"/>
      <c r="H166" s="213"/>
      <c r="I166" s="213"/>
      <c r="J166" s="216"/>
      <c r="K166" s="213"/>
      <c r="L166" s="213"/>
      <c r="M166" s="213"/>
      <c r="N166" s="213"/>
      <c r="O166" s="213"/>
      <c r="P166" s="216"/>
      <c r="Q166" s="213"/>
      <c r="R166" s="213"/>
      <c r="S166" s="213"/>
      <c r="T166" s="213"/>
      <c r="U166" s="213"/>
      <c r="V166" s="216"/>
      <c r="W166" s="213"/>
      <c r="X166" s="213"/>
      <c r="Y166" s="213"/>
      <c r="Z166" s="213"/>
      <c r="AA166" s="213"/>
      <c r="AB166" s="216"/>
      <c r="AC166" s="213"/>
      <c r="AD166" s="213"/>
      <c r="AE166" s="213"/>
      <c r="AF166" s="213"/>
      <c r="AG166" s="213"/>
      <c r="AH166" s="216"/>
      <c r="AI166" s="213"/>
      <c r="AJ166" s="213"/>
      <c r="AK166" s="213"/>
      <c r="AL166" s="213"/>
      <c r="AM166" s="213"/>
      <c r="AN166" s="216"/>
      <c r="AO166" s="213"/>
      <c r="AP166" s="213"/>
      <c r="AQ166" s="213"/>
      <c r="AR166" s="213"/>
      <c r="AS166" s="213"/>
      <c r="AT166" s="216"/>
      <c r="AU166" s="213"/>
      <c r="AV166" s="213"/>
      <c r="AW166" s="213"/>
      <c r="AX166" s="213"/>
      <c r="AY166" s="213"/>
      <c r="AZ166" s="213"/>
      <c r="BA166" s="213"/>
      <c r="BB166" s="213"/>
      <c r="BC166" s="213"/>
      <c r="BD166" s="213"/>
      <c r="BE166" s="213"/>
      <c r="BF166" s="216"/>
      <c r="BG166" s="213"/>
      <c r="BH166" s="213"/>
      <c r="BI166" s="213"/>
      <c r="BJ166" s="213"/>
      <c r="BK166" s="213"/>
      <c r="BL166" s="213"/>
      <c r="BM166" s="213"/>
      <c r="BN166" s="213"/>
      <c r="BO166" s="213"/>
      <c r="BP166" s="213"/>
      <c r="BQ166" s="213"/>
      <c r="BR166" s="454"/>
      <c r="BS166" s="213"/>
      <c r="BT166" s="213"/>
      <c r="BU166" s="213"/>
      <c r="BV166" s="213"/>
      <c r="BW166" s="213"/>
      <c r="BX166" s="213"/>
      <c r="BY166" s="213"/>
      <c r="BZ166" s="213"/>
      <c r="CA166" s="213"/>
      <c r="CB166" s="213"/>
      <c r="CC166" s="213"/>
      <c r="CD166" s="213"/>
      <c r="CE166" s="213"/>
      <c r="CF166" s="213"/>
      <c r="CG166" s="213"/>
      <c r="CH166" s="213"/>
      <c r="CI166" s="213"/>
      <c r="CJ166" s="213"/>
      <c r="CK166" s="213"/>
      <c r="CL166" s="213"/>
      <c r="CM166" s="213"/>
      <c r="CN166" s="213"/>
      <c r="CO166" s="213"/>
      <c r="CP166" s="213"/>
      <c r="CQ166" s="213"/>
    </row>
    <row r="167" ht="15.75" customHeight="1">
      <c r="A167" s="213"/>
      <c r="B167" s="213"/>
      <c r="C167" s="213"/>
      <c r="D167" s="213"/>
      <c r="E167" s="213"/>
      <c r="F167" s="213"/>
      <c r="G167" s="213"/>
      <c r="H167" s="213"/>
      <c r="I167" s="213"/>
      <c r="J167" s="216"/>
      <c r="K167" s="213"/>
      <c r="L167" s="213"/>
      <c r="M167" s="213"/>
      <c r="N167" s="213"/>
      <c r="O167" s="213"/>
      <c r="P167" s="216"/>
      <c r="Q167" s="213"/>
      <c r="R167" s="213"/>
      <c r="S167" s="213"/>
      <c r="T167" s="213"/>
      <c r="U167" s="213"/>
      <c r="V167" s="216"/>
      <c r="W167" s="213"/>
      <c r="X167" s="213"/>
      <c r="Y167" s="213"/>
      <c r="Z167" s="213"/>
      <c r="AA167" s="213"/>
      <c r="AB167" s="216"/>
      <c r="AC167" s="213"/>
      <c r="AD167" s="213"/>
      <c r="AE167" s="213"/>
      <c r="AF167" s="213"/>
      <c r="AG167" s="213"/>
      <c r="AH167" s="216"/>
      <c r="AI167" s="213"/>
      <c r="AJ167" s="213"/>
      <c r="AK167" s="213"/>
      <c r="AL167" s="213"/>
      <c r="AM167" s="213"/>
      <c r="AN167" s="216"/>
      <c r="AO167" s="213"/>
      <c r="AP167" s="213"/>
      <c r="AQ167" s="213"/>
      <c r="AR167" s="213"/>
      <c r="AS167" s="213"/>
      <c r="AT167" s="216"/>
      <c r="AU167" s="213"/>
      <c r="AV167" s="213"/>
      <c r="AW167" s="213"/>
      <c r="AX167" s="213"/>
      <c r="AY167" s="213"/>
      <c r="AZ167" s="213"/>
      <c r="BA167" s="213"/>
      <c r="BB167" s="213"/>
      <c r="BC167" s="213"/>
      <c r="BD167" s="213"/>
      <c r="BE167" s="213"/>
      <c r="BF167" s="216"/>
      <c r="BG167" s="213"/>
      <c r="BH167" s="213"/>
      <c r="BI167" s="213"/>
      <c r="BJ167" s="213"/>
      <c r="BK167" s="213"/>
      <c r="BL167" s="213"/>
      <c r="BM167" s="213"/>
      <c r="BN167" s="213"/>
      <c r="BO167" s="213"/>
      <c r="BP167" s="213"/>
      <c r="BQ167" s="213"/>
      <c r="BR167" s="454"/>
      <c r="BS167" s="213"/>
      <c r="BT167" s="213"/>
      <c r="BU167" s="213"/>
      <c r="BV167" s="213"/>
      <c r="BW167" s="213"/>
      <c r="BX167" s="213"/>
      <c r="BY167" s="213"/>
      <c r="BZ167" s="213"/>
      <c r="CA167" s="213"/>
      <c r="CB167" s="213"/>
      <c r="CC167" s="213"/>
      <c r="CD167" s="213"/>
      <c r="CE167" s="213"/>
      <c r="CF167" s="213"/>
      <c r="CG167" s="213"/>
      <c r="CH167" s="213"/>
      <c r="CI167" s="213"/>
      <c r="CJ167" s="213"/>
      <c r="CK167" s="213"/>
      <c r="CL167" s="213"/>
      <c r="CM167" s="213"/>
      <c r="CN167" s="213"/>
      <c r="CO167" s="213"/>
      <c r="CP167" s="213"/>
      <c r="CQ167" s="213"/>
    </row>
    <row r="168" ht="15.75" customHeight="1">
      <c r="A168" s="213"/>
      <c r="B168" s="213"/>
      <c r="C168" s="213"/>
      <c r="D168" s="213"/>
      <c r="E168" s="213"/>
      <c r="F168" s="213"/>
      <c r="G168" s="213"/>
      <c r="H168" s="213"/>
      <c r="I168" s="213"/>
      <c r="J168" s="216"/>
      <c r="K168" s="213"/>
      <c r="L168" s="213"/>
      <c r="M168" s="213"/>
      <c r="N168" s="213"/>
      <c r="O168" s="213"/>
      <c r="P168" s="216"/>
      <c r="Q168" s="213"/>
      <c r="R168" s="213"/>
      <c r="S168" s="213"/>
      <c r="T168" s="213"/>
      <c r="U168" s="213"/>
      <c r="V168" s="216"/>
      <c r="W168" s="213"/>
      <c r="X168" s="213"/>
      <c r="Y168" s="213"/>
      <c r="Z168" s="213"/>
      <c r="AA168" s="213"/>
      <c r="AB168" s="216"/>
      <c r="AC168" s="213"/>
      <c r="AD168" s="213"/>
      <c r="AE168" s="213"/>
      <c r="AF168" s="213"/>
      <c r="AG168" s="213"/>
      <c r="AH168" s="216"/>
      <c r="AI168" s="213"/>
      <c r="AJ168" s="213"/>
      <c r="AK168" s="213"/>
      <c r="AL168" s="213"/>
      <c r="AM168" s="213"/>
      <c r="AN168" s="216"/>
      <c r="AO168" s="213"/>
      <c r="AP168" s="213"/>
      <c r="AQ168" s="213"/>
      <c r="AR168" s="213"/>
      <c r="AS168" s="213"/>
      <c r="AT168" s="216"/>
      <c r="AU168" s="213"/>
      <c r="AV168" s="213"/>
      <c r="AW168" s="213"/>
      <c r="AX168" s="213"/>
      <c r="AY168" s="213"/>
      <c r="AZ168" s="213"/>
      <c r="BA168" s="213"/>
      <c r="BB168" s="213"/>
      <c r="BC168" s="213"/>
      <c r="BD168" s="213"/>
      <c r="BE168" s="213"/>
      <c r="BF168" s="216"/>
      <c r="BG168" s="213"/>
      <c r="BH168" s="213"/>
      <c r="BI168" s="213"/>
      <c r="BJ168" s="213"/>
      <c r="BK168" s="213"/>
      <c r="BL168" s="213"/>
      <c r="BM168" s="213"/>
      <c r="BN168" s="213"/>
      <c r="BO168" s="213"/>
      <c r="BP168" s="213"/>
      <c r="BQ168" s="213"/>
      <c r="BR168" s="454"/>
      <c r="BS168" s="213"/>
      <c r="BT168" s="213"/>
      <c r="BU168" s="213"/>
      <c r="BV168" s="213"/>
      <c r="BW168" s="213"/>
      <c r="BX168" s="213"/>
      <c r="BY168" s="213"/>
      <c r="BZ168" s="213"/>
      <c r="CA168" s="213"/>
      <c r="CB168" s="213"/>
      <c r="CC168" s="213"/>
      <c r="CD168" s="213"/>
      <c r="CE168" s="213"/>
      <c r="CF168" s="213"/>
      <c r="CG168" s="213"/>
      <c r="CH168" s="213"/>
      <c r="CI168" s="213"/>
      <c r="CJ168" s="213"/>
      <c r="CK168" s="213"/>
      <c r="CL168" s="213"/>
      <c r="CM168" s="213"/>
      <c r="CN168" s="213"/>
      <c r="CO168" s="213"/>
      <c r="CP168" s="213"/>
      <c r="CQ168" s="213"/>
    </row>
    <row r="169" ht="15.75" customHeight="1">
      <c r="A169" s="213"/>
      <c r="B169" s="213"/>
      <c r="C169" s="213"/>
      <c r="D169" s="213"/>
      <c r="E169" s="213"/>
      <c r="F169" s="213"/>
      <c r="G169" s="213"/>
      <c r="H169" s="213"/>
      <c r="I169" s="213"/>
      <c r="J169" s="216"/>
      <c r="K169" s="213"/>
      <c r="L169" s="213"/>
      <c r="M169" s="213"/>
      <c r="N169" s="213"/>
      <c r="O169" s="213"/>
      <c r="P169" s="216"/>
      <c r="Q169" s="213"/>
      <c r="R169" s="213"/>
      <c r="S169" s="213"/>
      <c r="T169" s="213"/>
      <c r="U169" s="213"/>
      <c r="V169" s="216"/>
      <c r="W169" s="213"/>
      <c r="X169" s="213"/>
      <c r="Y169" s="213"/>
      <c r="Z169" s="213"/>
      <c r="AA169" s="213"/>
      <c r="AB169" s="216"/>
      <c r="AC169" s="213"/>
      <c r="AD169" s="213"/>
      <c r="AE169" s="213"/>
      <c r="AF169" s="213"/>
      <c r="AG169" s="213"/>
      <c r="AH169" s="216"/>
      <c r="AI169" s="213"/>
      <c r="AJ169" s="213"/>
      <c r="AK169" s="213"/>
      <c r="AL169" s="213"/>
      <c r="AM169" s="213"/>
      <c r="AN169" s="216"/>
      <c r="AO169" s="213"/>
      <c r="AP169" s="213"/>
      <c r="AQ169" s="213"/>
      <c r="AR169" s="213"/>
      <c r="AS169" s="213"/>
      <c r="AT169" s="216"/>
      <c r="AU169" s="213"/>
      <c r="AV169" s="213"/>
      <c r="AW169" s="213"/>
      <c r="AX169" s="213"/>
      <c r="AY169" s="213"/>
      <c r="AZ169" s="213"/>
      <c r="BA169" s="213"/>
      <c r="BB169" s="213"/>
      <c r="BC169" s="213"/>
      <c r="BD169" s="213"/>
      <c r="BE169" s="213"/>
      <c r="BF169" s="216"/>
      <c r="BG169" s="213"/>
      <c r="BH169" s="213"/>
      <c r="BI169" s="213"/>
      <c r="BJ169" s="213"/>
      <c r="BK169" s="213"/>
      <c r="BL169" s="213"/>
      <c r="BM169" s="213"/>
      <c r="BN169" s="213"/>
      <c r="BO169" s="213"/>
      <c r="BP169" s="213"/>
      <c r="BQ169" s="213"/>
      <c r="BR169" s="454"/>
      <c r="BS169" s="213"/>
      <c r="BT169" s="213"/>
      <c r="BU169" s="213"/>
      <c r="BV169" s="213"/>
      <c r="BW169" s="213"/>
      <c r="BX169" s="213"/>
      <c r="BY169" s="213"/>
      <c r="BZ169" s="213"/>
      <c r="CA169" s="213"/>
      <c r="CB169" s="213"/>
      <c r="CC169" s="213"/>
      <c r="CD169" s="213"/>
      <c r="CE169" s="213"/>
      <c r="CF169" s="213"/>
      <c r="CG169" s="213"/>
      <c r="CH169" s="213"/>
      <c r="CI169" s="213"/>
      <c r="CJ169" s="213"/>
      <c r="CK169" s="213"/>
      <c r="CL169" s="213"/>
      <c r="CM169" s="213"/>
      <c r="CN169" s="213"/>
      <c r="CO169" s="213"/>
      <c r="CP169" s="213"/>
      <c r="CQ169" s="213"/>
    </row>
    <row r="170" ht="15.75" customHeight="1">
      <c r="A170" s="213"/>
      <c r="B170" s="213"/>
      <c r="C170" s="213"/>
      <c r="D170" s="213"/>
      <c r="E170" s="213"/>
      <c r="F170" s="213"/>
      <c r="G170" s="213"/>
      <c r="H170" s="213"/>
      <c r="I170" s="213"/>
      <c r="J170" s="216"/>
      <c r="K170" s="213"/>
      <c r="L170" s="213"/>
      <c r="M170" s="213"/>
      <c r="N170" s="213"/>
      <c r="O170" s="213"/>
      <c r="P170" s="216"/>
      <c r="Q170" s="213"/>
      <c r="R170" s="213"/>
      <c r="S170" s="213"/>
      <c r="T170" s="213"/>
      <c r="U170" s="213"/>
      <c r="V170" s="216"/>
      <c r="W170" s="213"/>
      <c r="X170" s="213"/>
      <c r="Y170" s="213"/>
      <c r="Z170" s="213"/>
      <c r="AA170" s="213"/>
      <c r="AB170" s="216"/>
      <c r="AC170" s="213"/>
      <c r="AD170" s="213"/>
      <c r="AE170" s="213"/>
      <c r="AF170" s="213"/>
      <c r="AG170" s="213"/>
      <c r="AH170" s="216"/>
      <c r="AI170" s="213"/>
      <c r="AJ170" s="213"/>
      <c r="AK170" s="213"/>
      <c r="AL170" s="213"/>
      <c r="AM170" s="213"/>
      <c r="AN170" s="216"/>
      <c r="AO170" s="213"/>
      <c r="AP170" s="213"/>
      <c r="AQ170" s="213"/>
      <c r="AR170" s="213"/>
      <c r="AS170" s="213"/>
      <c r="AT170" s="216"/>
      <c r="AU170" s="213"/>
      <c r="AV170" s="213"/>
      <c r="AW170" s="213"/>
      <c r="AX170" s="213"/>
      <c r="AY170" s="213"/>
      <c r="AZ170" s="213"/>
      <c r="BA170" s="213"/>
      <c r="BB170" s="213"/>
      <c r="BC170" s="213"/>
      <c r="BD170" s="213"/>
      <c r="BE170" s="213"/>
      <c r="BF170" s="216"/>
      <c r="BG170" s="213"/>
      <c r="BH170" s="213"/>
      <c r="BI170" s="213"/>
      <c r="BJ170" s="213"/>
      <c r="BK170" s="213"/>
      <c r="BL170" s="213"/>
      <c r="BM170" s="213"/>
      <c r="BN170" s="213"/>
      <c r="BO170" s="213"/>
      <c r="BP170" s="213"/>
      <c r="BQ170" s="213"/>
      <c r="BR170" s="454"/>
      <c r="BS170" s="213"/>
      <c r="BT170" s="213"/>
      <c r="BU170" s="213"/>
      <c r="BV170" s="213"/>
      <c r="BW170" s="213"/>
      <c r="BX170" s="213"/>
      <c r="BY170" s="213"/>
      <c r="BZ170" s="213"/>
      <c r="CA170" s="213"/>
      <c r="CB170" s="213"/>
      <c r="CC170" s="213"/>
      <c r="CD170" s="213"/>
      <c r="CE170" s="213"/>
      <c r="CF170" s="213"/>
      <c r="CG170" s="213"/>
      <c r="CH170" s="213"/>
      <c r="CI170" s="213"/>
      <c r="CJ170" s="213"/>
      <c r="CK170" s="213"/>
      <c r="CL170" s="213"/>
      <c r="CM170" s="213"/>
      <c r="CN170" s="213"/>
      <c r="CO170" s="213"/>
      <c r="CP170" s="213"/>
      <c r="CQ170" s="213"/>
    </row>
    <row r="171" ht="15.75" customHeight="1">
      <c r="A171" s="213"/>
      <c r="B171" s="213"/>
      <c r="C171" s="213"/>
      <c r="D171" s="213"/>
      <c r="E171" s="213"/>
      <c r="F171" s="213"/>
      <c r="G171" s="213"/>
      <c r="H171" s="213"/>
      <c r="I171" s="213"/>
      <c r="J171" s="216"/>
      <c r="K171" s="213"/>
      <c r="L171" s="213"/>
      <c r="M171" s="213"/>
      <c r="N171" s="213"/>
      <c r="O171" s="213"/>
      <c r="P171" s="216"/>
      <c r="Q171" s="213"/>
      <c r="R171" s="213"/>
      <c r="S171" s="213"/>
      <c r="T171" s="213"/>
      <c r="U171" s="213"/>
      <c r="V171" s="216"/>
      <c r="W171" s="213"/>
      <c r="X171" s="213"/>
      <c r="Y171" s="213"/>
      <c r="Z171" s="213"/>
      <c r="AA171" s="213"/>
      <c r="AB171" s="216"/>
      <c r="AC171" s="213"/>
      <c r="AD171" s="213"/>
      <c r="AE171" s="213"/>
      <c r="AF171" s="213"/>
      <c r="AG171" s="213"/>
      <c r="AH171" s="216"/>
      <c r="AI171" s="213"/>
      <c r="AJ171" s="213"/>
      <c r="AK171" s="213"/>
      <c r="AL171" s="213"/>
      <c r="AM171" s="213"/>
      <c r="AN171" s="216"/>
      <c r="AO171" s="213"/>
      <c r="AP171" s="213"/>
      <c r="AQ171" s="213"/>
      <c r="AR171" s="213"/>
      <c r="AS171" s="213"/>
      <c r="AT171" s="216"/>
      <c r="AU171" s="213"/>
      <c r="AV171" s="213"/>
      <c r="AW171" s="213"/>
      <c r="AX171" s="213"/>
      <c r="AY171" s="213"/>
      <c r="AZ171" s="213"/>
      <c r="BA171" s="213"/>
      <c r="BB171" s="213"/>
      <c r="BC171" s="213"/>
      <c r="BD171" s="213"/>
      <c r="BE171" s="213"/>
      <c r="BF171" s="216"/>
      <c r="BG171" s="213"/>
      <c r="BH171" s="213"/>
      <c r="BI171" s="213"/>
      <c r="BJ171" s="213"/>
      <c r="BK171" s="213"/>
      <c r="BL171" s="213"/>
      <c r="BM171" s="213"/>
      <c r="BN171" s="213"/>
      <c r="BO171" s="213"/>
      <c r="BP171" s="213"/>
      <c r="BQ171" s="213"/>
      <c r="BR171" s="454"/>
      <c r="BS171" s="213"/>
      <c r="BT171" s="213"/>
      <c r="BU171" s="213"/>
      <c r="BV171" s="213"/>
      <c r="BW171" s="213"/>
      <c r="BX171" s="213"/>
      <c r="BY171" s="213"/>
      <c r="BZ171" s="213"/>
      <c r="CA171" s="213"/>
      <c r="CB171" s="213"/>
      <c r="CC171" s="213"/>
      <c r="CD171" s="213"/>
      <c r="CE171" s="213"/>
      <c r="CF171" s="213"/>
      <c r="CG171" s="213"/>
      <c r="CH171" s="213"/>
      <c r="CI171" s="213"/>
      <c r="CJ171" s="213"/>
      <c r="CK171" s="213"/>
      <c r="CL171" s="213"/>
      <c r="CM171" s="213"/>
      <c r="CN171" s="213"/>
      <c r="CO171" s="213"/>
      <c r="CP171" s="213"/>
      <c r="CQ171" s="213"/>
    </row>
    <row r="172" ht="15.75" customHeight="1">
      <c r="A172" s="213"/>
      <c r="B172" s="213"/>
      <c r="C172" s="213"/>
      <c r="D172" s="213"/>
      <c r="E172" s="213"/>
      <c r="F172" s="213"/>
      <c r="G172" s="213"/>
      <c r="H172" s="213"/>
      <c r="I172" s="213"/>
      <c r="J172" s="216"/>
      <c r="K172" s="213"/>
      <c r="L172" s="213"/>
      <c r="M172" s="213"/>
      <c r="N172" s="213"/>
      <c r="O172" s="213"/>
      <c r="P172" s="216"/>
      <c r="Q172" s="213"/>
      <c r="R172" s="213"/>
      <c r="S172" s="213"/>
      <c r="T172" s="213"/>
      <c r="U172" s="213"/>
      <c r="V172" s="216"/>
      <c r="W172" s="213"/>
      <c r="X172" s="213"/>
      <c r="Y172" s="213"/>
      <c r="Z172" s="213"/>
      <c r="AA172" s="213"/>
      <c r="AB172" s="216"/>
      <c r="AC172" s="213"/>
      <c r="AD172" s="213"/>
      <c r="AE172" s="213"/>
      <c r="AF172" s="213"/>
      <c r="AG172" s="213"/>
      <c r="AH172" s="216"/>
      <c r="AI172" s="213"/>
      <c r="AJ172" s="213"/>
      <c r="AK172" s="213"/>
      <c r="AL172" s="213"/>
      <c r="AM172" s="213"/>
      <c r="AN172" s="216"/>
      <c r="AO172" s="213"/>
      <c r="AP172" s="213"/>
      <c r="AQ172" s="213"/>
      <c r="AR172" s="213"/>
      <c r="AS172" s="213"/>
      <c r="AT172" s="216"/>
      <c r="AU172" s="213"/>
      <c r="AV172" s="213"/>
      <c r="AW172" s="213"/>
      <c r="AX172" s="213"/>
      <c r="AY172" s="213"/>
      <c r="AZ172" s="213"/>
      <c r="BA172" s="213"/>
      <c r="BB172" s="213"/>
      <c r="BC172" s="213"/>
      <c r="BD172" s="213"/>
      <c r="BE172" s="213"/>
      <c r="BF172" s="216"/>
      <c r="BG172" s="213"/>
      <c r="BH172" s="213"/>
      <c r="BI172" s="213"/>
      <c r="BJ172" s="213"/>
      <c r="BK172" s="213"/>
      <c r="BL172" s="213"/>
      <c r="BM172" s="213"/>
      <c r="BN172" s="213"/>
      <c r="BO172" s="213"/>
      <c r="BP172" s="213"/>
      <c r="BQ172" s="213"/>
      <c r="BR172" s="454"/>
      <c r="BS172" s="213"/>
      <c r="BT172" s="213"/>
      <c r="BU172" s="213"/>
      <c r="BV172" s="213"/>
      <c r="BW172" s="213"/>
      <c r="BX172" s="213"/>
      <c r="BY172" s="213"/>
      <c r="BZ172" s="213"/>
      <c r="CA172" s="213"/>
      <c r="CB172" s="213"/>
      <c r="CC172" s="213"/>
      <c r="CD172" s="213"/>
      <c r="CE172" s="213"/>
      <c r="CF172" s="213"/>
      <c r="CG172" s="213"/>
      <c r="CH172" s="213"/>
      <c r="CI172" s="213"/>
      <c r="CJ172" s="213"/>
      <c r="CK172" s="213"/>
      <c r="CL172" s="213"/>
      <c r="CM172" s="213"/>
      <c r="CN172" s="213"/>
      <c r="CO172" s="213"/>
      <c r="CP172" s="213"/>
      <c r="CQ172" s="213"/>
    </row>
    <row r="173" ht="15.75" customHeight="1">
      <c r="A173" s="213"/>
      <c r="B173" s="213"/>
      <c r="C173" s="213"/>
      <c r="D173" s="213"/>
      <c r="E173" s="213"/>
      <c r="F173" s="213"/>
      <c r="G173" s="213"/>
      <c r="H173" s="213"/>
      <c r="I173" s="213"/>
      <c r="J173" s="216"/>
      <c r="K173" s="213"/>
      <c r="L173" s="213"/>
      <c r="M173" s="213"/>
      <c r="N173" s="213"/>
      <c r="O173" s="213"/>
      <c r="P173" s="216"/>
      <c r="Q173" s="213"/>
      <c r="R173" s="213"/>
      <c r="S173" s="213"/>
      <c r="T173" s="213"/>
      <c r="U173" s="213"/>
      <c r="V173" s="216"/>
      <c r="W173" s="213"/>
      <c r="X173" s="213"/>
      <c r="Y173" s="213"/>
      <c r="Z173" s="213"/>
      <c r="AA173" s="213"/>
      <c r="AB173" s="216"/>
      <c r="AC173" s="213"/>
      <c r="AD173" s="213"/>
      <c r="AE173" s="213"/>
      <c r="AF173" s="213"/>
      <c r="AG173" s="213"/>
      <c r="AH173" s="216"/>
      <c r="AI173" s="213"/>
      <c r="AJ173" s="213"/>
      <c r="AK173" s="213"/>
      <c r="AL173" s="213"/>
      <c r="AM173" s="213"/>
      <c r="AN173" s="216"/>
      <c r="AO173" s="213"/>
      <c r="AP173" s="213"/>
      <c r="AQ173" s="213"/>
      <c r="AR173" s="213"/>
      <c r="AS173" s="213"/>
      <c r="AT173" s="216"/>
      <c r="AU173" s="213"/>
      <c r="AV173" s="213"/>
      <c r="AW173" s="213"/>
      <c r="AX173" s="213"/>
      <c r="AY173" s="213"/>
      <c r="AZ173" s="213"/>
      <c r="BA173" s="213"/>
      <c r="BB173" s="213"/>
      <c r="BC173" s="213"/>
      <c r="BD173" s="213"/>
      <c r="BE173" s="213"/>
      <c r="BF173" s="216"/>
      <c r="BG173" s="213"/>
      <c r="BH173" s="213"/>
      <c r="BI173" s="213"/>
      <c r="BJ173" s="213"/>
      <c r="BK173" s="213"/>
      <c r="BL173" s="213"/>
      <c r="BM173" s="213"/>
      <c r="BN173" s="213"/>
      <c r="BO173" s="213"/>
      <c r="BP173" s="213"/>
      <c r="BQ173" s="213"/>
      <c r="BR173" s="454"/>
      <c r="BS173" s="213"/>
      <c r="BT173" s="213"/>
      <c r="BU173" s="213"/>
      <c r="BV173" s="213"/>
      <c r="BW173" s="213"/>
      <c r="BX173" s="213"/>
      <c r="BY173" s="213"/>
      <c r="BZ173" s="213"/>
      <c r="CA173" s="213"/>
      <c r="CB173" s="213"/>
      <c r="CC173" s="213"/>
      <c r="CD173" s="213"/>
      <c r="CE173" s="213"/>
      <c r="CF173" s="213"/>
      <c r="CG173" s="213"/>
      <c r="CH173" s="213"/>
      <c r="CI173" s="213"/>
      <c r="CJ173" s="213"/>
      <c r="CK173" s="213"/>
      <c r="CL173" s="213"/>
      <c r="CM173" s="213"/>
      <c r="CN173" s="213"/>
      <c r="CO173" s="213"/>
      <c r="CP173" s="213"/>
      <c r="CQ173" s="213"/>
    </row>
    <row r="174" ht="15.75" customHeight="1">
      <c r="A174" s="213"/>
      <c r="B174" s="213"/>
      <c r="C174" s="213"/>
      <c r="D174" s="213"/>
      <c r="E174" s="213"/>
      <c r="F174" s="213"/>
      <c r="G174" s="213"/>
      <c r="H174" s="213"/>
      <c r="I174" s="213"/>
      <c r="J174" s="216"/>
      <c r="K174" s="213"/>
      <c r="L174" s="213"/>
      <c r="M174" s="213"/>
      <c r="N174" s="213"/>
      <c r="O174" s="213"/>
      <c r="P174" s="216"/>
      <c r="Q174" s="213"/>
      <c r="R174" s="213"/>
      <c r="S174" s="213"/>
      <c r="T174" s="213"/>
      <c r="U174" s="213"/>
      <c r="V174" s="216"/>
      <c r="W174" s="213"/>
      <c r="X174" s="213"/>
      <c r="Y174" s="213"/>
      <c r="Z174" s="213"/>
      <c r="AA174" s="213"/>
      <c r="AB174" s="216"/>
      <c r="AC174" s="213"/>
      <c r="AD174" s="213"/>
      <c r="AE174" s="213"/>
      <c r="AF174" s="213"/>
      <c r="AG174" s="213"/>
      <c r="AH174" s="216"/>
      <c r="AI174" s="213"/>
      <c r="AJ174" s="213"/>
      <c r="AK174" s="213"/>
      <c r="AL174" s="213"/>
      <c r="AM174" s="213"/>
      <c r="AN174" s="216"/>
      <c r="AO174" s="213"/>
      <c r="AP174" s="213"/>
      <c r="AQ174" s="213"/>
      <c r="AR174" s="213"/>
      <c r="AS174" s="213"/>
      <c r="AT174" s="216"/>
      <c r="AU174" s="213"/>
      <c r="AV174" s="213"/>
      <c r="AW174" s="213"/>
      <c r="AX174" s="213"/>
      <c r="AY174" s="213"/>
      <c r="AZ174" s="213"/>
      <c r="BA174" s="213"/>
      <c r="BB174" s="213"/>
      <c r="BC174" s="213"/>
      <c r="BD174" s="213"/>
      <c r="BE174" s="213"/>
      <c r="BF174" s="216"/>
      <c r="BG174" s="213"/>
      <c r="BH174" s="213"/>
      <c r="BI174" s="213"/>
      <c r="BJ174" s="213"/>
      <c r="BK174" s="213"/>
      <c r="BL174" s="213"/>
      <c r="BM174" s="213"/>
      <c r="BN174" s="213"/>
      <c r="BO174" s="213"/>
      <c r="BP174" s="213"/>
      <c r="BQ174" s="213"/>
      <c r="BR174" s="454"/>
      <c r="BS174" s="213"/>
      <c r="BT174" s="213"/>
      <c r="BU174" s="213"/>
      <c r="BV174" s="213"/>
      <c r="BW174" s="213"/>
      <c r="BX174" s="213"/>
      <c r="BY174" s="213"/>
      <c r="BZ174" s="213"/>
      <c r="CA174" s="213"/>
      <c r="CB174" s="213"/>
      <c r="CC174" s="213"/>
      <c r="CD174" s="213"/>
      <c r="CE174" s="213"/>
      <c r="CF174" s="213"/>
      <c r="CG174" s="213"/>
      <c r="CH174" s="213"/>
      <c r="CI174" s="213"/>
      <c r="CJ174" s="213"/>
      <c r="CK174" s="213"/>
      <c r="CL174" s="213"/>
      <c r="CM174" s="213"/>
      <c r="CN174" s="213"/>
      <c r="CO174" s="213"/>
      <c r="CP174" s="213"/>
      <c r="CQ174" s="213"/>
    </row>
    <row r="175" ht="15.75" customHeight="1">
      <c r="A175" s="213"/>
      <c r="B175" s="213"/>
      <c r="C175" s="213"/>
      <c r="D175" s="213"/>
      <c r="E175" s="213"/>
      <c r="F175" s="213"/>
      <c r="G175" s="213"/>
      <c r="H175" s="213"/>
      <c r="I175" s="213"/>
      <c r="J175" s="216"/>
      <c r="K175" s="213"/>
      <c r="L175" s="213"/>
      <c r="M175" s="213"/>
      <c r="N175" s="213"/>
      <c r="O175" s="213"/>
      <c r="P175" s="216"/>
      <c r="Q175" s="213"/>
      <c r="R175" s="213"/>
      <c r="S175" s="213"/>
      <c r="T175" s="213"/>
      <c r="U175" s="213"/>
      <c r="V175" s="216"/>
      <c r="W175" s="213"/>
      <c r="X175" s="213"/>
      <c r="Y175" s="213"/>
      <c r="Z175" s="213"/>
      <c r="AA175" s="213"/>
      <c r="AB175" s="216"/>
      <c r="AC175" s="213"/>
      <c r="AD175" s="213"/>
      <c r="AE175" s="213"/>
      <c r="AF175" s="213"/>
      <c r="AG175" s="213"/>
      <c r="AH175" s="216"/>
      <c r="AI175" s="213"/>
      <c r="AJ175" s="213"/>
      <c r="AK175" s="213"/>
      <c r="AL175" s="213"/>
      <c r="AM175" s="213"/>
      <c r="AN175" s="216"/>
      <c r="AO175" s="213"/>
      <c r="AP175" s="213"/>
      <c r="AQ175" s="213"/>
      <c r="AR175" s="213"/>
      <c r="AS175" s="213"/>
      <c r="AT175" s="216"/>
      <c r="AU175" s="213"/>
      <c r="AV175" s="213"/>
      <c r="AW175" s="213"/>
      <c r="AX175" s="213"/>
      <c r="AY175" s="213"/>
      <c r="AZ175" s="213"/>
      <c r="BA175" s="213"/>
      <c r="BB175" s="213"/>
      <c r="BC175" s="213"/>
      <c r="BD175" s="213"/>
      <c r="BE175" s="213"/>
      <c r="BF175" s="216"/>
      <c r="BG175" s="213"/>
      <c r="BH175" s="213"/>
      <c r="BI175" s="213"/>
      <c r="BJ175" s="213"/>
      <c r="BK175" s="213"/>
      <c r="BL175" s="213"/>
      <c r="BM175" s="213"/>
      <c r="BN175" s="213"/>
      <c r="BO175" s="213"/>
      <c r="BP175" s="213"/>
      <c r="BQ175" s="213"/>
      <c r="BR175" s="454"/>
      <c r="BS175" s="213"/>
      <c r="BT175" s="213"/>
      <c r="BU175" s="213"/>
      <c r="BV175" s="213"/>
      <c r="BW175" s="213"/>
      <c r="BX175" s="213"/>
      <c r="BY175" s="213"/>
      <c r="BZ175" s="213"/>
      <c r="CA175" s="213"/>
      <c r="CB175" s="213"/>
      <c r="CC175" s="213"/>
      <c r="CD175" s="213"/>
      <c r="CE175" s="213"/>
      <c r="CF175" s="213"/>
      <c r="CG175" s="213"/>
      <c r="CH175" s="213"/>
      <c r="CI175" s="213"/>
      <c r="CJ175" s="213"/>
      <c r="CK175" s="213"/>
      <c r="CL175" s="213"/>
      <c r="CM175" s="213"/>
      <c r="CN175" s="213"/>
      <c r="CO175" s="213"/>
      <c r="CP175" s="213"/>
      <c r="CQ175" s="213"/>
    </row>
    <row r="176" ht="15.75" customHeight="1">
      <c r="A176" s="213"/>
      <c r="B176" s="213"/>
      <c r="C176" s="213"/>
      <c r="D176" s="213"/>
      <c r="E176" s="213"/>
      <c r="F176" s="213"/>
      <c r="G176" s="213"/>
      <c r="H176" s="213"/>
      <c r="I176" s="213"/>
      <c r="J176" s="216"/>
      <c r="K176" s="213"/>
      <c r="L176" s="213"/>
      <c r="M176" s="213"/>
      <c r="N176" s="213"/>
      <c r="O176" s="213"/>
      <c r="P176" s="216"/>
      <c r="Q176" s="213"/>
      <c r="R176" s="213"/>
      <c r="S176" s="213"/>
      <c r="T176" s="213"/>
      <c r="U176" s="213"/>
      <c r="V176" s="216"/>
      <c r="W176" s="213"/>
      <c r="X176" s="213"/>
      <c r="Y176" s="213"/>
      <c r="Z176" s="213"/>
      <c r="AA176" s="213"/>
      <c r="AB176" s="216"/>
      <c r="AC176" s="213"/>
      <c r="AD176" s="213"/>
      <c r="AE176" s="213"/>
      <c r="AF176" s="213"/>
      <c r="AG176" s="213"/>
      <c r="AH176" s="216"/>
      <c r="AI176" s="213"/>
      <c r="AJ176" s="213"/>
      <c r="AK176" s="213"/>
      <c r="AL176" s="213"/>
      <c r="AM176" s="213"/>
      <c r="AN176" s="216"/>
      <c r="AO176" s="213"/>
      <c r="AP176" s="213"/>
      <c r="AQ176" s="213"/>
      <c r="AR176" s="213"/>
      <c r="AS176" s="213"/>
      <c r="AT176" s="216"/>
      <c r="AU176" s="213"/>
      <c r="AV176" s="213"/>
      <c r="AW176" s="213"/>
      <c r="AX176" s="213"/>
      <c r="AY176" s="213"/>
      <c r="AZ176" s="213"/>
      <c r="BA176" s="213"/>
      <c r="BB176" s="213"/>
      <c r="BC176" s="213"/>
      <c r="BD176" s="213"/>
      <c r="BE176" s="213"/>
      <c r="BF176" s="216"/>
      <c r="BG176" s="213"/>
      <c r="BH176" s="213"/>
      <c r="BI176" s="213"/>
      <c r="BJ176" s="213"/>
      <c r="BK176" s="213"/>
      <c r="BL176" s="213"/>
      <c r="BM176" s="213"/>
      <c r="BN176" s="213"/>
      <c r="BO176" s="213"/>
      <c r="BP176" s="213"/>
      <c r="BQ176" s="213"/>
      <c r="BR176" s="454"/>
      <c r="BS176" s="213"/>
      <c r="BT176" s="213"/>
      <c r="BU176" s="213"/>
      <c r="BV176" s="213"/>
      <c r="BW176" s="213"/>
      <c r="BX176" s="213"/>
      <c r="BY176" s="213"/>
      <c r="BZ176" s="213"/>
      <c r="CA176" s="213"/>
      <c r="CB176" s="213"/>
      <c r="CC176" s="213"/>
      <c r="CD176" s="213"/>
      <c r="CE176" s="213"/>
      <c r="CF176" s="213"/>
      <c r="CG176" s="213"/>
      <c r="CH176" s="213"/>
      <c r="CI176" s="213"/>
      <c r="CJ176" s="213"/>
      <c r="CK176" s="213"/>
      <c r="CL176" s="213"/>
      <c r="CM176" s="213"/>
      <c r="CN176" s="213"/>
      <c r="CO176" s="213"/>
      <c r="CP176" s="213"/>
      <c r="CQ176" s="213"/>
    </row>
    <row r="177" ht="15.75" customHeight="1">
      <c r="A177" s="213"/>
      <c r="B177" s="213"/>
      <c r="C177" s="213"/>
      <c r="D177" s="213"/>
      <c r="E177" s="213"/>
      <c r="F177" s="213"/>
      <c r="G177" s="213"/>
      <c r="H177" s="213"/>
      <c r="I177" s="213"/>
      <c r="J177" s="216"/>
      <c r="K177" s="213"/>
      <c r="L177" s="213"/>
      <c r="M177" s="213"/>
      <c r="N177" s="213"/>
      <c r="O177" s="213"/>
      <c r="P177" s="216"/>
      <c r="Q177" s="213"/>
      <c r="R177" s="213"/>
      <c r="S177" s="213"/>
      <c r="T177" s="213"/>
      <c r="U177" s="213"/>
      <c r="V177" s="216"/>
      <c r="W177" s="213"/>
      <c r="X177" s="213"/>
      <c r="Y177" s="213"/>
      <c r="Z177" s="213"/>
      <c r="AA177" s="213"/>
      <c r="AB177" s="216"/>
      <c r="AC177" s="213"/>
      <c r="AD177" s="213"/>
      <c r="AE177" s="213"/>
      <c r="AF177" s="213"/>
      <c r="AG177" s="213"/>
      <c r="AH177" s="216"/>
      <c r="AI177" s="213"/>
      <c r="AJ177" s="213"/>
      <c r="AK177" s="213"/>
      <c r="AL177" s="213"/>
      <c r="AM177" s="213"/>
      <c r="AN177" s="216"/>
      <c r="AO177" s="213"/>
      <c r="AP177" s="213"/>
      <c r="AQ177" s="213"/>
      <c r="AR177" s="213"/>
      <c r="AS177" s="213"/>
      <c r="AT177" s="216"/>
      <c r="AU177" s="213"/>
      <c r="AV177" s="213"/>
      <c r="AW177" s="213"/>
      <c r="AX177" s="213"/>
      <c r="AY177" s="213"/>
      <c r="AZ177" s="213"/>
      <c r="BA177" s="213"/>
      <c r="BB177" s="213"/>
      <c r="BC177" s="213"/>
      <c r="BD177" s="213"/>
      <c r="BE177" s="213"/>
      <c r="BF177" s="216"/>
      <c r="BG177" s="213"/>
      <c r="BH177" s="213"/>
      <c r="BI177" s="213"/>
      <c r="BJ177" s="213"/>
      <c r="BK177" s="213"/>
      <c r="BL177" s="213"/>
      <c r="BM177" s="213"/>
      <c r="BN177" s="213"/>
      <c r="BO177" s="213"/>
      <c r="BP177" s="213"/>
      <c r="BQ177" s="213"/>
      <c r="BR177" s="454"/>
      <c r="BS177" s="213"/>
      <c r="BT177" s="213"/>
      <c r="BU177" s="213"/>
      <c r="BV177" s="213"/>
      <c r="BW177" s="213"/>
      <c r="BX177" s="213"/>
      <c r="BY177" s="213"/>
      <c r="BZ177" s="213"/>
      <c r="CA177" s="213"/>
      <c r="CB177" s="213"/>
      <c r="CC177" s="213"/>
      <c r="CD177" s="213"/>
      <c r="CE177" s="213"/>
      <c r="CF177" s="213"/>
      <c r="CG177" s="213"/>
      <c r="CH177" s="213"/>
      <c r="CI177" s="213"/>
      <c r="CJ177" s="213"/>
      <c r="CK177" s="213"/>
      <c r="CL177" s="213"/>
      <c r="CM177" s="213"/>
      <c r="CN177" s="213"/>
      <c r="CO177" s="213"/>
      <c r="CP177" s="213"/>
      <c r="CQ177" s="213"/>
    </row>
    <row r="178" ht="15.75" customHeight="1">
      <c r="A178" s="213"/>
      <c r="B178" s="213"/>
      <c r="C178" s="213"/>
      <c r="D178" s="213"/>
      <c r="E178" s="213"/>
      <c r="F178" s="213"/>
      <c r="G178" s="213"/>
      <c r="H178" s="213"/>
      <c r="I178" s="213"/>
      <c r="J178" s="216"/>
      <c r="K178" s="213"/>
      <c r="L178" s="213"/>
      <c r="M178" s="213"/>
      <c r="N178" s="213"/>
      <c r="O178" s="213"/>
      <c r="P178" s="216"/>
      <c r="Q178" s="213"/>
      <c r="R178" s="213"/>
      <c r="S178" s="213"/>
      <c r="T178" s="213"/>
      <c r="U178" s="213"/>
      <c r="V178" s="216"/>
      <c r="W178" s="213"/>
      <c r="X178" s="213"/>
      <c r="Y178" s="213"/>
      <c r="Z178" s="213"/>
      <c r="AA178" s="213"/>
      <c r="AB178" s="216"/>
      <c r="AC178" s="213"/>
      <c r="AD178" s="213"/>
      <c r="AE178" s="213"/>
      <c r="AF178" s="213"/>
      <c r="AG178" s="213"/>
      <c r="AH178" s="216"/>
      <c r="AI178" s="213"/>
      <c r="AJ178" s="213"/>
      <c r="AK178" s="213"/>
      <c r="AL178" s="213"/>
      <c r="AM178" s="213"/>
      <c r="AN178" s="216"/>
      <c r="AO178" s="213"/>
      <c r="AP178" s="213"/>
      <c r="AQ178" s="213"/>
      <c r="AR178" s="213"/>
      <c r="AS178" s="213"/>
      <c r="AT178" s="216"/>
      <c r="AU178" s="213"/>
      <c r="AV178" s="213"/>
      <c r="AW178" s="213"/>
      <c r="AX178" s="213"/>
      <c r="AY178" s="213"/>
      <c r="AZ178" s="213"/>
      <c r="BA178" s="213"/>
      <c r="BB178" s="213"/>
      <c r="BC178" s="213"/>
      <c r="BD178" s="213"/>
      <c r="BE178" s="213"/>
      <c r="BF178" s="216"/>
      <c r="BG178" s="213"/>
      <c r="BH178" s="213"/>
      <c r="BI178" s="213"/>
      <c r="BJ178" s="213"/>
      <c r="BK178" s="213"/>
      <c r="BL178" s="213"/>
      <c r="BM178" s="213"/>
      <c r="BN178" s="213"/>
      <c r="BO178" s="213"/>
      <c r="BP178" s="213"/>
      <c r="BQ178" s="213"/>
      <c r="BR178" s="454"/>
      <c r="BS178" s="213"/>
      <c r="BT178" s="213"/>
      <c r="BU178" s="213"/>
      <c r="BV178" s="213"/>
      <c r="BW178" s="213"/>
      <c r="BX178" s="213"/>
      <c r="BY178" s="213"/>
      <c r="BZ178" s="213"/>
      <c r="CA178" s="213"/>
      <c r="CB178" s="213"/>
      <c r="CC178" s="213"/>
      <c r="CD178" s="213"/>
      <c r="CE178" s="213"/>
      <c r="CF178" s="213"/>
      <c r="CG178" s="213"/>
      <c r="CH178" s="213"/>
      <c r="CI178" s="213"/>
      <c r="CJ178" s="213"/>
      <c r="CK178" s="213"/>
      <c r="CL178" s="213"/>
      <c r="CM178" s="213"/>
      <c r="CN178" s="213"/>
      <c r="CO178" s="213"/>
      <c r="CP178" s="213"/>
      <c r="CQ178" s="213"/>
    </row>
    <row r="179" ht="15.75" customHeight="1">
      <c r="A179" s="213"/>
      <c r="B179" s="213"/>
      <c r="C179" s="213"/>
      <c r="D179" s="213"/>
      <c r="E179" s="213"/>
      <c r="F179" s="213"/>
      <c r="G179" s="213"/>
      <c r="H179" s="213"/>
      <c r="I179" s="213"/>
      <c r="J179" s="216"/>
      <c r="K179" s="213"/>
      <c r="L179" s="213"/>
      <c r="M179" s="213"/>
      <c r="N179" s="213"/>
      <c r="O179" s="213"/>
      <c r="P179" s="216"/>
      <c r="Q179" s="213"/>
      <c r="R179" s="213"/>
      <c r="S179" s="213"/>
      <c r="T179" s="213"/>
      <c r="U179" s="213"/>
      <c r="V179" s="216"/>
      <c r="W179" s="213"/>
      <c r="X179" s="213"/>
      <c r="Y179" s="213"/>
      <c r="Z179" s="213"/>
      <c r="AA179" s="213"/>
      <c r="AB179" s="216"/>
      <c r="AC179" s="213"/>
      <c r="AD179" s="213"/>
      <c r="AE179" s="213"/>
      <c r="AF179" s="213"/>
      <c r="AG179" s="213"/>
      <c r="AH179" s="216"/>
      <c r="AI179" s="213"/>
      <c r="AJ179" s="213"/>
      <c r="AK179" s="213"/>
      <c r="AL179" s="213"/>
      <c r="AM179" s="213"/>
      <c r="AN179" s="216"/>
      <c r="AO179" s="213"/>
      <c r="AP179" s="213"/>
      <c r="AQ179" s="213"/>
      <c r="AR179" s="213"/>
      <c r="AS179" s="213"/>
      <c r="AT179" s="216"/>
      <c r="AU179" s="213"/>
      <c r="AV179" s="213"/>
      <c r="AW179" s="213"/>
      <c r="AX179" s="213"/>
      <c r="AY179" s="213"/>
      <c r="AZ179" s="213"/>
      <c r="BA179" s="213"/>
      <c r="BB179" s="213"/>
      <c r="BC179" s="213"/>
      <c r="BD179" s="213"/>
      <c r="BE179" s="213"/>
      <c r="BF179" s="216"/>
      <c r="BG179" s="213"/>
      <c r="BH179" s="213"/>
      <c r="BI179" s="213"/>
      <c r="BJ179" s="213"/>
      <c r="BK179" s="213"/>
      <c r="BL179" s="213"/>
      <c r="BM179" s="213"/>
      <c r="BN179" s="213"/>
      <c r="BO179" s="213"/>
      <c r="BP179" s="213"/>
      <c r="BQ179" s="213"/>
      <c r="BR179" s="454"/>
      <c r="BS179" s="213"/>
      <c r="BT179" s="213"/>
      <c r="BU179" s="213"/>
      <c r="BV179" s="213"/>
      <c r="BW179" s="213"/>
      <c r="BX179" s="213"/>
      <c r="BY179" s="213"/>
      <c r="BZ179" s="213"/>
      <c r="CA179" s="213"/>
      <c r="CB179" s="213"/>
      <c r="CC179" s="213"/>
      <c r="CD179" s="213"/>
      <c r="CE179" s="213"/>
      <c r="CF179" s="213"/>
      <c r="CG179" s="213"/>
      <c r="CH179" s="213"/>
      <c r="CI179" s="213"/>
      <c r="CJ179" s="213"/>
      <c r="CK179" s="213"/>
      <c r="CL179" s="213"/>
      <c r="CM179" s="213"/>
      <c r="CN179" s="213"/>
      <c r="CO179" s="213"/>
      <c r="CP179" s="213"/>
      <c r="CQ179" s="213"/>
    </row>
    <row r="180" ht="15.75" customHeight="1">
      <c r="A180" s="213"/>
      <c r="B180" s="213"/>
      <c r="C180" s="213"/>
      <c r="D180" s="213"/>
      <c r="E180" s="213"/>
      <c r="F180" s="213"/>
      <c r="G180" s="213"/>
      <c r="H180" s="213"/>
      <c r="I180" s="213"/>
      <c r="J180" s="216"/>
      <c r="K180" s="213"/>
      <c r="L180" s="213"/>
      <c r="M180" s="213"/>
      <c r="N180" s="213"/>
      <c r="O180" s="213"/>
      <c r="P180" s="216"/>
      <c r="Q180" s="213"/>
      <c r="R180" s="213"/>
      <c r="S180" s="213"/>
      <c r="T180" s="213"/>
      <c r="U180" s="213"/>
      <c r="V180" s="216"/>
      <c r="W180" s="213"/>
      <c r="X180" s="213"/>
      <c r="Y180" s="213"/>
      <c r="Z180" s="213"/>
      <c r="AA180" s="213"/>
      <c r="AB180" s="216"/>
      <c r="AC180" s="213"/>
      <c r="AD180" s="213"/>
      <c r="AE180" s="213"/>
      <c r="AF180" s="213"/>
      <c r="AG180" s="213"/>
      <c r="AH180" s="216"/>
      <c r="AI180" s="213"/>
      <c r="AJ180" s="213"/>
      <c r="AK180" s="213"/>
      <c r="AL180" s="213"/>
      <c r="AM180" s="213"/>
      <c r="AN180" s="216"/>
      <c r="AO180" s="213"/>
      <c r="AP180" s="213"/>
      <c r="AQ180" s="213"/>
      <c r="AR180" s="213"/>
      <c r="AS180" s="213"/>
      <c r="AT180" s="216"/>
      <c r="AU180" s="213"/>
      <c r="AV180" s="213"/>
      <c r="AW180" s="213"/>
      <c r="AX180" s="213"/>
      <c r="AY180" s="213"/>
      <c r="AZ180" s="213"/>
      <c r="BA180" s="213"/>
      <c r="BB180" s="213"/>
      <c r="BC180" s="213"/>
      <c r="BD180" s="213"/>
      <c r="BE180" s="213"/>
      <c r="BF180" s="216"/>
      <c r="BG180" s="213"/>
      <c r="BH180" s="213"/>
      <c r="BI180" s="213"/>
      <c r="BJ180" s="213"/>
      <c r="BK180" s="213"/>
      <c r="BL180" s="213"/>
      <c r="BM180" s="213"/>
      <c r="BN180" s="213"/>
      <c r="BO180" s="213"/>
      <c r="BP180" s="213"/>
      <c r="BQ180" s="213"/>
      <c r="BR180" s="454"/>
      <c r="BS180" s="213"/>
      <c r="BT180" s="213"/>
      <c r="BU180" s="213"/>
      <c r="BV180" s="213"/>
      <c r="BW180" s="213"/>
      <c r="BX180" s="213"/>
      <c r="BY180" s="213"/>
      <c r="BZ180" s="213"/>
      <c r="CA180" s="213"/>
      <c r="CB180" s="213"/>
      <c r="CC180" s="213"/>
      <c r="CD180" s="213"/>
      <c r="CE180" s="213"/>
      <c r="CF180" s="213"/>
      <c r="CG180" s="213"/>
      <c r="CH180" s="213"/>
      <c r="CI180" s="213"/>
      <c r="CJ180" s="213"/>
      <c r="CK180" s="213"/>
      <c r="CL180" s="213"/>
      <c r="CM180" s="213"/>
      <c r="CN180" s="213"/>
      <c r="CO180" s="213"/>
      <c r="CP180" s="213"/>
      <c r="CQ180" s="213"/>
    </row>
    <row r="181" ht="15.75" customHeight="1">
      <c r="A181" s="213"/>
      <c r="B181" s="213"/>
      <c r="C181" s="213"/>
      <c r="D181" s="213"/>
      <c r="E181" s="213"/>
      <c r="F181" s="213"/>
      <c r="G181" s="213"/>
      <c r="H181" s="213"/>
      <c r="I181" s="213"/>
      <c r="J181" s="216"/>
      <c r="K181" s="213"/>
      <c r="L181" s="213"/>
      <c r="M181" s="213"/>
      <c r="N181" s="213"/>
      <c r="O181" s="213"/>
      <c r="P181" s="216"/>
      <c r="Q181" s="213"/>
      <c r="R181" s="213"/>
      <c r="S181" s="213"/>
      <c r="T181" s="213"/>
      <c r="U181" s="213"/>
      <c r="V181" s="216"/>
      <c r="W181" s="213"/>
      <c r="X181" s="213"/>
      <c r="Y181" s="213"/>
      <c r="Z181" s="213"/>
      <c r="AA181" s="213"/>
      <c r="AB181" s="216"/>
      <c r="AC181" s="213"/>
      <c r="AD181" s="213"/>
      <c r="AE181" s="213"/>
      <c r="AF181" s="213"/>
      <c r="AG181" s="213"/>
      <c r="AH181" s="216"/>
      <c r="AI181" s="213"/>
      <c r="AJ181" s="213"/>
      <c r="AK181" s="213"/>
      <c r="AL181" s="213"/>
      <c r="AM181" s="213"/>
      <c r="AN181" s="216"/>
      <c r="AO181" s="213"/>
      <c r="AP181" s="213"/>
      <c r="AQ181" s="213"/>
      <c r="AR181" s="213"/>
      <c r="AS181" s="213"/>
      <c r="AT181" s="216"/>
      <c r="AU181" s="213"/>
      <c r="AV181" s="213"/>
      <c r="AW181" s="213"/>
      <c r="AX181" s="213"/>
      <c r="AY181" s="213"/>
      <c r="AZ181" s="213"/>
      <c r="BA181" s="213"/>
      <c r="BB181" s="213"/>
      <c r="BC181" s="213"/>
      <c r="BD181" s="213"/>
      <c r="BE181" s="213"/>
      <c r="BF181" s="216"/>
      <c r="BG181" s="213"/>
      <c r="BH181" s="213"/>
      <c r="BI181" s="213"/>
      <c r="BJ181" s="213"/>
      <c r="BK181" s="213"/>
      <c r="BL181" s="213"/>
      <c r="BM181" s="213"/>
      <c r="BN181" s="213"/>
      <c r="BO181" s="213"/>
      <c r="BP181" s="213"/>
      <c r="BQ181" s="213"/>
      <c r="BR181" s="454"/>
      <c r="BS181" s="213"/>
      <c r="BT181" s="213"/>
      <c r="BU181" s="213"/>
      <c r="BV181" s="213"/>
      <c r="BW181" s="213"/>
      <c r="BX181" s="213"/>
      <c r="BY181" s="213"/>
      <c r="BZ181" s="213"/>
      <c r="CA181" s="213"/>
      <c r="CB181" s="213"/>
      <c r="CC181" s="213"/>
      <c r="CD181" s="213"/>
      <c r="CE181" s="213"/>
      <c r="CF181" s="213"/>
      <c r="CG181" s="213"/>
      <c r="CH181" s="213"/>
      <c r="CI181" s="213"/>
      <c r="CJ181" s="213"/>
      <c r="CK181" s="213"/>
      <c r="CL181" s="213"/>
      <c r="CM181" s="213"/>
      <c r="CN181" s="213"/>
      <c r="CO181" s="213"/>
      <c r="CP181" s="213"/>
      <c r="CQ181" s="213"/>
    </row>
    <row r="182" ht="15.75" customHeight="1">
      <c r="A182" s="213"/>
      <c r="B182" s="213"/>
      <c r="C182" s="213"/>
      <c r="D182" s="213"/>
      <c r="E182" s="213"/>
      <c r="F182" s="213"/>
      <c r="G182" s="213"/>
      <c r="H182" s="213"/>
      <c r="I182" s="213"/>
      <c r="J182" s="216"/>
      <c r="K182" s="213"/>
      <c r="L182" s="213"/>
      <c r="M182" s="213"/>
      <c r="N182" s="213"/>
      <c r="O182" s="213"/>
      <c r="P182" s="216"/>
      <c r="Q182" s="213"/>
      <c r="R182" s="213"/>
      <c r="S182" s="213"/>
      <c r="T182" s="213"/>
      <c r="U182" s="213"/>
      <c r="V182" s="216"/>
      <c r="W182" s="213"/>
      <c r="X182" s="213"/>
      <c r="Y182" s="213"/>
      <c r="Z182" s="213"/>
      <c r="AA182" s="213"/>
      <c r="AB182" s="216"/>
      <c r="AC182" s="213"/>
      <c r="AD182" s="213"/>
      <c r="AE182" s="213"/>
      <c r="AF182" s="213"/>
      <c r="AG182" s="213"/>
      <c r="AH182" s="216"/>
      <c r="AI182" s="213"/>
      <c r="AJ182" s="213"/>
      <c r="AK182" s="213"/>
      <c r="AL182" s="213"/>
      <c r="AM182" s="213"/>
      <c r="AN182" s="216"/>
      <c r="AO182" s="213"/>
      <c r="AP182" s="213"/>
      <c r="AQ182" s="213"/>
      <c r="AR182" s="213"/>
      <c r="AS182" s="213"/>
      <c r="AT182" s="216"/>
      <c r="AU182" s="213"/>
      <c r="AV182" s="213"/>
      <c r="AW182" s="213"/>
      <c r="AX182" s="213"/>
      <c r="AY182" s="213"/>
      <c r="AZ182" s="213"/>
      <c r="BA182" s="213"/>
      <c r="BB182" s="213"/>
      <c r="BC182" s="213"/>
      <c r="BD182" s="213"/>
      <c r="BE182" s="213"/>
      <c r="BF182" s="216"/>
      <c r="BG182" s="213"/>
      <c r="BH182" s="213"/>
      <c r="BI182" s="213"/>
      <c r="BJ182" s="213"/>
      <c r="BK182" s="213"/>
      <c r="BL182" s="213"/>
      <c r="BM182" s="213"/>
      <c r="BN182" s="213"/>
      <c r="BO182" s="213"/>
      <c r="BP182" s="213"/>
      <c r="BQ182" s="213"/>
      <c r="BR182" s="454"/>
      <c r="BS182" s="213"/>
      <c r="BT182" s="213"/>
      <c r="BU182" s="213"/>
      <c r="BV182" s="213"/>
      <c r="BW182" s="213"/>
      <c r="BX182" s="213"/>
      <c r="BY182" s="213"/>
      <c r="BZ182" s="213"/>
      <c r="CA182" s="213"/>
      <c r="CB182" s="213"/>
      <c r="CC182" s="213"/>
      <c r="CD182" s="213"/>
      <c r="CE182" s="213"/>
      <c r="CF182" s="213"/>
      <c r="CG182" s="213"/>
      <c r="CH182" s="213"/>
      <c r="CI182" s="213"/>
      <c r="CJ182" s="213"/>
      <c r="CK182" s="213"/>
      <c r="CL182" s="213"/>
      <c r="CM182" s="213"/>
      <c r="CN182" s="213"/>
      <c r="CO182" s="213"/>
      <c r="CP182" s="213"/>
      <c r="CQ182" s="213"/>
    </row>
    <row r="183" ht="15.75" customHeight="1">
      <c r="A183" s="213"/>
      <c r="B183" s="213"/>
      <c r="C183" s="213"/>
      <c r="D183" s="213"/>
      <c r="E183" s="213"/>
      <c r="F183" s="213"/>
      <c r="G183" s="213"/>
      <c r="H183" s="213"/>
      <c r="I183" s="213"/>
      <c r="J183" s="216"/>
      <c r="K183" s="213"/>
      <c r="L183" s="213"/>
      <c r="M183" s="213"/>
      <c r="N183" s="213"/>
      <c r="O183" s="213"/>
      <c r="P183" s="216"/>
      <c r="Q183" s="213"/>
      <c r="R183" s="213"/>
      <c r="S183" s="213"/>
      <c r="T183" s="213"/>
      <c r="U183" s="213"/>
      <c r="V183" s="216"/>
      <c r="W183" s="213"/>
      <c r="X183" s="213"/>
      <c r="Y183" s="213"/>
      <c r="Z183" s="213"/>
      <c r="AA183" s="213"/>
      <c r="AB183" s="216"/>
      <c r="AC183" s="213"/>
      <c r="AD183" s="213"/>
      <c r="AE183" s="213"/>
      <c r="AF183" s="213"/>
      <c r="AG183" s="213"/>
      <c r="AH183" s="216"/>
      <c r="AI183" s="213"/>
      <c r="AJ183" s="213"/>
      <c r="AK183" s="213"/>
      <c r="AL183" s="213"/>
      <c r="AM183" s="213"/>
      <c r="AN183" s="216"/>
      <c r="AO183" s="213"/>
      <c r="AP183" s="213"/>
      <c r="AQ183" s="213"/>
      <c r="AR183" s="213"/>
      <c r="AS183" s="213"/>
      <c r="AT183" s="216"/>
      <c r="AU183" s="213"/>
      <c r="AV183" s="213"/>
      <c r="AW183" s="213"/>
      <c r="AX183" s="213"/>
      <c r="AY183" s="213"/>
      <c r="AZ183" s="213"/>
      <c r="BA183" s="213"/>
      <c r="BB183" s="213"/>
      <c r="BC183" s="213"/>
      <c r="BD183" s="213"/>
      <c r="BE183" s="213"/>
      <c r="BF183" s="216"/>
      <c r="BG183" s="213"/>
      <c r="BH183" s="213"/>
      <c r="BI183" s="213"/>
      <c r="BJ183" s="213"/>
      <c r="BK183" s="213"/>
      <c r="BL183" s="213"/>
      <c r="BM183" s="213"/>
      <c r="BN183" s="213"/>
      <c r="BO183" s="213"/>
      <c r="BP183" s="213"/>
      <c r="BQ183" s="213"/>
      <c r="BR183" s="454"/>
      <c r="BS183" s="213"/>
      <c r="BT183" s="213"/>
      <c r="BU183" s="213"/>
      <c r="BV183" s="213"/>
      <c r="BW183" s="213"/>
      <c r="BX183" s="213"/>
      <c r="BY183" s="213"/>
      <c r="BZ183" s="213"/>
      <c r="CA183" s="213"/>
      <c r="CB183" s="213"/>
      <c r="CC183" s="213"/>
      <c r="CD183" s="213"/>
      <c r="CE183" s="213"/>
      <c r="CF183" s="213"/>
      <c r="CG183" s="213"/>
      <c r="CH183" s="213"/>
      <c r="CI183" s="213"/>
      <c r="CJ183" s="213"/>
      <c r="CK183" s="213"/>
      <c r="CL183" s="213"/>
      <c r="CM183" s="213"/>
      <c r="CN183" s="213"/>
      <c r="CO183" s="213"/>
      <c r="CP183" s="213"/>
      <c r="CQ183" s="213"/>
    </row>
    <row r="184" ht="15.75" customHeight="1">
      <c r="A184" s="213"/>
      <c r="B184" s="213"/>
      <c r="C184" s="213"/>
      <c r="D184" s="213"/>
      <c r="E184" s="213"/>
      <c r="F184" s="213"/>
      <c r="G184" s="213"/>
      <c r="H184" s="213"/>
      <c r="I184" s="213"/>
      <c r="J184" s="216"/>
      <c r="K184" s="213"/>
      <c r="L184" s="213"/>
      <c r="M184" s="213"/>
      <c r="N184" s="213"/>
      <c r="O184" s="213"/>
      <c r="P184" s="216"/>
      <c r="Q184" s="213"/>
      <c r="R184" s="213"/>
      <c r="S184" s="213"/>
      <c r="T184" s="213"/>
      <c r="U184" s="213"/>
      <c r="V184" s="216"/>
      <c r="W184" s="213"/>
      <c r="X184" s="213"/>
      <c r="Y184" s="213"/>
      <c r="Z184" s="213"/>
      <c r="AA184" s="213"/>
      <c r="AB184" s="216"/>
      <c r="AC184" s="213"/>
      <c r="AD184" s="213"/>
      <c r="AE184" s="213"/>
      <c r="AF184" s="213"/>
      <c r="AG184" s="213"/>
      <c r="AH184" s="216"/>
      <c r="AI184" s="213"/>
      <c r="AJ184" s="213"/>
      <c r="AK184" s="213"/>
      <c r="AL184" s="213"/>
      <c r="AM184" s="213"/>
      <c r="AN184" s="216"/>
      <c r="AO184" s="213"/>
      <c r="AP184" s="213"/>
      <c r="AQ184" s="213"/>
      <c r="AR184" s="213"/>
      <c r="AS184" s="213"/>
      <c r="AT184" s="216"/>
      <c r="AU184" s="213"/>
      <c r="AV184" s="213"/>
      <c r="AW184" s="213"/>
      <c r="AX184" s="213"/>
      <c r="AY184" s="213"/>
      <c r="AZ184" s="213"/>
      <c r="BA184" s="213"/>
      <c r="BB184" s="213"/>
      <c r="BC184" s="213"/>
      <c r="BD184" s="213"/>
      <c r="BE184" s="213"/>
      <c r="BF184" s="216"/>
      <c r="BG184" s="213"/>
      <c r="BH184" s="213"/>
      <c r="BI184" s="213"/>
      <c r="BJ184" s="213"/>
      <c r="BK184" s="213"/>
      <c r="BL184" s="213"/>
      <c r="BM184" s="213"/>
      <c r="BN184" s="213"/>
      <c r="BO184" s="213"/>
      <c r="BP184" s="213"/>
      <c r="BQ184" s="213"/>
      <c r="BR184" s="454"/>
      <c r="BS184" s="213"/>
      <c r="BT184" s="213"/>
      <c r="BU184" s="213"/>
      <c r="BV184" s="213"/>
      <c r="BW184" s="213"/>
      <c r="BX184" s="213"/>
      <c r="BY184" s="213"/>
      <c r="BZ184" s="213"/>
      <c r="CA184" s="213"/>
      <c r="CB184" s="213"/>
      <c r="CC184" s="213"/>
      <c r="CD184" s="213"/>
      <c r="CE184" s="213"/>
      <c r="CF184" s="213"/>
      <c r="CG184" s="213"/>
      <c r="CH184" s="213"/>
      <c r="CI184" s="213"/>
      <c r="CJ184" s="213"/>
      <c r="CK184" s="213"/>
      <c r="CL184" s="213"/>
      <c r="CM184" s="213"/>
      <c r="CN184" s="213"/>
      <c r="CO184" s="213"/>
      <c r="CP184" s="213"/>
      <c r="CQ184" s="213"/>
    </row>
    <row r="185" ht="15.75" customHeight="1">
      <c r="A185" s="213"/>
      <c r="B185" s="213"/>
      <c r="C185" s="213"/>
      <c r="D185" s="213"/>
      <c r="E185" s="213"/>
      <c r="F185" s="213"/>
      <c r="G185" s="213"/>
      <c r="H185" s="213"/>
      <c r="I185" s="213"/>
      <c r="J185" s="216"/>
      <c r="K185" s="213"/>
      <c r="L185" s="213"/>
      <c r="M185" s="213"/>
      <c r="N185" s="213"/>
      <c r="O185" s="213"/>
      <c r="P185" s="216"/>
      <c r="Q185" s="213"/>
      <c r="R185" s="213"/>
      <c r="S185" s="213"/>
      <c r="T185" s="213"/>
      <c r="U185" s="213"/>
      <c r="V185" s="216"/>
      <c r="W185" s="213"/>
      <c r="X185" s="213"/>
      <c r="Y185" s="213"/>
      <c r="Z185" s="213"/>
      <c r="AA185" s="213"/>
      <c r="AB185" s="216"/>
      <c r="AC185" s="213"/>
      <c r="AD185" s="213"/>
      <c r="AE185" s="213"/>
      <c r="AF185" s="213"/>
      <c r="AG185" s="213"/>
      <c r="AH185" s="216"/>
      <c r="AI185" s="213"/>
      <c r="AJ185" s="213"/>
      <c r="AK185" s="213"/>
      <c r="AL185" s="213"/>
      <c r="AM185" s="213"/>
      <c r="AN185" s="216"/>
      <c r="AO185" s="213"/>
      <c r="AP185" s="213"/>
      <c r="AQ185" s="213"/>
      <c r="AR185" s="213"/>
      <c r="AS185" s="213"/>
      <c r="AT185" s="216"/>
      <c r="AU185" s="213"/>
      <c r="AV185" s="213"/>
      <c r="AW185" s="213"/>
      <c r="AX185" s="213"/>
      <c r="AY185" s="213"/>
      <c r="AZ185" s="213"/>
      <c r="BA185" s="213"/>
      <c r="BB185" s="213"/>
      <c r="BC185" s="213"/>
      <c r="BD185" s="213"/>
      <c r="BE185" s="213"/>
      <c r="BF185" s="216"/>
      <c r="BG185" s="213"/>
      <c r="BH185" s="213"/>
      <c r="BI185" s="213"/>
      <c r="BJ185" s="213"/>
      <c r="BK185" s="213"/>
      <c r="BL185" s="213"/>
      <c r="BM185" s="213"/>
      <c r="BN185" s="213"/>
      <c r="BO185" s="213"/>
      <c r="BP185" s="213"/>
      <c r="BQ185" s="213"/>
      <c r="BR185" s="454"/>
      <c r="BS185" s="213"/>
      <c r="BT185" s="213"/>
      <c r="BU185" s="213"/>
      <c r="BV185" s="213"/>
      <c r="BW185" s="213"/>
      <c r="BX185" s="213"/>
      <c r="BY185" s="213"/>
      <c r="BZ185" s="213"/>
      <c r="CA185" s="213"/>
      <c r="CB185" s="213"/>
      <c r="CC185" s="213"/>
      <c r="CD185" s="213"/>
      <c r="CE185" s="213"/>
      <c r="CF185" s="213"/>
      <c r="CG185" s="213"/>
      <c r="CH185" s="213"/>
      <c r="CI185" s="213"/>
      <c r="CJ185" s="213"/>
      <c r="CK185" s="213"/>
      <c r="CL185" s="213"/>
      <c r="CM185" s="213"/>
      <c r="CN185" s="213"/>
      <c r="CO185" s="213"/>
      <c r="CP185" s="213"/>
      <c r="CQ185" s="213"/>
    </row>
    <row r="186" ht="15.75" customHeight="1">
      <c r="A186" s="213"/>
      <c r="B186" s="213"/>
      <c r="C186" s="213"/>
      <c r="D186" s="213"/>
      <c r="E186" s="213"/>
      <c r="F186" s="213"/>
      <c r="G186" s="213"/>
      <c r="H186" s="213"/>
      <c r="I186" s="213"/>
      <c r="J186" s="216"/>
      <c r="K186" s="213"/>
      <c r="L186" s="213"/>
      <c r="M186" s="213"/>
      <c r="N186" s="213"/>
      <c r="O186" s="213"/>
      <c r="P186" s="216"/>
      <c r="Q186" s="213"/>
      <c r="R186" s="213"/>
      <c r="S186" s="213"/>
      <c r="T186" s="213"/>
      <c r="U186" s="213"/>
      <c r="V186" s="216"/>
      <c r="W186" s="213"/>
      <c r="X186" s="213"/>
      <c r="Y186" s="213"/>
      <c r="Z186" s="213"/>
      <c r="AA186" s="213"/>
      <c r="AB186" s="216"/>
      <c r="AC186" s="213"/>
      <c r="AD186" s="213"/>
      <c r="AE186" s="213"/>
      <c r="AF186" s="213"/>
      <c r="AG186" s="213"/>
      <c r="AH186" s="216"/>
      <c r="AI186" s="213"/>
      <c r="AJ186" s="213"/>
      <c r="AK186" s="213"/>
      <c r="AL186" s="213"/>
      <c r="AM186" s="213"/>
      <c r="AN186" s="216"/>
      <c r="AO186" s="213"/>
      <c r="AP186" s="213"/>
      <c r="AQ186" s="213"/>
      <c r="AR186" s="213"/>
      <c r="AS186" s="213"/>
      <c r="AT186" s="216"/>
      <c r="AU186" s="213"/>
      <c r="AV186" s="213"/>
      <c r="AW186" s="213"/>
      <c r="AX186" s="213"/>
      <c r="AY186" s="213"/>
      <c r="AZ186" s="213"/>
      <c r="BA186" s="213"/>
      <c r="BB186" s="213"/>
      <c r="BC186" s="213"/>
      <c r="BD186" s="213"/>
      <c r="BE186" s="213"/>
      <c r="BF186" s="216"/>
      <c r="BG186" s="213"/>
      <c r="BH186" s="213"/>
      <c r="BI186" s="213"/>
      <c r="BJ186" s="213"/>
      <c r="BK186" s="213"/>
      <c r="BL186" s="213"/>
      <c r="BM186" s="213"/>
      <c r="BN186" s="213"/>
      <c r="BO186" s="213"/>
      <c r="BP186" s="213"/>
      <c r="BQ186" s="213"/>
      <c r="BR186" s="454"/>
      <c r="BS186" s="213"/>
      <c r="BT186" s="213"/>
      <c r="BU186" s="213"/>
      <c r="BV186" s="213"/>
      <c r="BW186" s="213"/>
      <c r="BX186" s="213"/>
      <c r="BY186" s="213"/>
      <c r="BZ186" s="213"/>
      <c r="CA186" s="213"/>
      <c r="CB186" s="213"/>
      <c r="CC186" s="213"/>
      <c r="CD186" s="213"/>
      <c r="CE186" s="213"/>
      <c r="CF186" s="213"/>
      <c r="CG186" s="213"/>
      <c r="CH186" s="213"/>
      <c r="CI186" s="213"/>
      <c r="CJ186" s="213"/>
      <c r="CK186" s="213"/>
      <c r="CL186" s="213"/>
      <c r="CM186" s="213"/>
      <c r="CN186" s="213"/>
      <c r="CO186" s="213"/>
      <c r="CP186" s="213"/>
      <c r="CQ186" s="213"/>
    </row>
    <row r="187" ht="15.75" customHeight="1">
      <c r="A187" s="213"/>
      <c r="B187" s="213"/>
      <c r="C187" s="213"/>
      <c r="D187" s="213"/>
      <c r="E187" s="213"/>
      <c r="F187" s="213"/>
      <c r="G187" s="213"/>
      <c r="H187" s="213"/>
      <c r="I187" s="213"/>
      <c r="J187" s="216"/>
      <c r="K187" s="213"/>
      <c r="L187" s="213"/>
      <c r="M187" s="213"/>
      <c r="N187" s="213"/>
      <c r="O187" s="213"/>
      <c r="P187" s="216"/>
      <c r="Q187" s="213"/>
      <c r="R187" s="213"/>
      <c r="S187" s="213"/>
      <c r="T187" s="213"/>
      <c r="U187" s="213"/>
      <c r="V187" s="216"/>
      <c r="W187" s="213"/>
      <c r="X187" s="213"/>
      <c r="Y187" s="213"/>
      <c r="Z187" s="213"/>
      <c r="AA187" s="213"/>
      <c r="AB187" s="216"/>
      <c r="AC187" s="213"/>
      <c r="AD187" s="213"/>
      <c r="AE187" s="213"/>
      <c r="AF187" s="213"/>
      <c r="AG187" s="213"/>
      <c r="AH187" s="216"/>
      <c r="AI187" s="213"/>
      <c r="AJ187" s="213"/>
      <c r="AK187" s="213"/>
      <c r="AL187" s="213"/>
      <c r="AM187" s="213"/>
      <c r="AN187" s="216"/>
      <c r="AO187" s="213"/>
      <c r="AP187" s="213"/>
      <c r="AQ187" s="213"/>
      <c r="AR187" s="213"/>
      <c r="AS187" s="213"/>
      <c r="AT187" s="216"/>
      <c r="AU187" s="213"/>
      <c r="AV187" s="213"/>
      <c r="AW187" s="213"/>
      <c r="AX187" s="213"/>
      <c r="AY187" s="213"/>
      <c r="AZ187" s="213"/>
      <c r="BA187" s="213"/>
      <c r="BB187" s="213"/>
      <c r="BC187" s="213"/>
      <c r="BD187" s="213"/>
      <c r="BE187" s="213"/>
      <c r="BF187" s="216"/>
      <c r="BG187" s="213"/>
      <c r="BH187" s="213"/>
      <c r="BI187" s="213"/>
      <c r="BJ187" s="213"/>
      <c r="BK187" s="213"/>
      <c r="BL187" s="213"/>
      <c r="BM187" s="213"/>
      <c r="BN187" s="213"/>
      <c r="BO187" s="213"/>
      <c r="BP187" s="213"/>
      <c r="BQ187" s="213"/>
      <c r="BR187" s="454"/>
      <c r="BS187" s="213"/>
      <c r="BT187" s="213"/>
      <c r="BU187" s="213"/>
      <c r="BV187" s="213"/>
      <c r="BW187" s="213"/>
      <c r="BX187" s="213"/>
      <c r="BY187" s="213"/>
      <c r="BZ187" s="213"/>
      <c r="CA187" s="213"/>
      <c r="CB187" s="213"/>
      <c r="CC187" s="213"/>
      <c r="CD187" s="213"/>
      <c r="CE187" s="213"/>
      <c r="CF187" s="213"/>
      <c r="CG187" s="213"/>
      <c r="CH187" s="213"/>
      <c r="CI187" s="213"/>
      <c r="CJ187" s="213"/>
      <c r="CK187" s="213"/>
      <c r="CL187" s="213"/>
      <c r="CM187" s="213"/>
      <c r="CN187" s="213"/>
      <c r="CO187" s="213"/>
      <c r="CP187" s="213"/>
      <c r="CQ187" s="213"/>
    </row>
    <row r="188" ht="15.75" customHeight="1">
      <c r="A188" s="213"/>
      <c r="B188" s="213"/>
      <c r="C188" s="213"/>
      <c r="D188" s="213"/>
      <c r="E188" s="213"/>
      <c r="F188" s="213"/>
      <c r="G188" s="213"/>
      <c r="H188" s="213"/>
      <c r="I188" s="213"/>
      <c r="J188" s="216"/>
      <c r="K188" s="213"/>
      <c r="L188" s="213"/>
      <c r="M188" s="213"/>
      <c r="N188" s="213"/>
      <c r="O188" s="213"/>
      <c r="P188" s="216"/>
      <c r="Q188" s="213"/>
      <c r="R188" s="213"/>
      <c r="S188" s="213"/>
      <c r="T188" s="213"/>
      <c r="U188" s="213"/>
      <c r="V188" s="216"/>
      <c r="W188" s="213"/>
      <c r="X188" s="213"/>
      <c r="Y188" s="213"/>
      <c r="Z188" s="213"/>
      <c r="AA188" s="213"/>
      <c r="AB188" s="216"/>
      <c r="AC188" s="213"/>
      <c r="AD188" s="213"/>
      <c r="AE188" s="213"/>
      <c r="AF188" s="213"/>
      <c r="AG188" s="213"/>
      <c r="AH188" s="216"/>
      <c r="AI188" s="213"/>
      <c r="AJ188" s="213"/>
      <c r="AK188" s="213"/>
      <c r="AL188" s="213"/>
      <c r="AM188" s="213"/>
      <c r="AN188" s="216"/>
      <c r="AO188" s="213"/>
      <c r="AP188" s="213"/>
      <c r="AQ188" s="213"/>
      <c r="AR188" s="213"/>
      <c r="AS188" s="213"/>
      <c r="AT188" s="216"/>
      <c r="AU188" s="213"/>
      <c r="AV188" s="213"/>
      <c r="AW188" s="213"/>
      <c r="AX188" s="213"/>
      <c r="AY188" s="213"/>
      <c r="AZ188" s="213"/>
      <c r="BA188" s="213"/>
      <c r="BB188" s="213"/>
      <c r="BC188" s="213"/>
      <c r="BD188" s="213"/>
      <c r="BE188" s="213"/>
      <c r="BF188" s="216"/>
      <c r="BG188" s="213"/>
      <c r="BH188" s="213"/>
      <c r="BI188" s="213"/>
      <c r="BJ188" s="213"/>
      <c r="BK188" s="213"/>
      <c r="BL188" s="213"/>
      <c r="BM188" s="213"/>
      <c r="BN188" s="213"/>
      <c r="BO188" s="213"/>
      <c r="BP188" s="213"/>
      <c r="BQ188" s="213"/>
      <c r="BR188" s="454"/>
      <c r="BS188" s="213"/>
      <c r="BT188" s="213"/>
      <c r="BU188" s="213"/>
      <c r="BV188" s="213"/>
      <c r="BW188" s="213"/>
      <c r="BX188" s="213"/>
      <c r="BY188" s="213"/>
      <c r="BZ188" s="213"/>
      <c r="CA188" s="213"/>
      <c r="CB188" s="213"/>
      <c r="CC188" s="213"/>
      <c r="CD188" s="213"/>
      <c r="CE188" s="213"/>
      <c r="CF188" s="213"/>
      <c r="CG188" s="213"/>
      <c r="CH188" s="213"/>
      <c r="CI188" s="213"/>
      <c r="CJ188" s="213"/>
      <c r="CK188" s="213"/>
      <c r="CL188" s="213"/>
      <c r="CM188" s="213"/>
      <c r="CN188" s="213"/>
      <c r="CO188" s="213"/>
      <c r="CP188" s="213"/>
      <c r="CQ188" s="213"/>
    </row>
    <row r="189" ht="15.75" customHeight="1">
      <c r="A189" s="213"/>
      <c r="B189" s="213"/>
      <c r="C189" s="213"/>
      <c r="D189" s="213"/>
      <c r="E189" s="213"/>
      <c r="F189" s="213"/>
      <c r="G189" s="213"/>
      <c r="H189" s="213"/>
      <c r="I189" s="213"/>
      <c r="J189" s="216"/>
      <c r="K189" s="213"/>
      <c r="L189" s="213"/>
      <c r="M189" s="213"/>
      <c r="N189" s="213"/>
      <c r="O189" s="213"/>
      <c r="P189" s="216"/>
      <c r="Q189" s="213"/>
      <c r="R189" s="213"/>
      <c r="S189" s="213"/>
      <c r="T189" s="213"/>
      <c r="U189" s="213"/>
      <c r="V189" s="216"/>
      <c r="W189" s="213"/>
      <c r="X189" s="213"/>
      <c r="Y189" s="213"/>
      <c r="Z189" s="213"/>
      <c r="AA189" s="213"/>
      <c r="AB189" s="216"/>
      <c r="AC189" s="213"/>
      <c r="AD189" s="213"/>
      <c r="AE189" s="213"/>
      <c r="AF189" s="213"/>
      <c r="AG189" s="213"/>
      <c r="AH189" s="216"/>
      <c r="AI189" s="213"/>
      <c r="AJ189" s="213"/>
      <c r="AK189" s="213"/>
      <c r="AL189" s="213"/>
      <c r="AM189" s="213"/>
      <c r="AN189" s="216"/>
      <c r="AO189" s="213"/>
      <c r="AP189" s="213"/>
      <c r="AQ189" s="213"/>
      <c r="AR189" s="213"/>
      <c r="AS189" s="213"/>
      <c r="AT189" s="216"/>
      <c r="AU189" s="213"/>
      <c r="AV189" s="213"/>
      <c r="AW189" s="213"/>
      <c r="AX189" s="213"/>
      <c r="AY189" s="213"/>
      <c r="AZ189" s="213"/>
      <c r="BA189" s="213"/>
      <c r="BB189" s="213"/>
      <c r="BC189" s="213"/>
      <c r="BD189" s="213"/>
      <c r="BE189" s="213"/>
      <c r="BF189" s="216"/>
      <c r="BG189" s="213"/>
      <c r="BH189" s="213"/>
      <c r="BI189" s="213"/>
      <c r="BJ189" s="213"/>
      <c r="BK189" s="213"/>
      <c r="BL189" s="213"/>
      <c r="BM189" s="213"/>
      <c r="BN189" s="213"/>
      <c r="BO189" s="213"/>
      <c r="BP189" s="213"/>
      <c r="BQ189" s="213"/>
      <c r="BR189" s="454"/>
      <c r="BS189" s="213"/>
      <c r="BT189" s="213"/>
      <c r="BU189" s="213"/>
      <c r="BV189" s="213"/>
      <c r="BW189" s="213"/>
      <c r="BX189" s="213"/>
      <c r="BY189" s="213"/>
      <c r="BZ189" s="213"/>
      <c r="CA189" s="213"/>
      <c r="CB189" s="213"/>
      <c r="CC189" s="213"/>
      <c r="CD189" s="213"/>
      <c r="CE189" s="213"/>
      <c r="CF189" s="213"/>
      <c r="CG189" s="213"/>
      <c r="CH189" s="213"/>
      <c r="CI189" s="213"/>
      <c r="CJ189" s="213"/>
      <c r="CK189" s="213"/>
      <c r="CL189" s="213"/>
      <c r="CM189" s="213"/>
      <c r="CN189" s="213"/>
      <c r="CO189" s="213"/>
      <c r="CP189" s="213"/>
      <c r="CQ189" s="213"/>
    </row>
    <row r="190" ht="15.75" customHeight="1">
      <c r="A190" s="213"/>
      <c r="B190" s="213"/>
      <c r="C190" s="213"/>
      <c r="D190" s="213"/>
      <c r="E190" s="213"/>
      <c r="F190" s="213"/>
      <c r="G190" s="213"/>
      <c r="H190" s="213"/>
      <c r="I190" s="213"/>
      <c r="J190" s="216"/>
      <c r="K190" s="213"/>
      <c r="L190" s="213"/>
      <c r="M190" s="213"/>
      <c r="N190" s="213"/>
      <c r="O190" s="213"/>
      <c r="P190" s="216"/>
      <c r="Q190" s="213"/>
      <c r="R190" s="213"/>
      <c r="S190" s="213"/>
      <c r="T190" s="213"/>
      <c r="U190" s="213"/>
      <c r="V190" s="216"/>
      <c r="W190" s="213"/>
      <c r="X190" s="213"/>
      <c r="Y190" s="213"/>
      <c r="Z190" s="213"/>
      <c r="AA190" s="213"/>
      <c r="AB190" s="216"/>
      <c r="AC190" s="213"/>
      <c r="AD190" s="213"/>
      <c r="AE190" s="213"/>
      <c r="AF190" s="213"/>
      <c r="AG190" s="213"/>
      <c r="AH190" s="216"/>
      <c r="AI190" s="213"/>
      <c r="AJ190" s="213"/>
      <c r="AK190" s="213"/>
      <c r="AL190" s="213"/>
      <c r="AM190" s="213"/>
      <c r="AN190" s="216"/>
      <c r="AO190" s="213"/>
      <c r="AP190" s="213"/>
      <c r="AQ190" s="213"/>
      <c r="AR190" s="213"/>
      <c r="AS190" s="213"/>
      <c r="AT190" s="216"/>
      <c r="AU190" s="213"/>
      <c r="AV190" s="213"/>
      <c r="AW190" s="213"/>
      <c r="AX190" s="213"/>
      <c r="AY190" s="213"/>
      <c r="AZ190" s="213"/>
      <c r="BA190" s="213"/>
      <c r="BB190" s="213"/>
      <c r="BC190" s="213"/>
      <c r="BD190" s="213"/>
      <c r="BE190" s="213"/>
      <c r="BF190" s="216"/>
      <c r="BG190" s="213"/>
      <c r="BH190" s="213"/>
      <c r="BI190" s="213"/>
      <c r="BJ190" s="213"/>
      <c r="BK190" s="213"/>
      <c r="BL190" s="213"/>
      <c r="BM190" s="213"/>
      <c r="BN190" s="213"/>
      <c r="BO190" s="213"/>
      <c r="BP190" s="213"/>
      <c r="BQ190" s="213"/>
      <c r="BR190" s="454"/>
      <c r="BS190" s="213"/>
      <c r="BT190" s="213"/>
      <c r="BU190" s="213"/>
      <c r="BV190" s="213"/>
      <c r="BW190" s="213"/>
      <c r="BX190" s="213"/>
      <c r="BY190" s="213"/>
      <c r="BZ190" s="213"/>
      <c r="CA190" s="213"/>
      <c r="CB190" s="213"/>
      <c r="CC190" s="213"/>
      <c r="CD190" s="213"/>
      <c r="CE190" s="213"/>
      <c r="CF190" s="213"/>
      <c r="CG190" s="213"/>
      <c r="CH190" s="213"/>
      <c r="CI190" s="213"/>
      <c r="CJ190" s="213"/>
      <c r="CK190" s="213"/>
      <c r="CL190" s="213"/>
      <c r="CM190" s="213"/>
      <c r="CN190" s="213"/>
      <c r="CO190" s="213"/>
      <c r="CP190" s="213"/>
      <c r="CQ190" s="213"/>
    </row>
    <row r="191" ht="15.75" customHeight="1">
      <c r="A191" s="213"/>
      <c r="B191" s="213"/>
      <c r="C191" s="213"/>
      <c r="D191" s="213"/>
      <c r="E191" s="213"/>
      <c r="F191" s="213"/>
      <c r="G191" s="213"/>
      <c r="H191" s="213"/>
      <c r="I191" s="213"/>
      <c r="J191" s="216"/>
      <c r="K191" s="213"/>
      <c r="L191" s="213"/>
      <c r="M191" s="213"/>
      <c r="N191" s="213"/>
      <c r="O191" s="213"/>
      <c r="P191" s="216"/>
      <c r="Q191" s="213"/>
      <c r="R191" s="213"/>
      <c r="S191" s="213"/>
      <c r="T191" s="213"/>
      <c r="U191" s="213"/>
      <c r="V191" s="216"/>
      <c r="W191" s="213"/>
      <c r="X191" s="213"/>
      <c r="Y191" s="213"/>
      <c r="Z191" s="213"/>
      <c r="AA191" s="213"/>
      <c r="AB191" s="216"/>
      <c r="AC191" s="213"/>
      <c r="AD191" s="213"/>
      <c r="AE191" s="213"/>
      <c r="AF191" s="213"/>
      <c r="AG191" s="213"/>
      <c r="AH191" s="216"/>
      <c r="AI191" s="213"/>
      <c r="AJ191" s="213"/>
      <c r="AK191" s="213"/>
      <c r="AL191" s="213"/>
      <c r="AM191" s="213"/>
      <c r="AN191" s="216"/>
      <c r="AO191" s="213"/>
      <c r="AP191" s="213"/>
      <c r="AQ191" s="213"/>
      <c r="AR191" s="213"/>
      <c r="AS191" s="213"/>
      <c r="AT191" s="216"/>
      <c r="AU191" s="213"/>
      <c r="AV191" s="213"/>
      <c r="AW191" s="213"/>
      <c r="AX191" s="213"/>
      <c r="AY191" s="213"/>
      <c r="AZ191" s="213"/>
      <c r="BA191" s="213"/>
      <c r="BB191" s="213"/>
      <c r="BC191" s="213"/>
      <c r="BD191" s="213"/>
      <c r="BE191" s="213"/>
      <c r="BF191" s="216"/>
      <c r="BG191" s="213"/>
      <c r="BH191" s="213"/>
      <c r="BI191" s="213"/>
      <c r="BJ191" s="213"/>
      <c r="BK191" s="213"/>
      <c r="BL191" s="213"/>
      <c r="BM191" s="213"/>
      <c r="BN191" s="213"/>
      <c r="BO191" s="213"/>
      <c r="BP191" s="213"/>
      <c r="BQ191" s="213"/>
      <c r="BR191" s="454"/>
      <c r="BS191" s="213"/>
      <c r="BT191" s="213"/>
      <c r="BU191" s="213"/>
      <c r="BV191" s="213"/>
      <c r="BW191" s="213"/>
      <c r="BX191" s="213"/>
      <c r="BY191" s="213"/>
      <c r="BZ191" s="213"/>
      <c r="CA191" s="213"/>
      <c r="CB191" s="213"/>
      <c r="CC191" s="213"/>
      <c r="CD191" s="213"/>
      <c r="CE191" s="213"/>
      <c r="CF191" s="213"/>
      <c r="CG191" s="213"/>
      <c r="CH191" s="213"/>
      <c r="CI191" s="213"/>
      <c r="CJ191" s="213"/>
      <c r="CK191" s="213"/>
      <c r="CL191" s="213"/>
      <c r="CM191" s="213"/>
      <c r="CN191" s="213"/>
      <c r="CO191" s="213"/>
      <c r="CP191" s="213"/>
      <c r="CQ191" s="213"/>
    </row>
    <row r="192" ht="15.75" customHeight="1">
      <c r="A192" s="213"/>
      <c r="B192" s="213"/>
      <c r="C192" s="213"/>
      <c r="D192" s="213"/>
      <c r="E192" s="213"/>
      <c r="F192" s="213"/>
      <c r="G192" s="213"/>
      <c r="H192" s="213"/>
      <c r="I192" s="213"/>
      <c r="J192" s="216"/>
      <c r="K192" s="213"/>
      <c r="L192" s="213"/>
      <c r="M192" s="213"/>
      <c r="N192" s="213"/>
      <c r="O192" s="213"/>
      <c r="P192" s="216"/>
      <c r="Q192" s="213"/>
      <c r="R192" s="213"/>
      <c r="S192" s="213"/>
      <c r="T192" s="213"/>
      <c r="U192" s="213"/>
      <c r="V192" s="216"/>
      <c r="W192" s="213"/>
      <c r="X192" s="213"/>
      <c r="Y192" s="213"/>
      <c r="Z192" s="213"/>
      <c r="AA192" s="213"/>
      <c r="AB192" s="216"/>
      <c r="AC192" s="213"/>
      <c r="AD192" s="213"/>
      <c r="AE192" s="213"/>
      <c r="AF192" s="213"/>
      <c r="AG192" s="213"/>
      <c r="AH192" s="216"/>
      <c r="AI192" s="213"/>
      <c r="AJ192" s="213"/>
      <c r="AK192" s="213"/>
      <c r="AL192" s="213"/>
      <c r="AM192" s="213"/>
      <c r="AN192" s="216"/>
      <c r="AO192" s="213"/>
      <c r="AP192" s="213"/>
      <c r="AQ192" s="213"/>
      <c r="AR192" s="213"/>
      <c r="AS192" s="213"/>
      <c r="AT192" s="216"/>
      <c r="AU192" s="213"/>
      <c r="AV192" s="213"/>
      <c r="AW192" s="213"/>
      <c r="AX192" s="213"/>
      <c r="AY192" s="213"/>
      <c r="AZ192" s="213"/>
      <c r="BA192" s="213"/>
      <c r="BB192" s="213"/>
      <c r="BC192" s="213"/>
      <c r="BD192" s="213"/>
      <c r="BE192" s="213"/>
      <c r="BF192" s="216"/>
      <c r="BG192" s="213"/>
      <c r="BH192" s="213"/>
      <c r="BI192" s="213"/>
      <c r="BJ192" s="213"/>
      <c r="BK192" s="213"/>
      <c r="BL192" s="213"/>
      <c r="BM192" s="213"/>
      <c r="BN192" s="213"/>
      <c r="BO192" s="213"/>
      <c r="BP192" s="213"/>
      <c r="BQ192" s="213"/>
      <c r="BR192" s="454"/>
      <c r="BS192" s="213"/>
      <c r="BT192" s="213"/>
      <c r="BU192" s="213"/>
      <c r="BV192" s="213"/>
      <c r="BW192" s="213"/>
      <c r="BX192" s="213"/>
      <c r="BY192" s="213"/>
      <c r="BZ192" s="213"/>
      <c r="CA192" s="213"/>
      <c r="CB192" s="213"/>
      <c r="CC192" s="213"/>
      <c r="CD192" s="213"/>
      <c r="CE192" s="213"/>
      <c r="CF192" s="213"/>
      <c r="CG192" s="213"/>
      <c r="CH192" s="213"/>
      <c r="CI192" s="213"/>
      <c r="CJ192" s="213"/>
      <c r="CK192" s="213"/>
      <c r="CL192" s="213"/>
      <c r="CM192" s="213"/>
      <c r="CN192" s="213"/>
      <c r="CO192" s="213"/>
      <c r="CP192" s="213"/>
      <c r="CQ192" s="213"/>
    </row>
    <row r="193" ht="15.75" customHeight="1">
      <c r="A193" s="213"/>
      <c r="B193" s="213"/>
      <c r="C193" s="213"/>
      <c r="D193" s="213"/>
      <c r="E193" s="213"/>
      <c r="F193" s="213"/>
      <c r="G193" s="213"/>
      <c r="H193" s="213"/>
      <c r="I193" s="213"/>
      <c r="J193" s="216"/>
      <c r="K193" s="213"/>
      <c r="L193" s="213"/>
      <c r="M193" s="213"/>
      <c r="N193" s="213"/>
      <c r="O193" s="213"/>
      <c r="P193" s="216"/>
      <c r="Q193" s="213"/>
      <c r="R193" s="213"/>
      <c r="S193" s="213"/>
      <c r="T193" s="213"/>
      <c r="U193" s="213"/>
      <c r="V193" s="216"/>
      <c r="W193" s="213"/>
      <c r="X193" s="213"/>
      <c r="Y193" s="213"/>
      <c r="Z193" s="213"/>
      <c r="AA193" s="213"/>
      <c r="AB193" s="216"/>
      <c r="AC193" s="213"/>
      <c r="AD193" s="213"/>
      <c r="AE193" s="213"/>
      <c r="AF193" s="213"/>
      <c r="AG193" s="213"/>
      <c r="AH193" s="216"/>
      <c r="AI193" s="213"/>
      <c r="AJ193" s="213"/>
      <c r="AK193" s="213"/>
      <c r="AL193" s="213"/>
      <c r="AM193" s="213"/>
      <c r="AN193" s="216"/>
      <c r="AO193" s="213"/>
      <c r="AP193" s="213"/>
      <c r="AQ193" s="213"/>
      <c r="AR193" s="213"/>
      <c r="AS193" s="213"/>
      <c r="AT193" s="216"/>
      <c r="AU193" s="213"/>
      <c r="AV193" s="213"/>
      <c r="AW193" s="213"/>
      <c r="AX193" s="213"/>
      <c r="AY193" s="213"/>
      <c r="AZ193" s="213"/>
      <c r="BA193" s="213"/>
      <c r="BB193" s="213"/>
      <c r="BC193" s="213"/>
      <c r="BD193" s="213"/>
      <c r="BE193" s="213"/>
      <c r="BF193" s="216"/>
      <c r="BG193" s="213"/>
      <c r="BH193" s="213"/>
      <c r="BI193" s="213"/>
      <c r="BJ193" s="213"/>
      <c r="BK193" s="213"/>
      <c r="BL193" s="213"/>
      <c r="BM193" s="213"/>
      <c r="BN193" s="213"/>
      <c r="BO193" s="213"/>
      <c r="BP193" s="213"/>
      <c r="BQ193" s="213"/>
      <c r="BR193" s="454"/>
      <c r="BS193" s="213"/>
      <c r="BT193" s="213"/>
      <c r="BU193" s="213"/>
      <c r="BV193" s="213"/>
      <c r="BW193" s="213"/>
      <c r="BX193" s="213"/>
      <c r="BY193" s="213"/>
      <c r="BZ193" s="213"/>
      <c r="CA193" s="213"/>
      <c r="CB193" s="213"/>
      <c r="CC193" s="213"/>
      <c r="CD193" s="213"/>
      <c r="CE193" s="213"/>
      <c r="CF193" s="213"/>
      <c r="CG193" s="213"/>
      <c r="CH193" s="213"/>
      <c r="CI193" s="213"/>
      <c r="CJ193" s="213"/>
      <c r="CK193" s="213"/>
      <c r="CL193" s="213"/>
      <c r="CM193" s="213"/>
      <c r="CN193" s="213"/>
      <c r="CO193" s="213"/>
      <c r="CP193" s="213"/>
      <c r="CQ193" s="213"/>
    </row>
    <row r="194" ht="15.75" customHeight="1">
      <c r="A194" s="213"/>
      <c r="B194" s="213"/>
      <c r="C194" s="213"/>
      <c r="D194" s="213"/>
      <c r="E194" s="213"/>
      <c r="F194" s="213"/>
      <c r="G194" s="213"/>
      <c r="H194" s="213"/>
      <c r="I194" s="213"/>
      <c r="J194" s="216"/>
      <c r="K194" s="213"/>
      <c r="L194" s="213"/>
      <c r="M194" s="213"/>
      <c r="N194" s="213"/>
      <c r="O194" s="213"/>
      <c r="P194" s="216"/>
      <c r="Q194" s="213"/>
      <c r="R194" s="213"/>
      <c r="S194" s="213"/>
      <c r="T194" s="213"/>
      <c r="U194" s="213"/>
      <c r="V194" s="216"/>
      <c r="W194" s="213"/>
      <c r="X194" s="213"/>
      <c r="Y194" s="213"/>
      <c r="Z194" s="213"/>
      <c r="AA194" s="213"/>
      <c r="AB194" s="216"/>
      <c r="AC194" s="213"/>
      <c r="AD194" s="213"/>
      <c r="AE194" s="213"/>
      <c r="AF194" s="213"/>
      <c r="AG194" s="213"/>
      <c r="AH194" s="216"/>
      <c r="AI194" s="213"/>
      <c r="AJ194" s="213"/>
      <c r="AK194" s="213"/>
      <c r="AL194" s="213"/>
      <c r="AM194" s="213"/>
      <c r="AN194" s="216"/>
      <c r="AO194" s="213"/>
      <c r="AP194" s="213"/>
      <c r="AQ194" s="213"/>
      <c r="AR194" s="213"/>
      <c r="AS194" s="213"/>
      <c r="AT194" s="216"/>
      <c r="AU194" s="213"/>
      <c r="AV194" s="213"/>
      <c r="AW194" s="213"/>
      <c r="AX194" s="213"/>
      <c r="AY194" s="213"/>
      <c r="AZ194" s="213"/>
      <c r="BA194" s="213"/>
      <c r="BB194" s="213"/>
      <c r="BC194" s="213"/>
      <c r="BD194" s="213"/>
      <c r="BE194" s="213"/>
      <c r="BF194" s="216"/>
      <c r="BG194" s="213"/>
      <c r="BH194" s="213"/>
      <c r="BI194" s="213"/>
      <c r="BJ194" s="213"/>
      <c r="BK194" s="213"/>
      <c r="BL194" s="213"/>
      <c r="BM194" s="213"/>
      <c r="BN194" s="213"/>
      <c r="BO194" s="213"/>
      <c r="BP194" s="213"/>
      <c r="BQ194" s="213"/>
      <c r="BR194" s="454"/>
      <c r="BS194" s="213"/>
      <c r="BT194" s="213"/>
      <c r="BU194" s="213"/>
      <c r="BV194" s="213"/>
      <c r="BW194" s="213"/>
      <c r="BX194" s="213"/>
      <c r="BY194" s="213"/>
      <c r="BZ194" s="213"/>
      <c r="CA194" s="213"/>
      <c r="CB194" s="213"/>
      <c r="CC194" s="213"/>
      <c r="CD194" s="213"/>
      <c r="CE194" s="213"/>
      <c r="CF194" s="213"/>
      <c r="CG194" s="213"/>
      <c r="CH194" s="213"/>
      <c r="CI194" s="213"/>
      <c r="CJ194" s="213"/>
      <c r="CK194" s="213"/>
      <c r="CL194" s="213"/>
      <c r="CM194" s="213"/>
      <c r="CN194" s="213"/>
      <c r="CO194" s="213"/>
      <c r="CP194" s="213"/>
      <c r="CQ194" s="213"/>
    </row>
    <row r="195" ht="15.75" customHeight="1">
      <c r="A195" s="213"/>
      <c r="B195" s="213"/>
      <c r="C195" s="213"/>
      <c r="D195" s="213"/>
      <c r="E195" s="213"/>
      <c r="F195" s="213"/>
      <c r="G195" s="213"/>
      <c r="H195" s="213"/>
      <c r="I195" s="213"/>
      <c r="J195" s="216"/>
      <c r="K195" s="213"/>
      <c r="L195" s="213"/>
      <c r="M195" s="213"/>
      <c r="N195" s="213"/>
      <c r="O195" s="213"/>
      <c r="P195" s="216"/>
      <c r="Q195" s="213"/>
      <c r="R195" s="213"/>
      <c r="S195" s="213"/>
      <c r="T195" s="213"/>
      <c r="U195" s="213"/>
      <c r="V195" s="216"/>
      <c r="W195" s="213"/>
      <c r="X195" s="213"/>
      <c r="Y195" s="213"/>
      <c r="Z195" s="213"/>
      <c r="AA195" s="213"/>
      <c r="AB195" s="216"/>
      <c r="AC195" s="213"/>
      <c r="AD195" s="213"/>
      <c r="AE195" s="213"/>
      <c r="AF195" s="213"/>
      <c r="AG195" s="213"/>
      <c r="AH195" s="216"/>
      <c r="AI195" s="213"/>
      <c r="AJ195" s="213"/>
      <c r="AK195" s="213"/>
      <c r="AL195" s="213"/>
      <c r="AM195" s="213"/>
      <c r="AN195" s="216"/>
      <c r="AO195" s="213"/>
      <c r="AP195" s="213"/>
      <c r="AQ195" s="213"/>
      <c r="AR195" s="213"/>
      <c r="AS195" s="213"/>
      <c r="AT195" s="216"/>
      <c r="AU195" s="213"/>
      <c r="AV195" s="213"/>
      <c r="AW195" s="213"/>
      <c r="AX195" s="213"/>
      <c r="AY195" s="213"/>
      <c r="AZ195" s="213"/>
      <c r="BA195" s="213"/>
      <c r="BB195" s="213"/>
      <c r="BC195" s="213"/>
      <c r="BD195" s="213"/>
      <c r="BE195" s="213"/>
      <c r="BF195" s="216"/>
      <c r="BG195" s="213"/>
      <c r="BH195" s="213"/>
      <c r="BI195" s="213"/>
      <c r="BJ195" s="213"/>
      <c r="BK195" s="213"/>
      <c r="BL195" s="213"/>
      <c r="BM195" s="213"/>
      <c r="BN195" s="213"/>
      <c r="BO195" s="213"/>
      <c r="BP195" s="213"/>
      <c r="BQ195" s="213"/>
      <c r="BR195" s="454"/>
      <c r="BS195" s="213"/>
      <c r="BT195" s="213"/>
      <c r="BU195" s="213"/>
      <c r="BV195" s="213"/>
      <c r="BW195" s="213"/>
      <c r="BX195" s="213"/>
      <c r="BY195" s="213"/>
      <c r="BZ195" s="213"/>
      <c r="CA195" s="213"/>
      <c r="CB195" s="213"/>
      <c r="CC195" s="213"/>
      <c r="CD195" s="213"/>
      <c r="CE195" s="213"/>
      <c r="CF195" s="213"/>
      <c r="CG195" s="213"/>
      <c r="CH195" s="213"/>
      <c r="CI195" s="213"/>
      <c r="CJ195" s="213"/>
      <c r="CK195" s="213"/>
      <c r="CL195" s="213"/>
      <c r="CM195" s="213"/>
      <c r="CN195" s="213"/>
      <c r="CO195" s="213"/>
      <c r="CP195" s="213"/>
      <c r="CQ195" s="213"/>
    </row>
    <row r="196" ht="15.75" customHeight="1">
      <c r="A196" s="213"/>
      <c r="B196" s="213"/>
      <c r="C196" s="213"/>
      <c r="D196" s="213"/>
      <c r="E196" s="213"/>
      <c r="F196" s="213"/>
      <c r="G196" s="213"/>
      <c r="H196" s="213"/>
      <c r="I196" s="213"/>
      <c r="J196" s="216"/>
      <c r="K196" s="213"/>
      <c r="L196" s="213"/>
      <c r="M196" s="213"/>
      <c r="N196" s="213"/>
      <c r="O196" s="213"/>
      <c r="P196" s="216"/>
      <c r="Q196" s="213"/>
      <c r="R196" s="213"/>
      <c r="S196" s="213"/>
      <c r="T196" s="213"/>
      <c r="U196" s="213"/>
      <c r="V196" s="216"/>
      <c r="W196" s="213"/>
      <c r="X196" s="213"/>
      <c r="Y196" s="213"/>
      <c r="Z196" s="213"/>
      <c r="AA196" s="213"/>
      <c r="AB196" s="216"/>
      <c r="AC196" s="213"/>
      <c r="AD196" s="213"/>
      <c r="AE196" s="213"/>
      <c r="AF196" s="213"/>
      <c r="AG196" s="213"/>
      <c r="AH196" s="216"/>
      <c r="AI196" s="213"/>
      <c r="AJ196" s="213"/>
      <c r="AK196" s="213"/>
      <c r="AL196" s="213"/>
      <c r="AM196" s="213"/>
      <c r="AN196" s="216"/>
      <c r="AO196" s="213"/>
      <c r="AP196" s="213"/>
      <c r="AQ196" s="213"/>
      <c r="AR196" s="213"/>
      <c r="AS196" s="213"/>
      <c r="AT196" s="216"/>
      <c r="AU196" s="213"/>
      <c r="AV196" s="213"/>
      <c r="AW196" s="213"/>
      <c r="AX196" s="213"/>
      <c r="AY196" s="213"/>
      <c r="AZ196" s="213"/>
      <c r="BA196" s="213"/>
      <c r="BB196" s="213"/>
      <c r="BC196" s="213"/>
      <c r="BD196" s="213"/>
      <c r="BE196" s="213"/>
      <c r="BF196" s="216"/>
      <c r="BG196" s="213"/>
      <c r="BH196" s="213"/>
      <c r="BI196" s="213"/>
      <c r="BJ196" s="213"/>
      <c r="BK196" s="213"/>
      <c r="BL196" s="213"/>
      <c r="BM196" s="213"/>
      <c r="BN196" s="213"/>
      <c r="BO196" s="213"/>
      <c r="BP196" s="213"/>
      <c r="BQ196" s="213"/>
      <c r="BR196" s="454"/>
      <c r="BS196" s="213"/>
      <c r="BT196" s="213"/>
      <c r="BU196" s="213"/>
      <c r="BV196" s="213"/>
      <c r="BW196" s="213"/>
      <c r="BX196" s="213"/>
      <c r="BY196" s="213"/>
      <c r="BZ196" s="213"/>
      <c r="CA196" s="213"/>
      <c r="CB196" s="213"/>
      <c r="CC196" s="213"/>
      <c r="CD196" s="213"/>
      <c r="CE196" s="213"/>
      <c r="CF196" s="213"/>
      <c r="CG196" s="213"/>
      <c r="CH196" s="213"/>
      <c r="CI196" s="213"/>
      <c r="CJ196" s="213"/>
      <c r="CK196" s="213"/>
      <c r="CL196" s="213"/>
      <c r="CM196" s="213"/>
      <c r="CN196" s="213"/>
      <c r="CO196" s="213"/>
      <c r="CP196" s="213"/>
      <c r="CQ196" s="213"/>
    </row>
    <row r="197" ht="15.75" customHeight="1">
      <c r="A197" s="213"/>
      <c r="B197" s="213"/>
      <c r="C197" s="213"/>
      <c r="D197" s="213"/>
      <c r="E197" s="213"/>
      <c r="F197" s="213"/>
      <c r="G197" s="213"/>
      <c r="H197" s="213"/>
      <c r="I197" s="213"/>
      <c r="J197" s="216"/>
      <c r="K197" s="213"/>
      <c r="L197" s="213"/>
      <c r="M197" s="213"/>
      <c r="N197" s="213"/>
      <c r="O197" s="213"/>
      <c r="P197" s="216"/>
      <c r="Q197" s="213"/>
      <c r="R197" s="213"/>
      <c r="S197" s="213"/>
      <c r="T197" s="213"/>
      <c r="U197" s="213"/>
      <c r="V197" s="216"/>
      <c r="W197" s="213"/>
      <c r="X197" s="213"/>
      <c r="Y197" s="213"/>
      <c r="Z197" s="213"/>
      <c r="AA197" s="213"/>
      <c r="AB197" s="216"/>
      <c r="AC197" s="213"/>
      <c r="AD197" s="213"/>
      <c r="AE197" s="213"/>
      <c r="AF197" s="213"/>
      <c r="AG197" s="213"/>
      <c r="AH197" s="216"/>
      <c r="AI197" s="213"/>
      <c r="AJ197" s="213"/>
      <c r="AK197" s="213"/>
      <c r="AL197" s="213"/>
      <c r="AM197" s="213"/>
      <c r="AN197" s="216"/>
      <c r="AO197" s="213"/>
      <c r="AP197" s="213"/>
      <c r="AQ197" s="213"/>
      <c r="AR197" s="213"/>
      <c r="AS197" s="213"/>
      <c r="AT197" s="216"/>
      <c r="AU197" s="213"/>
      <c r="AV197" s="213"/>
      <c r="AW197" s="213"/>
      <c r="AX197" s="213"/>
      <c r="AY197" s="213"/>
      <c r="AZ197" s="213"/>
      <c r="BA197" s="213"/>
      <c r="BB197" s="213"/>
      <c r="BC197" s="213"/>
      <c r="BD197" s="213"/>
      <c r="BE197" s="213"/>
      <c r="BF197" s="216"/>
      <c r="BG197" s="213"/>
      <c r="BH197" s="213"/>
      <c r="BI197" s="213"/>
      <c r="BJ197" s="213"/>
      <c r="BK197" s="213"/>
      <c r="BL197" s="213"/>
      <c r="BM197" s="213"/>
      <c r="BN197" s="213"/>
      <c r="BO197" s="213"/>
      <c r="BP197" s="213"/>
      <c r="BQ197" s="213"/>
      <c r="BR197" s="454"/>
      <c r="BS197" s="213"/>
      <c r="BT197" s="213"/>
      <c r="BU197" s="213"/>
      <c r="BV197" s="213"/>
      <c r="BW197" s="213"/>
      <c r="BX197" s="213"/>
      <c r="BY197" s="213"/>
      <c r="BZ197" s="213"/>
      <c r="CA197" s="213"/>
      <c r="CB197" s="213"/>
      <c r="CC197" s="213"/>
      <c r="CD197" s="213"/>
      <c r="CE197" s="213"/>
      <c r="CF197" s="213"/>
      <c r="CG197" s="213"/>
      <c r="CH197" s="213"/>
      <c r="CI197" s="213"/>
      <c r="CJ197" s="213"/>
      <c r="CK197" s="213"/>
      <c r="CL197" s="213"/>
      <c r="CM197" s="213"/>
      <c r="CN197" s="213"/>
      <c r="CO197" s="213"/>
      <c r="CP197" s="213"/>
      <c r="CQ197" s="213"/>
    </row>
    <row r="198" ht="15.75" customHeight="1">
      <c r="A198" s="213"/>
      <c r="B198" s="213"/>
      <c r="C198" s="213"/>
      <c r="D198" s="213"/>
      <c r="E198" s="213"/>
      <c r="F198" s="213"/>
      <c r="G198" s="213"/>
      <c r="H198" s="213"/>
      <c r="I198" s="213"/>
      <c r="J198" s="216"/>
      <c r="K198" s="213"/>
      <c r="L198" s="213"/>
      <c r="M198" s="213"/>
      <c r="N198" s="213"/>
      <c r="O198" s="213"/>
      <c r="P198" s="216"/>
      <c r="Q198" s="213"/>
      <c r="R198" s="213"/>
      <c r="S198" s="213"/>
      <c r="T198" s="213"/>
      <c r="U198" s="213"/>
      <c r="V198" s="216"/>
      <c r="W198" s="213"/>
      <c r="X198" s="213"/>
      <c r="Y198" s="213"/>
      <c r="Z198" s="213"/>
      <c r="AA198" s="213"/>
      <c r="AB198" s="216"/>
      <c r="AC198" s="213"/>
      <c r="AD198" s="213"/>
      <c r="AE198" s="213"/>
      <c r="AF198" s="213"/>
      <c r="AG198" s="213"/>
      <c r="AH198" s="216"/>
      <c r="AI198" s="213"/>
      <c r="AJ198" s="213"/>
      <c r="AK198" s="213"/>
      <c r="AL198" s="213"/>
      <c r="AM198" s="213"/>
      <c r="AN198" s="216"/>
      <c r="AO198" s="213"/>
      <c r="AP198" s="213"/>
      <c r="AQ198" s="213"/>
      <c r="AR198" s="213"/>
      <c r="AS198" s="213"/>
      <c r="AT198" s="216"/>
      <c r="AU198" s="213"/>
      <c r="AV198" s="213"/>
      <c r="AW198" s="213"/>
      <c r="AX198" s="213"/>
      <c r="AY198" s="213"/>
      <c r="AZ198" s="213"/>
      <c r="BA198" s="213"/>
      <c r="BB198" s="213"/>
      <c r="BC198" s="213"/>
      <c r="BD198" s="213"/>
      <c r="BE198" s="213"/>
      <c r="BF198" s="216"/>
      <c r="BG198" s="213"/>
      <c r="BH198" s="213"/>
      <c r="BI198" s="213"/>
      <c r="BJ198" s="213"/>
      <c r="BK198" s="213"/>
      <c r="BL198" s="213"/>
      <c r="BM198" s="213"/>
      <c r="BN198" s="213"/>
      <c r="BO198" s="213"/>
      <c r="BP198" s="213"/>
      <c r="BQ198" s="213"/>
      <c r="BR198" s="454"/>
      <c r="BS198" s="213"/>
      <c r="BT198" s="213"/>
      <c r="BU198" s="213"/>
      <c r="BV198" s="213"/>
      <c r="BW198" s="213"/>
      <c r="BX198" s="213"/>
      <c r="BY198" s="213"/>
      <c r="BZ198" s="213"/>
      <c r="CA198" s="213"/>
      <c r="CB198" s="213"/>
      <c r="CC198" s="213"/>
      <c r="CD198" s="213"/>
      <c r="CE198" s="213"/>
      <c r="CF198" s="213"/>
      <c r="CG198" s="213"/>
      <c r="CH198" s="213"/>
      <c r="CI198" s="213"/>
      <c r="CJ198" s="213"/>
      <c r="CK198" s="213"/>
      <c r="CL198" s="213"/>
      <c r="CM198" s="213"/>
      <c r="CN198" s="213"/>
      <c r="CO198" s="213"/>
      <c r="CP198" s="213"/>
      <c r="CQ198" s="213"/>
    </row>
    <row r="199" ht="15.75" customHeight="1">
      <c r="A199" s="213"/>
      <c r="B199" s="213"/>
      <c r="C199" s="213"/>
      <c r="D199" s="213"/>
      <c r="E199" s="213"/>
      <c r="F199" s="213"/>
      <c r="G199" s="213"/>
      <c r="H199" s="213"/>
      <c r="I199" s="213"/>
      <c r="J199" s="216"/>
      <c r="K199" s="213"/>
      <c r="L199" s="213"/>
      <c r="M199" s="213"/>
      <c r="N199" s="213"/>
      <c r="O199" s="213"/>
      <c r="P199" s="216"/>
      <c r="Q199" s="213"/>
      <c r="R199" s="213"/>
      <c r="S199" s="213"/>
      <c r="T199" s="213"/>
      <c r="U199" s="213"/>
      <c r="V199" s="216"/>
      <c r="W199" s="213"/>
      <c r="X199" s="213"/>
      <c r="Y199" s="213"/>
      <c r="Z199" s="213"/>
      <c r="AA199" s="213"/>
      <c r="AB199" s="216"/>
      <c r="AC199" s="213"/>
      <c r="AD199" s="213"/>
      <c r="AE199" s="213"/>
      <c r="AF199" s="213"/>
      <c r="AG199" s="213"/>
      <c r="AH199" s="216"/>
      <c r="AI199" s="213"/>
      <c r="AJ199" s="213"/>
      <c r="AK199" s="213"/>
      <c r="AL199" s="213"/>
      <c r="AM199" s="213"/>
      <c r="AN199" s="216"/>
      <c r="AO199" s="213"/>
      <c r="AP199" s="213"/>
      <c r="AQ199" s="213"/>
      <c r="AR199" s="213"/>
      <c r="AS199" s="213"/>
      <c r="AT199" s="216"/>
      <c r="AU199" s="213"/>
      <c r="AV199" s="213"/>
      <c r="AW199" s="213"/>
      <c r="AX199" s="213"/>
      <c r="AY199" s="213"/>
      <c r="AZ199" s="213"/>
      <c r="BA199" s="213"/>
      <c r="BB199" s="213"/>
      <c r="BC199" s="213"/>
      <c r="BD199" s="213"/>
      <c r="BE199" s="213"/>
      <c r="BF199" s="216"/>
      <c r="BG199" s="213"/>
      <c r="BH199" s="213"/>
      <c r="BI199" s="213"/>
      <c r="BJ199" s="213"/>
      <c r="BK199" s="213"/>
      <c r="BL199" s="213"/>
      <c r="BM199" s="213"/>
      <c r="BN199" s="213"/>
      <c r="BO199" s="213"/>
      <c r="BP199" s="213"/>
      <c r="BQ199" s="213"/>
      <c r="BR199" s="454"/>
      <c r="BS199" s="213"/>
      <c r="BT199" s="213"/>
      <c r="BU199" s="213"/>
      <c r="BV199" s="213"/>
      <c r="BW199" s="213"/>
      <c r="BX199" s="213"/>
      <c r="BY199" s="213"/>
      <c r="BZ199" s="213"/>
      <c r="CA199" s="213"/>
      <c r="CB199" s="213"/>
      <c r="CC199" s="213"/>
      <c r="CD199" s="213"/>
      <c r="CE199" s="213"/>
      <c r="CF199" s="213"/>
      <c r="CG199" s="213"/>
      <c r="CH199" s="213"/>
      <c r="CI199" s="213"/>
      <c r="CJ199" s="213"/>
      <c r="CK199" s="213"/>
      <c r="CL199" s="213"/>
      <c r="CM199" s="213"/>
      <c r="CN199" s="213"/>
      <c r="CO199" s="213"/>
      <c r="CP199" s="213"/>
      <c r="CQ199" s="213"/>
    </row>
    <row r="200" ht="15.75" customHeight="1">
      <c r="A200" s="213"/>
      <c r="B200" s="213"/>
      <c r="C200" s="213"/>
      <c r="D200" s="213"/>
      <c r="E200" s="213"/>
      <c r="F200" s="213"/>
      <c r="G200" s="213"/>
      <c r="H200" s="213"/>
      <c r="I200" s="213"/>
      <c r="J200" s="216"/>
      <c r="K200" s="213"/>
      <c r="L200" s="213"/>
      <c r="M200" s="213"/>
      <c r="N200" s="213"/>
      <c r="O200" s="213"/>
      <c r="P200" s="216"/>
      <c r="Q200" s="213"/>
      <c r="R200" s="213"/>
      <c r="S200" s="213"/>
      <c r="T200" s="213"/>
      <c r="U200" s="213"/>
      <c r="V200" s="216"/>
      <c r="W200" s="213"/>
      <c r="X200" s="213"/>
      <c r="Y200" s="213"/>
      <c r="Z200" s="213"/>
      <c r="AA200" s="213"/>
      <c r="AB200" s="216"/>
      <c r="AC200" s="213"/>
      <c r="AD200" s="213"/>
      <c r="AE200" s="213"/>
      <c r="AF200" s="213"/>
      <c r="AG200" s="213"/>
      <c r="AH200" s="216"/>
      <c r="AI200" s="213"/>
      <c r="AJ200" s="213"/>
      <c r="AK200" s="213"/>
      <c r="AL200" s="213"/>
      <c r="AM200" s="213"/>
      <c r="AN200" s="216"/>
      <c r="AO200" s="213"/>
      <c r="AP200" s="213"/>
      <c r="AQ200" s="213"/>
      <c r="AR200" s="213"/>
      <c r="AS200" s="213"/>
      <c r="AT200" s="216"/>
      <c r="AU200" s="213"/>
      <c r="AV200" s="213"/>
      <c r="AW200" s="213"/>
      <c r="AX200" s="213"/>
      <c r="AY200" s="213"/>
      <c r="AZ200" s="213"/>
      <c r="BA200" s="213"/>
      <c r="BB200" s="213"/>
      <c r="BC200" s="213"/>
      <c r="BD200" s="213"/>
      <c r="BE200" s="213"/>
      <c r="BF200" s="216"/>
      <c r="BG200" s="213"/>
      <c r="BH200" s="213"/>
      <c r="BI200" s="213"/>
      <c r="BJ200" s="213"/>
      <c r="BK200" s="213"/>
      <c r="BL200" s="213"/>
      <c r="BM200" s="213"/>
      <c r="BN200" s="213"/>
      <c r="BO200" s="213"/>
      <c r="BP200" s="213"/>
      <c r="BQ200" s="213"/>
      <c r="BR200" s="454"/>
      <c r="BS200" s="213"/>
      <c r="BT200" s="213"/>
      <c r="BU200" s="213"/>
      <c r="BV200" s="213"/>
      <c r="BW200" s="213"/>
      <c r="BX200" s="213"/>
      <c r="BY200" s="213"/>
      <c r="BZ200" s="213"/>
      <c r="CA200" s="213"/>
      <c r="CB200" s="213"/>
      <c r="CC200" s="213"/>
      <c r="CD200" s="213"/>
      <c r="CE200" s="213"/>
      <c r="CF200" s="213"/>
      <c r="CG200" s="213"/>
      <c r="CH200" s="213"/>
      <c r="CI200" s="213"/>
      <c r="CJ200" s="213"/>
      <c r="CK200" s="213"/>
      <c r="CL200" s="213"/>
      <c r="CM200" s="213"/>
      <c r="CN200" s="213"/>
      <c r="CO200" s="213"/>
      <c r="CP200" s="213"/>
      <c r="CQ200" s="213"/>
    </row>
    <row r="201" ht="15.75" customHeight="1">
      <c r="A201" s="213"/>
      <c r="B201" s="213"/>
      <c r="C201" s="213"/>
      <c r="D201" s="213"/>
      <c r="E201" s="213"/>
      <c r="F201" s="213"/>
      <c r="G201" s="213"/>
      <c r="H201" s="213"/>
      <c r="I201" s="213"/>
      <c r="J201" s="216"/>
      <c r="K201" s="213"/>
      <c r="L201" s="213"/>
      <c r="M201" s="213"/>
      <c r="N201" s="213"/>
      <c r="O201" s="213"/>
      <c r="P201" s="216"/>
      <c r="Q201" s="213"/>
      <c r="R201" s="213"/>
      <c r="S201" s="213"/>
      <c r="T201" s="213"/>
      <c r="U201" s="213"/>
      <c r="V201" s="216"/>
      <c r="W201" s="213"/>
      <c r="X201" s="213"/>
      <c r="Y201" s="213"/>
      <c r="Z201" s="213"/>
      <c r="AA201" s="213"/>
      <c r="AB201" s="216"/>
      <c r="AC201" s="213"/>
      <c r="AD201" s="213"/>
      <c r="AE201" s="213"/>
      <c r="AF201" s="213"/>
      <c r="AG201" s="213"/>
      <c r="AH201" s="216"/>
      <c r="AI201" s="213"/>
      <c r="AJ201" s="213"/>
      <c r="AK201" s="213"/>
      <c r="AL201" s="213"/>
      <c r="AM201" s="213"/>
      <c r="AN201" s="216"/>
      <c r="AO201" s="213"/>
      <c r="AP201" s="213"/>
      <c r="AQ201" s="213"/>
      <c r="AR201" s="213"/>
      <c r="AS201" s="213"/>
      <c r="AT201" s="216"/>
      <c r="AU201" s="213"/>
      <c r="AV201" s="213"/>
      <c r="AW201" s="213"/>
      <c r="AX201" s="213"/>
      <c r="AY201" s="213"/>
      <c r="AZ201" s="213"/>
      <c r="BA201" s="213"/>
      <c r="BB201" s="213"/>
      <c r="BC201" s="213"/>
      <c r="BD201" s="213"/>
      <c r="BE201" s="213"/>
      <c r="BF201" s="216"/>
      <c r="BG201" s="213"/>
      <c r="BH201" s="213"/>
      <c r="BI201" s="213"/>
      <c r="BJ201" s="213"/>
      <c r="BK201" s="213"/>
      <c r="BL201" s="213"/>
      <c r="BM201" s="213"/>
      <c r="BN201" s="213"/>
      <c r="BO201" s="213"/>
      <c r="BP201" s="213"/>
      <c r="BQ201" s="213"/>
      <c r="BR201" s="454"/>
      <c r="BS201" s="213"/>
      <c r="BT201" s="213"/>
      <c r="BU201" s="213"/>
      <c r="BV201" s="213"/>
      <c r="BW201" s="213"/>
      <c r="BX201" s="213"/>
      <c r="BY201" s="213"/>
      <c r="BZ201" s="213"/>
      <c r="CA201" s="213"/>
      <c r="CB201" s="213"/>
      <c r="CC201" s="213"/>
      <c r="CD201" s="213"/>
      <c r="CE201" s="213"/>
      <c r="CF201" s="213"/>
      <c r="CG201" s="213"/>
      <c r="CH201" s="213"/>
      <c r="CI201" s="213"/>
      <c r="CJ201" s="213"/>
      <c r="CK201" s="213"/>
      <c r="CL201" s="213"/>
      <c r="CM201" s="213"/>
      <c r="CN201" s="213"/>
      <c r="CO201" s="213"/>
      <c r="CP201" s="213"/>
      <c r="CQ201" s="213"/>
    </row>
    <row r="202" ht="15.75" customHeight="1">
      <c r="A202" s="213"/>
      <c r="B202" s="213"/>
      <c r="C202" s="213"/>
      <c r="D202" s="213"/>
      <c r="E202" s="213"/>
      <c r="F202" s="213"/>
      <c r="G202" s="213"/>
      <c r="H202" s="213"/>
      <c r="I202" s="213"/>
      <c r="J202" s="216"/>
      <c r="K202" s="213"/>
      <c r="L202" s="213"/>
      <c r="M202" s="213"/>
      <c r="N202" s="213"/>
      <c r="O202" s="213"/>
      <c r="P202" s="216"/>
      <c r="Q202" s="213"/>
      <c r="R202" s="213"/>
      <c r="S202" s="213"/>
      <c r="T202" s="213"/>
      <c r="U202" s="213"/>
      <c r="V202" s="216"/>
      <c r="W202" s="213"/>
      <c r="X202" s="213"/>
      <c r="Y202" s="213"/>
      <c r="Z202" s="213"/>
      <c r="AA202" s="213"/>
      <c r="AB202" s="216"/>
      <c r="AC202" s="213"/>
      <c r="AD202" s="213"/>
      <c r="AE202" s="213"/>
      <c r="AF202" s="213"/>
      <c r="AG202" s="213"/>
      <c r="AH202" s="216"/>
      <c r="AI202" s="213"/>
      <c r="AJ202" s="213"/>
      <c r="AK202" s="213"/>
      <c r="AL202" s="213"/>
      <c r="AM202" s="213"/>
      <c r="AN202" s="216"/>
      <c r="AO202" s="213"/>
      <c r="AP202" s="213"/>
      <c r="AQ202" s="213"/>
      <c r="AR202" s="213"/>
      <c r="AS202" s="213"/>
      <c r="AT202" s="216"/>
      <c r="AU202" s="213"/>
      <c r="AV202" s="213"/>
      <c r="AW202" s="213"/>
      <c r="AX202" s="213"/>
      <c r="AY202" s="213"/>
      <c r="AZ202" s="213"/>
      <c r="BA202" s="213"/>
      <c r="BB202" s="213"/>
      <c r="BC202" s="213"/>
      <c r="BD202" s="213"/>
      <c r="BE202" s="213"/>
      <c r="BF202" s="216"/>
      <c r="BG202" s="213"/>
      <c r="BH202" s="213"/>
      <c r="BI202" s="213"/>
      <c r="BJ202" s="213"/>
      <c r="BK202" s="213"/>
      <c r="BL202" s="213"/>
      <c r="BM202" s="213"/>
      <c r="BN202" s="213"/>
      <c r="BO202" s="213"/>
      <c r="BP202" s="213"/>
      <c r="BQ202" s="213"/>
      <c r="BR202" s="454"/>
      <c r="BS202" s="213"/>
      <c r="BT202" s="213"/>
      <c r="BU202" s="213"/>
      <c r="BV202" s="213"/>
      <c r="BW202" s="213"/>
      <c r="BX202" s="213"/>
      <c r="BY202" s="213"/>
      <c r="BZ202" s="213"/>
      <c r="CA202" s="213"/>
      <c r="CB202" s="213"/>
      <c r="CC202" s="213"/>
      <c r="CD202" s="213"/>
      <c r="CE202" s="213"/>
      <c r="CF202" s="213"/>
      <c r="CG202" s="213"/>
      <c r="CH202" s="213"/>
      <c r="CI202" s="213"/>
      <c r="CJ202" s="213"/>
      <c r="CK202" s="213"/>
      <c r="CL202" s="213"/>
      <c r="CM202" s="213"/>
      <c r="CN202" s="213"/>
      <c r="CO202" s="213"/>
      <c r="CP202" s="213"/>
      <c r="CQ202" s="213"/>
    </row>
    <row r="203" ht="15.75" customHeight="1">
      <c r="A203" s="213"/>
      <c r="B203" s="213"/>
      <c r="C203" s="213"/>
      <c r="D203" s="213"/>
      <c r="E203" s="213"/>
      <c r="F203" s="213"/>
      <c r="G203" s="213"/>
      <c r="H203" s="213"/>
      <c r="I203" s="213"/>
      <c r="J203" s="216"/>
      <c r="K203" s="213"/>
      <c r="L203" s="213"/>
      <c r="M203" s="213"/>
      <c r="N203" s="213"/>
      <c r="O203" s="213"/>
      <c r="P203" s="216"/>
      <c r="Q203" s="213"/>
      <c r="R203" s="213"/>
      <c r="S203" s="213"/>
      <c r="T203" s="213"/>
      <c r="U203" s="213"/>
      <c r="V203" s="216"/>
      <c r="W203" s="213"/>
      <c r="X203" s="213"/>
      <c r="Y203" s="213"/>
      <c r="Z203" s="213"/>
      <c r="AA203" s="213"/>
      <c r="AB203" s="216"/>
      <c r="AC203" s="213"/>
      <c r="AD203" s="213"/>
      <c r="AE203" s="213"/>
      <c r="AF203" s="213"/>
      <c r="AG203" s="213"/>
      <c r="AH203" s="216"/>
      <c r="AI203" s="213"/>
      <c r="AJ203" s="213"/>
      <c r="AK203" s="213"/>
      <c r="AL203" s="213"/>
      <c r="AM203" s="213"/>
      <c r="AN203" s="216"/>
      <c r="AO203" s="213"/>
      <c r="AP203" s="213"/>
      <c r="AQ203" s="213"/>
      <c r="AR203" s="213"/>
      <c r="AS203" s="213"/>
      <c r="AT203" s="216"/>
      <c r="AU203" s="213"/>
      <c r="AV203" s="213"/>
      <c r="AW203" s="213"/>
      <c r="AX203" s="213"/>
      <c r="AY203" s="213"/>
      <c r="AZ203" s="213"/>
      <c r="BA203" s="213"/>
      <c r="BB203" s="213"/>
      <c r="BC203" s="213"/>
      <c r="BD203" s="213"/>
      <c r="BE203" s="213"/>
      <c r="BF203" s="216"/>
      <c r="BG203" s="213"/>
      <c r="BH203" s="213"/>
      <c r="BI203" s="213"/>
      <c r="BJ203" s="213"/>
      <c r="BK203" s="213"/>
      <c r="BL203" s="213"/>
      <c r="BM203" s="213"/>
      <c r="BN203" s="213"/>
      <c r="BO203" s="213"/>
      <c r="BP203" s="213"/>
      <c r="BQ203" s="213"/>
      <c r="BR203" s="454"/>
      <c r="BS203" s="213"/>
      <c r="BT203" s="213"/>
      <c r="BU203" s="213"/>
      <c r="BV203" s="213"/>
      <c r="BW203" s="213"/>
      <c r="BX203" s="213"/>
      <c r="BY203" s="213"/>
      <c r="BZ203" s="213"/>
      <c r="CA203" s="213"/>
      <c r="CB203" s="213"/>
      <c r="CC203" s="213"/>
      <c r="CD203" s="213"/>
      <c r="CE203" s="213"/>
      <c r="CF203" s="213"/>
      <c r="CG203" s="213"/>
      <c r="CH203" s="213"/>
      <c r="CI203" s="213"/>
      <c r="CJ203" s="213"/>
      <c r="CK203" s="213"/>
      <c r="CL203" s="213"/>
      <c r="CM203" s="213"/>
      <c r="CN203" s="213"/>
      <c r="CO203" s="213"/>
      <c r="CP203" s="213"/>
      <c r="CQ203" s="213"/>
    </row>
    <row r="204" ht="15.75" customHeight="1">
      <c r="A204" s="213"/>
      <c r="B204" s="213"/>
      <c r="C204" s="213"/>
      <c r="D204" s="213"/>
      <c r="E204" s="213"/>
      <c r="F204" s="213"/>
      <c r="G204" s="213"/>
      <c r="H204" s="213"/>
      <c r="I204" s="213"/>
      <c r="J204" s="216"/>
      <c r="K204" s="213"/>
      <c r="L204" s="213"/>
      <c r="M204" s="213"/>
      <c r="N204" s="213"/>
      <c r="O204" s="213"/>
      <c r="P204" s="216"/>
      <c r="Q204" s="213"/>
      <c r="R204" s="213"/>
      <c r="S204" s="213"/>
      <c r="T204" s="213"/>
      <c r="U204" s="213"/>
      <c r="V204" s="216"/>
      <c r="W204" s="213"/>
      <c r="X204" s="213"/>
      <c r="Y204" s="213"/>
      <c r="Z204" s="213"/>
      <c r="AA204" s="213"/>
      <c r="AB204" s="216"/>
      <c r="AC204" s="213"/>
      <c r="AD204" s="213"/>
      <c r="AE204" s="213"/>
      <c r="AF204" s="213"/>
      <c r="AG204" s="213"/>
      <c r="AH204" s="216"/>
      <c r="AI204" s="213"/>
      <c r="AJ204" s="213"/>
      <c r="AK204" s="213"/>
      <c r="AL204" s="213"/>
      <c r="AM204" s="213"/>
      <c r="AN204" s="216"/>
      <c r="AO204" s="213"/>
      <c r="AP204" s="213"/>
      <c r="AQ204" s="213"/>
      <c r="AR204" s="213"/>
      <c r="AS204" s="213"/>
      <c r="AT204" s="216"/>
      <c r="AU204" s="213"/>
      <c r="AV204" s="213"/>
      <c r="AW204" s="213"/>
      <c r="AX204" s="213"/>
      <c r="AY204" s="213"/>
      <c r="AZ204" s="213"/>
      <c r="BA204" s="213"/>
      <c r="BB204" s="213"/>
      <c r="BC204" s="213"/>
      <c r="BD204" s="213"/>
      <c r="BE204" s="213"/>
      <c r="BF204" s="216"/>
      <c r="BG204" s="213"/>
      <c r="BH204" s="213"/>
      <c r="BI204" s="213"/>
      <c r="BJ204" s="213"/>
      <c r="BK204" s="213"/>
      <c r="BL204" s="213"/>
      <c r="BM204" s="213"/>
      <c r="BN204" s="213"/>
      <c r="BO204" s="213"/>
      <c r="BP204" s="213"/>
      <c r="BQ204" s="213"/>
      <c r="BR204" s="454"/>
      <c r="BS204" s="213"/>
      <c r="BT204" s="213"/>
      <c r="BU204" s="213"/>
      <c r="BV204" s="213"/>
      <c r="BW204" s="213"/>
      <c r="BX204" s="213"/>
      <c r="BY204" s="213"/>
      <c r="BZ204" s="213"/>
      <c r="CA204" s="213"/>
      <c r="CB204" s="213"/>
      <c r="CC204" s="213"/>
      <c r="CD204" s="213"/>
      <c r="CE204" s="213"/>
      <c r="CF204" s="213"/>
      <c r="CG204" s="213"/>
      <c r="CH204" s="213"/>
      <c r="CI204" s="213"/>
      <c r="CJ204" s="213"/>
      <c r="CK204" s="213"/>
      <c r="CL204" s="213"/>
      <c r="CM204" s="213"/>
      <c r="CN204" s="213"/>
      <c r="CO204" s="213"/>
      <c r="CP204" s="213"/>
      <c r="CQ204" s="213"/>
    </row>
    <row r="205" ht="15.75" customHeight="1">
      <c r="A205" s="213"/>
      <c r="B205" s="213"/>
      <c r="C205" s="213"/>
      <c r="D205" s="213"/>
      <c r="E205" s="213"/>
      <c r="F205" s="213"/>
      <c r="G205" s="213"/>
      <c r="H205" s="213"/>
      <c r="I205" s="213"/>
      <c r="J205" s="216"/>
      <c r="K205" s="213"/>
      <c r="L205" s="213"/>
      <c r="M205" s="213"/>
      <c r="N205" s="213"/>
      <c r="O205" s="213"/>
      <c r="P205" s="216"/>
      <c r="Q205" s="213"/>
      <c r="R205" s="213"/>
      <c r="S205" s="213"/>
      <c r="T205" s="213"/>
      <c r="U205" s="213"/>
      <c r="V205" s="216"/>
      <c r="W205" s="213"/>
      <c r="X205" s="213"/>
      <c r="Y205" s="213"/>
      <c r="Z205" s="213"/>
      <c r="AA205" s="213"/>
      <c r="AB205" s="216"/>
      <c r="AC205" s="213"/>
      <c r="AD205" s="213"/>
      <c r="AE205" s="213"/>
      <c r="AF205" s="213"/>
      <c r="AG205" s="213"/>
      <c r="AH205" s="216"/>
      <c r="AI205" s="213"/>
      <c r="AJ205" s="213"/>
      <c r="AK205" s="213"/>
      <c r="AL205" s="213"/>
      <c r="AM205" s="213"/>
      <c r="AN205" s="216"/>
      <c r="AO205" s="213"/>
      <c r="AP205" s="213"/>
      <c r="AQ205" s="213"/>
      <c r="AR205" s="213"/>
      <c r="AS205" s="213"/>
      <c r="AT205" s="216"/>
      <c r="AU205" s="213"/>
      <c r="AV205" s="213"/>
      <c r="AW205" s="213"/>
      <c r="AX205" s="213"/>
      <c r="AY205" s="213"/>
      <c r="AZ205" s="213"/>
      <c r="BA205" s="213"/>
      <c r="BB205" s="213"/>
      <c r="BC205" s="213"/>
      <c r="BD205" s="213"/>
      <c r="BE205" s="213"/>
      <c r="BF205" s="216"/>
      <c r="BG205" s="213"/>
      <c r="BH205" s="213"/>
      <c r="BI205" s="213"/>
      <c r="BJ205" s="213"/>
      <c r="BK205" s="213"/>
      <c r="BL205" s="213"/>
      <c r="BM205" s="213"/>
      <c r="BN205" s="213"/>
      <c r="BO205" s="213"/>
      <c r="BP205" s="213"/>
      <c r="BQ205" s="213"/>
      <c r="BR205" s="454"/>
      <c r="BS205" s="213"/>
      <c r="BT205" s="213"/>
      <c r="BU205" s="213"/>
      <c r="BV205" s="213"/>
      <c r="BW205" s="213"/>
      <c r="BX205" s="213"/>
      <c r="BY205" s="213"/>
      <c r="BZ205" s="213"/>
      <c r="CA205" s="213"/>
      <c r="CB205" s="213"/>
      <c r="CC205" s="213"/>
      <c r="CD205" s="213"/>
      <c r="CE205" s="213"/>
      <c r="CF205" s="213"/>
      <c r="CG205" s="213"/>
      <c r="CH205" s="213"/>
      <c r="CI205" s="213"/>
      <c r="CJ205" s="213"/>
      <c r="CK205" s="213"/>
      <c r="CL205" s="213"/>
      <c r="CM205" s="213"/>
      <c r="CN205" s="213"/>
      <c r="CO205" s="213"/>
      <c r="CP205" s="213"/>
      <c r="CQ205" s="213"/>
    </row>
    <row r="206" ht="15.75" customHeight="1">
      <c r="A206" s="213"/>
      <c r="B206" s="213"/>
      <c r="C206" s="213"/>
      <c r="D206" s="213"/>
      <c r="E206" s="213"/>
      <c r="F206" s="213"/>
      <c r="G206" s="213"/>
      <c r="H206" s="213"/>
      <c r="I206" s="213"/>
      <c r="J206" s="216"/>
      <c r="K206" s="213"/>
      <c r="L206" s="213"/>
      <c r="M206" s="213"/>
      <c r="N206" s="213"/>
      <c r="O206" s="213"/>
      <c r="P206" s="216"/>
      <c r="Q206" s="213"/>
      <c r="R206" s="213"/>
      <c r="S206" s="213"/>
      <c r="T206" s="213"/>
      <c r="U206" s="213"/>
      <c r="V206" s="216"/>
      <c r="W206" s="213"/>
      <c r="X206" s="213"/>
      <c r="Y206" s="213"/>
      <c r="Z206" s="213"/>
      <c r="AA206" s="213"/>
      <c r="AB206" s="216"/>
      <c r="AC206" s="213"/>
      <c r="AD206" s="213"/>
      <c r="AE206" s="213"/>
      <c r="AF206" s="213"/>
      <c r="AG206" s="213"/>
      <c r="AH206" s="216"/>
      <c r="AI206" s="213"/>
      <c r="AJ206" s="213"/>
      <c r="AK206" s="213"/>
      <c r="AL206" s="213"/>
      <c r="AM206" s="213"/>
      <c r="AN206" s="216"/>
      <c r="AO206" s="213"/>
      <c r="AP206" s="213"/>
      <c r="AQ206" s="213"/>
      <c r="AR206" s="213"/>
      <c r="AS206" s="213"/>
      <c r="AT206" s="216"/>
      <c r="AU206" s="213"/>
      <c r="AV206" s="213"/>
      <c r="AW206" s="213"/>
      <c r="AX206" s="213"/>
      <c r="AY206" s="213"/>
      <c r="AZ206" s="213"/>
      <c r="BA206" s="213"/>
      <c r="BB206" s="213"/>
      <c r="BC206" s="213"/>
      <c r="BD206" s="213"/>
      <c r="BE206" s="213"/>
      <c r="BF206" s="216"/>
      <c r="BG206" s="213"/>
      <c r="BH206" s="213"/>
      <c r="BI206" s="213"/>
      <c r="BJ206" s="213"/>
      <c r="BK206" s="213"/>
      <c r="BL206" s="213"/>
      <c r="BM206" s="213"/>
      <c r="BN206" s="213"/>
      <c r="BO206" s="213"/>
      <c r="BP206" s="213"/>
      <c r="BQ206" s="213"/>
      <c r="BR206" s="454"/>
      <c r="BS206" s="213"/>
      <c r="BT206" s="213"/>
      <c r="BU206" s="213"/>
      <c r="BV206" s="213"/>
      <c r="BW206" s="213"/>
      <c r="BX206" s="213"/>
      <c r="BY206" s="213"/>
      <c r="BZ206" s="213"/>
      <c r="CA206" s="213"/>
      <c r="CB206" s="213"/>
      <c r="CC206" s="213"/>
      <c r="CD206" s="213"/>
      <c r="CE206" s="213"/>
      <c r="CF206" s="213"/>
      <c r="CG206" s="213"/>
      <c r="CH206" s="213"/>
      <c r="CI206" s="213"/>
      <c r="CJ206" s="213"/>
      <c r="CK206" s="213"/>
      <c r="CL206" s="213"/>
      <c r="CM206" s="213"/>
      <c r="CN206" s="213"/>
      <c r="CO206" s="213"/>
      <c r="CP206" s="213"/>
      <c r="CQ206" s="213"/>
    </row>
    <row r="207" ht="15.75" customHeight="1">
      <c r="A207" s="213"/>
      <c r="B207" s="213"/>
      <c r="C207" s="213"/>
      <c r="D207" s="213"/>
      <c r="E207" s="213"/>
      <c r="F207" s="213"/>
      <c r="G207" s="213"/>
      <c r="H207" s="213"/>
      <c r="I207" s="213"/>
      <c r="J207" s="216"/>
      <c r="K207" s="213"/>
      <c r="L207" s="213"/>
      <c r="M207" s="213"/>
      <c r="N207" s="213"/>
      <c r="O207" s="213"/>
      <c r="P207" s="216"/>
      <c r="Q207" s="213"/>
      <c r="R207" s="213"/>
      <c r="S207" s="213"/>
      <c r="T207" s="213"/>
      <c r="U207" s="213"/>
      <c r="V207" s="216"/>
      <c r="W207" s="213"/>
      <c r="X207" s="213"/>
      <c r="Y207" s="213"/>
      <c r="Z207" s="213"/>
      <c r="AA207" s="213"/>
      <c r="AB207" s="216"/>
      <c r="AC207" s="213"/>
      <c r="AD207" s="213"/>
      <c r="AE207" s="213"/>
      <c r="AF207" s="213"/>
      <c r="AG207" s="213"/>
      <c r="AH207" s="216"/>
      <c r="AI207" s="213"/>
      <c r="AJ207" s="213"/>
      <c r="AK207" s="213"/>
      <c r="AL207" s="213"/>
      <c r="AM207" s="213"/>
      <c r="AN207" s="216"/>
      <c r="AO207" s="213"/>
      <c r="AP207" s="213"/>
      <c r="AQ207" s="213"/>
      <c r="AR207" s="213"/>
      <c r="AS207" s="213"/>
      <c r="AT207" s="216"/>
      <c r="AU207" s="213"/>
      <c r="AV207" s="213"/>
      <c r="AW207" s="213"/>
      <c r="AX207" s="213"/>
      <c r="AY207" s="213"/>
      <c r="AZ207" s="213"/>
      <c r="BA207" s="213"/>
      <c r="BB207" s="213"/>
      <c r="BC207" s="213"/>
      <c r="BD207" s="213"/>
      <c r="BE207" s="213"/>
      <c r="BF207" s="216"/>
      <c r="BG207" s="213"/>
      <c r="BH207" s="213"/>
      <c r="BI207" s="213"/>
      <c r="BJ207" s="213"/>
      <c r="BK207" s="213"/>
      <c r="BL207" s="213"/>
      <c r="BM207" s="213"/>
      <c r="BN207" s="213"/>
      <c r="BO207" s="213"/>
      <c r="BP207" s="213"/>
      <c r="BQ207" s="213"/>
      <c r="BR207" s="454"/>
      <c r="BS207" s="213"/>
      <c r="BT207" s="213"/>
      <c r="BU207" s="213"/>
      <c r="BV207" s="213"/>
      <c r="BW207" s="213"/>
      <c r="BX207" s="213"/>
      <c r="BY207" s="213"/>
      <c r="BZ207" s="213"/>
      <c r="CA207" s="213"/>
      <c r="CB207" s="213"/>
      <c r="CC207" s="213"/>
      <c r="CD207" s="213"/>
      <c r="CE207" s="213"/>
      <c r="CF207" s="213"/>
      <c r="CG207" s="213"/>
      <c r="CH207" s="213"/>
      <c r="CI207" s="213"/>
      <c r="CJ207" s="213"/>
      <c r="CK207" s="213"/>
      <c r="CL207" s="213"/>
      <c r="CM207" s="213"/>
      <c r="CN207" s="213"/>
      <c r="CO207" s="213"/>
      <c r="CP207" s="213"/>
      <c r="CQ207" s="213"/>
    </row>
    <row r="208" ht="15.75" customHeight="1">
      <c r="A208" s="213"/>
      <c r="B208" s="213"/>
      <c r="C208" s="213"/>
      <c r="D208" s="213"/>
      <c r="E208" s="213"/>
      <c r="F208" s="213"/>
      <c r="G208" s="213"/>
      <c r="H208" s="213"/>
      <c r="I208" s="213"/>
      <c r="J208" s="216"/>
      <c r="K208" s="213"/>
      <c r="L208" s="213"/>
      <c r="M208" s="213"/>
      <c r="N208" s="213"/>
      <c r="O208" s="213"/>
      <c r="P208" s="216"/>
      <c r="Q208" s="213"/>
      <c r="R208" s="213"/>
      <c r="S208" s="213"/>
      <c r="T208" s="213"/>
      <c r="U208" s="213"/>
      <c r="V208" s="216"/>
      <c r="W208" s="213"/>
      <c r="X208" s="213"/>
      <c r="Y208" s="213"/>
      <c r="Z208" s="213"/>
      <c r="AA208" s="213"/>
      <c r="AB208" s="216"/>
      <c r="AC208" s="213"/>
      <c r="AD208" s="213"/>
      <c r="AE208" s="213"/>
      <c r="AF208" s="213"/>
      <c r="AG208" s="213"/>
      <c r="AH208" s="216"/>
      <c r="AI208" s="213"/>
      <c r="AJ208" s="213"/>
      <c r="AK208" s="213"/>
      <c r="AL208" s="213"/>
      <c r="AM208" s="213"/>
      <c r="AN208" s="216"/>
      <c r="AO208" s="213"/>
      <c r="AP208" s="213"/>
      <c r="AQ208" s="213"/>
      <c r="AR208" s="213"/>
      <c r="AS208" s="213"/>
      <c r="AT208" s="216"/>
      <c r="AU208" s="213"/>
      <c r="AV208" s="213"/>
      <c r="AW208" s="213"/>
      <c r="AX208" s="213"/>
      <c r="AY208" s="213"/>
      <c r="AZ208" s="213"/>
      <c r="BA208" s="213"/>
      <c r="BB208" s="213"/>
      <c r="BC208" s="213"/>
      <c r="BD208" s="213"/>
      <c r="BE208" s="213"/>
      <c r="BF208" s="216"/>
      <c r="BG208" s="213"/>
      <c r="BH208" s="213"/>
      <c r="BI208" s="213"/>
      <c r="BJ208" s="213"/>
      <c r="BK208" s="213"/>
      <c r="BL208" s="213"/>
      <c r="BM208" s="213"/>
      <c r="BN208" s="213"/>
      <c r="BO208" s="213"/>
      <c r="BP208" s="213"/>
      <c r="BQ208" s="213"/>
      <c r="BR208" s="454"/>
      <c r="BS208" s="213"/>
      <c r="BT208" s="213"/>
      <c r="BU208" s="213"/>
      <c r="BV208" s="213"/>
      <c r="BW208" s="213"/>
      <c r="BX208" s="213"/>
      <c r="BY208" s="213"/>
      <c r="BZ208" s="213"/>
      <c r="CA208" s="213"/>
      <c r="CB208" s="213"/>
      <c r="CC208" s="213"/>
      <c r="CD208" s="213"/>
      <c r="CE208" s="213"/>
      <c r="CF208" s="213"/>
      <c r="CG208" s="213"/>
      <c r="CH208" s="213"/>
      <c r="CI208" s="213"/>
      <c r="CJ208" s="213"/>
      <c r="CK208" s="213"/>
      <c r="CL208" s="213"/>
      <c r="CM208" s="213"/>
      <c r="CN208" s="213"/>
      <c r="CO208" s="213"/>
      <c r="CP208" s="213"/>
      <c r="CQ208" s="213"/>
    </row>
    <row r="209" ht="15.75" customHeight="1">
      <c r="A209" s="213"/>
      <c r="B209" s="213"/>
      <c r="C209" s="213"/>
      <c r="D209" s="213"/>
      <c r="E209" s="213"/>
      <c r="F209" s="213"/>
      <c r="G209" s="213"/>
      <c r="H209" s="213"/>
      <c r="I209" s="213"/>
      <c r="J209" s="216"/>
      <c r="K209" s="213"/>
      <c r="L209" s="213"/>
      <c r="M209" s="213"/>
      <c r="N209" s="213"/>
      <c r="O209" s="213"/>
      <c r="P209" s="216"/>
      <c r="Q209" s="213"/>
      <c r="R209" s="213"/>
      <c r="S209" s="213"/>
      <c r="T209" s="213"/>
      <c r="U209" s="213"/>
      <c r="V209" s="216"/>
      <c r="W209" s="213"/>
      <c r="X209" s="213"/>
      <c r="Y209" s="213"/>
      <c r="Z209" s="213"/>
      <c r="AA209" s="213"/>
      <c r="AB209" s="216"/>
      <c r="AC209" s="213"/>
      <c r="AD209" s="213"/>
      <c r="AE209" s="213"/>
      <c r="AF209" s="213"/>
      <c r="AG209" s="213"/>
      <c r="AH209" s="216"/>
      <c r="AI209" s="213"/>
      <c r="AJ209" s="213"/>
      <c r="AK209" s="213"/>
      <c r="AL209" s="213"/>
      <c r="AM209" s="213"/>
      <c r="AN209" s="216"/>
      <c r="AO209" s="213"/>
      <c r="AP209" s="213"/>
      <c r="AQ209" s="213"/>
      <c r="AR209" s="213"/>
      <c r="AS209" s="213"/>
      <c r="AT209" s="216"/>
      <c r="AU209" s="213"/>
      <c r="AV209" s="213"/>
      <c r="AW209" s="213"/>
      <c r="AX209" s="213"/>
      <c r="AY209" s="213"/>
      <c r="AZ209" s="213"/>
      <c r="BA209" s="213"/>
      <c r="BB209" s="213"/>
      <c r="BC209" s="213"/>
      <c r="BD209" s="213"/>
      <c r="BE209" s="213"/>
      <c r="BF209" s="216"/>
      <c r="BG209" s="213"/>
      <c r="BH209" s="213"/>
      <c r="BI209" s="213"/>
      <c r="BJ209" s="213"/>
      <c r="BK209" s="213"/>
      <c r="BL209" s="213"/>
      <c r="BM209" s="213"/>
      <c r="BN209" s="213"/>
      <c r="BO209" s="213"/>
      <c r="BP209" s="213"/>
      <c r="BQ209" s="213"/>
      <c r="BR209" s="454"/>
      <c r="BS209" s="213"/>
      <c r="BT209" s="213"/>
      <c r="BU209" s="213"/>
      <c r="BV209" s="213"/>
      <c r="BW209" s="213"/>
      <c r="BX209" s="213"/>
      <c r="BY209" s="213"/>
      <c r="BZ209" s="213"/>
      <c r="CA209" s="213"/>
      <c r="CB209" s="213"/>
      <c r="CC209" s="213"/>
      <c r="CD209" s="213"/>
      <c r="CE209" s="213"/>
      <c r="CF209" s="213"/>
      <c r="CG209" s="213"/>
      <c r="CH209" s="213"/>
      <c r="CI209" s="213"/>
      <c r="CJ209" s="213"/>
      <c r="CK209" s="213"/>
      <c r="CL209" s="213"/>
      <c r="CM209" s="213"/>
      <c r="CN209" s="213"/>
      <c r="CO209" s="213"/>
      <c r="CP209" s="213"/>
      <c r="CQ209" s="213"/>
    </row>
    <row r="210" ht="15.75" customHeight="1">
      <c r="A210" s="213"/>
      <c r="B210" s="213"/>
      <c r="C210" s="213"/>
      <c r="D210" s="213"/>
      <c r="E210" s="213"/>
      <c r="F210" s="213"/>
      <c r="G210" s="213"/>
      <c r="H210" s="213"/>
      <c r="I210" s="213"/>
      <c r="J210" s="216"/>
      <c r="K210" s="213"/>
      <c r="L210" s="213"/>
      <c r="M210" s="213"/>
      <c r="N210" s="213"/>
      <c r="O210" s="213"/>
      <c r="P210" s="216"/>
      <c r="Q210" s="213"/>
      <c r="R210" s="213"/>
      <c r="S210" s="213"/>
      <c r="T210" s="213"/>
      <c r="U210" s="213"/>
      <c r="V210" s="216"/>
      <c r="W210" s="213"/>
      <c r="X210" s="213"/>
      <c r="Y210" s="213"/>
      <c r="Z210" s="213"/>
      <c r="AA210" s="213"/>
      <c r="AB210" s="216"/>
      <c r="AC210" s="213"/>
      <c r="AD210" s="213"/>
      <c r="AE210" s="213"/>
      <c r="AF210" s="213"/>
      <c r="AG210" s="213"/>
      <c r="AH210" s="216"/>
      <c r="AI210" s="213"/>
      <c r="AJ210" s="213"/>
      <c r="AK210" s="213"/>
      <c r="AL210" s="213"/>
      <c r="AM210" s="213"/>
      <c r="AN210" s="216"/>
      <c r="AO210" s="213"/>
      <c r="AP210" s="213"/>
      <c r="AQ210" s="213"/>
      <c r="AR210" s="213"/>
      <c r="AS210" s="213"/>
      <c r="AT210" s="216"/>
      <c r="AU210" s="213"/>
      <c r="AV210" s="213"/>
      <c r="AW210" s="213"/>
      <c r="AX210" s="213"/>
      <c r="AY210" s="213"/>
      <c r="AZ210" s="213"/>
      <c r="BA210" s="213"/>
      <c r="BB210" s="213"/>
      <c r="BC210" s="213"/>
      <c r="BD210" s="213"/>
      <c r="BE210" s="213"/>
      <c r="BF210" s="216"/>
      <c r="BG210" s="213"/>
      <c r="BH210" s="213"/>
      <c r="BI210" s="213"/>
      <c r="BJ210" s="213"/>
      <c r="BK210" s="213"/>
      <c r="BL210" s="213"/>
      <c r="BM210" s="213"/>
      <c r="BN210" s="213"/>
      <c r="BO210" s="213"/>
      <c r="BP210" s="213"/>
      <c r="BQ210" s="213"/>
      <c r="BR210" s="454"/>
      <c r="BS210" s="213"/>
      <c r="BT210" s="213"/>
      <c r="BU210" s="213"/>
      <c r="BV210" s="213"/>
      <c r="BW210" s="213"/>
      <c r="BX210" s="213"/>
      <c r="BY210" s="213"/>
      <c r="BZ210" s="213"/>
      <c r="CA210" s="213"/>
      <c r="CB210" s="213"/>
      <c r="CC210" s="213"/>
      <c r="CD210" s="213"/>
      <c r="CE210" s="213"/>
      <c r="CF210" s="213"/>
      <c r="CG210" s="213"/>
      <c r="CH210" s="213"/>
      <c r="CI210" s="213"/>
      <c r="CJ210" s="213"/>
      <c r="CK210" s="213"/>
      <c r="CL210" s="213"/>
      <c r="CM210" s="213"/>
      <c r="CN210" s="213"/>
      <c r="CO210" s="213"/>
      <c r="CP210" s="213"/>
      <c r="CQ210" s="213"/>
    </row>
    <row r="211" ht="15.75" customHeight="1">
      <c r="A211" s="213"/>
      <c r="B211" s="213"/>
      <c r="C211" s="213"/>
      <c r="D211" s="213"/>
      <c r="E211" s="213"/>
      <c r="F211" s="213"/>
      <c r="G211" s="213"/>
      <c r="H211" s="213"/>
      <c r="I211" s="213"/>
      <c r="J211" s="216"/>
      <c r="K211" s="213"/>
      <c r="L211" s="213"/>
      <c r="M211" s="213"/>
      <c r="N211" s="213"/>
      <c r="O211" s="213"/>
      <c r="P211" s="216"/>
      <c r="Q211" s="213"/>
      <c r="R211" s="213"/>
      <c r="S211" s="213"/>
      <c r="T211" s="213"/>
      <c r="U211" s="213"/>
      <c r="V211" s="216"/>
      <c r="W211" s="213"/>
      <c r="X211" s="213"/>
      <c r="Y211" s="213"/>
      <c r="Z211" s="213"/>
      <c r="AA211" s="213"/>
      <c r="AB211" s="216"/>
      <c r="AC211" s="213"/>
      <c r="AD211" s="213"/>
      <c r="AE211" s="213"/>
      <c r="AF211" s="213"/>
      <c r="AG211" s="213"/>
      <c r="AH211" s="216"/>
      <c r="AI211" s="213"/>
      <c r="AJ211" s="213"/>
      <c r="AK211" s="213"/>
      <c r="AL211" s="213"/>
      <c r="AM211" s="213"/>
      <c r="AN211" s="216"/>
      <c r="AO211" s="213"/>
      <c r="AP211" s="213"/>
      <c r="AQ211" s="213"/>
      <c r="AR211" s="213"/>
      <c r="AS211" s="213"/>
      <c r="AT211" s="216"/>
      <c r="AU211" s="213"/>
      <c r="AV211" s="213"/>
      <c r="AW211" s="213"/>
      <c r="AX211" s="213"/>
      <c r="AY211" s="213"/>
      <c r="AZ211" s="213"/>
      <c r="BA211" s="213"/>
      <c r="BB211" s="213"/>
      <c r="BC211" s="213"/>
      <c r="BD211" s="213"/>
      <c r="BE211" s="213"/>
      <c r="BF211" s="216"/>
      <c r="BG211" s="213"/>
      <c r="BH211" s="213"/>
      <c r="BI211" s="213"/>
      <c r="BJ211" s="213"/>
      <c r="BK211" s="213"/>
      <c r="BL211" s="213"/>
      <c r="BM211" s="213"/>
      <c r="BN211" s="213"/>
      <c r="BO211" s="213"/>
      <c r="BP211" s="213"/>
      <c r="BQ211" s="213"/>
      <c r="BR211" s="454"/>
      <c r="BS211" s="213"/>
      <c r="BT211" s="213"/>
      <c r="BU211" s="213"/>
      <c r="BV211" s="213"/>
      <c r="BW211" s="213"/>
      <c r="BX211" s="213"/>
      <c r="BY211" s="213"/>
      <c r="BZ211" s="213"/>
      <c r="CA211" s="213"/>
      <c r="CB211" s="213"/>
      <c r="CC211" s="213"/>
      <c r="CD211" s="213"/>
      <c r="CE211" s="213"/>
      <c r="CF211" s="213"/>
      <c r="CG211" s="213"/>
      <c r="CH211" s="213"/>
      <c r="CI211" s="213"/>
      <c r="CJ211" s="213"/>
      <c r="CK211" s="213"/>
      <c r="CL211" s="213"/>
      <c r="CM211" s="213"/>
      <c r="CN211" s="213"/>
      <c r="CO211" s="213"/>
      <c r="CP211" s="213"/>
      <c r="CQ211" s="213"/>
    </row>
    <row r="212" ht="15.75" customHeight="1">
      <c r="A212" s="213"/>
      <c r="B212" s="213"/>
      <c r="C212" s="213"/>
      <c r="D212" s="213"/>
      <c r="E212" s="213"/>
      <c r="F212" s="213"/>
      <c r="G212" s="213"/>
      <c r="H212" s="213"/>
      <c r="I212" s="213"/>
      <c r="J212" s="216"/>
      <c r="K212" s="213"/>
      <c r="L212" s="213"/>
      <c r="M212" s="213"/>
      <c r="N212" s="213"/>
      <c r="O212" s="213"/>
      <c r="P212" s="216"/>
      <c r="Q212" s="213"/>
      <c r="R212" s="213"/>
      <c r="S212" s="213"/>
      <c r="T212" s="213"/>
      <c r="U212" s="213"/>
      <c r="V212" s="216"/>
      <c r="W212" s="213"/>
      <c r="X212" s="213"/>
      <c r="Y212" s="213"/>
      <c r="Z212" s="213"/>
      <c r="AA212" s="213"/>
      <c r="AB212" s="216"/>
      <c r="AC212" s="213"/>
      <c r="AD212" s="213"/>
      <c r="AE212" s="213"/>
      <c r="AF212" s="213"/>
      <c r="AG212" s="213"/>
      <c r="AH212" s="216"/>
      <c r="AI212" s="213"/>
      <c r="AJ212" s="213"/>
      <c r="AK212" s="213"/>
      <c r="AL212" s="213"/>
      <c r="AM212" s="213"/>
      <c r="AN212" s="216"/>
      <c r="AO212" s="213"/>
      <c r="AP212" s="213"/>
      <c r="AQ212" s="213"/>
      <c r="AR212" s="213"/>
      <c r="AS212" s="213"/>
      <c r="AT212" s="216"/>
      <c r="AU212" s="213"/>
      <c r="AV212" s="213"/>
      <c r="AW212" s="213"/>
      <c r="AX212" s="213"/>
      <c r="AY212" s="213"/>
      <c r="AZ212" s="213"/>
      <c r="BA212" s="213"/>
      <c r="BB212" s="213"/>
      <c r="BC212" s="213"/>
      <c r="BD212" s="213"/>
      <c r="BE212" s="213"/>
      <c r="BF212" s="216"/>
      <c r="BG212" s="213"/>
      <c r="BH212" s="213"/>
      <c r="BI212" s="213"/>
      <c r="BJ212" s="213"/>
      <c r="BK212" s="213"/>
      <c r="BL212" s="213"/>
      <c r="BM212" s="213"/>
      <c r="BN212" s="213"/>
      <c r="BO212" s="213"/>
      <c r="BP212" s="213"/>
      <c r="BQ212" s="213"/>
      <c r="BR212" s="454"/>
      <c r="BS212" s="213"/>
      <c r="BT212" s="213"/>
      <c r="BU212" s="213"/>
      <c r="BV212" s="213"/>
      <c r="BW212" s="213"/>
      <c r="BX212" s="213"/>
      <c r="BY212" s="213"/>
      <c r="BZ212" s="213"/>
      <c r="CA212" s="213"/>
      <c r="CB212" s="213"/>
      <c r="CC212" s="213"/>
      <c r="CD212" s="213"/>
      <c r="CE212" s="213"/>
      <c r="CF212" s="213"/>
      <c r="CG212" s="213"/>
      <c r="CH212" s="213"/>
      <c r="CI212" s="213"/>
      <c r="CJ212" s="213"/>
      <c r="CK212" s="213"/>
      <c r="CL212" s="213"/>
      <c r="CM212" s="213"/>
      <c r="CN212" s="213"/>
      <c r="CO212" s="213"/>
      <c r="CP212" s="213"/>
      <c r="CQ212" s="213"/>
    </row>
    <row r="213" ht="15.75" customHeight="1">
      <c r="A213" s="213"/>
      <c r="B213" s="213"/>
      <c r="C213" s="213"/>
      <c r="D213" s="213"/>
      <c r="E213" s="213"/>
      <c r="F213" s="213"/>
      <c r="G213" s="213"/>
      <c r="H213" s="213"/>
      <c r="I213" s="213"/>
      <c r="J213" s="216"/>
      <c r="K213" s="213"/>
      <c r="L213" s="213"/>
      <c r="M213" s="213"/>
      <c r="N213" s="213"/>
      <c r="O213" s="213"/>
      <c r="P213" s="216"/>
      <c r="Q213" s="213"/>
      <c r="R213" s="213"/>
      <c r="S213" s="213"/>
      <c r="T213" s="213"/>
      <c r="U213" s="213"/>
      <c r="V213" s="216"/>
      <c r="W213" s="213"/>
      <c r="X213" s="213"/>
      <c r="Y213" s="213"/>
      <c r="Z213" s="213"/>
      <c r="AA213" s="213"/>
      <c r="AB213" s="216"/>
      <c r="AC213" s="213"/>
      <c r="AD213" s="213"/>
      <c r="AE213" s="213"/>
      <c r="AF213" s="213"/>
      <c r="AG213" s="213"/>
      <c r="AH213" s="216"/>
      <c r="AI213" s="213"/>
      <c r="AJ213" s="213"/>
      <c r="AK213" s="213"/>
      <c r="AL213" s="213"/>
      <c r="AM213" s="213"/>
      <c r="AN213" s="216"/>
      <c r="AO213" s="213"/>
      <c r="AP213" s="213"/>
      <c r="AQ213" s="213"/>
      <c r="AR213" s="213"/>
      <c r="AS213" s="213"/>
      <c r="AT213" s="216"/>
      <c r="AU213" s="213"/>
      <c r="AV213" s="213"/>
      <c r="AW213" s="213"/>
      <c r="AX213" s="213"/>
      <c r="AY213" s="213"/>
      <c r="AZ213" s="213"/>
      <c r="BA213" s="213"/>
      <c r="BB213" s="213"/>
      <c r="BC213" s="213"/>
      <c r="BD213" s="213"/>
      <c r="BE213" s="213"/>
      <c r="BF213" s="216"/>
      <c r="BG213" s="213"/>
      <c r="BH213" s="213"/>
      <c r="BI213" s="213"/>
      <c r="BJ213" s="213"/>
      <c r="BK213" s="213"/>
      <c r="BL213" s="213"/>
      <c r="BM213" s="213"/>
      <c r="BN213" s="213"/>
      <c r="BO213" s="213"/>
      <c r="BP213" s="213"/>
      <c r="BQ213" s="213"/>
      <c r="BR213" s="454"/>
      <c r="BS213" s="213"/>
      <c r="BT213" s="213"/>
      <c r="BU213" s="213"/>
      <c r="BV213" s="213"/>
      <c r="BW213" s="213"/>
      <c r="BX213" s="213"/>
      <c r="BY213" s="213"/>
      <c r="BZ213" s="213"/>
      <c r="CA213" s="213"/>
      <c r="CB213" s="213"/>
      <c r="CC213" s="213"/>
      <c r="CD213" s="213"/>
      <c r="CE213" s="213"/>
      <c r="CF213" s="213"/>
      <c r="CG213" s="213"/>
      <c r="CH213" s="213"/>
      <c r="CI213" s="213"/>
      <c r="CJ213" s="213"/>
      <c r="CK213" s="213"/>
      <c r="CL213" s="213"/>
      <c r="CM213" s="213"/>
      <c r="CN213" s="213"/>
      <c r="CO213" s="213"/>
      <c r="CP213" s="213"/>
      <c r="CQ213" s="213"/>
    </row>
    <row r="214" ht="15.75" customHeight="1">
      <c r="A214" s="213"/>
      <c r="B214" s="213"/>
      <c r="C214" s="213"/>
      <c r="D214" s="213"/>
      <c r="E214" s="213"/>
      <c r="F214" s="213"/>
      <c r="G214" s="213"/>
      <c r="H214" s="213"/>
      <c r="I214" s="213"/>
      <c r="J214" s="216"/>
      <c r="K214" s="213"/>
      <c r="L214" s="213"/>
      <c r="M214" s="213"/>
      <c r="N214" s="213"/>
      <c r="O214" s="213"/>
      <c r="P214" s="216"/>
      <c r="Q214" s="213"/>
      <c r="R214" s="213"/>
      <c r="S214" s="213"/>
      <c r="T214" s="213"/>
      <c r="U214" s="213"/>
      <c r="V214" s="216"/>
      <c r="W214" s="213"/>
      <c r="X214" s="213"/>
      <c r="Y214" s="213"/>
      <c r="Z214" s="213"/>
      <c r="AA214" s="213"/>
      <c r="AB214" s="216"/>
      <c r="AC214" s="213"/>
      <c r="AD214" s="213"/>
      <c r="AE214" s="213"/>
      <c r="AF214" s="213"/>
      <c r="AG214" s="213"/>
      <c r="AH214" s="216"/>
      <c r="AI214" s="213"/>
      <c r="AJ214" s="213"/>
      <c r="AK214" s="213"/>
      <c r="AL214" s="213"/>
      <c r="AM214" s="213"/>
      <c r="AN214" s="216"/>
      <c r="AO214" s="213"/>
      <c r="AP214" s="213"/>
      <c r="AQ214" s="213"/>
      <c r="AR214" s="213"/>
      <c r="AS214" s="213"/>
      <c r="AT214" s="216"/>
      <c r="AU214" s="213"/>
      <c r="AV214" s="213"/>
      <c r="AW214" s="213"/>
      <c r="AX214" s="213"/>
      <c r="AY214" s="213"/>
      <c r="AZ214" s="213"/>
      <c r="BA214" s="213"/>
      <c r="BB214" s="213"/>
      <c r="BC214" s="213"/>
      <c r="BD214" s="213"/>
      <c r="BE214" s="213"/>
      <c r="BF214" s="216"/>
      <c r="BG214" s="213"/>
      <c r="BH214" s="213"/>
      <c r="BI214" s="213"/>
      <c r="BJ214" s="213"/>
      <c r="BK214" s="213"/>
      <c r="BL214" s="213"/>
      <c r="BM214" s="213"/>
      <c r="BN214" s="213"/>
      <c r="BO214" s="213"/>
      <c r="BP214" s="213"/>
      <c r="BQ214" s="213"/>
      <c r="BR214" s="454"/>
      <c r="BS214" s="213"/>
      <c r="BT214" s="213"/>
      <c r="BU214" s="213"/>
      <c r="BV214" s="213"/>
      <c r="BW214" s="213"/>
      <c r="BX214" s="213"/>
      <c r="BY214" s="213"/>
      <c r="BZ214" s="213"/>
      <c r="CA214" s="213"/>
      <c r="CB214" s="213"/>
      <c r="CC214" s="213"/>
      <c r="CD214" s="213"/>
      <c r="CE214" s="213"/>
      <c r="CF214" s="213"/>
      <c r="CG214" s="213"/>
      <c r="CH214" s="213"/>
      <c r="CI214" s="213"/>
      <c r="CJ214" s="213"/>
      <c r="CK214" s="213"/>
      <c r="CL214" s="213"/>
      <c r="CM214" s="213"/>
      <c r="CN214" s="213"/>
      <c r="CO214" s="213"/>
      <c r="CP214" s="213"/>
      <c r="CQ214" s="213"/>
    </row>
    <row r="215" ht="15.75" customHeight="1">
      <c r="A215" s="213"/>
      <c r="B215" s="213"/>
      <c r="C215" s="213"/>
      <c r="D215" s="213"/>
      <c r="E215" s="213"/>
      <c r="F215" s="213"/>
      <c r="G215" s="213"/>
      <c r="H215" s="213"/>
      <c r="I215" s="213"/>
      <c r="J215" s="216"/>
      <c r="K215" s="213"/>
      <c r="L215" s="213"/>
      <c r="M215" s="213"/>
      <c r="N215" s="213"/>
      <c r="O215" s="213"/>
      <c r="P215" s="216"/>
      <c r="Q215" s="213"/>
      <c r="R215" s="213"/>
      <c r="S215" s="213"/>
      <c r="T215" s="213"/>
      <c r="U215" s="213"/>
      <c r="V215" s="216"/>
      <c r="W215" s="213"/>
      <c r="X215" s="213"/>
      <c r="Y215" s="213"/>
      <c r="Z215" s="213"/>
      <c r="AA215" s="213"/>
      <c r="AB215" s="216"/>
      <c r="AC215" s="213"/>
      <c r="AD215" s="213"/>
      <c r="AE215" s="213"/>
      <c r="AF215" s="213"/>
      <c r="AG215" s="213"/>
      <c r="AH215" s="216"/>
      <c r="AI215" s="213"/>
      <c r="AJ215" s="213"/>
      <c r="AK215" s="213"/>
      <c r="AL215" s="213"/>
      <c r="AM215" s="213"/>
      <c r="AN215" s="216"/>
      <c r="AO215" s="213"/>
      <c r="AP215" s="213"/>
      <c r="AQ215" s="213"/>
      <c r="AR215" s="213"/>
      <c r="AS215" s="213"/>
      <c r="AT215" s="216"/>
      <c r="AU215" s="213"/>
      <c r="AV215" s="213"/>
      <c r="AW215" s="213"/>
      <c r="AX215" s="213"/>
      <c r="AY215" s="213"/>
      <c r="AZ215" s="213"/>
      <c r="BA215" s="213"/>
      <c r="BB215" s="213"/>
      <c r="BC215" s="213"/>
      <c r="BD215" s="213"/>
      <c r="BE215" s="213"/>
      <c r="BF215" s="216"/>
      <c r="BG215" s="213"/>
      <c r="BH215" s="213"/>
      <c r="BI215" s="213"/>
      <c r="BJ215" s="213"/>
      <c r="BK215" s="213"/>
      <c r="BL215" s="213"/>
      <c r="BM215" s="213"/>
      <c r="BN215" s="213"/>
      <c r="BO215" s="213"/>
      <c r="BP215" s="213"/>
      <c r="BQ215" s="213"/>
      <c r="BR215" s="454"/>
      <c r="BS215" s="213"/>
      <c r="BT215" s="213"/>
      <c r="BU215" s="213"/>
      <c r="BV215" s="213"/>
      <c r="BW215" s="213"/>
      <c r="BX215" s="213"/>
      <c r="BY215" s="213"/>
      <c r="BZ215" s="213"/>
      <c r="CA215" s="213"/>
      <c r="CB215" s="213"/>
      <c r="CC215" s="213"/>
      <c r="CD215" s="213"/>
      <c r="CE215" s="213"/>
      <c r="CF215" s="213"/>
      <c r="CG215" s="213"/>
      <c r="CH215" s="213"/>
      <c r="CI215" s="213"/>
      <c r="CJ215" s="213"/>
      <c r="CK215" s="213"/>
      <c r="CL215" s="213"/>
      <c r="CM215" s="213"/>
      <c r="CN215" s="213"/>
      <c r="CO215" s="213"/>
      <c r="CP215" s="213"/>
      <c r="CQ215" s="213"/>
    </row>
    <row r="216" ht="15.75" customHeight="1">
      <c r="A216" s="213"/>
      <c r="B216" s="213"/>
      <c r="C216" s="213"/>
      <c r="D216" s="213"/>
      <c r="E216" s="213"/>
      <c r="F216" s="213"/>
      <c r="G216" s="213"/>
      <c r="H216" s="213"/>
      <c r="I216" s="213"/>
      <c r="J216" s="216"/>
      <c r="K216" s="213"/>
      <c r="L216" s="213"/>
      <c r="M216" s="213"/>
      <c r="N216" s="213"/>
      <c r="O216" s="213"/>
      <c r="P216" s="216"/>
      <c r="Q216" s="213"/>
      <c r="R216" s="213"/>
      <c r="S216" s="213"/>
      <c r="T216" s="213"/>
      <c r="U216" s="213"/>
      <c r="V216" s="216"/>
      <c r="W216" s="213"/>
      <c r="X216" s="213"/>
      <c r="Y216" s="213"/>
      <c r="Z216" s="213"/>
      <c r="AA216" s="213"/>
      <c r="AB216" s="216"/>
      <c r="AC216" s="213"/>
      <c r="AD216" s="213"/>
      <c r="AE216" s="213"/>
      <c r="AF216" s="213"/>
      <c r="AG216" s="213"/>
      <c r="AH216" s="216"/>
      <c r="AI216" s="213"/>
      <c r="AJ216" s="213"/>
      <c r="AK216" s="213"/>
      <c r="AL216" s="213"/>
      <c r="AM216" s="213"/>
      <c r="AN216" s="216"/>
      <c r="AO216" s="213"/>
      <c r="AP216" s="213"/>
      <c r="AQ216" s="213"/>
      <c r="AR216" s="213"/>
      <c r="AS216" s="213"/>
      <c r="AT216" s="216"/>
      <c r="AU216" s="213"/>
      <c r="AV216" s="213"/>
      <c r="AW216" s="213"/>
      <c r="AX216" s="213"/>
      <c r="AY216" s="213"/>
      <c r="AZ216" s="213"/>
      <c r="BA216" s="213"/>
      <c r="BB216" s="213"/>
      <c r="BC216" s="213"/>
      <c r="BD216" s="213"/>
      <c r="BE216" s="213"/>
      <c r="BF216" s="216"/>
      <c r="BG216" s="213"/>
      <c r="BH216" s="213"/>
      <c r="BI216" s="213"/>
      <c r="BJ216" s="213"/>
      <c r="BK216" s="213"/>
      <c r="BL216" s="213"/>
      <c r="BM216" s="213"/>
      <c r="BN216" s="213"/>
      <c r="BO216" s="213"/>
      <c r="BP216" s="213"/>
      <c r="BQ216" s="213"/>
      <c r="BR216" s="454"/>
      <c r="BS216" s="213"/>
      <c r="BT216" s="213"/>
      <c r="BU216" s="213"/>
      <c r="BV216" s="213"/>
      <c r="BW216" s="213"/>
      <c r="BX216" s="213"/>
      <c r="BY216" s="213"/>
      <c r="BZ216" s="213"/>
      <c r="CA216" s="213"/>
      <c r="CB216" s="213"/>
      <c r="CC216" s="213"/>
      <c r="CD216" s="213"/>
      <c r="CE216" s="213"/>
      <c r="CF216" s="213"/>
      <c r="CG216" s="213"/>
      <c r="CH216" s="213"/>
      <c r="CI216" s="213"/>
      <c r="CJ216" s="213"/>
      <c r="CK216" s="213"/>
      <c r="CL216" s="213"/>
      <c r="CM216" s="213"/>
      <c r="CN216" s="213"/>
      <c r="CO216" s="213"/>
      <c r="CP216" s="213"/>
      <c r="CQ216" s="213"/>
    </row>
    <row r="217" ht="15.75" customHeight="1">
      <c r="A217" s="213"/>
      <c r="B217" s="213"/>
      <c r="C217" s="213"/>
      <c r="D217" s="213"/>
      <c r="E217" s="213"/>
      <c r="F217" s="213"/>
      <c r="G217" s="213"/>
      <c r="H217" s="213"/>
      <c r="I217" s="213"/>
      <c r="J217" s="216"/>
      <c r="K217" s="213"/>
      <c r="L217" s="213"/>
      <c r="M217" s="213"/>
      <c r="N217" s="213"/>
      <c r="O217" s="213"/>
      <c r="P217" s="216"/>
      <c r="Q217" s="213"/>
      <c r="R217" s="213"/>
      <c r="S217" s="213"/>
      <c r="T217" s="213"/>
      <c r="U217" s="213"/>
      <c r="V217" s="216"/>
      <c r="W217" s="213"/>
      <c r="X217" s="213"/>
      <c r="Y217" s="213"/>
      <c r="Z217" s="213"/>
      <c r="AA217" s="213"/>
      <c r="AB217" s="216"/>
      <c r="AC217" s="213"/>
      <c r="AD217" s="213"/>
      <c r="AE217" s="213"/>
      <c r="AF217" s="213"/>
      <c r="AG217" s="213"/>
      <c r="AH217" s="216"/>
      <c r="AI217" s="213"/>
      <c r="AJ217" s="213"/>
      <c r="AK217" s="213"/>
      <c r="AL217" s="213"/>
      <c r="AM217" s="213"/>
      <c r="AN217" s="216"/>
      <c r="AO217" s="213"/>
      <c r="AP217" s="213"/>
      <c r="AQ217" s="213"/>
      <c r="AR217" s="213"/>
      <c r="AS217" s="213"/>
      <c r="AT217" s="216"/>
      <c r="AU217" s="213"/>
      <c r="AV217" s="213"/>
      <c r="AW217" s="213"/>
      <c r="AX217" s="213"/>
      <c r="AY217" s="213"/>
      <c r="AZ217" s="213"/>
      <c r="BA217" s="213"/>
      <c r="BB217" s="213"/>
      <c r="BC217" s="213"/>
      <c r="BD217" s="213"/>
      <c r="BE217" s="213"/>
      <c r="BF217" s="216"/>
      <c r="BG217" s="213"/>
      <c r="BH217" s="213"/>
      <c r="BI217" s="213"/>
      <c r="BJ217" s="213"/>
      <c r="BK217" s="213"/>
      <c r="BL217" s="213"/>
      <c r="BM217" s="213"/>
      <c r="BN217" s="213"/>
      <c r="BO217" s="213"/>
      <c r="BP217" s="213"/>
      <c r="BQ217" s="213"/>
      <c r="BR217" s="454"/>
      <c r="BS217" s="213"/>
      <c r="BT217" s="213"/>
      <c r="BU217" s="213"/>
      <c r="BV217" s="213"/>
      <c r="BW217" s="213"/>
      <c r="BX217" s="213"/>
      <c r="BY217" s="213"/>
      <c r="BZ217" s="213"/>
      <c r="CA217" s="213"/>
      <c r="CB217" s="213"/>
      <c r="CC217" s="213"/>
      <c r="CD217" s="213"/>
      <c r="CE217" s="213"/>
      <c r="CF217" s="213"/>
      <c r="CG217" s="213"/>
      <c r="CH217" s="213"/>
      <c r="CI217" s="213"/>
      <c r="CJ217" s="213"/>
      <c r="CK217" s="213"/>
      <c r="CL217" s="213"/>
      <c r="CM217" s="213"/>
      <c r="CN217" s="213"/>
      <c r="CO217" s="213"/>
      <c r="CP217" s="213"/>
      <c r="CQ217" s="213"/>
    </row>
    <row r="218" ht="15.75" customHeight="1">
      <c r="A218" s="213"/>
      <c r="B218" s="213"/>
      <c r="C218" s="213"/>
      <c r="D218" s="213"/>
      <c r="E218" s="213"/>
      <c r="F218" s="213"/>
      <c r="G218" s="213"/>
      <c r="H218" s="213"/>
      <c r="I218" s="213"/>
      <c r="J218" s="216"/>
      <c r="K218" s="213"/>
      <c r="L218" s="213"/>
      <c r="M218" s="213"/>
      <c r="N218" s="213"/>
      <c r="O218" s="213"/>
      <c r="P218" s="216"/>
      <c r="Q218" s="213"/>
      <c r="R218" s="213"/>
      <c r="S218" s="213"/>
      <c r="T218" s="213"/>
      <c r="U218" s="213"/>
      <c r="V218" s="216"/>
      <c r="W218" s="213"/>
      <c r="X218" s="213"/>
      <c r="Y218" s="213"/>
      <c r="Z218" s="213"/>
      <c r="AA218" s="213"/>
      <c r="AB218" s="216"/>
      <c r="AC218" s="213"/>
      <c r="AD218" s="213"/>
      <c r="AE218" s="213"/>
      <c r="AF218" s="213"/>
      <c r="AG218" s="213"/>
      <c r="AH218" s="216"/>
      <c r="AI218" s="213"/>
      <c r="AJ218" s="213"/>
      <c r="AK218" s="213"/>
      <c r="AL218" s="213"/>
      <c r="AM218" s="213"/>
      <c r="AN218" s="216"/>
      <c r="AO218" s="213"/>
      <c r="AP218" s="213"/>
      <c r="AQ218" s="213"/>
      <c r="AR218" s="213"/>
      <c r="AS218" s="213"/>
      <c r="AT218" s="216"/>
      <c r="AU218" s="213"/>
      <c r="AV218" s="213"/>
      <c r="AW218" s="213"/>
      <c r="AX218" s="213"/>
      <c r="AY218" s="213"/>
      <c r="AZ218" s="213"/>
      <c r="BA218" s="213"/>
      <c r="BB218" s="213"/>
      <c r="BC218" s="213"/>
      <c r="BD218" s="213"/>
      <c r="BE218" s="213"/>
      <c r="BF218" s="216"/>
      <c r="BG218" s="213"/>
      <c r="BH218" s="213"/>
      <c r="BI218" s="213"/>
      <c r="BJ218" s="213"/>
      <c r="BK218" s="213"/>
      <c r="BL218" s="213"/>
      <c r="BM218" s="213"/>
      <c r="BN218" s="213"/>
      <c r="BO218" s="213"/>
      <c r="BP218" s="213"/>
      <c r="BQ218" s="213"/>
      <c r="BR218" s="454"/>
      <c r="BS218" s="213"/>
      <c r="BT218" s="213"/>
      <c r="BU218" s="213"/>
      <c r="BV218" s="213"/>
      <c r="BW218" s="213"/>
      <c r="BX218" s="213"/>
      <c r="BY218" s="213"/>
      <c r="BZ218" s="213"/>
      <c r="CA218" s="213"/>
      <c r="CB218" s="213"/>
      <c r="CC218" s="213"/>
      <c r="CD218" s="213"/>
      <c r="CE218" s="213"/>
      <c r="CF218" s="213"/>
      <c r="CG218" s="213"/>
      <c r="CH218" s="213"/>
      <c r="CI218" s="213"/>
      <c r="CJ218" s="213"/>
      <c r="CK218" s="213"/>
      <c r="CL218" s="213"/>
      <c r="CM218" s="213"/>
      <c r="CN218" s="213"/>
      <c r="CO218" s="213"/>
      <c r="CP218" s="213"/>
      <c r="CQ218" s="213"/>
    </row>
    <row r="219" ht="15.75" customHeight="1">
      <c r="A219" s="213"/>
      <c r="B219" s="213"/>
      <c r="C219" s="213"/>
      <c r="D219" s="213"/>
      <c r="E219" s="213"/>
      <c r="F219" s="213"/>
      <c r="G219" s="213"/>
      <c r="H219" s="213"/>
      <c r="I219" s="213"/>
      <c r="J219" s="216"/>
      <c r="K219" s="213"/>
      <c r="L219" s="213"/>
      <c r="M219" s="213"/>
      <c r="N219" s="213"/>
      <c r="O219" s="213"/>
      <c r="P219" s="216"/>
      <c r="Q219" s="213"/>
      <c r="R219" s="213"/>
      <c r="S219" s="213"/>
      <c r="T219" s="213"/>
      <c r="U219" s="213"/>
      <c r="V219" s="216"/>
      <c r="W219" s="213"/>
      <c r="X219" s="213"/>
      <c r="Y219" s="213"/>
      <c r="Z219" s="213"/>
      <c r="AA219" s="213"/>
      <c r="AB219" s="216"/>
      <c r="AC219" s="213"/>
      <c r="AD219" s="213"/>
      <c r="AE219" s="213"/>
      <c r="AF219" s="213"/>
      <c r="AG219" s="213"/>
      <c r="AH219" s="216"/>
      <c r="AI219" s="213"/>
      <c r="AJ219" s="213"/>
      <c r="AK219" s="213"/>
      <c r="AL219" s="213"/>
      <c r="AM219" s="213"/>
      <c r="AN219" s="216"/>
      <c r="AO219" s="213"/>
      <c r="AP219" s="213"/>
      <c r="AQ219" s="213"/>
      <c r="AR219" s="213"/>
      <c r="AS219" s="213"/>
      <c r="AT219" s="216"/>
      <c r="AU219" s="213"/>
      <c r="AV219" s="213"/>
      <c r="AW219" s="213"/>
      <c r="AX219" s="213"/>
      <c r="AY219" s="213"/>
      <c r="AZ219" s="213"/>
      <c r="BA219" s="213"/>
      <c r="BB219" s="213"/>
      <c r="BC219" s="213"/>
      <c r="BD219" s="213"/>
      <c r="BE219" s="213"/>
      <c r="BF219" s="216"/>
      <c r="BG219" s="213"/>
      <c r="BH219" s="213"/>
      <c r="BI219" s="213"/>
      <c r="BJ219" s="213"/>
      <c r="BK219" s="213"/>
      <c r="BL219" s="213"/>
      <c r="BM219" s="213"/>
      <c r="BN219" s="213"/>
      <c r="BO219" s="213"/>
      <c r="BP219" s="213"/>
      <c r="BQ219" s="213"/>
      <c r="BR219" s="454"/>
      <c r="BS219" s="213"/>
      <c r="BT219" s="213"/>
      <c r="BU219" s="213"/>
      <c r="BV219" s="213"/>
      <c r="BW219" s="213"/>
      <c r="BX219" s="213"/>
      <c r="BY219" s="213"/>
      <c r="BZ219" s="213"/>
      <c r="CA219" s="213"/>
      <c r="CB219" s="213"/>
      <c r="CC219" s="213"/>
      <c r="CD219" s="213"/>
      <c r="CE219" s="213"/>
      <c r="CF219" s="213"/>
      <c r="CG219" s="213"/>
      <c r="CH219" s="213"/>
      <c r="CI219" s="213"/>
      <c r="CJ219" s="213"/>
      <c r="CK219" s="213"/>
      <c r="CL219" s="213"/>
      <c r="CM219" s="213"/>
      <c r="CN219" s="213"/>
      <c r="CO219" s="213"/>
      <c r="CP219" s="213"/>
      <c r="CQ219" s="213"/>
    </row>
    <row r="220" ht="15.75" customHeight="1">
      <c r="A220" s="213"/>
      <c r="B220" s="213"/>
      <c r="C220" s="213"/>
      <c r="D220" s="213"/>
      <c r="E220" s="213"/>
      <c r="F220" s="213"/>
      <c r="G220" s="213"/>
      <c r="H220" s="213"/>
      <c r="I220" s="213"/>
      <c r="J220" s="216"/>
      <c r="K220" s="213"/>
      <c r="L220" s="213"/>
      <c r="M220" s="213"/>
      <c r="N220" s="213"/>
      <c r="O220" s="213"/>
      <c r="P220" s="216"/>
      <c r="Q220" s="213"/>
      <c r="R220" s="213"/>
      <c r="S220" s="213"/>
      <c r="T220" s="213"/>
      <c r="U220" s="213"/>
      <c r="V220" s="216"/>
      <c r="W220" s="213"/>
      <c r="X220" s="213"/>
      <c r="Y220" s="213"/>
      <c r="Z220" s="213"/>
      <c r="AA220" s="213"/>
      <c r="AB220" s="216"/>
      <c r="AC220" s="213"/>
      <c r="AD220" s="213"/>
      <c r="AE220" s="213"/>
      <c r="AF220" s="213"/>
      <c r="AG220" s="213"/>
      <c r="AH220" s="216"/>
      <c r="AI220" s="213"/>
      <c r="AJ220" s="213"/>
      <c r="AK220" s="213"/>
      <c r="AL220" s="213"/>
      <c r="AM220" s="213"/>
      <c r="AN220" s="216"/>
      <c r="AO220" s="213"/>
      <c r="AP220" s="213"/>
      <c r="AQ220" s="213"/>
      <c r="AR220" s="213"/>
      <c r="AS220" s="213"/>
      <c r="AT220" s="216"/>
      <c r="AU220" s="213"/>
      <c r="AV220" s="213"/>
      <c r="AW220" s="213"/>
      <c r="AX220" s="213"/>
      <c r="AY220" s="213"/>
      <c r="AZ220" s="213"/>
      <c r="BA220" s="213"/>
      <c r="BB220" s="213"/>
      <c r="BC220" s="213"/>
      <c r="BD220" s="213"/>
      <c r="BE220" s="213"/>
      <c r="BF220" s="216"/>
      <c r="BG220" s="213"/>
      <c r="BH220" s="213"/>
      <c r="BI220" s="213"/>
      <c r="BJ220" s="213"/>
      <c r="BK220" s="213"/>
      <c r="BL220" s="213"/>
      <c r="BM220" s="213"/>
      <c r="BN220" s="213"/>
      <c r="BO220" s="213"/>
      <c r="BP220" s="213"/>
      <c r="BQ220" s="213"/>
      <c r="BR220" s="454"/>
      <c r="BS220" s="213"/>
      <c r="BT220" s="213"/>
      <c r="BU220" s="213"/>
      <c r="BV220" s="213"/>
      <c r="BW220" s="213"/>
      <c r="BX220" s="213"/>
      <c r="BY220" s="213"/>
      <c r="BZ220" s="213"/>
      <c r="CA220" s="213"/>
      <c r="CB220" s="213"/>
      <c r="CC220" s="213"/>
      <c r="CD220" s="213"/>
      <c r="CE220" s="213"/>
      <c r="CF220" s="213"/>
      <c r="CG220" s="213"/>
      <c r="CH220" s="213"/>
      <c r="CI220" s="213"/>
      <c r="CJ220" s="213"/>
      <c r="CK220" s="213"/>
      <c r="CL220" s="213"/>
      <c r="CM220" s="213"/>
      <c r="CN220" s="213"/>
      <c r="CO220" s="213"/>
      <c r="CP220" s="213"/>
      <c r="CQ220" s="213"/>
    </row>
    <row r="221" ht="15.75" customHeight="1">
      <c r="A221" s="213"/>
      <c r="B221" s="213"/>
      <c r="C221" s="213"/>
      <c r="D221" s="213"/>
      <c r="E221" s="213"/>
      <c r="F221" s="213"/>
      <c r="G221" s="213"/>
      <c r="H221" s="213"/>
      <c r="I221" s="213"/>
      <c r="J221" s="216"/>
      <c r="K221" s="213"/>
      <c r="L221" s="213"/>
      <c r="M221" s="213"/>
      <c r="N221" s="213"/>
      <c r="O221" s="213"/>
      <c r="P221" s="216"/>
      <c r="Q221" s="213"/>
      <c r="R221" s="213"/>
      <c r="S221" s="213"/>
      <c r="T221" s="213"/>
      <c r="U221" s="213"/>
      <c r="V221" s="216"/>
      <c r="W221" s="213"/>
      <c r="X221" s="213"/>
      <c r="Y221" s="213"/>
      <c r="Z221" s="213"/>
      <c r="AA221" s="213"/>
      <c r="AB221" s="216"/>
      <c r="AC221" s="213"/>
      <c r="AD221" s="213"/>
      <c r="AE221" s="213"/>
      <c r="AF221" s="213"/>
      <c r="AG221" s="213"/>
      <c r="AH221" s="216"/>
      <c r="AI221" s="213"/>
      <c r="AJ221" s="213"/>
      <c r="AK221" s="213"/>
      <c r="AL221" s="213"/>
      <c r="AM221" s="213"/>
      <c r="AN221" s="216"/>
      <c r="AO221" s="213"/>
      <c r="AP221" s="213"/>
      <c r="AQ221" s="213"/>
      <c r="AR221" s="213"/>
      <c r="AS221" s="213"/>
      <c r="AT221" s="216"/>
      <c r="AU221" s="213"/>
      <c r="AV221" s="213"/>
      <c r="AW221" s="213"/>
      <c r="AX221" s="213"/>
      <c r="AY221" s="213"/>
      <c r="AZ221" s="213"/>
      <c r="BA221" s="213"/>
      <c r="BB221" s="213"/>
      <c r="BC221" s="213"/>
      <c r="BD221" s="213"/>
      <c r="BE221" s="213"/>
      <c r="BF221" s="216"/>
      <c r="BG221" s="213"/>
      <c r="BH221" s="213"/>
      <c r="BI221" s="213"/>
      <c r="BJ221" s="213"/>
      <c r="BK221" s="213"/>
      <c r="BL221" s="213"/>
      <c r="BM221" s="213"/>
      <c r="BN221" s="213"/>
      <c r="BO221" s="213"/>
      <c r="BP221" s="213"/>
      <c r="BQ221" s="213"/>
      <c r="BR221" s="454"/>
      <c r="BS221" s="213"/>
      <c r="BT221" s="213"/>
      <c r="BU221" s="213"/>
      <c r="BV221" s="213"/>
      <c r="BW221" s="213"/>
      <c r="BX221" s="213"/>
      <c r="BY221" s="213"/>
      <c r="BZ221" s="213"/>
      <c r="CA221" s="213"/>
      <c r="CB221" s="213"/>
      <c r="CC221" s="213"/>
      <c r="CD221" s="213"/>
      <c r="CE221" s="213"/>
      <c r="CF221" s="213"/>
      <c r="CG221" s="213"/>
      <c r="CH221" s="213"/>
      <c r="CI221" s="213"/>
      <c r="CJ221" s="213"/>
      <c r="CK221" s="213"/>
      <c r="CL221" s="213"/>
      <c r="CM221" s="213"/>
      <c r="CN221" s="213"/>
      <c r="CO221" s="213"/>
      <c r="CP221" s="213"/>
      <c r="CQ221" s="213"/>
    </row>
    <row r="222" ht="15.75" customHeight="1">
      <c r="A222" s="213"/>
      <c r="B222" s="213"/>
      <c r="C222" s="213"/>
      <c r="D222" s="213"/>
      <c r="E222" s="213"/>
      <c r="F222" s="213"/>
      <c r="G222" s="213"/>
      <c r="H222" s="213"/>
      <c r="I222" s="213"/>
      <c r="J222" s="216"/>
      <c r="K222" s="213"/>
      <c r="L222" s="213"/>
      <c r="M222" s="213"/>
      <c r="N222" s="213"/>
      <c r="O222" s="213"/>
      <c r="P222" s="216"/>
      <c r="Q222" s="213"/>
      <c r="R222" s="213"/>
      <c r="S222" s="213"/>
      <c r="T222" s="213"/>
      <c r="U222" s="213"/>
      <c r="V222" s="216"/>
      <c r="W222" s="213"/>
      <c r="X222" s="213"/>
      <c r="Y222" s="213"/>
      <c r="Z222" s="213"/>
      <c r="AA222" s="213"/>
      <c r="AB222" s="216"/>
      <c r="AC222" s="213"/>
      <c r="AD222" s="213"/>
      <c r="AE222" s="213"/>
      <c r="AF222" s="213"/>
      <c r="AG222" s="213"/>
      <c r="AH222" s="216"/>
      <c r="AI222" s="213"/>
      <c r="AJ222" s="213"/>
      <c r="AK222" s="213"/>
      <c r="AL222" s="213"/>
      <c r="AM222" s="213"/>
      <c r="AN222" s="216"/>
      <c r="AO222" s="213"/>
      <c r="AP222" s="213"/>
      <c r="AQ222" s="213"/>
      <c r="AR222" s="213"/>
      <c r="AS222" s="213"/>
      <c r="AT222" s="216"/>
      <c r="AU222" s="213"/>
      <c r="AV222" s="213"/>
      <c r="AW222" s="213"/>
      <c r="AX222" s="213"/>
      <c r="AY222" s="213"/>
      <c r="AZ222" s="213"/>
      <c r="BA222" s="213"/>
      <c r="BB222" s="213"/>
      <c r="BC222" s="213"/>
      <c r="BD222" s="213"/>
      <c r="BE222" s="213"/>
      <c r="BF222" s="216"/>
      <c r="BG222" s="213"/>
      <c r="BH222" s="213"/>
      <c r="BI222" s="213"/>
      <c r="BJ222" s="213"/>
      <c r="BK222" s="213"/>
      <c r="BL222" s="213"/>
      <c r="BM222" s="213"/>
      <c r="BN222" s="213"/>
      <c r="BO222" s="213"/>
      <c r="BP222" s="213"/>
      <c r="BQ222" s="213"/>
      <c r="BR222" s="454"/>
      <c r="BS222" s="213"/>
      <c r="BT222" s="213"/>
      <c r="BU222" s="213"/>
      <c r="BV222" s="213"/>
      <c r="BW222" s="213"/>
      <c r="BX222" s="213"/>
      <c r="BY222" s="213"/>
      <c r="BZ222" s="213"/>
      <c r="CA222" s="213"/>
      <c r="CB222" s="213"/>
      <c r="CC222" s="213"/>
      <c r="CD222" s="213"/>
      <c r="CE222" s="213"/>
      <c r="CF222" s="213"/>
      <c r="CG222" s="213"/>
      <c r="CH222" s="213"/>
      <c r="CI222" s="213"/>
      <c r="CJ222" s="213"/>
      <c r="CK222" s="213"/>
      <c r="CL222" s="213"/>
      <c r="CM222" s="213"/>
      <c r="CN222" s="213"/>
      <c r="CO222" s="213"/>
      <c r="CP222" s="213"/>
      <c r="CQ222" s="213"/>
    </row>
    <row r="223" ht="15.75" customHeight="1">
      <c r="A223" s="213"/>
      <c r="B223" s="213"/>
      <c r="C223" s="213"/>
      <c r="D223" s="213"/>
      <c r="E223" s="213"/>
      <c r="F223" s="213"/>
      <c r="G223" s="213"/>
      <c r="H223" s="213"/>
      <c r="I223" s="213"/>
      <c r="J223" s="216"/>
      <c r="K223" s="213"/>
      <c r="L223" s="213"/>
      <c r="M223" s="213"/>
      <c r="N223" s="213"/>
      <c r="O223" s="213"/>
      <c r="P223" s="216"/>
      <c r="Q223" s="213"/>
      <c r="R223" s="213"/>
      <c r="S223" s="213"/>
      <c r="T223" s="213"/>
      <c r="U223" s="213"/>
      <c r="V223" s="216"/>
      <c r="W223" s="213"/>
      <c r="X223" s="213"/>
      <c r="Y223" s="213"/>
      <c r="Z223" s="213"/>
      <c r="AA223" s="213"/>
      <c r="AB223" s="216"/>
      <c r="AC223" s="213"/>
      <c r="AD223" s="213"/>
      <c r="AE223" s="213"/>
      <c r="AF223" s="213"/>
      <c r="AG223" s="213"/>
      <c r="AH223" s="216"/>
      <c r="AI223" s="213"/>
      <c r="AJ223" s="213"/>
      <c r="AK223" s="213"/>
      <c r="AL223" s="213"/>
      <c r="AM223" s="213"/>
      <c r="AN223" s="216"/>
      <c r="AO223" s="213"/>
      <c r="AP223" s="213"/>
      <c r="AQ223" s="213"/>
      <c r="AR223" s="213"/>
      <c r="AS223" s="213"/>
      <c r="AT223" s="216"/>
      <c r="AU223" s="213"/>
      <c r="AV223" s="213"/>
      <c r="AW223" s="213"/>
      <c r="AX223" s="213"/>
      <c r="AY223" s="213"/>
      <c r="AZ223" s="213"/>
      <c r="BA223" s="213"/>
      <c r="BB223" s="213"/>
      <c r="BC223" s="213"/>
      <c r="BD223" s="213"/>
      <c r="BE223" s="213"/>
      <c r="BF223" s="216"/>
      <c r="BG223" s="213"/>
      <c r="BH223" s="213"/>
      <c r="BI223" s="213"/>
      <c r="BJ223" s="213"/>
      <c r="BK223" s="213"/>
      <c r="BL223" s="213"/>
      <c r="BM223" s="213"/>
      <c r="BN223" s="213"/>
      <c r="BO223" s="213"/>
      <c r="BP223" s="213"/>
      <c r="BQ223" s="213"/>
      <c r="BR223" s="454"/>
      <c r="BS223" s="213"/>
      <c r="BT223" s="213"/>
      <c r="BU223" s="213"/>
      <c r="BV223" s="213"/>
      <c r="BW223" s="213"/>
      <c r="BX223" s="213"/>
      <c r="BY223" s="213"/>
      <c r="BZ223" s="213"/>
      <c r="CA223" s="213"/>
      <c r="CB223" s="213"/>
      <c r="CC223" s="213"/>
      <c r="CD223" s="213"/>
      <c r="CE223" s="213"/>
      <c r="CF223" s="213"/>
      <c r="CG223" s="213"/>
      <c r="CH223" s="213"/>
      <c r="CI223" s="213"/>
      <c r="CJ223" s="213"/>
      <c r="CK223" s="213"/>
      <c r="CL223" s="213"/>
      <c r="CM223" s="213"/>
      <c r="CN223" s="213"/>
      <c r="CO223" s="213"/>
      <c r="CP223" s="213"/>
      <c r="CQ223" s="213"/>
    </row>
    <row r="224" ht="15.75" customHeight="1">
      <c r="A224" s="213"/>
      <c r="B224" s="213"/>
      <c r="C224" s="213"/>
      <c r="D224" s="213"/>
      <c r="E224" s="213"/>
      <c r="F224" s="213"/>
      <c r="G224" s="213"/>
      <c r="H224" s="213"/>
      <c r="I224" s="213"/>
      <c r="J224" s="216"/>
      <c r="K224" s="213"/>
      <c r="L224" s="213"/>
      <c r="M224" s="213"/>
      <c r="N224" s="213"/>
      <c r="O224" s="213"/>
      <c r="P224" s="216"/>
      <c r="Q224" s="213"/>
      <c r="R224" s="213"/>
      <c r="S224" s="213"/>
      <c r="T224" s="213"/>
      <c r="U224" s="213"/>
      <c r="V224" s="216"/>
      <c r="W224" s="213"/>
      <c r="X224" s="213"/>
      <c r="Y224" s="213"/>
      <c r="Z224" s="213"/>
      <c r="AA224" s="213"/>
      <c r="AB224" s="216"/>
      <c r="AC224" s="213"/>
      <c r="AD224" s="213"/>
      <c r="AE224" s="213"/>
      <c r="AF224" s="213"/>
      <c r="AG224" s="213"/>
      <c r="AH224" s="216"/>
      <c r="AI224" s="213"/>
      <c r="AJ224" s="213"/>
      <c r="AK224" s="213"/>
      <c r="AL224" s="213"/>
      <c r="AM224" s="213"/>
      <c r="AN224" s="216"/>
      <c r="AO224" s="213"/>
      <c r="AP224" s="213"/>
      <c r="AQ224" s="213"/>
      <c r="AR224" s="213"/>
      <c r="AS224" s="213"/>
      <c r="AT224" s="216"/>
      <c r="AU224" s="213"/>
      <c r="AV224" s="213"/>
      <c r="AW224" s="213"/>
      <c r="AX224" s="213"/>
      <c r="AY224" s="213"/>
      <c r="AZ224" s="213"/>
      <c r="BA224" s="213"/>
      <c r="BB224" s="213"/>
      <c r="BC224" s="213"/>
      <c r="BD224" s="213"/>
      <c r="BE224" s="213"/>
      <c r="BF224" s="216"/>
      <c r="BG224" s="213"/>
      <c r="BH224" s="213"/>
      <c r="BI224" s="213"/>
      <c r="BJ224" s="213"/>
      <c r="BK224" s="213"/>
      <c r="BL224" s="213"/>
      <c r="BM224" s="213"/>
      <c r="BN224" s="213"/>
      <c r="BO224" s="213"/>
      <c r="BP224" s="213"/>
      <c r="BQ224" s="213"/>
      <c r="BR224" s="454"/>
      <c r="BS224" s="213"/>
      <c r="BT224" s="213"/>
      <c r="BU224" s="213"/>
      <c r="BV224" s="213"/>
      <c r="BW224" s="213"/>
      <c r="BX224" s="213"/>
      <c r="BY224" s="213"/>
      <c r="BZ224" s="213"/>
      <c r="CA224" s="213"/>
      <c r="CB224" s="213"/>
      <c r="CC224" s="213"/>
      <c r="CD224" s="213"/>
      <c r="CE224" s="213"/>
      <c r="CF224" s="213"/>
      <c r="CG224" s="213"/>
      <c r="CH224" s="213"/>
      <c r="CI224" s="213"/>
      <c r="CJ224" s="213"/>
      <c r="CK224" s="213"/>
      <c r="CL224" s="213"/>
      <c r="CM224" s="213"/>
      <c r="CN224" s="213"/>
      <c r="CO224" s="213"/>
      <c r="CP224" s="213"/>
      <c r="CQ224" s="213"/>
    </row>
    <row r="225" ht="15.75" customHeight="1">
      <c r="A225" s="213"/>
      <c r="B225" s="213"/>
      <c r="C225" s="213"/>
      <c r="D225" s="213"/>
      <c r="E225" s="213"/>
      <c r="F225" s="213"/>
      <c r="G225" s="213"/>
      <c r="H225" s="213"/>
      <c r="I225" s="213"/>
      <c r="J225" s="216"/>
      <c r="K225" s="213"/>
      <c r="L225" s="213"/>
      <c r="M225" s="213"/>
      <c r="N225" s="213"/>
      <c r="O225" s="213"/>
      <c r="P225" s="216"/>
      <c r="Q225" s="213"/>
      <c r="R225" s="213"/>
      <c r="S225" s="213"/>
      <c r="T225" s="213"/>
      <c r="U225" s="213"/>
      <c r="V225" s="216"/>
      <c r="W225" s="213"/>
      <c r="X225" s="213"/>
      <c r="Y225" s="213"/>
      <c r="Z225" s="213"/>
      <c r="AA225" s="213"/>
      <c r="AB225" s="216"/>
      <c r="AC225" s="213"/>
      <c r="AD225" s="213"/>
      <c r="AE225" s="213"/>
      <c r="AF225" s="213"/>
      <c r="AG225" s="213"/>
      <c r="AH225" s="216"/>
      <c r="AI225" s="213"/>
      <c r="AJ225" s="213"/>
      <c r="AK225" s="213"/>
      <c r="AL225" s="213"/>
      <c r="AM225" s="213"/>
      <c r="AN225" s="216"/>
      <c r="AO225" s="213"/>
      <c r="AP225" s="213"/>
      <c r="AQ225" s="213"/>
      <c r="AR225" s="213"/>
      <c r="AS225" s="213"/>
      <c r="AT225" s="216"/>
      <c r="AU225" s="213"/>
      <c r="AV225" s="213"/>
      <c r="AW225" s="213"/>
      <c r="AX225" s="213"/>
      <c r="AY225" s="213"/>
      <c r="AZ225" s="213"/>
      <c r="BA225" s="213"/>
      <c r="BB225" s="213"/>
      <c r="BC225" s="213"/>
      <c r="BD225" s="213"/>
      <c r="BE225" s="213"/>
      <c r="BF225" s="216"/>
      <c r="BG225" s="213"/>
      <c r="BH225" s="213"/>
      <c r="BI225" s="213"/>
      <c r="BJ225" s="213"/>
      <c r="BK225" s="213"/>
      <c r="BL225" s="213"/>
      <c r="BM225" s="213"/>
      <c r="BN225" s="213"/>
      <c r="BO225" s="213"/>
      <c r="BP225" s="213"/>
      <c r="BQ225" s="213"/>
      <c r="BR225" s="454"/>
      <c r="BS225" s="213"/>
      <c r="BT225" s="213"/>
      <c r="BU225" s="213"/>
      <c r="BV225" s="213"/>
      <c r="BW225" s="213"/>
      <c r="BX225" s="213"/>
      <c r="BY225" s="213"/>
      <c r="BZ225" s="213"/>
      <c r="CA225" s="213"/>
      <c r="CB225" s="213"/>
      <c r="CC225" s="213"/>
      <c r="CD225" s="213"/>
      <c r="CE225" s="213"/>
      <c r="CF225" s="213"/>
      <c r="CG225" s="213"/>
      <c r="CH225" s="213"/>
      <c r="CI225" s="213"/>
      <c r="CJ225" s="213"/>
      <c r="CK225" s="213"/>
      <c r="CL225" s="213"/>
      <c r="CM225" s="213"/>
      <c r="CN225" s="213"/>
      <c r="CO225" s="213"/>
      <c r="CP225" s="213"/>
      <c r="CQ225" s="213"/>
    </row>
    <row r="226" ht="15.75" customHeight="1">
      <c r="A226" s="213"/>
      <c r="B226" s="213"/>
      <c r="C226" s="213"/>
      <c r="D226" s="213"/>
      <c r="E226" s="213"/>
      <c r="F226" s="213"/>
      <c r="G226" s="213"/>
      <c r="H226" s="213"/>
      <c r="I226" s="213"/>
      <c r="J226" s="216"/>
      <c r="K226" s="213"/>
      <c r="L226" s="213"/>
      <c r="M226" s="213"/>
      <c r="N226" s="213"/>
      <c r="O226" s="213"/>
      <c r="P226" s="216"/>
      <c r="Q226" s="213"/>
      <c r="R226" s="213"/>
      <c r="S226" s="213"/>
      <c r="T226" s="213"/>
      <c r="U226" s="213"/>
      <c r="V226" s="216"/>
      <c r="W226" s="213"/>
      <c r="X226" s="213"/>
      <c r="Y226" s="213"/>
      <c r="Z226" s="213"/>
      <c r="AA226" s="213"/>
      <c r="AB226" s="216"/>
      <c r="AC226" s="213"/>
      <c r="AD226" s="213"/>
      <c r="AE226" s="213"/>
      <c r="AF226" s="213"/>
      <c r="AG226" s="213"/>
      <c r="AH226" s="216"/>
      <c r="AI226" s="213"/>
      <c r="AJ226" s="213"/>
      <c r="AK226" s="213"/>
      <c r="AL226" s="213"/>
      <c r="AM226" s="213"/>
      <c r="AN226" s="216"/>
      <c r="AO226" s="213"/>
      <c r="AP226" s="213"/>
      <c r="AQ226" s="213"/>
      <c r="AR226" s="213"/>
      <c r="AS226" s="213"/>
      <c r="AT226" s="216"/>
      <c r="AU226" s="213"/>
      <c r="AV226" s="213"/>
      <c r="AW226" s="213"/>
      <c r="AX226" s="213"/>
      <c r="AY226" s="213"/>
      <c r="AZ226" s="213"/>
      <c r="BA226" s="213"/>
      <c r="BB226" s="213"/>
      <c r="BC226" s="213"/>
      <c r="BD226" s="213"/>
      <c r="BE226" s="213"/>
      <c r="BF226" s="216"/>
      <c r="BG226" s="213"/>
      <c r="BH226" s="213"/>
      <c r="BI226" s="213"/>
      <c r="BJ226" s="213"/>
      <c r="BK226" s="213"/>
      <c r="BL226" s="213"/>
      <c r="BM226" s="213"/>
      <c r="BN226" s="213"/>
      <c r="BO226" s="213"/>
      <c r="BP226" s="213"/>
      <c r="BQ226" s="213"/>
      <c r="BR226" s="454"/>
      <c r="BS226" s="213"/>
      <c r="BT226" s="213"/>
      <c r="BU226" s="213"/>
      <c r="BV226" s="213"/>
      <c r="BW226" s="213"/>
      <c r="BX226" s="213"/>
      <c r="BY226" s="213"/>
      <c r="BZ226" s="213"/>
      <c r="CA226" s="213"/>
      <c r="CB226" s="213"/>
      <c r="CC226" s="213"/>
      <c r="CD226" s="213"/>
      <c r="CE226" s="213"/>
      <c r="CF226" s="213"/>
      <c r="CG226" s="213"/>
      <c r="CH226" s="213"/>
      <c r="CI226" s="213"/>
      <c r="CJ226" s="213"/>
      <c r="CK226" s="213"/>
      <c r="CL226" s="213"/>
      <c r="CM226" s="213"/>
      <c r="CN226" s="213"/>
      <c r="CO226" s="213"/>
      <c r="CP226" s="213"/>
      <c r="CQ226" s="213"/>
    </row>
    <row r="227" ht="15.75" customHeight="1">
      <c r="A227" s="213"/>
      <c r="B227" s="213"/>
      <c r="C227" s="213"/>
      <c r="D227" s="213"/>
      <c r="E227" s="213"/>
      <c r="F227" s="213"/>
      <c r="G227" s="213"/>
      <c r="H227" s="213"/>
      <c r="I227" s="213"/>
      <c r="J227" s="216"/>
      <c r="K227" s="213"/>
      <c r="L227" s="213"/>
      <c r="M227" s="213"/>
      <c r="N227" s="213"/>
      <c r="O227" s="213"/>
      <c r="P227" s="216"/>
      <c r="Q227" s="213"/>
      <c r="R227" s="213"/>
      <c r="S227" s="213"/>
      <c r="T227" s="213"/>
      <c r="U227" s="213"/>
      <c r="V227" s="216"/>
      <c r="W227" s="213"/>
      <c r="X227" s="213"/>
      <c r="Y227" s="213"/>
      <c r="Z227" s="213"/>
      <c r="AA227" s="213"/>
      <c r="AB227" s="216"/>
      <c r="AC227" s="213"/>
      <c r="AD227" s="213"/>
      <c r="AE227" s="213"/>
      <c r="AF227" s="213"/>
      <c r="AG227" s="213"/>
      <c r="AH227" s="216"/>
      <c r="AI227" s="213"/>
      <c r="AJ227" s="213"/>
      <c r="AK227" s="213"/>
      <c r="AL227" s="213"/>
      <c r="AM227" s="213"/>
      <c r="AN227" s="216"/>
      <c r="AO227" s="213"/>
      <c r="AP227" s="213"/>
      <c r="AQ227" s="213"/>
      <c r="AR227" s="213"/>
      <c r="AS227" s="213"/>
      <c r="AT227" s="216"/>
      <c r="AU227" s="213"/>
      <c r="AV227" s="213"/>
      <c r="AW227" s="213"/>
      <c r="AX227" s="213"/>
      <c r="AY227" s="213"/>
      <c r="AZ227" s="213"/>
      <c r="BA227" s="213"/>
      <c r="BB227" s="213"/>
      <c r="BC227" s="213"/>
      <c r="BD227" s="213"/>
      <c r="BE227" s="213"/>
      <c r="BF227" s="216"/>
      <c r="BG227" s="213"/>
      <c r="BH227" s="213"/>
      <c r="BI227" s="213"/>
      <c r="BJ227" s="213"/>
      <c r="BK227" s="213"/>
      <c r="BL227" s="213"/>
      <c r="BM227" s="213"/>
      <c r="BN227" s="213"/>
      <c r="BO227" s="213"/>
      <c r="BP227" s="213"/>
      <c r="BQ227" s="213"/>
      <c r="BR227" s="454"/>
      <c r="BS227" s="213"/>
      <c r="BT227" s="213"/>
      <c r="BU227" s="213"/>
      <c r="BV227" s="213"/>
      <c r="BW227" s="213"/>
      <c r="BX227" s="213"/>
      <c r="BY227" s="213"/>
      <c r="BZ227" s="213"/>
      <c r="CA227" s="213"/>
      <c r="CB227" s="213"/>
      <c r="CC227" s="213"/>
      <c r="CD227" s="213"/>
      <c r="CE227" s="213"/>
      <c r="CF227" s="213"/>
      <c r="CG227" s="213"/>
      <c r="CH227" s="213"/>
      <c r="CI227" s="213"/>
      <c r="CJ227" s="213"/>
      <c r="CK227" s="213"/>
      <c r="CL227" s="213"/>
      <c r="CM227" s="213"/>
      <c r="CN227" s="213"/>
      <c r="CO227" s="213"/>
      <c r="CP227" s="213"/>
      <c r="CQ227" s="213"/>
    </row>
    <row r="228" ht="15.75" customHeight="1">
      <c r="A228" s="213"/>
      <c r="B228" s="213"/>
      <c r="C228" s="213"/>
      <c r="D228" s="213"/>
      <c r="E228" s="213"/>
      <c r="F228" s="213"/>
      <c r="G228" s="213"/>
      <c r="H228" s="213"/>
      <c r="I228" s="213"/>
      <c r="J228" s="216"/>
      <c r="K228" s="213"/>
      <c r="L228" s="213"/>
      <c r="M228" s="213"/>
      <c r="N228" s="213"/>
      <c r="O228" s="213"/>
      <c r="P228" s="216"/>
      <c r="Q228" s="213"/>
      <c r="R228" s="213"/>
      <c r="S228" s="213"/>
      <c r="T228" s="213"/>
      <c r="U228" s="213"/>
      <c r="V228" s="216"/>
      <c r="W228" s="213"/>
      <c r="X228" s="213"/>
      <c r="Y228" s="213"/>
      <c r="Z228" s="213"/>
      <c r="AA228" s="213"/>
      <c r="AB228" s="216"/>
      <c r="AC228" s="213"/>
      <c r="AD228" s="213"/>
      <c r="AE228" s="213"/>
      <c r="AF228" s="213"/>
      <c r="AG228" s="213"/>
      <c r="AH228" s="216"/>
      <c r="AI228" s="213"/>
      <c r="AJ228" s="213"/>
      <c r="AK228" s="213"/>
      <c r="AL228" s="213"/>
      <c r="AM228" s="213"/>
      <c r="AN228" s="216"/>
      <c r="AO228" s="213"/>
      <c r="AP228" s="213"/>
      <c r="AQ228" s="213"/>
      <c r="AR228" s="213"/>
      <c r="AS228" s="213"/>
      <c r="AT228" s="216"/>
      <c r="AU228" s="213"/>
      <c r="AV228" s="213"/>
      <c r="AW228" s="213"/>
      <c r="AX228" s="213"/>
      <c r="AY228" s="213"/>
      <c r="AZ228" s="213"/>
      <c r="BA228" s="213"/>
      <c r="BB228" s="213"/>
      <c r="BC228" s="213"/>
      <c r="BD228" s="213"/>
      <c r="BE228" s="213"/>
      <c r="BF228" s="216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454"/>
      <c r="BS228" s="213"/>
      <c r="BT228" s="213"/>
      <c r="BU228" s="213"/>
      <c r="BV228" s="213"/>
      <c r="BW228" s="213"/>
      <c r="BX228" s="213"/>
      <c r="BY228" s="213"/>
      <c r="BZ228" s="213"/>
      <c r="CA228" s="213"/>
      <c r="CB228" s="213"/>
      <c r="CC228" s="213"/>
      <c r="CD228" s="213"/>
      <c r="CE228" s="213"/>
      <c r="CF228" s="213"/>
      <c r="CG228" s="213"/>
      <c r="CH228" s="213"/>
      <c r="CI228" s="213"/>
      <c r="CJ228" s="213"/>
      <c r="CK228" s="213"/>
      <c r="CL228" s="213"/>
      <c r="CM228" s="213"/>
      <c r="CN228" s="213"/>
      <c r="CO228" s="213"/>
      <c r="CP228" s="213"/>
      <c r="CQ228" s="213"/>
    </row>
    <row r="229" ht="15.75" customHeight="1">
      <c r="A229" s="213"/>
      <c r="B229" s="213"/>
      <c r="C229" s="213"/>
      <c r="D229" s="213"/>
      <c r="E229" s="213"/>
      <c r="F229" s="213"/>
      <c r="G229" s="213"/>
      <c r="H229" s="213"/>
      <c r="I229" s="213"/>
      <c r="J229" s="216"/>
      <c r="K229" s="213"/>
      <c r="L229" s="213"/>
      <c r="M229" s="213"/>
      <c r="N229" s="213"/>
      <c r="O229" s="213"/>
      <c r="P229" s="216"/>
      <c r="Q229" s="213"/>
      <c r="R229" s="213"/>
      <c r="S229" s="213"/>
      <c r="T229" s="213"/>
      <c r="U229" s="213"/>
      <c r="V229" s="216"/>
      <c r="W229" s="213"/>
      <c r="X229" s="213"/>
      <c r="Y229" s="213"/>
      <c r="Z229" s="213"/>
      <c r="AA229" s="213"/>
      <c r="AB229" s="216"/>
      <c r="AC229" s="213"/>
      <c r="AD229" s="213"/>
      <c r="AE229" s="213"/>
      <c r="AF229" s="213"/>
      <c r="AG229" s="213"/>
      <c r="AH229" s="216"/>
      <c r="AI229" s="213"/>
      <c r="AJ229" s="213"/>
      <c r="AK229" s="213"/>
      <c r="AL229" s="213"/>
      <c r="AM229" s="213"/>
      <c r="AN229" s="216"/>
      <c r="AO229" s="213"/>
      <c r="AP229" s="213"/>
      <c r="AQ229" s="213"/>
      <c r="AR229" s="213"/>
      <c r="AS229" s="213"/>
      <c r="AT229" s="216"/>
      <c r="AU229" s="213"/>
      <c r="AV229" s="213"/>
      <c r="AW229" s="213"/>
      <c r="AX229" s="213"/>
      <c r="AY229" s="213"/>
      <c r="AZ229" s="213"/>
      <c r="BA229" s="213"/>
      <c r="BB229" s="213"/>
      <c r="BC229" s="213"/>
      <c r="BD229" s="213"/>
      <c r="BE229" s="213"/>
      <c r="BF229" s="216"/>
      <c r="BG229" s="213"/>
      <c r="BH229" s="213"/>
      <c r="BI229" s="213"/>
      <c r="BJ229" s="213"/>
      <c r="BK229" s="213"/>
      <c r="BL229" s="213"/>
      <c r="BM229" s="213"/>
      <c r="BN229" s="213"/>
      <c r="BO229" s="213"/>
      <c r="BP229" s="213"/>
      <c r="BQ229" s="213"/>
      <c r="BR229" s="454"/>
      <c r="BS229" s="213"/>
      <c r="BT229" s="213"/>
      <c r="BU229" s="213"/>
      <c r="BV229" s="213"/>
      <c r="BW229" s="213"/>
      <c r="BX229" s="213"/>
      <c r="BY229" s="213"/>
      <c r="BZ229" s="213"/>
      <c r="CA229" s="213"/>
      <c r="CB229" s="213"/>
      <c r="CC229" s="213"/>
      <c r="CD229" s="213"/>
      <c r="CE229" s="213"/>
      <c r="CF229" s="213"/>
      <c r="CG229" s="213"/>
      <c r="CH229" s="213"/>
      <c r="CI229" s="213"/>
      <c r="CJ229" s="213"/>
      <c r="CK229" s="213"/>
      <c r="CL229" s="213"/>
      <c r="CM229" s="213"/>
      <c r="CN229" s="213"/>
      <c r="CO229" s="213"/>
      <c r="CP229" s="213"/>
      <c r="CQ229" s="213"/>
    </row>
    <row r="230" ht="15.75" customHeight="1">
      <c r="A230" s="213"/>
      <c r="B230" s="213"/>
      <c r="C230" s="213"/>
      <c r="D230" s="213"/>
      <c r="E230" s="213"/>
      <c r="F230" s="213"/>
      <c r="G230" s="213"/>
      <c r="H230" s="213"/>
      <c r="I230" s="213"/>
      <c r="J230" s="216"/>
      <c r="K230" s="213"/>
      <c r="L230" s="213"/>
      <c r="M230" s="213"/>
      <c r="N230" s="213"/>
      <c r="O230" s="213"/>
      <c r="P230" s="216"/>
      <c r="Q230" s="213"/>
      <c r="R230" s="213"/>
      <c r="S230" s="213"/>
      <c r="T230" s="213"/>
      <c r="U230" s="213"/>
      <c r="V230" s="216"/>
      <c r="W230" s="213"/>
      <c r="X230" s="213"/>
      <c r="Y230" s="213"/>
      <c r="Z230" s="213"/>
      <c r="AA230" s="213"/>
      <c r="AB230" s="216"/>
      <c r="AC230" s="213"/>
      <c r="AD230" s="213"/>
      <c r="AE230" s="213"/>
      <c r="AF230" s="213"/>
      <c r="AG230" s="213"/>
      <c r="AH230" s="216"/>
      <c r="AI230" s="213"/>
      <c r="AJ230" s="213"/>
      <c r="AK230" s="213"/>
      <c r="AL230" s="213"/>
      <c r="AM230" s="213"/>
      <c r="AN230" s="216"/>
      <c r="AO230" s="213"/>
      <c r="AP230" s="213"/>
      <c r="AQ230" s="213"/>
      <c r="AR230" s="213"/>
      <c r="AS230" s="213"/>
      <c r="AT230" s="216"/>
      <c r="AU230" s="213"/>
      <c r="AV230" s="213"/>
      <c r="AW230" s="213"/>
      <c r="AX230" s="213"/>
      <c r="AY230" s="213"/>
      <c r="AZ230" s="213"/>
      <c r="BA230" s="213"/>
      <c r="BB230" s="213"/>
      <c r="BC230" s="213"/>
      <c r="BD230" s="213"/>
      <c r="BE230" s="213"/>
      <c r="BF230" s="216"/>
      <c r="BG230" s="213"/>
      <c r="BH230" s="213"/>
      <c r="BI230" s="213"/>
      <c r="BJ230" s="213"/>
      <c r="BK230" s="213"/>
      <c r="BL230" s="213"/>
      <c r="BM230" s="213"/>
      <c r="BN230" s="213"/>
      <c r="BO230" s="213"/>
      <c r="BP230" s="213"/>
      <c r="BQ230" s="213"/>
      <c r="BR230" s="454"/>
      <c r="BS230" s="213"/>
      <c r="BT230" s="213"/>
      <c r="BU230" s="213"/>
      <c r="BV230" s="213"/>
      <c r="BW230" s="213"/>
      <c r="BX230" s="213"/>
      <c r="BY230" s="213"/>
      <c r="BZ230" s="213"/>
      <c r="CA230" s="213"/>
      <c r="CB230" s="213"/>
      <c r="CC230" s="213"/>
      <c r="CD230" s="213"/>
      <c r="CE230" s="213"/>
      <c r="CF230" s="213"/>
      <c r="CG230" s="213"/>
      <c r="CH230" s="213"/>
      <c r="CI230" s="213"/>
      <c r="CJ230" s="213"/>
      <c r="CK230" s="213"/>
      <c r="CL230" s="213"/>
      <c r="CM230" s="213"/>
      <c r="CN230" s="213"/>
      <c r="CO230" s="213"/>
      <c r="CP230" s="213"/>
      <c r="CQ230" s="213"/>
    </row>
    <row r="231" ht="15.75" customHeight="1">
      <c r="A231" s="213"/>
      <c r="B231" s="213"/>
      <c r="C231" s="213"/>
      <c r="D231" s="213"/>
      <c r="E231" s="213"/>
      <c r="F231" s="213"/>
      <c r="G231" s="213"/>
      <c r="H231" s="213"/>
      <c r="I231" s="213"/>
      <c r="J231" s="216"/>
      <c r="K231" s="213"/>
      <c r="L231" s="213"/>
      <c r="M231" s="213"/>
      <c r="N231" s="213"/>
      <c r="O231" s="213"/>
      <c r="P231" s="216"/>
      <c r="Q231" s="213"/>
      <c r="R231" s="213"/>
      <c r="S231" s="213"/>
      <c r="T231" s="213"/>
      <c r="U231" s="213"/>
      <c r="V231" s="216"/>
      <c r="W231" s="213"/>
      <c r="X231" s="213"/>
      <c r="Y231" s="213"/>
      <c r="Z231" s="213"/>
      <c r="AA231" s="213"/>
      <c r="AB231" s="216"/>
      <c r="AC231" s="213"/>
      <c r="AD231" s="213"/>
      <c r="AE231" s="213"/>
      <c r="AF231" s="213"/>
      <c r="AG231" s="213"/>
      <c r="AH231" s="216"/>
      <c r="AI231" s="213"/>
      <c r="AJ231" s="213"/>
      <c r="AK231" s="213"/>
      <c r="AL231" s="213"/>
      <c r="AM231" s="213"/>
      <c r="AN231" s="216"/>
      <c r="AO231" s="213"/>
      <c r="AP231" s="213"/>
      <c r="AQ231" s="213"/>
      <c r="AR231" s="213"/>
      <c r="AS231" s="213"/>
      <c r="AT231" s="216"/>
      <c r="AU231" s="213"/>
      <c r="AV231" s="213"/>
      <c r="AW231" s="213"/>
      <c r="AX231" s="213"/>
      <c r="AY231" s="213"/>
      <c r="AZ231" s="213"/>
      <c r="BA231" s="213"/>
      <c r="BB231" s="213"/>
      <c r="BC231" s="213"/>
      <c r="BD231" s="213"/>
      <c r="BE231" s="213"/>
      <c r="BF231" s="216"/>
      <c r="BG231" s="213"/>
      <c r="BH231" s="213"/>
      <c r="BI231" s="213"/>
      <c r="BJ231" s="213"/>
      <c r="BK231" s="213"/>
      <c r="BL231" s="213"/>
      <c r="BM231" s="213"/>
      <c r="BN231" s="213"/>
      <c r="BO231" s="213"/>
      <c r="BP231" s="213"/>
      <c r="BQ231" s="213"/>
      <c r="BR231" s="454"/>
      <c r="BS231" s="213"/>
      <c r="BT231" s="213"/>
      <c r="BU231" s="213"/>
      <c r="BV231" s="213"/>
      <c r="BW231" s="213"/>
      <c r="BX231" s="213"/>
      <c r="BY231" s="213"/>
      <c r="BZ231" s="213"/>
      <c r="CA231" s="213"/>
      <c r="CB231" s="213"/>
      <c r="CC231" s="213"/>
      <c r="CD231" s="213"/>
      <c r="CE231" s="213"/>
      <c r="CF231" s="213"/>
      <c r="CG231" s="213"/>
      <c r="CH231" s="213"/>
      <c r="CI231" s="213"/>
      <c r="CJ231" s="213"/>
      <c r="CK231" s="213"/>
      <c r="CL231" s="213"/>
      <c r="CM231" s="213"/>
      <c r="CN231" s="213"/>
      <c r="CO231" s="213"/>
      <c r="CP231" s="213"/>
      <c r="CQ231" s="213"/>
    </row>
    <row r="232" ht="15.75" customHeight="1">
      <c r="A232" s="213"/>
      <c r="B232" s="213"/>
      <c r="C232" s="213"/>
      <c r="D232" s="213"/>
      <c r="E232" s="213"/>
      <c r="F232" s="213"/>
      <c r="G232" s="213"/>
      <c r="H232" s="213"/>
      <c r="I232" s="213"/>
      <c r="J232" s="216"/>
      <c r="K232" s="213"/>
      <c r="L232" s="213"/>
      <c r="M232" s="213"/>
      <c r="N232" s="213"/>
      <c r="O232" s="213"/>
      <c r="P232" s="216"/>
      <c r="Q232" s="213"/>
      <c r="R232" s="213"/>
      <c r="S232" s="213"/>
      <c r="T232" s="213"/>
      <c r="U232" s="213"/>
      <c r="V232" s="216"/>
      <c r="W232" s="213"/>
      <c r="X232" s="213"/>
      <c r="Y232" s="213"/>
      <c r="Z232" s="213"/>
      <c r="AA232" s="213"/>
      <c r="AB232" s="216"/>
      <c r="AC232" s="213"/>
      <c r="AD232" s="213"/>
      <c r="AE232" s="213"/>
      <c r="AF232" s="213"/>
      <c r="AG232" s="213"/>
      <c r="AH232" s="216"/>
      <c r="AI232" s="213"/>
      <c r="AJ232" s="213"/>
      <c r="AK232" s="213"/>
      <c r="AL232" s="213"/>
      <c r="AM232" s="213"/>
      <c r="AN232" s="216"/>
      <c r="AO232" s="213"/>
      <c r="AP232" s="213"/>
      <c r="AQ232" s="213"/>
      <c r="AR232" s="213"/>
      <c r="AS232" s="213"/>
      <c r="AT232" s="216"/>
      <c r="AU232" s="213"/>
      <c r="AV232" s="213"/>
      <c r="AW232" s="213"/>
      <c r="AX232" s="213"/>
      <c r="AY232" s="213"/>
      <c r="AZ232" s="213"/>
      <c r="BA232" s="213"/>
      <c r="BB232" s="213"/>
      <c r="BC232" s="213"/>
      <c r="BD232" s="213"/>
      <c r="BE232" s="213"/>
      <c r="BF232" s="216"/>
      <c r="BG232" s="213"/>
      <c r="BH232" s="213"/>
      <c r="BI232" s="213"/>
      <c r="BJ232" s="213"/>
      <c r="BK232" s="213"/>
      <c r="BL232" s="213"/>
      <c r="BM232" s="213"/>
      <c r="BN232" s="213"/>
      <c r="BO232" s="213"/>
      <c r="BP232" s="213"/>
      <c r="BQ232" s="213"/>
      <c r="BR232" s="454"/>
      <c r="BS232" s="213"/>
      <c r="BT232" s="213"/>
      <c r="BU232" s="213"/>
      <c r="BV232" s="213"/>
      <c r="BW232" s="213"/>
      <c r="BX232" s="213"/>
      <c r="BY232" s="213"/>
      <c r="BZ232" s="213"/>
      <c r="CA232" s="213"/>
      <c r="CB232" s="213"/>
      <c r="CC232" s="213"/>
      <c r="CD232" s="213"/>
      <c r="CE232" s="213"/>
      <c r="CF232" s="213"/>
      <c r="CG232" s="213"/>
      <c r="CH232" s="213"/>
      <c r="CI232" s="213"/>
      <c r="CJ232" s="213"/>
      <c r="CK232" s="213"/>
      <c r="CL232" s="213"/>
      <c r="CM232" s="213"/>
      <c r="CN232" s="213"/>
      <c r="CO232" s="213"/>
      <c r="CP232" s="213"/>
      <c r="CQ232" s="213"/>
    </row>
    <row r="233" ht="15.75" customHeight="1">
      <c r="A233" s="213"/>
      <c r="B233" s="213"/>
      <c r="C233" s="213"/>
      <c r="D233" s="213"/>
      <c r="E233" s="213"/>
      <c r="F233" s="213"/>
      <c r="G233" s="213"/>
      <c r="H233" s="213"/>
      <c r="I233" s="213"/>
      <c r="J233" s="216"/>
      <c r="K233" s="213"/>
      <c r="L233" s="213"/>
      <c r="M233" s="213"/>
      <c r="N233" s="213"/>
      <c r="O233" s="213"/>
      <c r="P233" s="216"/>
      <c r="Q233" s="213"/>
      <c r="R233" s="213"/>
      <c r="S233" s="213"/>
      <c r="T233" s="213"/>
      <c r="U233" s="213"/>
      <c r="V233" s="216"/>
      <c r="W233" s="213"/>
      <c r="X233" s="213"/>
      <c r="Y233" s="213"/>
      <c r="Z233" s="213"/>
      <c r="AA233" s="213"/>
      <c r="AB233" s="216"/>
      <c r="AC233" s="213"/>
      <c r="AD233" s="213"/>
      <c r="AE233" s="213"/>
      <c r="AF233" s="213"/>
      <c r="AG233" s="213"/>
      <c r="AH233" s="216"/>
      <c r="AI233" s="213"/>
      <c r="AJ233" s="213"/>
      <c r="AK233" s="213"/>
      <c r="AL233" s="213"/>
      <c r="AM233" s="213"/>
      <c r="AN233" s="216"/>
      <c r="AO233" s="213"/>
      <c r="AP233" s="213"/>
      <c r="AQ233" s="213"/>
      <c r="AR233" s="213"/>
      <c r="AS233" s="213"/>
      <c r="AT233" s="216"/>
      <c r="AU233" s="213"/>
      <c r="AV233" s="213"/>
      <c r="AW233" s="213"/>
      <c r="AX233" s="213"/>
      <c r="AY233" s="213"/>
      <c r="AZ233" s="213"/>
      <c r="BA233" s="213"/>
      <c r="BB233" s="213"/>
      <c r="BC233" s="213"/>
      <c r="BD233" s="213"/>
      <c r="BE233" s="213"/>
      <c r="BF233" s="216"/>
      <c r="BG233" s="213"/>
      <c r="BH233" s="213"/>
      <c r="BI233" s="213"/>
      <c r="BJ233" s="213"/>
      <c r="BK233" s="213"/>
      <c r="BL233" s="213"/>
      <c r="BM233" s="213"/>
      <c r="BN233" s="213"/>
      <c r="BO233" s="213"/>
      <c r="BP233" s="213"/>
      <c r="BQ233" s="213"/>
      <c r="BR233" s="454"/>
      <c r="BS233" s="213"/>
      <c r="BT233" s="213"/>
      <c r="BU233" s="213"/>
      <c r="BV233" s="213"/>
      <c r="BW233" s="213"/>
      <c r="BX233" s="213"/>
      <c r="BY233" s="213"/>
      <c r="BZ233" s="213"/>
      <c r="CA233" s="213"/>
      <c r="CB233" s="213"/>
      <c r="CC233" s="213"/>
      <c r="CD233" s="213"/>
      <c r="CE233" s="213"/>
      <c r="CF233" s="213"/>
      <c r="CG233" s="213"/>
      <c r="CH233" s="213"/>
      <c r="CI233" s="213"/>
      <c r="CJ233" s="213"/>
      <c r="CK233" s="213"/>
      <c r="CL233" s="213"/>
      <c r="CM233" s="213"/>
      <c r="CN233" s="213"/>
      <c r="CO233" s="213"/>
      <c r="CP233" s="213"/>
      <c r="CQ233" s="213"/>
    </row>
    <row r="234" ht="15.75" customHeight="1">
      <c r="A234" s="213"/>
      <c r="B234" s="213"/>
      <c r="C234" s="213"/>
      <c r="D234" s="213"/>
      <c r="E234" s="213"/>
      <c r="F234" s="213"/>
      <c r="G234" s="213"/>
      <c r="H234" s="213"/>
      <c r="I234" s="213"/>
      <c r="J234" s="216"/>
      <c r="K234" s="213"/>
      <c r="L234" s="213"/>
      <c r="M234" s="213"/>
      <c r="N234" s="213"/>
      <c r="O234" s="213"/>
      <c r="P234" s="216"/>
      <c r="Q234" s="213"/>
      <c r="R234" s="213"/>
      <c r="S234" s="213"/>
      <c r="T234" s="213"/>
      <c r="U234" s="213"/>
      <c r="V234" s="216"/>
      <c r="W234" s="213"/>
      <c r="X234" s="213"/>
      <c r="Y234" s="213"/>
      <c r="Z234" s="213"/>
      <c r="AA234" s="213"/>
      <c r="AB234" s="216"/>
      <c r="AC234" s="213"/>
      <c r="AD234" s="213"/>
      <c r="AE234" s="213"/>
      <c r="AF234" s="213"/>
      <c r="AG234" s="213"/>
      <c r="AH234" s="216"/>
      <c r="AI234" s="213"/>
      <c r="AJ234" s="213"/>
      <c r="AK234" s="213"/>
      <c r="AL234" s="213"/>
      <c r="AM234" s="213"/>
      <c r="AN234" s="216"/>
      <c r="AO234" s="213"/>
      <c r="AP234" s="213"/>
      <c r="AQ234" s="213"/>
      <c r="AR234" s="213"/>
      <c r="AS234" s="213"/>
      <c r="AT234" s="216"/>
      <c r="AU234" s="213"/>
      <c r="AV234" s="213"/>
      <c r="AW234" s="213"/>
      <c r="AX234" s="213"/>
      <c r="AY234" s="213"/>
      <c r="AZ234" s="213"/>
      <c r="BA234" s="213"/>
      <c r="BB234" s="213"/>
      <c r="BC234" s="213"/>
      <c r="BD234" s="213"/>
      <c r="BE234" s="213"/>
      <c r="BF234" s="216"/>
      <c r="BG234" s="213"/>
      <c r="BH234" s="213"/>
      <c r="BI234" s="213"/>
      <c r="BJ234" s="213"/>
      <c r="BK234" s="213"/>
      <c r="BL234" s="213"/>
      <c r="BM234" s="213"/>
      <c r="BN234" s="213"/>
      <c r="BO234" s="213"/>
      <c r="BP234" s="213"/>
      <c r="BQ234" s="213"/>
      <c r="BR234" s="454"/>
      <c r="BS234" s="213"/>
      <c r="BT234" s="213"/>
      <c r="BU234" s="213"/>
      <c r="BV234" s="213"/>
      <c r="BW234" s="213"/>
      <c r="BX234" s="213"/>
      <c r="BY234" s="213"/>
      <c r="BZ234" s="213"/>
      <c r="CA234" s="213"/>
      <c r="CB234" s="213"/>
      <c r="CC234" s="213"/>
      <c r="CD234" s="213"/>
      <c r="CE234" s="213"/>
      <c r="CF234" s="213"/>
      <c r="CG234" s="213"/>
      <c r="CH234" s="213"/>
      <c r="CI234" s="213"/>
      <c r="CJ234" s="213"/>
      <c r="CK234" s="213"/>
      <c r="CL234" s="213"/>
      <c r="CM234" s="213"/>
      <c r="CN234" s="213"/>
      <c r="CO234" s="213"/>
      <c r="CP234" s="213"/>
      <c r="CQ234" s="213"/>
    </row>
    <row r="235" ht="15.75" customHeight="1">
      <c r="A235" s="213"/>
      <c r="B235" s="213"/>
      <c r="C235" s="213"/>
      <c r="D235" s="213"/>
      <c r="E235" s="213"/>
      <c r="F235" s="213"/>
      <c r="G235" s="213"/>
      <c r="H235" s="213"/>
      <c r="I235" s="213"/>
      <c r="J235" s="216"/>
      <c r="K235" s="213"/>
      <c r="L235" s="213"/>
      <c r="M235" s="213"/>
      <c r="N235" s="213"/>
      <c r="O235" s="213"/>
      <c r="P235" s="216"/>
      <c r="Q235" s="213"/>
      <c r="R235" s="213"/>
      <c r="S235" s="213"/>
      <c r="T235" s="213"/>
      <c r="U235" s="213"/>
      <c r="V235" s="216"/>
      <c r="W235" s="213"/>
      <c r="X235" s="213"/>
      <c r="Y235" s="213"/>
      <c r="Z235" s="213"/>
      <c r="AA235" s="213"/>
      <c r="AB235" s="216"/>
      <c r="AC235" s="213"/>
      <c r="AD235" s="213"/>
      <c r="AE235" s="213"/>
      <c r="AF235" s="213"/>
      <c r="AG235" s="213"/>
      <c r="AH235" s="216"/>
      <c r="AI235" s="213"/>
      <c r="AJ235" s="213"/>
      <c r="AK235" s="213"/>
      <c r="AL235" s="213"/>
      <c r="AM235" s="213"/>
      <c r="AN235" s="216"/>
      <c r="AO235" s="213"/>
      <c r="AP235" s="213"/>
      <c r="AQ235" s="213"/>
      <c r="AR235" s="213"/>
      <c r="AS235" s="213"/>
      <c r="AT235" s="216"/>
      <c r="AU235" s="213"/>
      <c r="AV235" s="213"/>
      <c r="AW235" s="213"/>
      <c r="AX235" s="213"/>
      <c r="AY235" s="213"/>
      <c r="AZ235" s="213"/>
      <c r="BA235" s="213"/>
      <c r="BB235" s="213"/>
      <c r="BC235" s="213"/>
      <c r="BD235" s="213"/>
      <c r="BE235" s="213"/>
      <c r="BF235" s="216"/>
      <c r="BG235" s="213"/>
      <c r="BH235" s="213"/>
      <c r="BI235" s="213"/>
      <c r="BJ235" s="213"/>
      <c r="BK235" s="213"/>
      <c r="BL235" s="213"/>
      <c r="BM235" s="213"/>
      <c r="BN235" s="213"/>
      <c r="BO235" s="213"/>
      <c r="BP235" s="213"/>
      <c r="BQ235" s="213"/>
      <c r="BR235" s="454"/>
      <c r="BS235" s="213"/>
      <c r="BT235" s="213"/>
      <c r="BU235" s="213"/>
      <c r="BV235" s="213"/>
      <c r="BW235" s="213"/>
      <c r="BX235" s="213"/>
      <c r="BY235" s="213"/>
      <c r="BZ235" s="213"/>
      <c r="CA235" s="213"/>
      <c r="CB235" s="213"/>
      <c r="CC235" s="213"/>
      <c r="CD235" s="213"/>
      <c r="CE235" s="213"/>
      <c r="CF235" s="213"/>
      <c r="CG235" s="213"/>
      <c r="CH235" s="213"/>
      <c r="CI235" s="213"/>
      <c r="CJ235" s="213"/>
      <c r="CK235" s="213"/>
      <c r="CL235" s="213"/>
      <c r="CM235" s="213"/>
      <c r="CN235" s="213"/>
      <c r="CO235" s="213"/>
      <c r="CP235" s="213"/>
      <c r="CQ235" s="213"/>
    </row>
    <row r="236" ht="15.75" customHeight="1">
      <c r="A236" s="213"/>
      <c r="B236" s="213"/>
      <c r="C236" s="213"/>
      <c r="D236" s="213"/>
      <c r="E236" s="213"/>
      <c r="F236" s="213"/>
      <c r="G236" s="213"/>
      <c r="H236" s="213"/>
      <c r="I236" s="213"/>
      <c r="J236" s="216"/>
      <c r="K236" s="213"/>
      <c r="L236" s="213"/>
      <c r="M236" s="213"/>
      <c r="N236" s="213"/>
      <c r="O236" s="213"/>
      <c r="P236" s="216"/>
      <c r="Q236" s="213"/>
      <c r="R236" s="213"/>
      <c r="S236" s="213"/>
      <c r="T236" s="213"/>
      <c r="U236" s="213"/>
      <c r="V236" s="216"/>
      <c r="W236" s="213"/>
      <c r="X236" s="213"/>
      <c r="Y236" s="213"/>
      <c r="Z236" s="213"/>
      <c r="AA236" s="213"/>
      <c r="AB236" s="216"/>
      <c r="AC236" s="213"/>
      <c r="AD236" s="213"/>
      <c r="AE236" s="213"/>
      <c r="AF236" s="213"/>
      <c r="AG236" s="213"/>
      <c r="AH236" s="216"/>
      <c r="AI236" s="213"/>
      <c r="AJ236" s="213"/>
      <c r="AK236" s="213"/>
      <c r="AL236" s="213"/>
      <c r="AM236" s="213"/>
      <c r="AN236" s="216"/>
      <c r="AO236" s="213"/>
      <c r="AP236" s="213"/>
      <c r="AQ236" s="213"/>
      <c r="AR236" s="213"/>
      <c r="AS236" s="213"/>
      <c r="AT236" s="216"/>
      <c r="AU236" s="213"/>
      <c r="AV236" s="213"/>
      <c r="AW236" s="213"/>
      <c r="AX236" s="213"/>
      <c r="AY236" s="213"/>
      <c r="AZ236" s="213"/>
      <c r="BA236" s="213"/>
      <c r="BB236" s="213"/>
      <c r="BC236" s="213"/>
      <c r="BD236" s="213"/>
      <c r="BE236" s="213"/>
      <c r="BF236" s="216"/>
      <c r="BG236" s="213"/>
      <c r="BH236" s="213"/>
      <c r="BI236" s="213"/>
      <c r="BJ236" s="213"/>
      <c r="BK236" s="213"/>
      <c r="BL236" s="213"/>
      <c r="BM236" s="213"/>
      <c r="BN236" s="213"/>
      <c r="BO236" s="213"/>
      <c r="BP236" s="213"/>
      <c r="BQ236" s="213"/>
      <c r="BR236" s="454"/>
      <c r="BS236" s="213"/>
      <c r="BT236" s="213"/>
      <c r="BU236" s="213"/>
      <c r="BV236" s="213"/>
      <c r="BW236" s="213"/>
      <c r="BX236" s="213"/>
      <c r="BY236" s="213"/>
      <c r="BZ236" s="213"/>
      <c r="CA236" s="213"/>
      <c r="CB236" s="213"/>
      <c r="CC236" s="213"/>
      <c r="CD236" s="213"/>
      <c r="CE236" s="213"/>
      <c r="CF236" s="213"/>
      <c r="CG236" s="213"/>
      <c r="CH236" s="213"/>
      <c r="CI236" s="213"/>
      <c r="CJ236" s="213"/>
      <c r="CK236" s="213"/>
      <c r="CL236" s="213"/>
      <c r="CM236" s="213"/>
      <c r="CN236" s="213"/>
      <c r="CO236" s="213"/>
      <c r="CP236" s="213"/>
      <c r="CQ236" s="213"/>
    </row>
    <row r="237" ht="15.75" customHeight="1">
      <c r="A237" s="213"/>
      <c r="B237" s="213"/>
      <c r="C237" s="213"/>
      <c r="D237" s="213"/>
      <c r="E237" s="213"/>
      <c r="F237" s="213"/>
      <c r="G237" s="213"/>
      <c r="H237" s="213"/>
      <c r="I237" s="213"/>
      <c r="J237" s="216"/>
      <c r="K237" s="213"/>
      <c r="L237" s="213"/>
      <c r="M237" s="213"/>
      <c r="N237" s="213"/>
      <c r="O237" s="213"/>
      <c r="P237" s="216"/>
      <c r="Q237" s="213"/>
      <c r="R237" s="213"/>
      <c r="S237" s="213"/>
      <c r="T237" s="213"/>
      <c r="U237" s="213"/>
      <c r="V237" s="216"/>
      <c r="W237" s="213"/>
      <c r="X237" s="213"/>
      <c r="Y237" s="213"/>
      <c r="Z237" s="213"/>
      <c r="AA237" s="213"/>
      <c r="AB237" s="216"/>
      <c r="AC237" s="213"/>
      <c r="AD237" s="213"/>
      <c r="AE237" s="213"/>
      <c r="AF237" s="213"/>
      <c r="AG237" s="213"/>
      <c r="AH237" s="216"/>
      <c r="AI237" s="213"/>
      <c r="AJ237" s="213"/>
      <c r="AK237" s="213"/>
      <c r="AL237" s="213"/>
      <c r="AM237" s="213"/>
      <c r="AN237" s="216"/>
      <c r="AO237" s="213"/>
      <c r="AP237" s="213"/>
      <c r="AQ237" s="213"/>
      <c r="AR237" s="213"/>
      <c r="AS237" s="213"/>
      <c r="AT237" s="216"/>
      <c r="AU237" s="213"/>
      <c r="AV237" s="213"/>
      <c r="AW237" s="213"/>
      <c r="AX237" s="213"/>
      <c r="AY237" s="213"/>
      <c r="AZ237" s="213"/>
      <c r="BA237" s="213"/>
      <c r="BB237" s="213"/>
      <c r="BC237" s="213"/>
      <c r="BD237" s="213"/>
      <c r="BE237" s="213"/>
      <c r="BF237" s="216"/>
      <c r="BG237" s="213"/>
      <c r="BH237" s="213"/>
      <c r="BI237" s="213"/>
      <c r="BJ237" s="213"/>
      <c r="BK237" s="213"/>
      <c r="BL237" s="213"/>
      <c r="BM237" s="213"/>
      <c r="BN237" s="213"/>
      <c r="BO237" s="213"/>
      <c r="BP237" s="213"/>
      <c r="BQ237" s="213"/>
      <c r="BR237" s="454"/>
      <c r="BS237" s="213"/>
      <c r="BT237" s="213"/>
      <c r="BU237" s="213"/>
      <c r="BV237" s="213"/>
      <c r="BW237" s="213"/>
      <c r="BX237" s="213"/>
      <c r="BY237" s="213"/>
      <c r="BZ237" s="213"/>
      <c r="CA237" s="213"/>
      <c r="CB237" s="213"/>
      <c r="CC237" s="213"/>
      <c r="CD237" s="213"/>
      <c r="CE237" s="213"/>
      <c r="CF237" s="213"/>
      <c r="CG237" s="213"/>
      <c r="CH237" s="213"/>
      <c r="CI237" s="213"/>
      <c r="CJ237" s="213"/>
      <c r="CK237" s="213"/>
      <c r="CL237" s="213"/>
      <c r="CM237" s="213"/>
      <c r="CN237" s="213"/>
      <c r="CO237" s="213"/>
      <c r="CP237" s="213"/>
      <c r="CQ237" s="213"/>
    </row>
    <row r="238" ht="15.75" customHeight="1">
      <c r="A238" s="213"/>
      <c r="B238" s="213"/>
      <c r="C238" s="213"/>
      <c r="D238" s="213"/>
      <c r="E238" s="213"/>
      <c r="F238" s="213"/>
      <c r="G238" s="213"/>
      <c r="H238" s="213"/>
      <c r="I238" s="213"/>
      <c r="J238" s="216"/>
      <c r="K238" s="213"/>
      <c r="L238" s="213"/>
      <c r="M238" s="213"/>
      <c r="N238" s="213"/>
      <c r="O238" s="213"/>
      <c r="P238" s="216"/>
      <c r="Q238" s="213"/>
      <c r="R238" s="213"/>
      <c r="S238" s="213"/>
      <c r="T238" s="213"/>
      <c r="U238" s="213"/>
      <c r="V238" s="216"/>
      <c r="W238" s="213"/>
      <c r="X238" s="213"/>
      <c r="Y238" s="213"/>
      <c r="Z238" s="213"/>
      <c r="AA238" s="213"/>
      <c r="AB238" s="216"/>
      <c r="AC238" s="213"/>
      <c r="AD238" s="213"/>
      <c r="AE238" s="213"/>
      <c r="AF238" s="213"/>
      <c r="AG238" s="213"/>
      <c r="AH238" s="216"/>
      <c r="AI238" s="213"/>
      <c r="AJ238" s="213"/>
      <c r="AK238" s="213"/>
      <c r="AL238" s="213"/>
      <c r="AM238" s="213"/>
      <c r="AN238" s="216"/>
      <c r="AO238" s="213"/>
      <c r="AP238" s="213"/>
      <c r="AQ238" s="213"/>
      <c r="AR238" s="213"/>
      <c r="AS238" s="213"/>
      <c r="AT238" s="216"/>
      <c r="AU238" s="213"/>
      <c r="AV238" s="213"/>
      <c r="AW238" s="213"/>
      <c r="AX238" s="213"/>
      <c r="AY238" s="213"/>
      <c r="AZ238" s="213"/>
      <c r="BA238" s="213"/>
      <c r="BB238" s="213"/>
      <c r="BC238" s="213"/>
      <c r="BD238" s="213"/>
      <c r="BE238" s="213"/>
      <c r="BF238" s="216"/>
      <c r="BG238" s="213"/>
      <c r="BH238" s="213"/>
      <c r="BI238" s="213"/>
      <c r="BJ238" s="213"/>
      <c r="BK238" s="213"/>
      <c r="BL238" s="213"/>
      <c r="BM238" s="213"/>
      <c r="BN238" s="213"/>
      <c r="BO238" s="213"/>
      <c r="BP238" s="213"/>
      <c r="BQ238" s="213"/>
      <c r="BR238" s="454"/>
      <c r="BS238" s="213"/>
      <c r="BT238" s="213"/>
      <c r="BU238" s="213"/>
      <c r="BV238" s="213"/>
      <c r="BW238" s="213"/>
      <c r="BX238" s="213"/>
      <c r="BY238" s="213"/>
      <c r="BZ238" s="213"/>
      <c r="CA238" s="213"/>
      <c r="CB238" s="213"/>
      <c r="CC238" s="213"/>
      <c r="CD238" s="213"/>
      <c r="CE238" s="213"/>
      <c r="CF238" s="213"/>
      <c r="CG238" s="213"/>
      <c r="CH238" s="213"/>
      <c r="CI238" s="213"/>
      <c r="CJ238" s="213"/>
      <c r="CK238" s="213"/>
      <c r="CL238" s="213"/>
      <c r="CM238" s="213"/>
      <c r="CN238" s="213"/>
      <c r="CO238" s="213"/>
      <c r="CP238" s="213"/>
      <c r="CQ238" s="213"/>
    </row>
    <row r="239" ht="15.75" customHeight="1">
      <c r="A239" s="213"/>
      <c r="B239" s="213"/>
      <c r="C239" s="213"/>
      <c r="D239" s="213"/>
      <c r="E239" s="213"/>
      <c r="F239" s="213"/>
      <c r="G239" s="213"/>
      <c r="H239" s="213"/>
      <c r="I239" s="213"/>
      <c r="J239" s="216"/>
      <c r="K239" s="213"/>
      <c r="L239" s="213"/>
      <c r="M239" s="213"/>
      <c r="N239" s="213"/>
      <c r="O239" s="213"/>
      <c r="P239" s="216"/>
      <c r="Q239" s="213"/>
      <c r="R239" s="213"/>
      <c r="S239" s="213"/>
      <c r="T239" s="213"/>
      <c r="U239" s="213"/>
      <c r="V239" s="216"/>
      <c r="W239" s="213"/>
      <c r="X239" s="213"/>
      <c r="Y239" s="213"/>
      <c r="Z239" s="213"/>
      <c r="AA239" s="213"/>
      <c r="AB239" s="216"/>
      <c r="AC239" s="213"/>
      <c r="AD239" s="213"/>
      <c r="AE239" s="213"/>
      <c r="AF239" s="213"/>
      <c r="AG239" s="213"/>
      <c r="AH239" s="216"/>
      <c r="AI239" s="213"/>
      <c r="AJ239" s="213"/>
      <c r="AK239" s="213"/>
      <c r="AL239" s="213"/>
      <c r="AM239" s="213"/>
      <c r="AN239" s="216"/>
      <c r="AO239" s="213"/>
      <c r="AP239" s="213"/>
      <c r="AQ239" s="213"/>
      <c r="AR239" s="213"/>
      <c r="AS239" s="213"/>
      <c r="AT239" s="216"/>
      <c r="AU239" s="213"/>
      <c r="AV239" s="213"/>
      <c r="AW239" s="213"/>
      <c r="AX239" s="213"/>
      <c r="AY239" s="213"/>
      <c r="AZ239" s="213"/>
      <c r="BA239" s="213"/>
      <c r="BB239" s="213"/>
      <c r="BC239" s="213"/>
      <c r="BD239" s="213"/>
      <c r="BE239" s="213"/>
      <c r="BF239" s="216"/>
      <c r="BG239" s="213"/>
      <c r="BH239" s="213"/>
      <c r="BI239" s="213"/>
      <c r="BJ239" s="213"/>
      <c r="BK239" s="213"/>
      <c r="BL239" s="213"/>
      <c r="BM239" s="213"/>
      <c r="BN239" s="213"/>
      <c r="BO239" s="213"/>
      <c r="BP239" s="213"/>
      <c r="BQ239" s="213"/>
      <c r="BR239" s="454"/>
      <c r="BS239" s="213"/>
      <c r="BT239" s="213"/>
      <c r="BU239" s="213"/>
      <c r="BV239" s="213"/>
      <c r="BW239" s="213"/>
      <c r="BX239" s="213"/>
      <c r="BY239" s="213"/>
      <c r="BZ239" s="213"/>
      <c r="CA239" s="213"/>
      <c r="CB239" s="213"/>
      <c r="CC239" s="213"/>
      <c r="CD239" s="213"/>
      <c r="CE239" s="213"/>
      <c r="CF239" s="213"/>
      <c r="CG239" s="213"/>
      <c r="CH239" s="213"/>
      <c r="CI239" s="213"/>
      <c r="CJ239" s="213"/>
      <c r="CK239" s="213"/>
      <c r="CL239" s="213"/>
      <c r="CM239" s="213"/>
      <c r="CN239" s="213"/>
      <c r="CO239" s="213"/>
      <c r="CP239" s="213"/>
      <c r="CQ239" s="213"/>
    </row>
    <row r="240" ht="15.75" customHeight="1">
      <c r="A240" s="213"/>
      <c r="B240" s="213"/>
      <c r="C240" s="213"/>
      <c r="D240" s="213"/>
      <c r="E240" s="213"/>
      <c r="F240" s="213"/>
      <c r="G240" s="213"/>
      <c r="H240" s="213"/>
      <c r="I240" s="213"/>
      <c r="J240" s="216"/>
      <c r="K240" s="213"/>
      <c r="L240" s="213"/>
      <c r="M240" s="213"/>
      <c r="N240" s="213"/>
      <c r="O240" s="213"/>
      <c r="P240" s="216"/>
      <c r="Q240" s="213"/>
      <c r="R240" s="213"/>
      <c r="S240" s="213"/>
      <c r="T240" s="213"/>
      <c r="U240" s="213"/>
      <c r="V240" s="216"/>
      <c r="W240" s="213"/>
      <c r="X240" s="213"/>
      <c r="Y240" s="213"/>
      <c r="Z240" s="213"/>
      <c r="AA240" s="213"/>
      <c r="AB240" s="216"/>
      <c r="AC240" s="213"/>
      <c r="AD240" s="213"/>
      <c r="AE240" s="213"/>
      <c r="AF240" s="213"/>
      <c r="AG240" s="213"/>
      <c r="AH240" s="216"/>
      <c r="AI240" s="213"/>
      <c r="AJ240" s="213"/>
      <c r="AK240" s="213"/>
      <c r="AL240" s="213"/>
      <c r="AM240" s="213"/>
      <c r="AN240" s="216"/>
      <c r="AO240" s="213"/>
      <c r="AP240" s="213"/>
      <c r="AQ240" s="213"/>
      <c r="AR240" s="213"/>
      <c r="AS240" s="213"/>
      <c r="AT240" s="216"/>
      <c r="AU240" s="213"/>
      <c r="AV240" s="213"/>
      <c r="AW240" s="213"/>
      <c r="AX240" s="213"/>
      <c r="AY240" s="213"/>
      <c r="AZ240" s="213"/>
      <c r="BA240" s="213"/>
      <c r="BB240" s="213"/>
      <c r="BC240" s="213"/>
      <c r="BD240" s="213"/>
      <c r="BE240" s="213"/>
      <c r="BF240" s="216"/>
      <c r="BG240" s="213"/>
      <c r="BH240" s="213"/>
      <c r="BI240" s="213"/>
      <c r="BJ240" s="213"/>
      <c r="BK240" s="213"/>
      <c r="BL240" s="213"/>
      <c r="BM240" s="213"/>
      <c r="BN240" s="213"/>
      <c r="BO240" s="213"/>
      <c r="BP240" s="213"/>
      <c r="BQ240" s="213"/>
      <c r="BR240" s="454"/>
      <c r="BS240" s="213"/>
      <c r="BT240" s="213"/>
      <c r="BU240" s="213"/>
      <c r="BV240" s="213"/>
      <c r="BW240" s="213"/>
      <c r="BX240" s="213"/>
      <c r="BY240" s="213"/>
      <c r="BZ240" s="213"/>
      <c r="CA240" s="213"/>
      <c r="CB240" s="213"/>
      <c r="CC240" s="213"/>
      <c r="CD240" s="213"/>
      <c r="CE240" s="213"/>
      <c r="CF240" s="213"/>
      <c r="CG240" s="213"/>
      <c r="CH240" s="213"/>
      <c r="CI240" s="213"/>
      <c r="CJ240" s="213"/>
      <c r="CK240" s="213"/>
      <c r="CL240" s="213"/>
      <c r="CM240" s="213"/>
      <c r="CN240" s="213"/>
      <c r="CO240" s="213"/>
      <c r="CP240" s="213"/>
      <c r="CQ240" s="213"/>
    </row>
    <row r="241" ht="15.75" customHeight="1">
      <c r="A241" s="213"/>
      <c r="B241" s="213"/>
      <c r="C241" s="213"/>
      <c r="D241" s="213"/>
      <c r="E241" s="213"/>
      <c r="F241" s="213"/>
      <c r="G241" s="213"/>
      <c r="H241" s="213"/>
      <c r="I241" s="213"/>
      <c r="J241" s="216"/>
      <c r="K241" s="213"/>
      <c r="L241" s="213"/>
      <c r="M241" s="213"/>
      <c r="N241" s="213"/>
      <c r="O241" s="213"/>
      <c r="P241" s="216"/>
      <c r="Q241" s="213"/>
      <c r="R241" s="213"/>
      <c r="S241" s="213"/>
      <c r="T241" s="213"/>
      <c r="U241" s="213"/>
      <c r="V241" s="216"/>
      <c r="W241" s="213"/>
      <c r="X241" s="213"/>
      <c r="Y241" s="213"/>
      <c r="Z241" s="213"/>
      <c r="AA241" s="213"/>
      <c r="AB241" s="216"/>
      <c r="AC241" s="213"/>
      <c r="AD241" s="213"/>
      <c r="AE241" s="213"/>
      <c r="AF241" s="213"/>
      <c r="AG241" s="213"/>
      <c r="AH241" s="216"/>
      <c r="AI241" s="213"/>
      <c r="AJ241" s="213"/>
      <c r="AK241" s="213"/>
      <c r="AL241" s="213"/>
      <c r="AM241" s="213"/>
      <c r="AN241" s="216"/>
      <c r="AO241" s="213"/>
      <c r="AP241" s="213"/>
      <c r="AQ241" s="213"/>
      <c r="AR241" s="213"/>
      <c r="AS241" s="213"/>
      <c r="AT241" s="216"/>
      <c r="AU241" s="213"/>
      <c r="AV241" s="213"/>
      <c r="AW241" s="213"/>
      <c r="AX241" s="213"/>
      <c r="AY241" s="213"/>
      <c r="AZ241" s="213"/>
      <c r="BA241" s="213"/>
      <c r="BB241" s="213"/>
      <c r="BC241" s="213"/>
      <c r="BD241" s="213"/>
      <c r="BE241" s="213"/>
      <c r="BF241" s="216"/>
      <c r="BG241" s="213"/>
      <c r="BH241" s="213"/>
      <c r="BI241" s="213"/>
      <c r="BJ241" s="213"/>
      <c r="BK241" s="213"/>
      <c r="BL241" s="213"/>
      <c r="BM241" s="213"/>
      <c r="BN241" s="213"/>
      <c r="BO241" s="213"/>
      <c r="BP241" s="213"/>
      <c r="BQ241" s="213"/>
      <c r="BR241" s="454"/>
      <c r="BS241" s="213"/>
      <c r="BT241" s="213"/>
      <c r="BU241" s="213"/>
      <c r="BV241" s="213"/>
      <c r="BW241" s="213"/>
      <c r="BX241" s="213"/>
      <c r="BY241" s="213"/>
      <c r="BZ241" s="213"/>
      <c r="CA241" s="213"/>
      <c r="CB241" s="213"/>
      <c r="CC241" s="213"/>
      <c r="CD241" s="213"/>
      <c r="CE241" s="213"/>
      <c r="CF241" s="213"/>
      <c r="CG241" s="213"/>
      <c r="CH241" s="213"/>
      <c r="CI241" s="213"/>
      <c r="CJ241" s="213"/>
      <c r="CK241" s="213"/>
      <c r="CL241" s="213"/>
      <c r="CM241" s="213"/>
      <c r="CN241" s="213"/>
      <c r="CO241" s="213"/>
      <c r="CP241" s="213"/>
      <c r="CQ241" s="213"/>
    </row>
    <row r="242" ht="15.75" customHeight="1">
      <c r="A242" s="213"/>
      <c r="B242" s="213"/>
      <c r="C242" s="213"/>
      <c r="D242" s="213"/>
      <c r="E242" s="213"/>
      <c r="F242" s="213"/>
      <c r="G242" s="213"/>
      <c r="H242" s="213"/>
      <c r="I242" s="213"/>
      <c r="J242" s="216"/>
      <c r="K242" s="213"/>
      <c r="L242" s="213"/>
      <c r="M242" s="213"/>
      <c r="N242" s="213"/>
      <c r="O242" s="213"/>
      <c r="P242" s="216"/>
      <c r="Q242" s="213"/>
      <c r="R242" s="213"/>
      <c r="S242" s="213"/>
      <c r="T242" s="213"/>
      <c r="U242" s="213"/>
      <c r="V242" s="216"/>
      <c r="W242" s="213"/>
      <c r="X242" s="213"/>
      <c r="Y242" s="213"/>
      <c r="Z242" s="213"/>
      <c r="AA242" s="213"/>
      <c r="AB242" s="216"/>
      <c r="AC242" s="213"/>
      <c r="AD242" s="213"/>
      <c r="AE242" s="213"/>
      <c r="AF242" s="213"/>
      <c r="AG242" s="213"/>
      <c r="AH242" s="216"/>
      <c r="AI242" s="213"/>
      <c r="AJ242" s="213"/>
      <c r="AK242" s="213"/>
      <c r="AL242" s="213"/>
      <c r="AM242" s="213"/>
      <c r="AN242" s="216"/>
      <c r="AO242" s="213"/>
      <c r="AP242" s="213"/>
      <c r="AQ242" s="213"/>
      <c r="AR242" s="213"/>
      <c r="AS242" s="213"/>
      <c r="AT242" s="216"/>
      <c r="AU242" s="213"/>
      <c r="AV242" s="213"/>
      <c r="AW242" s="213"/>
      <c r="AX242" s="213"/>
      <c r="AY242" s="213"/>
      <c r="AZ242" s="213"/>
      <c r="BA242" s="213"/>
      <c r="BB242" s="213"/>
      <c r="BC242" s="213"/>
      <c r="BD242" s="213"/>
      <c r="BE242" s="213"/>
      <c r="BF242" s="216"/>
      <c r="BG242" s="213"/>
      <c r="BH242" s="213"/>
      <c r="BI242" s="213"/>
      <c r="BJ242" s="213"/>
      <c r="BK242" s="213"/>
      <c r="BL242" s="213"/>
      <c r="BM242" s="213"/>
      <c r="BN242" s="213"/>
      <c r="BO242" s="213"/>
      <c r="BP242" s="213"/>
      <c r="BQ242" s="213"/>
      <c r="BR242" s="454"/>
      <c r="BS242" s="213"/>
      <c r="BT242" s="213"/>
      <c r="BU242" s="213"/>
      <c r="BV242" s="213"/>
      <c r="BW242" s="213"/>
      <c r="BX242" s="213"/>
      <c r="BY242" s="213"/>
      <c r="BZ242" s="213"/>
      <c r="CA242" s="213"/>
      <c r="CB242" s="213"/>
      <c r="CC242" s="213"/>
      <c r="CD242" s="213"/>
      <c r="CE242" s="213"/>
      <c r="CF242" s="213"/>
      <c r="CG242" s="213"/>
      <c r="CH242" s="213"/>
      <c r="CI242" s="213"/>
      <c r="CJ242" s="213"/>
      <c r="CK242" s="213"/>
      <c r="CL242" s="213"/>
      <c r="CM242" s="213"/>
      <c r="CN242" s="213"/>
      <c r="CO242" s="213"/>
      <c r="CP242" s="213"/>
      <c r="CQ242" s="213"/>
    </row>
    <row r="243" ht="15.75" customHeight="1">
      <c r="A243" s="213"/>
      <c r="B243" s="213"/>
      <c r="C243" s="213"/>
      <c r="D243" s="213"/>
      <c r="E243" s="213"/>
      <c r="F243" s="213"/>
      <c r="G243" s="213"/>
      <c r="H243" s="213"/>
      <c r="I243" s="213"/>
      <c r="J243" s="216"/>
      <c r="K243" s="213"/>
      <c r="L243" s="213"/>
      <c r="M243" s="213"/>
      <c r="N243" s="213"/>
      <c r="O243" s="213"/>
      <c r="P243" s="216"/>
      <c r="Q243" s="213"/>
      <c r="R243" s="213"/>
      <c r="S243" s="213"/>
      <c r="T243" s="213"/>
      <c r="U243" s="213"/>
      <c r="V243" s="216"/>
      <c r="W243" s="213"/>
      <c r="X243" s="213"/>
      <c r="Y243" s="213"/>
      <c r="Z243" s="213"/>
      <c r="AA243" s="213"/>
      <c r="AB243" s="216"/>
      <c r="AC243" s="213"/>
      <c r="AD243" s="213"/>
      <c r="AE243" s="213"/>
      <c r="AF243" s="213"/>
      <c r="AG243" s="213"/>
      <c r="AH243" s="216"/>
      <c r="AI243" s="213"/>
      <c r="AJ243" s="213"/>
      <c r="AK243" s="213"/>
      <c r="AL243" s="213"/>
      <c r="AM243" s="213"/>
      <c r="AN243" s="216"/>
      <c r="AO243" s="213"/>
      <c r="AP243" s="213"/>
      <c r="AQ243" s="213"/>
      <c r="AR243" s="213"/>
      <c r="AS243" s="213"/>
      <c r="AT243" s="216"/>
      <c r="AU243" s="213"/>
      <c r="AV243" s="213"/>
      <c r="AW243" s="213"/>
      <c r="AX243" s="213"/>
      <c r="AY243" s="213"/>
      <c r="AZ243" s="213"/>
      <c r="BA243" s="213"/>
      <c r="BB243" s="213"/>
      <c r="BC243" s="213"/>
      <c r="BD243" s="213"/>
      <c r="BE243" s="213"/>
      <c r="BF243" s="216"/>
      <c r="BG243" s="213"/>
      <c r="BH243" s="213"/>
      <c r="BI243" s="213"/>
      <c r="BJ243" s="213"/>
      <c r="BK243" s="213"/>
      <c r="BL243" s="213"/>
      <c r="BM243" s="213"/>
      <c r="BN243" s="213"/>
      <c r="BO243" s="213"/>
      <c r="BP243" s="213"/>
      <c r="BQ243" s="213"/>
      <c r="BR243" s="454"/>
      <c r="BS243" s="213"/>
      <c r="BT243" s="213"/>
      <c r="BU243" s="213"/>
      <c r="BV243" s="213"/>
      <c r="BW243" s="213"/>
      <c r="BX243" s="213"/>
      <c r="BY243" s="213"/>
      <c r="BZ243" s="213"/>
      <c r="CA243" s="213"/>
      <c r="CB243" s="213"/>
      <c r="CC243" s="213"/>
      <c r="CD243" s="213"/>
      <c r="CE243" s="213"/>
      <c r="CF243" s="213"/>
      <c r="CG243" s="213"/>
      <c r="CH243" s="213"/>
      <c r="CI243" s="213"/>
      <c r="CJ243" s="213"/>
      <c r="CK243" s="213"/>
      <c r="CL243" s="213"/>
      <c r="CM243" s="213"/>
      <c r="CN243" s="213"/>
      <c r="CO243" s="213"/>
      <c r="CP243" s="213"/>
      <c r="CQ243" s="213"/>
    </row>
    <row r="244" ht="15.75" customHeight="1">
      <c r="A244" s="213"/>
      <c r="B244" s="213"/>
      <c r="C244" s="213"/>
      <c r="D244" s="213"/>
      <c r="E244" s="213"/>
      <c r="F244" s="213"/>
      <c r="G244" s="213"/>
      <c r="H244" s="213"/>
      <c r="I244" s="213"/>
      <c r="J244" s="216"/>
      <c r="K244" s="213"/>
      <c r="L244" s="213"/>
      <c r="M244" s="213"/>
      <c r="N244" s="213"/>
      <c r="O244" s="213"/>
      <c r="P244" s="216"/>
      <c r="Q244" s="213"/>
      <c r="R244" s="213"/>
      <c r="S244" s="213"/>
      <c r="T244" s="213"/>
      <c r="U244" s="213"/>
      <c r="V244" s="216"/>
      <c r="W244" s="213"/>
      <c r="X244" s="213"/>
      <c r="Y244" s="213"/>
      <c r="Z244" s="213"/>
      <c r="AA244" s="213"/>
      <c r="AB244" s="216"/>
      <c r="AC244" s="213"/>
      <c r="AD244" s="213"/>
      <c r="AE244" s="213"/>
      <c r="AF244" s="213"/>
      <c r="AG244" s="213"/>
      <c r="AH244" s="216"/>
      <c r="AI244" s="213"/>
      <c r="AJ244" s="213"/>
      <c r="AK244" s="213"/>
      <c r="AL244" s="213"/>
      <c r="AM244" s="213"/>
      <c r="AN244" s="216"/>
      <c r="AO244" s="213"/>
      <c r="AP244" s="213"/>
      <c r="AQ244" s="213"/>
      <c r="AR244" s="213"/>
      <c r="AS244" s="213"/>
      <c r="AT244" s="216"/>
      <c r="AU244" s="213"/>
      <c r="AV244" s="213"/>
      <c r="AW244" s="213"/>
      <c r="AX244" s="213"/>
      <c r="AY244" s="213"/>
      <c r="AZ244" s="213"/>
      <c r="BA244" s="213"/>
      <c r="BB244" s="213"/>
      <c r="BC244" s="213"/>
      <c r="BD244" s="213"/>
      <c r="BE244" s="213"/>
      <c r="BF244" s="216"/>
      <c r="BG244" s="213"/>
      <c r="BH244" s="213"/>
      <c r="BI244" s="213"/>
      <c r="BJ244" s="213"/>
      <c r="BK244" s="213"/>
      <c r="BL244" s="213"/>
      <c r="BM244" s="213"/>
      <c r="BN244" s="213"/>
      <c r="BO244" s="213"/>
      <c r="BP244" s="213"/>
      <c r="BQ244" s="213"/>
      <c r="BR244" s="454"/>
      <c r="BS244" s="213"/>
      <c r="BT244" s="213"/>
      <c r="BU244" s="213"/>
      <c r="BV244" s="213"/>
      <c r="BW244" s="213"/>
      <c r="BX244" s="213"/>
      <c r="BY244" s="213"/>
      <c r="BZ244" s="213"/>
      <c r="CA244" s="213"/>
      <c r="CB244" s="213"/>
      <c r="CC244" s="213"/>
      <c r="CD244" s="213"/>
      <c r="CE244" s="213"/>
      <c r="CF244" s="213"/>
      <c r="CG244" s="213"/>
      <c r="CH244" s="213"/>
      <c r="CI244" s="213"/>
      <c r="CJ244" s="213"/>
      <c r="CK244" s="213"/>
      <c r="CL244" s="213"/>
      <c r="CM244" s="213"/>
      <c r="CN244" s="213"/>
      <c r="CO244" s="213"/>
      <c r="CP244" s="213"/>
      <c r="CQ244" s="213"/>
    </row>
    <row r="245" ht="15.75" customHeight="1">
      <c r="A245" s="213"/>
      <c r="B245" s="213"/>
      <c r="C245" s="213"/>
      <c r="D245" s="213"/>
      <c r="E245" s="213"/>
      <c r="F245" s="213"/>
      <c r="G245" s="213"/>
      <c r="H245" s="213"/>
      <c r="I245" s="213"/>
      <c r="J245" s="216"/>
      <c r="K245" s="213"/>
      <c r="L245" s="213"/>
      <c r="M245" s="213"/>
      <c r="N245" s="213"/>
      <c r="O245" s="213"/>
      <c r="P245" s="216"/>
      <c r="Q245" s="213"/>
      <c r="R245" s="213"/>
      <c r="S245" s="213"/>
      <c r="T245" s="213"/>
      <c r="U245" s="213"/>
      <c r="V245" s="216"/>
      <c r="W245" s="213"/>
      <c r="X245" s="213"/>
      <c r="Y245" s="213"/>
      <c r="Z245" s="213"/>
      <c r="AA245" s="213"/>
      <c r="AB245" s="216"/>
      <c r="AC245" s="213"/>
      <c r="AD245" s="213"/>
      <c r="AE245" s="213"/>
      <c r="AF245" s="213"/>
      <c r="AG245" s="213"/>
      <c r="AH245" s="216"/>
      <c r="AI245" s="213"/>
      <c r="AJ245" s="213"/>
      <c r="AK245" s="213"/>
      <c r="AL245" s="213"/>
      <c r="AM245" s="213"/>
      <c r="AN245" s="216"/>
      <c r="AO245" s="213"/>
      <c r="AP245" s="213"/>
      <c r="AQ245" s="213"/>
      <c r="AR245" s="213"/>
      <c r="AS245" s="213"/>
      <c r="AT245" s="216"/>
      <c r="AU245" s="213"/>
      <c r="AV245" s="213"/>
      <c r="AW245" s="213"/>
      <c r="AX245" s="213"/>
      <c r="AY245" s="213"/>
      <c r="AZ245" s="213"/>
      <c r="BA245" s="213"/>
      <c r="BB245" s="213"/>
      <c r="BC245" s="213"/>
      <c r="BD245" s="213"/>
      <c r="BE245" s="213"/>
      <c r="BF245" s="216"/>
      <c r="BG245" s="213"/>
      <c r="BH245" s="213"/>
      <c r="BI245" s="213"/>
      <c r="BJ245" s="213"/>
      <c r="BK245" s="213"/>
      <c r="BL245" s="213"/>
      <c r="BM245" s="213"/>
      <c r="BN245" s="213"/>
      <c r="BO245" s="213"/>
      <c r="BP245" s="213"/>
      <c r="BQ245" s="213"/>
      <c r="BR245" s="454"/>
      <c r="BS245" s="213"/>
      <c r="BT245" s="213"/>
      <c r="BU245" s="213"/>
      <c r="BV245" s="213"/>
      <c r="BW245" s="213"/>
      <c r="BX245" s="213"/>
      <c r="BY245" s="213"/>
      <c r="BZ245" s="213"/>
      <c r="CA245" s="213"/>
      <c r="CB245" s="213"/>
      <c r="CC245" s="213"/>
      <c r="CD245" s="213"/>
      <c r="CE245" s="213"/>
      <c r="CF245" s="213"/>
      <c r="CG245" s="213"/>
      <c r="CH245" s="213"/>
      <c r="CI245" s="213"/>
      <c r="CJ245" s="213"/>
      <c r="CK245" s="213"/>
      <c r="CL245" s="213"/>
      <c r="CM245" s="213"/>
      <c r="CN245" s="213"/>
      <c r="CO245" s="213"/>
      <c r="CP245" s="213"/>
      <c r="CQ245" s="213"/>
    </row>
    <row r="246" ht="15.75" customHeight="1">
      <c r="A246" s="213"/>
      <c r="B246" s="213"/>
      <c r="C246" s="213"/>
      <c r="D246" s="213"/>
      <c r="E246" s="213"/>
      <c r="F246" s="213"/>
      <c r="G246" s="213"/>
      <c r="H246" s="213"/>
      <c r="I246" s="213"/>
      <c r="J246" s="216"/>
      <c r="K246" s="213"/>
      <c r="L246" s="213"/>
      <c r="M246" s="213"/>
      <c r="N246" s="213"/>
      <c r="O246" s="213"/>
      <c r="P246" s="216"/>
      <c r="Q246" s="213"/>
      <c r="R246" s="213"/>
      <c r="S246" s="213"/>
      <c r="T246" s="213"/>
      <c r="U246" s="213"/>
      <c r="V246" s="216"/>
      <c r="W246" s="213"/>
      <c r="X246" s="213"/>
      <c r="Y246" s="213"/>
      <c r="Z246" s="213"/>
      <c r="AA246" s="213"/>
      <c r="AB246" s="216"/>
      <c r="AC246" s="213"/>
      <c r="AD246" s="213"/>
      <c r="AE246" s="213"/>
      <c r="AF246" s="213"/>
      <c r="AG246" s="213"/>
      <c r="AH246" s="216"/>
      <c r="AI246" s="213"/>
      <c r="AJ246" s="213"/>
      <c r="AK246" s="213"/>
      <c r="AL246" s="213"/>
      <c r="AM246" s="213"/>
      <c r="AN246" s="216"/>
      <c r="AO246" s="213"/>
      <c r="AP246" s="213"/>
      <c r="AQ246" s="213"/>
      <c r="AR246" s="213"/>
      <c r="AS246" s="213"/>
      <c r="AT246" s="216"/>
      <c r="AU246" s="213"/>
      <c r="AV246" s="213"/>
      <c r="AW246" s="213"/>
      <c r="AX246" s="213"/>
      <c r="AY246" s="213"/>
      <c r="AZ246" s="213"/>
      <c r="BA246" s="213"/>
      <c r="BB246" s="213"/>
      <c r="BC246" s="213"/>
      <c r="BD246" s="213"/>
      <c r="BE246" s="213"/>
      <c r="BF246" s="216"/>
      <c r="BG246" s="213"/>
      <c r="BH246" s="213"/>
      <c r="BI246" s="213"/>
      <c r="BJ246" s="213"/>
      <c r="BK246" s="213"/>
      <c r="BL246" s="213"/>
      <c r="BM246" s="213"/>
      <c r="BN246" s="213"/>
      <c r="BO246" s="213"/>
      <c r="BP246" s="213"/>
      <c r="BQ246" s="213"/>
      <c r="BR246" s="454"/>
      <c r="BS246" s="213"/>
      <c r="BT246" s="213"/>
      <c r="BU246" s="213"/>
      <c r="BV246" s="213"/>
      <c r="BW246" s="213"/>
      <c r="BX246" s="213"/>
      <c r="BY246" s="213"/>
      <c r="BZ246" s="213"/>
      <c r="CA246" s="213"/>
      <c r="CB246" s="213"/>
      <c r="CC246" s="213"/>
      <c r="CD246" s="213"/>
      <c r="CE246" s="213"/>
      <c r="CF246" s="213"/>
      <c r="CG246" s="213"/>
      <c r="CH246" s="213"/>
      <c r="CI246" s="213"/>
      <c r="CJ246" s="213"/>
      <c r="CK246" s="213"/>
      <c r="CL246" s="213"/>
      <c r="CM246" s="213"/>
      <c r="CN246" s="213"/>
      <c r="CO246" s="213"/>
      <c r="CP246" s="213"/>
      <c r="CQ246" s="213"/>
    </row>
    <row r="247" ht="15.75" customHeight="1">
      <c r="A247" s="213"/>
      <c r="B247" s="213"/>
      <c r="C247" s="213"/>
      <c r="D247" s="213"/>
      <c r="E247" s="213"/>
      <c r="F247" s="213"/>
      <c r="G247" s="213"/>
      <c r="H247" s="213"/>
      <c r="I247" s="213"/>
      <c r="J247" s="216"/>
      <c r="K247" s="213"/>
      <c r="L247" s="213"/>
      <c r="M247" s="213"/>
      <c r="N247" s="213"/>
      <c r="O247" s="213"/>
      <c r="P247" s="216"/>
      <c r="Q247" s="213"/>
      <c r="R247" s="213"/>
      <c r="S247" s="213"/>
      <c r="T247" s="213"/>
      <c r="U247" s="213"/>
      <c r="V247" s="216"/>
      <c r="W247" s="213"/>
      <c r="X247" s="213"/>
      <c r="Y247" s="213"/>
      <c r="Z247" s="213"/>
      <c r="AA247" s="213"/>
      <c r="AB247" s="216"/>
      <c r="AC247" s="213"/>
      <c r="AD247" s="213"/>
      <c r="AE247" s="213"/>
      <c r="AF247" s="213"/>
      <c r="AG247" s="213"/>
      <c r="AH247" s="216"/>
      <c r="AI247" s="213"/>
      <c r="AJ247" s="213"/>
      <c r="AK247" s="213"/>
      <c r="AL247" s="213"/>
      <c r="AM247" s="213"/>
      <c r="AN247" s="216"/>
      <c r="AO247" s="213"/>
      <c r="AP247" s="213"/>
      <c r="AQ247" s="213"/>
      <c r="AR247" s="213"/>
      <c r="AS247" s="213"/>
      <c r="AT247" s="216"/>
      <c r="AU247" s="213"/>
      <c r="AV247" s="213"/>
      <c r="AW247" s="213"/>
      <c r="AX247" s="213"/>
      <c r="AY247" s="213"/>
      <c r="AZ247" s="213"/>
      <c r="BA247" s="213"/>
      <c r="BB247" s="213"/>
      <c r="BC247" s="213"/>
      <c r="BD247" s="213"/>
      <c r="BE247" s="213"/>
      <c r="BF247" s="216"/>
      <c r="BG247" s="213"/>
      <c r="BH247" s="213"/>
      <c r="BI247" s="213"/>
      <c r="BJ247" s="213"/>
      <c r="BK247" s="213"/>
      <c r="BL247" s="213"/>
      <c r="BM247" s="213"/>
      <c r="BN247" s="213"/>
      <c r="BO247" s="213"/>
      <c r="BP247" s="213"/>
      <c r="BQ247" s="213"/>
      <c r="BR247" s="454"/>
      <c r="BS247" s="213"/>
      <c r="BT247" s="213"/>
      <c r="BU247" s="213"/>
      <c r="BV247" s="213"/>
      <c r="BW247" s="213"/>
      <c r="BX247" s="213"/>
      <c r="BY247" s="213"/>
      <c r="BZ247" s="213"/>
      <c r="CA247" s="213"/>
      <c r="CB247" s="213"/>
      <c r="CC247" s="213"/>
      <c r="CD247" s="213"/>
      <c r="CE247" s="213"/>
      <c r="CF247" s="213"/>
      <c r="CG247" s="213"/>
      <c r="CH247" s="213"/>
      <c r="CI247" s="213"/>
      <c r="CJ247" s="213"/>
      <c r="CK247" s="213"/>
      <c r="CL247" s="213"/>
      <c r="CM247" s="213"/>
      <c r="CN247" s="213"/>
      <c r="CO247" s="213"/>
      <c r="CP247" s="213"/>
      <c r="CQ247" s="213"/>
    </row>
    <row r="248" ht="15.75" customHeight="1">
      <c r="A248" s="213"/>
      <c r="B248" s="213"/>
      <c r="C248" s="213"/>
      <c r="D248" s="213"/>
      <c r="E248" s="213"/>
      <c r="F248" s="213"/>
      <c r="G248" s="213"/>
      <c r="H248" s="213"/>
      <c r="I248" s="213"/>
      <c r="J248" s="216"/>
      <c r="K248" s="213"/>
      <c r="L248" s="213"/>
      <c r="M248" s="213"/>
      <c r="N248" s="213"/>
      <c r="O248" s="213"/>
      <c r="P248" s="216"/>
      <c r="Q248" s="213"/>
      <c r="R248" s="213"/>
      <c r="S248" s="213"/>
      <c r="T248" s="213"/>
      <c r="U248" s="213"/>
      <c r="V248" s="216"/>
      <c r="W248" s="213"/>
      <c r="X248" s="213"/>
      <c r="Y248" s="213"/>
      <c r="Z248" s="213"/>
      <c r="AA248" s="213"/>
      <c r="AB248" s="216"/>
      <c r="AC248" s="213"/>
      <c r="AD248" s="213"/>
      <c r="AE248" s="213"/>
      <c r="AF248" s="213"/>
      <c r="AG248" s="213"/>
      <c r="AH248" s="216"/>
      <c r="AI248" s="213"/>
      <c r="AJ248" s="213"/>
      <c r="AK248" s="213"/>
      <c r="AL248" s="213"/>
      <c r="AM248" s="213"/>
      <c r="AN248" s="216"/>
      <c r="AO248" s="213"/>
      <c r="AP248" s="213"/>
      <c r="AQ248" s="213"/>
      <c r="AR248" s="213"/>
      <c r="AS248" s="213"/>
      <c r="AT248" s="216"/>
      <c r="AU248" s="213"/>
      <c r="AV248" s="213"/>
      <c r="AW248" s="213"/>
      <c r="AX248" s="213"/>
      <c r="AY248" s="213"/>
      <c r="AZ248" s="213"/>
      <c r="BA248" s="213"/>
      <c r="BB248" s="213"/>
      <c r="BC248" s="213"/>
      <c r="BD248" s="213"/>
      <c r="BE248" s="213"/>
      <c r="BF248" s="216"/>
      <c r="BG248" s="213"/>
      <c r="BH248" s="213"/>
      <c r="BI248" s="213"/>
      <c r="BJ248" s="213"/>
      <c r="BK248" s="213"/>
      <c r="BL248" s="213"/>
      <c r="BM248" s="213"/>
      <c r="BN248" s="213"/>
      <c r="BO248" s="213"/>
      <c r="BP248" s="213"/>
      <c r="BQ248" s="213"/>
      <c r="BR248" s="454"/>
      <c r="BS248" s="213"/>
      <c r="BT248" s="213"/>
      <c r="BU248" s="213"/>
      <c r="BV248" s="213"/>
      <c r="BW248" s="213"/>
      <c r="BX248" s="213"/>
      <c r="BY248" s="213"/>
      <c r="BZ248" s="213"/>
      <c r="CA248" s="213"/>
      <c r="CB248" s="213"/>
      <c r="CC248" s="213"/>
      <c r="CD248" s="213"/>
      <c r="CE248" s="213"/>
      <c r="CF248" s="213"/>
      <c r="CG248" s="213"/>
      <c r="CH248" s="213"/>
      <c r="CI248" s="213"/>
      <c r="CJ248" s="213"/>
      <c r="CK248" s="213"/>
      <c r="CL248" s="213"/>
      <c r="CM248" s="213"/>
      <c r="CN248" s="213"/>
      <c r="CO248" s="213"/>
      <c r="CP248" s="213"/>
      <c r="CQ248" s="213"/>
    </row>
    <row r="249" ht="15.75" customHeight="1">
      <c r="A249" s="213"/>
      <c r="B249" s="213"/>
      <c r="C249" s="213"/>
      <c r="D249" s="213"/>
      <c r="E249" s="213"/>
      <c r="F249" s="213"/>
      <c r="G249" s="213"/>
      <c r="H249" s="213"/>
      <c r="I249" s="213"/>
      <c r="J249" s="216"/>
      <c r="K249" s="213"/>
      <c r="L249" s="213"/>
      <c r="M249" s="213"/>
      <c r="N249" s="213"/>
      <c r="O249" s="213"/>
      <c r="P249" s="216"/>
      <c r="Q249" s="213"/>
      <c r="R249" s="213"/>
      <c r="S249" s="213"/>
      <c r="T249" s="213"/>
      <c r="U249" s="213"/>
      <c r="V249" s="216"/>
      <c r="W249" s="213"/>
      <c r="X249" s="213"/>
      <c r="Y249" s="213"/>
      <c r="Z249" s="213"/>
      <c r="AA249" s="213"/>
      <c r="AB249" s="216"/>
      <c r="AC249" s="213"/>
      <c r="AD249" s="213"/>
      <c r="AE249" s="213"/>
      <c r="AF249" s="213"/>
      <c r="AG249" s="213"/>
      <c r="AH249" s="216"/>
      <c r="AI249" s="213"/>
      <c r="AJ249" s="213"/>
      <c r="AK249" s="213"/>
      <c r="AL249" s="213"/>
      <c r="AM249" s="213"/>
      <c r="AN249" s="216"/>
      <c r="AO249" s="213"/>
      <c r="AP249" s="213"/>
      <c r="AQ249" s="213"/>
      <c r="AR249" s="213"/>
      <c r="AS249" s="213"/>
      <c r="AT249" s="216"/>
      <c r="AU249" s="213"/>
      <c r="AV249" s="213"/>
      <c r="AW249" s="213"/>
      <c r="AX249" s="213"/>
      <c r="AY249" s="213"/>
      <c r="AZ249" s="213"/>
      <c r="BA249" s="213"/>
      <c r="BB249" s="213"/>
      <c r="BC249" s="213"/>
      <c r="BD249" s="213"/>
      <c r="BE249" s="213"/>
      <c r="BF249" s="216"/>
      <c r="BG249" s="213"/>
      <c r="BH249" s="213"/>
      <c r="BI249" s="213"/>
      <c r="BJ249" s="213"/>
      <c r="BK249" s="213"/>
      <c r="BL249" s="213"/>
      <c r="BM249" s="213"/>
      <c r="BN249" s="213"/>
      <c r="BO249" s="213"/>
      <c r="BP249" s="213"/>
      <c r="BQ249" s="213"/>
      <c r="BR249" s="454"/>
      <c r="BS249" s="213"/>
      <c r="BT249" s="213"/>
      <c r="BU249" s="213"/>
      <c r="BV249" s="213"/>
      <c r="BW249" s="213"/>
      <c r="BX249" s="213"/>
      <c r="BY249" s="213"/>
      <c r="BZ249" s="213"/>
      <c r="CA249" s="213"/>
      <c r="CB249" s="213"/>
      <c r="CC249" s="213"/>
      <c r="CD249" s="213"/>
      <c r="CE249" s="213"/>
      <c r="CF249" s="213"/>
      <c r="CG249" s="213"/>
      <c r="CH249" s="213"/>
      <c r="CI249" s="213"/>
      <c r="CJ249" s="213"/>
      <c r="CK249" s="213"/>
      <c r="CL249" s="213"/>
      <c r="CM249" s="213"/>
      <c r="CN249" s="213"/>
      <c r="CO249" s="213"/>
      <c r="CP249" s="213"/>
      <c r="CQ249" s="213"/>
    </row>
    <row r="250" ht="15.75" customHeight="1">
      <c r="A250" s="213"/>
      <c r="B250" s="213"/>
      <c r="C250" s="213"/>
      <c r="D250" s="213"/>
      <c r="E250" s="213"/>
      <c r="F250" s="213"/>
      <c r="G250" s="213"/>
      <c r="H250" s="213"/>
      <c r="I250" s="213"/>
      <c r="J250" s="216"/>
      <c r="K250" s="213"/>
      <c r="L250" s="213"/>
      <c r="M250" s="213"/>
      <c r="N250" s="213"/>
      <c r="O250" s="213"/>
      <c r="P250" s="216"/>
      <c r="Q250" s="213"/>
      <c r="R250" s="213"/>
      <c r="S250" s="213"/>
      <c r="T250" s="213"/>
      <c r="U250" s="213"/>
      <c r="V250" s="216"/>
      <c r="W250" s="213"/>
      <c r="X250" s="213"/>
      <c r="Y250" s="213"/>
      <c r="Z250" s="213"/>
      <c r="AA250" s="213"/>
      <c r="AB250" s="216"/>
      <c r="AC250" s="213"/>
      <c r="AD250" s="213"/>
      <c r="AE250" s="213"/>
      <c r="AF250" s="213"/>
      <c r="AG250" s="213"/>
      <c r="AH250" s="216"/>
      <c r="AI250" s="213"/>
      <c r="AJ250" s="213"/>
      <c r="AK250" s="213"/>
      <c r="AL250" s="213"/>
      <c r="AM250" s="213"/>
      <c r="AN250" s="216"/>
      <c r="AO250" s="213"/>
      <c r="AP250" s="213"/>
      <c r="AQ250" s="213"/>
      <c r="AR250" s="213"/>
      <c r="AS250" s="213"/>
      <c r="AT250" s="216"/>
      <c r="AU250" s="213"/>
      <c r="AV250" s="213"/>
      <c r="AW250" s="213"/>
      <c r="AX250" s="213"/>
      <c r="AY250" s="213"/>
      <c r="AZ250" s="213"/>
      <c r="BA250" s="213"/>
      <c r="BB250" s="213"/>
      <c r="BC250" s="213"/>
      <c r="BD250" s="213"/>
      <c r="BE250" s="213"/>
      <c r="BF250" s="216"/>
      <c r="BG250" s="213"/>
      <c r="BH250" s="213"/>
      <c r="BI250" s="213"/>
      <c r="BJ250" s="213"/>
      <c r="BK250" s="213"/>
      <c r="BL250" s="213"/>
      <c r="BM250" s="213"/>
      <c r="BN250" s="213"/>
      <c r="BO250" s="213"/>
      <c r="BP250" s="213"/>
      <c r="BQ250" s="213"/>
      <c r="BR250" s="454"/>
      <c r="BS250" s="213"/>
      <c r="BT250" s="213"/>
      <c r="BU250" s="213"/>
      <c r="BV250" s="213"/>
      <c r="BW250" s="213"/>
      <c r="BX250" s="213"/>
      <c r="BY250" s="213"/>
      <c r="BZ250" s="213"/>
      <c r="CA250" s="213"/>
      <c r="CB250" s="213"/>
      <c r="CC250" s="213"/>
      <c r="CD250" s="213"/>
      <c r="CE250" s="213"/>
      <c r="CF250" s="213"/>
      <c r="CG250" s="213"/>
      <c r="CH250" s="213"/>
      <c r="CI250" s="213"/>
      <c r="CJ250" s="213"/>
      <c r="CK250" s="213"/>
      <c r="CL250" s="213"/>
      <c r="CM250" s="213"/>
      <c r="CN250" s="213"/>
      <c r="CO250" s="213"/>
      <c r="CP250" s="213"/>
      <c r="CQ250" s="213"/>
    </row>
    <row r="251" ht="15.75" customHeight="1">
      <c r="A251" s="213"/>
      <c r="B251" s="213"/>
      <c r="C251" s="213"/>
      <c r="D251" s="213"/>
      <c r="E251" s="213"/>
      <c r="F251" s="213"/>
      <c r="G251" s="213"/>
      <c r="H251" s="213"/>
      <c r="I251" s="213"/>
      <c r="J251" s="216"/>
      <c r="K251" s="213"/>
      <c r="L251" s="213"/>
      <c r="M251" s="213"/>
      <c r="N251" s="213"/>
      <c r="O251" s="213"/>
      <c r="P251" s="216"/>
      <c r="Q251" s="213"/>
      <c r="R251" s="213"/>
      <c r="S251" s="213"/>
      <c r="T251" s="213"/>
      <c r="U251" s="213"/>
      <c r="V251" s="216"/>
      <c r="W251" s="213"/>
      <c r="X251" s="213"/>
      <c r="Y251" s="213"/>
      <c r="Z251" s="213"/>
      <c r="AA251" s="213"/>
      <c r="AB251" s="216"/>
      <c r="AC251" s="213"/>
      <c r="AD251" s="213"/>
      <c r="AE251" s="213"/>
      <c r="AF251" s="213"/>
      <c r="AG251" s="213"/>
      <c r="AH251" s="216"/>
      <c r="AI251" s="213"/>
      <c r="AJ251" s="213"/>
      <c r="AK251" s="213"/>
      <c r="AL251" s="213"/>
      <c r="AM251" s="213"/>
      <c r="AN251" s="216"/>
      <c r="AO251" s="213"/>
      <c r="AP251" s="213"/>
      <c r="AQ251" s="213"/>
      <c r="AR251" s="213"/>
      <c r="AS251" s="213"/>
      <c r="AT251" s="216"/>
      <c r="AU251" s="213"/>
      <c r="AV251" s="213"/>
      <c r="AW251" s="213"/>
      <c r="AX251" s="213"/>
      <c r="AY251" s="213"/>
      <c r="AZ251" s="213"/>
      <c r="BA251" s="213"/>
      <c r="BB251" s="213"/>
      <c r="BC251" s="213"/>
      <c r="BD251" s="213"/>
      <c r="BE251" s="213"/>
      <c r="BF251" s="216"/>
      <c r="BG251" s="213"/>
      <c r="BH251" s="213"/>
      <c r="BI251" s="213"/>
      <c r="BJ251" s="213"/>
      <c r="BK251" s="213"/>
      <c r="BL251" s="213"/>
      <c r="BM251" s="213"/>
      <c r="BN251" s="213"/>
      <c r="BO251" s="213"/>
      <c r="BP251" s="213"/>
      <c r="BQ251" s="213"/>
      <c r="BR251" s="454"/>
      <c r="BS251" s="213"/>
      <c r="BT251" s="213"/>
      <c r="BU251" s="213"/>
      <c r="BV251" s="213"/>
      <c r="BW251" s="213"/>
      <c r="BX251" s="213"/>
      <c r="BY251" s="213"/>
      <c r="BZ251" s="213"/>
      <c r="CA251" s="213"/>
      <c r="CB251" s="213"/>
      <c r="CC251" s="213"/>
      <c r="CD251" s="213"/>
      <c r="CE251" s="213"/>
      <c r="CF251" s="213"/>
      <c r="CG251" s="213"/>
      <c r="CH251" s="213"/>
      <c r="CI251" s="213"/>
      <c r="CJ251" s="213"/>
      <c r="CK251" s="213"/>
      <c r="CL251" s="213"/>
      <c r="CM251" s="213"/>
      <c r="CN251" s="213"/>
      <c r="CO251" s="213"/>
      <c r="CP251" s="213"/>
      <c r="CQ251" s="213"/>
    </row>
    <row r="252" ht="15.75" customHeight="1">
      <c r="A252" s="213"/>
      <c r="B252" s="213"/>
      <c r="C252" s="213"/>
      <c r="D252" s="213"/>
      <c r="E252" s="213"/>
      <c r="F252" s="213"/>
      <c r="G252" s="213"/>
      <c r="H252" s="213"/>
      <c r="I252" s="213"/>
      <c r="J252" s="216"/>
      <c r="K252" s="213"/>
      <c r="L252" s="213"/>
      <c r="M252" s="213"/>
      <c r="N252" s="213"/>
      <c r="O252" s="213"/>
      <c r="P252" s="216"/>
      <c r="Q252" s="213"/>
      <c r="R252" s="213"/>
      <c r="S252" s="213"/>
      <c r="T252" s="213"/>
      <c r="U252" s="213"/>
      <c r="V252" s="216"/>
      <c r="W252" s="213"/>
      <c r="X252" s="213"/>
      <c r="Y252" s="213"/>
      <c r="Z252" s="213"/>
      <c r="AA252" s="213"/>
      <c r="AB252" s="216"/>
      <c r="AC252" s="213"/>
      <c r="AD252" s="213"/>
      <c r="AE252" s="213"/>
      <c r="AF252" s="213"/>
      <c r="AG252" s="213"/>
      <c r="AH252" s="216"/>
      <c r="AI252" s="213"/>
      <c r="AJ252" s="213"/>
      <c r="AK252" s="213"/>
      <c r="AL252" s="213"/>
      <c r="AM252" s="213"/>
      <c r="AN252" s="216"/>
      <c r="AO252" s="213"/>
      <c r="AP252" s="213"/>
      <c r="AQ252" s="213"/>
      <c r="AR252" s="213"/>
      <c r="AS252" s="213"/>
      <c r="AT252" s="216"/>
      <c r="AU252" s="213"/>
      <c r="AV252" s="213"/>
      <c r="AW252" s="213"/>
      <c r="AX252" s="213"/>
      <c r="AY252" s="213"/>
      <c r="AZ252" s="213"/>
      <c r="BA252" s="213"/>
      <c r="BB252" s="213"/>
      <c r="BC252" s="213"/>
      <c r="BD252" s="213"/>
      <c r="BE252" s="213"/>
      <c r="BF252" s="216"/>
      <c r="BG252" s="213"/>
      <c r="BH252" s="213"/>
      <c r="BI252" s="213"/>
      <c r="BJ252" s="213"/>
      <c r="BK252" s="213"/>
      <c r="BL252" s="213"/>
      <c r="BM252" s="213"/>
      <c r="BN252" s="213"/>
      <c r="BO252" s="213"/>
      <c r="BP252" s="213"/>
      <c r="BQ252" s="213"/>
      <c r="BR252" s="454"/>
      <c r="BS252" s="213"/>
      <c r="BT252" s="213"/>
      <c r="BU252" s="213"/>
      <c r="BV252" s="213"/>
      <c r="BW252" s="213"/>
      <c r="BX252" s="213"/>
      <c r="BY252" s="213"/>
      <c r="BZ252" s="213"/>
      <c r="CA252" s="213"/>
      <c r="CB252" s="213"/>
      <c r="CC252" s="213"/>
      <c r="CD252" s="213"/>
      <c r="CE252" s="213"/>
      <c r="CF252" s="213"/>
      <c r="CG252" s="213"/>
      <c r="CH252" s="213"/>
      <c r="CI252" s="213"/>
      <c r="CJ252" s="213"/>
      <c r="CK252" s="213"/>
      <c r="CL252" s="213"/>
      <c r="CM252" s="213"/>
      <c r="CN252" s="213"/>
      <c r="CO252" s="213"/>
      <c r="CP252" s="213"/>
      <c r="CQ252" s="213"/>
    </row>
    <row r="253" ht="15.75" customHeight="1">
      <c r="A253" s="213"/>
      <c r="B253" s="213"/>
      <c r="C253" s="213"/>
      <c r="D253" s="213"/>
      <c r="E253" s="213"/>
      <c r="F253" s="213"/>
      <c r="G253" s="213"/>
      <c r="H253" s="213"/>
      <c r="I253" s="213"/>
      <c r="J253" s="216"/>
      <c r="K253" s="213"/>
      <c r="L253" s="213"/>
      <c r="M253" s="213"/>
      <c r="N253" s="213"/>
      <c r="O253" s="213"/>
      <c r="P253" s="216"/>
      <c r="Q253" s="213"/>
      <c r="R253" s="213"/>
      <c r="S253" s="213"/>
      <c r="T253" s="213"/>
      <c r="U253" s="213"/>
      <c r="V253" s="216"/>
      <c r="W253" s="213"/>
      <c r="X253" s="213"/>
      <c r="Y253" s="213"/>
      <c r="Z253" s="213"/>
      <c r="AA253" s="213"/>
      <c r="AB253" s="216"/>
      <c r="AC253" s="213"/>
      <c r="AD253" s="213"/>
      <c r="AE253" s="213"/>
      <c r="AF253" s="213"/>
      <c r="AG253" s="213"/>
      <c r="AH253" s="216"/>
      <c r="AI253" s="213"/>
      <c r="AJ253" s="213"/>
      <c r="AK253" s="213"/>
      <c r="AL253" s="213"/>
      <c r="AM253" s="213"/>
      <c r="AN253" s="216"/>
      <c r="AO253" s="213"/>
      <c r="AP253" s="213"/>
      <c r="AQ253" s="213"/>
      <c r="AR253" s="213"/>
      <c r="AS253" s="213"/>
      <c r="AT253" s="216"/>
      <c r="AU253" s="213"/>
      <c r="AV253" s="213"/>
      <c r="AW253" s="213"/>
      <c r="AX253" s="213"/>
      <c r="AY253" s="213"/>
      <c r="AZ253" s="213"/>
      <c r="BA253" s="213"/>
      <c r="BB253" s="213"/>
      <c r="BC253" s="213"/>
      <c r="BD253" s="213"/>
      <c r="BE253" s="213"/>
      <c r="BF253" s="216"/>
      <c r="BG253" s="213"/>
      <c r="BH253" s="213"/>
      <c r="BI253" s="213"/>
      <c r="BJ253" s="213"/>
      <c r="BK253" s="213"/>
      <c r="BL253" s="213"/>
      <c r="BM253" s="213"/>
      <c r="BN253" s="213"/>
      <c r="BO253" s="213"/>
      <c r="BP253" s="213"/>
      <c r="BQ253" s="213"/>
      <c r="BR253" s="454"/>
      <c r="BS253" s="213"/>
      <c r="BT253" s="213"/>
      <c r="BU253" s="213"/>
      <c r="BV253" s="213"/>
      <c r="BW253" s="213"/>
      <c r="BX253" s="213"/>
      <c r="BY253" s="213"/>
      <c r="BZ253" s="213"/>
      <c r="CA253" s="213"/>
      <c r="CB253" s="213"/>
      <c r="CC253" s="213"/>
      <c r="CD253" s="213"/>
      <c r="CE253" s="213"/>
      <c r="CF253" s="213"/>
      <c r="CG253" s="213"/>
      <c r="CH253" s="213"/>
      <c r="CI253" s="213"/>
      <c r="CJ253" s="213"/>
      <c r="CK253" s="213"/>
      <c r="CL253" s="213"/>
      <c r="CM253" s="213"/>
      <c r="CN253" s="213"/>
      <c r="CO253" s="213"/>
      <c r="CP253" s="213"/>
      <c r="CQ253" s="213"/>
    </row>
    <row r="254" ht="15.75" customHeight="1">
      <c r="A254" s="213"/>
      <c r="B254" s="213"/>
      <c r="C254" s="213"/>
      <c r="D254" s="213"/>
      <c r="E254" s="213"/>
      <c r="F254" s="213"/>
      <c r="G254" s="213"/>
      <c r="H254" s="213"/>
      <c r="I254" s="213"/>
      <c r="J254" s="216"/>
      <c r="K254" s="213"/>
      <c r="L254" s="213"/>
      <c r="M254" s="213"/>
      <c r="N254" s="213"/>
      <c r="O254" s="213"/>
      <c r="P254" s="216"/>
      <c r="Q254" s="213"/>
      <c r="R254" s="213"/>
      <c r="S254" s="213"/>
      <c r="T254" s="213"/>
      <c r="U254" s="213"/>
      <c r="V254" s="216"/>
      <c r="W254" s="213"/>
      <c r="X254" s="213"/>
      <c r="Y254" s="213"/>
      <c r="Z254" s="213"/>
      <c r="AA254" s="213"/>
      <c r="AB254" s="216"/>
      <c r="AC254" s="213"/>
      <c r="AD254" s="213"/>
      <c r="AE254" s="213"/>
      <c r="AF254" s="213"/>
      <c r="AG254" s="213"/>
      <c r="AH254" s="216"/>
      <c r="AI254" s="213"/>
      <c r="AJ254" s="213"/>
      <c r="AK254" s="213"/>
      <c r="AL254" s="213"/>
      <c r="AM254" s="213"/>
      <c r="AN254" s="216"/>
      <c r="AO254" s="213"/>
      <c r="AP254" s="213"/>
      <c r="AQ254" s="213"/>
      <c r="AR254" s="213"/>
      <c r="AS254" s="213"/>
      <c r="AT254" s="216"/>
      <c r="AU254" s="213"/>
      <c r="AV254" s="213"/>
      <c r="AW254" s="213"/>
      <c r="AX254" s="213"/>
      <c r="AY254" s="213"/>
      <c r="AZ254" s="213"/>
      <c r="BA254" s="213"/>
      <c r="BB254" s="213"/>
      <c r="BC254" s="213"/>
      <c r="BD254" s="213"/>
      <c r="BE254" s="213"/>
      <c r="BF254" s="216"/>
      <c r="BG254" s="213"/>
      <c r="BH254" s="213"/>
      <c r="BI254" s="213"/>
      <c r="BJ254" s="213"/>
      <c r="BK254" s="213"/>
      <c r="BL254" s="213"/>
      <c r="BM254" s="213"/>
      <c r="BN254" s="213"/>
      <c r="BO254" s="213"/>
      <c r="BP254" s="213"/>
      <c r="BQ254" s="213"/>
      <c r="BR254" s="454"/>
      <c r="BS254" s="213"/>
      <c r="BT254" s="213"/>
      <c r="BU254" s="213"/>
      <c r="BV254" s="213"/>
      <c r="BW254" s="213"/>
      <c r="BX254" s="213"/>
      <c r="BY254" s="213"/>
      <c r="BZ254" s="213"/>
      <c r="CA254" s="213"/>
      <c r="CB254" s="213"/>
      <c r="CC254" s="213"/>
      <c r="CD254" s="213"/>
      <c r="CE254" s="213"/>
      <c r="CF254" s="213"/>
      <c r="CG254" s="213"/>
      <c r="CH254" s="213"/>
      <c r="CI254" s="213"/>
      <c r="CJ254" s="213"/>
      <c r="CK254" s="213"/>
      <c r="CL254" s="213"/>
      <c r="CM254" s="213"/>
      <c r="CN254" s="213"/>
      <c r="CO254" s="213"/>
      <c r="CP254" s="213"/>
      <c r="CQ254" s="213"/>
    </row>
    <row r="255" ht="15.75" customHeight="1">
      <c r="A255" s="213"/>
      <c r="B255" s="213"/>
      <c r="C255" s="213"/>
      <c r="D255" s="213"/>
      <c r="E255" s="213"/>
      <c r="F255" s="213"/>
      <c r="G255" s="213"/>
      <c r="H255" s="213"/>
      <c r="I255" s="213"/>
      <c r="J255" s="216"/>
      <c r="K255" s="213"/>
      <c r="L255" s="213"/>
      <c r="M255" s="213"/>
      <c r="N255" s="213"/>
      <c r="O255" s="213"/>
      <c r="P255" s="216"/>
      <c r="Q255" s="213"/>
      <c r="R255" s="213"/>
      <c r="S255" s="213"/>
      <c r="T255" s="213"/>
      <c r="U255" s="213"/>
      <c r="V255" s="216"/>
      <c r="W255" s="213"/>
      <c r="X255" s="213"/>
      <c r="Y255" s="213"/>
      <c r="Z255" s="213"/>
      <c r="AA255" s="213"/>
      <c r="AB255" s="216"/>
      <c r="AC255" s="213"/>
      <c r="AD255" s="213"/>
      <c r="AE255" s="213"/>
      <c r="AF255" s="213"/>
      <c r="AG255" s="213"/>
      <c r="AH255" s="216"/>
      <c r="AI255" s="213"/>
      <c r="AJ255" s="213"/>
      <c r="AK255" s="213"/>
      <c r="AL255" s="213"/>
      <c r="AM255" s="213"/>
      <c r="AN255" s="216"/>
      <c r="AO255" s="213"/>
      <c r="AP255" s="213"/>
      <c r="AQ255" s="213"/>
      <c r="AR255" s="213"/>
      <c r="AS255" s="213"/>
      <c r="AT255" s="216"/>
      <c r="AU255" s="213"/>
      <c r="AV255" s="213"/>
      <c r="AW255" s="213"/>
      <c r="AX255" s="213"/>
      <c r="AY255" s="213"/>
      <c r="AZ255" s="213"/>
      <c r="BA255" s="213"/>
      <c r="BB255" s="213"/>
      <c r="BC255" s="213"/>
      <c r="BD255" s="213"/>
      <c r="BE255" s="213"/>
      <c r="BF255" s="216"/>
      <c r="BG255" s="213"/>
      <c r="BH255" s="213"/>
      <c r="BI255" s="213"/>
      <c r="BJ255" s="213"/>
      <c r="BK255" s="213"/>
      <c r="BL255" s="213"/>
      <c r="BM255" s="213"/>
      <c r="BN255" s="213"/>
      <c r="BO255" s="213"/>
      <c r="BP255" s="213"/>
      <c r="BQ255" s="213"/>
      <c r="BR255" s="454"/>
      <c r="BS255" s="213"/>
      <c r="BT255" s="213"/>
      <c r="BU255" s="213"/>
      <c r="BV255" s="213"/>
      <c r="BW255" s="213"/>
      <c r="BX255" s="213"/>
      <c r="BY255" s="213"/>
      <c r="BZ255" s="213"/>
      <c r="CA255" s="213"/>
      <c r="CB255" s="213"/>
      <c r="CC255" s="213"/>
      <c r="CD255" s="213"/>
      <c r="CE255" s="213"/>
      <c r="CF255" s="213"/>
      <c r="CG255" s="213"/>
      <c r="CH255" s="213"/>
      <c r="CI255" s="213"/>
      <c r="CJ255" s="213"/>
      <c r="CK255" s="213"/>
      <c r="CL255" s="213"/>
      <c r="CM255" s="213"/>
      <c r="CN255" s="213"/>
      <c r="CO255" s="213"/>
      <c r="CP255" s="213"/>
      <c r="CQ255" s="213"/>
    </row>
    <row r="256" ht="15.75" customHeight="1">
      <c r="A256" s="213"/>
      <c r="B256" s="213"/>
      <c r="C256" s="213"/>
      <c r="D256" s="213"/>
      <c r="E256" s="213"/>
      <c r="F256" s="213"/>
      <c r="G256" s="213"/>
      <c r="H256" s="213"/>
      <c r="I256" s="213"/>
      <c r="J256" s="216"/>
      <c r="K256" s="213"/>
      <c r="L256" s="213"/>
      <c r="M256" s="213"/>
      <c r="N256" s="213"/>
      <c r="O256" s="213"/>
      <c r="P256" s="216"/>
      <c r="Q256" s="213"/>
      <c r="R256" s="213"/>
      <c r="S256" s="213"/>
      <c r="T256" s="213"/>
      <c r="U256" s="213"/>
      <c r="V256" s="216"/>
      <c r="W256" s="213"/>
      <c r="X256" s="213"/>
      <c r="Y256" s="213"/>
      <c r="Z256" s="213"/>
      <c r="AA256" s="213"/>
      <c r="AB256" s="216"/>
      <c r="AC256" s="213"/>
      <c r="AD256" s="213"/>
      <c r="AE256" s="213"/>
      <c r="AF256" s="213"/>
      <c r="AG256" s="213"/>
      <c r="AH256" s="216"/>
      <c r="AI256" s="213"/>
      <c r="AJ256" s="213"/>
      <c r="AK256" s="213"/>
      <c r="AL256" s="213"/>
      <c r="AM256" s="213"/>
      <c r="AN256" s="216"/>
      <c r="AO256" s="213"/>
      <c r="AP256" s="213"/>
      <c r="AQ256" s="213"/>
      <c r="AR256" s="213"/>
      <c r="AS256" s="213"/>
      <c r="AT256" s="216"/>
      <c r="AU256" s="213"/>
      <c r="AV256" s="213"/>
      <c r="AW256" s="213"/>
      <c r="AX256" s="213"/>
      <c r="AY256" s="213"/>
      <c r="AZ256" s="213"/>
      <c r="BA256" s="213"/>
      <c r="BB256" s="213"/>
      <c r="BC256" s="213"/>
      <c r="BD256" s="213"/>
      <c r="BE256" s="213"/>
      <c r="BF256" s="216"/>
      <c r="BG256" s="213"/>
      <c r="BH256" s="213"/>
      <c r="BI256" s="213"/>
      <c r="BJ256" s="213"/>
      <c r="BK256" s="213"/>
      <c r="BL256" s="213"/>
      <c r="BM256" s="213"/>
      <c r="BN256" s="213"/>
      <c r="BO256" s="213"/>
      <c r="BP256" s="213"/>
      <c r="BQ256" s="213"/>
      <c r="BR256" s="454"/>
      <c r="BS256" s="213"/>
      <c r="BT256" s="213"/>
      <c r="BU256" s="213"/>
      <c r="BV256" s="213"/>
      <c r="BW256" s="213"/>
      <c r="BX256" s="213"/>
      <c r="BY256" s="213"/>
      <c r="BZ256" s="213"/>
      <c r="CA256" s="213"/>
      <c r="CB256" s="213"/>
      <c r="CC256" s="213"/>
      <c r="CD256" s="213"/>
      <c r="CE256" s="213"/>
      <c r="CF256" s="213"/>
      <c r="CG256" s="213"/>
      <c r="CH256" s="213"/>
      <c r="CI256" s="213"/>
      <c r="CJ256" s="213"/>
      <c r="CK256" s="213"/>
      <c r="CL256" s="213"/>
      <c r="CM256" s="213"/>
      <c r="CN256" s="213"/>
      <c r="CO256" s="213"/>
      <c r="CP256" s="213"/>
      <c r="CQ256" s="213"/>
    </row>
    <row r="257" ht="15.75" customHeight="1">
      <c r="A257" s="213"/>
      <c r="B257" s="213"/>
      <c r="C257" s="213"/>
      <c r="D257" s="213"/>
      <c r="E257" s="213"/>
      <c r="F257" s="213"/>
      <c r="G257" s="213"/>
      <c r="H257" s="213"/>
      <c r="I257" s="213"/>
      <c r="J257" s="216"/>
      <c r="K257" s="213"/>
      <c r="L257" s="213"/>
      <c r="M257" s="213"/>
      <c r="N257" s="213"/>
      <c r="O257" s="213"/>
      <c r="P257" s="216"/>
      <c r="Q257" s="213"/>
      <c r="R257" s="213"/>
      <c r="S257" s="213"/>
      <c r="T257" s="213"/>
      <c r="U257" s="213"/>
      <c r="V257" s="216"/>
      <c r="W257" s="213"/>
      <c r="X257" s="213"/>
      <c r="Y257" s="213"/>
      <c r="Z257" s="213"/>
      <c r="AA257" s="213"/>
      <c r="AB257" s="216"/>
      <c r="AC257" s="213"/>
      <c r="AD257" s="213"/>
      <c r="AE257" s="213"/>
      <c r="AF257" s="213"/>
      <c r="AG257" s="213"/>
      <c r="AH257" s="216"/>
      <c r="AI257" s="213"/>
      <c r="AJ257" s="213"/>
      <c r="AK257" s="213"/>
      <c r="AL257" s="213"/>
      <c r="AM257" s="213"/>
      <c r="AN257" s="216"/>
      <c r="AO257" s="213"/>
      <c r="AP257" s="213"/>
      <c r="AQ257" s="213"/>
      <c r="AR257" s="213"/>
      <c r="AS257" s="213"/>
      <c r="AT257" s="216"/>
      <c r="AU257" s="213"/>
      <c r="AV257" s="213"/>
      <c r="AW257" s="213"/>
      <c r="AX257" s="213"/>
      <c r="AY257" s="213"/>
      <c r="AZ257" s="213"/>
      <c r="BA257" s="213"/>
      <c r="BB257" s="213"/>
      <c r="BC257" s="213"/>
      <c r="BD257" s="213"/>
      <c r="BE257" s="213"/>
      <c r="BF257" s="216"/>
      <c r="BG257" s="213"/>
      <c r="BH257" s="213"/>
      <c r="BI257" s="213"/>
      <c r="BJ257" s="213"/>
      <c r="BK257" s="213"/>
      <c r="BL257" s="213"/>
      <c r="BM257" s="213"/>
      <c r="BN257" s="213"/>
      <c r="BO257" s="213"/>
      <c r="BP257" s="213"/>
      <c r="BQ257" s="213"/>
      <c r="BR257" s="454"/>
      <c r="BS257" s="213"/>
      <c r="BT257" s="213"/>
      <c r="BU257" s="213"/>
      <c r="BV257" s="213"/>
      <c r="BW257" s="213"/>
      <c r="BX257" s="213"/>
      <c r="BY257" s="213"/>
      <c r="BZ257" s="213"/>
      <c r="CA257" s="213"/>
      <c r="CB257" s="213"/>
      <c r="CC257" s="213"/>
      <c r="CD257" s="213"/>
      <c r="CE257" s="213"/>
      <c r="CF257" s="213"/>
      <c r="CG257" s="213"/>
      <c r="CH257" s="213"/>
      <c r="CI257" s="213"/>
      <c r="CJ257" s="213"/>
      <c r="CK257" s="213"/>
      <c r="CL257" s="213"/>
      <c r="CM257" s="213"/>
      <c r="CN257" s="213"/>
      <c r="CO257" s="213"/>
      <c r="CP257" s="213"/>
      <c r="CQ257" s="213"/>
    </row>
    <row r="258" ht="15.75" customHeight="1">
      <c r="A258" s="213"/>
      <c r="B258" s="213"/>
      <c r="C258" s="213"/>
      <c r="D258" s="213"/>
      <c r="E258" s="213"/>
      <c r="F258" s="213"/>
      <c r="G258" s="213"/>
      <c r="H258" s="213"/>
      <c r="I258" s="213"/>
      <c r="J258" s="216"/>
      <c r="K258" s="213"/>
      <c r="L258" s="213"/>
      <c r="M258" s="213"/>
      <c r="N258" s="213"/>
      <c r="O258" s="213"/>
      <c r="P258" s="216"/>
      <c r="Q258" s="213"/>
      <c r="R258" s="213"/>
      <c r="S258" s="213"/>
      <c r="T258" s="213"/>
      <c r="U258" s="213"/>
      <c r="V258" s="216"/>
      <c r="W258" s="213"/>
      <c r="X258" s="213"/>
      <c r="Y258" s="213"/>
      <c r="Z258" s="213"/>
      <c r="AA258" s="213"/>
      <c r="AB258" s="216"/>
      <c r="AC258" s="213"/>
      <c r="AD258" s="213"/>
      <c r="AE258" s="213"/>
      <c r="AF258" s="213"/>
      <c r="AG258" s="213"/>
      <c r="AH258" s="216"/>
      <c r="AI258" s="213"/>
      <c r="AJ258" s="213"/>
      <c r="AK258" s="213"/>
      <c r="AL258" s="213"/>
      <c r="AM258" s="213"/>
      <c r="AN258" s="216"/>
      <c r="AO258" s="213"/>
      <c r="AP258" s="213"/>
      <c r="AQ258" s="213"/>
      <c r="AR258" s="213"/>
      <c r="AS258" s="213"/>
      <c r="AT258" s="216"/>
      <c r="AU258" s="213"/>
      <c r="AV258" s="213"/>
      <c r="AW258" s="213"/>
      <c r="AX258" s="213"/>
      <c r="AY258" s="213"/>
      <c r="AZ258" s="213"/>
      <c r="BA258" s="213"/>
      <c r="BB258" s="213"/>
      <c r="BC258" s="213"/>
      <c r="BD258" s="213"/>
      <c r="BE258" s="213"/>
      <c r="BF258" s="216"/>
      <c r="BG258" s="213"/>
      <c r="BH258" s="213"/>
      <c r="BI258" s="213"/>
      <c r="BJ258" s="213"/>
      <c r="BK258" s="213"/>
      <c r="BL258" s="213"/>
      <c r="BM258" s="213"/>
      <c r="BN258" s="213"/>
      <c r="BO258" s="213"/>
      <c r="BP258" s="213"/>
      <c r="BQ258" s="213"/>
      <c r="BR258" s="454"/>
      <c r="BS258" s="213"/>
      <c r="BT258" s="213"/>
      <c r="BU258" s="213"/>
      <c r="BV258" s="213"/>
      <c r="BW258" s="213"/>
      <c r="BX258" s="213"/>
      <c r="BY258" s="213"/>
      <c r="BZ258" s="213"/>
      <c r="CA258" s="213"/>
      <c r="CB258" s="213"/>
      <c r="CC258" s="213"/>
      <c r="CD258" s="213"/>
      <c r="CE258" s="213"/>
      <c r="CF258" s="213"/>
      <c r="CG258" s="213"/>
      <c r="CH258" s="213"/>
      <c r="CI258" s="213"/>
      <c r="CJ258" s="213"/>
      <c r="CK258" s="213"/>
      <c r="CL258" s="213"/>
      <c r="CM258" s="213"/>
      <c r="CN258" s="213"/>
      <c r="CO258" s="213"/>
      <c r="CP258" s="213"/>
      <c r="CQ258" s="213"/>
    </row>
    <row r="259" ht="15.75" customHeight="1">
      <c r="A259" s="213"/>
      <c r="B259" s="213"/>
      <c r="C259" s="213"/>
      <c r="D259" s="213"/>
      <c r="E259" s="213"/>
      <c r="F259" s="213"/>
      <c r="G259" s="213"/>
      <c r="H259" s="213"/>
      <c r="I259" s="213"/>
      <c r="J259" s="216"/>
      <c r="K259" s="213"/>
      <c r="L259" s="213"/>
      <c r="M259" s="213"/>
      <c r="N259" s="213"/>
      <c r="O259" s="213"/>
      <c r="P259" s="216"/>
      <c r="Q259" s="213"/>
      <c r="R259" s="213"/>
      <c r="S259" s="213"/>
      <c r="T259" s="213"/>
      <c r="U259" s="213"/>
      <c r="V259" s="216"/>
      <c r="W259" s="213"/>
      <c r="X259" s="213"/>
      <c r="Y259" s="213"/>
      <c r="Z259" s="213"/>
      <c r="AA259" s="213"/>
      <c r="AB259" s="216"/>
      <c r="AC259" s="213"/>
      <c r="AD259" s="213"/>
      <c r="AE259" s="213"/>
      <c r="AF259" s="213"/>
      <c r="AG259" s="213"/>
      <c r="AH259" s="216"/>
      <c r="AI259" s="213"/>
      <c r="AJ259" s="213"/>
      <c r="AK259" s="213"/>
      <c r="AL259" s="213"/>
      <c r="AM259" s="213"/>
      <c r="AN259" s="216"/>
      <c r="AO259" s="213"/>
      <c r="AP259" s="213"/>
      <c r="AQ259" s="213"/>
      <c r="AR259" s="213"/>
      <c r="AS259" s="213"/>
      <c r="AT259" s="216"/>
      <c r="AU259" s="213"/>
      <c r="AV259" s="213"/>
      <c r="AW259" s="213"/>
      <c r="AX259" s="213"/>
      <c r="AY259" s="213"/>
      <c r="AZ259" s="213"/>
      <c r="BA259" s="213"/>
      <c r="BB259" s="213"/>
      <c r="BC259" s="213"/>
      <c r="BD259" s="213"/>
      <c r="BE259" s="213"/>
      <c r="BF259" s="216"/>
      <c r="BG259" s="213"/>
      <c r="BH259" s="213"/>
      <c r="BI259" s="213"/>
      <c r="BJ259" s="213"/>
      <c r="BK259" s="213"/>
      <c r="BL259" s="213"/>
      <c r="BM259" s="213"/>
      <c r="BN259" s="213"/>
      <c r="BO259" s="213"/>
      <c r="BP259" s="213"/>
      <c r="BQ259" s="213"/>
      <c r="BR259" s="454"/>
      <c r="BS259" s="213"/>
      <c r="BT259" s="213"/>
      <c r="BU259" s="213"/>
      <c r="BV259" s="213"/>
      <c r="BW259" s="213"/>
      <c r="BX259" s="213"/>
      <c r="BY259" s="213"/>
      <c r="BZ259" s="213"/>
      <c r="CA259" s="213"/>
      <c r="CB259" s="213"/>
      <c r="CC259" s="213"/>
      <c r="CD259" s="213"/>
      <c r="CE259" s="213"/>
      <c r="CF259" s="213"/>
      <c r="CG259" s="213"/>
      <c r="CH259" s="213"/>
      <c r="CI259" s="213"/>
      <c r="CJ259" s="213"/>
      <c r="CK259" s="213"/>
      <c r="CL259" s="213"/>
      <c r="CM259" s="213"/>
      <c r="CN259" s="213"/>
      <c r="CO259" s="213"/>
      <c r="CP259" s="213"/>
      <c r="CQ259" s="213"/>
    </row>
    <row r="260" ht="15.75" customHeight="1">
      <c r="A260" s="213"/>
      <c r="B260" s="213"/>
      <c r="C260" s="213"/>
      <c r="D260" s="213"/>
      <c r="E260" s="213"/>
      <c r="F260" s="213"/>
      <c r="G260" s="213"/>
      <c r="H260" s="213"/>
      <c r="I260" s="213"/>
      <c r="J260" s="216"/>
      <c r="K260" s="213"/>
      <c r="L260" s="213"/>
      <c r="M260" s="213"/>
      <c r="N260" s="213"/>
      <c r="O260" s="213"/>
      <c r="P260" s="216"/>
      <c r="Q260" s="213"/>
      <c r="R260" s="213"/>
      <c r="S260" s="213"/>
      <c r="T260" s="213"/>
      <c r="U260" s="213"/>
      <c r="V260" s="216"/>
      <c r="W260" s="213"/>
      <c r="X260" s="213"/>
      <c r="Y260" s="213"/>
      <c r="Z260" s="213"/>
      <c r="AA260" s="213"/>
      <c r="AB260" s="216"/>
      <c r="AC260" s="213"/>
      <c r="AD260" s="213"/>
      <c r="AE260" s="213"/>
      <c r="AF260" s="213"/>
      <c r="AG260" s="213"/>
      <c r="AH260" s="216"/>
      <c r="AI260" s="213"/>
      <c r="AJ260" s="213"/>
      <c r="AK260" s="213"/>
      <c r="AL260" s="213"/>
      <c r="AM260" s="213"/>
      <c r="AN260" s="216"/>
      <c r="AO260" s="213"/>
      <c r="AP260" s="213"/>
      <c r="AQ260" s="213"/>
      <c r="AR260" s="213"/>
      <c r="AS260" s="213"/>
      <c r="AT260" s="216"/>
      <c r="AU260" s="213"/>
      <c r="AV260" s="213"/>
      <c r="AW260" s="213"/>
      <c r="AX260" s="213"/>
      <c r="AY260" s="213"/>
      <c r="AZ260" s="213"/>
      <c r="BA260" s="213"/>
      <c r="BB260" s="213"/>
      <c r="BC260" s="213"/>
      <c r="BD260" s="213"/>
      <c r="BE260" s="213"/>
      <c r="BF260" s="216"/>
      <c r="BG260" s="213"/>
      <c r="BH260" s="213"/>
      <c r="BI260" s="213"/>
      <c r="BJ260" s="213"/>
      <c r="BK260" s="213"/>
      <c r="BL260" s="213"/>
      <c r="BM260" s="213"/>
      <c r="BN260" s="213"/>
      <c r="BO260" s="213"/>
      <c r="BP260" s="213"/>
      <c r="BQ260" s="213"/>
      <c r="BR260" s="454"/>
      <c r="BS260" s="213"/>
      <c r="BT260" s="213"/>
      <c r="BU260" s="213"/>
      <c r="BV260" s="213"/>
      <c r="BW260" s="213"/>
      <c r="BX260" s="213"/>
      <c r="BY260" s="213"/>
      <c r="BZ260" s="213"/>
      <c r="CA260" s="213"/>
      <c r="CB260" s="213"/>
      <c r="CC260" s="213"/>
      <c r="CD260" s="213"/>
      <c r="CE260" s="213"/>
      <c r="CF260" s="213"/>
      <c r="CG260" s="213"/>
      <c r="CH260" s="213"/>
      <c r="CI260" s="213"/>
      <c r="CJ260" s="213"/>
      <c r="CK260" s="213"/>
      <c r="CL260" s="213"/>
      <c r="CM260" s="213"/>
      <c r="CN260" s="213"/>
      <c r="CO260" s="213"/>
      <c r="CP260" s="213"/>
      <c r="CQ260" s="213"/>
    </row>
    <row r="261" ht="15.75" customHeight="1">
      <c r="A261" s="213"/>
      <c r="B261" s="213"/>
      <c r="C261" s="213"/>
      <c r="D261" s="213"/>
      <c r="E261" s="213"/>
      <c r="F261" s="213"/>
      <c r="G261" s="213"/>
      <c r="H261" s="213"/>
      <c r="I261" s="213"/>
      <c r="J261" s="216"/>
      <c r="K261" s="213"/>
      <c r="L261" s="213"/>
      <c r="M261" s="213"/>
      <c r="N261" s="213"/>
      <c r="O261" s="213"/>
      <c r="P261" s="216"/>
      <c r="Q261" s="213"/>
      <c r="R261" s="213"/>
      <c r="S261" s="213"/>
      <c r="T261" s="213"/>
      <c r="U261" s="213"/>
      <c r="V261" s="216"/>
      <c r="W261" s="213"/>
      <c r="X261" s="213"/>
      <c r="Y261" s="213"/>
      <c r="Z261" s="213"/>
      <c r="AA261" s="213"/>
      <c r="AB261" s="216"/>
      <c r="AC261" s="213"/>
      <c r="AD261" s="213"/>
      <c r="AE261" s="213"/>
      <c r="AF261" s="213"/>
      <c r="AG261" s="213"/>
      <c r="AH261" s="216"/>
      <c r="AI261" s="213"/>
      <c r="AJ261" s="213"/>
      <c r="AK261" s="213"/>
      <c r="AL261" s="213"/>
      <c r="AM261" s="213"/>
      <c r="AN261" s="216"/>
      <c r="AO261" s="213"/>
      <c r="AP261" s="213"/>
      <c r="AQ261" s="213"/>
      <c r="AR261" s="213"/>
      <c r="AS261" s="213"/>
      <c r="AT261" s="216"/>
      <c r="AU261" s="213"/>
      <c r="AV261" s="213"/>
      <c r="AW261" s="213"/>
      <c r="AX261" s="213"/>
      <c r="AY261" s="213"/>
      <c r="AZ261" s="213"/>
      <c r="BA261" s="213"/>
      <c r="BB261" s="213"/>
      <c r="BC261" s="213"/>
      <c r="BD261" s="213"/>
      <c r="BE261" s="213"/>
      <c r="BF261" s="216"/>
      <c r="BG261" s="213"/>
      <c r="BH261" s="213"/>
      <c r="BI261" s="213"/>
      <c r="BJ261" s="213"/>
      <c r="BK261" s="213"/>
      <c r="BL261" s="213"/>
      <c r="BM261" s="213"/>
      <c r="BN261" s="213"/>
      <c r="BO261" s="213"/>
      <c r="BP261" s="213"/>
      <c r="BQ261" s="213"/>
      <c r="BR261" s="454"/>
      <c r="BS261" s="213"/>
      <c r="BT261" s="213"/>
      <c r="BU261" s="213"/>
      <c r="BV261" s="213"/>
      <c r="BW261" s="213"/>
      <c r="BX261" s="213"/>
      <c r="BY261" s="213"/>
      <c r="BZ261" s="213"/>
      <c r="CA261" s="213"/>
      <c r="CB261" s="213"/>
      <c r="CC261" s="213"/>
      <c r="CD261" s="213"/>
      <c r="CE261" s="213"/>
      <c r="CF261" s="213"/>
      <c r="CG261" s="213"/>
      <c r="CH261" s="213"/>
      <c r="CI261" s="213"/>
      <c r="CJ261" s="213"/>
      <c r="CK261" s="213"/>
      <c r="CL261" s="213"/>
      <c r="CM261" s="213"/>
      <c r="CN261" s="213"/>
      <c r="CO261" s="213"/>
      <c r="CP261" s="213"/>
      <c r="CQ261" s="213"/>
    </row>
    <row r="262" ht="15.75" customHeight="1">
      <c r="A262" s="213"/>
      <c r="B262" s="213"/>
      <c r="C262" s="213"/>
      <c r="D262" s="213"/>
      <c r="E262" s="213"/>
      <c r="F262" s="213"/>
      <c r="G262" s="213"/>
      <c r="H262" s="213"/>
      <c r="I262" s="213"/>
      <c r="J262" s="216"/>
      <c r="K262" s="213"/>
      <c r="L262" s="213"/>
      <c r="M262" s="213"/>
      <c r="N262" s="213"/>
      <c r="O262" s="213"/>
      <c r="P262" s="216"/>
      <c r="Q262" s="213"/>
      <c r="R262" s="213"/>
      <c r="S262" s="213"/>
      <c r="T262" s="213"/>
      <c r="U262" s="213"/>
      <c r="V262" s="216"/>
      <c r="W262" s="213"/>
      <c r="X262" s="213"/>
      <c r="Y262" s="213"/>
      <c r="Z262" s="213"/>
      <c r="AA262" s="213"/>
      <c r="AB262" s="216"/>
      <c r="AC262" s="213"/>
      <c r="AD262" s="213"/>
      <c r="AE262" s="213"/>
      <c r="AF262" s="213"/>
      <c r="AG262" s="213"/>
      <c r="AH262" s="216"/>
      <c r="AI262" s="213"/>
      <c r="AJ262" s="213"/>
      <c r="AK262" s="213"/>
      <c r="AL262" s="213"/>
      <c r="AM262" s="213"/>
      <c r="AN262" s="216"/>
      <c r="AO262" s="213"/>
      <c r="AP262" s="213"/>
      <c r="AQ262" s="213"/>
      <c r="AR262" s="213"/>
      <c r="AS262" s="213"/>
      <c r="AT262" s="216"/>
      <c r="AU262" s="213"/>
      <c r="AV262" s="213"/>
      <c r="AW262" s="213"/>
      <c r="AX262" s="213"/>
      <c r="AY262" s="213"/>
      <c r="AZ262" s="213"/>
      <c r="BA262" s="213"/>
      <c r="BB262" s="213"/>
      <c r="BC262" s="213"/>
      <c r="BD262" s="213"/>
      <c r="BE262" s="213"/>
      <c r="BF262" s="216"/>
      <c r="BG262" s="213"/>
      <c r="BH262" s="213"/>
      <c r="BI262" s="213"/>
      <c r="BJ262" s="213"/>
      <c r="BK262" s="213"/>
      <c r="BL262" s="213"/>
      <c r="BM262" s="213"/>
      <c r="BN262" s="213"/>
      <c r="BO262" s="213"/>
      <c r="BP262" s="213"/>
      <c r="BQ262" s="213"/>
      <c r="BR262" s="454"/>
      <c r="BS262" s="213"/>
      <c r="BT262" s="213"/>
      <c r="BU262" s="213"/>
      <c r="BV262" s="213"/>
      <c r="BW262" s="213"/>
      <c r="BX262" s="213"/>
      <c r="BY262" s="213"/>
      <c r="BZ262" s="213"/>
      <c r="CA262" s="213"/>
      <c r="CB262" s="213"/>
      <c r="CC262" s="213"/>
      <c r="CD262" s="213"/>
      <c r="CE262" s="213"/>
      <c r="CF262" s="213"/>
      <c r="CG262" s="213"/>
      <c r="CH262" s="213"/>
      <c r="CI262" s="213"/>
      <c r="CJ262" s="213"/>
      <c r="CK262" s="213"/>
      <c r="CL262" s="213"/>
      <c r="CM262" s="213"/>
      <c r="CN262" s="213"/>
      <c r="CO262" s="213"/>
      <c r="CP262" s="213"/>
      <c r="CQ262" s="213"/>
    </row>
    <row r="263" ht="15.75" customHeight="1">
      <c r="A263" s="213"/>
      <c r="B263" s="213"/>
      <c r="C263" s="213"/>
      <c r="D263" s="213"/>
      <c r="E263" s="213"/>
      <c r="F263" s="213"/>
      <c r="G263" s="213"/>
      <c r="H263" s="213"/>
      <c r="I263" s="213"/>
      <c r="J263" s="216"/>
      <c r="K263" s="213"/>
      <c r="L263" s="213"/>
      <c r="M263" s="213"/>
      <c r="N263" s="213"/>
      <c r="O263" s="213"/>
      <c r="P263" s="216"/>
      <c r="Q263" s="213"/>
      <c r="R263" s="213"/>
      <c r="S263" s="213"/>
      <c r="T263" s="213"/>
      <c r="U263" s="213"/>
      <c r="V263" s="216"/>
      <c r="W263" s="213"/>
      <c r="X263" s="213"/>
      <c r="Y263" s="213"/>
      <c r="Z263" s="213"/>
      <c r="AA263" s="213"/>
      <c r="AB263" s="216"/>
      <c r="AC263" s="213"/>
      <c r="AD263" s="213"/>
      <c r="AE263" s="213"/>
      <c r="AF263" s="213"/>
      <c r="AG263" s="213"/>
      <c r="AH263" s="216"/>
      <c r="AI263" s="213"/>
      <c r="AJ263" s="213"/>
      <c r="AK263" s="213"/>
      <c r="AL263" s="213"/>
      <c r="AM263" s="213"/>
      <c r="AN263" s="216"/>
      <c r="AO263" s="213"/>
      <c r="AP263" s="213"/>
      <c r="AQ263" s="213"/>
      <c r="AR263" s="213"/>
      <c r="AS263" s="213"/>
      <c r="AT263" s="216"/>
      <c r="AU263" s="213"/>
      <c r="AV263" s="213"/>
      <c r="AW263" s="213"/>
      <c r="AX263" s="213"/>
      <c r="AY263" s="213"/>
      <c r="AZ263" s="213"/>
      <c r="BA263" s="213"/>
      <c r="BB263" s="213"/>
      <c r="BC263" s="213"/>
      <c r="BD263" s="213"/>
      <c r="BE263" s="213"/>
      <c r="BF263" s="216"/>
      <c r="BG263" s="213"/>
      <c r="BH263" s="213"/>
      <c r="BI263" s="213"/>
      <c r="BJ263" s="213"/>
      <c r="BK263" s="213"/>
      <c r="BL263" s="213"/>
      <c r="BM263" s="213"/>
      <c r="BN263" s="213"/>
      <c r="BO263" s="213"/>
      <c r="BP263" s="213"/>
      <c r="BQ263" s="213"/>
      <c r="BR263" s="454"/>
      <c r="BS263" s="213"/>
      <c r="BT263" s="213"/>
      <c r="BU263" s="213"/>
      <c r="BV263" s="213"/>
      <c r="BW263" s="213"/>
      <c r="BX263" s="213"/>
      <c r="BY263" s="213"/>
      <c r="BZ263" s="213"/>
      <c r="CA263" s="213"/>
      <c r="CB263" s="213"/>
      <c r="CC263" s="213"/>
      <c r="CD263" s="213"/>
      <c r="CE263" s="213"/>
      <c r="CF263" s="213"/>
      <c r="CG263" s="213"/>
      <c r="CH263" s="213"/>
      <c r="CI263" s="213"/>
      <c r="CJ263" s="213"/>
      <c r="CK263" s="213"/>
      <c r="CL263" s="213"/>
      <c r="CM263" s="213"/>
      <c r="CN263" s="213"/>
      <c r="CO263" s="213"/>
      <c r="CP263" s="213"/>
      <c r="CQ263" s="213"/>
    </row>
    <row r="264" ht="15.75" customHeight="1">
      <c r="A264" s="213"/>
      <c r="B264" s="213"/>
      <c r="C264" s="213"/>
      <c r="D264" s="213"/>
      <c r="E264" s="213"/>
      <c r="F264" s="213"/>
      <c r="G264" s="213"/>
      <c r="H264" s="213"/>
      <c r="I264" s="213"/>
      <c r="J264" s="216"/>
      <c r="K264" s="213"/>
      <c r="L264" s="213"/>
      <c r="M264" s="213"/>
      <c r="N264" s="213"/>
      <c r="O264" s="213"/>
      <c r="P264" s="216"/>
      <c r="Q264" s="213"/>
      <c r="R264" s="213"/>
      <c r="S264" s="213"/>
      <c r="T264" s="213"/>
      <c r="U264" s="213"/>
      <c r="V264" s="216"/>
      <c r="W264" s="213"/>
      <c r="X264" s="213"/>
      <c r="Y264" s="213"/>
      <c r="Z264" s="213"/>
      <c r="AA264" s="213"/>
      <c r="AB264" s="216"/>
      <c r="AC264" s="213"/>
      <c r="AD264" s="213"/>
      <c r="AE264" s="213"/>
      <c r="AF264" s="213"/>
      <c r="AG264" s="213"/>
      <c r="AH264" s="216"/>
      <c r="AI264" s="213"/>
      <c r="AJ264" s="213"/>
      <c r="AK264" s="213"/>
      <c r="AL264" s="213"/>
      <c r="AM264" s="213"/>
      <c r="AN264" s="216"/>
      <c r="AO264" s="213"/>
      <c r="AP264" s="213"/>
      <c r="AQ264" s="213"/>
      <c r="AR264" s="213"/>
      <c r="AS264" s="213"/>
      <c r="AT264" s="216"/>
      <c r="AU264" s="213"/>
      <c r="AV264" s="213"/>
      <c r="AW264" s="213"/>
      <c r="AX264" s="213"/>
      <c r="AY264" s="213"/>
      <c r="AZ264" s="213"/>
      <c r="BA264" s="213"/>
      <c r="BB264" s="213"/>
      <c r="BC264" s="213"/>
      <c r="BD264" s="213"/>
      <c r="BE264" s="213"/>
      <c r="BF264" s="216"/>
      <c r="BG264" s="213"/>
      <c r="BH264" s="213"/>
      <c r="BI264" s="213"/>
      <c r="BJ264" s="213"/>
      <c r="BK264" s="213"/>
      <c r="BL264" s="213"/>
      <c r="BM264" s="213"/>
      <c r="BN264" s="213"/>
      <c r="BO264" s="213"/>
      <c r="BP264" s="213"/>
      <c r="BQ264" s="213"/>
      <c r="BR264" s="454"/>
      <c r="BS264" s="213"/>
      <c r="BT264" s="213"/>
      <c r="BU264" s="213"/>
      <c r="BV264" s="213"/>
      <c r="BW264" s="213"/>
      <c r="BX264" s="213"/>
      <c r="BY264" s="213"/>
      <c r="BZ264" s="213"/>
      <c r="CA264" s="213"/>
      <c r="CB264" s="213"/>
      <c r="CC264" s="213"/>
      <c r="CD264" s="213"/>
      <c r="CE264" s="213"/>
      <c r="CF264" s="213"/>
      <c r="CG264" s="213"/>
      <c r="CH264" s="213"/>
      <c r="CI264" s="213"/>
      <c r="CJ264" s="213"/>
      <c r="CK264" s="213"/>
      <c r="CL264" s="213"/>
      <c r="CM264" s="213"/>
      <c r="CN264" s="213"/>
      <c r="CO264" s="213"/>
      <c r="CP264" s="213"/>
      <c r="CQ264" s="213"/>
    </row>
    <row r="265" ht="15.75" customHeight="1">
      <c r="A265" s="213"/>
      <c r="B265" s="213"/>
      <c r="C265" s="213"/>
      <c r="D265" s="213"/>
      <c r="E265" s="213"/>
      <c r="F265" s="213"/>
      <c r="G265" s="213"/>
      <c r="H265" s="213"/>
      <c r="I265" s="213"/>
      <c r="J265" s="216"/>
      <c r="K265" s="213"/>
      <c r="L265" s="213"/>
      <c r="M265" s="213"/>
      <c r="N265" s="213"/>
      <c r="O265" s="213"/>
      <c r="P265" s="216"/>
      <c r="Q265" s="213"/>
      <c r="R265" s="213"/>
      <c r="S265" s="213"/>
      <c r="T265" s="213"/>
      <c r="U265" s="213"/>
      <c r="V265" s="216"/>
      <c r="W265" s="213"/>
      <c r="X265" s="213"/>
      <c r="Y265" s="213"/>
      <c r="Z265" s="213"/>
      <c r="AA265" s="213"/>
      <c r="AB265" s="216"/>
      <c r="AC265" s="213"/>
      <c r="AD265" s="213"/>
      <c r="AE265" s="213"/>
      <c r="AF265" s="213"/>
      <c r="AG265" s="213"/>
      <c r="AH265" s="216"/>
      <c r="AI265" s="213"/>
      <c r="AJ265" s="213"/>
      <c r="AK265" s="213"/>
      <c r="AL265" s="213"/>
      <c r="AM265" s="213"/>
      <c r="AN265" s="216"/>
      <c r="AO265" s="213"/>
      <c r="AP265" s="213"/>
      <c r="AQ265" s="213"/>
      <c r="AR265" s="213"/>
      <c r="AS265" s="213"/>
      <c r="AT265" s="216"/>
      <c r="AU265" s="213"/>
      <c r="AV265" s="213"/>
      <c r="AW265" s="213"/>
      <c r="AX265" s="213"/>
      <c r="AY265" s="213"/>
      <c r="AZ265" s="213"/>
      <c r="BA265" s="213"/>
      <c r="BB265" s="213"/>
      <c r="BC265" s="213"/>
      <c r="BD265" s="213"/>
      <c r="BE265" s="213"/>
      <c r="BF265" s="216"/>
      <c r="BG265" s="213"/>
      <c r="BH265" s="213"/>
      <c r="BI265" s="213"/>
      <c r="BJ265" s="213"/>
      <c r="BK265" s="213"/>
      <c r="BL265" s="213"/>
      <c r="BM265" s="213"/>
      <c r="BN265" s="213"/>
      <c r="BO265" s="213"/>
      <c r="BP265" s="213"/>
      <c r="BQ265" s="213"/>
      <c r="BR265" s="454"/>
      <c r="BS265" s="213"/>
      <c r="BT265" s="213"/>
      <c r="BU265" s="213"/>
      <c r="BV265" s="213"/>
      <c r="BW265" s="213"/>
      <c r="BX265" s="213"/>
      <c r="BY265" s="213"/>
      <c r="BZ265" s="213"/>
      <c r="CA265" s="213"/>
      <c r="CB265" s="213"/>
      <c r="CC265" s="213"/>
      <c r="CD265" s="213"/>
      <c r="CE265" s="213"/>
      <c r="CF265" s="213"/>
      <c r="CG265" s="213"/>
      <c r="CH265" s="213"/>
      <c r="CI265" s="213"/>
      <c r="CJ265" s="213"/>
      <c r="CK265" s="213"/>
      <c r="CL265" s="213"/>
      <c r="CM265" s="213"/>
      <c r="CN265" s="213"/>
      <c r="CO265" s="213"/>
      <c r="CP265" s="213"/>
      <c r="CQ265" s="213"/>
    </row>
    <row r="266" ht="15.75" customHeight="1">
      <c r="A266" s="213"/>
      <c r="B266" s="213"/>
      <c r="C266" s="213"/>
      <c r="D266" s="213"/>
      <c r="E266" s="213"/>
      <c r="F266" s="213"/>
      <c r="G266" s="213"/>
      <c r="H266" s="213"/>
      <c r="I266" s="213"/>
      <c r="J266" s="216"/>
      <c r="K266" s="213"/>
      <c r="L266" s="213"/>
      <c r="M266" s="213"/>
      <c r="N266" s="213"/>
      <c r="O266" s="213"/>
      <c r="P266" s="216"/>
      <c r="Q266" s="213"/>
      <c r="R266" s="213"/>
      <c r="S266" s="213"/>
      <c r="T266" s="213"/>
      <c r="U266" s="213"/>
      <c r="V266" s="216"/>
      <c r="W266" s="213"/>
      <c r="X266" s="213"/>
      <c r="Y266" s="213"/>
      <c r="Z266" s="213"/>
      <c r="AA266" s="213"/>
      <c r="AB266" s="216"/>
      <c r="AC266" s="213"/>
      <c r="AD266" s="213"/>
      <c r="AE266" s="213"/>
      <c r="AF266" s="213"/>
      <c r="AG266" s="213"/>
      <c r="AH266" s="216"/>
      <c r="AI266" s="213"/>
      <c r="AJ266" s="213"/>
      <c r="AK266" s="213"/>
      <c r="AL266" s="213"/>
      <c r="AM266" s="213"/>
      <c r="AN266" s="216"/>
      <c r="AO266" s="213"/>
      <c r="AP266" s="213"/>
      <c r="AQ266" s="213"/>
      <c r="AR266" s="213"/>
      <c r="AS266" s="213"/>
      <c r="AT266" s="216"/>
      <c r="AU266" s="213"/>
      <c r="AV266" s="213"/>
      <c r="AW266" s="213"/>
      <c r="AX266" s="213"/>
      <c r="AY266" s="213"/>
      <c r="AZ266" s="213"/>
      <c r="BA266" s="213"/>
      <c r="BB266" s="213"/>
      <c r="BC266" s="213"/>
      <c r="BD266" s="213"/>
      <c r="BE266" s="213"/>
      <c r="BF266" s="216"/>
      <c r="BG266" s="213"/>
      <c r="BH266" s="213"/>
      <c r="BI266" s="213"/>
      <c r="BJ266" s="213"/>
      <c r="BK266" s="213"/>
      <c r="BL266" s="213"/>
      <c r="BM266" s="213"/>
      <c r="BN266" s="213"/>
      <c r="BO266" s="213"/>
      <c r="BP266" s="213"/>
      <c r="BQ266" s="213"/>
      <c r="BR266" s="454"/>
      <c r="BS266" s="213"/>
      <c r="BT266" s="213"/>
      <c r="BU266" s="213"/>
      <c r="BV266" s="213"/>
      <c r="BW266" s="213"/>
      <c r="BX266" s="213"/>
      <c r="BY266" s="213"/>
      <c r="BZ266" s="213"/>
      <c r="CA266" s="213"/>
      <c r="CB266" s="213"/>
      <c r="CC266" s="213"/>
      <c r="CD266" s="213"/>
      <c r="CE266" s="213"/>
      <c r="CF266" s="213"/>
      <c r="CG266" s="213"/>
      <c r="CH266" s="213"/>
      <c r="CI266" s="213"/>
      <c r="CJ266" s="213"/>
      <c r="CK266" s="213"/>
      <c r="CL266" s="213"/>
      <c r="CM266" s="213"/>
      <c r="CN266" s="213"/>
      <c r="CO266" s="213"/>
      <c r="CP266" s="213"/>
      <c r="CQ266" s="213"/>
    </row>
    <row r="267" ht="15.75" customHeight="1">
      <c r="A267" s="213"/>
      <c r="B267" s="213"/>
      <c r="C267" s="213"/>
      <c r="D267" s="213"/>
      <c r="E267" s="213"/>
      <c r="F267" s="213"/>
      <c r="G267" s="213"/>
      <c r="H267" s="213"/>
      <c r="I267" s="213"/>
      <c r="J267" s="216"/>
      <c r="K267" s="213"/>
      <c r="L267" s="213"/>
      <c r="M267" s="213"/>
      <c r="N267" s="213"/>
      <c r="O267" s="213"/>
      <c r="P267" s="216"/>
      <c r="Q267" s="213"/>
      <c r="R267" s="213"/>
      <c r="S267" s="213"/>
      <c r="T267" s="213"/>
      <c r="U267" s="213"/>
      <c r="V267" s="216"/>
      <c r="W267" s="213"/>
      <c r="X267" s="213"/>
      <c r="Y267" s="213"/>
      <c r="Z267" s="213"/>
      <c r="AA267" s="213"/>
      <c r="AB267" s="216"/>
      <c r="AC267" s="213"/>
      <c r="AD267" s="213"/>
      <c r="AE267" s="213"/>
      <c r="AF267" s="213"/>
      <c r="AG267" s="213"/>
      <c r="AH267" s="216"/>
      <c r="AI267" s="213"/>
      <c r="AJ267" s="213"/>
      <c r="AK267" s="213"/>
      <c r="AL267" s="213"/>
      <c r="AM267" s="213"/>
      <c r="AN267" s="216"/>
      <c r="AO267" s="213"/>
      <c r="AP267" s="213"/>
      <c r="AQ267" s="213"/>
      <c r="AR267" s="213"/>
      <c r="AS267" s="213"/>
      <c r="AT267" s="216"/>
      <c r="AU267" s="213"/>
      <c r="AV267" s="213"/>
      <c r="AW267" s="213"/>
      <c r="AX267" s="213"/>
      <c r="AY267" s="213"/>
      <c r="AZ267" s="213"/>
      <c r="BA267" s="213"/>
      <c r="BB267" s="213"/>
      <c r="BC267" s="213"/>
      <c r="BD267" s="213"/>
      <c r="BE267" s="213"/>
      <c r="BF267" s="216"/>
      <c r="BG267" s="213"/>
      <c r="BH267" s="213"/>
      <c r="BI267" s="213"/>
      <c r="BJ267" s="213"/>
      <c r="BK267" s="213"/>
      <c r="BL267" s="213"/>
      <c r="BM267" s="213"/>
      <c r="BN267" s="213"/>
      <c r="BO267" s="213"/>
      <c r="BP267" s="213"/>
      <c r="BQ267" s="213"/>
      <c r="BR267" s="454"/>
      <c r="BS267" s="213"/>
      <c r="BT267" s="213"/>
      <c r="BU267" s="213"/>
      <c r="BV267" s="213"/>
      <c r="BW267" s="213"/>
      <c r="BX267" s="213"/>
      <c r="BY267" s="213"/>
      <c r="BZ267" s="213"/>
      <c r="CA267" s="213"/>
      <c r="CB267" s="213"/>
      <c r="CC267" s="213"/>
      <c r="CD267" s="213"/>
      <c r="CE267" s="213"/>
      <c r="CF267" s="213"/>
      <c r="CG267" s="213"/>
      <c r="CH267" s="213"/>
      <c r="CI267" s="213"/>
      <c r="CJ267" s="213"/>
      <c r="CK267" s="213"/>
      <c r="CL267" s="213"/>
      <c r="CM267" s="213"/>
      <c r="CN267" s="213"/>
      <c r="CO267" s="213"/>
      <c r="CP267" s="213"/>
      <c r="CQ267" s="213"/>
    </row>
    <row r="268" ht="15.75" customHeight="1">
      <c r="A268" s="213"/>
      <c r="B268" s="213"/>
      <c r="C268" s="213"/>
      <c r="D268" s="213"/>
      <c r="E268" s="213"/>
      <c r="F268" s="213"/>
      <c r="G268" s="213"/>
      <c r="H268" s="213"/>
      <c r="I268" s="213"/>
      <c r="J268" s="216"/>
      <c r="K268" s="213"/>
      <c r="L268" s="213"/>
      <c r="M268" s="213"/>
      <c r="N268" s="213"/>
      <c r="O268" s="213"/>
      <c r="P268" s="216"/>
      <c r="Q268" s="213"/>
      <c r="R268" s="213"/>
      <c r="S268" s="213"/>
      <c r="T268" s="213"/>
      <c r="U268" s="213"/>
      <c r="V268" s="216"/>
      <c r="W268" s="213"/>
      <c r="X268" s="213"/>
      <c r="Y268" s="213"/>
      <c r="Z268" s="213"/>
      <c r="AA268" s="213"/>
      <c r="AB268" s="216"/>
      <c r="AC268" s="213"/>
      <c r="AD268" s="213"/>
      <c r="AE268" s="213"/>
      <c r="AF268" s="213"/>
      <c r="AG268" s="213"/>
      <c r="AH268" s="216"/>
      <c r="AI268" s="213"/>
      <c r="AJ268" s="213"/>
      <c r="AK268" s="213"/>
      <c r="AL268" s="213"/>
      <c r="AM268" s="213"/>
      <c r="AN268" s="216"/>
      <c r="AO268" s="213"/>
      <c r="AP268" s="213"/>
      <c r="AQ268" s="213"/>
      <c r="AR268" s="213"/>
      <c r="AS268" s="213"/>
      <c r="AT268" s="216"/>
      <c r="AU268" s="213"/>
      <c r="AV268" s="213"/>
      <c r="AW268" s="213"/>
      <c r="AX268" s="213"/>
      <c r="AY268" s="213"/>
      <c r="AZ268" s="213"/>
      <c r="BA268" s="213"/>
      <c r="BB268" s="213"/>
      <c r="BC268" s="213"/>
      <c r="BD268" s="213"/>
      <c r="BE268" s="213"/>
      <c r="BF268" s="216"/>
      <c r="BG268" s="213"/>
      <c r="BH268" s="213"/>
      <c r="BI268" s="213"/>
      <c r="BJ268" s="213"/>
      <c r="BK268" s="213"/>
      <c r="BL268" s="213"/>
      <c r="BM268" s="213"/>
      <c r="BN268" s="213"/>
      <c r="BO268" s="213"/>
      <c r="BP268" s="213"/>
      <c r="BQ268" s="213"/>
      <c r="BR268" s="454"/>
      <c r="BS268" s="213"/>
      <c r="BT268" s="213"/>
      <c r="BU268" s="213"/>
      <c r="BV268" s="213"/>
      <c r="BW268" s="213"/>
      <c r="BX268" s="213"/>
      <c r="BY268" s="213"/>
      <c r="BZ268" s="213"/>
      <c r="CA268" s="213"/>
      <c r="CB268" s="213"/>
      <c r="CC268" s="213"/>
      <c r="CD268" s="213"/>
      <c r="CE268" s="213"/>
      <c r="CF268" s="213"/>
      <c r="CG268" s="213"/>
      <c r="CH268" s="213"/>
      <c r="CI268" s="213"/>
      <c r="CJ268" s="213"/>
      <c r="CK268" s="213"/>
      <c r="CL268" s="213"/>
      <c r="CM268" s="213"/>
      <c r="CN268" s="213"/>
      <c r="CO268" s="213"/>
      <c r="CP268" s="213"/>
      <c r="CQ268" s="213"/>
    </row>
    <row r="269" ht="15.75" customHeight="1">
      <c r="A269" s="213"/>
      <c r="B269" s="213"/>
      <c r="C269" s="213"/>
      <c r="D269" s="213"/>
      <c r="E269" s="213"/>
      <c r="F269" s="213"/>
      <c r="G269" s="213"/>
      <c r="H269" s="213"/>
      <c r="I269" s="213"/>
      <c r="J269" s="216"/>
      <c r="K269" s="213"/>
      <c r="L269" s="213"/>
      <c r="M269" s="213"/>
      <c r="N269" s="213"/>
      <c r="O269" s="213"/>
      <c r="P269" s="216"/>
      <c r="Q269" s="213"/>
      <c r="R269" s="213"/>
      <c r="S269" s="213"/>
      <c r="T269" s="213"/>
      <c r="U269" s="213"/>
      <c r="V269" s="216"/>
      <c r="W269" s="213"/>
      <c r="X269" s="213"/>
      <c r="Y269" s="213"/>
      <c r="Z269" s="213"/>
      <c r="AA269" s="213"/>
      <c r="AB269" s="216"/>
      <c r="AC269" s="213"/>
      <c r="AD269" s="213"/>
      <c r="AE269" s="213"/>
      <c r="AF269" s="213"/>
      <c r="AG269" s="213"/>
      <c r="AH269" s="216"/>
      <c r="AI269" s="213"/>
      <c r="AJ269" s="213"/>
      <c r="AK269" s="213"/>
      <c r="AL269" s="213"/>
      <c r="AM269" s="213"/>
      <c r="AN269" s="216"/>
      <c r="AO269" s="213"/>
      <c r="AP269" s="213"/>
      <c r="AQ269" s="213"/>
      <c r="AR269" s="213"/>
      <c r="AS269" s="213"/>
      <c r="AT269" s="216"/>
      <c r="AU269" s="213"/>
      <c r="AV269" s="213"/>
      <c r="AW269" s="213"/>
      <c r="AX269" s="213"/>
      <c r="AY269" s="213"/>
      <c r="AZ269" s="213"/>
      <c r="BA269" s="213"/>
      <c r="BB269" s="213"/>
      <c r="BC269" s="213"/>
      <c r="BD269" s="213"/>
      <c r="BE269" s="213"/>
      <c r="BF269" s="216"/>
      <c r="BG269" s="213"/>
      <c r="BH269" s="213"/>
      <c r="BI269" s="213"/>
      <c r="BJ269" s="213"/>
      <c r="BK269" s="213"/>
      <c r="BL269" s="213"/>
      <c r="BM269" s="213"/>
      <c r="BN269" s="213"/>
      <c r="BO269" s="213"/>
      <c r="BP269" s="213"/>
      <c r="BQ269" s="213"/>
      <c r="BR269" s="454"/>
      <c r="BS269" s="213"/>
      <c r="BT269" s="213"/>
      <c r="BU269" s="213"/>
      <c r="BV269" s="213"/>
      <c r="BW269" s="213"/>
      <c r="BX269" s="213"/>
      <c r="BY269" s="213"/>
      <c r="BZ269" s="213"/>
      <c r="CA269" s="213"/>
      <c r="CB269" s="213"/>
      <c r="CC269" s="213"/>
      <c r="CD269" s="213"/>
      <c r="CE269" s="213"/>
      <c r="CF269" s="213"/>
      <c r="CG269" s="213"/>
      <c r="CH269" s="213"/>
      <c r="CI269" s="213"/>
      <c r="CJ269" s="213"/>
      <c r="CK269" s="213"/>
      <c r="CL269" s="213"/>
      <c r="CM269" s="213"/>
      <c r="CN269" s="213"/>
      <c r="CO269" s="213"/>
      <c r="CP269" s="213"/>
      <c r="CQ269" s="213"/>
    </row>
    <row r="270" ht="15.75" customHeight="1">
      <c r="A270" s="213"/>
      <c r="B270" s="213"/>
      <c r="C270" s="213"/>
      <c r="D270" s="213"/>
      <c r="E270" s="213"/>
      <c r="F270" s="213"/>
      <c r="G270" s="213"/>
      <c r="H270" s="213"/>
      <c r="I270" s="213"/>
      <c r="J270" s="216"/>
      <c r="K270" s="213"/>
      <c r="L270" s="213"/>
      <c r="M270" s="213"/>
      <c r="N270" s="213"/>
      <c r="O270" s="213"/>
      <c r="P270" s="216"/>
      <c r="Q270" s="213"/>
      <c r="R270" s="213"/>
      <c r="S270" s="213"/>
      <c r="T270" s="213"/>
      <c r="U270" s="213"/>
      <c r="V270" s="216"/>
      <c r="W270" s="213"/>
      <c r="X270" s="213"/>
      <c r="Y270" s="213"/>
      <c r="Z270" s="213"/>
      <c r="AA270" s="213"/>
      <c r="AB270" s="216"/>
      <c r="AC270" s="213"/>
      <c r="AD270" s="213"/>
      <c r="AE270" s="213"/>
      <c r="AF270" s="213"/>
      <c r="AG270" s="213"/>
      <c r="AH270" s="216"/>
      <c r="AI270" s="213"/>
      <c r="AJ270" s="213"/>
      <c r="AK270" s="213"/>
      <c r="AL270" s="213"/>
      <c r="AM270" s="213"/>
      <c r="AN270" s="216"/>
      <c r="AO270" s="213"/>
      <c r="AP270" s="213"/>
      <c r="AQ270" s="213"/>
      <c r="AR270" s="213"/>
      <c r="AS270" s="213"/>
      <c r="AT270" s="216"/>
      <c r="AU270" s="213"/>
      <c r="AV270" s="213"/>
      <c r="AW270" s="213"/>
      <c r="AX270" s="213"/>
      <c r="AY270" s="213"/>
      <c r="AZ270" s="213"/>
      <c r="BA270" s="213"/>
      <c r="BB270" s="213"/>
      <c r="BC270" s="213"/>
      <c r="BD270" s="213"/>
      <c r="BE270" s="213"/>
      <c r="BF270" s="216"/>
      <c r="BG270" s="213"/>
      <c r="BH270" s="213"/>
      <c r="BI270" s="213"/>
      <c r="BJ270" s="213"/>
      <c r="BK270" s="213"/>
      <c r="BL270" s="213"/>
      <c r="BM270" s="213"/>
      <c r="BN270" s="213"/>
      <c r="BO270" s="213"/>
      <c r="BP270" s="213"/>
      <c r="BQ270" s="213"/>
      <c r="BR270" s="454"/>
      <c r="BS270" s="213"/>
      <c r="BT270" s="213"/>
      <c r="BU270" s="213"/>
      <c r="BV270" s="213"/>
      <c r="BW270" s="213"/>
      <c r="BX270" s="213"/>
      <c r="BY270" s="213"/>
      <c r="BZ270" s="213"/>
      <c r="CA270" s="213"/>
      <c r="CB270" s="213"/>
      <c r="CC270" s="213"/>
      <c r="CD270" s="213"/>
      <c r="CE270" s="213"/>
      <c r="CF270" s="213"/>
      <c r="CG270" s="213"/>
      <c r="CH270" s="213"/>
      <c r="CI270" s="213"/>
      <c r="CJ270" s="213"/>
      <c r="CK270" s="213"/>
      <c r="CL270" s="213"/>
      <c r="CM270" s="213"/>
      <c r="CN270" s="213"/>
      <c r="CO270" s="213"/>
      <c r="CP270" s="213"/>
      <c r="CQ270" s="213"/>
    </row>
    <row r="271" ht="15.75" customHeight="1">
      <c r="A271" s="213"/>
      <c r="B271" s="213"/>
      <c r="C271" s="213"/>
      <c r="D271" s="213"/>
      <c r="E271" s="213"/>
      <c r="F271" s="213"/>
      <c r="G271" s="213"/>
      <c r="H271" s="213"/>
      <c r="I271" s="213"/>
      <c r="J271" s="216"/>
      <c r="K271" s="213"/>
      <c r="L271" s="213"/>
      <c r="M271" s="213"/>
      <c r="N271" s="213"/>
      <c r="O271" s="213"/>
      <c r="P271" s="216"/>
      <c r="Q271" s="213"/>
      <c r="R271" s="213"/>
      <c r="S271" s="213"/>
      <c r="T271" s="213"/>
      <c r="U271" s="213"/>
      <c r="V271" s="216"/>
      <c r="W271" s="213"/>
      <c r="X271" s="213"/>
      <c r="Y271" s="213"/>
      <c r="Z271" s="213"/>
      <c r="AA271" s="213"/>
      <c r="AB271" s="216"/>
      <c r="AC271" s="213"/>
      <c r="AD271" s="213"/>
      <c r="AE271" s="213"/>
      <c r="AF271" s="213"/>
      <c r="AG271" s="213"/>
      <c r="AH271" s="216"/>
      <c r="AI271" s="213"/>
      <c r="AJ271" s="213"/>
      <c r="AK271" s="213"/>
      <c r="AL271" s="213"/>
      <c r="AM271" s="213"/>
      <c r="AN271" s="216"/>
      <c r="AO271" s="213"/>
      <c r="AP271" s="213"/>
      <c r="AQ271" s="213"/>
      <c r="AR271" s="213"/>
      <c r="AS271" s="213"/>
      <c r="AT271" s="216"/>
      <c r="AU271" s="213"/>
      <c r="AV271" s="213"/>
      <c r="AW271" s="213"/>
      <c r="AX271" s="213"/>
      <c r="AY271" s="213"/>
      <c r="AZ271" s="213"/>
      <c r="BA271" s="213"/>
      <c r="BB271" s="213"/>
      <c r="BC271" s="213"/>
      <c r="BD271" s="213"/>
      <c r="BE271" s="213"/>
      <c r="BF271" s="216"/>
      <c r="BG271" s="213"/>
      <c r="BH271" s="213"/>
      <c r="BI271" s="213"/>
      <c r="BJ271" s="213"/>
      <c r="BK271" s="213"/>
      <c r="BL271" s="213"/>
      <c r="BM271" s="213"/>
      <c r="BN271" s="213"/>
      <c r="BO271" s="213"/>
      <c r="BP271" s="213"/>
      <c r="BQ271" s="213"/>
      <c r="BR271" s="454"/>
      <c r="BS271" s="213"/>
      <c r="BT271" s="213"/>
      <c r="BU271" s="213"/>
      <c r="BV271" s="213"/>
      <c r="BW271" s="213"/>
      <c r="BX271" s="213"/>
      <c r="BY271" s="213"/>
      <c r="BZ271" s="213"/>
      <c r="CA271" s="213"/>
      <c r="CB271" s="213"/>
      <c r="CC271" s="213"/>
      <c r="CD271" s="213"/>
      <c r="CE271" s="213"/>
      <c r="CF271" s="213"/>
      <c r="CG271" s="213"/>
      <c r="CH271" s="213"/>
      <c r="CI271" s="213"/>
      <c r="CJ271" s="213"/>
      <c r="CK271" s="213"/>
      <c r="CL271" s="213"/>
      <c r="CM271" s="213"/>
      <c r="CN271" s="213"/>
      <c r="CO271" s="213"/>
      <c r="CP271" s="213"/>
      <c r="CQ271" s="213"/>
    </row>
    <row r="272" ht="15.75" customHeight="1">
      <c r="A272" s="213"/>
      <c r="B272" s="213"/>
      <c r="C272" s="213"/>
      <c r="D272" s="213"/>
      <c r="E272" s="213"/>
      <c r="F272" s="213"/>
      <c r="G272" s="213"/>
      <c r="H272" s="213"/>
      <c r="I272" s="213"/>
      <c r="J272" s="216"/>
      <c r="K272" s="213"/>
      <c r="L272" s="213"/>
      <c r="M272" s="213"/>
      <c r="N272" s="213"/>
      <c r="O272" s="213"/>
      <c r="P272" s="216"/>
      <c r="Q272" s="213"/>
      <c r="R272" s="213"/>
      <c r="S272" s="213"/>
      <c r="T272" s="213"/>
      <c r="U272" s="213"/>
      <c r="V272" s="216"/>
      <c r="W272" s="213"/>
      <c r="X272" s="213"/>
      <c r="Y272" s="213"/>
      <c r="Z272" s="213"/>
      <c r="AA272" s="213"/>
      <c r="AB272" s="216"/>
      <c r="AC272" s="213"/>
      <c r="AD272" s="213"/>
      <c r="AE272" s="213"/>
      <c r="AF272" s="213"/>
      <c r="AG272" s="213"/>
      <c r="AH272" s="216"/>
      <c r="AI272" s="213"/>
      <c r="AJ272" s="213"/>
      <c r="AK272" s="213"/>
      <c r="AL272" s="213"/>
      <c r="AM272" s="213"/>
      <c r="AN272" s="216"/>
      <c r="AO272" s="213"/>
      <c r="AP272" s="213"/>
      <c r="AQ272" s="213"/>
      <c r="AR272" s="213"/>
      <c r="AS272" s="213"/>
      <c r="AT272" s="216"/>
      <c r="AU272" s="213"/>
      <c r="AV272" s="213"/>
      <c r="AW272" s="213"/>
      <c r="AX272" s="213"/>
      <c r="AY272" s="213"/>
      <c r="AZ272" s="213"/>
      <c r="BA272" s="213"/>
      <c r="BB272" s="213"/>
      <c r="BC272" s="213"/>
      <c r="BD272" s="213"/>
      <c r="BE272" s="213"/>
      <c r="BF272" s="216"/>
      <c r="BG272" s="213"/>
      <c r="BH272" s="213"/>
      <c r="BI272" s="213"/>
      <c r="BJ272" s="213"/>
      <c r="BK272" s="213"/>
      <c r="BL272" s="213"/>
      <c r="BM272" s="213"/>
      <c r="BN272" s="213"/>
      <c r="BO272" s="213"/>
      <c r="BP272" s="213"/>
      <c r="BQ272" s="213"/>
      <c r="BR272" s="454"/>
      <c r="BS272" s="213"/>
      <c r="BT272" s="213"/>
      <c r="BU272" s="213"/>
      <c r="BV272" s="213"/>
      <c r="BW272" s="213"/>
      <c r="BX272" s="213"/>
      <c r="BY272" s="213"/>
      <c r="BZ272" s="213"/>
      <c r="CA272" s="213"/>
      <c r="CB272" s="213"/>
      <c r="CC272" s="213"/>
      <c r="CD272" s="213"/>
      <c r="CE272" s="213"/>
      <c r="CF272" s="213"/>
      <c r="CG272" s="213"/>
      <c r="CH272" s="213"/>
      <c r="CI272" s="213"/>
      <c r="CJ272" s="213"/>
      <c r="CK272" s="213"/>
      <c r="CL272" s="213"/>
      <c r="CM272" s="213"/>
      <c r="CN272" s="213"/>
      <c r="CO272" s="213"/>
      <c r="CP272" s="213"/>
      <c r="CQ272" s="213"/>
    </row>
    <row r="273" ht="15.75" customHeight="1">
      <c r="A273" s="213"/>
      <c r="B273" s="213"/>
      <c r="C273" s="213"/>
      <c r="D273" s="213"/>
      <c r="E273" s="213"/>
      <c r="F273" s="213"/>
      <c r="G273" s="213"/>
      <c r="H273" s="213"/>
      <c r="I273" s="213"/>
      <c r="J273" s="216"/>
      <c r="K273" s="213"/>
      <c r="L273" s="213"/>
      <c r="M273" s="213"/>
      <c r="N273" s="213"/>
      <c r="O273" s="213"/>
      <c r="P273" s="216"/>
      <c r="Q273" s="213"/>
      <c r="R273" s="213"/>
      <c r="S273" s="213"/>
      <c r="T273" s="213"/>
      <c r="U273" s="213"/>
      <c r="V273" s="216"/>
      <c r="W273" s="213"/>
      <c r="X273" s="213"/>
      <c r="Y273" s="213"/>
      <c r="Z273" s="213"/>
      <c r="AA273" s="213"/>
      <c r="AB273" s="216"/>
      <c r="AC273" s="213"/>
      <c r="AD273" s="213"/>
      <c r="AE273" s="213"/>
      <c r="AF273" s="213"/>
      <c r="AG273" s="213"/>
      <c r="AH273" s="216"/>
      <c r="AI273" s="213"/>
      <c r="AJ273" s="213"/>
      <c r="AK273" s="213"/>
      <c r="AL273" s="213"/>
      <c r="AM273" s="213"/>
      <c r="AN273" s="216"/>
      <c r="AO273" s="213"/>
      <c r="AP273" s="213"/>
      <c r="AQ273" s="213"/>
      <c r="AR273" s="213"/>
      <c r="AS273" s="213"/>
      <c r="AT273" s="216"/>
      <c r="AU273" s="213"/>
      <c r="AV273" s="213"/>
      <c r="AW273" s="213"/>
      <c r="AX273" s="213"/>
      <c r="AY273" s="213"/>
      <c r="AZ273" s="213"/>
      <c r="BA273" s="213"/>
      <c r="BB273" s="213"/>
      <c r="BC273" s="213"/>
      <c r="BD273" s="213"/>
      <c r="BE273" s="213"/>
      <c r="BF273" s="216"/>
      <c r="BG273" s="213"/>
      <c r="BH273" s="213"/>
      <c r="BI273" s="213"/>
      <c r="BJ273" s="213"/>
      <c r="BK273" s="213"/>
      <c r="BL273" s="213"/>
      <c r="BM273" s="213"/>
      <c r="BN273" s="213"/>
      <c r="BO273" s="213"/>
      <c r="BP273" s="213"/>
      <c r="BQ273" s="213"/>
      <c r="BR273" s="454"/>
      <c r="BS273" s="213"/>
      <c r="BT273" s="213"/>
      <c r="BU273" s="213"/>
      <c r="BV273" s="213"/>
      <c r="BW273" s="213"/>
      <c r="BX273" s="213"/>
      <c r="BY273" s="213"/>
      <c r="BZ273" s="213"/>
      <c r="CA273" s="213"/>
      <c r="CB273" s="213"/>
      <c r="CC273" s="213"/>
      <c r="CD273" s="213"/>
      <c r="CE273" s="213"/>
      <c r="CF273" s="213"/>
      <c r="CG273" s="213"/>
      <c r="CH273" s="213"/>
      <c r="CI273" s="213"/>
      <c r="CJ273" s="213"/>
      <c r="CK273" s="213"/>
      <c r="CL273" s="213"/>
      <c r="CM273" s="213"/>
      <c r="CN273" s="213"/>
      <c r="CO273" s="213"/>
      <c r="CP273" s="213"/>
      <c r="CQ273" s="213"/>
    </row>
    <row r="274" ht="15.75" customHeight="1">
      <c r="A274" s="213"/>
      <c r="B274" s="213"/>
      <c r="C274" s="213"/>
      <c r="D274" s="213"/>
      <c r="E274" s="213"/>
      <c r="F274" s="213"/>
      <c r="G274" s="213"/>
      <c r="H274" s="213"/>
      <c r="I274" s="213"/>
      <c r="J274" s="216"/>
      <c r="K274" s="213"/>
      <c r="L274" s="213"/>
      <c r="M274" s="213"/>
      <c r="N274" s="213"/>
      <c r="O274" s="213"/>
      <c r="P274" s="216"/>
      <c r="Q274" s="213"/>
      <c r="R274" s="213"/>
      <c r="S274" s="213"/>
      <c r="T274" s="213"/>
      <c r="U274" s="213"/>
      <c r="V274" s="216"/>
      <c r="W274" s="213"/>
      <c r="X274" s="213"/>
      <c r="Y274" s="213"/>
      <c r="Z274" s="213"/>
      <c r="AA274" s="213"/>
      <c r="AB274" s="216"/>
      <c r="AC274" s="213"/>
      <c r="AD274" s="213"/>
      <c r="AE274" s="213"/>
      <c r="AF274" s="213"/>
      <c r="AG274" s="213"/>
      <c r="AH274" s="216"/>
      <c r="AI274" s="213"/>
      <c r="AJ274" s="213"/>
      <c r="AK274" s="213"/>
      <c r="AL274" s="213"/>
      <c r="AM274" s="213"/>
      <c r="AN274" s="216"/>
      <c r="AO274" s="213"/>
      <c r="AP274" s="213"/>
      <c r="AQ274" s="213"/>
      <c r="AR274" s="213"/>
      <c r="AS274" s="213"/>
      <c r="AT274" s="216"/>
      <c r="AU274" s="213"/>
      <c r="AV274" s="213"/>
      <c r="AW274" s="213"/>
      <c r="AX274" s="213"/>
      <c r="AY274" s="213"/>
      <c r="AZ274" s="213"/>
      <c r="BA274" s="213"/>
      <c r="BB274" s="213"/>
      <c r="BC274" s="213"/>
      <c r="BD274" s="213"/>
      <c r="BE274" s="213"/>
      <c r="BF274" s="216"/>
      <c r="BG274" s="213"/>
      <c r="BH274" s="213"/>
      <c r="BI274" s="213"/>
      <c r="BJ274" s="213"/>
      <c r="BK274" s="213"/>
      <c r="BL274" s="213"/>
      <c r="BM274" s="213"/>
      <c r="BN274" s="213"/>
      <c r="BO274" s="213"/>
      <c r="BP274" s="213"/>
      <c r="BQ274" s="213"/>
      <c r="BR274" s="454"/>
      <c r="BS274" s="213"/>
      <c r="BT274" s="213"/>
      <c r="BU274" s="213"/>
      <c r="BV274" s="213"/>
      <c r="BW274" s="213"/>
      <c r="BX274" s="213"/>
      <c r="BY274" s="213"/>
      <c r="BZ274" s="213"/>
      <c r="CA274" s="213"/>
      <c r="CB274" s="213"/>
      <c r="CC274" s="213"/>
      <c r="CD274" s="213"/>
      <c r="CE274" s="213"/>
      <c r="CF274" s="213"/>
      <c r="CG274" s="213"/>
      <c r="CH274" s="213"/>
      <c r="CI274" s="213"/>
      <c r="CJ274" s="213"/>
      <c r="CK274" s="213"/>
      <c r="CL274" s="213"/>
      <c r="CM274" s="213"/>
      <c r="CN274" s="213"/>
      <c r="CO274" s="213"/>
      <c r="CP274" s="213"/>
      <c r="CQ274" s="213"/>
    </row>
    <row r="275" ht="15.75" customHeight="1">
      <c r="A275" s="213"/>
      <c r="B275" s="213"/>
      <c r="C275" s="213"/>
      <c r="D275" s="213"/>
      <c r="E275" s="213"/>
      <c r="F275" s="213"/>
      <c r="G275" s="213"/>
      <c r="H275" s="213"/>
      <c r="I275" s="213"/>
      <c r="J275" s="216"/>
      <c r="K275" s="213"/>
      <c r="L275" s="213"/>
      <c r="M275" s="213"/>
      <c r="N275" s="213"/>
      <c r="O275" s="213"/>
      <c r="P275" s="216"/>
      <c r="Q275" s="213"/>
      <c r="R275" s="213"/>
      <c r="S275" s="213"/>
      <c r="T275" s="213"/>
      <c r="U275" s="213"/>
      <c r="V275" s="216"/>
      <c r="W275" s="213"/>
      <c r="X275" s="213"/>
      <c r="Y275" s="213"/>
      <c r="Z275" s="213"/>
      <c r="AA275" s="213"/>
      <c r="AB275" s="216"/>
      <c r="AC275" s="213"/>
      <c r="AD275" s="213"/>
      <c r="AE275" s="213"/>
      <c r="AF275" s="213"/>
      <c r="AG275" s="213"/>
      <c r="AH275" s="216"/>
      <c r="AI275" s="213"/>
      <c r="AJ275" s="213"/>
      <c r="AK275" s="213"/>
      <c r="AL275" s="213"/>
      <c r="AM275" s="213"/>
      <c r="AN275" s="216"/>
      <c r="AO275" s="213"/>
      <c r="AP275" s="213"/>
      <c r="AQ275" s="213"/>
      <c r="AR275" s="213"/>
      <c r="AS275" s="213"/>
      <c r="AT275" s="216"/>
      <c r="AU275" s="213"/>
      <c r="AV275" s="213"/>
      <c r="AW275" s="213"/>
      <c r="AX275" s="213"/>
      <c r="AY275" s="213"/>
      <c r="AZ275" s="213"/>
      <c r="BA275" s="213"/>
      <c r="BB275" s="213"/>
      <c r="BC275" s="213"/>
      <c r="BD275" s="213"/>
      <c r="BE275" s="213"/>
      <c r="BF275" s="216"/>
      <c r="BG275" s="213"/>
      <c r="BH275" s="213"/>
      <c r="BI275" s="213"/>
      <c r="BJ275" s="213"/>
      <c r="BK275" s="213"/>
      <c r="BL275" s="213"/>
      <c r="BM275" s="213"/>
      <c r="BN275" s="213"/>
      <c r="BO275" s="213"/>
      <c r="BP275" s="213"/>
      <c r="BQ275" s="213"/>
      <c r="BR275" s="454"/>
      <c r="BS275" s="213"/>
      <c r="BT275" s="213"/>
      <c r="BU275" s="213"/>
      <c r="BV275" s="213"/>
      <c r="BW275" s="213"/>
      <c r="BX275" s="213"/>
      <c r="BY275" s="213"/>
      <c r="BZ275" s="213"/>
      <c r="CA275" s="213"/>
      <c r="CB275" s="213"/>
      <c r="CC275" s="213"/>
      <c r="CD275" s="213"/>
      <c r="CE275" s="213"/>
      <c r="CF275" s="213"/>
      <c r="CG275" s="213"/>
      <c r="CH275" s="213"/>
      <c r="CI275" s="213"/>
      <c r="CJ275" s="213"/>
      <c r="CK275" s="213"/>
      <c r="CL275" s="213"/>
      <c r="CM275" s="213"/>
      <c r="CN275" s="213"/>
      <c r="CO275" s="213"/>
      <c r="CP275" s="213"/>
      <c r="CQ275" s="213"/>
    </row>
    <row r="276" ht="15.75" customHeight="1">
      <c r="A276" s="213"/>
      <c r="B276" s="213"/>
      <c r="C276" s="213"/>
      <c r="D276" s="213"/>
      <c r="E276" s="213"/>
      <c r="F276" s="213"/>
      <c r="G276" s="213"/>
      <c r="H276" s="213"/>
      <c r="I276" s="213"/>
      <c r="J276" s="216"/>
      <c r="K276" s="213"/>
      <c r="L276" s="213"/>
      <c r="M276" s="213"/>
      <c r="N276" s="213"/>
      <c r="O276" s="213"/>
      <c r="P276" s="216"/>
      <c r="Q276" s="213"/>
      <c r="R276" s="213"/>
      <c r="S276" s="213"/>
      <c r="T276" s="213"/>
      <c r="U276" s="213"/>
      <c r="V276" s="216"/>
      <c r="W276" s="213"/>
      <c r="X276" s="213"/>
      <c r="Y276" s="213"/>
      <c r="Z276" s="213"/>
      <c r="AA276" s="213"/>
      <c r="AB276" s="216"/>
      <c r="AC276" s="213"/>
      <c r="AD276" s="213"/>
      <c r="AE276" s="213"/>
      <c r="AF276" s="213"/>
      <c r="AG276" s="213"/>
      <c r="AH276" s="216"/>
      <c r="AI276" s="213"/>
      <c r="AJ276" s="213"/>
      <c r="AK276" s="213"/>
      <c r="AL276" s="213"/>
      <c r="AM276" s="213"/>
      <c r="AN276" s="216"/>
      <c r="AO276" s="213"/>
      <c r="AP276" s="213"/>
      <c r="AQ276" s="213"/>
      <c r="AR276" s="213"/>
      <c r="AS276" s="213"/>
      <c r="AT276" s="216"/>
      <c r="AU276" s="213"/>
      <c r="AV276" s="213"/>
      <c r="AW276" s="213"/>
      <c r="AX276" s="213"/>
      <c r="AY276" s="213"/>
      <c r="AZ276" s="213"/>
      <c r="BA276" s="213"/>
      <c r="BB276" s="213"/>
      <c r="BC276" s="213"/>
      <c r="BD276" s="213"/>
      <c r="BE276" s="213"/>
      <c r="BF276" s="216"/>
      <c r="BG276" s="213"/>
      <c r="BH276" s="213"/>
      <c r="BI276" s="213"/>
      <c r="BJ276" s="213"/>
      <c r="BK276" s="213"/>
      <c r="BL276" s="213"/>
      <c r="BM276" s="213"/>
      <c r="BN276" s="213"/>
      <c r="BO276" s="213"/>
      <c r="BP276" s="213"/>
      <c r="BQ276" s="213"/>
      <c r="BR276" s="454"/>
      <c r="BS276" s="213"/>
      <c r="BT276" s="213"/>
      <c r="BU276" s="213"/>
      <c r="BV276" s="213"/>
      <c r="BW276" s="213"/>
      <c r="BX276" s="213"/>
      <c r="BY276" s="213"/>
      <c r="BZ276" s="213"/>
      <c r="CA276" s="213"/>
      <c r="CB276" s="213"/>
      <c r="CC276" s="213"/>
      <c r="CD276" s="213"/>
      <c r="CE276" s="213"/>
      <c r="CF276" s="213"/>
      <c r="CG276" s="213"/>
      <c r="CH276" s="213"/>
      <c r="CI276" s="213"/>
      <c r="CJ276" s="213"/>
      <c r="CK276" s="213"/>
      <c r="CL276" s="213"/>
      <c r="CM276" s="213"/>
      <c r="CN276" s="213"/>
      <c r="CO276" s="213"/>
      <c r="CP276" s="213"/>
      <c r="CQ276" s="213"/>
    </row>
    <row r="277" ht="15.75" customHeight="1">
      <c r="A277" s="213"/>
      <c r="B277" s="213"/>
      <c r="C277" s="213"/>
      <c r="D277" s="213"/>
      <c r="E277" s="213"/>
      <c r="F277" s="213"/>
      <c r="G277" s="213"/>
      <c r="H277" s="213"/>
      <c r="I277" s="213"/>
      <c r="J277" s="216"/>
      <c r="K277" s="213"/>
      <c r="L277" s="213"/>
      <c r="M277" s="213"/>
      <c r="N277" s="213"/>
      <c r="O277" s="213"/>
      <c r="P277" s="216"/>
      <c r="Q277" s="213"/>
      <c r="R277" s="213"/>
      <c r="S277" s="213"/>
      <c r="T277" s="213"/>
      <c r="U277" s="213"/>
      <c r="V277" s="216"/>
      <c r="W277" s="213"/>
      <c r="X277" s="213"/>
      <c r="Y277" s="213"/>
      <c r="Z277" s="213"/>
      <c r="AA277" s="213"/>
      <c r="AB277" s="216"/>
      <c r="AC277" s="213"/>
      <c r="AD277" s="213"/>
      <c r="AE277" s="213"/>
      <c r="AF277" s="213"/>
      <c r="AG277" s="213"/>
      <c r="AH277" s="216"/>
      <c r="AI277" s="213"/>
      <c r="AJ277" s="213"/>
      <c r="AK277" s="213"/>
      <c r="AL277" s="213"/>
      <c r="AM277" s="213"/>
      <c r="AN277" s="216"/>
      <c r="AO277" s="213"/>
      <c r="AP277" s="213"/>
      <c r="AQ277" s="213"/>
      <c r="AR277" s="213"/>
      <c r="AS277" s="213"/>
      <c r="AT277" s="216"/>
      <c r="AU277" s="213"/>
      <c r="AV277" s="213"/>
      <c r="AW277" s="213"/>
      <c r="AX277" s="213"/>
      <c r="AY277" s="213"/>
      <c r="AZ277" s="213"/>
      <c r="BA277" s="213"/>
      <c r="BB277" s="213"/>
      <c r="BC277" s="213"/>
      <c r="BD277" s="213"/>
      <c r="BE277" s="213"/>
      <c r="BF277" s="216"/>
      <c r="BG277" s="213"/>
      <c r="BH277" s="213"/>
      <c r="BI277" s="213"/>
      <c r="BJ277" s="213"/>
      <c r="BK277" s="213"/>
      <c r="BL277" s="213"/>
      <c r="BM277" s="213"/>
      <c r="BN277" s="213"/>
      <c r="BO277" s="213"/>
      <c r="BP277" s="213"/>
      <c r="BQ277" s="213"/>
      <c r="BR277" s="454"/>
      <c r="BS277" s="213"/>
      <c r="BT277" s="213"/>
      <c r="BU277" s="213"/>
      <c r="BV277" s="213"/>
      <c r="BW277" s="213"/>
      <c r="BX277" s="213"/>
      <c r="BY277" s="213"/>
      <c r="BZ277" s="213"/>
      <c r="CA277" s="213"/>
      <c r="CB277" s="213"/>
      <c r="CC277" s="213"/>
      <c r="CD277" s="213"/>
      <c r="CE277" s="213"/>
      <c r="CF277" s="213"/>
      <c r="CG277" s="213"/>
      <c r="CH277" s="213"/>
      <c r="CI277" s="213"/>
      <c r="CJ277" s="213"/>
      <c r="CK277" s="213"/>
      <c r="CL277" s="213"/>
      <c r="CM277" s="213"/>
      <c r="CN277" s="213"/>
      <c r="CO277" s="213"/>
      <c r="CP277" s="213"/>
      <c r="CQ277" s="213"/>
    </row>
    <row r="278" ht="15.75" customHeight="1">
      <c r="A278" s="213"/>
      <c r="B278" s="213"/>
      <c r="C278" s="213"/>
      <c r="D278" s="213"/>
      <c r="E278" s="213"/>
      <c r="F278" s="213"/>
      <c r="G278" s="213"/>
      <c r="H278" s="213"/>
      <c r="I278" s="213"/>
      <c r="J278" s="216"/>
      <c r="K278" s="213"/>
      <c r="L278" s="213"/>
      <c r="M278" s="213"/>
      <c r="N278" s="213"/>
      <c r="O278" s="213"/>
      <c r="P278" s="216"/>
      <c r="Q278" s="213"/>
      <c r="R278" s="213"/>
      <c r="S278" s="213"/>
      <c r="T278" s="213"/>
      <c r="U278" s="213"/>
      <c r="V278" s="216"/>
      <c r="W278" s="213"/>
      <c r="X278" s="213"/>
      <c r="Y278" s="213"/>
      <c r="Z278" s="213"/>
      <c r="AA278" s="213"/>
      <c r="AB278" s="216"/>
      <c r="AC278" s="213"/>
      <c r="AD278" s="213"/>
      <c r="AE278" s="213"/>
      <c r="AF278" s="213"/>
      <c r="AG278" s="213"/>
      <c r="AH278" s="216"/>
      <c r="AI278" s="213"/>
      <c r="AJ278" s="213"/>
      <c r="AK278" s="213"/>
      <c r="AL278" s="213"/>
      <c r="AM278" s="213"/>
      <c r="AN278" s="216"/>
      <c r="AO278" s="213"/>
      <c r="AP278" s="213"/>
      <c r="AQ278" s="213"/>
      <c r="AR278" s="213"/>
      <c r="AS278" s="213"/>
      <c r="AT278" s="216"/>
      <c r="AU278" s="213"/>
      <c r="AV278" s="213"/>
      <c r="AW278" s="213"/>
      <c r="AX278" s="213"/>
      <c r="AY278" s="213"/>
      <c r="AZ278" s="213"/>
      <c r="BA278" s="213"/>
      <c r="BB278" s="213"/>
      <c r="BC278" s="213"/>
      <c r="BD278" s="213"/>
      <c r="BE278" s="213"/>
      <c r="BF278" s="216"/>
      <c r="BG278" s="213"/>
      <c r="BH278" s="213"/>
      <c r="BI278" s="213"/>
      <c r="BJ278" s="213"/>
      <c r="BK278" s="213"/>
      <c r="BL278" s="213"/>
      <c r="BM278" s="213"/>
      <c r="BN278" s="213"/>
      <c r="BO278" s="213"/>
      <c r="BP278" s="213"/>
      <c r="BQ278" s="213"/>
      <c r="BR278" s="454"/>
      <c r="BS278" s="213"/>
      <c r="BT278" s="213"/>
      <c r="BU278" s="213"/>
      <c r="BV278" s="213"/>
      <c r="BW278" s="213"/>
      <c r="BX278" s="213"/>
      <c r="BY278" s="213"/>
      <c r="BZ278" s="213"/>
      <c r="CA278" s="213"/>
      <c r="CB278" s="213"/>
      <c r="CC278" s="213"/>
      <c r="CD278" s="213"/>
      <c r="CE278" s="213"/>
      <c r="CF278" s="213"/>
      <c r="CG278" s="213"/>
      <c r="CH278" s="213"/>
      <c r="CI278" s="213"/>
      <c r="CJ278" s="213"/>
      <c r="CK278" s="213"/>
      <c r="CL278" s="213"/>
      <c r="CM278" s="213"/>
      <c r="CN278" s="213"/>
      <c r="CO278" s="213"/>
      <c r="CP278" s="213"/>
      <c r="CQ278" s="213"/>
    </row>
    <row r="279" ht="15.75" customHeight="1">
      <c r="A279" s="213"/>
      <c r="B279" s="213"/>
      <c r="C279" s="213"/>
      <c r="D279" s="213"/>
      <c r="E279" s="213"/>
      <c r="F279" s="213"/>
      <c r="G279" s="213"/>
      <c r="H279" s="213"/>
      <c r="I279" s="213"/>
      <c r="J279" s="216"/>
      <c r="K279" s="213"/>
      <c r="L279" s="213"/>
      <c r="M279" s="213"/>
      <c r="N279" s="213"/>
      <c r="O279" s="213"/>
      <c r="P279" s="216"/>
      <c r="Q279" s="213"/>
      <c r="R279" s="213"/>
      <c r="S279" s="213"/>
      <c r="T279" s="213"/>
      <c r="U279" s="213"/>
      <c r="V279" s="216"/>
      <c r="W279" s="213"/>
      <c r="X279" s="213"/>
      <c r="Y279" s="213"/>
      <c r="Z279" s="213"/>
      <c r="AA279" s="213"/>
      <c r="AB279" s="216"/>
      <c r="AC279" s="213"/>
      <c r="AD279" s="213"/>
      <c r="AE279" s="213"/>
      <c r="AF279" s="213"/>
      <c r="AG279" s="213"/>
      <c r="AH279" s="216"/>
      <c r="AI279" s="213"/>
      <c r="AJ279" s="213"/>
      <c r="AK279" s="213"/>
      <c r="AL279" s="213"/>
      <c r="AM279" s="213"/>
      <c r="AN279" s="216"/>
      <c r="AO279" s="213"/>
      <c r="AP279" s="213"/>
      <c r="AQ279" s="213"/>
      <c r="AR279" s="213"/>
      <c r="AS279" s="213"/>
      <c r="AT279" s="216"/>
      <c r="AU279" s="213"/>
      <c r="AV279" s="213"/>
      <c r="AW279" s="213"/>
      <c r="AX279" s="213"/>
      <c r="AY279" s="213"/>
      <c r="AZ279" s="213"/>
      <c r="BA279" s="213"/>
      <c r="BB279" s="213"/>
      <c r="BC279" s="213"/>
      <c r="BD279" s="213"/>
      <c r="BE279" s="213"/>
      <c r="BF279" s="216"/>
      <c r="BG279" s="213"/>
      <c r="BH279" s="213"/>
      <c r="BI279" s="213"/>
      <c r="BJ279" s="213"/>
      <c r="BK279" s="213"/>
      <c r="BL279" s="213"/>
      <c r="BM279" s="213"/>
      <c r="BN279" s="213"/>
      <c r="BO279" s="213"/>
      <c r="BP279" s="213"/>
      <c r="BQ279" s="213"/>
      <c r="BR279" s="454"/>
      <c r="BS279" s="213"/>
      <c r="BT279" s="213"/>
      <c r="BU279" s="213"/>
      <c r="BV279" s="213"/>
      <c r="BW279" s="213"/>
      <c r="BX279" s="213"/>
      <c r="BY279" s="213"/>
      <c r="BZ279" s="213"/>
      <c r="CA279" s="213"/>
      <c r="CB279" s="213"/>
      <c r="CC279" s="213"/>
      <c r="CD279" s="213"/>
      <c r="CE279" s="213"/>
      <c r="CF279" s="213"/>
      <c r="CG279" s="213"/>
      <c r="CH279" s="213"/>
      <c r="CI279" s="213"/>
      <c r="CJ279" s="213"/>
      <c r="CK279" s="213"/>
      <c r="CL279" s="213"/>
      <c r="CM279" s="213"/>
      <c r="CN279" s="213"/>
      <c r="CO279" s="213"/>
      <c r="CP279" s="213"/>
      <c r="CQ279" s="213"/>
    </row>
    <row r="280" ht="15.75" customHeight="1">
      <c r="A280" s="213"/>
      <c r="B280" s="213"/>
      <c r="C280" s="213"/>
      <c r="D280" s="213"/>
      <c r="E280" s="213"/>
      <c r="F280" s="213"/>
      <c r="G280" s="213"/>
      <c r="H280" s="213"/>
      <c r="I280" s="213"/>
      <c r="J280" s="216"/>
      <c r="K280" s="213"/>
      <c r="L280" s="213"/>
      <c r="M280" s="213"/>
      <c r="N280" s="213"/>
      <c r="O280" s="213"/>
      <c r="P280" s="216"/>
      <c r="Q280" s="213"/>
      <c r="R280" s="213"/>
      <c r="S280" s="213"/>
      <c r="T280" s="213"/>
      <c r="U280" s="213"/>
      <c r="V280" s="216"/>
      <c r="W280" s="213"/>
      <c r="X280" s="213"/>
      <c r="Y280" s="213"/>
      <c r="Z280" s="213"/>
      <c r="AA280" s="213"/>
      <c r="AB280" s="216"/>
      <c r="AC280" s="213"/>
      <c r="AD280" s="213"/>
      <c r="AE280" s="213"/>
      <c r="AF280" s="213"/>
      <c r="AG280" s="213"/>
      <c r="AH280" s="216"/>
      <c r="AI280" s="213"/>
      <c r="AJ280" s="213"/>
      <c r="AK280" s="213"/>
      <c r="AL280" s="213"/>
      <c r="AM280" s="213"/>
      <c r="AN280" s="216"/>
      <c r="AO280" s="213"/>
      <c r="AP280" s="213"/>
      <c r="AQ280" s="213"/>
      <c r="AR280" s="213"/>
      <c r="AS280" s="213"/>
      <c r="AT280" s="216"/>
      <c r="AU280" s="213"/>
      <c r="AV280" s="213"/>
      <c r="AW280" s="213"/>
      <c r="AX280" s="213"/>
      <c r="AY280" s="213"/>
      <c r="AZ280" s="213"/>
      <c r="BA280" s="213"/>
      <c r="BB280" s="213"/>
      <c r="BC280" s="213"/>
      <c r="BD280" s="213"/>
      <c r="BE280" s="213"/>
      <c r="BF280" s="216"/>
      <c r="BG280" s="213"/>
      <c r="BH280" s="213"/>
      <c r="BI280" s="213"/>
      <c r="BJ280" s="213"/>
      <c r="BK280" s="213"/>
      <c r="BL280" s="213"/>
      <c r="BM280" s="213"/>
      <c r="BN280" s="213"/>
      <c r="BO280" s="213"/>
      <c r="BP280" s="213"/>
      <c r="BQ280" s="213"/>
      <c r="BR280" s="454"/>
      <c r="BS280" s="213"/>
      <c r="BT280" s="213"/>
      <c r="BU280" s="213"/>
      <c r="BV280" s="213"/>
      <c r="BW280" s="213"/>
      <c r="BX280" s="213"/>
      <c r="BY280" s="213"/>
      <c r="BZ280" s="213"/>
      <c r="CA280" s="213"/>
      <c r="CB280" s="213"/>
      <c r="CC280" s="213"/>
      <c r="CD280" s="213"/>
      <c r="CE280" s="213"/>
      <c r="CF280" s="213"/>
      <c r="CG280" s="213"/>
      <c r="CH280" s="213"/>
      <c r="CI280" s="213"/>
      <c r="CJ280" s="213"/>
      <c r="CK280" s="213"/>
      <c r="CL280" s="213"/>
      <c r="CM280" s="213"/>
      <c r="CN280" s="213"/>
      <c r="CO280" s="213"/>
      <c r="CP280" s="213"/>
      <c r="CQ280" s="213"/>
    </row>
    <row r="281" ht="15.75" customHeight="1">
      <c r="A281" s="213"/>
      <c r="B281" s="213"/>
      <c r="C281" s="213"/>
      <c r="D281" s="213"/>
      <c r="E281" s="213"/>
      <c r="F281" s="213"/>
      <c r="G281" s="213"/>
      <c r="H281" s="213"/>
      <c r="I281" s="213"/>
      <c r="J281" s="216"/>
      <c r="K281" s="213"/>
      <c r="L281" s="213"/>
      <c r="M281" s="213"/>
      <c r="N281" s="213"/>
      <c r="O281" s="213"/>
      <c r="P281" s="216"/>
      <c r="Q281" s="213"/>
      <c r="R281" s="213"/>
      <c r="S281" s="213"/>
      <c r="T281" s="213"/>
      <c r="U281" s="213"/>
      <c r="V281" s="216"/>
      <c r="W281" s="213"/>
      <c r="X281" s="213"/>
      <c r="Y281" s="213"/>
      <c r="Z281" s="213"/>
      <c r="AA281" s="213"/>
      <c r="AB281" s="216"/>
      <c r="AC281" s="213"/>
      <c r="AD281" s="213"/>
      <c r="AE281" s="213"/>
      <c r="AF281" s="213"/>
      <c r="AG281" s="213"/>
      <c r="AH281" s="216"/>
      <c r="AI281" s="213"/>
      <c r="AJ281" s="213"/>
      <c r="AK281" s="213"/>
      <c r="AL281" s="213"/>
      <c r="AM281" s="213"/>
      <c r="AN281" s="216"/>
      <c r="AO281" s="213"/>
      <c r="AP281" s="213"/>
      <c r="AQ281" s="213"/>
      <c r="AR281" s="213"/>
      <c r="AS281" s="213"/>
      <c r="AT281" s="216"/>
      <c r="AU281" s="213"/>
      <c r="AV281" s="213"/>
      <c r="AW281" s="213"/>
      <c r="AX281" s="213"/>
      <c r="AY281" s="213"/>
      <c r="AZ281" s="213"/>
      <c r="BA281" s="213"/>
      <c r="BB281" s="213"/>
      <c r="BC281" s="213"/>
      <c r="BD281" s="213"/>
      <c r="BE281" s="213"/>
      <c r="BF281" s="216"/>
      <c r="BG281" s="213"/>
      <c r="BH281" s="213"/>
      <c r="BI281" s="213"/>
      <c r="BJ281" s="213"/>
      <c r="BK281" s="213"/>
      <c r="BL281" s="213"/>
      <c r="BM281" s="213"/>
      <c r="BN281" s="213"/>
      <c r="BO281" s="213"/>
      <c r="BP281" s="213"/>
      <c r="BQ281" s="213"/>
      <c r="BR281" s="454"/>
      <c r="BS281" s="213"/>
      <c r="BT281" s="213"/>
      <c r="BU281" s="213"/>
      <c r="BV281" s="213"/>
      <c r="BW281" s="213"/>
      <c r="BX281" s="213"/>
      <c r="BY281" s="213"/>
      <c r="BZ281" s="213"/>
      <c r="CA281" s="213"/>
      <c r="CB281" s="213"/>
      <c r="CC281" s="213"/>
      <c r="CD281" s="213"/>
      <c r="CE281" s="213"/>
      <c r="CF281" s="213"/>
      <c r="CG281" s="213"/>
      <c r="CH281" s="213"/>
      <c r="CI281" s="213"/>
      <c r="CJ281" s="213"/>
      <c r="CK281" s="213"/>
      <c r="CL281" s="213"/>
      <c r="CM281" s="213"/>
      <c r="CN281" s="213"/>
      <c r="CO281" s="213"/>
      <c r="CP281" s="213"/>
      <c r="CQ281" s="213"/>
    </row>
    <row r="282" ht="15.75" customHeight="1">
      <c r="A282" s="213"/>
      <c r="B282" s="213"/>
      <c r="C282" s="213"/>
      <c r="D282" s="213"/>
      <c r="E282" s="213"/>
      <c r="F282" s="213"/>
      <c r="G282" s="213"/>
      <c r="H282" s="213"/>
      <c r="I282" s="213"/>
      <c r="J282" s="216"/>
      <c r="K282" s="213"/>
      <c r="L282" s="213"/>
      <c r="M282" s="213"/>
      <c r="N282" s="213"/>
      <c r="O282" s="213"/>
      <c r="P282" s="216"/>
      <c r="Q282" s="213"/>
      <c r="R282" s="213"/>
      <c r="S282" s="213"/>
      <c r="T282" s="213"/>
      <c r="U282" s="213"/>
      <c r="V282" s="216"/>
      <c r="W282" s="213"/>
      <c r="X282" s="213"/>
      <c r="Y282" s="213"/>
      <c r="Z282" s="213"/>
      <c r="AA282" s="213"/>
      <c r="AB282" s="216"/>
      <c r="AC282" s="213"/>
      <c r="AD282" s="213"/>
      <c r="AE282" s="213"/>
      <c r="AF282" s="213"/>
      <c r="AG282" s="213"/>
      <c r="AH282" s="216"/>
      <c r="AI282" s="213"/>
      <c r="AJ282" s="213"/>
      <c r="AK282" s="213"/>
      <c r="AL282" s="213"/>
      <c r="AM282" s="213"/>
      <c r="AN282" s="216"/>
      <c r="AO282" s="213"/>
      <c r="AP282" s="213"/>
      <c r="AQ282" s="213"/>
      <c r="AR282" s="213"/>
      <c r="AS282" s="213"/>
      <c r="AT282" s="216"/>
      <c r="AU282" s="213"/>
      <c r="AV282" s="213"/>
      <c r="AW282" s="213"/>
      <c r="AX282" s="213"/>
      <c r="AY282" s="213"/>
      <c r="AZ282" s="213"/>
      <c r="BA282" s="213"/>
      <c r="BB282" s="213"/>
      <c r="BC282" s="213"/>
      <c r="BD282" s="213"/>
      <c r="BE282" s="213"/>
      <c r="BF282" s="216"/>
      <c r="BG282" s="213"/>
      <c r="BH282" s="213"/>
      <c r="BI282" s="213"/>
      <c r="BJ282" s="213"/>
      <c r="BK282" s="213"/>
      <c r="BL282" s="213"/>
      <c r="BM282" s="213"/>
      <c r="BN282" s="213"/>
      <c r="BO282" s="213"/>
      <c r="BP282" s="213"/>
      <c r="BQ282" s="213"/>
      <c r="BR282" s="454"/>
      <c r="BS282" s="213"/>
      <c r="BT282" s="213"/>
      <c r="BU282" s="213"/>
      <c r="BV282" s="213"/>
      <c r="BW282" s="213"/>
      <c r="BX282" s="213"/>
      <c r="BY282" s="213"/>
      <c r="BZ282" s="213"/>
      <c r="CA282" s="213"/>
      <c r="CB282" s="213"/>
      <c r="CC282" s="213"/>
      <c r="CD282" s="213"/>
      <c r="CE282" s="213"/>
      <c r="CF282" s="213"/>
      <c r="CG282" s="213"/>
      <c r="CH282" s="213"/>
      <c r="CI282" s="213"/>
      <c r="CJ282" s="213"/>
      <c r="CK282" s="213"/>
      <c r="CL282" s="213"/>
      <c r="CM282" s="213"/>
      <c r="CN282" s="213"/>
      <c r="CO282" s="213"/>
      <c r="CP282" s="213"/>
      <c r="CQ282" s="213"/>
    </row>
    <row r="283" ht="15.75" customHeight="1">
      <c r="A283" s="213"/>
      <c r="B283" s="213"/>
      <c r="C283" s="213"/>
      <c r="D283" s="213"/>
      <c r="E283" s="213"/>
      <c r="F283" s="213"/>
      <c r="G283" s="213"/>
      <c r="H283" s="213"/>
      <c r="I283" s="213"/>
      <c r="J283" s="216"/>
      <c r="K283" s="213"/>
      <c r="L283" s="213"/>
      <c r="M283" s="213"/>
      <c r="N283" s="213"/>
      <c r="O283" s="213"/>
      <c r="P283" s="216"/>
      <c r="Q283" s="213"/>
      <c r="R283" s="213"/>
      <c r="S283" s="213"/>
      <c r="T283" s="213"/>
      <c r="U283" s="213"/>
      <c r="V283" s="216"/>
      <c r="W283" s="213"/>
      <c r="X283" s="213"/>
      <c r="Y283" s="213"/>
      <c r="Z283" s="213"/>
      <c r="AA283" s="213"/>
      <c r="AB283" s="216"/>
      <c r="AC283" s="213"/>
      <c r="AD283" s="213"/>
      <c r="AE283" s="213"/>
      <c r="AF283" s="213"/>
      <c r="AG283" s="213"/>
      <c r="AH283" s="216"/>
      <c r="AI283" s="213"/>
      <c r="AJ283" s="213"/>
      <c r="AK283" s="213"/>
      <c r="AL283" s="213"/>
      <c r="AM283" s="213"/>
      <c r="AN283" s="216"/>
      <c r="AO283" s="213"/>
      <c r="AP283" s="213"/>
      <c r="AQ283" s="213"/>
      <c r="AR283" s="213"/>
      <c r="AS283" s="213"/>
      <c r="AT283" s="216"/>
      <c r="AU283" s="213"/>
      <c r="AV283" s="213"/>
      <c r="AW283" s="213"/>
      <c r="AX283" s="213"/>
      <c r="AY283" s="213"/>
      <c r="AZ283" s="213"/>
      <c r="BA283" s="213"/>
      <c r="BB283" s="213"/>
      <c r="BC283" s="213"/>
      <c r="BD283" s="213"/>
      <c r="BE283" s="213"/>
      <c r="BF283" s="216"/>
      <c r="BG283" s="213"/>
      <c r="BH283" s="213"/>
      <c r="BI283" s="213"/>
      <c r="BJ283" s="213"/>
      <c r="BK283" s="213"/>
      <c r="BL283" s="213"/>
      <c r="BM283" s="213"/>
      <c r="BN283" s="213"/>
      <c r="BO283" s="213"/>
      <c r="BP283" s="213"/>
      <c r="BQ283" s="213"/>
      <c r="BR283" s="454"/>
      <c r="BS283" s="213"/>
      <c r="BT283" s="213"/>
      <c r="BU283" s="213"/>
      <c r="BV283" s="213"/>
      <c r="BW283" s="213"/>
      <c r="BX283" s="213"/>
      <c r="BY283" s="213"/>
      <c r="BZ283" s="213"/>
      <c r="CA283" s="213"/>
      <c r="CB283" s="213"/>
      <c r="CC283" s="213"/>
      <c r="CD283" s="213"/>
      <c r="CE283" s="213"/>
      <c r="CF283" s="213"/>
      <c r="CG283" s="213"/>
      <c r="CH283" s="213"/>
      <c r="CI283" s="213"/>
      <c r="CJ283" s="213"/>
      <c r="CK283" s="213"/>
      <c r="CL283" s="213"/>
      <c r="CM283" s="213"/>
      <c r="CN283" s="213"/>
      <c r="CO283" s="213"/>
      <c r="CP283" s="213"/>
      <c r="CQ283" s="213"/>
    </row>
    <row r="284" ht="15.75" customHeight="1">
      <c r="A284" s="213"/>
      <c r="B284" s="213"/>
      <c r="C284" s="213"/>
      <c r="D284" s="213"/>
      <c r="E284" s="213"/>
      <c r="F284" s="213"/>
      <c r="G284" s="213"/>
      <c r="H284" s="213"/>
      <c r="I284" s="213"/>
      <c r="J284" s="216"/>
      <c r="K284" s="213"/>
      <c r="L284" s="213"/>
      <c r="M284" s="213"/>
      <c r="N284" s="213"/>
      <c r="O284" s="213"/>
      <c r="P284" s="216"/>
      <c r="Q284" s="213"/>
      <c r="R284" s="213"/>
      <c r="S284" s="213"/>
      <c r="T284" s="213"/>
      <c r="U284" s="213"/>
      <c r="V284" s="216"/>
      <c r="W284" s="213"/>
      <c r="X284" s="213"/>
      <c r="Y284" s="213"/>
      <c r="Z284" s="213"/>
      <c r="AA284" s="213"/>
      <c r="AB284" s="216"/>
      <c r="AC284" s="213"/>
      <c r="AD284" s="213"/>
      <c r="AE284" s="213"/>
      <c r="AF284" s="213"/>
      <c r="AG284" s="213"/>
      <c r="AH284" s="216"/>
      <c r="AI284" s="213"/>
      <c r="AJ284" s="213"/>
      <c r="AK284" s="213"/>
      <c r="AL284" s="213"/>
      <c r="AM284" s="213"/>
      <c r="AN284" s="216"/>
      <c r="AO284" s="213"/>
      <c r="AP284" s="213"/>
      <c r="AQ284" s="213"/>
      <c r="AR284" s="213"/>
      <c r="AS284" s="213"/>
      <c r="AT284" s="216"/>
      <c r="AU284" s="213"/>
      <c r="AV284" s="213"/>
      <c r="AW284" s="213"/>
      <c r="AX284" s="213"/>
      <c r="AY284" s="213"/>
      <c r="AZ284" s="213"/>
      <c r="BA284" s="213"/>
      <c r="BB284" s="213"/>
      <c r="BC284" s="213"/>
      <c r="BD284" s="213"/>
      <c r="BE284" s="213"/>
      <c r="BF284" s="216"/>
      <c r="BG284" s="213"/>
      <c r="BH284" s="213"/>
      <c r="BI284" s="213"/>
      <c r="BJ284" s="213"/>
      <c r="BK284" s="213"/>
      <c r="BL284" s="213"/>
      <c r="BM284" s="213"/>
      <c r="BN284" s="213"/>
      <c r="BO284" s="213"/>
      <c r="BP284" s="213"/>
      <c r="BQ284" s="213"/>
      <c r="BR284" s="454"/>
      <c r="BS284" s="213"/>
      <c r="BT284" s="213"/>
      <c r="BU284" s="213"/>
      <c r="BV284" s="213"/>
      <c r="BW284" s="213"/>
      <c r="BX284" s="213"/>
      <c r="BY284" s="213"/>
      <c r="BZ284" s="213"/>
      <c r="CA284" s="213"/>
      <c r="CB284" s="213"/>
      <c r="CC284" s="213"/>
      <c r="CD284" s="213"/>
      <c r="CE284" s="213"/>
      <c r="CF284" s="213"/>
      <c r="CG284" s="213"/>
      <c r="CH284" s="213"/>
      <c r="CI284" s="213"/>
      <c r="CJ284" s="213"/>
      <c r="CK284" s="213"/>
      <c r="CL284" s="213"/>
      <c r="CM284" s="213"/>
      <c r="CN284" s="213"/>
      <c r="CO284" s="213"/>
      <c r="CP284" s="213"/>
      <c r="CQ284" s="213"/>
    </row>
    <row r="285" ht="15.75" customHeight="1">
      <c r="A285" s="213"/>
      <c r="B285" s="213"/>
      <c r="C285" s="213"/>
      <c r="D285" s="213"/>
      <c r="E285" s="213"/>
      <c r="F285" s="213"/>
      <c r="G285" s="213"/>
      <c r="H285" s="213"/>
      <c r="I285" s="213"/>
      <c r="J285" s="216"/>
      <c r="K285" s="213"/>
      <c r="L285" s="213"/>
      <c r="M285" s="213"/>
      <c r="N285" s="213"/>
      <c r="O285" s="213"/>
      <c r="P285" s="216"/>
      <c r="Q285" s="213"/>
      <c r="R285" s="213"/>
      <c r="S285" s="213"/>
      <c r="T285" s="213"/>
      <c r="U285" s="213"/>
      <c r="V285" s="216"/>
      <c r="W285" s="213"/>
      <c r="X285" s="213"/>
      <c r="Y285" s="213"/>
      <c r="Z285" s="213"/>
      <c r="AA285" s="213"/>
      <c r="AB285" s="216"/>
      <c r="AC285" s="213"/>
      <c r="AD285" s="213"/>
      <c r="AE285" s="213"/>
      <c r="AF285" s="213"/>
      <c r="AG285" s="213"/>
      <c r="AH285" s="216"/>
      <c r="AI285" s="213"/>
      <c r="AJ285" s="213"/>
      <c r="AK285" s="213"/>
      <c r="AL285" s="213"/>
      <c r="AM285" s="213"/>
      <c r="AN285" s="216"/>
      <c r="AO285" s="213"/>
      <c r="AP285" s="213"/>
      <c r="AQ285" s="213"/>
      <c r="AR285" s="213"/>
      <c r="AS285" s="213"/>
      <c r="AT285" s="216"/>
      <c r="AU285" s="213"/>
      <c r="AV285" s="213"/>
      <c r="AW285" s="213"/>
      <c r="AX285" s="213"/>
      <c r="AY285" s="213"/>
      <c r="AZ285" s="213"/>
      <c r="BA285" s="213"/>
      <c r="BB285" s="213"/>
      <c r="BC285" s="213"/>
      <c r="BD285" s="213"/>
      <c r="BE285" s="213"/>
      <c r="BF285" s="216"/>
      <c r="BG285" s="213"/>
      <c r="BH285" s="213"/>
      <c r="BI285" s="213"/>
      <c r="BJ285" s="213"/>
      <c r="BK285" s="213"/>
      <c r="BL285" s="213"/>
      <c r="BM285" s="213"/>
      <c r="BN285" s="213"/>
      <c r="BO285" s="213"/>
      <c r="BP285" s="213"/>
      <c r="BQ285" s="213"/>
      <c r="BR285" s="454"/>
      <c r="BS285" s="213"/>
      <c r="BT285" s="213"/>
      <c r="BU285" s="213"/>
      <c r="BV285" s="213"/>
      <c r="BW285" s="213"/>
      <c r="BX285" s="213"/>
      <c r="BY285" s="213"/>
      <c r="BZ285" s="213"/>
      <c r="CA285" s="213"/>
      <c r="CB285" s="213"/>
      <c r="CC285" s="213"/>
      <c r="CD285" s="213"/>
      <c r="CE285" s="213"/>
      <c r="CF285" s="213"/>
      <c r="CG285" s="213"/>
      <c r="CH285" s="213"/>
      <c r="CI285" s="213"/>
      <c r="CJ285" s="213"/>
      <c r="CK285" s="213"/>
      <c r="CL285" s="213"/>
      <c r="CM285" s="213"/>
      <c r="CN285" s="213"/>
      <c r="CO285" s="213"/>
      <c r="CP285" s="213"/>
      <c r="CQ285" s="213"/>
    </row>
    <row r="286" ht="15.75" customHeight="1">
      <c r="A286" s="213"/>
      <c r="B286" s="213"/>
      <c r="C286" s="213"/>
      <c r="D286" s="213"/>
      <c r="E286" s="213"/>
      <c r="F286" s="213"/>
      <c r="G286" s="213"/>
      <c r="H286" s="213"/>
      <c r="I286" s="213"/>
      <c r="J286" s="216"/>
      <c r="K286" s="213"/>
      <c r="L286" s="213"/>
      <c r="M286" s="213"/>
      <c r="N286" s="213"/>
      <c r="O286" s="213"/>
      <c r="P286" s="216"/>
      <c r="Q286" s="213"/>
      <c r="R286" s="213"/>
      <c r="S286" s="213"/>
      <c r="T286" s="213"/>
      <c r="U286" s="213"/>
      <c r="V286" s="216"/>
      <c r="W286" s="213"/>
      <c r="X286" s="213"/>
      <c r="Y286" s="213"/>
      <c r="Z286" s="213"/>
      <c r="AA286" s="213"/>
      <c r="AB286" s="216"/>
      <c r="AC286" s="213"/>
      <c r="AD286" s="213"/>
      <c r="AE286" s="213"/>
      <c r="AF286" s="213"/>
      <c r="AG286" s="213"/>
      <c r="AH286" s="216"/>
      <c r="AI286" s="213"/>
      <c r="AJ286" s="213"/>
      <c r="AK286" s="213"/>
      <c r="AL286" s="213"/>
      <c r="AM286" s="213"/>
      <c r="AN286" s="216"/>
      <c r="AO286" s="213"/>
      <c r="AP286" s="213"/>
      <c r="AQ286" s="213"/>
      <c r="AR286" s="213"/>
      <c r="AS286" s="213"/>
      <c r="AT286" s="216"/>
      <c r="AU286" s="213"/>
      <c r="AV286" s="213"/>
      <c r="AW286" s="213"/>
      <c r="AX286" s="213"/>
      <c r="AY286" s="213"/>
      <c r="AZ286" s="213"/>
      <c r="BA286" s="213"/>
      <c r="BB286" s="213"/>
      <c r="BC286" s="213"/>
      <c r="BD286" s="213"/>
      <c r="BE286" s="213"/>
      <c r="BF286" s="216"/>
      <c r="BG286" s="213"/>
      <c r="BH286" s="213"/>
      <c r="BI286" s="213"/>
      <c r="BJ286" s="213"/>
      <c r="BK286" s="213"/>
      <c r="BL286" s="213"/>
      <c r="BM286" s="213"/>
      <c r="BN286" s="213"/>
      <c r="BO286" s="213"/>
      <c r="BP286" s="213"/>
      <c r="BQ286" s="213"/>
      <c r="BR286" s="454"/>
      <c r="BS286" s="213"/>
      <c r="BT286" s="213"/>
      <c r="BU286" s="213"/>
      <c r="BV286" s="213"/>
      <c r="BW286" s="213"/>
      <c r="BX286" s="213"/>
      <c r="BY286" s="213"/>
      <c r="BZ286" s="213"/>
      <c r="CA286" s="213"/>
      <c r="CB286" s="213"/>
      <c r="CC286" s="213"/>
      <c r="CD286" s="213"/>
      <c r="CE286" s="213"/>
      <c r="CF286" s="213"/>
      <c r="CG286" s="213"/>
      <c r="CH286" s="213"/>
      <c r="CI286" s="213"/>
      <c r="CJ286" s="213"/>
      <c r="CK286" s="213"/>
      <c r="CL286" s="213"/>
      <c r="CM286" s="213"/>
      <c r="CN286" s="213"/>
      <c r="CO286" s="213"/>
      <c r="CP286" s="213"/>
      <c r="CQ286" s="213"/>
    </row>
    <row r="287" ht="15.75" customHeight="1">
      <c r="A287" s="213"/>
      <c r="B287" s="213"/>
      <c r="C287" s="213"/>
      <c r="D287" s="213"/>
      <c r="E287" s="213"/>
      <c r="F287" s="213"/>
      <c r="G287" s="213"/>
      <c r="H287" s="213"/>
      <c r="I287" s="213"/>
      <c r="J287" s="216"/>
      <c r="K287" s="213"/>
      <c r="L287" s="213"/>
      <c r="M287" s="213"/>
      <c r="N287" s="213"/>
      <c r="O287" s="213"/>
      <c r="P287" s="216"/>
      <c r="Q287" s="213"/>
      <c r="R287" s="213"/>
      <c r="S287" s="213"/>
      <c r="T287" s="213"/>
      <c r="U287" s="213"/>
      <c r="V287" s="216"/>
      <c r="W287" s="213"/>
      <c r="X287" s="213"/>
      <c r="Y287" s="213"/>
      <c r="Z287" s="213"/>
      <c r="AA287" s="213"/>
      <c r="AB287" s="216"/>
      <c r="AC287" s="213"/>
      <c r="AD287" s="213"/>
      <c r="AE287" s="213"/>
      <c r="AF287" s="213"/>
      <c r="AG287" s="213"/>
      <c r="AH287" s="216"/>
      <c r="AI287" s="213"/>
      <c r="AJ287" s="213"/>
      <c r="AK287" s="213"/>
      <c r="AL287" s="213"/>
      <c r="AM287" s="213"/>
      <c r="AN287" s="216"/>
      <c r="AO287" s="213"/>
      <c r="AP287" s="213"/>
      <c r="AQ287" s="213"/>
      <c r="AR287" s="213"/>
      <c r="AS287" s="213"/>
      <c r="AT287" s="216"/>
      <c r="AU287" s="213"/>
      <c r="AV287" s="213"/>
      <c r="AW287" s="213"/>
      <c r="AX287" s="213"/>
      <c r="AY287" s="213"/>
      <c r="AZ287" s="213"/>
      <c r="BA287" s="213"/>
      <c r="BB287" s="213"/>
      <c r="BC287" s="213"/>
      <c r="BD287" s="213"/>
      <c r="BE287" s="213"/>
      <c r="BF287" s="216"/>
      <c r="BG287" s="213"/>
      <c r="BH287" s="213"/>
      <c r="BI287" s="213"/>
      <c r="BJ287" s="213"/>
      <c r="BK287" s="213"/>
      <c r="BL287" s="213"/>
      <c r="BM287" s="213"/>
      <c r="BN287" s="213"/>
      <c r="BO287" s="213"/>
      <c r="BP287" s="213"/>
      <c r="BQ287" s="213"/>
      <c r="BR287" s="454"/>
      <c r="BS287" s="213"/>
      <c r="BT287" s="213"/>
      <c r="BU287" s="213"/>
      <c r="BV287" s="213"/>
      <c r="BW287" s="213"/>
      <c r="BX287" s="213"/>
      <c r="BY287" s="213"/>
      <c r="BZ287" s="213"/>
      <c r="CA287" s="213"/>
      <c r="CB287" s="213"/>
      <c r="CC287" s="213"/>
      <c r="CD287" s="213"/>
      <c r="CE287" s="213"/>
      <c r="CF287" s="213"/>
      <c r="CG287" s="213"/>
      <c r="CH287" s="213"/>
      <c r="CI287" s="213"/>
      <c r="CJ287" s="213"/>
      <c r="CK287" s="213"/>
      <c r="CL287" s="213"/>
      <c r="CM287" s="213"/>
      <c r="CN287" s="213"/>
      <c r="CO287" s="213"/>
      <c r="CP287" s="213"/>
      <c r="CQ287" s="213"/>
    </row>
    <row r="288" ht="15.75" customHeight="1">
      <c r="A288" s="213"/>
      <c r="B288" s="213"/>
      <c r="C288" s="213"/>
      <c r="D288" s="213"/>
      <c r="E288" s="213"/>
      <c r="F288" s="213"/>
      <c r="G288" s="213"/>
      <c r="H288" s="213"/>
      <c r="I288" s="213"/>
      <c r="J288" s="216"/>
      <c r="K288" s="213"/>
      <c r="L288" s="213"/>
      <c r="M288" s="213"/>
      <c r="N288" s="213"/>
      <c r="O288" s="213"/>
      <c r="P288" s="216"/>
      <c r="Q288" s="213"/>
      <c r="R288" s="213"/>
      <c r="S288" s="213"/>
      <c r="T288" s="213"/>
      <c r="U288" s="213"/>
      <c r="V288" s="216"/>
      <c r="W288" s="213"/>
      <c r="X288" s="213"/>
      <c r="Y288" s="213"/>
      <c r="Z288" s="213"/>
      <c r="AA288" s="213"/>
      <c r="AB288" s="216"/>
      <c r="AC288" s="213"/>
      <c r="AD288" s="213"/>
      <c r="AE288" s="213"/>
      <c r="AF288" s="213"/>
      <c r="AG288" s="213"/>
      <c r="AH288" s="216"/>
      <c r="AI288" s="213"/>
      <c r="AJ288" s="213"/>
      <c r="AK288" s="213"/>
      <c r="AL288" s="213"/>
      <c r="AM288" s="213"/>
      <c r="AN288" s="216"/>
      <c r="AO288" s="213"/>
      <c r="AP288" s="213"/>
      <c r="AQ288" s="213"/>
      <c r="AR288" s="213"/>
      <c r="AS288" s="213"/>
      <c r="AT288" s="216"/>
      <c r="AU288" s="213"/>
      <c r="AV288" s="213"/>
      <c r="AW288" s="213"/>
      <c r="AX288" s="213"/>
      <c r="AY288" s="213"/>
      <c r="AZ288" s="213"/>
      <c r="BA288" s="213"/>
      <c r="BB288" s="213"/>
      <c r="BC288" s="213"/>
      <c r="BD288" s="213"/>
      <c r="BE288" s="213"/>
      <c r="BF288" s="216"/>
      <c r="BG288" s="213"/>
      <c r="BH288" s="213"/>
      <c r="BI288" s="213"/>
      <c r="BJ288" s="213"/>
      <c r="BK288" s="213"/>
      <c r="BL288" s="213"/>
      <c r="BM288" s="213"/>
      <c r="BN288" s="213"/>
      <c r="BO288" s="213"/>
      <c r="BP288" s="213"/>
      <c r="BQ288" s="213"/>
      <c r="BR288" s="454"/>
      <c r="BS288" s="213"/>
      <c r="BT288" s="213"/>
      <c r="BU288" s="213"/>
      <c r="BV288" s="213"/>
      <c r="BW288" s="213"/>
      <c r="BX288" s="213"/>
      <c r="BY288" s="213"/>
      <c r="BZ288" s="213"/>
      <c r="CA288" s="213"/>
      <c r="CB288" s="213"/>
      <c r="CC288" s="213"/>
      <c r="CD288" s="213"/>
      <c r="CE288" s="213"/>
      <c r="CF288" s="213"/>
      <c r="CG288" s="213"/>
      <c r="CH288" s="213"/>
      <c r="CI288" s="213"/>
      <c r="CJ288" s="213"/>
      <c r="CK288" s="213"/>
      <c r="CL288" s="213"/>
      <c r="CM288" s="213"/>
      <c r="CN288" s="213"/>
      <c r="CO288" s="213"/>
      <c r="CP288" s="213"/>
      <c r="CQ288" s="213"/>
    </row>
    <row r="289" ht="15.75" customHeight="1">
      <c r="A289" s="213"/>
      <c r="B289" s="213"/>
      <c r="C289" s="213"/>
      <c r="D289" s="213"/>
      <c r="E289" s="213"/>
      <c r="F289" s="213"/>
      <c r="G289" s="213"/>
      <c r="H289" s="213"/>
      <c r="I289" s="213"/>
      <c r="J289" s="216"/>
      <c r="K289" s="213"/>
      <c r="L289" s="213"/>
      <c r="M289" s="213"/>
      <c r="N289" s="213"/>
      <c r="O289" s="213"/>
      <c r="P289" s="216"/>
      <c r="Q289" s="213"/>
      <c r="R289" s="213"/>
      <c r="S289" s="213"/>
      <c r="T289" s="213"/>
      <c r="U289" s="213"/>
      <c r="V289" s="216"/>
      <c r="W289" s="213"/>
      <c r="X289" s="213"/>
      <c r="Y289" s="213"/>
      <c r="Z289" s="213"/>
      <c r="AA289" s="213"/>
      <c r="AB289" s="216"/>
      <c r="AC289" s="213"/>
      <c r="AD289" s="213"/>
      <c r="AE289" s="213"/>
      <c r="AF289" s="213"/>
      <c r="AG289" s="213"/>
      <c r="AH289" s="216"/>
      <c r="AI289" s="213"/>
      <c r="AJ289" s="213"/>
      <c r="AK289" s="213"/>
      <c r="AL289" s="213"/>
      <c r="AM289" s="213"/>
      <c r="AN289" s="216"/>
      <c r="AO289" s="213"/>
      <c r="AP289" s="213"/>
      <c r="AQ289" s="213"/>
      <c r="AR289" s="213"/>
      <c r="AS289" s="213"/>
      <c r="AT289" s="216"/>
      <c r="AU289" s="213"/>
      <c r="AV289" s="213"/>
      <c r="AW289" s="213"/>
      <c r="AX289" s="213"/>
      <c r="AY289" s="213"/>
      <c r="AZ289" s="213"/>
      <c r="BA289" s="213"/>
      <c r="BB289" s="213"/>
      <c r="BC289" s="213"/>
      <c r="BD289" s="213"/>
      <c r="BE289" s="213"/>
      <c r="BF289" s="216"/>
      <c r="BG289" s="213"/>
      <c r="BH289" s="213"/>
      <c r="BI289" s="213"/>
      <c r="BJ289" s="213"/>
      <c r="BK289" s="213"/>
      <c r="BL289" s="213"/>
      <c r="BM289" s="213"/>
      <c r="BN289" s="213"/>
      <c r="BO289" s="213"/>
      <c r="BP289" s="213"/>
      <c r="BQ289" s="213"/>
      <c r="BR289" s="454"/>
      <c r="BS289" s="213"/>
      <c r="BT289" s="213"/>
      <c r="BU289" s="213"/>
      <c r="BV289" s="213"/>
      <c r="BW289" s="213"/>
      <c r="BX289" s="213"/>
      <c r="BY289" s="213"/>
      <c r="BZ289" s="213"/>
      <c r="CA289" s="213"/>
      <c r="CB289" s="213"/>
      <c r="CC289" s="213"/>
      <c r="CD289" s="213"/>
      <c r="CE289" s="213"/>
      <c r="CF289" s="213"/>
      <c r="CG289" s="213"/>
      <c r="CH289" s="213"/>
      <c r="CI289" s="213"/>
      <c r="CJ289" s="213"/>
      <c r="CK289" s="213"/>
      <c r="CL289" s="213"/>
      <c r="CM289" s="213"/>
      <c r="CN289" s="213"/>
      <c r="CO289" s="213"/>
      <c r="CP289" s="213"/>
      <c r="CQ289" s="213"/>
    </row>
    <row r="290" ht="15.75" customHeight="1">
      <c r="A290" s="213"/>
      <c r="B290" s="213"/>
      <c r="C290" s="213"/>
      <c r="D290" s="213"/>
      <c r="E290" s="213"/>
      <c r="F290" s="213"/>
      <c r="G290" s="213"/>
      <c r="H290" s="213"/>
      <c r="I290" s="213"/>
      <c r="J290" s="216"/>
      <c r="K290" s="213"/>
      <c r="L290" s="213"/>
      <c r="M290" s="213"/>
      <c r="N290" s="213"/>
      <c r="O290" s="213"/>
      <c r="P290" s="216"/>
      <c r="Q290" s="213"/>
      <c r="R290" s="213"/>
      <c r="S290" s="213"/>
      <c r="T290" s="213"/>
      <c r="U290" s="213"/>
      <c r="V290" s="216"/>
      <c r="W290" s="213"/>
      <c r="X290" s="213"/>
      <c r="Y290" s="213"/>
      <c r="Z290" s="213"/>
      <c r="AA290" s="213"/>
      <c r="AB290" s="216"/>
      <c r="AC290" s="213"/>
      <c r="AD290" s="213"/>
      <c r="AE290" s="213"/>
      <c r="AF290" s="213"/>
      <c r="AG290" s="213"/>
      <c r="AH290" s="216"/>
      <c r="AI290" s="213"/>
      <c r="AJ290" s="213"/>
      <c r="AK290" s="213"/>
      <c r="AL290" s="213"/>
      <c r="AM290" s="213"/>
      <c r="AN290" s="216"/>
      <c r="AO290" s="213"/>
      <c r="AP290" s="213"/>
      <c r="AQ290" s="213"/>
      <c r="AR290" s="213"/>
      <c r="AS290" s="213"/>
      <c r="AT290" s="216"/>
      <c r="AU290" s="213"/>
      <c r="AV290" s="213"/>
      <c r="AW290" s="213"/>
      <c r="AX290" s="213"/>
      <c r="AY290" s="213"/>
      <c r="AZ290" s="213"/>
      <c r="BA290" s="213"/>
      <c r="BB290" s="213"/>
      <c r="BC290" s="213"/>
      <c r="BD290" s="213"/>
      <c r="BE290" s="213"/>
      <c r="BF290" s="216"/>
      <c r="BG290" s="213"/>
      <c r="BH290" s="213"/>
      <c r="BI290" s="213"/>
      <c r="BJ290" s="213"/>
      <c r="BK290" s="213"/>
      <c r="BL290" s="213"/>
      <c r="BM290" s="213"/>
      <c r="BN290" s="213"/>
      <c r="BO290" s="213"/>
      <c r="BP290" s="213"/>
      <c r="BQ290" s="213"/>
      <c r="BR290" s="454"/>
      <c r="BS290" s="213"/>
      <c r="BT290" s="213"/>
      <c r="BU290" s="213"/>
      <c r="BV290" s="213"/>
      <c r="BW290" s="213"/>
      <c r="BX290" s="213"/>
      <c r="BY290" s="213"/>
      <c r="BZ290" s="213"/>
      <c r="CA290" s="213"/>
      <c r="CB290" s="213"/>
      <c r="CC290" s="213"/>
      <c r="CD290" s="213"/>
      <c r="CE290" s="213"/>
      <c r="CF290" s="213"/>
      <c r="CG290" s="213"/>
      <c r="CH290" s="213"/>
      <c r="CI290" s="213"/>
      <c r="CJ290" s="213"/>
      <c r="CK290" s="213"/>
      <c r="CL290" s="213"/>
      <c r="CM290" s="213"/>
      <c r="CN290" s="213"/>
      <c r="CO290" s="213"/>
      <c r="CP290" s="213"/>
      <c r="CQ290" s="213"/>
    </row>
    <row r="291" ht="15.75" customHeight="1">
      <c r="A291" s="213"/>
      <c r="B291" s="213"/>
      <c r="C291" s="213"/>
      <c r="D291" s="213"/>
      <c r="E291" s="213"/>
      <c r="F291" s="213"/>
      <c r="G291" s="213"/>
      <c r="H291" s="213"/>
      <c r="I291" s="213"/>
      <c r="J291" s="216"/>
      <c r="K291" s="213"/>
      <c r="L291" s="213"/>
      <c r="M291" s="213"/>
      <c r="N291" s="213"/>
      <c r="O291" s="213"/>
      <c r="P291" s="216"/>
      <c r="Q291" s="213"/>
      <c r="R291" s="213"/>
      <c r="S291" s="213"/>
      <c r="T291" s="213"/>
      <c r="U291" s="213"/>
      <c r="V291" s="216"/>
      <c r="W291" s="213"/>
      <c r="X291" s="213"/>
      <c r="Y291" s="213"/>
      <c r="Z291" s="213"/>
      <c r="AA291" s="213"/>
      <c r="AB291" s="216"/>
      <c r="AC291" s="213"/>
      <c r="AD291" s="213"/>
      <c r="AE291" s="213"/>
      <c r="AF291" s="213"/>
      <c r="AG291" s="213"/>
      <c r="AH291" s="216"/>
      <c r="AI291" s="213"/>
      <c r="AJ291" s="213"/>
      <c r="AK291" s="213"/>
      <c r="AL291" s="213"/>
      <c r="AM291" s="213"/>
      <c r="AN291" s="216"/>
      <c r="AO291" s="213"/>
      <c r="AP291" s="213"/>
      <c r="AQ291" s="213"/>
      <c r="AR291" s="213"/>
      <c r="AS291" s="213"/>
      <c r="AT291" s="216"/>
      <c r="AU291" s="213"/>
      <c r="AV291" s="213"/>
      <c r="AW291" s="213"/>
      <c r="AX291" s="213"/>
      <c r="AY291" s="213"/>
      <c r="AZ291" s="213"/>
      <c r="BA291" s="213"/>
      <c r="BB291" s="213"/>
      <c r="BC291" s="213"/>
      <c r="BD291" s="213"/>
      <c r="BE291" s="213"/>
      <c r="BF291" s="216"/>
      <c r="BG291" s="213"/>
      <c r="BH291" s="213"/>
      <c r="BI291" s="213"/>
      <c r="BJ291" s="213"/>
      <c r="BK291" s="213"/>
      <c r="BL291" s="213"/>
      <c r="BM291" s="213"/>
      <c r="BN291" s="213"/>
      <c r="BO291" s="213"/>
      <c r="BP291" s="213"/>
      <c r="BQ291" s="213"/>
      <c r="BR291" s="454"/>
      <c r="BS291" s="213"/>
      <c r="BT291" s="213"/>
      <c r="BU291" s="213"/>
      <c r="BV291" s="213"/>
      <c r="BW291" s="213"/>
      <c r="BX291" s="213"/>
      <c r="BY291" s="213"/>
      <c r="BZ291" s="213"/>
      <c r="CA291" s="213"/>
      <c r="CB291" s="213"/>
      <c r="CC291" s="213"/>
      <c r="CD291" s="213"/>
      <c r="CE291" s="213"/>
      <c r="CF291" s="213"/>
      <c r="CG291" s="213"/>
      <c r="CH291" s="213"/>
      <c r="CI291" s="213"/>
      <c r="CJ291" s="213"/>
      <c r="CK291" s="213"/>
      <c r="CL291" s="213"/>
      <c r="CM291" s="213"/>
      <c r="CN291" s="213"/>
      <c r="CO291" s="213"/>
      <c r="CP291" s="213"/>
      <c r="CQ291" s="213"/>
    </row>
    <row r="292" ht="15.75" customHeight="1">
      <c r="A292" s="213"/>
      <c r="B292" s="213"/>
      <c r="C292" s="213"/>
      <c r="D292" s="213"/>
      <c r="E292" s="213"/>
      <c r="F292" s="213"/>
      <c r="G292" s="213"/>
      <c r="H292" s="213"/>
      <c r="I292" s="213"/>
      <c r="J292" s="216"/>
      <c r="K292" s="213"/>
      <c r="L292" s="213"/>
      <c r="M292" s="213"/>
      <c r="N292" s="213"/>
      <c r="O292" s="213"/>
      <c r="P292" s="216"/>
      <c r="Q292" s="213"/>
      <c r="R292" s="213"/>
      <c r="S292" s="213"/>
      <c r="T292" s="213"/>
      <c r="U292" s="213"/>
      <c r="V292" s="216"/>
      <c r="W292" s="213"/>
      <c r="X292" s="213"/>
      <c r="Y292" s="213"/>
      <c r="Z292" s="213"/>
      <c r="AA292" s="213"/>
      <c r="AB292" s="216"/>
      <c r="AC292" s="213"/>
      <c r="AD292" s="213"/>
      <c r="AE292" s="213"/>
      <c r="AF292" s="213"/>
      <c r="AG292" s="213"/>
      <c r="AH292" s="216"/>
      <c r="AI292" s="213"/>
      <c r="AJ292" s="213"/>
      <c r="AK292" s="213"/>
      <c r="AL292" s="213"/>
      <c r="AM292" s="213"/>
      <c r="AN292" s="216"/>
      <c r="AO292" s="213"/>
      <c r="AP292" s="213"/>
      <c r="AQ292" s="213"/>
      <c r="AR292" s="213"/>
      <c r="AS292" s="213"/>
      <c r="AT292" s="216"/>
      <c r="AU292" s="213"/>
      <c r="AV292" s="213"/>
      <c r="AW292" s="213"/>
      <c r="AX292" s="213"/>
      <c r="AY292" s="213"/>
      <c r="AZ292" s="213"/>
      <c r="BA292" s="213"/>
      <c r="BB292" s="213"/>
      <c r="BC292" s="213"/>
      <c r="BD292" s="213"/>
      <c r="BE292" s="213"/>
      <c r="BF292" s="216"/>
      <c r="BG292" s="213"/>
      <c r="BH292" s="213"/>
      <c r="BI292" s="213"/>
      <c r="BJ292" s="213"/>
      <c r="BK292" s="213"/>
      <c r="BL292" s="213"/>
      <c r="BM292" s="213"/>
      <c r="BN292" s="213"/>
      <c r="BO292" s="213"/>
      <c r="BP292" s="213"/>
      <c r="BQ292" s="213"/>
      <c r="BR292" s="454"/>
      <c r="BS292" s="213"/>
      <c r="BT292" s="213"/>
      <c r="BU292" s="213"/>
      <c r="BV292" s="213"/>
      <c r="BW292" s="213"/>
      <c r="BX292" s="213"/>
      <c r="BY292" s="213"/>
      <c r="BZ292" s="213"/>
      <c r="CA292" s="213"/>
      <c r="CB292" s="213"/>
      <c r="CC292" s="213"/>
      <c r="CD292" s="213"/>
      <c r="CE292" s="213"/>
      <c r="CF292" s="213"/>
      <c r="CG292" s="213"/>
      <c r="CH292" s="213"/>
      <c r="CI292" s="213"/>
      <c r="CJ292" s="213"/>
      <c r="CK292" s="213"/>
      <c r="CL292" s="213"/>
      <c r="CM292" s="213"/>
      <c r="CN292" s="213"/>
      <c r="CO292" s="213"/>
      <c r="CP292" s="213"/>
      <c r="CQ292" s="213"/>
    </row>
    <row r="293" ht="15.75" customHeight="1">
      <c r="A293" s="213"/>
      <c r="B293" s="213"/>
      <c r="C293" s="213"/>
      <c r="D293" s="213"/>
      <c r="E293" s="213"/>
      <c r="F293" s="213"/>
      <c r="G293" s="213"/>
      <c r="H293" s="213"/>
      <c r="I293" s="213"/>
      <c r="J293" s="216"/>
      <c r="K293" s="213"/>
      <c r="L293" s="213"/>
      <c r="M293" s="213"/>
      <c r="N293" s="213"/>
      <c r="O293" s="213"/>
      <c r="P293" s="216"/>
      <c r="Q293" s="213"/>
      <c r="R293" s="213"/>
      <c r="S293" s="213"/>
      <c r="T293" s="213"/>
      <c r="U293" s="213"/>
      <c r="V293" s="216"/>
      <c r="W293" s="213"/>
      <c r="X293" s="213"/>
      <c r="Y293" s="213"/>
      <c r="Z293" s="213"/>
      <c r="AA293" s="213"/>
      <c r="AB293" s="216"/>
      <c r="AC293" s="213"/>
      <c r="AD293" s="213"/>
      <c r="AE293" s="213"/>
      <c r="AF293" s="213"/>
      <c r="AG293" s="213"/>
      <c r="AH293" s="216"/>
      <c r="AI293" s="213"/>
      <c r="AJ293" s="213"/>
      <c r="AK293" s="213"/>
      <c r="AL293" s="213"/>
      <c r="AM293" s="213"/>
      <c r="AN293" s="216"/>
      <c r="AO293" s="213"/>
      <c r="AP293" s="213"/>
      <c r="AQ293" s="213"/>
      <c r="AR293" s="213"/>
      <c r="AS293" s="213"/>
      <c r="AT293" s="216"/>
      <c r="AU293" s="213"/>
      <c r="AV293" s="213"/>
      <c r="AW293" s="213"/>
      <c r="AX293" s="213"/>
      <c r="AY293" s="213"/>
      <c r="AZ293" s="213"/>
      <c r="BA293" s="213"/>
      <c r="BB293" s="213"/>
      <c r="BC293" s="213"/>
      <c r="BD293" s="213"/>
      <c r="BE293" s="213"/>
      <c r="BF293" s="216"/>
      <c r="BG293" s="213"/>
      <c r="BH293" s="213"/>
      <c r="BI293" s="213"/>
      <c r="BJ293" s="213"/>
      <c r="BK293" s="213"/>
      <c r="BL293" s="213"/>
      <c r="BM293" s="213"/>
      <c r="BN293" s="213"/>
      <c r="BO293" s="213"/>
      <c r="BP293" s="213"/>
      <c r="BQ293" s="213"/>
      <c r="BR293" s="454"/>
      <c r="BS293" s="213"/>
      <c r="BT293" s="213"/>
      <c r="BU293" s="213"/>
      <c r="BV293" s="213"/>
      <c r="BW293" s="213"/>
      <c r="BX293" s="213"/>
      <c r="BY293" s="213"/>
      <c r="BZ293" s="213"/>
      <c r="CA293" s="213"/>
      <c r="CB293" s="213"/>
      <c r="CC293" s="213"/>
      <c r="CD293" s="213"/>
      <c r="CE293" s="213"/>
      <c r="CF293" s="213"/>
      <c r="CG293" s="213"/>
      <c r="CH293" s="213"/>
      <c r="CI293" s="213"/>
      <c r="CJ293" s="213"/>
      <c r="CK293" s="213"/>
      <c r="CL293" s="213"/>
      <c r="CM293" s="213"/>
      <c r="CN293" s="213"/>
      <c r="CO293" s="213"/>
      <c r="CP293" s="213"/>
      <c r="CQ293" s="213"/>
    </row>
    <row r="294" ht="15.75" customHeight="1">
      <c r="A294" s="213"/>
      <c r="B294" s="213"/>
      <c r="C294" s="213"/>
      <c r="D294" s="213"/>
      <c r="E294" s="213"/>
      <c r="F294" s="213"/>
      <c r="G294" s="213"/>
      <c r="H294" s="213"/>
      <c r="I294" s="213"/>
      <c r="J294" s="216"/>
      <c r="K294" s="213"/>
      <c r="L294" s="213"/>
      <c r="M294" s="213"/>
      <c r="N294" s="213"/>
      <c r="O294" s="213"/>
      <c r="P294" s="216"/>
      <c r="Q294" s="213"/>
      <c r="R294" s="213"/>
      <c r="S294" s="213"/>
      <c r="T294" s="213"/>
      <c r="U294" s="213"/>
      <c r="V294" s="216"/>
      <c r="W294" s="213"/>
      <c r="X294" s="213"/>
      <c r="Y294" s="213"/>
      <c r="Z294" s="213"/>
      <c r="AA294" s="213"/>
      <c r="AB294" s="216"/>
      <c r="AC294" s="213"/>
      <c r="AD294" s="213"/>
      <c r="AE294" s="213"/>
      <c r="AF294" s="213"/>
      <c r="AG294" s="213"/>
      <c r="AH294" s="216"/>
      <c r="AI294" s="213"/>
      <c r="AJ294" s="213"/>
      <c r="AK294" s="213"/>
      <c r="AL294" s="213"/>
      <c r="AM294" s="213"/>
      <c r="AN294" s="216"/>
      <c r="AO294" s="213"/>
      <c r="AP294" s="213"/>
      <c r="AQ294" s="213"/>
      <c r="AR294" s="213"/>
      <c r="AS294" s="213"/>
      <c r="AT294" s="216"/>
      <c r="AU294" s="213"/>
      <c r="AV294" s="213"/>
      <c r="AW294" s="213"/>
      <c r="AX294" s="213"/>
      <c r="AY294" s="213"/>
      <c r="AZ294" s="213"/>
      <c r="BA294" s="213"/>
      <c r="BB294" s="213"/>
      <c r="BC294" s="213"/>
      <c r="BD294" s="213"/>
      <c r="BE294" s="213"/>
      <c r="BF294" s="216"/>
      <c r="BG294" s="213"/>
      <c r="BH294" s="213"/>
      <c r="BI294" s="213"/>
      <c r="BJ294" s="213"/>
      <c r="BK294" s="213"/>
      <c r="BL294" s="213"/>
      <c r="BM294" s="213"/>
      <c r="BN294" s="213"/>
      <c r="BO294" s="213"/>
      <c r="BP294" s="213"/>
      <c r="BQ294" s="213"/>
      <c r="BR294" s="454"/>
      <c r="BS294" s="213"/>
      <c r="BT294" s="213"/>
      <c r="BU294" s="213"/>
      <c r="BV294" s="213"/>
      <c r="BW294" s="213"/>
      <c r="BX294" s="213"/>
      <c r="BY294" s="213"/>
      <c r="BZ294" s="213"/>
      <c r="CA294" s="213"/>
      <c r="CB294" s="213"/>
      <c r="CC294" s="213"/>
      <c r="CD294" s="213"/>
      <c r="CE294" s="213"/>
      <c r="CF294" s="213"/>
      <c r="CG294" s="213"/>
      <c r="CH294" s="213"/>
      <c r="CI294" s="213"/>
      <c r="CJ294" s="213"/>
      <c r="CK294" s="213"/>
      <c r="CL294" s="213"/>
      <c r="CM294" s="213"/>
      <c r="CN294" s="213"/>
      <c r="CO294" s="213"/>
      <c r="CP294" s="213"/>
      <c r="CQ294" s="213"/>
    </row>
    <row r="295" ht="15.75" customHeight="1">
      <c r="A295" s="213"/>
      <c r="B295" s="213"/>
      <c r="C295" s="213"/>
      <c r="D295" s="213"/>
      <c r="E295" s="213"/>
      <c r="F295" s="213"/>
      <c r="G295" s="213"/>
      <c r="H295" s="213"/>
      <c r="I295" s="213"/>
      <c r="J295" s="216"/>
      <c r="K295" s="213"/>
      <c r="L295" s="213"/>
      <c r="M295" s="213"/>
      <c r="N295" s="213"/>
      <c r="O295" s="213"/>
      <c r="P295" s="216"/>
      <c r="Q295" s="213"/>
      <c r="R295" s="213"/>
      <c r="S295" s="213"/>
      <c r="T295" s="213"/>
      <c r="U295" s="213"/>
      <c r="V295" s="216"/>
      <c r="W295" s="213"/>
      <c r="X295" s="213"/>
      <c r="Y295" s="213"/>
      <c r="Z295" s="213"/>
      <c r="AA295" s="213"/>
      <c r="AB295" s="216"/>
      <c r="AC295" s="213"/>
      <c r="AD295" s="213"/>
      <c r="AE295" s="213"/>
      <c r="AF295" s="213"/>
      <c r="AG295" s="213"/>
      <c r="AH295" s="216"/>
      <c r="AI295" s="213"/>
      <c r="AJ295" s="213"/>
      <c r="AK295" s="213"/>
      <c r="AL295" s="213"/>
      <c r="AM295" s="213"/>
      <c r="AN295" s="216"/>
      <c r="AO295" s="213"/>
      <c r="AP295" s="213"/>
      <c r="AQ295" s="213"/>
      <c r="AR295" s="213"/>
      <c r="AS295" s="213"/>
      <c r="AT295" s="216"/>
      <c r="AU295" s="213"/>
      <c r="AV295" s="213"/>
      <c r="AW295" s="213"/>
      <c r="AX295" s="213"/>
      <c r="AY295" s="213"/>
      <c r="AZ295" s="213"/>
      <c r="BA295" s="213"/>
      <c r="BB295" s="213"/>
      <c r="BC295" s="213"/>
      <c r="BD295" s="213"/>
      <c r="BE295" s="213"/>
      <c r="BF295" s="216"/>
      <c r="BG295" s="213"/>
      <c r="BH295" s="213"/>
      <c r="BI295" s="213"/>
      <c r="BJ295" s="213"/>
      <c r="BK295" s="213"/>
      <c r="BL295" s="213"/>
      <c r="BM295" s="213"/>
      <c r="BN295" s="213"/>
      <c r="BO295" s="213"/>
      <c r="BP295" s="213"/>
      <c r="BQ295" s="213"/>
      <c r="BR295" s="454"/>
      <c r="BS295" s="213"/>
      <c r="BT295" s="213"/>
      <c r="BU295" s="213"/>
      <c r="BV295" s="213"/>
      <c r="BW295" s="213"/>
      <c r="BX295" s="213"/>
      <c r="BY295" s="213"/>
      <c r="BZ295" s="213"/>
      <c r="CA295" s="213"/>
      <c r="CB295" s="213"/>
      <c r="CC295" s="213"/>
      <c r="CD295" s="213"/>
      <c r="CE295" s="213"/>
      <c r="CF295" s="213"/>
      <c r="CG295" s="213"/>
      <c r="CH295" s="213"/>
      <c r="CI295" s="213"/>
      <c r="CJ295" s="213"/>
      <c r="CK295" s="213"/>
      <c r="CL295" s="213"/>
      <c r="CM295" s="213"/>
      <c r="CN295" s="213"/>
      <c r="CO295" s="213"/>
      <c r="CP295" s="213"/>
      <c r="CQ295" s="213"/>
    </row>
    <row r="296" ht="15.75" customHeight="1">
      <c r="A296" s="213"/>
      <c r="B296" s="213"/>
      <c r="C296" s="213"/>
      <c r="D296" s="213"/>
      <c r="E296" s="213"/>
      <c r="F296" s="213"/>
      <c r="G296" s="213"/>
      <c r="H296" s="213"/>
      <c r="I296" s="213"/>
      <c r="J296" s="216"/>
      <c r="K296" s="213"/>
      <c r="L296" s="213"/>
      <c r="M296" s="213"/>
      <c r="N296" s="213"/>
      <c r="O296" s="213"/>
      <c r="P296" s="216"/>
      <c r="Q296" s="213"/>
      <c r="R296" s="213"/>
      <c r="S296" s="213"/>
      <c r="T296" s="213"/>
      <c r="U296" s="213"/>
      <c r="V296" s="216"/>
      <c r="W296" s="213"/>
      <c r="X296" s="213"/>
      <c r="Y296" s="213"/>
      <c r="Z296" s="213"/>
      <c r="AA296" s="213"/>
      <c r="AB296" s="216"/>
      <c r="AC296" s="213"/>
      <c r="AD296" s="213"/>
      <c r="AE296" s="213"/>
      <c r="AF296" s="213"/>
      <c r="AG296" s="213"/>
      <c r="AH296" s="216"/>
      <c r="AI296" s="213"/>
      <c r="AJ296" s="213"/>
      <c r="AK296" s="213"/>
      <c r="AL296" s="213"/>
      <c r="AM296" s="213"/>
      <c r="AN296" s="216"/>
      <c r="AO296" s="213"/>
      <c r="AP296" s="213"/>
      <c r="AQ296" s="213"/>
      <c r="AR296" s="213"/>
      <c r="AS296" s="213"/>
      <c r="AT296" s="216"/>
      <c r="AU296" s="213"/>
      <c r="AV296" s="213"/>
      <c r="AW296" s="213"/>
      <c r="AX296" s="213"/>
      <c r="AY296" s="213"/>
      <c r="AZ296" s="213"/>
      <c r="BA296" s="213"/>
      <c r="BB296" s="213"/>
      <c r="BC296" s="213"/>
      <c r="BD296" s="213"/>
      <c r="BE296" s="213"/>
      <c r="BF296" s="216"/>
      <c r="BG296" s="213"/>
      <c r="BH296" s="213"/>
      <c r="BI296" s="213"/>
      <c r="BJ296" s="213"/>
      <c r="BK296" s="213"/>
      <c r="BL296" s="213"/>
      <c r="BM296" s="213"/>
      <c r="BN296" s="213"/>
      <c r="BO296" s="213"/>
      <c r="BP296" s="213"/>
      <c r="BQ296" s="213"/>
      <c r="BR296" s="454"/>
      <c r="BS296" s="213"/>
      <c r="BT296" s="213"/>
      <c r="BU296" s="213"/>
      <c r="BV296" s="213"/>
      <c r="BW296" s="213"/>
      <c r="BX296" s="213"/>
      <c r="BY296" s="213"/>
      <c r="BZ296" s="213"/>
      <c r="CA296" s="213"/>
      <c r="CB296" s="213"/>
      <c r="CC296" s="213"/>
      <c r="CD296" s="213"/>
      <c r="CE296" s="213"/>
      <c r="CF296" s="213"/>
      <c r="CG296" s="213"/>
      <c r="CH296" s="213"/>
      <c r="CI296" s="213"/>
      <c r="CJ296" s="213"/>
      <c r="CK296" s="213"/>
      <c r="CL296" s="213"/>
      <c r="CM296" s="213"/>
      <c r="CN296" s="213"/>
      <c r="CO296" s="213"/>
      <c r="CP296" s="213"/>
      <c r="CQ296" s="213"/>
    </row>
    <row r="297" ht="15.75" customHeight="1">
      <c r="A297" s="213"/>
      <c r="B297" s="213"/>
      <c r="C297" s="213"/>
      <c r="D297" s="213"/>
      <c r="E297" s="213"/>
      <c r="F297" s="213"/>
      <c r="G297" s="213"/>
      <c r="H297" s="213"/>
      <c r="I297" s="213"/>
      <c r="J297" s="216"/>
      <c r="K297" s="213"/>
      <c r="L297" s="213"/>
      <c r="M297" s="213"/>
      <c r="N297" s="213"/>
      <c r="O297" s="213"/>
      <c r="P297" s="216"/>
      <c r="Q297" s="213"/>
      <c r="R297" s="213"/>
      <c r="S297" s="213"/>
      <c r="T297" s="213"/>
      <c r="U297" s="213"/>
      <c r="V297" s="216"/>
      <c r="W297" s="213"/>
      <c r="X297" s="213"/>
      <c r="Y297" s="213"/>
      <c r="Z297" s="213"/>
      <c r="AA297" s="213"/>
      <c r="AB297" s="216"/>
      <c r="AC297" s="213"/>
      <c r="AD297" s="213"/>
      <c r="AE297" s="213"/>
      <c r="AF297" s="213"/>
      <c r="AG297" s="213"/>
      <c r="AH297" s="216"/>
      <c r="AI297" s="213"/>
      <c r="AJ297" s="213"/>
      <c r="AK297" s="213"/>
      <c r="AL297" s="213"/>
      <c r="AM297" s="213"/>
      <c r="AN297" s="216"/>
      <c r="AO297" s="213"/>
      <c r="AP297" s="213"/>
      <c r="AQ297" s="213"/>
      <c r="AR297" s="213"/>
      <c r="AS297" s="213"/>
      <c r="AT297" s="216"/>
      <c r="AU297" s="213"/>
      <c r="AV297" s="213"/>
      <c r="AW297" s="213"/>
      <c r="AX297" s="213"/>
      <c r="AY297" s="213"/>
      <c r="AZ297" s="213"/>
      <c r="BA297" s="213"/>
      <c r="BB297" s="213"/>
      <c r="BC297" s="213"/>
      <c r="BD297" s="213"/>
      <c r="BE297" s="213"/>
      <c r="BF297" s="216"/>
      <c r="BG297" s="213"/>
      <c r="BH297" s="213"/>
      <c r="BI297" s="213"/>
      <c r="BJ297" s="213"/>
      <c r="BK297" s="213"/>
      <c r="BL297" s="213"/>
      <c r="BM297" s="213"/>
      <c r="BN297" s="213"/>
      <c r="BO297" s="213"/>
      <c r="BP297" s="213"/>
      <c r="BQ297" s="213"/>
      <c r="BR297" s="454"/>
      <c r="BS297" s="213"/>
      <c r="BT297" s="213"/>
      <c r="BU297" s="213"/>
      <c r="BV297" s="213"/>
      <c r="BW297" s="213"/>
      <c r="BX297" s="213"/>
      <c r="BY297" s="213"/>
      <c r="BZ297" s="213"/>
      <c r="CA297" s="213"/>
      <c r="CB297" s="213"/>
      <c r="CC297" s="213"/>
      <c r="CD297" s="213"/>
      <c r="CE297" s="213"/>
      <c r="CF297" s="213"/>
      <c r="CG297" s="213"/>
      <c r="CH297" s="213"/>
      <c r="CI297" s="213"/>
      <c r="CJ297" s="213"/>
      <c r="CK297" s="213"/>
      <c r="CL297" s="213"/>
      <c r="CM297" s="213"/>
      <c r="CN297" s="213"/>
      <c r="CO297" s="213"/>
      <c r="CP297" s="213"/>
      <c r="CQ297" s="213"/>
    </row>
    <row r="298" ht="15.75" customHeight="1">
      <c r="A298" s="213"/>
      <c r="B298" s="213"/>
      <c r="C298" s="213"/>
      <c r="D298" s="213"/>
      <c r="E298" s="213"/>
      <c r="F298" s="213"/>
      <c r="G298" s="213"/>
      <c r="H298" s="213"/>
      <c r="I298" s="213"/>
      <c r="J298" s="216"/>
      <c r="K298" s="213"/>
      <c r="L298" s="213"/>
      <c r="M298" s="213"/>
      <c r="N298" s="213"/>
      <c r="O298" s="213"/>
      <c r="P298" s="216"/>
      <c r="Q298" s="213"/>
      <c r="R298" s="213"/>
      <c r="S298" s="213"/>
      <c r="T298" s="213"/>
      <c r="U298" s="213"/>
      <c r="V298" s="216"/>
      <c r="W298" s="213"/>
      <c r="X298" s="213"/>
      <c r="Y298" s="213"/>
      <c r="Z298" s="213"/>
      <c r="AA298" s="213"/>
      <c r="AB298" s="216"/>
      <c r="AC298" s="213"/>
      <c r="AD298" s="213"/>
      <c r="AE298" s="213"/>
      <c r="AF298" s="213"/>
      <c r="AG298" s="213"/>
      <c r="AH298" s="216"/>
      <c r="AI298" s="213"/>
      <c r="AJ298" s="213"/>
      <c r="AK298" s="213"/>
      <c r="AL298" s="213"/>
      <c r="AM298" s="213"/>
      <c r="AN298" s="216"/>
      <c r="AO298" s="213"/>
      <c r="AP298" s="213"/>
      <c r="AQ298" s="213"/>
      <c r="AR298" s="213"/>
      <c r="AS298" s="213"/>
      <c r="AT298" s="216"/>
      <c r="AU298" s="213"/>
      <c r="AV298" s="213"/>
      <c r="AW298" s="213"/>
      <c r="AX298" s="213"/>
      <c r="AY298" s="213"/>
      <c r="AZ298" s="213"/>
      <c r="BA298" s="213"/>
      <c r="BB298" s="213"/>
      <c r="BC298" s="213"/>
      <c r="BD298" s="213"/>
      <c r="BE298" s="213"/>
      <c r="BF298" s="216"/>
      <c r="BG298" s="213"/>
      <c r="BH298" s="213"/>
      <c r="BI298" s="213"/>
      <c r="BJ298" s="213"/>
      <c r="BK298" s="213"/>
      <c r="BL298" s="213"/>
      <c r="BM298" s="213"/>
      <c r="BN298" s="213"/>
      <c r="BO298" s="213"/>
      <c r="BP298" s="213"/>
      <c r="BQ298" s="213"/>
      <c r="BR298" s="454"/>
      <c r="BS298" s="213"/>
      <c r="BT298" s="213"/>
      <c r="BU298" s="213"/>
      <c r="BV298" s="213"/>
      <c r="BW298" s="213"/>
      <c r="BX298" s="213"/>
      <c r="BY298" s="213"/>
      <c r="BZ298" s="213"/>
      <c r="CA298" s="213"/>
      <c r="CB298" s="213"/>
      <c r="CC298" s="213"/>
      <c r="CD298" s="213"/>
      <c r="CE298" s="213"/>
      <c r="CF298" s="213"/>
      <c r="CG298" s="213"/>
      <c r="CH298" s="213"/>
      <c r="CI298" s="213"/>
      <c r="CJ298" s="213"/>
      <c r="CK298" s="213"/>
      <c r="CL298" s="213"/>
      <c r="CM298" s="213"/>
      <c r="CN298" s="213"/>
      <c r="CO298" s="213"/>
      <c r="CP298" s="213"/>
      <c r="CQ298" s="213"/>
    </row>
    <row r="299" ht="15.75" customHeight="1">
      <c r="A299" s="213"/>
      <c r="B299" s="213"/>
      <c r="C299" s="213"/>
      <c r="D299" s="213"/>
      <c r="E299" s="213"/>
      <c r="F299" s="213"/>
      <c r="G299" s="213"/>
      <c r="H299" s="213"/>
      <c r="I299" s="213"/>
      <c r="J299" s="216"/>
      <c r="K299" s="213"/>
      <c r="L299" s="213"/>
      <c r="M299" s="213"/>
      <c r="N299" s="213"/>
      <c r="O299" s="213"/>
      <c r="P299" s="216"/>
      <c r="Q299" s="213"/>
      <c r="R299" s="213"/>
      <c r="S299" s="213"/>
      <c r="T299" s="213"/>
      <c r="U299" s="213"/>
      <c r="V299" s="216"/>
      <c r="W299" s="213"/>
      <c r="X299" s="213"/>
      <c r="Y299" s="213"/>
      <c r="Z299" s="213"/>
      <c r="AA299" s="213"/>
      <c r="AB299" s="216"/>
      <c r="AC299" s="213"/>
      <c r="AD299" s="213"/>
      <c r="AE299" s="213"/>
      <c r="AF299" s="213"/>
      <c r="AG299" s="213"/>
      <c r="AH299" s="216"/>
      <c r="AI299" s="213"/>
      <c r="AJ299" s="213"/>
      <c r="AK299" s="213"/>
      <c r="AL299" s="213"/>
      <c r="AM299" s="213"/>
      <c r="AN299" s="216"/>
      <c r="AO299" s="213"/>
      <c r="AP299" s="213"/>
      <c r="AQ299" s="213"/>
      <c r="AR299" s="213"/>
      <c r="AS299" s="213"/>
      <c r="AT299" s="216"/>
      <c r="AU299" s="213"/>
      <c r="AV299" s="213"/>
      <c r="AW299" s="213"/>
      <c r="AX299" s="213"/>
      <c r="AY299" s="213"/>
      <c r="AZ299" s="213"/>
      <c r="BA299" s="213"/>
      <c r="BB299" s="213"/>
      <c r="BC299" s="213"/>
      <c r="BD299" s="213"/>
      <c r="BE299" s="213"/>
      <c r="BF299" s="216"/>
      <c r="BG299" s="213"/>
      <c r="BH299" s="213"/>
      <c r="BI299" s="213"/>
      <c r="BJ299" s="213"/>
      <c r="BK299" s="213"/>
      <c r="BL299" s="213"/>
      <c r="BM299" s="213"/>
      <c r="BN299" s="213"/>
      <c r="BO299" s="213"/>
      <c r="BP299" s="213"/>
      <c r="BQ299" s="213"/>
      <c r="BR299" s="454"/>
      <c r="BS299" s="213"/>
      <c r="BT299" s="213"/>
      <c r="BU299" s="213"/>
      <c r="BV299" s="213"/>
      <c r="BW299" s="213"/>
      <c r="BX299" s="213"/>
      <c r="BY299" s="213"/>
      <c r="BZ299" s="213"/>
      <c r="CA299" s="213"/>
      <c r="CB299" s="213"/>
      <c r="CC299" s="213"/>
      <c r="CD299" s="213"/>
      <c r="CE299" s="213"/>
      <c r="CF299" s="213"/>
      <c r="CG299" s="213"/>
      <c r="CH299" s="213"/>
      <c r="CI299" s="213"/>
      <c r="CJ299" s="213"/>
      <c r="CK299" s="213"/>
      <c r="CL299" s="213"/>
      <c r="CM299" s="213"/>
      <c r="CN299" s="213"/>
      <c r="CO299" s="213"/>
      <c r="CP299" s="213"/>
      <c r="CQ299" s="213"/>
    </row>
    <row r="300" ht="15.75" customHeight="1">
      <c r="A300" s="213"/>
      <c r="B300" s="213"/>
      <c r="C300" s="213"/>
      <c r="D300" s="213"/>
      <c r="E300" s="213"/>
      <c r="F300" s="213"/>
      <c r="G300" s="213"/>
      <c r="H300" s="213"/>
      <c r="I300" s="213"/>
      <c r="J300" s="216"/>
      <c r="K300" s="213"/>
      <c r="L300" s="213"/>
      <c r="M300" s="213"/>
      <c r="N300" s="213"/>
      <c r="O300" s="213"/>
      <c r="P300" s="216"/>
      <c r="Q300" s="213"/>
      <c r="R300" s="213"/>
      <c r="S300" s="213"/>
      <c r="T300" s="213"/>
      <c r="U300" s="213"/>
      <c r="V300" s="216"/>
      <c r="W300" s="213"/>
      <c r="X300" s="213"/>
      <c r="Y300" s="213"/>
      <c r="Z300" s="213"/>
      <c r="AA300" s="213"/>
      <c r="AB300" s="216"/>
      <c r="AC300" s="213"/>
      <c r="AD300" s="213"/>
      <c r="AE300" s="213"/>
      <c r="AF300" s="213"/>
      <c r="AG300" s="213"/>
      <c r="AH300" s="216"/>
      <c r="AI300" s="213"/>
      <c r="AJ300" s="213"/>
      <c r="AK300" s="213"/>
      <c r="AL300" s="213"/>
      <c r="AM300" s="213"/>
      <c r="AN300" s="216"/>
      <c r="AO300" s="213"/>
      <c r="AP300" s="213"/>
      <c r="AQ300" s="213"/>
      <c r="AR300" s="213"/>
      <c r="AS300" s="213"/>
      <c r="AT300" s="216"/>
      <c r="AU300" s="213"/>
      <c r="AV300" s="213"/>
      <c r="AW300" s="213"/>
      <c r="AX300" s="213"/>
      <c r="AY300" s="213"/>
      <c r="AZ300" s="213"/>
      <c r="BA300" s="213"/>
      <c r="BB300" s="213"/>
      <c r="BC300" s="213"/>
      <c r="BD300" s="213"/>
      <c r="BE300" s="213"/>
      <c r="BF300" s="216"/>
      <c r="BG300" s="213"/>
      <c r="BH300" s="213"/>
      <c r="BI300" s="213"/>
      <c r="BJ300" s="213"/>
      <c r="BK300" s="213"/>
      <c r="BL300" s="213"/>
      <c r="BM300" s="213"/>
      <c r="BN300" s="213"/>
      <c r="BO300" s="213"/>
      <c r="BP300" s="213"/>
      <c r="BQ300" s="213"/>
      <c r="BR300" s="454"/>
      <c r="BS300" s="213"/>
      <c r="BT300" s="213"/>
      <c r="BU300" s="213"/>
      <c r="BV300" s="213"/>
      <c r="BW300" s="213"/>
      <c r="BX300" s="213"/>
      <c r="BY300" s="213"/>
      <c r="BZ300" s="213"/>
      <c r="CA300" s="213"/>
      <c r="CB300" s="213"/>
      <c r="CC300" s="213"/>
      <c r="CD300" s="213"/>
      <c r="CE300" s="213"/>
      <c r="CF300" s="213"/>
      <c r="CG300" s="213"/>
      <c r="CH300" s="213"/>
      <c r="CI300" s="213"/>
      <c r="CJ300" s="213"/>
      <c r="CK300" s="213"/>
      <c r="CL300" s="213"/>
      <c r="CM300" s="213"/>
      <c r="CN300" s="213"/>
      <c r="CO300" s="213"/>
      <c r="CP300" s="213"/>
      <c r="CQ300" s="213"/>
    </row>
    <row r="301" ht="15.75" customHeight="1">
      <c r="A301" s="213"/>
      <c r="B301" s="213"/>
      <c r="C301" s="213"/>
      <c r="D301" s="213"/>
      <c r="E301" s="213"/>
      <c r="F301" s="213"/>
      <c r="G301" s="213"/>
      <c r="H301" s="213"/>
      <c r="I301" s="213"/>
      <c r="J301" s="216"/>
      <c r="K301" s="213"/>
      <c r="L301" s="213"/>
      <c r="M301" s="213"/>
      <c r="N301" s="213"/>
      <c r="O301" s="213"/>
      <c r="P301" s="216"/>
      <c r="Q301" s="213"/>
      <c r="R301" s="213"/>
      <c r="S301" s="213"/>
      <c r="T301" s="213"/>
      <c r="U301" s="213"/>
      <c r="V301" s="216"/>
      <c r="W301" s="213"/>
      <c r="X301" s="213"/>
      <c r="Y301" s="213"/>
      <c r="Z301" s="213"/>
      <c r="AA301" s="213"/>
      <c r="AB301" s="216"/>
      <c r="AC301" s="213"/>
      <c r="AD301" s="213"/>
      <c r="AE301" s="213"/>
      <c r="AF301" s="213"/>
      <c r="AG301" s="213"/>
      <c r="AH301" s="216"/>
      <c r="AI301" s="213"/>
      <c r="AJ301" s="213"/>
      <c r="AK301" s="213"/>
      <c r="AL301" s="213"/>
      <c r="AM301" s="213"/>
      <c r="AN301" s="216"/>
      <c r="AO301" s="213"/>
      <c r="AP301" s="213"/>
      <c r="AQ301" s="213"/>
      <c r="AR301" s="213"/>
      <c r="AS301" s="213"/>
      <c r="AT301" s="216"/>
      <c r="AU301" s="213"/>
      <c r="AV301" s="213"/>
      <c r="AW301" s="213"/>
      <c r="AX301" s="213"/>
      <c r="AY301" s="213"/>
      <c r="AZ301" s="213"/>
      <c r="BA301" s="213"/>
      <c r="BB301" s="213"/>
      <c r="BC301" s="213"/>
      <c r="BD301" s="213"/>
      <c r="BE301" s="213"/>
      <c r="BF301" s="216"/>
      <c r="BG301" s="213"/>
      <c r="BH301" s="213"/>
      <c r="BI301" s="213"/>
      <c r="BJ301" s="213"/>
      <c r="BK301" s="213"/>
      <c r="BL301" s="213"/>
      <c r="BM301" s="213"/>
      <c r="BN301" s="213"/>
      <c r="BO301" s="213"/>
      <c r="BP301" s="213"/>
      <c r="BQ301" s="213"/>
      <c r="BR301" s="454"/>
      <c r="BS301" s="213"/>
      <c r="BT301" s="213"/>
      <c r="BU301" s="213"/>
      <c r="BV301" s="213"/>
      <c r="BW301" s="213"/>
      <c r="BX301" s="213"/>
      <c r="BY301" s="213"/>
      <c r="BZ301" s="213"/>
      <c r="CA301" s="213"/>
      <c r="CB301" s="213"/>
      <c r="CC301" s="213"/>
      <c r="CD301" s="213"/>
      <c r="CE301" s="213"/>
      <c r="CF301" s="213"/>
      <c r="CG301" s="213"/>
      <c r="CH301" s="213"/>
      <c r="CI301" s="213"/>
      <c r="CJ301" s="213"/>
      <c r="CK301" s="213"/>
      <c r="CL301" s="213"/>
      <c r="CM301" s="213"/>
      <c r="CN301" s="213"/>
      <c r="CO301" s="213"/>
      <c r="CP301" s="213"/>
      <c r="CQ301" s="213"/>
    </row>
    <row r="302" ht="15.75" customHeight="1">
      <c r="A302" s="213"/>
      <c r="B302" s="213"/>
      <c r="C302" s="213"/>
      <c r="D302" s="213"/>
      <c r="E302" s="213"/>
      <c r="F302" s="213"/>
      <c r="G302" s="213"/>
      <c r="H302" s="213"/>
      <c r="I302" s="213"/>
      <c r="J302" s="216"/>
      <c r="K302" s="213"/>
      <c r="L302" s="213"/>
      <c r="M302" s="213"/>
      <c r="N302" s="213"/>
      <c r="O302" s="213"/>
      <c r="P302" s="216"/>
      <c r="Q302" s="213"/>
      <c r="R302" s="213"/>
      <c r="S302" s="213"/>
      <c r="T302" s="213"/>
      <c r="U302" s="213"/>
      <c r="V302" s="216"/>
      <c r="W302" s="213"/>
      <c r="X302" s="213"/>
      <c r="Y302" s="213"/>
      <c r="Z302" s="213"/>
      <c r="AA302" s="213"/>
      <c r="AB302" s="216"/>
      <c r="AC302" s="213"/>
      <c r="AD302" s="213"/>
      <c r="AE302" s="213"/>
      <c r="AF302" s="213"/>
      <c r="AG302" s="213"/>
      <c r="AH302" s="216"/>
      <c r="AI302" s="213"/>
      <c r="AJ302" s="213"/>
      <c r="AK302" s="213"/>
      <c r="AL302" s="213"/>
      <c r="AM302" s="213"/>
      <c r="AN302" s="216"/>
      <c r="AO302" s="213"/>
      <c r="AP302" s="213"/>
      <c r="AQ302" s="213"/>
      <c r="AR302" s="213"/>
      <c r="AS302" s="213"/>
      <c r="AT302" s="216"/>
      <c r="AU302" s="213"/>
      <c r="AV302" s="213"/>
      <c r="AW302" s="213"/>
      <c r="AX302" s="213"/>
      <c r="AY302" s="213"/>
      <c r="AZ302" s="213"/>
      <c r="BA302" s="213"/>
      <c r="BB302" s="213"/>
      <c r="BC302" s="213"/>
      <c r="BD302" s="213"/>
      <c r="BE302" s="213"/>
      <c r="BF302" s="216"/>
      <c r="BG302" s="213"/>
      <c r="BH302" s="213"/>
      <c r="BI302" s="213"/>
      <c r="BJ302" s="213"/>
      <c r="BK302" s="213"/>
      <c r="BL302" s="213"/>
      <c r="BM302" s="213"/>
      <c r="BN302" s="213"/>
      <c r="BO302" s="213"/>
      <c r="BP302" s="213"/>
      <c r="BQ302" s="213"/>
      <c r="BR302" s="454"/>
      <c r="BS302" s="213"/>
      <c r="BT302" s="213"/>
      <c r="BU302" s="213"/>
      <c r="BV302" s="213"/>
      <c r="BW302" s="213"/>
      <c r="BX302" s="213"/>
      <c r="BY302" s="213"/>
      <c r="BZ302" s="213"/>
      <c r="CA302" s="213"/>
      <c r="CB302" s="213"/>
      <c r="CC302" s="213"/>
      <c r="CD302" s="213"/>
      <c r="CE302" s="213"/>
      <c r="CF302" s="213"/>
      <c r="CG302" s="213"/>
      <c r="CH302" s="213"/>
      <c r="CI302" s="213"/>
      <c r="CJ302" s="213"/>
      <c r="CK302" s="213"/>
      <c r="CL302" s="213"/>
      <c r="CM302" s="213"/>
      <c r="CN302" s="213"/>
      <c r="CO302" s="213"/>
      <c r="CP302" s="213"/>
      <c r="CQ302" s="213"/>
    </row>
    <row r="303" ht="15.75" customHeight="1">
      <c r="A303" s="213"/>
      <c r="B303" s="213"/>
      <c r="C303" s="213"/>
      <c r="D303" s="213"/>
      <c r="E303" s="213"/>
      <c r="F303" s="213"/>
      <c r="G303" s="213"/>
      <c r="H303" s="213"/>
      <c r="I303" s="213"/>
      <c r="J303" s="216"/>
      <c r="K303" s="213"/>
      <c r="L303" s="213"/>
      <c r="M303" s="213"/>
      <c r="N303" s="213"/>
      <c r="O303" s="213"/>
      <c r="P303" s="216"/>
      <c r="Q303" s="213"/>
      <c r="R303" s="213"/>
      <c r="S303" s="213"/>
      <c r="T303" s="213"/>
      <c r="U303" s="213"/>
      <c r="V303" s="216"/>
      <c r="W303" s="213"/>
      <c r="X303" s="213"/>
      <c r="Y303" s="213"/>
      <c r="Z303" s="213"/>
      <c r="AA303" s="213"/>
      <c r="AB303" s="216"/>
      <c r="AC303" s="213"/>
      <c r="AD303" s="213"/>
      <c r="AE303" s="213"/>
      <c r="AF303" s="213"/>
      <c r="AG303" s="213"/>
      <c r="AH303" s="216"/>
      <c r="AI303" s="213"/>
      <c r="AJ303" s="213"/>
      <c r="AK303" s="213"/>
      <c r="AL303" s="213"/>
      <c r="AM303" s="213"/>
      <c r="AN303" s="216"/>
      <c r="AO303" s="213"/>
      <c r="AP303" s="213"/>
      <c r="AQ303" s="213"/>
      <c r="AR303" s="213"/>
      <c r="AS303" s="213"/>
      <c r="AT303" s="216"/>
      <c r="AU303" s="213"/>
      <c r="AV303" s="213"/>
      <c r="AW303" s="213"/>
      <c r="AX303" s="213"/>
      <c r="AY303" s="213"/>
      <c r="AZ303" s="213"/>
      <c r="BA303" s="213"/>
      <c r="BB303" s="213"/>
      <c r="BC303" s="213"/>
      <c r="BD303" s="213"/>
      <c r="BE303" s="213"/>
      <c r="BF303" s="216"/>
      <c r="BG303" s="213"/>
      <c r="BH303" s="213"/>
      <c r="BI303" s="213"/>
      <c r="BJ303" s="213"/>
      <c r="BK303" s="213"/>
      <c r="BL303" s="213"/>
      <c r="BM303" s="213"/>
      <c r="BN303" s="213"/>
      <c r="BO303" s="213"/>
      <c r="BP303" s="213"/>
      <c r="BQ303" s="213"/>
      <c r="BR303" s="454"/>
      <c r="BS303" s="213"/>
      <c r="BT303" s="213"/>
      <c r="BU303" s="213"/>
      <c r="BV303" s="213"/>
      <c r="BW303" s="213"/>
      <c r="BX303" s="213"/>
      <c r="BY303" s="213"/>
      <c r="BZ303" s="213"/>
      <c r="CA303" s="213"/>
      <c r="CB303" s="213"/>
      <c r="CC303" s="213"/>
      <c r="CD303" s="213"/>
      <c r="CE303" s="213"/>
      <c r="CF303" s="213"/>
      <c r="CG303" s="213"/>
      <c r="CH303" s="213"/>
      <c r="CI303" s="213"/>
      <c r="CJ303" s="213"/>
      <c r="CK303" s="213"/>
      <c r="CL303" s="213"/>
      <c r="CM303" s="213"/>
      <c r="CN303" s="213"/>
      <c r="CO303" s="213"/>
      <c r="CP303" s="213"/>
      <c r="CQ303" s="213"/>
    </row>
    <row r="304" ht="15.75" customHeight="1">
      <c r="A304" s="213"/>
      <c r="B304" s="213"/>
      <c r="C304" s="213"/>
      <c r="D304" s="213"/>
      <c r="E304" s="213"/>
      <c r="F304" s="213"/>
      <c r="G304" s="213"/>
      <c r="H304" s="213"/>
      <c r="I304" s="213"/>
      <c r="J304" s="216"/>
      <c r="K304" s="213"/>
      <c r="L304" s="213"/>
      <c r="M304" s="213"/>
      <c r="N304" s="213"/>
      <c r="O304" s="213"/>
      <c r="P304" s="216"/>
      <c r="Q304" s="213"/>
      <c r="R304" s="213"/>
      <c r="S304" s="213"/>
      <c r="T304" s="213"/>
      <c r="U304" s="213"/>
      <c r="V304" s="216"/>
      <c r="W304" s="213"/>
      <c r="X304" s="213"/>
      <c r="Y304" s="213"/>
      <c r="Z304" s="213"/>
      <c r="AA304" s="213"/>
      <c r="AB304" s="216"/>
      <c r="AC304" s="213"/>
      <c r="AD304" s="213"/>
      <c r="AE304" s="213"/>
      <c r="AF304" s="213"/>
      <c r="AG304" s="213"/>
      <c r="AH304" s="216"/>
      <c r="AI304" s="213"/>
      <c r="AJ304" s="213"/>
      <c r="AK304" s="213"/>
      <c r="AL304" s="213"/>
      <c r="AM304" s="213"/>
      <c r="AN304" s="216"/>
      <c r="AO304" s="213"/>
      <c r="AP304" s="213"/>
      <c r="AQ304" s="213"/>
      <c r="AR304" s="213"/>
      <c r="AS304" s="213"/>
      <c r="AT304" s="216"/>
      <c r="AU304" s="213"/>
      <c r="AV304" s="213"/>
      <c r="AW304" s="213"/>
      <c r="AX304" s="213"/>
      <c r="AY304" s="213"/>
      <c r="AZ304" s="213"/>
      <c r="BA304" s="213"/>
      <c r="BB304" s="213"/>
      <c r="BC304" s="213"/>
      <c r="BD304" s="213"/>
      <c r="BE304" s="213"/>
      <c r="BF304" s="216"/>
      <c r="BG304" s="213"/>
      <c r="BH304" s="213"/>
      <c r="BI304" s="213"/>
      <c r="BJ304" s="213"/>
      <c r="BK304" s="213"/>
      <c r="BL304" s="213"/>
      <c r="BM304" s="213"/>
      <c r="BN304" s="213"/>
      <c r="BO304" s="213"/>
      <c r="BP304" s="213"/>
      <c r="BQ304" s="213"/>
      <c r="BR304" s="454"/>
      <c r="BS304" s="213"/>
      <c r="BT304" s="213"/>
      <c r="BU304" s="213"/>
      <c r="BV304" s="213"/>
      <c r="BW304" s="213"/>
      <c r="BX304" s="213"/>
      <c r="BY304" s="213"/>
      <c r="BZ304" s="213"/>
      <c r="CA304" s="213"/>
      <c r="CB304" s="213"/>
      <c r="CC304" s="213"/>
      <c r="CD304" s="213"/>
      <c r="CE304" s="213"/>
      <c r="CF304" s="213"/>
      <c r="CG304" s="213"/>
      <c r="CH304" s="213"/>
      <c r="CI304" s="213"/>
      <c r="CJ304" s="213"/>
      <c r="CK304" s="213"/>
      <c r="CL304" s="213"/>
      <c r="CM304" s="213"/>
      <c r="CN304" s="213"/>
      <c r="CO304" s="213"/>
      <c r="CP304" s="213"/>
      <c r="CQ304" s="213"/>
    </row>
    <row r="305" ht="15.75" customHeight="1">
      <c r="A305" s="213"/>
      <c r="B305" s="213"/>
      <c r="C305" s="213"/>
      <c r="D305" s="213"/>
      <c r="E305" s="213"/>
      <c r="F305" s="213"/>
      <c r="G305" s="213"/>
      <c r="H305" s="213"/>
      <c r="I305" s="213"/>
      <c r="J305" s="216"/>
      <c r="K305" s="213"/>
      <c r="L305" s="213"/>
      <c r="M305" s="213"/>
      <c r="N305" s="213"/>
      <c r="O305" s="213"/>
      <c r="P305" s="216"/>
      <c r="Q305" s="213"/>
      <c r="R305" s="213"/>
      <c r="S305" s="213"/>
      <c r="T305" s="213"/>
      <c r="U305" s="213"/>
      <c r="V305" s="216"/>
      <c r="W305" s="213"/>
      <c r="X305" s="213"/>
      <c r="Y305" s="213"/>
      <c r="Z305" s="213"/>
      <c r="AA305" s="213"/>
      <c r="AB305" s="216"/>
      <c r="AC305" s="213"/>
      <c r="AD305" s="213"/>
      <c r="AE305" s="213"/>
      <c r="AF305" s="213"/>
      <c r="AG305" s="213"/>
      <c r="AH305" s="216"/>
      <c r="AI305" s="213"/>
      <c r="AJ305" s="213"/>
      <c r="AK305" s="213"/>
      <c r="AL305" s="213"/>
      <c r="AM305" s="213"/>
      <c r="AN305" s="216"/>
      <c r="AO305" s="213"/>
      <c r="AP305" s="213"/>
      <c r="AQ305" s="213"/>
      <c r="AR305" s="213"/>
      <c r="AS305" s="213"/>
      <c r="AT305" s="216"/>
      <c r="AU305" s="213"/>
      <c r="AV305" s="213"/>
      <c r="AW305" s="213"/>
      <c r="AX305" s="213"/>
      <c r="AY305" s="213"/>
      <c r="AZ305" s="213"/>
      <c r="BA305" s="213"/>
      <c r="BB305" s="213"/>
      <c r="BC305" s="213"/>
      <c r="BD305" s="213"/>
      <c r="BE305" s="213"/>
      <c r="BF305" s="216"/>
      <c r="BG305" s="213"/>
      <c r="BH305" s="213"/>
      <c r="BI305" s="213"/>
      <c r="BJ305" s="213"/>
      <c r="BK305" s="213"/>
      <c r="BL305" s="213"/>
      <c r="BM305" s="213"/>
      <c r="BN305" s="213"/>
      <c r="BO305" s="213"/>
      <c r="BP305" s="213"/>
      <c r="BQ305" s="213"/>
      <c r="BR305" s="454"/>
      <c r="BS305" s="213"/>
      <c r="BT305" s="213"/>
      <c r="BU305" s="213"/>
      <c r="BV305" s="213"/>
      <c r="BW305" s="213"/>
      <c r="BX305" s="213"/>
      <c r="BY305" s="213"/>
      <c r="BZ305" s="213"/>
      <c r="CA305" s="213"/>
      <c r="CB305" s="213"/>
      <c r="CC305" s="213"/>
      <c r="CD305" s="213"/>
      <c r="CE305" s="213"/>
      <c r="CF305" s="213"/>
      <c r="CG305" s="213"/>
      <c r="CH305" s="213"/>
      <c r="CI305" s="213"/>
      <c r="CJ305" s="213"/>
      <c r="CK305" s="213"/>
      <c r="CL305" s="213"/>
      <c r="CM305" s="213"/>
      <c r="CN305" s="213"/>
      <c r="CO305" s="213"/>
      <c r="CP305" s="213"/>
      <c r="CQ305" s="213"/>
    </row>
    <row r="306" ht="15.75" customHeight="1">
      <c r="A306" s="213"/>
      <c r="B306" s="213"/>
      <c r="C306" s="213"/>
      <c r="D306" s="213"/>
      <c r="E306" s="213"/>
      <c r="F306" s="213"/>
      <c r="G306" s="213"/>
      <c r="H306" s="213"/>
      <c r="I306" s="213"/>
      <c r="J306" s="216"/>
      <c r="K306" s="213"/>
      <c r="L306" s="213"/>
      <c r="M306" s="213"/>
      <c r="N306" s="213"/>
      <c r="O306" s="213"/>
      <c r="P306" s="216"/>
      <c r="Q306" s="213"/>
      <c r="R306" s="213"/>
      <c r="S306" s="213"/>
      <c r="T306" s="213"/>
      <c r="U306" s="213"/>
      <c r="V306" s="216"/>
      <c r="W306" s="213"/>
      <c r="X306" s="213"/>
      <c r="Y306" s="213"/>
      <c r="Z306" s="213"/>
      <c r="AA306" s="213"/>
      <c r="AB306" s="216"/>
      <c r="AC306" s="213"/>
      <c r="AD306" s="213"/>
      <c r="AE306" s="213"/>
      <c r="AF306" s="213"/>
      <c r="AG306" s="213"/>
      <c r="AH306" s="216"/>
      <c r="AI306" s="213"/>
      <c r="AJ306" s="213"/>
      <c r="AK306" s="213"/>
      <c r="AL306" s="213"/>
      <c r="AM306" s="213"/>
      <c r="AN306" s="216"/>
      <c r="AO306" s="213"/>
      <c r="AP306" s="213"/>
      <c r="AQ306" s="213"/>
      <c r="AR306" s="213"/>
      <c r="AS306" s="213"/>
      <c r="AT306" s="216"/>
      <c r="AU306" s="213"/>
      <c r="AV306" s="213"/>
      <c r="AW306" s="213"/>
      <c r="AX306" s="213"/>
      <c r="AY306" s="213"/>
      <c r="AZ306" s="213"/>
      <c r="BA306" s="213"/>
      <c r="BB306" s="213"/>
      <c r="BC306" s="213"/>
      <c r="BD306" s="213"/>
      <c r="BE306" s="213"/>
      <c r="BF306" s="216"/>
      <c r="BG306" s="213"/>
      <c r="BH306" s="213"/>
      <c r="BI306" s="213"/>
      <c r="BJ306" s="213"/>
      <c r="BK306" s="213"/>
      <c r="BL306" s="213"/>
      <c r="BM306" s="213"/>
      <c r="BN306" s="213"/>
      <c r="BO306" s="213"/>
      <c r="BP306" s="213"/>
      <c r="BQ306" s="213"/>
      <c r="BR306" s="454"/>
      <c r="BS306" s="213"/>
      <c r="BT306" s="213"/>
      <c r="BU306" s="213"/>
      <c r="BV306" s="213"/>
      <c r="BW306" s="213"/>
      <c r="BX306" s="213"/>
      <c r="BY306" s="213"/>
      <c r="BZ306" s="213"/>
      <c r="CA306" s="213"/>
      <c r="CB306" s="213"/>
      <c r="CC306" s="213"/>
      <c r="CD306" s="213"/>
      <c r="CE306" s="213"/>
      <c r="CF306" s="213"/>
      <c r="CG306" s="213"/>
      <c r="CH306" s="213"/>
      <c r="CI306" s="213"/>
      <c r="CJ306" s="213"/>
      <c r="CK306" s="213"/>
      <c r="CL306" s="213"/>
      <c r="CM306" s="213"/>
      <c r="CN306" s="213"/>
      <c r="CO306" s="213"/>
      <c r="CP306" s="213"/>
      <c r="CQ306" s="213"/>
    </row>
    <row r="307" ht="15.75" customHeight="1">
      <c r="A307" s="213"/>
      <c r="B307" s="213"/>
      <c r="C307" s="213"/>
      <c r="D307" s="213"/>
      <c r="E307" s="213"/>
      <c r="F307" s="213"/>
      <c r="G307" s="213"/>
      <c r="H307" s="213"/>
      <c r="I307" s="213"/>
      <c r="J307" s="216"/>
      <c r="K307" s="213"/>
      <c r="L307" s="213"/>
      <c r="M307" s="213"/>
      <c r="N307" s="213"/>
      <c r="O307" s="213"/>
      <c r="P307" s="216"/>
      <c r="Q307" s="213"/>
      <c r="R307" s="213"/>
      <c r="S307" s="213"/>
      <c r="T307" s="213"/>
      <c r="U307" s="213"/>
      <c r="V307" s="216"/>
      <c r="W307" s="213"/>
      <c r="X307" s="213"/>
      <c r="Y307" s="213"/>
      <c r="Z307" s="213"/>
      <c r="AA307" s="213"/>
      <c r="AB307" s="216"/>
      <c r="AC307" s="213"/>
      <c r="AD307" s="213"/>
      <c r="AE307" s="213"/>
      <c r="AF307" s="213"/>
      <c r="AG307" s="213"/>
      <c r="AH307" s="216"/>
      <c r="AI307" s="213"/>
      <c r="AJ307" s="213"/>
      <c r="AK307" s="213"/>
      <c r="AL307" s="213"/>
      <c r="AM307" s="213"/>
      <c r="AN307" s="216"/>
      <c r="AO307" s="213"/>
      <c r="AP307" s="213"/>
      <c r="AQ307" s="213"/>
      <c r="AR307" s="213"/>
      <c r="AS307" s="213"/>
      <c r="AT307" s="216"/>
      <c r="AU307" s="213"/>
      <c r="AV307" s="213"/>
      <c r="AW307" s="213"/>
      <c r="AX307" s="213"/>
      <c r="AY307" s="213"/>
      <c r="AZ307" s="213"/>
      <c r="BA307" s="213"/>
      <c r="BB307" s="213"/>
      <c r="BC307" s="213"/>
      <c r="BD307" s="213"/>
      <c r="BE307" s="213"/>
      <c r="BF307" s="216"/>
      <c r="BG307" s="213"/>
      <c r="BH307" s="213"/>
      <c r="BI307" s="213"/>
      <c r="BJ307" s="213"/>
      <c r="BK307" s="213"/>
      <c r="BL307" s="213"/>
      <c r="BM307" s="213"/>
      <c r="BN307" s="213"/>
      <c r="BO307" s="213"/>
      <c r="BP307" s="213"/>
      <c r="BQ307" s="213"/>
      <c r="BR307" s="454"/>
      <c r="BS307" s="213"/>
      <c r="BT307" s="213"/>
      <c r="BU307" s="213"/>
      <c r="BV307" s="213"/>
      <c r="BW307" s="213"/>
      <c r="BX307" s="213"/>
      <c r="BY307" s="213"/>
      <c r="BZ307" s="213"/>
      <c r="CA307" s="213"/>
      <c r="CB307" s="213"/>
      <c r="CC307" s="213"/>
      <c r="CD307" s="213"/>
      <c r="CE307" s="213"/>
      <c r="CF307" s="213"/>
      <c r="CG307" s="213"/>
      <c r="CH307" s="213"/>
      <c r="CI307" s="213"/>
      <c r="CJ307" s="213"/>
      <c r="CK307" s="213"/>
      <c r="CL307" s="213"/>
      <c r="CM307" s="213"/>
      <c r="CN307" s="213"/>
      <c r="CO307" s="213"/>
      <c r="CP307" s="213"/>
      <c r="CQ307" s="213"/>
    </row>
    <row r="308" ht="15.75" customHeight="1">
      <c r="A308" s="213"/>
      <c r="B308" s="213"/>
      <c r="C308" s="213"/>
      <c r="D308" s="213"/>
      <c r="E308" s="213"/>
      <c r="F308" s="213"/>
      <c r="G308" s="213"/>
      <c r="H308" s="213"/>
      <c r="I308" s="213"/>
      <c r="J308" s="216"/>
      <c r="K308" s="213"/>
      <c r="L308" s="213"/>
      <c r="M308" s="213"/>
      <c r="N308" s="213"/>
      <c r="O308" s="213"/>
      <c r="P308" s="216"/>
      <c r="Q308" s="213"/>
      <c r="R308" s="213"/>
      <c r="S308" s="213"/>
      <c r="T308" s="213"/>
      <c r="U308" s="213"/>
      <c r="V308" s="216"/>
      <c r="W308" s="213"/>
      <c r="X308" s="213"/>
      <c r="Y308" s="213"/>
      <c r="Z308" s="213"/>
      <c r="AA308" s="213"/>
      <c r="AB308" s="216"/>
      <c r="AC308" s="213"/>
      <c r="AD308" s="213"/>
      <c r="AE308" s="213"/>
      <c r="AF308" s="213"/>
      <c r="AG308" s="213"/>
      <c r="AH308" s="216"/>
      <c r="AI308" s="213"/>
      <c r="AJ308" s="213"/>
      <c r="AK308" s="213"/>
      <c r="AL308" s="213"/>
      <c r="AM308" s="213"/>
      <c r="AN308" s="216"/>
      <c r="AO308" s="213"/>
      <c r="AP308" s="213"/>
      <c r="AQ308" s="213"/>
      <c r="AR308" s="213"/>
      <c r="AS308" s="213"/>
      <c r="AT308" s="216"/>
      <c r="AU308" s="213"/>
      <c r="AV308" s="213"/>
      <c r="AW308" s="213"/>
      <c r="AX308" s="213"/>
      <c r="AY308" s="213"/>
      <c r="AZ308" s="213"/>
      <c r="BA308" s="213"/>
      <c r="BB308" s="213"/>
      <c r="BC308" s="213"/>
      <c r="BD308" s="213"/>
      <c r="BE308" s="213"/>
      <c r="BF308" s="216"/>
      <c r="BG308" s="213"/>
      <c r="BH308" s="213"/>
      <c r="BI308" s="213"/>
      <c r="BJ308" s="213"/>
      <c r="BK308" s="213"/>
      <c r="BL308" s="213"/>
      <c r="BM308" s="213"/>
      <c r="BN308" s="213"/>
      <c r="BO308" s="213"/>
      <c r="BP308" s="213"/>
      <c r="BQ308" s="213"/>
      <c r="BR308" s="454"/>
      <c r="BS308" s="213"/>
      <c r="BT308" s="213"/>
      <c r="BU308" s="213"/>
      <c r="BV308" s="213"/>
      <c r="BW308" s="213"/>
      <c r="BX308" s="213"/>
      <c r="BY308" s="213"/>
      <c r="BZ308" s="213"/>
      <c r="CA308" s="213"/>
      <c r="CB308" s="213"/>
      <c r="CC308" s="213"/>
      <c r="CD308" s="213"/>
      <c r="CE308" s="213"/>
      <c r="CF308" s="213"/>
      <c r="CG308" s="213"/>
      <c r="CH308" s="213"/>
      <c r="CI308" s="213"/>
      <c r="CJ308" s="213"/>
      <c r="CK308" s="213"/>
      <c r="CL308" s="213"/>
      <c r="CM308" s="213"/>
      <c r="CN308" s="213"/>
      <c r="CO308" s="213"/>
      <c r="CP308" s="213"/>
      <c r="CQ308" s="213"/>
    </row>
    <row r="309" ht="15.75" customHeight="1">
      <c r="A309" s="213"/>
      <c r="B309" s="213"/>
      <c r="C309" s="213"/>
      <c r="D309" s="213"/>
      <c r="E309" s="213"/>
      <c r="F309" s="213"/>
      <c r="G309" s="213"/>
      <c r="H309" s="213"/>
      <c r="I309" s="213"/>
      <c r="J309" s="216"/>
      <c r="K309" s="213"/>
      <c r="L309" s="213"/>
      <c r="M309" s="213"/>
      <c r="N309" s="213"/>
      <c r="O309" s="213"/>
      <c r="P309" s="216"/>
      <c r="Q309" s="213"/>
      <c r="R309" s="213"/>
      <c r="S309" s="213"/>
      <c r="T309" s="213"/>
      <c r="U309" s="213"/>
      <c r="V309" s="216"/>
      <c r="W309" s="213"/>
      <c r="X309" s="213"/>
      <c r="Y309" s="213"/>
      <c r="Z309" s="213"/>
      <c r="AA309" s="213"/>
      <c r="AB309" s="216"/>
      <c r="AC309" s="213"/>
      <c r="AD309" s="213"/>
      <c r="AE309" s="213"/>
      <c r="AF309" s="213"/>
      <c r="AG309" s="213"/>
      <c r="AH309" s="216"/>
      <c r="AI309" s="213"/>
      <c r="AJ309" s="213"/>
      <c r="AK309" s="213"/>
      <c r="AL309" s="213"/>
      <c r="AM309" s="213"/>
      <c r="AN309" s="216"/>
      <c r="AO309" s="213"/>
      <c r="AP309" s="213"/>
      <c r="AQ309" s="213"/>
      <c r="AR309" s="213"/>
      <c r="AS309" s="213"/>
      <c r="AT309" s="216"/>
      <c r="AU309" s="213"/>
      <c r="AV309" s="213"/>
      <c r="AW309" s="213"/>
      <c r="AX309" s="213"/>
      <c r="AY309" s="213"/>
      <c r="AZ309" s="213"/>
      <c r="BA309" s="213"/>
      <c r="BB309" s="213"/>
      <c r="BC309" s="213"/>
      <c r="BD309" s="213"/>
      <c r="BE309" s="213"/>
      <c r="BF309" s="216"/>
      <c r="BG309" s="213"/>
      <c r="BH309" s="213"/>
      <c r="BI309" s="213"/>
      <c r="BJ309" s="213"/>
      <c r="BK309" s="213"/>
      <c r="BL309" s="213"/>
      <c r="BM309" s="213"/>
      <c r="BN309" s="213"/>
      <c r="BO309" s="213"/>
      <c r="BP309" s="213"/>
      <c r="BQ309" s="213"/>
      <c r="BR309" s="454"/>
      <c r="BS309" s="213"/>
      <c r="BT309" s="213"/>
      <c r="BU309" s="213"/>
      <c r="BV309" s="213"/>
      <c r="BW309" s="213"/>
      <c r="BX309" s="213"/>
      <c r="BY309" s="213"/>
      <c r="BZ309" s="213"/>
      <c r="CA309" s="213"/>
      <c r="CB309" s="213"/>
      <c r="CC309" s="213"/>
      <c r="CD309" s="213"/>
      <c r="CE309" s="213"/>
      <c r="CF309" s="213"/>
      <c r="CG309" s="213"/>
      <c r="CH309" s="213"/>
      <c r="CI309" s="213"/>
      <c r="CJ309" s="213"/>
      <c r="CK309" s="213"/>
      <c r="CL309" s="213"/>
      <c r="CM309" s="213"/>
      <c r="CN309" s="213"/>
      <c r="CO309" s="213"/>
      <c r="CP309" s="213"/>
      <c r="CQ309" s="213"/>
    </row>
    <row r="310" ht="15.75" customHeight="1">
      <c r="A310" s="213"/>
      <c r="B310" s="213"/>
      <c r="C310" s="213"/>
      <c r="D310" s="213"/>
      <c r="E310" s="213"/>
      <c r="F310" s="213"/>
      <c r="G310" s="213"/>
      <c r="H310" s="213"/>
      <c r="I310" s="213"/>
      <c r="J310" s="216"/>
      <c r="K310" s="213"/>
      <c r="L310" s="213"/>
      <c r="M310" s="213"/>
      <c r="N310" s="213"/>
      <c r="O310" s="213"/>
      <c r="P310" s="216"/>
      <c r="Q310" s="213"/>
      <c r="R310" s="213"/>
      <c r="S310" s="213"/>
      <c r="T310" s="213"/>
      <c r="U310" s="213"/>
      <c r="V310" s="216"/>
      <c r="W310" s="213"/>
      <c r="X310" s="213"/>
      <c r="Y310" s="213"/>
      <c r="Z310" s="213"/>
      <c r="AA310" s="213"/>
      <c r="AB310" s="216"/>
      <c r="AC310" s="213"/>
      <c r="AD310" s="213"/>
      <c r="AE310" s="213"/>
      <c r="AF310" s="213"/>
      <c r="AG310" s="213"/>
      <c r="AH310" s="216"/>
      <c r="AI310" s="213"/>
      <c r="AJ310" s="213"/>
      <c r="AK310" s="213"/>
      <c r="AL310" s="213"/>
      <c r="AM310" s="213"/>
      <c r="AN310" s="216"/>
      <c r="AO310" s="213"/>
      <c r="AP310" s="213"/>
      <c r="AQ310" s="213"/>
      <c r="AR310" s="213"/>
      <c r="AS310" s="213"/>
      <c r="AT310" s="216"/>
      <c r="AU310" s="213"/>
      <c r="AV310" s="213"/>
      <c r="AW310" s="213"/>
      <c r="AX310" s="213"/>
      <c r="AY310" s="213"/>
      <c r="AZ310" s="213"/>
      <c r="BA310" s="213"/>
      <c r="BB310" s="213"/>
      <c r="BC310" s="213"/>
      <c r="BD310" s="213"/>
      <c r="BE310" s="213"/>
      <c r="BF310" s="216"/>
      <c r="BG310" s="213"/>
      <c r="BH310" s="213"/>
      <c r="BI310" s="213"/>
      <c r="BJ310" s="213"/>
      <c r="BK310" s="213"/>
      <c r="BL310" s="213"/>
      <c r="BM310" s="213"/>
      <c r="BN310" s="213"/>
      <c r="BO310" s="213"/>
      <c r="BP310" s="213"/>
      <c r="BQ310" s="213"/>
      <c r="BR310" s="454"/>
      <c r="BS310" s="213"/>
      <c r="BT310" s="213"/>
      <c r="BU310" s="213"/>
      <c r="BV310" s="213"/>
      <c r="BW310" s="213"/>
      <c r="BX310" s="213"/>
      <c r="BY310" s="213"/>
      <c r="BZ310" s="213"/>
      <c r="CA310" s="213"/>
      <c r="CB310" s="213"/>
      <c r="CC310" s="213"/>
      <c r="CD310" s="213"/>
      <c r="CE310" s="213"/>
      <c r="CF310" s="213"/>
      <c r="CG310" s="213"/>
      <c r="CH310" s="213"/>
      <c r="CI310" s="213"/>
      <c r="CJ310" s="213"/>
      <c r="CK310" s="213"/>
      <c r="CL310" s="213"/>
      <c r="CM310" s="213"/>
      <c r="CN310" s="213"/>
      <c r="CO310" s="213"/>
      <c r="CP310" s="213"/>
      <c r="CQ310" s="213"/>
    </row>
    <row r="311" ht="15.75" customHeight="1">
      <c r="A311" s="213"/>
      <c r="B311" s="213"/>
      <c r="C311" s="213"/>
      <c r="D311" s="213"/>
      <c r="E311" s="213"/>
      <c r="F311" s="213"/>
      <c r="G311" s="213"/>
      <c r="H311" s="213"/>
      <c r="I311" s="213"/>
      <c r="J311" s="216"/>
      <c r="K311" s="213"/>
      <c r="L311" s="213"/>
      <c r="M311" s="213"/>
      <c r="N311" s="213"/>
      <c r="O311" s="213"/>
      <c r="P311" s="216"/>
      <c r="Q311" s="213"/>
      <c r="R311" s="213"/>
      <c r="S311" s="213"/>
      <c r="T311" s="213"/>
      <c r="U311" s="213"/>
      <c r="V311" s="216"/>
      <c r="W311" s="213"/>
      <c r="X311" s="213"/>
      <c r="Y311" s="213"/>
      <c r="Z311" s="213"/>
      <c r="AA311" s="213"/>
      <c r="AB311" s="216"/>
      <c r="AC311" s="213"/>
      <c r="AD311" s="213"/>
      <c r="AE311" s="213"/>
      <c r="AF311" s="213"/>
      <c r="AG311" s="213"/>
      <c r="AH311" s="216"/>
      <c r="AI311" s="213"/>
      <c r="AJ311" s="213"/>
      <c r="AK311" s="213"/>
      <c r="AL311" s="213"/>
      <c r="AM311" s="213"/>
      <c r="AN311" s="216"/>
      <c r="AO311" s="213"/>
      <c r="AP311" s="213"/>
      <c r="AQ311" s="213"/>
      <c r="AR311" s="213"/>
      <c r="AS311" s="213"/>
      <c r="AT311" s="216"/>
      <c r="AU311" s="213"/>
      <c r="AV311" s="213"/>
      <c r="AW311" s="213"/>
      <c r="AX311" s="213"/>
      <c r="AY311" s="213"/>
      <c r="AZ311" s="213"/>
      <c r="BA311" s="213"/>
      <c r="BB311" s="213"/>
      <c r="BC311" s="213"/>
      <c r="BD311" s="213"/>
      <c r="BE311" s="213"/>
      <c r="BF311" s="216"/>
      <c r="BG311" s="213"/>
      <c r="BH311" s="213"/>
      <c r="BI311" s="213"/>
      <c r="BJ311" s="213"/>
      <c r="BK311" s="213"/>
      <c r="BL311" s="213"/>
      <c r="BM311" s="213"/>
      <c r="BN311" s="213"/>
      <c r="BO311" s="213"/>
      <c r="BP311" s="213"/>
      <c r="BQ311" s="213"/>
      <c r="BR311" s="454"/>
      <c r="BS311" s="213"/>
      <c r="BT311" s="213"/>
      <c r="BU311" s="213"/>
      <c r="BV311" s="213"/>
      <c r="BW311" s="213"/>
      <c r="BX311" s="213"/>
      <c r="BY311" s="213"/>
      <c r="BZ311" s="213"/>
      <c r="CA311" s="213"/>
      <c r="CB311" s="213"/>
      <c r="CC311" s="213"/>
      <c r="CD311" s="213"/>
      <c r="CE311" s="213"/>
      <c r="CF311" s="213"/>
      <c r="CG311" s="213"/>
      <c r="CH311" s="213"/>
      <c r="CI311" s="213"/>
      <c r="CJ311" s="213"/>
      <c r="CK311" s="213"/>
      <c r="CL311" s="213"/>
      <c r="CM311" s="213"/>
      <c r="CN311" s="213"/>
      <c r="CO311" s="213"/>
      <c r="CP311" s="213"/>
      <c r="CQ311" s="213"/>
    </row>
    <row r="312" ht="15.75" customHeight="1">
      <c r="A312" s="213"/>
      <c r="B312" s="213"/>
      <c r="C312" s="213"/>
      <c r="D312" s="213"/>
      <c r="E312" s="213"/>
      <c r="F312" s="213"/>
      <c r="G312" s="213"/>
      <c r="H312" s="213"/>
      <c r="I312" s="213"/>
      <c r="J312" s="216"/>
      <c r="K312" s="213"/>
      <c r="L312" s="213"/>
      <c r="M312" s="213"/>
      <c r="N312" s="213"/>
      <c r="O312" s="213"/>
      <c r="P312" s="216"/>
      <c r="Q312" s="213"/>
      <c r="R312" s="213"/>
      <c r="S312" s="213"/>
      <c r="T312" s="213"/>
      <c r="U312" s="213"/>
      <c r="V312" s="216"/>
      <c r="W312" s="213"/>
      <c r="X312" s="213"/>
      <c r="Y312" s="213"/>
      <c r="Z312" s="213"/>
      <c r="AA312" s="213"/>
      <c r="AB312" s="216"/>
      <c r="AC312" s="213"/>
      <c r="AD312" s="213"/>
      <c r="AE312" s="213"/>
      <c r="AF312" s="213"/>
      <c r="AG312" s="213"/>
      <c r="AH312" s="216"/>
      <c r="AI312" s="213"/>
      <c r="AJ312" s="213"/>
      <c r="AK312" s="213"/>
      <c r="AL312" s="213"/>
      <c r="AM312" s="213"/>
      <c r="AN312" s="216"/>
      <c r="AO312" s="213"/>
      <c r="AP312" s="213"/>
      <c r="AQ312" s="213"/>
      <c r="AR312" s="213"/>
      <c r="AS312" s="213"/>
      <c r="AT312" s="216"/>
      <c r="AU312" s="213"/>
      <c r="AV312" s="213"/>
      <c r="AW312" s="213"/>
      <c r="AX312" s="213"/>
      <c r="AY312" s="213"/>
      <c r="AZ312" s="213"/>
      <c r="BA312" s="213"/>
      <c r="BB312" s="213"/>
      <c r="BC312" s="213"/>
      <c r="BD312" s="213"/>
      <c r="BE312" s="213"/>
      <c r="BF312" s="216"/>
      <c r="BG312" s="213"/>
      <c r="BH312" s="213"/>
      <c r="BI312" s="213"/>
      <c r="BJ312" s="213"/>
      <c r="BK312" s="213"/>
      <c r="BL312" s="213"/>
      <c r="BM312" s="213"/>
      <c r="BN312" s="213"/>
      <c r="BO312" s="213"/>
      <c r="BP312" s="213"/>
      <c r="BQ312" s="213"/>
      <c r="BR312" s="454"/>
      <c r="BS312" s="213"/>
      <c r="BT312" s="213"/>
      <c r="BU312" s="213"/>
      <c r="BV312" s="213"/>
      <c r="BW312" s="213"/>
      <c r="BX312" s="213"/>
      <c r="BY312" s="213"/>
      <c r="BZ312" s="213"/>
      <c r="CA312" s="213"/>
      <c r="CB312" s="213"/>
      <c r="CC312" s="213"/>
      <c r="CD312" s="213"/>
      <c r="CE312" s="213"/>
      <c r="CF312" s="213"/>
      <c r="CG312" s="213"/>
      <c r="CH312" s="213"/>
      <c r="CI312" s="213"/>
      <c r="CJ312" s="213"/>
      <c r="CK312" s="213"/>
      <c r="CL312" s="213"/>
      <c r="CM312" s="213"/>
      <c r="CN312" s="213"/>
      <c r="CO312" s="213"/>
      <c r="CP312" s="213"/>
      <c r="CQ312" s="213"/>
    </row>
    <row r="313" ht="15.75" customHeight="1">
      <c r="A313" s="213"/>
      <c r="B313" s="213"/>
      <c r="C313" s="213"/>
      <c r="D313" s="213"/>
      <c r="E313" s="213"/>
      <c r="F313" s="213"/>
      <c r="G313" s="213"/>
      <c r="H313" s="213"/>
      <c r="I313" s="213"/>
      <c r="J313" s="216"/>
      <c r="K313" s="213"/>
      <c r="L313" s="213"/>
      <c r="M313" s="213"/>
      <c r="N313" s="213"/>
      <c r="O313" s="213"/>
      <c r="P313" s="216"/>
      <c r="Q313" s="213"/>
      <c r="R313" s="213"/>
      <c r="S313" s="213"/>
      <c r="T313" s="213"/>
      <c r="U313" s="213"/>
      <c r="V313" s="216"/>
      <c r="W313" s="213"/>
      <c r="X313" s="213"/>
      <c r="Y313" s="213"/>
      <c r="Z313" s="213"/>
      <c r="AA313" s="213"/>
      <c r="AB313" s="216"/>
      <c r="AC313" s="213"/>
      <c r="AD313" s="213"/>
      <c r="AE313" s="213"/>
      <c r="AF313" s="213"/>
      <c r="AG313" s="213"/>
      <c r="AH313" s="216"/>
      <c r="AI313" s="213"/>
      <c r="AJ313" s="213"/>
      <c r="AK313" s="213"/>
      <c r="AL313" s="213"/>
      <c r="AM313" s="213"/>
      <c r="AN313" s="216"/>
      <c r="AO313" s="213"/>
      <c r="AP313" s="213"/>
      <c r="AQ313" s="213"/>
      <c r="AR313" s="213"/>
      <c r="AS313" s="213"/>
      <c r="AT313" s="216"/>
      <c r="AU313" s="213"/>
      <c r="AV313" s="213"/>
      <c r="AW313" s="213"/>
      <c r="AX313" s="213"/>
      <c r="AY313" s="213"/>
      <c r="AZ313" s="213"/>
      <c r="BA313" s="213"/>
      <c r="BB313" s="213"/>
      <c r="BC313" s="213"/>
      <c r="BD313" s="213"/>
      <c r="BE313" s="213"/>
      <c r="BF313" s="216"/>
      <c r="BG313" s="213"/>
      <c r="BH313" s="213"/>
      <c r="BI313" s="213"/>
      <c r="BJ313" s="213"/>
      <c r="BK313" s="213"/>
      <c r="BL313" s="213"/>
      <c r="BM313" s="213"/>
      <c r="BN313" s="213"/>
      <c r="BO313" s="213"/>
      <c r="BP313" s="213"/>
      <c r="BQ313" s="213"/>
      <c r="BR313" s="454"/>
      <c r="BS313" s="213"/>
      <c r="BT313" s="213"/>
      <c r="BU313" s="213"/>
      <c r="BV313" s="213"/>
      <c r="BW313" s="213"/>
      <c r="BX313" s="213"/>
      <c r="BY313" s="213"/>
      <c r="BZ313" s="213"/>
      <c r="CA313" s="213"/>
      <c r="CB313" s="213"/>
      <c r="CC313" s="213"/>
      <c r="CD313" s="213"/>
      <c r="CE313" s="213"/>
      <c r="CF313" s="213"/>
      <c r="CG313" s="213"/>
      <c r="CH313" s="213"/>
      <c r="CI313" s="213"/>
      <c r="CJ313" s="213"/>
      <c r="CK313" s="213"/>
      <c r="CL313" s="213"/>
      <c r="CM313" s="213"/>
      <c r="CN313" s="213"/>
      <c r="CO313" s="213"/>
      <c r="CP313" s="213"/>
      <c r="CQ313" s="213"/>
    </row>
    <row r="314" ht="15.75" customHeight="1">
      <c r="A314" s="213"/>
      <c r="B314" s="213"/>
      <c r="C314" s="213"/>
      <c r="D314" s="213"/>
      <c r="E314" s="213"/>
      <c r="F314" s="213"/>
      <c r="G314" s="213"/>
      <c r="H314" s="213"/>
      <c r="I314" s="213"/>
      <c r="J314" s="216"/>
      <c r="K314" s="213"/>
      <c r="L314" s="213"/>
      <c r="M314" s="213"/>
      <c r="N314" s="213"/>
      <c r="O314" s="213"/>
      <c r="P314" s="216"/>
      <c r="Q314" s="213"/>
      <c r="R314" s="213"/>
      <c r="S314" s="213"/>
      <c r="T314" s="213"/>
      <c r="U314" s="213"/>
      <c r="V314" s="216"/>
      <c r="W314" s="213"/>
      <c r="X314" s="213"/>
      <c r="Y314" s="213"/>
      <c r="Z314" s="213"/>
      <c r="AA314" s="213"/>
      <c r="AB314" s="216"/>
      <c r="AC314" s="213"/>
      <c r="AD314" s="213"/>
      <c r="AE314" s="213"/>
      <c r="AF314" s="213"/>
      <c r="AG314" s="213"/>
      <c r="AH314" s="216"/>
      <c r="AI314" s="213"/>
      <c r="AJ314" s="213"/>
      <c r="AK314" s="213"/>
      <c r="AL314" s="213"/>
      <c r="AM314" s="213"/>
      <c r="AN314" s="216"/>
      <c r="AO314" s="213"/>
      <c r="AP314" s="213"/>
      <c r="AQ314" s="213"/>
      <c r="AR314" s="213"/>
      <c r="AS314" s="213"/>
      <c r="AT314" s="216"/>
      <c r="AU314" s="213"/>
      <c r="AV314" s="213"/>
      <c r="AW314" s="213"/>
      <c r="AX314" s="213"/>
      <c r="AY314" s="213"/>
      <c r="AZ314" s="213"/>
      <c r="BA314" s="213"/>
      <c r="BB314" s="213"/>
      <c r="BC314" s="213"/>
      <c r="BD314" s="213"/>
      <c r="BE314" s="213"/>
      <c r="BF314" s="216"/>
      <c r="BG314" s="213"/>
      <c r="BH314" s="213"/>
      <c r="BI314" s="213"/>
      <c r="BJ314" s="213"/>
      <c r="BK314" s="213"/>
      <c r="BL314" s="213"/>
      <c r="BM314" s="213"/>
      <c r="BN314" s="213"/>
      <c r="BO314" s="213"/>
      <c r="BP314" s="213"/>
      <c r="BQ314" s="213"/>
      <c r="BR314" s="454"/>
      <c r="BS314" s="213"/>
      <c r="BT314" s="213"/>
      <c r="BU314" s="213"/>
      <c r="BV314" s="213"/>
      <c r="BW314" s="213"/>
      <c r="BX314" s="213"/>
      <c r="BY314" s="213"/>
      <c r="BZ314" s="213"/>
      <c r="CA314" s="213"/>
      <c r="CB314" s="213"/>
      <c r="CC314" s="213"/>
      <c r="CD314" s="213"/>
      <c r="CE314" s="213"/>
      <c r="CF314" s="213"/>
      <c r="CG314" s="213"/>
      <c r="CH314" s="213"/>
      <c r="CI314" s="213"/>
      <c r="CJ314" s="213"/>
      <c r="CK314" s="213"/>
      <c r="CL314" s="213"/>
      <c r="CM314" s="213"/>
      <c r="CN314" s="213"/>
      <c r="CO314" s="213"/>
      <c r="CP314" s="213"/>
      <c r="CQ314" s="213"/>
    </row>
    <row r="315" ht="15.75" customHeight="1">
      <c r="A315" s="213"/>
      <c r="B315" s="213"/>
      <c r="C315" s="213"/>
      <c r="D315" s="213"/>
      <c r="E315" s="213"/>
      <c r="F315" s="213"/>
      <c r="G315" s="213"/>
      <c r="H315" s="213"/>
      <c r="I315" s="213"/>
      <c r="J315" s="216"/>
      <c r="K315" s="213"/>
      <c r="L315" s="213"/>
      <c r="M315" s="213"/>
      <c r="N315" s="213"/>
      <c r="O315" s="213"/>
      <c r="P315" s="216"/>
      <c r="Q315" s="213"/>
      <c r="R315" s="213"/>
      <c r="S315" s="213"/>
      <c r="T315" s="213"/>
      <c r="U315" s="213"/>
      <c r="V315" s="216"/>
      <c r="W315" s="213"/>
      <c r="X315" s="213"/>
      <c r="Y315" s="213"/>
      <c r="Z315" s="213"/>
      <c r="AA315" s="213"/>
      <c r="AB315" s="216"/>
      <c r="AC315" s="213"/>
      <c r="AD315" s="213"/>
      <c r="AE315" s="213"/>
      <c r="AF315" s="213"/>
      <c r="AG315" s="213"/>
      <c r="AH315" s="216"/>
      <c r="AI315" s="213"/>
      <c r="AJ315" s="213"/>
      <c r="AK315" s="213"/>
      <c r="AL315" s="213"/>
      <c r="AM315" s="213"/>
      <c r="AN315" s="216"/>
      <c r="AO315" s="213"/>
      <c r="AP315" s="213"/>
      <c r="AQ315" s="213"/>
      <c r="AR315" s="213"/>
      <c r="AS315" s="213"/>
      <c r="AT315" s="216"/>
      <c r="AU315" s="213"/>
      <c r="AV315" s="213"/>
      <c r="AW315" s="213"/>
      <c r="AX315" s="213"/>
      <c r="AY315" s="213"/>
      <c r="AZ315" s="213"/>
      <c r="BA315" s="213"/>
      <c r="BB315" s="213"/>
      <c r="BC315" s="213"/>
      <c r="BD315" s="213"/>
      <c r="BE315" s="213"/>
      <c r="BF315" s="216"/>
      <c r="BG315" s="213"/>
      <c r="BH315" s="213"/>
      <c r="BI315" s="213"/>
      <c r="BJ315" s="213"/>
      <c r="BK315" s="213"/>
      <c r="BL315" s="213"/>
      <c r="BM315" s="213"/>
      <c r="BN315" s="213"/>
      <c r="BO315" s="213"/>
      <c r="BP315" s="213"/>
      <c r="BQ315" s="213"/>
      <c r="BR315" s="454"/>
      <c r="BS315" s="213"/>
      <c r="BT315" s="213"/>
      <c r="BU315" s="213"/>
      <c r="BV315" s="213"/>
      <c r="BW315" s="213"/>
      <c r="BX315" s="213"/>
      <c r="BY315" s="213"/>
      <c r="BZ315" s="213"/>
      <c r="CA315" s="213"/>
      <c r="CB315" s="213"/>
      <c r="CC315" s="213"/>
      <c r="CD315" s="213"/>
      <c r="CE315" s="213"/>
      <c r="CF315" s="213"/>
      <c r="CG315" s="213"/>
      <c r="CH315" s="213"/>
      <c r="CI315" s="213"/>
      <c r="CJ315" s="213"/>
      <c r="CK315" s="213"/>
      <c r="CL315" s="213"/>
      <c r="CM315" s="213"/>
      <c r="CN315" s="213"/>
      <c r="CO315" s="213"/>
      <c r="CP315" s="213"/>
      <c r="CQ315" s="213"/>
    </row>
    <row r="316" ht="15.75" customHeight="1">
      <c r="A316" s="213"/>
      <c r="B316" s="213"/>
      <c r="C316" s="213"/>
      <c r="D316" s="213"/>
      <c r="E316" s="213"/>
      <c r="F316" s="213"/>
      <c r="G316" s="213"/>
      <c r="H316" s="213"/>
      <c r="I316" s="213"/>
      <c r="J316" s="216"/>
      <c r="K316" s="213"/>
      <c r="L316" s="213"/>
      <c r="M316" s="213"/>
      <c r="N316" s="213"/>
      <c r="O316" s="213"/>
      <c r="P316" s="216"/>
      <c r="Q316" s="213"/>
      <c r="R316" s="213"/>
      <c r="S316" s="213"/>
      <c r="T316" s="213"/>
      <c r="U316" s="213"/>
      <c r="V316" s="216"/>
      <c r="W316" s="213"/>
      <c r="X316" s="213"/>
      <c r="Y316" s="213"/>
      <c r="Z316" s="213"/>
      <c r="AA316" s="213"/>
      <c r="AB316" s="216"/>
      <c r="AC316" s="213"/>
      <c r="AD316" s="213"/>
      <c r="AE316" s="213"/>
      <c r="AF316" s="213"/>
      <c r="AG316" s="213"/>
      <c r="AH316" s="216"/>
      <c r="AI316" s="213"/>
      <c r="AJ316" s="213"/>
      <c r="AK316" s="213"/>
      <c r="AL316" s="213"/>
      <c r="AM316" s="213"/>
      <c r="AN316" s="216"/>
      <c r="AO316" s="213"/>
      <c r="AP316" s="213"/>
      <c r="AQ316" s="213"/>
      <c r="AR316" s="213"/>
      <c r="AS316" s="213"/>
      <c r="AT316" s="216"/>
      <c r="AU316" s="213"/>
      <c r="AV316" s="213"/>
      <c r="AW316" s="213"/>
      <c r="AX316" s="213"/>
      <c r="AY316" s="213"/>
      <c r="AZ316" s="213"/>
      <c r="BA316" s="213"/>
      <c r="BB316" s="213"/>
      <c r="BC316" s="213"/>
      <c r="BD316" s="213"/>
      <c r="BE316" s="213"/>
      <c r="BF316" s="216"/>
      <c r="BG316" s="213"/>
      <c r="BH316" s="213"/>
      <c r="BI316" s="213"/>
      <c r="BJ316" s="213"/>
      <c r="BK316" s="213"/>
      <c r="BL316" s="213"/>
      <c r="BM316" s="213"/>
      <c r="BN316" s="213"/>
      <c r="BO316" s="213"/>
      <c r="BP316" s="213"/>
      <c r="BQ316" s="213"/>
      <c r="BR316" s="454"/>
      <c r="BS316" s="213"/>
      <c r="BT316" s="213"/>
      <c r="BU316" s="213"/>
      <c r="BV316" s="213"/>
      <c r="BW316" s="213"/>
      <c r="BX316" s="213"/>
      <c r="BY316" s="213"/>
      <c r="BZ316" s="213"/>
      <c r="CA316" s="213"/>
      <c r="CB316" s="213"/>
      <c r="CC316" s="213"/>
      <c r="CD316" s="213"/>
      <c r="CE316" s="213"/>
      <c r="CF316" s="213"/>
      <c r="CG316" s="213"/>
      <c r="CH316" s="213"/>
      <c r="CI316" s="213"/>
      <c r="CJ316" s="213"/>
      <c r="CK316" s="213"/>
      <c r="CL316" s="213"/>
      <c r="CM316" s="213"/>
      <c r="CN316" s="213"/>
      <c r="CO316" s="213"/>
      <c r="CP316" s="213"/>
      <c r="CQ316" s="213"/>
    </row>
    <row r="317" ht="15.75" customHeight="1">
      <c r="A317" s="213"/>
      <c r="B317" s="213"/>
      <c r="C317" s="213"/>
      <c r="D317" s="213"/>
      <c r="E317" s="213"/>
      <c r="F317" s="213"/>
      <c r="G317" s="213"/>
      <c r="H317" s="213"/>
      <c r="I317" s="213"/>
      <c r="J317" s="216"/>
      <c r="K317" s="213"/>
      <c r="L317" s="213"/>
      <c r="M317" s="213"/>
      <c r="N317" s="213"/>
      <c r="O317" s="213"/>
      <c r="P317" s="216"/>
      <c r="Q317" s="213"/>
      <c r="R317" s="213"/>
      <c r="S317" s="213"/>
      <c r="T317" s="213"/>
      <c r="U317" s="213"/>
      <c r="V317" s="216"/>
      <c r="W317" s="213"/>
      <c r="X317" s="213"/>
      <c r="Y317" s="213"/>
      <c r="Z317" s="213"/>
      <c r="AA317" s="213"/>
      <c r="AB317" s="216"/>
      <c r="AC317" s="213"/>
      <c r="AD317" s="213"/>
      <c r="AE317" s="213"/>
      <c r="AF317" s="213"/>
      <c r="AG317" s="213"/>
      <c r="AH317" s="216"/>
      <c r="AI317" s="213"/>
      <c r="AJ317" s="213"/>
      <c r="AK317" s="213"/>
      <c r="AL317" s="213"/>
      <c r="AM317" s="213"/>
      <c r="AN317" s="216"/>
      <c r="AO317" s="213"/>
      <c r="AP317" s="213"/>
      <c r="AQ317" s="213"/>
      <c r="AR317" s="213"/>
      <c r="AS317" s="213"/>
      <c r="AT317" s="216"/>
      <c r="AU317" s="213"/>
      <c r="AV317" s="213"/>
      <c r="AW317" s="213"/>
      <c r="AX317" s="213"/>
      <c r="AY317" s="213"/>
      <c r="AZ317" s="213"/>
      <c r="BA317" s="213"/>
      <c r="BB317" s="213"/>
      <c r="BC317" s="213"/>
      <c r="BD317" s="213"/>
      <c r="BE317" s="213"/>
      <c r="BF317" s="216"/>
      <c r="BG317" s="213"/>
      <c r="BH317" s="213"/>
      <c r="BI317" s="213"/>
      <c r="BJ317" s="213"/>
      <c r="BK317" s="213"/>
      <c r="BL317" s="213"/>
      <c r="BM317" s="213"/>
      <c r="BN317" s="213"/>
      <c r="BO317" s="213"/>
      <c r="BP317" s="213"/>
      <c r="BQ317" s="213"/>
      <c r="BR317" s="454"/>
      <c r="BS317" s="213"/>
      <c r="BT317" s="213"/>
      <c r="BU317" s="213"/>
      <c r="BV317" s="213"/>
      <c r="BW317" s="213"/>
      <c r="BX317" s="213"/>
      <c r="BY317" s="213"/>
      <c r="BZ317" s="213"/>
      <c r="CA317" s="213"/>
      <c r="CB317" s="213"/>
      <c r="CC317" s="213"/>
      <c r="CD317" s="213"/>
      <c r="CE317" s="213"/>
      <c r="CF317" s="213"/>
      <c r="CG317" s="213"/>
      <c r="CH317" s="213"/>
      <c r="CI317" s="213"/>
      <c r="CJ317" s="213"/>
      <c r="CK317" s="213"/>
      <c r="CL317" s="213"/>
      <c r="CM317" s="213"/>
      <c r="CN317" s="213"/>
      <c r="CO317" s="213"/>
      <c r="CP317" s="213"/>
      <c r="CQ317" s="213"/>
    </row>
    <row r="318" ht="15.75" customHeight="1">
      <c r="A318" s="213"/>
      <c r="B318" s="213"/>
      <c r="C318" s="213"/>
      <c r="D318" s="213"/>
      <c r="E318" s="213"/>
      <c r="F318" s="213"/>
      <c r="G318" s="213"/>
      <c r="H318" s="213"/>
      <c r="I318" s="213"/>
      <c r="J318" s="216"/>
      <c r="K318" s="213"/>
      <c r="L318" s="213"/>
      <c r="M318" s="213"/>
      <c r="N318" s="213"/>
      <c r="O318" s="213"/>
      <c r="P318" s="216"/>
      <c r="Q318" s="213"/>
      <c r="R318" s="213"/>
      <c r="S318" s="213"/>
      <c r="T318" s="213"/>
      <c r="U318" s="213"/>
      <c r="V318" s="216"/>
      <c r="W318" s="213"/>
      <c r="X318" s="213"/>
      <c r="Y318" s="213"/>
      <c r="Z318" s="213"/>
      <c r="AA318" s="213"/>
      <c r="AB318" s="216"/>
      <c r="AC318" s="213"/>
      <c r="AD318" s="213"/>
      <c r="AE318" s="213"/>
      <c r="AF318" s="213"/>
      <c r="AG318" s="213"/>
      <c r="AH318" s="216"/>
      <c r="AI318" s="213"/>
      <c r="AJ318" s="213"/>
      <c r="AK318" s="213"/>
      <c r="AL318" s="213"/>
      <c r="AM318" s="213"/>
      <c r="AN318" s="216"/>
      <c r="AO318" s="213"/>
      <c r="AP318" s="213"/>
      <c r="AQ318" s="213"/>
      <c r="AR318" s="213"/>
      <c r="AS318" s="213"/>
      <c r="AT318" s="216"/>
      <c r="AU318" s="213"/>
      <c r="AV318" s="213"/>
      <c r="AW318" s="213"/>
      <c r="AX318" s="213"/>
      <c r="AY318" s="213"/>
      <c r="AZ318" s="213"/>
      <c r="BA318" s="213"/>
      <c r="BB318" s="213"/>
      <c r="BC318" s="213"/>
      <c r="BD318" s="213"/>
      <c r="BE318" s="213"/>
      <c r="BF318" s="216"/>
      <c r="BG318" s="213"/>
      <c r="BH318" s="213"/>
      <c r="BI318" s="213"/>
      <c r="BJ318" s="213"/>
      <c r="BK318" s="213"/>
      <c r="BL318" s="213"/>
      <c r="BM318" s="213"/>
      <c r="BN318" s="213"/>
      <c r="BO318" s="213"/>
      <c r="BP318" s="213"/>
      <c r="BQ318" s="213"/>
      <c r="BR318" s="454"/>
      <c r="BS318" s="213"/>
      <c r="BT318" s="213"/>
      <c r="BU318" s="213"/>
      <c r="BV318" s="213"/>
      <c r="BW318" s="213"/>
      <c r="BX318" s="213"/>
      <c r="BY318" s="213"/>
      <c r="BZ318" s="213"/>
      <c r="CA318" s="213"/>
      <c r="CB318" s="213"/>
      <c r="CC318" s="213"/>
      <c r="CD318" s="213"/>
      <c r="CE318" s="213"/>
      <c r="CF318" s="213"/>
      <c r="CG318" s="213"/>
      <c r="CH318" s="213"/>
      <c r="CI318" s="213"/>
      <c r="CJ318" s="213"/>
      <c r="CK318" s="213"/>
      <c r="CL318" s="213"/>
      <c r="CM318" s="213"/>
      <c r="CN318" s="213"/>
      <c r="CO318" s="213"/>
      <c r="CP318" s="213"/>
      <c r="CQ318" s="213"/>
    </row>
    <row r="319" ht="15.75" customHeight="1">
      <c r="A319" s="213"/>
      <c r="B319" s="213"/>
      <c r="C319" s="213"/>
      <c r="D319" s="213"/>
      <c r="E319" s="213"/>
      <c r="F319" s="213"/>
      <c r="G319" s="213"/>
      <c r="H319" s="213"/>
      <c r="I319" s="213"/>
      <c r="J319" s="216"/>
      <c r="K319" s="213"/>
      <c r="L319" s="213"/>
      <c r="M319" s="213"/>
      <c r="N319" s="213"/>
      <c r="O319" s="213"/>
      <c r="P319" s="216"/>
      <c r="Q319" s="213"/>
      <c r="R319" s="213"/>
      <c r="S319" s="213"/>
      <c r="T319" s="213"/>
      <c r="U319" s="213"/>
      <c r="V319" s="216"/>
      <c r="W319" s="213"/>
      <c r="X319" s="213"/>
      <c r="Y319" s="213"/>
      <c r="Z319" s="213"/>
      <c r="AA319" s="213"/>
      <c r="AB319" s="216"/>
      <c r="AC319" s="213"/>
      <c r="AD319" s="213"/>
      <c r="AE319" s="213"/>
      <c r="AF319" s="213"/>
      <c r="AG319" s="213"/>
      <c r="AH319" s="216"/>
      <c r="AI319" s="213"/>
      <c r="AJ319" s="213"/>
      <c r="AK319" s="213"/>
      <c r="AL319" s="213"/>
      <c r="AM319" s="213"/>
      <c r="AN319" s="216"/>
      <c r="AO319" s="213"/>
      <c r="AP319" s="213"/>
      <c r="AQ319" s="213"/>
      <c r="AR319" s="213"/>
      <c r="AS319" s="213"/>
      <c r="AT319" s="216"/>
      <c r="AU319" s="213"/>
      <c r="AV319" s="213"/>
      <c r="AW319" s="213"/>
      <c r="AX319" s="213"/>
      <c r="AY319" s="213"/>
      <c r="AZ319" s="213"/>
      <c r="BA319" s="213"/>
      <c r="BB319" s="213"/>
      <c r="BC319" s="213"/>
      <c r="BD319" s="213"/>
      <c r="BE319" s="213"/>
      <c r="BF319" s="216"/>
      <c r="BG319" s="213"/>
      <c r="BH319" s="213"/>
      <c r="BI319" s="213"/>
      <c r="BJ319" s="213"/>
      <c r="BK319" s="213"/>
      <c r="BL319" s="213"/>
      <c r="BM319" s="213"/>
      <c r="BN319" s="213"/>
      <c r="BO319" s="213"/>
      <c r="BP319" s="213"/>
      <c r="BQ319" s="213"/>
      <c r="BR319" s="454"/>
      <c r="BS319" s="213"/>
      <c r="BT319" s="213"/>
      <c r="BU319" s="213"/>
      <c r="BV319" s="213"/>
      <c r="BW319" s="213"/>
      <c r="BX319" s="213"/>
      <c r="BY319" s="213"/>
      <c r="BZ319" s="213"/>
      <c r="CA319" s="213"/>
      <c r="CB319" s="213"/>
      <c r="CC319" s="213"/>
      <c r="CD319" s="213"/>
      <c r="CE319" s="213"/>
      <c r="CF319" s="213"/>
      <c r="CG319" s="213"/>
      <c r="CH319" s="213"/>
      <c r="CI319" s="213"/>
      <c r="CJ319" s="213"/>
      <c r="CK319" s="213"/>
      <c r="CL319" s="213"/>
      <c r="CM319" s="213"/>
      <c r="CN319" s="213"/>
      <c r="CO319" s="213"/>
      <c r="CP319" s="213"/>
      <c r="CQ319" s="213"/>
    </row>
    <row r="320" ht="15.75" customHeight="1">
      <c r="A320" s="213"/>
      <c r="B320" s="213"/>
      <c r="C320" s="213"/>
      <c r="D320" s="213"/>
      <c r="E320" s="213"/>
      <c r="F320" s="213"/>
      <c r="G320" s="213"/>
      <c r="H320" s="213"/>
      <c r="I320" s="213"/>
      <c r="J320" s="216"/>
      <c r="K320" s="213"/>
      <c r="L320" s="213"/>
      <c r="M320" s="213"/>
      <c r="N320" s="213"/>
      <c r="O320" s="213"/>
      <c r="P320" s="216"/>
      <c r="Q320" s="213"/>
      <c r="R320" s="213"/>
      <c r="S320" s="213"/>
      <c r="T320" s="213"/>
      <c r="U320" s="213"/>
      <c r="V320" s="216"/>
      <c r="W320" s="213"/>
      <c r="X320" s="213"/>
      <c r="Y320" s="213"/>
      <c r="Z320" s="213"/>
      <c r="AA320" s="213"/>
      <c r="AB320" s="216"/>
      <c r="AC320" s="213"/>
      <c r="AD320" s="213"/>
      <c r="AE320" s="213"/>
      <c r="AF320" s="213"/>
      <c r="AG320" s="213"/>
      <c r="AH320" s="216"/>
      <c r="AI320" s="213"/>
      <c r="AJ320" s="213"/>
      <c r="AK320" s="213"/>
      <c r="AL320" s="213"/>
      <c r="AM320" s="213"/>
      <c r="AN320" s="216"/>
      <c r="AO320" s="213"/>
      <c r="AP320" s="213"/>
      <c r="AQ320" s="213"/>
      <c r="AR320" s="213"/>
      <c r="AS320" s="213"/>
      <c r="AT320" s="216"/>
      <c r="AU320" s="213"/>
      <c r="AV320" s="213"/>
      <c r="AW320" s="213"/>
      <c r="AX320" s="213"/>
      <c r="AY320" s="213"/>
      <c r="AZ320" s="213"/>
      <c r="BA320" s="213"/>
      <c r="BB320" s="213"/>
      <c r="BC320" s="213"/>
      <c r="BD320" s="213"/>
      <c r="BE320" s="213"/>
      <c r="BF320" s="216"/>
      <c r="BG320" s="213"/>
      <c r="BH320" s="213"/>
      <c r="BI320" s="213"/>
      <c r="BJ320" s="213"/>
      <c r="BK320" s="213"/>
      <c r="BL320" s="213"/>
      <c r="BM320" s="213"/>
      <c r="BN320" s="213"/>
      <c r="BO320" s="213"/>
      <c r="BP320" s="213"/>
      <c r="BQ320" s="213"/>
      <c r="BR320" s="454"/>
      <c r="BS320" s="213"/>
      <c r="BT320" s="213"/>
      <c r="BU320" s="213"/>
      <c r="BV320" s="213"/>
      <c r="BW320" s="213"/>
      <c r="BX320" s="213"/>
      <c r="BY320" s="213"/>
      <c r="BZ320" s="213"/>
      <c r="CA320" s="213"/>
      <c r="CB320" s="213"/>
      <c r="CC320" s="213"/>
      <c r="CD320" s="213"/>
      <c r="CE320" s="213"/>
      <c r="CF320" s="213"/>
      <c r="CG320" s="213"/>
      <c r="CH320" s="213"/>
      <c r="CI320" s="213"/>
      <c r="CJ320" s="213"/>
      <c r="CK320" s="213"/>
      <c r="CL320" s="213"/>
      <c r="CM320" s="213"/>
      <c r="CN320" s="213"/>
      <c r="CO320" s="213"/>
      <c r="CP320" s="213"/>
      <c r="CQ320" s="213"/>
    </row>
    <row r="321" ht="15.75" customHeight="1">
      <c r="A321" s="213"/>
      <c r="B321" s="213"/>
      <c r="C321" s="213"/>
      <c r="D321" s="213"/>
      <c r="E321" s="213"/>
      <c r="F321" s="213"/>
      <c r="G321" s="213"/>
      <c r="H321" s="213"/>
      <c r="I321" s="213"/>
      <c r="J321" s="216"/>
      <c r="K321" s="213"/>
      <c r="L321" s="213"/>
      <c r="M321" s="213"/>
      <c r="N321" s="213"/>
      <c r="O321" s="213"/>
      <c r="P321" s="216"/>
      <c r="Q321" s="213"/>
      <c r="R321" s="213"/>
      <c r="S321" s="213"/>
      <c r="T321" s="213"/>
      <c r="U321" s="213"/>
      <c r="V321" s="216"/>
      <c r="W321" s="213"/>
      <c r="X321" s="213"/>
      <c r="Y321" s="213"/>
      <c r="Z321" s="213"/>
      <c r="AA321" s="213"/>
      <c r="AB321" s="216"/>
      <c r="AC321" s="213"/>
      <c r="AD321" s="213"/>
      <c r="AE321" s="213"/>
      <c r="AF321" s="213"/>
      <c r="AG321" s="213"/>
      <c r="AH321" s="216"/>
      <c r="AI321" s="213"/>
      <c r="AJ321" s="213"/>
      <c r="AK321" s="213"/>
      <c r="AL321" s="213"/>
      <c r="AM321" s="213"/>
      <c r="AN321" s="216"/>
      <c r="AO321" s="213"/>
      <c r="AP321" s="213"/>
      <c r="AQ321" s="213"/>
      <c r="AR321" s="213"/>
      <c r="AS321" s="213"/>
      <c r="AT321" s="216"/>
      <c r="AU321" s="213"/>
      <c r="AV321" s="213"/>
      <c r="AW321" s="213"/>
      <c r="AX321" s="213"/>
      <c r="AY321" s="213"/>
      <c r="AZ321" s="213"/>
      <c r="BA321" s="213"/>
      <c r="BB321" s="213"/>
      <c r="BC321" s="213"/>
      <c r="BD321" s="213"/>
      <c r="BE321" s="213"/>
      <c r="BF321" s="216"/>
      <c r="BG321" s="213"/>
      <c r="BH321" s="213"/>
      <c r="BI321" s="213"/>
      <c r="BJ321" s="213"/>
      <c r="BK321" s="213"/>
      <c r="BL321" s="213"/>
      <c r="BM321" s="213"/>
      <c r="BN321" s="213"/>
      <c r="BO321" s="213"/>
      <c r="BP321" s="213"/>
      <c r="BQ321" s="213"/>
      <c r="BR321" s="454"/>
      <c r="BS321" s="213"/>
      <c r="BT321" s="213"/>
      <c r="BU321" s="213"/>
      <c r="BV321" s="213"/>
      <c r="BW321" s="213"/>
      <c r="BX321" s="213"/>
      <c r="BY321" s="213"/>
      <c r="BZ321" s="213"/>
      <c r="CA321" s="213"/>
      <c r="CB321" s="213"/>
      <c r="CC321" s="213"/>
      <c r="CD321" s="213"/>
      <c r="CE321" s="213"/>
      <c r="CF321" s="213"/>
      <c r="CG321" s="213"/>
      <c r="CH321" s="213"/>
      <c r="CI321" s="213"/>
      <c r="CJ321" s="213"/>
      <c r="CK321" s="213"/>
      <c r="CL321" s="213"/>
      <c r="CM321" s="213"/>
      <c r="CN321" s="213"/>
      <c r="CO321" s="213"/>
      <c r="CP321" s="213"/>
      <c r="CQ321" s="213"/>
    </row>
    <row r="322" ht="15.75" customHeight="1">
      <c r="A322" s="213"/>
      <c r="B322" s="213"/>
      <c r="C322" s="213"/>
      <c r="D322" s="213"/>
      <c r="E322" s="213"/>
      <c r="F322" s="213"/>
      <c r="G322" s="213"/>
      <c r="H322" s="213"/>
      <c r="I322" s="213"/>
      <c r="J322" s="216"/>
      <c r="K322" s="213"/>
      <c r="L322" s="213"/>
      <c r="M322" s="213"/>
      <c r="N322" s="213"/>
      <c r="O322" s="213"/>
      <c r="P322" s="216"/>
      <c r="Q322" s="213"/>
      <c r="R322" s="213"/>
      <c r="S322" s="213"/>
      <c r="T322" s="213"/>
      <c r="U322" s="213"/>
      <c r="V322" s="216"/>
      <c r="W322" s="213"/>
      <c r="X322" s="213"/>
      <c r="Y322" s="213"/>
      <c r="Z322" s="213"/>
      <c r="AA322" s="213"/>
      <c r="AB322" s="216"/>
      <c r="AC322" s="213"/>
      <c r="AD322" s="213"/>
      <c r="AE322" s="213"/>
      <c r="AF322" s="213"/>
      <c r="AG322" s="213"/>
      <c r="AH322" s="216"/>
      <c r="AI322" s="213"/>
      <c r="AJ322" s="213"/>
      <c r="AK322" s="213"/>
      <c r="AL322" s="213"/>
      <c r="AM322" s="213"/>
      <c r="AN322" s="216"/>
      <c r="AO322" s="213"/>
      <c r="AP322" s="213"/>
      <c r="AQ322" s="213"/>
      <c r="AR322" s="213"/>
      <c r="AS322" s="213"/>
      <c r="AT322" s="216"/>
      <c r="AU322" s="213"/>
      <c r="AV322" s="213"/>
      <c r="AW322" s="213"/>
      <c r="AX322" s="213"/>
      <c r="AY322" s="213"/>
      <c r="AZ322" s="213"/>
      <c r="BA322" s="213"/>
      <c r="BB322" s="213"/>
      <c r="BC322" s="213"/>
      <c r="BD322" s="213"/>
      <c r="BE322" s="213"/>
      <c r="BF322" s="216"/>
      <c r="BG322" s="213"/>
      <c r="BH322" s="213"/>
      <c r="BI322" s="213"/>
      <c r="BJ322" s="213"/>
      <c r="BK322" s="213"/>
      <c r="BL322" s="213"/>
      <c r="BM322" s="213"/>
      <c r="BN322" s="213"/>
      <c r="BO322" s="213"/>
      <c r="BP322" s="213"/>
      <c r="BQ322" s="213"/>
      <c r="BR322" s="454"/>
      <c r="BS322" s="213"/>
      <c r="BT322" s="213"/>
      <c r="BU322" s="213"/>
      <c r="BV322" s="213"/>
      <c r="BW322" s="213"/>
      <c r="BX322" s="213"/>
      <c r="BY322" s="213"/>
      <c r="BZ322" s="213"/>
      <c r="CA322" s="213"/>
      <c r="CB322" s="213"/>
      <c r="CC322" s="213"/>
      <c r="CD322" s="213"/>
      <c r="CE322" s="213"/>
      <c r="CF322" s="213"/>
      <c r="CG322" s="213"/>
      <c r="CH322" s="213"/>
      <c r="CI322" s="213"/>
      <c r="CJ322" s="213"/>
      <c r="CK322" s="213"/>
      <c r="CL322" s="213"/>
      <c r="CM322" s="213"/>
      <c r="CN322" s="213"/>
      <c r="CO322" s="213"/>
      <c r="CP322" s="213"/>
      <c r="CQ322" s="213"/>
    </row>
    <row r="323" ht="15.75" customHeight="1">
      <c r="A323" s="213"/>
      <c r="B323" s="213"/>
      <c r="C323" s="213"/>
      <c r="D323" s="213"/>
      <c r="E323" s="213"/>
      <c r="F323" s="213"/>
      <c r="G323" s="213"/>
      <c r="H323" s="213"/>
      <c r="I323" s="213"/>
      <c r="J323" s="216"/>
      <c r="K323" s="213"/>
      <c r="L323" s="213"/>
      <c r="M323" s="213"/>
      <c r="N323" s="213"/>
      <c r="O323" s="213"/>
      <c r="P323" s="216"/>
      <c r="Q323" s="213"/>
      <c r="R323" s="213"/>
      <c r="S323" s="213"/>
      <c r="T323" s="213"/>
      <c r="U323" s="213"/>
      <c r="V323" s="216"/>
      <c r="W323" s="213"/>
      <c r="X323" s="213"/>
      <c r="Y323" s="213"/>
      <c r="Z323" s="213"/>
      <c r="AA323" s="213"/>
      <c r="AB323" s="216"/>
      <c r="AC323" s="213"/>
      <c r="AD323" s="213"/>
      <c r="AE323" s="213"/>
      <c r="AF323" s="213"/>
      <c r="AG323" s="213"/>
      <c r="AH323" s="216"/>
      <c r="AI323" s="213"/>
      <c r="AJ323" s="213"/>
      <c r="AK323" s="213"/>
      <c r="AL323" s="213"/>
      <c r="AM323" s="213"/>
      <c r="AN323" s="216"/>
      <c r="AO323" s="213"/>
      <c r="AP323" s="213"/>
      <c r="AQ323" s="213"/>
      <c r="AR323" s="213"/>
      <c r="AS323" s="213"/>
      <c r="AT323" s="216"/>
      <c r="AU323" s="213"/>
      <c r="AV323" s="213"/>
      <c r="AW323" s="213"/>
      <c r="AX323" s="213"/>
      <c r="AY323" s="213"/>
      <c r="AZ323" s="213"/>
      <c r="BA323" s="213"/>
      <c r="BB323" s="213"/>
      <c r="BC323" s="213"/>
      <c r="BD323" s="213"/>
      <c r="BE323" s="213"/>
      <c r="BF323" s="216"/>
      <c r="BG323" s="213"/>
      <c r="BH323" s="213"/>
      <c r="BI323" s="213"/>
      <c r="BJ323" s="213"/>
      <c r="BK323" s="213"/>
      <c r="BL323" s="213"/>
      <c r="BM323" s="213"/>
      <c r="BN323" s="213"/>
      <c r="BO323" s="213"/>
      <c r="BP323" s="213"/>
      <c r="BQ323" s="213"/>
      <c r="BR323" s="454"/>
      <c r="BS323" s="213"/>
      <c r="BT323" s="213"/>
      <c r="BU323" s="213"/>
      <c r="BV323" s="213"/>
      <c r="BW323" s="213"/>
      <c r="BX323" s="213"/>
      <c r="BY323" s="213"/>
      <c r="BZ323" s="213"/>
      <c r="CA323" s="213"/>
      <c r="CB323" s="213"/>
      <c r="CC323" s="213"/>
      <c r="CD323" s="213"/>
      <c r="CE323" s="213"/>
      <c r="CF323" s="213"/>
      <c r="CG323" s="213"/>
      <c r="CH323" s="213"/>
      <c r="CI323" s="213"/>
      <c r="CJ323" s="213"/>
      <c r="CK323" s="213"/>
      <c r="CL323" s="213"/>
      <c r="CM323" s="213"/>
      <c r="CN323" s="213"/>
      <c r="CO323" s="213"/>
      <c r="CP323" s="213"/>
      <c r="CQ323" s="213"/>
    </row>
    <row r="324" ht="15.75" customHeight="1">
      <c r="A324" s="213"/>
      <c r="B324" s="213"/>
      <c r="C324" s="213"/>
      <c r="D324" s="213"/>
      <c r="E324" s="213"/>
      <c r="F324" s="213"/>
      <c r="G324" s="213"/>
      <c r="H324" s="213"/>
      <c r="I324" s="213"/>
      <c r="J324" s="216"/>
      <c r="K324" s="213"/>
      <c r="L324" s="213"/>
      <c r="M324" s="213"/>
      <c r="N324" s="213"/>
      <c r="O324" s="213"/>
      <c r="P324" s="216"/>
      <c r="Q324" s="213"/>
      <c r="R324" s="213"/>
      <c r="S324" s="213"/>
      <c r="T324" s="213"/>
      <c r="U324" s="213"/>
      <c r="V324" s="216"/>
      <c r="W324" s="213"/>
      <c r="X324" s="213"/>
      <c r="Y324" s="213"/>
      <c r="Z324" s="213"/>
      <c r="AA324" s="213"/>
      <c r="AB324" s="216"/>
      <c r="AC324" s="213"/>
      <c r="AD324" s="213"/>
      <c r="AE324" s="213"/>
      <c r="AF324" s="213"/>
      <c r="AG324" s="213"/>
      <c r="AH324" s="216"/>
      <c r="AI324" s="213"/>
      <c r="AJ324" s="213"/>
      <c r="AK324" s="213"/>
      <c r="AL324" s="213"/>
      <c r="AM324" s="213"/>
      <c r="AN324" s="216"/>
      <c r="AO324" s="213"/>
      <c r="AP324" s="213"/>
      <c r="AQ324" s="213"/>
      <c r="AR324" s="213"/>
      <c r="AS324" s="213"/>
      <c r="AT324" s="216"/>
      <c r="AU324" s="213"/>
      <c r="AV324" s="213"/>
      <c r="AW324" s="213"/>
      <c r="AX324" s="213"/>
      <c r="AY324" s="213"/>
      <c r="AZ324" s="213"/>
      <c r="BA324" s="213"/>
      <c r="BB324" s="213"/>
      <c r="BC324" s="213"/>
      <c r="BD324" s="213"/>
      <c r="BE324" s="213"/>
      <c r="BF324" s="216"/>
      <c r="BG324" s="213"/>
      <c r="BH324" s="213"/>
      <c r="BI324" s="213"/>
      <c r="BJ324" s="213"/>
      <c r="BK324" s="213"/>
      <c r="BL324" s="213"/>
      <c r="BM324" s="213"/>
      <c r="BN324" s="213"/>
      <c r="BO324" s="213"/>
      <c r="BP324" s="213"/>
      <c r="BQ324" s="213"/>
      <c r="BR324" s="454"/>
      <c r="BS324" s="213"/>
      <c r="BT324" s="213"/>
      <c r="BU324" s="213"/>
      <c r="BV324" s="213"/>
      <c r="BW324" s="213"/>
      <c r="BX324" s="213"/>
      <c r="BY324" s="213"/>
      <c r="BZ324" s="213"/>
      <c r="CA324" s="213"/>
      <c r="CB324" s="213"/>
      <c r="CC324" s="213"/>
      <c r="CD324" s="213"/>
      <c r="CE324" s="213"/>
      <c r="CF324" s="213"/>
      <c r="CG324" s="213"/>
      <c r="CH324" s="213"/>
      <c r="CI324" s="213"/>
      <c r="CJ324" s="213"/>
      <c r="CK324" s="213"/>
      <c r="CL324" s="213"/>
      <c r="CM324" s="213"/>
      <c r="CN324" s="213"/>
      <c r="CO324" s="213"/>
      <c r="CP324" s="213"/>
      <c r="CQ324" s="213"/>
    </row>
    <row r="325" ht="15.75" customHeight="1">
      <c r="A325" s="213"/>
      <c r="B325" s="213"/>
      <c r="C325" s="213"/>
      <c r="D325" s="213"/>
      <c r="E325" s="213"/>
      <c r="F325" s="213"/>
      <c r="G325" s="213"/>
      <c r="H325" s="213"/>
      <c r="I325" s="213"/>
      <c r="J325" s="216"/>
      <c r="K325" s="213"/>
      <c r="L325" s="213"/>
      <c r="M325" s="213"/>
      <c r="N325" s="213"/>
      <c r="O325" s="213"/>
      <c r="P325" s="216"/>
      <c r="Q325" s="213"/>
      <c r="R325" s="213"/>
      <c r="S325" s="213"/>
      <c r="T325" s="213"/>
      <c r="U325" s="213"/>
      <c r="V325" s="216"/>
      <c r="W325" s="213"/>
      <c r="X325" s="213"/>
      <c r="Y325" s="213"/>
      <c r="Z325" s="213"/>
      <c r="AA325" s="213"/>
      <c r="AB325" s="216"/>
      <c r="AC325" s="213"/>
      <c r="AD325" s="213"/>
      <c r="AE325" s="213"/>
      <c r="AF325" s="213"/>
      <c r="AG325" s="213"/>
      <c r="AH325" s="216"/>
      <c r="AI325" s="213"/>
      <c r="AJ325" s="213"/>
      <c r="AK325" s="213"/>
      <c r="AL325" s="213"/>
      <c r="AM325" s="213"/>
      <c r="AN325" s="216"/>
      <c r="AO325" s="213"/>
      <c r="AP325" s="213"/>
      <c r="AQ325" s="213"/>
      <c r="AR325" s="213"/>
      <c r="AS325" s="213"/>
      <c r="AT325" s="216"/>
      <c r="AU325" s="213"/>
      <c r="AV325" s="213"/>
      <c r="AW325" s="213"/>
      <c r="AX325" s="213"/>
      <c r="AY325" s="213"/>
      <c r="AZ325" s="213"/>
      <c r="BA325" s="213"/>
      <c r="BB325" s="213"/>
      <c r="BC325" s="213"/>
      <c r="BD325" s="213"/>
      <c r="BE325" s="213"/>
      <c r="BF325" s="216"/>
      <c r="BG325" s="213"/>
      <c r="BH325" s="213"/>
      <c r="BI325" s="213"/>
      <c r="BJ325" s="213"/>
      <c r="BK325" s="213"/>
      <c r="BL325" s="213"/>
      <c r="BM325" s="213"/>
      <c r="BN325" s="213"/>
      <c r="BO325" s="213"/>
      <c r="BP325" s="213"/>
      <c r="BQ325" s="213"/>
      <c r="BR325" s="454"/>
      <c r="BS325" s="213"/>
      <c r="BT325" s="213"/>
      <c r="BU325" s="213"/>
      <c r="BV325" s="213"/>
      <c r="BW325" s="213"/>
      <c r="BX325" s="213"/>
      <c r="BY325" s="213"/>
      <c r="BZ325" s="213"/>
      <c r="CA325" s="213"/>
      <c r="CB325" s="213"/>
      <c r="CC325" s="213"/>
      <c r="CD325" s="213"/>
      <c r="CE325" s="213"/>
      <c r="CF325" s="213"/>
      <c r="CG325" s="213"/>
      <c r="CH325" s="213"/>
      <c r="CI325" s="213"/>
      <c r="CJ325" s="213"/>
      <c r="CK325" s="213"/>
      <c r="CL325" s="213"/>
      <c r="CM325" s="213"/>
      <c r="CN325" s="213"/>
      <c r="CO325" s="213"/>
      <c r="CP325" s="213"/>
      <c r="CQ325" s="213"/>
    </row>
    <row r="326" ht="15.75" customHeight="1">
      <c r="A326" s="213"/>
      <c r="B326" s="213"/>
      <c r="C326" s="213"/>
      <c r="D326" s="213"/>
      <c r="E326" s="213"/>
      <c r="F326" s="213"/>
      <c r="G326" s="213"/>
      <c r="H326" s="213"/>
      <c r="I326" s="213"/>
      <c r="J326" s="216"/>
      <c r="K326" s="213"/>
      <c r="L326" s="213"/>
      <c r="M326" s="213"/>
      <c r="N326" s="213"/>
      <c r="O326" s="213"/>
      <c r="P326" s="216"/>
      <c r="Q326" s="213"/>
      <c r="R326" s="213"/>
      <c r="S326" s="213"/>
      <c r="T326" s="213"/>
      <c r="U326" s="213"/>
      <c r="V326" s="216"/>
      <c r="W326" s="213"/>
      <c r="X326" s="213"/>
      <c r="Y326" s="213"/>
      <c r="Z326" s="213"/>
      <c r="AA326" s="213"/>
      <c r="AB326" s="216"/>
      <c r="AC326" s="213"/>
      <c r="AD326" s="213"/>
      <c r="AE326" s="213"/>
      <c r="AF326" s="213"/>
      <c r="AG326" s="213"/>
      <c r="AH326" s="216"/>
      <c r="AI326" s="213"/>
      <c r="AJ326" s="213"/>
      <c r="AK326" s="213"/>
      <c r="AL326" s="213"/>
      <c r="AM326" s="213"/>
      <c r="AN326" s="216"/>
      <c r="AO326" s="213"/>
      <c r="AP326" s="213"/>
      <c r="AQ326" s="213"/>
      <c r="AR326" s="213"/>
      <c r="AS326" s="213"/>
      <c r="AT326" s="216"/>
      <c r="AU326" s="213"/>
      <c r="AV326" s="213"/>
      <c r="AW326" s="213"/>
      <c r="AX326" s="213"/>
      <c r="AY326" s="213"/>
      <c r="AZ326" s="213"/>
      <c r="BA326" s="213"/>
      <c r="BB326" s="213"/>
      <c r="BC326" s="213"/>
      <c r="BD326" s="213"/>
      <c r="BE326" s="213"/>
      <c r="BF326" s="216"/>
      <c r="BG326" s="213"/>
      <c r="BH326" s="213"/>
      <c r="BI326" s="213"/>
      <c r="BJ326" s="213"/>
      <c r="BK326" s="213"/>
      <c r="BL326" s="213"/>
      <c r="BM326" s="213"/>
      <c r="BN326" s="213"/>
      <c r="BO326" s="213"/>
      <c r="BP326" s="213"/>
      <c r="BQ326" s="213"/>
      <c r="BR326" s="454"/>
      <c r="BS326" s="213"/>
      <c r="BT326" s="213"/>
      <c r="BU326" s="213"/>
      <c r="BV326" s="213"/>
      <c r="BW326" s="213"/>
      <c r="BX326" s="213"/>
      <c r="BY326" s="213"/>
      <c r="BZ326" s="213"/>
      <c r="CA326" s="213"/>
      <c r="CB326" s="213"/>
      <c r="CC326" s="213"/>
      <c r="CD326" s="213"/>
      <c r="CE326" s="213"/>
      <c r="CF326" s="213"/>
      <c r="CG326" s="213"/>
      <c r="CH326" s="213"/>
      <c r="CI326" s="213"/>
      <c r="CJ326" s="213"/>
      <c r="CK326" s="213"/>
      <c r="CL326" s="213"/>
      <c r="CM326" s="213"/>
      <c r="CN326" s="213"/>
      <c r="CO326" s="213"/>
      <c r="CP326" s="213"/>
      <c r="CQ326" s="213"/>
    </row>
    <row r="327" ht="15.75" customHeight="1">
      <c r="A327" s="213"/>
      <c r="B327" s="213"/>
      <c r="C327" s="213"/>
      <c r="D327" s="213"/>
      <c r="E327" s="213"/>
      <c r="F327" s="213"/>
      <c r="G327" s="213"/>
      <c r="H327" s="213"/>
      <c r="I327" s="213"/>
      <c r="J327" s="216"/>
      <c r="K327" s="213"/>
      <c r="L327" s="213"/>
      <c r="M327" s="213"/>
      <c r="N327" s="213"/>
      <c r="O327" s="213"/>
      <c r="P327" s="216"/>
      <c r="Q327" s="213"/>
      <c r="R327" s="213"/>
      <c r="S327" s="213"/>
      <c r="T327" s="213"/>
      <c r="U327" s="213"/>
      <c r="V327" s="216"/>
      <c r="W327" s="213"/>
      <c r="X327" s="213"/>
      <c r="Y327" s="213"/>
      <c r="Z327" s="213"/>
      <c r="AA327" s="213"/>
      <c r="AB327" s="216"/>
      <c r="AC327" s="213"/>
      <c r="AD327" s="213"/>
      <c r="AE327" s="213"/>
      <c r="AF327" s="213"/>
      <c r="AG327" s="213"/>
      <c r="AH327" s="216"/>
      <c r="AI327" s="213"/>
      <c r="AJ327" s="213"/>
      <c r="AK327" s="213"/>
      <c r="AL327" s="213"/>
      <c r="AM327" s="213"/>
      <c r="AN327" s="216"/>
      <c r="AO327" s="213"/>
      <c r="AP327" s="213"/>
      <c r="AQ327" s="213"/>
      <c r="AR327" s="213"/>
      <c r="AS327" s="213"/>
      <c r="AT327" s="216"/>
      <c r="AU327" s="213"/>
      <c r="AV327" s="213"/>
      <c r="AW327" s="213"/>
      <c r="AX327" s="213"/>
      <c r="AY327" s="213"/>
      <c r="AZ327" s="213"/>
      <c r="BA327" s="213"/>
      <c r="BB327" s="213"/>
      <c r="BC327" s="213"/>
      <c r="BD327" s="213"/>
      <c r="BE327" s="213"/>
      <c r="BF327" s="216"/>
      <c r="BG327" s="213"/>
      <c r="BH327" s="213"/>
      <c r="BI327" s="213"/>
      <c r="BJ327" s="213"/>
      <c r="BK327" s="213"/>
      <c r="BL327" s="213"/>
      <c r="BM327" s="213"/>
      <c r="BN327" s="213"/>
      <c r="BO327" s="213"/>
      <c r="BP327" s="213"/>
      <c r="BQ327" s="213"/>
      <c r="BR327" s="454"/>
      <c r="BS327" s="213"/>
      <c r="BT327" s="213"/>
      <c r="BU327" s="213"/>
      <c r="BV327" s="213"/>
      <c r="BW327" s="213"/>
      <c r="BX327" s="213"/>
      <c r="BY327" s="213"/>
      <c r="BZ327" s="213"/>
      <c r="CA327" s="213"/>
      <c r="CB327" s="213"/>
      <c r="CC327" s="213"/>
      <c r="CD327" s="213"/>
      <c r="CE327" s="213"/>
      <c r="CF327" s="213"/>
      <c r="CG327" s="213"/>
      <c r="CH327" s="213"/>
      <c r="CI327" s="213"/>
      <c r="CJ327" s="213"/>
      <c r="CK327" s="213"/>
      <c r="CL327" s="213"/>
      <c r="CM327" s="213"/>
      <c r="CN327" s="213"/>
      <c r="CO327" s="213"/>
      <c r="CP327" s="213"/>
      <c r="CQ327" s="213"/>
    </row>
    <row r="328" ht="15.75" customHeight="1">
      <c r="A328" s="213"/>
      <c r="B328" s="213"/>
      <c r="C328" s="213"/>
      <c r="D328" s="213"/>
      <c r="E328" s="213"/>
      <c r="F328" s="213"/>
      <c r="G328" s="213"/>
      <c r="H328" s="213"/>
      <c r="I328" s="213"/>
      <c r="J328" s="216"/>
      <c r="K328" s="213"/>
      <c r="L328" s="213"/>
      <c r="M328" s="213"/>
      <c r="N328" s="213"/>
      <c r="O328" s="213"/>
      <c r="P328" s="216"/>
      <c r="Q328" s="213"/>
      <c r="R328" s="213"/>
      <c r="S328" s="213"/>
      <c r="T328" s="213"/>
      <c r="U328" s="213"/>
      <c r="V328" s="216"/>
      <c r="W328" s="213"/>
      <c r="X328" s="213"/>
      <c r="Y328" s="213"/>
      <c r="Z328" s="213"/>
      <c r="AA328" s="213"/>
      <c r="AB328" s="216"/>
      <c r="AC328" s="213"/>
      <c r="AD328" s="213"/>
      <c r="AE328" s="213"/>
      <c r="AF328" s="213"/>
      <c r="AG328" s="213"/>
      <c r="AH328" s="216"/>
      <c r="AI328" s="213"/>
      <c r="AJ328" s="213"/>
      <c r="AK328" s="213"/>
      <c r="AL328" s="213"/>
      <c r="AM328" s="213"/>
      <c r="AN328" s="216"/>
      <c r="AO328" s="213"/>
      <c r="AP328" s="213"/>
      <c r="AQ328" s="213"/>
      <c r="AR328" s="213"/>
      <c r="AS328" s="213"/>
      <c r="AT328" s="216"/>
      <c r="AU328" s="213"/>
      <c r="AV328" s="213"/>
      <c r="AW328" s="213"/>
      <c r="AX328" s="213"/>
      <c r="AY328" s="213"/>
      <c r="AZ328" s="213"/>
      <c r="BA328" s="213"/>
      <c r="BB328" s="213"/>
      <c r="BC328" s="213"/>
      <c r="BD328" s="213"/>
      <c r="BE328" s="213"/>
      <c r="BF328" s="216"/>
      <c r="BG328" s="213"/>
      <c r="BH328" s="213"/>
      <c r="BI328" s="213"/>
      <c r="BJ328" s="213"/>
      <c r="BK328" s="213"/>
      <c r="BL328" s="213"/>
      <c r="BM328" s="213"/>
      <c r="BN328" s="213"/>
      <c r="BO328" s="213"/>
      <c r="BP328" s="213"/>
      <c r="BQ328" s="213"/>
      <c r="BR328" s="454"/>
      <c r="BS328" s="213"/>
      <c r="BT328" s="213"/>
      <c r="BU328" s="213"/>
      <c r="BV328" s="213"/>
      <c r="BW328" s="213"/>
      <c r="BX328" s="213"/>
      <c r="BY328" s="213"/>
      <c r="BZ328" s="213"/>
      <c r="CA328" s="213"/>
      <c r="CB328" s="213"/>
      <c r="CC328" s="213"/>
      <c r="CD328" s="213"/>
      <c r="CE328" s="213"/>
      <c r="CF328" s="213"/>
      <c r="CG328" s="213"/>
      <c r="CH328" s="213"/>
      <c r="CI328" s="213"/>
      <c r="CJ328" s="213"/>
      <c r="CK328" s="213"/>
      <c r="CL328" s="213"/>
      <c r="CM328" s="213"/>
      <c r="CN328" s="213"/>
      <c r="CO328" s="213"/>
      <c r="CP328" s="213"/>
      <c r="CQ328" s="213"/>
    </row>
    <row r="329" ht="15.75" customHeight="1">
      <c r="A329" s="213"/>
      <c r="B329" s="213"/>
      <c r="C329" s="213"/>
      <c r="D329" s="213"/>
      <c r="E329" s="213"/>
      <c r="F329" s="213"/>
      <c r="G329" s="213"/>
      <c r="H329" s="213"/>
      <c r="I329" s="213"/>
      <c r="J329" s="216"/>
      <c r="K329" s="213"/>
      <c r="L329" s="213"/>
      <c r="M329" s="213"/>
      <c r="N329" s="213"/>
      <c r="O329" s="213"/>
      <c r="P329" s="216"/>
      <c r="Q329" s="213"/>
      <c r="R329" s="213"/>
      <c r="S329" s="213"/>
      <c r="T329" s="213"/>
      <c r="U329" s="213"/>
      <c r="V329" s="216"/>
      <c r="W329" s="213"/>
      <c r="X329" s="213"/>
      <c r="Y329" s="213"/>
      <c r="Z329" s="213"/>
      <c r="AA329" s="213"/>
      <c r="AB329" s="216"/>
      <c r="AC329" s="213"/>
      <c r="AD329" s="213"/>
      <c r="AE329" s="213"/>
      <c r="AF329" s="213"/>
      <c r="AG329" s="213"/>
      <c r="AH329" s="216"/>
      <c r="AI329" s="213"/>
      <c r="AJ329" s="213"/>
      <c r="AK329" s="213"/>
      <c r="AL329" s="213"/>
      <c r="AM329" s="213"/>
      <c r="AN329" s="216"/>
      <c r="AO329" s="213"/>
      <c r="AP329" s="213"/>
      <c r="AQ329" s="213"/>
      <c r="AR329" s="213"/>
      <c r="AS329" s="213"/>
      <c r="AT329" s="216"/>
      <c r="AU329" s="213"/>
      <c r="AV329" s="213"/>
      <c r="AW329" s="213"/>
      <c r="AX329" s="213"/>
      <c r="AY329" s="213"/>
      <c r="AZ329" s="213"/>
      <c r="BA329" s="213"/>
      <c r="BB329" s="213"/>
      <c r="BC329" s="213"/>
      <c r="BD329" s="213"/>
      <c r="BE329" s="213"/>
      <c r="BF329" s="216"/>
      <c r="BG329" s="213"/>
      <c r="BH329" s="213"/>
      <c r="BI329" s="213"/>
      <c r="BJ329" s="213"/>
      <c r="BK329" s="213"/>
      <c r="BL329" s="213"/>
      <c r="BM329" s="213"/>
      <c r="BN329" s="213"/>
      <c r="BO329" s="213"/>
      <c r="BP329" s="213"/>
      <c r="BQ329" s="213"/>
      <c r="BR329" s="454"/>
      <c r="BS329" s="213"/>
      <c r="BT329" s="213"/>
      <c r="BU329" s="213"/>
      <c r="BV329" s="213"/>
      <c r="BW329" s="213"/>
      <c r="BX329" s="213"/>
      <c r="BY329" s="213"/>
      <c r="BZ329" s="213"/>
      <c r="CA329" s="213"/>
      <c r="CB329" s="213"/>
      <c r="CC329" s="213"/>
      <c r="CD329" s="213"/>
      <c r="CE329" s="213"/>
      <c r="CF329" s="213"/>
      <c r="CG329" s="213"/>
      <c r="CH329" s="213"/>
      <c r="CI329" s="213"/>
      <c r="CJ329" s="213"/>
      <c r="CK329" s="213"/>
      <c r="CL329" s="213"/>
      <c r="CM329" s="213"/>
      <c r="CN329" s="213"/>
      <c r="CO329" s="213"/>
      <c r="CP329" s="213"/>
      <c r="CQ329" s="213"/>
    </row>
    <row r="330" ht="15.75" customHeight="1">
      <c r="A330" s="213"/>
      <c r="B330" s="213"/>
      <c r="C330" s="213"/>
      <c r="D330" s="213"/>
      <c r="E330" s="213"/>
      <c r="F330" s="213"/>
      <c r="G330" s="213"/>
      <c r="H330" s="213"/>
      <c r="I330" s="213"/>
      <c r="J330" s="216"/>
      <c r="K330" s="213"/>
      <c r="L330" s="213"/>
      <c r="M330" s="213"/>
      <c r="N330" s="213"/>
      <c r="O330" s="213"/>
      <c r="P330" s="216"/>
      <c r="Q330" s="213"/>
      <c r="R330" s="213"/>
      <c r="S330" s="213"/>
      <c r="T330" s="213"/>
      <c r="U330" s="213"/>
      <c r="V330" s="216"/>
      <c r="W330" s="213"/>
      <c r="X330" s="213"/>
      <c r="Y330" s="213"/>
      <c r="Z330" s="213"/>
      <c r="AA330" s="213"/>
      <c r="AB330" s="216"/>
      <c r="AC330" s="213"/>
      <c r="AD330" s="213"/>
      <c r="AE330" s="213"/>
      <c r="AF330" s="213"/>
      <c r="AG330" s="213"/>
      <c r="AH330" s="216"/>
      <c r="AI330" s="213"/>
      <c r="AJ330" s="213"/>
      <c r="AK330" s="213"/>
      <c r="AL330" s="213"/>
      <c r="AM330" s="213"/>
      <c r="AN330" s="216"/>
      <c r="AO330" s="213"/>
      <c r="AP330" s="213"/>
      <c r="AQ330" s="213"/>
      <c r="AR330" s="213"/>
      <c r="AS330" s="213"/>
      <c r="AT330" s="216"/>
      <c r="AU330" s="213"/>
      <c r="AV330" s="213"/>
      <c r="AW330" s="213"/>
      <c r="AX330" s="213"/>
      <c r="AY330" s="213"/>
      <c r="AZ330" s="213"/>
      <c r="BA330" s="213"/>
      <c r="BB330" s="213"/>
      <c r="BC330" s="213"/>
      <c r="BD330" s="213"/>
      <c r="BE330" s="213"/>
      <c r="BF330" s="216"/>
      <c r="BG330" s="213"/>
      <c r="BH330" s="213"/>
      <c r="BI330" s="213"/>
      <c r="BJ330" s="213"/>
      <c r="BK330" s="213"/>
      <c r="BL330" s="213"/>
      <c r="BM330" s="213"/>
      <c r="BN330" s="213"/>
      <c r="BO330" s="213"/>
      <c r="BP330" s="213"/>
      <c r="BQ330" s="213"/>
      <c r="BR330" s="454"/>
      <c r="BS330" s="213"/>
      <c r="BT330" s="213"/>
      <c r="BU330" s="213"/>
      <c r="BV330" s="213"/>
      <c r="BW330" s="213"/>
      <c r="BX330" s="213"/>
      <c r="BY330" s="213"/>
      <c r="BZ330" s="213"/>
      <c r="CA330" s="213"/>
      <c r="CB330" s="213"/>
      <c r="CC330" s="213"/>
      <c r="CD330" s="213"/>
      <c r="CE330" s="213"/>
      <c r="CF330" s="213"/>
      <c r="CG330" s="213"/>
      <c r="CH330" s="213"/>
      <c r="CI330" s="213"/>
      <c r="CJ330" s="213"/>
      <c r="CK330" s="213"/>
      <c r="CL330" s="213"/>
      <c r="CM330" s="213"/>
      <c r="CN330" s="213"/>
      <c r="CO330" s="213"/>
      <c r="CP330" s="213"/>
      <c r="CQ330" s="213"/>
    </row>
    <row r="331" ht="15.75" customHeight="1">
      <c r="A331" s="213"/>
      <c r="B331" s="213"/>
      <c r="C331" s="213"/>
      <c r="D331" s="213"/>
      <c r="E331" s="213"/>
      <c r="F331" s="213"/>
      <c r="G331" s="213"/>
      <c r="H331" s="213"/>
      <c r="I331" s="213"/>
      <c r="J331" s="216"/>
      <c r="K331" s="213"/>
      <c r="L331" s="213"/>
      <c r="M331" s="213"/>
      <c r="N331" s="213"/>
      <c r="O331" s="213"/>
      <c r="P331" s="216"/>
      <c r="Q331" s="213"/>
      <c r="R331" s="213"/>
      <c r="S331" s="213"/>
      <c r="T331" s="213"/>
      <c r="U331" s="213"/>
      <c r="V331" s="216"/>
      <c r="W331" s="213"/>
      <c r="X331" s="213"/>
      <c r="Y331" s="213"/>
      <c r="Z331" s="213"/>
      <c r="AA331" s="213"/>
      <c r="AB331" s="216"/>
      <c r="AC331" s="213"/>
      <c r="AD331" s="213"/>
      <c r="AE331" s="213"/>
      <c r="AF331" s="213"/>
      <c r="AG331" s="213"/>
      <c r="AH331" s="216"/>
      <c r="AI331" s="213"/>
      <c r="AJ331" s="213"/>
      <c r="AK331" s="213"/>
      <c r="AL331" s="213"/>
      <c r="AM331" s="213"/>
      <c r="AN331" s="216"/>
      <c r="AO331" s="213"/>
      <c r="AP331" s="213"/>
      <c r="AQ331" s="213"/>
      <c r="AR331" s="213"/>
      <c r="AS331" s="213"/>
      <c r="AT331" s="216"/>
      <c r="AU331" s="213"/>
      <c r="AV331" s="213"/>
      <c r="AW331" s="213"/>
      <c r="AX331" s="213"/>
      <c r="AY331" s="213"/>
      <c r="AZ331" s="213"/>
      <c r="BA331" s="213"/>
      <c r="BB331" s="213"/>
      <c r="BC331" s="213"/>
      <c r="BD331" s="213"/>
      <c r="BE331" s="213"/>
      <c r="BF331" s="216"/>
      <c r="BG331" s="213"/>
      <c r="BH331" s="213"/>
      <c r="BI331" s="213"/>
      <c r="BJ331" s="213"/>
      <c r="BK331" s="213"/>
      <c r="BL331" s="213"/>
      <c r="BM331" s="213"/>
      <c r="BN331" s="213"/>
      <c r="BO331" s="213"/>
      <c r="BP331" s="213"/>
      <c r="BQ331" s="213"/>
      <c r="BR331" s="454"/>
      <c r="BS331" s="213"/>
      <c r="BT331" s="213"/>
      <c r="BU331" s="213"/>
      <c r="BV331" s="213"/>
      <c r="BW331" s="213"/>
      <c r="BX331" s="213"/>
      <c r="BY331" s="213"/>
      <c r="BZ331" s="213"/>
      <c r="CA331" s="213"/>
      <c r="CB331" s="213"/>
      <c r="CC331" s="213"/>
      <c r="CD331" s="213"/>
      <c r="CE331" s="213"/>
      <c r="CF331" s="213"/>
      <c r="CG331" s="213"/>
      <c r="CH331" s="213"/>
      <c r="CI331" s="213"/>
      <c r="CJ331" s="213"/>
      <c r="CK331" s="213"/>
      <c r="CL331" s="213"/>
      <c r="CM331" s="213"/>
      <c r="CN331" s="213"/>
      <c r="CO331" s="213"/>
      <c r="CP331" s="213"/>
      <c r="CQ331" s="213"/>
    </row>
    <row r="332" ht="15.75" customHeight="1">
      <c r="A332" s="213"/>
      <c r="B332" s="213"/>
      <c r="C332" s="213"/>
      <c r="D332" s="213"/>
      <c r="E332" s="213"/>
      <c r="F332" s="213"/>
      <c r="G332" s="213"/>
      <c r="H332" s="213"/>
      <c r="I332" s="213"/>
      <c r="J332" s="216"/>
      <c r="K332" s="213"/>
      <c r="L332" s="213"/>
      <c r="M332" s="213"/>
      <c r="N332" s="213"/>
      <c r="O332" s="213"/>
      <c r="P332" s="216"/>
      <c r="Q332" s="213"/>
      <c r="R332" s="213"/>
      <c r="S332" s="213"/>
      <c r="T332" s="213"/>
      <c r="U332" s="213"/>
      <c r="V332" s="216"/>
      <c r="W332" s="213"/>
      <c r="X332" s="213"/>
      <c r="Y332" s="213"/>
      <c r="Z332" s="213"/>
      <c r="AA332" s="213"/>
      <c r="AB332" s="216"/>
      <c r="AC332" s="213"/>
      <c r="AD332" s="213"/>
      <c r="AE332" s="213"/>
      <c r="AF332" s="213"/>
      <c r="AG332" s="213"/>
      <c r="AH332" s="216"/>
      <c r="AI332" s="213"/>
      <c r="AJ332" s="213"/>
      <c r="AK332" s="213"/>
      <c r="AL332" s="213"/>
      <c r="AM332" s="213"/>
      <c r="AN332" s="216"/>
      <c r="AO332" s="213"/>
      <c r="AP332" s="213"/>
      <c r="AQ332" s="213"/>
      <c r="AR332" s="213"/>
      <c r="AS332" s="213"/>
      <c r="AT332" s="216"/>
      <c r="AU332" s="213"/>
      <c r="AV332" s="213"/>
      <c r="AW332" s="213"/>
      <c r="AX332" s="213"/>
      <c r="AY332" s="213"/>
      <c r="AZ332" s="213"/>
      <c r="BA332" s="213"/>
      <c r="BB332" s="213"/>
      <c r="BC332" s="213"/>
      <c r="BD332" s="213"/>
      <c r="BE332" s="213"/>
      <c r="BF332" s="216"/>
      <c r="BG332" s="213"/>
      <c r="BH332" s="213"/>
      <c r="BI332" s="213"/>
      <c r="BJ332" s="213"/>
      <c r="BK332" s="213"/>
      <c r="BL332" s="213"/>
      <c r="BM332" s="213"/>
      <c r="BN332" s="213"/>
      <c r="BO332" s="213"/>
      <c r="BP332" s="213"/>
      <c r="BQ332" s="213"/>
      <c r="BR332" s="454"/>
      <c r="BS332" s="213"/>
      <c r="BT332" s="213"/>
      <c r="BU332" s="213"/>
      <c r="BV332" s="213"/>
      <c r="BW332" s="213"/>
      <c r="BX332" s="213"/>
      <c r="BY332" s="213"/>
      <c r="BZ332" s="213"/>
      <c r="CA332" s="213"/>
      <c r="CB332" s="213"/>
      <c r="CC332" s="213"/>
      <c r="CD332" s="213"/>
      <c r="CE332" s="213"/>
      <c r="CF332" s="213"/>
      <c r="CG332" s="213"/>
      <c r="CH332" s="213"/>
      <c r="CI332" s="213"/>
      <c r="CJ332" s="213"/>
      <c r="CK332" s="213"/>
      <c r="CL332" s="213"/>
      <c r="CM332" s="213"/>
      <c r="CN332" s="213"/>
      <c r="CO332" s="213"/>
      <c r="CP332" s="213"/>
      <c r="CQ332" s="213"/>
    </row>
    <row r="333" ht="15.75" customHeight="1">
      <c r="A333" s="213"/>
      <c r="B333" s="213"/>
      <c r="C333" s="213"/>
      <c r="D333" s="213"/>
      <c r="E333" s="213"/>
      <c r="F333" s="213"/>
      <c r="G333" s="213"/>
      <c r="H333" s="213"/>
      <c r="I333" s="213"/>
      <c r="J333" s="216"/>
      <c r="K333" s="213"/>
      <c r="L333" s="213"/>
      <c r="M333" s="213"/>
      <c r="N333" s="213"/>
      <c r="O333" s="213"/>
      <c r="P333" s="216"/>
      <c r="Q333" s="213"/>
      <c r="R333" s="213"/>
      <c r="S333" s="213"/>
      <c r="T333" s="213"/>
      <c r="U333" s="213"/>
      <c r="V333" s="216"/>
      <c r="W333" s="213"/>
      <c r="X333" s="213"/>
      <c r="Y333" s="213"/>
      <c r="Z333" s="213"/>
      <c r="AA333" s="213"/>
      <c r="AB333" s="216"/>
      <c r="AC333" s="213"/>
      <c r="AD333" s="213"/>
      <c r="AE333" s="213"/>
      <c r="AF333" s="213"/>
      <c r="AG333" s="213"/>
      <c r="AH333" s="216"/>
      <c r="AI333" s="213"/>
      <c r="AJ333" s="213"/>
      <c r="AK333" s="213"/>
      <c r="AL333" s="213"/>
      <c r="AM333" s="213"/>
      <c r="AN333" s="216"/>
      <c r="AO333" s="213"/>
      <c r="AP333" s="213"/>
      <c r="AQ333" s="213"/>
      <c r="AR333" s="213"/>
      <c r="AS333" s="213"/>
      <c r="AT333" s="216"/>
      <c r="AU333" s="213"/>
      <c r="AV333" s="213"/>
      <c r="AW333" s="213"/>
      <c r="AX333" s="213"/>
      <c r="AY333" s="213"/>
      <c r="AZ333" s="213"/>
      <c r="BA333" s="213"/>
      <c r="BB333" s="213"/>
      <c r="BC333" s="213"/>
      <c r="BD333" s="213"/>
      <c r="BE333" s="213"/>
      <c r="BF333" s="216"/>
      <c r="BG333" s="213"/>
      <c r="BH333" s="213"/>
      <c r="BI333" s="213"/>
      <c r="BJ333" s="213"/>
      <c r="BK333" s="213"/>
      <c r="BL333" s="213"/>
      <c r="BM333" s="213"/>
      <c r="BN333" s="213"/>
      <c r="BO333" s="213"/>
      <c r="BP333" s="213"/>
      <c r="BQ333" s="213"/>
      <c r="BR333" s="454"/>
      <c r="BS333" s="213"/>
      <c r="BT333" s="213"/>
      <c r="BU333" s="213"/>
      <c r="BV333" s="213"/>
      <c r="BW333" s="213"/>
      <c r="BX333" s="213"/>
      <c r="BY333" s="213"/>
      <c r="BZ333" s="213"/>
      <c r="CA333" s="213"/>
      <c r="CB333" s="213"/>
      <c r="CC333" s="213"/>
      <c r="CD333" s="213"/>
      <c r="CE333" s="213"/>
      <c r="CF333" s="213"/>
      <c r="CG333" s="213"/>
      <c r="CH333" s="213"/>
      <c r="CI333" s="213"/>
      <c r="CJ333" s="213"/>
      <c r="CK333" s="213"/>
      <c r="CL333" s="213"/>
      <c r="CM333" s="213"/>
      <c r="CN333" s="213"/>
      <c r="CO333" s="213"/>
      <c r="CP333" s="213"/>
      <c r="CQ333" s="213"/>
    </row>
    <row r="334" ht="15.75" customHeight="1">
      <c r="A334" s="213"/>
      <c r="B334" s="213"/>
      <c r="C334" s="213"/>
      <c r="D334" s="213"/>
      <c r="E334" s="213"/>
      <c r="F334" s="213"/>
      <c r="G334" s="213"/>
      <c r="H334" s="213"/>
      <c r="I334" s="213"/>
      <c r="J334" s="216"/>
      <c r="K334" s="213"/>
      <c r="L334" s="213"/>
      <c r="M334" s="213"/>
      <c r="N334" s="213"/>
      <c r="O334" s="213"/>
      <c r="P334" s="216"/>
      <c r="Q334" s="213"/>
      <c r="R334" s="213"/>
      <c r="S334" s="213"/>
      <c r="T334" s="213"/>
      <c r="U334" s="213"/>
      <c r="V334" s="216"/>
      <c r="W334" s="213"/>
      <c r="X334" s="213"/>
      <c r="Y334" s="213"/>
      <c r="Z334" s="213"/>
      <c r="AA334" s="213"/>
      <c r="AB334" s="216"/>
      <c r="AC334" s="213"/>
      <c r="AD334" s="213"/>
      <c r="AE334" s="213"/>
      <c r="AF334" s="213"/>
      <c r="AG334" s="213"/>
      <c r="AH334" s="216"/>
      <c r="AI334" s="213"/>
      <c r="AJ334" s="213"/>
      <c r="AK334" s="213"/>
      <c r="AL334" s="213"/>
      <c r="AM334" s="213"/>
      <c r="AN334" s="216"/>
      <c r="AO334" s="213"/>
      <c r="AP334" s="213"/>
      <c r="AQ334" s="213"/>
      <c r="AR334" s="213"/>
      <c r="AS334" s="213"/>
      <c r="AT334" s="216"/>
      <c r="AU334" s="213"/>
      <c r="AV334" s="213"/>
      <c r="AW334" s="213"/>
      <c r="AX334" s="213"/>
      <c r="AY334" s="213"/>
      <c r="AZ334" s="213"/>
      <c r="BA334" s="213"/>
      <c r="BB334" s="213"/>
      <c r="BC334" s="213"/>
      <c r="BD334" s="213"/>
      <c r="BE334" s="213"/>
      <c r="BF334" s="216"/>
      <c r="BG334" s="213"/>
      <c r="BH334" s="213"/>
      <c r="BI334" s="213"/>
      <c r="BJ334" s="213"/>
      <c r="BK334" s="213"/>
      <c r="BL334" s="213"/>
      <c r="BM334" s="213"/>
      <c r="BN334" s="213"/>
      <c r="BO334" s="213"/>
      <c r="BP334" s="213"/>
      <c r="BQ334" s="213"/>
      <c r="BR334" s="454"/>
      <c r="BS334" s="213"/>
      <c r="BT334" s="213"/>
      <c r="BU334" s="213"/>
      <c r="BV334" s="213"/>
      <c r="BW334" s="213"/>
      <c r="BX334" s="213"/>
      <c r="BY334" s="213"/>
      <c r="BZ334" s="213"/>
      <c r="CA334" s="213"/>
      <c r="CB334" s="213"/>
      <c r="CC334" s="213"/>
      <c r="CD334" s="213"/>
      <c r="CE334" s="213"/>
      <c r="CF334" s="213"/>
      <c r="CG334" s="213"/>
      <c r="CH334" s="213"/>
      <c r="CI334" s="213"/>
      <c r="CJ334" s="213"/>
      <c r="CK334" s="213"/>
      <c r="CL334" s="213"/>
      <c r="CM334" s="213"/>
      <c r="CN334" s="213"/>
      <c r="CO334" s="213"/>
      <c r="CP334" s="213"/>
      <c r="CQ334" s="213"/>
    </row>
    <row r="335" ht="15.75" customHeight="1">
      <c r="A335" s="213"/>
      <c r="B335" s="213"/>
      <c r="C335" s="213"/>
      <c r="D335" s="213"/>
      <c r="E335" s="213"/>
      <c r="F335" s="213"/>
      <c r="G335" s="213"/>
      <c r="H335" s="213"/>
      <c r="I335" s="213"/>
      <c r="J335" s="216"/>
      <c r="K335" s="213"/>
      <c r="L335" s="213"/>
      <c r="M335" s="213"/>
      <c r="N335" s="213"/>
      <c r="O335" s="213"/>
      <c r="P335" s="216"/>
      <c r="Q335" s="213"/>
      <c r="R335" s="213"/>
      <c r="S335" s="213"/>
      <c r="T335" s="213"/>
      <c r="U335" s="213"/>
      <c r="V335" s="216"/>
      <c r="W335" s="213"/>
      <c r="X335" s="213"/>
      <c r="Y335" s="213"/>
      <c r="Z335" s="213"/>
      <c r="AA335" s="213"/>
      <c r="AB335" s="216"/>
      <c r="AC335" s="213"/>
      <c r="AD335" s="213"/>
      <c r="AE335" s="213"/>
      <c r="AF335" s="213"/>
      <c r="AG335" s="213"/>
      <c r="AH335" s="216"/>
      <c r="AI335" s="213"/>
      <c r="AJ335" s="213"/>
      <c r="AK335" s="213"/>
      <c r="AL335" s="213"/>
      <c r="AM335" s="213"/>
      <c r="AN335" s="216"/>
      <c r="AO335" s="213"/>
      <c r="AP335" s="213"/>
      <c r="AQ335" s="213"/>
      <c r="AR335" s="213"/>
      <c r="AS335" s="213"/>
      <c r="AT335" s="216"/>
      <c r="AU335" s="213"/>
      <c r="AV335" s="213"/>
      <c r="AW335" s="213"/>
      <c r="AX335" s="213"/>
      <c r="AY335" s="213"/>
      <c r="AZ335" s="213"/>
      <c r="BA335" s="213"/>
      <c r="BB335" s="213"/>
      <c r="BC335" s="213"/>
      <c r="BD335" s="213"/>
      <c r="BE335" s="213"/>
      <c r="BF335" s="216"/>
      <c r="BG335" s="213"/>
      <c r="BH335" s="213"/>
      <c r="BI335" s="213"/>
      <c r="BJ335" s="213"/>
      <c r="BK335" s="213"/>
      <c r="BL335" s="213"/>
      <c r="BM335" s="213"/>
      <c r="BN335" s="213"/>
      <c r="BO335" s="213"/>
      <c r="BP335" s="213"/>
      <c r="BQ335" s="213"/>
      <c r="BR335" s="454"/>
      <c r="BS335" s="213"/>
      <c r="BT335" s="213"/>
      <c r="BU335" s="213"/>
      <c r="BV335" s="213"/>
      <c r="BW335" s="213"/>
      <c r="BX335" s="213"/>
      <c r="BY335" s="213"/>
      <c r="BZ335" s="213"/>
      <c r="CA335" s="213"/>
      <c r="CB335" s="213"/>
      <c r="CC335" s="213"/>
      <c r="CD335" s="213"/>
      <c r="CE335" s="213"/>
      <c r="CF335" s="213"/>
      <c r="CG335" s="213"/>
      <c r="CH335" s="213"/>
      <c r="CI335" s="213"/>
      <c r="CJ335" s="213"/>
      <c r="CK335" s="213"/>
      <c r="CL335" s="213"/>
      <c r="CM335" s="213"/>
      <c r="CN335" s="213"/>
      <c r="CO335" s="213"/>
      <c r="CP335" s="213"/>
      <c r="CQ335" s="213"/>
    </row>
    <row r="336" ht="15.75" customHeight="1">
      <c r="A336" s="213"/>
      <c r="B336" s="213"/>
      <c r="C336" s="213"/>
      <c r="D336" s="213"/>
      <c r="E336" s="213"/>
      <c r="F336" s="213"/>
      <c r="G336" s="213"/>
      <c r="H336" s="213"/>
      <c r="I336" s="213"/>
      <c r="J336" s="216"/>
      <c r="K336" s="213"/>
      <c r="L336" s="213"/>
      <c r="M336" s="213"/>
      <c r="N336" s="213"/>
      <c r="O336" s="213"/>
      <c r="P336" s="216"/>
      <c r="Q336" s="213"/>
      <c r="R336" s="213"/>
      <c r="S336" s="213"/>
      <c r="T336" s="213"/>
      <c r="U336" s="213"/>
      <c r="V336" s="216"/>
      <c r="W336" s="213"/>
      <c r="X336" s="213"/>
      <c r="Y336" s="213"/>
      <c r="Z336" s="213"/>
      <c r="AA336" s="213"/>
      <c r="AB336" s="216"/>
      <c r="AC336" s="213"/>
      <c r="AD336" s="213"/>
      <c r="AE336" s="213"/>
      <c r="AF336" s="213"/>
      <c r="AG336" s="213"/>
      <c r="AH336" s="216"/>
      <c r="AI336" s="213"/>
      <c r="AJ336" s="213"/>
      <c r="AK336" s="213"/>
      <c r="AL336" s="213"/>
      <c r="AM336" s="213"/>
      <c r="AN336" s="216"/>
      <c r="AO336" s="213"/>
      <c r="AP336" s="213"/>
      <c r="AQ336" s="213"/>
      <c r="AR336" s="213"/>
      <c r="AS336" s="213"/>
      <c r="AT336" s="216"/>
      <c r="AU336" s="213"/>
      <c r="AV336" s="213"/>
      <c r="AW336" s="213"/>
      <c r="AX336" s="213"/>
      <c r="AY336" s="213"/>
      <c r="AZ336" s="213"/>
      <c r="BA336" s="213"/>
      <c r="BB336" s="213"/>
      <c r="BC336" s="213"/>
      <c r="BD336" s="213"/>
      <c r="BE336" s="213"/>
      <c r="BF336" s="216"/>
      <c r="BG336" s="213"/>
      <c r="BH336" s="213"/>
      <c r="BI336" s="213"/>
      <c r="BJ336" s="213"/>
      <c r="BK336" s="213"/>
      <c r="BL336" s="213"/>
      <c r="BM336" s="213"/>
      <c r="BN336" s="213"/>
      <c r="BO336" s="213"/>
      <c r="BP336" s="213"/>
      <c r="BQ336" s="213"/>
      <c r="BR336" s="454"/>
      <c r="BS336" s="213"/>
      <c r="BT336" s="213"/>
      <c r="BU336" s="213"/>
      <c r="BV336" s="213"/>
      <c r="BW336" s="213"/>
      <c r="BX336" s="213"/>
      <c r="BY336" s="213"/>
      <c r="BZ336" s="213"/>
      <c r="CA336" s="213"/>
      <c r="CB336" s="213"/>
      <c r="CC336" s="213"/>
      <c r="CD336" s="213"/>
      <c r="CE336" s="213"/>
      <c r="CF336" s="213"/>
      <c r="CG336" s="213"/>
      <c r="CH336" s="213"/>
      <c r="CI336" s="213"/>
      <c r="CJ336" s="213"/>
      <c r="CK336" s="213"/>
      <c r="CL336" s="213"/>
      <c r="CM336" s="213"/>
      <c r="CN336" s="213"/>
      <c r="CO336" s="213"/>
      <c r="CP336" s="213"/>
      <c r="CQ336" s="213"/>
    </row>
  </sheetData>
  <mergeCells count="14">
    <mergeCell ref="AH4:AM4"/>
    <mergeCell ref="AN4:AS4"/>
    <mergeCell ref="AT4:AY4"/>
    <mergeCell ref="AZ4:BE4"/>
    <mergeCell ref="BF4:BK4"/>
    <mergeCell ref="BL4:BQ4"/>
    <mergeCell ref="BR4:BW4"/>
    <mergeCell ref="B4:B5"/>
    <mergeCell ref="C4:C5"/>
    <mergeCell ref="D4:I4"/>
    <mergeCell ref="J4:O4"/>
    <mergeCell ref="P4:U4"/>
    <mergeCell ref="V4:AA4"/>
    <mergeCell ref="AB4:AG4"/>
  </mergeCells>
  <printOptions/>
  <pageMargins bottom="0.75" footer="0.0" header="0.0" left="0.7" right="0.7" top="0.75"/>
  <pageSetup orientation="landscape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0.63"/>
    <col customWidth="1" min="3" max="3" width="20.13"/>
    <col customWidth="1" min="4" max="4" width="12.63"/>
    <col customWidth="1" min="5" max="10" width="8.38"/>
    <col customWidth="1" min="11" max="11" width="7.0"/>
  </cols>
  <sheetData>
    <row r="1">
      <c r="A1" s="547"/>
    </row>
    <row r="2">
      <c r="A2" s="548" t="s">
        <v>345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>
      <c r="C3" s="1" t="s">
        <v>346</v>
      </c>
      <c r="D3" s="1" t="s">
        <v>347</v>
      </c>
      <c r="E3" s="1" t="s">
        <v>348</v>
      </c>
      <c r="F3" s="1" t="s">
        <v>349</v>
      </c>
      <c r="G3" s="1" t="s">
        <v>350</v>
      </c>
      <c r="H3" s="1" t="s">
        <v>351</v>
      </c>
      <c r="I3" s="1" t="s">
        <v>352</v>
      </c>
      <c r="J3" s="1" t="s">
        <v>353</v>
      </c>
      <c r="K3" s="1" t="s">
        <v>354</v>
      </c>
      <c r="L3" s="1" t="s">
        <v>355</v>
      </c>
      <c r="M3" s="1" t="s">
        <v>356</v>
      </c>
      <c r="N3" s="1" t="s">
        <v>357</v>
      </c>
      <c r="O3" s="1" t="s">
        <v>358</v>
      </c>
      <c r="P3" s="1" t="s">
        <v>173</v>
      </c>
    </row>
    <row r="4">
      <c r="B4" s="1" t="s">
        <v>359</v>
      </c>
      <c r="C4" s="1" t="s">
        <v>185</v>
      </c>
      <c r="D4" s="549">
        <v>1125000.0</v>
      </c>
      <c r="E4" s="549">
        <f>875000+295000</f>
        <v>1170000</v>
      </c>
      <c r="F4" s="549">
        <v>1327500.0</v>
      </c>
      <c r="G4" s="549">
        <v>1327500.0</v>
      </c>
      <c r="H4" s="549">
        <v>1327500.0</v>
      </c>
      <c r="I4" s="549">
        <v>1327500.0</v>
      </c>
      <c r="J4" s="549">
        <v>1327500.0</v>
      </c>
      <c r="K4" s="549">
        <f t="shared" ref="K4:O4" si="1">1327500/2</f>
        <v>663750</v>
      </c>
      <c r="L4" s="549">
        <f t="shared" si="1"/>
        <v>663750</v>
      </c>
      <c r="M4" s="549">
        <f t="shared" si="1"/>
        <v>663750</v>
      </c>
      <c r="N4" s="549">
        <f t="shared" si="1"/>
        <v>663750</v>
      </c>
      <c r="O4" s="549">
        <f t="shared" si="1"/>
        <v>663750</v>
      </c>
      <c r="P4" s="127">
        <f t="shared" ref="P4:P6" si="3">sum(D4:O4)</f>
        <v>12251250</v>
      </c>
    </row>
    <row r="5">
      <c r="B5" s="1" t="s">
        <v>359</v>
      </c>
      <c r="C5" s="1" t="s">
        <v>13</v>
      </c>
      <c r="D5" s="549">
        <v>0.0</v>
      </c>
      <c r="E5" s="549">
        <v>0.0</v>
      </c>
      <c r="F5" s="549">
        <v>0.0</v>
      </c>
      <c r="G5" s="549">
        <v>0.0</v>
      </c>
      <c r="H5" s="549">
        <v>0.0</v>
      </c>
      <c r="I5" s="549">
        <v>0.0</v>
      </c>
      <c r="J5" s="549">
        <v>0.0</v>
      </c>
      <c r="K5" s="549">
        <f t="shared" ref="K5:O5" si="2">1327500/2</f>
        <v>663750</v>
      </c>
      <c r="L5" s="549">
        <f t="shared" si="2"/>
        <v>663750</v>
      </c>
      <c r="M5" s="549">
        <f t="shared" si="2"/>
        <v>663750</v>
      </c>
      <c r="N5" s="549">
        <f t="shared" si="2"/>
        <v>663750</v>
      </c>
      <c r="O5" s="549">
        <f t="shared" si="2"/>
        <v>663750</v>
      </c>
      <c r="P5" s="127">
        <f t="shared" si="3"/>
        <v>3318750</v>
      </c>
    </row>
    <row r="6">
      <c r="B6" s="1" t="s">
        <v>360</v>
      </c>
      <c r="C6" s="1" t="s">
        <v>12</v>
      </c>
      <c r="D6" s="549">
        <v>315000.0</v>
      </c>
      <c r="E6" s="549">
        <v>315000.0</v>
      </c>
      <c r="F6" s="549">
        <v>315000.0</v>
      </c>
      <c r="G6" s="549">
        <v>315000.0</v>
      </c>
      <c r="H6" s="549">
        <v>315000.0</v>
      </c>
      <c r="I6" s="549">
        <v>371700.0</v>
      </c>
      <c r="J6" s="549">
        <v>351900.0</v>
      </c>
      <c r="K6" s="549">
        <v>371700.0</v>
      </c>
      <c r="L6" s="549">
        <v>371700.0</v>
      </c>
      <c r="M6" s="549">
        <v>371700.0</v>
      </c>
      <c r="N6" s="549">
        <v>371700.0</v>
      </c>
      <c r="O6" s="549">
        <v>340200.0</v>
      </c>
      <c r="P6" s="127">
        <f t="shared" si="3"/>
        <v>4125600</v>
      </c>
    </row>
    <row r="9">
      <c r="A9" s="548" t="s">
        <v>361</v>
      </c>
    </row>
    <row r="10">
      <c r="C10" s="1" t="s">
        <v>362</v>
      </c>
    </row>
    <row r="11">
      <c r="B11" s="1" t="s">
        <v>49</v>
      </c>
      <c r="C11" s="549">
        <v>2758120.0</v>
      </c>
    </row>
    <row r="12">
      <c r="B12" s="1" t="s">
        <v>363</v>
      </c>
      <c r="D12" s="1" t="s">
        <v>364</v>
      </c>
    </row>
    <row r="16">
      <c r="A16" s="548" t="s">
        <v>365</v>
      </c>
    </row>
    <row r="17">
      <c r="C17" s="1" t="s">
        <v>366</v>
      </c>
      <c r="D17" s="1" t="s">
        <v>367</v>
      </c>
    </row>
    <row r="18">
      <c r="B18" s="1" t="s">
        <v>368</v>
      </c>
      <c r="C18" s="549">
        <v>450000.0</v>
      </c>
      <c r="D18" s="127">
        <f t="shared" ref="D18:D19" si="4">C18*12</f>
        <v>5400000</v>
      </c>
    </row>
    <row r="19">
      <c r="B19" s="1" t="s">
        <v>369</v>
      </c>
      <c r="C19" s="549">
        <v>450000.0</v>
      </c>
      <c r="D19" s="127">
        <f t="shared" si="4"/>
        <v>5400000</v>
      </c>
    </row>
    <row r="24">
      <c r="A24" s="548" t="s">
        <v>370</v>
      </c>
      <c r="C24" s="550" t="str">
        <f t="shared" ref="C24:O24" si="5">C3</f>
        <v>Outlet</v>
      </c>
      <c r="D24" s="550" t="str">
        <f t="shared" si="5"/>
        <v>April</v>
      </c>
      <c r="E24" s="550" t="str">
        <f t="shared" si="5"/>
        <v>May</v>
      </c>
      <c r="F24" s="550" t="str">
        <f t="shared" si="5"/>
        <v>June</v>
      </c>
      <c r="G24" s="550" t="str">
        <f t="shared" si="5"/>
        <v>July</v>
      </c>
      <c r="H24" s="550" t="str">
        <f t="shared" si="5"/>
        <v>Aug</v>
      </c>
      <c r="I24" s="550" t="str">
        <f t="shared" si="5"/>
        <v>Sep</v>
      </c>
      <c r="J24" s="550" t="str">
        <f t="shared" si="5"/>
        <v>Oct</v>
      </c>
      <c r="K24" s="550" t="str">
        <f t="shared" si="5"/>
        <v>Nov</v>
      </c>
      <c r="L24" s="550" t="str">
        <f t="shared" si="5"/>
        <v>Dec</v>
      </c>
      <c r="M24" s="550" t="str">
        <f t="shared" si="5"/>
        <v>Jan</v>
      </c>
      <c r="N24" s="550" t="str">
        <f t="shared" si="5"/>
        <v>Feb</v>
      </c>
      <c r="O24" s="550" t="str">
        <f t="shared" si="5"/>
        <v>March</v>
      </c>
    </row>
    <row r="25">
      <c r="C25" s="551" t="s">
        <v>371</v>
      </c>
      <c r="D25" s="552">
        <v>54.0</v>
      </c>
      <c r="E25" s="552">
        <v>56.0</v>
      </c>
      <c r="F25" s="552">
        <v>58.0</v>
      </c>
      <c r="G25" s="552">
        <v>60.0</v>
      </c>
      <c r="H25" s="552">
        <v>60.0</v>
      </c>
      <c r="I25" s="552">
        <v>62.0</v>
      </c>
      <c r="J25" s="552">
        <v>62.0</v>
      </c>
      <c r="K25" s="553">
        <v>63.0</v>
      </c>
      <c r="L25" s="553">
        <v>65.0</v>
      </c>
      <c r="M25" s="554">
        <v>67.0</v>
      </c>
      <c r="N25" s="554">
        <v>67.0</v>
      </c>
      <c r="O25" s="555">
        <v>63.0</v>
      </c>
    </row>
    <row r="26">
      <c r="C26" s="551" t="s">
        <v>372</v>
      </c>
      <c r="D26" s="556">
        <v>8.0</v>
      </c>
      <c r="E26" s="556">
        <v>8.0</v>
      </c>
      <c r="F26" s="556">
        <v>8.0</v>
      </c>
      <c r="G26" s="556">
        <v>8.0</v>
      </c>
      <c r="H26" s="556">
        <v>8.0</v>
      </c>
      <c r="I26" s="556">
        <v>8.0</v>
      </c>
      <c r="J26" s="556">
        <v>8.0</v>
      </c>
      <c r="K26" s="553">
        <v>10.0</v>
      </c>
      <c r="L26" s="553">
        <v>10.0</v>
      </c>
      <c r="M26" s="554">
        <v>9.0</v>
      </c>
      <c r="N26" s="554">
        <v>10.0</v>
      </c>
      <c r="O26" s="555">
        <v>10.0</v>
      </c>
    </row>
    <row r="27">
      <c r="C27" s="551" t="s">
        <v>12</v>
      </c>
      <c r="D27" s="556">
        <v>14.0</v>
      </c>
      <c r="E27" s="556">
        <v>23.0</v>
      </c>
      <c r="F27" s="556">
        <v>24.0</v>
      </c>
      <c r="G27" s="556">
        <v>24.0</v>
      </c>
      <c r="H27" s="556">
        <v>25.0</v>
      </c>
      <c r="I27" s="556">
        <v>25.0</v>
      </c>
      <c r="J27" s="556">
        <v>25.0</v>
      </c>
      <c r="K27" s="553">
        <v>27.0</v>
      </c>
      <c r="L27" s="553">
        <v>26.0</v>
      </c>
      <c r="M27" s="554">
        <v>26.0</v>
      </c>
      <c r="N27" s="554">
        <v>27.0</v>
      </c>
      <c r="O27" s="555">
        <v>27.0</v>
      </c>
    </row>
    <row r="28">
      <c r="C28" s="551" t="s">
        <v>373</v>
      </c>
      <c r="D28" s="556">
        <v>10.0</v>
      </c>
      <c r="E28" s="556">
        <v>2.0</v>
      </c>
      <c r="F28" s="556">
        <v>2.0</v>
      </c>
      <c r="G28" s="556">
        <v>2.0</v>
      </c>
      <c r="H28" s="556">
        <v>2.0</v>
      </c>
      <c r="I28" s="556">
        <v>2.0</v>
      </c>
      <c r="J28" s="556">
        <v>2.0</v>
      </c>
      <c r="K28" s="553">
        <v>2.0</v>
      </c>
      <c r="L28" s="553">
        <v>3.0</v>
      </c>
      <c r="M28" s="554">
        <v>4.0</v>
      </c>
      <c r="N28" s="554">
        <v>4.0</v>
      </c>
      <c r="O28" s="555">
        <v>4.0</v>
      </c>
    </row>
    <row r="29">
      <c r="C29" s="551" t="s">
        <v>374</v>
      </c>
      <c r="D29" s="556">
        <v>78.0</v>
      </c>
      <c r="E29" s="556">
        <v>76.0</v>
      </c>
      <c r="F29" s="556">
        <v>79.0</v>
      </c>
      <c r="G29" s="556">
        <v>78.0</v>
      </c>
      <c r="H29" s="556">
        <v>78.0</v>
      </c>
      <c r="I29" s="556">
        <v>75.0</v>
      </c>
      <c r="J29" s="556">
        <v>79.0</v>
      </c>
      <c r="K29" s="553">
        <v>79.0</v>
      </c>
      <c r="L29" s="553">
        <v>81.0</v>
      </c>
      <c r="M29" s="554">
        <v>81.0</v>
      </c>
      <c r="N29" s="554">
        <v>79.0</v>
      </c>
      <c r="O29" s="555">
        <v>81.0</v>
      </c>
    </row>
    <row r="30">
      <c r="C30" s="551" t="s">
        <v>375</v>
      </c>
      <c r="D30" s="556">
        <v>83.0</v>
      </c>
      <c r="E30" s="556">
        <v>82.0</v>
      </c>
      <c r="F30" s="556">
        <v>82.0</v>
      </c>
      <c r="G30" s="556">
        <v>81.0</v>
      </c>
      <c r="H30" s="556">
        <v>82.0</v>
      </c>
      <c r="I30" s="556">
        <v>83.0</v>
      </c>
      <c r="J30" s="556">
        <v>81.0</v>
      </c>
      <c r="K30" s="553">
        <v>84.0</v>
      </c>
      <c r="L30" s="553">
        <v>87.0</v>
      </c>
      <c r="M30" s="554">
        <v>86.0</v>
      </c>
      <c r="N30" s="554">
        <v>88.0</v>
      </c>
      <c r="O30" s="555">
        <v>88.0</v>
      </c>
    </row>
    <row r="31">
      <c r="C31" s="551" t="s">
        <v>376</v>
      </c>
      <c r="D31" s="556">
        <v>50.0</v>
      </c>
      <c r="E31" s="556">
        <v>49.0</v>
      </c>
      <c r="F31" s="556">
        <v>50.0</v>
      </c>
      <c r="G31" s="556">
        <v>50.0</v>
      </c>
      <c r="H31" s="556">
        <v>49.0</v>
      </c>
      <c r="I31" s="556">
        <v>49.0</v>
      </c>
      <c r="J31" s="556">
        <v>52.0</v>
      </c>
      <c r="K31" s="553">
        <v>52.0</v>
      </c>
      <c r="L31" s="553">
        <v>51.0</v>
      </c>
      <c r="M31" s="554">
        <v>52.0</v>
      </c>
      <c r="N31" s="554">
        <v>51.0</v>
      </c>
      <c r="O31" s="555">
        <v>53.0</v>
      </c>
    </row>
    <row r="32">
      <c r="C32" s="551" t="s">
        <v>377</v>
      </c>
      <c r="D32" s="557">
        <v>95.0</v>
      </c>
      <c r="E32" s="557">
        <v>92.0</v>
      </c>
      <c r="F32" s="556">
        <v>94.0</v>
      </c>
      <c r="G32" s="556">
        <v>92.0</v>
      </c>
      <c r="H32" s="556">
        <v>92.0</v>
      </c>
      <c r="I32" s="556">
        <v>93.0</v>
      </c>
      <c r="J32" s="556">
        <v>94.0</v>
      </c>
      <c r="K32" s="553">
        <v>92.0</v>
      </c>
      <c r="L32" s="553">
        <v>93.0</v>
      </c>
      <c r="M32" s="554">
        <v>92.0</v>
      </c>
      <c r="N32" s="554">
        <v>93.0</v>
      </c>
      <c r="O32" s="555">
        <v>95.0</v>
      </c>
    </row>
    <row r="33">
      <c r="C33" s="551" t="s">
        <v>378</v>
      </c>
      <c r="D33" s="558"/>
      <c r="E33" s="558"/>
      <c r="F33" s="559">
        <v>5.0</v>
      </c>
      <c r="G33" s="559">
        <v>15.0</v>
      </c>
      <c r="H33" s="559">
        <v>20.0</v>
      </c>
      <c r="I33" s="559">
        <v>28.0</v>
      </c>
      <c r="J33" s="559">
        <v>33.0</v>
      </c>
      <c r="K33" s="560">
        <v>41.0</v>
      </c>
      <c r="L33" s="560">
        <v>43.0</v>
      </c>
      <c r="M33" s="554">
        <v>48.0</v>
      </c>
      <c r="N33" s="554">
        <v>59.0</v>
      </c>
      <c r="O33" s="555">
        <v>64.0</v>
      </c>
    </row>
    <row r="34">
      <c r="C34" s="551" t="s">
        <v>379</v>
      </c>
      <c r="D34" s="558"/>
      <c r="E34" s="558"/>
      <c r="F34" s="558"/>
      <c r="G34" s="558"/>
      <c r="H34" s="558"/>
      <c r="I34" s="558"/>
      <c r="J34" s="558"/>
      <c r="K34" s="558"/>
      <c r="L34" s="558"/>
      <c r="M34" s="558"/>
      <c r="N34" s="554">
        <v>3.0</v>
      </c>
      <c r="O34" s="555">
        <v>3.0</v>
      </c>
    </row>
    <row r="35">
      <c r="C35" s="551" t="s">
        <v>380</v>
      </c>
      <c r="D35" s="558"/>
      <c r="E35" s="558"/>
      <c r="F35" s="558"/>
      <c r="G35" s="558"/>
      <c r="H35" s="558"/>
      <c r="I35" s="558"/>
      <c r="J35" s="558"/>
      <c r="K35" s="558"/>
      <c r="L35" s="558"/>
      <c r="M35" s="558"/>
      <c r="N35" s="554">
        <v>2.0</v>
      </c>
      <c r="O35" s="555">
        <v>2.0</v>
      </c>
    </row>
    <row r="36">
      <c r="C36" s="558"/>
      <c r="D36" s="558">
        <f t="shared" ref="D36:O36" si="6">sum(D25:D35)</f>
        <v>392</v>
      </c>
      <c r="E36" s="558">
        <f t="shared" si="6"/>
        <v>388</v>
      </c>
      <c r="F36" s="558">
        <f t="shared" si="6"/>
        <v>402</v>
      </c>
      <c r="G36" s="558">
        <f t="shared" si="6"/>
        <v>410</v>
      </c>
      <c r="H36" s="558">
        <f t="shared" si="6"/>
        <v>416</v>
      </c>
      <c r="I36" s="558">
        <f t="shared" si="6"/>
        <v>425</v>
      </c>
      <c r="J36" s="558">
        <f t="shared" si="6"/>
        <v>436</v>
      </c>
      <c r="K36" s="558">
        <f t="shared" si="6"/>
        <v>450</v>
      </c>
      <c r="L36" s="558">
        <f t="shared" si="6"/>
        <v>459</v>
      </c>
      <c r="M36" s="558">
        <f t="shared" si="6"/>
        <v>465</v>
      </c>
      <c r="N36" s="558">
        <f t="shared" si="6"/>
        <v>483</v>
      </c>
      <c r="O36" s="558">
        <f t="shared" si="6"/>
        <v>490</v>
      </c>
    </row>
  </sheetData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5.63"/>
    <col customWidth="1" min="2" max="2" width="9.75"/>
    <col customWidth="1" min="3" max="3" width="54.88"/>
    <col customWidth="1" min="4" max="4" width="13.88"/>
    <col customWidth="1" hidden="1" min="5" max="6" width="12.63"/>
    <col customWidth="1" min="7" max="8" width="12.63"/>
    <col customWidth="1" hidden="1" min="9" max="9" width="10.0"/>
    <col hidden="1" min="10" max="10" width="12.63"/>
    <col customWidth="1" min="11" max="11" width="10.88"/>
    <col customWidth="1" hidden="1" min="12" max="13" width="12.63"/>
    <col hidden="1" min="14" max="15" width="12.63"/>
    <col customWidth="1" min="16" max="16" width="13.88"/>
    <col hidden="1" min="17" max="18" width="12.63"/>
    <col hidden="1" min="20" max="21" width="12.63"/>
    <col hidden="1" min="23" max="24" width="12.63"/>
    <col customWidth="1" min="29" max="29" width="14.25"/>
    <col customWidth="1" min="30" max="49" width="12.63"/>
  </cols>
  <sheetData>
    <row r="1" ht="15.75" customHeight="1">
      <c r="B1" s="214" t="s">
        <v>1</v>
      </c>
      <c r="D1" s="124"/>
      <c r="G1" s="124"/>
      <c r="H1" s="124"/>
      <c r="I1" s="124"/>
      <c r="J1" s="128" t="s">
        <v>381</v>
      </c>
      <c r="K1" s="124"/>
      <c r="N1" s="124"/>
      <c r="O1" s="561"/>
      <c r="P1" s="124"/>
      <c r="AC1" s="562"/>
      <c r="AD1" s="561"/>
      <c r="AE1" s="561"/>
      <c r="AF1" s="561"/>
      <c r="AG1" s="561"/>
      <c r="AH1" s="561"/>
      <c r="AI1" s="561"/>
      <c r="AJ1" s="561"/>
      <c r="AK1" s="561"/>
      <c r="AL1" s="561"/>
      <c r="AM1" s="561"/>
      <c r="AN1" s="561"/>
      <c r="AO1" s="561"/>
      <c r="AP1" s="561"/>
      <c r="AQ1" s="561"/>
      <c r="AR1" s="561"/>
      <c r="AS1" s="561"/>
      <c r="AT1" s="561"/>
      <c r="AU1" s="561"/>
      <c r="AV1" s="561"/>
      <c r="AW1" s="561"/>
    </row>
    <row r="2" ht="15.75" customHeight="1">
      <c r="B2" s="327" t="s">
        <v>382</v>
      </c>
      <c r="C2" s="213"/>
      <c r="D2" s="124"/>
      <c r="G2" s="124"/>
      <c r="H2" s="124"/>
      <c r="I2" s="124"/>
      <c r="K2" s="124"/>
      <c r="N2" s="124"/>
      <c r="O2" s="561"/>
      <c r="P2" s="124"/>
      <c r="AC2" s="562"/>
      <c r="AD2" s="561"/>
      <c r="AE2" s="561"/>
      <c r="AF2" s="561"/>
      <c r="AG2" s="561"/>
      <c r="AH2" s="561"/>
      <c r="AI2" s="561"/>
      <c r="AJ2" s="561"/>
      <c r="AK2" s="561"/>
      <c r="AL2" s="561"/>
      <c r="AM2" s="561"/>
      <c r="AN2" s="561"/>
      <c r="AO2" s="561"/>
      <c r="AP2" s="561"/>
      <c r="AQ2" s="561"/>
      <c r="AR2" s="561"/>
      <c r="AS2" s="561"/>
      <c r="AT2" s="561"/>
      <c r="AU2" s="561"/>
      <c r="AV2" s="561"/>
      <c r="AW2" s="561"/>
    </row>
    <row r="3" ht="15.75" customHeight="1">
      <c r="D3" s="124"/>
      <c r="G3" s="124"/>
      <c r="H3" s="124"/>
      <c r="I3" s="124"/>
      <c r="K3" s="124"/>
      <c r="N3" s="124"/>
      <c r="O3" s="561"/>
      <c r="P3" s="124"/>
      <c r="AC3" s="562"/>
      <c r="AD3" s="561"/>
      <c r="AE3" s="561"/>
      <c r="AF3" s="561"/>
      <c r="AG3" s="561"/>
      <c r="AH3" s="561"/>
      <c r="AI3" s="561"/>
      <c r="AJ3" s="561"/>
      <c r="AK3" s="561"/>
      <c r="AL3" s="561"/>
      <c r="AM3" s="561"/>
      <c r="AN3" s="561"/>
      <c r="AO3" s="561"/>
      <c r="AP3" s="561"/>
      <c r="AQ3" s="561"/>
      <c r="AR3" s="561"/>
      <c r="AS3" s="561"/>
      <c r="AT3" s="561"/>
      <c r="AU3" s="561"/>
      <c r="AV3" s="561"/>
      <c r="AW3" s="561"/>
    </row>
    <row r="4" ht="15.75" customHeight="1">
      <c r="B4" s="329" t="s">
        <v>201</v>
      </c>
      <c r="C4" s="330" t="s">
        <v>47</v>
      </c>
      <c r="D4" s="331" t="s">
        <v>202</v>
      </c>
      <c r="E4" s="11"/>
      <c r="F4" s="14"/>
      <c r="G4" s="563" t="s">
        <v>203</v>
      </c>
      <c r="H4" s="331" t="s">
        <v>204</v>
      </c>
      <c r="I4" s="11"/>
      <c r="J4" s="14"/>
      <c r="K4" s="331" t="s">
        <v>205</v>
      </c>
      <c r="L4" s="11"/>
      <c r="M4" s="11"/>
      <c r="N4" s="11"/>
      <c r="O4" s="14"/>
      <c r="P4" s="331" t="s">
        <v>206</v>
      </c>
      <c r="Q4" s="11"/>
      <c r="R4" s="14"/>
      <c r="S4" s="331" t="s">
        <v>207</v>
      </c>
      <c r="T4" s="11"/>
      <c r="U4" s="14"/>
      <c r="V4" s="331" t="s">
        <v>208</v>
      </c>
      <c r="W4" s="11"/>
      <c r="X4" s="14"/>
      <c r="Y4" s="563" t="s">
        <v>209</v>
      </c>
      <c r="Z4" s="564" t="s">
        <v>210</v>
      </c>
      <c r="AA4" s="563" t="s">
        <v>211</v>
      </c>
      <c r="AB4" s="563" t="s">
        <v>212</v>
      </c>
      <c r="AC4" s="565" t="s">
        <v>213</v>
      </c>
      <c r="AD4" s="334"/>
      <c r="AE4" s="334"/>
      <c r="AF4" s="334"/>
      <c r="AG4" s="334"/>
      <c r="AH4" s="334"/>
      <c r="AI4" s="334"/>
      <c r="AJ4" s="334"/>
      <c r="AK4" s="334"/>
      <c r="AL4" s="334"/>
      <c r="AM4" s="334"/>
      <c r="AN4" s="334"/>
      <c r="AO4" s="334"/>
      <c r="AP4" s="334"/>
      <c r="AQ4" s="334"/>
      <c r="AR4" s="334"/>
      <c r="AS4" s="334"/>
      <c r="AT4" s="334"/>
      <c r="AU4" s="334"/>
      <c r="AV4" s="334"/>
      <c r="AW4" s="334"/>
    </row>
    <row r="5" ht="15.75" customHeight="1">
      <c r="B5" s="566"/>
      <c r="C5" s="567"/>
      <c r="D5" s="568" t="s">
        <v>215</v>
      </c>
      <c r="E5" s="569" t="s">
        <v>217</v>
      </c>
      <c r="F5" s="570" t="s">
        <v>218</v>
      </c>
      <c r="G5" s="568" t="s">
        <v>215</v>
      </c>
      <c r="H5" s="568" t="s">
        <v>215</v>
      </c>
      <c r="I5" s="569" t="s">
        <v>217</v>
      </c>
      <c r="J5" s="570" t="s">
        <v>218</v>
      </c>
      <c r="K5" s="568" t="s">
        <v>215</v>
      </c>
      <c r="L5" s="571" t="s">
        <v>217</v>
      </c>
      <c r="M5" s="570" t="s">
        <v>218</v>
      </c>
      <c r="N5" s="569" t="s">
        <v>217</v>
      </c>
      <c r="O5" s="570" t="s">
        <v>218</v>
      </c>
      <c r="P5" s="568" t="s">
        <v>215</v>
      </c>
      <c r="Q5" s="571" t="s">
        <v>217</v>
      </c>
      <c r="R5" s="570" t="s">
        <v>218</v>
      </c>
      <c r="S5" s="568" t="s">
        <v>215</v>
      </c>
      <c r="T5" s="571" t="s">
        <v>217</v>
      </c>
      <c r="U5" s="570" t="s">
        <v>218</v>
      </c>
      <c r="V5" s="568" t="s">
        <v>215</v>
      </c>
      <c r="W5" s="572" t="s">
        <v>217</v>
      </c>
      <c r="X5" s="570" t="s">
        <v>218</v>
      </c>
      <c r="Y5" s="568" t="s">
        <v>215</v>
      </c>
      <c r="Z5" s="573" t="s">
        <v>215</v>
      </c>
      <c r="AA5" s="568" t="s">
        <v>215</v>
      </c>
      <c r="AB5" s="568" t="s">
        <v>215</v>
      </c>
      <c r="AC5" s="574" t="s">
        <v>215</v>
      </c>
      <c r="AD5" s="575" t="s">
        <v>214</v>
      </c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  <c r="AU5" s="104"/>
      <c r="AV5" s="104"/>
      <c r="AW5" s="104"/>
    </row>
    <row r="6" ht="15.75" hidden="1" customHeight="1">
      <c r="B6" s="382"/>
      <c r="C6" s="383" t="s">
        <v>85</v>
      </c>
      <c r="D6" s="576">
        <v>0.0</v>
      </c>
      <c r="E6" s="577"/>
      <c r="F6" s="578"/>
      <c r="G6" s="576">
        <v>0.0</v>
      </c>
      <c r="H6" s="576"/>
      <c r="I6" s="579"/>
      <c r="J6" s="578"/>
      <c r="K6" s="576"/>
      <c r="L6" s="577"/>
      <c r="M6" s="578"/>
      <c r="N6" s="577"/>
      <c r="O6" s="580"/>
      <c r="P6" s="576"/>
      <c r="Q6" s="577"/>
      <c r="R6" s="578"/>
      <c r="S6" s="581"/>
      <c r="T6" s="577"/>
      <c r="U6" s="578"/>
      <c r="V6" s="581"/>
      <c r="W6" s="577"/>
      <c r="X6" s="578"/>
      <c r="Y6" s="581"/>
      <c r="Z6" s="582"/>
      <c r="AA6" s="581"/>
      <c r="AB6" s="581"/>
      <c r="AC6" s="583"/>
      <c r="AD6" s="561"/>
      <c r="AE6" s="561"/>
      <c r="AF6" s="561"/>
      <c r="AG6" s="561"/>
      <c r="AH6" s="561"/>
      <c r="AI6" s="561"/>
      <c r="AJ6" s="561"/>
      <c r="AK6" s="561"/>
      <c r="AL6" s="561"/>
      <c r="AM6" s="561"/>
      <c r="AN6" s="561"/>
      <c r="AO6" s="561"/>
      <c r="AP6" s="561"/>
      <c r="AQ6" s="561"/>
      <c r="AR6" s="561"/>
      <c r="AS6" s="561"/>
      <c r="AT6" s="561"/>
      <c r="AU6" s="561"/>
      <c r="AV6" s="561"/>
      <c r="AW6" s="561"/>
    </row>
    <row r="7" ht="15.75" hidden="1" customHeight="1">
      <c r="B7" s="349"/>
      <c r="C7" s="350" t="s">
        <v>92</v>
      </c>
      <c r="D7" s="584">
        <v>499.0</v>
      </c>
      <c r="E7" s="585"/>
      <c r="F7" s="586"/>
      <c r="G7" s="584">
        <v>501.0</v>
      </c>
      <c r="H7" s="584"/>
      <c r="I7" s="587"/>
      <c r="J7" s="586"/>
      <c r="K7" s="584"/>
      <c r="L7" s="585"/>
      <c r="M7" s="586"/>
      <c r="N7" s="585"/>
      <c r="O7" s="588"/>
      <c r="P7" s="584"/>
      <c r="Q7" s="585"/>
      <c r="R7" s="586"/>
      <c r="S7" s="589"/>
      <c r="T7" s="585"/>
      <c r="U7" s="586"/>
      <c r="V7" s="589"/>
      <c r="W7" s="585"/>
      <c r="X7" s="586"/>
      <c r="Y7" s="589"/>
      <c r="Z7" s="590"/>
      <c r="AA7" s="589"/>
      <c r="AB7" s="589"/>
      <c r="AC7" s="584"/>
      <c r="AD7" s="561"/>
      <c r="AE7" s="561"/>
      <c r="AF7" s="561"/>
      <c r="AG7" s="561"/>
      <c r="AH7" s="561"/>
      <c r="AI7" s="561"/>
      <c r="AJ7" s="561"/>
      <c r="AK7" s="561"/>
      <c r="AL7" s="561"/>
      <c r="AM7" s="561"/>
      <c r="AN7" s="561"/>
      <c r="AO7" s="561"/>
      <c r="AP7" s="561"/>
      <c r="AQ7" s="561"/>
      <c r="AR7" s="561"/>
      <c r="AS7" s="561"/>
      <c r="AT7" s="561"/>
      <c r="AU7" s="561"/>
      <c r="AV7" s="561"/>
      <c r="AW7" s="561"/>
    </row>
    <row r="8" ht="15.75" hidden="1" customHeight="1">
      <c r="B8" s="349"/>
      <c r="C8" s="350" t="s">
        <v>99</v>
      </c>
      <c r="D8" s="584" t="str">
        <f>D22+D23+D26+#REF!</f>
        <v>#REF!</v>
      </c>
      <c r="E8" s="585"/>
      <c r="F8" s="586"/>
      <c r="G8" s="584" t="str">
        <f>G22+G23+G26+#REF!</f>
        <v>#REF!</v>
      </c>
      <c r="H8" s="584"/>
      <c r="I8" s="587"/>
      <c r="J8" s="586"/>
      <c r="K8" s="584"/>
      <c r="L8" s="585"/>
      <c r="M8" s="586"/>
      <c r="N8" s="585"/>
      <c r="O8" s="588"/>
      <c r="P8" s="584"/>
      <c r="Q8" s="585"/>
      <c r="R8" s="586"/>
      <c r="S8" s="589"/>
      <c r="T8" s="585"/>
      <c r="U8" s="586"/>
      <c r="V8" s="589"/>
      <c r="W8" s="585"/>
      <c r="X8" s="586"/>
      <c r="Y8" s="589"/>
      <c r="Z8" s="590"/>
      <c r="AA8" s="589"/>
      <c r="AB8" s="589"/>
      <c r="AC8" s="584"/>
      <c r="AD8" s="561"/>
      <c r="AE8" s="561"/>
      <c r="AF8" s="561"/>
      <c r="AG8" s="561"/>
      <c r="AH8" s="561"/>
      <c r="AI8" s="561"/>
      <c r="AJ8" s="561"/>
      <c r="AK8" s="561"/>
      <c r="AL8" s="561"/>
      <c r="AM8" s="561"/>
      <c r="AN8" s="561"/>
      <c r="AO8" s="561"/>
      <c r="AP8" s="561"/>
      <c r="AQ8" s="561"/>
      <c r="AR8" s="561"/>
      <c r="AS8" s="561"/>
      <c r="AT8" s="561"/>
      <c r="AU8" s="561"/>
      <c r="AV8" s="561"/>
      <c r="AW8" s="561"/>
    </row>
    <row r="9" ht="15.75" hidden="1" customHeight="1">
      <c r="B9" s="349"/>
      <c r="C9" s="350" t="s">
        <v>106</v>
      </c>
      <c r="D9" s="584">
        <f>D16+D17+D18+D19</f>
        <v>450294.32</v>
      </c>
      <c r="E9" s="585"/>
      <c r="F9" s="586"/>
      <c r="G9" s="584">
        <f>G16+G17+G18+G19</f>
        <v>566983.75</v>
      </c>
      <c r="H9" s="584"/>
      <c r="I9" s="587"/>
      <c r="J9" s="586"/>
      <c r="K9" s="584"/>
      <c r="L9" s="585"/>
      <c r="M9" s="586"/>
      <c r="N9" s="585"/>
      <c r="O9" s="588"/>
      <c r="P9" s="584"/>
      <c r="Q9" s="585"/>
      <c r="R9" s="586"/>
      <c r="S9" s="589"/>
      <c r="T9" s="585"/>
      <c r="U9" s="586"/>
      <c r="V9" s="589"/>
      <c r="W9" s="585"/>
      <c r="X9" s="586"/>
      <c r="Y9" s="589"/>
      <c r="Z9" s="590"/>
      <c r="AA9" s="589"/>
      <c r="AB9" s="589"/>
      <c r="AC9" s="584"/>
      <c r="AD9" s="561"/>
      <c r="AE9" s="561"/>
      <c r="AF9" s="561"/>
      <c r="AG9" s="561"/>
      <c r="AH9" s="561"/>
      <c r="AI9" s="561"/>
      <c r="AJ9" s="561"/>
      <c r="AK9" s="561"/>
      <c r="AL9" s="561"/>
      <c r="AM9" s="561"/>
      <c r="AN9" s="561"/>
      <c r="AO9" s="561"/>
      <c r="AP9" s="561"/>
      <c r="AQ9" s="561"/>
      <c r="AR9" s="561"/>
      <c r="AS9" s="561"/>
      <c r="AT9" s="561"/>
      <c r="AU9" s="561"/>
      <c r="AV9" s="561"/>
      <c r="AW9" s="561"/>
    </row>
    <row r="10" ht="15.75" hidden="1" customHeight="1">
      <c r="B10" s="349"/>
      <c r="C10" s="350" t="s">
        <v>113</v>
      </c>
      <c r="D10" s="584" t="str">
        <f>SUM(D8:D9)-D27</f>
        <v>#REF!</v>
      </c>
      <c r="E10" s="585"/>
      <c r="F10" s="586"/>
      <c r="G10" s="584" t="str">
        <f>SUM(G8:G9)-G27</f>
        <v>#REF!</v>
      </c>
      <c r="H10" s="584"/>
      <c r="I10" s="587"/>
      <c r="J10" s="586"/>
      <c r="K10" s="584"/>
      <c r="L10" s="585"/>
      <c r="M10" s="586"/>
      <c r="N10" s="585"/>
      <c r="O10" s="588"/>
      <c r="P10" s="584"/>
      <c r="Q10" s="585"/>
      <c r="R10" s="586"/>
      <c r="S10" s="589"/>
      <c r="T10" s="585"/>
      <c r="U10" s="586"/>
      <c r="V10" s="589"/>
      <c r="W10" s="585"/>
      <c r="X10" s="586"/>
      <c r="Y10" s="589"/>
      <c r="Z10" s="590"/>
      <c r="AA10" s="589"/>
      <c r="AB10" s="589"/>
      <c r="AC10" s="584"/>
      <c r="AD10" s="561"/>
      <c r="AE10" s="561"/>
      <c r="AF10" s="561"/>
      <c r="AG10" s="561"/>
      <c r="AH10" s="561"/>
      <c r="AI10" s="561"/>
      <c r="AJ10" s="561"/>
      <c r="AK10" s="561"/>
      <c r="AL10" s="561"/>
      <c r="AM10" s="561"/>
      <c r="AN10" s="561"/>
      <c r="AO10" s="561"/>
      <c r="AP10" s="561"/>
      <c r="AQ10" s="561"/>
      <c r="AR10" s="561"/>
      <c r="AS10" s="561"/>
      <c r="AT10" s="561"/>
      <c r="AU10" s="561"/>
      <c r="AV10" s="561"/>
      <c r="AW10" s="561"/>
    </row>
    <row r="11" ht="15.75" hidden="1" customHeight="1">
      <c r="B11" s="349"/>
      <c r="C11" s="350" t="s">
        <v>120</v>
      </c>
      <c r="D11" s="584" t="str">
        <f t="shared" ref="D11:D12" si="1">D8/D6</f>
        <v>#REF!</v>
      </c>
      <c r="E11" s="585"/>
      <c r="F11" s="586"/>
      <c r="G11" s="584" t="str">
        <f t="shared" ref="G11:G12" si="2">G8/G6</f>
        <v>#REF!</v>
      </c>
      <c r="H11" s="584"/>
      <c r="I11" s="587"/>
      <c r="J11" s="586"/>
      <c r="K11" s="584"/>
      <c r="L11" s="585"/>
      <c r="M11" s="586"/>
      <c r="N11" s="585"/>
      <c r="O11" s="588"/>
      <c r="P11" s="584"/>
      <c r="Q11" s="585"/>
      <c r="R11" s="586"/>
      <c r="S11" s="589"/>
      <c r="T11" s="585"/>
      <c r="U11" s="586"/>
      <c r="V11" s="589"/>
      <c r="W11" s="585"/>
      <c r="X11" s="586"/>
      <c r="Y11" s="589"/>
      <c r="Z11" s="590"/>
      <c r="AA11" s="589"/>
      <c r="AB11" s="589"/>
      <c r="AC11" s="584"/>
      <c r="AD11" s="561"/>
      <c r="AE11" s="561"/>
      <c r="AF11" s="561"/>
      <c r="AG11" s="561"/>
      <c r="AH11" s="561"/>
      <c r="AI11" s="561"/>
      <c r="AJ11" s="561"/>
      <c r="AK11" s="561"/>
      <c r="AL11" s="561"/>
      <c r="AM11" s="561"/>
      <c r="AN11" s="561"/>
      <c r="AO11" s="561"/>
      <c r="AP11" s="561"/>
      <c r="AQ11" s="561"/>
      <c r="AR11" s="561"/>
      <c r="AS11" s="561"/>
      <c r="AT11" s="561"/>
      <c r="AU11" s="561"/>
      <c r="AV11" s="561"/>
      <c r="AW11" s="561"/>
    </row>
    <row r="12" ht="15.75" hidden="1" customHeight="1">
      <c r="B12" s="349"/>
      <c r="C12" s="350" t="s">
        <v>127</v>
      </c>
      <c r="D12" s="584">
        <f t="shared" si="1"/>
        <v>902.3934269</v>
      </c>
      <c r="E12" s="585"/>
      <c r="F12" s="586"/>
      <c r="G12" s="584">
        <f t="shared" si="2"/>
        <v>1131.704092</v>
      </c>
      <c r="H12" s="584"/>
      <c r="I12" s="587"/>
      <c r="J12" s="586"/>
      <c r="K12" s="584"/>
      <c r="L12" s="585"/>
      <c r="M12" s="586"/>
      <c r="N12" s="585"/>
      <c r="O12" s="588"/>
      <c r="P12" s="584"/>
      <c r="Q12" s="585"/>
      <c r="R12" s="586"/>
      <c r="S12" s="589"/>
      <c r="T12" s="585"/>
      <c r="U12" s="586"/>
      <c r="V12" s="589"/>
      <c r="W12" s="585"/>
      <c r="X12" s="586"/>
      <c r="Y12" s="589"/>
      <c r="Z12" s="590"/>
      <c r="AA12" s="589"/>
      <c r="AB12" s="589"/>
      <c r="AC12" s="584"/>
      <c r="AD12" s="561"/>
      <c r="AE12" s="561"/>
      <c r="AF12" s="561"/>
      <c r="AG12" s="561"/>
      <c r="AH12" s="561"/>
      <c r="AI12" s="561"/>
      <c r="AJ12" s="561"/>
      <c r="AK12" s="561"/>
      <c r="AL12" s="561"/>
      <c r="AM12" s="561"/>
      <c r="AN12" s="561"/>
      <c r="AO12" s="561"/>
      <c r="AP12" s="561"/>
      <c r="AQ12" s="561"/>
      <c r="AR12" s="561"/>
      <c r="AS12" s="561"/>
      <c r="AT12" s="561"/>
      <c r="AU12" s="561"/>
      <c r="AV12" s="561"/>
      <c r="AW12" s="561"/>
    </row>
    <row r="13" ht="15.75" hidden="1" customHeight="1">
      <c r="B13" s="349"/>
      <c r="C13" s="350"/>
      <c r="D13" s="584"/>
      <c r="E13" s="585"/>
      <c r="F13" s="586"/>
      <c r="G13" s="584"/>
      <c r="H13" s="584"/>
      <c r="I13" s="587"/>
      <c r="J13" s="586"/>
      <c r="K13" s="584"/>
      <c r="L13" s="585"/>
      <c r="M13" s="586"/>
      <c r="N13" s="585"/>
      <c r="O13" s="588"/>
      <c r="P13" s="584"/>
      <c r="Q13" s="585"/>
      <c r="R13" s="586"/>
      <c r="S13" s="589"/>
      <c r="T13" s="585"/>
      <c r="U13" s="586"/>
      <c r="V13" s="589"/>
      <c r="W13" s="585"/>
      <c r="X13" s="586"/>
      <c r="Y13" s="589"/>
      <c r="Z13" s="590"/>
      <c r="AA13" s="589"/>
      <c r="AB13" s="589"/>
      <c r="AC13" s="584"/>
      <c r="AD13" s="561"/>
      <c r="AE13" s="561"/>
      <c r="AF13" s="561"/>
      <c r="AG13" s="561"/>
      <c r="AH13" s="561"/>
      <c r="AI13" s="561"/>
      <c r="AJ13" s="561"/>
      <c r="AK13" s="561"/>
      <c r="AL13" s="561"/>
      <c r="AM13" s="561"/>
      <c r="AN13" s="561"/>
      <c r="AO13" s="561"/>
      <c r="AP13" s="561"/>
      <c r="AQ13" s="561"/>
      <c r="AR13" s="561"/>
      <c r="AS13" s="561"/>
      <c r="AT13" s="561"/>
      <c r="AU13" s="561"/>
      <c r="AV13" s="561"/>
      <c r="AW13" s="561"/>
    </row>
    <row r="14" ht="15.75" hidden="1" customHeight="1">
      <c r="B14" s="361"/>
      <c r="C14" s="362"/>
      <c r="D14" s="591"/>
      <c r="E14" s="592"/>
      <c r="F14" s="593"/>
      <c r="G14" s="591"/>
      <c r="H14" s="591"/>
      <c r="I14" s="594"/>
      <c r="J14" s="593"/>
      <c r="K14" s="591"/>
      <c r="L14" s="592"/>
      <c r="M14" s="593"/>
      <c r="N14" s="592"/>
      <c r="O14" s="595"/>
      <c r="P14" s="591"/>
      <c r="Q14" s="592"/>
      <c r="R14" s="593"/>
      <c r="S14" s="596"/>
      <c r="T14" s="592"/>
      <c r="U14" s="593"/>
      <c r="V14" s="596"/>
      <c r="W14" s="592"/>
      <c r="X14" s="593"/>
      <c r="Y14" s="596"/>
      <c r="Z14" s="597"/>
      <c r="AA14" s="596"/>
      <c r="AB14" s="596"/>
      <c r="AC14" s="598"/>
      <c r="AD14" s="561"/>
      <c r="AE14" s="561"/>
      <c r="AF14" s="561"/>
      <c r="AG14" s="561"/>
      <c r="AH14" s="561"/>
      <c r="AI14" s="561"/>
      <c r="AJ14" s="561"/>
      <c r="AK14" s="561"/>
      <c r="AL14" s="561"/>
      <c r="AM14" s="561"/>
      <c r="AN14" s="561"/>
      <c r="AO14" s="561"/>
      <c r="AP14" s="561"/>
      <c r="AQ14" s="561"/>
      <c r="AR14" s="561"/>
      <c r="AS14" s="561"/>
      <c r="AT14" s="561"/>
      <c r="AU14" s="561"/>
      <c r="AV14" s="561"/>
      <c r="AW14" s="561"/>
    </row>
    <row r="15" ht="15.75" customHeight="1">
      <c r="B15" s="371" t="s">
        <v>220</v>
      </c>
      <c r="C15" s="372"/>
      <c r="D15" s="373">
        <f t="shared" ref="D15:E15" si="3">SUM(D16:D19)</f>
        <v>450294.32</v>
      </c>
      <c r="E15" s="377">
        <f t="shared" si="3"/>
        <v>0</v>
      </c>
      <c r="F15" s="378"/>
      <c r="G15" s="373">
        <f t="shared" ref="G15:I15" si="4">SUM(G16:G19)</f>
        <v>566983.75</v>
      </c>
      <c r="H15" s="373">
        <f t="shared" si="4"/>
        <v>356841</v>
      </c>
      <c r="I15" s="375">
        <f t="shared" si="4"/>
        <v>0</v>
      </c>
      <c r="J15" s="378"/>
      <c r="K15" s="373">
        <f t="shared" ref="K15:L15" si="5">SUM(K16:K19)</f>
        <v>669135.28</v>
      </c>
      <c r="L15" s="377">
        <f t="shared" si="5"/>
        <v>0</v>
      </c>
      <c r="M15" s="378"/>
      <c r="N15" s="377"/>
      <c r="O15" s="599"/>
      <c r="P15" s="373">
        <f t="shared" ref="P15:Q15" si="6">SUM(P16:P19)</f>
        <v>638872</v>
      </c>
      <c r="Q15" s="380">
        <f t="shared" si="6"/>
        <v>0</v>
      </c>
      <c r="R15" s="378"/>
      <c r="S15" s="600">
        <f t="shared" ref="S15:T15" si="7">SUM(S16:S19)</f>
        <v>549775.35</v>
      </c>
      <c r="T15" s="377">
        <f t="shared" si="7"/>
        <v>0</v>
      </c>
      <c r="U15" s="378"/>
      <c r="V15" s="600">
        <f t="shared" ref="V15:W15" si="8">SUM(V16:V19)</f>
        <v>826772.79</v>
      </c>
      <c r="W15" s="377">
        <f t="shared" si="8"/>
        <v>0</v>
      </c>
      <c r="X15" s="378"/>
      <c r="Y15" s="600">
        <f t="shared" ref="Y15:AC15" si="9">SUM(Y16:Y19)</f>
        <v>813256.33</v>
      </c>
      <c r="Z15" s="601">
        <f t="shared" si="9"/>
        <v>1276355.84</v>
      </c>
      <c r="AA15" s="600">
        <f t="shared" si="9"/>
        <v>1754440.17</v>
      </c>
      <c r="AB15" s="600">
        <f t="shared" si="9"/>
        <v>839649.5</v>
      </c>
      <c r="AC15" s="373">
        <f t="shared" si="9"/>
        <v>1521875.4</v>
      </c>
      <c r="AD15" s="602">
        <f>D15+G15+H15+K15+P15+S15+V15+Y15+Z15+AA15+AB15+AC15</f>
        <v>10264251.73</v>
      </c>
      <c r="AE15" s="128"/>
      <c r="AF15" s="128"/>
      <c r="AG15" s="128"/>
      <c r="AH15" s="128"/>
      <c r="AI15" s="128"/>
      <c r="AJ15" s="128"/>
      <c r="AK15" s="128"/>
      <c r="AL15" s="128"/>
      <c r="AM15" s="128"/>
      <c r="AN15" s="128"/>
      <c r="AO15" s="128"/>
      <c r="AP15" s="128"/>
      <c r="AQ15" s="128"/>
      <c r="AR15" s="128"/>
      <c r="AS15" s="128"/>
      <c r="AT15" s="128"/>
      <c r="AU15" s="128"/>
      <c r="AV15" s="128"/>
      <c r="AW15" s="128"/>
    </row>
    <row r="16" ht="15.75" customHeight="1">
      <c r="B16" s="382" t="s">
        <v>24</v>
      </c>
      <c r="C16" s="350" t="s">
        <v>222</v>
      </c>
      <c r="D16" s="351">
        <f>24715+246352.92+162740.8</f>
        <v>433808.72</v>
      </c>
      <c r="E16" s="357"/>
      <c r="F16" s="358"/>
      <c r="G16" s="351">
        <f>74515+247033+222865</f>
        <v>544413</v>
      </c>
      <c r="H16" s="351">
        <f>33580+41980+254349</f>
        <v>329909</v>
      </c>
      <c r="I16" s="353"/>
      <c r="J16" s="358"/>
      <c r="K16" s="351">
        <v>490931.0</v>
      </c>
      <c r="L16" s="357"/>
      <c r="M16" s="358"/>
      <c r="N16" s="357"/>
      <c r="O16" s="603"/>
      <c r="P16" s="351">
        <v>580283.0</v>
      </c>
      <c r="Q16" s="357"/>
      <c r="R16" s="358"/>
      <c r="S16" s="604">
        <f>26320+337605+160591</f>
        <v>524516</v>
      </c>
      <c r="T16" s="357"/>
      <c r="U16" s="358"/>
      <c r="V16" s="604">
        <f>92647.5+430581.77+212066</f>
        <v>735295.27</v>
      </c>
      <c r="W16" s="357"/>
      <c r="X16" s="358"/>
      <c r="Y16" s="604">
        <f>57135+380937+221730</f>
        <v>659802</v>
      </c>
      <c r="Z16" s="605">
        <f>62537.5+417154+264613</f>
        <v>744304.5</v>
      </c>
      <c r="AA16" s="604">
        <f>53720-4357.5+1450+364936+259823</f>
        <v>675571.5</v>
      </c>
      <c r="AB16" s="604">
        <f>29962.5+386434.6+246964</f>
        <v>663361.1</v>
      </c>
      <c r="AC16" s="351">
        <f>55450+1750+530114+467139</f>
        <v>1054453</v>
      </c>
      <c r="AD16" s="561"/>
      <c r="AE16" s="561"/>
      <c r="AF16" s="561"/>
      <c r="AG16" s="561"/>
      <c r="AH16" s="561"/>
      <c r="AI16" s="561"/>
      <c r="AJ16" s="561"/>
      <c r="AK16" s="561"/>
      <c r="AL16" s="561"/>
      <c r="AM16" s="561"/>
      <c r="AN16" s="561"/>
      <c r="AO16" s="561"/>
      <c r="AP16" s="561"/>
      <c r="AQ16" s="561"/>
      <c r="AR16" s="561"/>
      <c r="AS16" s="561"/>
      <c r="AT16" s="561"/>
      <c r="AU16" s="561"/>
      <c r="AV16" s="561"/>
      <c r="AW16" s="561"/>
    </row>
    <row r="17" ht="15.75" customHeight="1">
      <c r="B17" s="393"/>
      <c r="C17" s="350" t="s">
        <v>297</v>
      </c>
      <c r="D17" s="396">
        <v>0.0</v>
      </c>
      <c r="E17" s="357"/>
      <c r="F17" s="358"/>
      <c r="G17" s="351">
        <v>2756.0</v>
      </c>
      <c r="H17" s="351">
        <v>11429.0</v>
      </c>
      <c r="I17" s="353"/>
      <c r="J17" s="358"/>
      <c r="K17" s="351">
        <v>154574.0</v>
      </c>
      <c r="L17" s="357"/>
      <c r="M17" s="358"/>
      <c r="N17" s="357"/>
      <c r="O17" s="603"/>
      <c r="P17" s="351">
        <v>31429.0</v>
      </c>
      <c r="Q17" s="357"/>
      <c r="R17" s="358"/>
      <c r="S17" s="604">
        <v>0.0</v>
      </c>
      <c r="T17" s="357"/>
      <c r="U17" s="358"/>
      <c r="V17" s="604">
        <v>56205.0</v>
      </c>
      <c r="W17" s="357"/>
      <c r="X17" s="358"/>
      <c r="Y17" s="604">
        <v>121453.0</v>
      </c>
      <c r="Z17" s="605">
        <v>496504.0</v>
      </c>
      <c r="AA17" s="604">
        <f>45849+1000000</f>
        <v>1045849</v>
      </c>
      <c r="AB17" s="604">
        <v>143671.0</v>
      </c>
      <c r="AC17" s="351">
        <v>416590.0</v>
      </c>
      <c r="AD17" s="561"/>
      <c r="AE17" s="561"/>
      <c r="AF17" s="561"/>
      <c r="AG17" s="561"/>
      <c r="AH17" s="561"/>
      <c r="AI17" s="561"/>
      <c r="AJ17" s="561"/>
      <c r="AK17" s="561"/>
      <c r="AL17" s="561"/>
      <c r="AM17" s="561"/>
      <c r="AN17" s="561"/>
      <c r="AO17" s="561"/>
      <c r="AP17" s="561"/>
      <c r="AQ17" s="561"/>
      <c r="AR17" s="561"/>
      <c r="AS17" s="561"/>
      <c r="AT17" s="561"/>
      <c r="AU17" s="561"/>
      <c r="AV17" s="561"/>
      <c r="AW17" s="561"/>
    </row>
    <row r="18" ht="15.75" customHeight="1">
      <c r="B18" s="393"/>
      <c r="C18" s="350" t="s">
        <v>225</v>
      </c>
      <c r="D18" s="351">
        <f>567.75+643</f>
        <v>1210.75</v>
      </c>
      <c r="E18" s="357"/>
      <c r="F18" s="358"/>
      <c r="G18" s="606">
        <v>1000.0</v>
      </c>
      <c r="H18" s="351">
        <f>1278+322</f>
        <v>1600</v>
      </c>
      <c r="I18" s="353"/>
      <c r="J18" s="358"/>
      <c r="K18" s="351">
        <v>1155.28</v>
      </c>
      <c r="L18" s="357"/>
      <c r="M18" s="358"/>
      <c r="N18" s="357"/>
      <c r="O18" s="603"/>
      <c r="P18" s="351">
        <v>2712.0</v>
      </c>
      <c r="Q18" s="357"/>
      <c r="R18" s="358"/>
      <c r="S18" s="604">
        <v>1277.0</v>
      </c>
      <c r="T18" s="357"/>
      <c r="U18" s="358"/>
      <c r="V18" s="604">
        <f>3482.25+1032.14</f>
        <v>4514.39</v>
      </c>
      <c r="W18" s="357"/>
      <c r="X18" s="358"/>
      <c r="Y18" s="604">
        <f>2469.5+300.26</f>
        <v>2769.76</v>
      </c>
      <c r="Z18" s="605">
        <v>3052.38</v>
      </c>
      <c r="AA18" s="604">
        <v>2468.13</v>
      </c>
      <c r="AB18" s="604">
        <f>1027.75+391.38</f>
        <v>1419.13</v>
      </c>
      <c r="AC18" s="351">
        <f>2407.75+364.75</f>
        <v>2772.5</v>
      </c>
      <c r="AD18" s="561"/>
      <c r="AE18" s="561"/>
      <c r="AF18" s="561"/>
      <c r="AG18" s="561"/>
      <c r="AH18" s="561"/>
      <c r="AI18" s="561"/>
      <c r="AJ18" s="561"/>
      <c r="AK18" s="561"/>
      <c r="AL18" s="561"/>
      <c r="AM18" s="561"/>
      <c r="AN18" s="561"/>
      <c r="AO18" s="561"/>
      <c r="AP18" s="561"/>
      <c r="AQ18" s="561"/>
      <c r="AR18" s="561"/>
      <c r="AS18" s="561"/>
      <c r="AT18" s="561"/>
      <c r="AU18" s="561"/>
      <c r="AV18" s="561"/>
      <c r="AW18" s="561"/>
    </row>
    <row r="19" ht="15.75" customHeight="1">
      <c r="B19" s="607"/>
      <c r="C19" s="350" t="s">
        <v>226</v>
      </c>
      <c r="D19" s="351">
        <f>8137.1+7137.75</f>
        <v>15274.85</v>
      </c>
      <c r="E19" s="357"/>
      <c r="F19" s="358"/>
      <c r="G19" s="396">
        <v>18814.75</v>
      </c>
      <c r="H19" s="351">
        <f>12718+1185</f>
        <v>13903</v>
      </c>
      <c r="I19" s="353"/>
      <c r="J19" s="358"/>
      <c r="K19" s="351">
        <v>22475.0</v>
      </c>
      <c r="L19" s="357"/>
      <c r="M19" s="358"/>
      <c r="N19" s="357"/>
      <c r="O19" s="603"/>
      <c r="P19" s="351">
        <v>24448.0</v>
      </c>
      <c r="Q19" s="357"/>
      <c r="R19" s="358"/>
      <c r="S19" s="604">
        <v>23982.35</v>
      </c>
      <c r="T19" s="357"/>
      <c r="U19" s="358"/>
      <c r="V19" s="604">
        <f>20154.75+10603.38</f>
        <v>30758.13</v>
      </c>
      <c r="W19" s="357"/>
      <c r="X19" s="358"/>
      <c r="Y19" s="604">
        <f>18155.5+11076.07</f>
        <v>29231.57</v>
      </c>
      <c r="Z19" s="605">
        <v>32494.96</v>
      </c>
      <c r="AA19" s="604">
        <v>30551.54</v>
      </c>
      <c r="AB19" s="604">
        <f>18864+12334.27</f>
        <v>31198.27</v>
      </c>
      <c r="AC19" s="351">
        <f>24731+23328.9</f>
        <v>48059.9</v>
      </c>
      <c r="AD19" s="561"/>
      <c r="AE19" s="561"/>
      <c r="AF19" s="561"/>
      <c r="AG19" s="561"/>
      <c r="AH19" s="561"/>
      <c r="AI19" s="561"/>
      <c r="AJ19" s="561"/>
      <c r="AK19" s="561"/>
      <c r="AL19" s="561"/>
      <c r="AM19" s="561"/>
      <c r="AN19" s="561"/>
      <c r="AO19" s="561"/>
      <c r="AP19" s="561"/>
      <c r="AQ19" s="561"/>
      <c r="AR19" s="561"/>
      <c r="AS19" s="561"/>
      <c r="AT19" s="561"/>
      <c r="AU19" s="561"/>
      <c r="AV19" s="561"/>
      <c r="AW19" s="561"/>
    </row>
    <row r="20" ht="15.75" customHeight="1">
      <c r="B20" s="393"/>
      <c r="C20" s="608"/>
      <c r="D20" s="351"/>
      <c r="E20" s="357"/>
      <c r="F20" s="358"/>
      <c r="G20" s="351"/>
      <c r="H20" s="351"/>
      <c r="I20" s="353"/>
      <c r="J20" s="358"/>
      <c r="K20" s="351"/>
      <c r="L20" s="357"/>
      <c r="M20" s="358"/>
      <c r="N20" s="357"/>
      <c r="O20" s="603"/>
      <c r="P20" s="351"/>
      <c r="Q20" s="357"/>
      <c r="R20" s="358"/>
      <c r="S20" s="604"/>
      <c r="T20" s="357"/>
      <c r="U20" s="358"/>
      <c r="V20" s="604"/>
      <c r="W20" s="357"/>
      <c r="X20" s="358"/>
      <c r="Y20" s="604"/>
      <c r="Z20" s="605"/>
      <c r="AA20" s="604"/>
      <c r="AB20" s="604"/>
      <c r="AC20" s="351"/>
      <c r="AD20" s="561"/>
      <c r="AE20" s="561"/>
      <c r="AF20" s="561"/>
      <c r="AG20" s="561"/>
      <c r="AH20" s="561"/>
      <c r="AI20" s="561"/>
      <c r="AJ20" s="561"/>
      <c r="AK20" s="561"/>
      <c r="AL20" s="561"/>
      <c r="AM20" s="561"/>
      <c r="AN20" s="561"/>
      <c r="AO20" s="561"/>
      <c r="AP20" s="561"/>
      <c r="AQ20" s="561"/>
      <c r="AR20" s="561"/>
      <c r="AS20" s="561"/>
      <c r="AT20" s="561"/>
      <c r="AU20" s="561"/>
      <c r="AV20" s="561"/>
      <c r="AW20" s="561"/>
    </row>
    <row r="21" ht="15.75" customHeight="1">
      <c r="B21" s="349"/>
      <c r="C21" s="608"/>
      <c r="D21" s="351"/>
      <c r="E21" s="357"/>
      <c r="F21" s="358"/>
      <c r="G21" s="351"/>
      <c r="H21" s="351"/>
      <c r="I21" s="353"/>
      <c r="J21" s="358"/>
      <c r="K21" s="351"/>
      <c r="L21" s="357"/>
      <c r="M21" s="358"/>
      <c r="N21" s="357"/>
      <c r="O21" s="603"/>
      <c r="P21" s="351"/>
      <c r="Q21" s="357"/>
      <c r="R21" s="358"/>
      <c r="S21" s="604"/>
      <c r="T21" s="357"/>
      <c r="U21" s="358"/>
      <c r="V21" s="604"/>
      <c r="W21" s="357"/>
      <c r="X21" s="358"/>
      <c r="Y21" s="604"/>
      <c r="Z21" s="605"/>
      <c r="AA21" s="604"/>
      <c r="AB21" s="604"/>
      <c r="AC21" s="351"/>
      <c r="AD21" s="561"/>
      <c r="AE21" s="561"/>
      <c r="AF21" s="561"/>
      <c r="AG21" s="561"/>
      <c r="AH21" s="561"/>
      <c r="AI21" s="561"/>
      <c r="AJ21" s="561"/>
      <c r="AK21" s="561"/>
      <c r="AL21" s="561"/>
      <c r="AM21" s="561"/>
      <c r="AN21" s="561"/>
      <c r="AO21" s="561"/>
      <c r="AP21" s="561"/>
      <c r="AQ21" s="561"/>
      <c r="AR21" s="561"/>
      <c r="AS21" s="561"/>
      <c r="AT21" s="561"/>
      <c r="AU21" s="561"/>
      <c r="AV21" s="561"/>
      <c r="AW21" s="561"/>
    </row>
    <row r="22" ht="15.75" customHeight="1">
      <c r="B22" s="349" t="s">
        <v>22</v>
      </c>
      <c r="C22" s="608" t="s">
        <v>22</v>
      </c>
      <c r="D22" s="351">
        <v>0.0</v>
      </c>
      <c r="E22" s="357">
        <v>0.0</v>
      </c>
      <c r="F22" s="358"/>
      <c r="G22" s="351">
        <v>0.0</v>
      </c>
      <c r="H22" s="351">
        <v>0.0</v>
      </c>
      <c r="I22" s="353">
        <v>0.0</v>
      </c>
      <c r="J22" s="358"/>
      <c r="K22" s="351">
        <v>0.0</v>
      </c>
      <c r="L22" s="357">
        <v>0.0</v>
      </c>
      <c r="M22" s="358"/>
      <c r="N22" s="357"/>
      <c r="O22" s="603"/>
      <c r="P22" s="351">
        <v>0.0</v>
      </c>
      <c r="Q22" s="357">
        <v>0.0</v>
      </c>
      <c r="R22" s="358"/>
      <c r="S22" s="604">
        <v>0.0</v>
      </c>
      <c r="T22" s="357">
        <v>0.0</v>
      </c>
      <c r="U22" s="358"/>
      <c r="V22" s="604">
        <v>0.0</v>
      </c>
      <c r="W22" s="357">
        <v>0.0</v>
      </c>
      <c r="X22" s="358"/>
      <c r="Y22" s="604">
        <v>0.0</v>
      </c>
      <c r="Z22" s="605">
        <v>0.0</v>
      </c>
      <c r="AA22" s="604">
        <v>0.0</v>
      </c>
      <c r="AB22" s="604">
        <v>0.0</v>
      </c>
      <c r="AC22" s="351">
        <v>0.0</v>
      </c>
      <c r="AD22" s="561"/>
      <c r="AE22" s="561"/>
      <c r="AF22" s="561"/>
      <c r="AG22" s="561"/>
      <c r="AH22" s="561"/>
      <c r="AI22" s="561"/>
      <c r="AJ22" s="561"/>
      <c r="AK22" s="561"/>
      <c r="AL22" s="561"/>
      <c r="AM22" s="561"/>
      <c r="AN22" s="561"/>
      <c r="AO22" s="561"/>
      <c r="AP22" s="561"/>
      <c r="AQ22" s="561"/>
      <c r="AR22" s="561"/>
      <c r="AS22" s="561"/>
      <c r="AT22" s="561"/>
      <c r="AU22" s="561"/>
      <c r="AV22" s="561"/>
      <c r="AW22" s="561"/>
    </row>
    <row r="23" ht="15.75" customHeight="1">
      <c r="B23" s="349" t="s">
        <v>23</v>
      </c>
      <c r="C23" s="608" t="s">
        <v>23</v>
      </c>
      <c r="D23" s="351">
        <v>0.0</v>
      </c>
      <c r="E23" s="357">
        <v>0.0</v>
      </c>
      <c r="F23" s="358"/>
      <c r="G23" s="351">
        <v>0.0</v>
      </c>
      <c r="H23" s="351">
        <v>0.0</v>
      </c>
      <c r="I23" s="353">
        <v>0.0</v>
      </c>
      <c r="J23" s="358"/>
      <c r="K23" s="351">
        <v>0.0</v>
      </c>
      <c r="L23" s="357">
        <v>0.0</v>
      </c>
      <c r="M23" s="358"/>
      <c r="N23" s="357"/>
      <c r="O23" s="603"/>
      <c r="P23" s="351">
        <v>0.0</v>
      </c>
      <c r="Q23" s="357">
        <v>0.0</v>
      </c>
      <c r="R23" s="358"/>
      <c r="S23" s="604">
        <v>0.0</v>
      </c>
      <c r="T23" s="357">
        <v>0.0</v>
      </c>
      <c r="U23" s="358"/>
      <c r="V23" s="604">
        <v>0.0</v>
      </c>
      <c r="W23" s="357">
        <v>0.0</v>
      </c>
      <c r="X23" s="358"/>
      <c r="Y23" s="604">
        <v>0.0</v>
      </c>
      <c r="Z23" s="605">
        <v>0.0</v>
      </c>
      <c r="AA23" s="604">
        <v>0.0</v>
      </c>
      <c r="AB23" s="604">
        <v>0.0</v>
      </c>
      <c r="AC23" s="351">
        <v>0.0</v>
      </c>
      <c r="AD23" s="561"/>
      <c r="AE23" s="561"/>
      <c r="AF23" s="561"/>
      <c r="AG23" s="561"/>
      <c r="AH23" s="561"/>
      <c r="AI23" s="561"/>
      <c r="AJ23" s="561"/>
      <c r="AK23" s="561"/>
      <c r="AL23" s="561"/>
      <c r="AM23" s="561"/>
      <c r="AN23" s="561"/>
      <c r="AO23" s="561"/>
      <c r="AP23" s="561"/>
      <c r="AQ23" s="561"/>
      <c r="AR23" s="561"/>
      <c r="AS23" s="561"/>
      <c r="AT23" s="561"/>
      <c r="AU23" s="561"/>
      <c r="AV23" s="561"/>
      <c r="AW23" s="561"/>
    </row>
    <row r="24" ht="15.75" customHeight="1">
      <c r="B24" s="349" t="s">
        <v>24</v>
      </c>
      <c r="C24" s="608" t="s">
        <v>230</v>
      </c>
      <c r="D24" s="398">
        <f t="shared" ref="D24:E24" si="10">SUM(D16:D19)</f>
        <v>450294.32</v>
      </c>
      <c r="E24" s="400">
        <f t="shared" si="10"/>
        <v>0</v>
      </c>
      <c r="F24" s="358"/>
      <c r="G24" s="398">
        <f t="shared" ref="G24:I24" si="11">SUM(G16:G19)</f>
        <v>566983.75</v>
      </c>
      <c r="H24" s="398">
        <f t="shared" si="11"/>
        <v>356841</v>
      </c>
      <c r="I24" s="399">
        <f t="shared" si="11"/>
        <v>0</v>
      </c>
      <c r="J24" s="358"/>
      <c r="K24" s="398">
        <f t="shared" ref="K24:L24" si="12">SUM(K16:K19)</f>
        <v>669135.28</v>
      </c>
      <c r="L24" s="400">
        <f t="shared" si="12"/>
        <v>0</v>
      </c>
      <c r="M24" s="358"/>
      <c r="N24" s="400"/>
      <c r="O24" s="603"/>
      <c r="P24" s="398">
        <f t="shared" ref="P24:Q24" si="13">SUM(P16:P19)</f>
        <v>638872</v>
      </c>
      <c r="Q24" s="400">
        <f t="shared" si="13"/>
        <v>0</v>
      </c>
      <c r="R24" s="358"/>
      <c r="S24" s="609">
        <f t="shared" ref="S24:T24" si="14">SUM(S16:S19)</f>
        <v>549775.35</v>
      </c>
      <c r="T24" s="400">
        <f t="shared" si="14"/>
        <v>0</v>
      </c>
      <c r="U24" s="358"/>
      <c r="V24" s="609">
        <f t="shared" ref="V24:W24" si="15">SUM(V16:V19)</f>
        <v>826772.79</v>
      </c>
      <c r="W24" s="400">
        <f t="shared" si="15"/>
        <v>0</v>
      </c>
      <c r="X24" s="358"/>
      <c r="Y24" s="609">
        <f t="shared" ref="Y24:AC24" si="16">SUM(Y16:Y19)</f>
        <v>813256.33</v>
      </c>
      <c r="Z24" s="610">
        <f t="shared" si="16"/>
        <v>1276355.84</v>
      </c>
      <c r="AA24" s="609">
        <f t="shared" si="16"/>
        <v>1754440.17</v>
      </c>
      <c r="AB24" s="609">
        <f t="shared" si="16"/>
        <v>839649.5</v>
      </c>
      <c r="AC24" s="398">
        <f t="shared" si="16"/>
        <v>1521875.4</v>
      </c>
      <c r="AD24" s="561"/>
      <c r="AE24" s="561"/>
      <c r="AF24" s="561"/>
      <c r="AG24" s="561"/>
      <c r="AH24" s="561"/>
      <c r="AI24" s="561"/>
      <c r="AJ24" s="561"/>
      <c r="AK24" s="561"/>
      <c r="AL24" s="561"/>
      <c r="AM24" s="561"/>
      <c r="AN24" s="561"/>
      <c r="AO24" s="561"/>
      <c r="AP24" s="561"/>
      <c r="AQ24" s="561"/>
      <c r="AR24" s="561"/>
      <c r="AS24" s="561"/>
      <c r="AT24" s="561"/>
      <c r="AU24" s="561"/>
      <c r="AV24" s="561"/>
      <c r="AW24" s="561"/>
    </row>
    <row r="25" ht="15.75" customHeight="1">
      <c r="B25" s="393"/>
      <c r="C25" s="608"/>
      <c r="D25" s="351"/>
      <c r="E25" s="352"/>
      <c r="F25" s="358"/>
      <c r="G25" s="351"/>
      <c r="H25" s="351"/>
      <c r="I25" s="353"/>
      <c r="J25" s="358"/>
      <c r="K25" s="351"/>
      <c r="L25" s="352"/>
      <c r="M25" s="358"/>
      <c r="N25" s="352"/>
      <c r="O25" s="603"/>
      <c r="P25" s="351"/>
      <c r="Q25" s="352"/>
      <c r="R25" s="358"/>
      <c r="S25" s="349"/>
      <c r="T25" s="352"/>
      <c r="U25" s="358"/>
      <c r="V25" s="349"/>
      <c r="W25" s="352"/>
      <c r="X25" s="358"/>
      <c r="Y25" s="349"/>
      <c r="Z25" s="499"/>
      <c r="AA25" s="349"/>
      <c r="AB25" s="349"/>
      <c r="AC25" s="351"/>
      <c r="AD25" s="561"/>
      <c r="AE25" s="561"/>
      <c r="AF25" s="561"/>
      <c r="AG25" s="561"/>
      <c r="AH25" s="561"/>
      <c r="AI25" s="561"/>
      <c r="AJ25" s="561"/>
      <c r="AK25" s="561"/>
      <c r="AL25" s="561"/>
      <c r="AM25" s="561"/>
      <c r="AN25" s="561"/>
      <c r="AO25" s="561"/>
      <c r="AP25" s="561"/>
      <c r="AQ25" s="561"/>
      <c r="AR25" s="561"/>
      <c r="AS25" s="561"/>
      <c r="AT25" s="561"/>
      <c r="AU25" s="561"/>
      <c r="AV25" s="561"/>
      <c r="AW25" s="561"/>
    </row>
    <row r="26" ht="15.75" customHeight="1">
      <c r="B26" s="403"/>
      <c r="C26" s="611" t="s">
        <v>231</v>
      </c>
      <c r="D26" s="363"/>
      <c r="E26" s="364"/>
      <c r="F26" s="368"/>
      <c r="G26" s="363"/>
      <c r="H26" s="363"/>
      <c r="I26" s="365"/>
      <c r="J26" s="368"/>
      <c r="K26" s="363"/>
      <c r="L26" s="364"/>
      <c r="M26" s="368"/>
      <c r="N26" s="364"/>
      <c r="O26" s="612"/>
      <c r="P26" s="363"/>
      <c r="Q26" s="364"/>
      <c r="R26" s="368"/>
      <c r="S26" s="361"/>
      <c r="T26" s="364"/>
      <c r="U26" s="368"/>
      <c r="V26" s="361"/>
      <c r="W26" s="364"/>
      <c r="X26" s="368"/>
      <c r="Y26" s="361"/>
      <c r="Z26" s="613"/>
      <c r="AA26" s="361"/>
      <c r="AB26" s="361"/>
      <c r="AC26" s="506"/>
      <c r="AD26" s="561"/>
      <c r="AE26" s="561"/>
      <c r="AF26" s="561"/>
      <c r="AG26" s="561"/>
      <c r="AH26" s="561"/>
      <c r="AI26" s="561"/>
      <c r="AJ26" s="561"/>
      <c r="AK26" s="561"/>
      <c r="AL26" s="561"/>
      <c r="AM26" s="561"/>
      <c r="AN26" s="561"/>
      <c r="AO26" s="561"/>
      <c r="AP26" s="561"/>
      <c r="AQ26" s="561"/>
      <c r="AR26" s="561"/>
      <c r="AS26" s="561"/>
      <c r="AT26" s="561"/>
      <c r="AU26" s="561"/>
      <c r="AV26" s="561"/>
      <c r="AW26" s="561"/>
    </row>
    <row r="27" ht="15.75" customHeight="1">
      <c r="B27" s="407"/>
      <c r="C27" s="372" t="s">
        <v>232</v>
      </c>
      <c r="D27" s="373">
        <f t="shared" ref="D27:E27" si="17">D22+D23+D24+D26</f>
        <v>450294.32</v>
      </c>
      <c r="E27" s="377">
        <f t="shared" si="17"/>
        <v>0</v>
      </c>
      <c r="F27" s="378"/>
      <c r="G27" s="373">
        <f t="shared" ref="G27:I27" si="18">G22+G23+G24+G26</f>
        <v>566983.75</v>
      </c>
      <c r="H27" s="373">
        <f t="shared" si="18"/>
        <v>356841</v>
      </c>
      <c r="I27" s="375">
        <f t="shared" si="18"/>
        <v>0</v>
      </c>
      <c r="J27" s="378"/>
      <c r="K27" s="373">
        <f t="shared" ref="K27:L27" si="19">K22+K23+K24+K26</f>
        <v>669135.28</v>
      </c>
      <c r="L27" s="377">
        <f t="shared" si="19"/>
        <v>0</v>
      </c>
      <c r="M27" s="378"/>
      <c r="N27" s="377"/>
      <c r="O27" s="599"/>
      <c r="P27" s="373">
        <f t="shared" ref="P27:Q27" si="20">P22+P23+P24+P26</f>
        <v>638872</v>
      </c>
      <c r="Q27" s="377">
        <f t="shared" si="20"/>
        <v>0</v>
      </c>
      <c r="R27" s="378"/>
      <c r="S27" s="600">
        <f t="shared" ref="S27:T27" si="21">S22+S23+S24+S26</f>
        <v>549775.35</v>
      </c>
      <c r="T27" s="377">
        <f t="shared" si="21"/>
        <v>0</v>
      </c>
      <c r="U27" s="378"/>
      <c r="V27" s="600">
        <f t="shared" ref="V27:W27" si="22">V22+V23+V24+V26</f>
        <v>826772.79</v>
      </c>
      <c r="W27" s="377">
        <f t="shared" si="22"/>
        <v>0</v>
      </c>
      <c r="X27" s="378"/>
      <c r="Y27" s="600">
        <f t="shared" ref="Y27:AC27" si="23">Y22+Y23+Y24+Y26</f>
        <v>813256.33</v>
      </c>
      <c r="Z27" s="601">
        <f t="shared" si="23"/>
        <v>1276355.84</v>
      </c>
      <c r="AA27" s="600">
        <f t="shared" si="23"/>
        <v>1754440.17</v>
      </c>
      <c r="AB27" s="600">
        <f t="shared" si="23"/>
        <v>839649.5</v>
      </c>
      <c r="AC27" s="373">
        <f t="shared" si="23"/>
        <v>1521875.4</v>
      </c>
      <c r="AD27" s="128"/>
      <c r="AE27" s="128"/>
      <c r="AF27" s="128"/>
      <c r="AG27" s="128"/>
      <c r="AH27" s="128"/>
      <c r="AI27" s="128"/>
      <c r="AJ27" s="128"/>
      <c r="AK27" s="128"/>
      <c r="AL27" s="128"/>
      <c r="AM27" s="128"/>
      <c r="AN27" s="128"/>
      <c r="AO27" s="128"/>
      <c r="AP27" s="128"/>
      <c r="AQ27" s="128"/>
      <c r="AR27" s="128"/>
      <c r="AS27" s="128"/>
      <c r="AT27" s="128"/>
      <c r="AU27" s="128"/>
      <c r="AV27" s="128"/>
      <c r="AW27" s="128"/>
    </row>
    <row r="28" ht="15.75" customHeight="1">
      <c r="B28" s="382" t="s">
        <v>298</v>
      </c>
      <c r="C28" s="383"/>
      <c r="D28" s="384"/>
      <c r="E28" s="440"/>
      <c r="F28" s="389"/>
      <c r="G28" s="384"/>
      <c r="H28" s="384"/>
      <c r="I28" s="386"/>
      <c r="J28" s="389"/>
      <c r="K28" s="384"/>
      <c r="L28" s="440"/>
      <c r="M28" s="389"/>
      <c r="N28" s="440"/>
      <c r="O28" s="614"/>
      <c r="P28" s="384"/>
      <c r="Q28" s="440"/>
      <c r="R28" s="389"/>
      <c r="S28" s="382"/>
      <c r="T28" s="440"/>
      <c r="U28" s="389"/>
      <c r="V28" s="382"/>
      <c r="W28" s="440"/>
      <c r="X28" s="389"/>
      <c r="Y28" s="382"/>
      <c r="Z28" s="615"/>
      <c r="AA28" s="382"/>
      <c r="AB28" s="382"/>
      <c r="AC28" s="491"/>
      <c r="AD28" s="561"/>
      <c r="AE28" s="561"/>
      <c r="AF28" s="561"/>
      <c r="AG28" s="561"/>
      <c r="AH28" s="561"/>
      <c r="AI28" s="561"/>
      <c r="AJ28" s="561"/>
      <c r="AK28" s="561"/>
      <c r="AL28" s="561"/>
      <c r="AM28" s="561"/>
      <c r="AN28" s="561"/>
      <c r="AO28" s="561"/>
      <c r="AP28" s="561"/>
      <c r="AQ28" s="561"/>
      <c r="AR28" s="561"/>
      <c r="AS28" s="561"/>
      <c r="AT28" s="561"/>
      <c r="AU28" s="561"/>
      <c r="AV28" s="561"/>
      <c r="AW28" s="561"/>
    </row>
    <row r="29" ht="15.75" customHeight="1">
      <c r="B29" s="349"/>
      <c r="C29" s="358"/>
      <c r="D29" s="351"/>
      <c r="E29" s="352"/>
      <c r="F29" s="358"/>
      <c r="G29" s="351"/>
      <c r="H29" s="351"/>
      <c r="I29" s="353"/>
      <c r="J29" s="358"/>
      <c r="K29" s="351"/>
      <c r="L29" s="352"/>
      <c r="M29" s="358"/>
      <c r="N29" s="352"/>
      <c r="O29" s="603"/>
      <c r="P29" s="351"/>
      <c r="Q29" s="352"/>
      <c r="R29" s="358"/>
      <c r="S29" s="349"/>
      <c r="T29" s="352"/>
      <c r="U29" s="358"/>
      <c r="V29" s="349"/>
      <c r="W29" s="352"/>
      <c r="X29" s="358"/>
      <c r="Y29" s="349"/>
      <c r="Z29" s="499"/>
      <c r="AA29" s="349"/>
      <c r="AB29" s="349"/>
      <c r="AC29" s="351"/>
      <c r="AD29" s="561"/>
      <c r="AE29" s="561"/>
      <c r="AF29" s="561"/>
      <c r="AG29" s="561"/>
      <c r="AH29" s="561"/>
      <c r="AI29" s="561"/>
      <c r="AJ29" s="561"/>
      <c r="AK29" s="561"/>
      <c r="AL29" s="561"/>
      <c r="AM29" s="561"/>
      <c r="AN29" s="561"/>
      <c r="AO29" s="561"/>
      <c r="AP29" s="561"/>
      <c r="AQ29" s="561"/>
      <c r="AR29" s="561"/>
      <c r="AS29" s="561"/>
      <c r="AT29" s="561"/>
      <c r="AU29" s="561"/>
      <c r="AV29" s="561"/>
      <c r="AW29" s="561"/>
    </row>
    <row r="30" ht="15.75" customHeight="1">
      <c r="B30" s="410" t="s">
        <v>233</v>
      </c>
      <c r="C30" s="616"/>
      <c r="D30" s="351"/>
      <c r="E30" s="352"/>
      <c r="F30" s="358"/>
      <c r="G30" s="351"/>
      <c r="H30" s="351"/>
      <c r="I30" s="353"/>
      <c r="J30" s="358"/>
      <c r="K30" s="351"/>
      <c r="L30" s="352"/>
      <c r="M30" s="358"/>
      <c r="N30" s="352"/>
      <c r="O30" s="603"/>
      <c r="P30" s="351"/>
      <c r="Q30" s="352"/>
      <c r="R30" s="358"/>
      <c r="S30" s="349"/>
      <c r="T30" s="352"/>
      <c r="U30" s="358"/>
      <c r="V30" s="349"/>
      <c r="W30" s="352"/>
      <c r="X30" s="358"/>
      <c r="Y30" s="349"/>
      <c r="Z30" s="499"/>
      <c r="AA30" s="349"/>
      <c r="AB30" s="349"/>
      <c r="AC30" s="351"/>
      <c r="AD30" s="561"/>
      <c r="AE30" s="561"/>
      <c r="AF30" s="561"/>
      <c r="AG30" s="561"/>
      <c r="AH30" s="561"/>
      <c r="AI30" s="561"/>
      <c r="AJ30" s="561"/>
      <c r="AK30" s="561"/>
      <c r="AL30" s="561"/>
      <c r="AM30" s="561"/>
      <c r="AN30" s="561"/>
      <c r="AO30" s="561"/>
      <c r="AP30" s="561"/>
      <c r="AQ30" s="561"/>
      <c r="AR30" s="561"/>
      <c r="AS30" s="561"/>
      <c r="AT30" s="561"/>
      <c r="AU30" s="561"/>
      <c r="AV30" s="561"/>
      <c r="AW30" s="561"/>
    </row>
    <row r="31" ht="15.75" customHeight="1">
      <c r="B31" s="349" t="s">
        <v>29</v>
      </c>
      <c r="C31" s="350"/>
      <c r="D31" s="351"/>
      <c r="E31" s="352"/>
      <c r="F31" s="358"/>
      <c r="G31" s="351"/>
      <c r="H31" s="351"/>
      <c r="I31" s="353"/>
      <c r="J31" s="358"/>
      <c r="K31" s="351"/>
      <c r="L31" s="352"/>
      <c r="M31" s="358"/>
      <c r="N31" s="352"/>
      <c r="O31" s="603"/>
      <c r="P31" s="351"/>
      <c r="Q31" s="352"/>
      <c r="R31" s="358"/>
      <c r="S31" s="349"/>
      <c r="T31" s="352"/>
      <c r="U31" s="358"/>
      <c r="V31" s="349"/>
      <c r="W31" s="352"/>
      <c r="X31" s="358"/>
      <c r="Y31" s="349"/>
      <c r="Z31" s="499"/>
      <c r="AA31" s="349"/>
      <c r="AB31" s="349"/>
      <c r="AC31" s="351"/>
      <c r="AD31" s="561"/>
      <c r="AE31" s="561"/>
      <c r="AF31" s="561"/>
      <c r="AG31" s="561"/>
      <c r="AH31" s="561"/>
      <c r="AI31" s="561"/>
      <c r="AJ31" s="561"/>
      <c r="AK31" s="561"/>
      <c r="AL31" s="561"/>
      <c r="AM31" s="561"/>
      <c r="AN31" s="561"/>
      <c r="AO31" s="561"/>
      <c r="AP31" s="561"/>
      <c r="AQ31" s="561"/>
      <c r="AR31" s="561"/>
      <c r="AS31" s="561"/>
      <c r="AT31" s="561"/>
      <c r="AU31" s="561"/>
      <c r="AV31" s="561"/>
      <c r="AW31" s="561"/>
    </row>
    <row r="32" ht="15.75" customHeight="1">
      <c r="B32" s="393"/>
      <c r="C32" s="411" t="s">
        <v>234</v>
      </c>
      <c r="D32" s="351"/>
      <c r="E32" s="352"/>
      <c r="F32" s="358"/>
      <c r="G32" s="351"/>
      <c r="H32" s="351"/>
      <c r="I32" s="353"/>
      <c r="J32" s="358"/>
      <c r="K32" s="351"/>
      <c r="L32" s="352"/>
      <c r="M32" s="358"/>
      <c r="N32" s="352"/>
      <c r="O32" s="603"/>
      <c r="P32" s="351"/>
      <c r="Q32" s="352"/>
      <c r="R32" s="358"/>
      <c r="S32" s="349"/>
      <c r="T32" s="352"/>
      <c r="U32" s="358"/>
      <c r="V32" s="349"/>
      <c r="W32" s="352"/>
      <c r="X32" s="358"/>
      <c r="Y32" s="349"/>
      <c r="Z32" s="499"/>
      <c r="AA32" s="349"/>
      <c r="AB32" s="349"/>
      <c r="AC32" s="351"/>
      <c r="AD32" s="561"/>
      <c r="AE32" s="561"/>
      <c r="AF32" s="561"/>
      <c r="AG32" s="561"/>
      <c r="AH32" s="561"/>
      <c r="AI32" s="561"/>
      <c r="AJ32" s="561"/>
      <c r="AK32" s="561"/>
      <c r="AL32" s="561"/>
      <c r="AM32" s="561"/>
      <c r="AN32" s="561"/>
      <c r="AO32" s="561"/>
      <c r="AP32" s="561"/>
      <c r="AQ32" s="561"/>
      <c r="AR32" s="561"/>
      <c r="AS32" s="561"/>
      <c r="AT32" s="561"/>
      <c r="AU32" s="561"/>
      <c r="AV32" s="561"/>
      <c r="AW32" s="561"/>
    </row>
    <row r="33" ht="15.75" customHeight="1">
      <c r="B33" s="393"/>
      <c r="C33" s="608" t="s">
        <v>235</v>
      </c>
      <c r="D33" s="351"/>
      <c r="E33" s="352"/>
      <c r="F33" s="358"/>
      <c r="G33" s="351"/>
      <c r="H33" s="617"/>
      <c r="I33" s="353"/>
      <c r="J33" s="358"/>
      <c r="K33" s="617"/>
      <c r="L33" s="352"/>
      <c r="M33" s="358"/>
      <c r="N33" s="357"/>
      <c r="O33" s="603"/>
      <c r="P33" s="617"/>
      <c r="Q33" s="352"/>
      <c r="R33" s="358"/>
      <c r="S33" s="617"/>
      <c r="T33" s="352"/>
      <c r="U33" s="358"/>
      <c r="V33" s="349"/>
      <c r="W33" s="352"/>
      <c r="X33" s="358"/>
      <c r="Y33" s="349"/>
      <c r="Z33" s="499"/>
      <c r="AA33" s="349"/>
      <c r="AB33" s="349"/>
      <c r="AC33" s="351"/>
      <c r="AD33" s="561"/>
      <c r="AE33" s="561"/>
      <c r="AF33" s="561"/>
      <c r="AG33" s="561"/>
      <c r="AH33" s="561"/>
      <c r="AI33" s="561"/>
      <c r="AJ33" s="561"/>
      <c r="AK33" s="561"/>
      <c r="AL33" s="561"/>
      <c r="AM33" s="561"/>
      <c r="AN33" s="561"/>
      <c r="AO33" s="561"/>
      <c r="AP33" s="561"/>
      <c r="AQ33" s="561"/>
      <c r="AR33" s="561"/>
      <c r="AS33" s="561"/>
      <c r="AT33" s="561"/>
      <c r="AU33" s="561"/>
      <c r="AV33" s="561"/>
      <c r="AW33" s="561"/>
    </row>
    <row r="34" ht="15.75" customHeight="1">
      <c r="B34" s="393"/>
      <c r="C34" s="608" t="s">
        <v>301</v>
      </c>
      <c r="D34" s="351">
        <f>35%*D24</f>
        <v>157603.012</v>
      </c>
      <c r="E34" s="352"/>
      <c r="F34" s="358"/>
      <c r="G34" s="351">
        <f>35%*G24</f>
        <v>198444.3125</v>
      </c>
      <c r="H34" s="351">
        <v>143584.28</v>
      </c>
      <c r="I34" s="353"/>
      <c r="J34" s="358"/>
      <c r="K34" s="351">
        <v>234032.494997722</v>
      </c>
      <c r="L34" s="352"/>
      <c r="M34" s="358"/>
      <c r="N34" s="357"/>
      <c r="O34" s="603"/>
      <c r="P34" s="351">
        <v>214934.35</v>
      </c>
      <c r="Q34" s="352"/>
      <c r="R34" s="358"/>
      <c r="S34" s="604">
        <v>200955.18</v>
      </c>
      <c r="T34" s="352"/>
      <c r="U34" s="358"/>
      <c r="V34" s="604">
        <v>295001.7</v>
      </c>
      <c r="W34" s="352"/>
      <c r="X34" s="358"/>
      <c r="Y34" s="604">
        <v>311759.99</v>
      </c>
      <c r="Z34" s="618">
        <v>440175.0</v>
      </c>
      <c r="AA34" s="604">
        <v>374682.03</v>
      </c>
      <c r="AB34" s="604">
        <f>291981.22</f>
        <v>291981.22</v>
      </c>
      <c r="AC34" s="351">
        <v>456674.8470515819</v>
      </c>
      <c r="AD34" s="561"/>
      <c r="AE34" s="561"/>
      <c r="AF34" s="561"/>
      <c r="AG34" s="561"/>
      <c r="AH34" s="561"/>
      <c r="AI34" s="561"/>
      <c r="AJ34" s="561"/>
      <c r="AK34" s="561"/>
      <c r="AL34" s="561"/>
      <c r="AM34" s="561"/>
      <c r="AN34" s="561"/>
      <c r="AO34" s="561"/>
      <c r="AP34" s="561"/>
      <c r="AQ34" s="561"/>
      <c r="AR34" s="561"/>
      <c r="AS34" s="561"/>
      <c r="AT34" s="561"/>
      <c r="AU34" s="561"/>
      <c r="AV34" s="561"/>
      <c r="AW34" s="561"/>
    </row>
    <row r="35" ht="15.75" customHeight="1">
      <c r="B35" s="393"/>
      <c r="C35" s="608" t="s">
        <v>22</v>
      </c>
      <c r="D35" s="351"/>
      <c r="E35" s="352"/>
      <c r="F35" s="358"/>
      <c r="G35" s="351"/>
      <c r="H35" s="351"/>
      <c r="I35" s="353"/>
      <c r="J35" s="358"/>
      <c r="K35" s="351"/>
      <c r="L35" s="352"/>
      <c r="M35" s="358"/>
      <c r="N35" s="357"/>
      <c r="O35" s="603"/>
      <c r="P35" s="351"/>
      <c r="Q35" s="352"/>
      <c r="R35" s="358"/>
      <c r="S35" s="604"/>
      <c r="T35" s="352"/>
      <c r="U35" s="358"/>
      <c r="V35" s="604"/>
      <c r="W35" s="352"/>
      <c r="X35" s="358"/>
      <c r="Y35" s="604"/>
      <c r="Z35" s="605"/>
      <c r="AA35" s="604"/>
      <c r="AB35" s="604"/>
      <c r="AC35" s="351"/>
      <c r="AD35" s="561"/>
      <c r="AE35" s="561"/>
      <c r="AF35" s="561"/>
      <c r="AG35" s="561"/>
      <c r="AH35" s="561"/>
      <c r="AI35" s="561"/>
      <c r="AJ35" s="561"/>
      <c r="AK35" s="561"/>
      <c r="AL35" s="561"/>
      <c r="AM35" s="561"/>
      <c r="AN35" s="561"/>
      <c r="AO35" s="561"/>
      <c r="AP35" s="561"/>
      <c r="AQ35" s="561"/>
      <c r="AR35" s="561"/>
      <c r="AS35" s="561"/>
      <c r="AT35" s="561"/>
      <c r="AU35" s="561"/>
      <c r="AV35" s="561"/>
      <c r="AW35" s="561"/>
    </row>
    <row r="36" ht="15.75" customHeight="1">
      <c r="B36" s="393"/>
      <c r="C36" s="608" t="s">
        <v>23</v>
      </c>
      <c r="D36" s="351"/>
      <c r="E36" s="352"/>
      <c r="F36" s="358"/>
      <c r="G36" s="351"/>
      <c r="H36" s="351"/>
      <c r="I36" s="353"/>
      <c r="J36" s="358"/>
      <c r="K36" s="351"/>
      <c r="L36" s="352"/>
      <c r="M36" s="358"/>
      <c r="N36" s="357"/>
      <c r="O36" s="603"/>
      <c r="P36" s="351"/>
      <c r="Q36" s="352"/>
      <c r="R36" s="358"/>
      <c r="S36" s="604"/>
      <c r="T36" s="352"/>
      <c r="U36" s="358"/>
      <c r="V36" s="604"/>
      <c r="W36" s="352"/>
      <c r="X36" s="358"/>
      <c r="Y36" s="604"/>
      <c r="Z36" s="605"/>
      <c r="AA36" s="604"/>
      <c r="AB36" s="604"/>
      <c r="AC36" s="351"/>
      <c r="AD36" s="561"/>
      <c r="AE36" s="561"/>
      <c r="AF36" s="561"/>
      <c r="AG36" s="561"/>
      <c r="AH36" s="561"/>
      <c r="AI36" s="561"/>
      <c r="AJ36" s="561"/>
      <c r="AK36" s="561"/>
      <c r="AL36" s="561"/>
      <c r="AM36" s="561"/>
      <c r="AN36" s="561"/>
      <c r="AO36" s="561"/>
      <c r="AP36" s="561"/>
      <c r="AQ36" s="561"/>
      <c r="AR36" s="561"/>
      <c r="AS36" s="561"/>
      <c r="AT36" s="561"/>
      <c r="AU36" s="561"/>
      <c r="AV36" s="561"/>
      <c r="AW36" s="561"/>
    </row>
    <row r="37" ht="15.75" customHeight="1">
      <c r="B37" s="403"/>
      <c r="C37" s="362" t="s">
        <v>302</v>
      </c>
      <c r="D37" s="363">
        <f>'Calculation Sheet for GST on Pu'!C22</f>
        <v>15650.79937</v>
      </c>
      <c r="E37" s="364"/>
      <c r="F37" s="368"/>
      <c r="G37" s="363">
        <f>'Calculation Sheet for GST on Pu'!D22</f>
        <v>21155.73738</v>
      </c>
      <c r="H37" s="363">
        <f>'Calculation Sheet for GST on Pu'!E22</f>
        <v>17988.03131</v>
      </c>
      <c r="I37" s="365"/>
      <c r="J37" s="368"/>
      <c r="K37" s="363">
        <f>'Calculation Sheet for GST on Pu'!F22</f>
        <v>24150.7012</v>
      </c>
      <c r="L37" s="364"/>
      <c r="M37" s="368"/>
      <c r="N37" s="367"/>
      <c r="O37" s="612"/>
      <c r="P37" s="363">
        <f>'Calculation Sheet for GST on Pu'!G22</f>
        <v>20124.54592</v>
      </c>
      <c r="Q37" s="364"/>
      <c r="R37" s="368"/>
      <c r="S37" s="619">
        <f>'Calculation Sheet for GST on Pu'!H22</f>
        <v>17621.59319</v>
      </c>
      <c r="T37" s="364"/>
      <c r="U37" s="368"/>
      <c r="V37" s="619">
        <f>'Calculation Sheet for GST on Pu'!I22</f>
        <v>18383.46797</v>
      </c>
      <c r="W37" s="364"/>
      <c r="X37" s="368"/>
      <c r="Y37" s="619">
        <f>'Calculation Sheet for GST on Pu'!J22</f>
        <v>20095.77278</v>
      </c>
      <c r="Z37" s="619">
        <f>'Calculation Sheet for GST on Pu'!K22</f>
        <v>26959.91087</v>
      </c>
      <c r="AA37" s="619">
        <f>'Calculation Sheet for GST on Pu'!L22</f>
        <v>19956.79963</v>
      </c>
      <c r="AB37" s="619">
        <f>'Calculation Sheet for GST on Pu'!M22</f>
        <v>19080.39819</v>
      </c>
      <c r="AC37" s="506">
        <f>'Calculation Sheet for GST on Pu'!N22</f>
        <v>22969.21498</v>
      </c>
      <c r="AD37" s="561"/>
      <c r="AE37" s="561"/>
      <c r="AF37" s="561"/>
      <c r="AG37" s="561"/>
      <c r="AH37" s="561"/>
      <c r="AI37" s="561"/>
      <c r="AJ37" s="561"/>
      <c r="AK37" s="561"/>
      <c r="AL37" s="561"/>
      <c r="AM37" s="561"/>
      <c r="AN37" s="561"/>
      <c r="AO37" s="561"/>
      <c r="AP37" s="561"/>
      <c r="AQ37" s="561"/>
      <c r="AR37" s="561"/>
      <c r="AS37" s="561"/>
      <c r="AT37" s="561"/>
      <c r="AU37" s="561"/>
      <c r="AV37" s="561"/>
      <c r="AW37" s="561"/>
    </row>
    <row r="38" ht="15.75" customHeight="1">
      <c r="B38" s="407"/>
      <c r="C38" s="372" t="s">
        <v>238</v>
      </c>
      <c r="D38" s="373">
        <f t="shared" ref="D38:E38" si="24">SUM(D33:D37)</f>
        <v>173253.8114</v>
      </c>
      <c r="E38" s="408">
        <f t="shared" si="24"/>
        <v>0</v>
      </c>
      <c r="F38" s="378"/>
      <c r="G38" s="373">
        <f t="shared" ref="G38:I38" si="25">SUM(G33:G37)</f>
        <v>219600.0499</v>
      </c>
      <c r="H38" s="373">
        <f t="shared" si="25"/>
        <v>161572.3113</v>
      </c>
      <c r="I38" s="375">
        <f t="shared" si="25"/>
        <v>0</v>
      </c>
      <c r="J38" s="378"/>
      <c r="K38" s="373">
        <f t="shared" ref="K38:L38" si="26">SUM(K33:K37)</f>
        <v>258183.1962</v>
      </c>
      <c r="L38" s="408">
        <f t="shared" si="26"/>
        <v>0</v>
      </c>
      <c r="M38" s="378"/>
      <c r="N38" s="377"/>
      <c r="O38" s="599"/>
      <c r="P38" s="373">
        <f t="shared" ref="P38:Q38" si="27">SUM(P33:P37)</f>
        <v>235058.8959</v>
      </c>
      <c r="Q38" s="408">
        <f t="shared" si="27"/>
        <v>0</v>
      </c>
      <c r="R38" s="378"/>
      <c r="S38" s="600">
        <f t="shared" ref="S38:T38" si="28">SUM(S33:S37)</f>
        <v>218576.7732</v>
      </c>
      <c r="T38" s="408">
        <f t="shared" si="28"/>
        <v>0</v>
      </c>
      <c r="U38" s="378"/>
      <c r="V38" s="600">
        <f t="shared" ref="V38:W38" si="29">SUM(V33:V37)</f>
        <v>313385.168</v>
      </c>
      <c r="W38" s="408">
        <f t="shared" si="29"/>
        <v>0</v>
      </c>
      <c r="X38" s="378"/>
      <c r="Y38" s="600">
        <f t="shared" ref="Y38:AC38" si="30">SUM(Y33:Y37)</f>
        <v>331855.7628</v>
      </c>
      <c r="Z38" s="601">
        <f t="shared" si="30"/>
        <v>467134.9109</v>
      </c>
      <c r="AA38" s="600">
        <f t="shared" si="30"/>
        <v>394638.8296</v>
      </c>
      <c r="AB38" s="600">
        <f t="shared" si="30"/>
        <v>311061.6182</v>
      </c>
      <c r="AC38" s="373">
        <f t="shared" si="30"/>
        <v>479644.062</v>
      </c>
      <c r="AD38" s="602">
        <f t="shared" ref="AD38:AD41" si="31">D38+G38+H38+K38+P38+S38+V38+Y38+Z38+AA38+AB38+AC38</f>
        <v>3563965.389</v>
      </c>
      <c r="AE38" s="128"/>
      <c r="AF38" s="128"/>
      <c r="AG38" s="128"/>
      <c r="AH38" s="128"/>
      <c r="AI38" s="128"/>
      <c r="AJ38" s="128"/>
      <c r="AK38" s="128"/>
      <c r="AL38" s="128"/>
      <c r="AM38" s="128"/>
      <c r="AN38" s="128"/>
      <c r="AO38" s="128"/>
      <c r="AP38" s="128"/>
      <c r="AQ38" s="128"/>
      <c r="AR38" s="128"/>
      <c r="AS38" s="128"/>
      <c r="AT38" s="128"/>
      <c r="AU38" s="128"/>
      <c r="AV38" s="128"/>
      <c r="AW38" s="128"/>
    </row>
    <row r="39" ht="15.75" customHeight="1">
      <c r="B39" s="415"/>
      <c r="C39" s="416" t="s">
        <v>239</v>
      </c>
      <c r="D39" s="417">
        <v>8852.5</v>
      </c>
      <c r="E39" s="421"/>
      <c r="F39" s="422"/>
      <c r="G39" s="417">
        <v>13275.0</v>
      </c>
      <c r="H39" s="417">
        <v>5600.0</v>
      </c>
      <c r="I39" s="419"/>
      <c r="J39" s="422"/>
      <c r="K39" s="417">
        <v>23560.0</v>
      </c>
      <c r="L39" s="421"/>
      <c r="M39" s="422"/>
      <c r="N39" s="478"/>
      <c r="O39" s="620"/>
      <c r="P39" s="417">
        <v>16362.0</v>
      </c>
      <c r="Q39" s="421"/>
      <c r="R39" s="422"/>
      <c r="S39" s="477">
        <v>11915.0</v>
      </c>
      <c r="T39" s="421"/>
      <c r="U39" s="422"/>
      <c r="V39" s="477">
        <v>32820.0</v>
      </c>
      <c r="W39" s="421"/>
      <c r="X39" s="422"/>
      <c r="Y39" s="477">
        <v>15695.0</v>
      </c>
      <c r="Z39" s="621">
        <v>0.0</v>
      </c>
      <c r="AA39" s="622">
        <v>14432.0</v>
      </c>
      <c r="AB39" s="623">
        <v>22402.5</v>
      </c>
      <c r="AC39" s="624">
        <v>34430.0</v>
      </c>
      <c r="AD39" s="602">
        <f t="shared" si="31"/>
        <v>199344</v>
      </c>
      <c r="AE39" s="561"/>
      <c r="AF39" s="561"/>
      <c r="AG39" s="561"/>
      <c r="AH39" s="561"/>
      <c r="AI39" s="561"/>
      <c r="AJ39" s="561"/>
      <c r="AK39" s="561"/>
      <c r="AL39" s="561"/>
      <c r="AM39" s="561"/>
      <c r="AN39" s="561"/>
      <c r="AO39" s="561"/>
      <c r="AP39" s="561"/>
      <c r="AQ39" s="561"/>
      <c r="AR39" s="561"/>
      <c r="AS39" s="561"/>
      <c r="AT39" s="561"/>
      <c r="AU39" s="561"/>
      <c r="AV39" s="561"/>
      <c r="AW39" s="561"/>
    </row>
    <row r="40" ht="15.75" customHeight="1">
      <c r="B40" s="407"/>
      <c r="C40" s="372" t="s">
        <v>240</v>
      </c>
      <c r="D40" s="373">
        <f t="shared" ref="D40:E40" si="32">D38+D39</f>
        <v>182106.3114</v>
      </c>
      <c r="E40" s="408">
        <f t="shared" si="32"/>
        <v>0</v>
      </c>
      <c r="F40" s="378"/>
      <c r="G40" s="373">
        <f t="shared" ref="G40:I40" si="33">G38+G39</f>
        <v>232875.0499</v>
      </c>
      <c r="H40" s="373">
        <f t="shared" si="33"/>
        <v>167172.3113</v>
      </c>
      <c r="I40" s="375">
        <f t="shared" si="33"/>
        <v>0</v>
      </c>
      <c r="J40" s="378"/>
      <c r="K40" s="373">
        <f t="shared" ref="K40:L40" si="34">K38+K39</f>
        <v>281743.1962</v>
      </c>
      <c r="L40" s="408">
        <f t="shared" si="34"/>
        <v>0</v>
      </c>
      <c r="M40" s="378"/>
      <c r="N40" s="377"/>
      <c r="O40" s="599"/>
      <c r="P40" s="373">
        <f t="shared" ref="P40:Q40" si="35">P38+P39</f>
        <v>251420.8959</v>
      </c>
      <c r="Q40" s="408">
        <f t="shared" si="35"/>
        <v>0</v>
      </c>
      <c r="R40" s="378"/>
      <c r="S40" s="600">
        <f t="shared" ref="S40:T40" si="36">S38+S39</f>
        <v>230491.7732</v>
      </c>
      <c r="T40" s="408">
        <f t="shared" si="36"/>
        <v>0</v>
      </c>
      <c r="U40" s="378"/>
      <c r="V40" s="600">
        <f t="shared" ref="V40:W40" si="37">V38+V39</f>
        <v>346205.168</v>
      </c>
      <c r="W40" s="408">
        <f t="shared" si="37"/>
        <v>0</v>
      </c>
      <c r="X40" s="378"/>
      <c r="Y40" s="600">
        <f t="shared" ref="Y40:AC40" si="38">Y38+Y39</f>
        <v>347550.7628</v>
      </c>
      <c r="Z40" s="601">
        <f t="shared" si="38"/>
        <v>467134.9109</v>
      </c>
      <c r="AA40" s="600">
        <f t="shared" si="38"/>
        <v>409070.8296</v>
      </c>
      <c r="AB40" s="600">
        <f t="shared" si="38"/>
        <v>333464.1182</v>
      </c>
      <c r="AC40" s="373">
        <f t="shared" si="38"/>
        <v>514074.062</v>
      </c>
      <c r="AD40" s="602">
        <f t="shared" si="31"/>
        <v>3763309.389</v>
      </c>
      <c r="AE40" s="602">
        <f>AD15-AD40</f>
        <v>6500942.341</v>
      </c>
      <c r="AF40" s="128"/>
      <c r="AG40" s="128"/>
      <c r="AH40" s="128"/>
      <c r="AI40" s="128"/>
      <c r="AJ40" s="128"/>
      <c r="AK40" s="128"/>
      <c r="AL40" s="128"/>
      <c r="AM40" s="128"/>
      <c r="AN40" s="128"/>
      <c r="AO40" s="128"/>
      <c r="AP40" s="128"/>
      <c r="AQ40" s="128"/>
      <c r="AR40" s="128"/>
      <c r="AS40" s="128"/>
      <c r="AT40" s="128"/>
      <c r="AU40" s="128"/>
      <c r="AV40" s="128"/>
      <c r="AW40" s="128"/>
    </row>
    <row r="41" ht="15.75" customHeight="1">
      <c r="B41" s="625" t="s">
        <v>33</v>
      </c>
      <c r="C41" s="626" t="s">
        <v>33</v>
      </c>
      <c r="D41" s="373">
        <f>D27-D40</f>
        <v>268188.0086</v>
      </c>
      <c r="E41" s="377" t="str">
        <f>E27-E40-#REF!</f>
        <v>#REF!</v>
      </c>
      <c r="F41" s="379" t="str">
        <f>E41/E$27</f>
        <v>#REF!</v>
      </c>
      <c r="G41" s="373">
        <f t="shared" ref="G41:I41" si="39">G27-G40</f>
        <v>334108.7001</v>
      </c>
      <c r="H41" s="373">
        <f t="shared" si="39"/>
        <v>189668.6887</v>
      </c>
      <c r="I41" s="375">
        <f t="shared" si="39"/>
        <v>0</v>
      </c>
      <c r="J41" s="378"/>
      <c r="K41" s="373">
        <f t="shared" ref="K41:L41" si="40">K27-K40</f>
        <v>387392.0838</v>
      </c>
      <c r="L41" s="377">
        <f t="shared" si="40"/>
        <v>0</v>
      </c>
      <c r="M41" s="378"/>
      <c r="N41" s="377"/>
      <c r="O41" s="599"/>
      <c r="P41" s="373">
        <f t="shared" ref="P41:Q41" si="41">P27-P40</f>
        <v>387451.1041</v>
      </c>
      <c r="Q41" s="377">
        <f t="shared" si="41"/>
        <v>0</v>
      </c>
      <c r="R41" s="378"/>
      <c r="S41" s="600">
        <f t="shared" ref="S41:T41" si="42">S27-S40</f>
        <v>319283.5768</v>
      </c>
      <c r="T41" s="377">
        <f t="shared" si="42"/>
        <v>0</v>
      </c>
      <c r="U41" s="378"/>
      <c r="V41" s="600">
        <f t="shared" ref="V41:W41" si="43">V27-V40</f>
        <v>480567.622</v>
      </c>
      <c r="W41" s="377">
        <f t="shared" si="43"/>
        <v>0</v>
      </c>
      <c r="X41" s="378"/>
      <c r="Y41" s="600">
        <f t="shared" ref="Y41:AC41" si="44">Y27-Y40</f>
        <v>465705.5672</v>
      </c>
      <c r="Z41" s="601">
        <f t="shared" si="44"/>
        <v>809220.9291</v>
      </c>
      <c r="AA41" s="600">
        <f t="shared" si="44"/>
        <v>1345369.34</v>
      </c>
      <c r="AB41" s="600">
        <f t="shared" si="44"/>
        <v>506185.3818</v>
      </c>
      <c r="AC41" s="373">
        <f t="shared" si="44"/>
        <v>1007801.338</v>
      </c>
      <c r="AD41" s="602">
        <f t="shared" si="31"/>
        <v>6500942.341</v>
      </c>
      <c r="AE41" s="124">
        <f>AD41-AE40</f>
        <v>-0.0000000009313225746</v>
      </c>
      <c r="AF41" s="561"/>
      <c r="AG41" s="561"/>
      <c r="AH41" s="561"/>
      <c r="AI41" s="561"/>
      <c r="AJ41" s="561"/>
      <c r="AK41" s="561"/>
      <c r="AL41" s="561"/>
      <c r="AM41" s="561"/>
      <c r="AN41" s="561"/>
      <c r="AO41" s="561"/>
      <c r="AP41" s="561"/>
      <c r="AQ41" s="561"/>
      <c r="AR41" s="561"/>
      <c r="AS41" s="561"/>
      <c r="AT41" s="561"/>
      <c r="AU41" s="561"/>
      <c r="AV41" s="561"/>
      <c r="AW41" s="561"/>
    </row>
    <row r="42" ht="15.75" customHeight="1">
      <c r="B42" s="444"/>
      <c r="C42" s="383"/>
      <c r="D42" s="384"/>
      <c r="E42" s="440"/>
      <c r="F42" s="389"/>
      <c r="G42" s="384"/>
      <c r="H42" s="384"/>
      <c r="I42" s="386"/>
      <c r="J42" s="389"/>
      <c r="K42" s="384"/>
      <c r="L42" s="440"/>
      <c r="M42" s="389"/>
      <c r="N42" s="440"/>
      <c r="O42" s="614"/>
      <c r="P42" s="384"/>
      <c r="Q42" s="440"/>
      <c r="R42" s="389"/>
      <c r="S42" s="382"/>
      <c r="T42" s="440"/>
      <c r="U42" s="389"/>
      <c r="V42" s="382"/>
      <c r="W42" s="440"/>
      <c r="X42" s="389"/>
      <c r="Y42" s="382"/>
      <c r="Z42" s="615"/>
      <c r="AA42" s="382"/>
      <c r="AB42" s="382"/>
      <c r="AC42" s="491"/>
      <c r="AD42" s="561"/>
      <c r="AE42" s="561"/>
      <c r="AF42" s="561"/>
      <c r="AG42" s="561"/>
      <c r="AH42" s="561"/>
      <c r="AI42" s="561"/>
      <c r="AJ42" s="561"/>
      <c r="AK42" s="561"/>
      <c r="AL42" s="561"/>
      <c r="AM42" s="561"/>
      <c r="AN42" s="561"/>
      <c r="AO42" s="561"/>
      <c r="AP42" s="561"/>
      <c r="AQ42" s="561"/>
      <c r="AR42" s="561"/>
      <c r="AS42" s="561"/>
      <c r="AT42" s="561"/>
      <c r="AU42" s="561"/>
      <c r="AV42" s="561"/>
      <c r="AW42" s="561"/>
    </row>
    <row r="43" ht="15.75" customHeight="1">
      <c r="B43" s="393"/>
      <c r="C43" s="627" t="s">
        <v>241</v>
      </c>
      <c r="D43" s="351"/>
      <c r="E43" s="352"/>
      <c r="F43" s="358"/>
      <c r="G43" s="351"/>
      <c r="H43" s="351"/>
      <c r="I43" s="353"/>
      <c r="J43" s="358"/>
      <c r="K43" s="351"/>
      <c r="L43" s="352"/>
      <c r="M43" s="358"/>
      <c r="N43" s="352"/>
      <c r="O43" s="603"/>
      <c r="P43" s="351"/>
      <c r="Q43" s="352"/>
      <c r="R43" s="358"/>
      <c r="S43" s="349"/>
      <c r="T43" s="352"/>
      <c r="U43" s="358"/>
      <c r="V43" s="349"/>
      <c r="W43" s="352"/>
      <c r="X43" s="358"/>
      <c r="Y43" s="349"/>
      <c r="Z43" s="499"/>
      <c r="AA43" s="349"/>
      <c r="AB43" s="349"/>
      <c r="AC43" s="351"/>
      <c r="AD43" s="561"/>
      <c r="AE43" s="561"/>
      <c r="AF43" s="561"/>
      <c r="AG43" s="561"/>
      <c r="AH43" s="561"/>
      <c r="AI43" s="561"/>
      <c r="AJ43" s="561"/>
      <c r="AK43" s="561"/>
      <c r="AL43" s="561"/>
      <c r="AM43" s="561"/>
      <c r="AN43" s="561"/>
      <c r="AO43" s="561"/>
      <c r="AP43" s="561"/>
      <c r="AQ43" s="561"/>
      <c r="AR43" s="561"/>
      <c r="AS43" s="561"/>
      <c r="AT43" s="561"/>
      <c r="AU43" s="561"/>
      <c r="AV43" s="561"/>
      <c r="AW43" s="561"/>
    </row>
    <row r="44" ht="15.75" customHeight="1">
      <c r="B44" s="393"/>
      <c r="C44" s="350" t="s">
        <v>242</v>
      </c>
      <c r="D44" s="351">
        <v>748.0</v>
      </c>
      <c r="E44" s="352"/>
      <c r="F44" s="358"/>
      <c r="G44" s="351">
        <v>2168.0</v>
      </c>
      <c r="H44" s="351">
        <v>1406.0</v>
      </c>
      <c r="I44" s="353"/>
      <c r="J44" s="358"/>
      <c r="K44" s="351">
        <v>3008.0</v>
      </c>
      <c r="L44" s="352"/>
      <c r="M44" s="358"/>
      <c r="N44" s="357"/>
      <c r="O44" s="603"/>
      <c r="P44" s="351">
        <v>3126.0</v>
      </c>
      <c r="Q44" s="352"/>
      <c r="R44" s="358"/>
      <c r="S44" s="604">
        <v>2934.0</v>
      </c>
      <c r="T44" s="352"/>
      <c r="U44" s="358"/>
      <c r="V44" s="604">
        <v>4384.0</v>
      </c>
      <c r="W44" s="352"/>
      <c r="X44" s="358"/>
      <c r="Y44" s="604">
        <v>5374.0</v>
      </c>
      <c r="Z44" s="618">
        <v>0.0</v>
      </c>
      <c r="AA44" s="628">
        <v>5105.0</v>
      </c>
      <c r="AB44" s="628">
        <v>3010.0</v>
      </c>
      <c r="AC44" s="396">
        <v>2993.34</v>
      </c>
      <c r="AD44" s="561"/>
      <c r="AE44" s="561"/>
      <c r="AF44" s="561"/>
      <c r="AG44" s="561"/>
      <c r="AH44" s="561"/>
      <c r="AI44" s="561"/>
      <c r="AJ44" s="561"/>
      <c r="AK44" s="561"/>
      <c r="AL44" s="561"/>
      <c r="AM44" s="561"/>
      <c r="AN44" s="561"/>
      <c r="AO44" s="561"/>
      <c r="AP44" s="561"/>
      <c r="AQ44" s="561"/>
      <c r="AR44" s="561"/>
      <c r="AS44" s="561"/>
      <c r="AT44" s="561"/>
      <c r="AU44" s="561"/>
      <c r="AV44" s="561"/>
      <c r="AW44" s="561"/>
    </row>
    <row r="45" ht="15.75" customHeight="1">
      <c r="B45" s="393"/>
      <c r="C45" s="350" t="s">
        <v>243</v>
      </c>
      <c r="D45" s="351">
        <v>11616.96</v>
      </c>
      <c r="E45" s="352"/>
      <c r="F45" s="358"/>
      <c r="G45" s="351">
        <v>10078.0</v>
      </c>
      <c r="H45" s="351">
        <v>9933.0</v>
      </c>
      <c r="I45" s="353"/>
      <c r="J45" s="358"/>
      <c r="K45" s="351">
        <v>10959.0</v>
      </c>
      <c r="L45" s="352"/>
      <c r="M45" s="358"/>
      <c r="N45" s="357"/>
      <c r="O45" s="603"/>
      <c r="P45" s="351">
        <v>10729.0</v>
      </c>
      <c r="Q45" s="352"/>
      <c r="R45" s="358"/>
      <c r="S45" s="604">
        <v>10383.04</v>
      </c>
      <c r="T45" s="352"/>
      <c r="U45" s="358"/>
      <c r="V45" s="604">
        <v>11799.0</v>
      </c>
      <c r="W45" s="352"/>
      <c r="X45" s="358"/>
      <c r="Y45" s="604">
        <v>13068.0</v>
      </c>
      <c r="Z45" s="618">
        <v>16872.44</v>
      </c>
      <c r="AA45" s="628">
        <v>19355.4</v>
      </c>
      <c r="AB45" s="628">
        <v>14591.0</v>
      </c>
      <c r="AC45" s="396">
        <v>19511.1</v>
      </c>
      <c r="AD45" s="561"/>
      <c r="AE45" s="561"/>
      <c r="AF45" s="561"/>
      <c r="AG45" s="561"/>
      <c r="AH45" s="561"/>
      <c r="AI45" s="561"/>
      <c r="AJ45" s="561"/>
      <c r="AK45" s="561"/>
      <c r="AL45" s="561"/>
      <c r="AM45" s="561"/>
      <c r="AN45" s="561"/>
      <c r="AO45" s="561"/>
      <c r="AP45" s="561"/>
      <c r="AQ45" s="561"/>
      <c r="AR45" s="561"/>
      <c r="AS45" s="561"/>
      <c r="AT45" s="561"/>
      <c r="AU45" s="561"/>
      <c r="AV45" s="561"/>
      <c r="AW45" s="561"/>
    </row>
    <row r="46" ht="15.75" customHeight="1">
      <c r="B46" s="393"/>
      <c r="C46" s="350" t="s">
        <v>244</v>
      </c>
      <c r="D46" s="351">
        <v>2121.0</v>
      </c>
      <c r="E46" s="352"/>
      <c r="F46" s="358"/>
      <c r="G46" s="351">
        <v>1644.0</v>
      </c>
      <c r="H46" s="351">
        <v>4046.0</v>
      </c>
      <c r="I46" s="353"/>
      <c r="J46" s="358"/>
      <c r="K46" s="351">
        <v>983.0</v>
      </c>
      <c r="L46" s="352"/>
      <c r="M46" s="358"/>
      <c r="N46" s="357"/>
      <c r="O46" s="603"/>
      <c r="P46" s="351">
        <v>250.0</v>
      </c>
      <c r="Q46" s="352"/>
      <c r="R46" s="358"/>
      <c r="S46" s="349">
        <v>1810.0</v>
      </c>
      <c r="T46" s="352"/>
      <c r="U46" s="358"/>
      <c r="V46" s="349">
        <v>1825.0</v>
      </c>
      <c r="W46" s="352"/>
      <c r="X46" s="358"/>
      <c r="Y46" s="349">
        <v>3295.0</v>
      </c>
      <c r="Z46" s="629">
        <v>0.0</v>
      </c>
      <c r="AA46" s="630">
        <v>4352.0</v>
      </c>
      <c r="AB46" s="349"/>
      <c r="AC46" s="351"/>
      <c r="AD46" s="561"/>
      <c r="AE46" s="561"/>
      <c r="AF46" s="561"/>
      <c r="AG46" s="561"/>
      <c r="AH46" s="561"/>
      <c r="AI46" s="561"/>
      <c r="AJ46" s="561"/>
      <c r="AK46" s="561"/>
      <c r="AL46" s="561"/>
      <c r="AM46" s="561"/>
      <c r="AN46" s="561"/>
      <c r="AO46" s="561"/>
      <c r="AP46" s="561"/>
      <c r="AQ46" s="561"/>
      <c r="AR46" s="561"/>
      <c r="AS46" s="561"/>
      <c r="AT46" s="561"/>
      <c r="AU46" s="561"/>
      <c r="AV46" s="561"/>
      <c r="AW46" s="561"/>
    </row>
    <row r="47" ht="15.75" customHeight="1">
      <c r="B47" s="393"/>
      <c r="C47" s="350" t="s">
        <v>303</v>
      </c>
      <c r="D47" s="351">
        <v>7680.0</v>
      </c>
      <c r="E47" s="352"/>
      <c r="F47" s="358"/>
      <c r="G47" s="351">
        <v>3854.0</v>
      </c>
      <c r="H47" s="351">
        <v>595.0</v>
      </c>
      <c r="I47" s="353"/>
      <c r="J47" s="358"/>
      <c r="K47" s="351">
        <v>88.0</v>
      </c>
      <c r="L47" s="352"/>
      <c r="M47" s="358"/>
      <c r="N47" s="357"/>
      <c r="O47" s="603"/>
      <c r="P47" s="351">
        <v>6997.0</v>
      </c>
      <c r="Q47" s="352"/>
      <c r="R47" s="358"/>
      <c r="S47" s="604">
        <v>5050.0</v>
      </c>
      <c r="T47" s="352"/>
      <c r="U47" s="358"/>
      <c r="V47" s="604">
        <v>3616.0</v>
      </c>
      <c r="W47" s="352"/>
      <c r="X47" s="358"/>
      <c r="Y47" s="604">
        <v>698.0</v>
      </c>
      <c r="Z47" s="618">
        <v>0.0</v>
      </c>
      <c r="AA47" s="628">
        <v>10069.0</v>
      </c>
      <c r="AB47" s="628">
        <v>616.0</v>
      </c>
      <c r="AC47" s="396">
        <v>1956.0</v>
      </c>
      <c r="AD47" s="561"/>
      <c r="AE47" s="561"/>
      <c r="AF47" s="561"/>
      <c r="AG47" s="561"/>
      <c r="AH47" s="561"/>
      <c r="AI47" s="561"/>
      <c r="AJ47" s="561"/>
      <c r="AK47" s="561"/>
      <c r="AL47" s="561"/>
      <c r="AM47" s="561"/>
      <c r="AN47" s="561"/>
      <c r="AO47" s="561"/>
      <c r="AP47" s="561"/>
      <c r="AQ47" s="561"/>
      <c r="AR47" s="561"/>
      <c r="AS47" s="561"/>
      <c r="AT47" s="561"/>
      <c r="AU47" s="561"/>
      <c r="AV47" s="561"/>
      <c r="AW47" s="561"/>
    </row>
    <row r="48" ht="15.75" customHeight="1">
      <c r="B48" s="393"/>
      <c r="C48" s="350" t="s">
        <v>246</v>
      </c>
      <c r="D48" s="351"/>
      <c r="E48" s="352"/>
      <c r="F48" s="358"/>
      <c r="G48" s="351"/>
      <c r="H48" s="351">
        <v>0.0</v>
      </c>
      <c r="I48" s="353"/>
      <c r="J48" s="358"/>
      <c r="K48" s="351">
        <v>0.0</v>
      </c>
      <c r="L48" s="352"/>
      <c r="M48" s="358"/>
      <c r="N48" s="357"/>
      <c r="O48" s="603"/>
      <c r="P48" s="351">
        <v>0.0</v>
      </c>
      <c r="Q48" s="352"/>
      <c r="R48" s="358"/>
      <c r="S48" s="349"/>
      <c r="T48" s="352"/>
      <c r="U48" s="358"/>
      <c r="V48" s="349">
        <v>0.0</v>
      </c>
      <c r="W48" s="352"/>
      <c r="X48" s="358"/>
      <c r="Y48" s="349"/>
      <c r="Z48" s="629">
        <v>0.0</v>
      </c>
      <c r="AA48" s="349"/>
      <c r="AB48" s="630">
        <v>3565.0</v>
      </c>
      <c r="AC48" s="396">
        <v>5751.0</v>
      </c>
      <c r="AD48" s="561"/>
      <c r="AE48" s="561"/>
      <c r="AF48" s="561"/>
      <c r="AG48" s="561"/>
      <c r="AH48" s="561"/>
      <c r="AI48" s="561"/>
      <c r="AJ48" s="561"/>
      <c r="AK48" s="561"/>
      <c r="AL48" s="561"/>
      <c r="AM48" s="561"/>
      <c r="AN48" s="561"/>
      <c r="AO48" s="561"/>
      <c r="AP48" s="561"/>
      <c r="AQ48" s="561"/>
      <c r="AR48" s="561"/>
      <c r="AS48" s="561"/>
      <c r="AT48" s="561"/>
      <c r="AU48" s="561"/>
      <c r="AV48" s="561"/>
      <c r="AW48" s="561"/>
    </row>
    <row r="49" ht="15.75" customHeight="1">
      <c r="B49" s="393"/>
      <c r="C49" s="350" t="s">
        <v>247</v>
      </c>
      <c r="D49" s="351">
        <v>72.0</v>
      </c>
      <c r="E49" s="352"/>
      <c r="F49" s="358"/>
      <c r="G49" s="351">
        <v>24.0</v>
      </c>
      <c r="H49" s="351">
        <v>0.0</v>
      </c>
      <c r="I49" s="353"/>
      <c r="J49" s="358"/>
      <c r="K49" s="351">
        <v>0.0</v>
      </c>
      <c r="L49" s="352"/>
      <c r="M49" s="358"/>
      <c r="N49" s="357"/>
      <c r="O49" s="603"/>
      <c r="P49" s="351">
        <v>0.0</v>
      </c>
      <c r="Q49" s="352"/>
      <c r="R49" s="358"/>
      <c r="S49" s="349"/>
      <c r="T49" s="352"/>
      <c r="U49" s="358"/>
      <c r="V49" s="349">
        <v>3000.0</v>
      </c>
      <c r="W49" s="352"/>
      <c r="X49" s="358"/>
      <c r="Y49" s="349"/>
      <c r="Z49" s="499"/>
      <c r="AA49" s="349"/>
      <c r="AB49" s="349"/>
      <c r="AC49" s="351"/>
      <c r="AD49" s="561"/>
      <c r="AE49" s="561"/>
      <c r="AF49" s="561"/>
      <c r="AG49" s="561"/>
      <c r="AH49" s="561"/>
      <c r="AI49" s="561"/>
      <c r="AJ49" s="561"/>
      <c r="AK49" s="561"/>
      <c r="AL49" s="561"/>
      <c r="AM49" s="561"/>
      <c r="AN49" s="561"/>
      <c r="AO49" s="561"/>
      <c r="AP49" s="561"/>
      <c r="AQ49" s="561"/>
      <c r="AR49" s="561"/>
      <c r="AS49" s="561"/>
      <c r="AT49" s="561"/>
      <c r="AU49" s="561"/>
      <c r="AV49" s="561"/>
      <c r="AW49" s="561"/>
    </row>
    <row r="50" ht="15.75" customHeight="1">
      <c r="B50" s="631"/>
      <c r="C50" s="632" t="s">
        <v>248</v>
      </c>
      <c r="D50" s="633">
        <f t="shared" ref="D50:E50" si="45">SUM(D44:D49)</f>
        <v>22237.96</v>
      </c>
      <c r="E50" s="634">
        <f t="shared" si="45"/>
        <v>0</v>
      </c>
      <c r="F50" s="635"/>
      <c r="G50" s="633">
        <f t="shared" ref="G50:I50" si="46">SUM(G44:G49)</f>
        <v>17768</v>
      </c>
      <c r="H50" s="633">
        <f t="shared" si="46"/>
        <v>15980</v>
      </c>
      <c r="I50" s="636">
        <f t="shared" si="46"/>
        <v>0</v>
      </c>
      <c r="J50" s="635"/>
      <c r="K50" s="633">
        <f t="shared" ref="K50:L50" si="47">SUM(K44:K49)</f>
        <v>15038</v>
      </c>
      <c r="L50" s="634">
        <f t="shared" si="47"/>
        <v>0</v>
      </c>
      <c r="M50" s="635"/>
      <c r="N50" s="637"/>
      <c r="O50" s="638"/>
      <c r="P50" s="633">
        <f t="shared" ref="P50:Q50" si="48">SUM(P44:P49)</f>
        <v>21102</v>
      </c>
      <c r="Q50" s="634">
        <f t="shared" si="48"/>
        <v>0</v>
      </c>
      <c r="R50" s="635"/>
      <c r="S50" s="639">
        <f t="shared" ref="S50:T50" si="49">SUM(S44:S49)</f>
        <v>20177.04</v>
      </c>
      <c r="T50" s="634">
        <f t="shared" si="49"/>
        <v>0</v>
      </c>
      <c r="U50" s="635"/>
      <c r="V50" s="639">
        <f t="shared" ref="V50:W50" si="50">SUM(V44:V49)</f>
        <v>24624</v>
      </c>
      <c r="W50" s="634">
        <f t="shared" si="50"/>
        <v>0</v>
      </c>
      <c r="X50" s="635"/>
      <c r="Y50" s="639">
        <f t="shared" ref="Y50:AC50" si="51">SUM(Y44:Y49)</f>
        <v>22435</v>
      </c>
      <c r="Z50" s="640">
        <f t="shared" si="51"/>
        <v>16872.44</v>
      </c>
      <c r="AA50" s="639">
        <f t="shared" si="51"/>
        <v>38881.4</v>
      </c>
      <c r="AB50" s="639">
        <f t="shared" si="51"/>
        <v>21782</v>
      </c>
      <c r="AC50" s="641">
        <f t="shared" si="51"/>
        <v>30211.44</v>
      </c>
      <c r="AD50" s="602">
        <f>D50+G50+H50+K50+P50+S50+V50+Y50+Z50+AA50+AB50+AC50</f>
        <v>267109.28</v>
      </c>
      <c r="AE50" s="128"/>
      <c r="AF50" s="128"/>
      <c r="AG50" s="128"/>
      <c r="AH50" s="128"/>
      <c r="AI50" s="128"/>
      <c r="AJ50" s="128"/>
      <c r="AK50" s="128"/>
      <c r="AL50" s="128"/>
      <c r="AM50" s="128"/>
      <c r="AN50" s="128"/>
      <c r="AO50" s="128"/>
      <c r="AP50" s="128"/>
      <c r="AQ50" s="128"/>
      <c r="AR50" s="128"/>
      <c r="AS50" s="128"/>
      <c r="AT50" s="128"/>
      <c r="AU50" s="128"/>
      <c r="AV50" s="128"/>
      <c r="AW50" s="128"/>
    </row>
    <row r="51" ht="15.75" hidden="1" customHeight="1">
      <c r="B51" s="393"/>
      <c r="C51" s="350"/>
      <c r="D51" s="351"/>
      <c r="E51" s="352"/>
      <c r="F51" s="358"/>
      <c r="G51" s="351"/>
      <c r="H51" s="351"/>
      <c r="I51" s="353"/>
      <c r="J51" s="358"/>
      <c r="K51" s="351"/>
      <c r="L51" s="352"/>
      <c r="M51" s="358"/>
      <c r="N51" s="352"/>
      <c r="O51" s="603"/>
      <c r="P51" s="351"/>
      <c r="Q51" s="352"/>
      <c r="R51" s="358"/>
      <c r="S51" s="349"/>
      <c r="T51" s="352"/>
      <c r="U51" s="358"/>
      <c r="V51" s="349"/>
      <c r="W51" s="352"/>
      <c r="X51" s="358"/>
      <c r="Y51" s="349"/>
      <c r="Z51" s="499"/>
      <c r="AA51" s="349"/>
      <c r="AB51" s="349"/>
      <c r="AC51" s="351"/>
      <c r="AD51" s="561"/>
      <c r="AE51" s="561"/>
      <c r="AF51" s="561"/>
      <c r="AG51" s="561"/>
      <c r="AH51" s="561"/>
      <c r="AI51" s="561"/>
      <c r="AJ51" s="561"/>
      <c r="AK51" s="561"/>
      <c r="AL51" s="561"/>
      <c r="AM51" s="561"/>
      <c r="AN51" s="561"/>
      <c r="AO51" s="561"/>
      <c r="AP51" s="561"/>
      <c r="AQ51" s="561"/>
      <c r="AR51" s="561"/>
      <c r="AS51" s="561"/>
      <c r="AT51" s="561"/>
      <c r="AU51" s="561"/>
      <c r="AV51" s="561"/>
      <c r="AW51" s="561"/>
    </row>
    <row r="52" ht="15.75" hidden="1" customHeight="1">
      <c r="B52" s="393"/>
      <c r="C52" s="350"/>
      <c r="D52" s="351"/>
      <c r="E52" s="352"/>
      <c r="F52" s="358"/>
      <c r="G52" s="351"/>
      <c r="H52" s="351"/>
      <c r="I52" s="353"/>
      <c r="J52" s="358"/>
      <c r="K52" s="351"/>
      <c r="L52" s="352"/>
      <c r="M52" s="358"/>
      <c r="N52" s="352"/>
      <c r="O52" s="603"/>
      <c r="P52" s="351"/>
      <c r="Q52" s="352"/>
      <c r="R52" s="358"/>
      <c r="S52" s="349"/>
      <c r="T52" s="352"/>
      <c r="U52" s="358"/>
      <c r="V52" s="349"/>
      <c r="W52" s="352"/>
      <c r="X52" s="358"/>
      <c r="Y52" s="349"/>
      <c r="Z52" s="499"/>
      <c r="AA52" s="349"/>
      <c r="AB52" s="349"/>
      <c r="AC52" s="351"/>
      <c r="AD52" s="561"/>
      <c r="AE52" s="561"/>
      <c r="AF52" s="561"/>
      <c r="AG52" s="561"/>
      <c r="AH52" s="561"/>
      <c r="AI52" s="561"/>
      <c r="AJ52" s="561"/>
      <c r="AK52" s="561"/>
      <c r="AL52" s="561"/>
      <c r="AM52" s="561"/>
      <c r="AN52" s="561"/>
      <c r="AO52" s="561"/>
      <c r="AP52" s="561"/>
      <c r="AQ52" s="561"/>
      <c r="AR52" s="561"/>
      <c r="AS52" s="561"/>
      <c r="AT52" s="561"/>
      <c r="AU52" s="561"/>
      <c r="AV52" s="561"/>
      <c r="AW52" s="561"/>
    </row>
    <row r="53" ht="15.75" hidden="1" customHeight="1">
      <c r="B53" s="393"/>
      <c r="C53" s="350"/>
      <c r="D53" s="351"/>
      <c r="E53" s="352"/>
      <c r="F53" s="358"/>
      <c r="G53" s="351"/>
      <c r="H53" s="351"/>
      <c r="I53" s="353"/>
      <c r="J53" s="358"/>
      <c r="K53" s="351"/>
      <c r="L53" s="352"/>
      <c r="M53" s="358"/>
      <c r="N53" s="352"/>
      <c r="O53" s="603"/>
      <c r="P53" s="351"/>
      <c r="Q53" s="352"/>
      <c r="R53" s="358"/>
      <c r="S53" s="349"/>
      <c r="T53" s="352"/>
      <c r="U53" s="358"/>
      <c r="V53" s="349"/>
      <c r="W53" s="352"/>
      <c r="X53" s="358"/>
      <c r="Y53" s="349"/>
      <c r="Z53" s="499"/>
      <c r="AA53" s="349"/>
      <c r="AB53" s="349"/>
      <c r="AC53" s="351"/>
      <c r="AD53" s="561"/>
      <c r="AE53" s="561"/>
      <c r="AF53" s="561"/>
      <c r="AG53" s="561"/>
      <c r="AH53" s="561"/>
      <c r="AI53" s="561"/>
      <c r="AJ53" s="561"/>
      <c r="AK53" s="561"/>
      <c r="AL53" s="561"/>
      <c r="AM53" s="561"/>
      <c r="AN53" s="561"/>
      <c r="AO53" s="561"/>
      <c r="AP53" s="561"/>
      <c r="AQ53" s="561"/>
      <c r="AR53" s="561"/>
      <c r="AS53" s="561"/>
      <c r="AT53" s="561"/>
      <c r="AU53" s="561"/>
      <c r="AV53" s="561"/>
      <c r="AW53" s="561"/>
    </row>
    <row r="54" ht="15.75" hidden="1" customHeight="1">
      <c r="B54" s="393"/>
      <c r="C54" s="350"/>
      <c r="D54" s="351"/>
      <c r="E54" s="352"/>
      <c r="F54" s="358"/>
      <c r="G54" s="351"/>
      <c r="H54" s="351"/>
      <c r="I54" s="353"/>
      <c r="J54" s="358"/>
      <c r="K54" s="351"/>
      <c r="L54" s="352"/>
      <c r="M54" s="358"/>
      <c r="N54" s="352"/>
      <c r="O54" s="603"/>
      <c r="P54" s="351"/>
      <c r="Q54" s="352"/>
      <c r="R54" s="358"/>
      <c r="S54" s="349"/>
      <c r="T54" s="352"/>
      <c r="U54" s="358"/>
      <c r="V54" s="349"/>
      <c r="W54" s="352"/>
      <c r="X54" s="358"/>
      <c r="Y54" s="349"/>
      <c r="Z54" s="499"/>
      <c r="AA54" s="349"/>
      <c r="AB54" s="349"/>
      <c r="AC54" s="351"/>
      <c r="AD54" s="561"/>
      <c r="AE54" s="561"/>
      <c r="AF54" s="561"/>
      <c r="AG54" s="561"/>
      <c r="AH54" s="561"/>
      <c r="AI54" s="561"/>
      <c r="AJ54" s="561"/>
      <c r="AK54" s="561"/>
      <c r="AL54" s="561"/>
      <c r="AM54" s="561"/>
      <c r="AN54" s="561"/>
      <c r="AO54" s="561"/>
      <c r="AP54" s="561"/>
      <c r="AQ54" s="561"/>
      <c r="AR54" s="561"/>
      <c r="AS54" s="561"/>
      <c r="AT54" s="561"/>
      <c r="AU54" s="561"/>
      <c r="AV54" s="561"/>
      <c r="AW54" s="561"/>
    </row>
    <row r="55" ht="15.75" hidden="1" customHeight="1">
      <c r="B55" s="393"/>
      <c r="C55" s="350"/>
      <c r="D55" s="351"/>
      <c r="E55" s="352"/>
      <c r="F55" s="358"/>
      <c r="G55" s="351"/>
      <c r="H55" s="351"/>
      <c r="I55" s="353"/>
      <c r="J55" s="358"/>
      <c r="K55" s="351"/>
      <c r="L55" s="352"/>
      <c r="M55" s="358"/>
      <c r="N55" s="352"/>
      <c r="O55" s="603"/>
      <c r="P55" s="351"/>
      <c r="Q55" s="352"/>
      <c r="R55" s="358"/>
      <c r="S55" s="349"/>
      <c r="T55" s="352"/>
      <c r="U55" s="358"/>
      <c r="V55" s="349"/>
      <c r="W55" s="352"/>
      <c r="X55" s="358"/>
      <c r="Y55" s="349"/>
      <c r="Z55" s="499"/>
      <c r="AA55" s="349"/>
      <c r="AB55" s="349"/>
      <c r="AC55" s="351"/>
      <c r="AD55" s="561"/>
      <c r="AE55" s="561"/>
      <c r="AF55" s="561"/>
      <c r="AG55" s="561"/>
      <c r="AH55" s="561"/>
      <c r="AI55" s="561"/>
      <c r="AJ55" s="561"/>
      <c r="AK55" s="561"/>
      <c r="AL55" s="561"/>
      <c r="AM55" s="561"/>
      <c r="AN55" s="561"/>
      <c r="AO55" s="561"/>
      <c r="AP55" s="561"/>
      <c r="AQ55" s="561"/>
      <c r="AR55" s="561"/>
      <c r="AS55" s="561"/>
      <c r="AT55" s="561"/>
      <c r="AU55" s="561"/>
      <c r="AV55" s="561"/>
      <c r="AW55" s="561"/>
    </row>
    <row r="56" ht="15.75" hidden="1" customHeight="1">
      <c r="B56" s="393"/>
      <c r="C56" s="350"/>
      <c r="D56" s="351"/>
      <c r="E56" s="352"/>
      <c r="F56" s="358"/>
      <c r="G56" s="351"/>
      <c r="H56" s="351"/>
      <c r="I56" s="353"/>
      <c r="J56" s="358"/>
      <c r="K56" s="351"/>
      <c r="L56" s="352"/>
      <c r="M56" s="358"/>
      <c r="N56" s="352"/>
      <c r="O56" s="603"/>
      <c r="P56" s="351"/>
      <c r="Q56" s="352"/>
      <c r="R56" s="358"/>
      <c r="S56" s="349"/>
      <c r="T56" s="352"/>
      <c r="U56" s="358"/>
      <c r="V56" s="349"/>
      <c r="W56" s="352"/>
      <c r="X56" s="358"/>
      <c r="Y56" s="349"/>
      <c r="Z56" s="499"/>
      <c r="AA56" s="349"/>
      <c r="AB56" s="349"/>
      <c r="AC56" s="351"/>
      <c r="AD56" s="561"/>
      <c r="AE56" s="561"/>
      <c r="AF56" s="561"/>
      <c r="AG56" s="561"/>
      <c r="AH56" s="561"/>
      <c r="AI56" s="561"/>
      <c r="AJ56" s="561"/>
      <c r="AK56" s="561"/>
      <c r="AL56" s="561"/>
      <c r="AM56" s="561"/>
      <c r="AN56" s="561"/>
      <c r="AO56" s="561"/>
      <c r="AP56" s="561"/>
      <c r="AQ56" s="561"/>
      <c r="AR56" s="561"/>
      <c r="AS56" s="561"/>
      <c r="AT56" s="561"/>
      <c r="AU56" s="561"/>
      <c r="AV56" s="561"/>
      <c r="AW56" s="561"/>
    </row>
    <row r="57" ht="15.75" hidden="1" customHeight="1">
      <c r="B57" s="393"/>
      <c r="C57" s="350"/>
      <c r="D57" s="351"/>
      <c r="E57" s="352"/>
      <c r="F57" s="358"/>
      <c r="G57" s="351"/>
      <c r="H57" s="351"/>
      <c r="I57" s="353"/>
      <c r="J57" s="358"/>
      <c r="K57" s="351"/>
      <c r="L57" s="352"/>
      <c r="M57" s="358"/>
      <c r="N57" s="352"/>
      <c r="O57" s="603"/>
      <c r="P57" s="351"/>
      <c r="Q57" s="352"/>
      <c r="R57" s="358"/>
      <c r="S57" s="349"/>
      <c r="T57" s="352"/>
      <c r="U57" s="358"/>
      <c r="V57" s="349"/>
      <c r="W57" s="352"/>
      <c r="X57" s="358"/>
      <c r="Y57" s="349"/>
      <c r="Z57" s="499"/>
      <c r="AA57" s="349"/>
      <c r="AB57" s="349"/>
      <c r="AC57" s="351"/>
      <c r="AD57" s="561"/>
      <c r="AE57" s="561"/>
      <c r="AF57" s="561"/>
      <c r="AG57" s="561"/>
      <c r="AH57" s="561"/>
      <c r="AI57" s="561"/>
      <c r="AJ57" s="561"/>
      <c r="AK57" s="561"/>
      <c r="AL57" s="561"/>
      <c r="AM57" s="561"/>
      <c r="AN57" s="561"/>
      <c r="AO57" s="561"/>
      <c r="AP57" s="561"/>
      <c r="AQ57" s="561"/>
      <c r="AR57" s="561"/>
      <c r="AS57" s="561"/>
      <c r="AT57" s="561"/>
      <c r="AU57" s="561"/>
      <c r="AV57" s="561"/>
      <c r="AW57" s="561"/>
    </row>
    <row r="58" ht="15.75" hidden="1" customHeight="1">
      <c r="B58" s="393"/>
      <c r="C58" s="350"/>
      <c r="D58" s="351"/>
      <c r="E58" s="352"/>
      <c r="F58" s="358"/>
      <c r="G58" s="351"/>
      <c r="H58" s="351"/>
      <c r="I58" s="353"/>
      <c r="J58" s="358"/>
      <c r="K58" s="351"/>
      <c r="L58" s="352"/>
      <c r="M58" s="358"/>
      <c r="N58" s="352"/>
      <c r="O58" s="603"/>
      <c r="P58" s="351"/>
      <c r="Q58" s="352"/>
      <c r="R58" s="358"/>
      <c r="S58" s="349"/>
      <c r="T58" s="352"/>
      <c r="U58" s="358"/>
      <c r="V58" s="349"/>
      <c r="W58" s="352"/>
      <c r="X58" s="358"/>
      <c r="Y58" s="349"/>
      <c r="Z58" s="499"/>
      <c r="AA58" s="349"/>
      <c r="AB58" s="349"/>
      <c r="AC58" s="351"/>
      <c r="AD58" s="561"/>
      <c r="AE58" s="561"/>
      <c r="AF58" s="561"/>
      <c r="AG58" s="561"/>
      <c r="AH58" s="561"/>
      <c r="AI58" s="561"/>
      <c r="AJ58" s="561"/>
      <c r="AK58" s="561"/>
      <c r="AL58" s="561"/>
      <c r="AM58" s="561"/>
      <c r="AN58" s="561"/>
      <c r="AO58" s="561"/>
      <c r="AP58" s="561"/>
      <c r="AQ58" s="561"/>
      <c r="AR58" s="561"/>
      <c r="AS58" s="561"/>
      <c r="AT58" s="561"/>
      <c r="AU58" s="561"/>
      <c r="AV58" s="561"/>
      <c r="AW58" s="561"/>
    </row>
    <row r="59" ht="15.75" hidden="1" customHeight="1">
      <c r="B59" s="642"/>
      <c r="C59" s="643"/>
      <c r="D59" s="644"/>
      <c r="E59" s="645"/>
      <c r="F59" s="646"/>
      <c r="G59" s="644"/>
      <c r="H59" s="644"/>
      <c r="I59" s="647"/>
      <c r="J59" s="648"/>
      <c r="K59" s="644"/>
      <c r="L59" s="645"/>
      <c r="M59" s="648"/>
      <c r="N59" s="645"/>
      <c r="O59" s="649"/>
      <c r="P59" s="644"/>
      <c r="Q59" s="645"/>
      <c r="R59" s="648"/>
      <c r="S59" s="650"/>
      <c r="T59" s="645"/>
      <c r="U59" s="648"/>
      <c r="V59" s="650"/>
      <c r="W59" s="645"/>
      <c r="X59" s="648"/>
      <c r="Y59" s="650"/>
      <c r="Z59" s="651"/>
      <c r="AA59" s="650"/>
      <c r="AB59" s="650"/>
      <c r="AC59" s="351"/>
      <c r="AD59" s="561"/>
      <c r="AE59" s="561"/>
      <c r="AF59" s="561"/>
      <c r="AG59" s="561"/>
      <c r="AH59" s="561"/>
      <c r="AI59" s="561"/>
      <c r="AJ59" s="561"/>
      <c r="AK59" s="561"/>
      <c r="AL59" s="561"/>
      <c r="AM59" s="561"/>
      <c r="AN59" s="561"/>
      <c r="AO59" s="561"/>
      <c r="AP59" s="561"/>
      <c r="AQ59" s="561"/>
      <c r="AR59" s="561"/>
      <c r="AS59" s="561"/>
      <c r="AT59" s="561"/>
      <c r="AU59" s="561"/>
      <c r="AV59" s="561"/>
      <c r="AW59" s="561"/>
    </row>
    <row r="60" ht="15.75" hidden="1" customHeight="1">
      <c r="B60" s="393"/>
      <c r="C60" s="350"/>
      <c r="D60" s="351"/>
      <c r="E60" s="352"/>
      <c r="F60" s="358"/>
      <c r="G60" s="351"/>
      <c r="H60" s="351"/>
      <c r="I60" s="353"/>
      <c r="J60" s="358"/>
      <c r="K60" s="351"/>
      <c r="L60" s="352"/>
      <c r="M60" s="358"/>
      <c r="N60" s="352"/>
      <c r="O60" s="603"/>
      <c r="P60" s="351"/>
      <c r="Q60" s="352"/>
      <c r="R60" s="358"/>
      <c r="S60" s="349"/>
      <c r="T60" s="352"/>
      <c r="U60" s="358"/>
      <c r="V60" s="349"/>
      <c r="W60" s="352"/>
      <c r="X60" s="358"/>
      <c r="Y60" s="349"/>
      <c r="Z60" s="499"/>
      <c r="AA60" s="349"/>
      <c r="AB60" s="349"/>
      <c r="AC60" s="351"/>
      <c r="AD60" s="561"/>
      <c r="AE60" s="561"/>
      <c r="AF60" s="561"/>
      <c r="AG60" s="561"/>
      <c r="AH60" s="561"/>
      <c r="AI60" s="561"/>
      <c r="AJ60" s="561"/>
      <c r="AK60" s="561"/>
      <c r="AL60" s="561"/>
      <c r="AM60" s="561"/>
      <c r="AN60" s="561"/>
      <c r="AO60" s="561"/>
      <c r="AP60" s="561"/>
      <c r="AQ60" s="561"/>
      <c r="AR60" s="561"/>
      <c r="AS60" s="561"/>
      <c r="AT60" s="561"/>
      <c r="AU60" s="561"/>
      <c r="AV60" s="561"/>
      <c r="AW60" s="561"/>
    </row>
    <row r="61" ht="15.75" customHeight="1">
      <c r="B61" s="652" t="s">
        <v>249</v>
      </c>
      <c r="C61" s="653"/>
      <c r="D61" s="351"/>
      <c r="E61" s="352"/>
      <c r="F61" s="358"/>
      <c r="G61" s="351"/>
      <c r="H61" s="351"/>
      <c r="I61" s="353"/>
      <c r="J61" s="358"/>
      <c r="K61" s="351"/>
      <c r="L61" s="352"/>
      <c r="M61" s="358"/>
      <c r="N61" s="352"/>
      <c r="O61" s="603"/>
      <c r="P61" s="351"/>
      <c r="Q61" s="352"/>
      <c r="R61" s="358"/>
      <c r="S61" s="349"/>
      <c r="T61" s="352"/>
      <c r="U61" s="358"/>
      <c r="V61" s="349"/>
      <c r="W61" s="352"/>
      <c r="X61" s="358"/>
      <c r="Y61" s="349"/>
      <c r="Z61" s="499"/>
      <c r="AA61" s="349"/>
      <c r="AB61" s="349"/>
      <c r="AC61" s="351"/>
      <c r="AD61" s="561"/>
      <c r="AE61" s="561"/>
      <c r="AF61" s="561"/>
      <c r="AG61" s="561"/>
      <c r="AH61" s="561"/>
      <c r="AI61" s="561"/>
      <c r="AJ61" s="561"/>
      <c r="AK61" s="561"/>
      <c r="AL61" s="561"/>
      <c r="AM61" s="561"/>
      <c r="AN61" s="561"/>
      <c r="AO61" s="561"/>
      <c r="AP61" s="561"/>
      <c r="AQ61" s="561"/>
      <c r="AR61" s="561"/>
      <c r="AS61" s="561"/>
      <c r="AT61" s="561"/>
      <c r="AU61" s="561"/>
      <c r="AV61" s="561"/>
      <c r="AW61" s="561"/>
    </row>
    <row r="62" ht="15.75" customHeight="1">
      <c r="A62" s="561"/>
      <c r="B62" s="393"/>
      <c r="C62" s="411" t="s">
        <v>250</v>
      </c>
      <c r="D62" s="654">
        <f t="shared" ref="D62:E62" si="52">SUM(D63:D68)</f>
        <v>66791</v>
      </c>
      <c r="E62" s="655">
        <f t="shared" si="52"/>
        <v>0</v>
      </c>
      <c r="F62" s="656"/>
      <c r="G62" s="654">
        <f t="shared" ref="G62:H62" si="53">SUM(G63:G68)</f>
        <v>70181</v>
      </c>
      <c r="H62" s="654">
        <f t="shared" si="53"/>
        <v>62178</v>
      </c>
      <c r="I62" s="657">
        <f>SUM(I63:I66)</f>
        <v>0</v>
      </c>
      <c r="J62" s="656"/>
      <c r="K62" s="654">
        <f>SUM(K63:K68)</f>
        <v>86368</v>
      </c>
      <c r="L62" s="658">
        <f>SUM(L63:L66)</f>
        <v>0</v>
      </c>
      <c r="M62" s="656"/>
      <c r="N62" s="655"/>
      <c r="O62" s="659"/>
      <c r="P62" s="654">
        <f>SUM(P63:P67)</f>
        <v>45543</v>
      </c>
      <c r="Q62" s="658">
        <f>SUM(Q63:Q66)</f>
        <v>0</v>
      </c>
      <c r="R62" s="656"/>
      <c r="S62" s="660">
        <f>SUM(S63:S68)</f>
        <v>83892</v>
      </c>
      <c r="T62" s="658">
        <f>SUM(T63:T66)</f>
        <v>0</v>
      </c>
      <c r="U62" s="656"/>
      <c r="V62" s="660">
        <f>SUM(V63:V68)</f>
        <v>100733</v>
      </c>
      <c r="W62" s="658">
        <f>SUM(W63:W66)</f>
        <v>0</v>
      </c>
      <c r="X62" s="656"/>
      <c r="Y62" s="660">
        <f t="shared" ref="Y62:AC62" si="54">SUM(Y63:Y68)</f>
        <v>88889</v>
      </c>
      <c r="Z62" s="660">
        <f t="shared" si="54"/>
        <v>115044</v>
      </c>
      <c r="AA62" s="660">
        <f t="shared" si="54"/>
        <v>108597</v>
      </c>
      <c r="AB62" s="660">
        <f t="shared" si="54"/>
        <v>118746</v>
      </c>
      <c r="AC62" s="654">
        <f t="shared" si="54"/>
        <v>211448</v>
      </c>
      <c r="AD62" s="602">
        <f>D62+G62+H62+K62+P62+S62+V62+Y62+Z62+AA62+AB62+AC62</f>
        <v>1158410</v>
      </c>
      <c r="AE62" s="128"/>
      <c r="AF62" s="128"/>
      <c r="AG62" s="128"/>
      <c r="AH62" s="128"/>
      <c r="AI62" s="128"/>
      <c r="AJ62" s="128"/>
      <c r="AK62" s="128"/>
      <c r="AL62" s="128"/>
      <c r="AM62" s="128"/>
      <c r="AN62" s="128"/>
      <c r="AO62" s="128"/>
      <c r="AP62" s="128"/>
      <c r="AQ62" s="128"/>
      <c r="AR62" s="128"/>
      <c r="AS62" s="128"/>
      <c r="AT62" s="128"/>
      <c r="AU62" s="128"/>
      <c r="AV62" s="128"/>
      <c r="AW62" s="128"/>
    </row>
    <row r="63" ht="15.75" customHeight="1">
      <c r="B63" s="393"/>
      <c r="C63" s="661" t="s">
        <v>383</v>
      </c>
      <c r="D63" s="396">
        <v>3509.0</v>
      </c>
      <c r="E63" s="352"/>
      <c r="F63" s="358"/>
      <c r="G63" s="396">
        <v>1258.0</v>
      </c>
      <c r="H63" s="396">
        <v>3814.0</v>
      </c>
      <c r="I63" s="353"/>
      <c r="J63" s="358"/>
      <c r="K63" s="351"/>
      <c r="L63" s="352"/>
      <c r="M63" s="358"/>
      <c r="N63" s="357"/>
      <c r="O63" s="603"/>
      <c r="P63" s="396">
        <v>3060.0</v>
      </c>
      <c r="Q63" s="352"/>
      <c r="R63" s="358"/>
      <c r="S63" s="604"/>
      <c r="T63" s="352"/>
      <c r="U63" s="358"/>
      <c r="V63" s="628">
        <v>2239.0</v>
      </c>
      <c r="W63" s="352"/>
      <c r="X63" s="358"/>
      <c r="Y63" s="628">
        <v>1603.0</v>
      </c>
      <c r="Z63" s="605"/>
      <c r="AA63" s="604"/>
      <c r="AB63" s="628">
        <v>1058.0</v>
      </c>
      <c r="AC63" s="396">
        <v>3251.0</v>
      </c>
      <c r="AD63" s="561"/>
      <c r="AE63" s="561"/>
      <c r="AF63" s="561"/>
      <c r="AG63" s="561"/>
      <c r="AH63" s="561"/>
      <c r="AI63" s="561"/>
      <c r="AJ63" s="561"/>
      <c r="AK63" s="561"/>
      <c r="AL63" s="561"/>
      <c r="AM63" s="561"/>
      <c r="AN63" s="561"/>
      <c r="AO63" s="561"/>
      <c r="AP63" s="561"/>
      <c r="AQ63" s="561"/>
      <c r="AR63" s="561"/>
      <c r="AS63" s="561"/>
      <c r="AT63" s="561"/>
      <c r="AU63" s="561"/>
      <c r="AV63" s="561"/>
      <c r="AW63" s="561"/>
    </row>
    <row r="64" ht="15.75" customHeight="1">
      <c r="B64" s="393"/>
      <c r="C64" s="662" t="s">
        <v>252</v>
      </c>
      <c r="D64" s="351"/>
      <c r="E64" s="352"/>
      <c r="F64" s="358"/>
      <c r="G64" s="396">
        <v>11458.0</v>
      </c>
      <c r="H64" s="351"/>
      <c r="I64" s="353"/>
      <c r="J64" s="358"/>
      <c r="K64" s="396">
        <v>7763.0</v>
      </c>
      <c r="L64" s="352"/>
      <c r="M64" s="358"/>
      <c r="N64" s="357"/>
      <c r="O64" s="603"/>
      <c r="P64" s="396">
        <v>11887.0</v>
      </c>
      <c r="Q64" s="352"/>
      <c r="R64" s="358"/>
      <c r="S64" s="604"/>
      <c r="T64" s="352"/>
      <c r="U64" s="358"/>
      <c r="V64" s="628">
        <v>7789.0</v>
      </c>
      <c r="W64" s="352"/>
      <c r="X64" s="358"/>
      <c r="Y64" s="604"/>
      <c r="Z64" s="605"/>
      <c r="AA64" s="604"/>
      <c r="AB64" s="604"/>
      <c r="AC64" s="351"/>
      <c r="AD64" s="561"/>
      <c r="AE64" s="561"/>
      <c r="AF64" s="561"/>
      <c r="AG64" s="561"/>
      <c r="AH64" s="561"/>
      <c r="AI64" s="561"/>
      <c r="AJ64" s="561"/>
      <c r="AK64" s="561"/>
      <c r="AL64" s="561"/>
      <c r="AM64" s="561"/>
      <c r="AN64" s="561"/>
      <c r="AO64" s="561"/>
      <c r="AP64" s="561"/>
      <c r="AQ64" s="561"/>
      <c r="AR64" s="561"/>
      <c r="AS64" s="561"/>
      <c r="AT64" s="561"/>
      <c r="AU64" s="561"/>
      <c r="AV64" s="561"/>
      <c r="AW64" s="561"/>
    </row>
    <row r="65" ht="15.75" customHeight="1">
      <c r="B65" s="393"/>
      <c r="C65" s="350" t="s">
        <v>254</v>
      </c>
      <c r="D65" s="351">
        <v>0.0</v>
      </c>
      <c r="E65" s="352"/>
      <c r="F65" s="358"/>
      <c r="G65" s="351"/>
      <c r="H65" s="351"/>
      <c r="I65" s="353"/>
      <c r="J65" s="358"/>
      <c r="K65" s="351"/>
      <c r="L65" s="352"/>
      <c r="M65" s="358"/>
      <c r="N65" s="357"/>
      <c r="O65" s="603"/>
      <c r="P65" s="351"/>
      <c r="Q65" s="352"/>
      <c r="R65" s="358"/>
      <c r="S65" s="604"/>
      <c r="T65" s="352"/>
      <c r="U65" s="358"/>
      <c r="V65" s="604"/>
      <c r="W65" s="352"/>
      <c r="X65" s="358"/>
      <c r="Y65" s="604"/>
      <c r="Z65" s="605"/>
      <c r="AA65" s="604"/>
      <c r="AB65" s="628">
        <v>9906.0</v>
      </c>
      <c r="AC65" s="396">
        <v>20630.0</v>
      </c>
      <c r="AD65" s="561"/>
      <c r="AE65" s="561"/>
      <c r="AF65" s="561"/>
      <c r="AG65" s="561"/>
      <c r="AH65" s="561"/>
      <c r="AI65" s="561"/>
      <c r="AJ65" s="561"/>
      <c r="AK65" s="561"/>
      <c r="AL65" s="561"/>
      <c r="AM65" s="561"/>
      <c r="AN65" s="561"/>
      <c r="AO65" s="561"/>
      <c r="AP65" s="561"/>
      <c r="AQ65" s="561"/>
      <c r="AR65" s="561"/>
      <c r="AS65" s="561"/>
      <c r="AT65" s="561"/>
      <c r="AU65" s="561"/>
      <c r="AV65" s="561"/>
      <c r="AW65" s="561"/>
    </row>
    <row r="66" ht="15.75" customHeight="1">
      <c r="B66" s="393"/>
      <c r="C66" s="662" t="s">
        <v>253</v>
      </c>
      <c r="D66" s="351">
        <v>0.0</v>
      </c>
      <c r="E66" s="352"/>
      <c r="F66" s="358"/>
      <c r="G66" s="351"/>
      <c r="H66" s="351"/>
      <c r="I66" s="353"/>
      <c r="J66" s="358"/>
      <c r="K66" s="351"/>
      <c r="L66" s="352"/>
      <c r="M66" s="358"/>
      <c r="N66" s="357"/>
      <c r="O66" s="603"/>
      <c r="P66" s="351"/>
      <c r="Q66" s="352"/>
      <c r="R66" s="358"/>
      <c r="S66" s="604"/>
      <c r="T66" s="352"/>
      <c r="U66" s="358"/>
      <c r="V66" s="604"/>
      <c r="W66" s="352"/>
      <c r="X66" s="358"/>
      <c r="Y66" s="604"/>
      <c r="Z66" s="605"/>
      <c r="AA66" s="604"/>
      <c r="AB66" s="604"/>
      <c r="AC66" s="351"/>
      <c r="AD66" s="561"/>
      <c r="AE66" s="561"/>
      <c r="AF66" s="561"/>
      <c r="AG66" s="561"/>
      <c r="AH66" s="561"/>
      <c r="AI66" s="561"/>
      <c r="AJ66" s="561"/>
      <c r="AK66" s="561"/>
      <c r="AL66" s="561"/>
      <c r="AM66" s="561"/>
      <c r="AN66" s="561"/>
      <c r="AO66" s="561"/>
      <c r="AP66" s="561"/>
      <c r="AQ66" s="561"/>
      <c r="AR66" s="561"/>
      <c r="AS66" s="561"/>
      <c r="AT66" s="561"/>
      <c r="AU66" s="561"/>
      <c r="AV66" s="561"/>
      <c r="AW66" s="561"/>
    </row>
    <row r="67" ht="15.75" customHeight="1">
      <c r="A67" s="561"/>
      <c r="B67" s="393"/>
      <c r="C67" s="350" t="s">
        <v>384</v>
      </c>
      <c r="D67" s="351">
        <v>28374.0</v>
      </c>
      <c r="E67" s="352"/>
      <c r="F67" s="358"/>
      <c r="G67" s="351">
        <v>22557.0</v>
      </c>
      <c r="H67" s="351">
        <v>23456.0</v>
      </c>
      <c r="I67" s="353"/>
      <c r="J67" s="358"/>
      <c r="K67" s="351">
        <v>43697.0</v>
      </c>
      <c r="L67" s="352"/>
      <c r="M67" s="358"/>
      <c r="N67" s="352"/>
      <c r="O67" s="603"/>
      <c r="P67" s="351">
        <v>30596.0</v>
      </c>
      <c r="Q67" s="352"/>
      <c r="R67" s="358"/>
      <c r="S67" s="604">
        <v>48984.0</v>
      </c>
      <c r="T67" s="352"/>
      <c r="U67" s="358"/>
      <c r="V67" s="604">
        <v>55797.0</v>
      </c>
      <c r="W67" s="352"/>
      <c r="X67" s="358"/>
      <c r="Y67" s="604">
        <v>52378.0</v>
      </c>
      <c r="Z67" s="618">
        <v>80136.0</v>
      </c>
      <c r="AA67" s="628">
        <v>73689.0</v>
      </c>
      <c r="AB67" s="628">
        <v>72874.0</v>
      </c>
      <c r="AC67" s="396">
        <v>152659.0</v>
      </c>
      <c r="AD67" s="561"/>
      <c r="AE67" s="561"/>
      <c r="AF67" s="561"/>
      <c r="AG67" s="561"/>
      <c r="AH67" s="561"/>
      <c r="AI67" s="561"/>
      <c r="AJ67" s="561"/>
      <c r="AK67" s="561"/>
      <c r="AL67" s="561"/>
      <c r="AM67" s="561"/>
      <c r="AN67" s="561"/>
      <c r="AO67" s="561"/>
      <c r="AP67" s="561"/>
      <c r="AQ67" s="561"/>
      <c r="AR67" s="561"/>
      <c r="AS67" s="561"/>
      <c r="AT67" s="561"/>
      <c r="AU67" s="561"/>
      <c r="AV67" s="561"/>
      <c r="AW67" s="561"/>
    </row>
    <row r="68" ht="15.75" customHeight="1">
      <c r="A68" s="561"/>
      <c r="B68" s="393"/>
      <c r="C68" s="350" t="s">
        <v>255</v>
      </c>
      <c r="D68" s="604">
        <f>5408+29500</f>
        <v>34908</v>
      </c>
      <c r="E68" s="352"/>
      <c r="F68" s="358"/>
      <c r="G68" s="604">
        <f t="shared" ref="G68:H68" si="55">5408+29500</f>
        <v>34908</v>
      </c>
      <c r="H68" s="604">
        <f t="shared" si="55"/>
        <v>34908</v>
      </c>
      <c r="I68" s="353"/>
      <c r="J68" s="358"/>
      <c r="K68" s="604">
        <f>5408+29500</f>
        <v>34908</v>
      </c>
      <c r="L68" s="352"/>
      <c r="M68" s="358"/>
      <c r="N68" s="663"/>
      <c r="O68" s="603"/>
      <c r="P68" s="604">
        <f>5408+29500</f>
        <v>34908</v>
      </c>
      <c r="Q68" s="352"/>
      <c r="R68" s="358"/>
      <c r="S68" s="604">
        <f>5408+29500</f>
        <v>34908</v>
      </c>
      <c r="T68" s="352"/>
      <c r="U68" s="358"/>
      <c r="V68" s="604">
        <f>5408+29500</f>
        <v>34908</v>
      </c>
      <c r="W68" s="352"/>
      <c r="X68" s="358"/>
      <c r="Y68" s="604">
        <f t="shared" ref="Y68:AC68" si="56">5408+29500</f>
        <v>34908</v>
      </c>
      <c r="Z68" s="604">
        <f t="shared" si="56"/>
        <v>34908</v>
      </c>
      <c r="AA68" s="604">
        <f t="shared" si="56"/>
        <v>34908</v>
      </c>
      <c r="AB68" s="604">
        <f t="shared" si="56"/>
        <v>34908</v>
      </c>
      <c r="AC68" s="604">
        <f t="shared" si="56"/>
        <v>34908</v>
      </c>
      <c r="AD68" s="561"/>
      <c r="AE68" s="561"/>
      <c r="AF68" s="561"/>
      <c r="AG68" s="561"/>
      <c r="AH68" s="561"/>
      <c r="AI68" s="561"/>
      <c r="AJ68" s="561"/>
      <c r="AK68" s="561"/>
      <c r="AL68" s="561"/>
      <c r="AM68" s="561"/>
      <c r="AN68" s="561"/>
      <c r="AO68" s="561"/>
      <c r="AP68" s="561"/>
      <c r="AQ68" s="561"/>
      <c r="AR68" s="561"/>
      <c r="AS68" s="561"/>
      <c r="AT68" s="561"/>
      <c r="AU68" s="561"/>
      <c r="AV68" s="561"/>
      <c r="AW68" s="561"/>
    </row>
    <row r="69" ht="15.75" customHeight="1">
      <c r="A69" s="561"/>
      <c r="B69" s="393"/>
      <c r="C69" s="350"/>
      <c r="D69" s="351"/>
      <c r="E69" s="352"/>
      <c r="F69" s="358"/>
      <c r="G69" s="351"/>
      <c r="H69" s="351"/>
      <c r="I69" s="353"/>
      <c r="J69" s="358"/>
      <c r="K69" s="351"/>
      <c r="L69" s="352"/>
      <c r="M69" s="358"/>
      <c r="N69" s="352"/>
      <c r="O69" s="603"/>
      <c r="P69" s="351"/>
      <c r="Q69" s="352"/>
      <c r="R69" s="358"/>
      <c r="S69" s="349"/>
      <c r="T69" s="352"/>
      <c r="U69" s="358"/>
      <c r="V69" s="349"/>
      <c r="W69" s="352"/>
      <c r="X69" s="358"/>
      <c r="Y69" s="349"/>
      <c r="Z69" s="499"/>
      <c r="AA69" s="349"/>
      <c r="AB69" s="349"/>
      <c r="AC69" s="351"/>
      <c r="AD69" s="561"/>
      <c r="AE69" s="561"/>
      <c r="AF69" s="561"/>
      <c r="AG69" s="561"/>
      <c r="AH69" s="561"/>
      <c r="AI69" s="561"/>
      <c r="AJ69" s="561"/>
      <c r="AK69" s="561"/>
      <c r="AL69" s="561"/>
      <c r="AM69" s="561"/>
      <c r="AN69" s="561"/>
      <c r="AO69" s="561"/>
      <c r="AP69" s="561"/>
      <c r="AQ69" s="561"/>
      <c r="AR69" s="561"/>
      <c r="AS69" s="561"/>
      <c r="AT69" s="561"/>
      <c r="AU69" s="561"/>
      <c r="AV69" s="561"/>
      <c r="AW69" s="561"/>
    </row>
    <row r="70" ht="15.75" customHeight="1">
      <c r="A70" s="561"/>
      <c r="B70" s="393"/>
      <c r="C70" s="411" t="s">
        <v>36</v>
      </c>
      <c r="D70" s="351">
        <f t="shared" ref="D70:E70" si="57">SUM(D71:D73)</f>
        <v>80984.668</v>
      </c>
      <c r="E70" s="352">
        <f t="shared" si="57"/>
        <v>0</v>
      </c>
      <c r="F70" s="358"/>
      <c r="G70" s="351">
        <f t="shared" ref="G70:I70" si="58">SUM(G71:G73)</f>
        <v>73321.8412</v>
      </c>
      <c r="H70" s="351">
        <f t="shared" si="58"/>
        <v>44889.4534</v>
      </c>
      <c r="I70" s="353">
        <f t="shared" si="58"/>
        <v>0</v>
      </c>
      <c r="J70" s="358"/>
      <c r="K70" s="351">
        <f t="shared" ref="K70:L70" si="59">SUM(K71:K73)</f>
        <v>69206.58</v>
      </c>
      <c r="L70" s="352">
        <f t="shared" si="59"/>
        <v>0</v>
      </c>
      <c r="M70" s="358"/>
      <c r="N70" s="357"/>
      <c r="O70" s="603"/>
      <c r="P70" s="351">
        <f t="shared" ref="P70:Q70" si="60">SUM(P71:P73)</f>
        <v>78027.35</v>
      </c>
      <c r="Q70" s="352">
        <f t="shared" si="60"/>
        <v>0</v>
      </c>
      <c r="R70" s="358"/>
      <c r="S70" s="604">
        <f t="shared" ref="S70:T70" si="61">SUM(S71:S73)</f>
        <v>74015.75</v>
      </c>
      <c r="T70" s="352">
        <f t="shared" si="61"/>
        <v>0</v>
      </c>
      <c r="U70" s="358"/>
      <c r="V70" s="604">
        <f t="shared" ref="V70:W70" si="62">SUM(V71:V73)</f>
        <v>95909.73</v>
      </c>
      <c r="W70" s="352">
        <f t="shared" si="62"/>
        <v>0</v>
      </c>
      <c r="X70" s="358"/>
      <c r="Y70" s="604">
        <f t="shared" ref="Y70:AC70" si="63">SUM(Y71:Y73)</f>
        <v>89736.67</v>
      </c>
      <c r="Z70" s="605">
        <f t="shared" si="63"/>
        <v>101389.49</v>
      </c>
      <c r="AA70" s="604">
        <f t="shared" si="63"/>
        <v>93283.08</v>
      </c>
      <c r="AB70" s="604">
        <f t="shared" si="63"/>
        <v>94368.36</v>
      </c>
      <c r="AC70" s="351">
        <f t="shared" si="63"/>
        <v>149069.93</v>
      </c>
      <c r="AD70" s="602">
        <f>D70+G70+H70+K70+P70+S70+V70+Y70+Z70+AA70+AB70+AC70</f>
        <v>1044202.903</v>
      </c>
      <c r="AE70" s="128"/>
      <c r="AF70" s="128"/>
      <c r="AG70" s="128"/>
      <c r="AH70" s="128"/>
      <c r="AI70" s="128"/>
      <c r="AJ70" s="128"/>
      <c r="AK70" s="128"/>
      <c r="AL70" s="128"/>
      <c r="AM70" s="128"/>
      <c r="AN70" s="128"/>
      <c r="AO70" s="128"/>
      <c r="AP70" s="128"/>
      <c r="AQ70" s="128"/>
      <c r="AR70" s="128"/>
      <c r="AS70" s="128"/>
      <c r="AT70" s="128"/>
      <c r="AU70" s="128"/>
      <c r="AV70" s="128"/>
      <c r="AW70" s="128"/>
    </row>
    <row r="71" ht="15.75" customHeight="1">
      <c r="B71" s="393"/>
      <c r="C71" s="350" t="s">
        <v>258</v>
      </c>
      <c r="D71" s="351">
        <v>37.0</v>
      </c>
      <c r="E71" s="245"/>
      <c r="F71" s="350"/>
      <c r="G71" s="351">
        <v>67.0</v>
      </c>
      <c r="H71" s="351">
        <v>0.0</v>
      </c>
      <c r="I71" s="356"/>
      <c r="J71" s="350"/>
      <c r="K71" s="664"/>
      <c r="L71" s="245"/>
      <c r="M71" s="350"/>
      <c r="N71" s="357"/>
      <c r="O71" s="616"/>
      <c r="P71" s="664"/>
      <c r="Q71" s="245"/>
      <c r="R71" s="350"/>
      <c r="S71" s="665">
        <v>49.26</v>
      </c>
      <c r="T71" s="245"/>
      <c r="U71" s="350"/>
      <c r="V71" s="604">
        <v>353.98</v>
      </c>
      <c r="W71" s="352"/>
      <c r="X71" s="358"/>
      <c r="Y71" s="604"/>
      <c r="Z71" s="605">
        <v>349.66</v>
      </c>
      <c r="AA71" s="604">
        <v>183.0</v>
      </c>
      <c r="AB71" s="604"/>
      <c r="AC71" s="351"/>
      <c r="AD71" s="561"/>
      <c r="AE71" s="561"/>
      <c r="AF71" s="561"/>
      <c r="AG71" s="561"/>
      <c r="AH71" s="561"/>
      <c r="AI71" s="561"/>
      <c r="AJ71" s="561"/>
      <c r="AK71" s="561"/>
      <c r="AL71" s="561"/>
      <c r="AM71" s="561"/>
      <c r="AN71" s="561"/>
      <c r="AO71" s="561"/>
      <c r="AP71" s="561"/>
      <c r="AQ71" s="561"/>
      <c r="AR71" s="561"/>
      <c r="AS71" s="561"/>
      <c r="AT71" s="561"/>
      <c r="AU71" s="561"/>
      <c r="AV71" s="561"/>
      <c r="AW71" s="561"/>
    </row>
    <row r="72" ht="15.75" customHeight="1">
      <c r="B72" s="393"/>
      <c r="C72" s="350" t="s">
        <v>259</v>
      </c>
      <c r="D72" s="351">
        <f>(47322.6+(47322.6*18/100))</f>
        <v>55840.668</v>
      </c>
      <c r="E72" s="245"/>
      <c r="F72" s="350"/>
      <c r="G72" s="351">
        <f>(34108.34+(34108.34*18/100))</f>
        <v>40247.8412</v>
      </c>
      <c r="H72" s="351">
        <f>(5935.13+(5935.13*18/100))</f>
        <v>7003.4534</v>
      </c>
      <c r="I72" s="356"/>
      <c r="J72" s="350"/>
      <c r="K72" s="664">
        <f>50268.65-7133</f>
        <v>43135.65</v>
      </c>
      <c r="L72" s="245"/>
      <c r="M72" s="350"/>
      <c r="N72" s="357"/>
      <c r="O72" s="616"/>
      <c r="P72" s="664">
        <f>59041.92-6085</f>
        <v>52956.92</v>
      </c>
      <c r="Q72" s="245"/>
      <c r="R72" s="350"/>
      <c r="S72" s="665">
        <f>53291.17-3066</f>
        <v>50225.17</v>
      </c>
      <c r="T72" s="245"/>
      <c r="U72" s="350"/>
      <c r="V72" s="604">
        <v>64204.54</v>
      </c>
      <c r="W72" s="352"/>
      <c r="X72" s="358"/>
      <c r="Y72" s="604">
        <v>56798.56</v>
      </c>
      <c r="Z72" s="605">
        <v>61682.58</v>
      </c>
      <c r="AA72" s="604">
        <v>54688.64</v>
      </c>
      <c r="AB72" s="604">
        <v>57647.35</v>
      </c>
      <c r="AC72" s="351">
        <v>79584.42</v>
      </c>
      <c r="AD72" s="561"/>
      <c r="AE72" s="561"/>
      <c r="AF72" s="561"/>
      <c r="AG72" s="561"/>
      <c r="AH72" s="561"/>
      <c r="AI72" s="561"/>
      <c r="AJ72" s="561"/>
      <c r="AK72" s="561"/>
      <c r="AL72" s="561"/>
      <c r="AM72" s="561"/>
      <c r="AN72" s="561"/>
      <c r="AO72" s="561"/>
      <c r="AP72" s="561"/>
      <c r="AQ72" s="561"/>
      <c r="AR72" s="561"/>
      <c r="AS72" s="561"/>
      <c r="AT72" s="561"/>
      <c r="AU72" s="561"/>
      <c r="AV72" s="561"/>
      <c r="AW72" s="561"/>
    </row>
    <row r="73" ht="15.75" customHeight="1">
      <c r="B73" s="393"/>
      <c r="C73" s="350" t="s">
        <v>260</v>
      </c>
      <c r="D73" s="351">
        <v>25107.0</v>
      </c>
      <c r="E73" s="245"/>
      <c r="F73" s="350"/>
      <c r="G73" s="351">
        <v>33007.0</v>
      </c>
      <c r="H73" s="351">
        <v>37886.0</v>
      </c>
      <c r="I73" s="356"/>
      <c r="J73" s="350"/>
      <c r="K73" s="664">
        <v>26070.93</v>
      </c>
      <c r="L73" s="245"/>
      <c r="M73" s="350"/>
      <c r="N73" s="357"/>
      <c r="O73" s="616"/>
      <c r="P73" s="664">
        <v>25070.43</v>
      </c>
      <c r="Q73" s="245"/>
      <c r="R73" s="350"/>
      <c r="S73" s="665">
        <v>23741.32</v>
      </c>
      <c r="T73" s="245"/>
      <c r="U73" s="350"/>
      <c r="V73" s="604">
        <v>31351.21</v>
      </c>
      <c r="W73" s="352"/>
      <c r="X73" s="358"/>
      <c r="Y73" s="604">
        <v>32938.11</v>
      </c>
      <c r="Z73" s="605">
        <v>39357.25</v>
      </c>
      <c r="AA73" s="604">
        <v>38411.44</v>
      </c>
      <c r="AB73" s="604">
        <v>36721.01</v>
      </c>
      <c r="AC73" s="351">
        <v>69485.51</v>
      </c>
      <c r="AD73" s="561"/>
      <c r="AE73" s="561"/>
      <c r="AF73" s="561"/>
      <c r="AG73" s="561"/>
      <c r="AH73" s="561"/>
      <c r="AI73" s="561"/>
      <c r="AJ73" s="561"/>
      <c r="AK73" s="561"/>
      <c r="AL73" s="561"/>
      <c r="AM73" s="561"/>
      <c r="AN73" s="561"/>
      <c r="AO73" s="561"/>
      <c r="AP73" s="561"/>
      <c r="AQ73" s="561"/>
      <c r="AR73" s="561"/>
      <c r="AS73" s="561"/>
      <c r="AT73" s="561"/>
      <c r="AU73" s="561"/>
      <c r="AV73" s="561"/>
      <c r="AW73" s="561"/>
    </row>
    <row r="74" ht="15.75" customHeight="1">
      <c r="B74" s="393"/>
      <c r="C74" s="350"/>
      <c r="D74" s="351"/>
      <c r="E74" s="245"/>
      <c r="F74" s="350"/>
      <c r="G74" s="351"/>
      <c r="H74" s="351"/>
      <c r="I74" s="356"/>
      <c r="J74" s="350"/>
      <c r="K74" s="664"/>
      <c r="L74" s="245"/>
      <c r="M74" s="350"/>
      <c r="N74" s="245"/>
      <c r="O74" s="616"/>
      <c r="P74" s="664"/>
      <c r="Q74" s="245"/>
      <c r="R74" s="350"/>
      <c r="S74" s="665"/>
      <c r="T74" s="245"/>
      <c r="U74" s="350"/>
      <c r="V74" s="604"/>
      <c r="W74" s="352"/>
      <c r="X74" s="358"/>
      <c r="Y74" s="604"/>
      <c r="Z74" s="605"/>
      <c r="AA74" s="604"/>
      <c r="AB74" s="604"/>
      <c r="AC74" s="351"/>
      <c r="AD74" s="561"/>
      <c r="AE74" s="561"/>
      <c r="AF74" s="561"/>
      <c r="AG74" s="561"/>
      <c r="AH74" s="561"/>
      <c r="AI74" s="561"/>
      <c r="AJ74" s="561"/>
      <c r="AK74" s="561"/>
      <c r="AL74" s="561"/>
      <c r="AM74" s="561"/>
      <c r="AN74" s="561"/>
      <c r="AO74" s="561"/>
      <c r="AP74" s="561"/>
      <c r="AQ74" s="561"/>
      <c r="AR74" s="561"/>
      <c r="AS74" s="561"/>
      <c r="AT74" s="561"/>
      <c r="AU74" s="561"/>
      <c r="AV74" s="561"/>
      <c r="AW74" s="561"/>
    </row>
    <row r="75" ht="15.75" customHeight="1">
      <c r="B75" s="393"/>
      <c r="C75" s="350"/>
      <c r="D75" s="351"/>
      <c r="E75" s="245"/>
      <c r="F75" s="350"/>
      <c r="G75" s="351"/>
      <c r="H75" s="351"/>
      <c r="I75" s="356"/>
      <c r="J75" s="350"/>
      <c r="K75" s="664"/>
      <c r="L75" s="245"/>
      <c r="M75" s="350"/>
      <c r="N75" s="245"/>
      <c r="O75" s="616"/>
      <c r="P75" s="664"/>
      <c r="Q75" s="245"/>
      <c r="R75" s="350"/>
      <c r="S75" s="665"/>
      <c r="T75" s="245"/>
      <c r="U75" s="350"/>
      <c r="V75" s="604"/>
      <c r="W75" s="352"/>
      <c r="X75" s="358"/>
      <c r="Y75" s="604"/>
      <c r="Z75" s="605"/>
      <c r="AA75" s="604"/>
      <c r="AB75" s="604"/>
      <c r="AC75" s="351"/>
      <c r="AD75" s="561"/>
      <c r="AE75" s="561"/>
      <c r="AF75" s="561"/>
      <c r="AG75" s="561"/>
      <c r="AH75" s="561"/>
      <c r="AI75" s="561"/>
      <c r="AJ75" s="561"/>
      <c r="AK75" s="561"/>
      <c r="AL75" s="561"/>
      <c r="AM75" s="561"/>
      <c r="AN75" s="561"/>
      <c r="AO75" s="561"/>
      <c r="AP75" s="561"/>
      <c r="AQ75" s="561"/>
      <c r="AR75" s="561"/>
      <c r="AS75" s="561"/>
      <c r="AT75" s="561"/>
      <c r="AU75" s="561"/>
      <c r="AV75" s="561"/>
      <c r="AW75" s="561"/>
    </row>
    <row r="76" ht="15.75" customHeight="1">
      <c r="A76" s="561"/>
      <c r="B76" s="393"/>
      <c r="C76" s="411" t="s">
        <v>315</v>
      </c>
      <c r="D76" s="351">
        <f t="shared" ref="D76:E76" si="64">SUM(D77:D80)</f>
        <v>88609.5</v>
      </c>
      <c r="E76" s="245">
        <f t="shared" si="64"/>
        <v>0</v>
      </c>
      <c r="F76" s="350"/>
      <c r="G76" s="351">
        <f t="shared" ref="G76:I76" si="65">SUM(G77:G80)</f>
        <v>86566.5</v>
      </c>
      <c r="H76" s="351">
        <f t="shared" si="65"/>
        <v>87008</v>
      </c>
      <c r="I76" s="356">
        <f t="shared" si="65"/>
        <v>0</v>
      </c>
      <c r="J76" s="350"/>
      <c r="K76" s="664">
        <f t="shared" ref="K76:L76" si="66">SUM(K77:K80)</f>
        <v>87582</v>
      </c>
      <c r="L76" s="245">
        <f t="shared" si="66"/>
        <v>0</v>
      </c>
      <c r="M76" s="350"/>
      <c r="N76" s="357"/>
      <c r="O76" s="616"/>
      <c r="P76" s="664">
        <f t="shared" ref="P76:Q76" si="67">SUM(P77:P80)</f>
        <v>88148</v>
      </c>
      <c r="Q76" s="245">
        <f t="shared" si="67"/>
        <v>0</v>
      </c>
      <c r="R76" s="350"/>
      <c r="S76" s="665">
        <f t="shared" ref="S76:T76" si="68">SUM(S77:S80)</f>
        <v>86138</v>
      </c>
      <c r="T76" s="245">
        <f t="shared" si="68"/>
        <v>0</v>
      </c>
      <c r="U76" s="350"/>
      <c r="V76" s="604">
        <f t="shared" ref="V76:W76" si="69">SUM(V77:V80)</f>
        <v>86449</v>
      </c>
      <c r="W76" s="352">
        <f t="shared" si="69"/>
        <v>0</v>
      </c>
      <c r="X76" s="358"/>
      <c r="Y76" s="604">
        <f t="shared" ref="Y76:AC76" si="70">SUM(Y77:Y80)</f>
        <v>85504</v>
      </c>
      <c r="Z76" s="605">
        <f t="shared" si="70"/>
        <v>94167</v>
      </c>
      <c r="AA76" s="604">
        <f t="shared" si="70"/>
        <v>97567</v>
      </c>
      <c r="AB76" s="604">
        <f t="shared" si="70"/>
        <v>96638</v>
      </c>
      <c r="AC76" s="351">
        <f t="shared" si="70"/>
        <v>101974.2</v>
      </c>
      <c r="AD76" s="602">
        <f>D76+G76+H76+K76+P76+S76+V76+Y76+Z76+AA76+AB76+AC76</f>
        <v>1086351.2</v>
      </c>
      <c r="AE76" s="128"/>
      <c r="AF76" s="128"/>
      <c r="AG76" s="128"/>
      <c r="AH76" s="128"/>
      <c r="AI76" s="128"/>
      <c r="AJ76" s="128"/>
      <c r="AK76" s="128"/>
      <c r="AL76" s="128"/>
      <c r="AM76" s="128"/>
      <c r="AN76" s="128"/>
      <c r="AO76" s="128"/>
      <c r="AP76" s="128"/>
      <c r="AQ76" s="128"/>
      <c r="AR76" s="128"/>
      <c r="AS76" s="128"/>
      <c r="AT76" s="128"/>
      <c r="AU76" s="128"/>
      <c r="AV76" s="128"/>
      <c r="AW76" s="128"/>
    </row>
    <row r="77" ht="15.75" customHeight="1">
      <c r="B77" s="393"/>
      <c r="C77" s="350" t="s">
        <v>261</v>
      </c>
      <c r="D77" s="351">
        <v>67260.0</v>
      </c>
      <c r="E77" s="245"/>
      <c r="F77" s="350"/>
      <c r="G77" s="351">
        <v>67260.0</v>
      </c>
      <c r="H77" s="351">
        <v>67260.0</v>
      </c>
      <c r="I77" s="356"/>
      <c r="J77" s="350"/>
      <c r="K77" s="664">
        <v>67260.0</v>
      </c>
      <c r="L77" s="245"/>
      <c r="M77" s="350"/>
      <c r="N77" s="357"/>
      <c r="O77" s="616"/>
      <c r="P77" s="664">
        <v>67260.0</v>
      </c>
      <c r="Q77" s="245"/>
      <c r="R77" s="350"/>
      <c r="S77" s="665">
        <v>67260.0</v>
      </c>
      <c r="T77" s="245"/>
      <c r="U77" s="350"/>
      <c r="V77" s="604">
        <v>67260.0</v>
      </c>
      <c r="W77" s="352"/>
      <c r="X77" s="358"/>
      <c r="Y77" s="604">
        <v>67260.0</v>
      </c>
      <c r="Z77" s="605">
        <v>75332.0</v>
      </c>
      <c r="AA77" s="604">
        <v>75332.0</v>
      </c>
      <c r="AB77" s="604">
        <v>75332.0</v>
      </c>
      <c r="AC77" s="351">
        <f>63840*1.18</f>
        <v>75331.2</v>
      </c>
      <c r="AD77" s="561"/>
      <c r="AE77" s="561"/>
      <c r="AF77" s="561"/>
      <c r="AG77" s="561"/>
      <c r="AH77" s="561"/>
      <c r="AI77" s="561"/>
      <c r="AJ77" s="561"/>
      <c r="AK77" s="561"/>
      <c r="AL77" s="561"/>
      <c r="AM77" s="561"/>
      <c r="AN77" s="561"/>
      <c r="AO77" s="561"/>
      <c r="AP77" s="561"/>
      <c r="AQ77" s="561"/>
      <c r="AR77" s="561"/>
      <c r="AS77" s="561"/>
      <c r="AT77" s="561"/>
      <c r="AU77" s="561"/>
      <c r="AV77" s="561"/>
      <c r="AW77" s="561"/>
    </row>
    <row r="78" ht="15.75" customHeight="1">
      <c r="B78" s="393"/>
      <c r="C78" s="350" t="s">
        <v>262</v>
      </c>
      <c r="D78" s="351">
        <f>19735+580</f>
        <v>20315</v>
      </c>
      <c r="E78" s="245"/>
      <c r="F78" s="350"/>
      <c r="G78" s="351">
        <v>18652.0</v>
      </c>
      <c r="H78" s="351">
        <v>19748.0</v>
      </c>
      <c r="I78" s="356"/>
      <c r="J78" s="350"/>
      <c r="K78" s="664">
        <f>19748+574</f>
        <v>20322</v>
      </c>
      <c r="L78" s="245"/>
      <c r="M78" s="350"/>
      <c r="N78" s="357"/>
      <c r="O78" s="616"/>
      <c r="P78" s="664">
        <f>19748+1140</f>
        <v>20888</v>
      </c>
      <c r="Q78" s="245"/>
      <c r="R78" s="350"/>
      <c r="S78" s="393">
        <v>18878.0</v>
      </c>
      <c r="T78" s="245"/>
      <c r="U78" s="350"/>
      <c r="V78" s="349">
        <v>18640.0</v>
      </c>
      <c r="W78" s="352"/>
      <c r="X78" s="358"/>
      <c r="Y78" s="349">
        <v>17284.0</v>
      </c>
      <c r="Z78" s="499">
        <v>18075.0</v>
      </c>
      <c r="AA78" s="349">
        <v>20926.0</v>
      </c>
      <c r="AB78" s="349">
        <v>20926.0</v>
      </c>
      <c r="AC78" s="396">
        <v>22970.0</v>
      </c>
      <c r="AD78" s="561"/>
      <c r="AE78" s="561"/>
      <c r="AF78" s="561"/>
      <c r="AG78" s="561"/>
      <c r="AH78" s="561"/>
      <c r="AI78" s="561"/>
      <c r="AJ78" s="561"/>
      <c r="AK78" s="561"/>
      <c r="AL78" s="561"/>
      <c r="AM78" s="561"/>
      <c r="AN78" s="561"/>
      <c r="AO78" s="561"/>
      <c r="AP78" s="561"/>
      <c r="AQ78" s="561"/>
      <c r="AR78" s="561"/>
      <c r="AS78" s="561"/>
      <c r="AT78" s="561"/>
      <c r="AU78" s="561"/>
      <c r="AV78" s="561"/>
      <c r="AW78" s="561"/>
    </row>
    <row r="79" ht="15.75" customHeight="1">
      <c r="B79" s="393"/>
      <c r="C79" s="350" t="s">
        <v>263</v>
      </c>
      <c r="D79" s="351">
        <v>760.0</v>
      </c>
      <c r="E79" s="245"/>
      <c r="F79" s="350"/>
      <c r="G79" s="351">
        <v>380.0</v>
      </c>
      <c r="H79" s="351"/>
      <c r="I79" s="356"/>
      <c r="J79" s="350"/>
      <c r="K79" s="664"/>
      <c r="L79" s="245"/>
      <c r="M79" s="350"/>
      <c r="N79" s="357"/>
      <c r="O79" s="616"/>
      <c r="P79" s="664"/>
      <c r="Q79" s="245"/>
      <c r="R79" s="350"/>
      <c r="S79" s="393"/>
      <c r="T79" s="245"/>
      <c r="U79" s="350"/>
      <c r="V79" s="349"/>
      <c r="W79" s="352"/>
      <c r="X79" s="358"/>
      <c r="Y79" s="349">
        <v>380.0</v>
      </c>
      <c r="Z79" s="629">
        <v>760.0</v>
      </c>
      <c r="AA79" s="630">
        <v>760.0</v>
      </c>
      <c r="AB79" s="630">
        <v>380.0</v>
      </c>
      <c r="AC79" s="396">
        <v>760.0</v>
      </c>
      <c r="AD79" s="561"/>
      <c r="AE79" s="561"/>
      <c r="AF79" s="561"/>
      <c r="AG79" s="561"/>
      <c r="AH79" s="561"/>
      <c r="AI79" s="561"/>
      <c r="AJ79" s="561"/>
      <c r="AK79" s="561"/>
      <c r="AL79" s="561"/>
      <c r="AM79" s="561"/>
      <c r="AN79" s="561"/>
      <c r="AO79" s="561"/>
      <c r="AP79" s="561"/>
      <c r="AQ79" s="561"/>
      <c r="AR79" s="561"/>
      <c r="AS79" s="561"/>
      <c r="AT79" s="561"/>
      <c r="AU79" s="561"/>
      <c r="AV79" s="561"/>
      <c r="AW79" s="561"/>
    </row>
    <row r="80" ht="15.75" customHeight="1">
      <c r="B80" s="393"/>
      <c r="C80" s="350" t="s">
        <v>264</v>
      </c>
      <c r="D80" s="351">
        <f>549/2</f>
        <v>274.5</v>
      </c>
      <c r="E80" s="245"/>
      <c r="F80" s="350"/>
      <c r="G80" s="351">
        <f>549/2</f>
        <v>274.5</v>
      </c>
      <c r="H80" s="351"/>
      <c r="I80" s="356"/>
      <c r="J80" s="350"/>
      <c r="K80" s="664"/>
      <c r="L80" s="245"/>
      <c r="M80" s="350"/>
      <c r="N80" s="357"/>
      <c r="O80" s="616"/>
      <c r="P80" s="664"/>
      <c r="Q80" s="245"/>
      <c r="R80" s="350"/>
      <c r="S80" s="393"/>
      <c r="T80" s="245"/>
      <c r="U80" s="350"/>
      <c r="V80" s="349">
        <v>549.0</v>
      </c>
      <c r="W80" s="352"/>
      <c r="X80" s="358"/>
      <c r="Y80" s="349">
        <v>580.0</v>
      </c>
      <c r="Z80" s="499"/>
      <c r="AA80" s="349">
        <v>549.0</v>
      </c>
      <c r="AB80" s="349"/>
      <c r="AC80" s="351">
        <v>2913.0</v>
      </c>
      <c r="AD80" s="561"/>
      <c r="AE80" s="561"/>
      <c r="AF80" s="561"/>
      <c r="AG80" s="561"/>
      <c r="AH80" s="561"/>
      <c r="AI80" s="561"/>
      <c r="AJ80" s="561"/>
      <c r="AK80" s="561"/>
      <c r="AL80" s="561"/>
      <c r="AM80" s="561"/>
      <c r="AN80" s="561"/>
      <c r="AO80" s="561"/>
      <c r="AP80" s="561"/>
      <c r="AQ80" s="561"/>
      <c r="AR80" s="561"/>
      <c r="AS80" s="561"/>
      <c r="AT80" s="561"/>
      <c r="AU80" s="561"/>
      <c r="AV80" s="561"/>
      <c r="AW80" s="561"/>
    </row>
    <row r="81" ht="15.75" customHeight="1">
      <c r="B81" s="393"/>
      <c r="C81" s="411"/>
      <c r="D81" s="351"/>
      <c r="E81" s="245"/>
      <c r="F81" s="350"/>
      <c r="G81" s="351"/>
      <c r="H81" s="351"/>
      <c r="I81" s="356"/>
      <c r="J81" s="350"/>
      <c r="K81" s="664"/>
      <c r="L81" s="245"/>
      <c r="M81" s="350"/>
      <c r="N81" s="245"/>
      <c r="O81" s="616"/>
      <c r="P81" s="664"/>
      <c r="Q81" s="245"/>
      <c r="R81" s="350"/>
      <c r="S81" s="393"/>
      <c r="T81" s="245"/>
      <c r="U81" s="350"/>
      <c r="V81" s="349"/>
      <c r="W81" s="352"/>
      <c r="X81" s="358"/>
      <c r="Y81" s="349"/>
      <c r="Z81" s="499"/>
      <c r="AA81" s="349"/>
      <c r="AB81" s="349"/>
      <c r="AC81" s="351"/>
      <c r="AD81" s="561"/>
      <c r="AE81" s="561"/>
      <c r="AF81" s="561"/>
      <c r="AG81" s="561"/>
      <c r="AH81" s="561"/>
      <c r="AI81" s="561"/>
      <c r="AJ81" s="561"/>
      <c r="AK81" s="561"/>
      <c r="AL81" s="561"/>
      <c r="AM81" s="561"/>
      <c r="AN81" s="561"/>
      <c r="AO81" s="561"/>
      <c r="AP81" s="561"/>
      <c r="AQ81" s="561"/>
      <c r="AR81" s="561"/>
      <c r="AS81" s="561"/>
      <c r="AT81" s="561"/>
      <c r="AU81" s="561"/>
      <c r="AV81" s="561"/>
      <c r="AW81" s="561"/>
    </row>
    <row r="82" ht="15.75" customHeight="1">
      <c r="A82" s="666"/>
      <c r="B82" s="410"/>
      <c r="C82" s="411" t="s">
        <v>38</v>
      </c>
      <c r="D82" s="654">
        <f t="shared" ref="D82:E82" si="71">SUM(D83:D89)</f>
        <v>254251.04</v>
      </c>
      <c r="E82" s="667">
        <f t="shared" si="71"/>
        <v>0</v>
      </c>
      <c r="F82" s="668"/>
      <c r="G82" s="654">
        <f t="shared" ref="G82:I82" si="72">SUM(G83:G89)</f>
        <v>257652.92</v>
      </c>
      <c r="H82" s="654">
        <f t="shared" si="72"/>
        <v>259352.4</v>
      </c>
      <c r="I82" s="669">
        <f t="shared" si="72"/>
        <v>0</v>
      </c>
      <c r="J82" s="668"/>
      <c r="K82" s="670">
        <f t="shared" ref="K82:L82" si="73">SUM(K83:K89)</f>
        <v>261651.6362</v>
      </c>
      <c r="L82" s="667">
        <f t="shared" si="73"/>
        <v>0</v>
      </c>
      <c r="M82" s="668"/>
      <c r="N82" s="671"/>
      <c r="O82" s="672"/>
      <c r="P82" s="670">
        <f t="shared" ref="P82:Q82" si="74">SUM(P83:P89)</f>
        <v>247052</v>
      </c>
      <c r="Q82" s="667">
        <f t="shared" si="74"/>
        <v>0</v>
      </c>
      <c r="R82" s="668"/>
      <c r="S82" s="410">
        <f t="shared" ref="S82:T82" si="75">SUM(S83:S89)</f>
        <v>245382.15</v>
      </c>
      <c r="T82" s="667">
        <f t="shared" si="75"/>
        <v>0</v>
      </c>
      <c r="U82" s="668"/>
      <c r="V82" s="673">
        <f>SUM(V83:V90)</f>
        <v>455212.2</v>
      </c>
      <c r="W82" s="658">
        <f>SUM(W83:W89)</f>
        <v>0</v>
      </c>
      <c r="X82" s="656"/>
      <c r="Y82" s="674">
        <f t="shared" ref="Y82:AC82" si="76">SUM(Y83:Y89)</f>
        <v>298917.05</v>
      </c>
      <c r="Z82" s="675">
        <f t="shared" si="76"/>
        <v>382822</v>
      </c>
      <c r="AA82" s="673">
        <f t="shared" si="76"/>
        <v>285607</v>
      </c>
      <c r="AB82" s="674">
        <f t="shared" si="76"/>
        <v>286367.14</v>
      </c>
      <c r="AC82" s="654">
        <f t="shared" si="76"/>
        <v>401896.41</v>
      </c>
      <c r="AD82" s="602">
        <f>D82+G82+H82+K82+P82+S82+V82+Y82+Z82+AA82+AB82+AC82</f>
        <v>3636163.946</v>
      </c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  <c r="AU82" s="104"/>
      <c r="AV82" s="104"/>
      <c r="AW82" s="104"/>
    </row>
    <row r="83" ht="15.75" customHeight="1">
      <c r="B83" s="393"/>
      <c r="C83" s="350" t="s">
        <v>318</v>
      </c>
      <c r="D83" s="351"/>
      <c r="E83" s="245"/>
      <c r="F83" s="350"/>
      <c r="G83" s="351"/>
      <c r="H83" s="351"/>
      <c r="I83" s="356"/>
      <c r="J83" s="350"/>
      <c r="K83" s="664"/>
      <c r="L83" s="245"/>
      <c r="M83" s="350"/>
      <c r="N83" s="676"/>
      <c r="O83" s="616"/>
      <c r="P83" s="664"/>
      <c r="Q83" s="245"/>
      <c r="R83" s="350"/>
      <c r="S83" s="393"/>
      <c r="T83" s="245"/>
      <c r="U83" s="350"/>
      <c r="V83" s="349"/>
      <c r="W83" s="352"/>
      <c r="X83" s="358"/>
      <c r="Y83" s="349"/>
      <c r="Z83" s="499"/>
      <c r="AA83" s="349"/>
      <c r="AB83" s="349"/>
      <c r="AC83" s="351"/>
      <c r="AD83" s="561"/>
      <c r="AE83" s="561"/>
      <c r="AF83" s="561"/>
      <c r="AG83" s="561"/>
      <c r="AH83" s="561"/>
      <c r="AI83" s="561"/>
      <c r="AJ83" s="561"/>
      <c r="AK83" s="561"/>
      <c r="AL83" s="561"/>
      <c r="AM83" s="561"/>
      <c r="AN83" s="561"/>
      <c r="AO83" s="561"/>
      <c r="AP83" s="561"/>
      <c r="AQ83" s="561"/>
      <c r="AR83" s="561"/>
      <c r="AS83" s="561"/>
      <c r="AT83" s="561"/>
      <c r="AU83" s="561"/>
      <c r="AV83" s="561"/>
      <c r="AW83" s="561"/>
    </row>
    <row r="84" ht="15.75" customHeight="1">
      <c r="B84" s="393"/>
      <c r="C84" s="350" t="s">
        <v>265</v>
      </c>
      <c r="D84" s="351">
        <v>234914.0</v>
      </c>
      <c r="E84" s="245"/>
      <c r="F84" s="350"/>
      <c r="G84" s="351">
        <v>237839.0</v>
      </c>
      <c r="H84" s="351">
        <v>240594.0</v>
      </c>
      <c r="I84" s="356"/>
      <c r="J84" s="350"/>
      <c r="K84" s="664">
        <v>241335.0</v>
      </c>
      <c r="L84" s="245"/>
      <c r="M84" s="350"/>
      <c r="N84" s="676"/>
      <c r="O84" s="616"/>
      <c r="P84" s="664">
        <v>237054.0</v>
      </c>
      <c r="Q84" s="245"/>
      <c r="R84" s="350"/>
      <c r="S84" s="393">
        <v>226085.0</v>
      </c>
      <c r="T84" s="245"/>
      <c r="U84" s="350"/>
      <c r="V84" s="349">
        <v>244341.0</v>
      </c>
      <c r="W84" s="352"/>
      <c r="X84" s="358"/>
      <c r="Y84" s="349">
        <v>272204.0</v>
      </c>
      <c r="Z84" s="629">
        <v>361822.0</v>
      </c>
      <c r="AA84" s="349">
        <f>264607</f>
        <v>264607</v>
      </c>
      <c r="AB84" s="349">
        <v>264607.0</v>
      </c>
      <c r="AC84" s="351">
        <v>391475.0</v>
      </c>
      <c r="AD84" s="561"/>
      <c r="AE84" s="561"/>
      <c r="AF84" s="561"/>
      <c r="AG84" s="561"/>
      <c r="AH84" s="561"/>
      <c r="AI84" s="561"/>
      <c r="AJ84" s="561"/>
      <c r="AK84" s="561"/>
      <c r="AL84" s="561"/>
      <c r="AM84" s="561"/>
      <c r="AN84" s="561"/>
      <c r="AO84" s="561"/>
      <c r="AP84" s="561"/>
      <c r="AQ84" s="561"/>
      <c r="AR84" s="561"/>
      <c r="AS84" s="561"/>
      <c r="AT84" s="561"/>
      <c r="AU84" s="561"/>
      <c r="AV84" s="561"/>
      <c r="AW84" s="561"/>
    </row>
    <row r="85" ht="15.75" customHeight="1">
      <c r="B85" s="393"/>
      <c r="C85" s="350" t="s">
        <v>266</v>
      </c>
      <c r="D85" s="351"/>
      <c r="E85" s="245"/>
      <c r="F85" s="350"/>
      <c r="G85" s="351"/>
      <c r="H85" s="351"/>
      <c r="I85" s="356"/>
      <c r="J85" s="350"/>
      <c r="K85" s="664"/>
      <c r="L85" s="245"/>
      <c r="M85" s="350"/>
      <c r="N85" s="676"/>
      <c r="O85" s="616"/>
      <c r="P85" s="664"/>
      <c r="Q85" s="245"/>
      <c r="R85" s="350"/>
      <c r="S85" s="393"/>
      <c r="T85" s="245"/>
      <c r="U85" s="350"/>
      <c r="V85" s="349"/>
      <c r="W85" s="352"/>
      <c r="X85" s="358"/>
      <c r="Y85" s="349"/>
      <c r="Z85" s="499"/>
      <c r="AA85" s="349"/>
      <c r="AB85" s="349"/>
      <c r="AC85" s="351"/>
      <c r="AD85" s="561"/>
      <c r="AE85" s="561"/>
      <c r="AF85" s="561"/>
      <c r="AG85" s="561"/>
      <c r="AH85" s="561"/>
      <c r="AI85" s="561"/>
      <c r="AJ85" s="561"/>
      <c r="AK85" s="561"/>
      <c r="AL85" s="561"/>
      <c r="AM85" s="561"/>
      <c r="AN85" s="561"/>
      <c r="AO85" s="561"/>
      <c r="AP85" s="561"/>
      <c r="AQ85" s="561"/>
      <c r="AR85" s="561"/>
      <c r="AS85" s="561"/>
      <c r="AT85" s="561"/>
      <c r="AU85" s="561"/>
      <c r="AV85" s="561"/>
      <c r="AW85" s="561"/>
    </row>
    <row r="86" ht="15.75" customHeight="1">
      <c r="A86" s="561"/>
      <c r="B86" s="393"/>
      <c r="C86" s="350" t="s">
        <v>267</v>
      </c>
      <c r="D86" s="351">
        <v>9339.04</v>
      </c>
      <c r="E86" s="245"/>
      <c r="F86" s="350"/>
      <c r="G86" s="351">
        <v>9815.92</v>
      </c>
      <c r="H86" s="351">
        <v>8760.4</v>
      </c>
      <c r="I86" s="356"/>
      <c r="J86" s="350"/>
      <c r="K86" s="664">
        <v>10318.6361538462</v>
      </c>
      <c r="L86" s="245"/>
      <c r="M86" s="350"/>
      <c r="N86" s="676"/>
      <c r="O86" s="616"/>
      <c r="P86" s="664"/>
      <c r="Q86" s="245"/>
      <c r="R86" s="350"/>
      <c r="S86" s="677">
        <v>9299.15</v>
      </c>
      <c r="T86" s="245"/>
      <c r="U86" s="350"/>
      <c r="V86" s="678">
        <v>9981.2</v>
      </c>
      <c r="W86" s="352"/>
      <c r="X86" s="358"/>
      <c r="Y86" s="678">
        <v>15713.05</v>
      </c>
      <c r="Z86" s="679">
        <v>10000.0</v>
      </c>
      <c r="AA86" s="680">
        <v>10000.0</v>
      </c>
      <c r="AB86" s="628">
        <v>10760.14</v>
      </c>
      <c r="AC86" s="396">
        <v>9104.41</v>
      </c>
      <c r="AD86" s="561"/>
      <c r="AE86" s="561"/>
      <c r="AF86" s="561"/>
      <c r="AG86" s="561"/>
      <c r="AH86" s="561"/>
      <c r="AI86" s="561"/>
      <c r="AJ86" s="561"/>
      <c r="AK86" s="561"/>
      <c r="AL86" s="561"/>
      <c r="AM86" s="561"/>
      <c r="AN86" s="561"/>
      <c r="AO86" s="561"/>
      <c r="AP86" s="561"/>
      <c r="AQ86" s="561"/>
      <c r="AR86" s="561"/>
      <c r="AS86" s="561"/>
      <c r="AT86" s="561"/>
      <c r="AU86" s="561"/>
      <c r="AV86" s="561"/>
      <c r="AW86" s="561"/>
    </row>
    <row r="87" ht="15.75" customHeight="1">
      <c r="B87" s="393"/>
      <c r="C87" s="350" t="s">
        <v>268</v>
      </c>
      <c r="D87" s="351">
        <v>9998.0</v>
      </c>
      <c r="E87" s="245"/>
      <c r="F87" s="350"/>
      <c r="G87" s="351">
        <v>9998.0</v>
      </c>
      <c r="H87" s="351">
        <v>9998.0</v>
      </c>
      <c r="I87" s="356"/>
      <c r="J87" s="350"/>
      <c r="K87" s="664">
        <v>9998.0</v>
      </c>
      <c r="L87" s="245"/>
      <c r="M87" s="350"/>
      <c r="N87" s="676"/>
      <c r="O87" s="616"/>
      <c r="P87" s="664">
        <v>9998.0</v>
      </c>
      <c r="Q87" s="245"/>
      <c r="R87" s="350"/>
      <c r="S87" s="393">
        <v>9998.0</v>
      </c>
      <c r="T87" s="245"/>
      <c r="U87" s="350"/>
      <c r="V87" s="349">
        <v>11000.0</v>
      </c>
      <c r="W87" s="352"/>
      <c r="X87" s="358"/>
      <c r="Y87" s="349">
        <v>11000.0</v>
      </c>
      <c r="Z87" s="499">
        <v>11000.0</v>
      </c>
      <c r="AA87" s="349">
        <v>11000.0</v>
      </c>
      <c r="AB87" s="349">
        <v>11000.0</v>
      </c>
      <c r="AC87" s="351"/>
      <c r="AD87" s="561"/>
      <c r="AE87" s="561"/>
      <c r="AF87" s="561"/>
      <c r="AG87" s="561"/>
      <c r="AH87" s="561"/>
      <c r="AI87" s="561"/>
      <c r="AJ87" s="561"/>
      <c r="AK87" s="561"/>
      <c r="AL87" s="561"/>
      <c r="AM87" s="561"/>
      <c r="AN87" s="561"/>
      <c r="AO87" s="561"/>
      <c r="AP87" s="561"/>
      <c r="AQ87" s="561"/>
      <c r="AR87" s="561"/>
      <c r="AS87" s="561"/>
      <c r="AT87" s="561"/>
      <c r="AU87" s="561"/>
      <c r="AV87" s="561"/>
      <c r="AW87" s="561"/>
    </row>
    <row r="88" ht="15.75" customHeight="1">
      <c r="B88" s="393"/>
      <c r="C88" s="350" t="s">
        <v>269</v>
      </c>
      <c r="D88" s="351"/>
      <c r="E88" s="245"/>
      <c r="F88" s="350"/>
      <c r="G88" s="351"/>
      <c r="H88" s="351"/>
      <c r="I88" s="356"/>
      <c r="J88" s="350"/>
      <c r="K88" s="664"/>
      <c r="L88" s="245"/>
      <c r="M88" s="350"/>
      <c r="N88" s="676"/>
      <c r="O88" s="616"/>
      <c r="P88" s="664"/>
      <c r="Q88" s="245"/>
      <c r="R88" s="350"/>
      <c r="S88" s="393"/>
      <c r="T88" s="245"/>
      <c r="U88" s="350"/>
      <c r="V88" s="349"/>
      <c r="W88" s="352"/>
      <c r="X88" s="358"/>
      <c r="Y88" s="349"/>
      <c r="Z88" s="499"/>
      <c r="AA88" s="349"/>
      <c r="AB88" s="349"/>
      <c r="AC88" s="396">
        <v>1317.0</v>
      </c>
      <c r="AD88" s="561"/>
      <c r="AE88" s="561"/>
      <c r="AF88" s="561"/>
      <c r="AG88" s="561"/>
      <c r="AH88" s="561"/>
      <c r="AI88" s="561"/>
      <c r="AJ88" s="561"/>
      <c r="AK88" s="561"/>
      <c r="AL88" s="561"/>
      <c r="AM88" s="561"/>
      <c r="AN88" s="561"/>
      <c r="AO88" s="561"/>
      <c r="AP88" s="561"/>
      <c r="AQ88" s="561"/>
      <c r="AR88" s="561"/>
      <c r="AS88" s="561"/>
      <c r="AT88" s="561"/>
      <c r="AU88" s="561"/>
      <c r="AV88" s="561"/>
      <c r="AW88" s="561"/>
    </row>
    <row r="89" ht="15.75" customHeight="1">
      <c r="B89" s="393"/>
      <c r="C89" s="350" t="s">
        <v>270</v>
      </c>
      <c r="D89" s="351"/>
      <c r="E89" s="245"/>
      <c r="F89" s="350"/>
      <c r="G89" s="351"/>
      <c r="H89" s="351"/>
      <c r="I89" s="356"/>
      <c r="J89" s="350"/>
      <c r="K89" s="664"/>
      <c r="L89" s="245"/>
      <c r="M89" s="350"/>
      <c r="N89" s="676"/>
      <c r="O89" s="616"/>
      <c r="P89" s="664"/>
      <c r="Q89" s="245"/>
      <c r="R89" s="350"/>
      <c r="S89" s="393"/>
      <c r="T89" s="245"/>
      <c r="U89" s="350"/>
      <c r="V89" s="349"/>
      <c r="W89" s="352"/>
      <c r="X89" s="358"/>
      <c r="Y89" s="349"/>
      <c r="Z89" s="499"/>
      <c r="AA89" s="349"/>
      <c r="AB89" s="349"/>
      <c r="AC89" s="351"/>
      <c r="AD89" s="561"/>
      <c r="AE89" s="561"/>
      <c r="AF89" s="561"/>
      <c r="AG89" s="561"/>
      <c r="AH89" s="561"/>
      <c r="AI89" s="561"/>
      <c r="AJ89" s="561"/>
      <c r="AK89" s="561"/>
      <c r="AL89" s="561"/>
      <c r="AM89" s="561"/>
      <c r="AN89" s="561"/>
      <c r="AO89" s="561"/>
      <c r="AP89" s="561"/>
      <c r="AQ89" s="561"/>
      <c r="AR89" s="561"/>
      <c r="AS89" s="561"/>
      <c r="AT89" s="561"/>
      <c r="AU89" s="561"/>
      <c r="AV89" s="561"/>
      <c r="AW89" s="561"/>
    </row>
    <row r="90" ht="15.75" customHeight="1">
      <c r="B90" s="393"/>
      <c r="C90" s="350" t="s">
        <v>271</v>
      </c>
      <c r="D90" s="351"/>
      <c r="E90" s="245"/>
      <c r="F90" s="350"/>
      <c r="G90" s="351"/>
      <c r="H90" s="351"/>
      <c r="I90" s="356"/>
      <c r="J90" s="350"/>
      <c r="K90" s="664"/>
      <c r="L90" s="245"/>
      <c r="M90" s="350"/>
      <c r="N90" s="245"/>
      <c r="O90" s="616"/>
      <c r="P90" s="664"/>
      <c r="Q90" s="245"/>
      <c r="R90" s="350"/>
      <c r="S90" s="393"/>
      <c r="T90" s="245"/>
      <c r="U90" s="350"/>
      <c r="V90" s="349">
        <v>189890.0</v>
      </c>
      <c r="W90" s="352"/>
      <c r="X90" s="358"/>
      <c r="Y90" s="349"/>
      <c r="Z90" s="499"/>
      <c r="AA90" s="349"/>
      <c r="AB90" s="349"/>
      <c r="AC90" s="351"/>
      <c r="AD90" s="561"/>
      <c r="AE90" s="561"/>
      <c r="AF90" s="561"/>
      <c r="AG90" s="561"/>
      <c r="AH90" s="561"/>
      <c r="AI90" s="561"/>
      <c r="AJ90" s="561"/>
      <c r="AK90" s="561"/>
      <c r="AL90" s="561"/>
      <c r="AM90" s="561"/>
      <c r="AN90" s="561"/>
      <c r="AO90" s="561"/>
      <c r="AP90" s="561"/>
      <c r="AQ90" s="561"/>
      <c r="AR90" s="561"/>
      <c r="AS90" s="561"/>
      <c r="AT90" s="561"/>
      <c r="AU90" s="561"/>
      <c r="AV90" s="561"/>
      <c r="AW90" s="561"/>
    </row>
    <row r="91" ht="15.75" customHeight="1">
      <c r="B91" s="393"/>
      <c r="C91" s="411"/>
      <c r="D91" s="351"/>
      <c r="E91" s="245"/>
      <c r="F91" s="350"/>
      <c r="G91" s="351"/>
      <c r="H91" s="351"/>
      <c r="I91" s="356"/>
      <c r="J91" s="350"/>
      <c r="K91" s="664"/>
      <c r="L91" s="245"/>
      <c r="M91" s="350"/>
      <c r="N91" s="245"/>
      <c r="O91" s="616"/>
      <c r="P91" s="664"/>
      <c r="Q91" s="245"/>
      <c r="R91" s="350"/>
      <c r="S91" s="393"/>
      <c r="T91" s="245"/>
      <c r="U91" s="350"/>
      <c r="V91" s="349"/>
      <c r="W91" s="352"/>
      <c r="X91" s="358"/>
      <c r="Y91" s="349"/>
      <c r="Z91" s="499"/>
      <c r="AA91" s="349"/>
      <c r="AB91" s="349"/>
      <c r="AC91" s="351"/>
      <c r="AD91" s="561"/>
      <c r="AE91" s="561"/>
      <c r="AF91" s="561"/>
      <c r="AG91" s="561"/>
      <c r="AH91" s="561"/>
      <c r="AI91" s="561"/>
      <c r="AJ91" s="561"/>
      <c r="AK91" s="561"/>
      <c r="AL91" s="561"/>
      <c r="AM91" s="561"/>
      <c r="AN91" s="561"/>
      <c r="AO91" s="561"/>
      <c r="AP91" s="561"/>
      <c r="AQ91" s="561"/>
      <c r="AR91" s="561"/>
      <c r="AS91" s="561"/>
      <c r="AT91" s="561"/>
      <c r="AU91" s="561"/>
      <c r="AV91" s="561"/>
      <c r="AW91" s="561"/>
    </row>
    <row r="92" ht="15.75" customHeight="1">
      <c r="A92" s="561"/>
      <c r="B92" s="393"/>
      <c r="C92" s="411" t="s">
        <v>39</v>
      </c>
      <c r="D92" s="351">
        <f t="shared" ref="D92:E92" si="77">SUM(D93)</f>
        <v>0</v>
      </c>
      <c r="E92" s="245">
        <f t="shared" si="77"/>
        <v>0</v>
      </c>
      <c r="F92" s="350"/>
      <c r="G92" s="351">
        <f t="shared" ref="G92:I92" si="78">SUM(G93)</f>
        <v>0</v>
      </c>
      <c r="H92" s="351">
        <f t="shared" si="78"/>
        <v>0</v>
      </c>
      <c r="I92" s="356">
        <f t="shared" si="78"/>
        <v>0</v>
      </c>
      <c r="J92" s="350"/>
      <c r="K92" s="664">
        <f t="shared" ref="K92:L92" si="79">SUM(K93)</f>
        <v>0</v>
      </c>
      <c r="L92" s="245">
        <f t="shared" si="79"/>
        <v>0</v>
      </c>
      <c r="M92" s="350"/>
      <c r="N92" s="245"/>
      <c r="O92" s="616"/>
      <c r="P92" s="664">
        <f t="shared" ref="P92:Q92" si="80">SUM(P93)</f>
        <v>0</v>
      </c>
      <c r="Q92" s="245">
        <f t="shared" si="80"/>
        <v>0</v>
      </c>
      <c r="R92" s="350"/>
      <c r="S92" s="393">
        <f t="shared" ref="S92:T92" si="81">SUM(S93)</f>
        <v>0</v>
      </c>
      <c r="T92" s="245">
        <f t="shared" si="81"/>
        <v>0</v>
      </c>
      <c r="U92" s="350"/>
      <c r="V92" s="349">
        <f t="shared" ref="V92:W92" si="82">SUM(V93)</f>
        <v>0</v>
      </c>
      <c r="W92" s="352">
        <f t="shared" si="82"/>
        <v>0</v>
      </c>
      <c r="X92" s="358"/>
      <c r="Y92" s="349">
        <f t="shared" ref="Y92:AC92" si="83">SUM(Y93)</f>
        <v>0</v>
      </c>
      <c r="Z92" s="499">
        <f t="shared" si="83"/>
        <v>0</v>
      </c>
      <c r="AA92" s="349">
        <f t="shared" si="83"/>
        <v>0</v>
      </c>
      <c r="AB92" s="349">
        <f t="shared" si="83"/>
        <v>0</v>
      </c>
      <c r="AC92" s="351">
        <f t="shared" si="83"/>
        <v>0</v>
      </c>
      <c r="AD92" s="602">
        <f>SUM(D92:AC92)</f>
        <v>0</v>
      </c>
      <c r="AE92" s="128"/>
      <c r="AF92" s="128"/>
      <c r="AG92" s="128"/>
      <c r="AH92" s="128"/>
      <c r="AI92" s="128"/>
      <c r="AJ92" s="128"/>
      <c r="AK92" s="128"/>
      <c r="AL92" s="128"/>
      <c r="AM92" s="128"/>
      <c r="AN92" s="128"/>
      <c r="AO92" s="128"/>
      <c r="AP92" s="128"/>
      <c r="AQ92" s="128"/>
      <c r="AR92" s="128"/>
      <c r="AS92" s="128"/>
      <c r="AT92" s="128"/>
      <c r="AU92" s="128"/>
      <c r="AV92" s="128"/>
      <c r="AW92" s="128"/>
    </row>
    <row r="93" ht="15.75" customHeight="1">
      <c r="B93" s="393"/>
      <c r="C93" s="350" t="s">
        <v>272</v>
      </c>
      <c r="D93" s="351"/>
      <c r="E93" s="245"/>
      <c r="F93" s="350"/>
      <c r="G93" s="351"/>
      <c r="H93" s="351"/>
      <c r="I93" s="356"/>
      <c r="J93" s="350"/>
      <c r="K93" s="664"/>
      <c r="L93" s="245"/>
      <c r="M93" s="350"/>
      <c r="N93" s="245"/>
      <c r="O93" s="616"/>
      <c r="P93" s="664"/>
      <c r="Q93" s="245"/>
      <c r="R93" s="350"/>
      <c r="S93" s="393"/>
      <c r="T93" s="245"/>
      <c r="U93" s="350"/>
      <c r="V93" s="349"/>
      <c r="W93" s="352"/>
      <c r="X93" s="358"/>
      <c r="Y93" s="349"/>
      <c r="Z93" s="499"/>
      <c r="AA93" s="349"/>
      <c r="AB93" s="349"/>
      <c r="AC93" s="351"/>
      <c r="AD93" s="561"/>
      <c r="AE93" s="561"/>
      <c r="AF93" s="561"/>
      <c r="AG93" s="561"/>
      <c r="AH93" s="561"/>
      <c r="AI93" s="561"/>
      <c r="AJ93" s="561"/>
      <c r="AK93" s="561"/>
      <c r="AL93" s="561"/>
      <c r="AM93" s="561"/>
      <c r="AN93" s="561"/>
      <c r="AO93" s="561"/>
      <c r="AP93" s="561"/>
      <c r="AQ93" s="561"/>
      <c r="AR93" s="561"/>
      <c r="AS93" s="561"/>
      <c r="AT93" s="561"/>
      <c r="AU93" s="561"/>
      <c r="AV93" s="561"/>
      <c r="AW93" s="561"/>
    </row>
    <row r="94" ht="15.75" customHeight="1">
      <c r="B94" s="393"/>
      <c r="C94" s="350"/>
      <c r="D94" s="351"/>
      <c r="E94" s="245"/>
      <c r="F94" s="350"/>
      <c r="G94" s="351"/>
      <c r="H94" s="351"/>
      <c r="I94" s="356"/>
      <c r="J94" s="350"/>
      <c r="K94" s="664"/>
      <c r="L94" s="245"/>
      <c r="M94" s="350"/>
      <c r="N94" s="245"/>
      <c r="O94" s="616"/>
      <c r="P94" s="664"/>
      <c r="Q94" s="245"/>
      <c r="R94" s="350"/>
      <c r="S94" s="393"/>
      <c r="T94" s="245"/>
      <c r="U94" s="350"/>
      <c r="V94" s="349"/>
      <c r="W94" s="352"/>
      <c r="X94" s="358"/>
      <c r="Y94" s="349"/>
      <c r="Z94" s="499"/>
      <c r="AA94" s="349"/>
      <c r="AB94" s="349"/>
      <c r="AC94" s="351"/>
      <c r="AD94" s="561"/>
      <c r="AE94" s="561"/>
      <c r="AF94" s="561"/>
      <c r="AG94" s="561"/>
      <c r="AH94" s="561"/>
      <c r="AI94" s="561"/>
      <c r="AJ94" s="561"/>
      <c r="AK94" s="561"/>
      <c r="AL94" s="561"/>
      <c r="AM94" s="561"/>
      <c r="AN94" s="561"/>
      <c r="AO94" s="561"/>
      <c r="AP94" s="561"/>
      <c r="AQ94" s="561"/>
      <c r="AR94" s="561"/>
      <c r="AS94" s="561"/>
      <c r="AT94" s="561"/>
      <c r="AU94" s="561"/>
      <c r="AV94" s="561"/>
      <c r="AW94" s="561"/>
    </row>
    <row r="95" ht="15.75" customHeight="1">
      <c r="A95" s="561"/>
      <c r="B95" s="393"/>
      <c r="C95" s="411" t="s">
        <v>273</v>
      </c>
      <c r="D95" s="351">
        <f t="shared" ref="D95:E95" si="84">SUM(D96:D97)</f>
        <v>688.3333333</v>
      </c>
      <c r="E95" s="245">
        <f t="shared" si="84"/>
        <v>0</v>
      </c>
      <c r="F95" s="350"/>
      <c r="G95" s="351">
        <f t="shared" ref="G95:I95" si="85">SUM(G96:G97)</f>
        <v>688.3333333</v>
      </c>
      <c r="H95" s="351">
        <f t="shared" si="85"/>
        <v>688.3333333</v>
      </c>
      <c r="I95" s="356">
        <f t="shared" si="85"/>
        <v>0</v>
      </c>
      <c r="J95" s="350"/>
      <c r="K95" s="664">
        <f t="shared" ref="K95:L95" si="86">SUM(K96:K97)</f>
        <v>688.3333333</v>
      </c>
      <c r="L95" s="245">
        <f t="shared" si="86"/>
        <v>0</v>
      </c>
      <c r="M95" s="350"/>
      <c r="N95" s="245"/>
      <c r="O95" s="616"/>
      <c r="P95" s="664">
        <f t="shared" ref="P95:Q95" si="87">SUM(P96:P97)</f>
        <v>688.3333333</v>
      </c>
      <c r="Q95" s="245">
        <f t="shared" si="87"/>
        <v>0</v>
      </c>
      <c r="R95" s="350"/>
      <c r="S95" s="393">
        <f t="shared" ref="S95:T95" si="88">SUM(S96:S97)</f>
        <v>688</v>
      </c>
      <c r="T95" s="245">
        <f t="shared" si="88"/>
        <v>0</v>
      </c>
      <c r="U95" s="350"/>
      <c r="V95" s="349">
        <f t="shared" ref="V95:W95" si="89">SUM(V96:V97)</f>
        <v>688</v>
      </c>
      <c r="W95" s="352">
        <f t="shared" si="89"/>
        <v>688</v>
      </c>
      <c r="X95" s="358"/>
      <c r="Y95" s="349">
        <f t="shared" ref="Y95:AC95" si="90">SUM(Y96:Y97)</f>
        <v>5408</v>
      </c>
      <c r="Z95" s="499">
        <f t="shared" si="90"/>
        <v>688</v>
      </c>
      <c r="AA95" s="349">
        <f t="shared" si="90"/>
        <v>688</v>
      </c>
      <c r="AB95" s="349">
        <f t="shared" si="90"/>
        <v>688</v>
      </c>
      <c r="AC95" s="351">
        <f t="shared" si="90"/>
        <v>688</v>
      </c>
      <c r="AD95" s="602">
        <f>D95+G95+H95+K95+P95+S95+V95+Y95+Z95+AA95+AB95+AC95</f>
        <v>12977.66667</v>
      </c>
      <c r="AE95" s="128"/>
      <c r="AF95" s="128"/>
      <c r="AG95" s="128"/>
      <c r="AH95" s="128"/>
      <c r="AI95" s="128"/>
      <c r="AJ95" s="128"/>
      <c r="AK95" s="128"/>
      <c r="AL95" s="128"/>
      <c r="AM95" s="128"/>
      <c r="AN95" s="128"/>
      <c r="AO95" s="128"/>
      <c r="AP95" s="128"/>
      <c r="AQ95" s="128"/>
      <c r="AR95" s="128"/>
      <c r="AS95" s="128"/>
      <c r="AT95" s="128"/>
      <c r="AU95" s="128"/>
      <c r="AV95" s="128"/>
      <c r="AW95" s="128"/>
    </row>
    <row r="96" ht="15.75" customHeight="1">
      <c r="B96" s="393"/>
      <c r="C96" s="350" t="s">
        <v>274</v>
      </c>
      <c r="D96" s="351"/>
      <c r="E96" s="245"/>
      <c r="F96" s="350"/>
      <c r="G96" s="351"/>
      <c r="H96" s="351"/>
      <c r="I96" s="356"/>
      <c r="J96" s="350"/>
      <c r="K96" s="664"/>
      <c r="L96" s="245"/>
      <c r="M96" s="350"/>
      <c r="N96" s="245"/>
      <c r="O96" s="616"/>
      <c r="P96" s="664"/>
      <c r="Q96" s="245"/>
      <c r="R96" s="350"/>
      <c r="S96" s="393"/>
      <c r="T96" s="245"/>
      <c r="U96" s="350"/>
      <c r="V96" s="349"/>
      <c r="W96" s="352"/>
      <c r="X96" s="358"/>
      <c r="Y96" s="349">
        <v>4720.0</v>
      </c>
      <c r="Z96" s="499"/>
      <c r="AA96" s="349"/>
      <c r="AB96" s="349"/>
      <c r="AC96" s="351"/>
      <c r="AD96" s="561"/>
      <c r="AE96" s="561"/>
      <c r="AF96" s="561"/>
      <c r="AG96" s="561"/>
      <c r="AH96" s="561"/>
      <c r="AI96" s="561"/>
      <c r="AJ96" s="561"/>
      <c r="AK96" s="561"/>
      <c r="AL96" s="561"/>
      <c r="AM96" s="561"/>
      <c r="AN96" s="561"/>
      <c r="AO96" s="561"/>
      <c r="AP96" s="561"/>
      <c r="AQ96" s="561"/>
      <c r="AR96" s="561"/>
      <c r="AS96" s="561"/>
      <c r="AT96" s="561"/>
      <c r="AU96" s="561"/>
      <c r="AV96" s="561"/>
      <c r="AW96" s="561"/>
    </row>
    <row r="97" ht="15.75" customHeight="1">
      <c r="B97" s="393"/>
      <c r="C97" s="350" t="s">
        <v>385</v>
      </c>
      <c r="D97" s="351">
        <f>8260/12</f>
        <v>688.3333333</v>
      </c>
      <c r="E97" s="245"/>
      <c r="F97" s="350"/>
      <c r="G97" s="351">
        <f t="shared" ref="G97:H97" si="91">8260/12</f>
        <v>688.3333333</v>
      </c>
      <c r="H97" s="351">
        <f t="shared" si="91"/>
        <v>688.3333333</v>
      </c>
      <c r="I97" s="356"/>
      <c r="J97" s="350"/>
      <c r="K97" s="664">
        <f>8260/12</f>
        <v>688.3333333</v>
      </c>
      <c r="L97" s="245"/>
      <c r="M97" s="350"/>
      <c r="N97" s="245"/>
      <c r="O97" s="616"/>
      <c r="P97" s="664">
        <f>8260/12</f>
        <v>688.3333333</v>
      </c>
      <c r="Q97" s="245"/>
      <c r="R97" s="350"/>
      <c r="S97" s="665">
        <v>688.0</v>
      </c>
      <c r="T97" s="245"/>
      <c r="U97" s="350"/>
      <c r="V97" s="665">
        <v>688.0</v>
      </c>
      <c r="W97" s="665">
        <v>688.0</v>
      </c>
      <c r="X97" s="665">
        <v>688.0</v>
      </c>
      <c r="Y97" s="665">
        <v>688.0</v>
      </c>
      <c r="Z97" s="665">
        <v>688.0</v>
      </c>
      <c r="AA97" s="665">
        <v>688.0</v>
      </c>
      <c r="AB97" s="665">
        <v>688.0</v>
      </c>
      <c r="AC97" s="665">
        <v>688.0</v>
      </c>
      <c r="AD97" s="561"/>
      <c r="AE97" s="561"/>
      <c r="AF97" s="561"/>
      <c r="AG97" s="561"/>
      <c r="AH97" s="561"/>
      <c r="AI97" s="561"/>
      <c r="AJ97" s="561"/>
      <c r="AK97" s="561"/>
      <c r="AL97" s="561"/>
      <c r="AM97" s="561"/>
      <c r="AN97" s="561"/>
      <c r="AO97" s="561"/>
      <c r="AP97" s="561"/>
      <c r="AQ97" s="561"/>
      <c r="AR97" s="561"/>
      <c r="AS97" s="561"/>
      <c r="AT97" s="561"/>
      <c r="AU97" s="561"/>
      <c r="AV97" s="561"/>
      <c r="AW97" s="561"/>
    </row>
    <row r="98" ht="15.75" customHeight="1">
      <c r="B98" s="393"/>
      <c r="C98" s="350"/>
      <c r="D98" s="351"/>
      <c r="E98" s="245"/>
      <c r="F98" s="350"/>
      <c r="G98" s="351"/>
      <c r="H98" s="351"/>
      <c r="I98" s="356"/>
      <c r="J98" s="350"/>
      <c r="K98" s="664"/>
      <c r="L98" s="245"/>
      <c r="M98" s="350"/>
      <c r="N98" s="245"/>
      <c r="O98" s="616"/>
      <c r="P98" s="664"/>
      <c r="Q98" s="245"/>
      <c r="R98" s="350"/>
      <c r="S98" s="393"/>
      <c r="T98" s="245"/>
      <c r="U98" s="350"/>
      <c r="V98" s="349"/>
      <c r="W98" s="352"/>
      <c r="X98" s="358"/>
      <c r="Y98" s="349"/>
      <c r="Z98" s="499"/>
      <c r="AA98" s="349"/>
      <c r="AB98" s="349"/>
      <c r="AC98" s="351"/>
      <c r="AD98" s="561"/>
      <c r="AE98" s="561"/>
      <c r="AF98" s="561"/>
      <c r="AG98" s="561"/>
      <c r="AH98" s="561"/>
      <c r="AI98" s="561"/>
      <c r="AJ98" s="561"/>
      <c r="AK98" s="561"/>
      <c r="AL98" s="561"/>
      <c r="AM98" s="561"/>
      <c r="AN98" s="561"/>
      <c r="AO98" s="561"/>
      <c r="AP98" s="561"/>
      <c r="AQ98" s="561"/>
      <c r="AR98" s="561"/>
      <c r="AS98" s="561"/>
      <c r="AT98" s="561"/>
      <c r="AU98" s="561"/>
      <c r="AV98" s="561"/>
      <c r="AW98" s="561"/>
    </row>
    <row r="99" ht="15.75" customHeight="1">
      <c r="A99" s="561"/>
      <c r="B99" s="393"/>
      <c r="C99" s="411" t="s">
        <v>41</v>
      </c>
      <c r="D99" s="654">
        <f t="shared" ref="D99:E99" si="92">SUM(D100:D109)</f>
        <v>20799.41667</v>
      </c>
      <c r="E99" s="667">
        <f t="shared" si="92"/>
        <v>0</v>
      </c>
      <c r="F99" s="668"/>
      <c r="G99" s="654">
        <f t="shared" ref="G99:I99" si="93">SUM(G100:G109)</f>
        <v>7304.416667</v>
      </c>
      <c r="H99" s="654">
        <f t="shared" si="93"/>
        <v>5455.416667</v>
      </c>
      <c r="I99" s="669">
        <f t="shared" si="93"/>
        <v>0</v>
      </c>
      <c r="J99" s="668"/>
      <c r="K99" s="670">
        <f t="shared" ref="K99:L99" si="94">SUM(K100:K109)</f>
        <v>13763.41667</v>
      </c>
      <c r="L99" s="667">
        <f t="shared" si="94"/>
        <v>0</v>
      </c>
      <c r="M99" s="668"/>
      <c r="N99" s="667"/>
      <c r="O99" s="672"/>
      <c r="P99" s="670">
        <f t="shared" ref="P99:Q99" si="95">SUM(P100:P109)</f>
        <v>22459.41667</v>
      </c>
      <c r="Q99" s="667">
        <f t="shared" si="95"/>
        <v>0</v>
      </c>
      <c r="R99" s="668"/>
      <c r="S99" s="681">
        <f t="shared" ref="S99:T99" si="96">SUM(S100:S109)</f>
        <v>8136.416667</v>
      </c>
      <c r="T99" s="682">
        <f t="shared" si="96"/>
        <v>0</v>
      </c>
      <c r="U99" s="683"/>
      <c r="V99" s="674">
        <f t="shared" ref="V99:W99" si="97">SUM(V100:V109)</f>
        <v>28892.41667</v>
      </c>
      <c r="W99" s="684">
        <f t="shared" si="97"/>
        <v>0</v>
      </c>
      <c r="X99" s="685"/>
      <c r="Y99" s="674">
        <f t="shared" ref="Y99:AC99" si="98">SUM(Y100:Y109)</f>
        <v>11042.41667</v>
      </c>
      <c r="Z99" s="675">
        <f t="shared" si="98"/>
        <v>65306</v>
      </c>
      <c r="AA99" s="673">
        <f t="shared" si="98"/>
        <v>41987</v>
      </c>
      <c r="AB99" s="673">
        <f t="shared" si="98"/>
        <v>133797</v>
      </c>
      <c r="AC99" s="654">
        <f t="shared" si="98"/>
        <v>198923</v>
      </c>
      <c r="AD99" s="602">
        <f>D99+G99+H99+K99+P99+S99+V99+Y99+Z99+AA99+AB99+AC99</f>
        <v>557866.3333</v>
      </c>
      <c r="AE99" s="128"/>
      <c r="AF99" s="128"/>
      <c r="AG99" s="128"/>
      <c r="AH99" s="128"/>
      <c r="AI99" s="128"/>
      <c r="AJ99" s="128"/>
      <c r="AK99" s="128"/>
      <c r="AL99" s="128"/>
      <c r="AM99" s="128"/>
      <c r="AN99" s="128"/>
      <c r="AO99" s="128"/>
      <c r="AP99" s="128"/>
      <c r="AQ99" s="128"/>
      <c r="AR99" s="128"/>
      <c r="AS99" s="128"/>
      <c r="AT99" s="128"/>
      <c r="AU99" s="128"/>
      <c r="AV99" s="128"/>
      <c r="AW99" s="128"/>
    </row>
    <row r="100" ht="15.75" customHeight="1">
      <c r="B100" s="393"/>
      <c r="C100" s="350" t="s">
        <v>277</v>
      </c>
      <c r="D100" s="351"/>
      <c r="E100" s="245"/>
      <c r="F100" s="350"/>
      <c r="G100" s="351"/>
      <c r="H100" s="351"/>
      <c r="I100" s="356"/>
      <c r="J100" s="350"/>
      <c r="K100" s="664"/>
      <c r="L100" s="245"/>
      <c r="M100" s="350"/>
      <c r="N100" s="245"/>
      <c r="O100" s="616"/>
      <c r="P100" s="664"/>
      <c r="Q100" s="245"/>
      <c r="R100" s="350"/>
      <c r="S100" s="393"/>
      <c r="T100" s="245"/>
      <c r="U100" s="350"/>
      <c r="V100" s="349"/>
      <c r="W100" s="352"/>
      <c r="X100" s="358"/>
      <c r="Y100" s="349"/>
      <c r="Z100" s="499"/>
      <c r="AA100" s="349"/>
      <c r="AB100" s="349"/>
      <c r="AC100" s="351">
        <v>52248.0</v>
      </c>
      <c r="AD100" s="561"/>
      <c r="AE100" s="561"/>
      <c r="AF100" s="561"/>
      <c r="AG100" s="561"/>
      <c r="AH100" s="561"/>
      <c r="AI100" s="561"/>
      <c r="AJ100" s="561"/>
      <c r="AK100" s="561"/>
      <c r="AL100" s="561"/>
      <c r="AM100" s="561"/>
      <c r="AN100" s="561"/>
      <c r="AO100" s="561"/>
      <c r="AP100" s="561"/>
      <c r="AQ100" s="561"/>
      <c r="AR100" s="561"/>
      <c r="AS100" s="561"/>
      <c r="AT100" s="561"/>
      <c r="AU100" s="561"/>
      <c r="AV100" s="561"/>
      <c r="AW100" s="561"/>
    </row>
    <row r="101" ht="15.75" customHeight="1">
      <c r="B101" s="393"/>
      <c r="C101" s="350" t="s">
        <v>278</v>
      </c>
      <c r="D101" s="351">
        <v>5694.0</v>
      </c>
      <c r="E101" s="245"/>
      <c r="F101" s="350"/>
      <c r="G101" s="351">
        <v>3599.0</v>
      </c>
      <c r="H101" s="351">
        <v>2350.0</v>
      </c>
      <c r="I101" s="356"/>
      <c r="J101" s="350"/>
      <c r="K101" s="664">
        <v>4308.0</v>
      </c>
      <c r="L101" s="245"/>
      <c r="M101" s="350"/>
      <c r="N101" s="245"/>
      <c r="O101" s="616"/>
      <c r="P101" s="664"/>
      <c r="Q101" s="245"/>
      <c r="R101" s="350"/>
      <c r="S101" s="393"/>
      <c r="T101" s="245"/>
      <c r="U101" s="350"/>
      <c r="V101" s="349">
        <v>1561.0</v>
      </c>
      <c r="W101" s="352"/>
      <c r="X101" s="358"/>
      <c r="Y101" s="349">
        <v>2446.0</v>
      </c>
      <c r="Z101" s="499">
        <v>13904.0</v>
      </c>
      <c r="AA101" s="349">
        <v>3873.0</v>
      </c>
      <c r="AB101" s="630">
        <v>2604.0</v>
      </c>
      <c r="AC101" s="351">
        <v>6901.0</v>
      </c>
      <c r="AD101" s="561"/>
      <c r="AE101" s="561"/>
      <c r="AF101" s="561"/>
      <c r="AG101" s="561"/>
      <c r="AH101" s="561"/>
      <c r="AI101" s="561"/>
      <c r="AJ101" s="561"/>
      <c r="AK101" s="561"/>
      <c r="AL101" s="561"/>
      <c r="AM101" s="561"/>
      <c r="AN101" s="561"/>
      <c r="AO101" s="561"/>
      <c r="AP101" s="561"/>
      <c r="AQ101" s="561"/>
      <c r="AR101" s="561"/>
      <c r="AS101" s="561"/>
      <c r="AT101" s="561"/>
      <c r="AU101" s="561"/>
      <c r="AV101" s="561"/>
      <c r="AW101" s="561"/>
    </row>
    <row r="102" ht="15.75" customHeight="1">
      <c r="B102" s="393"/>
      <c r="C102" s="350" t="s">
        <v>280</v>
      </c>
      <c r="D102" s="351">
        <f>2000+(7265/12)</f>
        <v>2605.416667</v>
      </c>
      <c r="E102" s="245"/>
      <c r="F102" s="350"/>
      <c r="G102" s="351">
        <f t="shared" ref="G102:H102" si="99">(7265/12)</f>
        <v>605.4166667</v>
      </c>
      <c r="H102" s="351">
        <f t="shared" si="99"/>
        <v>605.4166667</v>
      </c>
      <c r="I102" s="356"/>
      <c r="J102" s="350"/>
      <c r="K102" s="351">
        <f>(7265/12)</f>
        <v>605.4166667</v>
      </c>
      <c r="L102" s="245"/>
      <c r="M102" s="350"/>
      <c r="N102" s="245"/>
      <c r="O102" s="616"/>
      <c r="P102" s="351">
        <f>(7265/12)</f>
        <v>605.4166667</v>
      </c>
      <c r="Q102" s="245"/>
      <c r="R102" s="350"/>
      <c r="S102" s="604">
        <f>(7265/12)</f>
        <v>605.4166667</v>
      </c>
      <c r="T102" s="245"/>
      <c r="U102" s="350"/>
      <c r="V102" s="604">
        <f>(7265/12)</f>
        <v>605.4166667</v>
      </c>
      <c r="W102" s="352"/>
      <c r="X102" s="358"/>
      <c r="Y102" s="604">
        <f>(7265/12)</f>
        <v>605.4166667</v>
      </c>
      <c r="Z102" s="605"/>
      <c r="AA102" s="604"/>
      <c r="AB102" s="604"/>
      <c r="AC102" s="351"/>
      <c r="AD102" s="561"/>
      <c r="AE102" s="561"/>
      <c r="AF102" s="561"/>
      <c r="AG102" s="561"/>
      <c r="AH102" s="561"/>
      <c r="AI102" s="561"/>
      <c r="AJ102" s="561"/>
      <c r="AK102" s="561"/>
      <c r="AL102" s="561"/>
      <c r="AM102" s="561"/>
      <c r="AN102" s="561"/>
      <c r="AO102" s="561"/>
      <c r="AP102" s="561"/>
      <c r="AQ102" s="561"/>
      <c r="AR102" s="561"/>
      <c r="AS102" s="561"/>
      <c r="AT102" s="561"/>
      <c r="AU102" s="561"/>
      <c r="AV102" s="561"/>
      <c r="AW102" s="561"/>
    </row>
    <row r="103" ht="15.75" customHeight="1">
      <c r="B103" s="393"/>
      <c r="C103" s="350" t="s">
        <v>334</v>
      </c>
      <c r="D103" s="351"/>
      <c r="E103" s="245"/>
      <c r="F103" s="350"/>
      <c r="G103" s="351"/>
      <c r="H103" s="351"/>
      <c r="I103" s="356"/>
      <c r="J103" s="350"/>
      <c r="K103" s="664"/>
      <c r="L103" s="245"/>
      <c r="M103" s="350"/>
      <c r="N103" s="245"/>
      <c r="O103" s="616"/>
      <c r="P103" s="664"/>
      <c r="Q103" s="245"/>
      <c r="R103" s="350"/>
      <c r="S103" s="393"/>
      <c r="T103" s="245"/>
      <c r="U103" s="350"/>
      <c r="V103" s="349"/>
      <c r="W103" s="352"/>
      <c r="X103" s="358"/>
      <c r="Y103" s="349"/>
      <c r="Z103" s="499"/>
      <c r="AA103" s="349"/>
      <c r="AB103" s="349"/>
      <c r="AC103" s="351"/>
      <c r="AD103" s="561"/>
      <c r="AE103" s="561"/>
      <c r="AF103" s="561"/>
      <c r="AG103" s="561"/>
      <c r="AH103" s="561"/>
      <c r="AI103" s="561"/>
      <c r="AJ103" s="561"/>
      <c r="AK103" s="561"/>
      <c r="AL103" s="561"/>
      <c r="AM103" s="561"/>
      <c r="AN103" s="561"/>
      <c r="AO103" s="561"/>
      <c r="AP103" s="561"/>
      <c r="AQ103" s="561"/>
      <c r="AR103" s="561"/>
      <c r="AS103" s="561"/>
      <c r="AT103" s="561"/>
      <c r="AU103" s="561"/>
      <c r="AV103" s="561"/>
      <c r="AW103" s="561"/>
    </row>
    <row r="104" ht="15.75" customHeight="1">
      <c r="B104" s="393"/>
      <c r="C104" s="350" t="s">
        <v>335</v>
      </c>
      <c r="D104" s="351"/>
      <c r="E104" s="245"/>
      <c r="F104" s="350"/>
      <c r="G104" s="351"/>
      <c r="H104" s="351"/>
      <c r="I104" s="356"/>
      <c r="J104" s="350"/>
      <c r="K104" s="664"/>
      <c r="L104" s="245"/>
      <c r="M104" s="350"/>
      <c r="N104" s="245"/>
      <c r="O104" s="616"/>
      <c r="P104" s="664"/>
      <c r="Q104" s="245"/>
      <c r="R104" s="350"/>
      <c r="S104" s="393"/>
      <c r="T104" s="245"/>
      <c r="U104" s="350"/>
      <c r="V104" s="349"/>
      <c r="W104" s="352"/>
      <c r="X104" s="358"/>
      <c r="Y104" s="349"/>
      <c r="Z104" s="499"/>
      <c r="AA104" s="349"/>
      <c r="AB104" s="349"/>
      <c r="AC104" s="351"/>
      <c r="AD104" s="561"/>
      <c r="AE104" s="561"/>
      <c r="AF104" s="561"/>
      <c r="AG104" s="561"/>
      <c r="AH104" s="561"/>
      <c r="AI104" s="561"/>
      <c r="AJ104" s="561"/>
      <c r="AK104" s="561"/>
      <c r="AL104" s="561"/>
      <c r="AM104" s="561"/>
      <c r="AN104" s="561"/>
      <c r="AO104" s="561"/>
      <c r="AP104" s="561"/>
      <c r="AQ104" s="561"/>
      <c r="AR104" s="561"/>
      <c r="AS104" s="561"/>
      <c r="AT104" s="561"/>
      <c r="AU104" s="561"/>
      <c r="AV104" s="561"/>
      <c r="AW104" s="561"/>
    </row>
    <row r="105" ht="15.75" customHeight="1">
      <c r="B105" s="393"/>
      <c r="C105" s="350" t="s">
        <v>282</v>
      </c>
      <c r="D105" s="351">
        <v>10000.0</v>
      </c>
      <c r="E105" s="245"/>
      <c r="F105" s="350"/>
      <c r="G105" s="351">
        <v>600.0</v>
      </c>
      <c r="H105" s="351"/>
      <c r="I105" s="356"/>
      <c r="J105" s="350"/>
      <c r="K105" s="664"/>
      <c r="L105" s="245"/>
      <c r="M105" s="350"/>
      <c r="N105" s="245"/>
      <c r="O105" s="616"/>
      <c r="P105" s="664">
        <v>13836.0</v>
      </c>
      <c r="Q105" s="245"/>
      <c r="R105" s="350"/>
      <c r="S105" s="393"/>
      <c r="T105" s="245"/>
      <c r="U105" s="350"/>
      <c r="V105" s="349">
        <f>4020+13853</f>
        <v>17873</v>
      </c>
      <c r="W105" s="352"/>
      <c r="X105" s="358"/>
      <c r="Y105" s="349"/>
      <c r="Z105" s="499">
        <f>1900+13102</f>
        <v>15002</v>
      </c>
      <c r="AA105" s="349">
        <f>6750+12231</f>
        <v>18981</v>
      </c>
      <c r="AB105" s="349">
        <v>12171.0</v>
      </c>
      <c r="AC105" s="351">
        <v>10700.0</v>
      </c>
      <c r="AD105" s="561"/>
      <c r="AE105" s="561"/>
      <c r="AF105" s="561"/>
      <c r="AG105" s="561"/>
      <c r="AH105" s="561"/>
      <c r="AI105" s="561"/>
      <c r="AJ105" s="561"/>
      <c r="AK105" s="561"/>
      <c r="AL105" s="561"/>
      <c r="AM105" s="561"/>
      <c r="AN105" s="561"/>
      <c r="AO105" s="561"/>
      <c r="AP105" s="561"/>
      <c r="AQ105" s="561"/>
      <c r="AR105" s="561"/>
      <c r="AS105" s="561"/>
      <c r="AT105" s="561"/>
      <c r="AU105" s="561"/>
      <c r="AV105" s="561"/>
      <c r="AW105" s="561"/>
    </row>
    <row r="106" ht="15.75" customHeight="1">
      <c r="B106" s="393"/>
      <c r="C106" s="350" t="s">
        <v>285</v>
      </c>
      <c r="D106" s="351"/>
      <c r="E106" s="245"/>
      <c r="F106" s="350"/>
      <c r="G106" s="351"/>
      <c r="H106" s="351"/>
      <c r="I106" s="356"/>
      <c r="J106" s="350"/>
      <c r="K106" s="664"/>
      <c r="L106" s="245"/>
      <c r="M106" s="350"/>
      <c r="N106" s="245"/>
      <c r="O106" s="616"/>
      <c r="P106" s="664"/>
      <c r="Q106" s="245"/>
      <c r="R106" s="350"/>
      <c r="S106" s="393"/>
      <c r="T106" s="245"/>
      <c r="U106" s="350"/>
      <c r="V106" s="349"/>
      <c r="W106" s="352"/>
      <c r="X106" s="358"/>
      <c r="Y106" s="349"/>
      <c r="Z106" s="499"/>
      <c r="AA106" s="349"/>
      <c r="AB106" s="349"/>
      <c r="AC106" s="351"/>
      <c r="AD106" s="561"/>
      <c r="AE106" s="561"/>
      <c r="AF106" s="561"/>
      <c r="AG106" s="561"/>
      <c r="AH106" s="561"/>
      <c r="AI106" s="561"/>
      <c r="AJ106" s="561"/>
      <c r="AK106" s="561"/>
      <c r="AL106" s="561"/>
      <c r="AM106" s="561"/>
      <c r="AN106" s="561"/>
      <c r="AO106" s="561"/>
      <c r="AP106" s="561"/>
      <c r="AQ106" s="561"/>
      <c r="AR106" s="561"/>
      <c r="AS106" s="561"/>
      <c r="AT106" s="561"/>
      <c r="AU106" s="561"/>
      <c r="AV106" s="561"/>
      <c r="AW106" s="561"/>
    </row>
    <row r="107" ht="15.75" customHeight="1">
      <c r="A107" s="561"/>
      <c r="B107" s="393"/>
      <c r="C107" s="350" t="s">
        <v>286</v>
      </c>
      <c r="D107" s="351">
        <v>2500.0</v>
      </c>
      <c r="E107" s="245"/>
      <c r="F107" s="350"/>
      <c r="G107" s="351">
        <v>2500.0</v>
      </c>
      <c r="H107" s="351">
        <v>2500.0</v>
      </c>
      <c r="I107" s="356"/>
      <c r="J107" s="350"/>
      <c r="K107" s="664">
        <v>8115.0</v>
      </c>
      <c r="L107" s="245"/>
      <c r="M107" s="350"/>
      <c r="N107" s="245"/>
      <c r="O107" s="616"/>
      <c r="P107" s="664">
        <v>8018.0</v>
      </c>
      <c r="Q107" s="245"/>
      <c r="R107" s="350"/>
      <c r="S107" s="393">
        <v>7531.0</v>
      </c>
      <c r="T107" s="245"/>
      <c r="U107" s="350"/>
      <c r="V107" s="349">
        <v>8853.0</v>
      </c>
      <c r="W107" s="352"/>
      <c r="X107" s="358"/>
      <c r="Y107" s="349">
        <v>7991.0</v>
      </c>
      <c r="Z107" s="499">
        <v>8230.0</v>
      </c>
      <c r="AA107" s="349">
        <v>8513.0</v>
      </c>
      <c r="AB107" s="349">
        <v>7222.0</v>
      </c>
      <c r="AC107" s="396">
        <v>8554.0</v>
      </c>
      <c r="AD107" s="561"/>
      <c r="AE107" s="561"/>
      <c r="AF107" s="561"/>
      <c r="AG107" s="561"/>
      <c r="AH107" s="561"/>
      <c r="AI107" s="561"/>
      <c r="AJ107" s="561"/>
      <c r="AK107" s="561"/>
      <c r="AL107" s="561"/>
      <c r="AM107" s="561"/>
      <c r="AN107" s="561"/>
      <c r="AO107" s="561"/>
      <c r="AP107" s="561"/>
      <c r="AQ107" s="561"/>
      <c r="AR107" s="561"/>
      <c r="AS107" s="561"/>
      <c r="AT107" s="561"/>
      <c r="AU107" s="561"/>
      <c r="AV107" s="561"/>
      <c r="AW107" s="561"/>
    </row>
    <row r="108" ht="15.75" customHeight="1">
      <c r="B108" s="393"/>
      <c r="C108" s="350" t="s">
        <v>386</v>
      </c>
      <c r="D108" s="351"/>
      <c r="E108" s="245"/>
      <c r="F108" s="350"/>
      <c r="G108" s="351"/>
      <c r="H108" s="351"/>
      <c r="I108" s="356"/>
      <c r="J108" s="350"/>
      <c r="K108" s="664">
        <v>735.0</v>
      </c>
      <c r="L108" s="245"/>
      <c r="M108" s="350"/>
      <c r="N108" s="245"/>
      <c r="O108" s="616"/>
      <c r="P108" s="664"/>
      <c r="Q108" s="245"/>
      <c r="R108" s="350"/>
      <c r="S108" s="393"/>
      <c r="T108" s="245"/>
      <c r="U108" s="350"/>
      <c r="V108" s="349"/>
      <c r="W108" s="352"/>
      <c r="X108" s="358"/>
      <c r="Y108" s="349"/>
      <c r="Z108" s="499">
        <f>14600+11800+1770</f>
        <v>28170</v>
      </c>
      <c r="AA108" s="349">
        <v>10620.0</v>
      </c>
      <c r="AB108" s="349">
        <v>111800.0</v>
      </c>
      <c r="AC108" s="351">
        <v>120520.0</v>
      </c>
      <c r="AD108" s="561"/>
      <c r="AE108" s="561"/>
      <c r="AF108" s="561"/>
      <c r="AG108" s="561"/>
      <c r="AH108" s="561"/>
      <c r="AI108" s="561"/>
      <c r="AJ108" s="561"/>
      <c r="AK108" s="561"/>
      <c r="AL108" s="561"/>
      <c r="AM108" s="561"/>
      <c r="AN108" s="561"/>
      <c r="AO108" s="561"/>
      <c r="AP108" s="561"/>
      <c r="AQ108" s="561"/>
      <c r="AR108" s="561"/>
      <c r="AS108" s="561"/>
      <c r="AT108" s="561"/>
      <c r="AU108" s="561"/>
      <c r="AV108" s="561"/>
      <c r="AW108" s="561"/>
    </row>
    <row r="109" ht="15.75" customHeight="1">
      <c r="B109" s="393"/>
      <c r="C109" s="350" t="s">
        <v>279</v>
      </c>
      <c r="D109" s="351"/>
      <c r="E109" s="245"/>
      <c r="F109" s="350"/>
      <c r="G109" s="351"/>
      <c r="H109" s="351"/>
      <c r="I109" s="356"/>
      <c r="J109" s="350"/>
      <c r="K109" s="664"/>
      <c r="L109" s="245"/>
      <c r="M109" s="350"/>
      <c r="N109" s="245"/>
      <c r="O109" s="616"/>
      <c r="P109" s="664"/>
      <c r="Q109" s="245"/>
      <c r="R109" s="350"/>
      <c r="S109" s="393"/>
      <c r="T109" s="245"/>
      <c r="U109" s="350"/>
      <c r="V109" s="349"/>
      <c r="W109" s="352"/>
      <c r="X109" s="358"/>
      <c r="Y109" s="349"/>
      <c r="Z109" s="499"/>
      <c r="AA109" s="349"/>
      <c r="AB109" s="349"/>
      <c r="AC109" s="351"/>
      <c r="AD109" s="561"/>
      <c r="AE109" s="561"/>
      <c r="AF109" s="561"/>
      <c r="AG109" s="561"/>
      <c r="AH109" s="561"/>
      <c r="AI109" s="561"/>
      <c r="AJ109" s="561"/>
      <c r="AK109" s="561"/>
      <c r="AL109" s="561"/>
      <c r="AM109" s="561"/>
      <c r="AN109" s="561"/>
      <c r="AO109" s="561"/>
      <c r="AP109" s="561"/>
      <c r="AQ109" s="561"/>
      <c r="AR109" s="561"/>
      <c r="AS109" s="561"/>
      <c r="AT109" s="561"/>
      <c r="AU109" s="561"/>
      <c r="AV109" s="561"/>
      <c r="AW109" s="561"/>
    </row>
    <row r="110" ht="15.75" customHeight="1">
      <c r="B110" s="393"/>
      <c r="C110" s="350"/>
      <c r="D110" s="351"/>
      <c r="E110" s="245"/>
      <c r="F110" s="350"/>
      <c r="G110" s="351"/>
      <c r="H110" s="351"/>
      <c r="I110" s="356"/>
      <c r="J110" s="350"/>
      <c r="K110" s="664"/>
      <c r="L110" s="245"/>
      <c r="M110" s="350"/>
      <c r="N110" s="245"/>
      <c r="O110" s="616"/>
      <c r="P110" s="664"/>
      <c r="Q110" s="245"/>
      <c r="R110" s="350"/>
      <c r="S110" s="393"/>
      <c r="T110" s="245"/>
      <c r="U110" s="350"/>
      <c r="V110" s="349"/>
      <c r="W110" s="352"/>
      <c r="X110" s="358"/>
      <c r="Y110" s="349"/>
      <c r="Z110" s="499"/>
      <c r="AA110" s="349"/>
      <c r="AB110" s="349"/>
      <c r="AC110" s="351"/>
      <c r="AD110" s="561"/>
      <c r="AE110" s="561"/>
      <c r="AF110" s="561"/>
      <c r="AG110" s="561"/>
      <c r="AH110" s="561"/>
      <c r="AI110" s="561"/>
      <c r="AJ110" s="561"/>
      <c r="AK110" s="561"/>
      <c r="AL110" s="561"/>
      <c r="AM110" s="561"/>
      <c r="AN110" s="561"/>
      <c r="AO110" s="561"/>
      <c r="AP110" s="561"/>
      <c r="AQ110" s="561"/>
      <c r="AR110" s="561"/>
      <c r="AS110" s="561"/>
      <c r="AT110" s="561"/>
      <c r="AU110" s="561"/>
      <c r="AV110" s="561"/>
      <c r="AW110" s="561"/>
    </row>
    <row r="111" ht="15.75" customHeight="1">
      <c r="B111" s="393"/>
      <c r="C111" s="686"/>
      <c r="D111" s="351"/>
      <c r="E111" s="245"/>
      <c r="F111" s="350"/>
      <c r="G111" s="351"/>
      <c r="H111" s="351"/>
      <c r="I111" s="356"/>
      <c r="J111" s="350"/>
      <c r="K111" s="664"/>
      <c r="L111" s="245"/>
      <c r="M111" s="350"/>
      <c r="N111" s="245"/>
      <c r="O111" s="616"/>
      <c r="P111" s="664"/>
      <c r="Q111" s="245"/>
      <c r="R111" s="350"/>
      <c r="S111" s="393"/>
      <c r="T111" s="245"/>
      <c r="U111" s="350"/>
      <c r="V111" s="349"/>
      <c r="W111" s="352"/>
      <c r="X111" s="358"/>
      <c r="Y111" s="349"/>
      <c r="Z111" s="499"/>
      <c r="AA111" s="349"/>
      <c r="AB111" s="349"/>
      <c r="AC111" s="351"/>
      <c r="AD111" s="561"/>
      <c r="AE111" s="561"/>
      <c r="AF111" s="561"/>
      <c r="AG111" s="561"/>
      <c r="AH111" s="561"/>
      <c r="AI111" s="561"/>
      <c r="AJ111" s="561"/>
      <c r="AK111" s="561"/>
      <c r="AL111" s="561"/>
      <c r="AM111" s="561"/>
      <c r="AN111" s="561"/>
      <c r="AO111" s="561"/>
      <c r="AP111" s="561"/>
      <c r="AQ111" s="561"/>
      <c r="AR111" s="561"/>
      <c r="AS111" s="561"/>
      <c r="AT111" s="561"/>
      <c r="AU111" s="561"/>
      <c r="AV111" s="561"/>
      <c r="AW111" s="561"/>
    </row>
    <row r="112" ht="15.75" customHeight="1">
      <c r="A112" s="561"/>
      <c r="B112" s="393"/>
      <c r="C112" s="411" t="s">
        <v>42</v>
      </c>
      <c r="D112" s="351">
        <f>SUM(D113:D114)</f>
        <v>0</v>
      </c>
      <c r="E112" s="245">
        <f>SUM(E113)</f>
        <v>0</v>
      </c>
      <c r="F112" s="350"/>
      <c r="G112" s="351">
        <f t="shared" ref="G112:I112" si="100">SUM(G113)</f>
        <v>0</v>
      </c>
      <c r="H112" s="351">
        <f t="shared" si="100"/>
        <v>0</v>
      </c>
      <c r="I112" s="356">
        <f t="shared" si="100"/>
        <v>0</v>
      </c>
      <c r="J112" s="350"/>
      <c r="K112" s="664">
        <f t="shared" ref="K112:L112" si="101">SUM(K113)</f>
        <v>0</v>
      </c>
      <c r="L112" s="245">
        <f t="shared" si="101"/>
        <v>0</v>
      </c>
      <c r="M112" s="350"/>
      <c r="N112" s="245"/>
      <c r="O112" s="616"/>
      <c r="P112" s="664">
        <f t="shared" ref="P112:Q112" si="102">SUM(P113)</f>
        <v>0</v>
      </c>
      <c r="Q112" s="245">
        <f t="shared" si="102"/>
        <v>0</v>
      </c>
      <c r="R112" s="350"/>
      <c r="S112" s="393">
        <f t="shared" ref="S112:T112" si="103">SUM(S113)</f>
        <v>0</v>
      </c>
      <c r="T112" s="245">
        <f t="shared" si="103"/>
        <v>0</v>
      </c>
      <c r="U112" s="350"/>
      <c r="V112" s="349">
        <f t="shared" ref="V112:W112" si="104">SUM(V113)</f>
        <v>0</v>
      </c>
      <c r="W112" s="352">
        <f t="shared" si="104"/>
        <v>0</v>
      </c>
      <c r="X112" s="358"/>
      <c r="Y112" s="349">
        <f t="shared" ref="Y112:AC112" si="105">SUM(Y113)</f>
        <v>0</v>
      </c>
      <c r="Z112" s="499">
        <f t="shared" si="105"/>
        <v>0</v>
      </c>
      <c r="AA112" s="349">
        <f t="shared" si="105"/>
        <v>0</v>
      </c>
      <c r="AB112" s="349">
        <f t="shared" si="105"/>
        <v>6000</v>
      </c>
      <c r="AC112" s="351">
        <f t="shared" si="105"/>
        <v>0</v>
      </c>
      <c r="AD112" s="602">
        <f>D112+G112+H112+K112+P112+S112+V112+Y112+Z112+AA112+AB112+AC112</f>
        <v>6000</v>
      </c>
      <c r="AE112" s="128"/>
      <c r="AF112" s="128"/>
      <c r="AG112" s="128"/>
      <c r="AH112" s="128"/>
      <c r="AI112" s="128"/>
      <c r="AJ112" s="128"/>
      <c r="AK112" s="128"/>
      <c r="AL112" s="128"/>
      <c r="AM112" s="128"/>
      <c r="AN112" s="128"/>
      <c r="AO112" s="128"/>
      <c r="AP112" s="128"/>
      <c r="AQ112" s="128"/>
      <c r="AR112" s="128"/>
      <c r="AS112" s="128"/>
      <c r="AT112" s="128"/>
      <c r="AU112" s="128"/>
      <c r="AV112" s="128"/>
      <c r="AW112" s="128"/>
    </row>
    <row r="113" ht="15.75" customHeight="1">
      <c r="B113" s="393"/>
      <c r="C113" s="350" t="s">
        <v>340</v>
      </c>
      <c r="D113" s="351"/>
      <c r="E113" s="245"/>
      <c r="F113" s="350"/>
      <c r="G113" s="351"/>
      <c r="H113" s="351"/>
      <c r="I113" s="356"/>
      <c r="J113" s="350"/>
      <c r="K113" s="664"/>
      <c r="L113" s="245"/>
      <c r="M113" s="350"/>
      <c r="N113" s="245"/>
      <c r="O113" s="616"/>
      <c r="P113" s="664"/>
      <c r="Q113" s="245"/>
      <c r="R113" s="350"/>
      <c r="S113" s="393"/>
      <c r="T113" s="245"/>
      <c r="U113" s="350"/>
      <c r="V113" s="349"/>
      <c r="W113" s="352"/>
      <c r="X113" s="358"/>
      <c r="Y113" s="349"/>
      <c r="Z113" s="499"/>
      <c r="AA113" s="349"/>
      <c r="AB113" s="349">
        <v>6000.0</v>
      </c>
      <c r="AC113" s="351"/>
      <c r="AD113" s="561"/>
      <c r="AE113" s="561"/>
      <c r="AF113" s="561"/>
      <c r="AG113" s="561"/>
      <c r="AH113" s="561"/>
      <c r="AI113" s="561"/>
      <c r="AJ113" s="561"/>
      <c r="AK113" s="561"/>
      <c r="AL113" s="561"/>
      <c r="AM113" s="561"/>
      <c r="AN113" s="561"/>
      <c r="AO113" s="561"/>
      <c r="AP113" s="561"/>
      <c r="AQ113" s="561"/>
      <c r="AR113" s="561"/>
      <c r="AS113" s="561"/>
      <c r="AT113" s="561"/>
      <c r="AU113" s="561"/>
      <c r="AV113" s="561"/>
      <c r="AW113" s="561"/>
    </row>
    <row r="114" ht="15.75" customHeight="1">
      <c r="B114" s="393"/>
      <c r="C114" s="350" t="s">
        <v>291</v>
      </c>
      <c r="D114" s="351"/>
      <c r="E114" s="245"/>
      <c r="F114" s="350"/>
      <c r="G114" s="351"/>
      <c r="H114" s="351"/>
      <c r="I114" s="356"/>
      <c r="J114" s="350"/>
      <c r="K114" s="664"/>
      <c r="L114" s="245"/>
      <c r="M114" s="350"/>
      <c r="N114" s="245"/>
      <c r="O114" s="616"/>
      <c r="P114" s="664"/>
      <c r="Q114" s="245"/>
      <c r="R114" s="350"/>
      <c r="S114" s="393"/>
      <c r="T114" s="245"/>
      <c r="U114" s="350"/>
      <c r="V114" s="349"/>
      <c r="W114" s="352"/>
      <c r="X114" s="358"/>
      <c r="Y114" s="349"/>
      <c r="Z114" s="499"/>
      <c r="AA114" s="349"/>
      <c r="AB114" s="349"/>
      <c r="AC114" s="351"/>
      <c r="AD114" s="561"/>
      <c r="AE114" s="561"/>
      <c r="AF114" s="561"/>
      <c r="AG114" s="561"/>
      <c r="AH114" s="561"/>
      <c r="AI114" s="561"/>
      <c r="AJ114" s="561"/>
      <c r="AK114" s="561"/>
      <c r="AL114" s="561"/>
      <c r="AM114" s="561"/>
      <c r="AN114" s="561"/>
      <c r="AO114" s="561"/>
      <c r="AP114" s="561"/>
      <c r="AQ114" s="561"/>
      <c r="AR114" s="561"/>
      <c r="AS114" s="561"/>
      <c r="AT114" s="561"/>
      <c r="AU114" s="561"/>
      <c r="AV114" s="561"/>
      <c r="AW114" s="561"/>
    </row>
    <row r="115" ht="15.75" customHeight="1">
      <c r="B115" s="393"/>
      <c r="C115" s="350"/>
      <c r="D115" s="351"/>
      <c r="E115" s="245"/>
      <c r="F115" s="350"/>
      <c r="G115" s="351"/>
      <c r="H115" s="351"/>
      <c r="I115" s="356"/>
      <c r="J115" s="350"/>
      <c r="K115" s="664"/>
      <c r="L115" s="245"/>
      <c r="M115" s="350"/>
      <c r="N115" s="245"/>
      <c r="O115" s="616"/>
      <c r="P115" s="664"/>
      <c r="Q115" s="245"/>
      <c r="R115" s="350"/>
      <c r="S115" s="393"/>
      <c r="T115" s="245"/>
      <c r="U115" s="350"/>
      <c r="V115" s="349"/>
      <c r="W115" s="352"/>
      <c r="X115" s="358"/>
      <c r="Y115" s="349"/>
      <c r="Z115" s="499"/>
      <c r="AA115" s="349"/>
      <c r="AB115" s="349"/>
      <c r="AC115" s="351"/>
      <c r="AD115" s="561"/>
      <c r="AE115" s="561"/>
      <c r="AF115" s="561"/>
      <c r="AG115" s="561"/>
      <c r="AH115" s="561"/>
      <c r="AI115" s="561"/>
      <c r="AJ115" s="561"/>
      <c r="AK115" s="561"/>
      <c r="AL115" s="561"/>
      <c r="AM115" s="561"/>
      <c r="AN115" s="561"/>
      <c r="AO115" s="561"/>
      <c r="AP115" s="561"/>
      <c r="AQ115" s="561"/>
      <c r="AR115" s="561"/>
      <c r="AS115" s="561"/>
      <c r="AT115" s="561"/>
      <c r="AU115" s="561"/>
      <c r="AV115" s="561"/>
      <c r="AW115" s="561"/>
    </row>
    <row r="116" ht="15.75" customHeight="1">
      <c r="A116" s="561"/>
      <c r="B116" s="393"/>
      <c r="C116" s="411" t="s">
        <v>43</v>
      </c>
      <c r="D116" s="351">
        <f t="shared" ref="D116:E116" si="106">SUM(D117:D118)</f>
        <v>0</v>
      </c>
      <c r="E116" s="245">
        <f t="shared" si="106"/>
        <v>0</v>
      </c>
      <c r="F116" s="350"/>
      <c r="G116" s="351">
        <f t="shared" ref="G116:I116" si="107">SUM(G117:G118)</f>
        <v>0</v>
      </c>
      <c r="H116" s="351">
        <f t="shared" si="107"/>
        <v>0</v>
      </c>
      <c r="I116" s="356">
        <f t="shared" si="107"/>
        <v>0</v>
      </c>
      <c r="J116" s="350"/>
      <c r="K116" s="664">
        <f t="shared" ref="K116:L116" si="108">SUM(K117:K118)</f>
        <v>0</v>
      </c>
      <c r="L116" s="245">
        <f t="shared" si="108"/>
        <v>0</v>
      </c>
      <c r="M116" s="350"/>
      <c r="N116" s="357"/>
      <c r="O116" s="616"/>
      <c r="P116" s="664">
        <f t="shared" ref="P116:Q116" si="109">SUM(P117:P118)</f>
        <v>0</v>
      </c>
      <c r="Q116" s="245">
        <f t="shared" si="109"/>
        <v>0</v>
      </c>
      <c r="R116" s="350"/>
      <c r="S116" s="393">
        <f t="shared" ref="S116:T116" si="110">SUM(S117:S118)</f>
        <v>0</v>
      </c>
      <c r="T116" s="245">
        <f t="shared" si="110"/>
        <v>0</v>
      </c>
      <c r="U116" s="350"/>
      <c r="V116" s="349">
        <f t="shared" ref="V116:W116" si="111">SUM(V117:V118)</f>
        <v>0</v>
      </c>
      <c r="W116" s="352">
        <f t="shared" si="111"/>
        <v>0</v>
      </c>
      <c r="X116" s="358"/>
      <c r="Y116" s="349">
        <f>SUM(Y117:Y118)</f>
        <v>0</v>
      </c>
      <c r="Z116" s="499">
        <f>SUM(Z117:Z119)</f>
        <v>0</v>
      </c>
      <c r="AA116" s="349">
        <f t="shared" ref="AA116:AC116" si="112">SUM(AA117:AA118)</f>
        <v>0</v>
      </c>
      <c r="AB116" s="349">
        <f t="shared" si="112"/>
        <v>0</v>
      </c>
      <c r="AC116" s="351">
        <f t="shared" si="112"/>
        <v>0</v>
      </c>
      <c r="AD116" s="602">
        <f>SUM(D116:AC116)</f>
        <v>0</v>
      </c>
      <c r="AE116" s="128"/>
      <c r="AF116" s="128"/>
      <c r="AG116" s="128"/>
      <c r="AH116" s="128"/>
      <c r="AI116" s="128"/>
      <c r="AJ116" s="128"/>
      <c r="AK116" s="128"/>
      <c r="AL116" s="128"/>
      <c r="AM116" s="128"/>
      <c r="AN116" s="128"/>
      <c r="AO116" s="128"/>
      <c r="AP116" s="128"/>
      <c r="AQ116" s="128"/>
      <c r="AR116" s="128"/>
      <c r="AS116" s="128"/>
      <c r="AT116" s="128"/>
      <c r="AU116" s="128"/>
      <c r="AV116" s="128"/>
      <c r="AW116" s="128"/>
    </row>
    <row r="117" ht="15.75" customHeight="1">
      <c r="B117" s="393"/>
      <c r="C117" s="350" t="s">
        <v>292</v>
      </c>
      <c r="D117" s="351"/>
      <c r="E117" s="245"/>
      <c r="F117" s="350"/>
      <c r="G117" s="351"/>
      <c r="H117" s="351"/>
      <c r="I117" s="356"/>
      <c r="J117" s="350"/>
      <c r="K117" s="664"/>
      <c r="L117" s="245"/>
      <c r="M117" s="350"/>
      <c r="N117" s="357"/>
      <c r="O117" s="616"/>
      <c r="P117" s="664"/>
      <c r="Q117" s="245"/>
      <c r="R117" s="350"/>
      <c r="S117" s="393"/>
      <c r="T117" s="245"/>
      <c r="U117" s="350"/>
      <c r="V117" s="349"/>
      <c r="W117" s="352"/>
      <c r="X117" s="358"/>
      <c r="Y117" s="349"/>
      <c r="Z117" s="499"/>
      <c r="AA117" s="349"/>
      <c r="AB117" s="349"/>
      <c r="AC117" s="351"/>
      <c r="AD117" s="561"/>
      <c r="AE117" s="561"/>
      <c r="AF117" s="561"/>
      <c r="AG117" s="561"/>
      <c r="AH117" s="561"/>
      <c r="AI117" s="561"/>
      <c r="AJ117" s="561"/>
      <c r="AK117" s="561"/>
      <c r="AL117" s="561"/>
      <c r="AM117" s="561"/>
      <c r="AN117" s="561"/>
      <c r="AO117" s="561"/>
      <c r="AP117" s="561"/>
      <c r="AQ117" s="561"/>
      <c r="AR117" s="561"/>
      <c r="AS117" s="561"/>
      <c r="AT117" s="561"/>
      <c r="AU117" s="561"/>
      <c r="AV117" s="561"/>
      <c r="AW117" s="561"/>
    </row>
    <row r="118" ht="15.75" customHeight="1">
      <c r="B118" s="393"/>
      <c r="C118" s="350" t="s">
        <v>344</v>
      </c>
      <c r="D118" s="351"/>
      <c r="E118" s="245"/>
      <c r="F118" s="350"/>
      <c r="G118" s="351"/>
      <c r="H118" s="351"/>
      <c r="I118" s="356"/>
      <c r="J118" s="350"/>
      <c r="K118" s="664"/>
      <c r="L118" s="245"/>
      <c r="M118" s="350"/>
      <c r="N118" s="357"/>
      <c r="O118" s="616"/>
      <c r="P118" s="664"/>
      <c r="Q118" s="245"/>
      <c r="R118" s="350"/>
      <c r="S118" s="393"/>
      <c r="T118" s="245"/>
      <c r="U118" s="350"/>
      <c r="V118" s="349"/>
      <c r="W118" s="352"/>
      <c r="X118" s="358"/>
      <c r="Y118" s="349"/>
      <c r="Z118" s="499"/>
      <c r="AA118" s="349"/>
      <c r="AB118" s="349"/>
      <c r="AC118" s="351"/>
      <c r="AD118" s="561"/>
      <c r="AE118" s="561"/>
      <c r="AF118" s="561"/>
      <c r="AG118" s="561"/>
      <c r="AH118" s="561"/>
      <c r="AI118" s="561"/>
      <c r="AJ118" s="561"/>
      <c r="AK118" s="561"/>
      <c r="AL118" s="561"/>
      <c r="AM118" s="561"/>
      <c r="AN118" s="561"/>
      <c r="AO118" s="561"/>
      <c r="AP118" s="561"/>
      <c r="AQ118" s="561"/>
      <c r="AR118" s="561"/>
      <c r="AS118" s="561"/>
      <c r="AT118" s="561"/>
      <c r="AU118" s="561"/>
      <c r="AV118" s="561"/>
      <c r="AW118" s="561"/>
    </row>
    <row r="119" ht="15.75" customHeight="1">
      <c r="B119" s="393"/>
      <c r="C119" s="350"/>
      <c r="D119" s="351"/>
      <c r="E119" s="245"/>
      <c r="F119" s="350"/>
      <c r="G119" s="351"/>
      <c r="H119" s="351"/>
      <c r="I119" s="356"/>
      <c r="J119" s="350"/>
      <c r="K119" s="664"/>
      <c r="L119" s="245"/>
      <c r="M119" s="350"/>
      <c r="N119" s="245"/>
      <c r="O119" s="616"/>
      <c r="P119" s="664"/>
      <c r="Q119" s="245"/>
      <c r="R119" s="350"/>
      <c r="S119" s="393"/>
      <c r="T119" s="245"/>
      <c r="U119" s="350"/>
      <c r="V119" s="349"/>
      <c r="W119" s="352"/>
      <c r="X119" s="358"/>
      <c r="Y119" s="349"/>
      <c r="Z119" s="499"/>
      <c r="AA119" s="349"/>
      <c r="AB119" s="349"/>
      <c r="AC119" s="351"/>
      <c r="AD119" s="561"/>
      <c r="AE119" s="561"/>
      <c r="AF119" s="561"/>
      <c r="AG119" s="561"/>
      <c r="AH119" s="561"/>
      <c r="AI119" s="561"/>
      <c r="AJ119" s="561"/>
      <c r="AK119" s="561"/>
      <c r="AL119" s="561"/>
      <c r="AM119" s="561"/>
      <c r="AN119" s="561"/>
      <c r="AO119" s="561"/>
      <c r="AP119" s="561"/>
      <c r="AQ119" s="561"/>
      <c r="AR119" s="561"/>
      <c r="AS119" s="561"/>
      <c r="AT119" s="561"/>
      <c r="AU119" s="561"/>
      <c r="AV119" s="561"/>
      <c r="AW119" s="561"/>
    </row>
    <row r="120" ht="15.75" customHeight="1">
      <c r="B120" s="393"/>
      <c r="C120" s="350"/>
      <c r="D120" s="351"/>
      <c r="E120" s="245"/>
      <c r="F120" s="350"/>
      <c r="G120" s="351"/>
      <c r="H120" s="351"/>
      <c r="I120" s="356"/>
      <c r="J120" s="350"/>
      <c r="K120" s="664"/>
      <c r="L120" s="245"/>
      <c r="M120" s="350"/>
      <c r="N120" s="245"/>
      <c r="O120" s="616"/>
      <c r="P120" s="664"/>
      <c r="Q120" s="245"/>
      <c r="R120" s="350"/>
      <c r="S120" s="393"/>
      <c r="T120" s="245"/>
      <c r="U120" s="350"/>
      <c r="V120" s="349"/>
      <c r="W120" s="352"/>
      <c r="X120" s="358"/>
      <c r="Y120" s="349"/>
      <c r="Z120" s="499"/>
      <c r="AA120" s="349"/>
      <c r="AB120" s="349"/>
      <c r="AC120" s="351"/>
      <c r="AD120" s="561"/>
      <c r="AE120" s="561"/>
      <c r="AF120" s="561"/>
      <c r="AG120" s="561"/>
      <c r="AH120" s="561"/>
      <c r="AI120" s="561"/>
      <c r="AJ120" s="561"/>
      <c r="AK120" s="561"/>
      <c r="AL120" s="561"/>
      <c r="AM120" s="561"/>
      <c r="AN120" s="561"/>
      <c r="AO120" s="561"/>
      <c r="AP120" s="561"/>
      <c r="AQ120" s="561"/>
      <c r="AR120" s="561"/>
      <c r="AS120" s="561"/>
      <c r="AT120" s="561"/>
      <c r="AU120" s="561"/>
      <c r="AV120" s="561"/>
      <c r="AW120" s="561"/>
    </row>
    <row r="121" ht="15.75" customHeight="1">
      <c r="A121" s="561"/>
      <c r="B121" s="410"/>
      <c r="C121" s="668" t="s">
        <v>293</v>
      </c>
      <c r="D121" s="654">
        <f>D50+D62+D70+D76+D82+D92+D95+D99+D112+D116</f>
        <v>534361.918</v>
      </c>
      <c r="E121" s="667"/>
      <c r="F121" s="668"/>
      <c r="G121" s="654">
        <f t="shared" ref="G121:H121" si="113">G50+G62+G70+G76+G82+G92+G95+G99+G112+G116</f>
        <v>513483.0112</v>
      </c>
      <c r="H121" s="654">
        <f t="shared" si="113"/>
        <v>475551.6034</v>
      </c>
      <c r="I121" s="669"/>
      <c r="J121" s="668"/>
      <c r="K121" s="670">
        <f>K50+K62+K70+K76+K82+K92+K95+K99+K112+K116</f>
        <v>534297.9662</v>
      </c>
      <c r="L121" s="667"/>
      <c r="M121" s="668"/>
      <c r="N121" s="655"/>
      <c r="O121" s="672"/>
      <c r="P121" s="654">
        <f>P50+P62+P70+P76+P82+P92+P95+P99+P112+P116</f>
        <v>503020.1</v>
      </c>
      <c r="Q121" s="667"/>
      <c r="R121" s="668"/>
      <c r="S121" s="660">
        <f>S50+S62+S70+S76+S82+S92+S95+S99+S112+S116</f>
        <v>518429.3567</v>
      </c>
      <c r="T121" s="667"/>
      <c r="U121" s="668"/>
      <c r="V121" s="660">
        <f>V50+V62+V70+V76+V82+V92+V95+V99+V112+V116</f>
        <v>792508.3467</v>
      </c>
      <c r="W121" s="658"/>
      <c r="X121" s="656"/>
      <c r="Y121" s="660">
        <f t="shared" ref="Y121:AC121" si="114">Y50+Y62+Y70+Y76+Y82+Y92+Y95+Y99+Y112+Y116</f>
        <v>601932.1367</v>
      </c>
      <c r="Z121" s="687">
        <f t="shared" si="114"/>
        <v>776288.93</v>
      </c>
      <c r="AA121" s="660">
        <f t="shared" si="114"/>
        <v>666610.48</v>
      </c>
      <c r="AB121" s="660">
        <f t="shared" si="114"/>
        <v>758386.5</v>
      </c>
      <c r="AC121" s="655">
        <f t="shared" si="114"/>
        <v>1094210.98</v>
      </c>
      <c r="AD121" s="602">
        <f>D121+G121+H121+K121+P121+S121+V121+Y121+Z121+AA121+AB121+AC121</f>
        <v>7769081.329</v>
      </c>
      <c r="AE121" s="561"/>
      <c r="AF121" s="561"/>
      <c r="AG121" s="561"/>
      <c r="AH121" s="561"/>
      <c r="AI121" s="561"/>
      <c r="AJ121" s="561"/>
      <c r="AK121" s="561"/>
      <c r="AL121" s="561"/>
      <c r="AM121" s="561"/>
      <c r="AN121" s="561"/>
      <c r="AO121" s="561"/>
      <c r="AP121" s="561"/>
      <c r="AQ121" s="561"/>
      <c r="AR121" s="561"/>
      <c r="AS121" s="561"/>
      <c r="AT121" s="561"/>
      <c r="AU121" s="561"/>
      <c r="AV121" s="561"/>
      <c r="AW121" s="561"/>
    </row>
    <row r="122" ht="15.75" customHeight="1">
      <c r="A122" s="561"/>
      <c r="B122" s="403"/>
      <c r="C122" s="362"/>
      <c r="D122" s="363"/>
      <c r="E122" s="688"/>
      <c r="F122" s="362"/>
      <c r="G122" s="363"/>
      <c r="H122" s="363"/>
      <c r="I122" s="689"/>
      <c r="J122" s="362"/>
      <c r="K122" s="690"/>
      <c r="L122" s="688"/>
      <c r="M122" s="362"/>
      <c r="N122" s="364"/>
      <c r="O122" s="691"/>
      <c r="P122" s="363"/>
      <c r="Q122" s="688"/>
      <c r="R122" s="362"/>
      <c r="S122" s="361"/>
      <c r="T122" s="688"/>
      <c r="U122" s="362"/>
      <c r="V122" s="361"/>
      <c r="W122" s="364"/>
      <c r="X122" s="368"/>
      <c r="Y122" s="361"/>
      <c r="Z122" s="613"/>
      <c r="AA122" s="361"/>
      <c r="AB122" s="361"/>
      <c r="AC122" s="506"/>
      <c r="AD122" s="561"/>
      <c r="AE122" s="561"/>
      <c r="AF122" s="561"/>
      <c r="AG122" s="561"/>
      <c r="AH122" s="561"/>
      <c r="AI122" s="561"/>
      <c r="AJ122" s="561"/>
      <c r="AK122" s="561"/>
      <c r="AL122" s="561"/>
      <c r="AM122" s="561"/>
      <c r="AN122" s="561"/>
      <c r="AO122" s="561"/>
      <c r="AP122" s="561"/>
      <c r="AQ122" s="561"/>
      <c r="AR122" s="561"/>
      <c r="AS122" s="561"/>
      <c r="AT122" s="561"/>
      <c r="AU122" s="561"/>
      <c r="AV122" s="561"/>
      <c r="AW122" s="561"/>
    </row>
    <row r="123" ht="15.75" customHeight="1">
      <c r="A123" s="561"/>
      <c r="B123" s="407"/>
      <c r="C123" s="372" t="s">
        <v>294</v>
      </c>
      <c r="D123" s="373">
        <f>D41-D121</f>
        <v>-266173.9094</v>
      </c>
      <c r="E123" s="437"/>
      <c r="F123" s="372"/>
      <c r="G123" s="373">
        <f t="shared" ref="G123:H123" si="115">G41-G121</f>
        <v>-179374.3111</v>
      </c>
      <c r="H123" s="373">
        <f t="shared" si="115"/>
        <v>-285882.9147</v>
      </c>
      <c r="I123" s="692"/>
      <c r="J123" s="372"/>
      <c r="K123" s="693">
        <f>K41-K121</f>
        <v>-146905.8824</v>
      </c>
      <c r="L123" s="437"/>
      <c r="M123" s="372"/>
      <c r="N123" s="377"/>
      <c r="O123" s="694"/>
      <c r="P123" s="373">
        <f>P41-P121</f>
        <v>-115568.9959</v>
      </c>
      <c r="Q123" s="437"/>
      <c r="R123" s="372"/>
      <c r="S123" s="600">
        <f>S41-S121</f>
        <v>-199145.7799</v>
      </c>
      <c r="T123" s="437"/>
      <c r="U123" s="372"/>
      <c r="V123" s="600">
        <f>V41-V121</f>
        <v>-311940.7246</v>
      </c>
      <c r="W123" s="408"/>
      <c r="X123" s="378"/>
      <c r="Y123" s="600">
        <f t="shared" ref="Y123:AC123" si="116">Y41-Y121</f>
        <v>-136226.5694</v>
      </c>
      <c r="Z123" s="601">
        <f t="shared" si="116"/>
        <v>32931.99913</v>
      </c>
      <c r="AA123" s="600">
        <f t="shared" si="116"/>
        <v>678758.8604</v>
      </c>
      <c r="AB123" s="600">
        <f t="shared" si="116"/>
        <v>-252201.1182</v>
      </c>
      <c r="AC123" s="377">
        <f t="shared" si="116"/>
        <v>-86409.64203</v>
      </c>
      <c r="AD123" s="602">
        <f>D123+G123+H123+K123+P123+S123+V123+Y123+Z123+AA123+AB123+AC123</f>
        <v>-1268138.988</v>
      </c>
      <c r="AE123" s="561"/>
      <c r="AF123" s="561"/>
      <c r="AG123" s="561"/>
      <c r="AH123" s="561"/>
      <c r="AI123" s="561"/>
      <c r="AJ123" s="561"/>
      <c r="AK123" s="561"/>
      <c r="AL123" s="561"/>
      <c r="AM123" s="561"/>
      <c r="AN123" s="561"/>
      <c r="AO123" s="561"/>
      <c r="AP123" s="561"/>
      <c r="AQ123" s="561"/>
      <c r="AR123" s="561"/>
      <c r="AS123" s="561"/>
      <c r="AT123" s="561"/>
      <c r="AU123" s="561"/>
      <c r="AV123" s="561"/>
      <c r="AW123" s="561"/>
    </row>
    <row r="124" ht="15.75" customHeight="1">
      <c r="D124" s="124"/>
      <c r="G124" s="124"/>
      <c r="H124" s="124"/>
      <c r="I124" s="124"/>
      <c r="K124" s="124"/>
      <c r="N124" s="124"/>
      <c r="O124" s="561"/>
      <c r="P124" s="124"/>
      <c r="AC124" s="562"/>
      <c r="AD124" s="561"/>
      <c r="AE124" s="561"/>
      <c r="AF124" s="561"/>
      <c r="AG124" s="561"/>
      <c r="AH124" s="561"/>
      <c r="AI124" s="561"/>
      <c r="AJ124" s="561"/>
      <c r="AK124" s="561"/>
      <c r="AL124" s="561"/>
      <c r="AM124" s="561"/>
      <c r="AN124" s="561"/>
      <c r="AO124" s="561"/>
      <c r="AP124" s="561"/>
      <c r="AQ124" s="561"/>
      <c r="AR124" s="561"/>
      <c r="AS124" s="561"/>
      <c r="AT124" s="561"/>
      <c r="AU124" s="561"/>
      <c r="AV124" s="561"/>
      <c r="AW124" s="561"/>
    </row>
    <row r="125" ht="15.75" customHeight="1">
      <c r="D125" s="124"/>
      <c r="G125" s="124"/>
      <c r="H125" s="124"/>
      <c r="I125" s="124"/>
      <c r="K125" s="124"/>
      <c r="N125" s="124"/>
      <c r="O125" s="561"/>
      <c r="P125" s="124"/>
      <c r="AC125" s="562"/>
      <c r="AD125" s="561"/>
      <c r="AE125" s="561"/>
      <c r="AF125" s="561"/>
      <c r="AG125" s="561"/>
      <c r="AH125" s="561"/>
      <c r="AI125" s="561"/>
      <c r="AJ125" s="561"/>
      <c r="AK125" s="561"/>
      <c r="AL125" s="561"/>
      <c r="AM125" s="561"/>
      <c r="AN125" s="561"/>
      <c r="AO125" s="561"/>
      <c r="AP125" s="561"/>
      <c r="AQ125" s="561"/>
      <c r="AR125" s="561"/>
      <c r="AS125" s="561"/>
      <c r="AT125" s="561"/>
      <c r="AU125" s="561"/>
      <c r="AV125" s="561"/>
      <c r="AW125" s="561"/>
    </row>
    <row r="126" ht="15.75" customHeight="1">
      <c r="D126" s="124"/>
      <c r="G126" s="124"/>
      <c r="H126" s="124"/>
      <c r="I126" s="124"/>
      <c r="K126" s="124"/>
      <c r="N126" s="124"/>
      <c r="O126" s="561"/>
      <c r="P126" s="124"/>
      <c r="AC126" s="562"/>
      <c r="AD126" s="561"/>
      <c r="AE126" s="561"/>
      <c r="AF126" s="561"/>
      <c r="AG126" s="561"/>
      <c r="AH126" s="561"/>
      <c r="AI126" s="561"/>
      <c r="AJ126" s="561"/>
      <c r="AK126" s="561"/>
      <c r="AL126" s="561"/>
      <c r="AM126" s="561"/>
      <c r="AN126" s="561"/>
      <c r="AO126" s="561"/>
      <c r="AP126" s="561"/>
      <c r="AQ126" s="561"/>
      <c r="AR126" s="561"/>
      <c r="AS126" s="561"/>
      <c r="AT126" s="561"/>
      <c r="AU126" s="561"/>
      <c r="AV126" s="561"/>
      <c r="AW126" s="561"/>
    </row>
    <row r="127" ht="15.75" customHeight="1">
      <c r="D127" s="124"/>
      <c r="G127" s="124"/>
      <c r="H127" s="124"/>
      <c r="I127" s="124"/>
      <c r="K127" s="124"/>
      <c r="N127" s="124"/>
      <c r="O127" s="561"/>
      <c r="P127" s="124"/>
      <c r="AC127" s="562"/>
      <c r="AD127" s="561"/>
      <c r="AE127" s="561"/>
      <c r="AF127" s="561"/>
      <c r="AG127" s="561"/>
      <c r="AH127" s="561"/>
      <c r="AI127" s="561"/>
      <c r="AJ127" s="561"/>
      <c r="AK127" s="561"/>
      <c r="AL127" s="561"/>
      <c r="AM127" s="561"/>
      <c r="AN127" s="561"/>
      <c r="AO127" s="561"/>
      <c r="AP127" s="561"/>
      <c r="AQ127" s="561"/>
      <c r="AR127" s="561"/>
      <c r="AS127" s="561"/>
      <c r="AT127" s="561"/>
      <c r="AU127" s="561"/>
      <c r="AV127" s="561"/>
      <c r="AW127" s="561"/>
    </row>
    <row r="128" ht="15.75" customHeight="1">
      <c r="D128" s="124"/>
      <c r="G128" s="124"/>
      <c r="H128" s="124"/>
      <c r="I128" s="124"/>
      <c r="K128" s="124"/>
      <c r="N128" s="124"/>
      <c r="O128" s="561"/>
      <c r="P128" s="124"/>
      <c r="AC128" s="562"/>
      <c r="AD128" s="561"/>
      <c r="AE128" s="561"/>
      <c r="AF128" s="561"/>
      <c r="AG128" s="561"/>
      <c r="AH128" s="561"/>
      <c r="AI128" s="561"/>
      <c r="AJ128" s="561"/>
      <c r="AK128" s="561"/>
      <c r="AL128" s="561"/>
      <c r="AM128" s="561"/>
      <c r="AN128" s="561"/>
      <c r="AO128" s="561"/>
      <c r="AP128" s="561"/>
      <c r="AQ128" s="561"/>
      <c r="AR128" s="561"/>
      <c r="AS128" s="561"/>
      <c r="AT128" s="561"/>
      <c r="AU128" s="561"/>
      <c r="AV128" s="561"/>
      <c r="AW128" s="561"/>
    </row>
    <row r="129" ht="15.75" customHeight="1">
      <c r="D129" s="124"/>
      <c r="G129" s="124"/>
      <c r="H129" s="124"/>
      <c r="I129" s="124"/>
      <c r="K129" s="124"/>
      <c r="N129" s="124"/>
      <c r="O129" s="561"/>
      <c r="P129" s="124"/>
      <c r="AC129" s="562"/>
      <c r="AD129" s="561"/>
      <c r="AE129" s="561"/>
      <c r="AF129" s="561"/>
      <c r="AG129" s="561"/>
      <c r="AH129" s="561"/>
      <c r="AI129" s="561"/>
      <c r="AJ129" s="561"/>
      <c r="AK129" s="561"/>
      <c r="AL129" s="561"/>
      <c r="AM129" s="561"/>
      <c r="AN129" s="561"/>
      <c r="AO129" s="561"/>
      <c r="AP129" s="561"/>
      <c r="AQ129" s="561"/>
      <c r="AR129" s="561"/>
      <c r="AS129" s="561"/>
      <c r="AT129" s="561"/>
      <c r="AU129" s="561"/>
      <c r="AV129" s="561"/>
      <c r="AW129" s="561"/>
    </row>
    <row r="130" ht="15.75" customHeight="1">
      <c r="D130" s="124"/>
      <c r="G130" s="124"/>
      <c r="H130" s="124"/>
      <c r="I130" s="124"/>
      <c r="K130" s="124"/>
      <c r="N130" s="124"/>
      <c r="O130" s="561"/>
      <c r="P130" s="124"/>
      <c r="AC130" s="562"/>
      <c r="AD130" s="561"/>
      <c r="AE130" s="561"/>
      <c r="AF130" s="561"/>
      <c r="AG130" s="561"/>
      <c r="AH130" s="561"/>
      <c r="AI130" s="561"/>
      <c r="AJ130" s="561"/>
      <c r="AK130" s="561"/>
      <c r="AL130" s="561"/>
      <c r="AM130" s="561"/>
      <c r="AN130" s="561"/>
      <c r="AO130" s="561"/>
      <c r="AP130" s="561"/>
      <c r="AQ130" s="561"/>
      <c r="AR130" s="561"/>
      <c r="AS130" s="561"/>
      <c r="AT130" s="561"/>
      <c r="AU130" s="561"/>
      <c r="AV130" s="561"/>
      <c r="AW130" s="561"/>
    </row>
    <row r="131" ht="15.75" customHeight="1">
      <c r="D131" s="124"/>
      <c r="G131" s="124"/>
      <c r="H131" s="124"/>
      <c r="I131" s="124"/>
      <c r="K131" s="124"/>
      <c r="N131" s="124"/>
      <c r="O131" s="561"/>
      <c r="P131" s="124"/>
      <c r="AC131" s="562"/>
      <c r="AD131" s="561"/>
      <c r="AE131" s="561"/>
      <c r="AF131" s="561"/>
      <c r="AG131" s="561"/>
      <c r="AH131" s="561"/>
      <c r="AI131" s="561"/>
      <c r="AJ131" s="561"/>
      <c r="AK131" s="561"/>
      <c r="AL131" s="561"/>
      <c r="AM131" s="561"/>
      <c r="AN131" s="561"/>
      <c r="AO131" s="561"/>
      <c r="AP131" s="561"/>
      <c r="AQ131" s="561"/>
      <c r="AR131" s="561"/>
      <c r="AS131" s="561"/>
      <c r="AT131" s="561"/>
      <c r="AU131" s="561"/>
      <c r="AV131" s="561"/>
      <c r="AW131" s="561"/>
    </row>
    <row r="132" ht="15.75" customHeight="1">
      <c r="D132" s="124"/>
      <c r="G132" s="124"/>
      <c r="H132" s="124"/>
      <c r="I132" s="124"/>
      <c r="K132" s="124"/>
      <c r="N132" s="124"/>
      <c r="O132" s="561"/>
      <c r="P132" s="124"/>
      <c r="AC132" s="562"/>
      <c r="AD132" s="561"/>
      <c r="AE132" s="561"/>
      <c r="AF132" s="561"/>
      <c r="AG132" s="561"/>
      <c r="AH132" s="561"/>
      <c r="AI132" s="561"/>
      <c r="AJ132" s="561"/>
      <c r="AK132" s="561"/>
      <c r="AL132" s="561"/>
      <c r="AM132" s="561"/>
      <c r="AN132" s="561"/>
      <c r="AO132" s="561"/>
      <c r="AP132" s="561"/>
      <c r="AQ132" s="561"/>
      <c r="AR132" s="561"/>
      <c r="AS132" s="561"/>
      <c r="AT132" s="561"/>
      <c r="AU132" s="561"/>
      <c r="AV132" s="561"/>
      <c r="AW132" s="561"/>
    </row>
    <row r="133" ht="15.75" customHeight="1">
      <c r="D133" s="124"/>
      <c r="G133" s="124"/>
      <c r="H133" s="124"/>
      <c r="I133" s="124"/>
      <c r="K133" s="124"/>
      <c r="N133" s="124"/>
      <c r="O133" s="561"/>
      <c r="P133" s="124"/>
      <c r="AC133" s="562"/>
      <c r="AD133" s="561"/>
      <c r="AE133" s="561"/>
      <c r="AF133" s="561"/>
      <c r="AG133" s="561"/>
      <c r="AH133" s="561"/>
      <c r="AI133" s="561"/>
      <c r="AJ133" s="561"/>
      <c r="AK133" s="561"/>
      <c r="AL133" s="561"/>
      <c r="AM133" s="561"/>
      <c r="AN133" s="561"/>
      <c r="AO133" s="561"/>
      <c r="AP133" s="561"/>
      <c r="AQ133" s="561"/>
      <c r="AR133" s="561"/>
      <c r="AS133" s="561"/>
      <c r="AT133" s="561"/>
      <c r="AU133" s="561"/>
      <c r="AV133" s="561"/>
      <c r="AW133" s="561"/>
    </row>
    <row r="134" ht="15.75" customHeight="1">
      <c r="D134" s="124"/>
      <c r="G134" s="124"/>
      <c r="H134" s="124"/>
      <c r="I134" s="124"/>
      <c r="K134" s="124"/>
      <c r="N134" s="124"/>
      <c r="O134" s="561"/>
      <c r="P134" s="124"/>
      <c r="AC134" s="562"/>
      <c r="AD134" s="561"/>
      <c r="AE134" s="561"/>
      <c r="AF134" s="561"/>
      <c r="AG134" s="561"/>
      <c r="AH134" s="561"/>
      <c r="AI134" s="561"/>
      <c r="AJ134" s="561"/>
      <c r="AK134" s="561"/>
      <c r="AL134" s="561"/>
      <c r="AM134" s="561"/>
      <c r="AN134" s="561"/>
      <c r="AO134" s="561"/>
      <c r="AP134" s="561"/>
      <c r="AQ134" s="561"/>
      <c r="AR134" s="561"/>
      <c r="AS134" s="561"/>
      <c r="AT134" s="561"/>
      <c r="AU134" s="561"/>
      <c r="AV134" s="561"/>
      <c r="AW134" s="561"/>
    </row>
    <row r="135" ht="15.75" customHeight="1">
      <c r="D135" s="124"/>
      <c r="G135" s="124"/>
      <c r="H135" s="124"/>
      <c r="I135" s="124"/>
      <c r="K135" s="124"/>
      <c r="N135" s="124"/>
      <c r="O135" s="561"/>
      <c r="P135" s="124"/>
      <c r="AC135" s="562"/>
      <c r="AD135" s="561"/>
      <c r="AE135" s="561"/>
      <c r="AF135" s="561"/>
      <c r="AG135" s="561"/>
      <c r="AH135" s="561"/>
      <c r="AI135" s="561"/>
      <c r="AJ135" s="561"/>
      <c r="AK135" s="561"/>
      <c r="AL135" s="561"/>
      <c r="AM135" s="561"/>
      <c r="AN135" s="561"/>
      <c r="AO135" s="561"/>
      <c r="AP135" s="561"/>
      <c r="AQ135" s="561"/>
      <c r="AR135" s="561"/>
      <c r="AS135" s="561"/>
      <c r="AT135" s="561"/>
      <c r="AU135" s="561"/>
      <c r="AV135" s="561"/>
      <c r="AW135" s="561"/>
    </row>
    <row r="136" ht="15.75" customHeight="1">
      <c r="D136" s="124"/>
      <c r="G136" s="124"/>
      <c r="H136" s="124"/>
      <c r="I136" s="124"/>
      <c r="K136" s="124"/>
      <c r="N136" s="124"/>
      <c r="O136" s="561"/>
      <c r="P136" s="124"/>
      <c r="AC136" s="562"/>
      <c r="AD136" s="561"/>
      <c r="AE136" s="561"/>
      <c r="AF136" s="561"/>
      <c r="AG136" s="561"/>
      <c r="AH136" s="561"/>
      <c r="AI136" s="561"/>
      <c r="AJ136" s="561"/>
      <c r="AK136" s="561"/>
      <c r="AL136" s="561"/>
      <c r="AM136" s="561"/>
      <c r="AN136" s="561"/>
      <c r="AO136" s="561"/>
      <c r="AP136" s="561"/>
      <c r="AQ136" s="561"/>
      <c r="AR136" s="561"/>
      <c r="AS136" s="561"/>
      <c r="AT136" s="561"/>
      <c r="AU136" s="561"/>
      <c r="AV136" s="561"/>
      <c r="AW136" s="561"/>
    </row>
    <row r="137" ht="15.75" customHeight="1">
      <c r="D137" s="124"/>
      <c r="G137" s="124"/>
      <c r="H137" s="124"/>
      <c r="I137" s="124"/>
      <c r="K137" s="124"/>
      <c r="N137" s="124"/>
      <c r="O137" s="561"/>
      <c r="P137" s="124"/>
      <c r="AC137" s="562"/>
      <c r="AD137" s="561"/>
      <c r="AE137" s="561"/>
      <c r="AF137" s="561"/>
      <c r="AG137" s="561"/>
      <c r="AH137" s="561"/>
      <c r="AI137" s="561"/>
      <c r="AJ137" s="561"/>
      <c r="AK137" s="561"/>
      <c r="AL137" s="561"/>
      <c r="AM137" s="561"/>
      <c r="AN137" s="561"/>
      <c r="AO137" s="561"/>
      <c r="AP137" s="561"/>
      <c r="AQ137" s="561"/>
      <c r="AR137" s="561"/>
      <c r="AS137" s="561"/>
      <c r="AT137" s="561"/>
      <c r="AU137" s="561"/>
      <c r="AV137" s="561"/>
      <c r="AW137" s="561"/>
    </row>
    <row r="138" ht="15.75" customHeight="1">
      <c r="D138" s="124"/>
      <c r="G138" s="124"/>
      <c r="H138" s="124"/>
      <c r="I138" s="124"/>
      <c r="K138" s="124"/>
      <c r="N138" s="124"/>
      <c r="O138" s="561"/>
      <c r="P138" s="124"/>
      <c r="AC138" s="562"/>
      <c r="AD138" s="561"/>
      <c r="AE138" s="561"/>
      <c r="AF138" s="561"/>
      <c r="AG138" s="561"/>
      <c r="AH138" s="561"/>
      <c r="AI138" s="561"/>
      <c r="AJ138" s="561"/>
      <c r="AK138" s="561"/>
      <c r="AL138" s="561"/>
      <c r="AM138" s="561"/>
      <c r="AN138" s="561"/>
      <c r="AO138" s="561"/>
      <c r="AP138" s="561"/>
      <c r="AQ138" s="561"/>
      <c r="AR138" s="561"/>
      <c r="AS138" s="561"/>
      <c r="AT138" s="561"/>
      <c r="AU138" s="561"/>
      <c r="AV138" s="561"/>
      <c r="AW138" s="561"/>
    </row>
    <row r="139" ht="15.75" customHeight="1">
      <c r="D139" s="124"/>
      <c r="G139" s="124"/>
      <c r="H139" s="124"/>
      <c r="I139" s="124"/>
      <c r="K139" s="124"/>
      <c r="N139" s="124"/>
      <c r="O139" s="561"/>
      <c r="P139" s="124"/>
      <c r="AC139" s="562"/>
      <c r="AD139" s="561"/>
      <c r="AE139" s="561"/>
      <c r="AF139" s="561"/>
      <c r="AG139" s="561"/>
      <c r="AH139" s="561"/>
      <c r="AI139" s="561"/>
      <c r="AJ139" s="561"/>
      <c r="AK139" s="561"/>
      <c r="AL139" s="561"/>
      <c r="AM139" s="561"/>
      <c r="AN139" s="561"/>
      <c r="AO139" s="561"/>
      <c r="AP139" s="561"/>
      <c r="AQ139" s="561"/>
      <c r="AR139" s="561"/>
      <c r="AS139" s="561"/>
      <c r="AT139" s="561"/>
      <c r="AU139" s="561"/>
      <c r="AV139" s="561"/>
      <c r="AW139" s="561"/>
    </row>
    <row r="140" ht="15.75" customHeight="1">
      <c r="D140" s="124"/>
      <c r="G140" s="124"/>
      <c r="H140" s="124"/>
      <c r="I140" s="124"/>
      <c r="K140" s="124"/>
      <c r="N140" s="124"/>
      <c r="O140" s="561"/>
      <c r="P140" s="124"/>
      <c r="AC140" s="562"/>
      <c r="AD140" s="561"/>
      <c r="AE140" s="561"/>
      <c r="AF140" s="561"/>
      <c r="AG140" s="561"/>
      <c r="AH140" s="561"/>
      <c r="AI140" s="561"/>
      <c r="AJ140" s="561"/>
      <c r="AK140" s="561"/>
      <c r="AL140" s="561"/>
      <c r="AM140" s="561"/>
      <c r="AN140" s="561"/>
      <c r="AO140" s="561"/>
      <c r="AP140" s="561"/>
      <c r="AQ140" s="561"/>
      <c r="AR140" s="561"/>
      <c r="AS140" s="561"/>
      <c r="AT140" s="561"/>
      <c r="AU140" s="561"/>
      <c r="AV140" s="561"/>
      <c r="AW140" s="561"/>
    </row>
    <row r="141" ht="15.75" customHeight="1">
      <c r="D141" s="124"/>
      <c r="G141" s="124"/>
      <c r="H141" s="124"/>
      <c r="I141" s="124"/>
      <c r="K141" s="124"/>
      <c r="N141" s="124"/>
      <c r="O141" s="561"/>
      <c r="P141" s="124"/>
      <c r="AC141" s="562"/>
      <c r="AD141" s="561"/>
      <c r="AE141" s="561"/>
      <c r="AF141" s="561"/>
      <c r="AG141" s="561"/>
      <c r="AH141" s="561"/>
      <c r="AI141" s="561"/>
      <c r="AJ141" s="561"/>
      <c r="AK141" s="561"/>
      <c r="AL141" s="561"/>
      <c r="AM141" s="561"/>
      <c r="AN141" s="561"/>
      <c r="AO141" s="561"/>
      <c r="AP141" s="561"/>
      <c r="AQ141" s="561"/>
      <c r="AR141" s="561"/>
      <c r="AS141" s="561"/>
      <c r="AT141" s="561"/>
      <c r="AU141" s="561"/>
      <c r="AV141" s="561"/>
      <c r="AW141" s="561"/>
    </row>
    <row r="142" ht="15.75" customHeight="1">
      <c r="D142" s="124"/>
      <c r="G142" s="124"/>
      <c r="H142" s="124"/>
      <c r="I142" s="124"/>
      <c r="K142" s="124"/>
      <c r="N142" s="124"/>
      <c r="O142" s="561"/>
      <c r="P142" s="124"/>
      <c r="AC142" s="562"/>
      <c r="AD142" s="561"/>
      <c r="AE142" s="561"/>
      <c r="AF142" s="561"/>
      <c r="AG142" s="561"/>
      <c r="AH142" s="561"/>
      <c r="AI142" s="561"/>
      <c r="AJ142" s="561"/>
      <c r="AK142" s="561"/>
      <c r="AL142" s="561"/>
      <c r="AM142" s="561"/>
      <c r="AN142" s="561"/>
      <c r="AO142" s="561"/>
      <c r="AP142" s="561"/>
      <c r="AQ142" s="561"/>
      <c r="AR142" s="561"/>
      <c r="AS142" s="561"/>
      <c r="AT142" s="561"/>
      <c r="AU142" s="561"/>
      <c r="AV142" s="561"/>
      <c r="AW142" s="561"/>
    </row>
    <row r="143" ht="15.75" customHeight="1">
      <c r="D143" s="124"/>
      <c r="G143" s="124"/>
      <c r="H143" s="124"/>
      <c r="I143" s="124"/>
      <c r="K143" s="124"/>
      <c r="N143" s="124"/>
      <c r="O143" s="561"/>
      <c r="P143" s="124"/>
      <c r="AC143" s="562"/>
      <c r="AD143" s="561"/>
      <c r="AE143" s="561"/>
      <c r="AF143" s="561"/>
      <c r="AG143" s="561"/>
      <c r="AH143" s="561"/>
      <c r="AI143" s="561"/>
      <c r="AJ143" s="561"/>
      <c r="AK143" s="561"/>
      <c r="AL143" s="561"/>
      <c r="AM143" s="561"/>
      <c r="AN143" s="561"/>
      <c r="AO143" s="561"/>
      <c r="AP143" s="561"/>
      <c r="AQ143" s="561"/>
      <c r="AR143" s="561"/>
      <c r="AS143" s="561"/>
      <c r="AT143" s="561"/>
      <c r="AU143" s="561"/>
      <c r="AV143" s="561"/>
      <c r="AW143" s="561"/>
    </row>
    <row r="144" ht="15.75" customHeight="1">
      <c r="D144" s="124"/>
      <c r="G144" s="124"/>
      <c r="H144" s="124"/>
      <c r="I144" s="124"/>
      <c r="K144" s="124"/>
      <c r="N144" s="124"/>
      <c r="O144" s="561"/>
      <c r="P144" s="124"/>
      <c r="AC144" s="562"/>
      <c r="AD144" s="561"/>
      <c r="AE144" s="561"/>
      <c r="AF144" s="561"/>
      <c r="AG144" s="561"/>
      <c r="AH144" s="561"/>
      <c r="AI144" s="561"/>
      <c r="AJ144" s="561"/>
      <c r="AK144" s="561"/>
      <c r="AL144" s="561"/>
      <c r="AM144" s="561"/>
      <c r="AN144" s="561"/>
      <c r="AO144" s="561"/>
      <c r="AP144" s="561"/>
      <c r="AQ144" s="561"/>
      <c r="AR144" s="561"/>
      <c r="AS144" s="561"/>
      <c r="AT144" s="561"/>
      <c r="AU144" s="561"/>
      <c r="AV144" s="561"/>
      <c r="AW144" s="561"/>
    </row>
    <row r="145" ht="15.75" customHeight="1">
      <c r="D145" s="124"/>
      <c r="G145" s="124"/>
      <c r="H145" s="124"/>
      <c r="I145" s="124"/>
      <c r="K145" s="124"/>
      <c r="N145" s="124"/>
      <c r="O145" s="561"/>
      <c r="P145" s="124"/>
      <c r="AC145" s="562"/>
      <c r="AD145" s="561"/>
      <c r="AE145" s="561"/>
      <c r="AF145" s="561"/>
      <c r="AG145" s="561"/>
      <c r="AH145" s="561"/>
      <c r="AI145" s="561"/>
      <c r="AJ145" s="561"/>
      <c r="AK145" s="561"/>
      <c r="AL145" s="561"/>
      <c r="AM145" s="561"/>
      <c r="AN145" s="561"/>
      <c r="AO145" s="561"/>
      <c r="AP145" s="561"/>
      <c r="AQ145" s="561"/>
      <c r="AR145" s="561"/>
      <c r="AS145" s="561"/>
      <c r="AT145" s="561"/>
      <c r="AU145" s="561"/>
      <c r="AV145" s="561"/>
      <c r="AW145" s="561"/>
    </row>
    <row r="146" ht="15.75" customHeight="1">
      <c r="D146" s="124"/>
      <c r="G146" s="124"/>
      <c r="H146" s="124"/>
      <c r="I146" s="124"/>
      <c r="K146" s="124"/>
      <c r="N146" s="124"/>
      <c r="O146" s="561"/>
      <c r="P146" s="124"/>
      <c r="AC146" s="562"/>
      <c r="AD146" s="561"/>
      <c r="AE146" s="561"/>
      <c r="AF146" s="561"/>
      <c r="AG146" s="561"/>
      <c r="AH146" s="561"/>
      <c r="AI146" s="561"/>
      <c r="AJ146" s="561"/>
      <c r="AK146" s="561"/>
      <c r="AL146" s="561"/>
      <c r="AM146" s="561"/>
      <c r="AN146" s="561"/>
      <c r="AO146" s="561"/>
      <c r="AP146" s="561"/>
      <c r="AQ146" s="561"/>
      <c r="AR146" s="561"/>
      <c r="AS146" s="561"/>
      <c r="AT146" s="561"/>
      <c r="AU146" s="561"/>
      <c r="AV146" s="561"/>
      <c r="AW146" s="561"/>
    </row>
    <row r="147" ht="15.75" customHeight="1">
      <c r="D147" s="124"/>
      <c r="G147" s="124"/>
      <c r="H147" s="124"/>
      <c r="I147" s="124"/>
      <c r="K147" s="124"/>
      <c r="N147" s="124"/>
      <c r="O147" s="561"/>
      <c r="P147" s="124"/>
      <c r="AC147" s="562"/>
      <c r="AD147" s="561"/>
      <c r="AE147" s="561"/>
      <c r="AF147" s="561"/>
      <c r="AG147" s="561"/>
      <c r="AH147" s="561"/>
      <c r="AI147" s="561"/>
      <c r="AJ147" s="561"/>
      <c r="AK147" s="561"/>
      <c r="AL147" s="561"/>
      <c r="AM147" s="561"/>
      <c r="AN147" s="561"/>
      <c r="AO147" s="561"/>
      <c r="AP147" s="561"/>
      <c r="AQ147" s="561"/>
      <c r="AR147" s="561"/>
      <c r="AS147" s="561"/>
      <c r="AT147" s="561"/>
      <c r="AU147" s="561"/>
      <c r="AV147" s="561"/>
      <c r="AW147" s="561"/>
    </row>
    <row r="148" ht="15.75" customHeight="1">
      <c r="D148" s="124"/>
      <c r="G148" s="124"/>
      <c r="H148" s="124"/>
      <c r="I148" s="124"/>
      <c r="K148" s="124"/>
      <c r="N148" s="124"/>
      <c r="O148" s="561"/>
      <c r="P148" s="124"/>
      <c r="AC148" s="562"/>
      <c r="AD148" s="561"/>
      <c r="AE148" s="561"/>
      <c r="AF148" s="561"/>
      <c r="AG148" s="561"/>
      <c r="AH148" s="561"/>
      <c r="AI148" s="561"/>
      <c r="AJ148" s="561"/>
      <c r="AK148" s="561"/>
      <c r="AL148" s="561"/>
      <c r="AM148" s="561"/>
      <c r="AN148" s="561"/>
      <c r="AO148" s="561"/>
      <c r="AP148" s="561"/>
      <c r="AQ148" s="561"/>
      <c r="AR148" s="561"/>
      <c r="AS148" s="561"/>
      <c r="AT148" s="561"/>
      <c r="AU148" s="561"/>
      <c r="AV148" s="561"/>
      <c r="AW148" s="561"/>
    </row>
    <row r="149" ht="15.75" customHeight="1">
      <c r="D149" s="124"/>
      <c r="G149" s="124"/>
      <c r="H149" s="124"/>
      <c r="I149" s="124"/>
      <c r="K149" s="124"/>
      <c r="N149" s="124"/>
      <c r="O149" s="561"/>
      <c r="P149" s="124"/>
      <c r="AC149" s="562"/>
      <c r="AD149" s="561"/>
      <c r="AE149" s="561"/>
      <c r="AF149" s="561"/>
      <c r="AG149" s="561"/>
      <c r="AH149" s="561"/>
      <c r="AI149" s="561"/>
      <c r="AJ149" s="561"/>
      <c r="AK149" s="561"/>
      <c r="AL149" s="561"/>
      <c r="AM149" s="561"/>
      <c r="AN149" s="561"/>
      <c r="AO149" s="561"/>
      <c r="AP149" s="561"/>
      <c r="AQ149" s="561"/>
      <c r="AR149" s="561"/>
      <c r="AS149" s="561"/>
      <c r="AT149" s="561"/>
      <c r="AU149" s="561"/>
      <c r="AV149" s="561"/>
      <c r="AW149" s="561"/>
    </row>
    <row r="150" ht="15.75" customHeight="1">
      <c r="D150" s="124"/>
      <c r="G150" s="124"/>
      <c r="H150" s="124"/>
      <c r="I150" s="124"/>
      <c r="K150" s="124"/>
      <c r="N150" s="124"/>
      <c r="O150" s="561"/>
      <c r="P150" s="124"/>
      <c r="AC150" s="562"/>
      <c r="AD150" s="561"/>
      <c r="AE150" s="561"/>
      <c r="AF150" s="561"/>
      <c r="AG150" s="561"/>
      <c r="AH150" s="561"/>
      <c r="AI150" s="561"/>
      <c r="AJ150" s="561"/>
      <c r="AK150" s="561"/>
      <c r="AL150" s="561"/>
      <c r="AM150" s="561"/>
      <c r="AN150" s="561"/>
      <c r="AO150" s="561"/>
      <c r="AP150" s="561"/>
      <c r="AQ150" s="561"/>
      <c r="AR150" s="561"/>
      <c r="AS150" s="561"/>
      <c r="AT150" s="561"/>
      <c r="AU150" s="561"/>
      <c r="AV150" s="561"/>
      <c r="AW150" s="561"/>
    </row>
    <row r="151" ht="15.75" customHeight="1">
      <c r="D151" s="124"/>
      <c r="G151" s="124"/>
      <c r="H151" s="124"/>
      <c r="I151" s="124"/>
      <c r="K151" s="124"/>
      <c r="N151" s="124"/>
      <c r="O151" s="561"/>
      <c r="P151" s="124"/>
      <c r="AC151" s="562"/>
      <c r="AD151" s="561"/>
      <c r="AE151" s="561"/>
      <c r="AF151" s="561"/>
      <c r="AG151" s="561"/>
      <c r="AH151" s="561"/>
      <c r="AI151" s="561"/>
      <c r="AJ151" s="561"/>
      <c r="AK151" s="561"/>
      <c r="AL151" s="561"/>
      <c r="AM151" s="561"/>
      <c r="AN151" s="561"/>
      <c r="AO151" s="561"/>
      <c r="AP151" s="561"/>
      <c r="AQ151" s="561"/>
      <c r="AR151" s="561"/>
      <c r="AS151" s="561"/>
      <c r="AT151" s="561"/>
      <c r="AU151" s="561"/>
      <c r="AV151" s="561"/>
      <c r="AW151" s="561"/>
    </row>
    <row r="152" ht="15.75" customHeight="1">
      <c r="D152" s="124"/>
      <c r="G152" s="124"/>
      <c r="H152" s="124"/>
      <c r="I152" s="124"/>
      <c r="K152" s="124"/>
      <c r="N152" s="124"/>
      <c r="O152" s="561"/>
      <c r="P152" s="124"/>
      <c r="AC152" s="562"/>
      <c r="AD152" s="561"/>
      <c r="AE152" s="561"/>
      <c r="AF152" s="561"/>
      <c r="AG152" s="561"/>
      <c r="AH152" s="561"/>
      <c r="AI152" s="561"/>
      <c r="AJ152" s="561"/>
      <c r="AK152" s="561"/>
      <c r="AL152" s="561"/>
      <c r="AM152" s="561"/>
      <c r="AN152" s="561"/>
      <c r="AO152" s="561"/>
      <c r="AP152" s="561"/>
      <c r="AQ152" s="561"/>
      <c r="AR152" s="561"/>
      <c r="AS152" s="561"/>
      <c r="AT152" s="561"/>
      <c r="AU152" s="561"/>
      <c r="AV152" s="561"/>
      <c r="AW152" s="561"/>
    </row>
    <row r="153" ht="15.75" customHeight="1">
      <c r="D153" s="124"/>
      <c r="G153" s="124"/>
      <c r="H153" s="124"/>
      <c r="I153" s="124"/>
      <c r="K153" s="124"/>
      <c r="N153" s="124"/>
      <c r="O153" s="561"/>
      <c r="P153" s="124"/>
      <c r="AC153" s="562"/>
      <c r="AD153" s="561"/>
      <c r="AE153" s="561"/>
      <c r="AF153" s="561"/>
      <c r="AG153" s="561"/>
      <c r="AH153" s="561"/>
      <c r="AI153" s="561"/>
      <c r="AJ153" s="561"/>
      <c r="AK153" s="561"/>
      <c r="AL153" s="561"/>
      <c r="AM153" s="561"/>
      <c r="AN153" s="561"/>
      <c r="AO153" s="561"/>
      <c r="AP153" s="561"/>
      <c r="AQ153" s="561"/>
      <c r="AR153" s="561"/>
      <c r="AS153" s="561"/>
      <c r="AT153" s="561"/>
      <c r="AU153" s="561"/>
      <c r="AV153" s="561"/>
      <c r="AW153" s="561"/>
    </row>
    <row r="154" ht="15.75" customHeight="1">
      <c r="D154" s="124"/>
      <c r="G154" s="124"/>
      <c r="H154" s="124"/>
      <c r="I154" s="124"/>
      <c r="K154" s="124"/>
      <c r="N154" s="124"/>
      <c r="O154" s="561"/>
      <c r="P154" s="124"/>
      <c r="AC154" s="562"/>
      <c r="AD154" s="561"/>
      <c r="AE154" s="561"/>
      <c r="AF154" s="561"/>
      <c r="AG154" s="561"/>
      <c r="AH154" s="561"/>
      <c r="AI154" s="561"/>
      <c r="AJ154" s="561"/>
      <c r="AK154" s="561"/>
      <c r="AL154" s="561"/>
      <c r="AM154" s="561"/>
      <c r="AN154" s="561"/>
      <c r="AO154" s="561"/>
      <c r="AP154" s="561"/>
      <c r="AQ154" s="561"/>
      <c r="AR154" s="561"/>
      <c r="AS154" s="561"/>
      <c r="AT154" s="561"/>
      <c r="AU154" s="561"/>
      <c r="AV154" s="561"/>
      <c r="AW154" s="561"/>
    </row>
    <row r="155" ht="15.75" customHeight="1">
      <c r="D155" s="124"/>
      <c r="G155" s="124"/>
      <c r="H155" s="124"/>
      <c r="I155" s="124"/>
      <c r="K155" s="124"/>
      <c r="N155" s="124"/>
      <c r="O155" s="561"/>
      <c r="P155" s="124"/>
      <c r="AC155" s="562"/>
      <c r="AD155" s="561"/>
      <c r="AE155" s="561"/>
      <c r="AF155" s="561"/>
      <c r="AG155" s="561"/>
      <c r="AH155" s="561"/>
      <c r="AI155" s="561"/>
      <c r="AJ155" s="561"/>
      <c r="AK155" s="561"/>
      <c r="AL155" s="561"/>
      <c r="AM155" s="561"/>
      <c r="AN155" s="561"/>
      <c r="AO155" s="561"/>
      <c r="AP155" s="561"/>
      <c r="AQ155" s="561"/>
      <c r="AR155" s="561"/>
      <c r="AS155" s="561"/>
      <c r="AT155" s="561"/>
      <c r="AU155" s="561"/>
      <c r="AV155" s="561"/>
      <c r="AW155" s="561"/>
    </row>
    <row r="156" ht="15.75" customHeight="1">
      <c r="D156" s="124"/>
      <c r="G156" s="124"/>
      <c r="H156" s="124"/>
      <c r="I156" s="124"/>
      <c r="K156" s="124"/>
      <c r="N156" s="124"/>
      <c r="O156" s="561"/>
      <c r="P156" s="124"/>
      <c r="AC156" s="562"/>
      <c r="AD156" s="561"/>
      <c r="AE156" s="561"/>
      <c r="AF156" s="561"/>
      <c r="AG156" s="561"/>
      <c r="AH156" s="561"/>
      <c r="AI156" s="561"/>
      <c r="AJ156" s="561"/>
      <c r="AK156" s="561"/>
      <c r="AL156" s="561"/>
      <c r="AM156" s="561"/>
      <c r="AN156" s="561"/>
      <c r="AO156" s="561"/>
      <c r="AP156" s="561"/>
      <c r="AQ156" s="561"/>
      <c r="AR156" s="561"/>
      <c r="AS156" s="561"/>
      <c r="AT156" s="561"/>
      <c r="AU156" s="561"/>
      <c r="AV156" s="561"/>
      <c r="AW156" s="561"/>
    </row>
    <row r="157" ht="15.75" customHeight="1">
      <c r="D157" s="124"/>
      <c r="G157" s="124"/>
      <c r="H157" s="124"/>
      <c r="I157" s="124"/>
      <c r="K157" s="124"/>
      <c r="N157" s="124"/>
      <c r="O157" s="561"/>
      <c r="P157" s="124"/>
      <c r="AC157" s="562"/>
      <c r="AD157" s="561"/>
      <c r="AE157" s="561"/>
      <c r="AF157" s="561"/>
      <c r="AG157" s="561"/>
      <c r="AH157" s="561"/>
      <c r="AI157" s="561"/>
      <c r="AJ157" s="561"/>
      <c r="AK157" s="561"/>
      <c r="AL157" s="561"/>
      <c r="AM157" s="561"/>
      <c r="AN157" s="561"/>
      <c r="AO157" s="561"/>
      <c r="AP157" s="561"/>
      <c r="AQ157" s="561"/>
      <c r="AR157" s="561"/>
      <c r="AS157" s="561"/>
      <c r="AT157" s="561"/>
      <c r="AU157" s="561"/>
      <c r="AV157" s="561"/>
      <c r="AW157" s="561"/>
    </row>
    <row r="158" ht="15.75" customHeight="1">
      <c r="D158" s="124"/>
      <c r="G158" s="124"/>
      <c r="H158" s="124"/>
      <c r="I158" s="124"/>
      <c r="K158" s="124"/>
      <c r="N158" s="124"/>
      <c r="O158" s="561"/>
      <c r="P158" s="124"/>
      <c r="AC158" s="562"/>
      <c r="AD158" s="561"/>
      <c r="AE158" s="561"/>
      <c r="AF158" s="561"/>
      <c r="AG158" s="561"/>
      <c r="AH158" s="561"/>
      <c r="AI158" s="561"/>
      <c r="AJ158" s="561"/>
      <c r="AK158" s="561"/>
      <c r="AL158" s="561"/>
      <c r="AM158" s="561"/>
      <c r="AN158" s="561"/>
      <c r="AO158" s="561"/>
      <c r="AP158" s="561"/>
      <c r="AQ158" s="561"/>
      <c r="AR158" s="561"/>
      <c r="AS158" s="561"/>
      <c r="AT158" s="561"/>
      <c r="AU158" s="561"/>
      <c r="AV158" s="561"/>
      <c r="AW158" s="561"/>
    </row>
    <row r="159" ht="15.75" customHeight="1">
      <c r="D159" s="124"/>
      <c r="G159" s="124"/>
      <c r="H159" s="124"/>
      <c r="I159" s="124"/>
      <c r="K159" s="124"/>
      <c r="N159" s="124"/>
      <c r="O159" s="561"/>
      <c r="P159" s="124"/>
      <c r="AC159" s="562"/>
      <c r="AD159" s="561"/>
      <c r="AE159" s="561"/>
      <c r="AF159" s="561"/>
      <c r="AG159" s="561"/>
      <c r="AH159" s="561"/>
      <c r="AI159" s="561"/>
      <c r="AJ159" s="561"/>
      <c r="AK159" s="561"/>
      <c r="AL159" s="561"/>
      <c r="AM159" s="561"/>
      <c r="AN159" s="561"/>
      <c r="AO159" s="561"/>
      <c r="AP159" s="561"/>
      <c r="AQ159" s="561"/>
      <c r="AR159" s="561"/>
      <c r="AS159" s="561"/>
      <c r="AT159" s="561"/>
      <c r="AU159" s="561"/>
      <c r="AV159" s="561"/>
      <c r="AW159" s="561"/>
    </row>
    <row r="160" ht="15.75" customHeight="1">
      <c r="D160" s="124"/>
      <c r="G160" s="124"/>
      <c r="H160" s="124"/>
      <c r="I160" s="124"/>
      <c r="K160" s="124"/>
      <c r="N160" s="124"/>
      <c r="O160" s="561"/>
      <c r="P160" s="124"/>
      <c r="AC160" s="562"/>
      <c r="AD160" s="561"/>
      <c r="AE160" s="561"/>
      <c r="AF160" s="561"/>
      <c r="AG160" s="561"/>
      <c r="AH160" s="561"/>
      <c r="AI160" s="561"/>
      <c r="AJ160" s="561"/>
      <c r="AK160" s="561"/>
      <c r="AL160" s="561"/>
      <c r="AM160" s="561"/>
      <c r="AN160" s="561"/>
      <c r="AO160" s="561"/>
      <c r="AP160" s="561"/>
      <c r="AQ160" s="561"/>
      <c r="AR160" s="561"/>
      <c r="AS160" s="561"/>
      <c r="AT160" s="561"/>
      <c r="AU160" s="561"/>
      <c r="AV160" s="561"/>
      <c r="AW160" s="561"/>
    </row>
    <row r="161" ht="15.75" customHeight="1">
      <c r="D161" s="124"/>
      <c r="G161" s="124"/>
      <c r="H161" s="124"/>
      <c r="I161" s="124"/>
      <c r="K161" s="124"/>
      <c r="N161" s="124"/>
      <c r="O161" s="561"/>
      <c r="P161" s="124"/>
      <c r="AC161" s="562"/>
      <c r="AD161" s="561"/>
      <c r="AE161" s="561"/>
      <c r="AF161" s="561"/>
      <c r="AG161" s="561"/>
      <c r="AH161" s="561"/>
      <c r="AI161" s="561"/>
      <c r="AJ161" s="561"/>
      <c r="AK161" s="561"/>
      <c r="AL161" s="561"/>
      <c r="AM161" s="561"/>
      <c r="AN161" s="561"/>
      <c r="AO161" s="561"/>
      <c r="AP161" s="561"/>
      <c r="AQ161" s="561"/>
      <c r="AR161" s="561"/>
      <c r="AS161" s="561"/>
      <c r="AT161" s="561"/>
      <c r="AU161" s="561"/>
      <c r="AV161" s="561"/>
      <c r="AW161" s="561"/>
    </row>
    <row r="162" ht="15.75" customHeight="1">
      <c r="D162" s="124"/>
      <c r="G162" s="124"/>
      <c r="H162" s="124"/>
      <c r="I162" s="124"/>
      <c r="K162" s="124"/>
      <c r="N162" s="124"/>
      <c r="O162" s="561"/>
      <c r="P162" s="124"/>
      <c r="AC162" s="562"/>
      <c r="AD162" s="561"/>
      <c r="AE162" s="561"/>
      <c r="AF162" s="561"/>
      <c r="AG162" s="561"/>
      <c r="AH162" s="561"/>
      <c r="AI162" s="561"/>
      <c r="AJ162" s="561"/>
      <c r="AK162" s="561"/>
      <c r="AL162" s="561"/>
      <c r="AM162" s="561"/>
      <c r="AN162" s="561"/>
      <c r="AO162" s="561"/>
      <c r="AP162" s="561"/>
      <c r="AQ162" s="561"/>
      <c r="AR162" s="561"/>
      <c r="AS162" s="561"/>
      <c r="AT162" s="561"/>
      <c r="AU162" s="561"/>
      <c r="AV162" s="561"/>
      <c r="AW162" s="561"/>
    </row>
    <row r="163" ht="15.75" customHeight="1">
      <c r="D163" s="124"/>
      <c r="G163" s="124"/>
      <c r="H163" s="124"/>
      <c r="I163" s="124"/>
      <c r="K163" s="124"/>
      <c r="N163" s="124"/>
      <c r="O163" s="561"/>
      <c r="P163" s="124"/>
      <c r="AC163" s="562"/>
      <c r="AD163" s="561"/>
      <c r="AE163" s="561"/>
      <c r="AF163" s="561"/>
      <c r="AG163" s="561"/>
      <c r="AH163" s="561"/>
      <c r="AI163" s="561"/>
      <c r="AJ163" s="561"/>
      <c r="AK163" s="561"/>
      <c r="AL163" s="561"/>
      <c r="AM163" s="561"/>
      <c r="AN163" s="561"/>
      <c r="AO163" s="561"/>
      <c r="AP163" s="561"/>
      <c r="AQ163" s="561"/>
      <c r="AR163" s="561"/>
      <c r="AS163" s="561"/>
      <c r="AT163" s="561"/>
      <c r="AU163" s="561"/>
      <c r="AV163" s="561"/>
      <c r="AW163" s="561"/>
    </row>
    <row r="164" ht="15.75" customHeight="1">
      <c r="D164" s="124"/>
      <c r="G164" s="124"/>
      <c r="H164" s="124"/>
      <c r="I164" s="124"/>
      <c r="K164" s="124"/>
      <c r="N164" s="124"/>
      <c r="O164" s="561"/>
      <c r="P164" s="124"/>
      <c r="AC164" s="562"/>
      <c r="AD164" s="561"/>
      <c r="AE164" s="561"/>
      <c r="AF164" s="561"/>
      <c r="AG164" s="561"/>
      <c r="AH164" s="561"/>
      <c r="AI164" s="561"/>
      <c r="AJ164" s="561"/>
      <c r="AK164" s="561"/>
      <c r="AL164" s="561"/>
      <c r="AM164" s="561"/>
      <c r="AN164" s="561"/>
      <c r="AO164" s="561"/>
      <c r="AP164" s="561"/>
      <c r="AQ164" s="561"/>
      <c r="AR164" s="561"/>
      <c r="AS164" s="561"/>
      <c r="AT164" s="561"/>
      <c r="AU164" s="561"/>
      <c r="AV164" s="561"/>
      <c r="AW164" s="561"/>
    </row>
    <row r="165" ht="15.75" customHeight="1">
      <c r="D165" s="124"/>
      <c r="G165" s="124"/>
      <c r="H165" s="124"/>
      <c r="I165" s="124"/>
      <c r="K165" s="124"/>
      <c r="N165" s="124"/>
      <c r="O165" s="561"/>
      <c r="P165" s="124"/>
      <c r="AC165" s="562"/>
      <c r="AD165" s="561"/>
      <c r="AE165" s="561"/>
      <c r="AF165" s="561"/>
      <c r="AG165" s="561"/>
      <c r="AH165" s="561"/>
      <c r="AI165" s="561"/>
      <c r="AJ165" s="561"/>
      <c r="AK165" s="561"/>
      <c r="AL165" s="561"/>
      <c r="AM165" s="561"/>
      <c r="AN165" s="561"/>
      <c r="AO165" s="561"/>
      <c r="AP165" s="561"/>
      <c r="AQ165" s="561"/>
      <c r="AR165" s="561"/>
      <c r="AS165" s="561"/>
      <c r="AT165" s="561"/>
      <c r="AU165" s="561"/>
      <c r="AV165" s="561"/>
      <c r="AW165" s="561"/>
    </row>
    <row r="166" ht="15.75" customHeight="1">
      <c r="D166" s="124"/>
      <c r="G166" s="124"/>
      <c r="H166" s="124"/>
      <c r="I166" s="124"/>
      <c r="K166" s="124"/>
      <c r="N166" s="124"/>
      <c r="O166" s="561"/>
      <c r="P166" s="124"/>
      <c r="AC166" s="562"/>
      <c r="AD166" s="561"/>
      <c r="AE166" s="561"/>
      <c r="AF166" s="561"/>
      <c r="AG166" s="561"/>
      <c r="AH166" s="561"/>
      <c r="AI166" s="561"/>
      <c r="AJ166" s="561"/>
      <c r="AK166" s="561"/>
      <c r="AL166" s="561"/>
      <c r="AM166" s="561"/>
      <c r="AN166" s="561"/>
      <c r="AO166" s="561"/>
      <c r="AP166" s="561"/>
      <c r="AQ166" s="561"/>
      <c r="AR166" s="561"/>
      <c r="AS166" s="561"/>
      <c r="AT166" s="561"/>
      <c r="AU166" s="561"/>
      <c r="AV166" s="561"/>
      <c r="AW166" s="561"/>
    </row>
    <row r="167" ht="15.75" customHeight="1">
      <c r="D167" s="124"/>
      <c r="G167" s="124"/>
      <c r="H167" s="124"/>
      <c r="I167" s="124"/>
      <c r="K167" s="124"/>
      <c r="N167" s="124"/>
      <c r="O167" s="561"/>
      <c r="P167" s="124"/>
      <c r="AC167" s="562"/>
      <c r="AD167" s="561"/>
      <c r="AE167" s="561"/>
      <c r="AF167" s="561"/>
      <c r="AG167" s="561"/>
      <c r="AH167" s="561"/>
      <c r="AI167" s="561"/>
      <c r="AJ167" s="561"/>
      <c r="AK167" s="561"/>
      <c r="AL167" s="561"/>
      <c r="AM167" s="561"/>
      <c r="AN167" s="561"/>
      <c r="AO167" s="561"/>
      <c r="AP167" s="561"/>
      <c r="AQ167" s="561"/>
      <c r="AR167" s="561"/>
      <c r="AS167" s="561"/>
      <c r="AT167" s="561"/>
      <c r="AU167" s="561"/>
      <c r="AV167" s="561"/>
      <c r="AW167" s="561"/>
    </row>
    <row r="168" ht="15.75" customHeight="1">
      <c r="D168" s="124"/>
      <c r="G168" s="124"/>
      <c r="H168" s="124"/>
      <c r="I168" s="124"/>
      <c r="K168" s="124"/>
      <c r="N168" s="124"/>
      <c r="O168" s="561"/>
      <c r="P168" s="124"/>
      <c r="AC168" s="562"/>
      <c r="AD168" s="561"/>
      <c r="AE168" s="561"/>
      <c r="AF168" s="561"/>
      <c r="AG168" s="561"/>
      <c r="AH168" s="561"/>
      <c r="AI168" s="561"/>
      <c r="AJ168" s="561"/>
      <c r="AK168" s="561"/>
      <c r="AL168" s="561"/>
      <c r="AM168" s="561"/>
      <c r="AN168" s="561"/>
      <c r="AO168" s="561"/>
      <c r="AP168" s="561"/>
      <c r="AQ168" s="561"/>
      <c r="AR168" s="561"/>
      <c r="AS168" s="561"/>
      <c r="AT168" s="561"/>
      <c r="AU168" s="561"/>
      <c r="AV168" s="561"/>
      <c r="AW168" s="561"/>
    </row>
    <row r="169" ht="15.75" customHeight="1">
      <c r="D169" s="124"/>
      <c r="G169" s="124"/>
      <c r="H169" s="124"/>
      <c r="I169" s="124"/>
      <c r="K169" s="124"/>
      <c r="N169" s="124"/>
      <c r="O169" s="561"/>
      <c r="P169" s="124"/>
      <c r="AC169" s="562"/>
      <c r="AD169" s="561"/>
      <c r="AE169" s="561"/>
      <c r="AF169" s="561"/>
      <c r="AG169" s="561"/>
      <c r="AH169" s="561"/>
      <c r="AI169" s="561"/>
      <c r="AJ169" s="561"/>
      <c r="AK169" s="561"/>
      <c r="AL169" s="561"/>
      <c r="AM169" s="561"/>
      <c r="AN169" s="561"/>
      <c r="AO169" s="561"/>
      <c r="AP169" s="561"/>
      <c r="AQ169" s="561"/>
      <c r="AR169" s="561"/>
      <c r="AS169" s="561"/>
      <c r="AT169" s="561"/>
      <c r="AU169" s="561"/>
      <c r="AV169" s="561"/>
      <c r="AW169" s="561"/>
    </row>
    <row r="170" ht="15.75" customHeight="1">
      <c r="D170" s="124"/>
      <c r="G170" s="124"/>
      <c r="H170" s="124"/>
      <c r="I170" s="124"/>
      <c r="K170" s="124"/>
      <c r="N170" s="124"/>
      <c r="O170" s="561"/>
      <c r="P170" s="124"/>
      <c r="AC170" s="562"/>
      <c r="AD170" s="561"/>
      <c r="AE170" s="561"/>
      <c r="AF170" s="561"/>
      <c r="AG170" s="561"/>
      <c r="AH170" s="561"/>
      <c r="AI170" s="561"/>
      <c r="AJ170" s="561"/>
      <c r="AK170" s="561"/>
      <c r="AL170" s="561"/>
      <c r="AM170" s="561"/>
      <c r="AN170" s="561"/>
      <c r="AO170" s="561"/>
      <c r="AP170" s="561"/>
      <c r="AQ170" s="561"/>
      <c r="AR170" s="561"/>
      <c r="AS170" s="561"/>
      <c r="AT170" s="561"/>
      <c r="AU170" s="561"/>
      <c r="AV170" s="561"/>
      <c r="AW170" s="561"/>
    </row>
    <row r="171" ht="15.75" customHeight="1">
      <c r="D171" s="124"/>
      <c r="G171" s="124"/>
      <c r="H171" s="124"/>
      <c r="I171" s="124"/>
      <c r="K171" s="124"/>
      <c r="N171" s="124"/>
      <c r="O171" s="561"/>
      <c r="P171" s="124"/>
      <c r="AC171" s="562"/>
      <c r="AD171" s="561"/>
      <c r="AE171" s="561"/>
      <c r="AF171" s="561"/>
      <c r="AG171" s="561"/>
      <c r="AH171" s="561"/>
      <c r="AI171" s="561"/>
      <c r="AJ171" s="561"/>
      <c r="AK171" s="561"/>
      <c r="AL171" s="561"/>
      <c r="AM171" s="561"/>
      <c r="AN171" s="561"/>
      <c r="AO171" s="561"/>
      <c r="AP171" s="561"/>
      <c r="AQ171" s="561"/>
      <c r="AR171" s="561"/>
      <c r="AS171" s="561"/>
      <c r="AT171" s="561"/>
      <c r="AU171" s="561"/>
      <c r="AV171" s="561"/>
      <c r="AW171" s="561"/>
    </row>
    <row r="172" ht="15.75" customHeight="1">
      <c r="D172" s="124"/>
      <c r="G172" s="124"/>
      <c r="H172" s="124"/>
      <c r="I172" s="124"/>
      <c r="K172" s="124"/>
      <c r="N172" s="124"/>
      <c r="O172" s="561"/>
      <c r="P172" s="124"/>
      <c r="AC172" s="562"/>
      <c r="AD172" s="561"/>
      <c r="AE172" s="561"/>
      <c r="AF172" s="561"/>
      <c r="AG172" s="561"/>
      <c r="AH172" s="561"/>
      <c r="AI172" s="561"/>
      <c r="AJ172" s="561"/>
      <c r="AK172" s="561"/>
      <c r="AL172" s="561"/>
      <c r="AM172" s="561"/>
      <c r="AN172" s="561"/>
      <c r="AO172" s="561"/>
      <c r="AP172" s="561"/>
      <c r="AQ172" s="561"/>
      <c r="AR172" s="561"/>
      <c r="AS172" s="561"/>
      <c r="AT172" s="561"/>
      <c r="AU172" s="561"/>
      <c r="AV172" s="561"/>
      <c r="AW172" s="561"/>
    </row>
    <row r="173" ht="15.75" customHeight="1">
      <c r="D173" s="124"/>
      <c r="G173" s="124"/>
      <c r="H173" s="124"/>
      <c r="I173" s="124"/>
      <c r="K173" s="124"/>
      <c r="N173" s="124"/>
      <c r="O173" s="561"/>
      <c r="P173" s="124"/>
      <c r="AC173" s="562"/>
      <c r="AD173" s="561"/>
      <c r="AE173" s="561"/>
      <c r="AF173" s="561"/>
      <c r="AG173" s="561"/>
      <c r="AH173" s="561"/>
      <c r="AI173" s="561"/>
      <c r="AJ173" s="561"/>
      <c r="AK173" s="561"/>
      <c r="AL173" s="561"/>
      <c r="AM173" s="561"/>
      <c r="AN173" s="561"/>
      <c r="AO173" s="561"/>
      <c r="AP173" s="561"/>
      <c r="AQ173" s="561"/>
      <c r="AR173" s="561"/>
      <c r="AS173" s="561"/>
      <c r="AT173" s="561"/>
      <c r="AU173" s="561"/>
      <c r="AV173" s="561"/>
      <c r="AW173" s="561"/>
    </row>
    <row r="174" ht="15.75" customHeight="1">
      <c r="D174" s="124"/>
      <c r="G174" s="124"/>
      <c r="H174" s="124"/>
      <c r="I174" s="124"/>
      <c r="K174" s="124"/>
      <c r="N174" s="124"/>
      <c r="O174" s="561"/>
      <c r="P174" s="124"/>
      <c r="AC174" s="562"/>
      <c r="AD174" s="561"/>
      <c r="AE174" s="561"/>
      <c r="AF174" s="561"/>
      <c r="AG174" s="561"/>
      <c r="AH174" s="561"/>
      <c r="AI174" s="561"/>
      <c r="AJ174" s="561"/>
      <c r="AK174" s="561"/>
      <c r="AL174" s="561"/>
      <c r="AM174" s="561"/>
      <c r="AN174" s="561"/>
      <c r="AO174" s="561"/>
      <c r="AP174" s="561"/>
      <c r="AQ174" s="561"/>
      <c r="AR174" s="561"/>
      <c r="AS174" s="561"/>
      <c r="AT174" s="561"/>
      <c r="AU174" s="561"/>
      <c r="AV174" s="561"/>
      <c r="AW174" s="561"/>
    </row>
    <row r="175" ht="15.75" customHeight="1">
      <c r="D175" s="124"/>
      <c r="G175" s="124"/>
      <c r="H175" s="124"/>
      <c r="I175" s="124"/>
      <c r="K175" s="124"/>
      <c r="N175" s="124"/>
      <c r="O175" s="561"/>
      <c r="P175" s="124"/>
      <c r="AC175" s="562"/>
      <c r="AD175" s="561"/>
      <c r="AE175" s="561"/>
      <c r="AF175" s="561"/>
      <c r="AG175" s="561"/>
      <c r="AH175" s="561"/>
      <c r="AI175" s="561"/>
      <c r="AJ175" s="561"/>
      <c r="AK175" s="561"/>
      <c r="AL175" s="561"/>
      <c r="AM175" s="561"/>
      <c r="AN175" s="561"/>
      <c r="AO175" s="561"/>
      <c r="AP175" s="561"/>
      <c r="AQ175" s="561"/>
      <c r="AR175" s="561"/>
      <c r="AS175" s="561"/>
      <c r="AT175" s="561"/>
      <c r="AU175" s="561"/>
      <c r="AV175" s="561"/>
      <c r="AW175" s="561"/>
    </row>
    <row r="176" ht="15.75" customHeight="1">
      <c r="D176" s="124"/>
      <c r="G176" s="124"/>
      <c r="H176" s="124"/>
      <c r="I176" s="124"/>
      <c r="K176" s="124"/>
      <c r="N176" s="124"/>
      <c r="O176" s="561"/>
      <c r="P176" s="124"/>
      <c r="AC176" s="562"/>
      <c r="AD176" s="561"/>
      <c r="AE176" s="561"/>
      <c r="AF176" s="561"/>
      <c r="AG176" s="561"/>
      <c r="AH176" s="561"/>
      <c r="AI176" s="561"/>
      <c r="AJ176" s="561"/>
      <c r="AK176" s="561"/>
      <c r="AL176" s="561"/>
      <c r="AM176" s="561"/>
      <c r="AN176" s="561"/>
      <c r="AO176" s="561"/>
      <c r="AP176" s="561"/>
      <c r="AQ176" s="561"/>
      <c r="AR176" s="561"/>
      <c r="AS176" s="561"/>
      <c r="AT176" s="561"/>
      <c r="AU176" s="561"/>
      <c r="AV176" s="561"/>
      <c r="AW176" s="561"/>
    </row>
    <row r="177" ht="15.75" customHeight="1">
      <c r="D177" s="124"/>
      <c r="G177" s="124"/>
      <c r="H177" s="124"/>
      <c r="I177" s="124"/>
      <c r="K177" s="124"/>
      <c r="N177" s="124"/>
      <c r="O177" s="561"/>
      <c r="P177" s="124"/>
      <c r="AC177" s="562"/>
      <c r="AD177" s="561"/>
      <c r="AE177" s="561"/>
      <c r="AF177" s="561"/>
      <c r="AG177" s="561"/>
      <c r="AH177" s="561"/>
      <c r="AI177" s="561"/>
      <c r="AJ177" s="561"/>
      <c r="AK177" s="561"/>
      <c r="AL177" s="561"/>
      <c r="AM177" s="561"/>
      <c r="AN177" s="561"/>
      <c r="AO177" s="561"/>
      <c r="AP177" s="561"/>
      <c r="AQ177" s="561"/>
      <c r="AR177" s="561"/>
      <c r="AS177" s="561"/>
      <c r="AT177" s="561"/>
      <c r="AU177" s="561"/>
      <c r="AV177" s="561"/>
      <c r="AW177" s="561"/>
    </row>
    <row r="178" ht="15.75" customHeight="1">
      <c r="D178" s="124"/>
      <c r="G178" s="124"/>
      <c r="H178" s="124"/>
      <c r="I178" s="124"/>
      <c r="K178" s="124"/>
      <c r="N178" s="124"/>
      <c r="O178" s="561"/>
      <c r="P178" s="124"/>
      <c r="AC178" s="562"/>
      <c r="AD178" s="561"/>
      <c r="AE178" s="561"/>
      <c r="AF178" s="561"/>
      <c r="AG178" s="561"/>
      <c r="AH178" s="561"/>
      <c r="AI178" s="561"/>
      <c r="AJ178" s="561"/>
      <c r="AK178" s="561"/>
      <c r="AL178" s="561"/>
      <c r="AM178" s="561"/>
      <c r="AN178" s="561"/>
      <c r="AO178" s="561"/>
      <c r="AP178" s="561"/>
      <c r="AQ178" s="561"/>
      <c r="AR178" s="561"/>
      <c r="AS178" s="561"/>
      <c r="AT178" s="561"/>
      <c r="AU178" s="561"/>
      <c r="AV178" s="561"/>
      <c r="AW178" s="561"/>
    </row>
    <row r="179" ht="15.75" customHeight="1">
      <c r="D179" s="124"/>
      <c r="G179" s="124"/>
      <c r="H179" s="124"/>
      <c r="I179" s="124"/>
      <c r="K179" s="124"/>
      <c r="N179" s="124"/>
      <c r="O179" s="561"/>
      <c r="P179" s="124"/>
      <c r="AC179" s="562"/>
      <c r="AD179" s="561"/>
      <c r="AE179" s="561"/>
      <c r="AF179" s="561"/>
      <c r="AG179" s="561"/>
      <c r="AH179" s="561"/>
      <c r="AI179" s="561"/>
      <c r="AJ179" s="561"/>
      <c r="AK179" s="561"/>
      <c r="AL179" s="561"/>
      <c r="AM179" s="561"/>
      <c r="AN179" s="561"/>
      <c r="AO179" s="561"/>
      <c r="AP179" s="561"/>
      <c r="AQ179" s="561"/>
      <c r="AR179" s="561"/>
      <c r="AS179" s="561"/>
      <c r="AT179" s="561"/>
      <c r="AU179" s="561"/>
      <c r="AV179" s="561"/>
      <c r="AW179" s="561"/>
    </row>
    <row r="180" ht="15.75" customHeight="1">
      <c r="D180" s="124"/>
      <c r="G180" s="124"/>
      <c r="H180" s="124"/>
      <c r="I180" s="124"/>
      <c r="K180" s="124"/>
      <c r="N180" s="124"/>
      <c r="O180" s="561"/>
      <c r="P180" s="124"/>
      <c r="AC180" s="562"/>
      <c r="AD180" s="561"/>
      <c r="AE180" s="561"/>
      <c r="AF180" s="561"/>
      <c r="AG180" s="561"/>
      <c r="AH180" s="561"/>
      <c r="AI180" s="561"/>
      <c r="AJ180" s="561"/>
      <c r="AK180" s="561"/>
      <c r="AL180" s="561"/>
      <c r="AM180" s="561"/>
      <c r="AN180" s="561"/>
      <c r="AO180" s="561"/>
      <c r="AP180" s="561"/>
      <c r="AQ180" s="561"/>
      <c r="AR180" s="561"/>
      <c r="AS180" s="561"/>
      <c r="AT180" s="561"/>
      <c r="AU180" s="561"/>
      <c r="AV180" s="561"/>
      <c r="AW180" s="561"/>
    </row>
    <row r="181" ht="15.75" customHeight="1">
      <c r="D181" s="124"/>
      <c r="G181" s="124"/>
      <c r="H181" s="124"/>
      <c r="I181" s="124"/>
      <c r="K181" s="124"/>
      <c r="N181" s="124"/>
      <c r="O181" s="561"/>
      <c r="P181" s="124"/>
      <c r="AC181" s="562"/>
      <c r="AD181" s="561"/>
      <c r="AE181" s="561"/>
      <c r="AF181" s="561"/>
      <c r="AG181" s="561"/>
      <c r="AH181" s="561"/>
      <c r="AI181" s="561"/>
      <c r="AJ181" s="561"/>
      <c r="AK181" s="561"/>
      <c r="AL181" s="561"/>
      <c r="AM181" s="561"/>
      <c r="AN181" s="561"/>
      <c r="AO181" s="561"/>
      <c r="AP181" s="561"/>
      <c r="AQ181" s="561"/>
      <c r="AR181" s="561"/>
      <c r="AS181" s="561"/>
      <c r="AT181" s="561"/>
      <c r="AU181" s="561"/>
      <c r="AV181" s="561"/>
      <c r="AW181" s="561"/>
    </row>
    <row r="182" ht="15.75" customHeight="1">
      <c r="D182" s="124"/>
      <c r="G182" s="124"/>
      <c r="H182" s="124"/>
      <c r="I182" s="124"/>
      <c r="K182" s="124"/>
      <c r="N182" s="124"/>
      <c r="O182" s="561"/>
      <c r="P182" s="124"/>
      <c r="AC182" s="562"/>
      <c r="AD182" s="561"/>
      <c r="AE182" s="561"/>
      <c r="AF182" s="561"/>
      <c r="AG182" s="561"/>
      <c r="AH182" s="561"/>
      <c r="AI182" s="561"/>
      <c r="AJ182" s="561"/>
      <c r="AK182" s="561"/>
      <c r="AL182" s="561"/>
      <c r="AM182" s="561"/>
      <c r="AN182" s="561"/>
      <c r="AO182" s="561"/>
      <c r="AP182" s="561"/>
      <c r="AQ182" s="561"/>
      <c r="AR182" s="561"/>
      <c r="AS182" s="561"/>
      <c r="AT182" s="561"/>
      <c r="AU182" s="561"/>
      <c r="AV182" s="561"/>
      <c r="AW182" s="561"/>
    </row>
    <row r="183" ht="15.75" customHeight="1">
      <c r="D183" s="124"/>
      <c r="G183" s="124"/>
      <c r="H183" s="124"/>
      <c r="I183" s="124"/>
      <c r="K183" s="124"/>
      <c r="N183" s="124"/>
      <c r="O183" s="561"/>
      <c r="P183" s="124"/>
      <c r="AC183" s="562"/>
      <c r="AD183" s="561"/>
      <c r="AE183" s="561"/>
      <c r="AF183" s="561"/>
      <c r="AG183" s="561"/>
      <c r="AH183" s="561"/>
      <c r="AI183" s="561"/>
      <c r="AJ183" s="561"/>
      <c r="AK183" s="561"/>
      <c r="AL183" s="561"/>
      <c r="AM183" s="561"/>
      <c r="AN183" s="561"/>
      <c r="AO183" s="561"/>
      <c r="AP183" s="561"/>
      <c r="AQ183" s="561"/>
      <c r="AR183" s="561"/>
      <c r="AS183" s="561"/>
      <c r="AT183" s="561"/>
      <c r="AU183" s="561"/>
      <c r="AV183" s="561"/>
      <c r="AW183" s="561"/>
    </row>
    <row r="184" ht="15.75" customHeight="1">
      <c r="D184" s="124"/>
      <c r="G184" s="124"/>
      <c r="H184" s="124"/>
      <c r="I184" s="124"/>
      <c r="K184" s="124"/>
      <c r="N184" s="124"/>
      <c r="O184" s="561"/>
      <c r="P184" s="124"/>
      <c r="AC184" s="562"/>
      <c r="AD184" s="561"/>
      <c r="AE184" s="561"/>
      <c r="AF184" s="561"/>
      <c r="AG184" s="561"/>
      <c r="AH184" s="561"/>
      <c r="AI184" s="561"/>
      <c r="AJ184" s="561"/>
      <c r="AK184" s="561"/>
      <c r="AL184" s="561"/>
      <c r="AM184" s="561"/>
      <c r="AN184" s="561"/>
      <c r="AO184" s="561"/>
      <c r="AP184" s="561"/>
      <c r="AQ184" s="561"/>
      <c r="AR184" s="561"/>
      <c r="AS184" s="561"/>
      <c r="AT184" s="561"/>
      <c r="AU184" s="561"/>
      <c r="AV184" s="561"/>
      <c r="AW184" s="561"/>
    </row>
    <row r="185" ht="15.75" customHeight="1">
      <c r="D185" s="124"/>
      <c r="G185" s="124"/>
      <c r="H185" s="124"/>
      <c r="I185" s="124"/>
      <c r="K185" s="124"/>
      <c r="N185" s="124"/>
      <c r="O185" s="561"/>
      <c r="P185" s="124"/>
      <c r="AC185" s="562"/>
      <c r="AD185" s="561"/>
      <c r="AE185" s="561"/>
      <c r="AF185" s="561"/>
      <c r="AG185" s="561"/>
      <c r="AH185" s="561"/>
      <c r="AI185" s="561"/>
      <c r="AJ185" s="561"/>
      <c r="AK185" s="561"/>
      <c r="AL185" s="561"/>
      <c r="AM185" s="561"/>
      <c r="AN185" s="561"/>
      <c r="AO185" s="561"/>
      <c r="AP185" s="561"/>
      <c r="AQ185" s="561"/>
      <c r="AR185" s="561"/>
      <c r="AS185" s="561"/>
      <c r="AT185" s="561"/>
      <c r="AU185" s="561"/>
      <c r="AV185" s="561"/>
      <c r="AW185" s="561"/>
    </row>
    <row r="186" ht="15.75" customHeight="1">
      <c r="D186" s="124"/>
      <c r="G186" s="124"/>
      <c r="H186" s="124"/>
      <c r="I186" s="124"/>
      <c r="K186" s="124"/>
      <c r="N186" s="124"/>
      <c r="O186" s="561"/>
      <c r="P186" s="124"/>
      <c r="AC186" s="562"/>
      <c r="AD186" s="561"/>
      <c r="AE186" s="561"/>
      <c r="AF186" s="561"/>
      <c r="AG186" s="561"/>
      <c r="AH186" s="561"/>
      <c r="AI186" s="561"/>
      <c r="AJ186" s="561"/>
      <c r="AK186" s="561"/>
      <c r="AL186" s="561"/>
      <c r="AM186" s="561"/>
      <c r="AN186" s="561"/>
      <c r="AO186" s="561"/>
      <c r="AP186" s="561"/>
      <c r="AQ186" s="561"/>
      <c r="AR186" s="561"/>
      <c r="AS186" s="561"/>
      <c r="AT186" s="561"/>
      <c r="AU186" s="561"/>
      <c r="AV186" s="561"/>
      <c r="AW186" s="561"/>
    </row>
    <row r="187" ht="15.75" customHeight="1">
      <c r="D187" s="124"/>
      <c r="G187" s="124"/>
      <c r="H187" s="124"/>
      <c r="I187" s="124"/>
      <c r="K187" s="124"/>
      <c r="N187" s="124"/>
      <c r="O187" s="561"/>
      <c r="P187" s="124"/>
      <c r="AC187" s="562"/>
      <c r="AD187" s="561"/>
      <c r="AE187" s="561"/>
      <c r="AF187" s="561"/>
      <c r="AG187" s="561"/>
      <c r="AH187" s="561"/>
      <c r="AI187" s="561"/>
      <c r="AJ187" s="561"/>
      <c r="AK187" s="561"/>
      <c r="AL187" s="561"/>
      <c r="AM187" s="561"/>
      <c r="AN187" s="561"/>
      <c r="AO187" s="561"/>
      <c r="AP187" s="561"/>
      <c r="AQ187" s="561"/>
      <c r="AR187" s="561"/>
      <c r="AS187" s="561"/>
      <c r="AT187" s="561"/>
      <c r="AU187" s="561"/>
      <c r="AV187" s="561"/>
      <c r="AW187" s="561"/>
    </row>
    <row r="188" ht="15.75" customHeight="1">
      <c r="D188" s="124"/>
      <c r="G188" s="124"/>
      <c r="H188" s="124"/>
      <c r="I188" s="124"/>
      <c r="K188" s="124"/>
      <c r="N188" s="124"/>
      <c r="O188" s="561"/>
      <c r="P188" s="124"/>
      <c r="AC188" s="562"/>
      <c r="AD188" s="561"/>
      <c r="AE188" s="561"/>
      <c r="AF188" s="561"/>
      <c r="AG188" s="561"/>
      <c r="AH188" s="561"/>
      <c r="AI188" s="561"/>
      <c r="AJ188" s="561"/>
      <c r="AK188" s="561"/>
      <c r="AL188" s="561"/>
      <c r="AM188" s="561"/>
      <c r="AN188" s="561"/>
      <c r="AO188" s="561"/>
      <c r="AP188" s="561"/>
      <c r="AQ188" s="561"/>
      <c r="AR188" s="561"/>
      <c r="AS188" s="561"/>
      <c r="AT188" s="561"/>
      <c r="AU188" s="561"/>
      <c r="AV188" s="561"/>
      <c r="AW188" s="561"/>
    </row>
    <row r="189" ht="15.75" customHeight="1">
      <c r="D189" s="124"/>
      <c r="G189" s="124"/>
      <c r="H189" s="124"/>
      <c r="I189" s="124"/>
      <c r="K189" s="124"/>
      <c r="N189" s="124"/>
      <c r="O189" s="561"/>
      <c r="P189" s="124"/>
      <c r="AC189" s="562"/>
      <c r="AD189" s="561"/>
      <c r="AE189" s="561"/>
      <c r="AF189" s="561"/>
      <c r="AG189" s="561"/>
      <c r="AH189" s="561"/>
      <c r="AI189" s="561"/>
      <c r="AJ189" s="561"/>
      <c r="AK189" s="561"/>
      <c r="AL189" s="561"/>
      <c r="AM189" s="561"/>
      <c r="AN189" s="561"/>
      <c r="AO189" s="561"/>
      <c r="AP189" s="561"/>
      <c r="AQ189" s="561"/>
      <c r="AR189" s="561"/>
      <c r="AS189" s="561"/>
      <c r="AT189" s="561"/>
      <c r="AU189" s="561"/>
      <c r="AV189" s="561"/>
      <c r="AW189" s="561"/>
    </row>
    <row r="190" ht="15.75" customHeight="1">
      <c r="D190" s="124"/>
      <c r="G190" s="124"/>
      <c r="H190" s="124"/>
      <c r="I190" s="124"/>
      <c r="K190" s="124"/>
      <c r="N190" s="124"/>
      <c r="O190" s="561"/>
      <c r="P190" s="124"/>
      <c r="AC190" s="562"/>
      <c r="AD190" s="561"/>
      <c r="AE190" s="561"/>
      <c r="AF190" s="561"/>
      <c r="AG190" s="561"/>
      <c r="AH190" s="561"/>
      <c r="AI190" s="561"/>
      <c r="AJ190" s="561"/>
      <c r="AK190" s="561"/>
      <c r="AL190" s="561"/>
      <c r="AM190" s="561"/>
      <c r="AN190" s="561"/>
      <c r="AO190" s="561"/>
      <c r="AP190" s="561"/>
      <c r="AQ190" s="561"/>
      <c r="AR190" s="561"/>
      <c r="AS190" s="561"/>
      <c r="AT190" s="561"/>
      <c r="AU190" s="561"/>
      <c r="AV190" s="561"/>
      <c r="AW190" s="561"/>
    </row>
    <row r="191" ht="15.75" customHeight="1">
      <c r="D191" s="124"/>
      <c r="G191" s="124"/>
      <c r="H191" s="124"/>
      <c r="I191" s="124"/>
      <c r="K191" s="124"/>
      <c r="N191" s="124"/>
      <c r="O191" s="561"/>
      <c r="P191" s="124"/>
      <c r="AC191" s="562"/>
      <c r="AD191" s="561"/>
      <c r="AE191" s="561"/>
      <c r="AF191" s="561"/>
      <c r="AG191" s="561"/>
      <c r="AH191" s="561"/>
      <c r="AI191" s="561"/>
      <c r="AJ191" s="561"/>
      <c r="AK191" s="561"/>
      <c r="AL191" s="561"/>
      <c r="AM191" s="561"/>
      <c r="AN191" s="561"/>
      <c r="AO191" s="561"/>
      <c r="AP191" s="561"/>
      <c r="AQ191" s="561"/>
      <c r="AR191" s="561"/>
      <c r="AS191" s="561"/>
      <c r="AT191" s="561"/>
      <c r="AU191" s="561"/>
      <c r="AV191" s="561"/>
      <c r="AW191" s="561"/>
    </row>
    <row r="192" ht="15.75" customHeight="1">
      <c r="D192" s="124"/>
      <c r="G192" s="124"/>
      <c r="H192" s="124"/>
      <c r="I192" s="124"/>
      <c r="K192" s="124"/>
      <c r="N192" s="124"/>
      <c r="O192" s="561"/>
      <c r="P192" s="124"/>
      <c r="AC192" s="562"/>
      <c r="AD192" s="561"/>
      <c r="AE192" s="561"/>
      <c r="AF192" s="561"/>
      <c r="AG192" s="561"/>
      <c r="AH192" s="561"/>
      <c r="AI192" s="561"/>
      <c r="AJ192" s="561"/>
      <c r="AK192" s="561"/>
      <c r="AL192" s="561"/>
      <c r="AM192" s="561"/>
      <c r="AN192" s="561"/>
      <c r="AO192" s="561"/>
      <c r="AP192" s="561"/>
      <c r="AQ192" s="561"/>
      <c r="AR192" s="561"/>
      <c r="AS192" s="561"/>
      <c r="AT192" s="561"/>
      <c r="AU192" s="561"/>
      <c r="AV192" s="561"/>
      <c r="AW192" s="561"/>
    </row>
    <row r="193" ht="15.75" customHeight="1">
      <c r="D193" s="124"/>
      <c r="G193" s="124"/>
      <c r="H193" s="124"/>
      <c r="I193" s="124"/>
      <c r="K193" s="124"/>
      <c r="N193" s="124"/>
      <c r="O193" s="561"/>
      <c r="P193" s="124"/>
      <c r="AC193" s="562"/>
      <c r="AD193" s="561"/>
      <c r="AE193" s="561"/>
      <c r="AF193" s="561"/>
      <c r="AG193" s="561"/>
      <c r="AH193" s="561"/>
      <c r="AI193" s="561"/>
      <c r="AJ193" s="561"/>
      <c r="AK193" s="561"/>
      <c r="AL193" s="561"/>
      <c r="AM193" s="561"/>
      <c r="AN193" s="561"/>
      <c r="AO193" s="561"/>
      <c r="AP193" s="561"/>
      <c r="AQ193" s="561"/>
      <c r="AR193" s="561"/>
      <c r="AS193" s="561"/>
      <c r="AT193" s="561"/>
      <c r="AU193" s="561"/>
      <c r="AV193" s="561"/>
      <c r="AW193" s="561"/>
    </row>
    <row r="194" ht="15.75" customHeight="1">
      <c r="D194" s="124"/>
      <c r="G194" s="124"/>
      <c r="H194" s="124"/>
      <c r="I194" s="124"/>
      <c r="K194" s="124"/>
      <c r="N194" s="124"/>
      <c r="O194" s="561"/>
      <c r="P194" s="124"/>
      <c r="AC194" s="562"/>
      <c r="AD194" s="561"/>
      <c r="AE194" s="561"/>
      <c r="AF194" s="561"/>
      <c r="AG194" s="561"/>
      <c r="AH194" s="561"/>
      <c r="AI194" s="561"/>
      <c r="AJ194" s="561"/>
      <c r="AK194" s="561"/>
      <c r="AL194" s="561"/>
      <c r="AM194" s="561"/>
      <c r="AN194" s="561"/>
      <c r="AO194" s="561"/>
      <c r="AP194" s="561"/>
      <c r="AQ194" s="561"/>
      <c r="AR194" s="561"/>
      <c r="AS194" s="561"/>
      <c r="AT194" s="561"/>
      <c r="AU194" s="561"/>
      <c r="AV194" s="561"/>
      <c r="AW194" s="561"/>
    </row>
    <row r="195" ht="15.75" customHeight="1">
      <c r="D195" s="124"/>
      <c r="G195" s="124"/>
      <c r="H195" s="124"/>
      <c r="I195" s="124"/>
      <c r="K195" s="124"/>
      <c r="N195" s="124"/>
      <c r="O195" s="561"/>
      <c r="P195" s="124"/>
      <c r="AC195" s="562"/>
      <c r="AD195" s="561"/>
      <c r="AE195" s="561"/>
      <c r="AF195" s="561"/>
      <c r="AG195" s="561"/>
      <c r="AH195" s="561"/>
      <c r="AI195" s="561"/>
      <c r="AJ195" s="561"/>
      <c r="AK195" s="561"/>
      <c r="AL195" s="561"/>
      <c r="AM195" s="561"/>
      <c r="AN195" s="561"/>
      <c r="AO195" s="561"/>
      <c r="AP195" s="561"/>
      <c r="AQ195" s="561"/>
      <c r="AR195" s="561"/>
      <c r="AS195" s="561"/>
      <c r="AT195" s="561"/>
      <c r="AU195" s="561"/>
      <c r="AV195" s="561"/>
      <c r="AW195" s="561"/>
    </row>
    <row r="196" ht="15.75" customHeight="1">
      <c r="D196" s="124"/>
      <c r="G196" s="124"/>
      <c r="H196" s="124"/>
      <c r="I196" s="124"/>
      <c r="K196" s="124"/>
      <c r="N196" s="124"/>
      <c r="O196" s="561"/>
      <c r="P196" s="124"/>
      <c r="AC196" s="562"/>
      <c r="AD196" s="561"/>
      <c r="AE196" s="561"/>
      <c r="AF196" s="561"/>
      <c r="AG196" s="561"/>
      <c r="AH196" s="561"/>
      <c r="AI196" s="561"/>
      <c r="AJ196" s="561"/>
      <c r="AK196" s="561"/>
      <c r="AL196" s="561"/>
      <c r="AM196" s="561"/>
      <c r="AN196" s="561"/>
      <c r="AO196" s="561"/>
      <c r="AP196" s="561"/>
      <c r="AQ196" s="561"/>
      <c r="AR196" s="561"/>
      <c r="AS196" s="561"/>
      <c r="AT196" s="561"/>
      <c r="AU196" s="561"/>
      <c r="AV196" s="561"/>
      <c r="AW196" s="561"/>
    </row>
    <row r="197" ht="15.75" customHeight="1">
      <c r="D197" s="124"/>
      <c r="G197" s="124"/>
      <c r="H197" s="124"/>
      <c r="I197" s="124"/>
      <c r="K197" s="124"/>
      <c r="N197" s="124"/>
      <c r="O197" s="561"/>
      <c r="P197" s="124"/>
      <c r="AC197" s="562"/>
      <c r="AD197" s="561"/>
      <c r="AE197" s="561"/>
      <c r="AF197" s="561"/>
      <c r="AG197" s="561"/>
      <c r="AH197" s="561"/>
      <c r="AI197" s="561"/>
      <c r="AJ197" s="561"/>
      <c r="AK197" s="561"/>
      <c r="AL197" s="561"/>
      <c r="AM197" s="561"/>
      <c r="AN197" s="561"/>
      <c r="AO197" s="561"/>
      <c r="AP197" s="561"/>
      <c r="AQ197" s="561"/>
      <c r="AR197" s="561"/>
      <c r="AS197" s="561"/>
      <c r="AT197" s="561"/>
      <c r="AU197" s="561"/>
      <c r="AV197" s="561"/>
      <c r="AW197" s="561"/>
    </row>
    <row r="198" ht="15.75" customHeight="1">
      <c r="D198" s="124"/>
      <c r="G198" s="124"/>
      <c r="H198" s="124"/>
      <c r="I198" s="124"/>
      <c r="K198" s="124"/>
      <c r="N198" s="124"/>
      <c r="O198" s="561"/>
      <c r="P198" s="124"/>
      <c r="AC198" s="562"/>
      <c r="AD198" s="561"/>
      <c r="AE198" s="561"/>
      <c r="AF198" s="561"/>
      <c r="AG198" s="561"/>
      <c r="AH198" s="561"/>
      <c r="AI198" s="561"/>
      <c r="AJ198" s="561"/>
      <c r="AK198" s="561"/>
      <c r="AL198" s="561"/>
      <c r="AM198" s="561"/>
      <c r="AN198" s="561"/>
      <c r="AO198" s="561"/>
      <c r="AP198" s="561"/>
      <c r="AQ198" s="561"/>
      <c r="AR198" s="561"/>
      <c r="AS198" s="561"/>
      <c r="AT198" s="561"/>
      <c r="AU198" s="561"/>
      <c r="AV198" s="561"/>
      <c r="AW198" s="561"/>
    </row>
    <row r="199" ht="15.75" customHeight="1">
      <c r="D199" s="124"/>
      <c r="G199" s="124"/>
      <c r="H199" s="124"/>
      <c r="I199" s="124"/>
      <c r="K199" s="124"/>
      <c r="N199" s="124"/>
      <c r="O199" s="561"/>
      <c r="P199" s="124"/>
      <c r="AC199" s="562"/>
      <c r="AD199" s="561"/>
      <c r="AE199" s="561"/>
      <c r="AF199" s="561"/>
      <c r="AG199" s="561"/>
      <c r="AH199" s="561"/>
      <c r="AI199" s="561"/>
      <c r="AJ199" s="561"/>
      <c r="AK199" s="561"/>
      <c r="AL199" s="561"/>
      <c r="AM199" s="561"/>
      <c r="AN199" s="561"/>
      <c r="AO199" s="561"/>
      <c r="AP199" s="561"/>
      <c r="AQ199" s="561"/>
      <c r="AR199" s="561"/>
      <c r="AS199" s="561"/>
      <c r="AT199" s="561"/>
      <c r="AU199" s="561"/>
      <c r="AV199" s="561"/>
      <c r="AW199" s="561"/>
    </row>
    <row r="200" ht="15.75" customHeight="1">
      <c r="D200" s="124"/>
      <c r="G200" s="124"/>
      <c r="H200" s="124"/>
      <c r="I200" s="124"/>
      <c r="K200" s="124"/>
      <c r="N200" s="124"/>
      <c r="O200" s="561"/>
      <c r="P200" s="124"/>
      <c r="AC200" s="562"/>
      <c r="AD200" s="561"/>
      <c r="AE200" s="561"/>
      <c r="AF200" s="561"/>
      <c r="AG200" s="561"/>
      <c r="AH200" s="561"/>
      <c r="AI200" s="561"/>
      <c r="AJ200" s="561"/>
      <c r="AK200" s="561"/>
      <c r="AL200" s="561"/>
      <c r="AM200" s="561"/>
      <c r="AN200" s="561"/>
      <c r="AO200" s="561"/>
      <c r="AP200" s="561"/>
      <c r="AQ200" s="561"/>
      <c r="AR200" s="561"/>
      <c r="AS200" s="561"/>
      <c r="AT200" s="561"/>
      <c r="AU200" s="561"/>
      <c r="AV200" s="561"/>
      <c r="AW200" s="561"/>
    </row>
    <row r="201" ht="15.75" customHeight="1">
      <c r="D201" s="124"/>
      <c r="G201" s="124"/>
      <c r="H201" s="124"/>
      <c r="I201" s="124"/>
      <c r="K201" s="124"/>
      <c r="N201" s="124"/>
      <c r="O201" s="561"/>
      <c r="P201" s="124"/>
      <c r="AC201" s="562"/>
      <c r="AD201" s="561"/>
      <c r="AE201" s="561"/>
      <c r="AF201" s="561"/>
      <c r="AG201" s="561"/>
      <c r="AH201" s="561"/>
      <c r="AI201" s="561"/>
      <c r="AJ201" s="561"/>
      <c r="AK201" s="561"/>
      <c r="AL201" s="561"/>
      <c r="AM201" s="561"/>
      <c r="AN201" s="561"/>
      <c r="AO201" s="561"/>
      <c r="AP201" s="561"/>
      <c r="AQ201" s="561"/>
      <c r="AR201" s="561"/>
      <c r="AS201" s="561"/>
      <c r="AT201" s="561"/>
      <c r="AU201" s="561"/>
      <c r="AV201" s="561"/>
      <c r="AW201" s="561"/>
    </row>
    <row r="202" ht="15.75" customHeight="1">
      <c r="D202" s="124"/>
      <c r="G202" s="124"/>
      <c r="H202" s="124"/>
      <c r="I202" s="124"/>
      <c r="K202" s="124"/>
      <c r="N202" s="124"/>
      <c r="O202" s="561"/>
      <c r="P202" s="124"/>
      <c r="AC202" s="562"/>
      <c r="AD202" s="561"/>
      <c r="AE202" s="561"/>
      <c r="AF202" s="561"/>
      <c r="AG202" s="561"/>
      <c r="AH202" s="561"/>
      <c r="AI202" s="561"/>
      <c r="AJ202" s="561"/>
      <c r="AK202" s="561"/>
      <c r="AL202" s="561"/>
      <c r="AM202" s="561"/>
      <c r="AN202" s="561"/>
      <c r="AO202" s="561"/>
      <c r="AP202" s="561"/>
      <c r="AQ202" s="561"/>
      <c r="AR202" s="561"/>
      <c r="AS202" s="561"/>
      <c r="AT202" s="561"/>
      <c r="AU202" s="561"/>
      <c r="AV202" s="561"/>
      <c r="AW202" s="561"/>
    </row>
    <row r="203" ht="15.75" customHeight="1">
      <c r="D203" s="124"/>
      <c r="G203" s="124"/>
      <c r="H203" s="124"/>
      <c r="I203" s="124"/>
      <c r="K203" s="124"/>
      <c r="N203" s="124"/>
      <c r="O203" s="561"/>
      <c r="P203" s="124"/>
      <c r="AC203" s="562"/>
      <c r="AD203" s="561"/>
      <c r="AE203" s="561"/>
      <c r="AF203" s="561"/>
      <c r="AG203" s="561"/>
      <c r="AH203" s="561"/>
      <c r="AI203" s="561"/>
      <c r="AJ203" s="561"/>
      <c r="AK203" s="561"/>
      <c r="AL203" s="561"/>
      <c r="AM203" s="561"/>
      <c r="AN203" s="561"/>
      <c r="AO203" s="561"/>
      <c r="AP203" s="561"/>
      <c r="AQ203" s="561"/>
      <c r="AR203" s="561"/>
      <c r="AS203" s="561"/>
      <c r="AT203" s="561"/>
      <c r="AU203" s="561"/>
      <c r="AV203" s="561"/>
      <c r="AW203" s="561"/>
    </row>
    <row r="204" ht="15.75" customHeight="1">
      <c r="D204" s="124"/>
      <c r="G204" s="124"/>
      <c r="H204" s="124"/>
      <c r="I204" s="124"/>
      <c r="K204" s="124"/>
      <c r="N204" s="124"/>
      <c r="O204" s="561"/>
      <c r="P204" s="124"/>
      <c r="AC204" s="562"/>
      <c r="AD204" s="561"/>
      <c r="AE204" s="561"/>
      <c r="AF204" s="561"/>
      <c r="AG204" s="561"/>
      <c r="AH204" s="561"/>
      <c r="AI204" s="561"/>
      <c r="AJ204" s="561"/>
      <c r="AK204" s="561"/>
      <c r="AL204" s="561"/>
      <c r="AM204" s="561"/>
      <c r="AN204" s="561"/>
      <c r="AO204" s="561"/>
      <c r="AP204" s="561"/>
      <c r="AQ204" s="561"/>
      <c r="AR204" s="561"/>
      <c r="AS204" s="561"/>
      <c r="AT204" s="561"/>
      <c r="AU204" s="561"/>
      <c r="AV204" s="561"/>
      <c r="AW204" s="561"/>
    </row>
    <row r="205" ht="15.75" customHeight="1">
      <c r="D205" s="124"/>
      <c r="G205" s="124"/>
      <c r="H205" s="124"/>
      <c r="I205" s="124"/>
      <c r="K205" s="124"/>
      <c r="N205" s="124"/>
      <c r="O205" s="561"/>
      <c r="P205" s="124"/>
      <c r="AC205" s="562"/>
      <c r="AD205" s="561"/>
      <c r="AE205" s="561"/>
      <c r="AF205" s="561"/>
      <c r="AG205" s="561"/>
      <c r="AH205" s="561"/>
      <c r="AI205" s="561"/>
      <c r="AJ205" s="561"/>
      <c r="AK205" s="561"/>
      <c r="AL205" s="561"/>
      <c r="AM205" s="561"/>
      <c r="AN205" s="561"/>
      <c r="AO205" s="561"/>
      <c r="AP205" s="561"/>
      <c r="AQ205" s="561"/>
      <c r="AR205" s="561"/>
      <c r="AS205" s="561"/>
      <c r="AT205" s="561"/>
      <c r="AU205" s="561"/>
      <c r="AV205" s="561"/>
      <c r="AW205" s="561"/>
    </row>
    <row r="206" ht="15.75" customHeight="1">
      <c r="D206" s="124"/>
      <c r="G206" s="124"/>
      <c r="H206" s="124"/>
      <c r="I206" s="124"/>
      <c r="K206" s="124"/>
      <c r="N206" s="124"/>
      <c r="O206" s="561"/>
      <c r="P206" s="124"/>
      <c r="AC206" s="562"/>
      <c r="AD206" s="561"/>
      <c r="AE206" s="561"/>
      <c r="AF206" s="561"/>
      <c r="AG206" s="561"/>
      <c r="AH206" s="561"/>
      <c r="AI206" s="561"/>
      <c r="AJ206" s="561"/>
      <c r="AK206" s="561"/>
      <c r="AL206" s="561"/>
      <c r="AM206" s="561"/>
      <c r="AN206" s="561"/>
      <c r="AO206" s="561"/>
      <c r="AP206" s="561"/>
      <c r="AQ206" s="561"/>
      <c r="AR206" s="561"/>
      <c r="AS206" s="561"/>
      <c r="AT206" s="561"/>
      <c r="AU206" s="561"/>
      <c r="AV206" s="561"/>
      <c r="AW206" s="561"/>
    </row>
    <row r="207" ht="15.75" customHeight="1">
      <c r="D207" s="124"/>
      <c r="G207" s="124"/>
      <c r="H207" s="124"/>
      <c r="I207" s="124"/>
      <c r="K207" s="124"/>
      <c r="N207" s="124"/>
      <c r="O207" s="561"/>
      <c r="P207" s="124"/>
      <c r="AC207" s="562"/>
      <c r="AD207" s="561"/>
      <c r="AE207" s="561"/>
      <c r="AF207" s="561"/>
      <c r="AG207" s="561"/>
      <c r="AH207" s="561"/>
      <c r="AI207" s="561"/>
      <c r="AJ207" s="561"/>
      <c r="AK207" s="561"/>
      <c r="AL207" s="561"/>
      <c r="AM207" s="561"/>
      <c r="AN207" s="561"/>
      <c r="AO207" s="561"/>
      <c r="AP207" s="561"/>
      <c r="AQ207" s="561"/>
      <c r="AR207" s="561"/>
      <c r="AS207" s="561"/>
      <c r="AT207" s="561"/>
      <c r="AU207" s="561"/>
      <c r="AV207" s="561"/>
      <c r="AW207" s="561"/>
    </row>
    <row r="208" ht="15.75" customHeight="1">
      <c r="D208" s="124"/>
      <c r="G208" s="124"/>
      <c r="H208" s="124"/>
      <c r="I208" s="124"/>
      <c r="K208" s="124"/>
      <c r="N208" s="124"/>
      <c r="O208" s="561"/>
      <c r="P208" s="124"/>
      <c r="AC208" s="562"/>
      <c r="AD208" s="561"/>
      <c r="AE208" s="561"/>
      <c r="AF208" s="561"/>
      <c r="AG208" s="561"/>
      <c r="AH208" s="561"/>
      <c r="AI208" s="561"/>
      <c r="AJ208" s="561"/>
      <c r="AK208" s="561"/>
      <c r="AL208" s="561"/>
      <c r="AM208" s="561"/>
      <c r="AN208" s="561"/>
      <c r="AO208" s="561"/>
      <c r="AP208" s="561"/>
      <c r="AQ208" s="561"/>
      <c r="AR208" s="561"/>
      <c r="AS208" s="561"/>
      <c r="AT208" s="561"/>
      <c r="AU208" s="561"/>
      <c r="AV208" s="561"/>
      <c r="AW208" s="561"/>
    </row>
    <row r="209" ht="15.75" customHeight="1">
      <c r="D209" s="124"/>
      <c r="G209" s="124"/>
      <c r="H209" s="124"/>
      <c r="I209" s="124"/>
      <c r="K209" s="124"/>
      <c r="N209" s="124"/>
      <c r="O209" s="561"/>
      <c r="P209" s="124"/>
      <c r="AC209" s="562"/>
      <c r="AD209" s="561"/>
      <c r="AE209" s="561"/>
      <c r="AF209" s="561"/>
      <c r="AG209" s="561"/>
      <c r="AH209" s="561"/>
      <c r="AI209" s="561"/>
      <c r="AJ209" s="561"/>
      <c r="AK209" s="561"/>
      <c r="AL209" s="561"/>
      <c r="AM209" s="561"/>
      <c r="AN209" s="561"/>
      <c r="AO209" s="561"/>
      <c r="AP209" s="561"/>
      <c r="AQ209" s="561"/>
      <c r="AR209" s="561"/>
      <c r="AS209" s="561"/>
      <c r="AT209" s="561"/>
      <c r="AU209" s="561"/>
      <c r="AV209" s="561"/>
      <c r="AW209" s="561"/>
    </row>
    <row r="210" ht="15.75" customHeight="1">
      <c r="D210" s="124"/>
      <c r="G210" s="124"/>
      <c r="H210" s="124"/>
      <c r="I210" s="124"/>
      <c r="K210" s="124"/>
      <c r="N210" s="124"/>
      <c r="O210" s="561"/>
      <c r="P210" s="124"/>
      <c r="AC210" s="562"/>
      <c r="AD210" s="561"/>
      <c r="AE210" s="561"/>
      <c r="AF210" s="561"/>
      <c r="AG210" s="561"/>
      <c r="AH210" s="561"/>
      <c r="AI210" s="561"/>
      <c r="AJ210" s="561"/>
      <c r="AK210" s="561"/>
      <c r="AL210" s="561"/>
      <c r="AM210" s="561"/>
      <c r="AN210" s="561"/>
      <c r="AO210" s="561"/>
      <c r="AP210" s="561"/>
      <c r="AQ210" s="561"/>
      <c r="AR210" s="561"/>
      <c r="AS210" s="561"/>
      <c r="AT210" s="561"/>
      <c r="AU210" s="561"/>
      <c r="AV210" s="561"/>
      <c r="AW210" s="561"/>
    </row>
    <row r="211" ht="15.75" customHeight="1">
      <c r="D211" s="124"/>
      <c r="G211" s="124"/>
      <c r="H211" s="124"/>
      <c r="I211" s="124"/>
      <c r="K211" s="124"/>
      <c r="N211" s="124"/>
      <c r="O211" s="561"/>
      <c r="P211" s="124"/>
      <c r="AC211" s="562"/>
      <c r="AD211" s="561"/>
      <c r="AE211" s="561"/>
      <c r="AF211" s="561"/>
      <c r="AG211" s="561"/>
      <c r="AH211" s="561"/>
      <c r="AI211" s="561"/>
      <c r="AJ211" s="561"/>
      <c r="AK211" s="561"/>
      <c r="AL211" s="561"/>
      <c r="AM211" s="561"/>
      <c r="AN211" s="561"/>
      <c r="AO211" s="561"/>
      <c r="AP211" s="561"/>
      <c r="AQ211" s="561"/>
      <c r="AR211" s="561"/>
      <c r="AS211" s="561"/>
      <c r="AT211" s="561"/>
      <c r="AU211" s="561"/>
      <c r="AV211" s="561"/>
      <c r="AW211" s="561"/>
    </row>
    <row r="212" ht="15.75" customHeight="1">
      <c r="D212" s="124"/>
      <c r="G212" s="124"/>
      <c r="H212" s="124"/>
      <c r="I212" s="124"/>
      <c r="K212" s="124"/>
      <c r="N212" s="124"/>
      <c r="O212" s="561"/>
      <c r="P212" s="124"/>
      <c r="AC212" s="562"/>
      <c r="AD212" s="561"/>
      <c r="AE212" s="561"/>
      <c r="AF212" s="561"/>
      <c r="AG212" s="561"/>
      <c r="AH212" s="561"/>
      <c r="AI212" s="561"/>
      <c r="AJ212" s="561"/>
      <c r="AK212" s="561"/>
      <c r="AL212" s="561"/>
      <c r="AM212" s="561"/>
      <c r="AN212" s="561"/>
      <c r="AO212" s="561"/>
      <c r="AP212" s="561"/>
      <c r="AQ212" s="561"/>
      <c r="AR212" s="561"/>
      <c r="AS212" s="561"/>
      <c r="AT212" s="561"/>
      <c r="AU212" s="561"/>
      <c r="AV212" s="561"/>
      <c r="AW212" s="561"/>
    </row>
    <row r="213" ht="15.75" customHeight="1">
      <c r="D213" s="124"/>
      <c r="G213" s="124"/>
      <c r="H213" s="124"/>
      <c r="I213" s="124"/>
      <c r="K213" s="124"/>
      <c r="N213" s="124"/>
      <c r="O213" s="561"/>
      <c r="P213" s="124"/>
      <c r="AC213" s="562"/>
      <c r="AD213" s="561"/>
      <c r="AE213" s="561"/>
      <c r="AF213" s="561"/>
      <c r="AG213" s="561"/>
      <c r="AH213" s="561"/>
      <c r="AI213" s="561"/>
      <c r="AJ213" s="561"/>
      <c r="AK213" s="561"/>
      <c r="AL213" s="561"/>
      <c r="AM213" s="561"/>
      <c r="AN213" s="561"/>
      <c r="AO213" s="561"/>
      <c r="AP213" s="561"/>
      <c r="AQ213" s="561"/>
      <c r="AR213" s="561"/>
      <c r="AS213" s="561"/>
      <c r="AT213" s="561"/>
      <c r="AU213" s="561"/>
      <c r="AV213" s="561"/>
      <c r="AW213" s="561"/>
    </row>
    <row r="214" ht="15.75" customHeight="1">
      <c r="D214" s="124"/>
      <c r="G214" s="124"/>
      <c r="H214" s="124"/>
      <c r="I214" s="124"/>
      <c r="K214" s="124"/>
      <c r="N214" s="124"/>
      <c r="O214" s="561"/>
      <c r="P214" s="124"/>
      <c r="AC214" s="562"/>
      <c r="AD214" s="561"/>
      <c r="AE214" s="561"/>
      <c r="AF214" s="561"/>
      <c r="AG214" s="561"/>
      <c r="AH214" s="561"/>
      <c r="AI214" s="561"/>
      <c r="AJ214" s="561"/>
      <c r="AK214" s="561"/>
      <c r="AL214" s="561"/>
      <c r="AM214" s="561"/>
      <c r="AN214" s="561"/>
      <c r="AO214" s="561"/>
      <c r="AP214" s="561"/>
      <c r="AQ214" s="561"/>
      <c r="AR214" s="561"/>
      <c r="AS214" s="561"/>
      <c r="AT214" s="561"/>
      <c r="AU214" s="561"/>
      <c r="AV214" s="561"/>
      <c r="AW214" s="561"/>
    </row>
    <row r="215" ht="15.75" customHeight="1">
      <c r="D215" s="124"/>
      <c r="G215" s="124"/>
      <c r="H215" s="124"/>
      <c r="I215" s="124"/>
      <c r="K215" s="124"/>
      <c r="N215" s="124"/>
      <c r="O215" s="561"/>
      <c r="P215" s="124"/>
      <c r="AC215" s="562"/>
      <c r="AD215" s="561"/>
      <c r="AE215" s="561"/>
      <c r="AF215" s="561"/>
      <c r="AG215" s="561"/>
      <c r="AH215" s="561"/>
      <c r="AI215" s="561"/>
      <c r="AJ215" s="561"/>
      <c r="AK215" s="561"/>
      <c r="AL215" s="561"/>
      <c r="AM215" s="561"/>
      <c r="AN215" s="561"/>
      <c r="AO215" s="561"/>
      <c r="AP215" s="561"/>
      <c r="AQ215" s="561"/>
      <c r="AR215" s="561"/>
      <c r="AS215" s="561"/>
      <c r="AT215" s="561"/>
      <c r="AU215" s="561"/>
      <c r="AV215" s="561"/>
      <c r="AW215" s="561"/>
    </row>
    <row r="216" ht="15.75" customHeight="1">
      <c r="D216" s="124"/>
      <c r="G216" s="124"/>
      <c r="H216" s="124"/>
      <c r="I216" s="124"/>
      <c r="K216" s="124"/>
      <c r="N216" s="124"/>
      <c r="O216" s="561"/>
      <c r="P216" s="124"/>
      <c r="AC216" s="562"/>
      <c r="AD216" s="561"/>
      <c r="AE216" s="561"/>
      <c r="AF216" s="561"/>
      <c r="AG216" s="561"/>
      <c r="AH216" s="561"/>
      <c r="AI216" s="561"/>
      <c r="AJ216" s="561"/>
      <c r="AK216" s="561"/>
      <c r="AL216" s="561"/>
      <c r="AM216" s="561"/>
      <c r="AN216" s="561"/>
      <c r="AO216" s="561"/>
      <c r="AP216" s="561"/>
      <c r="AQ216" s="561"/>
      <c r="AR216" s="561"/>
      <c r="AS216" s="561"/>
      <c r="AT216" s="561"/>
      <c r="AU216" s="561"/>
      <c r="AV216" s="561"/>
      <c r="AW216" s="561"/>
    </row>
    <row r="217" ht="15.75" customHeight="1">
      <c r="D217" s="124"/>
      <c r="G217" s="124"/>
      <c r="H217" s="124"/>
      <c r="I217" s="124"/>
      <c r="K217" s="124"/>
      <c r="N217" s="124"/>
      <c r="O217" s="561"/>
      <c r="P217" s="124"/>
      <c r="AC217" s="562"/>
      <c r="AD217" s="561"/>
      <c r="AE217" s="561"/>
      <c r="AF217" s="561"/>
      <c r="AG217" s="561"/>
      <c r="AH217" s="561"/>
      <c r="AI217" s="561"/>
      <c r="AJ217" s="561"/>
      <c r="AK217" s="561"/>
      <c r="AL217" s="561"/>
      <c r="AM217" s="561"/>
      <c r="AN217" s="561"/>
      <c r="AO217" s="561"/>
      <c r="AP217" s="561"/>
      <c r="AQ217" s="561"/>
      <c r="AR217" s="561"/>
      <c r="AS217" s="561"/>
      <c r="AT217" s="561"/>
      <c r="AU217" s="561"/>
      <c r="AV217" s="561"/>
      <c r="AW217" s="561"/>
    </row>
    <row r="218" ht="15.75" customHeight="1">
      <c r="D218" s="124"/>
      <c r="G218" s="124"/>
      <c r="H218" s="124"/>
      <c r="I218" s="124"/>
      <c r="K218" s="124"/>
      <c r="N218" s="124"/>
      <c r="O218" s="561"/>
      <c r="P218" s="124"/>
      <c r="AC218" s="562"/>
      <c r="AD218" s="561"/>
      <c r="AE218" s="561"/>
      <c r="AF218" s="561"/>
      <c r="AG218" s="561"/>
      <c r="AH218" s="561"/>
      <c r="AI218" s="561"/>
      <c r="AJ218" s="561"/>
      <c r="AK218" s="561"/>
      <c r="AL218" s="561"/>
      <c r="AM218" s="561"/>
      <c r="AN218" s="561"/>
      <c r="AO218" s="561"/>
      <c r="AP218" s="561"/>
      <c r="AQ218" s="561"/>
      <c r="AR218" s="561"/>
      <c r="AS218" s="561"/>
      <c r="AT218" s="561"/>
      <c r="AU218" s="561"/>
      <c r="AV218" s="561"/>
      <c r="AW218" s="561"/>
    </row>
    <row r="219" ht="15.75" customHeight="1">
      <c r="D219" s="124"/>
      <c r="G219" s="124"/>
      <c r="H219" s="124"/>
      <c r="I219" s="124"/>
      <c r="K219" s="124"/>
      <c r="N219" s="124"/>
      <c r="O219" s="561"/>
      <c r="P219" s="124"/>
      <c r="AC219" s="562"/>
      <c r="AD219" s="561"/>
      <c r="AE219" s="561"/>
      <c r="AF219" s="561"/>
      <c r="AG219" s="561"/>
      <c r="AH219" s="561"/>
      <c r="AI219" s="561"/>
      <c r="AJ219" s="561"/>
      <c r="AK219" s="561"/>
      <c r="AL219" s="561"/>
      <c r="AM219" s="561"/>
      <c r="AN219" s="561"/>
      <c r="AO219" s="561"/>
      <c r="AP219" s="561"/>
      <c r="AQ219" s="561"/>
      <c r="AR219" s="561"/>
      <c r="AS219" s="561"/>
      <c r="AT219" s="561"/>
      <c r="AU219" s="561"/>
      <c r="AV219" s="561"/>
      <c r="AW219" s="561"/>
    </row>
    <row r="220" ht="15.75" customHeight="1">
      <c r="D220" s="124"/>
      <c r="G220" s="124"/>
      <c r="H220" s="124"/>
      <c r="I220" s="124"/>
      <c r="K220" s="124"/>
      <c r="N220" s="124"/>
      <c r="O220" s="561"/>
      <c r="P220" s="124"/>
      <c r="AC220" s="562"/>
      <c r="AD220" s="561"/>
      <c r="AE220" s="561"/>
      <c r="AF220" s="561"/>
      <c r="AG220" s="561"/>
      <c r="AH220" s="561"/>
      <c r="AI220" s="561"/>
      <c r="AJ220" s="561"/>
      <c r="AK220" s="561"/>
      <c r="AL220" s="561"/>
      <c r="AM220" s="561"/>
      <c r="AN220" s="561"/>
      <c r="AO220" s="561"/>
      <c r="AP220" s="561"/>
      <c r="AQ220" s="561"/>
      <c r="AR220" s="561"/>
      <c r="AS220" s="561"/>
      <c r="AT220" s="561"/>
      <c r="AU220" s="561"/>
      <c r="AV220" s="561"/>
      <c r="AW220" s="561"/>
    </row>
    <row r="221" ht="15.75" customHeight="1">
      <c r="D221" s="124"/>
      <c r="G221" s="124"/>
      <c r="H221" s="124"/>
      <c r="I221" s="124"/>
      <c r="K221" s="124"/>
      <c r="N221" s="124"/>
      <c r="O221" s="561"/>
      <c r="P221" s="124"/>
      <c r="AC221" s="562"/>
      <c r="AD221" s="561"/>
      <c r="AE221" s="561"/>
      <c r="AF221" s="561"/>
      <c r="AG221" s="561"/>
      <c r="AH221" s="561"/>
      <c r="AI221" s="561"/>
      <c r="AJ221" s="561"/>
      <c r="AK221" s="561"/>
      <c r="AL221" s="561"/>
      <c r="AM221" s="561"/>
      <c r="AN221" s="561"/>
      <c r="AO221" s="561"/>
      <c r="AP221" s="561"/>
      <c r="AQ221" s="561"/>
      <c r="AR221" s="561"/>
      <c r="AS221" s="561"/>
      <c r="AT221" s="561"/>
      <c r="AU221" s="561"/>
      <c r="AV221" s="561"/>
      <c r="AW221" s="561"/>
    </row>
    <row r="222" ht="15.75" customHeight="1">
      <c r="D222" s="124"/>
      <c r="G222" s="124"/>
      <c r="H222" s="124"/>
      <c r="I222" s="124"/>
      <c r="K222" s="124"/>
      <c r="N222" s="124"/>
      <c r="O222" s="561"/>
      <c r="P222" s="124"/>
      <c r="AC222" s="562"/>
      <c r="AD222" s="561"/>
      <c r="AE222" s="561"/>
      <c r="AF222" s="561"/>
      <c r="AG222" s="561"/>
      <c r="AH222" s="561"/>
      <c r="AI222" s="561"/>
      <c r="AJ222" s="561"/>
      <c r="AK222" s="561"/>
      <c r="AL222" s="561"/>
      <c r="AM222" s="561"/>
      <c r="AN222" s="561"/>
      <c r="AO222" s="561"/>
      <c r="AP222" s="561"/>
      <c r="AQ222" s="561"/>
      <c r="AR222" s="561"/>
      <c r="AS222" s="561"/>
      <c r="AT222" s="561"/>
      <c r="AU222" s="561"/>
      <c r="AV222" s="561"/>
      <c r="AW222" s="561"/>
    </row>
    <row r="223" ht="15.75" customHeight="1">
      <c r="D223" s="124"/>
      <c r="G223" s="124"/>
      <c r="H223" s="124"/>
      <c r="I223" s="124"/>
      <c r="K223" s="124"/>
      <c r="N223" s="124"/>
      <c r="O223" s="561"/>
      <c r="P223" s="124"/>
      <c r="AC223" s="562"/>
      <c r="AD223" s="561"/>
      <c r="AE223" s="561"/>
      <c r="AF223" s="561"/>
      <c r="AG223" s="561"/>
      <c r="AH223" s="561"/>
      <c r="AI223" s="561"/>
      <c r="AJ223" s="561"/>
      <c r="AK223" s="561"/>
      <c r="AL223" s="561"/>
      <c r="AM223" s="561"/>
      <c r="AN223" s="561"/>
      <c r="AO223" s="561"/>
      <c r="AP223" s="561"/>
      <c r="AQ223" s="561"/>
      <c r="AR223" s="561"/>
      <c r="AS223" s="561"/>
      <c r="AT223" s="561"/>
      <c r="AU223" s="561"/>
      <c r="AV223" s="561"/>
      <c r="AW223" s="561"/>
    </row>
    <row r="224" ht="15.75" customHeight="1">
      <c r="D224" s="124"/>
      <c r="G224" s="124"/>
      <c r="H224" s="124"/>
      <c r="I224" s="124"/>
      <c r="K224" s="124"/>
      <c r="N224" s="124"/>
      <c r="O224" s="561"/>
      <c r="P224" s="124"/>
      <c r="AC224" s="562"/>
      <c r="AD224" s="561"/>
      <c r="AE224" s="561"/>
      <c r="AF224" s="561"/>
      <c r="AG224" s="561"/>
      <c r="AH224" s="561"/>
      <c r="AI224" s="561"/>
      <c r="AJ224" s="561"/>
      <c r="AK224" s="561"/>
      <c r="AL224" s="561"/>
      <c r="AM224" s="561"/>
      <c r="AN224" s="561"/>
      <c r="AO224" s="561"/>
      <c r="AP224" s="561"/>
      <c r="AQ224" s="561"/>
      <c r="AR224" s="561"/>
      <c r="AS224" s="561"/>
      <c r="AT224" s="561"/>
      <c r="AU224" s="561"/>
      <c r="AV224" s="561"/>
      <c r="AW224" s="561"/>
    </row>
    <row r="225" ht="15.75" customHeight="1">
      <c r="D225" s="124"/>
      <c r="G225" s="124"/>
      <c r="H225" s="124"/>
      <c r="I225" s="124"/>
      <c r="K225" s="124"/>
      <c r="N225" s="124"/>
      <c r="O225" s="561"/>
      <c r="P225" s="124"/>
      <c r="AC225" s="562"/>
      <c r="AD225" s="561"/>
      <c r="AE225" s="561"/>
      <c r="AF225" s="561"/>
      <c r="AG225" s="561"/>
      <c r="AH225" s="561"/>
      <c r="AI225" s="561"/>
      <c r="AJ225" s="561"/>
      <c r="AK225" s="561"/>
      <c r="AL225" s="561"/>
      <c r="AM225" s="561"/>
      <c r="AN225" s="561"/>
      <c r="AO225" s="561"/>
      <c r="AP225" s="561"/>
      <c r="AQ225" s="561"/>
      <c r="AR225" s="561"/>
      <c r="AS225" s="561"/>
      <c r="AT225" s="561"/>
      <c r="AU225" s="561"/>
      <c r="AV225" s="561"/>
      <c r="AW225" s="561"/>
    </row>
    <row r="226" ht="15.75" customHeight="1">
      <c r="D226" s="124"/>
      <c r="G226" s="124"/>
      <c r="H226" s="124"/>
      <c r="I226" s="124"/>
      <c r="K226" s="124"/>
      <c r="N226" s="124"/>
      <c r="O226" s="561"/>
      <c r="P226" s="124"/>
      <c r="AC226" s="562"/>
      <c r="AD226" s="561"/>
      <c r="AE226" s="561"/>
      <c r="AF226" s="561"/>
      <c r="AG226" s="561"/>
      <c r="AH226" s="561"/>
      <c r="AI226" s="561"/>
      <c r="AJ226" s="561"/>
      <c r="AK226" s="561"/>
      <c r="AL226" s="561"/>
      <c r="AM226" s="561"/>
      <c r="AN226" s="561"/>
      <c r="AO226" s="561"/>
      <c r="AP226" s="561"/>
      <c r="AQ226" s="561"/>
      <c r="AR226" s="561"/>
      <c r="AS226" s="561"/>
      <c r="AT226" s="561"/>
      <c r="AU226" s="561"/>
      <c r="AV226" s="561"/>
      <c r="AW226" s="561"/>
    </row>
    <row r="227" ht="15.75" customHeight="1">
      <c r="D227" s="124"/>
      <c r="G227" s="124"/>
      <c r="H227" s="124"/>
      <c r="I227" s="124"/>
      <c r="K227" s="124"/>
      <c r="N227" s="124"/>
      <c r="O227" s="561"/>
      <c r="P227" s="124"/>
      <c r="AC227" s="562"/>
      <c r="AD227" s="561"/>
      <c r="AE227" s="561"/>
      <c r="AF227" s="561"/>
      <c r="AG227" s="561"/>
      <c r="AH227" s="561"/>
      <c r="AI227" s="561"/>
      <c r="AJ227" s="561"/>
      <c r="AK227" s="561"/>
      <c r="AL227" s="561"/>
      <c r="AM227" s="561"/>
      <c r="AN227" s="561"/>
      <c r="AO227" s="561"/>
      <c r="AP227" s="561"/>
      <c r="AQ227" s="561"/>
      <c r="AR227" s="561"/>
      <c r="AS227" s="561"/>
      <c r="AT227" s="561"/>
      <c r="AU227" s="561"/>
      <c r="AV227" s="561"/>
      <c r="AW227" s="561"/>
    </row>
    <row r="228" ht="15.75" customHeight="1">
      <c r="D228" s="124"/>
      <c r="G228" s="124"/>
      <c r="H228" s="124"/>
      <c r="I228" s="124"/>
      <c r="K228" s="124"/>
      <c r="N228" s="124"/>
      <c r="O228" s="561"/>
      <c r="P228" s="124"/>
      <c r="AC228" s="562"/>
      <c r="AD228" s="561"/>
      <c r="AE228" s="561"/>
      <c r="AF228" s="561"/>
      <c r="AG228" s="561"/>
      <c r="AH228" s="561"/>
      <c r="AI228" s="561"/>
      <c r="AJ228" s="561"/>
      <c r="AK228" s="561"/>
      <c r="AL228" s="561"/>
      <c r="AM228" s="561"/>
      <c r="AN228" s="561"/>
      <c r="AO228" s="561"/>
      <c r="AP228" s="561"/>
      <c r="AQ228" s="561"/>
      <c r="AR228" s="561"/>
      <c r="AS228" s="561"/>
      <c r="AT228" s="561"/>
      <c r="AU228" s="561"/>
      <c r="AV228" s="561"/>
      <c r="AW228" s="561"/>
    </row>
    <row r="229" ht="15.75" customHeight="1">
      <c r="D229" s="124"/>
      <c r="G229" s="124"/>
      <c r="H229" s="124"/>
      <c r="I229" s="124"/>
      <c r="K229" s="124"/>
      <c r="N229" s="124"/>
      <c r="O229" s="561"/>
      <c r="P229" s="124"/>
      <c r="AC229" s="562"/>
      <c r="AD229" s="561"/>
      <c r="AE229" s="561"/>
      <c r="AF229" s="561"/>
      <c r="AG229" s="561"/>
      <c r="AH229" s="561"/>
      <c r="AI229" s="561"/>
      <c r="AJ229" s="561"/>
      <c r="AK229" s="561"/>
      <c r="AL229" s="561"/>
      <c r="AM229" s="561"/>
      <c r="AN229" s="561"/>
      <c r="AO229" s="561"/>
      <c r="AP229" s="561"/>
      <c r="AQ229" s="561"/>
      <c r="AR229" s="561"/>
      <c r="AS229" s="561"/>
      <c r="AT229" s="561"/>
      <c r="AU229" s="561"/>
      <c r="AV229" s="561"/>
      <c r="AW229" s="561"/>
    </row>
    <row r="230" ht="15.75" customHeight="1">
      <c r="D230" s="124"/>
      <c r="G230" s="124"/>
      <c r="H230" s="124"/>
      <c r="I230" s="124"/>
      <c r="K230" s="124"/>
      <c r="N230" s="124"/>
      <c r="O230" s="561"/>
      <c r="P230" s="124"/>
      <c r="AC230" s="562"/>
      <c r="AD230" s="561"/>
      <c r="AE230" s="561"/>
      <c r="AF230" s="561"/>
      <c r="AG230" s="561"/>
      <c r="AH230" s="561"/>
      <c r="AI230" s="561"/>
      <c r="AJ230" s="561"/>
      <c r="AK230" s="561"/>
      <c r="AL230" s="561"/>
      <c r="AM230" s="561"/>
      <c r="AN230" s="561"/>
      <c r="AO230" s="561"/>
      <c r="AP230" s="561"/>
      <c r="AQ230" s="561"/>
      <c r="AR230" s="561"/>
      <c r="AS230" s="561"/>
      <c r="AT230" s="561"/>
      <c r="AU230" s="561"/>
      <c r="AV230" s="561"/>
      <c r="AW230" s="561"/>
    </row>
    <row r="231" ht="15.75" customHeight="1">
      <c r="D231" s="124"/>
      <c r="G231" s="124"/>
      <c r="H231" s="124"/>
      <c r="I231" s="124"/>
      <c r="K231" s="124"/>
      <c r="N231" s="124"/>
      <c r="O231" s="561"/>
      <c r="P231" s="124"/>
      <c r="AC231" s="562"/>
      <c r="AD231" s="561"/>
      <c r="AE231" s="561"/>
      <c r="AF231" s="561"/>
      <c r="AG231" s="561"/>
      <c r="AH231" s="561"/>
      <c r="AI231" s="561"/>
      <c r="AJ231" s="561"/>
      <c r="AK231" s="561"/>
      <c r="AL231" s="561"/>
      <c r="AM231" s="561"/>
      <c r="AN231" s="561"/>
      <c r="AO231" s="561"/>
      <c r="AP231" s="561"/>
      <c r="AQ231" s="561"/>
      <c r="AR231" s="561"/>
      <c r="AS231" s="561"/>
      <c r="AT231" s="561"/>
      <c r="AU231" s="561"/>
      <c r="AV231" s="561"/>
      <c r="AW231" s="561"/>
    </row>
    <row r="232" ht="15.75" customHeight="1">
      <c r="D232" s="124"/>
      <c r="G232" s="124"/>
      <c r="H232" s="124"/>
      <c r="I232" s="124"/>
      <c r="K232" s="124"/>
      <c r="N232" s="124"/>
      <c r="O232" s="561"/>
      <c r="P232" s="124"/>
      <c r="AC232" s="562"/>
      <c r="AD232" s="561"/>
      <c r="AE232" s="561"/>
      <c r="AF232" s="561"/>
      <c r="AG232" s="561"/>
      <c r="AH232" s="561"/>
      <c r="AI232" s="561"/>
      <c r="AJ232" s="561"/>
      <c r="AK232" s="561"/>
      <c r="AL232" s="561"/>
      <c r="AM232" s="561"/>
      <c r="AN232" s="561"/>
      <c r="AO232" s="561"/>
      <c r="AP232" s="561"/>
      <c r="AQ232" s="561"/>
      <c r="AR232" s="561"/>
      <c r="AS232" s="561"/>
      <c r="AT232" s="561"/>
      <c r="AU232" s="561"/>
      <c r="AV232" s="561"/>
      <c r="AW232" s="561"/>
    </row>
    <row r="233" ht="15.75" customHeight="1">
      <c r="D233" s="124"/>
      <c r="G233" s="124"/>
      <c r="H233" s="124"/>
      <c r="I233" s="124"/>
      <c r="K233" s="124"/>
      <c r="N233" s="124"/>
      <c r="O233" s="561"/>
      <c r="P233" s="124"/>
      <c r="AC233" s="562"/>
      <c r="AD233" s="561"/>
      <c r="AE233" s="561"/>
      <c r="AF233" s="561"/>
      <c r="AG233" s="561"/>
      <c r="AH233" s="561"/>
      <c r="AI233" s="561"/>
      <c r="AJ233" s="561"/>
      <c r="AK233" s="561"/>
      <c r="AL233" s="561"/>
      <c r="AM233" s="561"/>
      <c r="AN233" s="561"/>
      <c r="AO233" s="561"/>
      <c r="AP233" s="561"/>
      <c r="AQ233" s="561"/>
      <c r="AR233" s="561"/>
      <c r="AS233" s="561"/>
      <c r="AT233" s="561"/>
      <c r="AU233" s="561"/>
      <c r="AV233" s="561"/>
      <c r="AW233" s="561"/>
    </row>
    <row r="234" ht="15.75" customHeight="1">
      <c r="D234" s="124"/>
      <c r="G234" s="124"/>
      <c r="H234" s="124"/>
      <c r="I234" s="124"/>
      <c r="K234" s="124"/>
      <c r="N234" s="124"/>
      <c r="O234" s="561"/>
      <c r="P234" s="124"/>
      <c r="AC234" s="562"/>
      <c r="AD234" s="561"/>
      <c r="AE234" s="561"/>
      <c r="AF234" s="561"/>
      <c r="AG234" s="561"/>
      <c r="AH234" s="561"/>
      <c r="AI234" s="561"/>
      <c r="AJ234" s="561"/>
      <c r="AK234" s="561"/>
      <c r="AL234" s="561"/>
      <c r="AM234" s="561"/>
      <c r="AN234" s="561"/>
      <c r="AO234" s="561"/>
      <c r="AP234" s="561"/>
      <c r="AQ234" s="561"/>
      <c r="AR234" s="561"/>
      <c r="AS234" s="561"/>
      <c r="AT234" s="561"/>
      <c r="AU234" s="561"/>
      <c r="AV234" s="561"/>
      <c r="AW234" s="561"/>
    </row>
    <row r="235" ht="15.75" customHeight="1">
      <c r="D235" s="124"/>
      <c r="G235" s="124"/>
      <c r="H235" s="124"/>
      <c r="I235" s="124"/>
      <c r="K235" s="124"/>
      <c r="N235" s="124"/>
      <c r="O235" s="561"/>
      <c r="P235" s="124"/>
      <c r="AC235" s="562"/>
      <c r="AD235" s="561"/>
      <c r="AE235" s="561"/>
      <c r="AF235" s="561"/>
      <c r="AG235" s="561"/>
      <c r="AH235" s="561"/>
      <c r="AI235" s="561"/>
      <c r="AJ235" s="561"/>
      <c r="AK235" s="561"/>
      <c r="AL235" s="561"/>
      <c r="AM235" s="561"/>
      <c r="AN235" s="561"/>
      <c r="AO235" s="561"/>
      <c r="AP235" s="561"/>
      <c r="AQ235" s="561"/>
      <c r="AR235" s="561"/>
      <c r="AS235" s="561"/>
      <c r="AT235" s="561"/>
      <c r="AU235" s="561"/>
      <c r="AV235" s="561"/>
      <c r="AW235" s="561"/>
    </row>
    <row r="236" ht="15.75" customHeight="1">
      <c r="D236" s="124"/>
      <c r="G236" s="124"/>
      <c r="H236" s="124"/>
      <c r="I236" s="124"/>
      <c r="K236" s="124"/>
      <c r="N236" s="124"/>
      <c r="O236" s="561"/>
      <c r="P236" s="124"/>
      <c r="AC236" s="562"/>
      <c r="AD236" s="561"/>
      <c r="AE236" s="561"/>
      <c r="AF236" s="561"/>
      <c r="AG236" s="561"/>
      <c r="AH236" s="561"/>
      <c r="AI236" s="561"/>
      <c r="AJ236" s="561"/>
      <c r="AK236" s="561"/>
      <c r="AL236" s="561"/>
      <c r="AM236" s="561"/>
      <c r="AN236" s="561"/>
      <c r="AO236" s="561"/>
      <c r="AP236" s="561"/>
      <c r="AQ236" s="561"/>
      <c r="AR236" s="561"/>
      <c r="AS236" s="561"/>
      <c r="AT236" s="561"/>
      <c r="AU236" s="561"/>
      <c r="AV236" s="561"/>
      <c r="AW236" s="561"/>
    </row>
    <row r="237" ht="15.75" customHeight="1">
      <c r="D237" s="124"/>
      <c r="G237" s="124"/>
      <c r="H237" s="124"/>
      <c r="I237" s="124"/>
      <c r="K237" s="124"/>
      <c r="N237" s="124"/>
      <c r="O237" s="561"/>
      <c r="P237" s="124"/>
      <c r="AC237" s="562"/>
      <c r="AD237" s="561"/>
      <c r="AE237" s="561"/>
      <c r="AF237" s="561"/>
      <c r="AG237" s="561"/>
      <c r="AH237" s="561"/>
      <c r="AI237" s="561"/>
      <c r="AJ237" s="561"/>
      <c r="AK237" s="561"/>
      <c r="AL237" s="561"/>
      <c r="AM237" s="561"/>
      <c r="AN237" s="561"/>
      <c r="AO237" s="561"/>
      <c r="AP237" s="561"/>
      <c r="AQ237" s="561"/>
      <c r="AR237" s="561"/>
      <c r="AS237" s="561"/>
      <c r="AT237" s="561"/>
      <c r="AU237" s="561"/>
      <c r="AV237" s="561"/>
      <c r="AW237" s="561"/>
    </row>
    <row r="238" ht="15.75" customHeight="1">
      <c r="D238" s="124"/>
      <c r="G238" s="124"/>
      <c r="H238" s="124"/>
      <c r="I238" s="124"/>
      <c r="K238" s="124"/>
      <c r="N238" s="124"/>
      <c r="O238" s="561"/>
      <c r="P238" s="124"/>
      <c r="AC238" s="562"/>
      <c r="AD238" s="561"/>
      <c r="AE238" s="561"/>
      <c r="AF238" s="561"/>
      <c r="AG238" s="561"/>
      <c r="AH238" s="561"/>
      <c r="AI238" s="561"/>
      <c r="AJ238" s="561"/>
      <c r="AK238" s="561"/>
      <c r="AL238" s="561"/>
      <c r="AM238" s="561"/>
      <c r="AN238" s="561"/>
      <c r="AO238" s="561"/>
      <c r="AP238" s="561"/>
      <c r="AQ238" s="561"/>
      <c r="AR238" s="561"/>
      <c r="AS238" s="561"/>
      <c r="AT238" s="561"/>
      <c r="AU238" s="561"/>
      <c r="AV238" s="561"/>
      <c r="AW238" s="561"/>
    </row>
    <row r="239" ht="15.75" customHeight="1">
      <c r="D239" s="124"/>
      <c r="G239" s="124"/>
      <c r="H239" s="124"/>
      <c r="I239" s="124"/>
      <c r="K239" s="124"/>
      <c r="N239" s="124"/>
      <c r="O239" s="561"/>
      <c r="P239" s="124"/>
      <c r="AC239" s="562"/>
      <c r="AD239" s="561"/>
      <c r="AE239" s="561"/>
      <c r="AF239" s="561"/>
      <c r="AG239" s="561"/>
      <c r="AH239" s="561"/>
      <c r="AI239" s="561"/>
      <c r="AJ239" s="561"/>
      <c r="AK239" s="561"/>
      <c r="AL239" s="561"/>
      <c r="AM239" s="561"/>
      <c r="AN239" s="561"/>
      <c r="AO239" s="561"/>
      <c r="AP239" s="561"/>
      <c r="AQ239" s="561"/>
      <c r="AR239" s="561"/>
      <c r="AS239" s="561"/>
      <c r="AT239" s="561"/>
      <c r="AU239" s="561"/>
      <c r="AV239" s="561"/>
      <c r="AW239" s="561"/>
    </row>
    <row r="240" ht="15.75" customHeight="1">
      <c r="D240" s="124"/>
      <c r="G240" s="124"/>
      <c r="H240" s="124"/>
      <c r="I240" s="124"/>
      <c r="K240" s="124"/>
      <c r="N240" s="124"/>
      <c r="O240" s="561"/>
      <c r="P240" s="124"/>
      <c r="AC240" s="562"/>
      <c r="AD240" s="561"/>
      <c r="AE240" s="561"/>
      <c r="AF240" s="561"/>
      <c r="AG240" s="561"/>
      <c r="AH240" s="561"/>
      <c r="AI240" s="561"/>
      <c r="AJ240" s="561"/>
      <c r="AK240" s="561"/>
      <c r="AL240" s="561"/>
      <c r="AM240" s="561"/>
      <c r="AN240" s="561"/>
      <c r="AO240" s="561"/>
      <c r="AP240" s="561"/>
      <c r="AQ240" s="561"/>
      <c r="AR240" s="561"/>
      <c r="AS240" s="561"/>
      <c r="AT240" s="561"/>
      <c r="AU240" s="561"/>
      <c r="AV240" s="561"/>
      <c r="AW240" s="561"/>
    </row>
    <row r="241" ht="15.75" customHeight="1">
      <c r="D241" s="124"/>
      <c r="G241" s="124"/>
      <c r="H241" s="124"/>
      <c r="I241" s="124"/>
      <c r="K241" s="124"/>
      <c r="N241" s="124"/>
      <c r="O241" s="561"/>
      <c r="P241" s="124"/>
      <c r="AC241" s="562"/>
      <c r="AD241" s="561"/>
      <c r="AE241" s="561"/>
      <c r="AF241" s="561"/>
      <c r="AG241" s="561"/>
      <c r="AH241" s="561"/>
      <c r="AI241" s="561"/>
      <c r="AJ241" s="561"/>
      <c r="AK241" s="561"/>
      <c r="AL241" s="561"/>
      <c r="AM241" s="561"/>
      <c r="AN241" s="561"/>
      <c r="AO241" s="561"/>
      <c r="AP241" s="561"/>
      <c r="AQ241" s="561"/>
      <c r="AR241" s="561"/>
      <c r="AS241" s="561"/>
      <c r="AT241" s="561"/>
      <c r="AU241" s="561"/>
      <c r="AV241" s="561"/>
      <c r="AW241" s="561"/>
    </row>
    <row r="242" ht="15.75" customHeight="1">
      <c r="D242" s="124"/>
      <c r="G242" s="124"/>
      <c r="H242" s="124"/>
      <c r="I242" s="124"/>
      <c r="K242" s="124"/>
      <c r="N242" s="124"/>
      <c r="O242" s="561"/>
      <c r="P242" s="124"/>
      <c r="AC242" s="562"/>
      <c r="AD242" s="561"/>
      <c r="AE242" s="561"/>
      <c r="AF242" s="561"/>
      <c r="AG242" s="561"/>
      <c r="AH242" s="561"/>
      <c r="AI242" s="561"/>
      <c r="AJ242" s="561"/>
      <c r="AK242" s="561"/>
      <c r="AL242" s="561"/>
      <c r="AM242" s="561"/>
      <c r="AN242" s="561"/>
      <c r="AO242" s="561"/>
      <c r="AP242" s="561"/>
      <c r="AQ242" s="561"/>
      <c r="AR242" s="561"/>
      <c r="AS242" s="561"/>
      <c r="AT242" s="561"/>
      <c r="AU242" s="561"/>
      <c r="AV242" s="561"/>
      <c r="AW242" s="561"/>
    </row>
    <row r="243" ht="15.75" customHeight="1">
      <c r="D243" s="124"/>
      <c r="G243" s="124"/>
      <c r="H243" s="124"/>
      <c r="I243" s="124"/>
      <c r="K243" s="124"/>
      <c r="N243" s="124"/>
      <c r="O243" s="561"/>
      <c r="P243" s="124"/>
      <c r="AC243" s="562"/>
      <c r="AD243" s="561"/>
      <c r="AE243" s="561"/>
      <c r="AF243" s="561"/>
      <c r="AG243" s="561"/>
      <c r="AH243" s="561"/>
      <c r="AI243" s="561"/>
      <c r="AJ243" s="561"/>
      <c r="AK243" s="561"/>
      <c r="AL243" s="561"/>
      <c r="AM243" s="561"/>
      <c r="AN243" s="561"/>
      <c r="AO243" s="561"/>
      <c r="AP243" s="561"/>
      <c r="AQ243" s="561"/>
      <c r="AR243" s="561"/>
      <c r="AS243" s="561"/>
      <c r="AT243" s="561"/>
      <c r="AU243" s="561"/>
      <c r="AV243" s="561"/>
      <c r="AW243" s="561"/>
    </row>
    <row r="244" ht="15.75" customHeight="1">
      <c r="D244" s="124"/>
      <c r="G244" s="124"/>
      <c r="H244" s="124"/>
      <c r="I244" s="124"/>
      <c r="K244" s="124"/>
      <c r="N244" s="124"/>
      <c r="O244" s="561"/>
      <c r="P244" s="124"/>
      <c r="AC244" s="562"/>
      <c r="AD244" s="561"/>
      <c r="AE244" s="561"/>
      <c r="AF244" s="561"/>
      <c r="AG244" s="561"/>
      <c r="AH244" s="561"/>
      <c r="AI244" s="561"/>
      <c r="AJ244" s="561"/>
      <c r="AK244" s="561"/>
      <c r="AL244" s="561"/>
      <c r="AM244" s="561"/>
      <c r="AN244" s="561"/>
      <c r="AO244" s="561"/>
      <c r="AP244" s="561"/>
      <c r="AQ244" s="561"/>
      <c r="AR244" s="561"/>
      <c r="AS244" s="561"/>
      <c r="AT244" s="561"/>
      <c r="AU244" s="561"/>
      <c r="AV244" s="561"/>
      <c r="AW244" s="561"/>
    </row>
    <row r="245" ht="15.75" customHeight="1">
      <c r="D245" s="124"/>
      <c r="G245" s="124"/>
      <c r="H245" s="124"/>
      <c r="I245" s="124"/>
      <c r="K245" s="124"/>
      <c r="N245" s="124"/>
      <c r="O245" s="561"/>
      <c r="P245" s="124"/>
      <c r="AC245" s="562"/>
      <c r="AD245" s="561"/>
      <c r="AE245" s="561"/>
      <c r="AF245" s="561"/>
      <c r="AG245" s="561"/>
      <c r="AH245" s="561"/>
      <c r="AI245" s="561"/>
      <c r="AJ245" s="561"/>
      <c r="AK245" s="561"/>
      <c r="AL245" s="561"/>
      <c r="AM245" s="561"/>
      <c r="AN245" s="561"/>
      <c r="AO245" s="561"/>
      <c r="AP245" s="561"/>
      <c r="AQ245" s="561"/>
      <c r="AR245" s="561"/>
      <c r="AS245" s="561"/>
      <c r="AT245" s="561"/>
      <c r="AU245" s="561"/>
      <c r="AV245" s="561"/>
      <c r="AW245" s="561"/>
    </row>
    <row r="246" ht="15.75" customHeight="1">
      <c r="D246" s="124"/>
      <c r="G246" s="124"/>
      <c r="H246" s="124"/>
      <c r="I246" s="124"/>
      <c r="K246" s="124"/>
      <c r="N246" s="124"/>
      <c r="O246" s="561"/>
      <c r="P246" s="124"/>
      <c r="AC246" s="562"/>
      <c r="AD246" s="561"/>
      <c r="AE246" s="561"/>
      <c r="AF246" s="561"/>
      <c r="AG246" s="561"/>
      <c r="AH246" s="561"/>
      <c r="AI246" s="561"/>
      <c r="AJ246" s="561"/>
      <c r="AK246" s="561"/>
      <c r="AL246" s="561"/>
      <c r="AM246" s="561"/>
      <c r="AN246" s="561"/>
      <c r="AO246" s="561"/>
      <c r="AP246" s="561"/>
      <c r="AQ246" s="561"/>
      <c r="AR246" s="561"/>
      <c r="AS246" s="561"/>
      <c r="AT246" s="561"/>
      <c r="AU246" s="561"/>
      <c r="AV246" s="561"/>
      <c r="AW246" s="561"/>
    </row>
    <row r="247" ht="15.75" customHeight="1">
      <c r="D247" s="124"/>
      <c r="G247" s="124"/>
      <c r="H247" s="124"/>
      <c r="I247" s="124"/>
      <c r="K247" s="124"/>
      <c r="N247" s="124"/>
      <c r="O247" s="561"/>
      <c r="P247" s="124"/>
      <c r="AC247" s="562"/>
      <c r="AD247" s="561"/>
      <c r="AE247" s="561"/>
      <c r="AF247" s="561"/>
      <c r="AG247" s="561"/>
      <c r="AH247" s="561"/>
      <c r="AI247" s="561"/>
      <c r="AJ247" s="561"/>
      <c r="AK247" s="561"/>
      <c r="AL247" s="561"/>
      <c r="AM247" s="561"/>
      <c r="AN247" s="561"/>
      <c r="AO247" s="561"/>
      <c r="AP247" s="561"/>
      <c r="AQ247" s="561"/>
      <c r="AR247" s="561"/>
      <c r="AS247" s="561"/>
      <c r="AT247" s="561"/>
      <c r="AU247" s="561"/>
      <c r="AV247" s="561"/>
      <c r="AW247" s="561"/>
    </row>
    <row r="248" ht="15.75" customHeight="1">
      <c r="D248" s="124"/>
      <c r="G248" s="124"/>
      <c r="H248" s="124"/>
      <c r="I248" s="124"/>
      <c r="K248" s="124"/>
      <c r="N248" s="124"/>
      <c r="O248" s="561"/>
      <c r="P248" s="124"/>
      <c r="AC248" s="562"/>
      <c r="AD248" s="561"/>
      <c r="AE248" s="561"/>
      <c r="AF248" s="561"/>
      <c r="AG248" s="561"/>
      <c r="AH248" s="561"/>
      <c r="AI248" s="561"/>
      <c r="AJ248" s="561"/>
      <c r="AK248" s="561"/>
      <c r="AL248" s="561"/>
      <c r="AM248" s="561"/>
      <c r="AN248" s="561"/>
      <c r="AO248" s="561"/>
      <c r="AP248" s="561"/>
      <c r="AQ248" s="561"/>
      <c r="AR248" s="561"/>
      <c r="AS248" s="561"/>
      <c r="AT248" s="561"/>
      <c r="AU248" s="561"/>
      <c r="AV248" s="561"/>
      <c r="AW248" s="561"/>
    </row>
    <row r="249" ht="15.75" customHeight="1">
      <c r="D249" s="124"/>
      <c r="G249" s="124"/>
      <c r="H249" s="124"/>
      <c r="I249" s="124"/>
      <c r="K249" s="124"/>
      <c r="N249" s="124"/>
      <c r="O249" s="561"/>
      <c r="P249" s="124"/>
      <c r="AC249" s="562"/>
      <c r="AD249" s="561"/>
      <c r="AE249" s="561"/>
      <c r="AF249" s="561"/>
      <c r="AG249" s="561"/>
      <c r="AH249" s="561"/>
      <c r="AI249" s="561"/>
      <c r="AJ249" s="561"/>
      <c r="AK249" s="561"/>
      <c r="AL249" s="561"/>
      <c r="AM249" s="561"/>
      <c r="AN249" s="561"/>
      <c r="AO249" s="561"/>
      <c r="AP249" s="561"/>
      <c r="AQ249" s="561"/>
      <c r="AR249" s="561"/>
      <c r="AS249" s="561"/>
      <c r="AT249" s="561"/>
      <c r="AU249" s="561"/>
      <c r="AV249" s="561"/>
      <c r="AW249" s="561"/>
    </row>
    <row r="250" ht="15.75" customHeight="1">
      <c r="D250" s="124"/>
      <c r="G250" s="124"/>
      <c r="H250" s="124"/>
      <c r="I250" s="124"/>
      <c r="K250" s="124"/>
      <c r="N250" s="124"/>
      <c r="O250" s="561"/>
      <c r="P250" s="124"/>
      <c r="AC250" s="562"/>
      <c r="AD250" s="561"/>
      <c r="AE250" s="561"/>
      <c r="AF250" s="561"/>
      <c r="AG250" s="561"/>
      <c r="AH250" s="561"/>
      <c r="AI250" s="561"/>
      <c r="AJ250" s="561"/>
      <c r="AK250" s="561"/>
      <c r="AL250" s="561"/>
      <c r="AM250" s="561"/>
      <c r="AN250" s="561"/>
      <c r="AO250" s="561"/>
      <c r="AP250" s="561"/>
      <c r="AQ250" s="561"/>
      <c r="AR250" s="561"/>
      <c r="AS250" s="561"/>
      <c r="AT250" s="561"/>
      <c r="AU250" s="561"/>
      <c r="AV250" s="561"/>
      <c r="AW250" s="561"/>
    </row>
    <row r="251" ht="15.75" customHeight="1">
      <c r="D251" s="124"/>
      <c r="G251" s="124"/>
      <c r="H251" s="124"/>
      <c r="I251" s="124"/>
      <c r="K251" s="124"/>
      <c r="N251" s="124"/>
      <c r="O251" s="561"/>
      <c r="P251" s="124"/>
      <c r="AC251" s="562"/>
      <c r="AD251" s="561"/>
      <c r="AE251" s="561"/>
      <c r="AF251" s="561"/>
      <c r="AG251" s="561"/>
      <c r="AH251" s="561"/>
      <c r="AI251" s="561"/>
      <c r="AJ251" s="561"/>
      <c r="AK251" s="561"/>
      <c r="AL251" s="561"/>
      <c r="AM251" s="561"/>
      <c r="AN251" s="561"/>
      <c r="AO251" s="561"/>
      <c r="AP251" s="561"/>
      <c r="AQ251" s="561"/>
      <c r="AR251" s="561"/>
      <c r="AS251" s="561"/>
      <c r="AT251" s="561"/>
      <c r="AU251" s="561"/>
      <c r="AV251" s="561"/>
      <c r="AW251" s="561"/>
    </row>
    <row r="252" ht="15.75" customHeight="1">
      <c r="D252" s="124"/>
      <c r="G252" s="124"/>
      <c r="H252" s="124"/>
      <c r="I252" s="124"/>
      <c r="K252" s="124"/>
      <c r="N252" s="124"/>
      <c r="O252" s="561"/>
      <c r="P252" s="124"/>
      <c r="AC252" s="562"/>
      <c r="AD252" s="561"/>
      <c r="AE252" s="561"/>
      <c r="AF252" s="561"/>
      <c r="AG252" s="561"/>
      <c r="AH252" s="561"/>
      <c r="AI252" s="561"/>
      <c r="AJ252" s="561"/>
      <c r="AK252" s="561"/>
      <c r="AL252" s="561"/>
      <c r="AM252" s="561"/>
      <c r="AN252" s="561"/>
      <c r="AO252" s="561"/>
      <c r="AP252" s="561"/>
      <c r="AQ252" s="561"/>
      <c r="AR252" s="561"/>
      <c r="AS252" s="561"/>
      <c r="AT252" s="561"/>
      <c r="AU252" s="561"/>
      <c r="AV252" s="561"/>
      <c r="AW252" s="561"/>
    </row>
    <row r="253" ht="15.75" customHeight="1">
      <c r="D253" s="124"/>
      <c r="G253" s="124"/>
      <c r="H253" s="124"/>
      <c r="I253" s="124"/>
      <c r="K253" s="124"/>
      <c r="N253" s="124"/>
      <c r="O253" s="561"/>
      <c r="P253" s="124"/>
      <c r="AC253" s="562"/>
      <c r="AD253" s="561"/>
      <c r="AE253" s="561"/>
      <c r="AF253" s="561"/>
      <c r="AG253" s="561"/>
      <c r="AH253" s="561"/>
      <c r="AI253" s="561"/>
      <c r="AJ253" s="561"/>
      <c r="AK253" s="561"/>
      <c r="AL253" s="561"/>
      <c r="AM253" s="561"/>
      <c r="AN253" s="561"/>
      <c r="AO253" s="561"/>
      <c r="AP253" s="561"/>
      <c r="AQ253" s="561"/>
      <c r="AR253" s="561"/>
      <c r="AS253" s="561"/>
      <c r="AT253" s="561"/>
      <c r="AU253" s="561"/>
      <c r="AV253" s="561"/>
      <c r="AW253" s="561"/>
    </row>
    <row r="254" ht="15.75" customHeight="1">
      <c r="D254" s="124"/>
      <c r="G254" s="124"/>
      <c r="H254" s="124"/>
      <c r="I254" s="124"/>
      <c r="K254" s="124"/>
      <c r="N254" s="124"/>
      <c r="O254" s="561"/>
      <c r="P254" s="124"/>
      <c r="AC254" s="562"/>
      <c r="AD254" s="561"/>
      <c r="AE254" s="561"/>
      <c r="AF254" s="561"/>
      <c r="AG254" s="561"/>
      <c r="AH254" s="561"/>
      <c r="AI254" s="561"/>
      <c r="AJ254" s="561"/>
      <c r="AK254" s="561"/>
      <c r="AL254" s="561"/>
      <c r="AM254" s="561"/>
      <c r="AN254" s="561"/>
      <c r="AO254" s="561"/>
      <c r="AP254" s="561"/>
      <c r="AQ254" s="561"/>
      <c r="AR254" s="561"/>
      <c r="AS254" s="561"/>
      <c r="AT254" s="561"/>
      <c r="AU254" s="561"/>
      <c r="AV254" s="561"/>
      <c r="AW254" s="561"/>
    </row>
    <row r="255" ht="15.75" customHeight="1">
      <c r="D255" s="124"/>
      <c r="G255" s="124"/>
      <c r="H255" s="124"/>
      <c r="I255" s="124"/>
      <c r="K255" s="124"/>
      <c r="N255" s="124"/>
      <c r="O255" s="561"/>
      <c r="P255" s="124"/>
      <c r="AC255" s="562"/>
      <c r="AD255" s="561"/>
      <c r="AE255" s="561"/>
      <c r="AF255" s="561"/>
      <c r="AG255" s="561"/>
      <c r="AH255" s="561"/>
      <c r="AI255" s="561"/>
      <c r="AJ255" s="561"/>
      <c r="AK255" s="561"/>
      <c r="AL255" s="561"/>
      <c r="AM255" s="561"/>
      <c r="AN255" s="561"/>
      <c r="AO255" s="561"/>
      <c r="AP255" s="561"/>
      <c r="AQ255" s="561"/>
      <c r="AR255" s="561"/>
      <c r="AS255" s="561"/>
      <c r="AT255" s="561"/>
      <c r="AU255" s="561"/>
      <c r="AV255" s="561"/>
      <c r="AW255" s="561"/>
    </row>
    <row r="256" ht="15.75" customHeight="1">
      <c r="D256" s="124"/>
      <c r="G256" s="124"/>
      <c r="H256" s="124"/>
      <c r="I256" s="124"/>
      <c r="K256" s="124"/>
      <c r="N256" s="124"/>
      <c r="O256" s="561"/>
      <c r="P256" s="124"/>
      <c r="AC256" s="562"/>
      <c r="AD256" s="561"/>
      <c r="AE256" s="561"/>
      <c r="AF256" s="561"/>
      <c r="AG256" s="561"/>
      <c r="AH256" s="561"/>
      <c r="AI256" s="561"/>
      <c r="AJ256" s="561"/>
      <c r="AK256" s="561"/>
      <c r="AL256" s="561"/>
      <c r="AM256" s="561"/>
      <c r="AN256" s="561"/>
      <c r="AO256" s="561"/>
      <c r="AP256" s="561"/>
      <c r="AQ256" s="561"/>
      <c r="AR256" s="561"/>
      <c r="AS256" s="561"/>
      <c r="AT256" s="561"/>
      <c r="AU256" s="561"/>
      <c r="AV256" s="561"/>
      <c r="AW256" s="561"/>
    </row>
    <row r="257" ht="15.75" customHeight="1">
      <c r="D257" s="124"/>
      <c r="G257" s="124"/>
      <c r="H257" s="124"/>
      <c r="I257" s="124"/>
      <c r="K257" s="124"/>
      <c r="N257" s="124"/>
      <c r="O257" s="561"/>
      <c r="P257" s="124"/>
      <c r="AC257" s="562"/>
      <c r="AD257" s="561"/>
      <c r="AE257" s="561"/>
      <c r="AF257" s="561"/>
      <c r="AG257" s="561"/>
      <c r="AH257" s="561"/>
      <c r="AI257" s="561"/>
      <c r="AJ257" s="561"/>
      <c r="AK257" s="561"/>
      <c r="AL257" s="561"/>
      <c r="AM257" s="561"/>
      <c r="AN257" s="561"/>
      <c r="AO257" s="561"/>
      <c r="AP257" s="561"/>
      <c r="AQ257" s="561"/>
      <c r="AR257" s="561"/>
      <c r="AS257" s="561"/>
      <c r="AT257" s="561"/>
      <c r="AU257" s="561"/>
      <c r="AV257" s="561"/>
      <c r="AW257" s="561"/>
    </row>
    <row r="258" ht="15.75" customHeight="1">
      <c r="D258" s="124"/>
      <c r="G258" s="124"/>
      <c r="H258" s="124"/>
      <c r="I258" s="124"/>
      <c r="K258" s="124"/>
      <c r="N258" s="124"/>
      <c r="O258" s="561"/>
      <c r="P258" s="124"/>
      <c r="AC258" s="562"/>
      <c r="AD258" s="561"/>
      <c r="AE258" s="561"/>
      <c r="AF258" s="561"/>
      <c r="AG258" s="561"/>
      <c r="AH258" s="561"/>
      <c r="AI258" s="561"/>
      <c r="AJ258" s="561"/>
      <c r="AK258" s="561"/>
      <c r="AL258" s="561"/>
      <c r="AM258" s="561"/>
      <c r="AN258" s="561"/>
      <c r="AO258" s="561"/>
      <c r="AP258" s="561"/>
      <c r="AQ258" s="561"/>
      <c r="AR258" s="561"/>
      <c r="AS258" s="561"/>
      <c r="AT258" s="561"/>
      <c r="AU258" s="561"/>
      <c r="AV258" s="561"/>
      <c r="AW258" s="561"/>
    </row>
    <row r="259" ht="15.75" customHeight="1">
      <c r="D259" s="124"/>
      <c r="G259" s="124"/>
      <c r="H259" s="124"/>
      <c r="I259" s="124"/>
      <c r="K259" s="124"/>
      <c r="N259" s="124"/>
      <c r="O259" s="561"/>
      <c r="P259" s="124"/>
      <c r="AC259" s="562"/>
      <c r="AD259" s="561"/>
      <c r="AE259" s="561"/>
      <c r="AF259" s="561"/>
      <c r="AG259" s="561"/>
      <c r="AH259" s="561"/>
      <c r="AI259" s="561"/>
      <c r="AJ259" s="561"/>
      <c r="AK259" s="561"/>
      <c r="AL259" s="561"/>
      <c r="AM259" s="561"/>
      <c r="AN259" s="561"/>
      <c r="AO259" s="561"/>
      <c r="AP259" s="561"/>
      <c r="AQ259" s="561"/>
      <c r="AR259" s="561"/>
      <c r="AS259" s="561"/>
      <c r="AT259" s="561"/>
      <c r="AU259" s="561"/>
      <c r="AV259" s="561"/>
      <c r="AW259" s="561"/>
    </row>
    <row r="260" ht="15.75" customHeight="1">
      <c r="D260" s="124"/>
      <c r="G260" s="124"/>
      <c r="H260" s="124"/>
      <c r="I260" s="124"/>
      <c r="K260" s="124"/>
      <c r="N260" s="124"/>
      <c r="O260" s="561"/>
      <c r="P260" s="124"/>
      <c r="AC260" s="562"/>
      <c r="AD260" s="561"/>
      <c r="AE260" s="561"/>
      <c r="AF260" s="561"/>
      <c r="AG260" s="561"/>
      <c r="AH260" s="561"/>
      <c r="AI260" s="561"/>
      <c r="AJ260" s="561"/>
      <c r="AK260" s="561"/>
      <c r="AL260" s="561"/>
      <c r="AM260" s="561"/>
      <c r="AN260" s="561"/>
      <c r="AO260" s="561"/>
      <c r="AP260" s="561"/>
      <c r="AQ260" s="561"/>
      <c r="AR260" s="561"/>
      <c r="AS260" s="561"/>
      <c r="AT260" s="561"/>
      <c r="AU260" s="561"/>
      <c r="AV260" s="561"/>
      <c r="AW260" s="561"/>
    </row>
    <row r="261" ht="15.75" customHeight="1">
      <c r="D261" s="124"/>
      <c r="G261" s="124"/>
      <c r="H261" s="124"/>
      <c r="I261" s="124"/>
      <c r="K261" s="124"/>
      <c r="N261" s="124"/>
      <c r="O261" s="561"/>
      <c r="P261" s="124"/>
      <c r="AC261" s="562"/>
      <c r="AD261" s="561"/>
      <c r="AE261" s="561"/>
      <c r="AF261" s="561"/>
      <c r="AG261" s="561"/>
      <c r="AH261" s="561"/>
      <c r="AI261" s="561"/>
      <c r="AJ261" s="561"/>
      <c r="AK261" s="561"/>
      <c r="AL261" s="561"/>
      <c r="AM261" s="561"/>
      <c r="AN261" s="561"/>
      <c r="AO261" s="561"/>
      <c r="AP261" s="561"/>
      <c r="AQ261" s="561"/>
      <c r="AR261" s="561"/>
      <c r="AS261" s="561"/>
      <c r="AT261" s="561"/>
      <c r="AU261" s="561"/>
      <c r="AV261" s="561"/>
      <c r="AW261" s="561"/>
    </row>
    <row r="262" ht="15.75" customHeight="1">
      <c r="D262" s="124"/>
      <c r="G262" s="124"/>
      <c r="H262" s="124"/>
      <c r="I262" s="124"/>
      <c r="K262" s="124"/>
      <c r="N262" s="124"/>
      <c r="O262" s="561"/>
      <c r="P262" s="124"/>
      <c r="AC262" s="562"/>
      <c r="AD262" s="561"/>
      <c r="AE262" s="561"/>
      <c r="AF262" s="561"/>
      <c r="AG262" s="561"/>
      <c r="AH262" s="561"/>
      <c r="AI262" s="561"/>
      <c r="AJ262" s="561"/>
      <c r="AK262" s="561"/>
      <c r="AL262" s="561"/>
      <c r="AM262" s="561"/>
      <c r="AN262" s="561"/>
      <c r="AO262" s="561"/>
      <c r="AP262" s="561"/>
      <c r="AQ262" s="561"/>
      <c r="AR262" s="561"/>
      <c r="AS262" s="561"/>
      <c r="AT262" s="561"/>
      <c r="AU262" s="561"/>
      <c r="AV262" s="561"/>
      <c r="AW262" s="561"/>
    </row>
    <row r="263" ht="15.75" customHeight="1">
      <c r="D263" s="124"/>
      <c r="G263" s="124"/>
      <c r="H263" s="124"/>
      <c r="I263" s="124"/>
      <c r="K263" s="124"/>
      <c r="N263" s="124"/>
      <c r="O263" s="561"/>
      <c r="P263" s="124"/>
      <c r="AC263" s="562"/>
      <c r="AD263" s="561"/>
      <c r="AE263" s="561"/>
      <c r="AF263" s="561"/>
      <c r="AG263" s="561"/>
      <c r="AH263" s="561"/>
      <c r="AI263" s="561"/>
      <c r="AJ263" s="561"/>
      <c r="AK263" s="561"/>
      <c r="AL263" s="561"/>
      <c r="AM263" s="561"/>
      <c r="AN263" s="561"/>
      <c r="AO263" s="561"/>
      <c r="AP263" s="561"/>
      <c r="AQ263" s="561"/>
      <c r="AR263" s="561"/>
      <c r="AS263" s="561"/>
      <c r="AT263" s="561"/>
      <c r="AU263" s="561"/>
      <c r="AV263" s="561"/>
      <c r="AW263" s="561"/>
    </row>
    <row r="264" ht="15.75" customHeight="1">
      <c r="D264" s="124"/>
      <c r="G264" s="124"/>
      <c r="H264" s="124"/>
      <c r="I264" s="124"/>
      <c r="K264" s="124"/>
      <c r="N264" s="124"/>
      <c r="O264" s="561"/>
      <c r="P264" s="124"/>
      <c r="AC264" s="562"/>
      <c r="AD264" s="561"/>
      <c r="AE264" s="561"/>
      <c r="AF264" s="561"/>
      <c r="AG264" s="561"/>
      <c r="AH264" s="561"/>
      <c r="AI264" s="561"/>
      <c r="AJ264" s="561"/>
      <c r="AK264" s="561"/>
      <c r="AL264" s="561"/>
      <c r="AM264" s="561"/>
      <c r="AN264" s="561"/>
      <c r="AO264" s="561"/>
      <c r="AP264" s="561"/>
      <c r="AQ264" s="561"/>
      <c r="AR264" s="561"/>
      <c r="AS264" s="561"/>
      <c r="AT264" s="561"/>
      <c r="AU264" s="561"/>
      <c r="AV264" s="561"/>
      <c r="AW264" s="561"/>
    </row>
    <row r="265" ht="15.75" customHeight="1">
      <c r="D265" s="124"/>
      <c r="G265" s="124"/>
      <c r="H265" s="124"/>
      <c r="I265" s="124"/>
      <c r="K265" s="124"/>
      <c r="N265" s="124"/>
      <c r="O265" s="561"/>
      <c r="P265" s="124"/>
      <c r="AC265" s="562"/>
      <c r="AD265" s="561"/>
      <c r="AE265" s="561"/>
      <c r="AF265" s="561"/>
      <c r="AG265" s="561"/>
      <c r="AH265" s="561"/>
      <c r="AI265" s="561"/>
      <c r="AJ265" s="561"/>
      <c r="AK265" s="561"/>
      <c r="AL265" s="561"/>
      <c r="AM265" s="561"/>
      <c r="AN265" s="561"/>
      <c r="AO265" s="561"/>
      <c r="AP265" s="561"/>
      <c r="AQ265" s="561"/>
      <c r="AR265" s="561"/>
      <c r="AS265" s="561"/>
      <c r="AT265" s="561"/>
      <c r="AU265" s="561"/>
      <c r="AV265" s="561"/>
      <c r="AW265" s="561"/>
    </row>
    <row r="266" ht="15.75" customHeight="1">
      <c r="D266" s="124"/>
      <c r="G266" s="124"/>
      <c r="H266" s="124"/>
      <c r="I266" s="124"/>
      <c r="K266" s="124"/>
      <c r="N266" s="124"/>
      <c r="O266" s="561"/>
      <c r="P266" s="124"/>
      <c r="AC266" s="562"/>
      <c r="AD266" s="561"/>
      <c r="AE266" s="561"/>
      <c r="AF266" s="561"/>
      <c r="AG266" s="561"/>
      <c r="AH266" s="561"/>
      <c r="AI266" s="561"/>
      <c r="AJ266" s="561"/>
      <c r="AK266" s="561"/>
      <c r="AL266" s="561"/>
      <c r="AM266" s="561"/>
      <c r="AN266" s="561"/>
      <c r="AO266" s="561"/>
      <c r="AP266" s="561"/>
      <c r="AQ266" s="561"/>
      <c r="AR266" s="561"/>
      <c r="AS266" s="561"/>
      <c r="AT266" s="561"/>
      <c r="AU266" s="561"/>
      <c r="AV266" s="561"/>
      <c r="AW266" s="561"/>
    </row>
    <row r="267" ht="15.75" customHeight="1">
      <c r="D267" s="124"/>
      <c r="G267" s="124"/>
      <c r="H267" s="124"/>
      <c r="I267" s="124"/>
      <c r="K267" s="124"/>
      <c r="N267" s="124"/>
      <c r="O267" s="561"/>
      <c r="P267" s="124"/>
      <c r="AC267" s="562"/>
      <c r="AD267" s="561"/>
      <c r="AE267" s="561"/>
      <c r="AF267" s="561"/>
      <c r="AG267" s="561"/>
      <c r="AH267" s="561"/>
      <c r="AI267" s="561"/>
      <c r="AJ267" s="561"/>
      <c r="AK267" s="561"/>
      <c r="AL267" s="561"/>
      <c r="AM267" s="561"/>
      <c r="AN267" s="561"/>
      <c r="AO267" s="561"/>
      <c r="AP267" s="561"/>
      <c r="AQ267" s="561"/>
      <c r="AR267" s="561"/>
      <c r="AS267" s="561"/>
      <c r="AT267" s="561"/>
      <c r="AU267" s="561"/>
      <c r="AV267" s="561"/>
      <c r="AW267" s="561"/>
    </row>
    <row r="268" ht="15.75" customHeight="1">
      <c r="D268" s="124"/>
      <c r="G268" s="124"/>
      <c r="H268" s="124"/>
      <c r="I268" s="124"/>
      <c r="K268" s="124"/>
      <c r="N268" s="124"/>
      <c r="O268" s="561"/>
      <c r="P268" s="124"/>
      <c r="AC268" s="562"/>
      <c r="AD268" s="561"/>
      <c r="AE268" s="561"/>
      <c r="AF268" s="561"/>
      <c r="AG268" s="561"/>
      <c r="AH268" s="561"/>
      <c r="AI268" s="561"/>
      <c r="AJ268" s="561"/>
      <c r="AK268" s="561"/>
      <c r="AL268" s="561"/>
      <c r="AM268" s="561"/>
      <c r="AN268" s="561"/>
      <c r="AO268" s="561"/>
      <c r="AP268" s="561"/>
      <c r="AQ268" s="561"/>
      <c r="AR268" s="561"/>
      <c r="AS268" s="561"/>
      <c r="AT268" s="561"/>
      <c r="AU268" s="561"/>
      <c r="AV268" s="561"/>
      <c r="AW268" s="561"/>
    </row>
    <row r="269" ht="15.75" customHeight="1">
      <c r="D269" s="124"/>
      <c r="G269" s="124"/>
      <c r="H269" s="124"/>
      <c r="I269" s="124"/>
      <c r="K269" s="124"/>
      <c r="N269" s="124"/>
      <c r="O269" s="561"/>
      <c r="P269" s="124"/>
      <c r="AC269" s="562"/>
      <c r="AD269" s="561"/>
      <c r="AE269" s="561"/>
      <c r="AF269" s="561"/>
      <c r="AG269" s="561"/>
      <c r="AH269" s="561"/>
      <c r="AI269" s="561"/>
      <c r="AJ269" s="561"/>
      <c r="AK269" s="561"/>
      <c r="AL269" s="561"/>
      <c r="AM269" s="561"/>
      <c r="AN269" s="561"/>
      <c r="AO269" s="561"/>
      <c r="AP269" s="561"/>
      <c r="AQ269" s="561"/>
      <c r="AR269" s="561"/>
      <c r="AS269" s="561"/>
      <c r="AT269" s="561"/>
      <c r="AU269" s="561"/>
      <c r="AV269" s="561"/>
      <c r="AW269" s="561"/>
    </row>
    <row r="270" ht="15.75" customHeight="1">
      <c r="D270" s="124"/>
      <c r="G270" s="124"/>
      <c r="H270" s="124"/>
      <c r="I270" s="124"/>
      <c r="K270" s="124"/>
      <c r="N270" s="124"/>
      <c r="O270" s="561"/>
      <c r="P270" s="124"/>
      <c r="AC270" s="562"/>
      <c r="AD270" s="561"/>
      <c r="AE270" s="561"/>
      <c r="AF270" s="561"/>
      <c r="AG270" s="561"/>
      <c r="AH270" s="561"/>
      <c r="AI270" s="561"/>
      <c r="AJ270" s="561"/>
      <c r="AK270" s="561"/>
      <c r="AL270" s="561"/>
      <c r="AM270" s="561"/>
      <c r="AN270" s="561"/>
      <c r="AO270" s="561"/>
      <c r="AP270" s="561"/>
      <c r="AQ270" s="561"/>
      <c r="AR270" s="561"/>
      <c r="AS270" s="561"/>
      <c r="AT270" s="561"/>
      <c r="AU270" s="561"/>
      <c r="AV270" s="561"/>
      <c r="AW270" s="561"/>
    </row>
    <row r="271" ht="15.75" customHeight="1">
      <c r="D271" s="124"/>
      <c r="G271" s="124"/>
      <c r="H271" s="124"/>
      <c r="I271" s="124"/>
      <c r="K271" s="124"/>
      <c r="N271" s="124"/>
      <c r="O271" s="561"/>
      <c r="P271" s="124"/>
      <c r="AC271" s="562"/>
      <c r="AD271" s="561"/>
      <c r="AE271" s="561"/>
      <c r="AF271" s="561"/>
      <c r="AG271" s="561"/>
      <c r="AH271" s="561"/>
      <c r="AI271" s="561"/>
      <c r="AJ271" s="561"/>
      <c r="AK271" s="561"/>
      <c r="AL271" s="561"/>
      <c r="AM271" s="561"/>
      <c r="AN271" s="561"/>
      <c r="AO271" s="561"/>
      <c r="AP271" s="561"/>
      <c r="AQ271" s="561"/>
      <c r="AR271" s="561"/>
      <c r="AS271" s="561"/>
      <c r="AT271" s="561"/>
      <c r="AU271" s="561"/>
      <c r="AV271" s="561"/>
      <c r="AW271" s="561"/>
    </row>
    <row r="272" ht="15.75" customHeight="1">
      <c r="D272" s="124"/>
      <c r="G272" s="124"/>
      <c r="H272" s="124"/>
      <c r="I272" s="124"/>
      <c r="K272" s="124"/>
      <c r="N272" s="124"/>
      <c r="O272" s="561"/>
      <c r="P272" s="124"/>
      <c r="AC272" s="562"/>
      <c r="AD272" s="561"/>
      <c r="AE272" s="561"/>
      <c r="AF272" s="561"/>
      <c r="AG272" s="561"/>
      <c r="AH272" s="561"/>
      <c r="AI272" s="561"/>
      <c r="AJ272" s="561"/>
      <c r="AK272" s="561"/>
      <c r="AL272" s="561"/>
      <c r="AM272" s="561"/>
      <c r="AN272" s="561"/>
      <c r="AO272" s="561"/>
      <c r="AP272" s="561"/>
      <c r="AQ272" s="561"/>
      <c r="AR272" s="561"/>
      <c r="AS272" s="561"/>
      <c r="AT272" s="561"/>
      <c r="AU272" s="561"/>
      <c r="AV272" s="561"/>
      <c r="AW272" s="561"/>
    </row>
    <row r="273" ht="15.75" customHeight="1">
      <c r="D273" s="124"/>
      <c r="G273" s="124"/>
      <c r="H273" s="124"/>
      <c r="I273" s="124"/>
      <c r="K273" s="124"/>
      <c r="N273" s="124"/>
      <c r="O273" s="561"/>
      <c r="P273" s="124"/>
      <c r="AC273" s="562"/>
      <c r="AD273" s="561"/>
      <c r="AE273" s="561"/>
      <c r="AF273" s="561"/>
      <c r="AG273" s="561"/>
      <c r="AH273" s="561"/>
      <c r="AI273" s="561"/>
      <c r="AJ273" s="561"/>
      <c r="AK273" s="561"/>
      <c r="AL273" s="561"/>
      <c r="AM273" s="561"/>
      <c r="AN273" s="561"/>
      <c r="AO273" s="561"/>
      <c r="AP273" s="561"/>
      <c r="AQ273" s="561"/>
      <c r="AR273" s="561"/>
      <c r="AS273" s="561"/>
      <c r="AT273" s="561"/>
      <c r="AU273" s="561"/>
      <c r="AV273" s="561"/>
      <c r="AW273" s="561"/>
    </row>
    <row r="274" ht="15.75" customHeight="1">
      <c r="D274" s="124"/>
      <c r="G274" s="124"/>
      <c r="H274" s="124"/>
      <c r="I274" s="124"/>
      <c r="K274" s="124"/>
      <c r="N274" s="124"/>
      <c r="O274" s="561"/>
      <c r="P274" s="124"/>
      <c r="AC274" s="562"/>
      <c r="AD274" s="561"/>
      <c r="AE274" s="561"/>
      <c r="AF274" s="561"/>
      <c r="AG274" s="561"/>
      <c r="AH274" s="561"/>
      <c r="AI274" s="561"/>
      <c r="AJ274" s="561"/>
      <c r="AK274" s="561"/>
      <c r="AL274" s="561"/>
      <c r="AM274" s="561"/>
      <c r="AN274" s="561"/>
      <c r="AO274" s="561"/>
      <c r="AP274" s="561"/>
      <c r="AQ274" s="561"/>
      <c r="AR274" s="561"/>
      <c r="AS274" s="561"/>
      <c r="AT274" s="561"/>
      <c r="AU274" s="561"/>
      <c r="AV274" s="561"/>
      <c r="AW274" s="561"/>
    </row>
    <row r="275" ht="15.75" customHeight="1">
      <c r="D275" s="124"/>
      <c r="G275" s="124"/>
      <c r="H275" s="124"/>
      <c r="I275" s="124"/>
      <c r="K275" s="124"/>
      <c r="N275" s="124"/>
      <c r="O275" s="561"/>
      <c r="P275" s="124"/>
      <c r="AC275" s="562"/>
      <c r="AD275" s="561"/>
      <c r="AE275" s="561"/>
      <c r="AF275" s="561"/>
      <c r="AG275" s="561"/>
      <c r="AH275" s="561"/>
      <c r="AI275" s="561"/>
      <c r="AJ275" s="561"/>
      <c r="AK275" s="561"/>
      <c r="AL275" s="561"/>
      <c r="AM275" s="561"/>
      <c r="AN275" s="561"/>
      <c r="AO275" s="561"/>
      <c r="AP275" s="561"/>
      <c r="AQ275" s="561"/>
      <c r="AR275" s="561"/>
      <c r="AS275" s="561"/>
      <c r="AT275" s="561"/>
      <c r="AU275" s="561"/>
      <c r="AV275" s="561"/>
      <c r="AW275" s="561"/>
    </row>
    <row r="276" ht="15.75" customHeight="1">
      <c r="D276" s="124"/>
      <c r="G276" s="124"/>
      <c r="H276" s="124"/>
      <c r="I276" s="124"/>
      <c r="K276" s="124"/>
      <c r="N276" s="124"/>
      <c r="O276" s="561"/>
      <c r="P276" s="124"/>
      <c r="AC276" s="562"/>
      <c r="AD276" s="561"/>
      <c r="AE276" s="561"/>
      <c r="AF276" s="561"/>
      <c r="AG276" s="561"/>
      <c r="AH276" s="561"/>
      <c r="AI276" s="561"/>
      <c r="AJ276" s="561"/>
      <c r="AK276" s="561"/>
      <c r="AL276" s="561"/>
      <c r="AM276" s="561"/>
      <c r="AN276" s="561"/>
      <c r="AO276" s="561"/>
      <c r="AP276" s="561"/>
      <c r="AQ276" s="561"/>
      <c r="AR276" s="561"/>
      <c r="AS276" s="561"/>
      <c r="AT276" s="561"/>
      <c r="AU276" s="561"/>
      <c r="AV276" s="561"/>
      <c r="AW276" s="561"/>
    </row>
    <row r="277" ht="15.75" customHeight="1">
      <c r="D277" s="124"/>
      <c r="G277" s="124"/>
      <c r="H277" s="124"/>
      <c r="I277" s="124"/>
      <c r="K277" s="124"/>
      <c r="N277" s="124"/>
      <c r="O277" s="561"/>
      <c r="P277" s="124"/>
      <c r="AC277" s="562"/>
      <c r="AD277" s="561"/>
      <c r="AE277" s="561"/>
      <c r="AF277" s="561"/>
      <c r="AG277" s="561"/>
      <c r="AH277" s="561"/>
      <c r="AI277" s="561"/>
      <c r="AJ277" s="561"/>
      <c r="AK277" s="561"/>
      <c r="AL277" s="561"/>
      <c r="AM277" s="561"/>
      <c r="AN277" s="561"/>
      <c r="AO277" s="561"/>
      <c r="AP277" s="561"/>
      <c r="AQ277" s="561"/>
      <c r="AR277" s="561"/>
      <c r="AS277" s="561"/>
      <c r="AT277" s="561"/>
      <c r="AU277" s="561"/>
      <c r="AV277" s="561"/>
      <c r="AW277" s="561"/>
    </row>
    <row r="278" ht="15.75" customHeight="1">
      <c r="D278" s="124"/>
      <c r="G278" s="124"/>
      <c r="H278" s="124"/>
      <c r="I278" s="124"/>
      <c r="K278" s="124"/>
      <c r="N278" s="124"/>
      <c r="O278" s="561"/>
      <c r="P278" s="124"/>
      <c r="AC278" s="562"/>
      <c r="AD278" s="561"/>
      <c r="AE278" s="561"/>
      <c r="AF278" s="561"/>
      <c r="AG278" s="561"/>
      <c r="AH278" s="561"/>
      <c r="AI278" s="561"/>
      <c r="AJ278" s="561"/>
      <c r="AK278" s="561"/>
      <c r="AL278" s="561"/>
      <c r="AM278" s="561"/>
      <c r="AN278" s="561"/>
      <c r="AO278" s="561"/>
      <c r="AP278" s="561"/>
      <c r="AQ278" s="561"/>
      <c r="AR278" s="561"/>
      <c r="AS278" s="561"/>
      <c r="AT278" s="561"/>
      <c r="AU278" s="561"/>
      <c r="AV278" s="561"/>
      <c r="AW278" s="561"/>
    </row>
    <row r="279" ht="15.75" customHeight="1">
      <c r="D279" s="124"/>
      <c r="G279" s="124"/>
      <c r="H279" s="124"/>
      <c r="I279" s="124"/>
      <c r="K279" s="124"/>
      <c r="N279" s="124"/>
      <c r="O279" s="561"/>
      <c r="P279" s="124"/>
      <c r="AC279" s="562"/>
      <c r="AD279" s="561"/>
      <c r="AE279" s="561"/>
      <c r="AF279" s="561"/>
      <c r="AG279" s="561"/>
      <c r="AH279" s="561"/>
      <c r="AI279" s="561"/>
      <c r="AJ279" s="561"/>
      <c r="AK279" s="561"/>
      <c r="AL279" s="561"/>
      <c r="AM279" s="561"/>
      <c r="AN279" s="561"/>
      <c r="AO279" s="561"/>
      <c r="AP279" s="561"/>
      <c r="AQ279" s="561"/>
      <c r="AR279" s="561"/>
      <c r="AS279" s="561"/>
      <c r="AT279" s="561"/>
      <c r="AU279" s="561"/>
      <c r="AV279" s="561"/>
      <c r="AW279" s="561"/>
    </row>
    <row r="280" ht="15.75" customHeight="1">
      <c r="D280" s="124"/>
      <c r="G280" s="124"/>
      <c r="H280" s="124"/>
      <c r="I280" s="124"/>
      <c r="K280" s="124"/>
      <c r="N280" s="124"/>
      <c r="O280" s="561"/>
      <c r="P280" s="124"/>
      <c r="AC280" s="562"/>
      <c r="AD280" s="561"/>
      <c r="AE280" s="561"/>
      <c r="AF280" s="561"/>
      <c r="AG280" s="561"/>
      <c r="AH280" s="561"/>
      <c r="AI280" s="561"/>
      <c r="AJ280" s="561"/>
      <c r="AK280" s="561"/>
      <c r="AL280" s="561"/>
      <c r="AM280" s="561"/>
      <c r="AN280" s="561"/>
      <c r="AO280" s="561"/>
      <c r="AP280" s="561"/>
      <c r="AQ280" s="561"/>
      <c r="AR280" s="561"/>
      <c r="AS280" s="561"/>
      <c r="AT280" s="561"/>
      <c r="AU280" s="561"/>
      <c r="AV280" s="561"/>
      <c r="AW280" s="561"/>
    </row>
    <row r="281" ht="15.75" customHeight="1">
      <c r="D281" s="124"/>
      <c r="G281" s="124"/>
      <c r="H281" s="124"/>
      <c r="I281" s="124"/>
      <c r="K281" s="124"/>
      <c r="N281" s="124"/>
      <c r="O281" s="561"/>
      <c r="P281" s="124"/>
      <c r="AC281" s="562"/>
      <c r="AD281" s="561"/>
      <c r="AE281" s="561"/>
      <c r="AF281" s="561"/>
      <c r="AG281" s="561"/>
      <c r="AH281" s="561"/>
      <c r="AI281" s="561"/>
      <c r="AJ281" s="561"/>
      <c r="AK281" s="561"/>
      <c r="AL281" s="561"/>
      <c r="AM281" s="561"/>
      <c r="AN281" s="561"/>
      <c r="AO281" s="561"/>
      <c r="AP281" s="561"/>
      <c r="AQ281" s="561"/>
      <c r="AR281" s="561"/>
      <c r="AS281" s="561"/>
      <c r="AT281" s="561"/>
      <c r="AU281" s="561"/>
      <c r="AV281" s="561"/>
      <c r="AW281" s="561"/>
    </row>
    <row r="282" ht="15.75" customHeight="1">
      <c r="D282" s="124"/>
      <c r="G282" s="124"/>
      <c r="H282" s="124"/>
      <c r="I282" s="124"/>
      <c r="K282" s="124"/>
      <c r="N282" s="124"/>
      <c r="O282" s="561"/>
      <c r="P282" s="124"/>
      <c r="AC282" s="562"/>
      <c r="AD282" s="561"/>
      <c r="AE282" s="561"/>
      <c r="AF282" s="561"/>
      <c r="AG282" s="561"/>
      <c r="AH282" s="561"/>
      <c r="AI282" s="561"/>
      <c r="AJ282" s="561"/>
      <c r="AK282" s="561"/>
      <c r="AL282" s="561"/>
      <c r="AM282" s="561"/>
      <c r="AN282" s="561"/>
      <c r="AO282" s="561"/>
      <c r="AP282" s="561"/>
      <c r="AQ282" s="561"/>
      <c r="AR282" s="561"/>
      <c r="AS282" s="561"/>
      <c r="AT282" s="561"/>
      <c r="AU282" s="561"/>
      <c r="AV282" s="561"/>
      <c r="AW282" s="561"/>
    </row>
    <row r="283" ht="15.75" customHeight="1">
      <c r="D283" s="124"/>
      <c r="G283" s="124"/>
      <c r="H283" s="124"/>
      <c r="I283" s="124"/>
      <c r="K283" s="124"/>
      <c r="N283" s="124"/>
      <c r="O283" s="561"/>
      <c r="P283" s="124"/>
      <c r="AC283" s="562"/>
      <c r="AD283" s="561"/>
      <c r="AE283" s="561"/>
      <c r="AF283" s="561"/>
      <c r="AG283" s="561"/>
      <c r="AH283" s="561"/>
      <c r="AI283" s="561"/>
      <c r="AJ283" s="561"/>
      <c r="AK283" s="561"/>
      <c r="AL283" s="561"/>
      <c r="AM283" s="561"/>
      <c r="AN283" s="561"/>
      <c r="AO283" s="561"/>
      <c r="AP283" s="561"/>
      <c r="AQ283" s="561"/>
      <c r="AR283" s="561"/>
      <c r="AS283" s="561"/>
      <c r="AT283" s="561"/>
      <c r="AU283" s="561"/>
      <c r="AV283" s="561"/>
      <c r="AW283" s="561"/>
    </row>
    <row r="284" ht="15.75" customHeight="1">
      <c r="D284" s="124"/>
      <c r="G284" s="124"/>
      <c r="H284" s="124"/>
      <c r="I284" s="124"/>
      <c r="K284" s="124"/>
      <c r="N284" s="124"/>
      <c r="O284" s="561"/>
      <c r="P284" s="124"/>
      <c r="AC284" s="562"/>
      <c r="AD284" s="561"/>
      <c r="AE284" s="561"/>
      <c r="AF284" s="561"/>
      <c r="AG284" s="561"/>
      <c r="AH284" s="561"/>
      <c r="AI284" s="561"/>
      <c r="AJ284" s="561"/>
      <c r="AK284" s="561"/>
      <c r="AL284" s="561"/>
      <c r="AM284" s="561"/>
      <c r="AN284" s="561"/>
      <c r="AO284" s="561"/>
      <c r="AP284" s="561"/>
      <c r="AQ284" s="561"/>
      <c r="AR284" s="561"/>
      <c r="AS284" s="561"/>
      <c r="AT284" s="561"/>
      <c r="AU284" s="561"/>
      <c r="AV284" s="561"/>
      <c r="AW284" s="561"/>
    </row>
    <row r="285" ht="15.75" customHeight="1">
      <c r="D285" s="124"/>
      <c r="G285" s="124"/>
      <c r="H285" s="124"/>
      <c r="I285" s="124"/>
      <c r="K285" s="124"/>
      <c r="N285" s="124"/>
      <c r="O285" s="561"/>
      <c r="P285" s="124"/>
      <c r="AC285" s="562"/>
      <c r="AD285" s="561"/>
      <c r="AE285" s="561"/>
      <c r="AF285" s="561"/>
      <c r="AG285" s="561"/>
      <c r="AH285" s="561"/>
      <c r="AI285" s="561"/>
      <c r="AJ285" s="561"/>
      <c r="AK285" s="561"/>
      <c r="AL285" s="561"/>
      <c r="AM285" s="561"/>
      <c r="AN285" s="561"/>
      <c r="AO285" s="561"/>
      <c r="AP285" s="561"/>
      <c r="AQ285" s="561"/>
      <c r="AR285" s="561"/>
      <c r="AS285" s="561"/>
      <c r="AT285" s="561"/>
      <c r="AU285" s="561"/>
      <c r="AV285" s="561"/>
      <c r="AW285" s="561"/>
    </row>
    <row r="286" ht="15.75" customHeight="1">
      <c r="D286" s="124"/>
      <c r="G286" s="124"/>
      <c r="H286" s="124"/>
      <c r="I286" s="124"/>
      <c r="K286" s="124"/>
      <c r="N286" s="124"/>
      <c r="O286" s="561"/>
      <c r="P286" s="124"/>
      <c r="AC286" s="562"/>
      <c r="AD286" s="561"/>
      <c r="AE286" s="561"/>
      <c r="AF286" s="561"/>
      <c r="AG286" s="561"/>
      <c r="AH286" s="561"/>
      <c r="AI286" s="561"/>
      <c r="AJ286" s="561"/>
      <c r="AK286" s="561"/>
      <c r="AL286" s="561"/>
      <c r="AM286" s="561"/>
      <c r="AN286" s="561"/>
      <c r="AO286" s="561"/>
      <c r="AP286" s="561"/>
      <c r="AQ286" s="561"/>
      <c r="AR286" s="561"/>
      <c r="AS286" s="561"/>
      <c r="AT286" s="561"/>
      <c r="AU286" s="561"/>
      <c r="AV286" s="561"/>
      <c r="AW286" s="561"/>
    </row>
    <row r="287" ht="15.75" customHeight="1">
      <c r="D287" s="124"/>
      <c r="G287" s="124"/>
      <c r="H287" s="124"/>
      <c r="I287" s="124"/>
      <c r="K287" s="124"/>
      <c r="N287" s="124"/>
      <c r="O287" s="561"/>
      <c r="P287" s="124"/>
      <c r="AC287" s="562"/>
      <c r="AD287" s="561"/>
      <c r="AE287" s="561"/>
      <c r="AF287" s="561"/>
      <c r="AG287" s="561"/>
      <c r="AH287" s="561"/>
      <c r="AI287" s="561"/>
      <c r="AJ287" s="561"/>
      <c r="AK287" s="561"/>
      <c r="AL287" s="561"/>
      <c r="AM287" s="561"/>
      <c r="AN287" s="561"/>
      <c r="AO287" s="561"/>
      <c r="AP287" s="561"/>
      <c r="AQ287" s="561"/>
      <c r="AR287" s="561"/>
      <c r="AS287" s="561"/>
      <c r="AT287" s="561"/>
      <c r="AU287" s="561"/>
      <c r="AV287" s="561"/>
      <c r="AW287" s="561"/>
    </row>
    <row r="288" ht="15.75" customHeight="1">
      <c r="D288" s="124"/>
      <c r="G288" s="124"/>
      <c r="H288" s="124"/>
      <c r="I288" s="124"/>
      <c r="K288" s="124"/>
      <c r="N288" s="124"/>
      <c r="O288" s="561"/>
      <c r="P288" s="124"/>
      <c r="AC288" s="562"/>
      <c r="AD288" s="561"/>
      <c r="AE288" s="561"/>
      <c r="AF288" s="561"/>
      <c r="AG288" s="561"/>
      <c r="AH288" s="561"/>
      <c r="AI288" s="561"/>
      <c r="AJ288" s="561"/>
      <c r="AK288" s="561"/>
      <c r="AL288" s="561"/>
      <c r="AM288" s="561"/>
      <c r="AN288" s="561"/>
      <c r="AO288" s="561"/>
      <c r="AP288" s="561"/>
      <c r="AQ288" s="561"/>
      <c r="AR288" s="561"/>
      <c r="AS288" s="561"/>
      <c r="AT288" s="561"/>
      <c r="AU288" s="561"/>
      <c r="AV288" s="561"/>
      <c r="AW288" s="561"/>
    </row>
    <row r="289" ht="15.75" customHeight="1">
      <c r="D289" s="124"/>
      <c r="G289" s="124"/>
      <c r="H289" s="124"/>
      <c r="I289" s="124"/>
      <c r="K289" s="124"/>
      <c r="N289" s="124"/>
      <c r="O289" s="561"/>
      <c r="P289" s="124"/>
      <c r="AC289" s="562"/>
      <c r="AD289" s="561"/>
      <c r="AE289" s="561"/>
      <c r="AF289" s="561"/>
      <c r="AG289" s="561"/>
      <c r="AH289" s="561"/>
      <c r="AI289" s="561"/>
      <c r="AJ289" s="561"/>
      <c r="AK289" s="561"/>
      <c r="AL289" s="561"/>
      <c r="AM289" s="561"/>
      <c r="AN289" s="561"/>
      <c r="AO289" s="561"/>
      <c r="AP289" s="561"/>
      <c r="AQ289" s="561"/>
      <c r="AR289" s="561"/>
      <c r="AS289" s="561"/>
      <c r="AT289" s="561"/>
      <c r="AU289" s="561"/>
      <c r="AV289" s="561"/>
      <c r="AW289" s="561"/>
    </row>
    <row r="290" ht="15.75" customHeight="1">
      <c r="D290" s="124"/>
      <c r="G290" s="124"/>
      <c r="H290" s="124"/>
      <c r="I290" s="124"/>
      <c r="K290" s="124"/>
      <c r="N290" s="124"/>
      <c r="O290" s="561"/>
      <c r="P290" s="124"/>
      <c r="AC290" s="562"/>
      <c r="AD290" s="561"/>
      <c r="AE290" s="561"/>
      <c r="AF290" s="561"/>
      <c r="AG290" s="561"/>
      <c r="AH290" s="561"/>
      <c r="AI290" s="561"/>
      <c r="AJ290" s="561"/>
      <c r="AK290" s="561"/>
      <c r="AL290" s="561"/>
      <c r="AM290" s="561"/>
      <c r="AN290" s="561"/>
      <c r="AO290" s="561"/>
      <c r="AP290" s="561"/>
      <c r="AQ290" s="561"/>
      <c r="AR290" s="561"/>
      <c r="AS290" s="561"/>
      <c r="AT290" s="561"/>
      <c r="AU290" s="561"/>
      <c r="AV290" s="561"/>
      <c r="AW290" s="561"/>
    </row>
    <row r="291" ht="15.75" customHeight="1">
      <c r="D291" s="124"/>
      <c r="G291" s="124"/>
      <c r="H291" s="124"/>
      <c r="I291" s="124"/>
      <c r="K291" s="124"/>
      <c r="N291" s="124"/>
      <c r="O291" s="561"/>
      <c r="P291" s="124"/>
      <c r="AC291" s="562"/>
      <c r="AD291" s="561"/>
      <c r="AE291" s="561"/>
      <c r="AF291" s="561"/>
      <c r="AG291" s="561"/>
      <c r="AH291" s="561"/>
      <c r="AI291" s="561"/>
      <c r="AJ291" s="561"/>
      <c r="AK291" s="561"/>
      <c r="AL291" s="561"/>
      <c r="AM291" s="561"/>
      <c r="AN291" s="561"/>
      <c r="AO291" s="561"/>
      <c r="AP291" s="561"/>
      <c r="AQ291" s="561"/>
      <c r="AR291" s="561"/>
      <c r="AS291" s="561"/>
      <c r="AT291" s="561"/>
      <c r="AU291" s="561"/>
      <c r="AV291" s="561"/>
      <c r="AW291" s="561"/>
    </row>
    <row r="292" ht="15.75" customHeight="1">
      <c r="D292" s="124"/>
      <c r="G292" s="124"/>
      <c r="H292" s="124"/>
      <c r="I292" s="124"/>
      <c r="K292" s="124"/>
      <c r="N292" s="124"/>
      <c r="O292" s="561"/>
      <c r="P292" s="124"/>
      <c r="AC292" s="562"/>
      <c r="AD292" s="561"/>
      <c r="AE292" s="561"/>
      <c r="AF292" s="561"/>
      <c r="AG292" s="561"/>
      <c r="AH292" s="561"/>
      <c r="AI292" s="561"/>
      <c r="AJ292" s="561"/>
      <c r="AK292" s="561"/>
      <c r="AL292" s="561"/>
      <c r="AM292" s="561"/>
      <c r="AN292" s="561"/>
      <c r="AO292" s="561"/>
      <c r="AP292" s="561"/>
      <c r="AQ292" s="561"/>
      <c r="AR292" s="561"/>
      <c r="AS292" s="561"/>
      <c r="AT292" s="561"/>
      <c r="AU292" s="561"/>
      <c r="AV292" s="561"/>
      <c r="AW292" s="561"/>
    </row>
    <row r="293" ht="15.75" customHeight="1">
      <c r="D293" s="124"/>
      <c r="G293" s="124"/>
      <c r="H293" s="124"/>
      <c r="I293" s="124"/>
      <c r="K293" s="124"/>
      <c r="N293" s="124"/>
      <c r="O293" s="561"/>
      <c r="P293" s="124"/>
      <c r="AC293" s="562"/>
      <c r="AD293" s="561"/>
      <c r="AE293" s="561"/>
      <c r="AF293" s="561"/>
      <c r="AG293" s="561"/>
      <c r="AH293" s="561"/>
      <c r="AI293" s="561"/>
      <c r="AJ293" s="561"/>
      <c r="AK293" s="561"/>
      <c r="AL293" s="561"/>
      <c r="AM293" s="561"/>
      <c r="AN293" s="561"/>
      <c r="AO293" s="561"/>
      <c r="AP293" s="561"/>
      <c r="AQ293" s="561"/>
      <c r="AR293" s="561"/>
      <c r="AS293" s="561"/>
      <c r="AT293" s="561"/>
      <c r="AU293" s="561"/>
      <c r="AV293" s="561"/>
      <c r="AW293" s="561"/>
    </row>
    <row r="294" ht="15.75" customHeight="1">
      <c r="D294" s="124"/>
      <c r="G294" s="124"/>
      <c r="H294" s="124"/>
      <c r="I294" s="124"/>
      <c r="K294" s="124"/>
      <c r="N294" s="124"/>
      <c r="O294" s="561"/>
      <c r="P294" s="124"/>
      <c r="AC294" s="562"/>
      <c r="AD294" s="561"/>
      <c r="AE294" s="561"/>
      <c r="AF294" s="561"/>
      <c r="AG294" s="561"/>
      <c r="AH294" s="561"/>
      <c r="AI294" s="561"/>
      <c r="AJ294" s="561"/>
      <c r="AK294" s="561"/>
      <c r="AL294" s="561"/>
      <c r="AM294" s="561"/>
      <c r="AN294" s="561"/>
      <c r="AO294" s="561"/>
      <c r="AP294" s="561"/>
      <c r="AQ294" s="561"/>
      <c r="AR294" s="561"/>
      <c r="AS294" s="561"/>
      <c r="AT294" s="561"/>
      <c r="AU294" s="561"/>
      <c r="AV294" s="561"/>
      <c r="AW294" s="561"/>
    </row>
    <row r="295" ht="15.75" customHeight="1">
      <c r="D295" s="124"/>
      <c r="G295" s="124"/>
      <c r="H295" s="124"/>
      <c r="I295" s="124"/>
      <c r="K295" s="124"/>
      <c r="N295" s="124"/>
      <c r="O295" s="561"/>
      <c r="P295" s="124"/>
      <c r="AC295" s="562"/>
      <c r="AD295" s="561"/>
      <c r="AE295" s="561"/>
      <c r="AF295" s="561"/>
      <c r="AG295" s="561"/>
      <c r="AH295" s="561"/>
      <c r="AI295" s="561"/>
      <c r="AJ295" s="561"/>
      <c r="AK295" s="561"/>
      <c r="AL295" s="561"/>
      <c r="AM295" s="561"/>
      <c r="AN295" s="561"/>
      <c r="AO295" s="561"/>
      <c r="AP295" s="561"/>
      <c r="AQ295" s="561"/>
      <c r="AR295" s="561"/>
      <c r="AS295" s="561"/>
      <c r="AT295" s="561"/>
      <c r="AU295" s="561"/>
      <c r="AV295" s="561"/>
      <c r="AW295" s="561"/>
    </row>
    <row r="296" ht="15.75" customHeight="1">
      <c r="D296" s="124"/>
      <c r="G296" s="124"/>
      <c r="H296" s="124"/>
      <c r="I296" s="124"/>
      <c r="K296" s="124"/>
      <c r="N296" s="124"/>
      <c r="O296" s="561"/>
      <c r="P296" s="124"/>
      <c r="AC296" s="562"/>
      <c r="AD296" s="561"/>
      <c r="AE296" s="561"/>
      <c r="AF296" s="561"/>
      <c r="AG296" s="561"/>
      <c r="AH296" s="561"/>
      <c r="AI296" s="561"/>
      <c r="AJ296" s="561"/>
      <c r="AK296" s="561"/>
      <c r="AL296" s="561"/>
      <c r="AM296" s="561"/>
      <c r="AN296" s="561"/>
      <c r="AO296" s="561"/>
      <c r="AP296" s="561"/>
      <c r="AQ296" s="561"/>
      <c r="AR296" s="561"/>
      <c r="AS296" s="561"/>
      <c r="AT296" s="561"/>
      <c r="AU296" s="561"/>
      <c r="AV296" s="561"/>
      <c r="AW296" s="561"/>
    </row>
    <row r="297" ht="15.75" customHeight="1">
      <c r="D297" s="124"/>
      <c r="G297" s="124"/>
      <c r="H297" s="124"/>
      <c r="I297" s="124"/>
      <c r="K297" s="124"/>
      <c r="N297" s="124"/>
      <c r="O297" s="561"/>
      <c r="P297" s="124"/>
      <c r="AC297" s="562"/>
      <c r="AD297" s="561"/>
      <c r="AE297" s="561"/>
      <c r="AF297" s="561"/>
      <c r="AG297" s="561"/>
      <c r="AH297" s="561"/>
      <c r="AI297" s="561"/>
      <c r="AJ297" s="561"/>
      <c r="AK297" s="561"/>
      <c r="AL297" s="561"/>
      <c r="AM297" s="561"/>
      <c r="AN297" s="561"/>
      <c r="AO297" s="561"/>
      <c r="AP297" s="561"/>
      <c r="AQ297" s="561"/>
      <c r="AR297" s="561"/>
      <c r="AS297" s="561"/>
      <c r="AT297" s="561"/>
      <c r="AU297" s="561"/>
      <c r="AV297" s="561"/>
      <c r="AW297" s="561"/>
    </row>
    <row r="298" ht="15.75" customHeight="1">
      <c r="D298" s="124"/>
      <c r="G298" s="124"/>
      <c r="H298" s="124"/>
      <c r="I298" s="124"/>
      <c r="K298" s="124"/>
      <c r="N298" s="124"/>
      <c r="O298" s="561"/>
      <c r="P298" s="124"/>
      <c r="AC298" s="562"/>
      <c r="AD298" s="561"/>
      <c r="AE298" s="561"/>
      <c r="AF298" s="561"/>
      <c r="AG298" s="561"/>
      <c r="AH298" s="561"/>
      <c r="AI298" s="561"/>
      <c r="AJ298" s="561"/>
      <c r="AK298" s="561"/>
      <c r="AL298" s="561"/>
      <c r="AM298" s="561"/>
      <c r="AN298" s="561"/>
      <c r="AO298" s="561"/>
      <c r="AP298" s="561"/>
      <c r="AQ298" s="561"/>
      <c r="AR298" s="561"/>
      <c r="AS298" s="561"/>
      <c r="AT298" s="561"/>
      <c r="AU298" s="561"/>
      <c r="AV298" s="561"/>
      <c r="AW298" s="561"/>
    </row>
    <row r="299" ht="15.75" customHeight="1">
      <c r="D299" s="124"/>
      <c r="G299" s="124"/>
      <c r="H299" s="124"/>
      <c r="I299" s="124"/>
      <c r="K299" s="124"/>
      <c r="N299" s="124"/>
      <c r="O299" s="561"/>
      <c r="P299" s="124"/>
      <c r="AC299" s="562"/>
      <c r="AD299" s="561"/>
      <c r="AE299" s="561"/>
      <c r="AF299" s="561"/>
      <c r="AG299" s="561"/>
      <c r="AH299" s="561"/>
      <c r="AI299" s="561"/>
      <c r="AJ299" s="561"/>
      <c r="AK299" s="561"/>
      <c r="AL299" s="561"/>
      <c r="AM299" s="561"/>
      <c r="AN299" s="561"/>
      <c r="AO299" s="561"/>
      <c r="AP299" s="561"/>
      <c r="AQ299" s="561"/>
      <c r="AR299" s="561"/>
      <c r="AS299" s="561"/>
      <c r="AT299" s="561"/>
      <c r="AU299" s="561"/>
      <c r="AV299" s="561"/>
      <c r="AW299" s="561"/>
    </row>
    <row r="300" ht="15.75" customHeight="1">
      <c r="D300" s="124"/>
      <c r="G300" s="124"/>
      <c r="H300" s="124"/>
      <c r="I300" s="124"/>
      <c r="K300" s="124"/>
      <c r="N300" s="124"/>
      <c r="O300" s="561"/>
      <c r="P300" s="124"/>
      <c r="AC300" s="562"/>
      <c r="AD300" s="561"/>
      <c r="AE300" s="561"/>
      <c r="AF300" s="561"/>
      <c r="AG300" s="561"/>
      <c r="AH300" s="561"/>
      <c r="AI300" s="561"/>
      <c r="AJ300" s="561"/>
      <c r="AK300" s="561"/>
      <c r="AL300" s="561"/>
      <c r="AM300" s="561"/>
      <c r="AN300" s="561"/>
      <c r="AO300" s="561"/>
      <c r="AP300" s="561"/>
      <c r="AQ300" s="561"/>
      <c r="AR300" s="561"/>
      <c r="AS300" s="561"/>
      <c r="AT300" s="561"/>
      <c r="AU300" s="561"/>
      <c r="AV300" s="561"/>
      <c r="AW300" s="561"/>
    </row>
    <row r="301" ht="15.75" customHeight="1">
      <c r="D301" s="124"/>
      <c r="G301" s="124"/>
      <c r="H301" s="124"/>
      <c r="I301" s="124"/>
      <c r="K301" s="124"/>
      <c r="N301" s="124"/>
      <c r="O301" s="561"/>
      <c r="P301" s="124"/>
      <c r="AC301" s="562"/>
      <c r="AD301" s="561"/>
      <c r="AE301" s="561"/>
      <c r="AF301" s="561"/>
      <c r="AG301" s="561"/>
      <c r="AH301" s="561"/>
      <c r="AI301" s="561"/>
      <c r="AJ301" s="561"/>
      <c r="AK301" s="561"/>
      <c r="AL301" s="561"/>
      <c r="AM301" s="561"/>
      <c r="AN301" s="561"/>
      <c r="AO301" s="561"/>
      <c r="AP301" s="561"/>
      <c r="AQ301" s="561"/>
      <c r="AR301" s="561"/>
      <c r="AS301" s="561"/>
      <c r="AT301" s="561"/>
      <c r="AU301" s="561"/>
      <c r="AV301" s="561"/>
      <c r="AW301" s="561"/>
    </row>
    <row r="302" ht="15.75" customHeight="1">
      <c r="D302" s="124"/>
      <c r="G302" s="124"/>
      <c r="H302" s="124"/>
      <c r="I302" s="124"/>
      <c r="K302" s="124"/>
      <c r="N302" s="124"/>
      <c r="O302" s="561"/>
      <c r="P302" s="124"/>
      <c r="AC302" s="562"/>
      <c r="AD302" s="561"/>
      <c r="AE302" s="561"/>
      <c r="AF302" s="561"/>
      <c r="AG302" s="561"/>
      <c r="AH302" s="561"/>
      <c r="AI302" s="561"/>
      <c r="AJ302" s="561"/>
      <c r="AK302" s="561"/>
      <c r="AL302" s="561"/>
      <c r="AM302" s="561"/>
      <c r="AN302" s="561"/>
      <c r="AO302" s="561"/>
      <c r="AP302" s="561"/>
      <c r="AQ302" s="561"/>
      <c r="AR302" s="561"/>
      <c r="AS302" s="561"/>
      <c r="AT302" s="561"/>
      <c r="AU302" s="561"/>
      <c r="AV302" s="561"/>
      <c r="AW302" s="561"/>
    </row>
    <row r="303" ht="15.75" customHeight="1">
      <c r="D303" s="124"/>
      <c r="G303" s="124"/>
      <c r="H303" s="124"/>
      <c r="I303" s="124"/>
      <c r="K303" s="124"/>
      <c r="N303" s="124"/>
      <c r="O303" s="561"/>
      <c r="P303" s="124"/>
      <c r="AC303" s="562"/>
      <c r="AD303" s="561"/>
      <c r="AE303" s="561"/>
      <c r="AF303" s="561"/>
      <c r="AG303" s="561"/>
      <c r="AH303" s="561"/>
      <c r="AI303" s="561"/>
      <c r="AJ303" s="561"/>
      <c r="AK303" s="561"/>
      <c r="AL303" s="561"/>
      <c r="AM303" s="561"/>
      <c r="AN303" s="561"/>
      <c r="AO303" s="561"/>
      <c r="AP303" s="561"/>
      <c r="AQ303" s="561"/>
      <c r="AR303" s="561"/>
      <c r="AS303" s="561"/>
      <c r="AT303" s="561"/>
      <c r="AU303" s="561"/>
      <c r="AV303" s="561"/>
      <c r="AW303" s="561"/>
    </row>
    <row r="304" ht="15.75" customHeight="1">
      <c r="D304" s="124"/>
      <c r="G304" s="124"/>
      <c r="H304" s="124"/>
      <c r="I304" s="124"/>
      <c r="K304" s="124"/>
      <c r="N304" s="124"/>
      <c r="O304" s="561"/>
      <c r="P304" s="124"/>
      <c r="AC304" s="562"/>
      <c r="AD304" s="561"/>
      <c r="AE304" s="561"/>
      <c r="AF304" s="561"/>
      <c r="AG304" s="561"/>
      <c r="AH304" s="561"/>
      <c r="AI304" s="561"/>
      <c r="AJ304" s="561"/>
      <c r="AK304" s="561"/>
      <c r="AL304" s="561"/>
      <c r="AM304" s="561"/>
      <c r="AN304" s="561"/>
      <c r="AO304" s="561"/>
      <c r="AP304" s="561"/>
      <c r="AQ304" s="561"/>
      <c r="AR304" s="561"/>
      <c r="AS304" s="561"/>
      <c r="AT304" s="561"/>
      <c r="AU304" s="561"/>
      <c r="AV304" s="561"/>
      <c r="AW304" s="561"/>
    </row>
    <row r="305" ht="15.75" customHeight="1">
      <c r="D305" s="124"/>
      <c r="G305" s="124"/>
      <c r="H305" s="124"/>
      <c r="I305" s="124"/>
      <c r="K305" s="124"/>
      <c r="N305" s="124"/>
      <c r="O305" s="561"/>
      <c r="P305" s="124"/>
      <c r="AC305" s="562"/>
      <c r="AD305" s="561"/>
      <c r="AE305" s="561"/>
      <c r="AF305" s="561"/>
      <c r="AG305" s="561"/>
      <c r="AH305" s="561"/>
      <c r="AI305" s="561"/>
      <c r="AJ305" s="561"/>
      <c r="AK305" s="561"/>
      <c r="AL305" s="561"/>
      <c r="AM305" s="561"/>
      <c r="AN305" s="561"/>
      <c r="AO305" s="561"/>
      <c r="AP305" s="561"/>
      <c r="AQ305" s="561"/>
      <c r="AR305" s="561"/>
      <c r="AS305" s="561"/>
      <c r="AT305" s="561"/>
      <c r="AU305" s="561"/>
      <c r="AV305" s="561"/>
      <c r="AW305" s="561"/>
    </row>
    <row r="306" ht="15.75" customHeight="1">
      <c r="D306" s="124"/>
      <c r="G306" s="124"/>
      <c r="H306" s="124"/>
      <c r="I306" s="124"/>
      <c r="K306" s="124"/>
      <c r="N306" s="124"/>
      <c r="O306" s="561"/>
      <c r="P306" s="124"/>
      <c r="AC306" s="562"/>
      <c r="AD306" s="561"/>
      <c r="AE306" s="561"/>
      <c r="AF306" s="561"/>
      <c r="AG306" s="561"/>
      <c r="AH306" s="561"/>
      <c r="AI306" s="561"/>
      <c r="AJ306" s="561"/>
      <c r="AK306" s="561"/>
      <c r="AL306" s="561"/>
      <c r="AM306" s="561"/>
      <c r="AN306" s="561"/>
      <c r="AO306" s="561"/>
      <c r="AP306" s="561"/>
      <c r="AQ306" s="561"/>
      <c r="AR306" s="561"/>
      <c r="AS306" s="561"/>
      <c r="AT306" s="561"/>
      <c r="AU306" s="561"/>
      <c r="AV306" s="561"/>
      <c r="AW306" s="561"/>
    </row>
    <row r="307" ht="15.75" customHeight="1">
      <c r="D307" s="124"/>
      <c r="G307" s="124"/>
      <c r="H307" s="124"/>
      <c r="I307" s="124"/>
      <c r="K307" s="124"/>
      <c r="N307" s="124"/>
      <c r="O307" s="561"/>
      <c r="P307" s="124"/>
      <c r="AC307" s="562"/>
      <c r="AD307" s="561"/>
      <c r="AE307" s="561"/>
      <c r="AF307" s="561"/>
      <c r="AG307" s="561"/>
      <c r="AH307" s="561"/>
      <c r="AI307" s="561"/>
      <c r="AJ307" s="561"/>
      <c r="AK307" s="561"/>
      <c r="AL307" s="561"/>
      <c r="AM307" s="561"/>
      <c r="AN307" s="561"/>
      <c r="AO307" s="561"/>
      <c r="AP307" s="561"/>
      <c r="AQ307" s="561"/>
      <c r="AR307" s="561"/>
      <c r="AS307" s="561"/>
      <c r="AT307" s="561"/>
      <c r="AU307" s="561"/>
      <c r="AV307" s="561"/>
      <c r="AW307" s="561"/>
    </row>
    <row r="308" ht="15.75" customHeight="1">
      <c r="D308" s="124"/>
      <c r="G308" s="124"/>
      <c r="H308" s="124"/>
      <c r="I308" s="124"/>
      <c r="K308" s="124"/>
      <c r="N308" s="124"/>
      <c r="O308" s="561"/>
      <c r="P308" s="124"/>
      <c r="AC308" s="562"/>
      <c r="AD308" s="561"/>
      <c r="AE308" s="561"/>
      <c r="AF308" s="561"/>
      <c r="AG308" s="561"/>
      <c r="AH308" s="561"/>
      <c r="AI308" s="561"/>
      <c r="AJ308" s="561"/>
      <c r="AK308" s="561"/>
      <c r="AL308" s="561"/>
      <c r="AM308" s="561"/>
      <c r="AN308" s="561"/>
      <c r="AO308" s="561"/>
      <c r="AP308" s="561"/>
      <c r="AQ308" s="561"/>
      <c r="AR308" s="561"/>
      <c r="AS308" s="561"/>
      <c r="AT308" s="561"/>
      <c r="AU308" s="561"/>
      <c r="AV308" s="561"/>
      <c r="AW308" s="561"/>
    </row>
    <row r="309" ht="15.75" customHeight="1">
      <c r="D309" s="124"/>
      <c r="G309" s="124"/>
      <c r="H309" s="124"/>
      <c r="I309" s="124"/>
      <c r="K309" s="124"/>
      <c r="N309" s="124"/>
      <c r="O309" s="561"/>
      <c r="P309" s="124"/>
      <c r="AC309" s="562"/>
      <c r="AD309" s="561"/>
      <c r="AE309" s="561"/>
      <c r="AF309" s="561"/>
      <c r="AG309" s="561"/>
      <c r="AH309" s="561"/>
      <c r="AI309" s="561"/>
      <c r="AJ309" s="561"/>
      <c r="AK309" s="561"/>
      <c r="AL309" s="561"/>
      <c r="AM309" s="561"/>
      <c r="AN309" s="561"/>
      <c r="AO309" s="561"/>
      <c r="AP309" s="561"/>
      <c r="AQ309" s="561"/>
      <c r="AR309" s="561"/>
      <c r="AS309" s="561"/>
      <c r="AT309" s="561"/>
      <c r="AU309" s="561"/>
      <c r="AV309" s="561"/>
      <c r="AW309" s="561"/>
    </row>
    <row r="310" ht="15.75" customHeight="1">
      <c r="D310" s="124"/>
      <c r="G310" s="124"/>
      <c r="H310" s="124"/>
      <c r="I310" s="124"/>
      <c r="K310" s="124"/>
      <c r="N310" s="124"/>
      <c r="O310" s="561"/>
      <c r="P310" s="124"/>
      <c r="AC310" s="562"/>
      <c r="AD310" s="561"/>
      <c r="AE310" s="561"/>
      <c r="AF310" s="561"/>
      <c r="AG310" s="561"/>
      <c r="AH310" s="561"/>
      <c r="AI310" s="561"/>
      <c r="AJ310" s="561"/>
      <c r="AK310" s="561"/>
      <c r="AL310" s="561"/>
      <c r="AM310" s="561"/>
      <c r="AN310" s="561"/>
      <c r="AO310" s="561"/>
      <c r="AP310" s="561"/>
      <c r="AQ310" s="561"/>
      <c r="AR310" s="561"/>
      <c r="AS310" s="561"/>
      <c r="AT310" s="561"/>
      <c r="AU310" s="561"/>
      <c r="AV310" s="561"/>
      <c r="AW310" s="561"/>
    </row>
    <row r="311" ht="15.75" customHeight="1">
      <c r="D311" s="124"/>
      <c r="G311" s="124"/>
      <c r="H311" s="124"/>
      <c r="I311" s="124"/>
      <c r="K311" s="124"/>
      <c r="N311" s="124"/>
      <c r="O311" s="561"/>
      <c r="P311" s="124"/>
      <c r="AC311" s="562"/>
      <c r="AD311" s="561"/>
      <c r="AE311" s="561"/>
      <c r="AF311" s="561"/>
      <c r="AG311" s="561"/>
      <c r="AH311" s="561"/>
      <c r="AI311" s="561"/>
      <c r="AJ311" s="561"/>
      <c r="AK311" s="561"/>
      <c r="AL311" s="561"/>
      <c r="AM311" s="561"/>
      <c r="AN311" s="561"/>
      <c r="AO311" s="561"/>
      <c r="AP311" s="561"/>
      <c r="AQ311" s="561"/>
      <c r="AR311" s="561"/>
      <c r="AS311" s="561"/>
      <c r="AT311" s="561"/>
      <c r="AU311" s="561"/>
      <c r="AV311" s="561"/>
      <c r="AW311" s="561"/>
    </row>
    <row r="312" ht="15.75" customHeight="1">
      <c r="D312" s="124"/>
      <c r="G312" s="124"/>
      <c r="H312" s="124"/>
      <c r="I312" s="124"/>
      <c r="K312" s="124"/>
      <c r="N312" s="124"/>
      <c r="O312" s="561"/>
      <c r="P312" s="124"/>
      <c r="AC312" s="562"/>
      <c r="AD312" s="561"/>
      <c r="AE312" s="561"/>
      <c r="AF312" s="561"/>
      <c r="AG312" s="561"/>
      <c r="AH312" s="561"/>
      <c r="AI312" s="561"/>
      <c r="AJ312" s="561"/>
      <c r="AK312" s="561"/>
      <c r="AL312" s="561"/>
      <c r="AM312" s="561"/>
      <c r="AN312" s="561"/>
      <c r="AO312" s="561"/>
      <c r="AP312" s="561"/>
      <c r="AQ312" s="561"/>
      <c r="AR312" s="561"/>
      <c r="AS312" s="561"/>
      <c r="AT312" s="561"/>
      <c r="AU312" s="561"/>
      <c r="AV312" s="561"/>
      <c r="AW312" s="561"/>
    </row>
    <row r="313" ht="15.75" customHeight="1">
      <c r="D313" s="124"/>
      <c r="G313" s="124"/>
      <c r="H313" s="124"/>
      <c r="I313" s="124"/>
      <c r="K313" s="124"/>
      <c r="N313" s="124"/>
      <c r="O313" s="561"/>
      <c r="P313" s="124"/>
      <c r="AC313" s="562"/>
      <c r="AD313" s="561"/>
      <c r="AE313" s="561"/>
      <c r="AF313" s="561"/>
      <c r="AG313" s="561"/>
      <c r="AH313" s="561"/>
      <c r="AI313" s="561"/>
      <c r="AJ313" s="561"/>
      <c r="AK313" s="561"/>
      <c r="AL313" s="561"/>
      <c r="AM313" s="561"/>
      <c r="AN313" s="561"/>
      <c r="AO313" s="561"/>
      <c r="AP313" s="561"/>
      <c r="AQ313" s="561"/>
      <c r="AR313" s="561"/>
      <c r="AS313" s="561"/>
      <c r="AT313" s="561"/>
      <c r="AU313" s="561"/>
      <c r="AV313" s="561"/>
      <c r="AW313" s="561"/>
    </row>
    <row r="314" ht="15.75" customHeight="1">
      <c r="D314" s="124"/>
      <c r="G314" s="124"/>
      <c r="H314" s="124"/>
      <c r="I314" s="124"/>
      <c r="K314" s="124"/>
      <c r="N314" s="124"/>
      <c r="O314" s="561"/>
      <c r="P314" s="124"/>
      <c r="AC314" s="562"/>
      <c r="AD314" s="561"/>
      <c r="AE314" s="561"/>
      <c r="AF314" s="561"/>
      <c r="AG314" s="561"/>
      <c r="AH314" s="561"/>
      <c r="AI314" s="561"/>
      <c r="AJ314" s="561"/>
      <c r="AK314" s="561"/>
      <c r="AL314" s="561"/>
      <c r="AM314" s="561"/>
      <c r="AN314" s="561"/>
      <c r="AO314" s="561"/>
      <c r="AP314" s="561"/>
      <c r="AQ314" s="561"/>
      <c r="AR314" s="561"/>
      <c r="AS314" s="561"/>
      <c r="AT314" s="561"/>
      <c r="AU314" s="561"/>
      <c r="AV314" s="561"/>
      <c r="AW314" s="561"/>
    </row>
    <row r="315" ht="15.75" customHeight="1">
      <c r="D315" s="124"/>
      <c r="G315" s="124"/>
      <c r="H315" s="124"/>
      <c r="I315" s="124"/>
      <c r="K315" s="124"/>
      <c r="N315" s="124"/>
      <c r="O315" s="561"/>
      <c r="P315" s="124"/>
      <c r="AC315" s="562"/>
      <c r="AD315" s="561"/>
      <c r="AE315" s="561"/>
      <c r="AF315" s="561"/>
      <c r="AG315" s="561"/>
      <c r="AH315" s="561"/>
      <c r="AI315" s="561"/>
      <c r="AJ315" s="561"/>
      <c r="AK315" s="561"/>
      <c r="AL315" s="561"/>
      <c r="AM315" s="561"/>
      <c r="AN315" s="561"/>
      <c r="AO315" s="561"/>
      <c r="AP315" s="561"/>
      <c r="AQ315" s="561"/>
      <c r="AR315" s="561"/>
      <c r="AS315" s="561"/>
      <c r="AT315" s="561"/>
      <c r="AU315" s="561"/>
      <c r="AV315" s="561"/>
      <c r="AW315" s="561"/>
    </row>
    <row r="316" ht="15.75" customHeight="1">
      <c r="D316" s="124"/>
      <c r="G316" s="124"/>
      <c r="H316" s="124"/>
      <c r="I316" s="124"/>
      <c r="K316" s="124"/>
      <c r="N316" s="124"/>
      <c r="O316" s="561"/>
      <c r="P316" s="124"/>
      <c r="AC316" s="562"/>
      <c r="AD316" s="561"/>
      <c r="AE316" s="561"/>
      <c r="AF316" s="561"/>
      <c r="AG316" s="561"/>
      <c r="AH316" s="561"/>
      <c r="AI316" s="561"/>
      <c r="AJ316" s="561"/>
      <c r="AK316" s="561"/>
      <c r="AL316" s="561"/>
      <c r="AM316" s="561"/>
      <c r="AN316" s="561"/>
      <c r="AO316" s="561"/>
      <c r="AP316" s="561"/>
      <c r="AQ316" s="561"/>
      <c r="AR316" s="561"/>
      <c r="AS316" s="561"/>
      <c r="AT316" s="561"/>
      <c r="AU316" s="561"/>
      <c r="AV316" s="561"/>
      <c r="AW316" s="561"/>
    </row>
    <row r="317" ht="15.75" customHeight="1">
      <c r="D317" s="124"/>
      <c r="G317" s="124"/>
      <c r="H317" s="124"/>
      <c r="I317" s="124"/>
      <c r="K317" s="124"/>
      <c r="N317" s="124"/>
      <c r="O317" s="561"/>
      <c r="P317" s="124"/>
      <c r="AC317" s="562"/>
      <c r="AD317" s="561"/>
      <c r="AE317" s="561"/>
      <c r="AF317" s="561"/>
      <c r="AG317" s="561"/>
      <c r="AH317" s="561"/>
      <c r="AI317" s="561"/>
      <c r="AJ317" s="561"/>
      <c r="AK317" s="561"/>
      <c r="AL317" s="561"/>
      <c r="AM317" s="561"/>
      <c r="AN317" s="561"/>
      <c r="AO317" s="561"/>
      <c r="AP317" s="561"/>
      <c r="AQ317" s="561"/>
      <c r="AR317" s="561"/>
      <c r="AS317" s="561"/>
      <c r="AT317" s="561"/>
      <c r="AU317" s="561"/>
      <c r="AV317" s="561"/>
      <c r="AW317" s="561"/>
    </row>
    <row r="318" ht="15.75" customHeight="1">
      <c r="D318" s="124"/>
      <c r="G318" s="124"/>
      <c r="H318" s="124"/>
      <c r="I318" s="124"/>
      <c r="K318" s="124"/>
      <c r="N318" s="124"/>
      <c r="O318" s="561"/>
      <c r="P318" s="124"/>
      <c r="AC318" s="562"/>
      <c r="AD318" s="561"/>
      <c r="AE318" s="561"/>
      <c r="AF318" s="561"/>
      <c r="AG318" s="561"/>
      <c r="AH318" s="561"/>
      <c r="AI318" s="561"/>
      <c r="AJ318" s="561"/>
      <c r="AK318" s="561"/>
      <c r="AL318" s="561"/>
      <c r="AM318" s="561"/>
      <c r="AN318" s="561"/>
      <c r="AO318" s="561"/>
      <c r="AP318" s="561"/>
      <c r="AQ318" s="561"/>
      <c r="AR318" s="561"/>
      <c r="AS318" s="561"/>
      <c r="AT318" s="561"/>
      <c r="AU318" s="561"/>
      <c r="AV318" s="561"/>
      <c r="AW318" s="561"/>
    </row>
    <row r="319" ht="15.75" customHeight="1">
      <c r="D319" s="124"/>
      <c r="G319" s="124"/>
      <c r="H319" s="124"/>
      <c r="I319" s="124"/>
      <c r="K319" s="124"/>
      <c r="N319" s="124"/>
      <c r="O319" s="561"/>
      <c r="P319" s="124"/>
      <c r="AC319" s="562"/>
      <c r="AD319" s="561"/>
      <c r="AE319" s="561"/>
      <c r="AF319" s="561"/>
      <c r="AG319" s="561"/>
      <c r="AH319" s="561"/>
      <c r="AI319" s="561"/>
      <c r="AJ319" s="561"/>
      <c r="AK319" s="561"/>
      <c r="AL319" s="561"/>
      <c r="AM319" s="561"/>
      <c r="AN319" s="561"/>
      <c r="AO319" s="561"/>
      <c r="AP319" s="561"/>
      <c r="AQ319" s="561"/>
      <c r="AR319" s="561"/>
      <c r="AS319" s="561"/>
      <c r="AT319" s="561"/>
      <c r="AU319" s="561"/>
      <c r="AV319" s="561"/>
      <c r="AW319" s="561"/>
    </row>
    <row r="320" ht="15.75" customHeight="1">
      <c r="D320" s="124"/>
      <c r="G320" s="124"/>
      <c r="H320" s="124"/>
      <c r="I320" s="124"/>
      <c r="K320" s="124"/>
      <c r="N320" s="124"/>
      <c r="O320" s="561"/>
      <c r="P320" s="124"/>
      <c r="AC320" s="562"/>
      <c r="AD320" s="561"/>
      <c r="AE320" s="561"/>
      <c r="AF320" s="561"/>
      <c r="AG320" s="561"/>
      <c r="AH320" s="561"/>
      <c r="AI320" s="561"/>
      <c r="AJ320" s="561"/>
      <c r="AK320" s="561"/>
      <c r="AL320" s="561"/>
      <c r="AM320" s="561"/>
      <c r="AN320" s="561"/>
      <c r="AO320" s="561"/>
      <c r="AP320" s="561"/>
      <c r="AQ320" s="561"/>
      <c r="AR320" s="561"/>
      <c r="AS320" s="561"/>
      <c r="AT320" s="561"/>
      <c r="AU320" s="561"/>
      <c r="AV320" s="561"/>
      <c r="AW320" s="561"/>
    </row>
    <row r="321" ht="15.75" customHeight="1">
      <c r="D321" s="124"/>
      <c r="G321" s="124"/>
      <c r="H321" s="124"/>
      <c r="I321" s="124"/>
      <c r="K321" s="124"/>
      <c r="N321" s="124"/>
      <c r="O321" s="561"/>
      <c r="P321" s="124"/>
      <c r="AC321" s="562"/>
      <c r="AD321" s="561"/>
      <c r="AE321" s="561"/>
      <c r="AF321" s="561"/>
      <c r="AG321" s="561"/>
      <c r="AH321" s="561"/>
      <c r="AI321" s="561"/>
      <c r="AJ321" s="561"/>
      <c r="AK321" s="561"/>
      <c r="AL321" s="561"/>
      <c r="AM321" s="561"/>
      <c r="AN321" s="561"/>
      <c r="AO321" s="561"/>
      <c r="AP321" s="561"/>
      <c r="AQ321" s="561"/>
      <c r="AR321" s="561"/>
      <c r="AS321" s="561"/>
      <c r="AT321" s="561"/>
      <c r="AU321" s="561"/>
      <c r="AV321" s="561"/>
      <c r="AW321" s="561"/>
    </row>
    <row r="322" ht="15.75" customHeight="1">
      <c r="D322" s="124"/>
      <c r="G322" s="124"/>
      <c r="H322" s="124"/>
      <c r="I322" s="124"/>
      <c r="K322" s="124"/>
      <c r="N322" s="124"/>
      <c r="O322" s="561"/>
      <c r="P322" s="124"/>
      <c r="AC322" s="562"/>
      <c r="AD322" s="561"/>
      <c r="AE322" s="561"/>
      <c r="AF322" s="561"/>
      <c r="AG322" s="561"/>
      <c r="AH322" s="561"/>
      <c r="AI322" s="561"/>
      <c r="AJ322" s="561"/>
      <c r="AK322" s="561"/>
      <c r="AL322" s="561"/>
      <c r="AM322" s="561"/>
      <c r="AN322" s="561"/>
      <c r="AO322" s="561"/>
      <c r="AP322" s="561"/>
      <c r="AQ322" s="561"/>
      <c r="AR322" s="561"/>
      <c r="AS322" s="561"/>
      <c r="AT322" s="561"/>
      <c r="AU322" s="561"/>
      <c r="AV322" s="561"/>
      <c r="AW322" s="561"/>
    </row>
    <row r="323" ht="15.75" customHeight="1">
      <c r="D323" s="124"/>
      <c r="G323" s="124"/>
      <c r="H323" s="124"/>
      <c r="I323" s="124"/>
      <c r="K323" s="124"/>
      <c r="N323" s="124"/>
      <c r="O323" s="561"/>
      <c r="P323" s="124"/>
      <c r="AC323" s="562"/>
      <c r="AD323" s="561"/>
      <c r="AE323" s="561"/>
      <c r="AF323" s="561"/>
      <c r="AG323" s="561"/>
      <c r="AH323" s="561"/>
      <c r="AI323" s="561"/>
      <c r="AJ323" s="561"/>
      <c r="AK323" s="561"/>
      <c r="AL323" s="561"/>
      <c r="AM323" s="561"/>
      <c r="AN323" s="561"/>
      <c r="AO323" s="561"/>
      <c r="AP323" s="561"/>
      <c r="AQ323" s="561"/>
      <c r="AR323" s="561"/>
      <c r="AS323" s="561"/>
      <c r="AT323" s="561"/>
      <c r="AU323" s="561"/>
      <c r="AV323" s="561"/>
      <c r="AW323" s="561"/>
    </row>
  </sheetData>
  <mergeCells count="8">
    <mergeCell ref="B4:B5"/>
    <mergeCell ref="C4:C5"/>
    <mergeCell ref="D4:F4"/>
    <mergeCell ref="H4:J4"/>
    <mergeCell ref="K4:O4"/>
    <mergeCell ref="P4:R4"/>
    <mergeCell ref="S4:U4"/>
    <mergeCell ref="V4:X4"/>
  </mergeCells>
  <printOptions/>
  <pageMargins bottom="0.75" footer="0.0" header="0.0" left="0.7" right="0.7" top="0.75"/>
  <pageSetup orientation="landscape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ySplit="15.0" topLeftCell="D16" activePane="bottomRight" state="frozen"/>
      <selection activeCell="D1" sqref="D1" pane="topRight"/>
      <selection activeCell="A16" sqref="A16" pane="bottomLeft"/>
      <selection activeCell="D16" sqref="D16" pane="bottomRight"/>
    </sheetView>
  </sheetViews>
  <sheetFormatPr customHeight="1" defaultColWidth="12.63" defaultRowHeight="15.0"/>
  <cols>
    <col customWidth="1" min="1" max="1" width="5.63"/>
    <col customWidth="1" min="2" max="2" width="9.75"/>
    <col customWidth="1" min="3" max="3" width="53.75"/>
    <col customWidth="1" min="4" max="4" width="12.0"/>
    <col customWidth="1" hidden="1" min="5" max="5" width="12.63"/>
    <col customWidth="1" hidden="1" min="6" max="6" width="12.38"/>
    <col customWidth="1" hidden="1" min="7" max="9" width="12.63"/>
    <col customWidth="1" min="10" max="10" width="12.63"/>
    <col customWidth="1" hidden="1" min="11" max="11" width="12.63"/>
    <col customWidth="1" hidden="1" min="12" max="12" width="12.38"/>
    <col customWidth="1" hidden="1" min="13" max="15" width="12.63"/>
    <col customWidth="1" min="16" max="16" width="14.0"/>
    <col customWidth="1" hidden="1" min="17" max="17" width="12.63"/>
    <col customWidth="1" hidden="1" min="18" max="18" width="12.38"/>
    <col customWidth="1" hidden="1" min="19" max="19" width="10.75"/>
    <col customWidth="1" hidden="1" min="20" max="21" width="12.63"/>
    <col customWidth="1" min="22" max="22" width="12.63"/>
    <col customWidth="1" hidden="1" min="23" max="27" width="12.63"/>
    <col customWidth="1" min="28" max="28" width="12.63"/>
    <col customWidth="1" hidden="1" min="29" max="33" width="12.63"/>
    <col customWidth="1" min="34" max="34" width="12.63"/>
    <col customWidth="1" hidden="1" min="35" max="39" width="12.63"/>
    <col customWidth="1" min="40" max="40" width="12.63"/>
    <col customWidth="1" hidden="1" min="41" max="45" width="12.63"/>
    <col customWidth="1" min="46" max="46" width="12.63"/>
    <col customWidth="1" hidden="1" min="47" max="51" width="12.63"/>
    <col customWidth="1" min="52" max="52" width="12.63"/>
    <col customWidth="1" hidden="1" min="53" max="57" width="12.63"/>
    <col customWidth="1" min="58" max="58" width="12.63"/>
    <col customWidth="1" hidden="1" min="59" max="63" width="12.63"/>
    <col customWidth="1" min="64" max="64" width="12.0"/>
    <col customWidth="1" hidden="1" min="65" max="65" width="12.63"/>
    <col customWidth="1" hidden="1" min="66" max="66" width="16.38"/>
    <col customWidth="1" hidden="1" min="67" max="69" width="12.63"/>
    <col customWidth="1" min="70" max="70" width="13.25"/>
    <col customWidth="1" hidden="1" min="71" max="71" width="11.25"/>
    <col customWidth="1" hidden="1" min="72" max="72" width="13.13"/>
    <col customWidth="1" hidden="1" min="73" max="74" width="12.63"/>
    <col customWidth="1" hidden="1" min="75" max="75" width="11.0"/>
    <col customWidth="1" min="76" max="99" width="12.63"/>
  </cols>
  <sheetData>
    <row r="1" ht="15.75" customHeight="1">
      <c r="A1" s="213"/>
      <c r="B1" s="214" t="s">
        <v>1</v>
      </c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3"/>
      <c r="BG1" s="213"/>
      <c r="BH1" s="213"/>
      <c r="BI1" s="213"/>
      <c r="BJ1" s="213"/>
      <c r="BK1" s="213"/>
      <c r="BL1" s="213"/>
      <c r="BM1" s="213"/>
      <c r="BN1" s="215"/>
      <c r="BO1" s="213"/>
      <c r="BP1" s="213"/>
      <c r="BQ1" s="213"/>
      <c r="BR1" s="326"/>
      <c r="BS1" s="213"/>
      <c r="BT1" s="213"/>
      <c r="BU1" s="213"/>
      <c r="BV1" s="213"/>
      <c r="BW1" s="213"/>
      <c r="BX1" s="213"/>
      <c r="BY1" s="213"/>
      <c r="BZ1" s="213"/>
      <c r="CA1" s="213"/>
      <c r="CB1" s="213"/>
      <c r="CC1" s="213"/>
      <c r="CD1" s="213"/>
      <c r="CE1" s="213"/>
      <c r="CF1" s="213"/>
      <c r="CG1" s="213"/>
      <c r="CH1" s="213"/>
      <c r="CI1" s="213"/>
      <c r="CJ1" s="213"/>
      <c r="CK1" s="213"/>
      <c r="CL1" s="213"/>
      <c r="CM1" s="213"/>
      <c r="CN1" s="213"/>
      <c r="CO1" s="213"/>
      <c r="CP1" s="213"/>
      <c r="CQ1" s="213"/>
      <c r="CR1" s="213"/>
      <c r="CS1" s="213"/>
      <c r="CT1" s="213"/>
      <c r="CU1" s="213"/>
    </row>
    <row r="2" ht="15.75" customHeight="1">
      <c r="A2" s="216"/>
      <c r="B2" s="327" t="s">
        <v>387</v>
      </c>
      <c r="C2" s="213"/>
      <c r="D2" s="213"/>
      <c r="E2" s="213"/>
      <c r="F2" s="213"/>
      <c r="G2" s="213"/>
      <c r="H2" s="213"/>
      <c r="I2" s="213"/>
      <c r="J2" s="695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  <c r="AA2" s="213"/>
      <c r="AB2" s="213"/>
      <c r="AC2" s="213"/>
      <c r="AD2" s="213"/>
      <c r="AE2" s="213"/>
      <c r="AF2" s="213"/>
      <c r="AG2" s="213"/>
      <c r="AH2" s="213"/>
      <c r="AI2" s="213"/>
      <c r="AJ2" s="213"/>
      <c r="AK2" s="213"/>
      <c r="AL2" s="213"/>
      <c r="AM2" s="213"/>
      <c r="AN2" s="213"/>
      <c r="AO2" s="213"/>
      <c r="AP2" s="213"/>
      <c r="AQ2" s="213"/>
      <c r="AR2" s="213"/>
      <c r="AS2" s="213"/>
      <c r="AT2" s="213"/>
      <c r="AU2" s="213"/>
      <c r="AV2" s="213"/>
      <c r="AW2" s="213"/>
      <c r="AX2" s="213"/>
      <c r="AY2" s="213"/>
      <c r="AZ2" s="213"/>
      <c r="BA2" s="213"/>
      <c r="BB2" s="213"/>
      <c r="BC2" s="213"/>
      <c r="BD2" s="213"/>
      <c r="BE2" s="213"/>
      <c r="BF2" s="213"/>
      <c r="BG2" s="213"/>
      <c r="BH2" s="213"/>
      <c r="BI2" s="213"/>
      <c r="BJ2" s="213"/>
      <c r="BK2" s="213"/>
      <c r="BL2" s="213"/>
      <c r="BM2" s="213"/>
      <c r="BN2" s="215"/>
      <c r="BO2" s="213"/>
      <c r="BP2" s="213"/>
      <c r="BQ2" s="213"/>
      <c r="BR2" s="326"/>
      <c r="BS2" s="213"/>
      <c r="BT2" s="213"/>
      <c r="BU2" s="213"/>
      <c r="BV2" s="213"/>
      <c r="BW2" s="213"/>
      <c r="BX2" s="213"/>
      <c r="BY2" s="213"/>
      <c r="BZ2" s="213"/>
      <c r="CA2" s="213"/>
      <c r="CB2" s="213"/>
      <c r="CC2" s="213"/>
      <c r="CD2" s="213"/>
      <c r="CE2" s="213"/>
      <c r="CF2" s="213"/>
      <c r="CG2" s="213"/>
      <c r="CH2" s="213"/>
      <c r="CI2" s="213"/>
      <c r="CJ2" s="213"/>
      <c r="CK2" s="213"/>
      <c r="CL2" s="213"/>
      <c r="CM2" s="213"/>
      <c r="CN2" s="213"/>
      <c r="CO2" s="213"/>
      <c r="CP2" s="213"/>
      <c r="CQ2" s="213"/>
      <c r="CR2" s="213"/>
      <c r="CS2" s="213"/>
      <c r="CT2" s="213"/>
      <c r="CU2" s="213"/>
    </row>
    <row r="3" ht="15.75" customHeight="1">
      <c r="A3" s="213"/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  <c r="AJ3" s="213"/>
      <c r="AK3" s="213"/>
      <c r="AL3" s="213"/>
      <c r="AM3" s="213"/>
      <c r="AN3" s="213"/>
      <c r="AO3" s="213"/>
      <c r="AP3" s="213"/>
      <c r="AQ3" s="213"/>
      <c r="AR3" s="213"/>
      <c r="AS3" s="213"/>
      <c r="AT3" s="213"/>
      <c r="AU3" s="213"/>
      <c r="AV3" s="213"/>
      <c r="AW3" s="213"/>
      <c r="AX3" s="213"/>
      <c r="AY3" s="213"/>
      <c r="AZ3" s="213"/>
      <c r="BA3" s="213"/>
      <c r="BB3" s="213"/>
      <c r="BC3" s="213"/>
      <c r="BD3" s="213"/>
      <c r="BE3" s="213"/>
      <c r="BF3" s="213"/>
      <c r="BG3" s="213"/>
      <c r="BH3" s="213"/>
      <c r="BI3" s="213"/>
      <c r="BJ3" s="213"/>
      <c r="BK3" s="213"/>
      <c r="BL3" s="213"/>
      <c r="BM3" s="213"/>
      <c r="BN3" s="215"/>
      <c r="BO3" s="213"/>
      <c r="BP3" s="213"/>
      <c r="BQ3" s="213"/>
      <c r="BR3" s="326"/>
      <c r="BS3" s="213"/>
      <c r="BT3" s="213"/>
      <c r="BU3" s="213"/>
      <c r="BV3" s="213"/>
      <c r="BW3" s="213"/>
      <c r="BX3" s="213"/>
      <c r="BY3" s="213"/>
      <c r="BZ3" s="213"/>
      <c r="CA3" s="213"/>
      <c r="CB3" s="213"/>
      <c r="CC3" s="213"/>
      <c r="CD3" s="213"/>
      <c r="CE3" s="213"/>
      <c r="CF3" s="213"/>
      <c r="CG3" s="213"/>
      <c r="CH3" s="213"/>
      <c r="CI3" s="213"/>
      <c r="CJ3" s="213"/>
      <c r="CK3" s="213"/>
      <c r="CL3" s="213"/>
      <c r="CM3" s="213"/>
      <c r="CN3" s="213"/>
      <c r="CO3" s="213"/>
      <c r="CP3" s="213"/>
      <c r="CQ3" s="213"/>
      <c r="CR3" s="213"/>
      <c r="CS3" s="213"/>
      <c r="CT3" s="213"/>
      <c r="CU3" s="213"/>
    </row>
    <row r="4" ht="15.75" customHeight="1">
      <c r="A4" s="213"/>
      <c r="B4" s="696" t="s">
        <v>201</v>
      </c>
      <c r="C4" s="697" t="s">
        <v>47</v>
      </c>
      <c r="D4" s="698" t="s">
        <v>202</v>
      </c>
      <c r="E4" s="7"/>
      <c r="F4" s="7"/>
      <c r="G4" s="7"/>
      <c r="H4" s="7"/>
      <c r="I4" s="8"/>
      <c r="J4" s="698" t="s">
        <v>203</v>
      </c>
      <c r="K4" s="7"/>
      <c r="L4" s="7"/>
      <c r="M4" s="7"/>
      <c r="N4" s="7"/>
      <c r="O4" s="8"/>
      <c r="P4" s="698" t="s">
        <v>204</v>
      </c>
      <c r="Q4" s="7"/>
      <c r="R4" s="7"/>
      <c r="S4" s="7"/>
      <c r="T4" s="7"/>
      <c r="U4" s="8"/>
      <c r="V4" s="698" t="s">
        <v>205</v>
      </c>
      <c r="W4" s="7"/>
      <c r="X4" s="7"/>
      <c r="Y4" s="7"/>
      <c r="Z4" s="7"/>
      <c r="AA4" s="8"/>
      <c r="AB4" s="698" t="s">
        <v>206</v>
      </c>
      <c r="AC4" s="7"/>
      <c r="AD4" s="7"/>
      <c r="AE4" s="7"/>
      <c r="AF4" s="7"/>
      <c r="AG4" s="8"/>
      <c r="AH4" s="698" t="s">
        <v>207</v>
      </c>
      <c r="AI4" s="7"/>
      <c r="AJ4" s="7"/>
      <c r="AK4" s="7"/>
      <c r="AL4" s="7"/>
      <c r="AM4" s="8"/>
      <c r="AN4" s="698" t="s">
        <v>208</v>
      </c>
      <c r="AO4" s="7"/>
      <c r="AP4" s="7"/>
      <c r="AQ4" s="7"/>
      <c r="AR4" s="7"/>
      <c r="AS4" s="8"/>
      <c r="AT4" s="698" t="s">
        <v>209</v>
      </c>
      <c r="AU4" s="7"/>
      <c r="AV4" s="7"/>
      <c r="AW4" s="7"/>
      <c r="AX4" s="7"/>
      <c r="AY4" s="8"/>
      <c r="AZ4" s="698" t="s">
        <v>210</v>
      </c>
      <c r="BA4" s="7"/>
      <c r="BB4" s="7"/>
      <c r="BC4" s="7"/>
      <c r="BD4" s="7"/>
      <c r="BE4" s="8"/>
      <c r="BF4" s="698" t="s">
        <v>211</v>
      </c>
      <c r="BG4" s="7"/>
      <c r="BH4" s="7"/>
      <c r="BI4" s="7"/>
      <c r="BJ4" s="7"/>
      <c r="BK4" s="8"/>
      <c r="BL4" s="698" t="s">
        <v>212</v>
      </c>
      <c r="BM4" s="7"/>
      <c r="BN4" s="7"/>
      <c r="BO4" s="7"/>
      <c r="BP4" s="7"/>
      <c r="BQ4" s="8"/>
      <c r="BR4" s="462" t="s">
        <v>213</v>
      </c>
      <c r="BS4" s="7"/>
      <c r="BT4" s="7"/>
      <c r="BU4" s="7"/>
      <c r="BV4" s="7"/>
      <c r="BW4" s="8"/>
      <c r="BX4" s="334"/>
      <c r="BY4" s="334"/>
      <c r="BZ4" s="334"/>
      <c r="CA4" s="334"/>
      <c r="CB4" s="334"/>
      <c r="CC4" s="334"/>
      <c r="CD4" s="334"/>
      <c r="CE4" s="334"/>
      <c r="CF4" s="334"/>
      <c r="CG4" s="334"/>
      <c r="CH4" s="334"/>
      <c r="CI4" s="334"/>
      <c r="CJ4" s="334"/>
      <c r="CK4" s="334"/>
      <c r="CL4" s="334"/>
      <c r="CM4" s="334"/>
      <c r="CN4" s="334"/>
      <c r="CO4" s="334"/>
      <c r="CP4" s="334"/>
      <c r="CQ4" s="334"/>
      <c r="CR4" s="334"/>
      <c r="CS4" s="334"/>
      <c r="CT4" s="334"/>
      <c r="CU4" s="334"/>
    </row>
    <row r="5" ht="25.5" customHeight="1">
      <c r="A5" s="699"/>
      <c r="B5" s="566"/>
      <c r="C5" s="567"/>
      <c r="D5" s="700" t="s">
        <v>215</v>
      </c>
      <c r="E5" s="701" t="s">
        <v>19</v>
      </c>
      <c r="F5" s="701" t="s">
        <v>216</v>
      </c>
      <c r="G5" s="701" t="s">
        <v>19</v>
      </c>
      <c r="H5" s="701" t="s">
        <v>217</v>
      </c>
      <c r="I5" s="702" t="s">
        <v>218</v>
      </c>
      <c r="J5" s="700" t="s">
        <v>215</v>
      </c>
      <c r="K5" s="701" t="s">
        <v>19</v>
      </c>
      <c r="L5" s="701" t="s">
        <v>216</v>
      </c>
      <c r="M5" s="701" t="s">
        <v>19</v>
      </c>
      <c r="N5" s="701" t="s">
        <v>217</v>
      </c>
      <c r="O5" s="702" t="s">
        <v>218</v>
      </c>
      <c r="P5" s="700" t="s">
        <v>215</v>
      </c>
      <c r="Q5" s="701" t="s">
        <v>19</v>
      </c>
      <c r="R5" s="701" t="s">
        <v>216</v>
      </c>
      <c r="S5" s="701" t="s">
        <v>19</v>
      </c>
      <c r="T5" s="701" t="s">
        <v>217</v>
      </c>
      <c r="U5" s="702" t="s">
        <v>218</v>
      </c>
      <c r="V5" s="700" t="s">
        <v>215</v>
      </c>
      <c r="W5" s="701" t="s">
        <v>19</v>
      </c>
      <c r="X5" s="701" t="s">
        <v>216</v>
      </c>
      <c r="Y5" s="701" t="s">
        <v>19</v>
      </c>
      <c r="Z5" s="701" t="s">
        <v>217</v>
      </c>
      <c r="AA5" s="702" t="s">
        <v>218</v>
      </c>
      <c r="AB5" s="700" t="s">
        <v>215</v>
      </c>
      <c r="AC5" s="701" t="s">
        <v>19</v>
      </c>
      <c r="AD5" s="701" t="s">
        <v>216</v>
      </c>
      <c r="AE5" s="701" t="s">
        <v>19</v>
      </c>
      <c r="AF5" s="701" t="s">
        <v>217</v>
      </c>
      <c r="AG5" s="702" t="s">
        <v>218</v>
      </c>
      <c r="AH5" s="700" t="s">
        <v>215</v>
      </c>
      <c r="AI5" s="701" t="s">
        <v>19</v>
      </c>
      <c r="AJ5" s="701" t="s">
        <v>216</v>
      </c>
      <c r="AK5" s="701" t="s">
        <v>19</v>
      </c>
      <c r="AL5" s="701" t="s">
        <v>217</v>
      </c>
      <c r="AM5" s="702" t="s">
        <v>218</v>
      </c>
      <c r="AN5" s="700" t="s">
        <v>215</v>
      </c>
      <c r="AO5" s="701" t="s">
        <v>19</v>
      </c>
      <c r="AP5" s="701" t="s">
        <v>216</v>
      </c>
      <c r="AQ5" s="701" t="s">
        <v>19</v>
      </c>
      <c r="AR5" s="701" t="s">
        <v>217</v>
      </c>
      <c r="AS5" s="702" t="s">
        <v>218</v>
      </c>
      <c r="AT5" s="700" t="s">
        <v>215</v>
      </c>
      <c r="AU5" s="701" t="s">
        <v>19</v>
      </c>
      <c r="AV5" s="701" t="s">
        <v>216</v>
      </c>
      <c r="AW5" s="701" t="s">
        <v>19</v>
      </c>
      <c r="AX5" s="701" t="s">
        <v>217</v>
      </c>
      <c r="AY5" s="702" t="s">
        <v>218</v>
      </c>
      <c r="AZ5" s="700" t="s">
        <v>215</v>
      </c>
      <c r="BA5" s="701" t="s">
        <v>19</v>
      </c>
      <c r="BB5" s="701" t="s">
        <v>216</v>
      </c>
      <c r="BC5" s="701" t="s">
        <v>19</v>
      </c>
      <c r="BD5" s="701" t="s">
        <v>217</v>
      </c>
      <c r="BE5" s="702" t="s">
        <v>218</v>
      </c>
      <c r="BF5" s="700" t="s">
        <v>215</v>
      </c>
      <c r="BG5" s="701" t="s">
        <v>19</v>
      </c>
      <c r="BH5" s="701" t="s">
        <v>216</v>
      </c>
      <c r="BI5" s="701" t="s">
        <v>19</v>
      </c>
      <c r="BJ5" s="701" t="s">
        <v>217</v>
      </c>
      <c r="BK5" s="702" t="s">
        <v>218</v>
      </c>
      <c r="BL5" s="700" t="s">
        <v>215</v>
      </c>
      <c r="BM5" s="701" t="s">
        <v>19</v>
      </c>
      <c r="BN5" s="703" t="s">
        <v>216</v>
      </c>
      <c r="BO5" s="701" t="s">
        <v>19</v>
      </c>
      <c r="BP5" s="701" t="s">
        <v>217</v>
      </c>
      <c r="BQ5" s="702" t="s">
        <v>218</v>
      </c>
      <c r="BR5" s="704" t="s">
        <v>215</v>
      </c>
      <c r="BS5" s="705" t="s">
        <v>19</v>
      </c>
      <c r="BT5" s="705" t="s">
        <v>216</v>
      </c>
      <c r="BU5" s="705" t="s">
        <v>19</v>
      </c>
      <c r="BV5" s="705" t="s">
        <v>217</v>
      </c>
      <c r="BW5" s="706" t="s">
        <v>218</v>
      </c>
      <c r="BX5" s="707"/>
      <c r="BY5" s="707"/>
      <c r="BZ5" s="707"/>
      <c r="CA5" s="707"/>
      <c r="CB5" s="707"/>
      <c r="CC5" s="707"/>
      <c r="CD5" s="707"/>
      <c r="CE5" s="707"/>
      <c r="CF5" s="707"/>
      <c r="CG5" s="707"/>
      <c r="CH5" s="707"/>
      <c r="CI5" s="707"/>
      <c r="CJ5" s="707"/>
      <c r="CK5" s="707"/>
      <c r="CL5" s="707"/>
      <c r="CM5" s="707"/>
      <c r="CN5" s="707"/>
      <c r="CO5" s="707"/>
      <c r="CP5" s="707"/>
      <c r="CQ5" s="707"/>
      <c r="CR5" s="707"/>
      <c r="CS5" s="707"/>
      <c r="CT5" s="707"/>
      <c r="CU5" s="707"/>
    </row>
    <row r="6" ht="15.75" hidden="1" customHeight="1">
      <c r="A6" s="213"/>
      <c r="B6" s="382"/>
      <c r="C6" s="383" t="s">
        <v>85</v>
      </c>
      <c r="D6" s="708">
        <v>5434.0</v>
      </c>
      <c r="E6" s="440"/>
      <c r="F6" s="388"/>
      <c r="G6" s="440"/>
      <c r="H6" s="388"/>
      <c r="I6" s="389"/>
      <c r="J6" s="708">
        <v>5738.0</v>
      </c>
      <c r="K6" s="385">
        <f t="shared" ref="K6:K9" si="1">(J6-D6)/D6</f>
        <v>0.05594405594</v>
      </c>
      <c r="L6" s="709"/>
      <c r="M6" s="440"/>
      <c r="N6" s="388"/>
      <c r="O6" s="389"/>
      <c r="P6" s="708"/>
      <c r="Q6" s="440"/>
      <c r="R6" s="388"/>
      <c r="S6" s="440"/>
      <c r="T6" s="388"/>
      <c r="U6" s="389"/>
      <c r="V6" s="708"/>
      <c r="W6" s="440"/>
      <c r="X6" s="388"/>
      <c r="Y6" s="440"/>
      <c r="Z6" s="388"/>
      <c r="AA6" s="389"/>
      <c r="AB6" s="708"/>
      <c r="AC6" s="440"/>
      <c r="AD6" s="388"/>
      <c r="AE6" s="440"/>
      <c r="AF6" s="388"/>
      <c r="AG6" s="389"/>
      <c r="AH6" s="708"/>
      <c r="AI6" s="440"/>
      <c r="AJ6" s="388"/>
      <c r="AK6" s="440"/>
      <c r="AL6" s="388"/>
      <c r="AM6" s="389"/>
      <c r="AN6" s="708"/>
      <c r="AO6" s="440"/>
      <c r="AP6" s="388"/>
      <c r="AQ6" s="440"/>
      <c r="AR6" s="388"/>
      <c r="AS6" s="389"/>
      <c r="AT6" s="708"/>
      <c r="AU6" s="440"/>
      <c r="AV6" s="388"/>
      <c r="AW6" s="440"/>
      <c r="AX6" s="388"/>
      <c r="AY6" s="389"/>
      <c r="AZ6" s="708"/>
      <c r="BA6" s="440"/>
      <c r="BB6" s="388"/>
      <c r="BC6" s="440"/>
      <c r="BD6" s="388"/>
      <c r="BE6" s="389"/>
      <c r="BF6" s="708"/>
      <c r="BG6" s="440"/>
      <c r="BH6" s="388"/>
      <c r="BI6" s="440"/>
      <c r="BJ6" s="388"/>
      <c r="BK6" s="389"/>
      <c r="BL6" s="708"/>
      <c r="BM6" s="440"/>
      <c r="BN6" s="386"/>
      <c r="BO6" s="440"/>
      <c r="BP6" s="388"/>
      <c r="BQ6" s="389"/>
      <c r="BR6" s="491"/>
      <c r="BS6" s="440"/>
      <c r="BT6" s="388"/>
      <c r="BU6" s="440"/>
      <c r="BV6" s="388"/>
      <c r="BW6" s="389"/>
      <c r="BX6" s="213"/>
      <c r="BY6" s="213"/>
      <c r="BZ6" s="213"/>
      <c r="CA6" s="213"/>
      <c r="CB6" s="213"/>
      <c r="CC6" s="213"/>
      <c r="CD6" s="213"/>
      <c r="CE6" s="213"/>
      <c r="CF6" s="213"/>
      <c r="CG6" s="213"/>
      <c r="CH6" s="213"/>
      <c r="CI6" s="213"/>
      <c r="CJ6" s="213"/>
      <c r="CK6" s="213"/>
      <c r="CL6" s="213"/>
      <c r="CM6" s="213"/>
      <c r="CN6" s="213"/>
      <c r="CO6" s="213"/>
      <c r="CP6" s="213"/>
      <c r="CQ6" s="213"/>
      <c r="CR6" s="213"/>
      <c r="CS6" s="213"/>
      <c r="CT6" s="213"/>
      <c r="CU6" s="213"/>
    </row>
    <row r="7" ht="15.75" hidden="1" customHeight="1">
      <c r="A7" s="213"/>
      <c r="B7" s="349"/>
      <c r="C7" s="350" t="s">
        <v>92</v>
      </c>
      <c r="D7" s="604">
        <v>1706.0</v>
      </c>
      <c r="E7" s="352"/>
      <c r="F7" s="357"/>
      <c r="G7" s="352"/>
      <c r="H7" s="357"/>
      <c r="I7" s="358"/>
      <c r="J7" s="604">
        <v>1956.0</v>
      </c>
      <c r="K7" s="355">
        <f t="shared" si="1"/>
        <v>0.1465416178</v>
      </c>
      <c r="L7" s="245"/>
      <c r="M7" s="352"/>
      <c r="N7" s="357"/>
      <c r="O7" s="358"/>
      <c r="P7" s="604"/>
      <c r="Q7" s="352"/>
      <c r="R7" s="357"/>
      <c r="S7" s="352"/>
      <c r="T7" s="357"/>
      <c r="U7" s="358"/>
      <c r="V7" s="604"/>
      <c r="W7" s="352"/>
      <c r="X7" s="357"/>
      <c r="Y7" s="352"/>
      <c r="Z7" s="357"/>
      <c r="AA7" s="358"/>
      <c r="AB7" s="604"/>
      <c r="AC7" s="352"/>
      <c r="AD7" s="357"/>
      <c r="AE7" s="352"/>
      <c r="AF7" s="357"/>
      <c r="AG7" s="358"/>
      <c r="AH7" s="604"/>
      <c r="AI7" s="352"/>
      <c r="AJ7" s="357"/>
      <c r="AK7" s="352"/>
      <c r="AL7" s="357"/>
      <c r="AM7" s="358"/>
      <c r="AN7" s="604"/>
      <c r="AO7" s="352"/>
      <c r="AP7" s="357"/>
      <c r="AQ7" s="352"/>
      <c r="AR7" s="357"/>
      <c r="AS7" s="358"/>
      <c r="AT7" s="604"/>
      <c r="AU7" s="352"/>
      <c r="AV7" s="357"/>
      <c r="AW7" s="352"/>
      <c r="AX7" s="357"/>
      <c r="AY7" s="358"/>
      <c r="AZ7" s="604"/>
      <c r="BA7" s="352"/>
      <c r="BB7" s="357"/>
      <c r="BC7" s="352"/>
      <c r="BD7" s="357"/>
      <c r="BE7" s="358"/>
      <c r="BF7" s="604"/>
      <c r="BG7" s="352"/>
      <c r="BH7" s="357"/>
      <c r="BI7" s="352"/>
      <c r="BJ7" s="357"/>
      <c r="BK7" s="358"/>
      <c r="BL7" s="604"/>
      <c r="BM7" s="352"/>
      <c r="BN7" s="353"/>
      <c r="BO7" s="352"/>
      <c r="BP7" s="357"/>
      <c r="BQ7" s="358"/>
      <c r="BR7" s="351"/>
      <c r="BS7" s="352"/>
      <c r="BT7" s="357"/>
      <c r="BU7" s="352"/>
      <c r="BV7" s="357"/>
      <c r="BW7" s="358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</row>
    <row r="8" ht="15.75" hidden="1" customHeight="1">
      <c r="A8" s="213"/>
      <c r="B8" s="349"/>
      <c r="C8" s="350" t="s">
        <v>99</v>
      </c>
      <c r="D8" s="604">
        <f>D28+D29+D32+D17</f>
        <v>9523778.46</v>
      </c>
      <c r="E8" s="352"/>
      <c r="F8" s="357"/>
      <c r="G8" s="352"/>
      <c r="H8" s="357"/>
      <c r="I8" s="358"/>
      <c r="J8" s="604">
        <f>J28+J29+J32+J17</f>
        <v>9683632</v>
      </c>
      <c r="K8" s="355">
        <f t="shared" si="1"/>
        <v>0.01678467645</v>
      </c>
      <c r="L8" s="245"/>
      <c r="M8" s="352"/>
      <c r="N8" s="357"/>
      <c r="O8" s="358"/>
      <c r="P8" s="604"/>
      <c r="Q8" s="352"/>
      <c r="R8" s="357"/>
      <c r="S8" s="352"/>
      <c r="T8" s="357"/>
      <c r="U8" s="358"/>
      <c r="V8" s="604"/>
      <c r="W8" s="352"/>
      <c r="X8" s="357"/>
      <c r="Y8" s="352"/>
      <c r="Z8" s="357"/>
      <c r="AA8" s="358"/>
      <c r="AB8" s="604"/>
      <c r="AC8" s="352"/>
      <c r="AD8" s="357"/>
      <c r="AE8" s="352"/>
      <c r="AF8" s="357"/>
      <c r="AG8" s="358"/>
      <c r="AH8" s="604"/>
      <c r="AI8" s="352"/>
      <c r="AJ8" s="357"/>
      <c r="AK8" s="352"/>
      <c r="AL8" s="357"/>
      <c r="AM8" s="358"/>
      <c r="AN8" s="604"/>
      <c r="AO8" s="352"/>
      <c r="AP8" s="357"/>
      <c r="AQ8" s="352"/>
      <c r="AR8" s="357"/>
      <c r="AS8" s="358"/>
      <c r="AT8" s="604"/>
      <c r="AU8" s="352"/>
      <c r="AV8" s="357"/>
      <c r="AW8" s="352"/>
      <c r="AX8" s="357"/>
      <c r="AY8" s="358"/>
      <c r="AZ8" s="604"/>
      <c r="BA8" s="352"/>
      <c r="BB8" s="357"/>
      <c r="BC8" s="352"/>
      <c r="BD8" s="357"/>
      <c r="BE8" s="358"/>
      <c r="BF8" s="604"/>
      <c r="BG8" s="352"/>
      <c r="BH8" s="357"/>
      <c r="BI8" s="352"/>
      <c r="BJ8" s="357"/>
      <c r="BK8" s="358"/>
      <c r="BL8" s="604"/>
      <c r="BM8" s="352"/>
      <c r="BN8" s="353"/>
      <c r="BO8" s="352"/>
      <c r="BP8" s="357"/>
      <c r="BQ8" s="358"/>
      <c r="BR8" s="351"/>
      <c r="BS8" s="352"/>
      <c r="BT8" s="357"/>
      <c r="BU8" s="352"/>
      <c r="BV8" s="357"/>
      <c r="BW8" s="358"/>
      <c r="BX8" s="213"/>
      <c r="BY8" s="213"/>
      <c r="BZ8" s="213"/>
      <c r="CA8" s="213"/>
      <c r="CB8" s="213"/>
      <c r="CC8" s="213"/>
      <c r="CD8" s="213"/>
      <c r="CE8" s="213"/>
      <c r="CF8" s="213"/>
      <c r="CG8" s="213"/>
      <c r="CH8" s="213"/>
      <c r="CI8" s="213"/>
      <c r="CJ8" s="213"/>
      <c r="CK8" s="213"/>
      <c r="CL8" s="213"/>
      <c r="CM8" s="213"/>
      <c r="CN8" s="213"/>
      <c r="CO8" s="213"/>
      <c r="CP8" s="213"/>
      <c r="CQ8" s="213"/>
      <c r="CR8" s="213"/>
      <c r="CS8" s="213"/>
      <c r="CT8" s="213"/>
      <c r="CU8" s="213"/>
    </row>
    <row r="9" ht="15.75" hidden="1" customHeight="1">
      <c r="A9" s="213"/>
      <c r="B9" s="349"/>
      <c r="C9" s="350" t="s">
        <v>106</v>
      </c>
      <c r="D9" s="604">
        <f>D18+D23+D21+D22</f>
        <v>2884582.04</v>
      </c>
      <c r="E9" s="352"/>
      <c r="F9" s="357"/>
      <c r="G9" s="352"/>
      <c r="H9" s="357"/>
      <c r="I9" s="358"/>
      <c r="J9" s="604">
        <f>J18+J23+J21+J22</f>
        <v>3048949.65</v>
      </c>
      <c r="K9" s="355">
        <f t="shared" si="1"/>
        <v>0.05698143014</v>
      </c>
      <c r="L9" s="245"/>
      <c r="M9" s="352"/>
      <c r="N9" s="357"/>
      <c r="O9" s="358"/>
      <c r="P9" s="604"/>
      <c r="Q9" s="352"/>
      <c r="R9" s="357"/>
      <c r="S9" s="352"/>
      <c r="T9" s="357"/>
      <c r="U9" s="358"/>
      <c r="V9" s="604"/>
      <c r="W9" s="352"/>
      <c r="X9" s="357"/>
      <c r="Y9" s="352"/>
      <c r="Z9" s="357"/>
      <c r="AA9" s="358"/>
      <c r="AB9" s="604"/>
      <c r="AC9" s="352"/>
      <c r="AD9" s="357"/>
      <c r="AE9" s="352"/>
      <c r="AF9" s="357"/>
      <c r="AG9" s="358"/>
      <c r="AH9" s="604"/>
      <c r="AI9" s="352"/>
      <c r="AJ9" s="357"/>
      <c r="AK9" s="352"/>
      <c r="AL9" s="357"/>
      <c r="AM9" s="358"/>
      <c r="AN9" s="604"/>
      <c r="AO9" s="352"/>
      <c r="AP9" s="357"/>
      <c r="AQ9" s="352"/>
      <c r="AR9" s="357"/>
      <c r="AS9" s="358"/>
      <c r="AT9" s="604"/>
      <c r="AU9" s="352"/>
      <c r="AV9" s="357"/>
      <c r="AW9" s="352"/>
      <c r="AX9" s="357"/>
      <c r="AY9" s="358"/>
      <c r="AZ9" s="604"/>
      <c r="BA9" s="352"/>
      <c r="BB9" s="357"/>
      <c r="BC9" s="352"/>
      <c r="BD9" s="357"/>
      <c r="BE9" s="358"/>
      <c r="BF9" s="604"/>
      <c r="BG9" s="352"/>
      <c r="BH9" s="357"/>
      <c r="BI9" s="352"/>
      <c r="BJ9" s="357"/>
      <c r="BK9" s="358"/>
      <c r="BL9" s="604"/>
      <c r="BM9" s="352"/>
      <c r="BN9" s="353"/>
      <c r="BO9" s="352"/>
      <c r="BP9" s="357"/>
      <c r="BQ9" s="358"/>
      <c r="BR9" s="351"/>
      <c r="BS9" s="352"/>
      <c r="BT9" s="357"/>
      <c r="BU9" s="352"/>
      <c r="BV9" s="357"/>
      <c r="BW9" s="358"/>
      <c r="BX9" s="213"/>
      <c r="BY9" s="213"/>
      <c r="BZ9" s="213"/>
      <c r="CA9" s="213"/>
      <c r="CB9" s="213"/>
      <c r="CC9" s="213"/>
      <c r="CD9" s="213"/>
      <c r="CE9" s="213"/>
      <c r="CF9" s="213"/>
      <c r="CG9" s="213"/>
      <c r="CH9" s="213"/>
      <c r="CI9" s="213"/>
      <c r="CJ9" s="213"/>
      <c r="CK9" s="213"/>
      <c r="CL9" s="213"/>
      <c r="CM9" s="213"/>
      <c r="CN9" s="213"/>
      <c r="CO9" s="213"/>
      <c r="CP9" s="213"/>
      <c r="CQ9" s="213"/>
      <c r="CR9" s="213"/>
      <c r="CS9" s="213"/>
      <c r="CT9" s="213"/>
      <c r="CU9" s="213"/>
    </row>
    <row r="10" ht="15.75" hidden="1" customHeight="1">
      <c r="A10" s="213"/>
      <c r="B10" s="349"/>
      <c r="C10" s="350" t="s">
        <v>113</v>
      </c>
      <c r="D10" s="604">
        <f>SUM(D8:D9)-D33</f>
        <v>-12300</v>
      </c>
      <c r="E10" s="352"/>
      <c r="F10" s="357"/>
      <c r="G10" s="352"/>
      <c r="H10" s="357"/>
      <c r="I10" s="358"/>
      <c r="J10" s="604">
        <f>SUM(J8:J9)-J33</f>
        <v>-15400</v>
      </c>
      <c r="K10" s="352"/>
      <c r="L10" s="357"/>
      <c r="M10" s="352"/>
      <c r="N10" s="357"/>
      <c r="O10" s="358"/>
      <c r="P10" s="604"/>
      <c r="Q10" s="352"/>
      <c r="R10" s="357"/>
      <c r="S10" s="352"/>
      <c r="T10" s="357"/>
      <c r="U10" s="358"/>
      <c r="V10" s="604"/>
      <c r="W10" s="352"/>
      <c r="X10" s="357"/>
      <c r="Y10" s="352"/>
      <c r="Z10" s="357"/>
      <c r="AA10" s="358"/>
      <c r="AB10" s="604"/>
      <c r="AC10" s="352"/>
      <c r="AD10" s="357"/>
      <c r="AE10" s="352"/>
      <c r="AF10" s="357"/>
      <c r="AG10" s="358"/>
      <c r="AH10" s="604"/>
      <c r="AI10" s="352"/>
      <c r="AJ10" s="357"/>
      <c r="AK10" s="352"/>
      <c r="AL10" s="357"/>
      <c r="AM10" s="358"/>
      <c r="AN10" s="604"/>
      <c r="AO10" s="352"/>
      <c r="AP10" s="357"/>
      <c r="AQ10" s="352"/>
      <c r="AR10" s="357"/>
      <c r="AS10" s="358"/>
      <c r="AT10" s="604"/>
      <c r="AU10" s="352"/>
      <c r="AV10" s="357"/>
      <c r="AW10" s="352"/>
      <c r="AX10" s="357"/>
      <c r="AY10" s="358"/>
      <c r="AZ10" s="604"/>
      <c r="BA10" s="352"/>
      <c r="BB10" s="357"/>
      <c r="BC10" s="352"/>
      <c r="BD10" s="357"/>
      <c r="BE10" s="358"/>
      <c r="BF10" s="604"/>
      <c r="BG10" s="352"/>
      <c r="BH10" s="357"/>
      <c r="BI10" s="352"/>
      <c r="BJ10" s="357"/>
      <c r="BK10" s="358"/>
      <c r="BL10" s="604"/>
      <c r="BM10" s="352"/>
      <c r="BN10" s="353"/>
      <c r="BO10" s="352"/>
      <c r="BP10" s="357"/>
      <c r="BQ10" s="358"/>
      <c r="BR10" s="351"/>
      <c r="BS10" s="352"/>
      <c r="BT10" s="357"/>
      <c r="BU10" s="352"/>
      <c r="BV10" s="357"/>
      <c r="BW10" s="358"/>
      <c r="BX10" s="213"/>
      <c r="BY10" s="213"/>
      <c r="BZ10" s="213"/>
      <c r="CA10" s="213"/>
      <c r="CB10" s="213"/>
      <c r="CC10" s="213"/>
      <c r="CD10" s="213"/>
      <c r="CE10" s="213"/>
      <c r="CF10" s="213"/>
      <c r="CG10" s="213"/>
      <c r="CH10" s="213"/>
      <c r="CI10" s="213"/>
      <c r="CJ10" s="213"/>
      <c r="CK10" s="213"/>
      <c r="CL10" s="213"/>
      <c r="CM10" s="213"/>
      <c r="CN10" s="213"/>
      <c r="CO10" s="213"/>
      <c r="CP10" s="213"/>
      <c r="CQ10" s="213"/>
      <c r="CR10" s="213"/>
      <c r="CS10" s="213"/>
      <c r="CT10" s="213"/>
      <c r="CU10" s="213"/>
    </row>
    <row r="11" ht="15.75" hidden="1" customHeight="1">
      <c r="A11" s="213"/>
      <c r="B11" s="349"/>
      <c r="C11" s="350" t="s">
        <v>120</v>
      </c>
      <c r="D11" s="604">
        <f t="shared" ref="D11:D12" si="2">D8/D6</f>
        <v>1752.627615</v>
      </c>
      <c r="E11" s="352"/>
      <c r="F11" s="357"/>
      <c r="G11" s="352"/>
      <c r="H11" s="357"/>
      <c r="I11" s="358"/>
      <c r="J11" s="604">
        <f t="shared" ref="J11:J12" si="3">J8/J6</f>
        <v>1687.631928</v>
      </c>
      <c r="K11" s="355">
        <f t="shared" ref="K11:K12" si="4">(J11-D11)/D11</f>
        <v>-0.03708471039</v>
      </c>
      <c r="L11" s="357" t="s">
        <v>219</v>
      </c>
      <c r="M11" s="352"/>
      <c r="N11" s="357"/>
      <c r="O11" s="358"/>
      <c r="P11" s="604"/>
      <c r="Q11" s="352"/>
      <c r="R11" s="357"/>
      <c r="S11" s="352"/>
      <c r="T11" s="357"/>
      <c r="U11" s="358"/>
      <c r="V11" s="604"/>
      <c r="W11" s="352"/>
      <c r="X11" s="357"/>
      <c r="Y11" s="352"/>
      <c r="Z11" s="357"/>
      <c r="AA11" s="358"/>
      <c r="AB11" s="604"/>
      <c r="AC11" s="352"/>
      <c r="AD11" s="357"/>
      <c r="AE11" s="352"/>
      <c r="AF11" s="357"/>
      <c r="AG11" s="358"/>
      <c r="AH11" s="604"/>
      <c r="AI11" s="352"/>
      <c r="AJ11" s="357"/>
      <c r="AK11" s="352"/>
      <c r="AL11" s="357"/>
      <c r="AM11" s="358"/>
      <c r="AN11" s="604"/>
      <c r="AO11" s="352"/>
      <c r="AP11" s="357"/>
      <c r="AQ11" s="352"/>
      <c r="AR11" s="357"/>
      <c r="AS11" s="358"/>
      <c r="AT11" s="604"/>
      <c r="AU11" s="352"/>
      <c r="AV11" s="357"/>
      <c r="AW11" s="352"/>
      <c r="AX11" s="357"/>
      <c r="AY11" s="358"/>
      <c r="AZ11" s="604"/>
      <c r="BA11" s="352"/>
      <c r="BB11" s="357"/>
      <c r="BC11" s="352"/>
      <c r="BD11" s="357"/>
      <c r="BE11" s="358"/>
      <c r="BF11" s="604"/>
      <c r="BG11" s="352"/>
      <c r="BH11" s="357"/>
      <c r="BI11" s="352"/>
      <c r="BJ11" s="357"/>
      <c r="BK11" s="358"/>
      <c r="BL11" s="604"/>
      <c r="BM11" s="352"/>
      <c r="BN11" s="353"/>
      <c r="BO11" s="352"/>
      <c r="BP11" s="357"/>
      <c r="BQ11" s="358"/>
      <c r="BR11" s="351"/>
      <c r="BS11" s="352"/>
      <c r="BT11" s="357"/>
      <c r="BU11" s="352"/>
      <c r="BV11" s="357"/>
      <c r="BW11" s="358"/>
      <c r="BX11" s="213"/>
      <c r="BY11" s="213"/>
      <c r="BZ11" s="213"/>
      <c r="CA11" s="213"/>
      <c r="CB11" s="213"/>
      <c r="CC11" s="213"/>
      <c r="CD11" s="213"/>
      <c r="CE11" s="213"/>
      <c r="CF11" s="213"/>
      <c r="CG11" s="213"/>
      <c r="CH11" s="213"/>
      <c r="CI11" s="213"/>
      <c r="CJ11" s="213"/>
      <c r="CK11" s="213"/>
      <c r="CL11" s="213"/>
      <c r="CM11" s="213"/>
      <c r="CN11" s="213"/>
      <c r="CO11" s="213"/>
      <c r="CP11" s="213"/>
      <c r="CQ11" s="213"/>
      <c r="CR11" s="213"/>
      <c r="CS11" s="213"/>
      <c r="CT11" s="213"/>
      <c r="CU11" s="213"/>
    </row>
    <row r="12" ht="15.75" hidden="1" customHeight="1">
      <c r="A12" s="213"/>
      <c r="B12" s="349"/>
      <c r="C12" s="350" t="s">
        <v>127</v>
      </c>
      <c r="D12" s="604">
        <f t="shared" si="2"/>
        <v>1690.845275</v>
      </c>
      <c r="E12" s="352"/>
      <c r="F12" s="357"/>
      <c r="G12" s="352"/>
      <c r="H12" s="357"/>
      <c r="I12" s="358"/>
      <c r="J12" s="604">
        <f t="shared" si="3"/>
        <v>1558.767715</v>
      </c>
      <c r="K12" s="355">
        <f t="shared" si="4"/>
        <v>-0.07811333342</v>
      </c>
      <c r="L12" s="357"/>
      <c r="M12" s="352"/>
      <c r="N12" s="357"/>
      <c r="O12" s="358"/>
      <c r="P12" s="604"/>
      <c r="Q12" s="352"/>
      <c r="R12" s="357"/>
      <c r="S12" s="352"/>
      <c r="T12" s="357"/>
      <c r="U12" s="358"/>
      <c r="V12" s="604"/>
      <c r="W12" s="352"/>
      <c r="X12" s="357"/>
      <c r="Y12" s="352"/>
      <c r="Z12" s="357"/>
      <c r="AA12" s="358"/>
      <c r="AB12" s="604"/>
      <c r="AC12" s="352"/>
      <c r="AD12" s="357"/>
      <c r="AE12" s="352"/>
      <c r="AF12" s="357"/>
      <c r="AG12" s="358"/>
      <c r="AH12" s="604"/>
      <c r="AI12" s="352"/>
      <c r="AJ12" s="357"/>
      <c r="AK12" s="352"/>
      <c r="AL12" s="357"/>
      <c r="AM12" s="358"/>
      <c r="AN12" s="604"/>
      <c r="AO12" s="352"/>
      <c r="AP12" s="357"/>
      <c r="AQ12" s="352"/>
      <c r="AR12" s="357"/>
      <c r="AS12" s="358"/>
      <c r="AT12" s="604"/>
      <c r="AU12" s="352"/>
      <c r="AV12" s="357"/>
      <c r="AW12" s="352"/>
      <c r="AX12" s="357"/>
      <c r="AY12" s="358"/>
      <c r="AZ12" s="604"/>
      <c r="BA12" s="352"/>
      <c r="BB12" s="357"/>
      <c r="BC12" s="352"/>
      <c r="BD12" s="357"/>
      <c r="BE12" s="358"/>
      <c r="BF12" s="604"/>
      <c r="BG12" s="352"/>
      <c r="BH12" s="357"/>
      <c r="BI12" s="352"/>
      <c r="BJ12" s="357"/>
      <c r="BK12" s="358"/>
      <c r="BL12" s="604"/>
      <c r="BM12" s="352"/>
      <c r="BN12" s="353"/>
      <c r="BO12" s="352"/>
      <c r="BP12" s="357"/>
      <c r="BQ12" s="358"/>
      <c r="BR12" s="351"/>
      <c r="BS12" s="352"/>
      <c r="BT12" s="357"/>
      <c r="BU12" s="352"/>
      <c r="BV12" s="357"/>
      <c r="BW12" s="358"/>
      <c r="BX12" s="213"/>
      <c r="BY12" s="213"/>
      <c r="BZ12" s="213"/>
      <c r="CA12" s="213"/>
      <c r="CB12" s="213"/>
      <c r="CC12" s="213"/>
      <c r="CD12" s="213"/>
      <c r="CE12" s="213"/>
      <c r="CF12" s="213"/>
      <c r="CG12" s="213"/>
      <c r="CH12" s="213"/>
      <c r="CI12" s="213"/>
      <c r="CJ12" s="213"/>
      <c r="CK12" s="213"/>
      <c r="CL12" s="213"/>
      <c r="CM12" s="213"/>
      <c r="CN12" s="213"/>
      <c r="CO12" s="213"/>
      <c r="CP12" s="213"/>
      <c r="CQ12" s="213"/>
      <c r="CR12" s="213"/>
      <c r="CS12" s="213"/>
      <c r="CT12" s="213"/>
      <c r="CU12" s="213"/>
    </row>
    <row r="13" ht="15.75" hidden="1" customHeight="1">
      <c r="A13" s="213"/>
      <c r="B13" s="349"/>
      <c r="C13" s="350"/>
      <c r="D13" s="604"/>
      <c r="E13" s="352"/>
      <c r="F13" s="357"/>
      <c r="G13" s="352"/>
      <c r="H13" s="357"/>
      <c r="I13" s="358"/>
      <c r="J13" s="604"/>
      <c r="K13" s="352"/>
      <c r="L13" s="357"/>
      <c r="M13" s="352"/>
      <c r="N13" s="357"/>
      <c r="O13" s="358"/>
      <c r="P13" s="604"/>
      <c r="Q13" s="352"/>
      <c r="R13" s="357"/>
      <c r="S13" s="352"/>
      <c r="T13" s="357"/>
      <c r="U13" s="358"/>
      <c r="V13" s="604"/>
      <c r="W13" s="352"/>
      <c r="X13" s="357"/>
      <c r="Y13" s="352"/>
      <c r="Z13" s="357"/>
      <c r="AA13" s="358"/>
      <c r="AB13" s="604"/>
      <c r="AC13" s="352"/>
      <c r="AD13" s="357"/>
      <c r="AE13" s="352"/>
      <c r="AF13" s="357"/>
      <c r="AG13" s="358"/>
      <c r="AH13" s="604"/>
      <c r="AI13" s="352"/>
      <c r="AJ13" s="357"/>
      <c r="AK13" s="352"/>
      <c r="AL13" s="357"/>
      <c r="AM13" s="358"/>
      <c r="AN13" s="604"/>
      <c r="AO13" s="352"/>
      <c r="AP13" s="357"/>
      <c r="AQ13" s="352"/>
      <c r="AR13" s="357"/>
      <c r="AS13" s="358"/>
      <c r="AT13" s="604"/>
      <c r="AU13" s="352"/>
      <c r="AV13" s="357"/>
      <c r="AW13" s="352"/>
      <c r="AX13" s="357"/>
      <c r="AY13" s="358"/>
      <c r="AZ13" s="604"/>
      <c r="BA13" s="352"/>
      <c r="BB13" s="357"/>
      <c r="BC13" s="352"/>
      <c r="BD13" s="357"/>
      <c r="BE13" s="358"/>
      <c r="BF13" s="604"/>
      <c r="BG13" s="352"/>
      <c r="BH13" s="357"/>
      <c r="BI13" s="352"/>
      <c r="BJ13" s="357"/>
      <c r="BK13" s="358"/>
      <c r="BL13" s="604"/>
      <c r="BM13" s="352"/>
      <c r="BN13" s="353"/>
      <c r="BO13" s="352"/>
      <c r="BP13" s="357"/>
      <c r="BQ13" s="358"/>
      <c r="BR13" s="351"/>
      <c r="BS13" s="352"/>
      <c r="BT13" s="357"/>
      <c r="BU13" s="352"/>
      <c r="BV13" s="357"/>
      <c r="BW13" s="358"/>
      <c r="BX13" s="213"/>
      <c r="BY13" s="213"/>
      <c r="BZ13" s="213"/>
      <c r="CA13" s="213"/>
      <c r="CB13" s="213"/>
      <c r="CC13" s="213"/>
      <c r="CD13" s="213"/>
      <c r="CE13" s="213"/>
      <c r="CF13" s="213"/>
      <c r="CG13" s="213"/>
      <c r="CH13" s="213"/>
      <c r="CI13" s="213"/>
      <c r="CJ13" s="213"/>
      <c r="CK13" s="213"/>
      <c r="CL13" s="213"/>
      <c r="CM13" s="213"/>
      <c r="CN13" s="213"/>
      <c r="CO13" s="213"/>
      <c r="CP13" s="213"/>
      <c r="CQ13" s="213"/>
      <c r="CR13" s="213"/>
      <c r="CS13" s="213"/>
      <c r="CT13" s="213"/>
      <c r="CU13" s="213"/>
    </row>
    <row r="14" ht="15.75" hidden="1" customHeight="1">
      <c r="A14" s="213"/>
      <c r="B14" s="349"/>
      <c r="C14" s="350"/>
      <c r="D14" s="604"/>
      <c r="E14" s="352"/>
      <c r="F14" s="357"/>
      <c r="G14" s="352"/>
      <c r="H14" s="357"/>
      <c r="I14" s="358"/>
      <c r="J14" s="604"/>
      <c r="K14" s="352"/>
      <c r="L14" s="357"/>
      <c r="M14" s="352"/>
      <c r="N14" s="357"/>
      <c r="O14" s="358"/>
      <c r="P14" s="604"/>
      <c r="Q14" s="352"/>
      <c r="R14" s="357"/>
      <c r="S14" s="352"/>
      <c r="T14" s="357"/>
      <c r="U14" s="358"/>
      <c r="V14" s="604"/>
      <c r="W14" s="352"/>
      <c r="X14" s="357"/>
      <c r="Y14" s="352"/>
      <c r="Z14" s="357"/>
      <c r="AA14" s="358"/>
      <c r="AB14" s="604"/>
      <c r="AC14" s="352"/>
      <c r="AD14" s="357"/>
      <c r="AE14" s="352"/>
      <c r="AF14" s="357"/>
      <c r="AG14" s="358"/>
      <c r="AH14" s="604"/>
      <c r="AI14" s="352"/>
      <c r="AJ14" s="357"/>
      <c r="AK14" s="352"/>
      <c r="AL14" s="357"/>
      <c r="AM14" s="358"/>
      <c r="AN14" s="604"/>
      <c r="AO14" s="352"/>
      <c r="AP14" s="357"/>
      <c r="AQ14" s="352"/>
      <c r="AR14" s="357"/>
      <c r="AS14" s="358"/>
      <c r="AT14" s="604"/>
      <c r="AU14" s="352"/>
      <c r="AV14" s="357"/>
      <c r="AW14" s="352"/>
      <c r="AX14" s="357"/>
      <c r="AY14" s="358"/>
      <c r="AZ14" s="604"/>
      <c r="BA14" s="352"/>
      <c r="BB14" s="357"/>
      <c r="BC14" s="352"/>
      <c r="BD14" s="357"/>
      <c r="BE14" s="358"/>
      <c r="BF14" s="604"/>
      <c r="BG14" s="352"/>
      <c r="BH14" s="357"/>
      <c r="BI14" s="352"/>
      <c r="BJ14" s="357"/>
      <c r="BK14" s="358"/>
      <c r="BL14" s="604"/>
      <c r="BM14" s="352"/>
      <c r="BN14" s="353"/>
      <c r="BO14" s="352"/>
      <c r="BP14" s="357"/>
      <c r="BQ14" s="358"/>
      <c r="BR14" s="351"/>
      <c r="BS14" s="352"/>
      <c r="BT14" s="357"/>
      <c r="BU14" s="352"/>
      <c r="BV14" s="357"/>
      <c r="BW14" s="358"/>
      <c r="BX14" s="213"/>
      <c r="BY14" s="213"/>
      <c r="BZ14" s="213"/>
      <c r="CA14" s="213"/>
      <c r="CB14" s="213"/>
      <c r="CC14" s="213"/>
      <c r="CD14" s="213"/>
      <c r="CE14" s="213"/>
      <c r="CF14" s="213"/>
      <c r="CG14" s="213"/>
      <c r="CH14" s="213"/>
      <c r="CI14" s="213"/>
      <c r="CJ14" s="213"/>
      <c r="CK14" s="213"/>
      <c r="CL14" s="213"/>
      <c r="CM14" s="213"/>
      <c r="CN14" s="213"/>
      <c r="CO14" s="213"/>
      <c r="CP14" s="213"/>
      <c r="CQ14" s="213"/>
      <c r="CR14" s="213"/>
      <c r="CS14" s="213"/>
      <c r="CT14" s="213"/>
      <c r="CU14" s="213"/>
    </row>
    <row r="15" ht="15.75" customHeight="1">
      <c r="A15" s="213"/>
      <c r="B15" s="371" t="s">
        <v>220</v>
      </c>
      <c r="C15" s="710"/>
      <c r="D15" s="604"/>
      <c r="E15" s="352"/>
      <c r="F15" s="357"/>
      <c r="G15" s="352"/>
      <c r="H15" s="357"/>
      <c r="I15" s="358"/>
      <c r="J15" s="604"/>
      <c r="K15" s="352"/>
      <c r="L15" s="357"/>
      <c r="M15" s="352"/>
      <c r="N15" s="357"/>
      <c r="O15" s="358"/>
      <c r="P15" s="604"/>
      <c r="Q15" s="352"/>
      <c r="R15" s="357"/>
      <c r="S15" s="352"/>
      <c r="T15" s="357"/>
      <c r="U15" s="358"/>
      <c r="V15" s="604"/>
      <c r="W15" s="352"/>
      <c r="X15" s="357"/>
      <c r="Y15" s="352"/>
      <c r="Z15" s="357"/>
      <c r="AA15" s="358"/>
      <c r="AB15" s="604"/>
      <c r="AC15" s="352"/>
      <c r="AD15" s="357"/>
      <c r="AE15" s="352"/>
      <c r="AF15" s="357"/>
      <c r="AG15" s="358"/>
      <c r="AH15" s="604"/>
      <c r="AI15" s="352"/>
      <c r="AJ15" s="357"/>
      <c r="AK15" s="352"/>
      <c r="AL15" s="357"/>
      <c r="AM15" s="358"/>
      <c r="AN15" s="604"/>
      <c r="AO15" s="352"/>
      <c r="AP15" s="357"/>
      <c r="AQ15" s="352"/>
      <c r="AR15" s="357"/>
      <c r="AS15" s="358"/>
      <c r="AT15" s="604"/>
      <c r="AU15" s="352"/>
      <c r="AV15" s="357"/>
      <c r="AW15" s="352"/>
      <c r="AX15" s="357"/>
      <c r="AY15" s="358"/>
      <c r="AZ15" s="604"/>
      <c r="BA15" s="352"/>
      <c r="BB15" s="357"/>
      <c r="BC15" s="352"/>
      <c r="BD15" s="357"/>
      <c r="BE15" s="358"/>
      <c r="BF15" s="604"/>
      <c r="BG15" s="352"/>
      <c r="BH15" s="357"/>
      <c r="BI15" s="352"/>
      <c r="BJ15" s="357"/>
      <c r="BK15" s="358"/>
      <c r="BL15" s="604"/>
      <c r="BM15" s="352"/>
      <c r="BN15" s="353"/>
      <c r="BO15" s="352"/>
      <c r="BP15" s="357"/>
      <c r="BQ15" s="358"/>
      <c r="BR15" s="351"/>
      <c r="BS15" s="352"/>
      <c r="BT15" s="357"/>
      <c r="BU15" s="352"/>
      <c r="BV15" s="357"/>
      <c r="BW15" s="358"/>
      <c r="BX15" s="213"/>
      <c r="BY15" s="213"/>
      <c r="BZ15" s="213"/>
      <c r="CA15" s="213"/>
      <c r="CB15" s="213"/>
      <c r="CC15" s="213"/>
      <c r="CD15" s="213"/>
      <c r="CE15" s="213"/>
      <c r="CF15" s="213"/>
      <c r="CG15" s="213"/>
      <c r="CH15" s="213"/>
      <c r="CI15" s="213"/>
      <c r="CJ15" s="213"/>
      <c r="CK15" s="213"/>
      <c r="CL15" s="213"/>
      <c r="CM15" s="213"/>
      <c r="CN15" s="213"/>
      <c r="CO15" s="213"/>
      <c r="CP15" s="213"/>
      <c r="CQ15" s="213"/>
      <c r="CR15" s="213"/>
      <c r="CS15" s="213"/>
      <c r="CT15" s="213"/>
      <c r="CU15" s="213"/>
    </row>
    <row r="16" ht="15.75" customHeight="1">
      <c r="A16" s="213"/>
      <c r="B16" s="711"/>
      <c r="C16" s="712" t="s">
        <v>388</v>
      </c>
      <c r="D16" s="713">
        <f>SUM(D17:D23)</f>
        <v>9290133.04</v>
      </c>
      <c r="E16" s="714"/>
      <c r="F16" s="715">
        <f>SUM(F17:F23)</f>
        <v>9772324</v>
      </c>
      <c r="G16" s="714"/>
      <c r="H16" s="715">
        <f>SUM(H17:H23)</f>
        <v>-681165.86</v>
      </c>
      <c r="I16" s="716"/>
      <c r="J16" s="713">
        <f>SUM(J17:J23)</f>
        <v>9668438.65</v>
      </c>
      <c r="K16" s="714"/>
      <c r="L16" s="715">
        <f>SUM(L17:L23)</f>
        <v>9211971.29</v>
      </c>
      <c r="M16" s="714"/>
      <c r="N16" s="715">
        <f>SUM(N17:N23)</f>
        <v>0</v>
      </c>
      <c r="O16" s="716"/>
      <c r="P16" s="713">
        <f>SUM(P17:P23)</f>
        <v>8468655</v>
      </c>
      <c r="Q16" s="714"/>
      <c r="R16" s="715">
        <f>SUM(R17:R23)</f>
        <v>9908031.66</v>
      </c>
      <c r="S16" s="714"/>
      <c r="T16" s="715">
        <f>SUM(T17:T23)</f>
        <v>0</v>
      </c>
      <c r="U16" s="716"/>
      <c r="V16" s="713">
        <f t="shared" ref="V16:W16" si="5">SUM(V17:V24)</f>
        <v>10814221</v>
      </c>
      <c r="W16" s="717">
        <f t="shared" si="5"/>
        <v>1</v>
      </c>
      <c r="X16" s="715">
        <f>SUM(X17:X23)</f>
        <v>10268906.86</v>
      </c>
      <c r="Y16" s="717">
        <f>SUM(Y17:Y24)</f>
        <v>1</v>
      </c>
      <c r="Z16" s="715">
        <f>SUM(Z17:Z23)</f>
        <v>0</v>
      </c>
      <c r="AA16" s="716"/>
      <c r="AB16" s="713">
        <f t="shared" ref="AB16:AC16" si="6">SUM(AB17:AB24)</f>
        <v>10916457</v>
      </c>
      <c r="AC16" s="717">
        <f t="shared" si="6"/>
        <v>1</v>
      </c>
      <c r="AD16" s="715">
        <f t="shared" ref="AD16:AF16" si="7">SUM(AD17:AD23)</f>
        <v>10865091.08</v>
      </c>
      <c r="AE16" s="717">
        <f t="shared" si="7"/>
        <v>1</v>
      </c>
      <c r="AF16" s="715">
        <f t="shared" si="7"/>
        <v>0</v>
      </c>
      <c r="AG16" s="716"/>
      <c r="AH16" s="713">
        <f t="shared" ref="AH16:AI16" si="8">SUM(AH17:AH24)</f>
        <v>9394734.82</v>
      </c>
      <c r="AI16" s="717">
        <f t="shared" si="8"/>
        <v>1</v>
      </c>
      <c r="AJ16" s="715">
        <f>SUM(AJ17:AJ23)</f>
        <v>10353751</v>
      </c>
      <c r="AK16" s="714"/>
      <c r="AL16" s="715">
        <f>SUM(AL17:AL23)</f>
        <v>0</v>
      </c>
      <c r="AM16" s="716"/>
      <c r="AN16" s="713">
        <f t="shared" ref="AN16:AO16" si="9">SUM(AN17:AN24)</f>
        <v>9710093.74</v>
      </c>
      <c r="AO16" s="717">
        <f t="shared" si="9"/>
        <v>1</v>
      </c>
      <c r="AP16" s="715">
        <f>SUM(AP17:AP23)</f>
        <v>11420761.12</v>
      </c>
      <c r="AQ16" s="717">
        <f>SUM(AQ17:AQ24)</f>
        <v>1</v>
      </c>
      <c r="AR16" s="715">
        <f>SUM(AR17:AR23)</f>
        <v>0</v>
      </c>
      <c r="AS16" s="716"/>
      <c r="AT16" s="713">
        <f t="shared" ref="AT16:AU16" si="10">SUM(AT17:AT24)</f>
        <v>9609281.22</v>
      </c>
      <c r="AU16" s="717">
        <f t="shared" si="10"/>
        <v>1</v>
      </c>
      <c r="AV16" s="715">
        <f>SUM(AV17:AV23)</f>
        <v>11749571.16</v>
      </c>
      <c r="AW16" s="717">
        <f>SUM(AW17:AW24)</f>
        <v>1</v>
      </c>
      <c r="AX16" s="715">
        <f>SUM(AX17:AX23)</f>
        <v>0</v>
      </c>
      <c r="AY16" s="716"/>
      <c r="AZ16" s="713">
        <f>SUM(AZ17:AZ25)</f>
        <v>13685127.15</v>
      </c>
      <c r="BA16" s="717">
        <f>SUM(BA17:BA24)</f>
        <v>1</v>
      </c>
      <c r="BB16" s="715">
        <f>SUM(BB17:BB23)</f>
        <v>12674970.24</v>
      </c>
      <c r="BC16" s="717">
        <f>SUM(BC17:BC24)</f>
        <v>1</v>
      </c>
      <c r="BD16" s="715">
        <f>SUM(BD17:BD23)</f>
        <v>0</v>
      </c>
      <c r="BE16" s="716"/>
      <c r="BF16" s="713">
        <f>SUM(BF17:BF23)</f>
        <v>13489451.27</v>
      </c>
      <c r="BG16" s="717">
        <f>SUM(BG17:BG24)</f>
        <v>1.001601251</v>
      </c>
      <c r="BH16" s="715">
        <f t="shared" ref="BH16:BJ16" si="11">SUM(BH17:BH23)</f>
        <v>12307465.2</v>
      </c>
      <c r="BI16" s="717">
        <f t="shared" si="11"/>
        <v>1</v>
      </c>
      <c r="BJ16" s="715">
        <f t="shared" si="11"/>
        <v>0</v>
      </c>
      <c r="BK16" s="716"/>
      <c r="BL16" s="713">
        <f>SUM(BL17:BL23)</f>
        <v>13838353.19</v>
      </c>
      <c r="BM16" s="717">
        <f>SUM(BM17:BM24)</f>
        <v>1.000867155</v>
      </c>
      <c r="BN16" s="715">
        <f>SUM(BN17:BN23)</f>
        <v>10362210.96</v>
      </c>
      <c r="BO16" s="717">
        <f>SUM(BO17:BO24)</f>
        <v>1</v>
      </c>
      <c r="BP16" s="715">
        <f>SUM(BP17:BP23)</f>
        <v>0</v>
      </c>
      <c r="BQ16" s="716"/>
      <c r="BR16" s="713">
        <f t="shared" ref="BR16:BU16" si="12">SUM(BR17:BR24)</f>
        <v>11637462.61</v>
      </c>
      <c r="BS16" s="717">
        <f t="shared" si="12"/>
        <v>1</v>
      </c>
      <c r="BT16" s="715">
        <f t="shared" si="12"/>
        <v>11346191.08</v>
      </c>
      <c r="BU16" s="717">
        <f t="shared" si="12"/>
        <v>1</v>
      </c>
      <c r="BV16" s="357">
        <f>SUM(BV17:BV23)</f>
        <v>0</v>
      </c>
      <c r="BW16" s="358"/>
      <c r="BX16" s="718">
        <f t="shared" ref="BX16:BX26" si="13">D16+J16+P16+V16+AB16+AH16+AN16+AT16+AZ16+BF16+BL16+BR16</f>
        <v>130522408.7</v>
      </c>
      <c r="BY16" s="216"/>
      <c r="BZ16" s="216"/>
      <c r="CA16" s="216"/>
      <c r="CB16" s="216"/>
      <c r="CC16" s="216"/>
      <c r="CD16" s="216"/>
      <c r="CE16" s="216"/>
      <c r="CF16" s="216"/>
      <c r="CG16" s="216"/>
      <c r="CH16" s="216"/>
      <c r="CI16" s="216"/>
      <c r="CJ16" s="216"/>
      <c r="CK16" s="216"/>
      <c r="CL16" s="216"/>
      <c r="CM16" s="216"/>
      <c r="CN16" s="216"/>
      <c r="CO16" s="216"/>
      <c r="CP16" s="216"/>
      <c r="CQ16" s="216"/>
      <c r="CR16" s="216"/>
      <c r="CS16" s="216"/>
      <c r="CT16" s="216"/>
      <c r="CU16" s="216"/>
    </row>
    <row r="17" ht="15.75" customHeight="1">
      <c r="A17" s="213"/>
      <c r="B17" s="349" t="s">
        <v>24</v>
      </c>
      <c r="C17" s="350" t="s">
        <v>221</v>
      </c>
      <c r="D17" s="604">
        <f>6076082+329469</f>
        <v>6405551</v>
      </c>
      <c r="E17" s="355">
        <f t="shared" ref="E17:E18" si="14">D17/$D$16</f>
        <v>0.6895004595</v>
      </c>
      <c r="F17" s="357">
        <v>7336684.0</v>
      </c>
      <c r="G17" s="355">
        <f t="shared" ref="G17:G23" si="15">F17/F$16</f>
        <v>0.7507614361</v>
      </c>
      <c r="H17" s="357">
        <f>D17-F17</f>
        <v>-931133</v>
      </c>
      <c r="I17" s="395">
        <f>H17/F17</f>
        <v>-0.1269146933</v>
      </c>
      <c r="J17" s="604">
        <f>268112+6351377</f>
        <v>6619489</v>
      </c>
      <c r="K17" s="355">
        <f t="shared" ref="K17:K23" si="16">J17/J$16</f>
        <v>0.684649222</v>
      </c>
      <c r="L17" s="357">
        <v>6746313.29</v>
      </c>
      <c r="M17" s="355">
        <f t="shared" ref="M17:M23" si="17">L17/L$16</f>
        <v>0.7323419795</v>
      </c>
      <c r="N17" s="357"/>
      <c r="O17" s="358"/>
      <c r="P17" s="604">
        <f>233150+5954407</f>
        <v>6187557</v>
      </c>
      <c r="Q17" s="352"/>
      <c r="R17" s="357">
        <v>7267725.72</v>
      </c>
      <c r="S17" s="355">
        <f t="shared" ref="S17:S23" si="18">R17/R$16</f>
        <v>0.733518621</v>
      </c>
      <c r="T17" s="357"/>
      <c r="U17" s="358"/>
      <c r="V17" s="604">
        <f>111087+6964920</f>
        <v>7076007</v>
      </c>
      <c r="W17" s="355">
        <f t="shared" ref="W17:W24" si="19">V17/V$16</f>
        <v>0.6543242458</v>
      </c>
      <c r="X17" s="357">
        <v>7601977.16</v>
      </c>
      <c r="Y17" s="355">
        <f t="shared" ref="Y17:Y23" si="20">X17/X$16</f>
        <v>0.7402907888</v>
      </c>
      <c r="Z17" s="357"/>
      <c r="AA17" s="358"/>
      <c r="AB17" s="604">
        <f>68403+6998153</f>
        <v>7066556</v>
      </c>
      <c r="AC17" s="355">
        <f t="shared" ref="AC17:AC24" si="21">AB17/AB$16</f>
        <v>0.6473305396</v>
      </c>
      <c r="AD17" s="357">
        <v>8105714.28</v>
      </c>
      <c r="AE17" s="355">
        <f t="shared" ref="AE17:AE23" si="22">AD17/AD$16</f>
        <v>0.7460327963</v>
      </c>
      <c r="AF17" s="357"/>
      <c r="AG17" s="358"/>
      <c r="AH17" s="604">
        <f>5513635+47472</f>
        <v>5561107</v>
      </c>
      <c r="AI17" s="355">
        <f t="shared" ref="AI17:AI24" si="23">AH17/AH$16</f>
        <v>0.5919386876</v>
      </c>
      <c r="AJ17" s="357">
        <v>7505291.0</v>
      </c>
      <c r="AK17" s="355">
        <f t="shared" ref="AK17:AK23" si="24">AJ17/AJ$16</f>
        <v>0.7248861789</v>
      </c>
      <c r="AL17" s="357"/>
      <c r="AM17" s="358"/>
      <c r="AN17" s="604">
        <f>6115734+47590</f>
        <v>6163324</v>
      </c>
      <c r="AO17" s="355">
        <f t="shared" ref="AO17:AO24" si="25">AN17/AN$16</f>
        <v>0.6347337281</v>
      </c>
      <c r="AP17" s="357">
        <v>8405925.92</v>
      </c>
      <c r="AQ17" s="355">
        <f t="shared" ref="AQ17:AQ23" si="26">AP17/AP$16</f>
        <v>0.7360215166</v>
      </c>
      <c r="AR17" s="357"/>
      <c r="AS17" s="358"/>
      <c r="AT17" s="604">
        <f>36024+6023423</f>
        <v>6059447</v>
      </c>
      <c r="AU17" s="355">
        <f t="shared" ref="AU17:AU24" si="27">AT17/AT$16</f>
        <v>0.6305827524</v>
      </c>
      <c r="AV17" s="357">
        <v>8706137.56</v>
      </c>
      <c r="AW17" s="355">
        <f t="shared" ref="AW17:AW23" si="28">AV17/AV$16</f>
        <v>0.7409749208</v>
      </c>
      <c r="AX17" s="357"/>
      <c r="AY17" s="358"/>
      <c r="AZ17" s="604">
        <f>8314784+54521</f>
        <v>8369305</v>
      </c>
      <c r="BA17" s="355">
        <f t="shared" ref="BA17:BA24" si="29">AZ17/AZ$16</f>
        <v>0.6115620928</v>
      </c>
      <c r="BB17" s="357">
        <v>9306560.84</v>
      </c>
      <c r="BC17" s="355">
        <f t="shared" ref="BC17:BC23" si="30">BB17/BB$16</f>
        <v>0.7342471551</v>
      </c>
      <c r="BD17" s="357"/>
      <c r="BE17" s="358"/>
      <c r="BF17" s="604">
        <f>8583844.5+28535.84</f>
        <v>8612380.34</v>
      </c>
      <c r="BG17" s="355">
        <f t="shared" ref="BG17:BG24" si="31">BF17/BF$16</f>
        <v>0.6384529784</v>
      </c>
      <c r="BH17" s="357">
        <v>9006349.2</v>
      </c>
      <c r="BI17" s="355">
        <f t="shared" ref="BI17:BI23" si="32">BH17/BH$16</f>
        <v>0.7317793757</v>
      </c>
      <c r="BJ17" s="357"/>
      <c r="BK17" s="358"/>
      <c r="BL17" s="604">
        <f>6410248+15431.76</f>
        <v>6425679.76</v>
      </c>
      <c r="BM17" s="355">
        <f t="shared" ref="BM17:BM24" si="33">BL17/BL$16</f>
        <v>0.4643384709</v>
      </c>
      <c r="BN17" s="357">
        <v>7416119.14</v>
      </c>
      <c r="BO17" s="355">
        <f t="shared" ref="BO17:BO23" si="34">BN17/BN$16</f>
        <v>0.7156888784</v>
      </c>
      <c r="BP17" s="357"/>
      <c r="BQ17" s="358"/>
      <c r="BR17" s="604">
        <f>7120530+9166</f>
        <v>7129696</v>
      </c>
      <c r="BS17" s="355">
        <f t="shared" ref="BS17:BS24" si="35">BR17/BR$16</f>
        <v>0.6126503894</v>
      </c>
      <c r="BT17" s="357">
        <v>8105714.28</v>
      </c>
      <c r="BU17" s="355">
        <f t="shared" ref="BU17:BU23" si="36">BT17/BT$16</f>
        <v>0.7143995921</v>
      </c>
      <c r="BV17" s="357"/>
      <c r="BW17" s="358"/>
      <c r="BX17" s="718">
        <f t="shared" si="13"/>
        <v>81676099.1</v>
      </c>
      <c r="BY17" s="213"/>
      <c r="BZ17" s="213"/>
      <c r="CA17" s="213"/>
      <c r="CB17" s="213"/>
      <c r="CC17" s="213"/>
      <c r="CD17" s="213"/>
      <c r="CE17" s="213"/>
      <c r="CF17" s="213"/>
      <c r="CG17" s="213"/>
      <c r="CH17" s="213"/>
      <c r="CI17" s="213"/>
      <c r="CJ17" s="213"/>
      <c r="CK17" s="213"/>
      <c r="CL17" s="213"/>
      <c r="CM17" s="213"/>
      <c r="CN17" s="213"/>
      <c r="CO17" s="213"/>
      <c r="CP17" s="213"/>
      <c r="CQ17" s="213"/>
      <c r="CR17" s="213"/>
      <c r="CS17" s="213"/>
      <c r="CT17" s="213"/>
      <c r="CU17" s="213"/>
    </row>
    <row r="18" ht="15.75" customHeight="1">
      <c r="A18" s="213"/>
      <c r="B18" s="393"/>
      <c r="C18" s="350" t="s">
        <v>222</v>
      </c>
      <c r="D18" s="604">
        <f>274390.12+68919.5+1409126.78+617276.5+53868.75+175393.25</f>
        <v>2598974.9</v>
      </c>
      <c r="E18" s="355">
        <f t="shared" si="14"/>
        <v>0.2797564781</v>
      </c>
      <c r="F18" s="357">
        <f>1537906</f>
        <v>1537906</v>
      </c>
      <c r="G18" s="355">
        <f t="shared" si="15"/>
        <v>0.1573736196</v>
      </c>
      <c r="H18" s="357"/>
      <c r="I18" s="358"/>
      <c r="J18" s="604">
        <f>306600+95299+1666781+692590+158266</f>
        <v>2919536</v>
      </c>
      <c r="K18" s="355">
        <f t="shared" si="16"/>
        <v>0.3019656126</v>
      </c>
      <c r="L18" s="357">
        <v>1538620.0</v>
      </c>
      <c r="M18" s="355">
        <f t="shared" si="17"/>
        <v>0.1670239682</v>
      </c>
      <c r="N18" s="357"/>
      <c r="O18" s="358"/>
      <c r="P18" s="604">
        <f>37585+122233+213662+1179778+135600</f>
        <v>1688858</v>
      </c>
      <c r="Q18" s="352"/>
      <c r="R18" s="357">
        <v>1523450.89</v>
      </c>
      <c r="S18" s="355">
        <f t="shared" si="18"/>
        <v>0.1537591867</v>
      </c>
      <c r="T18" s="357"/>
      <c r="U18" s="358"/>
      <c r="V18" s="604">
        <f>2707923+388997</f>
        <v>3096920</v>
      </c>
      <c r="W18" s="355">
        <f t="shared" si="19"/>
        <v>0.2863747652</v>
      </c>
      <c r="X18" s="357">
        <v>1593516.22</v>
      </c>
      <c r="Y18" s="355">
        <f t="shared" si="20"/>
        <v>0.1551787587</v>
      </c>
      <c r="Z18" s="357"/>
      <c r="AA18" s="358"/>
      <c r="AB18" s="604">
        <f>3052001+377470</f>
        <v>3429471</v>
      </c>
      <c r="AC18" s="355">
        <f t="shared" si="21"/>
        <v>0.314156049</v>
      </c>
      <c r="AD18" s="357">
        <v>1699108.92</v>
      </c>
      <c r="AE18" s="355">
        <f t="shared" si="22"/>
        <v>0.1563823909</v>
      </c>
      <c r="AF18" s="357"/>
      <c r="AG18" s="358"/>
      <c r="AH18" s="604">
        <f>263896+79901+1946707+761031+213320.25</f>
        <v>3264855.25</v>
      </c>
      <c r="AI18" s="355">
        <f t="shared" si="23"/>
        <v>0.3475196812</v>
      </c>
      <c r="AJ18" s="357">
        <f>1573249+818751+420000</f>
        <v>2812000</v>
      </c>
      <c r="AK18" s="355">
        <f t="shared" si="24"/>
        <v>0.271592392</v>
      </c>
      <c r="AL18" s="357"/>
      <c r="AM18" s="358"/>
      <c r="AN18" s="604">
        <f>1797938.69+659944.5+221626+242749.74+83776</f>
        <v>3006034.93</v>
      </c>
      <c r="AO18" s="355">
        <f t="shared" si="25"/>
        <v>0.3095783636</v>
      </c>
      <c r="AP18" s="357">
        <v>1762038.88</v>
      </c>
      <c r="AQ18" s="355">
        <f t="shared" si="26"/>
        <v>0.1542838399</v>
      </c>
      <c r="AR18" s="357"/>
      <c r="AS18" s="358"/>
      <c r="AT18" s="604">
        <f>258570+42170+1758714+778452+194539</f>
        <v>3032445</v>
      </c>
      <c r="AU18" s="355">
        <f t="shared" si="27"/>
        <v>0.315574592</v>
      </c>
      <c r="AV18" s="357">
        <v>1824968.84</v>
      </c>
      <c r="AW18" s="355">
        <f t="shared" si="28"/>
        <v>0.1553221658</v>
      </c>
      <c r="AX18" s="357"/>
      <c r="AY18" s="358"/>
      <c r="AZ18" s="604">
        <f>262277+2082325+893095+308816+71951</f>
        <v>3618464</v>
      </c>
      <c r="BA18" s="355">
        <f t="shared" si="29"/>
        <v>0.2644085042</v>
      </c>
      <c r="BB18" s="357">
        <v>1950828.76</v>
      </c>
      <c r="BC18" s="355">
        <f t="shared" si="30"/>
        <v>0.1539119006</v>
      </c>
      <c r="BD18" s="357"/>
      <c r="BE18" s="358"/>
      <c r="BF18" s="604">
        <f>1786083.92+857113.95+401878.25+251870.9+62193.75</f>
        <v>3359140.77</v>
      </c>
      <c r="BG18" s="355">
        <f t="shared" si="31"/>
        <v>0.2490198232</v>
      </c>
      <c r="BH18" s="357">
        <v>1887898.8</v>
      </c>
      <c r="BI18" s="355">
        <f t="shared" si="32"/>
        <v>0.153394608</v>
      </c>
      <c r="BJ18" s="357"/>
      <c r="BK18" s="358"/>
      <c r="BL18" s="604">
        <f>1597809.76+718383.7+477971.5+234000.22+50934</f>
        <v>3079099.18</v>
      </c>
      <c r="BM18" s="355">
        <f t="shared" si="33"/>
        <v>0.2225047401</v>
      </c>
      <c r="BN18" s="357">
        <v>1554556.91</v>
      </c>
      <c r="BO18" s="355">
        <f t="shared" si="34"/>
        <v>0.1500217392</v>
      </c>
      <c r="BP18" s="357"/>
      <c r="BQ18" s="358"/>
      <c r="BR18" s="604">
        <f>1715552+883316.5+568877+2735+260200+60169</f>
        <v>3490849.5</v>
      </c>
      <c r="BS18" s="355">
        <f t="shared" si="35"/>
        <v>0.2999665492</v>
      </c>
      <c r="BT18" s="357">
        <v>1699108.92</v>
      </c>
      <c r="BU18" s="355">
        <f t="shared" si="36"/>
        <v>0.1497514812</v>
      </c>
      <c r="BV18" s="357"/>
      <c r="BW18" s="358"/>
      <c r="BX18" s="718">
        <f t="shared" si="13"/>
        <v>36584648.53</v>
      </c>
      <c r="BY18" s="213"/>
      <c r="BZ18" s="213"/>
      <c r="CA18" s="213"/>
      <c r="CB18" s="213"/>
      <c r="CC18" s="213"/>
      <c r="CD18" s="213"/>
      <c r="CE18" s="213"/>
      <c r="CF18" s="213"/>
      <c r="CG18" s="213"/>
      <c r="CH18" s="213"/>
      <c r="CI18" s="213"/>
      <c r="CJ18" s="213"/>
      <c r="CK18" s="213"/>
      <c r="CL18" s="213"/>
      <c r="CM18" s="213"/>
      <c r="CN18" s="213"/>
      <c r="CO18" s="213"/>
      <c r="CP18" s="213"/>
      <c r="CQ18" s="213"/>
      <c r="CR18" s="213"/>
      <c r="CS18" s="213"/>
      <c r="CT18" s="213"/>
      <c r="CU18" s="213"/>
    </row>
    <row r="19" ht="15.75" customHeight="1">
      <c r="A19" s="213"/>
      <c r="B19" s="393"/>
      <c r="C19" s="350" t="s">
        <v>223</v>
      </c>
      <c r="D19" s="604"/>
      <c r="E19" s="355"/>
      <c r="F19" s="357">
        <v>562094.0</v>
      </c>
      <c r="G19" s="355">
        <f t="shared" si="15"/>
        <v>0.05751896888</v>
      </c>
      <c r="H19" s="357"/>
      <c r="I19" s="358"/>
      <c r="J19" s="604"/>
      <c r="K19" s="355">
        <f t="shared" si="16"/>
        <v>0</v>
      </c>
      <c r="L19" s="357">
        <f>2100000-L18</f>
        <v>561380</v>
      </c>
      <c r="M19" s="355">
        <f t="shared" si="17"/>
        <v>0.06094026808</v>
      </c>
      <c r="N19" s="357"/>
      <c r="O19" s="358"/>
      <c r="P19" s="604"/>
      <c r="Q19" s="352"/>
      <c r="R19" s="357">
        <f>2205000-R18</f>
        <v>681549.11</v>
      </c>
      <c r="S19" s="355">
        <f t="shared" si="18"/>
        <v>0.06878753857</v>
      </c>
      <c r="T19" s="357"/>
      <c r="U19" s="358"/>
      <c r="V19" s="604"/>
      <c r="W19" s="355">
        <f t="shared" si="19"/>
        <v>0</v>
      </c>
      <c r="X19" s="357">
        <f>2230000-X18</f>
        <v>636483.78</v>
      </c>
      <c r="Y19" s="355">
        <f t="shared" si="20"/>
        <v>0.06198164894</v>
      </c>
      <c r="Z19" s="357"/>
      <c r="AA19" s="358"/>
      <c r="AB19" s="604"/>
      <c r="AC19" s="355">
        <f t="shared" si="21"/>
        <v>0</v>
      </c>
      <c r="AD19" s="357">
        <f>2300000-AD18</f>
        <v>600891.08</v>
      </c>
      <c r="AE19" s="355">
        <f t="shared" si="22"/>
        <v>0.05530474393</v>
      </c>
      <c r="AF19" s="357"/>
      <c r="AG19" s="358"/>
      <c r="AH19" s="604"/>
      <c r="AI19" s="355">
        <f t="shared" si="23"/>
        <v>0</v>
      </c>
      <c r="AJ19" s="357"/>
      <c r="AK19" s="355">
        <f t="shared" si="24"/>
        <v>0</v>
      </c>
      <c r="AL19" s="357"/>
      <c r="AM19" s="358"/>
      <c r="AN19" s="604"/>
      <c r="AO19" s="355">
        <f t="shared" si="25"/>
        <v>0</v>
      </c>
      <c r="AP19" s="357">
        <f>2512000-AP18</f>
        <v>749961.12</v>
      </c>
      <c r="AQ19" s="355">
        <f t="shared" si="26"/>
        <v>0.0656664746</v>
      </c>
      <c r="AR19" s="357"/>
      <c r="AS19" s="358"/>
      <c r="AT19" s="604"/>
      <c r="AU19" s="355">
        <f t="shared" si="27"/>
        <v>0</v>
      </c>
      <c r="AV19" s="357">
        <f>2562240-AV18</f>
        <v>737271.16</v>
      </c>
      <c r="AW19" s="355">
        <f t="shared" si="28"/>
        <v>0.06274877185</v>
      </c>
      <c r="AX19" s="357"/>
      <c r="AY19" s="358"/>
      <c r="AZ19" s="604"/>
      <c r="BA19" s="355">
        <f t="shared" si="29"/>
        <v>0</v>
      </c>
      <c r="BB19" s="357">
        <f>2818464-BB18</f>
        <v>867635.24</v>
      </c>
      <c r="BC19" s="355">
        <f t="shared" si="30"/>
        <v>0.06845264514</v>
      </c>
      <c r="BD19" s="357"/>
      <c r="BE19" s="358"/>
      <c r="BF19" s="604"/>
      <c r="BG19" s="355">
        <f t="shared" si="31"/>
        <v>0</v>
      </c>
      <c r="BH19" s="357">
        <f>2818464-BH18</f>
        <v>930565.2</v>
      </c>
      <c r="BI19" s="355">
        <f t="shared" si="32"/>
        <v>0.07560981769</v>
      </c>
      <c r="BJ19" s="357"/>
      <c r="BK19" s="358"/>
      <c r="BL19" s="604"/>
      <c r="BM19" s="355">
        <f t="shared" si="33"/>
        <v>0</v>
      </c>
      <c r="BN19" s="357">
        <f>2537000-BN18</f>
        <v>982443.09</v>
      </c>
      <c r="BO19" s="355">
        <f t="shared" si="34"/>
        <v>0.09481018036</v>
      </c>
      <c r="BP19" s="357"/>
      <c r="BQ19" s="358"/>
      <c r="BR19" s="604"/>
      <c r="BS19" s="355">
        <f t="shared" si="35"/>
        <v>0</v>
      </c>
      <c r="BT19" s="357">
        <f>2790700-BT18</f>
        <v>1091591.08</v>
      </c>
      <c r="BU19" s="355">
        <f t="shared" si="36"/>
        <v>0.09620771167</v>
      </c>
      <c r="BV19" s="357"/>
      <c r="BW19" s="358"/>
      <c r="BX19" s="718">
        <f t="shared" si="13"/>
        <v>0</v>
      </c>
      <c r="BY19" s="213"/>
      <c r="BZ19" s="213"/>
      <c r="CA19" s="213"/>
      <c r="CB19" s="213"/>
      <c r="CC19" s="213"/>
      <c r="CD19" s="213"/>
      <c r="CE19" s="213"/>
      <c r="CF19" s="213"/>
      <c r="CG19" s="213"/>
      <c r="CH19" s="213"/>
      <c r="CI19" s="213"/>
      <c r="CJ19" s="213"/>
      <c r="CK19" s="213"/>
      <c r="CL19" s="213"/>
      <c r="CM19" s="213"/>
      <c r="CN19" s="213"/>
      <c r="CO19" s="213"/>
      <c r="CP19" s="213"/>
      <c r="CQ19" s="213"/>
      <c r="CR19" s="213"/>
      <c r="CS19" s="213"/>
      <c r="CT19" s="213"/>
      <c r="CU19" s="213"/>
    </row>
    <row r="20" ht="15.75" customHeight="1">
      <c r="A20" s="213"/>
      <c r="B20" s="393"/>
      <c r="C20" s="350" t="s">
        <v>389</v>
      </c>
      <c r="D20" s="604"/>
      <c r="E20" s="355"/>
      <c r="F20" s="357">
        <f>300000</f>
        <v>300000</v>
      </c>
      <c r="G20" s="355">
        <f t="shared" si="15"/>
        <v>0.03069894121</v>
      </c>
      <c r="H20" s="357"/>
      <c r="I20" s="358"/>
      <c r="J20" s="604"/>
      <c r="K20" s="355">
        <f t="shared" si="16"/>
        <v>0</v>
      </c>
      <c r="L20" s="357">
        <v>330000.0</v>
      </c>
      <c r="M20" s="355">
        <f t="shared" si="17"/>
        <v>0.03582295142</v>
      </c>
      <c r="N20" s="357"/>
      <c r="O20" s="358"/>
      <c r="P20" s="604"/>
      <c r="Q20" s="352"/>
      <c r="R20" s="357">
        <v>400000.0</v>
      </c>
      <c r="S20" s="355">
        <f t="shared" si="18"/>
        <v>0.04037128803</v>
      </c>
      <c r="T20" s="357"/>
      <c r="U20" s="358"/>
      <c r="V20" s="604"/>
      <c r="W20" s="355">
        <f t="shared" si="19"/>
        <v>0</v>
      </c>
      <c r="X20" s="357">
        <v>400000.0</v>
      </c>
      <c r="Y20" s="355">
        <f t="shared" si="20"/>
        <v>0.03895253949</v>
      </c>
      <c r="Z20" s="357"/>
      <c r="AA20" s="358"/>
      <c r="AB20" s="604"/>
      <c r="AC20" s="355">
        <f t="shared" si="21"/>
        <v>0</v>
      </c>
      <c r="AD20" s="357">
        <v>420000.0</v>
      </c>
      <c r="AE20" s="355">
        <f t="shared" si="22"/>
        <v>0.03865591157</v>
      </c>
      <c r="AF20" s="357"/>
      <c r="AG20" s="358"/>
      <c r="AH20" s="604"/>
      <c r="AI20" s="355">
        <f t="shared" si="23"/>
        <v>0</v>
      </c>
      <c r="AJ20" s="357"/>
      <c r="AK20" s="355">
        <f t="shared" si="24"/>
        <v>0</v>
      </c>
      <c r="AL20" s="357"/>
      <c r="AM20" s="358"/>
      <c r="AN20" s="604"/>
      <c r="AO20" s="355">
        <f t="shared" si="25"/>
        <v>0</v>
      </c>
      <c r="AP20" s="357">
        <v>462000.0</v>
      </c>
      <c r="AQ20" s="355">
        <f t="shared" si="26"/>
        <v>0.04045264542</v>
      </c>
      <c r="AR20" s="357"/>
      <c r="AS20" s="358"/>
      <c r="AT20" s="604"/>
      <c r="AU20" s="355">
        <f t="shared" si="27"/>
        <v>0</v>
      </c>
      <c r="AV20" s="357">
        <v>438900.0</v>
      </c>
      <c r="AW20" s="355">
        <f t="shared" si="28"/>
        <v>0.03735455482</v>
      </c>
      <c r="AX20" s="357"/>
      <c r="AY20" s="358"/>
      <c r="AZ20" s="604"/>
      <c r="BA20" s="355">
        <f t="shared" si="29"/>
        <v>0</v>
      </c>
      <c r="BB20" s="357">
        <v>504735.0</v>
      </c>
      <c r="BC20" s="355">
        <f t="shared" si="30"/>
        <v>0.03982139527</v>
      </c>
      <c r="BD20" s="357"/>
      <c r="BE20" s="358"/>
      <c r="BF20" s="604"/>
      <c r="BG20" s="355">
        <f t="shared" si="31"/>
        <v>0</v>
      </c>
      <c r="BH20" s="357">
        <v>438900.0</v>
      </c>
      <c r="BI20" s="355">
        <f t="shared" si="32"/>
        <v>0.03566128304</v>
      </c>
      <c r="BJ20" s="357"/>
      <c r="BK20" s="358"/>
      <c r="BL20" s="604"/>
      <c r="BM20" s="355">
        <f t="shared" si="33"/>
        <v>0</v>
      </c>
      <c r="BN20" s="357">
        <v>373065.0</v>
      </c>
      <c r="BO20" s="355">
        <f t="shared" si="34"/>
        <v>0.03600245174</v>
      </c>
      <c r="BP20" s="357"/>
      <c r="BQ20" s="358"/>
      <c r="BR20" s="604"/>
      <c r="BS20" s="355">
        <f t="shared" si="35"/>
        <v>0</v>
      </c>
      <c r="BT20" s="357">
        <v>410400.0</v>
      </c>
      <c r="BU20" s="355">
        <f t="shared" si="36"/>
        <v>0.03617072876</v>
      </c>
      <c r="BV20" s="357"/>
      <c r="BW20" s="358"/>
      <c r="BX20" s="718">
        <f t="shared" si="13"/>
        <v>0</v>
      </c>
      <c r="BY20" s="213"/>
      <c r="BZ20" s="213"/>
      <c r="CA20" s="213"/>
      <c r="CB20" s="213"/>
      <c r="CC20" s="213"/>
      <c r="CD20" s="213"/>
      <c r="CE20" s="213"/>
      <c r="CF20" s="213"/>
      <c r="CG20" s="213"/>
      <c r="CH20" s="213"/>
      <c r="CI20" s="213"/>
      <c r="CJ20" s="213"/>
      <c r="CK20" s="213"/>
      <c r="CL20" s="213"/>
      <c r="CM20" s="213"/>
      <c r="CN20" s="213"/>
      <c r="CO20" s="213"/>
      <c r="CP20" s="213"/>
      <c r="CQ20" s="213"/>
      <c r="CR20" s="213"/>
      <c r="CS20" s="213"/>
      <c r="CT20" s="213"/>
      <c r="CU20" s="213"/>
    </row>
    <row r="21" ht="15.75" customHeight="1">
      <c r="A21" s="213"/>
      <c r="B21" s="393"/>
      <c r="C21" s="350" t="s">
        <v>297</v>
      </c>
      <c r="D21" s="604">
        <f>77663+91810</f>
        <v>169473</v>
      </c>
      <c r="E21" s="355">
        <f t="shared" ref="E21:E23" si="37">D21/$D$16</f>
        <v>0.01824225759</v>
      </c>
      <c r="F21" s="357"/>
      <c r="G21" s="355">
        <f t="shared" si="15"/>
        <v>0</v>
      </c>
      <c r="H21" s="357">
        <f t="shared" ref="H21:H23" si="38">D21-F21</f>
        <v>169473</v>
      </c>
      <c r="I21" s="395" t="str">
        <f>H21/F21</f>
        <v>#DIV/0!</v>
      </c>
      <c r="J21" s="604">
        <v>4286.0</v>
      </c>
      <c r="K21" s="355">
        <f t="shared" si="16"/>
        <v>0.00044329805</v>
      </c>
      <c r="L21" s="357"/>
      <c r="M21" s="355">
        <f t="shared" si="17"/>
        <v>0</v>
      </c>
      <c r="N21" s="357"/>
      <c r="O21" s="358"/>
      <c r="P21" s="604">
        <v>499905.0</v>
      </c>
      <c r="Q21" s="352"/>
      <c r="R21" s="357"/>
      <c r="S21" s="355">
        <f t="shared" si="18"/>
        <v>0</v>
      </c>
      <c r="T21" s="357"/>
      <c r="U21" s="358"/>
      <c r="V21" s="604">
        <v>456514.0</v>
      </c>
      <c r="W21" s="355">
        <f t="shared" si="19"/>
        <v>0.04221422884</v>
      </c>
      <c r="X21" s="357"/>
      <c r="Y21" s="355">
        <f t="shared" si="20"/>
        <v>0</v>
      </c>
      <c r="Z21" s="357"/>
      <c r="AA21" s="358"/>
      <c r="AB21" s="604">
        <v>218519.0</v>
      </c>
      <c r="AC21" s="355">
        <f t="shared" si="21"/>
        <v>0.02001739209</v>
      </c>
      <c r="AD21" s="357"/>
      <c r="AE21" s="355">
        <f t="shared" si="22"/>
        <v>0</v>
      </c>
      <c r="AF21" s="357"/>
      <c r="AG21" s="358"/>
      <c r="AH21" s="604">
        <v>378786.0</v>
      </c>
      <c r="AI21" s="355">
        <f t="shared" si="23"/>
        <v>0.04031896666</v>
      </c>
      <c r="AJ21" s="357"/>
      <c r="AK21" s="355">
        <f t="shared" si="24"/>
        <v>0</v>
      </c>
      <c r="AL21" s="357"/>
      <c r="AM21" s="358"/>
      <c r="AN21" s="604">
        <v>372500.0</v>
      </c>
      <c r="AO21" s="355">
        <f t="shared" si="25"/>
        <v>0.03836214253</v>
      </c>
      <c r="AP21" s="357"/>
      <c r="AQ21" s="355">
        <f t="shared" si="26"/>
        <v>0</v>
      </c>
      <c r="AR21" s="357"/>
      <c r="AS21" s="358"/>
      <c r="AT21" s="604">
        <v>345322.0</v>
      </c>
      <c r="AU21" s="355">
        <f t="shared" si="27"/>
        <v>0.03593629868</v>
      </c>
      <c r="AV21" s="357"/>
      <c r="AW21" s="355">
        <f t="shared" si="28"/>
        <v>0</v>
      </c>
      <c r="AX21" s="357"/>
      <c r="AY21" s="358"/>
      <c r="AZ21" s="604">
        <v>1494455.0</v>
      </c>
      <c r="BA21" s="355">
        <f t="shared" si="29"/>
        <v>0.1092028582</v>
      </c>
      <c r="BB21" s="357"/>
      <c r="BC21" s="355">
        <f t="shared" si="30"/>
        <v>0</v>
      </c>
      <c r="BD21" s="357"/>
      <c r="BE21" s="358"/>
      <c r="BF21" s="604">
        <v>1346368.0</v>
      </c>
      <c r="BG21" s="355">
        <f t="shared" si="31"/>
        <v>0.09980895242</v>
      </c>
      <c r="BH21" s="357"/>
      <c r="BI21" s="355">
        <f t="shared" si="32"/>
        <v>0</v>
      </c>
      <c r="BJ21" s="357"/>
      <c r="BK21" s="358"/>
      <c r="BL21" s="604">
        <v>4175625.0</v>
      </c>
      <c r="BM21" s="355">
        <f t="shared" si="33"/>
        <v>0.3017429128</v>
      </c>
      <c r="BN21" s="357"/>
      <c r="BO21" s="355">
        <f t="shared" si="34"/>
        <v>0</v>
      </c>
      <c r="BP21" s="357"/>
      <c r="BQ21" s="358"/>
      <c r="BR21" s="604">
        <f>853310-26981</f>
        <v>826329</v>
      </c>
      <c r="BS21" s="355">
        <f t="shared" si="35"/>
        <v>0.07100594242</v>
      </c>
      <c r="BT21" s="357"/>
      <c r="BU21" s="355">
        <f t="shared" si="36"/>
        <v>0</v>
      </c>
      <c r="BV21" s="357"/>
      <c r="BW21" s="358"/>
      <c r="BX21" s="718">
        <f t="shared" si="13"/>
        <v>10288082</v>
      </c>
      <c r="BY21" s="213"/>
      <c r="BZ21" s="213"/>
      <c r="CA21" s="213"/>
      <c r="CB21" s="213"/>
      <c r="CC21" s="213"/>
      <c r="CD21" s="213"/>
      <c r="CE21" s="213"/>
      <c r="CF21" s="213"/>
      <c r="CG21" s="213"/>
      <c r="CH21" s="213"/>
      <c r="CI21" s="213"/>
      <c r="CJ21" s="213"/>
      <c r="CK21" s="213"/>
      <c r="CL21" s="213"/>
      <c r="CM21" s="213"/>
      <c r="CN21" s="213"/>
      <c r="CO21" s="213"/>
      <c r="CP21" s="213"/>
      <c r="CQ21" s="213"/>
      <c r="CR21" s="213"/>
      <c r="CS21" s="213"/>
      <c r="CT21" s="213"/>
      <c r="CU21" s="213"/>
    </row>
    <row r="22" ht="15.75" customHeight="1">
      <c r="A22" s="213"/>
      <c r="B22" s="393"/>
      <c r="C22" s="350" t="s">
        <v>225</v>
      </c>
      <c r="D22" s="604">
        <f>15726+621.25+8769.69+2579.19</f>
        <v>27696.13</v>
      </c>
      <c r="E22" s="355">
        <f t="shared" si="37"/>
        <v>0.002981241483</v>
      </c>
      <c r="F22" s="357">
        <v>17820.0</v>
      </c>
      <c r="G22" s="355">
        <f t="shared" si="15"/>
        <v>0.001823517108</v>
      </c>
      <c r="H22" s="357">
        <f t="shared" si="38"/>
        <v>9876.13</v>
      </c>
      <c r="I22" s="395"/>
      <c r="J22" s="604">
        <f>11941.83+1416.75+5038.92+2772.4</f>
        <v>21169.9</v>
      </c>
      <c r="K22" s="355">
        <f t="shared" si="16"/>
        <v>0.002189588285</v>
      </c>
      <c r="L22" s="357">
        <v>17829.0</v>
      </c>
      <c r="M22" s="355">
        <f t="shared" si="17"/>
        <v>0.001935416366</v>
      </c>
      <c r="N22" s="357"/>
      <c r="O22" s="358"/>
      <c r="P22" s="604">
        <f>10980+590+4222+2451</f>
        <v>18243</v>
      </c>
      <c r="Q22" s="352"/>
      <c r="R22" s="357">
        <v>17652.97</v>
      </c>
      <c r="S22" s="355">
        <f t="shared" si="18"/>
        <v>0.001781682841</v>
      </c>
      <c r="T22" s="357"/>
      <c r="U22" s="358"/>
      <c r="V22" s="604">
        <f>12219+5454</f>
        <v>17673</v>
      </c>
      <c r="W22" s="355">
        <f t="shared" si="19"/>
        <v>0.001634236992</v>
      </c>
      <c r="X22" s="357">
        <v>18464.85</v>
      </c>
      <c r="Y22" s="355">
        <f t="shared" si="20"/>
        <v>0.001798131997</v>
      </c>
      <c r="Z22" s="357"/>
      <c r="AA22" s="358"/>
      <c r="AB22" s="604">
        <v>17575.0</v>
      </c>
      <c r="AC22" s="355">
        <f t="shared" si="21"/>
        <v>0.001609954585</v>
      </c>
      <c r="AD22" s="357">
        <v>19688.4</v>
      </c>
      <c r="AE22" s="355">
        <f t="shared" si="22"/>
        <v>0.001812078689</v>
      </c>
      <c r="AF22" s="357"/>
      <c r="AG22" s="358"/>
      <c r="AH22" s="604">
        <f>3453.65+7134.43+924.5+1342.58</f>
        <v>12855.16</v>
      </c>
      <c r="AI22" s="355">
        <f t="shared" si="23"/>
        <v>0.001368336653</v>
      </c>
      <c r="AJ22" s="357">
        <v>18230.0</v>
      </c>
      <c r="AK22" s="355">
        <f t="shared" si="24"/>
        <v>0.001760714547</v>
      </c>
      <c r="AL22" s="357"/>
      <c r="AM22" s="358"/>
      <c r="AN22" s="604">
        <f>2946.93+8002.5+1199.5+1140.45</f>
        <v>13289.38</v>
      </c>
      <c r="AO22" s="355">
        <f t="shared" si="25"/>
        <v>0.001368615006</v>
      </c>
      <c r="AP22" s="357">
        <v>20417.6</v>
      </c>
      <c r="AQ22" s="355">
        <f t="shared" si="26"/>
        <v>0.00178776176</v>
      </c>
      <c r="AR22" s="357"/>
      <c r="AS22" s="358"/>
      <c r="AT22" s="604">
        <v>11413.84</v>
      </c>
      <c r="AU22" s="355">
        <f t="shared" si="27"/>
        <v>0.001187793316</v>
      </c>
      <c r="AV22" s="357">
        <v>21146.8</v>
      </c>
      <c r="AW22" s="355">
        <f t="shared" si="28"/>
        <v>0.001799793347</v>
      </c>
      <c r="AX22" s="357"/>
      <c r="AY22" s="358"/>
      <c r="AZ22" s="604">
        <v>15729.55</v>
      </c>
      <c r="BA22" s="355">
        <f t="shared" si="29"/>
        <v>0.001149390125</v>
      </c>
      <c r="BB22" s="357">
        <v>22605.2</v>
      </c>
      <c r="BC22" s="355">
        <f t="shared" si="30"/>
        <v>0.001783451919</v>
      </c>
      <c r="BD22" s="357"/>
      <c r="BE22" s="358"/>
      <c r="BF22" s="604">
        <v>21292.63</v>
      </c>
      <c r="BG22" s="355">
        <f t="shared" si="31"/>
        <v>0.001578465245</v>
      </c>
      <c r="BH22" s="357">
        <v>21876.0</v>
      </c>
      <c r="BI22" s="355">
        <f t="shared" si="32"/>
        <v>0.001777457799</v>
      </c>
      <c r="BJ22" s="357"/>
      <c r="BK22" s="358"/>
      <c r="BL22" s="604">
        <f>700.88+3341.55+20483.12</f>
        <v>24525.55</v>
      </c>
      <c r="BM22" s="355">
        <f t="shared" si="33"/>
        <v>0.001772288195</v>
      </c>
      <c r="BN22" s="357">
        <v>18013.41</v>
      </c>
      <c r="BO22" s="355">
        <f t="shared" si="34"/>
        <v>0.001738375147</v>
      </c>
      <c r="BP22" s="357"/>
      <c r="BQ22" s="358"/>
      <c r="BR22" s="604">
        <f>4311.92+24132.04+434.75</f>
        <v>28878.71</v>
      </c>
      <c r="BS22" s="355">
        <f t="shared" si="35"/>
        <v>0.002481529777</v>
      </c>
      <c r="BT22" s="357">
        <v>19688.4</v>
      </c>
      <c r="BU22" s="355">
        <f t="shared" si="36"/>
        <v>0.001735243119</v>
      </c>
      <c r="BV22" s="357"/>
      <c r="BW22" s="358"/>
      <c r="BX22" s="718">
        <f t="shared" si="13"/>
        <v>230341.85</v>
      </c>
      <c r="BY22" s="213"/>
      <c r="BZ22" s="213"/>
      <c r="CA22" s="213"/>
      <c r="CB22" s="213"/>
      <c r="CC22" s="213"/>
      <c r="CD22" s="213"/>
      <c r="CE22" s="213"/>
      <c r="CF22" s="213"/>
      <c r="CG22" s="213"/>
      <c r="CH22" s="213"/>
      <c r="CI22" s="213"/>
      <c r="CJ22" s="213"/>
      <c r="CK22" s="213"/>
      <c r="CL22" s="213"/>
      <c r="CM22" s="213"/>
      <c r="CN22" s="213"/>
      <c r="CO22" s="213"/>
      <c r="CP22" s="213"/>
      <c r="CQ22" s="213"/>
      <c r="CR22" s="213"/>
      <c r="CS22" s="213"/>
      <c r="CT22" s="213"/>
      <c r="CU22" s="213"/>
    </row>
    <row r="23" ht="15.75" customHeight="1">
      <c r="A23" s="213"/>
      <c r="B23" s="393"/>
      <c r="C23" s="350" t="s">
        <v>226</v>
      </c>
      <c r="D23" s="604">
        <f>3446.01+12191+41937+30864</f>
        <v>88438.01</v>
      </c>
      <c r="E23" s="355">
        <f t="shared" si="37"/>
        <v>0.00951956335</v>
      </c>
      <c r="F23" s="357">
        <v>17820.0</v>
      </c>
      <c r="G23" s="355">
        <f t="shared" si="15"/>
        <v>0.001823517108</v>
      </c>
      <c r="H23" s="357">
        <f t="shared" si="38"/>
        <v>70618.01</v>
      </c>
      <c r="I23" s="395"/>
      <c r="J23" s="604">
        <f>4765+15405.75+49157+34630</f>
        <v>103957.75</v>
      </c>
      <c r="K23" s="355">
        <f t="shared" si="16"/>
        <v>0.01075227901</v>
      </c>
      <c r="L23" s="357">
        <v>17829.0</v>
      </c>
      <c r="M23" s="355">
        <f t="shared" si="17"/>
        <v>0.001935416366</v>
      </c>
      <c r="N23" s="357"/>
      <c r="O23" s="358"/>
      <c r="P23" s="604">
        <f>6112+1853+7138+58989</f>
        <v>74092</v>
      </c>
      <c r="Q23" s="352"/>
      <c r="R23" s="357">
        <v>17652.97</v>
      </c>
      <c r="S23" s="355">
        <f t="shared" si="18"/>
        <v>0.001781682841</v>
      </c>
      <c r="T23" s="357"/>
      <c r="U23" s="358"/>
      <c r="V23" s="604">
        <f>127393+19914</f>
        <v>147307</v>
      </c>
      <c r="W23" s="355">
        <f t="shared" si="19"/>
        <v>0.01362160067</v>
      </c>
      <c r="X23" s="357">
        <v>18464.85</v>
      </c>
      <c r="Y23" s="355">
        <f t="shared" si="20"/>
        <v>0.001798131997</v>
      </c>
      <c r="Z23" s="357"/>
      <c r="AA23" s="358"/>
      <c r="AB23" s="604">
        <v>163436.0</v>
      </c>
      <c r="AC23" s="355">
        <f t="shared" si="21"/>
        <v>0.01497152419</v>
      </c>
      <c r="AD23" s="357">
        <v>19688.4</v>
      </c>
      <c r="AE23" s="355">
        <f t="shared" si="22"/>
        <v>0.001812078689</v>
      </c>
      <c r="AF23" s="357"/>
      <c r="AG23" s="358"/>
      <c r="AH23" s="604">
        <f>102854+38051.6+14030.75+3995.06</f>
        <v>158931.41</v>
      </c>
      <c r="AI23" s="355">
        <f t="shared" si="23"/>
        <v>0.01691707249</v>
      </c>
      <c r="AJ23" s="357">
        <v>18230.0</v>
      </c>
      <c r="AK23" s="355">
        <f t="shared" si="24"/>
        <v>0.001760714547</v>
      </c>
      <c r="AL23" s="357"/>
      <c r="AM23" s="358"/>
      <c r="AN23" s="604">
        <f>89225.5+32997.35+12933.75+4188.83</f>
        <v>139345.43</v>
      </c>
      <c r="AO23" s="355">
        <f t="shared" si="25"/>
        <v>0.01435057516</v>
      </c>
      <c r="AP23" s="357">
        <v>20417.6</v>
      </c>
      <c r="AQ23" s="355">
        <f t="shared" si="26"/>
        <v>0.00178776176</v>
      </c>
      <c r="AR23" s="357"/>
      <c r="AS23" s="358"/>
      <c r="AT23" s="604">
        <f>13600.5+2108.5+38906.38+86838</f>
        <v>141453.38</v>
      </c>
      <c r="AU23" s="355">
        <f t="shared" si="27"/>
        <v>0.0147204954</v>
      </c>
      <c r="AV23" s="357">
        <v>21146.8</v>
      </c>
      <c r="AW23" s="355">
        <f t="shared" si="28"/>
        <v>0.001799793347</v>
      </c>
      <c r="AX23" s="357"/>
      <c r="AY23" s="358"/>
      <c r="AZ23" s="604">
        <v>167973.6</v>
      </c>
      <c r="BA23" s="355">
        <f t="shared" si="29"/>
        <v>0.01227417167</v>
      </c>
      <c r="BB23" s="357">
        <v>22605.2</v>
      </c>
      <c r="BC23" s="355">
        <f t="shared" si="30"/>
        <v>0.001783451919</v>
      </c>
      <c r="BD23" s="357"/>
      <c r="BE23" s="358"/>
      <c r="BF23" s="604">
        <v>150269.53</v>
      </c>
      <c r="BG23" s="355">
        <f t="shared" si="31"/>
        <v>0.01113978078</v>
      </c>
      <c r="BH23" s="357">
        <v>21876.0</v>
      </c>
      <c r="BI23" s="355">
        <f t="shared" si="32"/>
        <v>0.001777457799</v>
      </c>
      <c r="BJ23" s="357"/>
      <c r="BK23" s="358"/>
      <c r="BL23" s="604">
        <f>12904+2546.7+82053.75+35919.25</f>
        <v>133423.7</v>
      </c>
      <c r="BM23" s="355">
        <f t="shared" si="33"/>
        <v>0.009641587996</v>
      </c>
      <c r="BN23" s="357">
        <v>18013.41</v>
      </c>
      <c r="BO23" s="355">
        <f t="shared" si="34"/>
        <v>0.001738375147</v>
      </c>
      <c r="BP23" s="357"/>
      <c r="BQ23" s="358"/>
      <c r="BR23" s="604">
        <f>14494.75+3008.51+88040.25+44165.89</f>
        <v>149709.4</v>
      </c>
      <c r="BS23" s="355">
        <f t="shared" si="35"/>
        <v>0.01286443661</v>
      </c>
      <c r="BT23" s="357">
        <v>19688.4</v>
      </c>
      <c r="BU23" s="355">
        <f t="shared" si="36"/>
        <v>0.001735243119</v>
      </c>
      <c r="BV23" s="357"/>
      <c r="BW23" s="358"/>
      <c r="BX23" s="718">
        <f t="shared" si="13"/>
        <v>1618337.21</v>
      </c>
      <c r="BY23" s="213"/>
      <c r="BZ23" s="213"/>
      <c r="CA23" s="213"/>
      <c r="CB23" s="213"/>
      <c r="CC23" s="213"/>
      <c r="CD23" s="213"/>
      <c r="CE23" s="213"/>
      <c r="CF23" s="213"/>
      <c r="CG23" s="213"/>
      <c r="CH23" s="213"/>
      <c r="CI23" s="213"/>
      <c r="CJ23" s="213"/>
      <c r="CK23" s="213"/>
      <c r="CL23" s="213"/>
      <c r="CM23" s="213"/>
      <c r="CN23" s="213"/>
      <c r="CO23" s="213"/>
      <c r="CP23" s="213"/>
      <c r="CQ23" s="213"/>
      <c r="CR23" s="213"/>
      <c r="CS23" s="213"/>
      <c r="CT23" s="213"/>
      <c r="CU23" s="213"/>
    </row>
    <row r="24" ht="15.75" customHeight="1">
      <c r="A24" s="213"/>
      <c r="B24" s="393"/>
      <c r="C24" s="350" t="s">
        <v>227</v>
      </c>
      <c r="D24" s="604">
        <v>12300.0</v>
      </c>
      <c r="E24" s="355"/>
      <c r="F24" s="357"/>
      <c r="G24" s="355"/>
      <c r="H24" s="357"/>
      <c r="I24" s="719" t="str">
        <f t="shared" ref="I24:I25" si="39">IFERROR(H24/F24,"")</f>
        <v/>
      </c>
      <c r="J24" s="604">
        <v>15400.0</v>
      </c>
      <c r="K24" s="245"/>
      <c r="L24" s="357"/>
      <c r="M24" s="245"/>
      <c r="N24" s="357"/>
      <c r="O24" s="350"/>
      <c r="P24" s="604">
        <v>14300.0</v>
      </c>
      <c r="Q24" s="245"/>
      <c r="R24" s="357"/>
      <c r="S24" s="245"/>
      <c r="T24" s="357"/>
      <c r="U24" s="350"/>
      <c r="V24" s="604">
        <v>19800.0</v>
      </c>
      <c r="W24" s="355">
        <f t="shared" si="19"/>
        <v>0.001830922449</v>
      </c>
      <c r="X24" s="357"/>
      <c r="Y24" s="245"/>
      <c r="Z24" s="357"/>
      <c r="AA24" s="350"/>
      <c r="AB24" s="604">
        <v>20900.0</v>
      </c>
      <c r="AC24" s="355">
        <f t="shared" si="21"/>
        <v>0.001914540588</v>
      </c>
      <c r="AD24" s="357"/>
      <c r="AE24" s="245"/>
      <c r="AF24" s="357"/>
      <c r="AG24" s="350"/>
      <c r="AH24" s="604">
        <v>18200.0</v>
      </c>
      <c r="AI24" s="355">
        <f t="shared" si="23"/>
        <v>0.001937255319</v>
      </c>
      <c r="AJ24" s="357"/>
      <c r="AK24" s="245"/>
      <c r="AL24" s="357"/>
      <c r="AM24" s="350"/>
      <c r="AN24" s="604">
        <v>15600.0</v>
      </c>
      <c r="AO24" s="355">
        <f t="shared" si="25"/>
        <v>0.001606575633</v>
      </c>
      <c r="AP24" s="357"/>
      <c r="AQ24" s="245"/>
      <c r="AR24" s="357"/>
      <c r="AS24" s="350"/>
      <c r="AT24" s="604">
        <v>19200.0</v>
      </c>
      <c r="AU24" s="355">
        <f t="shared" si="27"/>
        <v>0.00199806828</v>
      </c>
      <c r="AV24" s="357"/>
      <c r="AW24" s="245"/>
      <c r="AX24" s="357"/>
      <c r="AY24" s="350"/>
      <c r="AZ24" s="604">
        <v>19200.0</v>
      </c>
      <c r="BA24" s="355">
        <f t="shared" si="29"/>
        <v>0.001402982946</v>
      </c>
      <c r="BB24" s="357"/>
      <c r="BC24" s="245"/>
      <c r="BD24" s="357"/>
      <c r="BE24" s="350"/>
      <c r="BF24" s="628">
        <v>21600.0</v>
      </c>
      <c r="BG24" s="355">
        <f t="shared" si="31"/>
        <v>0.001601251198</v>
      </c>
      <c r="BH24" s="357"/>
      <c r="BI24" s="245"/>
      <c r="BJ24" s="357"/>
      <c r="BK24" s="350"/>
      <c r="BL24" s="628">
        <v>12000.0</v>
      </c>
      <c r="BM24" s="355">
        <f t="shared" si="33"/>
        <v>0.0008671552052</v>
      </c>
      <c r="BN24" s="357"/>
      <c r="BO24" s="245"/>
      <c r="BP24" s="357"/>
      <c r="BQ24" s="350"/>
      <c r="BR24" s="604">
        <v>12000.0</v>
      </c>
      <c r="BS24" s="355">
        <f t="shared" si="35"/>
        <v>0.001031152615</v>
      </c>
      <c r="BT24" s="357"/>
      <c r="BU24" s="245"/>
      <c r="BV24" s="357"/>
      <c r="BW24" s="350"/>
      <c r="BX24" s="718">
        <f t="shared" si="13"/>
        <v>200500</v>
      </c>
      <c r="BY24" s="213"/>
      <c r="BZ24" s="213"/>
      <c r="CA24" s="213"/>
      <c r="CB24" s="213"/>
      <c r="CC24" s="213"/>
      <c r="CD24" s="213"/>
      <c r="CE24" s="213"/>
      <c r="CF24" s="213"/>
      <c r="CG24" s="213"/>
      <c r="CH24" s="213"/>
      <c r="CI24" s="213"/>
      <c r="CJ24" s="213"/>
      <c r="CK24" s="213"/>
      <c r="CL24" s="213"/>
      <c r="CM24" s="213"/>
      <c r="CN24" s="213"/>
      <c r="CO24" s="213"/>
      <c r="CP24" s="213"/>
      <c r="CQ24" s="213"/>
      <c r="CR24" s="213"/>
      <c r="CS24" s="213"/>
      <c r="CT24" s="213"/>
      <c r="CU24" s="213"/>
    </row>
    <row r="25" ht="15.75" customHeight="1">
      <c r="A25" s="213"/>
      <c r="B25" s="349"/>
      <c r="C25" s="350" t="s">
        <v>228</v>
      </c>
      <c r="D25" s="604"/>
      <c r="E25" s="355"/>
      <c r="F25" s="357"/>
      <c r="G25" s="355"/>
      <c r="H25" s="357"/>
      <c r="I25" s="719" t="str">
        <f t="shared" si="39"/>
        <v/>
      </c>
      <c r="J25" s="604"/>
      <c r="K25" s="245"/>
      <c r="L25" s="357"/>
      <c r="M25" s="245"/>
      <c r="N25" s="357"/>
      <c r="O25" s="350"/>
      <c r="P25" s="604"/>
      <c r="Q25" s="245"/>
      <c r="R25" s="357"/>
      <c r="S25" s="245"/>
      <c r="T25" s="357"/>
      <c r="U25" s="350"/>
      <c r="V25" s="604"/>
      <c r="W25" s="245"/>
      <c r="X25" s="357"/>
      <c r="Y25" s="245"/>
      <c r="Z25" s="357"/>
      <c r="AA25" s="350"/>
      <c r="AB25" s="604"/>
      <c r="AC25" s="245"/>
      <c r="AD25" s="357"/>
      <c r="AE25" s="245"/>
      <c r="AF25" s="357"/>
      <c r="AG25" s="350"/>
      <c r="AH25" s="604"/>
      <c r="AI25" s="245"/>
      <c r="AJ25" s="357"/>
      <c r="AK25" s="245"/>
      <c r="AL25" s="357"/>
      <c r="AM25" s="350"/>
      <c r="AN25" s="604"/>
      <c r="AO25" s="245"/>
      <c r="AP25" s="357"/>
      <c r="AQ25" s="245"/>
      <c r="AR25" s="357"/>
      <c r="AS25" s="350"/>
      <c r="AT25" s="604"/>
      <c r="AU25" s="245"/>
      <c r="AV25" s="357"/>
      <c r="AW25" s="245"/>
      <c r="AX25" s="357"/>
      <c r="AY25" s="350"/>
      <c r="AZ25" s="604"/>
      <c r="BA25" s="245"/>
      <c r="BB25" s="357"/>
      <c r="BC25" s="245"/>
      <c r="BD25" s="357"/>
      <c r="BE25" s="350"/>
      <c r="BF25" s="604"/>
      <c r="BG25" s="245"/>
      <c r="BH25" s="357"/>
      <c r="BI25" s="245"/>
      <c r="BJ25" s="357"/>
      <c r="BK25" s="350"/>
      <c r="BL25" s="604"/>
      <c r="BM25" s="245"/>
      <c r="BN25" s="357"/>
      <c r="BO25" s="245"/>
      <c r="BP25" s="357"/>
      <c r="BQ25" s="350"/>
      <c r="BR25" s="604"/>
      <c r="BS25" s="245"/>
      <c r="BT25" s="357"/>
      <c r="BU25" s="245"/>
      <c r="BV25" s="357"/>
      <c r="BW25" s="350"/>
      <c r="BX25" s="718">
        <f t="shared" si="13"/>
        <v>0</v>
      </c>
      <c r="BY25" s="213"/>
      <c r="BZ25" s="213"/>
      <c r="CA25" s="213"/>
      <c r="CB25" s="213"/>
      <c r="CC25" s="213"/>
      <c r="CD25" s="213"/>
      <c r="CE25" s="213"/>
      <c r="CF25" s="213"/>
      <c r="CG25" s="213"/>
      <c r="CH25" s="213"/>
      <c r="CI25" s="213"/>
      <c r="CJ25" s="213"/>
      <c r="CK25" s="213"/>
      <c r="CL25" s="213"/>
      <c r="CM25" s="213"/>
      <c r="CN25" s="213"/>
      <c r="CO25" s="213"/>
      <c r="CP25" s="213"/>
      <c r="CQ25" s="213"/>
      <c r="CR25" s="213"/>
      <c r="CS25" s="213"/>
      <c r="CT25" s="213"/>
      <c r="CU25" s="213"/>
    </row>
    <row r="26" ht="15.75" customHeight="1">
      <c r="A26" s="213"/>
      <c r="B26" s="349"/>
      <c r="C26" s="350" t="s">
        <v>229</v>
      </c>
      <c r="D26" s="604"/>
      <c r="E26" s="355"/>
      <c r="F26" s="357"/>
      <c r="G26" s="355"/>
      <c r="H26" s="357"/>
      <c r="I26" s="719"/>
      <c r="J26" s="604"/>
      <c r="K26" s="245"/>
      <c r="L26" s="357"/>
      <c r="M26" s="245"/>
      <c r="N26" s="357"/>
      <c r="O26" s="350"/>
      <c r="P26" s="604"/>
      <c r="Q26" s="245"/>
      <c r="R26" s="357"/>
      <c r="S26" s="245"/>
      <c r="T26" s="357"/>
      <c r="U26" s="350"/>
      <c r="V26" s="604"/>
      <c r="W26" s="245"/>
      <c r="X26" s="357"/>
      <c r="Y26" s="245"/>
      <c r="Z26" s="357"/>
      <c r="AA26" s="350"/>
      <c r="AB26" s="604"/>
      <c r="AC26" s="245"/>
      <c r="AD26" s="357"/>
      <c r="AE26" s="245"/>
      <c r="AF26" s="357"/>
      <c r="AG26" s="350"/>
      <c r="AH26" s="604"/>
      <c r="AI26" s="245"/>
      <c r="AJ26" s="357"/>
      <c r="AK26" s="245"/>
      <c r="AL26" s="357"/>
      <c r="AM26" s="350"/>
      <c r="AN26" s="604"/>
      <c r="AO26" s="245"/>
      <c r="AP26" s="357"/>
      <c r="AQ26" s="245"/>
      <c r="AR26" s="357"/>
      <c r="AS26" s="350"/>
      <c r="AT26" s="604"/>
      <c r="AU26" s="245"/>
      <c r="AV26" s="357"/>
      <c r="AW26" s="245"/>
      <c r="AX26" s="357"/>
      <c r="AY26" s="350"/>
      <c r="AZ26" s="604"/>
      <c r="BA26" s="245"/>
      <c r="BB26" s="357"/>
      <c r="BC26" s="245"/>
      <c r="BD26" s="357"/>
      <c r="BE26" s="350"/>
      <c r="BF26" s="604"/>
      <c r="BG26" s="245"/>
      <c r="BH26" s="357"/>
      <c r="BI26" s="245"/>
      <c r="BJ26" s="357"/>
      <c r="BK26" s="350"/>
      <c r="BL26" s="604"/>
      <c r="BM26" s="245"/>
      <c r="BN26" s="357"/>
      <c r="BO26" s="245"/>
      <c r="BP26" s="357"/>
      <c r="BQ26" s="350"/>
      <c r="BR26" s="604"/>
      <c r="BS26" s="245"/>
      <c r="BT26" s="357"/>
      <c r="BU26" s="245"/>
      <c r="BV26" s="357"/>
      <c r="BW26" s="350"/>
      <c r="BX26" s="718">
        <f t="shared" si="13"/>
        <v>0</v>
      </c>
      <c r="BY26" s="213"/>
      <c r="BZ26" s="213"/>
      <c r="CA26" s="213"/>
      <c r="CB26" s="213"/>
      <c r="CC26" s="213"/>
      <c r="CD26" s="213"/>
      <c r="CE26" s="213"/>
      <c r="CF26" s="213"/>
      <c r="CG26" s="213"/>
      <c r="CH26" s="213"/>
      <c r="CI26" s="213"/>
      <c r="CJ26" s="213"/>
      <c r="CK26" s="213"/>
      <c r="CL26" s="213"/>
      <c r="CM26" s="213"/>
      <c r="CN26" s="213"/>
      <c r="CO26" s="213"/>
      <c r="CP26" s="213"/>
      <c r="CQ26" s="213"/>
      <c r="CR26" s="213"/>
      <c r="CS26" s="213"/>
      <c r="CT26" s="213"/>
      <c r="CU26" s="213"/>
    </row>
    <row r="27" ht="15.75" customHeight="1">
      <c r="A27" s="213"/>
      <c r="B27" s="349"/>
      <c r="C27" s="350"/>
      <c r="D27" s="604"/>
      <c r="E27" s="352"/>
      <c r="F27" s="357"/>
      <c r="G27" s="352"/>
      <c r="H27" s="357"/>
      <c r="I27" s="358"/>
      <c r="J27" s="604"/>
      <c r="K27" s="352"/>
      <c r="L27" s="357"/>
      <c r="M27" s="352"/>
      <c r="N27" s="357"/>
      <c r="O27" s="358"/>
      <c r="P27" s="604"/>
      <c r="Q27" s="352"/>
      <c r="R27" s="357"/>
      <c r="S27" s="352"/>
      <c r="T27" s="357"/>
      <c r="U27" s="358"/>
      <c r="V27" s="604"/>
      <c r="W27" s="352"/>
      <c r="X27" s="357"/>
      <c r="Y27" s="352"/>
      <c r="Z27" s="357"/>
      <c r="AA27" s="358"/>
      <c r="AB27" s="604"/>
      <c r="AC27" s="352"/>
      <c r="AD27" s="357"/>
      <c r="AE27" s="352"/>
      <c r="AF27" s="357"/>
      <c r="AG27" s="358"/>
      <c r="AH27" s="604"/>
      <c r="AI27" s="352"/>
      <c r="AJ27" s="357"/>
      <c r="AK27" s="352"/>
      <c r="AL27" s="357"/>
      <c r="AM27" s="358"/>
      <c r="AN27" s="604"/>
      <c r="AO27" s="352"/>
      <c r="AP27" s="357"/>
      <c r="AQ27" s="352"/>
      <c r="AR27" s="357"/>
      <c r="AS27" s="358"/>
      <c r="AT27" s="604"/>
      <c r="AU27" s="352"/>
      <c r="AV27" s="357"/>
      <c r="AW27" s="352"/>
      <c r="AX27" s="357"/>
      <c r="AY27" s="358"/>
      <c r="AZ27" s="604"/>
      <c r="BA27" s="352"/>
      <c r="BB27" s="357"/>
      <c r="BC27" s="352"/>
      <c r="BD27" s="357"/>
      <c r="BE27" s="358"/>
      <c r="BF27" s="604"/>
      <c r="BG27" s="352"/>
      <c r="BH27" s="357"/>
      <c r="BI27" s="352"/>
      <c r="BJ27" s="357"/>
      <c r="BK27" s="358"/>
      <c r="BL27" s="604"/>
      <c r="BM27" s="352"/>
      <c r="BN27" s="357"/>
      <c r="BO27" s="352"/>
      <c r="BP27" s="357"/>
      <c r="BQ27" s="358"/>
      <c r="BR27" s="604"/>
      <c r="BS27" s="352"/>
      <c r="BT27" s="357"/>
      <c r="BU27" s="352"/>
      <c r="BV27" s="357"/>
      <c r="BW27" s="358"/>
      <c r="BX27" s="213"/>
      <c r="BY27" s="213"/>
      <c r="BZ27" s="213"/>
      <c r="CA27" s="213"/>
      <c r="CB27" s="213"/>
      <c r="CC27" s="213"/>
      <c r="CD27" s="213"/>
      <c r="CE27" s="213"/>
      <c r="CF27" s="213"/>
      <c r="CG27" s="213"/>
      <c r="CH27" s="213"/>
      <c r="CI27" s="213"/>
      <c r="CJ27" s="213"/>
      <c r="CK27" s="213"/>
      <c r="CL27" s="213"/>
      <c r="CM27" s="213"/>
      <c r="CN27" s="213"/>
      <c r="CO27" s="213"/>
      <c r="CP27" s="213"/>
      <c r="CQ27" s="213"/>
      <c r="CR27" s="213"/>
      <c r="CS27" s="213"/>
      <c r="CT27" s="213"/>
      <c r="CU27" s="213"/>
    </row>
    <row r="28" ht="15.75" customHeight="1">
      <c r="A28" s="213"/>
      <c r="B28" s="349" t="s">
        <v>22</v>
      </c>
      <c r="C28" s="350" t="s">
        <v>22</v>
      </c>
      <c r="D28" s="604">
        <v>1415529.0</v>
      </c>
      <c r="E28" s="355">
        <f t="shared" ref="E28:E30" si="40">D28/$D$33</f>
        <v>0.1139656784</v>
      </c>
      <c r="F28" s="357">
        <v>1391765.0</v>
      </c>
      <c r="G28" s="355">
        <f t="shared" ref="G28:G30" si="41">F28/F$33</f>
        <v>0.1074769974</v>
      </c>
      <c r="H28" s="357">
        <f t="shared" ref="H28:H30" si="42">D28-F28</f>
        <v>23764</v>
      </c>
      <c r="I28" s="395">
        <f t="shared" ref="I28:I30" si="43">H28/F28</f>
        <v>0.01707472167</v>
      </c>
      <c r="J28" s="604">
        <v>1423175.0</v>
      </c>
      <c r="K28" s="355">
        <f t="shared" ref="K28:K30" si="44">J28/J$33</f>
        <v>0.1116392413</v>
      </c>
      <c r="L28" s="357">
        <v>1392411.9</v>
      </c>
      <c r="M28" s="355">
        <f t="shared" ref="M28:M30" si="45">L28/L$33</f>
        <v>0.1127449962</v>
      </c>
      <c r="N28" s="357">
        <v>0.0</v>
      </c>
      <c r="O28" s="358"/>
      <c r="P28" s="604">
        <v>1316398.0</v>
      </c>
      <c r="Q28" s="352"/>
      <c r="R28" s="357">
        <v>1378683.98</v>
      </c>
      <c r="S28" s="355">
        <f t="shared" ref="S28:S30" si="46">R28/R$33</f>
        <v>0.10547202</v>
      </c>
      <c r="T28" s="357">
        <v>0.0</v>
      </c>
      <c r="U28" s="358"/>
      <c r="V28" s="604">
        <v>1574002.0</v>
      </c>
      <c r="W28" s="355">
        <f t="shared" ref="W28:W30" si="47">V28/V$33</f>
        <v>0.1122272583</v>
      </c>
      <c r="X28" s="357">
        <v>1442091.32</v>
      </c>
      <c r="Y28" s="355">
        <f t="shared" ref="Y28:Y30" si="48">X28/X$33</f>
        <v>0.1062615972</v>
      </c>
      <c r="Z28" s="357">
        <v>0.0</v>
      </c>
      <c r="AA28" s="358"/>
      <c r="AB28" s="604">
        <v>1655560.0</v>
      </c>
      <c r="AC28" s="355">
        <f t="shared" ref="AC28:AC30" si="49">AB28/AB$33</f>
        <v>0.1169036478</v>
      </c>
      <c r="AD28" s="357">
        <v>1537650.0</v>
      </c>
      <c r="AE28" s="355">
        <f t="shared" ref="AE28:AE30" si="50">AD28/AD$33</f>
        <v>0.1069289283</v>
      </c>
      <c r="AF28" s="357">
        <v>0.0</v>
      </c>
      <c r="AG28" s="358"/>
      <c r="AH28" s="604">
        <v>1234191.0</v>
      </c>
      <c r="AI28" s="355">
        <f t="shared" ref="AI28:AI30" si="51">AH28/AH$33</f>
        <v>0.1034449913</v>
      </c>
      <c r="AJ28" s="357">
        <v>1423750.0</v>
      </c>
      <c r="AK28" s="355">
        <f t="shared" ref="AK28:AK30" si="52">AJ28/AJ$33</f>
        <v>0.1044615744</v>
      </c>
      <c r="AL28" s="357">
        <v>0.0</v>
      </c>
      <c r="AM28" s="358"/>
      <c r="AN28" s="604">
        <v>1314301.25</v>
      </c>
      <c r="AO28" s="355">
        <f t="shared" ref="AO28:AO30" si="53">AN28/AN$33</f>
        <v>0.1037038936</v>
      </c>
      <c r="AP28" s="357">
        <v>1594600.0</v>
      </c>
      <c r="AQ28" s="355">
        <f t="shared" ref="AQ28:AQ30" si="54">AP28/AP$33</f>
        <v>0.1057641551</v>
      </c>
      <c r="AR28" s="357">
        <v>0.0</v>
      </c>
      <c r="AS28" s="358"/>
      <c r="AT28" s="604">
        <v>1414289.0</v>
      </c>
      <c r="AU28" s="355">
        <f t="shared" ref="AU28:AU30" si="55">AT28/AT$33</f>
        <v>0.1109811171</v>
      </c>
      <c r="AV28" s="357">
        <v>1651550.0</v>
      </c>
      <c r="AW28" s="355">
        <f t="shared" ref="AW28:AW30" si="56">AV28/AV$33</f>
        <v>0.106341209</v>
      </c>
      <c r="AX28" s="357">
        <v>0.0</v>
      </c>
      <c r="AY28" s="358"/>
      <c r="AZ28" s="604">
        <v>1776191.0</v>
      </c>
      <c r="BA28" s="355">
        <f t="shared" ref="BA28:BA30" si="57">AZ28/AZ$33</f>
        <v>0.09919282061</v>
      </c>
      <c r="BB28" s="357">
        <v>1765450.0</v>
      </c>
      <c r="BC28" s="355">
        <f t="shared" ref="BC28:BC30" si="58">BB28/BB$33</f>
        <v>0.1055570925</v>
      </c>
      <c r="BD28" s="357">
        <v>0.0</v>
      </c>
      <c r="BE28" s="358"/>
      <c r="BF28" s="604">
        <v>1721404.5</v>
      </c>
      <c r="BG28" s="355">
        <f t="shared" ref="BG28:BG30" si="59">BF28/BF$33</f>
        <v>0.09967645399</v>
      </c>
      <c r="BH28" s="357">
        <v>1708500.0</v>
      </c>
      <c r="BI28" s="355">
        <f t="shared" ref="BI28:BI30" si="60">BH28/BH$33</f>
        <v>0.1052687972</v>
      </c>
      <c r="BJ28" s="357">
        <v>0.0</v>
      </c>
      <c r="BK28" s="358"/>
      <c r="BL28" s="604">
        <v>1290756.0</v>
      </c>
      <c r="BM28" s="355">
        <f t="shared" ref="BM28:BM30" si="61">BL28/BL$33</f>
        <v>0.07627346367</v>
      </c>
      <c r="BN28" s="357">
        <v>1406834.14</v>
      </c>
      <c r="BO28" s="355">
        <f t="shared" ref="BO28:BO30" si="62">BN28/BN$33</f>
        <v>0.1033800751</v>
      </c>
      <c r="BP28" s="357">
        <v>0.0</v>
      </c>
      <c r="BQ28" s="358"/>
      <c r="BR28" s="604">
        <v>1362377.5</v>
      </c>
      <c r="BS28" s="355">
        <f t="shared" ref="BS28:BS30" si="63">BR28/BR$33</f>
        <v>0.09173259615</v>
      </c>
      <c r="BT28" s="357">
        <v>1537650.0</v>
      </c>
      <c r="BU28" s="355">
        <f t="shared" ref="BU28:BU30" si="64">BT28/BT$33</f>
        <v>0.1032280607</v>
      </c>
      <c r="BV28" s="357">
        <v>0.0</v>
      </c>
      <c r="BW28" s="358"/>
      <c r="BX28" s="718">
        <f t="shared" ref="BX28:BX30" si="65">D28+J28+P28+V28+AB28+AH28+AN28+AT28+AZ28+BF28+BL28+BR28</f>
        <v>17498174.25</v>
      </c>
      <c r="BY28" s="213"/>
      <c r="BZ28" s="213"/>
      <c r="CA28" s="213"/>
      <c r="CB28" s="213"/>
      <c r="CC28" s="213"/>
      <c r="CD28" s="213"/>
      <c r="CE28" s="213"/>
      <c r="CF28" s="213"/>
      <c r="CG28" s="213"/>
      <c r="CH28" s="213"/>
      <c r="CI28" s="213"/>
      <c r="CJ28" s="213"/>
      <c r="CK28" s="213"/>
      <c r="CL28" s="213"/>
      <c r="CM28" s="213"/>
      <c r="CN28" s="213"/>
      <c r="CO28" s="213"/>
      <c r="CP28" s="213"/>
      <c r="CQ28" s="213"/>
      <c r="CR28" s="213"/>
      <c r="CS28" s="213"/>
      <c r="CT28" s="213"/>
      <c r="CU28" s="213"/>
    </row>
    <row r="29" ht="15.75" customHeight="1">
      <c r="A29" s="213"/>
      <c r="B29" s="349" t="s">
        <v>23</v>
      </c>
      <c r="C29" s="350" t="s">
        <v>23</v>
      </c>
      <c r="D29" s="604">
        <v>877230.0</v>
      </c>
      <c r="E29" s="355">
        <f t="shared" si="40"/>
        <v>0.07062667883</v>
      </c>
      <c r="F29" s="357">
        <v>920104.78</v>
      </c>
      <c r="G29" s="355">
        <f t="shared" si="41"/>
        <v>0.07105373322</v>
      </c>
      <c r="H29" s="357">
        <f t="shared" si="42"/>
        <v>-42874.78</v>
      </c>
      <c r="I29" s="395">
        <f t="shared" si="43"/>
        <v>-0.04659771466</v>
      </c>
      <c r="J29" s="604">
        <v>785012.0</v>
      </c>
      <c r="K29" s="355">
        <f t="shared" si="44"/>
        <v>0.06157931675</v>
      </c>
      <c r="L29" s="357">
        <v>920532.18</v>
      </c>
      <c r="M29" s="355">
        <f t="shared" si="45"/>
        <v>0.07453641925</v>
      </c>
      <c r="N29" s="357">
        <v>0.0</v>
      </c>
      <c r="O29" s="358"/>
      <c r="P29" s="604">
        <v>700355.0</v>
      </c>
      <c r="Q29" s="352"/>
      <c r="R29" s="357">
        <v>911456.58</v>
      </c>
      <c r="S29" s="355">
        <f t="shared" si="46"/>
        <v>0.06972821039</v>
      </c>
      <c r="T29" s="357">
        <v>0.0</v>
      </c>
      <c r="U29" s="358"/>
      <c r="V29" s="604">
        <v>711833.0</v>
      </c>
      <c r="W29" s="355">
        <f t="shared" si="47"/>
        <v>0.05075410704</v>
      </c>
      <c r="X29" s="357">
        <v>953375.56</v>
      </c>
      <c r="Y29" s="355">
        <f t="shared" si="48"/>
        <v>0.0702502042</v>
      </c>
      <c r="Z29" s="357">
        <v>0.0</v>
      </c>
      <c r="AA29" s="358"/>
      <c r="AB29" s="604">
        <v>658509.0</v>
      </c>
      <c r="AC29" s="355">
        <f t="shared" si="49"/>
        <v>0.04649913273</v>
      </c>
      <c r="AD29" s="357">
        <v>1016550.0</v>
      </c>
      <c r="AE29" s="355">
        <f t="shared" si="50"/>
        <v>0.07069138107</v>
      </c>
      <c r="AF29" s="357">
        <v>0.0</v>
      </c>
      <c r="AG29" s="358"/>
      <c r="AH29" s="604">
        <v>570166.0</v>
      </c>
      <c r="AI29" s="355">
        <f t="shared" si="51"/>
        <v>0.0477890512</v>
      </c>
      <c r="AJ29" s="357">
        <v>941250.0</v>
      </c>
      <c r="AK29" s="355">
        <f t="shared" si="52"/>
        <v>0.06906019801</v>
      </c>
      <c r="AL29" s="357">
        <v>0.0</v>
      </c>
      <c r="AM29" s="358"/>
      <c r="AN29" s="604">
        <v>823816.0</v>
      </c>
      <c r="AO29" s="355">
        <f t="shared" si="53"/>
        <v>0.0650025455</v>
      </c>
      <c r="AP29" s="357">
        <v>1054200.0</v>
      </c>
      <c r="AQ29" s="355">
        <f t="shared" si="54"/>
        <v>0.06992134222</v>
      </c>
      <c r="AR29" s="357">
        <v>0.0</v>
      </c>
      <c r="AS29" s="358"/>
      <c r="AT29" s="604">
        <v>887426.0</v>
      </c>
      <c r="AU29" s="355">
        <f t="shared" si="55"/>
        <v>0.06963748486</v>
      </c>
      <c r="AV29" s="357">
        <v>1091850.0</v>
      </c>
      <c r="AW29" s="355">
        <f t="shared" si="56"/>
        <v>0.07030283613</v>
      </c>
      <c r="AX29" s="357">
        <v>0.0</v>
      </c>
      <c r="AY29" s="358"/>
      <c r="AZ29" s="604">
        <v>1341261.0</v>
      </c>
      <c r="BA29" s="355">
        <f t="shared" si="57"/>
        <v>0.07490380357</v>
      </c>
      <c r="BB29" s="357">
        <v>1167150.0</v>
      </c>
      <c r="BC29" s="355">
        <f t="shared" si="58"/>
        <v>0.06978445182</v>
      </c>
      <c r="BD29" s="357">
        <v>0.0</v>
      </c>
      <c r="BE29" s="358"/>
      <c r="BF29" s="604">
        <v>956285.5</v>
      </c>
      <c r="BG29" s="355">
        <f t="shared" si="59"/>
        <v>0.05537289327</v>
      </c>
      <c r="BH29" s="357">
        <v>1129500.0</v>
      </c>
      <c r="BI29" s="355">
        <f t="shared" si="60"/>
        <v>0.06959385803</v>
      </c>
      <c r="BJ29" s="357">
        <v>0.0</v>
      </c>
      <c r="BK29" s="358"/>
      <c r="BL29" s="604">
        <v>983242.5</v>
      </c>
      <c r="BM29" s="355">
        <f t="shared" si="61"/>
        <v>0.0581018497</v>
      </c>
      <c r="BN29" s="357">
        <v>930066.82</v>
      </c>
      <c r="BO29" s="355">
        <f t="shared" si="62"/>
        <v>0.06834521209</v>
      </c>
      <c r="BP29" s="357">
        <v>0.0</v>
      </c>
      <c r="BQ29" s="358"/>
      <c r="BR29" s="604">
        <v>1000831.5</v>
      </c>
      <c r="BS29" s="355">
        <f t="shared" si="63"/>
        <v>0.06738871701</v>
      </c>
      <c r="BT29" s="357">
        <v>1016550.0</v>
      </c>
      <c r="BU29" s="355">
        <f t="shared" si="64"/>
        <v>0.06824471441</v>
      </c>
      <c r="BV29" s="357">
        <v>0.0</v>
      </c>
      <c r="BW29" s="358"/>
      <c r="BX29" s="718">
        <f t="shared" si="65"/>
        <v>10295967.5</v>
      </c>
      <c r="BY29" s="213"/>
      <c r="BZ29" s="213"/>
      <c r="CA29" s="213"/>
      <c r="CB29" s="213"/>
      <c r="CC29" s="213"/>
      <c r="CD29" s="213"/>
      <c r="CE29" s="213"/>
      <c r="CF29" s="213"/>
      <c r="CG29" s="213"/>
      <c r="CH29" s="213"/>
      <c r="CI29" s="213"/>
      <c r="CJ29" s="213"/>
      <c r="CK29" s="213"/>
      <c r="CL29" s="213"/>
      <c r="CM29" s="213"/>
      <c r="CN29" s="213"/>
      <c r="CO29" s="213"/>
      <c r="CP29" s="213"/>
      <c r="CQ29" s="213"/>
      <c r="CR29" s="213"/>
      <c r="CS29" s="213"/>
      <c r="CT29" s="213"/>
      <c r="CU29" s="213"/>
    </row>
    <row r="30" ht="15.75" customHeight="1">
      <c r="A30" s="213"/>
      <c r="B30" s="349" t="s">
        <v>24</v>
      </c>
      <c r="C30" s="350" t="s">
        <v>230</v>
      </c>
      <c r="D30" s="609">
        <f>SUM(D17:D23)</f>
        <v>9290133.04</v>
      </c>
      <c r="E30" s="355">
        <f t="shared" si="40"/>
        <v>0.7479580526</v>
      </c>
      <c r="F30" s="400">
        <f>SUM(F17:F23)</f>
        <v>9772324</v>
      </c>
      <c r="G30" s="355">
        <f t="shared" si="41"/>
        <v>0.7546532933</v>
      </c>
      <c r="H30" s="357">
        <f t="shared" si="42"/>
        <v>-482190.96</v>
      </c>
      <c r="I30" s="395">
        <f t="shared" si="43"/>
        <v>-0.04934250645</v>
      </c>
      <c r="J30" s="604">
        <f>SUM(J17:J23)</f>
        <v>9668438.65</v>
      </c>
      <c r="K30" s="355">
        <f t="shared" si="44"/>
        <v>0.7584289745</v>
      </c>
      <c r="L30" s="400">
        <f>SUM(L17:L23)</f>
        <v>9211971.29</v>
      </c>
      <c r="M30" s="355">
        <f t="shared" si="45"/>
        <v>0.7459026084</v>
      </c>
      <c r="N30" s="400">
        <f>SUM(N17:N23)</f>
        <v>0</v>
      </c>
      <c r="O30" s="358"/>
      <c r="P30" s="609">
        <f>SUM(P17:P23)</f>
        <v>8468655</v>
      </c>
      <c r="Q30" s="352"/>
      <c r="R30" s="400">
        <f>SUM(R17:R23)</f>
        <v>9908031.66</v>
      </c>
      <c r="S30" s="355">
        <f t="shared" si="46"/>
        <v>0.7579837935</v>
      </c>
      <c r="T30" s="400">
        <f>SUM(T17:T23)</f>
        <v>0</v>
      </c>
      <c r="U30" s="358"/>
      <c r="V30" s="609">
        <f>SUM(V17:V23)</f>
        <v>10794421</v>
      </c>
      <c r="W30" s="355">
        <f t="shared" si="47"/>
        <v>0.7696484974</v>
      </c>
      <c r="X30" s="400">
        <f>SUM(X17:X23)</f>
        <v>10268906.86</v>
      </c>
      <c r="Y30" s="355">
        <f t="shared" si="48"/>
        <v>0.7566722225</v>
      </c>
      <c r="Z30" s="400">
        <f>SUM(Z17:Z23)</f>
        <v>0</v>
      </c>
      <c r="AA30" s="358"/>
      <c r="AB30" s="609">
        <f>SUM(AB17:AB23)</f>
        <v>10895557</v>
      </c>
      <c r="AC30" s="355">
        <f t="shared" si="49"/>
        <v>0.7693652648</v>
      </c>
      <c r="AD30" s="400">
        <f>SUM(AD17:AD23)</f>
        <v>10865091.08</v>
      </c>
      <c r="AE30" s="355">
        <f t="shared" si="50"/>
        <v>0.7555637145</v>
      </c>
      <c r="AF30" s="400">
        <f>SUM(AF17:AF23)</f>
        <v>0</v>
      </c>
      <c r="AG30" s="358"/>
      <c r="AH30" s="609">
        <f>SUM(AH17:AH23)</f>
        <v>9376534.82</v>
      </c>
      <c r="AI30" s="355">
        <f t="shared" si="51"/>
        <v>0.7859039342</v>
      </c>
      <c r="AJ30" s="400">
        <f>SUM(AJ17:AJ23)</f>
        <v>10353751</v>
      </c>
      <c r="AK30" s="355">
        <f t="shared" si="52"/>
        <v>0.7596622515</v>
      </c>
      <c r="AL30" s="400">
        <f>SUM(AL17:AL23)</f>
        <v>0</v>
      </c>
      <c r="AM30" s="358"/>
      <c r="AN30" s="609">
        <f>SUM(AN17:AN23)</f>
        <v>9694493.74</v>
      </c>
      <c r="AO30" s="355">
        <f t="shared" si="53"/>
        <v>0.7649363091</v>
      </c>
      <c r="AP30" s="400">
        <f>SUM(AP17:AP23)</f>
        <v>11420761.12</v>
      </c>
      <c r="AQ30" s="355">
        <f t="shared" si="54"/>
        <v>0.7574985266</v>
      </c>
      <c r="AR30" s="400">
        <f>SUM(AR17:AR23)</f>
        <v>0</v>
      </c>
      <c r="AS30" s="358"/>
      <c r="AT30" s="609">
        <f>SUM(AT17:AT23)</f>
        <v>9590081.22</v>
      </c>
      <c r="AU30" s="355">
        <f t="shared" si="55"/>
        <v>0.7525462808</v>
      </c>
      <c r="AV30" s="400">
        <f>SUM(AV17:AV23)</f>
        <v>11749571.16</v>
      </c>
      <c r="AW30" s="355">
        <f t="shared" si="56"/>
        <v>0.7565399788</v>
      </c>
      <c r="AX30" s="400">
        <f>SUM(AX17:AX23)</f>
        <v>0</v>
      </c>
      <c r="AY30" s="358"/>
      <c r="AZ30" s="609">
        <f>SUM(AZ17:AZ23)</f>
        <v>13665927.15</v>
      </c>
      <c r="BA30" s="355">
        <f t="shared" si="57"/>
        <v>0.7631847365</v>
      </c>
      <c r="BB30" s="400">
        <f>SUM(BB17:BB23)</f>
        <v>12674970.24</v>
      </c>
      <c r="BC30" s="355">
        <f t="shared" si="58"/>
        <v>0.7578424796</v>
      </c>
      <c r="BD30" s="400">
        <f>SUM(BD17:BD23)</f>
        <v>0</v>
      </c>
      <c r="BE30" s="358"/>
      <c r="BF30" s="609">
        <f>SUM(BF17:BF23)</f>
        <v>13489451.27</v>
      </c>
      <c r="BG30" s="355">
        <f t="shared" si="59"/>
        <v>0.7810951284</v>
      </c>
      <c r="BH30" s="400">
        <f>SUM(BH17:BH23)</f>
        <v>12307465.2</v>
      </c>
      <c r="BI30" s="355">
        <f t="shared" si="60"/>
        <v>0.7583213686</v>
      </c>
      <c r="BJ30" s="400">
        <f>SUM(BJ17:BJ23)</f>
        <v>0</v>
      </c>
      <c r="BK30" s="358"/>
      <c r="BL30" s="609">
        <f>SUM(BL17:BL23)</f>
        <v>13838353.19</v>
      </c>
      <c r="BM30" s="355">
        <f t="shared" si="61"/>
        <v>0.8177371473</v>
      </c>
      <c r="BN30" s="400">
        <f>SUM(BN17:BN23)</f>
        <v>10362210.96</v>
      </c>
      <c r="BO30" s="355">
        <f t="shared" si="62"/>
        <v>0.7614587367</v>
      </c>
      <c r="BP30" s="400">
        <f>SUM(BP17:BP23)</f>
        <v>0</v>
      </c>
      <c r="BQ30" s="358"/>
      <c r="BR30" s="609">
        <f>SUM(BR17:BR23)</f>
        <v>11625462.61</v>
      </c>
      <c r="BS30" s="355">
        <f t="shared" si="63"/>
        <v>0.7827741332</v>
      </c>
      <c r="BT30" s="400">
        <f>SUM(BT17:BT23)</f>
        <v>11346191.08</v>
      </c>
      <c r="BU30" s="355">
        <f t="shared" si="64"/>
        <v>0.7617112488</v>
      </c>
      <c r="BV30" s="400">
        <f>SUM(BV17:BV23)</f>
        <v>0</v>
      </c>
      <c r="BW30" s="358"/>
      <c r="BX30" s="718">
        <f t="shared" si="65"/>
        <v>130397508.7</v>
      </c>
      <c r="BY30" s="213"/>
      <c r="BZ30" s="213"/>
      <c r="CA30" s="213"/>
      <c r="CB30" s="213"/>
      <c r="CC30" s="213"/>
      <c r="CD30" s="213"/>
      <c r="CE30" s="213"/>
      <c r="CF30" s="213"/>
      <c r="CG30" s="213"/>
      <c r="CH30" s="213"/>
      <c r="CI30" s="213"/>
      <c r="CJ30" s="213"/>
      <c r="CK30" s="213"/>
      <c r="CL30" s="213"/>
      <c r="CM30" s="213"/>
      <c r="CN30" s="213"/>
      <c r="CO30" s="213"/>
      <c r="CP30" s="213"/>
      <c r="CQ30" s="213"/>
      <c r="CR30" s="213"/>
      <c r="CS30" s="213"/>
      <c r="CT30" s="213"/>
      <c r="CU30" s="213"/>
    </row>
    <row r="31" ht="15.75" customHeight="1">
      <c r="A31" s="213"/>
      <c r="B31" s="393"/>
      <c r="C31" s="350"/>
      <c r="D31" s="604"/>
      <c r="E31" s="352"/>
      <c r="F31" s="352"/>
      <c r="G31" s="352"/>
      <c r="H31" s="352"/>
      <c r="I31" s="358"/>
      <c r="J31" s="604"/>
      <c r="K31" s="352"/>
      <c r="L31" s="352"/>
      <c r="M31" s="352"/>
      <c r="N31" s="352"/>
      <c r="O31" s="358"/>
      <c r="P31" s="349"/>
      <c r="Q31" s="352"/>
      <c r="R31" s="352"/>
      <c r="S31" s="352"/>
      <c r="T31" s="352"/>
      <c r="U31" s="358"/>
      <c r="V31" s="604"/>
      <c r="W31" s="352"/>
      <c r="X31" s="352"/>
      <c r="Y31" s="352"/>
      <c r="Z31" s="352"/>
      <c r="AA31" s="358"/>
      <c r="AB31" s="604"/>
      <c r="AC31" s="355"/>
      <c r="AD31" s="357"/>
      <c r="AE31" s="352"/>
      <c r="AF31" s="352"/>
      <c r="AG31" s="358"/>
      <c r="AH31" s="604"/>
      <c r="AI31" s="352"/>
      <c r="AJ31" s="352"/>
      <c r="AK31" s="352"/>
      <c r="AL31" s="352"/>
      <c r="AM31" s="358"/>
      <c r="AN31" s="604"/>
      <c r="AO31" s="352"/>
      <c r="AP31" s="352"/>
      <c r="AQ31" s="352"/>
      <c r="AR31" s="352"/>
      <c r="AS31" s="358"/>
      <c r="AT31" s="604"/>
      <c r="AU31" s="352"/>
      <c r="AV31" s="352"/>
      <c r="AW31" s="352"/>
      <c r="AX31" s="352"/>
      <c r="AY31" s="358"/>
      <c r="AZ31" s="604"/>
      <c r="BA31" s="352"/>
      <c r="BB31" s="352"/>
      <c r="BC31" s="352"/>
      <c r="BD31" s="352"/>
      <c r="BE31" s="358"/>
      <c r="BF31" s="604"/>
      <c r="BG31" s="352"/>
      <c r="BH31" s="352"/>
      <c r="BI31" s="352"/>
      <c r="BJ31" s="352"/>
      <c r="BK31" s="358"/>
      <c r="BL31" s="604"/>
      <c r="BM31" s="352"/>
      <c r="BN31" s="357"/>
      <c r="BO31" s="352"/>
      <c r="BP31" s="352"/>
      <c r="BQ31" s="358"/>
      <c r="BR31" s="604"/>
      <c r="BS31" s="352"/>
      <c r="BT31" s="357"/>
      <c r="BU31" s="352"/>
      <c r="BV31" s="352"/>
      <c r="BW31" s="358"/>
      <c r="BX31" s="213"/>
      <c r="BY31" s="213"/>
      <c r="BZ31" s="213"/>
      <c r="CA31" s="213"/>
      <c r="CB31" s="213"/>
      <c r="CC31" s="213"/>
      <c r="CD31" s="213"/>
      <c r="CE31" s="213"/>
      <c r="CF31" s="213"/>
      <c r="CG31" s="213"/>
      <c r="CH31" s="213"/>
      <c r="CI31" s="213"/>
      <c r="CJ31" s="213"/>
      <c r="CK31" s="213"/>
      <c r="CL31" s="213"/>
      <c r="CM31" s="213"/>
      <c r="CN31" s="213"/>
      <c r="CO31" s="213"/>
      <c r="CP31" s="213"/>
      <c r="CQ31" s="213"/>
      <c r="CR31" s="213"/>
      <c r="CS31" s="213"/>
      <c r="CT31" s="213"/>
      <c r="CU31" s="213"/>
    </row>
    <row r="32" ht="15.75" customHeight="1">
      <c r="A32" s="213"/>
      <c r="B32" s="403"/>
      <c r="C32" s="362" t="s">
        <v>231</v>
      </c>
      <c r="D32" s="619">
        <f>155357.71+17777+583174.2+69159.55</f>
        <v>825468.46</v>
      </c>
      <c r="E32" s="404">
        <f>D32/$D$33</f>
        <v>0.06645930464</v>
      </c>
      <c r="F32" s="367">
        <f>G32*(SUM(F28:F30))</f>
        <v>865228.2746</v>
      </c>
      <c r="G32" s="404">
        <v>0.0716</v>
      </c>
      <c r="H32" s="364"/>
      <c r="I32" s="368"/>
      <c r="J32" s="619">
        <f>777455+78501</f>
        <v>855956</v>
      </c>
      <c r="K32" s="404">
        <v>0.0716</v>
      </c>
      <c r="L32" s="367">
        <f>M32*(SUM(L28:L30))</f>
        <v>825183.9405</v>
      </c>
      <c r="M32" s="404">
        <v>0.0716</v>
      </c>
      <c r="N32" s="364"/>
      <c r="O32" s="368"/>
      <c r="P32" s="361">
        <f>727080+70036</f>
        <v>797116</v>
      </c>
      <c r="Q32" s="404">
        <f>P32/(P17+P28+P29)</f>
        <v>0.09715820099</v>
      </c>
      <c r="R32" s="367">
        <f>S32*(SUM(R28:R30))</f>
        <v>873389.131</v>
      </c>
      <c r="S32" s="404">
        <v>0.0716</v>
      </c>
      <c r="T32" s="364"/>
      <c r="U32" s="368"/>
      <c r="V32" s="619">
        <v>925075.0</v>
      </c>
      <c r="W32" s="404">
        <f>V32/(V17+V28+V29)</f>
        <v>0.09881335318</v>
      </c>
      <c r="X32" s="367">
        <f>Y32*(SUM(X28:X30))</f>
        <v>906769.1598</v>
      </c>
      <c r="Y32" s="404">
        <v>0.0716</v>
      </c>
      <c r="Z32" s="364"/>
      <c r="AA32" s="368"/>
      <c r="AB32" s="619">
        <f>865371+65851</f>
        <v>931222</v>
      </c>
      <c r="AC32" s="404">
        <f>AB32/AB$33</f>
        <v>0.06575614818</v>
      </c>
      <c r="AD32" s="367">
        <f>AE32*(SUM(AD28:AD30))</f>
        <v>960821.2413</v>
      </c>
      <c r="AE32" s="404">
        <v>0.0716</v>
      </c>
      <c r="AF32" s="364"/>
      <c r="AG32" s="368"/>
      <c r="AH32" s="619">
        <f>674783+57017</f>
        <v>731800</v>
      </c>
      <c r="AI32" s="404">
        <f>AH32/AH$33</f>
        <v>0.06133657157</v>
      </c>
      <c r="AJ32" s="367">
        <f>AK32*(SUM(AJ28:AJ30))</f>
        <v>910662.5716</v>
      </c>
      <c r="AK32" s="404">
        <v>0.0716</v>
      </c>
      <c r="AL32" s="364"/>
      <c r="AM32" s="368"/>
      <c r="AN32" s="619">
        <v>825385.0</v>
      </c>
      <c r="AO32" s="404">
        <f>AN32/AN$33</f>
        <v>0.0651263462</v>
      </c>
      <c r="AP32" s="367">
        <f>AQ32*(SUM(AP28:AP30))</f>
        <v>1007380.576</v>
      </c>
      <c r="AQ32" s="404">
        <v>0.0716</v>
      </c>
      <c r="AR32" s="364"/>
      <c r="AS32" s="368"/>
      <c r="AT32" s="619">
        <v>832514.0</v>
      </c>
      <c r="AU32" s="404">
        <f>AT32/AT$33</f>
        <v>0.06532846803</v>
      </c>
      <c r="AV32" s="367">
        <f>AW32*(SUM(AV28:AV30))</f>
        <v>1037696.735</v>
      </c>
      <c r="AW32" s="404">
        <v>0.0716</v>
      </c>
      <c r="AX32" s="364"/>
      <c r="AY32" s="368"/>
      <c r="AZ32" s="619">
        <f>976700+127168</f>
        <v>1103868</v>
      </c>
      <c r="BA32" s="404">
        <f>AZ32/AZ$33</f>
        <v>0.0616463998</v>
      </c>
      <c r="BB32" s="367">
        <f>BC32*(SUM(BB28:BB30))</f>
        <v>1117502.029</v>
      </c>
      <c r="BC32" s="404">
        <v>0.0716</v>
      </c>
      <c r="BD32" s="364"/>
      <c r="BE32" s="368"/>
      <c r="BF32" s="619">
        <f>987891.32+93288.55</f>
        <v>1081179.87</v>
      </c>
      <c r="BG32" s="404">
        <f>BF32/BF$33</f>
        <v>0.06260479485</v>
      </c>
      <c r="BH32" s="367">
        <f>BI32*(SUM(BH28:BH30))</f>
        <v>1084415.308</v>
      </c>
      <c r="BI32" s="404">
        <v>0.0716</v>
      </c>
      <c r="BJ32" s="364"/>
      <c r="BK32" s="368"/>
      <c r="BL32" s="619">
        <f>709559.13+88829.25</f>
        <v>798388.38</v>
      </c>
      <c r="BM32" s="404">
        <f>BL32/BL$33</f>
        <v>0.04717843427</v>
      </c>
      <c r="BN32" s="367">
        <f>BO32*(SUM(BN28:BN30))</f>
        <v>909256.4135</v>
      </c>
      <c r="BO32" s="404">
        <v>0.0716</v>
      </c>
      <c r="BP32" s="364"/>
      <c r="BQ32" s="368"/>
      <c r="BR32" s="720">
        <f>757491+93455.65</f>
        <v>850946.65</v>
      </c>
      <c r="BS32" s="404">
        <f>BR32/BR$33</f>
        <v>0.05729656089</v>
      </c>
      <c r="BT32" s="367">
        <f>BU32*(SUM(BT28:BT30))</f>
        <v>995268.0013</v>
      </c>
      <c r="BU32" s="404">
        <v>0.0716</v>
      </c>
      <c r="BV32" s="364"/>
      <c r="BW32" s="368"/>
      <c r="BX32" s="718">
        <f t="shared" ref="BX32:BX33" si="66">D32+J32+P32+V32+AB32+AH32+AN32+AT32+AZ32+BF32+BL32+BR32</f>
        <v>10558919.36</v>
      </c>
      <c r="BY32" s="213"/>
      <c r="BZ32" s="213"/>
      <c r="CA32" s="213"/>
      <c r="CB32" s="213"/>
      <c r="CC32" s="213"/>
      <c r="CD32" s="213"/>
      <c r="CE32" s="213"/>
      <c r="CF32" s="213"/>
      <c r="CG32" s="213"/>
      <c r="CH32" s="213"/>
      <c r="CI32" s="213"/>
      <c r="CJ32" s="213"/>
      <c r="CK32" s="213"/>
      <c r="CL32" s="213"/>
      <c r="CM32" s="213"/>
      <c r="CN32" s="213"/>
      <c r="CO32" s="213"/>
      <c r="CP32" s="213"/>
      <c r="CQ32" s="213"/>
      <c r="CR32" s="213"/>
      <c r="CS32" s="213"/>
      <c r="CT32" s="213"/>
      <c r="CU32" s="213"/>
    </row>
    <row r="33" ht="15.75" customHeight="1">
      <c r="A33" s="213"/>
      <c r="B33" s="407"/>
      <c r="C33" s="372" t="s">
        <v>232</v>
      </c>
      <c r="D33" s="600">
        <f>D28+D29+D30+D32+D24</f>
        <v>12420660.5</v>
      </c>
      <c r="E33" s="408"/>
      <c r="F33" s="377">
        <f>F28+F29+F30+F32</f>
        <v>12949422.05</v>
      </c>
      <c r="G33" s="408"/>
      <c r="H33" s="377">
        <f>H28+H29+H30+H32</f>
        <v>-501301.74</v>
      </c>
      <c r="I33" s="378"/>
      <c r="J33" s="600">
        <f>J28+J29+J30+J32+J24</f>
        <v>12747981.65</v>
      </c>
      <c r="K33" s="408"/>
      <c r="L33" s="377">
        <f>L28+L29+L30+L32</f>
        <v>12350099.31</v>
      </c>
      <c r="M33" s="408"/>
      <c r="N33" s="377">
        <f>N28+N29+N30+N32</f>
        <v>0</v>
      </c>
      <c r="O33" s="378"/>
      <c r="P33" s="600">
        <f>P28+P29+P30+P32+P24</f>
        <v>11296824</v>
      </c>
      <c r="Q33" s="408"/>
      <c r="R33" s="377">
        <f>R28+R29+R30+R32</f>
        <v>13071561.35</v>
      </c>
      <c r="S33" s="408"/>
      <c r="T33" s="377">
        <f>T28+T29+T30+T32</f>
        <v>0</v>
      </c>
      <c r="U33" s="378"/>
      <c r="V33" s="600">
        <f>V28+V29+V30+V32+V24</f>
        <v>14025131</v>
      </c>
      <c r="W33" s="408"/>
      <c r="X33" s="377">
        <f>X28+X29+X30+X32</f>
        <v>13571142.9</v>
      </c>
      <c r="Y33" s="408"/>
      <c r="Z33" s="377">
        <f>Z28+Z29+Z30+Z32</f>
        <v>0</v>
      </c>
      <c r="AA33" s="378"/>
      <c r="AB33" s="600">
        <f>AB28+AB29+AB30+AB32+AB24</f>
        <v>14161748</v>
      </c>
      <c r="AC33" s="408"/>
      <c r="AD33" s="377">
        <f>AD28+AD29+AD30+AD32</f>
        <v>14380112.32</v>
      </c>
      <c r="AE33" s="408"/>
      <c r="AF33" s="377">
        <f>AF28+AF29+AF30+AF32</f>
        <v>0</v>
      </c>
      <c r="AG33" s="378"/>
      <c r="AH33" s="600">
        <f>AH28+AH29+AH30+AH32+AH24</f>
        <v>11930891.82</v>
      </c>
      <c r="AI33" s="408"/>
      <c r="AJ33" s="377">
        <f>AJ28+AJ29+AJ30+AJ32</f>
        <v>13629413.57</v>
      </c>
      <c r="AK33" s="408"/>
      <c r="AL33" s="377">
        <f>AL28+AL29+AL30+AL32</f>
        <v>0</v>
      </c>
      <c r="AM33" s="378"/>
      <c r="AN33" s="600">
        <f>AN28+AN29+AN30+AN32+AN24</f>
        <v>12673595.99</v>
      </c>
      <c r="AO33" s="408"/>
      <c r="AP33" s="377">
        <f>AP28+AP29+AP30+AP32</f>
        <v>15076941.7</v>
      </c>
      <c r="AQ33" s="408"/>
      <c r="AR33" s="377">
        <f>AR28+AR29+AR30+AR32</f>
        <v>0</v>
      </c>
      <c r="AS33" s="378"/>
      <c r="AT33" s="600">
        <f>AT28+AT29+AT30+AT32+AT24</f>
        <v>12743510.22</v>
      </c>
      <c r="AU33" s="408"/>
      <c r="AV33" s="377">
        <f>AV28+AV29+AV30+AV32</f>
        <v>15530667.9</v>
      </c>
      <c r="AW33" s="408"/>
      <c r="AX33" s="377">
        <f>AX28+AX29+AX30+AX32</f>
        <v>0</v>
      </c>
      <c r="AY33" s="378"/>
      <c r="AZ33" s="600">
        <f>AZ28+AZ29+AZ30+AZ32+AZ24</f>
        <v>17906447.15</v>
      </c>
      <c r="BA33" s="408"/>
      <c r="BB33" s="377">
        <f>BB28+BB29+BB30+BB32</f>
        <v>16725072.27</v>
      </c>
      <c r="BC33" s="408"/>
      <c r="BD33" s="377">
        <f>BD28+BD29+BD30+BD32</f>
        <v>0</v>
      </c>
      <c r="BE33" s="378"/>
      <c r="BF33" s="600">
        <f>BF28+BF29+BF30+BF32+BF24</f>
        <v>17269921.14</v>
      </c>
      <c r="BG33" s="408"/>
      <c r="BH33" s="377">
        <f>BH28+BH29+BH30+BH32</f>
        <v>16229880.51</v>
      </c>
      <c r="BI33" s="408"/>
      <c r="BJ33" s="377">
        <f>BJ28+BJ29+BJ30+BJ32</f>
        <v>0</v>
      </c>
      <c r="BK33" s="378"/>
      <c r="BL33" s="600">
        <f>BL28+BL29+BL30+BL32+BL24</f>
        <v>16922740.07</v>
      </c>
      <c r="BM33" s="408"/>
      <c r="BN33" s="377">
        <f>BN28+BN29+BN30+BN32</f>
        <v>13608368.33</v>
      </c>
      <c r="BO33" s="408"/>
      <c r="BP33" s="377">
        <f>BP28+BP29+BP30+BP32</f>
        <v>0</v>
      </c>
      <c r="BQ33" s="378"/>
      <c r="BR33" s="600">
        <f>BR28+BR29+BR30+BR32+BR24</f>
        <v>14851618.26</v>
      </c>
      <c r="BS33" s="408"/>
      <c r="BT33" s="377">
        <f>BT28+BT29+BT30+BT32</f>
        <v>14895659.08</v>
      </c>
      <c r="BU33" s="408"/>
      <c r="BV33" s="377">
        <f>BV28+BV29+BV30+BV32</f>
        <v>0</v>
      </c>
      <c r="BW33" s="378"/>
      <c r="BX33" s="718">
        <f t="shared" si="66"/>
        <v>168951069.8</v>
      </c>
      <c r="BY33" s="216"/>
      <c r="BZ33" s="216"/>
      <c r="CA33" s="216"/>
      <c r="CB33" s="216"/>
      <c r="CC33" s="216"/>
      <c r="CD33" s="216"/>
      <c r="CE33" s="216"/>
      <c r="CF33" s="216"/>
      <c r="CG33" s="216"/>
      <c r="CH33" s="216"/>
      <c r="CI33" s="216"/>
      <c r="CJ33" s="216"/>
      <c r="CK33" s="216"/>
      <c r="CL33" s="216"/>
      <c r="CM33" s="216"/>
      <c r="CN33" s="216"/>
      <c r="CO33" s="216"/>
      <c r="CP33" s="216"/>
      <c r="CQ33" s="216"/>
      <c r="CR33" s="216"/>
      <c r="CS33" s="216"/>
      <c r="CT33" s="216"/>
      <c r="CU33" s="216"/>
    </row>
    <row r="34" ht="15.75" hidden="1" customHeight="1">
      <c r="A34" s="213"/>
      <c r="B34" s="382" t="s">
        <v>298</v>
      </c>
      <c r="C34" s="383"/>
      <c r="D34" s="708"/>
      <c r="E34" s="440"/>
      <c r="F34" s="440"/>
      <c r="G34" s="440"/>
      <c r="H34" s="440"/>
      <c r="I34" s="389"/>
      <c r="J34" s="708"/>
      <c r="K34" s="440"/>
      <c r="L34" s="440"/>
      <c r="M34" s="440"/>
      <c r="N34" s="440"/>
      <c r="O34" s="389"/>
      <c r="P34" s="382"/>
      <c r="Q34" s="440"/>
      <c r="R34" s="388">
        <f>R33-R32</f>
        <v>12198172.22</v>
      </c>
      <c r="S34" s="440"/>
      <c r="T34" s="440"/>
      <c r="U34" s="389"/>
      <c r="V34" s="708"/>
      <c r="W34" s="440"/>
      <c r="X34" s="440"/>
      <c r="Y34" s="440"/>
      <c r="Z34" s="440"/>
      <c r="AA34" s="389"/>
      <c r="AB34" s="708"/>
      <c r="AC34" s="440"/>
      <c r="AD34" s="388"/>
      <c r="AE34" s="440"/>
      <c r="AF34" s="440"/>
      <c r="AG34" s="389"/>
      <c r="AH34" s="708"/>
      <c r="AI34" s="440"/>
      <c r="AJ34" s="440"/>
      <c r="AK34" s="440"/>
      <c r="AL34" s="440"/>
      <c r="AM34" s="389"/>
      <c r="AN34" s="708"/>
      <c r="AO34" s="440"/>
      <c r="AP34" s="440"/>
      <c r="AQ34" s="440"/>
      <c r="AR34" s="440"/>
      <c r="AS34" s="389"/>
      <c r="AT34" s="708"/>
      <c r="AU34" s="440"/>
      <c r="AV34" s="440"/>
      <c r="AW34" s="440"/>
      <c r="AX34" s="440"/>
      <c r="AY34" s="389"/>
      <c r="AZ34" s="708"/>
      <c r="BA34" s="440"/>
      <c r="BB34" s="440"/>
      <c r="BC34" s="440"/>
      <c r="BD34" s="440"/>
      <c r="BE34" s="389"/>
      <c r="BF34" s="708"/>
      <c r="BG34" s="440"/>
      <c r="BH34" s="440"/>
      <c r="BI34" s="440"/>
      <c r="BJ34" s="440"/>
      <c r="BK34" s="389"/>
      <c r="BL34" s="708"/>
      <c r="BM34" s="440"/>
      <c r="BN34" s="388"/>
      <c r="BO34" s="440"/>
      <c r="BP34" s="440"/>
      <c r="BQ34" s="389"/>
      <c r="BR34" s="721"/>
      <c r="BS34" s="440"/>
      <c r="BT34" s="388"/>
      <c r="BU34" s="440"/>
      <c r="BV34" s="440"/>
      <c r="BW34" s="389"/>
      <c r="BX34" s="213"/>
      <c r="BY34" s="213"/>
      <c r="BZ34" s="213"/>
      <c r="CA34" s="213"/>
      <c r="CB34" s="213"/>
      <c r="CC34" s="213"/>
      <c r="CD34" s="213"/>
      <c r="CE34" s="213"/>
      <c r="CF34" s="213"/>
      <c r="CG34" s="213"/>
      <c r="CH34" s="213"/>
      <c r="CI34" s="213"/>
      <c r="CJ34" s="213"/>
      <c r="CK34" s="213"/>
      <c r="CL34" s="213"/>
      <c r="CM34" s="213"/>
      <c r="CN34" s="213"/>
      <c r="CO34" s="213"/>
      <c r="CP34" s="213"/>
      <c r="CQ34" s="213"/>
      <c r="CR34" s="213"/>
      <c r="CS34" s="213"/>
      <c r="CT34" s="213"/>
      <c r="CU34" s="213"/>
    </row>
    <row r="35" ht="15.75" hidden="1" customHeight="1">
      <c r="A35" s="213"/>
      <c r="B35" s="393"/>
      <c r="C35" s="350"/>
      <c r="D35" s="604"/>
      <c r="E35" s="355"/>
      <c r="F35" s="357"/>
      <c r="G35" s="357"/>
      <c r="H35" s="357"/>
      <c r="I35" s="533"/>
      <c r="J35" s="604"/>
      <c r="K35" s="355"/>
      <c r="L35" s="352"/>
      <c r="M35" s="352"/>
      <c r="N35" s="352"/>
      <c r="O35" s="358"/>
      <c r="P35" s="349"/>
      <c r="Q35" s="352"/>
      <c r="R35" s="352"/>
      <c r="S35" s="352"/>
      <c r="T35" s="352"/>
      <c r="U35" s="358"/>
      <c r="V35" s="604"/>
      <c r="W35" s="352"/>
      <c r="X35" s="352"/>
      <c r="Y35" s="352"/>
      <c r="Z35" s="352"/>
      <c r="AA35" s="358"/>
      <c r="AB35" s="604"/>
      <c r="AC35" s="352"/>
      <c r="AD35" s="357"/>
      <c r="AE35" s="352"/>
      <c r="AF35" s="352"/>
      <c r="AG35" s="358"/>
      <c r="AH35" s="604"/>
      <c r="AI35" s="352"/>
      <c r="AJ35" s="352"/>
      <c r="AK35" s="352"/>
      <c r="AL35" s="352"/>
      <c r="AM35" s="358"/>
      <c r="AN35" s="604"/>
      <c r="AO35" s="352"/>
      <c r="AP35" s="352"/>
      <c r="AQ35" s="352"/>
      <c r="AR35" s="352"/>
      <c r="AS35" s="358"/>
      <c r="AT35" s="604"/>
      <c r="AU35" s="352"/>
      <c r="AV35" s="352"/>
      <c r="AW35" s="352"/>
      <c r="AX35" s="352"/>
      <c r="AY35" s="358"/>
      <c r="AZ35" s="604"/>
      <c r="BA35" s="352"/>
      <c r="BB35" s="352"/>
      <c r="BC35" s="352"/>
      <c r="BD35" s="352"/>
      <c r="BE35" s="358"/>
      <c r="BF35" s="604"/>
      <c r="BG35" s="352"/>
      <c r="BH35" s="352"/>
      <c r="BI35" s="352"/>
      <c r="BJ35" s="352"/>
      <c r="BK35" s="358"/>
      <c r="BL35" s="604"/>
      <c r="BM35" s="352"/>
      <c r="BN35" s="357"/>
      <c r="BO35" s="352"/>
      <c r="BP35" s="352"/>
      <c r="BQ35" s="358"/>
      <c r="BR35" s="604"/>
      <c r="BS35" s="352"/>
      <c r="BT35" s="357"/>
      <c r="BU35" s="352"/>
      <c r="BV35" s="352"/>
      <c r="BW35" s="358"/>
      <c r="BX35" s="213"/>
      <c r="BY35" s="213"/>
      <c r="BZ35" s="213"/>
      <c r="CA35" s="213"/>
      <c r="CB35" s="213"/>
      <c r="CC35" s="213"/>
      <c r="CD35" s="213"/>
      <c r="CE35" s="213"/>
      <c r="CF35" s="213"/>
      <c r="CG35" s="213"/>
      <c r="CH35" s="213"/>
      <c r="CI35" s="213"/>
      <c r="CJ35" s="213"/>
      <c r="CK35" s="213"/>
      <c r="CL35" s="213"/>
      <c r="CM35" s="213"/>
      <c r="CN35" s="213"/>
      <c r="CO35" s="213"/>
      <c r="CP35" s="213"/>
      <c r="CQ35" s="213"/>
      <c r="CR35" s="213"/>
      <c r="CS35" s="213"/>
      <c r="CT35" s="213"/>
      <c r="CU35" s="213"/>
    </row>
    <row r="36" ht="15.75" hidden="1" customHeight="1">
      <c r="A36" s="213"/>
      <c r="B36" s="393"/>
      <c r="C36" s="350"/>
      <c r="D36" s="604"/>
      <c r="E36" s="355"/>
      <c r="F36" s="357"/>
      <c r="G36" s="357"/>
      <c r="H36" s="357"/>
      <c r="I36" s="533"/>
      <c r="J36" s="604"/>
      <c r="K36" s="355"/>
      <c r="L36" s="352"/>
      <c r="M36" s="352"/>
      <c r="N36" s="352"/>
      <c r="O36" s="358"/>
      <c r="P36" s="604"/>
      <c r="Q36" s="352"/>
      <c r="R36" s="352"/>
      <c r="S36" s="352"/>
      <c r="T36" s="352"/>
      <c r="U36" s="358"/>
      <c r="V36" s="604"/>
      <c r="W36" s="352"/>
      <c r="X36" s="352"/>
      <c r="Y36" s="352"/>
      <c r="Z36" s="352"/>
      <c r="AA36" s="358"/>
      <c r="AB36" s="604"/>
      <c r="AC36" s="352"/>
      <c r="AD36" s="357"/>
      <c r="AE36" s="352"/>
      <c r="AF36" s="352"/>
      <c r="AG36" s="358"/>
      <c r="AH36" s="604"/>
      <c r="AI36" s="352"/>
      <c r="AJ36" s="352"/>
      <c r="AK36" s="352"/>
      <c r="AL36" s="352"/>
      <c r="AM36" s="358"/>
      <c r="AN36" s="604"/>
      <c r="AO36" s="352"/>
      <c r="AP36" s="352"/>
      <c r="AQ36" s="352"/>
      <c r="AR36" s="352"/>
      <c r="AS36" s="358"/>
      <c r="AT36" s="604"/>
      <c r="AU36" s="352"/>
      <c r="AV36" s="352"/>
      <c r="AW36" s="352"/>
      <c r="AX36" s="352"/>
      <c r="AY36" s="358"/>
      <c r="AZ36" s="604"/>
      <c r="BA36" s="352"/>
      <c r="BB36" s="352"/>
      <c r="BC36" s="352"/>
      <c r="BD36" s="352"/>
      <c r="BE36" s="358"/>
      <c r="BF36" s="604"/>
      <c r="BG36" s="352"/>
      <c r="BH36" s="352"/>
      <c r="BI36" s="352"/>
      <c r="BJ36" s="352"/>
      <c r="BK36" s="358"/>
      <c r="BL36" s="604"/>
      <c r="BM36" s="352"/>
      <c r="BN36" s="357"/>
      <c r="BO36" s="352"/>
      <c r="BP36" s="352"/>
      <c r="BQ36" s="358"/>
      <c r="BR36" s="604"/>
      <c r="BS36" s="352"/>
      <c r="BT36" s="357"/>
      <c r="BU36" s="352"/>
      <c r="BV36" s="352"/>
      <c r="BW36" s="358"/>
      <c r="BX36" s="213"/>
      <c r="BY36" s="213"/>
      <c r="BZ36" s="213"/>
      <c r="CA36" s="213"/>
      <c r="CB36" s="213"/>
      <c r="CC36" s="213"/>
      <c r="CD36" s="213"/>
      <c r="CE36" s="213"/>
      <c r="CF36" s="213"/>
      <c r="CG36" s="213"/>
      <c r="CH36" s="213"/>
      <c r="CI36" s="213"/>
      <c r="CJ36" s="213"/>
      <c r="CK36" s="213"/>
      <c r="CL36" s="213"/>
      <c r="CM36" s="213"/>
      <c r="CN36" s="213"/>
      <c r="CO36" s="213"/>
      <c r="CP36" s="213"/>
      <c r="CQ36" s="213"/>
      <c r="CR36" s="213"/>
      <c r="CS36" s="213"/>
      <c r="CT36" s="213"/>
      <c r="CU36" s="213"/>
    </row>
    <row r="37" ht="15.75" hidden="1" customHeight="1">
      <c r="A37" s="213"/>
      <c r="B37" s="393"/>
      <c r="C37" s="350"/>
      <c r="D37" s="604"/>
      <c r="E37" s="355"/>
      <c r="F37" s="357"/>
      <c r="G37" s="357"/>
      <c r="H37" s="357"/>
      <c r="I37" s="533"/>
      <c r="J37" s="604"/>
      <c r="K37" s="355"/>
      <c r="L37" s="352"/>
      <c r="M37" s="352"/>
      <c r="N37" s="352"/>
      <c r="O37" s="358"/>
      <c r="P37" s="604"/>
      <c r="Q37" s="352"/>
      <c r="R37" s="352"/>
      <c r="S37" s="352"/>
      <c r="T37" s="352"/>
      <c r="U37" s="358"/>
      <c r="V37" s="604"/>
      <c r="W37" s="352"/>
      <c r="X37" s="352"/>
      <c r="Y37" s="352"/>
      <c r="Z37" s="352"/>
      <c r="AA37" s="358"/>
      <c r="AB37" s="604"/>
      <c r="AC37" s="352"/>
      <c r="AD37" s="357"/>
      <c r="AE37" s="352"/>
      <c r="AF37" s="352"/>
      <c r="AG37" s="358"/>
      <c r="AH37" s="604"/>
      <c r="AI37" s="352"/>
      <c r="AJ37" s="352"/>
      <c r="AK37" s="352"/>
      <c r="AL37" s="352"/>
      <c r="AM37" s="358"/>
      <c r="AN37" s="604"/>
      <c r="AO37" s="352"/>
      <c r="AP37" s="352"/>
      <c r="AQ37" s="352"/>
      <c r="AR37" s="352"/>
      <c r="AS37" s="358"/>
      <c r="AT37" s="604"/>
      <c r="AU37" s="352"/>
      <c r="AV37" s="352"/>
      <c r="AW37" s="352"/>
      <c r="AX37" s="352"/>
      <c r="AY37" s="358"/>
      <c r="AZ37" s="604"/>
      <c r="BA37" s="352"/>
      <c r="BB37" s="352"/>
      <c r="BC37" s="352"/>
      <c r="BD37" s="352"/>
      <c r="BE37" s="358"/>
      <c r="BF37" s="604"/>
      <c r="BG37" s="352"/>
      <c r="BH37" s="352"/>
      <c r="BI37" s="352"/>
      <c r="BJ37" s="352"/>
      <c r="BK37" s="358"/>
      <c r="BL37" s="604"/>
      <c r="BM37" s="352"/>
      <c r="BN37" s="357"/>
      <c r="BO37" s="352"/>
      <c r="BP37" s="352"/>
      <c r="BQ37" s="358"/>
      <c r="BR37" s="604"/>
      <c r="BS37" s="352"/>
      <c r="BT37" s="357"/>
      <c r="BU37" s="352"/>
      <c r="BV37" s="352"/>
      <c r="BW37" s="358"/>
      <c r="BX37" s="213"/>
      <c r="BY37" s="213"/>
      <c r="BZ37" s="213"/>
      <c r="CA37" s="213"/>
      <c r="CB37" s="213"/>
      <c r="CC37" s="213"/>
      <c r="CD37" s="213"/>
      <c r="CE37" s="213"/>
      <c r="CF37" s="213"/>
      <c r="CG37" s="213"/>
      <c r="CH37" s="213"/>
      <c r="CI37" s="213"/>
      <c r="CJ37" s="213"/>
      <c r="CK37" s="213"/>
      <c r="CL37" s="213"/>
      <c r="CM37" s="213"/>
      <c r="CN37" s="213"/>
      <c r="CO37" s="213"/>
      <c r="CP37" s="213"/>
      <c r="CQ37" s="213"/>
      <c r="CR37" s="213"/>
      <c r="CS37" s="213"/>
      <c r="CT37" s="213"/>
      <c r="CU37" s="213"/>
    </row>
    <row r="38" ht="15.75" hidden="1" customHeight="1">
      <c r="A38" s="213"/>
      <c r="B38" s="393"/>
      <c r="C38" s="350"/>
      <c r="D38" s="604"/>
      <c r="E38" s="355"/>
      <c r="F38" s="357"/>
      <c r="G38" s="357"/>
      <c r="H38" s="357"/>
      <c r="I38" s="533"/>
      <c r="J38" s="604"/>
      <c r="K38" s="355"/>
      <c r="L38" s="352"/>
      <c r="M38" s="352"/>
      <c r="N38" s="352"/>
      <c r="O38" s="358"/>
      <c r="P38" s="604"/>
      <c r="Q38" s="352"/>
      <c r="R38" s="352"/>
      <c r="S38" s="352"/>
      <c r="T38" s="352"/>
      <c r="U38" s="358"/>
      <c r="V38" s="604"/>
      <c r="W38" s="352"/>
      <c r="X38" s="352"/>
      <c r="Y38" s="352"/>
      <c r="Z38" s="352"/>
      <c r="AA38" s="358"/>
      <c r="AB38" s="604"/>
      <c r="AC38" s="352"/>
      <c r="AD38" s="357"/>
      <c r="AE38" s="352"/>
      <c r="AF38" s="352"/>
      <c r="AG38" s="358"/>
      <c r="AH38" s="604"/>
      <c r="AI38" s="352"/>
      <c r="AJ38" s="352"/>
      <c r="AK38" s="352"/>
      <c r="AL38" s="352"/>
      <c r="AM38" s="358"/>
      <c r="AN38" s="604"/>
      <c r="AO38" s="352"/>
      <c r="AP38" s="352"/>
      <c r="AQ38" s="352"/>
      <c r="AR38" s="352"/>
      <c r="AS38" s="358"/>
      <c r="AT38" s="604"/>
      <c r="AU38" s="352"/>
      <c r="AV38" s="352"/>
      <c r="AW38" s="352"/>
      <c r="AX38" s="352"/>
      <c r="AY38" s="358"/>
      <c r="AZ38" s="604"/>
      <c r="BA38" s="352"/>
      <c r="BB38" s="352"/>
      <c r="BC38" s="352"/>
      <c r="BD38" s="352"/>
      <c r="BE38" s="358"/>
      <c r="BF38" s="604"/>
      <c r="BG38" s="352"/>
      <c r="BH38" s="352"/>
      <c r="BI38" s="352"/>
      <c r="BJ38" s="352"/>
      <c r="BK38" s="358"/>
      <c r="BL38" s="604"/>
      <c r="BM38" s="352"/>
      <c r="BN38" s="357"/>
      <c r="BO38" s="352"/>
      <c r="BP38" s="352"/>
      <c r="BQ38" s="358"/>
      <c r="BR38" s="604"/>
      <c r="BS38" s="352"/>
      <c r="BT38" s="357"/>
      <c r="BU38" s="352"/>
      <c r="BV38" s="352"/>
      <c r="BW38" s="358"/>
      <c r="BX38" s="213"/>
      <c r="BY38" s="213"/>
      <c r="BZ38" s="213"/>
      <c r="CA38" s="213"/>
      <c r="CB38" s="213"/>
      <c r="CC38" s="213"/>
      <c r="CD38" s="213"/>
      <c r="CE38" s="213"/>
      <c r="CF38" s="213"/>
      <c r="CG38" s="213"/>
      <c r="CH38" s="213"/>
      <c r="CI38" s="213"/>
      <c r="CJ38" s="213"/>
      <c r="CK38" s="213"/>
      <c r="CL38" s="213"/>
      <c r="CM38" s="213"/>
      <c r="CN38" s="213"/>
      <c r="CO38" s="213"/>
      <c r="CP38" s="213"/>
      <c r="CQ38" s="213"/>
      <c r="CR38" s="213"/>
      <c r="CS38" s="213"/>
      <c r="CT38" s="213"/>
      <c r="CU38" s="213"/>
    </row>
    <row r="39" ht="15.75" hidden="1" customHeight="1">
      <c r="A39" s="213"/>
      <c r="B39" s="393"/>
      <c r="C39" s="350"/>
      <c r="D39" s="604"/>
      <c r="E39" s="355"/>
      <c r="F39" s="357"/>
      <c r="G39" s="357"/>
      <c r="H39" s="357"/>
      <c r="I39" s="533"/>
      <c r="J39" s="604"/>
      <c r="K39" s="355"/>
      <c r="L39" s="352"/>
      <c r="M39" s="352"/>
      <c r="N39" s="352"/>
      <c r="O39" s="358"/>
      <c r="P39" s="604"/>
      <c r="Q39" s="352"/>
      <c r="R39" s="352"/>
      <c r="S39" s="352"/>
      <c r="T39" s="352"/>
      <c r="U39" s="358"/>
      <c r="V39" s="604"/>
      <c r="W39" s="352"/>
      <c r="X39" s="352"/>
      <c r="Y39" s="352"/>
      <c r="Z39" s="352"/>
      <c r="AA39" s="358"/>
      <c r="AB39" s="604"/>
      <c r="AC39" s="352"/>
      <c r="AD39" s="357"/>
      <c r="AE39" s="352"/>
      <c r="AF39" s="352"/>
      <c r="AG39" s="358"/>
      <c r="AH39" s="604"/>
      <c r="AI39" s="352"/>
      <c r="AJ39" s="352"/>
      <c r="AK39" s="352"/>
      <c r="AL39" s="352"/>
      <c r="AM39" s="358"/>
      <c r="AN39" s="604"/>
      <c r="AO39" s="352"/>
      <c r="AP39" s="352"/>
      <c r="AQ39" s="352"/>
      <c r="AR39" s="352"/>
      <c r="AS39" s="358"/>
      <c r="AT39" s="604"/>
      <c r="AU39" s="352"/>
      <c r="AV39" s="352"/>
      <c r="AW39" s="352"/>
      <c r="AX39" s="352"/>
      <c r="AY39" s="358"/>
      <c r="AZ39" s="604"/>
      <c r="BA39" s="352"/>
      <c r="BB39" s="352"/>
      <c r="BC39" s="352"/>
      <c r="BD39" s="352"/>
      <c r="BE39" s="358"/>
      <c r="BF39" s="604"/>
      <c r="BG39" s="352"/>
      <c r="BH39" s="352"/>
      <c r="BI39" s="352"/>
      <c r="BJ39" s="352"/>
      <c r="BK39" s="358"/>
      <c r="BL39" s="604"/>
      <c r="BM39" s="352"/>
      <c r="BN39" s="357"/>
      <c r="BO39" s="352"/>
      <c r="BP39" s="352"/>
      <c r="BQ39" s="358"/>
      <c r="BR39" s="604"/>
      <c r="BS39" s="352"/>
      <c r="BT39" s="357"/>
      <c r="BU39" s="352"/>
      <c r="BV39" s="352"/>
      <c r="BW39" s="358"/>
      <c r="BX39" s="213"/>
      <c r="BY39" s="213"/>
      <c r="BZ39" s="213"/>
      <c r="CA39" s="213"/>
      <c r="CB39" s="213"/>
      <c r="CC39" s="213"/>
      <c r="CD39" s="213"/>
      <c r="CE39" s="213"/>
      <c r="CF39" s="213"/>
      <c r="CG39" s="213"/>
      <c r="CH39" s="213"/>
      <c r="CI39" s="213"/>
      <c r="CJ39" s="213"/>
      <c r="CK39" s="213"/>
      <c r="CL39" s="213"/>
      <c r="CM39" s="213"/>
      <c r="CN39" s="213"/>
      <c r="CO39" s="213"/>
      <c r="CP39" s="213"/>
      <c r="CQ39" s="213"/>
      <c r="CR39" s="213"/>
      <c r="CS39" s="213"/>
      <c r="CT39" s="213"/>
      <c r="CU39" s="213"/>
    </row>
    <row r="40" ht="15.75" hidden="1" customHeight="1">
      <c r="A40" s="213"/>
      <c r="B40" s="393"/>
      <c r="C40" s="350"/>
      <c r="D40" s="604"/>
      <c r="E40" s="355"/>
      <c r="F40" s="357"/>
      <c r="G40" s="357"/>
      <c r="H40" s="357"/>
      <c r="I40" s="533"/>
      <c r="J40" s="604"/>
      <c r="K40" s="355"/>
      <c r="L40" s="352"/>
      <c r="M40" s="352"/>
      <c r="N40" s="352"/>
      <c r="O40" s="358"/>
      <c r="P40" s="604"/>
      <c r="Q40" s="352"/>
      <c r="R40" s="352"/>
      <c r="S40" s="352"/>
      <c r="T40" s="352"/>
      <c r="U40" s="358"/>
      <c r="V40" s="604"/>
      <c r="W40" s="352"/>
      <c r="X40" s="352"/>
      <c r="Y40" s="352"/>
      <c r="Z40" s="352"/>
      <c r="AA40" s="358"/>
      <c r="AB40" s="604"/>
      <c r="AC40" s="352"/>
      <c r="AD40" s="357"/>
      <c r="AE40" s="352"/>
      <c r="AF40" s="352"/>
      <c r="AG40" s="358"/>
      <c r="AH40" s="604"/>
      <c r="AI40" s="352"/>
      <c r="AJ40" s="352"/>
      <c r="AK40" s="352"/>
      <c r="AL40" s="352"/>
      <c r="AM40" s="358"/>
      <c r="AN40" s="604"/>
      <c r="AO40" s="352"/>
      <c r="AP40" s="352"/>
      <c r="AQ40" s="352"/>
      <c r="AR40" s="352"/>
      <c r="AS40" s="358"/>
      <c r="AT40" s="604"/>
      <c r="AU40" s="352"/>
      <c r="AV40" s="352"/>
      <c r="AW40" s="352"/>
      <c r="AX40" s="352"/>
      <c r="AY40" s="358"/>
      <c r="AZ40" s="604"/>
      <c r="BA40" s="352"/>
      <c r="BB40" s="352"/>
      <c r="BC40" s="352"/>
      <c r="BD40" s="352"/>
      <c r="BE40" s="358"/>
      <c r="BF40" s="604"/>
      <c r="BG40" s="352"/>
      <c r="BH40" s="352"/>
      <c r="BI40" s="352"/>
      <c r="BJ40" s="352"/>
      <c r="BK40" s="358"/>
      <c r="BL40" s="604"/>
      <c r="BM40" s="352"/>
      <c r="BN40" s="357"/>
      <c r="BO40" s="352"/>
      <c r="BP40" s="352"/>
      <c r="BQ40" s="358"/>
      <c r="BR40" s="604"/>
      <c r="BS40" s="352"/>
      <c r="BT40" s="357"/>
      <c r="BU40" s="352"/>
      <c r="BV40" s="352"/>
      <c r="BW40" s="358"/>
      <c r="BX40" s="213"/>
      <c r="BY40" s="213"/>
      <c r="BZ40" s="213"/>
      <c r="CA40" s="213"/>
      <c r="CB40" s="213"/>
      <c r="CC40" s="213"/>
      <c r="CD40" s="213"/>
      <c r="CE40" s="213"/>
      <c r="CF40" s="213"/>
      <c r="CG40" s="213"/>
      <c r="CH40" s="213"/>
      <c r="CI40" s="213"/>
      <c r="CJ40" s="213"/>
      <c r="CK40" s="213"/>
      <c r="CL40" s="213"/>
      <c r="CM40" s="213"/>
      <c r="CN40" s="213"/>
      <c r="CO40" s="213"/>
      <c r="CP40" s="213"/>
      <c r="CQ40" s="213"/>
      <c r="CR40" s="213"/>
      <c r="CS40" s="213"/>
      <c r="CT40" s="213"/>
      <c r="CU40" s="213"/>
    </row>
    <row r="41" ht="15.75" hidden="1" customHeight="1">
      <c r="A41" s="213"/>
      <c r="B41" s="393"/>
      <c r="C41" s="350"/>
      <c r="D41" s="604"/>
      <c r="E41" s="355"/>
      <c r="F41" s="357"/>
      <c r="G41" s="357"/>
      <c r="H41" s="357"/>
      <c r="I41" s="533"/>
      <c r="J41" s="604"/>
      <c r="K41" s="355"/>
      <c r="L41" s="352"/>
      <c r="M41" s="352"/>
      <c r="N41" s="352"/>
      <c r="O41" s="358"/>
      <c r="P41" s="604"/>
      <c r="Q41" s="352"/>
      <c r="R41" s="352"/>
      <c r="S41" s="352"/>
      <c r="T41" s="352"/>
      <c r="U41" s="358"/>
      <c r="V41" s="604"/>
      <c r="W41" s="352"/>
      <c r="X41" s="352"/>
      <c r="Y41" s="352"/>
      <c r="Z41" s="352"/>
      <c r="AA41" s="358"/>
      <c r="AB41" s="604"/>
      <c r="AC41" s="352"/>
      <c r="AD41" s="357"/>
      <c r="AE41" s="352"/>
      <c r="AF41" s="352"/>
      <c r="AG41" s="358"/>
      <c r="AH41" s="604"/>
      <c r="AI41" s="352"/>
      <c r="AJ41" s="352"/>
      <c r="AK41" s="352"/>
      <c r="AL41" s="352"/>
      <c r="AM41" s="358"/>
      <c r="AN41" s="604"/>
      <c r="AO41" s="352"/>
      <c r="AP41" s="352"/>
      <c r="AQ41" s="352"/>
      <c r="AR41" s="352"/>
      <c r="AS41" s="358"/>
      <c r="AT41" s="604"/>
      <c r="AU41" s="352"/>
      <c r="AV41" s="352"/>
      <c r="AW41" s="352"/>
      <c r="AX41" s="352"/>
      <c r="AY41" s="358"/>
      <c r="AZ41" s="604"/>
      <c r="BA41" s="352"/>
      <c r="BB41" s="352"/>
      <c r="BC41" s="352"/>
      <c r="BD41" s="352"/>
      <c r="BE41" s="358"/>
      <c r="BF41" s="604"/>
      <c r="BG41" s="352"/>
      <c r="BH41" s="352"/>
      <c r="BI41" s="352"/>
      <c r="BJ41" s="352"/>
      <c r="BK41" s="358"/>
      <c r="BL41" s="604"/>
      <c r="BM41" s="352"/>
      <c r="BN41" s="357"/>
      <c r="BO41" s="352"/>
      <c r="BP41" s="352"/>
      <c r="BQ41" s="358"/>
      <c r="BR41" s="604"/>
      <c r="BS41" s="352"/>
      <c r="BT41" s="357"/>
      <c r="BU41" s="352"/>
      <c r="BV41" s="352"/>
      <c r="BW41" s="358"/>
      <c r="BX41" s="216"/>
      <c r="BY41" s="216"/>
      <c r="BZ41" s="216"/>
      <c r="CA41" s="216"/>
      <c r="CB41" s="216"/>
      <c r="CC41" s="216"/>
      <c r="CD41" s="216"/>
      <c r="CE41" s="216"/>
      <c r="CF41" s="216"/>
      <c r="CG41" s="216"/>
      <c r="CH41" s="216"/>
      <c r="CI41" s="216"/>
      <c r="CJ41" s="216"/>
      <c r="CK41" s="216"/>
      <c r="CL41" s="216"/>
      <c r="CM41" s="216"/>
      <c r="CN41" s="216"/>
      <c r="CO41" s="216"/>
      <c r="CP41" s="216"/>
      <c r="CQ41" s="216"/>
      <c r="CR41" s="216"/>
      <c r="CS41" s="216"/>
      <c r="CT41" s="216"/>
      <c r="CU41" s="216"/>
    </row>
    <row r="42" ht="15.75" customHeight="1">
      <c r="A42" s="213"/>
      <c r="B42" s="349"/>
      <c r="C42" s="358"/>
      <c r="D42" s="604"/>
      <c r="E42" s="352"/>
      <c r="F42" s="352"/>
      <c r="G42" s="352"/>
      <c r="H42" s="352"/>
      <c r="I42" s="358"/>
      <c r="J42" s="604"/>
      <c r="K42" s="352"/>
      <c r="L42" s="352"/>
      <c r="M42" s="352"/>
      <c r="N42" s="352"/>
      <c r="O42" s="358"/>
      <c r="P42" s="349"/>
      <c r="Q42" s="352"/>
      <c r="R42" s="352"/>
      <c r="S42" s="352"/>
      <c r="T42" s="352"/>
      <c r="U42" s="358"/>
      <c r="V42" s="604"/>
      <c r="W42" s="352"/>
      <c r="X42" s="352"/>
      <c r="Y42" s="352"/>
      <c r="Z42" s="352"/>
      <c r="AA42" s="358"/>
      <c r="AB42" s="604"/>
      <c r="AC42" s="352"/>
      <c r="AD42" s="357"/>
      <c r="AE42" s="352"/>
      <c r="AF42" s="352"/>
      <c r="AG42" s="358"/>
      <c r="AH42" s="604"/>
      <c r="AI42" s="352"/>
      <c r="AJ42" s="352"/>
      <c r="AK42" s="352"/>
      <c r="AL42" s="352"/>
      <c r="AM42" s="358"/>
      <c r="AN42" s="604"/>
      <c r="AO42" s="352"/>
      <c r="AP42" s="352"/>
      <c r="AQ42" s="352"/>
      <c r="AR42" s="352"/>
      <c r="AS42" s="358"/>
      <c r="AT42" s="604"/>
      <c r="AU42" s="352"/>
      <c r="AV42" s="352"/>
      <c r="AW42" s="352"/>
      <c r="AX42" s="352"/>
      <c r="AY42" s="358"/>
      <c r="AZ42" s="604"/>
      <c r="BA42" s="352"/>
      <c r="BB42" s="352"/>
      <c r="BC42" s="352"/>
      <c r="BD42" s="352"/>
      <c r="BE42" s="358"/>
      <c r="BF42" s="604"/>
      <c r="BG42" s="352"/>
      <c r="BH42" s="352"/>
      <c r="BI42" s="352"/>
      <c r="BJ42" s="352"/>
      <c r="BK42" s="358"/>
      <c r="BL42" s="604"/>
      <c r="BM42" s="352"/>
      <c r="BN42" s="357"/>
      <c r="BO42" s="352"/>
      <c r="BP42" s="352"/>
      <c r="BQ42" s="358"/>
      <c r="BR42" s="604"/>
      <c r="BS42" s="352"/>
      <c r="BT42" s="357"/>
      <c r="BU42" s="352"/>
      <c r="BV42" s="352"/>
      <c r="BW42" s="358"/>
      <c r="BX42" s="213"/>
      <c r="BY42" s="213"/>
      <c r="BZ42" s="213"/>
      <c r="CA42" s="213"/>
      <c r="CB42" s="213"/>
      <c r="CC42" s="213"/>
      <c r="CD42" s="213"/>
      <c r="CE42" s="213"/>
      <c r="CF42" s="213"/>
      <c r="CG42" s="213"/>
      <c r="CH42" s="213"/>
      <c r="CI42" s="213"/>
      <c r="CJ42" s="213"/>
      <c r="CK42" s="213"/>
      <c r="CL42" s="213"/>
      <c r="CM42" s="213"/>
      <c r="CN42" s="213"/>
      <c r="CO42" s="213"/>
      <c r="CP42" s="213"/>
      <c r="CQ42" s="213"/>
      <c r="CR42" s="213"/>
      <c r="CS42" s="213"/>
      <c r="CT42" s="213"/>
      <c r="CU42" s="213"/>
    </row>
    <row r="43" ht="15.75" customHeight="1">
      <c r="A43" s="213"/>
      <c r="B43" s="722" t="s">
        <v>233</v>
      </c>
      <c r="C43" s="616"/>
      <c r="D43" s="604"/>
      <c r="E43" s="352"/>
      <c r="F43" s="352"/>
      <c r="G43" s="352"/>
      <c r="H43" s="352"/>
      <c r="I43" s="358"/>
      <c r="J43" s="604"/>
      <c r="K43" s="352"/>
      <c r="L43" s="352"/>
      <c r="M43" s="352"/>
      <c r="N43" s="352"/>
      <c r="O43" s="358"/>
      <c r="P43" s="349"/>
      <c r="Q43" s="352"/>
      <c r="R43" s="352"/>
      <c r="S43" s="352"/>
      <c r="T43" s="352"/>
      <c r="U43" s="358"/>
      <c r="V43" s="604"/>
      <c r="W43" s="352"/>
      <c r="X43" s="352"/>
      <c r="Y43" s="352"/>
      <c r="Z43" s="352"/>
      <c r="AA43" s="358"/>
      <c r="AB43" s="604"/>
      <c r="AC43" s="352"/>
      <c r="AD43" s="357"/>
      <c r="AE43" s="352"/>
      <c r="AF43" s="352"/>
      <c r="AG43" s="358"/>
      <c r="AH43" s="604"/>
      <c r="AI43" s="352"/>
      <c r="AJ43" s="352"/>
      <c r="AK43" s="352"/>
      <c r="AL43" s="352"/>
      <c r="AM43" s="358"/>
      <c r="AN43" s="604"/>
      <c r="AO43" s="352"/>
      <c r="AP43" s="352"/>
      <c r="AQ43" s="352"/>
      <c r="AR43" s="352"/>
      <c r="AS43" s="358"/>
      <c r="AT43" s="604"/>
      <c r="AU43" s="352"/>
      <c r="AV43" s="352"/>
      <c r="AW43" s="352"/>
      <c r="AX43" s="352"/>
      <c r="AY43" s="358"/>
      <c r="AZ43" s="604"/>
      <c r="BA43" s="352"/>
      <c r="BB43" s="352"/>
      <c r="BC43" s="352"/>
      <c r="BD43" s="352"/>
      <c r="BE43" s="358"/>
      <c r="BF43" s="604"/>
      <c r="BG43" s="352"/>
      <c r="BH43" s="352"/>
      <c r="BI43" s="352"/>
      <c r="BJ43" s="352"/>
      <c r="BK43" s="358"/>
      <c r="BL43" s="604"/>
      <c r="BM43" s="352"/>
      <c r="BN43" s="357"/>
      <c r="BO43" s="352"/>
      <c r="BP43" s="352"/>
      <c r="BQ43" s="358"/>
      <c r="BR43" s="604"/>
      <c r="BS43" s="352"/>
      <c r="BT43" s="357"/>
      <c r="BU43" s="352"/>
      <c r="BV43" s="352"/>
      <c r="BW43" s="358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  <c r="CR43" s="213"/>
      <c r="CS43" s="213"/>
      <c r="CT43" s="213"/>
      <c r="CU43" s="213"/>
    </row>
    <row r="44" ht="15.75" customHeight="1">
      <c r="A44" s="213"/>
      <c r="B44" s="349" t="s">
        <v>29</v>
      </c>
      <c r="C44" s="350"/>
      <c r="D44" s="604"/>
      <c r="E44" s="352"/>
      <c r="F44" s="352"/>
      <c r="G44" s="352"/>
      <c r="H44" s="352"/>
      <c r="I44" s="358"/>
      <c r="J44" s="604"/>
      <c r="K44" s="352"/>
      <c r="L44" s="352"/>
      <c r="M44" s="352"/>
      <c r="N44" s="352"/>
      <c r="O44" s="358"/>
      <c r="P44" s="349"/>
      <c r="Q44" s="352"/>
      <c r="R44" s="352"/>
      <c r="S44" s="352"/>
      <c r="T44" s="352"/>
      <c r="U44" s="358"/>
      <c r="V44" s="604"/>
      <c r="W44" s="352"/>
      <c r="X44" s="352"/>
      <c r="Y44" s="352"/>
      <c r="Z44" s="352"/>
      <c r="AA44" s="358"/>
      <c r="AB44" s="604"/>
      <c r="AC44" s="352"/>
      <c r="AD44" s="357"/>
      <c r="AE44" s="352"/>
      <c r="AF44" s="352"/>
      <c r="AG44" s="358"/>
      <c r="AH44" s="604"/>
      <c r="AI44" s="352"/>
      <c r="AJ44" s="352"/>
      <c r="AK44" s="352"/>
      <c r="AL44" s="352"/>
      <c r="AM44" s="358"/>
      <c r="AN44" s="604"/>
      <c r="AO44" s="352"/>
      <c r="AP44" s="352"/>
      <c r="AQ44" s="352"/>
      <c r="AR44" s="352"/>
      <c r="AS44" s="358"/>
      <c r="AT44" s="604"/>
      <c r="AU44" s="352"/>
      <c r="AV44" s="352"/>
      <c r="AW44" s="352"/>
      <c r="AX44" s="352"/>
      <c r="AY44" s="358"/>
      <c r="AZ44" s="604"/>
      <c r="BA44" s="352"/>
      <c r="BB44" s="352"/>
      <c r="BC44" s="352"/>
      <c r="BD44" s="352"/>
      <c r="BE44" s="358"/>
      <c r="BF44" s="604"/>
      <c r="BG44" s="352"/>
      <c r="BH44" s="352"/>
      <c r="BI44" s="352"/>
      <c r="BJ44" s="352"/>
      <c r="BK44" s="358"/>
      <c r="BL44" s="604"/>
      <c r="BM44" s="352"/>
      <c r="BN44" s="357"/>
      <c r="BO44" s="352"/>
      <c r="BP44" s="352"/>
      <c r="BQ44" s="358"/>
      <c r="BR44" s="604"/>
      <c r="BS44" s="352"/>
      <c r="BT44" s="357"/>
      <c r="BU44" s="352"/>
      <c r="BV44" s="352"/>
      <c r="BW44" s="358"/>
      <c r="BX44" s="213"/>
      <c r="BY44" s="213"/>
      <c r="BZ44" s="213"/>
      <c r="CA44" s="213"/>
      <c r="CB44" s="213"/>
      <c r="CC44" s="213"/>
      <c r="CD44" s="213"/>
      <c r="CE44" s="213"/>
      <c r="CF44" s="213"/>
      <c r="CG44" s="213"/>
      <c r="CH44" s="213"/>
      <c r="CI44" s="213"/>
      <c r="CJ44" s="213"/>
      <c r="CK44" s="213"/>
      <c r="CL44" s="213"/>
      <c r="CM44" s="213"/>
      <c r="CN44" s="213"/>
      <c r="CO44" s="213"/>
      <c r="CP44" s="213"/>
      <c r="CQ44" s="213"/>
      <c r="CR44" s="213"/>
      <c r="CS44" s="213"/>
      <c r="CT44" s="213"/>
      <c r="CU44" s="213"/>
    </row>
    <row r="45" ht="15.75" customHeight="1">
      <c r="A45" s="213"/>
      <c r="B45" s="393"/>
      <c r="C45" s="723" t="s">
        <v>234</v>
      </c>
      <c r="D45" s="604"/>
      <c r="E45" s="352"/>
      <c r="F45" s="352"/>
      <c r="G45" s="352"/>
      <c r="H45" s="352"/>
      <c r="I45" s="358"/>
      <c r="J45" s="604"/>
      <c r="K45" s="352"/>
      <c r="L45" s="352"/>
      <c r="M45" s="352"/>
      <c r="N45" s="352"/>
      <c r="O45" s="358"/>
      <c r="P45" s="349"/>
      <c r="Q45" s="352"/>
      <c r="R45" s="352"/>
      <c r="S45" s="352"/>
      <c r="T45" s="352"/>
      <c r="U45" s="358"/>
      <c r="V45" s="604"/>
      <c r="W45" s="352"/>
      <c r="X45" s="352"/>
      <c r="Y45" s="352"/>
      <c r="Z45" s="352"/>
      <c r="AA45" s="358"/>
      <c r="AB45" s="604"/>
      <c r="AC45" s="352"/>
      <c r="AD45" s="357"/>
      <c r="AE45" s="352"/>
      <c r="AF45" s="352"/>
      <c r="AG45" s="358"/>
      <c r="AH45" s="604"/>
      <c r="AI45" s="352"/>
      <c r="AJ45" s="352"/>
      <c r="AK45" s="352"/>
      <c r="AL45" s="352"/>
      <c r="AM45" s="358"/>
      <c r="AN45" s="604"/>
      <c r="AO45" s="352"/>
      <c r="AP45" s="352"/>
      <c r="AQ45" s="352"/>
      <c r="AR45" s="352"/>
      <c r="AS45" s="358"/>
      <c r="AT45" s="604"/>
      <c r="AU45" s="352"/>
      <c r="AV45" s="352"/>
      <c r="AW45" s="352"/>
      <c r="AX45" s="352"/>
      <c r="AY45" s="358"/>
      <c r="AZ45" s="604"/>
      <c r="BA45" s="352"/>
      <c r="BB45" s="352"/>
      <c r="BC45" s="352"/>
      <c r="BD45" s="352"/>
      <c r="BE45" s="358"/>
      <c r="BF45" s="604"/>
      <c r="BG45" s="352"/>
      <c r="BH45" s="352"/>
      <c r="BI45" s="352"/>
      <c r="BJ45" s="352"/>
      <c r="BK45" s="358"/>
      <c r="BL45" s="604"/>
      <c r="BM45" s="352"/>
      <c r="BN45" s="357"/>
      <c r="BO45" s="352"/>
      <c r="BP45" s="352"/>
      <c r="BQ45" s="358"/>
      <c r="BR45" s="604"/>
      <c r="BS45" s="352"/>
      <c r="BT45" s="357"/>
      <c r="BU45" s="352"/>
      <c r="BV45" s="352"/>
      <c r="BW45" s="358"/>
      <c r="BX45" s="213"/>
      <c r="BY45" s="213"/>
      <c r="BZ45" s="213"/>
      <c r="CA45" s="213"/>
      <c r="CB45" s="213"/>
      <c r="CC45" s="213"/>
      <c r="CD45" s="213"/>
      <c r="CE45" s="213"/>
      <c r="CF45" s="213"/>
      <c r="CG45" s="213"/>
      <c r="CH45" s="213"/>
      <c r="CI45" s="213"/>
      <c r="CJ45" s="213"/>
      <c r="CK45" s="213"/>
      <c r="CL45" s="213"/>
      <c r="CM45" s="213"/>
      <c r="CN45" s="213"/>
      <c r="CO45" s="213"/>
      <c r="CP45" s="213"/>
      <c r="CQ45" s="213"/>
      <c r="CR45" s="213"/>
      <c r="CS45" s="213"/>
      <c r="CT45" s="213"/>
      <c r="CU45" s="213"/>
    </row>
    <row r="46" ht="15.75" customHeight="1">
      <c r="A46" s="213"/>
      <c r="B46" s="393"/>
      <c r="C46" s="350" t="s">
        <v>235</v>
      </c>
      <c r="D46" s="604">
        <f>'MSBC CK Allocation'!C32</f>
        <v>600882.3397</v>
      </c>
      <c r="E46" s="355">
        <f>D46/D30</f>
        <v>0.06467962699</v>
      </c>
      <c r="F46" s="357">
        <f>G46*F30</f>
        <v>195446.48</v>
      </c>
      <c r="G46" s="355">
        <v>0.02</v>
      </c>
      <c r="H46" s="357">
        <f t="shared" ref="H46:H50" si="67">D46-F46</f>
        <v>405435.8597</v>
      </c>
      <c r="I46" s="395">
        <f t="shared" ref="I46:I50" si="68">H46/F46</f>
        <v>2.074408604</v>
      </c>
      <c r="J46" s="604">
        <f>'MSBC CK Allocation'!D32</f>
        <v>621896.7715</v>
      </c>
      <c r="K46" s="355">
        <f>J46/J30</f>
        <v>0.06432235794</v>
      </c>
      <c r="L46" s="357">
        <f>M46*L30</f>
        <v>184239.4258</v>
      </c>
      <c r="M46" s="355">
        <v>0.02</v>
      </c>
      <c r="N46" s="352"/>
      <c r="O46" s="358"/>
      <c r="P46" s="604">
        <f>'MSBC CK Allocation'!E32</f>
        <v>566229.6604</v>
      </c>
      <c r="Q46" s="355">
        <f>P46/P30</f>
        <v>0.06686181695</v>
      </c>
      <c r="R46" s="357">
        <f>S46*R30</f>
        <v>198160.6332</v>
      </c>
      <c r="S46" s="355">
        <v>0.02</v>
      </c>
      <c r="T46" s="352"/>
      <c r="U46" s="358"/>
      <c r="V46" s="604">
        <f>'MSBC CK Allocation'!F32</f>
        <v>498552.3966</v>
      </c>
      <c r="W46" s="355">
        <f>V46/V30</f>
        <v>0.0461861175</v>
      </c>
      <c r="X46" s="357">
        <f>Y46*X30</f>
        <v>205378.1372</v>
      </c>
      <c r="Y46" s="355">
        <v>0.02</v>
      </c>
      <c r="Z46" s="352"/>
      <c r="AA46" s="358"/>
      <c r="AB46" s="604">
        <f>'MSBC CK Allocation'!G32</f>
        <v>542137.8806</v>
      </c>
      <c r="AC46" s="355">
        <f>AB46/AB30</f>
        <v>0.04975770221</v>
      </c>
      <c r="AD46" s="357">
        <f>AE46*AD30</f>
        <v>217301.8216</v>
      </c>
      <c r="AE46" s="355">
        <v>0.02</v>
      </c>
      <c r="AF46" s="352"/>
      <c r="AG46" s="358"/>
      <c r="AH46" s="604">
        <f>'MSBC CK Allocation'!H32</f>
        <v>603507.2576</v>
      </c>
      <c r="AI46" s="355">
        <f>AH46/AH30</f>
        <v>0.06436357025</v>
      </c>
      <c r="AJ46" s="357">
        <f>AK46*AJ30</f>
        <v>207075.02</v>
      </c>
      <c r="AK46" s="355">
        <v>0.02</v>
      </c>
      <c r="AL46" s="352"/>
      <c r="AM46" s="358"/>
      <c r="AN46" s="604">
        <f>'MSBC CK Allocation'!I32</f>
        <v>706928.2326</v>
      </c>
      <c r="AO46" s="355">
        <f>AN46/AN30</f>
        <v>0.07292059303</v>
      </c>
      <c r="AP46" s="357">
        <f>AQ46*AP30</f>
        <v>228415.2224</v>
      </c>
      <c r="AQ46" s="355">
        <v>0.02</v>
      </c>
      <c r="AR46" s="352"/>
      <c r="AS46" s="358"/>
      <c r="AT46" s="604">
        <f>'MSBC CK Allocation'!J32</f>
        <v>684274.0318</v>
      </c>
      <c r="AU46" s="355">
        <f>AT46/AT30</f>
        <v>0.07135226659</v>
      </c>
      <c r="AV46" s="357">
        <f>AW46*AV30</f>
        <v>234991.4232</v>
      </c>
      <c r="AW46" s="355">
        <v>0.02</v>
      </c>
      <c r="AX46" s="352"/>
      <c r="AY46" s="358"/>
      <c r="AZ46" s="604">
        <f>'MSBC CK Allocation'!K32</f>
        <v>604779.1521</v>
      </c>
      <c r="BA46" s="355">
        <f>AZ46/AZ30</f>
        <v>0.04425452774</v>
      </c>
      <c r="BB46" s="357">
        <f>BC46*BB30</f>
        <v>253499.4048</v>
      </c>
      <c r="BC46" s="355">
        <v>0.02</v>
      </c>
      <c r="BD46" s="352"/>
      <c r="BE46" s="358"/>
      <c r="BF46" s="628">
        <v>560916.0</v>
      </c>
      <c r="BG46" s="355">
        <f>BF46/BF30</f>
        <v>0.04158182485</v>
      </c>
      <c r="BH46" s="357">
        <f>BI46*BH30</f>
        <v>246149.304</v>
      </c>
      <c r="BI46" s="355">
        <v>0.02</v>
      </c>
      <c r="BJ46" s="352"/>
      <c r="BK46" s="358"/>
      <c r="BL46" s="396">
        <v>561387.0</v>
      </c>
      <c r="BM46" s="355">
        <f>BL46/BL30</f>
        <v>0.0405674716</v>
      </c>
      <c r="BN46" s="357">
        <f>BO46*BN30</f>
        <v>207244.2192</v>
      </c>
      <c r="BO46" s="355">
        <v>0.02</v>
      </c>
      <c r="BP46" s="352"/>
      <c r="BQ46" s="358"/>
      <c r="BR46" s="628">
        <v>631967.0</v>
      </c>
      <c r="BS46" s="355">
        <f>BR46/BR30</f>
        <v>0.05436058944</v>
      </c>
      <c r="BT46" s="357">
        <f>BU46*BT30</f>
        <v>226923.8216</v>
      </c>
      <c r="BU46" s="355">
        <v>0.02</v>
      </c>
      <c r="BV46" s="352"/>
      <c r="BW46" s="358"/>
      <c r="BX46" s="213"/>
      <c r="BY46" s="213"/>
      <c r="BZ46" s="213"/>
      <c r="CA46" s="213"/>
      <c r="CB46" s="213"/>
      <c r="CC46" s="213"/>
      <c r="CD46" s="213"/>
      <c r="CE46" s="213"/>
      <c r="CF46" s="213"/>
      <c r="CG46" s="213"/>
      <c r="CH46" s="213"/>
      <c r="CI46" s="213"/>
      <c r="CJ46" s="213"/>
      <c r="CK46" s="213"/>
      <c r="CL46" s="213"/>
      <c r="CM46" s="213"/>
      <c r="CN46" s="213"/>
      <c r="CO46" s="213"/>
      <c r="CP46" s="213"/>
      <c r="CQ46" s="213"/>
      <c r="CR46" s="213"/>
      <c r="CS46" s="213"/>
      <c r="CT46" s="213"/>
      <c r="CU46" s="213"/>
    </row>
    <row r="47" ht="15.75" customHeight="1">
      <c r="A47" s="213"/>
      <c r="B47" s="393"/>
      <c r="C47" s="350" t="s">
        <v>301</v>
      </c>
      <c r="D47" s="604">
        <f>E47*D30</f>
        <v>2665339.169</v>
      </c>
      <c r="E47" s="355">
        <v>0.2869</v>
      </c>
      <c r="F47" s="357">
        <f>G47*F30</f>
        <v>2574030.142</v>
      </c>
      <c r="G47" s="355">
        <v>0.2634</v>
      </c>
      <c r="H47" s="357">
        <f t="shared" si="67"/>
        <v>91309.02758</v>
      </c>
      <c r="I47" s="395">
        <f t="shared" si="68"/>
        <v>0.0354731773</v>
      </c>
      <c r="J47" s="604">
        <f>K47*J30</f>
        <v>2724566.012</v>
      </c>
      <c r="K47" s="355">
        <v>0.2818</v>
      </c>
      <c r="L47" s="357">
        <f>M47*L30</f>
        <v>2426433.238</v>
      </c>
      <c r="M47" s="355">
        <v>0.2634</v>
      </c>
      <c r="N47" s="352"/>
      <c r="O47" s="358"/>
      <c r="P47" s="604">
        <v>2294506.25300528</v>
      </c>
      <c r="Q47" s="355">
        <f>P47/P30</f>
        <v>0.2709410471</v>
      </c>
      <c r="R47" s="357">
        <f>S47*R30</f>
        <v>2609775.539</v>
      </c>
      <c r="S47" s="355">
        <v>0.2634</v>
      </c>
      <c r="T47" s="352"/>
      <c r="U47" s="358"/>
      <c r="V47" s="604">
        <v>2511969.99</v>
      </c>
      <c r="W47" s="355">
        <f>V47/V30</f>
        <v>0.2327100259</v>
      </c>
      <c r="X47" s="357">
        <f>Y47*X30</f>
        <v>2704830.067</v>
      </c>
      <c r="Y47" s="355">
        <v>0.2634</v>
      </c>
      <c r="Z47" s="352"/>
      <c r="AA47" s="358"/>
      <c r="AB47" s="604">
        <v>2708660.21</v>
      </c>
      <c r="AC47" s="355">
        <f>AB47/AB30</f>
        <v>0.2486022706</v>
      </c>
      <c r="AD47" s="357">
        <f>AE47*AD30</f>
        <v>2861864.99</v>
      </c>
      <c r="AE47" s="355">
        <v>0.2634</v>
      </c>
      <c r="AF47" s="352"/>
      <c r="AG47" s="358"/>
      <c r="AH47" s="604">
        <v>2489036.62</v>
      </c>
      <c r="AI47" s="355">
        <f>AH47/AH30</f>
        <v>0.2654537809</v>
      </c>
      <c r="AJ47" s="357">
        <f>AK47*AJ30</f>
        <v>2727178.013</v>
      </c>
      <c r="AK47" s="355">
        <v>0.2634</v>
      </c>
      <c r="AL47" s="352"/>
      <c r="AM47" s="358"/>
      <c r="AN47" s="604">
        <v>2678323.63</v>
      </c>
      <c r="AO47" s="355">
        <f>AN47/AN30</f>
        <v>0.2762726659</v>
      </c>
      <c r="AP47" s="357">
        <f>AQ47*AP30</f>
        <v>3008228.479</v>
      </c>
      <c r="AQ47" s="355">
        <v>0.2634</v>
      </c>
      <c r="AR47" s="352"/>
      <c r="AS47" s="358"/>
      <c r="AT47" s="604">
        <v>2619485.14</v>
      </c>
      <c r="AU47" s="355">
        <f>AT47/AT30</f>
        <v>0.2731452508</v>
      </c>
      <c r="AV47" s="357">
        <f>AW47*AV30</f>
        <v>3094837.044</v>
      </c>
      <c r="AW47" s="355">
        <v>0.2634</v>
      </c>
      <c r="AX47" s="352"/>
      <c r="AY47" s="358"/>
      <c r="AZ47" s="604">
        <v>3850410.33</v>
      </c>
      <c r="BA47" s="355">
        <f>AZ47/AZ30</f>
        <v>0.2817525871</v>
      </c>
      <c r="BB47" s="357">
        <f>BC47*BB30</f>
        <v>3338587.161</v>
      </c>
      <c r="BC47" s="355">
        <v>0.2634</v>
      </c>
      <c r="BD47" s="352"/>
      <c r="BE47" s="358"/>
      <c r="BF47" s="628">
        <v>3863131.04</v>
      </c>
      <c r="BG47" s="355">
        <f>BF47/BF30</f>
        <v>0.2863816298</v>
      </c>
      <c r="BH47" s="357">
        <f>BI47*BH30</f>
        <v>3241786.334</v>
      </c>
      <c r="BI47" s="355">
        <v>0.2634</v>
      </c>
      <c r="BJ47" s="352"/>
      <c r="BK47" s="358"/>
      <c r="BL47" s="396">
        <v>3180033.67</v>
      </c>
      <c r="BM47" s="355">
        <f>BL47/BL30</f>
        <v>0.2297985625</v>
      </c>
      <c r="BN47" s="357">
        <f>BO47*BN30</f>
        <v>2729406.367</v>
      </c>
      <c r="BO47" s="355">
        <v>0.2634</v>
      </c>
      <c r="BP47" s="352"/>
      <c r="BQ47" s="358"/>
      <c r="BR47" s="604">
        <f>(3120482.75823262)</f>
        <v>3120482.758</v>
      </c>
      <c r="BS47" s="355">
        <f>BR47/BR30</f>
        <v>0.2684179428</v>
      </c>
      <c r="BT47" s="357">
        <f>BU47*BT30</f>
        <v>2988586.73</v>
      </c>
      <c r="BU47" s="355">
        <v>0.2634</v>
      </c>
      <c r="BV47" s="352"/>
      <c r="BW47" s="358"/>
      <c r="BX47" s="213"/>
      <c r="BY47" s="213"/>
      <c r="BZ47" s="213"/>
      <c r="CA47" s="213"/>
      <c r="CB47" s="213"/>
      <c r="CC47" s="213"/>
      <c r="CD47" s="213"/>
      <c r="CE47" s="213"/>
      <c r="CF47" s="213"/>
      <c r="CG47" s="213"/>
      <c r="CH47" s="213"/>
      <c r="CI47" s="213"/>
      <c r="CJ47" s="213"/>
      <c r="CK47" s="213"/>
      <c r="CL47" s="213"/>
      <c r="CM47" s="213"/>
      <c r="CN47" s="213"/>
      <c r="CO47" s="213"/>
      <c r="CP47" s="213"/>
      <c r="CQ47" s="213"/>
      <c r="CR47" s="213"/>
      <c r="CS47" s="213"/>
      <c r="CT47" s="213"/>
      <c r="CU47" s="213"/>
    </row>
    <row r="48" ht="15.75" customHeight="1">
      <c r="A48" s="213"/>
      <c r="B48" s="393"/>
      <c r="C48" s="350" t="s">
        <v>22</v>
      </c>
      <c r="D48" s="604">
        <f t="shared" ref="D48:D49" si="69">E48*D28</f>
        <v>286078.4109</v>
      </c>
      <c r="E48" s="355">
        <v>0.2021</v>
      </c>
      <c r="F48" s="357">
        <f t="shared" ref="F48:F49" si="70">G48*F28</f>
        <v>280719.0005</v>
      </c>
      <c r="G48" s="355">
        <v>0.2017</v>
      </c>
      <c r="H48" s="357">
        <f t="shared" si="67"/>
        <v>5359.4104</v>
      </c>
      <c r="I48" s="395">
        <f t="shared" si="68"/>
        <v>0.01909172657</v>
      </c>
      <c r="J48" s="604">
        <f t="shared" ref="J48:J49" si="71">K48*J28</f>
        <v>344692.985</v>
      </c>
      <c r="K48" s="355">
        <v>0.2422</v>
      </c>
      <c r="L48" s="357">
        <f t="shared" ref="L48:L49" si="72">M48*L28</f>
        <v>280849.4802</v>
      </c>
      <c r="M48" s="355">
        <v>0.2017</v>
      </c>
      <c r="N48" s="352"/>
      <c r="O48" s="358"/>
      <c r="P48" s="604">
        <f>223856.13+69311.79</f>
        <v>293167.92</v>
      </c>
      <c r="Q48" s="355">
        <f>P48/P28</f>
        <v>0.2227046228</v>
      </c>
      <c r="R48" s="357">
        <f t="shared" ref="R48:R49" si="73">S48*R28</f>
        <v>278080.5588</v>
      </c>
      <c r="S48" s="355">
        <v>0.2017</v>
      </c>
      <c r="T48" s="352"/>
      <c r="U48" s="358"/>
      <c r="V48" s="604">
        <v>338422.7</v>
      </c>
      <c r="W48" s="355">
        <f>V48/V28</f>
        <v>0.2150077954</v>
      </c>
      <c r="X48" s="357">
        <f t="shared" ref="X48:X49" si="74">Y48*X28</f>
        <v>290869.8192</v>
      </c>
      <c r="Y48" s="355">
        <v>0.2017</v>
      </c>
      <c r="Z48" s="352"/>
      <c r="AA48" s="358"/>
      <c r="AB48" s="604">
        <f>90235.86+ 235903.58</f>
        <v>326139.44</v>
      </c>
      <c r="AC48" s="355">
        <f>AB48/AB28</f>
        <v>0.1969964483</v>
      </c>
      <c r="AD48" s="357">
        <f t="shared" ref="AD48:AD49" si="75">AE48*AD28</f>
        <v>310144.005</v>
      </c>
      <c r="AE48" s="355">
        <v>0.2017</v>
      </c>
      <c r="AF48" s="352"/>
      <c r="AG48" s="358"/>
      <c r="AH48" s="604">
        <f>92974.38+191334.01</f>
        <v>284308.39</v>
      </c>
      <c r="AI48" s="355">
        <f>AH48/AH28</f>
        <v>0.2303601225</v>
      </c>
      <c r="AJ48" s="357">
        <f t="shared" ref="AJ48:AJ49" si="76">AK48*AJ28</f>
        <v>287170.375</v>
      </c>
      <c r="AK48" s="355">
        <v>0.2017</v>
      </c>
      <c r="AL48" s="352"/>
      <c r="AM48" s="358"/>
      <c r="AN48" s="604">
        <v>300840.66</v>
      </c>
      <c r="AO48" s="355">
        <f>AN48/AN28</f>
        <v>0.2288977965</v>
      </c>
      <c r="AP48" s="357">
        <f t="shared" ref="AP48:AP49" si="77">AQ48*AP28</f>
        <v>321630.82</v>
      </c>
      <c r="AQ48" s="355">
        <v>0.2017</v>
      </c>
      <c r="AR48" s="352"/>
      <c r="AS48" s="358"/>
      <c r="AT48" s="604">
        <v>309661.0</v>
      </c>
      <c r="AU48" s="355">
        <f>AT48/AT28</f>
        <v>0.2189517135</v>
      </c>
      <c r="AV48" s="357">
        <f t="shared" ref="AV48:AV49" si="78">AW48*AV28</f>
        <v>333117.635</v>
      </c>
      <c r="AW48" s="355">
        <v>0.2017</v>
      </c>
      <c r="AX48" s="352"/>
      <c r="AY48" s="358"/>
      <c r="AZ48" s="604">
        <v>356801.29</v>
      </c>
      <c r="BA48" s="355">
        <f>AZ48/AZ28</f>
        <v>0.2008800236</v>
      </c>
      <c r="BB48" s="357">
        <f t="shared" ref="BB48:BB49" si="79">BC48*BB28</f>
        <v>356091.265</v>
      </c>
      <c r="BC48" s="355">
        <v>0.2017</v>
      </c>
      <c r="BD48" s="352"/>
      <c r="BE48" s="358"/>
      <c r="BF48" s="628">
        <v>189837.95</v>
      </c>
      <c r="BG48" s="355">
        <f>BF48/BF28</f>
        <v>0.1102808492</v>
      </c>
      <c r="BH48" s="357">
        <f t="shared" ref="BH48:BH49" si="80">BI48*BH28</f>
        <v>344604.45</v>
      </c>
      <c r="BI48" s="355">
        <v>0.2017</v>
      </c>
      <c r="BJ48" s="352"/>
      <c r="BK48" s="358"/>
      <c r="BL48" s="396">
        <v>241335.39</v>
      </c>
      <c r="BM48" s="355">
        <f>BL48/BL28</f>
        <v>0.1869721233</v>
      </c>
      <c r="BN48" s="357">
        <f t="shared" ref="BN48:BN49" si="81">BO48*BN28</f>
        <v>283758.446</v>
      </c>
      <c r="BO48" s="355">
        <v>0.2017</v>
      </c>
      <c r="BP48" s="352"/>
      <c r="BQ48" s="358"/>
      <c r="BR48" s="604">
        <f>(193974.154107143)</f>
        <v>193974.1541</v>
      </c>
      <c r="BS48" s="355">
        <f>BR48/BR28</f>
        <v>0.1423791527</v>
      </c>
      <c r="BT48" s="357">
        <f t="shared" ref="BT48:BT49" si="82">BU48*BT28</f>
        <v>310144.005</v>
      </c>
      <c r="BU48" s="355">
        <v>0.2017</v>
      </c>
      <c r="BV48" s="352"/>
      <c r="BW48" s="358"/>
      <c r="BX48" s="213"/>
      <c r="BY48" s="213"/>
      <c r="BZ48" s="213"/>
      <c r="CA48" s="213"/>
      <c r="CB48" s="213"/>
      <c r="CC48" s="213"/>
      <c r="CD48" s="213"/>
      <c r="CE48" s="213"/>
      <c r="CF48" s="213"/>
      <c r="CG48" s="213"/>
      <c r="CH48" s="213"/>
      <c r="CI48" s="213"/>
      <c r="CJ48" s="213"/>
      <c r="CK48" s="213"/>
      <c r="CL48" s="213"/>
      <c r="CM48" s="213"/>
      <c r="CN48" s="213"/>
      <c r="CO48" s="213"/>
      <c r="CP48" s="213"/>
      <c r="CQ48" s="213"/>
      <c r="CR48" s="213"/>
      <c r="CS48" s="213"/>
      <c r="CT48" s="213"/>
      <c r="CU48" s="213"/>
    </row>
    <row r="49" ht="15.75" customHeight="1">
      <c r="A49" s="213"/>
      <c r="B49" s="393"/>
      <c r="C49" s="350" t="s">
        <v>23</v>
      </c>
      <c r="D49" s="604">
        <f t="shared" si="69"/>
        <v>104127.201</v>
      </c>
      <c r="E49" s="355">
        <v>0.1187</v>
      </c>
      <c r="F49" s="357">
        <f t="shared" si="70"/>
        <v>211532.0889</v>
      </c>
      <c r="G49" s="355">
        <v>0.2299</v>
      </c>
      <c r="H49" s="357">
        <f t="shared" si="67"/>
        <v>-107404.8879</v>
      </c>
      <c r="I49" s="395">
        <f t="shared" si="68"/>
        <v>-0.5077474934</v>
      </c>
      <c r="J49" s="604">
        <f t="shared" si="71"/>
        <v>87921.344</v>
      </c>
      <c r="K49" s="355">
        <v>0.112</v>
      </c>
      <c r="L49" s="357">
        <f t="shared" si="72"/>
        <v>211630.3482</v>
      </c>
      <c r="M49" s="355">
        <v>0.2299</v>
      </c>
      <c r="N49" s="352"/>
      <c r="O49" s="358"/>
      <c r="P49" s="604">
        <v>174457.43</v>
      </c>
      <c r="Q49" s="355">
        <f>P49/P30</f>
        <v>0.02060037042</v>
      </c>
      <c r="R49" s="357">
        <f t="shared" si="73"/>
        <v>209543.8677</v>
      </c>
      <c r="S49" s="355">
        <v>0.2299</v>
      </c>
      <c r="T49" s="352"/>
      <c r="U49" s="358"/>
      <c r="V49" s="604">
        <v>126450.34</v>
      </c>
      <c r="W49" s="355">
        <f>V49/V30</f>
        <v>0.01171441618</v>
      </c>
      <c r="X49" s="357">
        <f t="shared" si="74"/>
        <v>219181.0412</v>
      </c>
      <c r="Y49" s="355">
        <v>0.2299</v>
      </c>
      <c r="Z49" s="352"/>
      <c r="AA49" s="358"/>
      <c r="AB49" s="604">
        <v>149554.62</v>
      </c>
      <c r="AC49" s="355">
        <f>AB49/AB30</f>
        <v>0.01372620234</v>
      </c>
      <c r="AD49" s="357">
        <f t="shared" si="75"/>
        <v>233704.845</v>
      </c>
      <c r="AE49" s="355">
        <v>0.2299</v>
      </c>
      <c r="AF49" s="352"/>
      <c r="AG49" s="358"/>
      <c r="AH49" s="604">
        <v>174951.58</v>
      </c>
      <c r="AI49" s="355">
        <f>AH49/AH30</f>
        <v>0.01865844722</v>
      </c>
      <c r="AJ49" s="357">
        <f t="shared" si="76"/>
        <v>216393.375</v>
      </c>
      <c r="AK49" s="355">
        <v>0.2299</v>
      </c>
      <c r="AL49" s="352"/>
      <c r="AM49" s="358"/>
      <c r="AN49" s="604">
        <v>200968.03</v>
      </c>
      <c r="AO49" s="355">
        <f>AN49/AN30</f>
        <v>0.02073012118</v>
      </c>
      <c r="AP49" s="357">
        <f t="shared" si="77"/>
        <v>242360.58</v>
      </c>
      <c r="AQ49" s="355">
        <v>0.2299</v>
      </c>
      <c r="AR49" s="352"/>
      <c r="AS49" s="358"/>
      <c r="AT49" s="604">
        <v>313003.36</v>
      </c>
      <c r="AU49" s="355">
        <f>AT49/AT30</f>
        <v>0.0326382387</v>
      </c>
      <c r="AV49" s="357">
        <f t="shared" si="78"/>
        <v>251016.315</v>
      </c>
      <c r="AW49" s="355">
        <v>0.2299</v>
      </c>
      <c r="AX49" s="352"/>
      <c r="AY49" s="358"/>
      <c r="AZ49" s="604">
        <v>297260.07</v>
      </c>
      <c r="BA49" s="355">
        <f>AZ49/AZ30</f>
        <v>0.02175191385</v>
      </c>
      <c r="BB49" s="357">
        <f t="shared" si="79"/>
        <v>268327.785</v>
      </c>
      <c r="BC49" s="355">
        <v>0.2299</v>
      </c>
      <c r="BD49" s="352"/>
      <c r="BE49" s="358"/>
      <c r="BF49" s="628">
        <v>346112.7</v>
      </c>
      <c r="BG49" s="355">
        <f>BF49/BF30</f>
        <v>0.02565802664</v>
      </c>
      <c r="BH49" s="357">
        <f t="shared" si="80"/>
        <v>259672.05</v>
      </c>
      <c r="BI49" s="355">
        <v>0.2299</v>
      </c>
      <c r="BJ49" s="352"/>
      <c r="BK49" s="358"/>
      <c r="BL49" s="396">
        <v>340223.61</v>
      </c>
      <c r="BM49" s="355">
        <f>BL49/BL30</f>
        <v>0.0245855562</v>
      </c>
      <c r="BN49" s="357">
        <f t="shared" si="81"/>
        <v>213822.3619</v>
      </c>
      <c r="BO49" s="355">
        <v>0.2299</v>
      </c>
      <c r="BP49" s="352"/>
      <c r="BQ49" s="358"/>
      <c r="BR49" s="604">
        <v>352085.3700000001</v>
      </c>
      <c r="BS49" s="355">
        <f>BR49/BR30</f>
        <v>0.03028570835</v>
      </c>
      <c r="BT49" s="357">
        <f t="shared" si="82"/>
        <v>233704.845</v>
      </c>
      <c r="BU49" s="355">
        <v>0.2299</v>
      </c>
      <c r="BV49" s="352"/>
      <c r="BW49" s="358"/>
      <c r="BX49" s="213"/>
      <c r="BY49" s="213"/>
      <c r="BZ49" s="213"/>
      <c r="CA49" s="213"/>
      <c r="CB49" s="213"/>
      <c r="CC49" s="213"/>
      <c r="CD49" s="213"/>
      <c r="CE49" s="213"/>
      <c r="CF49" s="213"/>
      <c r="CG49" s="213"/>
      <c r="CH49" s="213"/>
      <c r="CI49" s="213"/>
      <c r="CJ49" s="213"/>
      <c r="CK49" s="213"/>
      <c r="CL49" s="213"/>
      <c r="CM49" s="213"/>
      <c r="CN49" s="213"/>
      <c r="CO49" s="213"/>
      <c r="CP49" s="213"/>
      <c r="CQ49" s="213"/>
      <c r="CR49" s="213"/>
      <c r="CS49" s="213"/>
      <c r="CT49" s="213"/>
      <c r="CU49" s="213"/>
    </row>
    <row r="50" ht="15.75" customHeight="1">
      <c r="A50" s="213"/>
      <c r="B50" s="393"/>
      <c r="C50" s="350" t="s">
        <v>390</v>
      </c>
      <c r="D50" s="604">
        <f>'Calculation Sheet for GST on Pu'!C23</f>
        <v>303431.5001</v>
      </c>
      <c r="E50" s="355">
        <f>D50/SUM(D46:D49)</f>
        <v>0.08298579188</v>
      </c>
      <c r="F50" s="357">
        <f>G50*SUM(F46:F49)</f>
        <v>302035.986</v>
      </c>
      <c r="G50" s="355">
        <v>0.0926</v>
      </c>
      <c r="H50" s="357">
        <f t="shared" si="67"/>
        <v>1395.514013</v>
      </c>
      <c r="I50" s="395">
        <f t="shared" si="68"/>
        <v>0.00462035677</v>
      </c>
      <c r="J50" s="604">
        <f>'Calculation Sheet for GST on Pu'!D23</f>
        <v>336580.4608</v>
      </c>
      <c r="K50" s="355">
        <f>J50/SUM(J46:J49)</f>
        <v>0.08906419498</v>
      </c>
      <c r="L50" s="357">
        <f>M50*SUM(L46:L49)</f>
        <v>287351.9208</v>
      </c>
      <c r="M50" s="355">
        <v>0.0926</v>
      </c>
      <c r="N50" s="352"/>
      <c r="O50" s="358"/>
      <c r="P50" s="604">
        <f>'Calculation Sheet for GST on Pu'!E23</f>
        <v>346035.8595</v>
      </c>
      <c r="Q50" s="355">
        <f>P50/P33</f>
        <v>0.03063125172</v>
      </c>
      <c r="R50" s="357">
        <f>S50*SUM(R46:R49)</f>
        <v>305168.9115</v>
      </c>
      <c r="S50" s="355">
        <v>0.0926</v>
      </c>
      <c r="T50" s="352"/>
      <c r="U50" s="358"/>
      <c r="V50" s="604">
        <f>'Calculation Sheet for GST on Pu'!F23</f>
        <v>307191.7279</v>
      </c>
      <c r="W50" s="355">
        <f>V50/V33</f>
        <v>0.02190294892</v>
      </c>
      <c r="X50" s="357">
        <f>Y50*SUM(X46:X49)</f>
        <v>316715.9894</v>
      </c>
      <c r="Y50" s="355">
        <v>0.0926</v>
      </c>
      <c r="Z50" s="352"/>
      <c r="AA50" s="358"/>
      <c r="AB50" s="604">
        <f>'Calculation Sheet for GST on Pu'!G23</f>
        <v>298154.6865</v>
      </c>
      <c r="AC50" s="355">
        <f>AB50/AB33</f>
        <v>0.02105352294</v>
      </c>
      <c r="AD50" s="357">
        <f>AE50*SUM(AD46:AD49)</f>
        <v>335491.2503</v>
      </c>
      <c r="AE50" s="355">
        <v>0.0926</v>
      </c>
      <c r="AF50" s="352"/>
      <c r="AG50" s="358"/>
      <c r="AH50" s="604">
        <f>'Calculation Sheet for GST on Pu'!H23</f>
        <v>258533.6845</v>
      </c>
      <c r="AI50" s="355">
        <f>AH50/AH33</f>
        <v>0.02166926735</v>
      </c>
      <c r="AJ50" s="357">
        <f>AK50*SUM(AJ46:AJ49)</f>
        <v>318341.8341</v>
      </c>
      <c r="AK50" s="355">
        <v>0.0926</v>
      </c>
      <c r="AL50" s="352"/>
      <c r="AM50" s="358"/>
      <c r="AN50" s="604">
        <f>'Calculation Sheet for GST on Pu'!I23</f>
        <v>198174.6568</v>
      </c>
      <c r="AO50" s="355">
        <f>AN50/AN33</f>
        <v>0.01563681349</v>
      </c>
      <c r="AP50" s="357">
        <f>AQ50*SUM(AP46:AP49)</f>
        <v>351938.8104</v>
      </c>
      <c r="AQ50" s="355">
        <v>0.0926</v>
      </c>
      <c r="AR50" s="352"/>
      <c r="AS50" s="358"/>
      <c r="AT50" s="604">
        <f>'Calculation Sheet for GST on Pu'!J23</f>
        <v>208986.0847</v>
      </c>
      <c r="AU50" s="355">
        <f>AT50/AT33</f>
        <v>0.01639941281</v>
      </c>
      <c r="AV50" s="357">
        <f>AW50*SUM(AV46:AV49)</f>
        <v>362432.9198</v>
      </c>
      <c r="AW50" s="355">
        <v>0.0926</v>
      </c>
      <c r="AX50" s="352"/>
      <c r="AY50" s="358"/>
      <c r="AZ50" s="604">
        <f>'Calculation Sheet for GST on Pu'!K23</f>
        <v>275890.6237</v>
      </c>
      <c r="BA50" s="355">
        <f>AZ50/AZ33</f>
        <v>0.01540733466</v>
      </c>
      <c r="BB50" s="357">
        <f>BC50*SUM(BB46:BB49)</f>
        <v>390448.42</v>
      </c>
      <c r="BC50" s="355">
        <v>0.0926</v>
      </c>
      <c r="BD50" s="352"/>
      <c r="BE50" s="358"/>
      <c r="BF50" s="604">
        <f>'Calculation Sheet for GST on Pu'!L23</f>
        <v>234309.5874</v>
      </c>
      <c r="BG50" s="355">
        <f>BF50/BF33</f>
        <v>0.01356749608</v>
      </c>
      <c r="BH50" s="357">
        <f>BI50*SUM(BH46:BH49)</f>
        <v>378938.8439</v>
      </c>
      <c r="BI50" s="355">
        <v>0.0926</v>
      </c>
      <c r="BJ50" s="352"/>
      <c r="BK50" s="358"/>
      <c r="BL50" s="351">
        <f>'Calculation Sheet for GST on Pu'!M23</f>
        <v>245812.6793</v>
      </c>
      <c r="BM50" s="355">
        <f>BL50/BL33</f>
        <v>0.01452558382</v>
      </c>
      <c r="BN50" s="357">
        <f>BO50*SUM(BN46:BN49)</f>
        <v>318009.8271</v>
      </c>
      <c r="BO50" s="355">
        <v>0.0926</v>
      </c>
      <c r="BP50" s="352"/>
      <c r="BQ50" s="358"/>
      <c r="BR50" s="604">
        <f>'Calculation Sheet for GST on Pu'!N23</f>
        <v>184414.7942</v>
      </c>
      <c r="BS50" s="355">
        <f>BR50/BR33</f>
        <v>0.01241715151</v>
      </c>
      <c r="BT50" s="357">
        <f>BU50*SUM(BT46:BT49)</f>
        <v>348116.6806</v>
      </c>
      <c r="BU50" s="355">
        <v>0.0926</v>
      </c>
      <c r="BV50" s="352"/>
      <c r="BW50" s="358"/>
      <c r="BX50" s="213"/>
      <c r="BY50" s="213"/>
      <c r="BZ50" s="213"/>
      <c r="CA50" s="213"/>
      <c r="CB50" s="213"/>
      <c r="CC50" s="213"/>
      <c r="CD50" s="213"/>
      <c r="CE50" s="213"/>
      <c r="CF50" s="213"/>
      <c r="CG50" s="213"/>
      <c r="CH50" s="213"/>
      <c r="CI50" s="213"/>
      <c r="CJ50" s="213"/>
      <c r="CK50" s="213"/>
      <c r="CL50" s="213"/>
      <c r="CM50" s="213"/>
      <c r="CN50" s="213"/>
      <c r="CO50" s="213"/>
      <c r="CP50" s="213"/>
      <c r="CQ50" s="213"/>
      <c r="CR50" s="213"/>
      <c r="CS50" s="213"/>
      <c r="CT50" s="213"/>
      <c r="CU50" s="213"/>
    </row>
    <row r="51" ht="15.75" customHeight="1">
      <c r="A51" s="213"/>
      <c r="B51" s="393"/>
      <c r="C51" s="350" t="s">
        <v>238</v>
      </c>
      <c r="D51" s="604">
        <f>SUM(D46:D50)</f>
        <v>3959858.621</v>
      </c>
      <c r="E51" s="355">
        <f t="shared" ref="E51:E53" si="83">D51/D$33</f>
        <v>0.318812242</v>
      </c>
      <c r="F51" s="357">
        <f>SUM(F46:F50)</f>
        <v>3563763.697</v>
      </c>
      <c r="G51" s="355">
        <f>F51/F$33</f>
        <v>0.2752063901</v>
      </c>
      <c r="H51" s="357">
        <f>SUM(H46:H50)</f>
        <v>396094.9238</v>
      </c>
      <c r="I51" s="395"/>
      <c r="J51" s="604">
        <f>SUM(J46:J50)</f>
        <v>4115657.573</v>
      </c>
      <c r="K51" s="355">
        <f t="shared" ref="K51:K53" si="84">J51/J$33</f>
        <v>0.3228477798</v>
      </c>
      <c r="L51" s="357">
        <f>SUM(L46:L50)</f>
        <v>3390504.413</v>
      </c>
      <c r="M51" s="355">
        <f>L51/L$33</f>
        <v>0.2745325627</v>
      </c>
      <c r="N51" s="352">
        <f>SUM(N46:N50)</f>
        <v>0</v>
      </c>
      <c r="O51" s="358"/>
      <c r="P51" s="604">
        <f>SUM(P46:P50)</f>
        <v>3674397.123</v>
      </c>
      <c r="Q51" s="355">
        <f>P51/P$33</f>
        <v>0.325259305</v>
      </c>
      <c r="R51" s="357">
        <f>SUM(R46:R50)</f>
        <v>3600729.51</v>
      </c>
      <c r="S51" s="355">
        <f>R51/R$33</f>
        <v>0.2754628475</v>
      </c>
      <c r="T51" s="352">
        <f>SUM(T46:T50)</f>
        <v>0</v>
      </c>
      <c r="U51" s="358"/>
      <c r="V51" s="604">
        <f>SUM(V46:V50)</f>
        <v>3782587.155</v>
      </c>
      <c r="W51" s="355">
        <f>V51/V$33</f>
        <v>0.2697006648</v>
      </c>
      <c r="X51" s="357">
        <f>SUM(X46:X50)</f>
        <v>3736975.054</v>
      </c>
      <c r="Y51" s="355">
        <f>X51/X$33</f>
        <v>0.2753618528</v>
      </c>
      <c r="Z51" s="352">
        <f>SUM(Z46:Z50)</f>
        <v>0</v>
      </c>
      <c r="AA51" s="358"/>
      <c r="AB51" s="604">
        <f>SUM(AB46:AB50)</f>
        <v>4024646.837</v>
      </c>
      <c r="AC51" s="355">
        <f>AB51/AB$33</f>
        <v>0.2841913892</v>
      </c>
      <c r="AD51" s="357">
        <f>SUM(AD46:AD50)</f>
        <v>3958506.912</v>
      </c>
      <c r="AE51" s="355">
        <f>AD51/AD$33</f>
        <v>0.2752764946</v>
      </c>
      <c r="AF51" s="352">
        <f>SUM(AF46:AF50)</f>
        <v>0</v>
      </c>
      <c r="AG51" s="358"/>
      <c r="AH51" s="604">
        <f>SUM(AH46:AH50)</f>
        <v>3810337.532</v>
      </c>
      <c r="AI51" s="355">
        <f>AH51/AH$33</f>
        <v>0.3193673691</v>
      </c>
      <c r="AJ51" s="357">
        <f>SUM(AJ46:AJ50)</f>
        <v>3756158.618</v>
      </c>
      <c r="AK51" s="355">
        <f>AJ51/AJ$33</f>
        <v>0.2755920934</v>
      </c>
      <c r="AL51" s="352">
        <f>SUM(AL46:AL50)</f>
        <v>0</v>
      </c>
      <c r="AM51" s="358"/>
      <c r="AN51" s="604">
        <f>SUM(AN46:AN50)</f>
        <v>4085235.209</v>
      </c>
      <c r="AO51" s="355">
        <f>AN51/AN$33</f>
        <v>0.3223422313</v>
      </c>
      <c r="AP51" s="357">
        <f>SUM(AP46:AP50)</f>
        <v>4152573.912</v>
      </c>
      <c r="AQ51" s="355">
        <f>AP51/AP$33</f>
        <v>0.2754254805</v>
      </c>
      <c r="AR51" s="352">
        <f>SUM(AR46:AR50)</f>
        <v>0</v>
      </c>
      <c r="AS51" s="358"/>
      <c r="AT51" s="604">
        <f>SUM(AT46:AT50)</f>
        <v>4135409.617</v>
      </c>
      <c r="AU51" s="355">
        <f>AT51/AT$33</f>
        <v>0.3245110292</v>
      </c>
      <c r="AV51" s="357">
        <f>SUM(AV46:AV50)</f>
        <v>4276395.337</v>
      </c>
      <c r="AW51" s="355">
        <f>AV51/AV$33</f>
        <v>0.2753516697</v>
      </c>
      <c r="AX51" s="352">
        <f>SUM(AX46:AX50)</f>
        <v>0</v>
      </c>
      <c r="AY51" s="358"/>
      <c r="AZ51" s="604">
        <f>SUM(AZ46:AZ50)</f>
        <v>5385141.466</v>
      </c>
      <c r="BA51" s="355">
        <f>AZ51/AZ$33</f>
        <v>0.3007375735</v>
      </c>
      <c r="BB51" s="357">
        <f>SUM(BB46:BB50)</f>
        <v>4606954.036</v>
      </c>
      <c r="BC51" s="355">
        <f>BB51/BB$33</f>
        <v>0.2754519659</v>
      </c>
      <c r="BD51" s="352">
        <f>SUM(BD46:BD50)</f>
        <v>0</v>
      </c>
      <c r="BE51" s="358"/>
      <c r="BF51" s="604">
        <f>SUM(BF46:BF50)</f>
        <v>5194307.277</v>
      </c>
      <c r="BG51" s="355">
        <f>BF51/BF$33</f>
        <v>0.3007719164</v>
      </c>
      <c r="BH51" s="357">
        <f>SUM(BH46:BH50)</f>
        <v>4471150.982</v>
      </c>
      <c r="BI51" s="355">
        <f>BH51/BH$33</f>
        <v>0.2754888417</v>
      </c>
      <c r="BJ51" s="352">
        <f>SUM(BJ46:BJ50)</f>
        <v>0</v>
      </c>
      <c r="BK51" s="358"/>
      <c r="BL51" s="351">
        <f>SUM(BL46:BL50)</f>
        <v>4568792.349</v>
      </c>
      <c r="BM51" s="355">
        <f>BL51/BL$33</f>
        <v>0.2699794673</v>
      </c>
      <c r="BN51" s="357">
        <f>SUM(BN46:BN50)</f>
        <v>3752241.221</v>
      </c>
      <c r="BO51" s="355">
        <f>BN51/BN$33</f>
        <v>0.2757304277</v>
      </c>
      <c r="BP51" s="352">
        <f>SUM(BP46:BP50)</f>
        <v>0</v>
      </c>
      <c r="BQ51" s="358"/>
      <c r="BR51" s="604">
        <f>SUM(BR46:BR50)</f>
        <v>4482924.077</v>
      </c>
      <c r="BS51" s="355">
        <f>BR51/BR$33</f>
        <v>0.3018475157</v>
      </c>
      <c r="BT51" s="357">
        <f>SUM(BT46:BT50)</f>
        <v>4107476.083</v>
      </c>
      <c r="BU51" s="355">
        <f>BT51/BT$33</f>
        <v>0.2757498718</v>
      </c>
      <c r="BV51" s="352">
        <f>SUM(BV46:BV50)</f>
        <v>0</v>
      </c>
      <c r="BW51" s="358"/>
      <c r="BX51" s="718">
        <f t="shared" ref="BX51:BX53" si="85">D51+J51+P51+V51+AB51+AH51+AN51+AT51+AZ51+BF51+BL51+BR51</f>
        <v>51219294.84</v>
      </c>
      <c r="BY51" s="216"/>
      <c r="BZ51" s="216"/>
      <c r="CA51" s="216"/>
      <c r="CB51" s="216"/>
      <c r="CC51" s="216"/>
      <c r="CD51" s="216"/>
      <c r="CE51" s="216"/>
      <c r="CF51" s="216"/>
      <c r="CG51" s="216"/>
      <c r="CH51" s="216"/>
      <c r="CI51" s="216"/>
      <c r="CJ51" s="216"/>
      <c r="CK51" s="216"/>
      <c r="CL51" s="216"/>
      <c r="CM51" s="216"/>
      <c r="CN51" s="216"/>
      <c r="CO51" s="216"/>
      <c r="CP51" s="216"/>
      <c r="CQ51" s="216"/>
      <c r="CR51" s="216"/>
      <c r="CS51" s="216"/>
      <c r="CT51" s="216"/>
      <c r="CU51" s="216"/>
    </row>
    <row r="52" ht="15.75" customHeight="1">
      <c r="A52" s="213"/>
      <c r="B52" s="403"/>
      <c r="C52" s="362" t="s">
        <v>239</v>
      </c>
      <c r="D52" s="619">
        <v>143836.61</v>
      </c>
      <c r="E52" s="404">
        <f t="shared" si="83"/>
        <v>0.01158043165</v>
      </c>
      <c r="F52" s="367">
        <f>G52*F$33</f>
        <v>113954.9141</v>
      </c>
      <c r="G52" s="404">
        <v>0.0088</v>
      </c>
      <c r="H52" s="367">
        <f>D52-F52</f>
        <v>29881.69592</v>
      </c>
      <c r="I52" s="406">
        <f>H52/F52</f>
        <v>0.2622238467</v>
      </c>
      <c r="J52" s="619">
        <v>156381.0</v>
      </c>
      <c r="K52" s="404">
        <f t="shared" si="84"/>
        <v>0.01226711838</v>
      </c>
      <c r="L52" s="367">
        <f>M52*L$33</f>
        <v>108680.8739</v>
      </c>
      <c r="M52" s="404">
        <v>0.0088</v>
      </c>
      <c r="N52" s="364"/>
      <c r="O52" s="368"/>
      <c r="P52" s="619">
        <v>105247.0</v>
      </c>
      <c r="Q52" s="404">
        <f>P52/P33</f>
        <v>0.009316512322</v>
      </c>
      <c r="R52" s="367">
        <f>S52*R$33</f>
        <v>115029.7399</v>
      </c>
      <c r="S52" s="404">
        <v>0.0088</v>
      </c>
      <c r="T52" s="364"/>
      <c r="U52" s="368"/>
      <c r="V52" s="619">
        <v>197219.0</v>
      </c>
      <c r="W52" s="404">
        <f>V52/V33</f>
        <v>0.01406182944</v>
      </c>
      <c r="X52" s="367">
        <f>Y52*X$33</f>
        <v>119426.0575</v>
      </c>
      <c r="Y52" s="404">
        <v>0.0088</v>
      </c>
      <c r="Z52" s="364"/>
      <c r="AA52" s="368"/>
      <c r="AB52" s="619">
        <v>158935.0</v>
      </c>
      <c r="AC52" s="404">
        <f>AB52/AB33</f>
        <v>0.01122283775</v>
      </c>
      <c r="AD52" s="367">
        <f>AE52*AD$33</f>
        <v>126544.9884</v>
      </c>
      <c r="AE52" s="404">
        <v>0.0088</v>
      </c>
      <c r="AF52" s="364"/>
      <c r="AG52" s="368"/>
      <c r="AH52" s="619">
        <v>152113.1</v>
      </c>
      <c r="AI52" s="404">
        <f>AH52/AH33</f>
        <v>0.01274951632</v>
      </c>
      <c r="AJ52" s="367">
        <f>AK52*AJ$33</f>
        <v>119938.8394</v>
      </c>
      <c r="AK52" s="404">
        <v>0.0088</v>
      </c>
      <c r="AL52" s="364"/>
      <c r="AM52" s="368"/>
      <c r="AN52" s="619">
        <v>165491.0</v>
      </c>
      <c r="AO52" s="404">
        <f>AN52/AN33</f>
        <v>0.01305793558</v>
      </c>
      <c r="AP52" s="367">
        <f>AQ52*AP$33</f>
        <v>132677.0869</v>
      </c>
      <c r="AQ52" s="404">
        <v>0.0088</v>
      </c>
      <c r="AR52" s="364"/>
      <c r="AS52" s="368"/>
      <c r="AT52" s="619">
        <v>162405.0</v>
      </c>
      <c r="AU52" s="404">
        <f>AT52/AT33</f>
        <v>0.01274413385</v>
      </c>
      <c r="AV52" s="367">
        <f>AW52*AV$33</f>
        <v>136669.8775</v>
      </c>
      <c r="AW52" s="404">
        <v>0.0088</v>
      </c>
      <c r="AX52" s="364"/>
      <c r="AY52" s="368"/>
      <c r="AZ52" s="619">
        <v>198278.0</v>
      </c>
      <c r="BA52" s="404">
        <f>AZ52/AZ33</f>
        <v>0.01107299501</v>
      </c>
      <c r="BB52" s="367">
        <f>BC52*BB$33</f>
        <v>147180.636</v>
      </c>
      <c r="BC52" s="404">
        <v>0.0088</v>
      </c>
      <c r="BD52" s="364"/>
      <c r="BE52" s="368"/>
      <c r="BF52" s="724">
        <v>210776.0</v>
      </c>
      <c r="BG52" s="404">
        <f>BF52/BF33</f>
        <v>0.01220480385</v>
      </c>
      <c r="BH52" s="367">
        <f>BI52*BH$33</f>
        <v>142822.9485</v>
      </c>
      <c r="BI52" s="404">
        <v>0.0088</v>
      </c>
      <c r="BJ52" s="364"/>
      <c r="BK52" s="368"/>
      <c r="BL52" s="515">
        <v>228679.5</v>
      </c>
      <c r="BM52" s="404">
        <f>BL52/BL33</f>
        <v>0.01351314852</v>
      </c>
      <c r="BN52" s="367">
        <f>BO52*BN$33</f>
        <v>119753.6413</v>
      </c>
      <c r="BO52" s="404">
        <v>0.0088</v>
      </c>
      <c r="BP52" s="364"/>
      <c r="BQ52" s="368"/>
      <c r="BR52" s="725">
        <v>155828.2</v>
      </c>
      <c r="BS52" s="404">
        <f>BR52/BR33</f>
        <v>0.01049233809</v>
      </c>
      <c r="BT52" s="367">
        <f>BU52*BT$33</f>
        <v>131081.7999</v>
      </c>
      <c r="BU52" s="404">
        <v>0.0088</v>
      </c>
      <c r="BV52" s="364"/>
      <c r="BW52" s="368"/>
      <c r="BX52" s="718">
        <f t="shared" si="85"/>
        <v>2035189.41</v>
      </c>
      <c r="BY52" s="213"/>
      <c r="BZ52" s="213"/>
      <c r="CA52" s="213"/>
      <c r="CB52" s="213"/>
      <c r="CC52" s="213"/>
      <c r="CD52" s="213"/>
      <c r="CE52" s="213"/>
      <c r="CF52" s="213"/>
      <c r="CG52" s="213"/>
      <c r="CH52" s="213"/>
      <c r="CI52" s="213"/>
      <c r="CJ52" s="213"/>
      <c r="CK52" s="213"/>
      <c r="CL52" s="213"/>
      <c r="CM52" s="213"/>
      <c r="CN52" s="213"/>
      <c r="CO52" s="213"/>
      <c r="CP52" s="213"/>
      <c r="CQ52" s="213"/>
      <c r="CR52" s="213"/>
      <c r="CS52" s="213"/>
      <c r="CT52" s="213"/>
      <c r="CU52" s="213"/>
    </row>
    <row r="53" ht="15.75" customHeight="1">
      <c r="A53" s="213"/>
      <c r="B53" s="407"/>
      <c r="C53" s="372" t="s">
        <v>240</v>
      </c>
      <c r="D53" s="600">
        <f>D51+D52</f>
        <v>4103695.231</v>
      </c>
      <c r="E53" s="374">
        <f t="shared" si="83"/>
        <v>0.3303926736</v>
      </c>
      <c r="F53" s="377">
        <f>F51+F52</f>
        <v>3677718.611</v>
      </c>
      <c r="G53" s="374">
        <f>F53/F$33</f>
        <v>0.2840063901</v>
      </c>
      <c r="H53" s="377">
        <f>H51+H52</f>
        <v>425976.6197</v>
      </c>
      <c r="I53" s="379"/>
      <c r="J53" s="600">
        <f>J51+J52</f>
        <v>4272038.573</v>
      </c>
      <c r="K53" s="374">
        <f t="shared" si="84"/>
        <v>0.3351148982</v>
      </c>
      <c r="L53" s="377">
        <f>L51+L52</f>
        <v>3499185.287</v>
      </c>
      <c r="M53" s="374">
        <f>L53/L$33</f>
        <v>0.2833325627</v>
      </c>
      <c r="N53" s="408">
        <f>N51+N52</f>
        <v>0</v>
      </c>
      <c r="O53" s="378"/>
      <c r="P53" s="600">
        <f>P51+P52</f>
        <v>3779644.123</v>
      </c>
      <c r="Q53" s="374">
        <f>P53/P$33</f>
        <v>0.3345758173</v>
      </c>
      <c r="R53" s="377">
        <f>R51+R52</f>
        <v>3715759.25</v>
      </c>
      <c r="S53" s="374">
        <f>R53/R$33</f>
        <v>0.2842628475</v>
      </c>
      <c r="T53" s="408">
        <f>T51+T52</f>
        <v>0</v>
      </c>
      <c r="U53" s="378"/>
      <c r="V53" s="600">
        <f>V51+V52</f>
        <v>3979806.155</v>
      </c>
      <c r="W53" s="374">
        <f>V53/V$33</f>
        <v>0.2837624942</v>
      </c>
      <c r="X53" s="377">
        <f>X51+X52</f>
        <v>3856401.112</v>
      </c>
      <c r="Y53" s="374">
        <f>X53/X$33</f>
        <v>0.2841618528</v>
      </c>
      <c r="Z53" s="408">
        <f>Z51+Z52</f>
        <v>0</v>
      </c>
      <c r="AA53" s="378"/>
      <c r="AB53" s="600">
        <f>AB51+AB52</f>
        <v>4183581.837</v>
      </c>
      <c r="AC53" s="374">
        <f>AB53/AB$33</f>
        <v>0.2954142269</v>
      </c>
      <c r="AD53" s="377">
        <f>AD51+AD52</f>
        <v>4085051.901</v>
      </c>
      <c r="AE53" s="374">
        <f>AD53/AD$33</f>
        <v>0.2840764946</v>
      </c>
      <c r="AF53" s="408">
        <f>AF51+AF52</f>
        <v>0</v>
      </c>
      <c r="AG53" s="378"/>
      <c r="AH53" s="600">
        <f>AH51+AH52</f>
        <v>3962450.632</v>
      </c>
      <c r="AI53" s="374">
        <f>AH53/AH$33</f>
        <v>0.3321168855</v>
      </c>
      <c r="AJ53" s="377">
        <f>AJ51+AJ52</f>
        <v>3876097.457</v>
      </c>
      <c r="AK53" s="374">
        <f>AJ53/AJ$33</f>
        <v>0.2843920934</v>
      </c>
      <c r="AL53" s="408">
        <f>AL51+AL52</f>
        <v>0</v>
      </c>
      <c r="AM53" s="378"/>
      <c r="AN53" s="600">
        <f>AN51+AN52</f>
        <v>4250726.209</v>
      </c>
      <c r="AO53" s="374">
        <f>AN53/AN$33</f>
        <v>0.3354001668</v>
      </c>
      <c r="AP53" s="377">
        <f>AP51+AP52</f>
        <v>4285250.999</v>
      </c>
      <c r="AQ53" s="374">
        <f>AP53/AP$33</f>
        <v>0.2842254805</v>
      </c>
      <c r="AR53" s="408">
        <f>AR51+AR52</f>
        <v>0</v>
      </c>
      <c r="AS53" s="378"/>
      <c r="AT53" s="600">
        <f>AT51+AT52</f>
        <v>4297814.617</v>
      </c>
      <c r="AU53" s="374">
        <f>AT53/AT$33</f>
        <v>0.337255163</v>
      </c>
      <c r="AV53" s="377">
        <f>AV51+AV52</f>
        <v>4413065.214</v>
      </c>
      <c r="AW53" s="374">
        <f>AV53/AV$33</f>
        <v>0.2841516697</v>
      </c>
      <c r="AX53" s="408">
        <f>AX51+AX52</f>
        <v>0</v>
      </c>
      <c r="AY53" s="378"/>
      <c r="AZ53" s="600">
        <f>AZ51+AZ52</f>
        <v>5583419.466</v>
      </c>
      <c r="BA53" s="374">
        <f>AZ53/AZ$33</f>
        <v>0.3118105685</v>
      </c>
      <c r="BB53" s="377">
        <f>BB51+BB52</f>
        <v>4754134.672</v>
      </c>
      <c r="BC53" s="374">
        <f>BB53/BB$33</f>
        <v>0.2842519659</v>
      </c>
      <c r="BD53" s="408">
        <f>BD51+BD52</f>
        <v>0</v>
      </c>
      <c r="BE53" s="378"/>
      <c r="BF53" s="600">
        <f>BF51+BF52</f>
        <v>5405083.277</v>
      </c>
      <c r="BG53" s="374">
        <f>BF53/BF$33</f>
        <v>0.3129767203</v>
      </c>
      <c r="BH53" s="377">
        <f>BH51+BH52</f>
        <v>4613973.93</v>
      </c>
      <c r="BI53" s="374">
        <f>BH53/BH$33</f>
        <v>0.2842888417</v>
      </c>
      <c r="BJ53" s="408">
        <f>BJ51+BJ52</f>
        <v>0</v>
      </c>
      <c r="BK53" s="378"/>
      <c r="BL53" s="373">
        <f>BL51+BL52</f>
        <v>4797471.849</v>
      </c>
      <c r="BM53" s="374">
        <f>BL53/BL$33</f>
        <v>0.2834926158</v>
      </c>
      <c r="BN53" s="377">
        <f>BN51+BN52</f>
        <v>3871994.862</v>
      </c>
      <c r="BO53" s="374">
        <f>BN53/BN$33</f>
        <v>0.2845304277</v>
      </c>
      <c r="BP53" s="408">
        <f>BP51+BP52</f>
        <v>0</v>
      </c>
      <c r="BQ53" s="378"/>
      <c r="BR53" s="600">
        <f>BR51+BR52</f>
        <v>4638752.277</v>
      </c>
      <c r="BS53" s="374">
        <f>BR53/BR$33</f>
        <v>0.3123398538</v>
      </c>
      <c r="BT53" s="377">
        <f>BT51+BT52</f>
        <v>4238557.883</v>
      </c>
      <c r="BU53" s="374">
        <f>BT53/BT$33</f>
        <v>0.2845498718</v>
      </c>
      <c r="BV53" s="408">
        <f>BV51+BV52</f>
        <v>0</v>
      </c>
      <c r="BW53" s="378"/>
      <c r="BX53" s="718">
        <f t="shared" si="85"/>
        <v>53254484.25</v>
      </c>
      <c r="BY53" s="216"/>
      <c r="BZ53" s="216"/>
      <c r="CA53" s="216"/>
      <c r="CB53" s="216"/>
      <c r="CC53" s="216"/>
      <c r="CD53" s="216"/>
      <c r="CE53" s="216"/>
      <c r="CF53" s="216"/>
      <c r="CG53" s="216"/>
      <c r="CH53" s="216"/>
      <c r="CI53" s="216"/>
      <c r="CJ53" s="216"/>
      <c r="CK53" s="216"/>
      <c r="CL53" s="216"/>
      <c r="CM53" s="216"/>
      <c r="CN53" s="216"/>
      <c r="CO53" s="216"/>
      <c r="CP53" s="216"/>
      <c r="CQ53" s="216"/>
      <c r="CR53" s="216"/>
      <c r="CS53" s="216"/>
      <c r="CT53" s="216"/>
      <c r="CU53" s="216"/>
    </row>
    <row r="54" ht="15.75" hidden="1" customHeight="1">
      <c r="A54" s="213"/>
      <c r="B54" s="444"/>
      <c r="C54" s="383"/>
      <c r="D54" s="708"/>
      <c r="E54" s="440"/>
      <c r="F54" s="440"/>
      <c r="G54" s="440"/>
      <c r="H54" s="440"/>
      <c r="I54" s="389"/>
      <c r="J54" s="708"/>
      <c r="K54" s="440"/>
      <c r="L54" s="440"/>
      <c r="M54" s="440"/>
      <c r="N54" s="440"/>
      <c r="O54" s="389"/>
      <c r="P54" s="382"/>
      <c r="Q54" s="440"/>
      <c r="R54" s="440"/>
      <c r="S54" s="440"/>
      <c r="T54" s="440"/>
      <c r="U54" s="389"/>
      <c r="V54" s="708"/>
      <c r="W54" s="440"/>
      <c r="X54" s="440"/>
      <c r="Y54" s="440"/>
      <c r="Z54" s="440"/>
      <c r="AA54" s="389"/>
      <c r="AB54" s="708"/>
      <c r="AC54" s="440"/>
      <c r="AD54" s="388"/>
      <c r="AE54" s="440"/>
      <c r="AF54" s="440"/>
      <c r="AG54" s="389"/>
      <c r="AH54" s="708"/>
      <c r="AI54" s="440"/>
      <c r="AJ54" s="440"/>
      <c r="AK54" s="440"/>
      <c r="AL54" s="440"/>
      <c r="AM54" s="389"/>
      <c r="AN54" s="708"/>
      <c r="AO54" s="440"/>
      <c r="AP54" s="440"/>
      <c r="AQ54" s="440"/>
      <c r="AR54" s="440"/>
      <c r="AS54" s="389"/>
      <c r="AT54" s="708"/>
      <c r="AU54" s="440"/>
      <c r="AV54" s="440"/>
      <c r="AW54" s="440"/>
      <c r="AX54" s="440"/>
      <c r="AY54" s="389"/>
      <c r="AZ54" s="708"/>
      <c r="BA54" s="440"/>
      <c r="BB54" s="440"/>
      <c r="BC54" s="440"/>
      <c r="BD54" s="440"/>
      <c r="BE54" s="389"/>
      <c r="BF54" s="708"/>
      <c r="BG54" s="440"/>
      <c r="BH54" s="440"/>
      <c r="BI54" s="440"/>
      <c r="BJ54" s="440"/>
      <c r="BK54" s="389"/>
      <c r="BL54" s="708"/>
      <c r="BM54" s="440"/>
      <c r="BN54" s="388"/>
      <c r="BO54" s="440"/>
      <c r="BP54" s="440"/>
      <c r="BQ54" s="389"/>
      <c r="BR54" s="721"/>
      <c r="BS54" s="440"/>
      <c r="BT54" s="388"/>
      <c r="BU54" s="440"/>
      <c r="BV54" s="440"/>
      <c r="BW54" s="389"/>
      <c r="BX54" s="213"/>
      <c r="BY54" s="213"/>
      <c r="BZ54" s="213"/>
      <c r="CA54" s="213"/>
      <c r="CB54" s="213"/>
      <c r="CC54" s="213"/>
      <c r="CD54" s="213"/>
      <c r="CE54" s="213"/>
      <c r="CF54" s="213"/>
      <c r="CG54" s="213"/>
      <c r="CH54" s="213"/>
      <c r="CI54" s="213"/>
      <c r="CJ54" s="213"/>
      <c r="CK54" s="213"/>
      <c r="CL54" s="213"/>
      <c r="CM54" s="213"/>
      <c r="CN54" s="213"/>
      <c r="CO54" s="213"/>
      <c r="CP54" s="213"/>
      <c r="CQ54" s="213"/>
      <c r="CR54" s="213"/>
      <c r="CS54" s="213"/>
      <c r="CT54" s="213"/>
      <c r="CU54" s="213"/>
    </row>
    <row r="55" ht="15.75" hidden="1" customHeight="1">
      <c r="A55" s="213"/>
      <c r="B55" s="393"/>
      <c r="C55" s="350"/>
      <c r="D55" s="604"/>
      <c r="E55" s="355"/>
      <c r="F55" s="357"/>
      <c r="G55" s="357"/>
      <c r="H55" s="357"/>
      <c r="I55" s="533"/>
      <c r="J55" s="604"/>
      <c r="K55" s="355"/>
      <c r="L55" s="352"/>
      <c r="M55" s="352"/>
      <c r="N55" s="352"/>
      <c r="O55" s="358"/>
      <c r="P55" s="349"/>
      <c r="Q55" s="352"/>
      <c r="R55" s="352"/>
      <c r="S55" s="352"/>
      <c r="T55" s="352"/>
      <c r="U55" s="358"/>
      <c r="V55" s="604"/>
      <c r="W55" s="352"/>
      <c r="X55" s="352"/>
      <c r="Y55" s="352"/>
      <c r="Z55" s="352"/>
      <c r="AA55" s="358"/>
      <c r="AB55" s="604"/>
      <c r="AC55" s="352"/>
      <c r="AD55" s="357"/>
      <c r="AE55" s="352"/>
      <c r="AF55" s="352"/>
      <c r="AG55" s="358"/>
      <c r="AH55" s="604"/>
      <c r="AI55" s="352"/>
      <c r="AJ55" s="352"/>
      <c r="AK55" s="352"/>
      <c r="AL55" s="352"/>
      <c r="AM55" s="358"/>
      <c r="AN55" s="604"/>
      <c r="AO55" s="352"/>
      <c r="AP55" s="352"/>
      <c r="AQ55" s="352"/>
      <c r="AR55" s="352"/>
      <c r="AS55" s="358"/>
      <c r="AT55" s="604"/>
      <c r="AU55" s="352"/>
      <c r="AV55" s="352"/>
      <c r="AW55" s="352"/>
      <c r="AX55" s="352"/>
      <c r="AY55" s="358"/>
      <c r="AZ55" s="604"/>
      <c r="BA55" s="352"/>
      <c r="BB55" s="352"/>
      <c r="BC55" s="352"/>
      <c r="BD55" s="352"/>
      <c r="BE55" s="358"/>
      <c r="BF55" s="604"/>
      <c r="BG55" s="352"/>
      <c r="BH55" s="352"/>
      <c r="BI55" s="352"/>
      <c r="BJ55" s="352"/>
      <c r="BK55" s="358"/>
      <c r="BL55" s="604"/>
      <c r="BM55" s="352"/>
      <c r="BN55" s="357"/>
      <c r="BO55" s="352"/>
      <c r="BP55" s="352"/>
      <c r="BQ55" s="358"/>
      <c r="BR55" s="604"/>
      <c r="BS55" s="352"/>
      <c r="BT55" s="357"/>
      <c r="BU55" s="352"/>
      <c r="BV55" s="352"/>
      <c r="BW55" s="358"/>
      <c r="BX55" s="213"/>
      <c r="BY55" s="213"/>
      <c r="BZ55" s="213"/>
      <c r="CA55" s="213"/>
      <c r="CB55" s="213"/>
      <c r="CC55" s="213"/>
      <c r="CD55" s="213"/>
      <c r="CE55" s="213"/>
      <c r="CF55" s="213"/>
      <c r="CG55" s="213"/>
      <c r="CH55" s="213"/>
      <c r="CI55" s="213"/>
      <c r="CJ55" s="213"/>
      <c r="CK55" s="213"/>
      <c r="CL55" s="213"/>
      <c r="CM55" s="213"/>
      <c r="CN55" s="213"/>
      <c r="CO55" s="213"/>
      <c r="CP55" s="213"/>
      <c r="CQ55" s="213"/>
      <c r="CR55" s="213"/>
      <c r="CS55" s="213"/>
      <c r="CT55" s="213"/>
      <c r="CU55" s="213"/>
    </row>
    <row r="56" ht="15.75" hidden="1" customHeight="1">
      <c r="A56" s="213"/>
      <c r="B56" s="393"/>
      <c r="C56" s="350"/>
      <c r="D56" s="604"/>
      <c r="E56" s="355"/>
      <c r="F56" s="357"/>
      <c r="G56" s="357"/>
      <c r="H56" s="357"/>
      <c r="I56" s="533"/>
      <c r="J56" s="604"/>
      <c r="K56" s="355"/>
      <c r="L56" s="352"/>
      <c r="M56" s="352"/>
      <c r="N56" s="352"/>
      <c r="O56" s="358"/>
      <c r="P56" s="349"/>
      <c r="Q56" s="352"/>
      <c r="R56" s="352"/>
      <c r="S56" s="352"/>
      <c r="T56" s="352"/>
      <c r="U56" s="358"/>
      <c r="V56" s="604"/>
      <c r="W56" s="352"/>
      <c r="X56" s="352"/>
      <c r="Y56" s="352"/>
      <c r="Z56" s="352"/>
      <c r="AA56" s="358"/>
      <c r="AB56" s="604"/>
      <c r="AC56" s="352"/>
      <c r="AD56" s="357"/>
      <c r="AE56" s="352"/>
      <c r="AF56" s="352"/>
      <c r="AG56" s="358"/>
      <c r="AH56" s="604"/>
      <c r="AI56" s="352"/>
      <c r="AJ56" s="352"/>
      <c r="AK56" s="352"/>
      <c r="AL56" s="352"/>
      <c r="AM56" s="358"/>
      <c r="AN56" s="604"/>
      <c r="AO56" s="352"/>
      <c r="AP56" s="352"/>
      <c r="AQ56" s="352"/>
      <c r="AR56" s="352"/>
      <c r="AS56" s="358"/>
      <c r="AT56" s="604"/>
      <c r="AU56" s="352"/>
      <c r="AV56" s="352"/>
      <c r="AW56" s="352"/>
      <c r="AX56" s="352"/>
      <c r="AY56" s="358"/>
      <c r="AZ56" s="604"/>
      <c r="BA56" s="352"/>
      <c r="BB56" s="352"/>
      <c r="BC56" s="352"/>
      <c r="BD56" s="352"/>
      <c r="BE56" s="358"/>
      <c r="BF56" s="604"/>
      <c r="BG56" s="352"/>
      <c r="BH56" s="352"/>
      <c r="BI56" s="352"/>
      <c r="BJ56" s="352"/>
      <c r="BK56" s="358"/>
      <c r="BL56" s="604"/>
      <c r="BM56" s="352"/>
      <c r="BN56" s="357"/>
      <c r="BO56" s="352"/>
      <c r="BP56" s="352"/>
      <c r="BQ56" s="358"/>
      <c r="BR56" s="604"/>
      <c r="BS56" s="352"/>
      <c r="BT56" s="357"/>
      <c r="BU56" s="352"/>
      <c r="BV56" s="352"/>
      <c r="BW56" s="358"/>
      <c r="BX56" s="213"/>
      <c r="BY56" s="213"/>
      <c r="BZ56" s="213"/>
      <c r="CA56" s="213"/>
      <c r="CB56" s="213"/>
      <c r="CC56" s="213"/>
      <c r="CD56" s="213"/>
      <c r="CE56" s="213"/>
      <c r="CF56" s="213"/>
      <c r="CG56" s="213"/>
      <c r="CH56" s="213"/>
      <c r="CI56" s="213"/>
      <c r="CJ56" s="213"/>
      <c r="CK56" s="213"/>
      <c r="CL56" s="213"/>
      <c r="CM56" s="213"/>
      <c r="CN56" s="213"/>
      <c r="CO56" s="213"/>
      <c r="CP56" s="213"/>
      <c r="CQ56" s="213"/>
      <c r="CR56" s="213"/>
      <c r="CS56" s="213"/>
      <c r="CT56" s="213"/>
      <c r="CU56" s="213"/>
    </row>
    <row r="57" ht="15.75" hidden="1" customHeight="1">
      <c r="A57" s="213"/>
      <c r="B57" s="393"/>
      <c r="C57" s="350"/>
      <c r="D57" s="604"/>
      <c r="E57" s="355"/>
      <c r="F57" s="357"/>
      <c r="G57" s="357"/>
      <c r="H57" s="357"/>
      <c r="I57" s="533"/>
      <c r="J57" s="604"/>
      <c r="K57" s="355"/>
      <c r="L57" s="352"/>
      <c r="M57" s="352"/>
      <c r="N57" s="352"/>
      <c r="O57" s="358"/>
      <c r="P57" s="349"/>
      <c r="Q57" s="352"/>
      <c r="R57" s="352"/>
      <c r="S57" s="352"/>
      <c r="T57" s="352"/>
      <c r="U57" s="358"/>
      <c r="V57" s="604"/>
      <c r="W57" s="352"/>
      <c r="X57" s="352"/>
      <c r="Y57" s="352"/>
      <c r="Z57" s="352"/>
      <c r="AA57" s="358"/>
      <c r="AB57" s="604"/>
      <c r="AC57" s="352"/>
      <c r="AD57" s="357"/>
      <c r="AE57" s="352"/>
      <c r="AF57" s="352"/>
      <c r="AG57" s="358"/>
      <c r="AH57" s="604"/>
      <c r="AI57" s="352"/>
      <c r="AJ57" s="352"/>
      <c r="AK57" s="352"/>
      <c r="AL57" s="352"/>
      <c r="AM57" s="358"/>
      <c r="AN57" s="604"/>
      <c r="AO57" s="352"/>
      <c r="AP57" s="352"/>
      <c r="AQ57" s="352"/>
      <c r="AR57" s="352"/>
      <c r="AS57" s="358"/>
      <c r="AT57" s="604"/>
      <c r="AU57" s="352"/>
      <c r="AV57" s="352"/>
      <c r="AW57" s="352"/>
      <c r="AX57" s="352"/>
      <c r="AY57" s="358"/>
      <c r="AZ57" s="604"/>
      <c r="BA57" s="352"/>
      <c r="BB57" s="352"/>
      <c r="BC57" s="352"/>
      <c r="BD57" s="352"/>
      <c r="BE57" s="358"/>
      <c r="BF57" s="604"/>
      <c r="BG57" s="352"/>
      <c r="BH57" s="352"/>
      <c r="BI57" s="352"/>
      <c r="BJ57" s="352"/>
      <c r="BK57" s="358"/>
      <c r="BL57" s="604"/>
      <c r="BM57" s="352"/>
      <c r="BN57" s="357"/>
      <c r="BO57" s="352"/>
      <c r="BP57" s="352"/>
      <c r="BQ57" s="358"/>
      <c r="BR57" s="604"/>
      <c r="BS57" s="352"/>
      <c r="BT57" s="357"/>
      <c r="BU57" s="352"/>
      <c r="BV57" s="352"/>
      <c r="BW57" s="358"/>
      <c r="BX57" s="213"/>
      <c r="BY57" s="213"/>
      <c r="BZ57" s="213"/>
      <c r="CA57" s="213"/>
      <c r="CB57" s="213"/>
      <c r="CC57" s="213"/>
      <c r="CD57" s="213"/>
      <c r="CE57" s="213"/>
      <c r="CF57" s="213"/>
      <c r="CG57" s="213"/>
      <c r="CH57" s="213"/>
      <c r="CI57" s="213"/>
      <c r="CJ57" s="213"/>
      <c r="CK57" s="213"/>
      <c r="CL57" s="213"/>
      <c r="CM57" s="213"/>
      <c r="CN57" s="213"/>
      <c r="CO57" s="213"/>
      <c r="CP57" s="213"/>
      <c r="CQ57" s="213"/>
      <c r="CR57" s="213"/>
      <c r="CS57" s="213"/>
      <c r="CT57" s="213"/>
      <c r="CU57" s="213"/>
    </row>
    <row r="58" ht="15.75" hidden="1" customHeight="1">
      <c r="A58" s="213"/>
      <c r="B58" s="393"/>
      <c r="C58" s="350"/>
      <c r="D58" s="604"/>
      <c r="E58" s="355"/>
      <c r="F58" s="357"/>
      <c r="G58" s="357"/>
      <c r="H58" s="357"/>
      <c r="I58" s="533"/>
      <c r="J58" s="604"/>
      <c r="K58" s="355"/>
      <c r="L58" s="352"/>
      <c r="M58" s="352"/>
      <c r="N58" s="352"/>
      <c r="O58" s="358"/>
      <c r="P58" s="349"/>
      <c r="Q58" s="352"/>
      <c r="R58" s="352"/>
      <c r="S58" s="352"/>
      <c r="T58" s="352"/>
      <c r="U58" s="358"/>
      <c r="V58" s="604"/>
      <c r="W58" s="352"/>
      <c r="X58" s="352"/>
      <c r="Y58" s="352"/>
      <c r="Z58" s="352"/>
      <c r="AA58" s="358"/>
      <c r="AB58" s="604"/>
      <c r="AC58" s="352"/>
      <c r="AD58" s="357"/>
      <c r="AE58" s="352"/>
      <c r="AF58" s="352"/>
      <c r="AG58" s="358"/>
      <c r="AH58" s="604"/>
      <c r="AI58" s="352"/>
      <c r="AJ58" s="352"/>
      <c r="AK58" s="352"/>
      <c r="AL58" s="352"/>
      <c r="AM58" s="358"/>
      <c r="AN58" s="604"/>
      <c r="AO58" s="352"/>
      <c r="AP58" s="352"/>
      <c r="AQ58" s="352"/>
      <c r="AR58" s="352"/>
      <c r="AS58" s="358"/>
      <c r="AT58" s="604"/>
      <c r="AU58" s="352"/>
      <c r="AV58" s="352"/>
      <c r="AW58" s="352"/>
      <c r="AX58" s="352"/>
      <c r="AY58" s="358"/>
      <c r="AZ58" s="604"/>
      <c r="BA58" s="352"/>
      <c r="BB58" s="352"/>
      <c r="BC58" s="352"/>
      <c r="BD58" s="352"/>
      <c r="BE58" s="358"/>
      <c r="BF58" s="604"/>
      <c r="BG58" s="352"/>
      <c r="BH58" s="352"/>
      <c r="BI58" s="352"/>
      <c r="BJ58" s="352"/>
      <c r="BK58" s="358"/>
      <c r="BL58" s="604"/>
      <c r="BM58" s="352"/>
      <c r="BN58" s="357"/>
      <c r="BO58" s="352"/>
      <c r="BP58" s="352"/>
      <c r="BQ58" s="358"/>
      <c r="BR58" s="604"/>
      <c r="BS58" s="352"/>
      <c r="BT58" s="357"/>
      <c r="BU58" s="352"/>
      <c r="BV58" s="352"/>
      <c r="BW58" s="358"/>
      <c r="BX58" s="213"/>
      <c r="BY58" s="213"/>
      <c r="BZ58" s="213"/>
      <c r="CA58" s="213"/>
      <c r="CB58" s="213"/>
      <c r="CC58" s="213"/>
      <c r="CD58" s="213"/>
      <c r="CE58" s="213"/>
      <c r="CF58" s="213"/>
      <c r="CG58" s="213"/>
      <c r="CH58" s="213"/>
      <c r="CI58" s="213"/>
      <c r="CJ58" s="213"/>
      <c r="CK58" s="213"/>
      <c r="CL58" s="213"/>
      <c r="CM58" s="213"/>
      <c r="CN58" s="213"/>
      <c r="CO58" s="213"/>
      <c r="CP58" s="213"/>
      <c r="CQ58" s="213"/>
      <c r="CR58" s="213"/>
      <c r="CS58" s="213"/>
      <c r="CT58" s="213"/>
      <c r="CU58" s="213"/>
    </row>
    <row r="59" ht="15.75" hidden="1" customHeight="1">
      <c r="A59" s="213"/>
      <c r="B59" s="393"/>
      <c r="C59" s="350"/>
      <c r="D59" s="604"/>
      <c r="E59" s="355"/>
      <c r="F59" s="357"/>
      <c r="G59" s="357"/>
      <c r="H59" s="357"/>
      <c r="I59" s="533"/>
      <c r="J59" s="604"/>
      <c r="K59" s="355"/>
      <c r="L59" s="352"/>
      <c r="M59" s="352"/>
      <c r="N59" s="352"/>
      <c r="O59" s="358"/>
      <c r="P59" s="349"/>
      <c r="Q59" s="352"/>
      <c r="R59" s="352"/>
      <c r="S59" s="352"/>
      <c r="T59" s="352"/>
      <c r="U59" s="358"/>
      <c r="V59" s="604"/>
      <c r="W59" s="352"/>
      <c r="X59" s="352"/>
      <c r="Y59" s="352"/>
      <c r="Z59" s="352"/>
      <c r="AA59" s="358"/>
      <c r="AB59" s="604"/>
      <c r="AC59" s="352"/>
      <c r="AD59" s="357"/>
      <c r="AE59" s="352"/>
      <c r="AF59" s="352"/>
      <c r="AG59" s="358"/>
      <c r="AH59" s="604"/>
      <c r="AI59" s="352"/>
      <c r="AJ59" s="352"/>
      <c r="AK59" s="352"/>
      <c r="AL59" s="352"/>
      <c r="AM59" s="358"/>
      <c r="AN59" s="604"/>
      <c r="AO59" s="352"/>
      <c r="AP59" s="352"/>
      <c r="AQ59" s="352"/>
      <c r="AR59" s="352"/>
      <c r="AS59" s="358"/>
      <c r="AT59" s="604"/>
      <c r="AU59" s="352"/>
      <c r="AV59" s="352"/>
      <c r="AW59" s="352"/>
      <c r="AX59" s="352"/>
      <c r="AY59" s="358"/>
      <c r="AZ59" s="604"/>
      <c r="BA59" s="352"/>
      <c r="BB59" s="352"/>
      <c r="BC59" s="352"/>
      <c r="BD59" s="352"/>
      <c r="BE59" s="358"/>
      <c r="BF59" s="604"/>
      <c r="BG59" s="352"/>
      <c r="BH59" s="352"/>
      <c r="BI59" s="352"/>
      <c r="BJ59" s="352"/>
      <c r="BK59" s="358"/>
      <c r="BL59" s="604"/>
      <c r="BM59" s="352"/>
      <c r="BN59" s="357"/>
      <c r="BO59" s="352"/>
      <c r="BP59" s="352"/>
      <c r="BQ59" s="358"/>
      <c r="BR59" s="604"/>
      <c r="BS59" s="352"/>
      <c r="BT59" s="357"/>
      <c r="BU59" s="352"/>
      <c r="BV59" s="352"/>
      <c r="BW59" s="358"/>
      <c r="BX59" s="213"/>
      <c r="BY59" s="213"/>
      <c r="BZ59" s="213"/>
      <c r="CA59" s="213"/>
      <c r="CB59" s="213"/>
      <c r="CC59" s="213"/>
      <c r="CD59" s="213"/>
      <c r="CE59" s="213"/>
      <c r="CF59" s="213"/>
      <c r="CG59" s="213"/>
      <c r="CH59" s="213"/>
      <c r="CI59" s="213"/>
      <c r="CJ59" s="213"/>
      <c r="CK59" s="213"/>
      <c r="CL59" s="213"/>
      <c r="CM59" s="213"/>
      <c r="CN59" s="213"/>
      <c r="CO59" s="213"/>
      <c r="CP59" s="213"/>
      <c r="CQ59" s="213"/>
      <c r="CR59" s="213"/>
      <c r="CS59" s="213"/>
      <c r="CT59" s="213"/>
      <c r="CU59" s="213"/>
    </row>
    <row r="60" ht="15.75" hidden="1" customHeight="1">
      <c r="A60" s="213"/>
      <c r="B60" s="393"/>
      <c r="C60" s="350"/>
      <c r="D60" s="604"/>
      <c r="E60" s="355"/>
      <c r="F60" s="357"/>
      <c r="G60" s="357"/>
      <c r="H60" s="357"/>
      <c r="I60" s="533"/>
      <c r="J60" s="604"/>
      <c r="K60" s="355"/>
      <c r="L60" s="352"/>
      <c r="M60" s="352"/>
      <c r="N60" s="352"/>
      <c r="O60" s="358"/>
      <c r="P60" s="349"/>
      <c r="Q60" s="352"/>
      <c r="R60" s="352"/>
      <c r="S60" s="352"/>
      <c r="T60" s="352"/>
      <c r="U60" s="358"/>
      <c r="V60" s="604"/>
      <c r="W60" s="352"/>
      <c r="X60" s="352"/>
      <c r="Y60" s="352"/>
      <c r="Z60" s="352"/>
      <c r="AA60" s="358"/>
      <c r="AB60" s="604"/>
      <c r="AC60" s="352"/>
      <c r="AD60" s="357"/>
      <c r="AE60" s="352"/>
      <c r="AF60" s="352"/>
      <c r="AG60" s="358"/>
      <c r="AH60" s="604"/>
      <c r="AI60" s="352"/>
      <c r="AJ60" s="352"/>
      <c r="AK60" s="352"/>
      <c r="AL60" s="352"/>
      <c r="AM60" s="358"/>
      <c r="AN60" s="604"/>
      <c r="AO60" s="352"/>
      <c r="AP60" s="352"/>
      <c r="AQ60" s="352"/>
      <c r="AR60" s="352"/>
      <c r="AS60" s="358"/>
      <c r="AT60" s="604"/>
      <c r="AU60" s="352"/>
      <c r="AV60" s="352"/>
      <c r="AW60" s="352"/>
      <c r="AX60" s="352"/>
      <c r="AY60" s="358"/>
      <c r="AZ60" s="604"/>
      <c r="BA60" s="352"/>
      <c r="BB60" s="352"/>
      <c r="BC60" s="352"/>
      <c r="BD60" s="352"/>
      <c r="BE60" s="358"/>
      <c r="BF60" s="604"/>
      <c r="BG60" s="352"/>
      <c r="BH60" s="352"/>
      <c r="BI60" s="352"/>
      <c r="BJ60" s="352"/>
      <c r="BK60" s="358"/>
      <c r="BL60" s="604"/>
      <c r="BM60" s="352"/>
      <c r="BN60" s="357"/>
      <c r="BO60" s="352"/>
      <c r="BP60" s="352"/>
      <c r="BQ60" s="358"/>
      <c r="BR60" s="604"/>
      <c r="BS60" s="352"/>
      <c r="BT60" s="357"/>
      <c r="BU60" s="352"/>
      <c r="BV60" s="352"/>
      <c r="BW60" s="358"/>
      <c r="BX60" s="213"/>
      <c r="BY60" s="213"/>
      <c r="BZ60" s="213"/>
      <c r="CA60" s="213"/>
      <c r="CB60" s="213"/>
      <c r="CC60" s="213"/>
      <c r="CD60" s="213"/>
      <c r="CE60" s="213"/>
      <c r="CF60" s="213"/>
      <c r="CG60" s="213"/>
      <c r="CH60" s="213"/>
      <c r="CI60" s="213"/>
      <c r="CJ60" s="213"/>
      <c r="CK60" s="213"/>
      <c r="CL60" s="213"/>
      <c r="CM60" s="213"/>
      <c r="CN60" s="213"/>
      <c r="CO60" s="213"/>
      <c r="CP60" s="213"/>
      <c r="CQ60" s="213"/>
      <c r="CR60" s="213"/>
      <c r="CS60" s="213"/>
      <c r="CT60" s="213"/>
      <c r="CU60" s="213"/>
    </row>
    <row r="61" ht="15.75" hidden="1" customHeight="1">
      <c r="A61" s="213"/>
      <c r="B61" s="393"/>
      <c r="C61" s="350"/>
      <c r="D61" s="604"/>
      <c r="E61" s="352"/>
      <c r="F61" s="352"/>
      <c r="G61" s="352"/>
      <c r="H61" s="352"/>
      <c r="I61" s="358"/>
      <c r="J61" s="604"/>
      <c r="K61" s="352"/>
      <c r="L61" s="352"/>
      <c r="M61" s="352"/>
      <c r="N61" s="352"/>
      <c r="O61" s="358"/>
      <c r="P61" s="349"/>
      <c r="Q61" s="352"/>
      <c r="R61" s="352"/>
      <c r="S61" s="352"/>
      <c r="T61" s="352"/>
      <c r="U61" s="358"/>
      <c r="V61" s="604"/>
      <c r="W61" s="352"/>
      <c r="X61" s="352"/>
      <c r="Y61" s="352"/>
      <c r="Z61" s="352"/>
      <c r="AA61" s="358"/>
      <c r="AB61" s="604"/>
      <c r="AC61" s="352"/>
      <c r="AD61" s="357"/>
      <c r="AE61" s="352"/>
      <c r="AF61" s="352"/>
      <c r="AG61" s="358"/>
      <c r="AH61" s="604"/>
      <c r="AI61" s="352"/>
      <c r="AJ61" s="352"/>
      <c r="AK61" s="352"/>
      <c r="AL61" s="352"/>
      <c r="AM61" s="358"/>
      <c r="AN61" s="604"/>
      <c r="AO61" s="352"/>
      <c r="AP61" s="352"/>
      <c r="AQ61" s="352"/>
      <c r="AR61" s="352"/>
      <c r="AS61" s="358"/>
      <c r="AT61" s="604"/>
      <c r="AU61" s="352"/>
      <c r="AV61" s="352"/>
      <c r="AW61" s="352"/>
      <c r="AX61" s="352"/>
      <c r="AY61" s="358"/>
      <c r="AZ61" s="604"/>
      <c r="BA61" s="352"/>
      <c r="BB61" s="352"/>
      <c r="BC61" s="352"/>
      <c r="BD61" s="352"/>
      <c r="BE61" s="358"/>
      <c r="BF61" s="604"/>
      <c r="BG61" s="352"/>
      <c r="BH61" s="352"/>
      <c r="BI61" s="352"/>
      <c r="BJ61" s="352"/>
      <c r="BK61" s="358"/>
      <c r="BL61" s="604"/>
      <c r="BM61" s="352"/>
      <c r="BN61" s="357"/>
      <c r="BO61" s="352"/>
      <c r="BP61" s="352"/>
      <c r="BQ61" s="358"/>
      <c r="BR61" s="604"/>
      <c r="BS61" s="352"/>
      <c r="BT61" s="357"/>
      <c r="BU61" s="352"/>
      <c r="BV61" s="245"/>
      <c r="BW61" s="350"/>
      <c r="BX61" s="213"/>
      <c r="BY61" s="213"/>
      <c r="BZ61" s="213"/>
      <c r="CA61" s="213"/>
      <c r="CB61" s="213"/>
      <c r="CC61" s="213"/>
      <c r="CD61" s="213"/>
      <c r="CE61" s="213"/>
      <c r="CF61" s="213"/>
      <c r="CG61" s="213"/>
      <c r="CH61" s="213"/>
      <c r="CI61" s="213"/>
      <c r="CJ61" s="213"/>
      <c r="CK61" s="213"/>
      <c r="CL61" s="213"/>
      <c r="CM61" s="213"/>
      <c r="CN61" s="213"/>
      <c r="CO61" s="213"/>
      <c r="CP61" s="213"/>
      <c r="CQ61" s="213"/>
      <c r="CR61" s="213"/>
      <c r="CS61" s="213"/>
      <c r="CT61" s="213"/>
      <c r="CU61" s="213"/>
    </row>
    <row r="62" ht="15.75" hidden="1" customHeight="1">
      <c r="A62" s="213"/>
      <c r="B62" s="393"/>
      <c r="C62" s="350"/>
      <c r="D62" s="604"/>
      <c r="E62" s="355"/>
      <c r="F62" s="352"/>
      <c r="G62" s="355"/>
      <c r="H62" s="352"/>
      <c r="I62" s="395"/>
      <c r="J62" s="604"/>
      <c r="K62" s="352"/>
      <c r="L62" s="352"/>
      <c r="M62" s="355"/>
      <c r="N62" s="352"/>
      <c r="O62" s="358"/>
      <c r="P62" s="349"/>
      <c r="Q62" s="352"/>
      <c r="R62" s="352"/>
      <c r="S62" s="355"/>
      <c r="T62" s="352"/>
      <c r="U62" s="358"/>
      <c r="V62" s="604"/>
      <c r="W62" s="352"/>
      <c r="X62" s="352"/>
      <c r="Y62" s="355"/>
      <c r="Z62" s="352"/>
      <c r="AA62" s="358"/>
      <c r="AB62" s="604"/>
      <c r="AC62" s="352"/>
      <c r="AD62" s="357"/>
      <c r="AE62" s="355"/>
      <c r="AF62" s="352"/>
      <c r="AG62" s="358"/>
      <c r="AH62" s="604"/>
      <c r="AI62" s="352"/>
      <c r="AJ62" s="352"/>
      <c r="AK62" s="355"/>
      <c r="AL62" s="352"/>
      <c r="AM62" s="358"/>
      <c r="AN62" s="604"/>
      <c r="AO62" s="352"/>
      <c r="AP62" s="352"/>
      <c r="AQ62" s="355"/>
      <c r="AR62" s="352"/>
      <c r="AS62" s="358"/>
      <c r="AT62" s="604"/>
      <c r="AU62" s="352"/>
      <c r="AV62" s="352"/>
      <c r="AW62" s="355"/>
      <c r="AX62" s="352"/>
      <c r="AY62" s="358"/>
      <c r="AZ62" s="604"/>
      <c r="BA62" s="352"/>
      <c r="BB62" s="352"/>
      <c r="BC62" s="355"/>
      <c r="BD62" s="352"/>
      <c r="BE62" s="358"/>
      <c r="BF62" s="604"/>
      <c r="BG62" s="352"/>
      <c r="BH62" s="352"/>
      <c r="BI62" s="355"/>
      <c r="BJ62" s="352"/>
      <c r="BK62" s="358"/>
      <c r="BL62" s="604"/>
      <c r="BM62" s="352"/>
      <c r="BN62" s="357"/>
      <c r="BO62" s="355"/>
      <c r="BP62" s="352"/>
      <c r="BQ62" s="358"/>
      <c r="BR62" s="604"/>
      <c r="BS62" s="352"/>
      <c r="BT62" s="357"/>
      <c r="BU62" s="355"/>
      <c r="BV62" s="352"/>
      <c r="BW62" s="358"/>
      <c r="BX62" s="213"/>
      <c r="BY62" s="213"/>
      <c r="BZ62" s="213"/>
      <c r="CA62" s="213"/>
      <c r="CB62" s="213"/>
      <c r="CC62" s="213"/>
      <c r="CD62" s="213"/>
      <c r="CE62" s="213"/>
      <c r="CF62" s="213"/>
      <c r="CG62" s="213"/>
      <c r="CH62" s="213"/>
      <c r="CI62" s="213"/>
      <c r="CJ62" s="213"/>
      <c r="CK62" s="213"/>
      <c r="CL62" s="213"/>
      <c r="CM62" s="213"/>
      <c r="CN62" s="213"/>
      <c r="CO62" s="213"/>
      <c r="CP62" s="213"/>
      <c r="CQ62" s="213"/>
      <c r="CR62" s="213"/>
      <c r="CS62" s="213"/>
      <c r="CT62" s="213"/>
      <c r="CU62" s="213"/>
    </row>
    <row r="63" ht="15.75" hidden="1" customHeight="1">
      <c r="A63" s="213"/>
      <c r="B63" s="393"/>
      <c r="C63" s="350"/>
      <c r="D63" s="604"/>
      <c r="E63" s="352"/>
      <c r="F63" s="352"/>
      <c r="G63" s="352"/>
      <c r="H63" s="352"/>
      <c r="I63" s="358"/>
      <c r="J63" s="604"/>
      <c r="K63" s="352"/>
      <c r="L63" s="352"/>
      <c r="M63" s="352"/>
      <c r="N63" s="352"/>
      <c r="O63" s="358"/>
      <c r="P63" s="349"/>
      <c r="Q63" s="352"/>
      <c r="R63" s="352"/>
      <c r="S63" s="352"/>
      <c r="T63" s="352"/>
      <c r="U63" s="358"/>
      <c r="V63" s="604"/>
      <c r="W63" s="352"/>
      <c r="X63" s="352"/>
      <c r="Y63" s="352"/>
      <c r="Z63" s="352"/>
      <c r="AA63" s="358"/>
      <c r="AB63" s="604"/>
      <c r="AC63" s="352"/>
      <c r="AD63" s="357"/>
      <c r="AE63" s="352"/>
      <c r="AF63" s="352"/>
      <c r="AG63" s="358"/>
      <c r="AH63" s="604"/>
      <c r="AI63" s="352"/>
      <c r="AJ63" s="352"/>
      <c r="AK63" s="352"/>
      <c r="AL63" s="352"/>
      <c r="AM63" s="358"/>
      <c r="AN63" s="604"/>
      <c r="AO63" s="352"/>
      <c r="AP63" s="352"/>
      <c r="AQ63" s="352"/>
      <c r="AR63" s="352"/>
      <c r="AS63" s="358"/>
      <c r="AT63" s="604"/>
      <c r="AU63" s="352"/>
      <c r="AV63" s="352"/>
      <c r="AW63" s="352"/>
      <c r="AX63" s="352"/>
      <c r="AY63" s="358"/>
      <c r="AZ63" s="604"/>
      <c r="BA63" s="352"/>
      <c r="BB63" s="352"/>
      <c r="BC63" s="352"/>
      <c r="BD63" s="352"/>
      <c r="BE63" s="358"/>
      <c r="BF63" s="604"/>
      <c r="BG63" s="352"/>
      <c r="BH63" s="352"/>
      <c r="BI63" s="352"/>
      <c r="BJ63" s="352"/>
      <c r="BK63" s="358"/>
      <c r="BL63" s="604"/>
      <c r="BM63" s="352"/>
      <c r="BN63" s="357"/>
      <c r="BO63" s="352"/>
      <c r="BP63" s="352"/>
      <c r="BQ63" s="358"/>
      <c r="BR63" s="604"/>
      <c r="BS63" s="352"/>
      <c r="BT63" s="357"/>
      <c r="BU63" s="352"/>
      <c r="BV63" s="352"/>
      <c r="BW63" s="358"/>
      <c r="BX63" s="213"/>
      <c r="BY63" s="213"/>
      <c r="BZ63" s="213"/>
      <c r="CA63" s="213"/>
      <c r="CB63" s="213"/>
      <c r="CC63" s="213"/>
      <c r="CD63" s="213"/>
      <c r="CE63" s="213"/>
      <c r="CF63" s="213"/>
      <c r="CG63" s="213"/>
      <c r="CH63" s="213"/>
      <c r="CI63" s="213"/>
      <c r="CJ63" s="213"/>
      <c r="CK63" s="213"/>
      <c r="CL63" s="213"/>
      <c r="CM63" s="213"/>
      <c r="CN63" s="213"/>
      <c r="CO63" s="213"/>
      <c r="CP63" s="213"/>
      <c r="CQ63" s="213"/>
      <c r="CR63" s="213"/>
      <c r="CS63" s="213"/>
      <c r="CT63" s="213"/>
      <c r="CU63" s="213"/>
    </row>
    <row r="64" ht="15.75" hidden="1" customHeight="1">
      <c r="A64" s="213"/>
      <c r="B64" s="393"/>
      <c r="C64" s="350"/>
      <c r="D64" s="604"/>
      <c r="E64" s="352"/>
      <c r="F64" s="352"/>
      <c r="G64" s="352"/>
      <c r="H64" s="352"/>
      <c r="I64" s="358"/>
      <c r="J64" s="604"/>
      <c r="K64" s="352"/>
      <c r="L64" s="352"/>
      <c r="M64" s="352"/>
      <c r="N64" s="352"/>
      <c r="O64" s="358"/>
      <c r="P64" s="349"/>
      <c r="Q64" s="352"/>
      <c r="R64" s="352"/>
      <c r="S64" s="352"/>
      <c r="T64" s="352"/>
      <c r="U64" s="358"/>
      <c r="V64" s="604"/>
      <c r="W64" s="352"/>
      <c r="X64" s="352"/>
      <c r="Y64" s="352"/>
      <c r="Z64" s="352"/>
      <c r="AA64" s="358"/>
      <c r="AB64" s="604"/>
      <c r="AC64" s="352"/>
      <c r="AD64" s="357"/>
      <c r="AE64" s="352"/>
      <c r="AF64" s="352"/>
      <c r="AG64" s="358"/>
      <c r="AH64" s="604"/>
      <c r="AI64" s="352"/>
      <c r="AJ64" s="352"/>
      <c r="AK64" s="352"/>
      <c r="AL64" s="352"/>
      <c r="AM64" s="358"/>
      <c r="AN64" s="604"/>
      <c r="AO64" s="352"/>
      <c r="AP64" s="352"/>
      <c r="AQ64" s="352"/>
      <c r="AR64" s="352"/>
      <c r="AS64" s="358"/>
      <c r="AT64" s="604"/>
      <c r="AU64" s="352"/>
      <c r="AV64" s="352"/>
      <c r="AW64" s="352"/>
      <c r="AX64" s="352"/>
      <c r="AY64" s="358"/>
      <c r="AZ64" s="604"/>
      <c r="BA64" s="352"/>
      <c r="BB64" s="352"/>
      <c r="BC64" s="352"/>
      <c r="BD64" s="352"/>
      <c r="BE64" s="358"/>
      <c r="BF64" s="604"/>
      <c r="BG64" s="352"/>
      <c r="BH64" s="352"/>
      <c r="BI64" s="352"/>
      <c r="BJ64" s="352"/>
      <c r="BK64" s="358"/>
      <c r="BL64" s="604"/>
      <c r="BM64" s="352"/>
      <c r="BN64" s="357"/>
      <c r="BO64" s="352"/>
      <c r="BP64" s="352"/>
      <c r="BQ64" s="358"/>
      <c r="BR64" s="604"/>
      <c r="BS64" s="352"/>
      <c r="BT64" s="357"/>
      <c r="BU64" s="352"/>
      <c r="BV64" s="352"/>
      <c r="BW64" s="358"/>
      <c r="BX64" s="213"/>
      <c r="BY64" s="213"/>
      <c r="BZ64" s="213"/>
      <c r="CA64" s="213"/>
      <c r="CB64" s="213"/>
      <c r="CC64" s="213"/>
      <c r="CD64" s="213"/>
      <c r="CE64" s="213"/>
      <c r="CF64" s="213"/>
      <c r="CG64" s="213"/>
      <c r="CH64" s="213"/>
      <c r="CI64" s="213"/>
      <c r="CJ64" s="213"/>
      <c r="CK64" s="213"/>
      <c r="CL64" s="213"/>
      <c r="CM64" s="213"/>
      <c r="CN64" s="213"/>
      <c r="CO64" s="213"/>
      <c r="CP64" s="213"/>
      <c r="CQ64" s="213"/>
      <c r="CR64" s="213"/>
      <c r="CS64" s="213"/>
      <c r="CT64" s="213"/>
      <c r="CU64" s="213"/>
    </row>
    <row r="65" ht="15.75" hidden="1" customHeight="1">
      <c r="A65" s="213"/>
      <c r="B65" s="393"/>
      <c r="C65" s="350"/>
      <c r="D65" s="604"/>
      <c r="E65" s="352"/>
      <c r="F65" s="352"/>
      <c r="G65" s="352"/>
      <c r="H65" s="352"/>
      <c r="I65" s="358"/>
      <c r="J65" s="604"/>
      <c r="K65" s="352"/>
      <c r="L65" s="352"/>
      <c r="M65" s="352"/>
      <c r="N65" s="352"/>
      <c r="O65" s="358"/>
      <c r="P65" s="349"/>
      <c r="Q65" s="352"/>
      <c r="R65" s="352"/>
      <c r="S65" s="352"/>
      <c r="T65" s="352"/>
      <c r="U65" s="358"/>
      <c r="V65" s="604"/>
      <c r="W65" s="352"/>
      <c r="X65" s="352"/>
      <c r="Y65" s="352"/>
      <c r="Z65" s="352"/>
      <c r="AA65" s="358"/>
      <c r="AB65" s="604"/>
      <c r="AC65" s="352"/>
      <c r="AD65" s="357"/>
      <c r="AE65" s="352"/>
      <c r="AF65" s="352"/>
      <c r="AG65" s="358"/>
      <c r="AH65" s="604"/>
      <c r="AI65" s="352"/>
      <c r="AJ65" s="352"/>
      <c r="AK65" s="352"/>
      <c r="AL65" s="352"/>
      <c r="AM65" s="358"/>
      <c r="AN65" s="604"/>
      <c r="AO65" s="352"/>
      <c r="AP65" s="352"/>
      <c r="AQ65" s="352"/>
      <c r="AR65" s="352"/>
      <c r="AS65" s="358"/>
      <c r="AT65" s="604"/>
      <c r="AU65" s="352"/>
      <c r="AV65" s="352"/>
      <c r="AW65" s="352"/>
      <c r="AX65" s="352"/>
      <c r="AY65" s="358"/>
      <c r="AZ65" s="604"/>
      <c r="BA65" s="352"/>
      <c r="BB65" s="352"/>
      <c r="BC65" s="352"/>
      <c r="BD65" s="352"/>
      <c r="BE65" s="358"/>
      <c r="BF65" s="604"/>
      <c r="BG65" s="352"/>
      <c r="BH65" s="352"/>
      <c r="BI65" s="352"/>
      <c r="BJ65" s="352"/>
      <c r="BK65" s="358"/>
      <c r="BL65" s="604"/>
      <c r="BM65" s="352"/>
      <c r="BN65" s="357"/>
      <c r="BO65" s="352"/>
      <c r="BP65" s="352"/>
      <c r="BQ65" s="358"/>
      <c r="BR65" s="604"/>
      <c r="BS65" s="352"/>
      <c r="BT65" s="357"/>
      <c r="BU65" s="352"/>
      <c r="BV65" s="352"/>
      <c r="BW65" s="358"/>
      <c r="BX65" s="213"/>
      <c r="BY65" s="213"/>
      <c r="BZ65" s="213"/>
      <c r="CA65" s="213"/>
      <c r="CB65" s="213"/>
      <c r="CC65" s="213"/>
      <c r="CD65" s="213"/>
      <c r="CE65" s="213"/>
      <c r="CF65" s="213"/>
      <c r="CG65" s="213"/>
      <c r="CH65" s="213"/>
      <c r="CI65" s="213"/>
      <c r="CJ65" s="213"/>
      <c r="CK65" s="213"/>
      <c r="CL65" s="213"/>
      <c r="CM65" s="213"/>
      <c r="CN65" s="213"/>
      <c r="CO65" s="213"/>
      <c r="CP65" s="213"/>
      <c r="CQ65" s="213"/>
      <c r="CR65" s="213"/>
      <c r="CS65" s="213"/>
      <c r="CT65" s="213"/>
      <c r="CU65" s="213"/>
    </row>
    <row r="66" ht="15.75" hidden="1" customHeight="1">
      <c r="A66" s="213"/>
      <c r="B66" s="393"/>
      <c r="C66" s="350"/>
      <c r="D66" s="604"/>
      <c r="E66" s="352"/>
      <c r="F66" s="352"/>
      <c r="G66" s="352"/>
      <c r="H66" s="352"/>
      <c r="I66" s="358"/>
      <c r="J66" s="604"/>
      <c r="K66" s="352"/>
      <c r="L66" s="352"/>
      <c r="M66" s="352"/>
      <c r="N66" s="352"/>
      <c r="O66" s="358"/>
      <c r="P66" s="349"/>
      <c r="Q66" s="352"/>
      <c r="R66" s="352"/>
      <c r="S66" s="352"/>
      <c r="T66" s="352"/>
      <c r="U66" s="358"/>
      <c r="V66" s="604"/>
      <c r="W66" s="352"/>
      <c r="X66" s="352"/>
      <c r="Y66" s="352"/>
      <c r="Z66" s="352"/>
      <c r="AA66" s="358"/>
      <c r="AB66" s="604"/>
      <c r="AC66" s="352"/>
      <c r="AD66" s="357"/>
      <c r="AE66" s="352"/>
      <c r="AF66" s="352"/>
      <c r="AG66" s="358"/>
      <c r="AH66" s="604"/>
      <c r="AI66" s="352"/>
      <c r="AJ66" s="352"/>
      <c r="AK66" s="352"/>
      <c r="AL66" s="352"/>
      <c r="AM66" s="358"/>
      <c r="AN66" s="604"/>
      <c r="AO66" s="352"/>
      <c r="AP66" s="352"/>
      <c r="AQ66" s="352"/>
      <c r="AR66" s="352"/>
      <c r="AS66" s="358"/>
      <c r="AT66" s="604"/>
      <c r="AU66" s="352"/>
      <c r="AV66" s="352"/>
      <c r="AW66" s="352"/>
      <c r="AX66" s="352"/>
      <c r="AY66" s="358"/>
      <c r="AZ66" s="604"/>
      <c r="BA66" s="352"/>
      <c r="BB66" s="352"/>
      <c r="BC66" s="352"/>
      <c r="BD66" s="352"/>
      <c r="BE66" s="358"/>
      <c r="BF66" s="604"/>
      <c r="BG66" s="352"/>
      <c r="BH66" s="352"/>
      <c r="BI66" s="352"/>
      <c r="BJ66" s="352"/>
      <c r="BK66" s="358"/>
      <c r="BL66" s="604"/>
      <c r="BM66" s="352"/>
      <c r="BN66" s="357"/>
      <c r="BO66" s="352"/>
      <c r="BP66" s="352"/>
      <c r="BQ66" s="358"/>
      <c r="BR66" s="604"/>
      <c r="BS66" s="352"/>
      <c r="BT66" s="357"/>
      <c r="BU66" s="352"/>
      <c r="BV66" s="352"/>
      <c r="BW66" s="358"/>
      <c r="BX66" s="213"/>
      <c r="BY66" s="213"/>
      <c r="BZ66" s="213"/>
      <c r="CA66" s="213"/>
      <c r="CB66" s="213"/>
      <c r="CC66" s="213"/>
      <c r="CD66" s="213"/>
      <c r="CE66" s="213"/>
      <c r="CF66" s="213"/>
      <c r="CG66" s="213"/>
      <c r="CH66" s="213"/>
      <c r="CI66" s="213"/>
      <c r="CJ66" s="213"/>
      <c r="CK66" s="213"/>
      <c r="CL66" s="213"/>
      <c r="CM66" s="213"/>
      <c r="CN66" s="213"/>
      <c r="CO66" s="213"/>
      <c r="CP66" s="213"/>
      <c r="CQ66" s="213"/>
      <c r="CR66" s="213"/>
      <c r="CS66" s="213"/>
      <c r="CT66" s="213"/>
      <c r="CU66" s="213"/>
    </row>
    <row r="67" ht="15.75" customHeight="1">
      <c r="A67" s="213"/>
      <c r="B67" s="393"/>
      <c r="C67" s="350"/>
      <c r="D67" s="604"/>
      <c r="E67" s="352"/>
      <c r="F67" s="352"/>
      <c r="G67" s="352"/>
      <c r="H67" s="352"/>
      <c r="I67" s="358"/>
      <c r="J67" s="604"/>
      <c r="K67" s="352"/>
      <c r="L67" s="352"/>
      <c r="M67" s="352"/>
      <c r="N67" s="352"/>
      <c r="O67" s="358"/>
      <c r="P67" s="349"/>
      <c r="Q67" s="352"/>
      <c r="R67" s="352"/>
      <c r="S67" s="352"/>
      <c r="T67" s="352"/>
      <c r="U67" s="358"/>
      <c r="V67" s="604"/>
      <c r="W67" s="352"/>
      <c r="X67" s="352"/>
      <c r="Y67" s="352"/>
      <c r="Z67" s="352"/>
      <c r="AA67" s="358"/>
      <c r="AB67" s="604"/>
      <c r="AC67" s="352"/>
      <c r="AD67" s="357"/>
      <c r="AE67" s="352"/>
      <c r="AF67" s="352"/>
      <c r="AG67" s="358"/>
      <c r="AH67" s="604"/>
      <c r="AI67" s="352"/>
      <c r="AJ67" s="352"/>
      <c r="AK67" s="352"/>
      <c r="AL67" s="352"/>
      <c r="AM67" s="358"/>
      <c r="AN67" s="604"/>
      <c r="AO67" s="352"/>
      <c r="AP67" s="352"/>
      <c r="AQ67" s="352"/>
      <c r="AR67" s="352"/>
      <c r="AS67" s="358"/>
      <c r="AT67" s="604"/>
      <c r="AU67" s="352"/>
      <c r="AV67" s="352"/>
      <c r="AW67" s="352"/>
      <c r="AX67" s="352"/>
      <c r="AY67" s="358"/>
      <c r="AZ67" s="604"/>
      <c r="BA67" s="352"/>
      <c r="BB67" s="352"/>
      <c r="BC67" s="352"/>
      <c r="BD67" s="352"/>
      <c r="BE67" s="358"/>
      <c r="BF67" s="604"/>
      <c r="BG67" s="352"/>
      <c r="BH67" s="352"/>
      <c r="BI67" s="352"/>
      <c r="BJ67" s="352"/>
      <c r="BK67" s="358"/>
      <c r="BL67" s="604"/>
      <c r="BM67" s="352"/>
      <c r="BN67" s="357"/>
      <c r="BO67" s="352"/>
      <c r="BP67" s="352"/>
      <c r="BQ67" s="358"/>
      <c r="BR67" s="604"/>
      <c r="BS67" s="352"/>
      <c r="BT67" s="357"/>
      <c r="BU67" s="352"/>
      <c r="BV67" s="352"/>
      <c r="BW67" s="358"/>
      <c r="BX67" s="213"/>
      <c r="BY67" s="213"/>
      <c r="BZ67" s="213"/>
      <c r="CA67" s="213"/>
      <c r="CB67" s="213"/>
      <c r="CC67" s="213"/>
      <c r="CD67" s="213"/>
      <c r="CE67" s="213"/>
      <c r="CF67" s="213"/>
      <c r="CG67" s="213"/>
      <c r="CH67" s="213"/>
      <c r="CI67" s="213"/>
      <c r="CJ67" s="213"/>
      <c r="CK67" s="213"/>
      <c r="CL67" s="213"/>
      <c r="CM67" s="213"/>
      <c r="CN67" s="213"/>
      <c r="CO67" s="213"/>
      <c r="CP67" s="213"/>
      <c r="CQ67" s="213"/>
      <c r="CR67" s="213"/>
      <c r="CS67" s="213"/>
      <c r="CT67" s="213"/>
      <c r="CU67" s="213"/>
    </row>
    <row r="68" ht="15.75" customHeight="1">
      <c r="A68" s="213"/>
      <c r="B68" s="652" t="s">
        <v>33</v>
      </c>
      <c r="C68" s="672"/>
      <c r="D68" s="660">
        <f>D33-D53-D62</f>
        <v>8316965.269</v>
      </c>
      <c r="E68" s="726">
        <f>D68/D$33</f>
        <v>0.6696073264</v>
      </c>
      <c r="F68" s="655">
        <f>F33-F53-F62</f>
        <v>9271703.444</v>
      </c>
      <c r="G68" s="726">
        <f>F68/F$33</f>
        <v>0.7159936099</v>
      </c>
      <c r="H68" s="655">
        <f>H33-H53-H62</f>
        <v>-927278.3597</v>
      </c>
      <c r="I68" s="727">
        <f>H68/H$33</f>
        <v>1.849740956</v>
      </c>
      <c r="J68" s="660">
        <f>J33-J53-J62</f>
        <v>8475943.077</v>
      </c>
      <c r="K68" s="726">
        <f>J68/J$33</f>
        <v>0.6648851018</v>
      </c>
      <c r="L68" s="655">
        <f>L33-L53-L62</f>
        <v>8850914.024</v>
      </c>
      <c r="M68" s="726">
        <f>L68/L$33</f>
        <v>0.7166674373</v>
      </c>
      <c r="N68" s="655">
        <f>N33-N53</f>
        <v>0</v>
      </c>
      <c r="O68" s="656"/>
      <c r="P68" s="660">
        <f>P33-P53-P62</f>
        <v>7517179.877</v>
      </c>
      <c r="Q68" s="726">
        <f>P68/P$33</f>
        <v>0.6654241827</v>
      </c>
      <c r="R68" s="655">
        <f>R33-R53</f>
        <v>9355802.101</v>
      </c>
      <c r="S68" s="726">
        <f>R68/R$33</f>
        <v>0.7157371525</v>
      </c>
      <c r="T68" s="655">
        <f>T33-T53</f>
        <v>0</v>
      </c>
      <c r="U68" s="656"/>
      <c r="V68" s="660">
        <f>V33-V53-V62</f>
        <v>10045324.85</v>
      </c>
      <c r="W68" s="726">
        <f>V68/V$33</f>
        <v>0.7162375058</v>
      </c>
      <c r="X68" s="655">
        <f>X33-X53</f>
        <v>9714741.788</v>
      </c>
      <c r="Y68" s="726">
        <f>X68/X$33</f>
        <v>0.7158381472</v>
      </c>
      <c r="Z68" s="655">
        <f>Z33-Z53</f>
        <v>0</v>
      </c>
      <c r="AA68" s="656"/>
      <c r="AB68" s="660">
        <f>AB33-AB53</f>
        <v>9978166.163</v>
      </c>
      <c r="AC68" s="726">
        <f>AB68/AB$33</f>
        <v>0.7045857731</v>
      </c>
      <c r="AD68" s="655">
        <f>AD33-AD53</f>
        <v>10295060.42</v>
      </c>
      <c r="AE68" s="726">
        <f>AD68/AD$33</f>
        <v>0.7159235054</v>
      </c>
      <c r="AF68" s="655">
        <f>AF33-AF53</f>
        <v>0</v>
      </c>
      <c r="AG68" s="656"/>
      <c r="AH68" s="660">
        <f>AH33-AH53</f>
        <v>7968441.188</v>
      </c>
      <c r="AI68" s="726">
        <f>AH68/AH$33</f>
        <v>0.6678831145</v>
      </c>
      <c r="AJ68" s="655">
        <f>AJ33-AJ53</f>
        <v>9753316.115</v>
      </c>
      <c r="AK68" s="726">
        <f>AJ68/AJ$33</f>
        <v>0.7156079066</v>
      </c>
      <c r="AL68" s="655">
        <f>AL33-AL53</f>
        <v>0</v>
      </c>
      <c r="AM68" s="656"/>
      <c r="AN68" s="660">
        <f>AN33-AN53-AN62</f>
        <v>8422869.781</v>
      </c>
      <c r="AO68" s="726">
        <f>AN68/AN$33</f>
        <v>0.6645998332</v>
      </c>
      <c r="AP68" s="655">
        <f>AP33-AP53</f>
        <v>10791690.7</v>
      </c>
      <c r="AQ68" s="726">
        <f>AP68/AP$33</f>
        <v>0.7157745195</v>
      </c>
      <c r="AR68" s="655">
        <f>AR33-AR53</f>
        <v>0</v>
      </c>
      <c r="AS68" s="656"/>
      <c r="AT68" s="660">
        <f>AT33-AT53</f>
        <v>8445695.603</v>
      </c>
      <c r="AU68" s="726">
        <f>AT68/AT$33</f>
        <v>0.662744837</v>
      </c>
      <c r="AV68" s="655">
        <f>AV33-AV53</f>
        <v>11117602.68</v>
      </c>
      <c r="AW68" s="726">
        <f>AV68/AV$33</f>
        <v>0.7158483303</v>
      </c>
      <c r="AX68" s="655">
        <f>AX33-AX53</f>
        <v>0</v>
      </c>
      <c r="AY68" s="656"/>
      <c r="AZ68" s="660">
        <f>AZ33-AZ53</f>
        <v>12323027.68</v>
      </c>
      <c r="BA68" s="658"/>
      <c r="BB68" s="655">
        <f>BB33-BB53</f>
        <v>11970937.6</v>
      </c>
      <c r="BC68" s="726">
        <f>BB68/BB$33</f>
        <v>0.7157480341</v>
      </c>
      <c r="BD68" s="655">
        <f>BD33-BD53</f>
        <v>0</v>
      </c>
      <c r="BE68" s="656"/>
      <c r="BF68" s="660">
        <f>BF33-BF53</f>
        <v>11864837.86</v>
      </c>
      <c r="BG68" s="726">
        <f>BF68/BF$33</f>
        <v>0.6870232797</v>
      </c>
      <c r="BH68" s="655">
        <f>BH33-BH53</f>
        <v>11615906.58</v>
      </c>
      <c r="BI68" s="726">
        <f>BH68/BH$33</f>
        <v>0.7157111583</v>
      </c>
      <c r="BJ68" s="655">
        <f>BJ33-BJ53</f>
        <v>0</v>
      </c>
      <c r="BK68" s="656"/>
      <c r="BL68" s="660">
        <f>BL33-BL53</f>
        <v>12125268.22</v>
      </c>
      <c r="BM68" s="726">
        <f>BL68/BL$33</f>
        <v>0.7165073842</v>
      </c>
      <c r="BN68" s="655">
        <f>BN33-BN53</f>
        <v>9736373.471</v>
      </c>
      <c r="BO68" s="726">
        <f>BN68/BN$33</f>
        <v>0.7154695723</v>
      </c>
      <c r="BP68" s="655">
        <f>BP33-BP53</f>
        <v>0</v>
      </c>
      <c r="BQ68" s="656"/>
      <c r="BR68" s="660">
        <f>BR33-BR53</f>
        <v>10212865.98</v>
      </c>
      <c r="BS68" s="726">
        <f>BR68/BR$33</f>
        <v>0.6876601462</v>
      </c>
      <c r="BT68" s="655">
        <f>BT33-BT53</f>
        <v>10657101.2</v>
      </c>
      <c r="BU68" s="726">
        <f>BT68/BT$33</f>
        <v>0.7154501282</v>
      </c>
      <c r="BV68" s="655">
        <f>BV33-BV53</f>
        <v>0</v>
      </c>
      <c r="BW68" s="656"/>
      <c r="BX68" s="718">
        <f>D68+J68+P68+V68+AB68+AH68+AN68+AT68+AZ68+BF68+BL68+BR68</f>
        <v>115696585.6</v>
      </c>
      <c r="BY68" s="213"/>
      <c r="BZ68" s="213"/>
      <c r="CA68" s="213"/>
      <c r="CB68" s="213"/>
      <c r="CC68" s="213"/>
      <c r="CD68" s="213"/>
      <c r="CE68" s="213"/>
      <c r="CF68" s="213"/>
      <c r="CG68" s="213"/>
      <c r="CH68" s="213"/>
      <c r="CI68" s="213"/>
      <c r="CJ68" s="213"/>
      <c r="CK68" s="213"/>
      <c r="CL68" s="213"/>
      <c r="CM68" s="213"/>
      <c r="CN68" s="213"/>
      <c r="CO68" s="213"/>
      <c r="CP68" s="213"/>
      <c r="CQ68" s="213"/>
      <c r="CR68" s="213"/>
      <c r="CS68" s="213"/>
      <c r="CT68" s="213"/>
      <c r="CU68" s="213"/>
    </row>
    <row r="69" ht="15.75" customHeight="1">
      <c r="A69" s="213"/>
      <c r="B69" s="393"/>
      <c r="C69" s="350"/>
      <c r="D69" s="604"/>
      <c r="E69" s="352"/>
      <c r="F69" s="352"/>
      <c r="G69" s="352"/>
      <c r="H69" s="352"/>
      <c r="I69" s="358"/>
      <c r="J69" s="604"/>
      <c r="K69" s="352"/>
      <c r="L69" s="352"/>
      <c r="M69" s="352"/>
      <c r="N69" s="352"/>
      <c r="O69" s="358"/>
      <c r="P69" s="349"/>
      <c r="Q69" s="352"/>
      <c r="R69" s="352"/>
      <c r="S69" s="352"/>
      <c r="T69" s="352"/>
      <c r="U69" s="358"/>
      <c r="V69" s="604"/>
      <c r="W69" s="352"/>
      <c r="X69" s="352"/>
      <c r="Y69" s="352"/>
      <c r="Z69" s="352"/>
      <c r="AA69" s="358"/>
      <c r="AB69" s="604"/>
      <c r="AC69" s="352"/>
      <c r="AD69" s="357"/>
      <c r="AE69" s="352"/>
      <c r="AF69" s="352"/>
      <c r="AG69" s="358"/>
      <c r="AH69" s="604"/>
      <c r="AI69" s="352"/>
      <c r="AJ69" s="352"/>
      <c r="AK69" s="352"/>
      <c r="AL69" s="352"/>
      <c r="AM69" s="358"/>
      <c r="AN69" s="604"/>
      <c r="AO69" s="352"/>
      <c r="AP69" s="352"/>
      <c r="AQ69" s="352"/>
      <c r="AR69" s="352"/>
      <c r="AS69" s="358"/>
      <c r="AT69" s="604"/>
      <c r="AU69" s="352"/>
      <c r="AV69" s="352"/>
      <c r="AW69" s="352"/>
      <c r="AX69" s="352"/>
      <c r="AY69" s="358"/>
      <c r="AZ69" s="604"/>
      <c r="BA69" s="352"/>
      <c r="BB69" s="352"/>
      <c r="BC69" s="352"/>
      <c r="BD69" s="352"/>
      <c r="BE69" s="358"/>
      <c r="BF69" s="604"/>
      <c r="BG69" s="352"/>
      <c r="BH69" s="352"/>
      <c r="BI69" s="352"/>
      <c r="BJ69" s="352"/>
      <c r="BK69" s="358"/>
      <c r="BL69" s="604"/>
      <c r="BM69" s="352"/>
      <c r="BN69" s="357"/>
      <c r="BO69" s="352"/>
      <c r="BP69" s="352"/>
      <c r="BQ69" s="358"/>
      <c r="BR69" s="604"/>
      <c r="BS69" s="352"/>
      <c r="BT69" s="357"/>
      <c r="BU69" s="352"/>
      <c r="BV69" s="352"/>
      <c r="BW69" s="358"/>
      <c r="BX69" s="213"/>
      <c r="BY69" s="213"/>
      <c r="BZ69" s="213"/>
      <c r="CA69" s="213"/>
      <c r="CB69" s="213"/>
      <c r="CC69" s="213"/>
      <c r="CD69" s="213"/>
      <c r="CE69" s="213"/>
      <c r="CF69" s="213"/>
      <c r="CG69" s="213"/>
      <c r="CH69" s="213"/>
      <c r="CI69" s="213"/>
      <c r="CJ69" s="213"/>
      <c r="CK69" s="213"/>
      <c r="CL69" s="213"/>
      <c r="CM69" s="213"/>
      <c r="CN69" s="213"/>
      <c r="CO69" s="213"/>
      <c r="CP69" s="213"/>
      <c r="CQ69" s="213"/>
      <c r="CR69" s="213"/>
      <c r="CS69" s="213"/>
      <c r="CT69" s="213"/>
      <c r="CU69" s="213"/>
    </row>
    <row r="70" ht="15.75" customHeight="1">
      <c r="A70" s="213"/>
      <c r="B70" s="393"/>
      <c r="C70" s="627" t="s">
        <v>241</v>
      </c>
      <c r="D70" s="604"/>
      <c r="E70" s="352"/>
      <c r="F70" s="352"/>
      <c r="G70" s="352"/>
      <c r="H70" s="352"/>
      <c r="I70" s="358"/>
      <c r="J70" s="604"/>
      <c r="K70" s="352"/>
      <c r="L70" s="352"/>
      <c r="M70" s="352"/>
      <c r="N70" s="352"/>
      <c r="O70" s="358"/>
      <c r="P70" s="349"/>
      <c r="Q70" s="352"/>
      <c r="R70" s="352"/>
      <c r="S70" s="352"/>
      <c r="T70" s="352"/>
      <c r="U70" s="358"/>
      <c r="V70" s="604"/>
      <c r="W70" s="352"/>
      <c r="X70" s="352"/>
      <c r="Y70" s="352"/>
      <c r="Z70" s="352"/>
      <c r="AA70" s="358"/>
      <c r="AB70" s="604"/>
      <c r="AC70" s="352"/>
      <c r="AD70" s="357"/>
      <c r="AE70" s="352"/>
      <c r="AF70" s="352"/>
      <c r="AG70" s="358"/>
      <c r="AH70" s="604"/>
      <c r="AI70" s="352"/>
      <c r="AJ70" s="352"/>
      <c r="AK70" s="352"/>
      <c r="AL70" s="352"/>
      <c r="AM70" s="358"/>
      <c r="AN70" s="604"/>
      <c r="AO70" s="352"/>
      <c r="AP70" s="352"/>
      <c r="AQ70" s="352"/>
      <c r="AR70" s="352"/>
      <c r="AS70" s="358"/>
      <c r="AT70" s="604"/>
      <c r="AU70" s="352"/>
      <c r="AV70" s="352"/>
      <c r="AW70" s="352"/>
      <c r="AX70" s="352"/>
      <c r="AY70" s="358"/>
      <c r="AZ70" s="604"/>
      <c r="BA70" s="352"/>
      <c r="BB70" s="352"/>
      <c r="BC70" s="352"/>
      <c r="BD70" s="352"/>
      <c r="BE70" s="358"/>
      <c r="BF70" s="604"/>
      <c r="BG70" s="352"/>
      <c r="BH70" s="352"/>
      <c r="BI70" s="352"/>
      <c r="BJ70" s="352"/>
      <c r="BK70" s="358"/>
      <c r="BL70" s="604"/>
      <c r="BM70" s="352"/>
      <c r="BN70" s="357"/>
      <c r="BO70" s="352"/>
      <c r="BP70" s="352"/>
      <c r="BQ70" s="358"/>
      <c r="BR70" s="604"/>
      <c r="BS70" s="352"/>
      <c r="BT70" s="357"/>
      <c r="BU70" s="352"/>
      <c r="BV70" s="352"/>
      <c r="BW70" s="358"/>
      <c r="BX70" s="213"/>
      <c r="BY70" s="213"/>
      <c r="BZ70" s="213"/>
      <c r="CA70" s="213"/>
      <c r="CB70" s="213"/>
      <c r="CC70" s="213"/>
      <c r="CD70" s="213"/>
      <c r="CE70" s="213"/>
      <c r="CF70" s="213"/>
      <c r="CG70" s="213"/>
      <c r="CH70" s="213"/>
      <c r="CI70" s="213"/>
      <c r="CJ70" s="213"/>
      <c r="CK70" s="213"/>
      <c r="CL70" s="213"/>
      <c r="CM70" s="213"/>
      <c r="CN70" s="213"/>
      <c r="CO70" s="213"/>
      <c r="CP70" s="213"/>
      <c r="CQ70" s="213"/>
      <c r="CR70" s="213"/>
      <c r="CS70" s="213"/>
      <c r="CT70" s="213"/>
      <c r="CU70" s="213"/>
    </row>
    <row r="71" ht="15.75" customHeight="1">
      <c r="A71" s="213"/>
      <c r="B71" s="393"/>
      <c r="C71" s="350" t="s">
        <v>242</v>
      </c>
      <c r="D71" s="604">
        <v>38275.0</v>
      </c>
      <c r="E71" s="355">
        <f t="shared" ref="E71:E77" si="86">D71/D$33</f>
        <v>0.003081559149</v>
      </c>
      <c r="F71" s="357">
        <f t="shared" ref="F71:F72" si="87">G71*F$33</f>
        <v>58272.39925</v>
      </c>
      <c r="G71" s="355">
        <v>0.0045</v>
      </c>
      <c r="H71" s="352"/>
      <c r="I71" s="358"/>
      <c r="J71" s="604">
        <v>49725.0</v>
      </c>
      <c r="K71" s="355">
        <f t="shared" ref="K71:K77" si="88">J71/J$33</f>
        <v>0.003900617475</v>
      </c>
      <c r="L71" s="357">
        <f t="shared" ref="L71:L72" si="89">M71*L$33</f>
        <v>55575.4469</v>
      </c>
      <c r="M71" s="355">
        <v>0.0045</v>
      </c>
      <c r="N71" s="352"/>
      <c r="O71" s="358"/>
      <c r="P71" s="349">
        <v>40799.0</v>
      </c>
      <c r="Q71" s="355">
        <f t="shared" ref="Q71:Q77" si="90">P71/P$33</f>
        <v>0.003611546042</v>
      </c>
      <c r="R71" s="357">
        <f t="shared" ref="R71:R72" si="91">S71*R$33</f>
        <v>58822.02608</v>
      </c>
      <c r="S71" s="355">
        <v>0.0045</v>
      </c>
      <c r="T71" s="352"/>
      <c r="U71" s="358"/>
      <c r="V71" s="604">
        <v>55734.0</v>
      </c>
      <c r="W71" s="355">
        <f t="shared" ref="W71:W77" si="92">V71/V$33</f>
        <v>0.003973866626</v>
      </c>
      <c r="X71" s="357">
        <f t="shared" ref="X71:X72" si="93">Y71*X$33</f>
        <v>61070.14305</v>
      </c>
      <c r="Y71" s="355">
        <v>0.0045</v>
      </c>
      <c r="Z71" s="352"/>
      <c r="AA71" s="358"/>
      <c r="AB71" s="604">
        <v>54397.0</v>
      </c>
      <c r="AC71" s="355">
        <f t="shared" ref="AC71:AC77" si="94">AB71/AB$33</f>
        <v>0.003841121873</v>
      </c>
      <c r="AD71" s="357">
        <f t="shared" ref="AD71:AD72" si="95">AE71*AD$33</f>
        <v>64710.50545</v>
      </c>
      <c r="AE71" s="355">
        <v>0.0045</v>
      </c>
      <c r="AF71" s="352"/>
      <c r="AG71" s="358"/>
      <c r="AH71" s="604">
        <v>51812.0</v>
      </c>
      <c r="AI71" s="355">
        <f t="shared" ref="AI71:AI77" si="96">AH71/AH$33</f>
        <v>0.004342676204</v>
      </c>
      <c r="AJ71" s="357">
        <f t="shared" ref="AJ71:AJ72" si="97">AK71*AJ$33</f>
        <v>61332.36107</v>
      </c>
      <c r="AK71" s="355">
        <v>0.0045</v>
      </c>
      <c r="AL71" s="352"/>
      <c r="AM71" s="358"/>
      <c r="AN71" s="604">
        <v>70743.0</v>
      </c>
      <c r="AO71" s="355">
        <f t="shared" ref="AO71:AO77" si="98">AN71/AN$33</f>
        <v>0.005581920085</v>
      </c>
      <c r="AP71" s="357">
        <f t="shared" ref="AP71:AP76" si="99">AQ71*AP$33</f>
        <v>67846.23763</v>
      </c>
      <c r="AQ71" s="355">
        <v>0.0045</v>
      </c>
      <c r="AR71" s="352"/>
      <c r="AS71" s="358"/>
      <c r="AT71" s="604">
        <v>58907.0</v>
      </c>
      <c r="AU71" s="355">
        <f t="shared" ref="AU71:AU77" si="100">AT71/AT$33</f>
        <v>0.004622509731</v>
      </c>
      <c r="AV71" s="357">
        <f t="shared" ref="AV71:AV76" si="101">AW71*AV$33</f>
        <v>69888.00553</v>
      </c>
      <c r="AW71" s="355">
        <v>0.0045</v>
      </c>
      <c r="AX71" s="352"/>
      <c r="AY71" s="358"/>
      <c r="AZ71" s="604">
        <v>76611.0</v>
      </c>
      <c r="BA71" s="355">
        <f t="shared" ref="BA71:BA77" si="102">AZ71/AZ$33</f>
        <v>0.004278403156</v>
      </c>
      <c r="BB71" s="357">
        <f t="shared" ref="BB71:BB76" si="103">BC71*BB$33</f>
        <v>75262.82521</v>
      </c>
      <c r="BC71" s="355">
        <v>0.0045</v>
      </c>
      <c r="BD71" s="352"/>
      <c r="BE71" s="358"/>
      <c r="BF71" s="604">
        <v>66011.5</v>
      </c>
      <c r="BG71" s="355">
        <f t="shared" ref="BG71:BG77" si="104">BF71/BF$33</f>
        <v>0.0038223394</v>
      </c>
      <c r="BH71" s="357">
        <f t="shared" ref="BH71:BH76" si="105">BI71*BH$33</f>
        <v>73034.46229</v>
      </c>
      <c r="BI71" s="355">
        <v>0.0045</v>
      </c>
      <c r="BJ71" s="352"/>
      <c r="BK71" s="358"/>
      <c r="BL71" s="396">
        <v>61894.5</v>
      </c>
      <c r="BM71" s="355">
        <f t="shared" ref="BM71:BM77" si="106">BL71/BL$33</f>
        <v>0.003657475075</v>
      </c>
      <c r="BN71" s="357">
        <f t="shared" ref="BN71:BN76" si="107">BO71*BN$33</f>
        <v>61237.6575</v>
      </c>
      <c r="BO71" s="355">
        <v>0.0045</v>
      </c>
      <c r="BP71" s="352"/>
      <c r="BQ71" s="358"/>
      <c r="BR71" s="628">
        <v>62864.34</v>
      </c>
      <c r="BS71" s="355">
        <f t="shared" ref="BS71:BS77" si="108">BR71/BR$33</f>
        <v>0.004232827622</v>
      </c>
      <c r="BT71" s="357">
        <f t="shared" ref="BT71:BT76" si="109">BU71*BT$33</f>
        <v>67030.46587</v>
      </c>
      <c r="BU71" s="355">
        <v>0.0045</v>
      </c>
      <c r="BV71" s="352"/>
      <c r="BW71" s="358"/>
      <c r="BX71" s="213"/>
      <c r="BY71" s="213"/>
      <c r="BZ71" s="213"/>
      <c r="CA71" s="213"/>
      <c r="CB71" s="213"/>
      <c r="CC71" s="213"/>
      <c r="CD71" s="213"/>
      <c r="CE71" s="213"/>
      <c r="CF71" s="213"/>
      <c r="CG71" s="213"/>
      <c r="CH71" s="213"/>
      <c r="CI71" s="213"/>
      <c r="CJ71" s="213"/>
      <c r="CK71" s="213"/>
      <c r="CL71" s="213"/>
      <c r="CM71" s="213"/>
      <c r="CN71" s="213"/>
      <c r="CO71" s="213"/>
      <c r="CP71" s="213"/>
      <c r="CQ71" s="213"/>
      <c r="CR71" s="213"/>
      <c r="CS71" s="213"/>
      <c r="CT71" s="213"/>
      <c r="CU71" s="213"/>
    </row>
    <row r="72" ht="15.75" customHeight="1">
      <c r="A72" s="213"/>
      <c r="B72" s="393"/>
      <c r="C72" s="350" t="s">
        <v>243</v>
      </c>
      <c r="D72" s="604">
        <v>136877.28</v>
      </c>
      <c r="E72" s="355">
        <f t="shared" si="86"/>
        <v>0.01102012892</v>
      </c>
      <c r="F72" s="357">
        <f t="shared" si="87"/>
        <v>126904.3361</v>
      </c>
      <c r="G72" s="355">
        <v>0.0098</v>
      </c>
      <c r="H72" s="352"/>
      <c r="I72" s="358"/>
      <c r="J72" s="604">
        <v>147456.0</v>
      </c>
      <c r="K72" s="355">
        <f t="shared" si="88"/>
        <v>0.01156700755</v>
      </c>
      <c r="L72" s="357">
        <f t="shared" si="89"/>
        <v>121030.9732</v>
      </c>
      <c r="M72" s="355">
        <v>0.0098</v>
      </c>
      <c r="N72" s="352"/>
      <c r="O72" s="358"/>
      <c r="P72" s="349">
        <v>135190.0</v>
      </c>
      <c r="Q72" s="355">
        <f t="shared" si="90"/>
        <v>0.01196708031</v>
      </c>
      <c r="R72" s="357">
        <f t="shared" si="91"/>
        <v>128101.3012</v>
      </c>
      <c r="S72" s="355">
        <v>0.0098</v>
      </c>
      <c r="T72" s="352"/>
      <c r="U72" s="358"/>
      <c r="V72" s="604">
        <v>138866.0</v>
      </c>
      <c r="W72" s="355">
        <f t="shared" si="92"/>
        <v>0.009901226591</v>
      </c>
      <c r="X72" s="357">
        <f t="shared" si="93"/>
        <v>132997.2004</v>
      </c>
      <c r="Y72" s="355">
        <v>0.0098</v>
      </c>
      <c r="Z72" s="352"/>
      <c r="AA72" s="358"/>
      <c r="AB72" s="604">
        <v>141190.0</v>
      </c>
      <c r="AC72" s="355">
        <f t="shared" si="94"/>
        <v>0.009969814461</v>
      </c>
      <c r="AD72" s="357">
        <f t="shared" si="95"/>
        <v>140925.1007</v>
      </c>
      <c r="AE72" s="355">
        <v>0.0098</v>
      </c>
      <c r="AF72" s="352"/>
      <c r="AG72" s="358"/>
      <c r="AH72" s="604">
        <v>121571.96</v>
      </c>
      <c r="AI72" s="355">
        <f t="shared" si="96"/>
        <v>0.01018967918</v>
      </c>
      <c r="AJ72" s="357">
        <f t="shared" si="97"/>
        <v>133568.253</v>
      </c>
      <c r="AK72" s="355">
        <v>0.0098</v>
      </c>
      <c r="AL72" s="352"/>
      <c r="AM72" s="358"/>
      <c r="AN72" s="604">
        <v>150982.0</v>
      </c>
      <c r="AO72" s="355">
        <f t="shared" si="98"/>
        <v>0.01191311449</v>
      </c>
      <c r="AP72" s="357">
        <f t="shared" si="99"/>
        <v>147754.0286</v>
      </c>
      <c r="AQ72" s="355">
        <v>0.0098</v>
      </c>
      <c r="AR72" s="352"/>
      <c r="AS72" s="358"/>
      <c r="AT72" s="604">
        <v>133292.0</v>
      </c>
      <c r="AU72" s="355">
        <f t="shared" si="100"/>
        <v>0.01045959847</v>
      </c>
      <c r="AV72" s="357">
        <f t="shared" si="101"/>
        <v>152200.5454</v>
      </c>
      <c r="AW72" s="355">
        <v>0.0098</v>
      </c>
      <c r="AX72" s="352"/>
      <c r="AY72" s="358"/>
      <c r="AZ72" s="604">
        <v>161084.0</v>
      </c>
      <c r="BA72" s="355">
        <f t="shared" si="102"/>
        <v>0.00899586605</v>
      </c>
      <c r="BB72" s="357">
        <f t="shared" si="103"/>
        <v>163905.7082</v>
      </c>
      <c r="BC72" s="355">
        <v>0.0098</v>
      </c>
      <c r="BD72" s="352"/>
      <c r="BE72" s="358"/>
      <c r="BF72" s="604">
        <v>171578.07</v>
      </c>
      <c r="BG72" s="355">
        <f t="shared" si="104"/>
        <v>0.009935081267</v>
      </c>
      <c r="BH72" s="357">
        <f t="shared" si="105"/>
        <v>159052.829</v>
      </c>
      <c r="BI72" s="355">
        <v>0.0098</v>
      </c>
      <c r="BJ72" s="352"/>
      <c r="BK72" s="358"/>
      <c r="BL72" s="396">
        <v>162534.7</v>
      </c>
      <c r="BM72" s="355">
        <f t="shared" si="106"/>
        <v>0.009604514359</v>
      </c>
      <c r="BN72" s="357">
        <f t="shared" si="107"/>
        <v>133362.0097</v>
      </c>
      <c r="BO72" s="355">
        <v>0.0098</v>
      </c>
      <c r="BP72" s="352"/>
      <c r="BQ72" s="358"/>
      <c r="BR72" s="628">
        <v>46787.16</v>
      </c>
      <c r="BS72" s="355">
        <f t="shared" si="108"/>
        <v>0.003150307204</v>
      </c>
      <c r="BT72" s="357">
        <f t="shared" si="109"/>
        <v>145977.459</v>
      </c>
      <c r="BU72" s="355">
        <v>0.0098</v>
      </c>
      <c r="BV72" s="352"/>
      <c r="BW72" s="358"/>
      <c r="BX72" s="213"/>
      <c r="BY72" s="213"/>
      <c r="BZ72" s="213"/>
      <c r="CA72" s="213"/>
      <c r="CB72" s="213"/>
      <c r="CC72" s="213"/>
      <c r="CD72" s="213"/>
      <c r="CE72" s="213"/>
      <c r="CF72" s="213"/>
      <c r="CG72" s="213"/>
      <c r="CH72" s="213"/>
      <c r="CI72" s="213"/>
      <c r="CJ72" s="213"/>
      <c r="CK72" s="213"/>
      <c r="CL72" s="213"/>
      <c r="CM72" s="213"/>
      <c r="CN72" s="213"/>
      <c r="CO72" s="213"/>
      <c r="CP72" s="213"/>
      <c r="CQ72" s="213"/>
      <c r="CR72" s="213"/>
      <c r="CS72" s="213"/>
      <c r="CT72" s="213"/>
      <c r="CU72" s="213"/>
    </row>
    <row r="73" ht="15.75" customHeight="1">
      <c r="A73" s="213"/>
      <c r="B73" s="393"/>
      <c r="C73" s="350" t="s">
        <v>244</v>
      </c>
      <c r="D73" s="604">
        <f>94185+23114+12868</f>
        <v>130167</v>
      </c>
      <c r="E73" s="355">
        <f t="shared" si="86"/>
        <v>0.01047987746</v>
      </c>
      <c r="F73" s="357">
        <f>G73*F$33+(23309)</f>
        <v>46617.9597</v>
      </c>
      <c r="G73" s="355">
        <v>0.0018</v>
      </c>
      <c r="H73" s="352"/>
      <c r="I73" s="358"/>
      <c r="J73" s="604">
        <v>92118.0</v>
      </c>
      <c r="K73" s="355">
        <f t="shared" si="88"/>
        <v>0.00722608508</v>
      </c>
      <c r="L73" s="357">
        <f>M73*L$33+(22230)</f>
        <v>44460.17876</v>
      </c>
      <c r="M73" s="355">
        <v>0.0018</v>
      </c>
      <c r="N73" s="352"/>
      <c r="O73" s="358"/>
      <c r="P73" s="349">
        <v>86372.0</v>
      </c>
      <c r="Q73" s="355">
        <f t="shared" si="90"/>
        <v>0.007645688735</v>
      </c>
      <c r="R73" s="357">
        <f>S73*R$33+(23529)</f>
        <v>47057.81043</v>
      </c>
      <c r="S73" s="355">
        <v>0.0018</v>
      </c>
      <c r="T73" s="352"/>
      <c r="U73" s="358"/>
      <c r="V73" s="604">
        <v>82821.0</v>
      </c>
      <c r="W73" s="355">
        <f t="shared" si="92"/>
        <v>0.005905185485</v>
      </c>
      <c r="X73" s="357">
        <f>Y73*X$33*2</f>
        <v>48856.11444</v>
      </c>
      <c r="Y73" s="355">
        <v>0.0018</v>
      </c>
      <c r="Z73" s="352"/>
      <c r="AA73" s="358"/>
      <c r="AB73" s="604">
        <v>8855.0</v>
      </c>
      <c r="AC73" s="355">
        <f t="shared" si="94"/>
        <v>0.0006252759193</v>
      </c>
      <c r="AD73" s="357">
        <f>AE73*AD$33*2</f>
        <v>51768.40436</v>
      </c>
      <c r="AE73" s="355">
        <v>0.0018</v>
      </c>
      <c r="AF73" s="352"/>
      <c r="AG73" s="358"/>
      <c r="AH73" s="604">
        <v>48798.0</v>
      </c>
      <c r="AI73" s="355">
        <f t="shared" si="96"/>
        <v>0.004090054686</v>
      </c>
      <c r="AJ73" s="357">
        <f>AK73*AJ$33*2</f>
        <v>49065.88886</v>
      </c>
      <c r="AK73" s="355">
        <v>0.0018</v>
      </c>
      <c r="AL73" s="352"/>
      <c r="AM73" s="358"/>
      <c r="AN73" s="604">
        <v>62966.0</v>
      </c>
      <c r="AO73" s="355">
        <f t="shared" si="98"/>
        <v>0.004968282092</v>
      </c>
      <c r="AP73" s="357">
        <f t="shared" si="99"/>
        <v>27138.49505</v>
      </c>
      <c r="AQ73" s="355">
        <v>0.0018</v>
      </c>
      <c r="AR73" s="352"/>
      <c r="AS73" s="358"/>
      <c r="AT73" s="604">
        <v>66910.0</v>
      </c>
      <c r="AU73" s="355">
        <f t="shared" si="100"/>
        <v>0.005250515662</v>
      </c>
      <c r="AV73" s="357">
        <f t="shared" si="101"/>
        <v>27955.20221</v>
      </c>
      <c r="AW73" s="355">
        <v>0.0018</v>
      </c>
      <c r="AX73" s="352"/>
      <c r="AY73" s="358"/>
      <c r="AZ73" s="604">
        <v>76979.0</v>
      </c>
      <c r="BA73" s="355">
        <f t="shared" si="102"/>
        <v>0.004298954413</v>
      </c>
      <c r="BB73" s="357">
        <f t="shared" si="103"/>
        <v>30105.13008</v>
      </c>
      <c r="BC73" s="355">
        <v>0.0018</v>
      </c>
      <c r="BD73" s="352"/>
      <c r="BE73" s="358"/>
      <c r="BF73" s="604">
        <v>69860.0</v>
      </c>
      <c r="BG73" s="355">
        <f t="shared" si="104"/>
        <v>0.004045183498</v>
      </c>
      <c r="BH73" s="357">
        <f t="shared" si="105"/>
        <v>29213.78491</v>
      </c>
      <c r="BI73" s="355">
        <v>0.0018</v>
      </c>
      <c r="BJ73" s="352"/>
      <c r="BK73" s="358"/>
      <c r="BL73" s="396">
        <v>69271.0</v>
      </c>
      <c r="BM73" s="728">
        <f t="shared" si="106"/>
        <v>0.004093367842</v>
      </c>
      <c r="BN73" s="729">
        <f t="shared" si="107"/>
        <v>24495.063</v>
      </c>
      <c r="BO73" s="728">
        <v>0.0018</v>
      </c>
      <c r="BP73" s="730"/>
      <c r="BQ73" s="731"/>
      <c r="BR73" s="732">
        <v>53945.0</v>
      </c>
      <c r="BS73" s="355">
        <f t="shared" si="108"/>
        <v>0.003632264111</v>
      </c>
      <c r="BT73" s="357">
        <f t="shared" si="109"/>
        <v>26812.18635</v>
      </c>
      <c r="BU73" s="355">
        <v>0.0018</v>
      </c>
      <c r="BV73" s="352"/>
      <c r="BW73" s="358"/>
      <c r="BX73" s="213"/>
      <c r="BY73" s="213"/>
      <c r="BZ73" s="213"/>
      <c r="CA73" s="213"/>
      <c r="CB73" s="213"/>
      <c r="CC73" s="213"/>
      <c r="CD73" s="213"/>
      <c r="CE73" s="213"/>
      <c r="CF73" s="213"/>
      <c r="CG73" s="213"/>
      <c r="CH73" s="213"/>
      <c r="CI73" s="213"/>
      <c r="CJ73" s="213"/>
      <c r="CK73" s="213"/>
      <c r="CL73" s="213"/>
      <c r="CM73" s="213"/>
      <c r="CN73" s="213"/>
      <c r="CO73" s="213"/>
      <c r="CP73" s="213"/>
      <c r="CQ73" s="213"/>
      <c r="CR73" s="213"/>
      <c r="CS73" s="213"/>
      <c r="CT73" s="213"/>
      <c r="CU73" s="213"/>
    </row>
    <row r="74" ht="15.75" customHeight="1">
      <c r="A74" s="213"/>
      <c r="B74" s="393"/>
      <c r="C74" s="350" t="s">
        <v>303</v>
      </c>
      <c r="D74" s="604">
        <v>91268.0</v>
      </c>
      <c r="E74" s="355">
        <f t="shared" si="86"/>
        <v>0.007348079436</v>
      </c>
      <c r="F74" s="357">
        <f>G74*F$33+6000</f>
        <v>66862.28366</v>
      </c>
      <c r="G74" s="355">
        <v>0.0047</v>
      </c>
      <c r="H74" s="352"/>
      <c r="I74" s="358"/>
      <c r="J74" s="604">
        <v>95955.0</v>
      </c>
      <c r="K74" s="355">
        <f t="shared" si="88"/>
        <v>0.007527073903</v>
      </c>
      <c r="L74" s="357">
        <f>M74*L$33</f>
        <v>58045.46676</v>
      </c>
      <c r="M74" s="355">
        <v>0.0047</v>
      </c>
      <c r="N74" s="352"/>
      <c r="O74" s="358"/>
      <c r="P74" s="349">
        <v>20707.0</v>
      </c>
      <c r="Q74" s="355">
        <f t="shared" si="90"/>
        <v>0.001832993061</v>
      </c>
      <c r="R74" s="357">
        <f>S74*R$33</f>
        <v>61436.33835</v>
      </c>
      <c r="S74" s="355">
        <v>0.0047</v>
      </c>
      <c r="T74" s="352"/>
      <c r="U74" s="358"/>
      <c r="V74" s="604">
        <v>63348.0</v>
      </c>
      <c r="W74" s="355">
        <f t="shared" si="92"/>
        <v>0.004516749255</v>
      </c>
      <c r="X74" s="357">
        <f>Y74*X$33</f>
        <v>63784.37163</v>
      </c>
      <c r="Y74" s="355">
        <v>0.0047</v>
      </c>
      <c r="Z74" s="352"/>
      <c r="AA74" s="358"/>
      <c r="AB74" s="604">
        <v>18802.0</v>
      </c>
      <c r="AC74" s="355">
        <f t="shared" si="94"/>
        <v>0.001327660964</v>
      </c>
      <c r="AD74" s="357">
        <f>AE74*AD$33</f>
        <v>67586.52791</v>
      </c>
      <c r="AE74" s="355">
        <v>0.0047</v>
      </c>
      <c r="AF74" s="352"/>
      <c r="AG74" s="358"/>
      <c r="AH74" s="604">
        <v>34597.5</v>
      </c>
      <c r="AI74" s="355">
        <f t="shared" si="96"/>
        <v>0.002899825136</v>
      </c>
      <c r="AJ74" s="357">
        <f>AK74*AJ$33</f>
        <v>64058.24379</v>
      </c>
      <c r="AK74" s="355">
        <v>0.0047</v>
      </c>
      <c r="AL74" s="352"/>
      <c r="AM74" s="358"/>
      <c r="AN74" s="604">
        <v>25437.0</v>
      </c>
      <c r="AO74" s="355">
        <f t="shared" si="98"/>
        <v>0.00200708623</v>
      </c>
      <c r="AP74" s="357">
        <f t="shared" si="99"/>
        <v>70861.62597</v>
      </c>
      <c r="AQ74" s="355">
        <v>0.0047</v>
      </c>
      <c r="AR74" s="352"/>
      <c r="AS74" s="358"/>
      <c r="AT74" s="604">
        <v>217018.0</v>
      </c>
      <c r="AU74" s="355">
        <f t="shared" si="100"/>
        <v>0.01702968776</v>
      </c>
      <c r="AV74" s="357">
        <f t="shared" si="101"/>
        <v>72994.13911</v>
      </c>
      <c r="AW74" s="355">
        <v>0.0047</v>
      </c>
      <c r="AX74" s="352"/>
      <c r="AY74" s="358"/>
      <c r="AZ74" s="604">
        <v>134708.0</v>
      </c>
      <c r="BA74" s="355">
        <f t="shared" si="102"/>
        <v>0.007522877033</v>
      </c>
      <c r="BB74" s="357">
        <f t="shared" si="103"/>
        <v>78607.83967</v>
      </c>
      <c r="BC74" s="355">
        <v>0.0047</v>
      </c>
      <c r="BD74" s="352"/>
      <c r="BE74" s="358"/>
      <c r="BF74" s="604">
        <v>204023.0</v>
      </c>
      <c r="BG74" s="355">
        <f t="shared" si="104"/>
        <v>0.01181377716</v>
      </c>
      <c r="BH74" s="357">
        <f t="shared" si="105"/>
        <v>76280.43839</v>
      </c>
      <c r="BI74" s="355">
        <v>0.0047</v>
      </c>
      <c r="BJ74" s="352"/>
      <c r="BK74" s="358"/>
      <c r="BL74" s="396">
        <v>74723.5</v>
      </c>
      <c r="BM74" s="355">
        <f t="shared" si="106"/>
        <v>0.004415567437</v>
      </c>
      <c r="BN74" s="357">
        <f t="shared" si="107"/>
        <v>63959.33117</v>
      </c>
      <c r="BO74" s="355">
        <v>0.0047</v>
      </c>
      <c r="BP74" s="352"/>
      <c r="BQ74" s="358"/>
      <c r="BR74" s="628">
        <v>143744.0</v>
      </c>
      <c r="BS74" s="355">
        <f t="shared" si="108"/>
        <v>0.009678675918</v>
      </c>
      <c r="BT74" s="357">
        <f t="shared" si="109"/>
        <v>70009.59768</v>
      </c>
      <c r="BU74" s="355">
        <v>0.0047</v>
      </c>
      <c r="BV74" s="352"/>
      <c r="BW74" s="358"/>
      <c r="BX74" s="213"/>
      <c r="BY74" s="213"/>
      <c r="BZ74" s="213"/>
      <c r="CA74" s="213"/>
      <c r="CB74" s="213"/>
      <c r="CC74" s="213"/>
      <c r="CD74" s="213"/>
      <c r="CE74" s="213"/>
      <c r="CF74" s="213"/>
      <c r="CG74" s="213"/>
      <c r="CH74" s="213"/>
      <c r="CI74" s="213"/>
      <c r="CJ74" s="213"/>
      <c r="CK74" s="213"/>
      <c r="CL74" s="213"/>
      <c r="CM74" s="213"/>
      <c r="CN74" s="213"/>
      <c r="CO74" s="213"/>
      <c r="CP74" s="213"/>
      <c r="CQ74" s="213"/>
      <c r="CR74" s="213"/>
      <c r="CS74" s="213"/>
      <c r="CT74" s="213"/>
      <c r="CU74" s="213"/>
    </row>
    <row r="75" ht="15.75" customHeight="1">
      <c r="A75" s="213"/>
      <c r="B75" s="393"/>
      <c r="C75" s="350" t="s">
        <v>246</v>
      </c>
      <c r="D75" s="604"/>
      <c r="E75" s="355">
        <f t="shared" si="86"/>
        <v>0</v>
      </c>
      <c r="F75" s="357"/>
      <c r="G75" s="355">
        <v>0.0018</v>
      </c>
      <c r="H75" s="352"/>
      <c r="I75" s="358"/>
      <c r="J75" s="604"/>
      <c r="K75" s="355">
        <f t="shared" si="88"/>
        <v>0</v>
      </c>
      <c r="L75" s="357"/>
      <c r="M75" s="355">
        <v>0.0018</v>
      </c>
      <c r="N75" s="352"/>
      <c r="O75" s="358"/>
      <c r="P75" s="349">
        <v>0.0</v>
      </c>
      <c r="Q75" s="355">
        <f t="shared" si="90"/>
        <v>0</v>
      </c>
      <c r="R75" s="357"/>
      <c r="S75" s="355">
        <v>0.0018</v>
      </c>
      <c r="T75" s="352"/>
      <c r="U75" s="358"/>
      <c r="V75" s="604">
        <v>0.0</v>
      </c>
      <c r="W75" s="355">
        <f t="shared" si="92"/>
        <v>0</v>
      </c>
      <c r="X75" s="357"/>
      <c r="Y75" s="355">
        <v>0.0018</v>
      </c>
      <c r="Z75" s="352"/>
      <c r="AA75" s="358"/>
      <c r="AB75" s="604"/>
      <c r="AC75" s="355">
        <f t="shared" si="94"/>
        <v>0</v>
      </c>
      <c r="AD75" s="357"/>
      <c r="AE75" s="355">
        <v>0.0018</v>
      </c>
      <c r="AF75" s="352"/>
      <c r="AG75" s="358"/>
      <c r="AH75" s="604"/>
      <c r="AI75" s="355">
        <f t="shared" si="96"/>
        <v>0</v>
      </c>
      <c r="AJ75" s="357"/>
      <c r="AK75" s="355">
        <v>0.0018</v>
      </c>
      <c r="AL75" s="352"/>
      <c r="AM75" s="358"/>
      <c r="AN75" s="604">
        <v>0.0</v>
      </c>
      <c r="AO75" s="355">
        <f t="shared" si="98"/>
        <v>0</v>
      </c>
      <c r="AP75" s="357">
        <f t="shared" si="99"/>
        <v>27138.49505</v>
      </c>
      <c r="AQ75" s="355">
        <v>0.0018</v>
      </c>
      <c r="AR75" s="352"/>
      <c r="AS75" s="358"/>
      <c r="AT75" s="604"/>
      <c r="AU75" s="355">
        <f t="shared" si="100"/>
        <v>0</v>
      </c>
      <c r="AV75" s="357">
        <f t="shared" si="101"/>
        <v>27955.20221</v>
      </c>
      <c r="AW75" s="355">
        <v>0.0018</v>
      </c>
      <c r="AX75" s="352"/>
      <c r="AY75" s="358"/>
      <c r="AZ75" s="604">
        <v>0.0</v>
      </c>
      <c r="BA75" s="355">
        <f t="shared" si="102"/>
        <v>0</v>
      </c>
      <c r="BB75" s="357">
        <f t="shared" si="103"/>
        <v>30105.13008</v>
      </c>
      <c r="BC75" s="355">
        <v>0.0018</v>
      </c>
      <c r="BD75" s="352"/>
      <c r="BE75" s="358"/>
      <c r="BF75" s="604">
        <v>0.0</v>
      </c>
      <c r="BG75" s="355">
        <f t="shared" si="104"/>
        <v>0</v>
      </c>
      <c r="BH75" s="357">
        <f t="shared" si="105"/>
        <v>29213.78491</v>
      </c>
      <c r="BI75" s="355">
        <v>0.0018</v>
      </c>
      <c r="BJ75" s="352"/>
      <c r="BK75" s="358"/>
      <c r="BL75" s="396">
        <v>69271.0</v>
      </c>
      <c r="BM75" s="355">
        <f t="shared" si="106"/>
        <v>0.004093367842</v>
      </c>
      <c r="BN75" s="357">
        <f t="shared" si="107"/>
        <v>24495.063</v>
      </c>
      <c r="BO75" s="355">
        <v>0.0018</v>
      </c>
      <c r="BP75" s="352"/>
      <c r="BQ75" s="358"/>
      <c r="BR75" s="628">
        <v>53945.0</v>
      </c>
      <c r="BS75" s="355">
        <f t="shared" si="108"/>
        <v>0.003632264111</v>
      </c>
      <c r="BT75" s="357">
        <f t="shared" si="109"/>
        <v>26812.18635</v>
      </c>
      <c r="BU75" s="355">
        <v>0.0018</v>
      </c>
      <c r="BV75" s="352"/>
      <c r="BW75" s="358"/>
      <c r="BX75" s="213"/>
      <c r="BY75" s="213"/>
      <c r="BZ75" s="213"/>
      <c r="CA75" s="213"/>
      <c r="CB75" s="213"/>
      <c r="CC75" s="213"/>
      <c r="CD75" s="213"/>
      <c r="CE75" s="213"/>
      <c r="CF75" s="213"/>
      <c r="CG75" s="213"/>
      <c r="CH75" s="213"/>
      <c r="CI75" s="213"/>
      <c r="CJ75" s="213"/>
      <c r="CK75" s="213"/>
      <c r="CL75" s="213"/>
      <c r="CM75" s="213"/>
      <c r="CN75" s="213"/>
      <c r="CO75" s="213"/>
      <c r="CP75" s="213"/>
      <c r="CQ75" s="213"/>
      <c r="CR75" s="213"/>
      <c r="CS75" s="213"/>
      <c r="CT75" s="213"/>
      <c r="CU75" s="213"/>
    </row>
    <row r="76" ht="15.75" customHeight="1">
      <c r="A76" s="213"/>
      <c r="B76" s="403"/>
      <c r="C76" s="362" t="s">
        <v>247</v>
      </c>
      <c r="D76" s="619">
        <f>6287.5+5000</f>
        <v>11287.5</v>
      </c>
      <c r="E76" s="404">
        <f t="shared" si="86"/>
        <v>0.0009087680965</v>
      </c>
      <c r="F76" s="367">
        <f>G76*F$33</f>
        <v>6474.711027</v>
      </c>
      <c r="G76" s="404">
        <v>5.0E-4</v>
      </c>
      <c r="H76" s="364"/>
      <c r="I76" s="368"/>
      <c r="J76" s="619">
        <v>15594.0</v>
      </c>
      <c r="K76" s="404">
        <f t="shared" si="88"/>
        <v>0.001223252467</v>
      </c>
      <c r="L76" s="367">
        <f>M76*L$33</f>
        <v>6175.049655</v>
      </c>
      <c r="M76" s="404">
        <v>5.0E-4</v>
      </c>
      <c r="N76" s="364"/>
      <c r="O76" s="368"/>
      <c r="P76" s="361">
        <v>0.0</v>
      </c>
      <c r="Q76" s="404">
        <f t="shared" si="90"/>
        <v>0</v>
      </c>
      <c r="R76" s="367">
        <f>S76*R$33</f>
        <v>6535.780675</v>
      </c>
      <c r="S76" s="404">
        <v>5.0E-4</v>
      </c>
      <c r="T76" s="364"/>
      <c r="U76" s="368"/>
      <c r="V76" s="619">
        <v>1800.0</v>
      </c>
      <c r="W76" s="404">
        <f t="shared" si="92"/>
        <v>0.0001283410472</v>
      </c>
      <c r="X76" s="367">
        <f>Y76*X$33</f>
        <v>6785.57145</v>
      </c>
      <c r="Y76" s="404">
        <v>5.0E-4</v>
      </c>
      <c r="Z76" s="364"/>
      <c r="AA76" s="368"/>
      <c r="AB76" s="619"/>
      <c r="AC76" s="404">
        <f t="shared" si="94"/>
        <v>0</v>
      </c>
      <c r="AD76" s="367">
        <f>AE76*AD$33</f>
        <v>7190.056161</v>
      </c>
      <c r="AE76" s="404">
        <v>5.0E-4</v>
      </c>
      <c r="AF76" s="364"/>
      <c r="AG76" s="368"/>
      <c r="AH76" s="619">
        <v>1200.0</v>
      </c>
      <c r="AI76" s="404">
        <f t="shared" si="96"/>
        <v>0.0001005792373</v>
      </c>
      <c r="AJ76" s="367">
        <f>AK76*AJ$33</f>
        <v>6814.706786</v>
      </c>
      <c r="AK76" s="404">
        <v>5.0E-4</v>
      </c>
      <c r="AL76" s="364"/>
      <c r="AM76" s="368"/>
      <c r="AN76" s="619">
        <v>1000.0</v>
      </c>
      <c r="AO76" s="404">
        <f t="shared" si="98"/>
        <v>0.00007890420373</v>
      </c>
      <c r="AP76" s="367">
        <f t="shared" si="99"/>
        <v>7538.470848</v>
      </c>
      <c r="AQ76" s="404">
        <v>5.0E-4</v>
      </c>
      <c r="AR76" s="364"/>
      <c r="AS76" s="368"/>
      <c r="AT76" s="619">
        <v>4400.0</v>
      </c>
      <c r="AU76" s="404">
        <f t="shared" si="100"/>
        <v>0.0003452737844</v>
      </c>
      <c r="AV76" s="367">
        <f t="shared" si="101"/>
        <v>7765.333948</v>
      </c>
      <c r="AW76" s="404">
        <v>5.0E-4</v>
      </c>
      <c r="AX76" s="364"/>
      <c r="AY76" s="368"/>
      <c r="AZ76" s="619">
        <v>0.0</v>
      </c>
      <c r="BA76" s="404">
        <f t="shared" si="102"/>
        <v>0</v>
      </c>
      <c r="BB76" s="367">
        <f t="shared" si="103"/>
        <v>8362.536135</v>
      </c>
      <c r="BC76" s="404">
        <v>5.0E-4</v>
      </c>
      <c r="BD76" s="364"/>
      <c r="BE76" s="368"/>
      <c r="BF76" s="619">
        <v>0.0</v>
      </c>
      <c r="BG76" s="404">
        <f t="shared" si="104"/>
        <v>0</v>
      </c>
      <c r="BH76" s="367">
        <f t="shared" si="105"/>
        <v>8114.940254</v>
      </c>
      <c r="BI76" s="404">
        <v>5.0E-4</v>
      </c>
      <c r="BJ76" s="364"/>
      <c r="BK76" s="368"/>
      <c r="BL76" s="515">
        <v>0.0</v>
      </c>
      <c r="BM76" s="404">
        <f t="shared" si="106"/>
        <v>0</v>
      </c>
      <c r="BN76" s="367">
        <f t="shared" si="107"/>
        <v>6804.184167</v>
      </c>
      <c r="BO76" s="404">
        <v>5.0E-4</v>
      </c>
      <c r="BP76" s="364"/>
      <c r="BQ76" s="368"/>
      <c r="BR76" s="720">
        <f>2312</f>
        <v>2312</v>
      </c>
      <c r="BS76" s="404">
        <f t="shared" si="108"/>
        <v>0.0001556732714</v>
      </c>
      <c r="BT76" s="367">
        <f t="shared" si="109"/>
        <v>7447.829541</v>
      </c>
      <c r="BU76" s="404">
        <v>5.0E-4</v>
      </c>
      <c r="BV76" s="364"/>
      <c r="BW76" s="368"/>
      <c r="BX76" s="213"/>
      <c r="BY76" s="213"/>
      <c r="BZ76" s="213"/>
      <c r="CA76" s="213"/>
      <c r="CB76" s="213"/>
      <c r="CC76" s="213"/>
      <c r="CD76" s="213"/>
      <c r="CE76" s="213"/>
      <c r="CF76" s="213"/>
      <c r="CG76" s="213"/>
      <c r="CH76" s="213"/>
      <c r="CI76" s="213"/>
      <c r="CJ76" s="213"/>
      <c r="CK76" s="213"/>
      <c r="CL76" s="213"/>
      <c r="CM76" s="213"/>
      <c r="CN76" s="213"/>
      <c r="CO76" s="213"/>
      <c r="CP76" s="213"/>
      <c r="CQ76" s="213"/>
      <c r="CR76" s="213"/>
      <c r="CS76" s="213"/>
      <c r="CT76" s="213"/>
      <c r="CU76" s="213"/>
    </row>
    <row r="77" ht="15.75" customHeight="1">
      <c r="A77" s="213"/>
      <c r="B77" s="407"/>
      <c r="C77" s="372" t="s">
        <v>248</v>
      </c>
      <c r="D77" s="600">
        <f>SUM(D71:D76)</f>
        <v>407874.78</v>
      </c>
      <c r="E77" s="374">
        <f t="shared" si="86"/>
        <v>0.03283841306</v>
      </c>
      <c r="F77" s="377">
        <f>SUM(F71:F76)</f>
        <v>305131.6898</v>
      </c>
      <c r="G77" s="374">
        <f>F77/F$33</f>
        <v>0.02356334425</v>
      </c>
      <c r="H77" s="408">
        <f>SUM(H71:H76)</f>
        <v>0</v>
      </c>
      <c r="I77" s="378"/>
      <c r="J77" s="600">
        <f>SUM(J71:J76)</f>
        <v>400848</v>
      </c>
      <c r="K77" s="374">
        <f t="shared" si="88"/>
        <v>0.03144403648</v>
      </c>
      <c r="L77" s="377">
        <f>SUM(L71:L76)</f>
        <v>285287.1153</v>
      </c>
      <c r="M77" s="374">
        <f>L77/L$33</f>
        <v>0.02309998553</v>
      </c>
      <c r="N77" s="408">
        <f>SUM(N71:N76)</f>
        <v>0</v>
      </c>
      <c r="O77" s="378"/>
      <c r="P77" s="371">
        <f>SUM(P71:P76)</f>
        <v>283068</v>
      </c>
      <c r="Q77" s="374">
        <f t="shared" si="90"/>
        <v>0.02505730814</v>
      </c>
      <c r="R77" s="377">
        <f>SUM(R71:R76)</f>
        <v>301953.2568</v>
      </c>
      <c r="S77" s="374">
        <f>R77/R$33</f>
        <v>0.0231000145</v>
      </c>
      <c r="T77" s="408">
        <f>SUM(T71:T76)</f>
        <v>0</v>
      </c>
      <c r="U77" s="378"/>
      <c r="V77" s="600">
        <f>SUM(V71:V76)</f>
        <v>342569</v>
      </c>
      <c r="W77" s="374">
        <f t="shared" si="92"/>
        <v>0.024425369</v>
      </c>
      <c r="X77" s="377">
        <f>SUM(X71:X76)</f>
        <v>313493.401</v>
      </c>
      <c r="Y77" s="374">
        <f>X77/X$33</f>
        <v>0.0231</v>
      </c>
      <c r="Z77" s="408">
        <f>SUM(Z71:Z76)</f>
        <v>0</v>
      </c>
      <c r="AA77" s="378"/>
      <c r="AB77" s="600">
        <f>SUM(AB71:AB76)</f>
        <v>223244</v>
      </c>
      <c r="AC77" s="374">
        <f t="shared" si="94"/>
        <v>0.01576387322</v>
      </c>
      <c r="AD77" s="377">
        <f>SUM(AD71:AD76)</f>
        <v>332180.5946</v>
      </c>
      <c r="AE77" s="374">
        <f>AD77/AD$33</f>
        <v>0.0231</v>
      </c>
      <c r="AF77" s="408">
        <f>SUM(AF71:AF76)</f>
        <v>0</v>
      </c>
      <c r="AG77" s="378"/>
      <c r="AH77" s="600">
        <f>SUM(AH71:AH76)</f>
        <v>257979.46</v>
      </c>
      <c r="AI77" s="374">
        <f t="shared" si="96"/>
        <v>0.02162281445</v>
      </c>
      <c r="AJ77" s="377">
        <f>SUM(AJ71:AJ76)</f>
        <v>314839.4535</v>
      </c>
      <c r="AK77" s="374">
        <f>AJ77/AJ$33</f>
        <v>0.0231</v>
      </c>
      <c r="AL77" s="408">
        <f>SUM(AL71:AL76)</f>
        <v>0</v>
      </c>
      <c r="AM77" s="378"/>
      <c r="AN77" s="600">
        <f>SUM(AN71:AN76)</f>
        <v>311128</v>
      </c>
      <c r="AO77" s="374">
        <f t="shared" si="98"/>
        <v>0.0245493071</v>
      </c>
      <c r="AP77" s="377">
        <f>SUM(AP71:AP76)</f>
        <v>348277.3532</v>
      </c>
      <c r="AQ77" s="374">
        <f>AP77/AP$33</f>
        <v>0.0231</v>
      </c>
      <c r="AR77" s="408">
        <f>SUM(AR71:AR76)</f>
        <v>0</v>
      </c>
      <c r="AS77" s="378"/>
      <c r="AT77" s="600">
        <f>SUM(AT71:AT76)</f>
        <v>480527</v>
      </c>
      <c r="AU77" s="374">
        <f t="shared" si="100"/>
        <v>0.03770758541</v>
      </c>
      <c r="AV77" s="377">
        <f>SUM(AV71:AV76)</f>
        <v>358758.4284</v>
      </c>
      <c r="AW77" s="374">
        <f>AV77/AV$33</f>
        <v>0.0231</v>
      </c>
      <c r="AX77" s="408">
        <f>SUM(AX71:AX76)</f>
        <v>0</v>
      </c>
      <c r="AY77" s="378"/>
      <c r="AZ77" s="600">
        <f>SUM(AZ71:AZ76)</f>
        <v>449382</v>
      </c>
      <c r="BA77" s="374">
        <f t="shared" si="102"/>
        <v>0.02509610065</v>
      </c>
      <c r="BB77" s="377">
        <f>SUM(BB71:BB76)</f>
        <v>386349.1694</v>
      </c>
      <c r="BC77" s="374">
        <f>BB77/BB$33</f>
        <v>0.0231</v>
      </c>
      <c r="BD77" s="408">
        <f>SUM(BD71:BD76)</f>
        <v>0</v>
      </c>
      <c r="BE77" s="378"/>
      <c r="BF77" s="600">
        <f>SUM(BF71:BF76)</f>
        <v>511472.57</v>
      </c>
      <c r="BG77" s="374">
        <f t="shared" si="104"/>
        <v>0.02961638133</v>
      </c>
      <c r="BH77" s="377">
        <f>SUM(BH71:BH76)</f>
        <v>374910.2397</v>
      </c>
      <c r="BI77" s="374">
        <f>BH77/BH$33</f>
        <v>0.0231</v>
      </c>
      <c r="BJ77" s="408">
        <f>SUM(BJ71:BJ76)</f>
        <v>0</v>
      </c>
      <c r="BK77" s="378"/>
      <c r="BL77" s="373">
        <f>SUM(BL71:BL76)</f>
        <v>437694.7</v>
      </c>
      <c r="BM77" s="374">
        <f t="shared" si="106"/>
        <v>0.02586429255</v>
      </c>
      <c r="BN77" s="377">
        <f>SUM(BN71:BN76)</f>
        <v>314353.3085</v>
      </c>
      <c r="BO77" s="374">
        <f>BN77/BN$33</f>
        <v>0.0231</v>
      </c>
      <c r="BP77" s="408">
        <f>SUM(BP71:BP76)</f>
        <v>0</v>
      </c>
      <c r="BQ77" s="378"/>
      <c r="BR77" s="600">
        <f>SUM(BR71:BR76)</f>
        <v>363597.5</v>
      </c>
      <c r="BS77" s="374">
        <f t="shared" si="108"/>
        <v>0.02448201224</v>
      </c>
      <c r="BT77" s="377">
        <f>SUM(BT71:BT76)</f>
        <v>344089.7248</v>
      </c>
      <c r="BU77" s="374">
        <f>BT77/BT$33</f>
        <v>0.0231</v>
      </c>
      <c r="BV77" s="408">
        <f>SUM(BV71:BV76)</f>
        <v>0</v>
      </c>
      <c r="BW77" s="378"/>
      <c r="BX77" s="718">
        <f>D77+J77+P77+V77+AB77+AH77+AN77+AT77+AZ77+BF77+BL77+BR77</f>
        <v>4469385.01</v>
      </c>
      <c r="BY77" s="216"/>
      <c r="BZ77" s="216"/>
      <c r="CA77" s="216"/>
      <c r="CB77" s="216"/>
      <c r="CC77" s="216"/>
      <c r="CD77" s="216"/>
      <c r="CE77" s="216"/>
      <c r="CF77" s="216"/>
      <c r="CG77" s="216"/>
      <c r="CH77" s="216"/>
      <c r="CI77" s="216"/>
      <c r="CJ77" s="216"/>
      <c r="CK77" s="216"/>
      <c r="CL77" s="216"/>
      <c r="CM77" s="216"/>
      <c r="CN77" s="216"/>
      <c r="CO77" s="216"/>
      <c r="CP77" s="216"/>
      <c r="CQ77" s="216"/>
      <c r="CR77" s="216"/>
      <c r="CS77" s="216"/>
      <c r="CT77" s="216"/>
      <c r="CU77" s="216"/>
    </row>
    <row r="78" ht="15.75" hidden="1" customHeight="1">
      <c r="A78" s="213"/>
      <c r="B78" s="444"/>
      <c r="C78" s="383"/>
      <c r="D78" s="708"/>
      <c r="E78" s="440"/>
      <c r="F78" s="440"/>
      <c r="G78" s="440"/>
      <c r="H78" s="440"/>
      <c r="I78" s="389"/>
      <c r="J78" s="708"/>
      <c r="K78" s="440"/>
      <c r="L78" s="440"/>
      <c r="M78" s="440"/>
      <c r="N78" s="440"/>
      <c r="O78" s="389"/>
      <c r="P78" s="382"/>
      <c r="Q78" s="440"/>
      <c r="R78" s="440"/>
      <c r="S78" s="440"/>
      <c r="T78" s="440"/>
      <c r="U78" s="389"/>
      <c r="V78" s="708"/>
      <c r="W78" s="440"/>
      <c r="X78" s="440"/>
      <c r="Y78" s="440"/>
      <c r="Z78" s="440"/>
      <c r="AA78" s="389"/>
      <c r="AB78" s="708"/>
      <c r="AC78" s="440"/>
      <c r="AD78" s="388"/>
      <c r="AE78" s="440"/>
      <c r="AF78" s="440"/>
      <c r="AG78" s="389"/>
      <c r="AH78" s="708"/>
      <c r="AI78" s="440"/>
      <c r="AJ78" s="440"/>
      <c r="AK78" s="440"/>
      <c r="AL78" s="440"/>
      <c r="AM78" s="389"/>
      <c r="AN78" s="708"/>
      <c r="AO78" s="440"/>
      <c r="AP78" s="440"/>
      <c r="AQ78" s="440"/>
      <c r="AR78" s="440"/>
      <c r="AS78" s="389"/>
      <c r="AT78" s="708"/>
      <c r="AU78" s="440"/>
      <c r="AV78" s="440"/>
      <c r="AW78" s="440"/>
      <c r="AX78" s="440"/>
      <c r="AY78" s="389"/>
      <c r="AZ78" s="708"/>
      <c r="BA78" s="440"/>
      <c r="BB78" s="440"/>
      <c r="BC78" s="440"/>
      <c r="BD78" s="440"/>
      <c r="BE78" s="389"/>
      <c r="BF78" s="708"/>
      <c r="BG78" s="440"/>
      <c r="BH78" s="440"/>
      <c r="BI78" s="440"/>
      <c r="BJ78" s="440"/>
      <c r="BK78" s="389"/>
      <c r="BL78" s="708"/>
      <c r="BM78" s="440"/>
      <c r="BN78" s="388"/>
      <c r="BO78" s="440"/>
      <c r="BP78" s="440"/>
      <c r="BQ78" s="389"/>
      <c r="BR78" s="721"/>
      <c r="BS78" s="440"/>
      <c r="BT78" s="388"/>
      <c r="BU78" s="440"/>
      <c r="BV78" s="440"/>
      <c r="BW78" s="389"/>
      <c r="BX78" s="213"/>
      <c r="BY78" s="213"/>
      <c r="BZ78" s="213"/>
      <c r="CA78" s="213"/>
      <c r="CB78" s="213"/>
      <c r="CC78" s="213"/>
      <c r="CD78" s="213"/>
      <c r="CE78" s="213"/>
      <c r="CF78" s="213"/>
      <c r="CG78" s="213"/>
      <c r="CH78" s="213"/>
      <c r="CI78" s="213"/>
      <c r="CJ78" s="213"/>
      <c r="CK78" s="213"/>
      <c r="CL78" s="213"/>
      <c r="CM78" s="213"/>
      <c r="CN78" s="213"/>
      <c r="CO78" s="213"/>
      <c r="CP78" s="213"/>
      <c r="CQ78" s="213"/>
      <c r="CR78" s="213"/>
      <c r="CS78" s="213"/>
      <c r="CT78" s="213"/>
      <c r="CU78" s="213"/>
    </row>
    <row r="79" ht="15.75" hidden="1" customHeight="1">
      <c r="A79" s="213"/>
      <c r="B79" s="393"/>
      <c r="C79" s="350"/>
      <c r="D79" s="604"/>
      <c r="E79" s="355"/>
      <c r="F79" s="357"/>
      <c r="G79" s="357"/>
      <c r="H79" s="357"/>
      <c r="I79" s="533"/>
      <c r="J79" s="604"/>
      <c r="K79" s="355"/>
      <c r="L79" s="352"/>
      <c r="M79" s="352"/>
      <c r="N79" s="352"/>
      <c r="O79" s="358"/>
      <c r="P79" s="349"/>
      <c r="Q79" s="352"/>
      <c r="R79" s="352"/>
      <c r="S79" s="352"/>
      <c r="T79" s="352"/>
      <c r="U79" s="358"/>
      <c r="V79" s="604"/>
      <c r="W79" s="352"/>
      <c r="X79" s="352"/>
      <c r="Y79" s="352"/>
      <c r="Z79" s="352"/>
      <c r="AA79" s="358"/>
      <c r="AB79" s="604"/>
      <c r="AC79" s="352"/>
      <c r="AD79" s="357"/>
      <c r="AE79" s="352"/>
      <c r="AF79" s="352"/>
      <c r="AG79" s="358"/>
      <c r="AH79" s="604"/>
      <c r="AI79" s="352"/>
      <c r="AJ79" s="352"/>
      <c r="AK79" s="352"/>
      <c r="AL79" s="352"/>
      <c r="AM79" s="358"/>
      <c r="AN79" s="604"/>
      <c r="AO79" s="352"/>
      <c r="AP79" s="352"/>
      <c r="AQ79" s="352"/>
      <c r="AR79" s="352"/>
      <c r="AS79" s="358"/>
      <c r="AT79" s="604"/>
      <c r="AU79" s="352"/>
      <c r="AV79" s="352"/>
      <c r="AW79" s="352"/>
      <c r="AX79" s="352"/>
      <c r="AY79" s="358"/>
      <c r="AZ79" s="604"/>
      <c r="BA79" s="352"/>
      <c r="BB79" s="352"/>
      <c r="BC79" s="352"/>
      <c r="BD79" s="352"/>
      <c r="BE79" s="358"/>
      <c r="BF79" s="604"/>
      <c r="BG79" s="352"/>
      <c r="BH79" s="352"/>
      <c r="BI79" s="352"/>
      <c r="BJ79" s="352"/>
      <c r="BK79" s="358"/>
      <c r="BL79" s="604"/>
      <c r="BM79" s="352"/>
      <c r="BN79" s="357"/>
      <c r="BO79" s="352"/>
      <c r="BP79" s="352"/>
      <c r="BQ79" s="358"/>
      <c r="BR79" s="604"/>
      <c r="BS79" s="352"/>
      <c r="BT79" s="357"/>
      <c r="BU79" s="352"/>
      <c r="BV79" s="352"/>
      <c r="BW79" s="358"/>
      <c r="BX79" s="213"/>
      <c r="BY79" s="213"/>
      <c r="BZ79" s="213"/>
      <c r="CA79" s="213"/>
      <c r="CB79" s="213"/>
      <c r="CC79" s="213"/>
      <c r="CD79" s="213"/>
      <c r="CE79" s="213"/>
      <c r="CF79" s="213"/>
      <c r="CG79" s="213"/>
      <c r="CH79" s="213"/>
      <c r="CI79" s="213"/>
      <c r="CJ79" s="213"/>
      <c r="CK79" s="213"/>
      <c r="CL79" s="213"/>
      <c r="CM79" s="213"/>
      <c r="CN79" s="213"/>
      <c r="CO79" s="213"/>
      <c r="CP79" s="213"/>
      <c r="CQ79" s="213"/>
      <c r="CR79" s="213"/>
      <c r="CS79" s="213"/>
      <c r="CT79" s="213"/>
      <c r="CU79" s="213"/>
    </row>
    <row r="80" ht="15.75" hidden="1" customHeight="1">
      <c r="A80" s="213"/>
      <c r="B80" s="393"/>
      <c r="C80" s="350"/>
      <c r="D80" s="604"/>
      <c r="E80" s="355"/>
      <c r="F80" s="357"/>
      <c r="G80" s="357"/>
      <c r="H80" s="357"/>
      <c r="I80" s="533"/>
      <c r="J80" s="604"/>
      <c r="K80" s="355"/>
      <c r="L80" s="352"/>
      <c r="M80" s="352"/>
      <c r="N80" s="352"/>
      <c r="O80" s="358"/>
      <c r="P80" s="349"/>
      <c r="Q80" s="352"/>
      <c r="R80" s="352"/>
      <c r="S80" s="352"/>
      <c r="T80" s="352"/>
      <c r="U80" s="358"/>
      <c r="V80" s="604"/>
      <c r="W80" s="352"/>
      <c r="X80" s="352"/>
      <c r="Y80" s="352"/>
      <c r="Z80" s="352"/>
      <c r="AA80" s="358"/>
      <c r="AB80" s="604"/>
      <c r="AC80" s="352"/>
      <c r="AD80" s="357"/>
      <c r="AE80" s="352"/>
      <c r="AF80" s="352"/>
      <c r="AG80" s="358"/>
      <c r="AH80" s="604"/>
      <c r="AI80" s="352"/>
      <c r="AJ80" s="352"/>
      <c r="AK80" s="352"/>
      <c r="AL80" s="352"/>
      <c r="AM80" s="358"/>
      <c r="AN80" s="604"/>
      <c r="AO80" s="352"/>
      <c r="AP80" s="352"/>
      <c r="AQ80" s="352"/>
      <c r="AR80" s="352"/>
      <c r="AS80" s="358"/>
      <c r="AT80" s="604"/>
      <c r="AU80" s="352"/>
      <c r="AV80" s="352"/>
      <c r="AW80" s="352"/>
      <c r="AX80" s="352"/>
      <c r="AY80" s="358"/>
      <c r="AZ80" s="604"/>
      <c r="BA80" s="352"/>
      <c r="BB80" s="352"/>
      <c r="BC80" s="352"/>
      <c r="BD80" s="352"/>
      <c r="BE80" s="358"/>
      <c r="BF80" s="604"/>
      <c r="BG80" s="352"/>
      <c r="BH80" s="352"/>
      <c r="BI80" s="352"/>
      <c r="BJ80" s="352"/>
      <c r="BK80" s="358"/>
      <c r="BL80" s="604"/>
      <c r="BM80" s="352"/>
      <c r="BN80" s="357"/>
      <c r="BO80" s="352"/>
      <c r="BP80" s="352"/>
      <c r="BQ80" s="358"/>
      <c r="BR80" s="604"/>
      <c r="BS80" s="352"/>
      <c r="BT80" s="357"/>
      <c r="BU80" s="352"/>
      <c r="BV80" s="352"/>
      <c r="BW80" s="358"/>
      <c r="BX80" s="213"/>
      <c r="BY80" s="213"/>
      <c r="BZ80" s="213"/>
      <c r="CA80" s="213"/>
      <c r="CB80" s="213"/>
      <c r="CC80" s="213"/>
      <c r="CD80" s="213"/>
      <c r="CE80" s="213"/>
      <c r="CF80" s="213"/>
      <c r="CG80" s="213"/>
      <c r="CH80" s="213"/>
      <c r="CI80" s="213"/>
      <c r="CJ80" s="213"/>
      <c r="CK80" s="213"/>
      <c r="CL80" s="213"/>
      <c r="CM80" s="213"/>
      <c r="CN80" s="213"/>
      <c r="CO80" s="213"/>
      <c r="CP80" s="213"/>
      <c r="CQ80" s="213"/>
      <c r="CR80" s="213"/>
      <c r="CS80" s="213"/>
      <c r="CT80" s="213"/>
      <c r="CU80" s="213"/>
    </row>
    <row r="81" ht="15.75" hidden="1" customHeight="1">
      <c r="A81" s="213"/>
      <c r="B81" s="393"/>
      <c r="C81" s="350"/>
      <c r="D81" s="604"/>
      <c r="E81" s="355"/>
      <c r="F81" s="357"/>
      <c r="G81" s="357"/>
      <c r="H81" s="357"/>
      <c r="I81" s="533"/>
      <c r="J81" s="604"/>
      <c r="K81" s="355"/>
      <c r="L81" s="352"/>
      <c r="M81" s="352"/>
      <c r="N81" s="352"/>
      <c r="O81" s="358"/>
      <c r="P81" s="349"/>
      <c r="Q81" s="352"/>
      <c r="R81" s="352"/>
      <c r="S81" s="352"/>
      <c r="T81" s="352"/>
      <c r="U81" s="358"/>
      <c r="V81" s="604"/>
      <c r="W81" s="352"/>
      <c r="X81" s="352"/>
      <c r="Y81" s="352"/>
      <c r="Z81" s="352"/>
      <c r="AA81" s="358"/>
      <c r="AB81" s="604"/>
      <c r="AC81" s="352"/>
      <c r="AD81" s="357"/>
      <c r="AE81" s="352"/>
      <c r="AF81" s="352"/>
      <c r="AG81" s="358"/>
      <c r="AH81" s="604"/>
      <c r="AI81" s="352"/>
      <c r="AJ81" s="352"/>
      <c r="AK81" s="352"/>
      <c r="AL81" s="352"/>
      <c r="AM81" s="358"/>
      <c r="AN81" s="604"/>
      <c r="AO81" s="352"/>
      <c r="AP81" s="352"/>
      <c r="AQ81" s="352"/>
      <c r="AR81" s="352"/>
      <c r="AS81" s="358"/>
      <c r="AT81" s="604"/>
      <c r="AU81" s="352"/>
      <c r="AV81" s="352"/>
      <c r="AW81" s="352"/>
      <c r="AX81" s="352"/>
      <c r="AY81" s="358"/>
      <c r="AZ81" s="604"/>
      <c r="BA81" s="352"/>
      <c r="BB81" s="352"/>
      <c r="BC81" s="352"/>
      <c r="BD81" s="352"/>
      <c r="BE81" s="358"/>
      <c r="BF81" s="604"/>
      <c r="BG81" s="352"/>
      <c r="BH81" s="352"/>
      <c r="BI81" s="352"/>
      <c r="BJ81" s="352"/>
      <c r="BK81" s="358"/>
      <c r="BL81" s="604"/>
      <c r="BM81" s="352"/>
      <c r="BN81" s="357"/>
      <c r="BO81" s="352"/>
      <c r="BP81" s="352"/>
      <c r="BQ81" s="358"/>
      <c r="BR81" s="604"/>
      <c r="BS81" s="352"/>
      <c r="BT81" s="357"/>
      <c r="BU81" s="352"/>
      <c r="BV81" s="352"/>
      <c r="BW81" s="358"/>
      <c r="BX81" s="213"/>
      <c r="BY81" s="213"/>
      <c r="BZ81" s="213"/>
      <c r="CA81" s="213"/>
      <c r="CB81" s="213"/>
      <c r="CC81" s="213"/>
      <c r="CD81" s="213"/>
      <c r="CE81" s="213"/>
      <c r="CF81" s="213"/>
      <c r="CG81" s="213"/>
      <c r="CH81" s="213"/>
      <c r="CI81" s="213"/>
      <c r="CJ81" s="213"/>
      <c r="CK81" s="213"/>
      <c r="CL81" s="213"/>
      <c r="CM81" s="213"/>
      <c r="CN81" s="213"/>
      <c r="CO81" s="213"/>
      <c r="CP81" s="213"/>
      <c r="CQ81" s="213"/>
      <c r="CR81" s="213"/>
      <c r="CS81" s="213"/>
      <c r="CT81" s="213"/>
      <c r="CU81" s="213"/>
    </row>
    <row r="82" ht="15.75" hidden="1" customHeight="1">
      <c r="A82" s="213"/>
      <c r="B82" s="393"/>
      <c r="C82" s="350"/>
      <c r="D82" s="604"/>
      <c r="E82" s="355"/>
      <c r="F82" s="357"/>
      <c r="G82" s="357"/>
      <c r="H82" s="357"/>
      <c r="I82" s="533"/>
      <c r="J82" s="604"/>
      <c r="K82" s="355"/>
      <c r="L82" s="352"/>
      <c r="M82" s="352"/>
      <c r="N82" s="352"/>
      <c r="O82" s="358"/>
      <c r="P82" s="349"/>
      <c r="Q82" s="352"/>
      <c r="R82" s="352"/>
      <c r="S82" s="352"/>
      <c r="T82" s="352"/>
      <c r="U82" s="358"/>
      <c r="V82" s="604"/>
      <c r="W82" s="352"/>
      <c r="X82" s="352"/>
      <c r="Y82" s="352"/>
      <c r="Z82" s="352"/>
      <c r="AA82" s="358"/>
      <c r="AB82" s="604"/>
      <c r="AC82" s="352"/>
      <c r="AD82" s="357"/>
      <c r="AE82" s="352"/>
      <c r="AF82" s="352"/>
      <c r="AG82" s="358"/>
      <c r="AH82" s="604"/>
      <c r="AI82" s="352"/>
      <c r="AJ82" s="352"/>
      <c r="AK82" s="352"/>
      <c r="AL82" s="352"/>
      <c r="AM82" s="358"/>
      <c r="AN82" s="604"/>
      <c r="AO82" s="352"/>
      <c r="AP82" s="352"/>
      <c r="AQ82" s="352"/>
      <c r="AR82" s="352"/>
      <c r="AS82" s="358"/>
      <c r="AT82" s="604"/>
      <c r="AU82" s="352"/>
      <c r="AV82" s="352"/>
      <c r="AW82" s="352"/>
      <c r="AX82" s="352"/>
      <c r="AY82" s="358"/>
      <c r="AZ82" s="604"/>
      <c r="BA82" s="352"/>
      <c r="BB82" s="352"/>
      <c r="BC82" s="352"/>
      <c r="BD82" s="352"/>
      <c r="BE82" s="358"/>
      <c r="BF82" s="604"/>
      <c r="BG82" s="352"/>
      <c r="BH82" s="352"/>
      <c r="BI82" s="352"/>
      <c r="BJ82" s="352"/>
      <c r="BK82" s="358"/>
      <c r="BL82" s="604"/>
      <c r="BM82" s="352"/>
      <c r="BN82" s="357"/>
      <c r="BO82" s="352"/>
      <c r="BP82" s="352"/>
      <c r="BQ82" s="358"/>
      <c r="BR82" s="604"/>
      <c r="BS82" s="352"/>
      <c r="BT82" s="357"/>
      <c r="BU82" s="352"/>
      <c r="BV82" s="352"/>
      <c r="BW82" s="358"/>
      <c r="BX82" s="213"/>
      <c r="BY82" s="213"/>
      <c r="BZ82" s="213"/>
      <c r="CA82" s="213"/>
      <c r="CB82" s="213"/>
      <c r="CC82" s="213"/>
      <c r="CD82" s="213"/>
      <c r="CE82" s="213"/>
      <c r="CF82" s="213"/>
      <c r="CG82" s="213"/>
      <c r="CH82" s="213"/>
      <c r="CI82" s="213"/>
      <c r="CJ82" s="213"/>
      <c r="CK82" s="213"/>
      <c r="CL82" s="213"/>
      <c r="CM82" s="213"/>
      <c r="CN82" s="213"/>
      <c r="CO82" s="213"/>
      <c r="CP82" s="213"/>
      <c r="CQ82" s="213"/>
      <c r="CR82" s="213"/>
      <c r="CS82" s="213"/>
      <c r="CT82" s="213"/>
      <c r="CU82" s="213"/>
    </row>
    <row r="83" ht="15.75" hidden="1" customHeight="1">
      <c r="A83" s="213"/>
      <c r="B83" s="393"/>
      <c r="C83" s="350"/>
      <c r="D83" s="604"/>
      <c r="E83" s="355"/>
      <c r="F83" s="357"/>
      <c r="G83" s="357"/>
      <c r="H83" s="357"/>
      <c r="I83" s="533"/>
      <c r="J83" s="604"/>
      <c r="K83" s="355"/>
      <c r="L83" s="352"/>
      <c r="M83" s="352"/>
      <c r="N83" s="352"/>
      <c r="O83" s="358"/>
      <c r="P83" s="349"/>
      <c r="Q83" s="352"/>
      <c r="R83" s="352"/>
      <c r="S83" s="352"/>
      <c r="T83" s="352"/>
      <c r="U83" s="358"/>
      <c r="V83" s="604"/>
      <c r="W83" s="352"/>
      <c r="X83" s="352"/>
      <c r="Y83" s="352"/>
      <c r="Z83" s="352"/>
      <c r="AA83" s="358"/>
      <c r="AB83" s="604"/>
      <c r="AC83" s="352"/>
      <c r="AD83" s="357"/>
      <c r="AE83" s="352"/>
      <c r="AF83" s="352"/>
      <c r="AG83" s="358"/>
      <c r="AH83" s="604"/>
      <c r="AI83" s="352"/>
      <c r="AJ83" s="352"/>
      <c r="AK83" s="352"/>
      <c r="AL83" s="352"/>
      <c r="AM83" s="358"/>
      <c r="AN83" s="604"/>
      <c r="AO83" s="352"/>
      <c r="AP83" s="352"/>
      <c r="AQ83" s="352"/>
      <c r="AR83" s="352"/>
      <c r="AS83" s="358"/>
      <c r="AT83" s="604"/>
      <c r="AU83" s="352"/>
      <c r="AV83" s="352"/>
      <c r="AW83" s="352"/>
      <c r="AX83" s="352"/>
      <c r="AY83" s="358"/>
      <c r="AZ83" s="604"/>
      <c r="BA83" s="352"/>
      <c r="BB83" s="352"/>
      <c r="BC83" s="352"/>
      <c r="BD83" s="352"/>
      <c r="BE83" s="358"/>
      <c r="BF83" s="604"/>
      <c r="BG83" s="352"/>
      <c r="BH83" s="352"/>
      <c r="BI83" s="352"/>
      <c r="BJ83" s="352"/>
      <c r="BK83" s="358"/>
      <c r="BL83" s="604"/>
      <c r="BM83" s="352"/>
      <c r="BN83" s="357"/>
      <c r="BO83" s="352"/>
      <c r="BP83" s="352"/>
      <c r="BQ83" s="358"/>
      <c r="BR83" s="604"/>
      <c r="BS83" s="352"/>
      <c r="BT83" s="357"/>
      <c r="BU83" s="352"/>
      <c r="BV83" s="352"/>
      <c r="BW83" s="358"/>
      <c r="BX83" s="213"/>
      <c r="BY83" s="213"/>
      <c r="BZ83" s="213"/>
      <c r="CA83" s="213"/>
      <c r="CB83" s="213"/>
      <c r="CC83" s="213"/>
      <c r="CD83" s="213"/>
      <c r="CE83" s="213"/>
      <c r="CF83" s="213"/>
      <c r="CG83" s="213"/>
      <c r="CH83" s="213"/>
      <c r="CI83" s="213"/>
      <c r="CJ83" s="213"/>
      <c r="CK83" s="213"/>
      <c r="CL83" s="213"/>
      <c r="CM83" s="213"/>
      <c r="CN83" s="213"/>
      <c r="CO83" s="213"/>
      <c r="CP83" s="213"/>
      <c r="CQ83" s="213"/>
      <c r="CR83" s="213"/>
      <c r="CS83" s="213"/>
      <c r="CT83" s="213"/>
      <c r="CU83" s="213"/>
    </row>
    <row r="84" ht="15.75" hidden="1" customHeight="1">
      <c r="A84" s="213"/>
      <c r="B84" s="393"/>
      <c r="C84" s="350"/>
      <c r="D84" s="604"/>
      <c r="E84" s="355"/>
      <c r="F84" s="357"/>
      <c r="G84" s="357"/>
      <c r="H84" s="357"/>
      <c r="I84" s="533"/>
      <c r="J84" s="604"/>
      <c r="K84" s="355"/>
      <c r="L84" s="352"/>
      <c r="M84" s="352"/>
      <c r="N84" s="352"/>
      <c r="O84" s="358"/>
      <c r="P84" s="349"/>
      <c r="Q84" s="352"/>
      <c r="R84" s="352"/>
      <c r="S84" s="352"/>
      <c r="T84" s="352"/>
      <c r="U84" s="358"/>
      <c r="V84" s="604"/>
      <c r="W84" s="352"/>
      <c r="X84" s="352"/>
      <c r="Y84" s="352"/>
      <c r="Z84" s="352"/>
      <c r="AA84" s="358"/>
      <c r="AB84" s="604"/>
      <c r="AC84" s="352"/>
      <c r="AD84" s="357"/>
      <c r="AE84" s="352"/>
      <c r="AF84" s="352"/>
      <c r="AG84" s="358"/>
      <c r="AH84" s="604"/>
      <c r="AI84" s="352"/>
      <c r="AJ84" s="352"/>
      <c r="AK84" s="352"/>
      <c r="AL84" s="352"/>
      <c r="AM84" s="358"/>
      <c r="AN84" s="604"/>
      <c r="AO84" s="352"/>
      <c r="AP84" s="352"/>
      <c r="AQ84" s="352"/>
      <c r="AR84" s="352"/>
      <c r="AS84" s="358"/>
      <c r="AT84" s="604"/>
      <c r="AU84" s="352"/>
      <c r="AV84" s="352"/>
      <c r="AW84" s="352"/>
      <c r="AX84" s="352"/>
      <c r="AY84" s="358"/>
      <c r="AZ84" s="604"/>
      <c r="BA84" s="352"/>
      <c r="BB84" s="352"/>
      <c r="BC84" s="352"/>
      <c r="BD84" s="352"/>
      <c r="BE84" s="358"/>
      <c r="BF84" s="604"/>
      <c r="BG84" s="352"/>
      <c r="BH84" s="352"/>
      <c r="BI84" s="352"/>
      <c r="BJ84" s="352"/>
      <c r="BK84" s="358"/>
      <c r="BL84" s="604"/>
      <c r="BM84" s="352"/>
      <c r="BN84" s="357"/>
      <c r="BO84" s="352"/>
      <c r="BP84" s="352"/>
      <c r="BQ84" s="358"/>
      <c r="BR84" s="604"/>
      <c r="BS84" s="352"/>
      <c r="BT84" s="357"/>
      <c r="BU84" s="352"/>
      <c r="BV84" s="352"/>
      <c r="BW84" s="358"/>
      <c r="BX84" s="213"/>
      <c r="BY84" s="213"/>
      <c r="BZ84" s="213"/>
      <c r="CA84" s="213"/>
      <c r="CB84" s="213"/>
      <c r="CC84" s="213"/>
      <c r="CD84" s="213"/>
      <c r="CE84" s="213"/>
      <c r="CF84" s="213"/>
      <c r="CG84" s="213"/>
      <c r="CH84" s="213"/>
      <c r="CI84" s="213"/>
      <c r="CJ84" s="213"/>
      <c r="CK84" s="213"/>
      <c r="CL84" s="213"/>
      <c r="CM84" s="213"/>
      <c r="CN84" s="213"/>
      <c r="CO84" s="213"/>
      <c r="CP84" s="213"/>
      <c r="CQ84" s="213"/>
      <c r="CR84" s="213"/>
      <c r="CS84" s="213"/>
      <c r="CT84" s="213"/>
      <c r="CU84" s="213"/>
    </row>
    <row r="85" ht="15.75" hidden="1" customHeight="1">
      <c r="A85" s="213"/>
      <c r="B85" s="393"/>
      <c r="C85" s="350"/>
      <c r="D85" s="604"/>
      <c r="E85" s="352"/>
      <c r="F85" s="352"/>
      <c r="G85" s="352"/>
      <c r="H85" s="352"/>
      <c r="I85" s="358"/>
      <c r="J85" s="604"/>
      <c r="K85" s="352"/>
      <c r="L85" s="352"/>
      <c r="M85" s="352"/>
      <c r="N85" s="352"/>
      <c r="O85" s="358"/>
      <c r="P85" s="349"/>
      <c r="Q85" s="352"/>
      <c r="R85" s="352"/>
      <c r="S85" s="352"/>
      <c r="T85" s="352"/>
      <c r="U85" s="358"/>
      <c r="V85" s="604"/>
      <c r="W85" s="352"/>
      <c r="X85" s="352"/>
      <c r="Y85" s="352"/>
      <c r="Z85" s="352"/>
      <c r="AA85" s="358"/>
      <c r="AB85" s="604"/>
      <c r="AC85" s="352"/>
      <c r="AD85" s="357"/>
      <c r="AE85" s="352"/>
      <c r="AF85" s="352"/>
      <c r="AG85" s="358"/>
      <c r="AH85" s="604"/>
      <c r="AI85" s="352"/>
      <c r="AJ85" s="352"/>
      <c r="AK85" s="352"/>
      <c r="AL85" s="352"/>
      <c r="AM85" s="358"/>
      <c r="AN85" s="604"/>
      <c r="AO85" s="352"/>
      <c r="AP85" s="352"/>
      <c r="AQ85" s="352"/>
      <c r="AR85" s="352"/>
      <c r="AS85" s="358"/>
      <c r="AT85" s="604"/>
      <c r="AU85" s="352"/>
      <c r="AV85" s="352"/>
      <c r="AW85" s="352"/>
      <c r="AX85" s="352"/>
      <c r="AY85" s="358"/>
      <c r="AZ85" s="604"/>
      <c r="BA85" s="352"/>
      <c r="BB85" s="352"/>
      <c r="BC85" s="352"/>
      <c r="BD85" s="352"/>
      <c r="BE85" s="358"/>
      <c r="BF85" s="604"/>
      <c r="BG85" s="352"/>
      <c r="BH85" s="352"/>
      <c r="BI85" s="352"/>
      <c r="BJ85" s="352"/>
      <c r="BK85" s="358"/>
      <c r="BL85" s="604"/>
      <c r="BM85" s="352"/>
      <c r="BN85" s="357"/>
      <c r="BO85" s="352"/>
      <c r="BP85" s="352"/>
      <c r="BQ85" s="358"/>
      <c r="BR85" s="604"/>
      <c r="BS85" s="352"/>
      <c r="BT85" s="357"/>
      <c r="BU85" s="352"/>
      <c r="BV85" s="245"/>
      <c r="BW85" s="350"/>
      <c r="BX85" s="213"/>
      <c r="BY85" s="213"/>
      <c r="BZ85" s="213"/>
      <c r="CA85" s="213"/>
      <c r="CB85" s="213"/>
      <c r="CC85" s="213"/>
      <c r="CD85" s="213"/>
      <c r="CE85" s="213"/>
      <c r="CF85" s="213"/>
      <c r="CG85" s="213"/>
      <c r="CH85" s="213"/>
      <c r="CI85" s="213"/>
      <c r="CJ85" s="213"/>
      <c r="CK85" s="213"/>
      <c r="CL85" s="213"/>
      <c r="CM85" s="213"/>
      <c r="CN85" s="213"/>
      <c r="CO85" s="213"/>
      <c r="CP85" s="213"/>
      <c r="CQ85" s="213"/>
      <c r="CR85" s="213"/>
      <c r="CS85" s="213"/>
      <c r="CT85" s="213"/>
      <c r="CU85" s="213"/>
    </row>
    <row r="86" ht="15.75" hidden="1" customHeight="1">
      <c r="A86" s="213"/>
      <c r="B86" s="393"/>
      <c r="C86" s="350"/>
      <c r="D86" s="604"/>
      <c r="E86" s="355"/>
      <c r="F86" s="352"/>
      <c r="G86" s="355"/>
      <c r="H86" s="352"/>
      <c r="I86" s="395"/>
      <c r="J86" s="604"/>
      <c r="K86" s="352"/>
      <c r="L86" s="352"/>
      <c r="M86" s="355"/>
      <c r="N86" s="352"/>
      <c r="O86" s="358"/>
      <c r="P86" s="349"/>
      <c r="Q86" s="352"/>
      <c r="R86" s="352"/>
      <c r="S86" s="355"/>
      <c r="T86" s="352"/>
      <c r="U86" s="358"/>
      <c r="V86" s="604"/>
      <c r="W86" s="352"/>
      <c r="X86" s="352"/>
      <c r="Y86" s="355"/>
      <c r="Z86" s="352"/>
      <c r="AA86" s="358"/>
      <c r="AB86" s="604"/>
      <c r="AC86" s="352"/>
      <c r="AD86" s="357"/>
      <c r="AE86" s="355"/>
      <c r="AF86" s="352"/>
      <c r="AG86" s="358"/>
      <c r="AH86" s="604"/>
      <c r="AI86" s="352"/>
      <c r="AJ86" s="352"/>
      <c r="AK86" s="355"/>
      <c r="AL86" s="352"/>
      <c r="AM86" s="358"/>
      <c r="AN86" s="604"/>
      <c r="AO86" s="352"/>
      <c r="AP86" s="352"/>
      <c r="AQ86" s="355"/>
      <c r="AR86" s="352"/>
      <c r="AS86" s="358"/>
      <c r="AT86" s="604"/>
      <c r="AU86" s="352"/>
      <c r="AV86" s="352"/>
      <c r="AW86" s="355"/>
      <c r="AX86" s="352"/>
      <c r="AY86" s="358"/>
      <c r="AZ86" s="604"/>
      <c r="BA86" s="352"/>
      <c r="BB86" s="352"/>
      <c r="BC86" s="355"/>
      <c r="BD86" s="352"/>
      <c r="BE86" s="358"/>
      <c r="BF86" s="604"/>
      <c r="BG86" s="352"/>
      <c r="BH86" s="352"/>
      <c r="BI86" s="355"/>
      <c r="BJ86" s="352"/>
      <c r="BK86" s="358"/>
      <c r="BL86" s="604"/>
      <c r="BM86" s="352"/>
      <c r="BN86" s="357"/>
      <c r="BO86" s="355"/>
      <c r="BP86" s="352"/>
      <c r="BQ86" s="358"/>
      <c r="BR86" s="604"/>
      <c r="BS86" s="352"/>
      <c r="BT86" s="357"/>
      <c r="BU86" s="355"/>
      <c r="BV86" s="352"/>
      <c r="BW86" s="358"/>
      <c r="BX86" s="213"/>
      <c r="BY86" s="213"/>
      <c r="BZ86" s="213"/>
      <c r="CA86" s="213"/>
      <c r="CB86" s="213"/>
      <c r="CC86" s="213"/>
      <c r="CD86" s="213"/>
      <c r="CE86" s="213"/>
      <c r="CF86" s="213"/>
      <c r="CG86" s="213"/>
      <c r="CH86" s="213"/>
      <c r="CI86" s="213"/>
      <c r="CJ86" s="213"/>
      <c r="CK86" s="213"/>
      <c r="CL86" s="213"/>
      <c r="CM86" s="213"/>
      <c r="CN86" s="213"/>
      <c r="CO86" s="213"/>
      <c r="CP86" s="213"/>
      <c r="CQ86" s="213"/>
      <c r="CR86" s="213"/>
      <c r="CS86" s="213"/>
      <c r="CT86" s="213"/>
      <c r="CU86" s="213"/>
    </row>
    <row r="87" ht="15.75" customHeight="1">
      <c r="A87" s="213"/>
      <c r="B87" s="393"/>
      <c r="C87" s="350"/>
      <c r="D87" s="604"/>
      <c r="E87" s="352"/>
      <c r="F87" s="352"/>
      <c r="G87" s="352"/>
      <c r="H87" s="352"/>
      <c r="I87" s="358"/>
      <c r="J87" s="604"/>
      <c r="K87" s="352"/>
      <c r="L87" s="352"/>
      <c r="M87" s="352"/>
      <c r="N87" s="352"/>
      <c r="O87" s="358"/>
      <c r="P87" s="349"/>
      <c r="Q87" s="352"/>
      <c r="R87" s="352"/>
      <c r="S87" s="352"/>
      <c r="T87" s="352"/>
      <c r="U87" s="358"/>
      <c r="V87" s="604"/>
      <c r="W87" s="352"/>
      <c r="X87" s="352"/>
      <c r="Y87" s="352"/>
      <c r="Z87" s="352"/>
      <c r="AA87" s="358"/>
      <c r="AB87" s="604"/>
      <c r="AC87" s="352"/>
      <c r="AD87" s="357"/>
      <c r="AE87" s="352"/>
      <c r="AF87" s="352"/>
      <c r="AG87" s="358"/>
      <c r="AH87" s="604"/>
      <c r="AI87" s="352"/>
      <c r="AJ87" s="352"/>
      <c r="AK87" s="352"/>
      <c r="AL87" s="352"/>
      <c r="AM87" s="358"/>
      <c r="AN87" s="604"/>
      <c r="AO87" s="352"/>
      <c r="AP87" s="352"/>
      <c r="AQ87" s="352"/>
      <c r="AR87" s="352"/>
      <c r="AS87" s="358"/>
      <c r="AT87" s="604"/>
      <c r="AU87" s="352"/>
      <c r="AV87" s="352"/>
      <c r="AW87" s="352"/>
      <c r="AX87" s="352"/>
      <c r="AY87" s="358"/>
      <c r="AZ87" s="604"/>
      <c r="BA87" s="352"/>
      <c r="BB87" s="352"/>
      <c r="BC87" s="352"/>
      <c r="BD87" s="352"/>
      <c r="BE87" s="358"/>
      <c r="BF87" s="604"/>
      <c r="BG87" s="352"/>
      <c r="BH87" s="352"/>
      <c r="BI87" s="352"/>
      <c r="BJ87" s="352"/>
      <c r="BK87" s="358"/>
      <c r="BL87" s="604"/>
      <c r="BM87" s="352"/>
      <c r="BN87" s="357"/>
      <c r="BO87" s="352"/>
      <c r="BP87" s="352"/>
      <c r="BQ87" s="358"/>
      <c r="BR87" s="604"/>
      <c r="BS87" s="352"/>
      <c r="BT87" s="357"/>
      <c r="BU87" s="352"/>
      <c r="BV87" s="352"/>
      <c r="BW87" s="358"/>
      <c r="BX87" s="213"/>
      <c r="BY87" s="213"/>
      <c r="BZ87" s="213"/>
      <c r="CA87" s="213"/>
      <c r="CB87" s="213"/>
      <c r="CC87" s="213"/>
      <c r="CD87" s="213"/>
      <c r="CE87" s="213"/>
      <c r="CF87" s="213"/>
      <c r="CG87" s="213"/>
      <c r="CH87" s="213"/>
      <c r="CI87" s="213"/>
      <c r="CJ87" s="213"/>
      <c r="CK87" s="213"/>
      <c r="CL87" s="213"/>
      <c r="CM87" s="213"/>
      <c r="CN87" s="213"/>
      <c r="CO87" s="213"/>
      <c r="CP87" s="213"/>
      <c r="CQ87" s="213"/>
      <c r="CR87" s="213"/>
      <c r="CS87" s="213"/>
      <c r="CT87" s="213"/>
      <c r="CU87" s="213"/>
    </row>
    <row r="88" ht="15.75" customHeight="1">
      <c r="A88" s="213"/>
      <c r="B88" s="733" t="s">
        <v>249</v>
      </c>
      <c r="C88" s="734"/>
      <c r="D88" s="619"/>
      <c r="E88" s="364"/>
      <c r="F88" s="364"/>
      <c r="G88" s="364"/>
      <c r="H88" s="364"/>
      <c r="I88" s="368"/>
      <c r="J88" s="619"/>
      <c r="K88" s="364"/>
      <c r="L88" s="364"/>
      <c r="M88" s="364"/>
      <c r="N88" s="364"/>
      <c r="O88" s="368"/>
      <c r="P88" s="361"/>
      <c r="Q88" s="364"/>
      <c r="R88" s="364"/>
      <c r="S88" s="364"/>
      <c r="T88" s="364"/>
      <c r="U88" s="368"/>
      <c r="V88" s="619"/>
      <c r="W88" s="364"/>
      <c r="X88" s="364"/>
      <c r="Y88" s="364"/>
      <c r="Z88" s="364"/>
      <c r="AA88" s="368"/>
      <c r="AB88" s="619"/>
      <c r="AC88" s="364"/>
      <c r="AD88" s="367"/>
      <c r="AE88" s="364"/>
      <c r="AF88" s="364"/>
      <c r="AG88" s="368"/>
      <c r="AH88" s="619"/>
      <c r="AI88" s="364"/>
      <c r="AJ88" s="364"/>
      <c r="AK88" s="364"/>
      <c r="AL88" s="364"/>
      <c r="AM88" s="368"/>
      <c r="AN88" s="619"/>
      <c r="AO88" s="364"/>
      <c r="AP88" s="364"/>
      <c r="AQ88" s="364"/>
      <c r="AR88" s="364"/>
      <c r="AS88" s="368"/>
      <c r="AT88" s="619"/>
      <c r="AU88" s="364"/>
      <c r="AV88" s="364"/>
      <c r="AW88" s="364"/>
      <c r="AX88" s="364"/>
      <c r="AY88" s="368"/>
      <c r="AZ88" s="619"/>
      <c r="BA88" s="364"/>
      <c r="BB88" s="364"/>
      <c r="BC88" s="364"/>
      <c r="BD88" s="364"/>
      <c r="BE88" s="368"/>
      <c r="BF88" s="619"/>
      <c r="BG88" s="364"/>
      <c r="BH88" s="364"/>
      <c r="BI88" s="364"/>
      <c r="BJ88" s="364"/>
      <c r="BK88" s="368"/>
      <c r="BL88" s="619"/>
      <c r="BM88" s="364"/>
      <c r="BN88" s="367"/>
      <c r="BO88" s="364"/>
      <c r="BP88" s="364"/>
      <c r="BQ88" s="368"/>
      <c r="BR88" s="720"/>
      <c r="BS88" s="364"/>
      <c r="BT88" s="367"/>
      <c r="BU88" s="364"/>
      <c r="BV88" s="364"/>
      <c r="BW88" s="368"/>
      <c r="BX88" s="213"/>
      <c r="BY88" s="213"/>
      <c r="BZ88" s="213"/>
      <c r="CA88" s="213"/>
      <c r="CB88" s="213"/>
      <c r="CC88" s="213"/>
      <c r="CD88" s="213"/>
      <c r="CE88" s="213"/>
      <c r="CF88" s="213"/>
      <c r="CG88" s="213"/>
      <c r="CH88" s="213"/>
      <c r="CI88" s="213"/>
      <c r="CJ88" s="213"/>
      <c r="CK88" s="213"/>
      <c r="CL88" s="213"/>
      <c r="CM88" s="213"/>
      <c r="CN88" s="213"/>
      <c r="CO88" s="213"/>
      <c r="CP88" s="213"/>
      <c r="CQ88" s="213"/>
      <c r="CR88" s="213"/>
      <c r="CS88" s="213"/>
      <c r="CT88" s="213"/>
      <c r="CU88" s="213"/>
    </row>
    <row r="89" ht="15.75" customHeight="1">
      <c r="A89" s="213"/>
      <c r="B89" s="735"/>
      <c r="C89" s="447" t="s">
        <v>250</v>
      </c>
      <c r="D89" s="600">
        <f>SUM(D90:D98)</f>
        <v>90913.06667</v>
      </c>
      <c r="E89" s="374">
        <f t="shared" ref="E89:E98" si="110">D89/D$33</f>
        <v>0.007319503392</v>
      </c>
      <c r="F89" s="377">
        <f>SUM(F90:F98)</f>
        <v>82796</v>
      </c>
      <c r="G89" s="374">
        <f t="shared" ref="G89:G98" si="111">F89/F$33</f>
        <v>0.006393798862</v>
      </c>
      <c r="H89" s="377">
        <f>SUM(H90:H98)</f>
        <v>31717.4</v>
      </c>
      <c r="I89" s="378"/>
      <c r="J89" s="600">
        <f>SUM(J90:J98)</f>
        <v>102938.2667</v>
      </c>
      <c r="K89" s="374">
        <f t="shared" ref="K89:K98" si="112">J89/J$33</f>
        <v>0.00807486781</v>
      </c>
      <c r="L89" s="377">
        <f>SUM(L90:L98)</f>
        <v>90278</v>
      </c>
      <c r="M89" s="374">
        <f t="shared" ref="M89:M90" si="113">L89/L$33</f>
        <v>0.007309900733</v>
      </c>
      <c r="N89" s="408">
        <f>SUM(N90:N98)</f>
        <v>0</v>
      </c>
      <c r="O89" s="378"/>
      <c r="P89" s="600">
        <f>SUM(P90:P98)</f>
        <v>100112.4667</v>
      </c>
      <c r="Q89" s="374">
        <f t="shared" ref="Q89:Q90" si="114">P89/P$33</f>
        <v>0.008862001096</v>
      </c>
      <c r="R89" s="377">
        <f>SUM(R90:R99)</f>
        <v>128468</v>
      </c>
      <c r="S89" s="374">
        <f t="shared" ref="S89:S90" si="115">R89/R$33</f>
        <v>0.009828053172</v>
      </c>
      <c r="T89" s="408">
        <f>SUM(T90:T93)</f>
        <v>0</v>
      </c>
      <c r="U89" s="378"/>
      <c r="V89" s="600">
        <f>SUM(V90:V98)</f>
        <v>113134.6667</v>
      </c>
      <c r="W89" s="374">
        <f t="shared" ref="W89:W90" si="116">V89/V$33</f>
        <v>0.008066567554</v>
      </c>
      <c r="X89" s="377">
        <f>SUM(X90:X99)</f>
        <v>156768</v>
      </c>
      <c r="Y89" s="374">
        <f t="shared" ref="Y89:Y90" si="117">X89/X$33</f>
        <v>0.01155156947</v>
      </c>
      <c r="Z89" s="408">
        <f>SUM(Z90:Z93)</f>
        <v>0</v>
      </c>
      <c r="AA89" s="378"/>
      <c r="AB89" s="600">
        <f>SUM(AB90:AB98)</f>
        <v>122697.5238</v>
      </c>
      <c r="AC89" s="374">
        <f t="shared" ref="AC89:AC90" si="118">AB89/AB$33</f>
        <v>0.008664009825</v>
      </c>
      <c r="AD89" s="377">
        <f>SUM(AD90:AD99)</f>
        <v>172068</v>
      </c>
      <c r="AE89" s="374">
        <f t="shared" ref="AE89:AE90" si="119">AD89/AD$33</f>
        <v>0.01196569235</v>
      </c>
      <c r="AF89" s="408">
        <f>SUM(AF90:AF93)</f>
        <v>0</v>
      </c>
      <c r="AG89" s="378"/>
      <c r="AH89" s="600">
        <f>SUM(AH90:AH98)</f>
        <v>231711.9524</v>
      </c>
      <c r="AI89" s="374">
        <f t="shared" ref="AI89:AI90" si="120">AH89/AH$33</f>
        <v>0.01942117621</v>
      </c>
      <c r="AJ89" s="377">
        <f>SUM(AJ90:AJ99)</f>
        <v>200368</v>
      </c>
      <c r="AK89" s="374">
        <f t="shared" ref="AK89:AK90" si="121">AJ89/AJ$33</f>
        <v>0.01470114609</v>
      </c>
      <c r="AL89" s="408">
        <f>SUM(AL90:AL93)</f>
        <v>0</v>
      </c>
      <c r="AM89" s="378"/>
      <c r="AN89" s="600">
        <f>SUM(AN90:AN98)</f>
        <v>181780.6667</v>
      </c>
      <c r="AO89" s="374">
        <f t="shared" ref="AO89:AO90" si="122">AN89/AN$33</f>
        <v>0.01434325876</v>
      </c>
      <c r="AP89" s="377">
        <f>SUM(AP90:AP99)</f>
        <v>219881</v>
      </c>
      <c r="AQ89" s="374">
        <f t="shared" ref="AQ89:AQ90" si="123">AP89/AP$33</f>
        <v>0.01458392587</v>
      </c>
      <c r="AR89" s="408">
        <f>SUM(AR90:AR93)</f>
        <v>0</v>
      </c>
      <c r="AS89" s="378"/>
      <c r="AT89" s="600">
        <f>SUM(AT90:AT98)</f>
        <v>206535.1429</v>
      </c>
      <c r="AU89" s="374">
        <f t="shared" ref="AU89:AU90" si="124">AT89/AT$33</f>
        <v>0.01620708418</v>
      </c>
      <c r="AV89" s="377">
        <f>SUM(AV90:AV99)</f>
        <v>141981</v>
      </c>
      <c r="AW89" s="374">
        <f t="shared" ref="AW89:AW90" si="125">AV89/AV$33</f>
        <v>0.00914197644</v>
      </c>
      <c r="AX89" s="408">
        <f>SUM(AX90:AX93)</f>
        <v>0</v>
      </c>
      <c r="AY89" s="378"/>
      <c r="AZ89" s="600">
        <f>SUM(AZ90:AZ98)</f>
        <v>228354.6667</v>
      </c>
      <c r="BA89" s="374">
        <f t="shared" ref="BA89:BA90" si="126">AZ89/AZ$33</f>
        <v>0.01275265075</v>
      </c>
      <c r="BB89" s="408">
        <f>SUM(BB90:BB99)</f>
        <v>345481</v>
      </c>
      <c r="BC89" s="374">
        <f t="shared" ref="BC89:BC90" si="127">BB89/BB$33</f>
        <v>0.02065647278</v>
      </c>
      <c r="BD89" s="408">
        <f>SUM(BD90:BD93)</f>
        <v>0</v>
      </c>
      <c r="BE89" s="378"/>
      <c r="BF89" s="600">
        <f>SUM(BF90:BF98)</f>
        <v>302108.0952</v>
      </c>
      <c r="BG89" s="374">
        <f t="shared" ref="BG89:BG90" si="128">BF89/BF$33</f>
        <v>0.01749331064</v>
      </c>
      <c r="BH89" s="377">
        <f>SUM(BH90:BH99)</f>
        <v>181981</v>
      </c>
      <c r="BI89" s="374">
        <f t="shared" ref="BI89:BI90" si="129">BH89/BH$33</f>
        <v>0.01121271348</v>
      </c>
      <c r="BJ89" s="408">
        <f>SUM(BJ90:BJ93)</f>
        <v>0</v>
      </c>
      <c r="BK89" s="378"/>
      <c r="BL89" s="373">
        <f>SUM(BL90:BL98)</f>
        <v>179120.4762</v>
      </c>
      <c r="BM89" s="374">
        <f t="shared" ref="BM89:BM90" si="130">BL89/BL$33</f>
        <v>0.01058460246</v>
      </c>
      <c r="BN89" s="600">
        <f>SUM(BN90:BN98)</f>
        <v>155481</v>
      </c>
      <c r="BO89" s="374">
        <f t="shared" ref="BO89:BO90" si="131">BN89/BN$33</f>
        <v>0.01142539621</v>
      </c>
      <c r="BP89" s="408">
        <f>SUM(BP90:BP93)</f>
        <v>0</v>
      </c>
      <c r="BQ89" s="378"/>
      <c r="BR89" s="377">
        <f>SUM(BR90:BR98)</f>
        <v>246208.3324</v>
      </c>
      <c r="BS89" s="374">
        <f t="shared" ref="BS89:BS90" si="132">BR89/BR$33</f>
        <v>0.01657787913</v>
      </c>
      <c r="BT89" s="600">
        <f>SUM(BT90:BT99)</f>
        <v>181981</v>
      </c>
      <c r="BU89" s="374">
        <f t="shared" ref="BU89:BU90" si="133">BT89/BT$33</f>
        <v>0.01221704921</v>
      </c>
      <c r="BV89" s="408">
        <f>SUM(BV90:BV93)</f>
        <v>0</v>
      </c>
      <c r="BW89" s="378"/>
      <c r="BX89" s="718">
        <f>D89+J89+P89+V89+AB89+AH89+AN89+AT89+AZ89+BF89+BL89+BR89</f>
        <v>2105615.323</v>
      </c>
      <c r="BY89" s="216"/>
      <c r="BZ89" s="216"/>
      <c r="CA89" s="216"/>
      <c r="CB89" s="216"/>
      <c r="CC89" s="216"/>
      <c r="CD89" s="216"/>
      <c r="CE89" s="216"/>
      <c r="CF89" s="216"/>
      <c r="CG89" s="216"/>
      <c r="CH89" s="216"/>
      <c r="CI89" s="216"/>
      <c r="CJ89" s="216"/>
      <c r="CK89" s="216"/>
      <c r="CL89" s="216"/>
      <c r="CM89" s="216"/>
      <c r="CN89" s="216"/>
      <c r="CO89" s="216"/>
      <c r="CP89" s="216"/>
      <c r="CQ89" s="216"/>
      <c r="CR89" s="216"/>
      <c r="CS89" s="216"/>
      <c r="CT89" s="216"/>
      <c r="CU89" s="216"/>
    </row>
    <row r="90" ht="15.75" customHeight="1">
      <c r="A90" s="213"/>
      <c r="B90" s="444"/>
      <c r="C90" s="383" t="s">
        <v>251</v>
      </c>
      <c r="D90" s="708"/>
      <c r="E90" s="385">
        <f t="shared" si="110"/>
        <v>0</v>
      </c>
      <c r="F90" s="388"/>
      <c r="G90" s="385">
        <f t="shared" si="111"/>
        <v>0</v>
      </c>
      <c r="H90" s="388">
        <f t="shared" ref="H90:H93" si="134">D90-F90</f>
        <v>0</v>
      </c>
      <c r="I90" s="390" t="str">
        <f t="shared" ref="I90:I93" si="135">H90/F90</f>
        <v>#DIV/0!</v>
      </c>
      <c r="J90" s="708">
        <v>2236.0</v>
      </c>
      <c r="K90" s="385">
        <f t="shared" si="112"/>
        <v>0.0001754003152</v>
      </c>
      <c r="L90" s="388">
        <v>6500.0</v>
      </c>
      <c r="M90" s="385">
        <f t="shared" si="113"/>
        <v>0.0005263115572</v>
      </c>
      <c r="N90" s="440"/>
      <c r="O90" s="389"/>
      <c r="P90" s="708">
        <v>2234.0</v>
      </c>
      <c r="Q90" s="385">
        <f t="shared" si="114"/>
        <v>0.0001977546964</v>
      </c>
      <c r="R90" s="388"/>
      <c r="S90" s="385">
        <f t="shared" si="115"/>
        <v>0</v>
      </c>
      <c r="T90" s="440"/>
      <c r="U90" s="389"/>
      <c r="V90" s="708"/>
      <c r="W90" s="385">
        <f t="shared" si="116"/>
        <v>0</v>
      </c>
      <c r="X90" s="388">
        <v>6500.0</v>
      </c>
      <c r="Y90" s="385">
        <f t="shared" si="117"/>
        <v>0.0004789574502</v>
      </c>
      <c r="Z90" s="440"/>
      <c r="AA90" s="389"/>
      <c r="AB90" s="708"/>
      <c r="AC90" s="385">
        <f t="shared" si="118"/>
        <v>0</v>
      </c>
      <c r="AD90" s="388"/>
      <c r="AE90" s="385">
        <f t="shared" si="119"/>
        <v>0</v>
      </c>
      <c r="AF90" s="440"/>
      <c r="AG90" s="389"/>
      <c r="AH90" s="708">
        <f>50628+14689+14229</f>
        <v>79546</v>
      </c>
      <c r="AI90" s="385">
        <f t="shared" si="120"/>
        <v>0.006667230011</v>
      </c>
      <c r="AJ90" s="388">
        <v>6500.0</v>
      </c>
      <c r="AK90" s="385">
        <f t="shared" si="121"/>
        <v>0.0004769097339</v>
      </c>
      <c r="AL90" s="440"/>
      <c r="AM90" s="389"/>
      <c r="AN90" s="708"/>
      <c r="AO90" s="385">
        <f t="shared" si="122"/>
        <v>0</v>
      </c>
      <c r="AP90" s="388"/>
      <c r="AQ90" s="385">
        <f t="shared" si="123"/>
        <v>0</v>
      </c>
      <c r="AR90" s="440"/>
      <c r="AS90" s="389"/>
      <c r="AT90" s="708"/>
      <c r="AU90" s="385">
        <f t="shared" si="124"/>
        <v>0</v>
      </c>
      <c r="AV90" s="388">
        <v>6500.0</v>
      </c>
      <c r="AW90" s="385">
        <f t="shared" si="125"/>
        <v>0.0004185267526</v>
      </c>
      <c r="AX90" s="440"/>
      <c r="AY90" s="389"/>
      <c r="AZ90" s="708"/>
      <c r="BA90" s="385">
        <f t="shared" si="126"/>
        <v>0</v>
      </c>
      <c r="BB90" s="440">
        <f>200000</f>
        <v>200000</v>
      </c>
      <c r="BC90" s="385">
        <f t="shared" si="127"/>
        <v>0.01195809482</v>
      </c>
      <c r="BD90" s="440"/>
      <c r="BE90" s="389"/>
      <c r="BF90" s="708">
        <f>100250+4720</f>
        <v>104970</v>
      </c>
      <c r="BG90" s="385">
        <f t="shared" si="128"/>
        <v>0.006078197992</v>
      </c>
      <c r="BH90" s="708">
        <v>6500.0</v>
      </c>
      <c r="BI90" s="385">
        <f t="shared" si="129"/>
        <v>0.000400495863</v>
      </c>
      <c r="BJ90" s="440"/>
      <c r="BK90" s="389"/>
      <c r="BL90" s="708"/>
      <c r="BM90" s="385">
        <f t="shared" si="130"/>
        <v>0</v>
      </c>
      <c r="BN90" s="708"/>
      <c r="BO90" s="385">
        <f t="shared" si="131"/>
        <v>0</v>
      </c>
      <c r="BP90" s="440"/>
      <c r="BQ90" s="389"/>
      <c r="BR90" s="736">
        <f>(32453*1.18)+(13538*1.18)</f>
        <v>54269.38</v>
      </c>
      <c r="BS90" s="385">
        <f t="shared" si="132"/>
        <v>0.003654105502</v>
      </c>
      <c r="BT90" s="388">
        <v>6500.0</v>
      </c>
      <c r="BU90" s="385">
        <f t="shared" si="133"/>
        <v>0.000436368741</v>
      </c>
      <c r="BV90" s="440"/>
      <c r="BW90" s="389"/>
      <c r="BX90" s="213"/>
      <c r="BY90" s="213"/>
      <c r="BZ90" s="213"/>
      <c r="CA90" s="213"/>
      <c r="CB90" s="213"/>
      <c r="CC90" s="213"/>
      <c r="CD90" s="213"/>
      <c r="CE90" s="213"/>
      <c r="CF90" s="213"/>
      <c r="CG90" s="213"/>
      <c r="CH90" s="213"/>
      <c r="CI90" s="213"/>
      <c r="CJ90" s="213"/>
      <c r="CK90" s="213"/>
      <c r="CL90" s="213"/>
      <c r="CM90" s="213"/>
      <c r="CN90" s="213"/>
      <c r="CO90" s="213"/>
      <c r="CP90" s="213"/>
      <c r="CQ90" s="213"/>
      <c r="CR90" s="213"/>
      <c r="CS90" s="213"/>
      <c r="CT90" s="213"/>
      <c r="CU90" s="213"/>
    </row>
    <row r="91" ht="15.75" customHeight="1">
      <c r="A91" s="213"/>
      <c r="B91" s="393"/>
      <c r="C91" s="661" t="s">
        <v>391</v>
      </c>
      <c r="D91" s="604">
        <f>(67303+7669)/5</f>
        <v>14994.4</v>
      </c>
      <c r="E91" s="355">
        <f t="shared" si="110"/>
        <v>0.001207214383</v>
      </c>
      <c r="F91" s="357">
        <v>20018.0</v>
      </c>
      <c r="G91" s="355">
        <f t="shared" si="111"/>
        <v>0.001545860496</v>
      </c>
      <c r="H91" s="357">
        <f t="shared" si="134"/>
        <v>-5023.6</v>
      </c>
      <c r="I91" s="395">
        <f t="shared" si="135"/>
        <v>-0.2509541413</v>
      </c>
      <c r="J91" s="604">
        <f>(12808+1700)/5</f>
        <v>2901.6</v>
      </c>
      <c r="K91" s="355">
        <f t="shared" si="112"/>
        <v>0.0002276125021</v>
      </c>
      <c r="L91" s="357"/>
      <c r="M91" s="355"/>
      <c r="N91" s="352"/>
      <c r="O91" s="358"/>
      <c r="P91" s="604">
        <f>(4798+10946)/5</f>
        <v>3148.8</v>
      </c>
      <c r="Q91" s="355"/>
      <c r="R91" s="357"/>
      <c r="S91" s="355"/>
      <c r="T91" s="352"/>
      <c r="U91" s="358"/>
      <c r="V91" s="604">
        <f>(15444+4807)/7</f>
        <v>2893</v>
      </c>
      <c r="W91" s="355" t="str">
        <f>#REF!/V$33</f>
        <v>#REF!</v>
      </c>
      <c r="X91" s="357"/>
      <c r="Y91" s="355"/>
      <c r="Z91" s="352"/>
      <c r="AA91" s="358"/>
      <c r="AB91" s="604">
        <f>(35489+26768)/7</f>
        <v>8893.857143</v>
      </c>
      <c r="AC91" s="355"/>
      <c r="AD91" s="357"/>
      <c r="AE91" s="355"/>
      <c r="AF91" s="352"/>
      <c r="AG91" s="358"/>
      <c r="AH91" s="604">
        <f>38089/7</f>
        <v>5441.285714</v>
      </c>
      <c r="AI91" s="355"/>
      <c r="AJ91" s="357"/>
      <c r="AK91" s="355"/>
      <c r="AL91" s="352"/>
      <c r="AM91" s="358"/>
      <c r="AN91" s="628">
        <v>0.0</v>
      </c>
      <c r="AO91" s="355"/>
      <c r="AP91" s="357"/>
      <c r="AQ91" s="355"/>
      <c r="AR91" s="352"/>
      <c r="AS91" s="358"/>
      <c r="AT91" s="604">
        <f>(34288+7979)/7</f>
        <v>6038.142857</v>
      </c>
      <c r="AU91" s="355"/>
      <c r="AV91" s="357"/>
      <c r="AW91" s="355"/>
      <c r="AX91" s="352"/>
      <c r="AY91" s="358"/>
      <c r="AZ91" s="605">
        <f>((17941+4788)/7)</f>
        <v>3247</v>
      </c>
      <c r="BA91" s="355"/>
      <c r="BB91" s="352"/>
      <c r="BC91" s="355"/>
      <c r="BD91" s="352"/>
      <c r="BE91" s="358"/>
      <c r="BF91" s="604">
        <f>24538/7</f>
        <v>3505.428571</v>
      </c>
      <c r="BG91" s="355"/>
      <c r="BH91" s="708"/>
      <c r="BI91" s="355"/>
      <c r="BJ91" s="352"/>
      <c r="BK91" s="358"/>
      <c r="BL91" s="357">
        <f>12174/7</f>
        <v>1739.142857</v>
      </c>
      <c r="BM91" s="355"/>
      <c r="BN91" s="708"/>
      <c r="BO91" s="355"/>
      <c r="BP91" s="352"/>
      <c r="BQ91" s="358"/>
      <c r="BR91" s="604">
        <f>11888/7</f>
        <v>1698.285714</v>
      </c>
      <c r="BS91" s="355"/>
      <c r="BT91" s="357"/>
      <c r="BU91" s="355"/>
      <c r="BV91" s="352"/>
      <c r="BW91" s="358"/>
      <c r="BX91" s="213"/>
      <c r="BY91" s="213"/>
      <c r="BZ91" s="213"/>
      <c r="CA91" s="213"/>
      <c r="CB91" s="213"/>
      <c r="CC91" s="213"/>
      <c r="CD91" s="213"/>
      <c r="CE91" s="213"/>
      <c r="CF91" s="213"/>
      <c r="CG91" s="213"/>
      <c r="CH91" s="213"/>
      <c r="CI91" s="213"/>
      <c r="CJ91" s="213"/>
      <c r="CK91" s="213"/>
      <c r="CL91" s="213"/>
      <c r="CM91" s="213"/>
      <c r="CN91" s="213"/>
      <c r="CO91" s="213"/>
      <c r="CP91" s="213"/>
      <c r="CQ91" s="213"/>
      <c r="CR91" s="213"/>
      <c r="CS91" s="213"/>
      <c r="CT91" s="213"/>
      <c r="CU91" s="213"/>
    </row>
    <row r="92" ht="15.75" customHeight="1">
      <c r="A92" s="213"/>
      <c r="B92" s="393"/>
      <c r="C92" s="350" t="s">
        <v>254</v>
      </c>
      <c r="D92" s="604"/>
      <c r="E92" s="355">
        <f t="shared" si="110"/>
        <v>0</v>
      </c>
      <c r="F92" s="357"/>
      <c r="G92" s="355">
        <f t="shared" si="111"/>
        <v>0</v>
      </c>
      <c r="H92" s="357">
        <f t="shared" si="134"/>
        <v>0</v>
      </c>
      <c r="I92" s="395" t="str">
        <f t="shared" si="135"/>
        <v>#DIV/0!</v>
      </c>
      <c r="J92" s="604"/>
      <c r="K92" s="355">
        <f t="shared" si="112"/>
        <v>0</v>
      </c>
      <c r="L92" s="357">
        <v>6000.0</v>
      </c>
      <c r="M92" s="355">
        <f t="shared" ref="M92:M98" si="136">L92/L$33</f>
        <v>0.0004858260528</v>
      </c>
      <c r="N92" s="352"/>
      <c r="O92" s="358"/>
      <c r="P92" s="604"/>
      <c r="Q92" s="355">
        <f t="shared" ref="Q92:Q98" si="137">P92/P$33</f>
        <v>0</v>
      </c>
      <c r="R92" s="357">
        <v>6000.0</v>
      </c>
      <c r="S92" s="355">
        <f t="shared" ref="S92:S98" si="138">R92/R$33</f>
        <v>0.0004590117308</v>
      </c>
      <c r="T92" s="352"/>
      <c r="U92" s="358"/>
      <c r="V92" s="604"/>
      <c r="W92" s="355">
        <f t="shared" ref="W92:W96" si="139">V92/V$33</f>
        <v>0</v>
      </c>
      <c r="X92" s="357">
        <v>6000.0</v>
      </c>
      <c r="Y92" s="355">
        <f t="shared" ref="Y92:Y93" si="140">X92/X$33</f>
        <v>0.0004421145694</v>
      </c>
      <c r="Z92" s="352"/>
      <c r="AA92" s="358"/>
      <c r="AB92" s="604"/>
      <c r="AC92" s="355">
        <f t="shared" ref="AC92:AC98" si="141">AB92/AB$33</f>
        <v>0</v>
      </c>
      <c r="AD92" s="357">
        <v>6000.0</v>
      </c>
      <c r="AE92" s="355">
        <f t="shared" ref="AE92:AE93" si="142">AD92/AD$33</f>
        <v>0.0004172429162</v>
      </c>
      <c r="AF92" s="352"/>
      <c r="AG92" s="358"/>
      <c r="AH92" s="604"/>
      <c r="AI92" s="355">
        <f t="shared" ref="AI92:AI97" si="143">AH92/AH$33</f>
        <v>0</v>
      </c>
      <c r="AJ92" s="357">
        <v>6000.0</v>
      </c>
      <c r="AK92" s="355">
        <f t="shared" ref="AK92:AK93" si="144">AJ92/AJ$33</f>
        <v>0.0004402243698</v>
      </c>
      <c r="AL92" s="352"/>
      <c r="AM92" s="358"/>
      <c r="AN92" s="604"/>
      <c r="AO92" s="355">
        <f t="shared" ref="AO92:AO97" si="145">AN92/AN$33</f>
        <v>0</v>
      </c>
      <c r="AP92" s="357">
        <v>6000.0</v>
      </c>
      <c r="AQ92" s="355">
        <f t="shared" ref="AQ92:AQ93" si="146">AP92/AP$33</f>
        <v>0.0003979586922</v>
      </c>
      <c r="AR92" s="352"/>
      <c r="AS92" s="358"/>
      <c r="AT92" s="604"/>
      <c r="AU92" s="355">
        <f t="shared" ref="AU92:AU98" si="147">AT92/AT$33</f>
        <v>0</v>
      </c>
      <c r="AV92" s="357">
        <v>6000.0</v>
      </c>
      <c r="AW92" s="355">
        <f t="shared" ref="AW92:AW93" si="148">AV92/AV$33</f>
        <v>0.000386332387</v>
      </c>
      <c r="AX92" s="352"/>
      <c r="AY92" s="358"/>
      <c r="AZ92" s="604"/>
      <c r="BA92" s="355">
        <f t="shared" ref="BA92:BA98" si="149">AZ92/AZ$33</f>
        <v>0</v>
      </c>
      <c r="BB92" s="352">
        <v>6000.0</v>
      </c>
      <c r="BC92" s="355">
        <f t="shared" ref="BC92:BC93" si="150">BB92/BB$33</f>
        <v>0.0003587428445</v>
      </c>
      <c r="BD92" s="352"/>
      <c r="BE92" s="358"/>
      <c r="BF92" s="604"/>
      <c r="BG92" s="355">
        <f t="shared" ref="BG92:BG98" si="151">BF92/BF$33</f>
        <v>0</v>
      </c>
      <c r="BH92" s="708">
        <v>6000.0</v>
      </c>
      <c r="BI92" s="355">
        <f t="shared" ref="BI92:BI93" si="152">BH92/BH$33</f>
        <v>0.0003696884889</v>
      </c>
      <c r="BJ92" s="352"/>
      <c r="BK92" s="358"/>
      <c r="BL92" s="708"/>
      <c r="BM92" s="355">
        <f t="shared" ref="BM92:BM98" si="153">BL92/BL$33</f>
        <v>0</v>
      </c>
      <c r="BN92" s="708">
        <v>6000.0</v>
      </c>
      <c r="BO92" s="355">
        <f t="shared" ref="BO92:BO93" si="154">BN92/BN$33</f>
        <v>0.0004409051734</v>
      </c>
      <c r="BP92" s="352"/>
      <c r="BQ92" s="358"/>
      <c r="BR92" s="604"/>
      <c r="BS92" s="355">
        <f t="shared" ref="BS92:BS98" si="155">BR92/BR$33</f>
        <v>0</v>
      </c>
      <c r="BT92" s="357">
        <v>6000.0</v>
      </c>
      <c r="BU92" s="355">
        <f t="shared" ref="BU92:BU93" si="156">BT92/BT$33</f>
        <v>0.0004028019148</v>
      </c>
      <c r="BV92" s="352"/>
      <c r="BW92" s="358"/>
      <c r="BX92" s="213"/>
      <c r="BY92" s="213"/>
      <c r="BZ92" s="213"/>
      <c r="CA92" s="213"/>
      <c r="CB92" s="213"/>
      <c r="CC92" s="213"/>
      <c r="CD92" s="213"/>
      <c r="CE92" s="213"/>
      <c r="CF92" s="213"/>
      <c r="CG92" s="213"/>
      <c r="CH92" s="213"/>
      <c r="CI92" s="213"/>
      <c r="CJ92" s="213"/>
      <c r="CK92" s="213"/>
      <c r="CL92" s="213"/>
      <c r="CM92" s="213"/>
      <c r="CN92" s="213"/>
      <c r="CO92" s="213"/>
      <c r="CP92" s="213"/>
      <c r="CQ92" s="213"/>
      <c r="CR92" s="213"/>
      <c r="CS92" s="213"/>
      <c r="CT92" s="213"/>
      <c r="CU92" s="213"/>
    </row>
    <row r="93" ht="15.75" customHeight="1">
      <c r="A93" s="213"/>
      <c r="B93" s="393"/>
      <c r="C93" s="350" t="s">
        <v>253</v>
      </c>
      <c r="D93" s="604"/>
      <c r="E93" s="355">
        <f t="shared" si="110"/>
        <v>0</v>
      </c>
      <c r="F93" s="352">
        <v>2788.0</v>
      </c>
      <c r="G93" s="355">
        <f t="shared" si="111"/>
        <v>0.0002152991839</v>
      </c>
      <c r="H93" s="357">
        <f t="shared" si="134"/>
        <v>-2788</v>
      </c>
      <c r="I93" s="395">
        <f t="shared" si="135"/>
        <v>-1</v>
      </c>
      <c r="J93" s="604"/>
      <c r="K93" s="355">
        <f t="shared" si="112"/>
        <v>0</v>
      </c>
      <c r="L93" s="352">
        <v>2788.0</v>
      </c>
      <c r="M93" s="355">
        <f t="shared" si="136"/>
        <v>0.0002257471725</v>
      </c>
      <c r="N93" s="352"/>
      <c r="O93" s="358"/>
      <c r="P93" s="604"/>
      <c r="Q93" s="355">
        <f t="shared" si="137"/>
        <v>0</v>
      </c>
      <c r="R93" s="352">
        <v>2788.0</v>
      </c>
      <c r="S93" s="355">
        <f t="shared" si="138"/>
        <v>0.0002132874509</v>
      </c>
      <c r="T93" s="352"/>
      <c r="U93" s="358"/>
      <c r="V93" s="604"/>
      <c r="W93" s="355">
        <f t="shared" si="139"/>
        <v>0</v>
      </c>
      <c r="X93" s="352">
        <v>2788.0</v>
      </c>
      <c r="Y93" s="355">
        <f t="shared" si="140"/>
        <v>0.0002054359033</v>
      </c>
      <c r="Z93" s="352"/>
      <c r="AA93" s="358"/>
      <c r="AB93" s="604"/>
      <c r="AC93" s="355">
        <f t="shared" si="141"/>
        <v>0</v>
      </c>
      <c r="AD93" s="357">
        <v>2788.0</v>
      </c>
      <c r="AE93" s="355">
        <f t="shared" si="142"/>
        <v>0.0001938788751</v>
      </c>
      <c r="AF93" s="352"/>
      <c r="AG93" s="358"/>
      <c r="AH93" s="604"/>
      <c r="AI93" s="355">
        <f t="shared" si="143"/>
        <v>0</v>
      </c>
      <c r="AJ93" s="352">
        <v>2788.0</v>
      </c>
      <c r="AK93" s="355">
        <f t="shared" si="144"/>
        <v>0.0002045575905</v>
      </c>
      <c r="AL93" s="352"/>
      <c r="AM93" s="358"/>
      <c r="AN93" s="604"/>
      <c r="AO93" s="355">
        <f t="shared" si="145"/>
        <v>0</v>
      </c>
      <c r="AP93" s="352">
        <v>2788.0</v>
      </c>
      <c r="AQ93" s="355">
        <f t="shared" si="146"/>
        <v>0.000184918139</v>
      </c>
      <c r="AR93" s="352"/>
      <c r="AS93" s="358"/>
      <c r="AT93" s="604">
        <v>708.0</v>
      </c>
      <c r="AU93" s="355">
        <f t="shared" si="147"/>
        <v>0.00005555769076</v>
      </c>
      <c r="AV93" s="352">
        <v>2788.0</v>
      </c>
      <c r="AW93" s="355">
        <f t="shared" si="148"/>
        <v>0.0001795157825</v>
      </c>
      <c r="AX93" s="352"/>
      <c r="AY93" s="358"/>
      <c r="AZ93" s="604"/>
      <c r="BA93" s="355">
        <f t="shared" si="149"/>
        <v>0</v>
      </c>
      <c r="BB93" s="352">
        <v>2788.0</v>
      </c>
      <c r="BC93" s="355">
        <f t="shared" si="150"/>
        <v>0.0001666958417</v>
      </c>
      <c r="BD93" s="352"/>
      <c r="BE93" s="358"/>
      <c r="BF93" s="604"/>
      <c r="BG93" s="355">
        <f t="shared" si="151"/>
        <v>0</v>
      </c>
      <c r="BH93" s="708">
        <v>2788.0</v>
      </c>
      <c r="BI93" s="355">
        <f t="shared" si="152"/>
        <v>0.0001717819178</v>
      </c>
      <c r="BJ93" s="352"/>
      <c r="BK93" s="358"/>
      <c r="BL93" s="708"/>
      <c r="BM93" s="355">
        <f t="shared" si="153"/>
        <v>0</v>
      </c>
      <c r="BN93" s="708">
        <v>2788.0</v>
      </c>
      <c r="BO93" s="355">
        <f t="shared" si="154"/>
        <v>0.0002048739372</v>
      </c>
      <c r="BP93" s="352"/>
      <c r="BQ93" s="358"/>
      <c r="BR93" s="604"/>
      <c r="BS93" s="355">
        <f t="shared" si="155"/>
        <v>0</v>
      </c>
      <c r="BT93" s="357">
        <v>2788.0</v>
      </c>
      <c r="BU93" s="355">
        <f t="shared" si="156"/>
        <v>0.0001871686231</v>
      </c>
      <c r="BV93" s="352"/>
      <c r="BW93" s="358"/>
      <c r="BX93" s="213"/>
      <c r="BY93" s="213"/>
      <c r="BZ93" s="213"/>
      <c r="CA93" s="213"/>
      <c r="CB93" s="213"/>
      <c r="CC93" s="213"/>
      <c r="CD93" s="213"/>
      <c r="CE93" s="213"/>
      <c r="CF93" s="213"/>
      <c r="CG93" s="213"/>
      <c r="CH93" s="213"/>
      <c r="CI93" s="213"/>
      <c r="CJ93" s="213"/>
      <c r="CK93" s="213"/>
      <c r="CL93" s="213"/>
      <c r="CM93" s="213"/>
      <c r="CN93" s="213"/>
      <c r="CO93" s="213"/>
      <c r="CP93" s="213"/>
      <c r="CQ93" s="213"/>
      <c r="CR93" s="213"/>
      <c r="CS93" s="213"/>
      <c r="CT93" s="213"/>
      <c r="CU93" s="213"/>
    </row>
    <row r="94" ht="15.75" customHeight="1">
      <c r="A94" s="213"/>
      <c r="B94" s="393"/>
      <c r="C94" s="661" t="s">
        <v>392</v>
      </c>
      <c r="D94" s="604">
        <v>0.0</v>
      </c>
      <c r="E94" s="355">
        <f t="shared" si="110"/>
        <v>0</v>
      </c>
      <c r="F94" s="352">
        <v>23600.0</v>
      </c>
      <c r="G94" s="355">
        <f t="shared" si="111"/>
        <v>0.001822475158</v>
      </c>
      <c r="H94" s="357"/>
      <c r="I94" s="395"/>
      <c r="J94" s="604">
        <v>6269.0</v>
      </c>
      <c r="K94" s="355">
        <f t="shared" si="112"/>
        <v>0.0004917641217</v>
      </c>
      <c r="L94" s="352">
        <v>23600.0</v>
      </c>
      <c r="M94" s="355">
        <f t="shared" si="136"/>
        <v>0.001910915808</v>
      </c>
      <c r="N94" s="352"/>
      <c r="O94" s="358"/>
      <c r="P94" s="604">
        <v>6590.0</v>
      </c>
      <c r="Q94" s="355">
        <f t="shared" si="137"/>
        <v>0.0005833497981</v>
      </c>
      <c r="R94" s="352">
        <v>47200.0</v>
      </c>
      <c r="S94" s="355">
        <f t="shared" si="138"/>
        <v>0.003610892282</v>
      </c>
      <c r="T94" s="352"/>
      <c r="U94" s="358"/>
      <c r="V94" s="604">
        <v>13262.0</v>
      </c>
      <c r="W94" s="355">
        <f t="shared" si="139"/>
        <v>0.0009455883157</v>
      </c>
      <c r="X94" s="352">
        <v>59000.0</v>
      </c>
      <c r="Y94" s="355"/>
      <c r="Z94" s="352"/>
      <c r="AA94" s="358"/>
      <c r="AB94" s="604">
        <v>26571.0</v>
      </c>
      <c r="AC94" s="355">
        <f t="shared" si="141"/>
        <v>0.001876251434</v>
      </c>
      <c r="AD94" s="357">
        <v>70800.0</v>
      </c>
      <c r="AE94" s="355"/>
      <c r="AF94" s="352"/>
      <c r="AG94" s="358"/>
      <c r="AH94" s="604">
        <v>33952.0</v>
      </c>
      <c r="AI94" s="355">
        <f t="shared" si="143"/>
        <v>0.002845721888</v>
      </c>
      <c r="AJ94" s="352">
        <v>82600.0</v>
      </c>
      <c r="AK94" s="355"/>
      <c r="AL94" s="352"/>
      <c r="AM94" s="358"/>
      <c r="AN94" s="604">
        <v>51343.0</v>
      </c>
      <c r="AO94" s="355">
        <f t="shared" si="145"/>
        <v>0.004051178532</v>
      </c>
      <c r="AP94" s="352">
        <v>94400.0</v>
      </c>
      <c r="AQ94" s="355"/>
      <c r="AR94" s="352"/>
      <c r="AS94" s="358"/>
      <c r="AT94" s="604">
        <v>73061.0</v>
      </c>
      <c r="AU94" s="355">
        <f t="shared" si="147"/>
        <v>0.005733192718</v>
      </c>
      <c r="AV94" s="352"/>
      <c r="AW94" s="355"/>
      <c r="AX94" s="352"/>
      <c r="AY94" s="358"/>
      <c r="AZ94" s="628">
        <v>93752.0</v>
      </c>
      <c r="BA94" s="355">
        <f t="shared" si="149"/>
        <v>0.005235656142</v>
      </c>
      <c r="BB94" s="352"/>
      <c r="BC94" s="355"/>
      <c r="BD94" s="352"/>
      <c r="BE94" s="358"/>
      <c r="BF94" s="628">
        <v>77261.0</v>
      </c>
      <c r="BG94" s="355">
        <f t="shared" si="151"/>
        <v>0.004473732067</v>
      </c>
      <c r="BH94" s="708"/>
      <c r="BI94" s="355"/>
      <c r="BJ94" s="352"/>
      <c r="BK94" s="358"/>
      <c r="BL94" s="708">
        <v>64646.0</v>
      </c>
      <c r="BM94" s="355">
        <f t="shared" si="153"/>
        <v>0.003820066947</v>
      </c>
      <c r="BN94" s="708"/>
      <c r="BO94" s="355"/>
      <c r="BP94" s="352"/>
      <c r="BQ94" s="358"/>
      <c r="BR94" s="628">
        <v>75440.0</v>
      </c>
      <c r="BS94" s="355">
        <f t="shared" si="155"/>
        <v>0.005079581139</v>
      </c>
      <c r="BT94" s="357"/>
      <c r="BU94" s="355"/>
      <c r="BV94" s="352"/>
      <c r="BW94" s="358"/>
      <c r="BX94" s="213"/>
      <c r="BY94" s="213"/>
      <c r="BZ94" s="213"/>
      <c r="CA94" s="213"/>
      <c r="CB94" s="213"/>
      <c r="CC94" s="213"/>
      <c r="CD94" s="213"/>
      <c r="CE94" s="213"/>
      <c r="CF94" s="213"/>
      <c r="CG94" s="213"/>
      <c r="CH94" s="213"/>
      <c r="CI94" s="213"/>
      <c r="CJ94" s="213"/>
      <c r="CK94" s="213"/>
      <c r="CL94" s="213"/>
      <c r="CM94" s="213"/>
      <c r="CN94" s="213"/>
      <c r="CO94" s="213"/>
      <c r="CP94" s="213"/>
      <c r="CQ94" s="213"/>
      <c r="CR94" s="213"/>
      <c r="CS94" s="213"/>
      <c r="CT94" s="213"/>
      <c r="CU94" s="213"/>
    </row>
    <row r="95" ht="15.75" customHeight="1">
      <c r="A95" s="213"/>
      <c r="B95" s="393"/>
      <c r="C95" s="661" t="s">
        <v>393</v>
      </c>
      <c r="D95" s="604">
        <f>(5408+29500)*2</f>
        <v>69816</v>
      </c>
      <c r="E95" s="355">
        <f t="shared" si="110"/>
        <v>0.005620957114</v>
      </c>
      <c r="F95" s="605">
        <v>26550.0</v>
      </c>
      <c r="G95" s="355">
        <f t="shared" si="111"/>
        <v>0.002050284552</v>
      </c>
      <c r="H95" s="357">
        <f t="shared" ref="H95:H97" si="157">D95-F95</f>
        <v>43266</v>
      </c>
      <c r="I95" s="395">
        <f>H95/F95</f>
        <v>1.62960452</v>
      </c>
      <c r="J95" s="604">
        <f>(5408+29500)*2</f>
        <v>69816</v>
      </c>
      <c r="K95" s="355">
        <f t="shared" si="112"/>
        <v>0.005476631667</v>
      </c>
      <c r="L95" s="605">
        <v>26550.0</v>
      </c>
      <c r="M95" s="355">
        <f t="shared" si="136"/>
        <v>0.002149780284</v>
      </c>
      <c r="N95" s="352"/>
      <c r="O95" s="358"/>
      <c r="P95" s="604">
        <f>(5408+29500)*2</f>
        <v>69816</v>
      </c>
      <c r="Q95" s="355">
        <f t="shared" si="137"/>
        <v>0.006180144083</v>
      </c>
      <c r="R95" s="352">
        <v>40000.0</v>
      </c>
      <c r="S95" s="355">
        <f t="shared" si="138"/>
        <v>0.003060078205</v>
      </c>
      <c r="T95" s="352"/>
      <c r="U95" s="358"/>
      <c r="V95" s="604">
        <f>(5408+29500)*2</f>
        <v>69816</v>
      </c>
      <c r="W95" s="355">
        <f t="shared" si="139"/>
        <v>0.004977921418</v>
      </c>
      <c r="X95" s="352">
        <v>50000.0</v>
      </c>
      <c r="Y95" s="355">
        <f t="shared" ref="Y95:Y97" si="158">X95/X$33</f>
        <v>0.003684288079</v>
      </c>
      <c r="Z95" s="352"/>
      <c r="AA95" s="358"/>
      <c r="AB95" s="604">
        <f>(5408+29500)*2</f>
        <v>69816</v>
      </c>
      <c r="AC95" s="355">
        <f t="shared" si="141"/>
        <v>0.004929899897</v>
      </c>
      <c r="AD95" s="357">
        <v>60000.0</v>
      </c>
      <c r="AE95" s="355">
        <f t="shared" ref="AE95:AE98" si="159">AD95/AD$33</f>
        <v>0.004172429162</v>
      </c>
      <c r="AF95" s="352"/>
      <c r="AG95" s="358"/>
      <c r="AH95" s="604">
        <f>(5408+29500)*2</f>
        <v>69816</v>
      </c>
      <c r="AI95" s="355">
        <f t="shared" si="143"/>
        <v>0.005851700028</v>
      </c>
      <c r="AJ95" s="352">
        <v>70000.0</v>
      </c>
      <c r="AK95" s="355">
        <f t="shared" ref="AK95:AK97" si="160">AJ95/AJ$33</f>
        <v>0.005135950981</v>
      </c>
      <c r="AL95" s="352"/>
      <c r="AM95" s="358"/>
      <c r="AN95" s="604">
        <f>(5408+29500)*2</f>
        <v>69816</v>
      </c>
      <c r="AO95" s="355">
        <f t="shared" si="145"/>
        <v>0.005508775888</v>
      </c>
      <c r="AP95" s="352">
        <v>80000.0</v>
      </c>
      <c r="AQ95" s="355">
        <f t="shared" ref="AQ95:AQ97" si="161">AP95/AP$33</f>
        <v>0.005306115896</v>
      </c>
      <c r="AR95" s="352"/>
      <c r="AS95" s="358"/>
      <c r="AT95" s="604">
        <f>(5408+29500)*2</f>
        <v>69816</v>
      </c>
      <c r="AU95" s="355">
        <f t="shared" si="147"/>
        <v>0.005478553302</v>
      </c>
      <c r="AV95" s="352">
        <v>90000.0</v>
      </c>
      <c r="AW95" s="355">
        <f t="shared" ref="AW95:AW97" si="162">AV95/AV$33</f>
        <v>0.005794985805</v>
      </c>
      <c r="AX95" s="352"/>
      <c r="AY95" s="358"/>
      <c r="AZ95" s="604">
        <f>(5408+29500)*2</f>
        <v>69816</v>
      </c>
      <c r="BA95" s="355">
        <f t="shared" si="149"/>
        <v>0.003898930894</v>
      </c>
      <c r="BB95" s="352">
        <v>90000.0</v>
      </c>
      <c r="BC95" s="355">
        <f t="shared" ref="BC95:BC97" si="163">BB95/BB$33</f>
        <v>0.005381142667</v>
      </c>
      <c r="BD95" s="352"/>
      <c r="BE95" s="358"/>
      <c r="BF95" s="604">
        <f>(5408+29500)*2</f>
        <v>69816</v>
      </c>
      <c r="BG95" s="355">
        <f t="shared" si="151"/>
        <v>0.004042635715</v>
      </c>
      <c r="BH95" s="708">
        <v>120000.0</v>
      </c>
      <c r="BI95" s="355">
        <f t="shared" ref="BI95:BI97" si="164">BH95/BH$33</f>
        <v>0.007393769778</v>
      </c>
      <c r="BJ95" s="352"/>
      <c r="BK95" s="358"/>
      <c r="BL95" s="604">
        <f>(5408+29500)*2</f>
        <v>69816</v>
      </c>
      <c r="BM95" s="355">
        <f t="shared" si="153"/>
        <v>0.004125573028</v>
      </c>
      <c r="BN95" s="708">
        <v>100000.0</v>
      </c>
      <c r="BO95" s="355">
        <f t="shared" ref="BO95:BO97" si="165">BN95/BN$33</f>
        <v>0.007348419557</v>
      </c>
      <c r="BP95" s="352"/>
      <c r="BQ95" s="358"/>
      <c r="BR95" s="604">
        <f>(5408+29500)*2</f>
        <v>69816</v>
      </c>
      <c r="BS95" s="355">
        <f t="shared" si="155"/>
        <v>0.004700901867</v>
      </c>
      <c r="BT95" s="357">
        <v>120000.0</v>
      </c>
      <c r="BU95" s="355">
        <f t="shared" ref="BU95:BU97" si="166">BT95/BT$33</f>
        <v>0.008056038296</v>
      </c>
      <c r="BV95" s="352"/>
      <c r="BW95" s="358"/>
      <c r="BX95" s="213"/>
      <c r="BY95" s="213"/>
      <c r="BZ95" s="213"/>
      <c r="CA95" s="213"/>
      <c r="CB95" s="213"/>
      <c r="CC95" s="213"/>
      <c r="CD95" s="213"/>
      <c r="CE95" s="213"/>
      <c r="CF95" s="213"/>
      <c r="CG95" s="213"/>
      <c r="CH95" s="213"/>
      <c r="CI95" s="213"/>
      <c r="CJ95" s="213"/>
      <c r="CK95" s="213"/>
      <c r="CL95" s="213"/>
      <c r="CM95" s="213"/>
      <c r="CN95" s="213"/>
      <c r="CO95" s="213"/>
      <c r="CP95" s="213"/>
      <c r="CQ95" s="213"/>
      <c r="CR95" s="213"/>
      <c r="CS95" s="213"/>
      <c r="CT95" s="213"/>
      <c r="CU95" s="213"/>
    </row>
    <row r="96" ht="15.75" customHeight="1">
      <c r="A96" s="213"/>
      <c r="B96" s="393"/>
      <c r="C96" s="350" t="s">
        <v>394</v>
      </c>
      <c r="D96" s="604">
        <v>0.0</v>
      </c>
      <c r="E96" s="355">
        <f t="shared" si="110"/>
        <v>0</v>
      </c>
      <c r="F96" s="352">
        <v>0.0</v>
      </c>
      <c r="G96" s="355">
        <f t="shared" si="111"/>
        <v>0</v>
      </c>
      <c r="H96" s="357">
        <f t="shared" si="157"/>
        <v>0</v>
      </c>
      <c r="I96" s="395">
        <v>0.0</v>
      </c>
      <c r="J96" s="604">
        <v>14951.0</v>
      </c>
      <c r="K96" s="355">
        <f t="shared" si="112"/>
        <v>0.00117281311</v>
      </c>
      <c r="L96" s="352">
        <v>15000.0</v>
      </c>
      <c r="M96" s="355">
        <f t="shared" si="136"/>
        <v>0.001214565132</v>
      </c>
      <c r="N96" s="352"/>
      <c r="O96" s="358"/>
      <c r="P96" s="604">
        <v>14700.0</v>
      </c>
      <c r="Q96" s="355">
        <f t="shared" si="137"/>
        <v>0.001301250688</v>
      </c>
      <c r="R96" s="352">
        <v>25000.0</v>
      </c>
      <c r="S96" s="355">
        <f t="shared" si="138"/>
        <v>0.001912548878</v>
      </c>
      <c r="T96" s="352"/>
      <c r="U96" s="358"/>
      <c r="V96" s="604">
        <v>26377.0</v>
      </c>
      <c r="W96" s="355">
        <f t="shared" si="139"/>
        <v>0.001880695446</v>
      </c>
      <c r="X96" s="352">
        <v>25000.0</v>
      </c>
      <c r="Y96" s="355">
        <f t="shared" si="158"/>
        <v>0.001842144039</v>
      </c>
      <c r="Z96" s="352"/>
      <c r="AA96" s="358"/>
      <c r="AB96" s="604">
        <v>16630.0</v>
      </c>
      <c r="AC96" s="355">
        <f t="shared" si="141"/>
        <v>0.001174290066</v>
      </c>
      <c r="AD96" s="357">
        <v>25000.0</v>
      </c>
      <c r="AE96" s="355">
        <f t="shared" si="159"/>
        <v>0.001738512151</v>
      </c>
      <c r="AF96" s="352"/>
      <c r="AG96" s="358"/>
      <c r="AH96" s="604">
        <v>42170.0</v>
      </c>
      <c r="AI96" s="355">
        <f t="shared" si="143"/>
        <v>0.003534522032</v>
      </c>
      <c r="AJ96" s="352">
        <v>25000.0</v>
      </c>
      <c r="AK96" s="355">
        <f t="shared" si="160"/>
        <v>0.001834268207</v>
      </c>
      <c r="AL96" s="352"/>
      <c r="AM96" s="358"/>
      <c r="AN96" s="604">
        <v>59835.0</v>
      </c>
      <c r="AO96" s="355">
        <f t="shared" si="145"/>
        <v>0.00472123303</v>
      </c>
      <c r="AP96" s="352">
        <v>30000.0</v>
      </c>
      <c r="AQ96" s="355">
        <f t="shared" si="161"/>
        <v>0.001989793461</v>
      </c>
      <c r="AR96" s="352"/>
      <c r="AS96" s="358"/>
      <c r="AT96" s="604">
        <v>48950.0</v>
      </c>
      <c r="AU96" s="355">
        <f t="shared" si="147"/>
        <v>0.003841170851</v>
      </c>
      <c r="AV96" s="352">
        <v>30000.0</v>
      </c>
      <c r="AW96" s="355">
        <f t="shared" si="162"/>
        <v>0.001931661935</v>
      </c>
      <c r="AX96" s="352"/>
      <c r="AY96" s="358"/>
      <c r="AZ96" s="628">
        <v>60753.0</v>
      </c>
      <c r="BA96" s="355">
        <f t="shared" si="149"/>
        <v>0.003392800341</v>
      </c>
      <c r="BB96" s="352">
        <v>40000.0</v>
      </c>
      <c r="BC96" s="355">
        <f t="shared" si="163"/>
        <v>0.002391618963</v>
      </c>
      <c r="BD96" s="352"/>
      <c r="BE96" s="358"/>
      <c r="BF96" s="628">
        <v>45769.0</v>
      </c>
      <c r="BG96" s="355">
        <f t="shared" si="151"/>
        <v>0.002650214765</v>
      </c>
      <c r="BH96" s="708">
        <v>40000.0</v>
      </c>
      <c r="BI96" s="355">
        <f t="shared" si="164"/>
        <v>0.002464589926</v>
      </c>
      <c r="BJ96" s="352"/>
      <c r="BK96" s="358"/>
      <c r="BL96" s="708">
        <v>39161.0</v>
      </c>
      <c r="BM96" s="355">
        <f t="shared" si="153"/>
        <v>0.002314105153</v>
      </c>
      <c r="BN96" s="708">
        <v>40000.0</v>
      </c>
      <c r="BO96" s="355">
        <f t="shared" si="165"/>
        <v>0.002939367823</v>
      </c>
      <c r="BP96" s="352"/>
      <c r="BQ96" s="358"/>
      <c r="BR96" s="628">
        <v>44198.0</v>
      </c>
      <c r="BS96" s="355">
        <f t="shared" si="155"/>
        <v>0.002975971994</v>
      </c>
      <c r="BT96" s="357">
        <v>40000.0</v>
      </c>
      <c r="BU96" s="355">
        <f t="shared" si="166"/>
        <v>0.002685346099</v>
      </c>
      <c r="BV96" s="352"/>
      <c r="BW96" s="358"/>
      <c r="BX96" s="213"/>
      <c r="BY96" s="213"/>
      <c r="BZ96" s="213"/>
      <c r="CA96" s="213"/>
      <c r="CB96" s="213"/>
      <c r="CC96" s="213"/>
      <c r="CD96" s="213"/>
      <c r="CE96" s="213"/>
      <c r="CF96" s="213"/>
      <c r="CG96" s="213"/>
      <c r="CH96" s="213"/>
      <c r="CI96" s="213"/>
      <c r="CJ96" s="213"/>
      <c r="CK96" s="213"/>
      <c r="CL96" s="213"/>
      <c r="CM96" s="213"/>
      <c r="CN96" s="213"/>
      <c r="CO96" s="213"/>
      <c r="CP96" s="213"/>
      <c r="CQ96" s="213"/>
      <c r="CR96" s="213"/>
      <c r="CS96" s="213"/>
      <c r="CT96" s="213"/>
      <c r="CU96" s="213"/>
    </row>
    <row r="97" ht="15.75" customHeight="1">
      <c r="A97" s="213"/>
      <c r="B97" s="393"/>
      <c r="C97" s="661" t="s">
        <v>395</v>
      </c>
      <c r="D97" s="604">
        <f>8868/3</f>
        <v>2956</v>
      </c>
      <c r="E97" s="355">
        <f t="shared" si="110"/>
        <v>0.0002379905642</v>
      </c>
      <c r="F97" s="352">
        <v>6693.0</v>
      </c>
      <c r="G97" s="355">
        <f t="shared" si="111"/>
        <v>0.0005168570436</v>
      </c>
      <c r="H97" s="357">
        <f t="shared" si="157"/>
        <v>-3737</v>
      </c>
      <c r="I97" s="395">
        <f>H97/F97</f>
        <v>-0.5583445391</v>
      </c>
      <c r="J97" s="604">
        <f>(8262+2592)/3</f>
        <v>3618</v>
      </c>
      <c r="K97" s="355">
        <f t="shared" si="112"/>
        <v>0.0002838096335</v>
      </c>
      <c r="L97" s="352">
        <v>6693.0</v>
      </c>
      <c r="M97" s="355">
        <f t="shared" si="136"/>
        <v>0.0005419389619</v>
      </c>
      <c r="N97" s="352"/>
      <c r="O97" s="358"/>
      <c r="P97" s="604">
        <f>8511/3</f>
        <v>2837</v>
      </c>
      <c r="Q97" s="355">
        <f t="shared" si="137"/>
        <v>0.0002511325307</v>
      </c>
      <c r="R97" s="352">
        <v>6693.0</v>
      </c>
      <c r="S97" s="355">
        <f t="shared" si="138"/>
        <v>0.0005120275857</v>
      </c>
      <c r="T97" s="352"/>
      <c r="U97" s="358"/>
      <c r="W97" s="355">
        <f>V91/V$33</f>
        <v>0.0002062725831</v>
      </c>
      <c r="X97" s="352">
        <v>6693.0</v>
      </c>
      <c r="Y97" s="355">
        <f t="shared" si="158"/>
        <v>0.0004931788022</v>
      </c>
      <c r="Z97" s="352"/>
      <c r="AA97" s="358"/>
      <c r="AB97" s="604"/>
      <c r="AC97" s="355">
        <f t="shared" si="141"/>
        <v>0</v>
      </c>
      <c r="AD97" s="357">
        <v>6693.0</v>
      </c>
      <c r="AE97" s="355">
        <f t="shared" si="159"/>
        <v>0.000465434473</v>
      </c>
      <c r="AF97" s="352"/>
      <c r="AG97" s="358"/>
      <c r="AH97" s="604"/>
      <c r="AI97" s="355">
        <f t="shared" si="143"/>
        <v>0</v>
      </c>
      <c r="AJ97" s="352">
        <v>6693.0</v>
      </c>
      <c r="AK97" s="355">
        <f t="shared" si="160"/>
        <v>0.0004910702845</v>
      </c>
      <c r="AL97" s="352"/>
      <c r="AM97" s="358"/>
      <c r="AN97" s="604"/>
      <c r="AO97" s="355">
        <f t="shared" si="145"/>
        <v>0</v>
      </c>
      <c r="AP97" s="352">
        <v>6693.0</v>
      </c>
      <c r="AQ97" s="355">
        <f t="shared" si="161"/>
        <v>0.0004439229212</v>
      </c>
      <c r="AR97" s="352"/>
      <c r="AS97" s="358"/>
      <c r="AT97" s="604">
        <f>21526/3</f>
        <v>7175.333333</v>
      </c>
      <c r="AU97" s="355">
        <f t="shared" si="147"/>
        <v>0.0005630578396</v>
      </c>
      <c r="AV97" s="352">
        <v>6693.0</v>
      </c>
      <c r="AW97" s="355">
        <f t="shared" si="162"/>
        <v>0.0004309537777</v>
      </c>
      <c r="AX97" s="352"/>
      <c r="AY97" s="358"/>
      <c r="AZ97" s="604"/>
      <c r="BA97" s="355">
        <f t="shared" si="149"/>
        <v>0</v>
      </c>
      <c r="BB97" s="352">
        <v>6693.0</v>
      </c>
      <c r="BC97" s="355">
        <f t="shared" si="163"/>
        <v>0.000400177643</v>
      </c>
      <c r="BD97" s="352"/>
      <c r="BE97" s="358"/>
      <c r="BF97" s="604"/>
      <c r="BG97" s="355">
        <f t="shared" si="151"/>
        <v>0</v>
      </c>
      <c r="BH97" s="708">
        <v>6693.0</v>
      </c>
      <c r="BI97" s="355">
        <f t="shared" si="164"/>
        <v>0.0004123875094</v>
      </c>
      <c r="BJ97" s="352"/>
      <c r="BK97" s="358"/>
      <c r="BL97" s="708">
        <f>8915/3</f>
        <v>2971.666667</v>
      </c>
      <c r="BM97" s="355">
        <f t="shared" si="153"/>
        <v>0.0001756019802</v>
      </c>
      <c r="BN97" s="708">
        <v>6693.0</v>
      </c>
      <c r="BO97" s="355">
        <f t="shared" si="165"/>
        <v>0.0004918297209</v>
      </c>
      <c r="BP97" s="352"/>
      <c r="BQ97" s="358"/>
      <c r="BR97" s="604"/>
      <c r="BS97" s="355">
        <f t="shared" si="155"/>
        <v>0</v>
      </c>
      <c r="BT97" s="357">
        <v>6693.0</v>
      </c>
      <c r="BU97" s="355">
        <f t="shared" si="166"/>
        <v>0.0004493255359</v>
      </c>
      <c r="BV97" s="352"/>
      <c r="BW97" s="358"/>
      <c r="BX97" s="213"/>
      <c r="BY97" s="213"/>
      <c r="BZ97" s="213"/>
      <c r="CA97" s="213"/>
      <c r="CB97" s="213"/>
      <c r="CC97" s="213"/>
      <c r="CD97" s="213"/>
      <c r="CE97" s="213"/>
      <c r="CF97" s="213"/>
      <c r="CG97" s="213"/>
      <c r="CH97" s="213"/>
      <c r="CI97" s="213"/>
      <c r="CJ97" s="213"/>
      <c r="CK97" s="213"/>
      <c r="CL97" s="213"/>
      <c r="CM97" s="213"/>
      <c r="CN97" s="213"/>
      <c r="CO97" s="213"/>
      <c r="CP97" s="213"/>
      <c r="CQ97" s="213"/>
      <c r="CR97" s="213"/>
      <c r="CS97" s="213"/>
      <c r="CT97" s="213"/>
      <c r="CU97" s="213"/>
    </row>
    <row r="98" ht="15.75" customHeight="1">
      <c r="A98" s="213"/>
      <c r="B98" s="393"/>
      <c r="C98" s="350" t="s">
        <v>256</v>
      </c>
      <c r="D98" s="604">
        <f>(113280/3)/12</f>
        <v>3146.666667</v>
      </c>
      <c r="E98" s="355">
        <f t="shared" si="110"/>
        <v>0.0002533413313</v>
      </c>
      <c r="F98" s="352">
        <v>3147.0</v>
      </c>
      <c r="G98" s="355">
        <f t="shared" si="111"/>
        <v>0.0002430224289</v>
      </c>
      <c r="H98" s="357"/>
      <c r="I98" s="395"/>
      <c r="J98" s="604">
        <f>(113280/3)/12</f>
        <v>3146.666667</v>
      </c>
      <c r="K98" s="355">
        <f t="shared" si="112"/>
        <v>0.0002468364603</v>
      </c>
      <c r="L98" s="352">
        <v>3147.0</v>
      </c>
      <c r="M98" s="355">
        <f t="shared" si="136"/>
        <v>0.0002548157647</v>
      </c>
      <c r="N98" s="352"/>
      <c r="O98" s="358"/>
      <c r="P98" s="604">
        <f>(28320/3)/12</f>
        <v>786.6666667</v>
      </c>
      <c r="Q98" s="355">
        <f t="shared" si="137"/>
        <v>0.00006963609123</v>
      </c>
      <c r="R98" s="352">
        <v>787.0</v>
      </c>
      <c r="S98" s="355">
        <f t="shared" si="138"/>
        <v>0.00006020703869</v>
      </c>
      <c r="T98" s="352"/>
      <c r="U98" s="358"/>
      <c r="V98" s="604">
        <f>(28320/3)/12</f>
        <v>786.6666667</v>
      </c>
      <c r="W98" s="355">
        <f>V98/V$33</f>
        <v>0.00005608979101</v>
      </c>
      <c r="X98" s="352">
        <v>787.0</v>
      </c>
      <c r="Y98" s="355"/>
      <c r="Z98" s="352"/>
      <c r="AA98" s="358"/>
      <c r="AB98" s="604">
        <f>(28320/3)/12</f>
        <v>786.6666667</v>
      </c>
      <c r="AC98" s="355">
        <f t="shared" si="141"/>
        <v>0.00005554869827</v>
      </c>
      <c r="AD98" s="357">
        <v>787.0</v>
      </c>
      <c r="AE98" s="355">
        <f t="shared" si="159"/>
        <v>0.00005472836251</v>
      </c>
      <c r="AF98" s="352"/>
      <c r="AG98" s="358"/>
      <c r="AH98" s="604">
        <f>(28320/3)/12</f>
        <v>786.6666667</v>
      </c>
      <c r="AI98" s="355"/>
      <c r="AJ98" s="352">
        <v>787.0</v>
      </c>
      <c r="AK98" s="355"/>
      <c r="AL98" s="352"/>
      <c r="AM98" s="358"/>
      <c r="AN98" s="604">
        <f>(28320/3)/12</f>
        <v>786.6666667</v>
      </c>
      <c r="AO98" s="355"/>
      <c r="AP98" s="352"/>
      <c r="AQ98" s="355"/>
      <c r="AR98" s="352"/>
      <c r="AS98" s="358"/>
      <c r="AT98" s="604">
        <f>(28320/3)/12</f>
        <v>786.6666667</v>
      </c>
      <c r="AU98" s="355">
        <f t="shared" si="147"/>
        <v>0.00006173076751</v>
      </c>
      <c r="AV98" s="352"/>
      <c r="AW98" s="355"/>
      <c r="AX98" s="352"/>
      <c r="AY98" s="358"/>
      <c r="AZ98" s="604">
        <f>(28320/3)/12</f>
        <v>786.6666667</v>
      </c>
      <c r="BA98" s="355">
        <f t="shared" si="149"/>
        <v>0.00004393203521</v>
      </c>
      <c r="BB98" s="352"/>
      <c r="BC98" s="355"/>
      <c r="BD98" s="352"/>
      <c r="BE98" s="358"/>
      <c r="BF98" s="604">
        <f>(28320/3)/12</f>
        <v>786.6666667</v>
      </c>
      <c r="BG98" s="355">
        <f t="shared" si="151"/>
        <v>0.00004555125992</v>
      </c>
      <c r="BH98" s="708"/>
      <c r="BI98" s="355"/>
      <c r="BJ98" s="352"/>
      <c r="BK98" s="358"/>
      <c r="BL98" s="708">
        <f>(28320/3)/12</f>
        <v>786.6666667</v>
      </c>
      <c r="BM98" s="355">
        <f t="shared" si="153"/>
        <v>0.00004648577378</v>
      </c>
      <c r="BN98" s="708"/>
      <c r="BO98" s="355"/>
      <c r="BP98" s="352"/>
      <c r="BQ98" s="358"/>
      <c r="BR98" s="604">
        <f>(28320/3)/12</f>
        <v>786.6666667</v>
      </c>
      <c r="BS98" s="355">
        <f t="shared" si="155"/>
        <v>0.00005296841414</v>
      </c>
      <c r="BT98" s="357"/>
      <c r="BU98" s="355"/>
      <c r="BV98" s="245"/>
      <c r="BW98" s="350"/>
      <c r="BX98" s="213"/>
      <c r="BY98" s="213"/>
      <c r="BZ98" s="213"/>
      <c r="CA98" s="213"/>
      <c r="CB98" s="213"/>
      <c r="CC98" s="213"/>
      <c r="CD98" s="213"/>
      <c r="CE98" s="213"/>
      <c r="CF98" s="213"/>
      <c r="CG98" s="213"/>
      <c r="CH98" s="213"/>
      <c r="CI98" s="213"/>
      <c r="CJ98" s="213"/>
      <c r="CK98" s="213"/>
      <c r="CL98" s="213"/>
      <c r="CM98" s="213"/>
      <c r="CN98" s="213"/>
      <c r="CO98" s="213"/>
      <c r="CP98" s="213"/>
      <c r="CQ98" s="213"/>
      <c r="CR98" s="213"/>
      <c r="CS98" s="213"/>
      <c r="CT98" s="213"/>
      <c r="CU98" s="213"/>
    </row>
    <row r="99" ht="15.75" customHeight="1">
      <c r="A99" s="213"/>
      <c r="B99" s="393"/>
      <c r="C99" s="723"/>
      <c r="D99" s="604"/>
      <c r="E99" s="352"/>
      <c r="F99" s="352"/>
      <c r="G99" s="352"/>
      <c r="H99" s="357"/>
      <c r="I99" s="395"/>
      <c r="J99" s="604"/>
      <c r="K99" s="352"/>
      <c r="L99" s="352"/>
      <c r="M99" s="352"/>
      <c r="N99" s="352"/>
      <c r="O99" s="358"/>
      <c r="P99" s="349"/>
      <c r="Q99" s="352"/>
      <c r="R99" s="352"/>
      <c r="S99" s="352"/>
      <c r="T99" s="352"/>
      <c r="U99" s="358"/>
      <c r="V99" s="604"/>
      <c r="W99" s="352"/>
      <c r="X99" s="352"/>
      <c r="Y99" s="352"/>
      <c r="Z99" s="352"/>
      <c r="AA99" s="358"/>
      <c r="AB99" s="604"/>
      <c r="AC99" s="352"/>
      <c r="AD99" s="357"/>
      <c r="AE99" s="352"/>
      <c r="AF99" s="352"/>
      <c r="AG99" s="358"/>
      <c r="AH99" s="604"/>
      <c r="AI99" s="352"/>
      <c r="AJ99" s="352"/>
      <c r="AK99" s="352"/>
      <c r="AL99" s="352"/>
      <c r="AM99" s="358"/>
      <c r="AN99" s="604"/>
      <c r="AO99" s="352"/>
      <c r="AP99" s="352"/>
      <c r="AQ99" s="352"/>
      <c r="AR99" s="352"/>
      <c r="AS99" s="358"/>
      <c r="AT99" s="604"/>
      <c r="AU99" s="352"/>
      <c r="AV99" s="352"/>
      <c r="AW99" s="352"/>
      <c r="AX99" s="352"/>
      <c r="AY99" s="358"/>
      <c r="AZ99" s="604"/>
      <c r="BA99" s="352"/>
      <c r="BB99" s="352"/>
      <c r="BC99" s="352"/>
      <c r="BD99" s="352"/>
      <c r="BE99" s="358"/>
      <c r="BF99" s="604"/>
      <c r="BG99" s="352"/>
      <c r="BH99" s="352"/>
      <c r="BI99" s="352"/>
      <c r="BJ99" s="352"/>
      <c r="BK99" s="358"/>
      <c r="BL99" s="604"/>
      <c r="BM99" s="352"/>
      <c r="BN99" s="357"/>
      <c r="BO99" s="352"/>
      <c r="BP99" s="352"/>
      <c r="BQ99" s="358"/>
      <c r="BR99" s="604"/>
      <c r="BS99" s="352"/>
      <c r="BT99" s="357"/>
      <c r="BU99" s="352"/>
      <c r="BV99" s="352"/>
      <c r="BW99" s="358"/>
      <c r="BX99" s="213"/>
      <c r="BY99" s="213"/>
      <c r="BZ99" s="213"/>
      <c r="CA99" s="213"/>
      <c r="CB99" s="213"/>
      <c r="CC99" s="213"/>
      <c r="CD99" s="213"/>
      <c r="CE99" s="213"/>
      <c r="CF99" s="213"/>
      <c r="CG99" s="213"/>
      <c r="CH99" s="213"/>
      <c r="CI99" s="213"/>
      <c r="CJ99" s="213"/>
      <c r="CK99" s="213"/>
      <c r="CL99" s="213"/>
      <c r="CM99" s="213"/>
      <c r="CN99" s="213"/>
      <c r="CO99" s="213"/>
      <c r="CP99" s="213"/>
      <c r="CQ99" s="213"/>
      <c r="CR99" s="213"/>
      <c r="CS99" s="213"/>
      <c r="CT99" s="213"/>
      <c r="CU99" s="213"/>
    </row>
    <row r="100" ht="15.75" customHeight="1">
      <c r="A100" s="213"/>
      <c r="B100" s="393"/>
      <c r="C100" s="411" t="s">
        <v>36</v>
      </c>
      <c r="D100" s="604">
        <f>SUM(D101:D104)</f>
        <v>427455.4444</v>
      </c>
      <c r="E100" s="355">
        <f t="shared" ref="E100:E104" si="167">D100/D$33</f>
        <v>0.03441487225</v>
      </c>
      <c r="F100" s="357">
        <f>SUM(F101:F104)</f>
        <v>404400</v>
      </c>
      <c r="G100" s="355">
        <f t="shared" ref="G100:G104" si="168">F100/F$33</f>
        <v>0.03122919295</v>
      </c>
      <c r="H100" s="357">
        <f>SUM(H101:H104)</f>
        <v>23055.4444</v>
      </c>
      <c r="I100" s="358"/>
      <c r="J100" s="604">
        <f>SUM(J101:J104)</f>
        <v>492870.4994</v>
      </c>
      <c r="K100" s="355">
        <f t="shared" ref="K100:K104" si="169">J100/J$33</f>
        <v>0.03866263013</v>
      </c>
      <c r="L100" s="357">
        <f>SUM(L101:L104)</f>
        <v>409455</v>
      </c>
      <c r="M100" s="355">
        <f t="shared" ref="M100:M104" si="170">L100/L$33</f>
        <v>0.03315398441</v>
      </c>
      <c r="N100" s="352">
        <f>SUM(N101:N104)</f>
        <v>0</v>
      </c>
      <c r="O100" s="358"/>
      <c r="P100" s="604">
        <f>SUM(P101:P104)</f>
        <v>250918.8106</v>
      </c>
      <c r="Q100" s="355">
        <f t="shared" ref="Q100:Q104" si="171">P100/P$33</f>
        <v>0.02221144727</v>
      </c>
      <c r="R100" s="357">
        <f>SUM(R101:R104)</f>
        <v>442658.5</v>
      </c>
      <c r="S100" s="355">
        <f t="shared" ref="S100:S104" si="172">R100/R$33</f>
        <v>0.03386424071</v>
      </c>
      <c r="T100" s="352">
        <f>SUM(T101:T104)</f>
        <v>0</v>
      </c>
      <c r="U100" s="358"/>
      <c r="V100" s="604">
        <f>SUM(V101:V104)</f>
        <v>440158.64</v>
      </c>
      <c r="W100" s="355">
        <f t="shared" ref="W100:W104" si="173">V100/V$33</f>
        <v>0.03138356711</v>
      </c>
      <c r="X100" s="357">
        <f>SUM(X101:X104)</f>
        <v>443155</v>
      </c>
      <c r="Y100" s="355">
        <f t="shared" ref="Y100:Y104" si="174">X100/X$33</f>
        <v>0.03265421367</v>
      </c>
      <c r="Z100" s="352">
        <f>SUM(Z101:Z104)</f>
        <v>0</v>
      </c>
      <c r="AA100" s="358"/>
      <c r="AB100" s="604">
        <f>SUM(AB101:AB104)</f>
        <v>485444.61</v>
      </c>
      <c r="AC100" s="355">
        <f t="shared" ref="AC100:AC104" si="175">AB100/AB$33</f>
        <v>0.03427857988</v>
      </c>
      <c r="AD100" s="357">
        <f>SUM(AD101:AD104)</f>
        <v>458320</v>
      </c>
      <c r="AE100" s="355">
        <f t="shared" ref="AE100:AE104" si="176">AD100/AD$33</f>
        <v>0.03187179556</v>
      </c>
      <c r="AF100" s="352">
        <f>SUM(AF101:AF104)</f>
        <v>0</v>
      </c>
      <c r="AG100" s="358"/>
      <c r="AH100" s="604">
        <f>SUM(AH101:AH104)</f>
        <v>464690.76</v>
      </c>
      <c r="AI100" s="355">
        <f t="shared" ref="AI100:AI104" si="177">AH100/AH$33</f>
        <v>0.0389485352</v>
      </c>
      <c r="AJ100" s="357">
        <f>SUM(AJ101:AJ104)</f>
        <v>473822</v>
      </c>
      <c r="AK100" s="355">
        <f t="shared" ref="AK100:AK104" si="178">AJ100/AJ$33</f>
        <v>0.03476466522</v>
      </c>
      <c r="AL100" s="352">
        <f>SUM(AL101:AL104)</f>
        <v>0</v>
      </c>
      <c r="AM100" s="358"/>
      <c r="AN100" s="604">
        <f>SUM(AN101:AN104)</f>
        <v>424154.14</v>
      </c>
      <c r="AO100" s="355">
        <f t="shared" ref="AO100:AO104" si="179">AN100/AN$33</f>
        <v>0.03346754468</v>
      </c>
      <c r="AP100" s="357">
        <f>SUM(AP101:AP104)</f>
        <v>501119</v>
      </c>
      <c r="AQ100" s="355">
        <f t="shared" ref="AQ100:AQ104" si="180">AP100/AP$33</f>
        <v>0.03323744365</v>
      </c>
      <c r="AR100" s="352">
        <f>SUM(AR101:AR104)</f>
        <v>0</v>
      </c>
      <c r="AS100" s="358"/>
      <c r="AT100" s="604">
        <f>SUM(AT101:AT104)</f>
        <v>440470.5732</v>
      </c>
      <c r="AU100" s="355">
        <f t="shared" ref="AU100:AU104" si="181">AT100/AT$33</f>
        <v>0.03456430494</v>
      </c>
      <c r="AV100" s="357">
        <f>SUM(AV101:AV104)</f>
        <v>505692.09</v>
      </c>
      <c r="AW100" s="355">
        <f t="shared" ref="AW100:AW104" si="182">AV100/AV$33</f>
        <v>0.03256087204</v>
      </c>
      <c r="AX100" s="352">
        <f>SUM(AX101:AX104)</f>
        <v>0</v>
      </c>
      <c r="AY100" s="358"/>
      <c r="AZ100" s="604">
        <f>SUM(AZ101:AZ104)</f>
        <v>516737.3</v>
      </c>
      <c r="BA100" s="355">
        <f t="shared" ref="BA100:BA104" si="183">AZ100/AZ$33</f>
        <v>0.02885761177</v>
      </c>
      <c r="BB100" s="357">
        <f>SUM(BB101:BB104)</f>
        <v>559959.0315</v>
      </c>
      <c r="BC100" s="355">
        <f t="shared" ref="BC100:BC104" si="184">BB100/BB$33</f>
        <v>0.03348021596</v>
      </c>
      <c r="BD100" s="352">
        <f>SUM(BD101:BD104)</f>
        <v>0</v>
      </c>
      <c r="BE100" s="358"/>
      <c r="BF100" s="604">
        <f>SUM(BF101:BF104)</f>
        <v>459138.39</v>
      </c>
      <c r="BG100" s="355">
        <f t="shared" ref="BG100:BG104" si="185">BF100/BF$33</f>
        <v>0.02658601544</v>
      </c>
      <c r="BH100" s="357">
        <f>SUM(BH101:BH104)</f>
        <v>548865.834</v>
      </c>
      <c r="BI100" s="355">
        <f t="shared" ref="BI100:BI104" si="186">BH100/BH$33</f>
        <v>0.03381823013</v>
      </c>
      <c r="BJ100" s="352">
        <f>SUM(BJ101:BJ104)</f>
        <v>0</v>
      </c>
      <c r="BK100" s="358"/>
      <c r="BL100" s="604">
        <f>SUM(BL101:BL104)</f>
        <v>398981.71</v>
      </c>
      <c r="BM100" s="355">
        <f t="shared" ref="BM100:BM104" si="187">BL100/BL$33</f>
        <v>0.02357666125</v>
      </c>
      <c r="BN100" s="357">
        <f>SUM(BN101:BN104)</f>
        <v>490345.9525</v>
      </c>
      <c r="BO100" s="355">
        <f t="shared" ref="BO100:BO104" si="188">BN100/BN$33</f>
        <v>0.03603267787</v>
      </c>
      <c r="BP100" s="352">
        <f>SUM(BP101:BP104)</f>
        <v>0</v>
      </c>
      <c r="BQ100" s="358"/>
      <c r="BR100" s="604">
        <f>SUM(BR101:BR104)</f>
        <v>461660.4646</v>
      </c>
      <c r="BS100" s="726">
        <f t="shared" ref="BS100:BS104" si="189">BR100/BR$33</f>
        <v>0.03108485934</v>
      </c>
      <c r="BT100" s="655">
        <f>SUM(BT101:BT104)</f>
        <v>539385.35</v>
      </c>
      <c r="BU100" s="726">
        <f t="shared" ref="BU100:BU104" si="190">BT100/BT$33</f>
        <v>0.03621090863</v>
      </c>
      <c r="BV100" s="658">
        <f>SUM(BV101:BV104)</f>
        <v>0</v>
      </c>
      <c r="BW100" s="656"/>
      <c r="BX100" s="718">
        <f>D100+J100+P100+V100+AB100+AH100+AN100+AT100+AZ100+BF100+BL100+BR100</f>
        <v>5262681.342</v>
      </c>
      <c r="BY100" s="216"/>
      <c r="BZ100" s="216"/>
      <c r="CA100" s="216"/>
      <c r="CB100" s="216"/>
      <c r="CC100" s="216"/>
      <c r="CD100" s="216"/>
      <c r="CE100" s="216"/>
      <c r="CF100" s="216"/>
      <c r="CG100" s="216"/>
      <c r="CH100" s="216"/>
      <c r="CI100" s="216"/>
      <c r="CJ100" s="216"/>
      <c r="CK100" s="216"/>
      <c r="CL100" s="216"/>
      <c r="CM100" s="216"/>
      <c r="CN100" s="216"/>
      <c r="CO100" s="216"/>
      <c r="CP100" s="216"/>
      <c r="CQ100" s="216"/>
      <c r="CR100" s="216"/>
      <c r="CS100" s="216"/>
      <c r="CT100" s="216"/>
      <c r="CU100" s="216"/>
    </row>
    <row r="101" ht="15.75" customHeight="1">
      <c r="A101" s="213"/>
      <c r="B101" s="393"/>
      <c r="C101" s="350" t="s">
        <v>257</v>
      </c>
      <c r="D101" s="604">
        <f>(1650+(1650*18/100))</f>
        <v>1947</v>
      </c>
      <c r="E101" s="355">
        <f t="shared" si="167"/>
        <v>0.0001567549487</v>
      </c>
      <c r="F101" s="357"/>
      <c r="G101" s="355">
        <f t="shared" si="168"/>
        <v>0</v>
      </c>
      <c r="H101" s="357">
        <f t="shared" ref="H101:H104" si="191">D101-F101</f>
        <v>1947</v>
      </c>
      <c r="I101" s="395" t="str">
        <f t="shared" ref="I101:I104" si="192">H101/F101</f>
        <v>#DIV/0!</v>
      </c>
      <c r="J101" s="604">
        <v>1770.0</v>
      </c>
      <c r="K101" s="355">
        <f t="shared" si="169"/>
        <v>0.0001388455089</v>
      </c>
      <c r="L101" s="357">
        <v>0.0</v>
      </c>
      <c r="M101" s="355">
        <f t="shared" si="170"/>
        <v>0</v>
      </c>
      <c r="N101" s="352"/>
      <c r="O101" s="358"/>
      <c r="P101" s="604">
        <v>4336.5</v>
      </c>
      <c r="Q101" s="355">
        <f t="shared" si="171"/>
        <v>0.0003838689529</v>
      </c>
      <c r="R101" s="357"/>
      <c r="S101" s="355">
        <f t="shared" si="172"/>
        <v>0</v>
      </c>
      <c r="T101" s="352"/>
      <c r="U101" s="358"/>
      <c r="V101" s="604">
        <v>4690.5</v>
      </c>
      <c r="W101" s="355">
        <f t="shared" si="173"/>
        <v>0.0003344353789</v>
      </c>
      <c r="X101" s="357"/>
      <c r="Y101" s="355">
        <f t="shared" si="174"/>
        <v>0</v>
      </c>
      <c r="Z101" s="352"/>
      <c r="AA101" s="358"/>
      <c r="AB101" s="604">
        <v>2832.0</v>
      </c>
      <c r="AC101" s="355">
        <f t="shared" si="175"/>
        <v>0.0001999753138</v>
      </c>
      <c r="AD101" s="357"/>
      <c r="AE101" s="355">
        <f t="shared" si="176"/>
        <v>0</v>
      </c>
      <c r="AF101" s="352"/>
      <c r="AG101" s="358"/>
      <c r="AH101" s="604">
        <v>2655.0</v>
      </c>
      <c r="AI101" s="355">
        <f t="shared" si="177"/>
        <v>0.0002225315626</v>
      </c>
      <c r="AJ101" s="357"/>
      <c r="AK101" s="355">
        <f t="shared" si="178"/>
        <v>0</v>
      </c>
      <c r="AL101" s="352"/>
      <c r="AM101" s="358"/>
      <c r="AN101" s="604">
        <f>1218+1392+1278</f>
        <v>3888</v>
      </c>
      <c r="AO101" s="355">
        <f t="shared" si="179"/>
        <v>0.0003067795441</v>
      </c>
      <c r="AP101" s="357"/>
      <c r="AQ101" s="355">
        <f t="shared" si="180"/>
        <v>0</v>
      </c>
      <c r="AR101" s="352"/>
      <c r="AS101" s="358"/>
      <c r="AT101" s="604">
        <f>8037.74*1.18</f>
        <v>9484.5332</v>
      </c>
      <c r="AU101" s="355">
        <f t="shared" si="181"/>
        <v>0.0007442637889</v>
      </c>
      <c r="AV101" s="357"/>
      <c r="AW101" s="355">
        <f t="shared" si="182"/>
        <v>0</v>
      </c>
      <c r="AX101" s="352"/>
      <c r="AY101" s="358"/>
      <c r="AZ101" s="604">
        <f>2301+11594</f>
        <v>13895</v>
      </c>
      <c r="BA101" s="355">
        <f t="shared" si="183"/>
        <v>0.0007759774948</v>
      </c>
      <c r="BB101" s="357"/>
      <c r="BC101" s="355">
        <f t="shared" si="184"/>
        <v>0</v>
      </c>
      <c r="BD101" s="352"/>
      <c r="BE101" s="358"/>
      <c r="BF101" s="604">
        <f>5487+6372</f>
        <v>11859</v>
      </c>
      <c r="BG101" s="355">
        <f t="shared" si="185"/>
        <v>0.0006866852433</v>
      </c>
      <c r="BH101" s="357"/>
      <c r="BI101" s="355">
        <f t="shared" si="186"/>
        <v>0</v>
      </c>
      <c r="BJ101" s="352"/>
      <c r="BK101" s="358"/>
      <c r="BL101" s="604">
        <v>5399.0</v>
      </c>
      <c r="BM101" s="355">
        <f t="shared" si="187"/>
        <v>0.0003190381686</v>
      </c>
      <c r="BN101" s="357"/>
      <c r="BO101" s="355">
        <f t="shared" si="188"/>
        <v>0</v>
      </c>
      <c r="BP101" s="352"/>
      <c r="BQ101" s="358"/>
      <c r="BR101" s="604">
        <f>17820.97*1.18</f>
        <v>21028.7446</v>
      </c>
      <c r="BS101" s="355">
        <f t="shared" si="189"/>
        <v>0.001415922779</v>
      </c>
      <c r="BT101" s="357"/>
      <c r="BU101" s="355">
        <f t="shared" si="190"/>
        <v>0</v>
      </c>
      <c r="BV101" s="352"/>
      <c r="BW101" s="358"/>
      <c r="BX101" s="213"/>
      <c r="BY101" s="213"/>
      <c r="BZ101" s="213"/>
      <c r="CA101" s="213"/>
      <c r="CB101" s="213"/>
      <c r="CC101" s="213"/>
      <c r="CD101" s="213"/>
      <c r="CE101" s="213"/>
      <c r="CF101" s="213"/>
      <c r="CG101" s="213"/>
      <c r="CH101" s="213"/>
      <c r="CI101" s="213"/>
      <c r="CJ101" s="213"/>
      <c r="CK101" s="213"/>
      <c r="CL101" s="213"/>
      <c r="CM101" s="213"/>
      <c r="CN101" s="213"/>
      <c r="CO101" s="213"/>
      <c r="CP101" s="213"/>
      <c r="CQ101" s="213"/>
      <c r="CR101" s="213"/>
      <c r="CS101" s="213"/>
      <c r="CT101" s="213"/>
      <c r="CU101" s="213"/>
    </row>
    <row r="102" ht="15.75" customHeight="1">
      <c r="A102" s="213"/>
      <c r="B102" s="393"/>
      <c r="C102" s="350" t="s">
        <v>258</v>
      </c>
      <c r="D102" s="604">
        <v>670.0</v>
      </c>
      <c r="E102" s="355">
        <f t="shared" si="167"/>
        <v>0.00005394238092</v>
      </c>
      <c r="F102" s="357"/>
      <c r="G102" s="355">
        <f t="shared" si="168"/>
        <v>0</v>
      </c>
      <c r="H102" s="357">
        <f t="shared" si="191"/>
        <v>670</v>
      </c>
      <c r="I102" s="395" t="str">
        <f t="shared" si="192"/>
        <v>#DIV/0!</v>
      </c>
      <c r="J102" s="604">
        <v>1356.0</v>
      </c>
      <c r="K102" s="355">
        <f t="shared" si="169"/>
        <v>0.0001063697797</v>
      </c>
      <c r="L102" s="357">
        <v>0.0</v>
      </c>
      <c r="M102" s="355">
        <f t="shared" si="170"/>
        <v>0</v>
      </c>
      <c r="N102" s="352"/>
      <c r="O102" s="358"/>
      <c r="P102" s="604">
        <v>3560.0</v>
      </c>
      <c r="Q102" s="355">
        <f t="shared" si="171"/>
        <v>0.0003151328196</v>
      </c>
      <c r="R102" s="357">
        <v>3716.0</v>
      </c>
      <c r="S102" s="355">
        <f t="shared" si="172"/>
        <v>0.0002842812653</v>
      </c>
      <c r="T102" s="352"/>
      <c r="U102" s="358"/>
      <c r="V102" s="604">
        <v>420.66</v>
      </c>
      <c r="W102" s="355">
        <f t="shared" si="173"/>
        <v>0.00002999330274</v>
      </c>
      <c r="X102" s="357"/>
      <c r="Y102" s="355">
        <f t="shared" si="174"/>
        <v>0</v>
      </c>
      <c r="Z102" s="352"/>
      <c r="AA102" s="358"/>
      <c r="AB102" s="604">
        <f>141.6+572.16</f>
        <v>713.76</v>
      </c>
      <c r="AC102" s="355">
        <f t="shared" si="175"/>
        <v>0.0000504005579</v>
      </c>
      <c r="AD102" s="357"/>
      <c r="AE102" s="355">
        <f t="shared" si="176"/>
        <v>0</v>
      </c>
      <c r="AF102" s="352"/>
      <c r="AG102" s="358"/>
      <c r="AH102" s="604">
        <f>302.86+230.98</f>
        <v>533.84</v>
      </c>
      <c r="AI102" s="355">
        <f t="shared" si="177"/>
        <v>0.00004474435005</v>
      </c>
      <c r="AJ102" s="357"/>
      <c r="AK102" s="355">
        <f t="shared" si="178"/>
        <v>0</v>
      </c>
      <c r="AL102" s="352"/>
      <c r="AM102" s="358"/>
      <c r="AN102" s="604">
        <v>1046.31</v>
      </c>
      <c r="AO102" s="355">
        <f t="shared" si="179"/>
        <v>0.00008255825741</v>
      </c>
      <c r="AP102" s="357"/>
      <c r="AQ102" s="355">
        <f t="shared" si="180"/>
        <v>0</v>
      </c>
      <c r="AR102" s="352"/>
      <c r="AS102" s="358"/>
      <c r="AT102" s="604">
        <f>2220.77+123.9</f>
        <v>2344.67</v>
      </c>
      <c r="AU102" s="355">
        <f t="shared" si="181"/>
        <v>0.0001839893373</v>
      </c>
      <c r="AV102" s="357"/>
      <c r="AW102" s="355">
        <f t="shared" si="182"/>
        <v>0</v>
      </c>
      <c r="AX102" s="352"/>
      <c r="AY102" s="358"/>
      <c r="AZ102" s="604">
        <f>275.1+403.69</f>
        <v>678.79</v>
      </c>
      <c r="BA102" s="355">
        <f t="shared" si="183"/>
        <v>0.00003790757565</v>
      </c>
      <c r="BB102" s="357"/>
      <c r="BC102" s="355">
        <f t="shared" si="184"/>
        <v>0</v>
      </c>
      <c r="BD102" s="352"/>
      <c r="BE102" s="358"/>
      <c r="BF102" s="604">
        <f>433+394</f>
        <v>827</v>
      </c>
      <c r="BG102" s="355">
        <f t="shared" si="185"/>
        <v>0.00004788672706</v>
      </c>
      <c r="BH102" s="357"/>
      <c r="BI102" s="355">
        <f t="shared" si="186"/>
        <v>0</v>
      </c>
      <c r="BJ102" s="352"/>
      <c r="BK102" s="358"/>
      <c r="BL102" s="732">
        <v>827.0</v>
      </c>
      <c r="BM102" s="728">
        <f t="shared" si="187"/>
        <v>0.00004886915456</v>
      </c>
      <c r="BN102" s="729"/>
      <c r="BO102" s="728">
        <f t="shared" si="188"/>
        <v>0</v>
      </c>
      <c r="BP102" s="730"/>
      <c r="BQ102" s="731"/>
      <c r="BR102" s="732">
        <v>827.0</v>
      </c>
      <c r="BS102" s="355">
        <f t="shared" si="189"/>
        <v>0.00005568416758</v>
      </c>
      <c r="BT102" s="357"/>
      <c r="BU102" s="355">
        <f t="shared" si="190"/>
        <v>0</v>
      </c>
      <c r="BV102" s="352"/>
      <c r="BW102" s="358"/>
      <c r="BX102" s="213"/>
      <c r="BY102" s="213"/>
      <c r="BZ102" s="213"/>
      <c r="CA102" s="213"/>
      <c r="CB102" s="213"/>
      <c r="CC102" s="213"/>
      <c r="CD102" s="213"/>
      <c r="CE102" s="213"/>
      <c r="CF102" s="213"/>
      <c r="CG102" s="213"/>
      <c r="CH102" s="213"/>
      <c r="CI102" s="213"/>
      <c r="CJ102" s="213"/>
      <c r="CK102" s="213"/>
      <c r="CL102" s="213"/>
      <c r="CM102" s="213"/>
      <c r="CN102" s="213"/>
      <c r="CO102" s="213"/>
      <c r="CP102" s="213"/>
      <c r="CQ102" s="213"/>
      <c r="CR102" s="213"/>
      <c r="CS102" s="213"/>
      <c r="CT102" s="213"/>
      <c r="CU102" s="213"/>
    </row>
    <row r="103" ht="15.75" customHeight="1">
      <c r="A103" s="213"/>
      <c r="B103" s="393"/>
      <c r="C103" s="350" t="s">
        <v>259</v>
      </c>
      <c r="D103" s="604">
        <f>(223012.25+(223012.25*18/100))+(47520.59+(47520.59*18/100))</f>
        <v>319228.7512</v>
      </c>
      <c r="E103" s="355">
        <f t="shared" si="167"/>
        <v>0.02570143119</v>
      </c>
      <c r="F103" s="357">
        <f>75%*(F$18+F$19+F$20)*17.8%</f>
        <v>320400</v>
      </c>
      <c r="G103" s="355">
        <f t="shared" si="168"/>
        <v>0.02474241697</v>
      </c>
      <c r="H103" s="357">
        <f t="shared" si="191"/>
        <v>-1171.2488</v>
      </c>
      <c r="I103" s="395">
        <f t="shared" si="192"/>
        <v>-0.003655583021</v>
      </c>
      <c r="J103" s="604">
        <f>(262448.49+(262448.49*18/100))+(52566.34+(52566.34*18/100))</f>
        <v>371717.4994</v>
      </c>
      <c r="K103" s="355">
        <f t="shared" si="169"/>
        <v>0.02915892959</v>
      </c>
      <c r="L103" s="357">
        <f>75%*(L$18+L$19+L$20)*17.8%</f>
        <v>324405</v>
      </c>
      <c r="M103" s="355">
        <f t="shared" si="170"/>
        <v>0.02626740011</v>
      </c>
      <c r="N103" s="352"/>
      <c r="O103" s="358"/>
      <c r="P103" s="604">
        <f>(7186.28+(7186.28*18/100))+(33428.39+(33428.39*18/100))</f>
        <v>47925.3106</v>
      </c>
      <c r="Q103" s="355">
        <f t="shared" si="171"/>
        <v>0.004242370298</v>
      </c>
      <c r="R103" s="357">
        <f>75%*(R$18+R$19+R$20)*17.8%</f>
        <v>347767.5</v>
      </c>
      <c r="S103" s="355">
        <f t="shared" si="172"/>
        <v>0.02660489368</v>
      </c>
      <c r="T103" s="352"/>
      <c r="U103" s="358"/>
      <c r="V103" s="604">
        <f>321416.26+59438.32-(10868+63719)</f>
        <v>306267.58</v>
      </c>
      <c r="W103" s="355">
        <f t="shared" si="173"/>
        <v>0.02183705664</v>
      </c>
      <c r="X103" s="357">
        <f>75%*(X$18+X$19+X$20)*17.8%</f>
        <v>351105</v>
      </c>
      <c r="Y103" s="355">
        <f t="shared" si="174"/>
        <v>0.02587143932</v>
      </c>
      <c r="Z103" s="352"/>
      <c r="AA103" s="358"/>
      <c r="AB103" s="604">
        <f>387559.27+62684.13-(11114+76503)</f>
        <v>362626.4</v>
      </c>
      <c r="AC103" s="355">
        <f t="shared" si="175"/>
        <v>0.02560604807</v>
      </c>
      <c r="AD103" s="357">
        <f>75%*(AD$18+AD$19+AD$20)*17.8%</f>
        <v>363120</v>
      </c>
      <c r="AE103" s="355">
        <f t="shared" si="176"/>
        <v>0.02525154129</v>
      </c>
      <c r="AF103" s="352"/>
      <c r="AG103" s="358"/>
      <c r="AH103" s="604">
        <f>316379.2+46994.46-(3119+22924)</f>
        <v>337330.66</v>
      </c>
      <c r="AI103" s="355">
        <f t="shared" si="177"/>
        <v>0.02827371709</v>
      </c>
      <c r="AJ103" s="357">
        <f>75%*(AJ$18+AJ$19+AJ$20)*17.8%</f>
        <v>375402</v>
      </c>
      <c r="AK103" s="355">
        <f t="shared" si="178"/>
        <v>0.02754351814</v>
      </c>
      <c r="AL103" s="352"/>
      <c r="AM103" s="358"/>
      <c r="AN103" s="604">
        <f>268425.22+40845</f>
        <v>309270.22</v>
      </c>
      <c r="AO103" s="355">
        <f t="shared" si="179"/>
        <v>0.02440272045</v>
      </c>
      <c r="AP103" s="357">
        <f>75%*(AP$18+AP$19+AP$20)*17.8%</f>
        <v>397029</v>
      </c>
      <c r="AQ103" s="355">
        <f t="shared" si="180"/>
        <v>0.0263335236</v>
      </c>
      <c r="AR103" s="352"/>
      <c r="AS103" s="358"/>
      <c r="AT103" s="604">
        <f>43353.21+263725.25</f>
        <v>307078.46</v>
      </c>
      <c r="AU103" s="355">
        <f t="shared" si="181"/>
        <v>0.02409685045</v>
      </c>
      <c r="AV103" s="357">
        <f>75%*(AV$18+AV$19+AV$20)*17.8%</f>
        <v>400652.19</v>
      </c>
      <c r="AW103" s="355">
        <f t="shared" si="182"/>
        <v>0.02579748615</v>
      </c>
      <c r="AX103" s="352"/>
      <c r="AY103" s="358"/>
      <c r="AZ103" s="604">
        <f>49537.69+310299.75</f>
        <v>359837.44</v>
      </c>
      <c r="BA103" s="355">
        <f t="shared" si="183"/>
        <v>0.02009541239</v>
      </c>
      <c r="BB103" s="357">
        <f>75%*(BB$18+BB$19+BB$20)*17.8%</f>
        <v>443647.0665</v>
      </c>
      <c r="BC103" s="355">
        <f t="shared" si="184"/>
        <v>0.02652586843</v>
      </c>
      <c r="BD103" s="352"/>
      <c r="BE103" s="358"/>
      <c r="BF103" s="604">
        <f>40472.29+269402.89</f>
        <v>309875.18</v>
      </c>
      <c r="BG103" s="355">
        <f t="shared" si="185"/>
        <v>0.01794305703</v>
      </c>
      <c r="BH103" s="357">
        <f>75%*(BH$18+BH$19+BH$20)*17.8%</f>
        <v>434858.094</v>
      </c>
      <c r="BI103" s="355">
        <f t="shared" si="186"/>
        <v>0.02679367194</v>
      </c>
      <c r="BJ103" s="352"/>
      <c r="BK103" s="358"/>
      <c r="BL103" s="604">
        <f>37286.18+241736.21</f>
        <v>279022.39</v>
      </c>
      <c r="BM103" s="355">
        <f t="shared" si="187"/>
        <v>0.01648801488</v>
      </c>
      <c r="BN103" s="357">
        <f>75%*(BN$18+BN$19+BN$20)*17.8%</f>
        <v>388493.6775</v>
      </c>
      <c r="BO103" s="355">
        <f t="shared" si="188"/>
        <v>0.02854814537</v>
      </c>
      <c r="BP103" s="352"/>
      <c r="BQ103" s="358"/>
      <c r="BR103" s="604">
        <f>(42929.11)+257393.61</f>
        <v>300322.72</v>
      </c>
      <c r="BS103" s="355">
        <f t="shared" si="189"/>
        <v>0.02022154857</v>
      </c>
      <c r="BT103" s="357">
        <f>75%*(BT$18+BT$19+BT$20)*17.8%</f>
        <v>427346.85</v>
      </c>
      <c r="BU103" s="355">
        <f t="shared" si="190"/>
        <v>0.02868935491</v>
      </c>
      <c r="BV103" s="352"/>
      <c r="BW103" s="358"/>
      <c r="BX103" s="213"/>
      <c r="BY103" s="213"/>
      <c r="BZ103" s="213"/>
      <c r="CA103" s="213"/>
      <c r="CB103" s="213"/>
      <c r="CC103" s="213"/>
      <c r="CD103" s="213"/>
      <c r="CE103" s="213"/>
      <c r="CF103" s="213"/>
      <c r="CG103" s="213"/>
      <c r="CH103" s="213"/>
      <c r="CI103" s="213"/>
      <c r="CJ103" s="213"/>
      <c r="CK103" s="213"/>
      <c r="CL103" s="213"/>
      <c r="CM103" s="213"/>
      <c r="CN103" s="213"/>
      <c r="CO103" s="213"/>
      <c r="CP103" s="213"/>
      <c r="CQ103" s="213"/>
      <c r="CR103" s="213"/>
      <c r="CS103" s="213"/>
      <c r="CT103" s="213"/>
      <c r="CU103" s="213"/>
    </row>
    <row r="104" ht="15.75" customHeight="1">
      <c r="A104" s="213"/>
      <c r="B104" s="393"/>
      <c r="C104" s="350" t="s">
        <v>260</v>
      </c>
      <c r="D104" s="604">
        <f>(89499.74+(89499.74*18/100))</f>
        <v>105609.6932</v>
      </c>
      <c r="E104" s="355">
        <f t="shared" si="167"/>
        <v>0.008502743731</v>
      </c>
      <c r="F104" s="357">
        <f>25%*(F$18+F$19+F$20)*14%</f>
        <v>84000</v>
      </c>
      <c r="G104" s="355">
        <f t="shared" si="168"/>
        <v>0.006486775985</v>
      </c>
      <c r="H104" s="357">
        <f t="shared" si="191"/>
        <v>21609.6932</v>
      </c>
      <c r="I104" s="395">
        <f t="shared" si="192"/>
        <v>0.2572582524</v>
      </c>
      <c r="J104" s="604">
        <v>118027.0</v>
      </c>
      <c r="K104" s="355">
        <f t="shared" si="169"/>
        <v>0.009258485244</v>
      </c>
      <c r="L104" s="357">
        <f>25%*(L$18+L$19+L$20)*14%</f>
        <v>85050</v>
      </c>
      <c r="M104" s="355">
        <f t="shared" si="170"/>
        <v>0.006886584299</v>
      </c>
      <c r="N104" s="352"/>
      <c r="O104" s="358"/>
      <c r="P104" s="604">
        <f>19137+175960</f>
        <v>195097</v>
      </c>
      <c r="Q104" s="355">
        <f t="shared" si="171"/>
        <v>0.0172700752</v>
      </c>
      <c r="R104" s="357">
        <f>25%*(R$18+R$19+R$20)*14%</f>
        <v>91175</v>
      </c>
      <c r="S104" s="355">
        <f t="shared" si="172"/>
        <v>0.006975065759</v>
      </c>
      <c r="T104" s="352"/>
      <c r="U104" s="358"/>
      <c r="V104" s="604">
        <f>111130+2327.33+15322.57</f>
        <v>128779.9</v>
      </c>
      <c r="W104" s="355">
        <f t="shared" si="173"/>
        <v>0.009182081793</v>
      </c>
      <c r="X104" s="357">
        <f>25%*(X$18+X$19+X$20)*14%</f>
        <v>92050</v>
      </c>
      <c r="Y104" s="355">
        <f t="shared" si="174"/>
        <v>0.006782774353</v>
      </c>
      <c r="Z104" s="352"/>
      <c r="AA104" s="358"/>
      <c r="AB104" s="604">
        <f>104925.4+14347.05</f>
        <v>119272.45</v>
      </c>
      <c r="AC104" s="355">
        <f t="shared" si="175"/>
        <v>0.008422155937</v>
      </c>
      <c r="AD104" s="357">
        <f>25%*(AD$18+AD$19+AD$20)*14%</f>
        <v>95200</v>
      </c>
      <c r="AE104" s="355">
        <f t="shared" si="176"/>
        <v>0.00662025427</v>
      </c>
      <c r="AF104" s="352"/>
      <c r="AG104" s="358"/>
      <c r="AH104" s="604">
        <f>112359.11+11812.15</f>
        <v>124171.26</v>
      </c>
      <c r="AI104" s="355">
        <f t="shared" si="177"/>
        <v>0.01040754219</v>
      </c>
      <c r="AJ104" s="357">
        <f>25%*(AJ$18+AJ$19+AJ$20)*14%</f>
        <v>98420</v>
      </c>
      <c r="AK104" s="355">
        <f t="shared" si="178"/>
        <v>0.007221147079</v>
      </c>
      <c r="AL104" s="352"/>
      <c r="AM104" s="358"/>
      <c r="AN104" s="604">
        <f>97564.6+12385.01</f>
        <v>109949.61</v>
      </c>
      <c r="AO104" s="355">
        <f t="shared" si="179"/>
        <v>0.008675486428</v>
      </c>
      <c r="AP104" s="357">
        <f>25%*(AP$18+AP$19+AP$20)*14%</f>
        <v>104090</v>
      </c>
      <c r="AQ104" s="355">
        <f t="shared" si="180"/>
        <v>0.006903920045</v>
      </c>
      <c r="AR104" s="352"/>
      <c r="AS104" s="358"/>
      <c r="AT104" s="604">
        <f>6234.16+115328.75</f>
        <v>121562.91</v>
      </c>
      <c r="AU104" s="355">
        <f t="shared" si="181"/>
        <v>0.009539201358</v>
      </c>
      <c r="AV104" s="357">
        <f>25%*(AV$18+AV$19+AV$20)*14%</f>
        <v>105039.9</v>
      </c>
      <c r="AW104" s="355">
        <f t="shared" si="182"/>
        <v>0.006763385883</v>
      </c>
      <c r="AX104" s="352"/>
      <c r="AY104" s="358"/>
      <c r="AZ104" s="604">
        <f>10636.92+131689.15</f>
        <v>142326.07</v>
      </c>
      <c r="BA104" s="355">
        <f t="shared" si="183"/>
        <v>0.007948314303</v>
      </c>
      <c r="BB104" s="357">
        <f>25%*(BB$18+BB$19+BB$20)*14%</f>
        <v>116311.965</v>
      </c>
      <c r="BC104" s="355">
        <f t="shared" si="184"/>
        <v>0.006954347529</v>
      </c>
      <c r="BD104" s="352"/>
      <c r="BE104" s="358"/>
      <c r="BF104" s="604">
        <f>9519.94+127057.27</f>
        <v>136577.21</v>
      </c>
      <c r="BG104" s="355">
        <f t="shared" si="185"/>
        <v>0.007908386431</v>
      </c>
      <c r="BH104" s="357">
        <f>25%*(BH$18+BH$19+BH$20)*14%</f>
        <v>114007.74</v>
      </c>
      <c r="BI104" s="355">
        <f t="shared" si="186"/>
        <v>0.007024558187</v>
      </c>
      <c r="BJ104" s="352"/>
      <c r="BK104" s="358"/>
      <c r="BL104" s="604">
        <f>7529.91+106203.41</f>
        <v>113733.32</v>
      </c>
      <c r="BM104" s="355">
        <f t="shared" si="187"/>
        <v>0.006720739049</v>
      </c>
      <c r="BN104" s="357">
        <f>25%*(BN$18+BN$19+BN$20)*14%</f>
        <v>101852.275</v>
      </c>
      <c r="BO104" s="355">
        <f t="shared" si="188"/>
        <v>0.007484532495</v>
      </c>
      <c r="BP104" s="352"/>
      <c r="BQ104" s="358"/>
      <c r="BR104" s="604">
        <v>139482.0</v>
      </c>
      <c r="BS104" s="355">
        <f t="shared" si="189"/>
        <v>0.009391703824</v>
      </c>
      <c r="BT104" s="357">
        <f>25%*(BT$18+BT$19+BT$20)*14%</f>
        <v>112038.5</v>
      </c>
      <c r="BU104" s="355">
        <f t="shared" si="190"/>
        <v>0.007521553722</v>
      </c>
      <c r="BV104" s="352"/>
      <c r="BW104" s="358"/>
      <c r="BX104" s="213"/>
      <c r="BY104" s="213"/>
      <c r="BZ104" s="213"/>
      <c r="CA104" s="213"/>
      <c r="CB104" s="213"/>
      <c r="CC104" s="213"/>
      <c r="CD104" s="213"/>
      <c r="CE104" s="213"/>
      <c r="CF104" s="213"/>
      <c r="CG104" s="213"/>
      <c r="CH104" s="213"/>
      <c r="CI104" s="213"/>
      <c r="CJ104" s="213"/>
      <c r="CK104" s="213"/>
      <c r="CL104" s="213"/>
      <c r="CM104" s="213"/>
      <c r="CN104" s="213"/>
      <c r="CO104" s="213"/>
      <c r="CP104" s="213"/>
      <c r="CQ104" s="213"/>
      <c r="CR104" s="213"/>
      <c r="CS104" s="213"/>
      <c r="CT104" s="213"/>
      <c r="CU104" s="213"/>
    </row>
    <row r="105" ht="15.75" customHeight="1">
      <c r="A105" s="213"/>
      <c r="B105" s="393"/>
      <c r="C105" s="350"/>
      <c r="D105" s="604"/>
      <c r="E105" s="352"/>
      <c r="F105" s="352"/>
      <c r="G105" s="352"/>
      <c r="H105" s="352"/>
      <c r="I105" s="358"/>
      <c r="J105" s="604"/>
      <c r="K105" s="352"/>
      <c r="L105" s="352"/>
      <c r="M105" s="352"/>
      <c r="N105" s="352"/>
      <c r="O105" s="358"/>
      <c r="P105" s="349"/>
      <c r="Q105" s="352"/>
      <c r="R105" s="352"/>
      <c r="S105" s="352"/>
      <c r="T105" s="352"/>
      <c r="U105" s="358"/>
      <c r="V105" s="604"/>
      <c r="W105" s="352"/>
      <c r="X105" s="352"/>
      <c r="Y105" s="352"/>
      <c r="Z105" s="352"/>
      <c r="AA105" s="358"/>
      <c r="AB105" s="604"/>
      <c r="AC105" s="352"/>
      <c r="AD105" s="357"/>
      <c r="AE105" s="352"/>
      <c r="AF105" s="352"/>
      <c r="AG105" s="358"/>
      <c r="AH105" s="604"/>
      <c r="AI105" s="352"/>
      <c r="AJ105" s="352"/>
      <c r="AK105" s="352"/>
      <c r="AL105" s="352"/>
      <c r="AM105" s="358"/>
      <c r="AN105" s="604"/>
      <c r="AO105" s="352"/>
      <c r="AP105" s="352"/>
      <c r="AQ105" s="352"/>
      <c r="AR105" s="352"/>
      <c r="AS105" s="358"/>
      <c r="AT105" s="604"/>
      <c r="AU105" s="352"/>
      <c r="AV105" s="352"/>
      <c r="AW105" s="352"/>
      <c r="AX105" s="352"/>
      <c r="AY105" s="358"/>
      <c r="AZ105" s="604"/>
      <c r="BA105" s="352"/>
      <c r="BB105" s="352"/>
      <c r="BC105" s="352"/>
      <c r="BD105" s="352"/>
      <c r="BE105" s="358"/>
      <c r="BF105" s="604"/>
      <c r="BG105" s="352"/>
      <c r="BH105" s="352"/>
      <c r="BI105" s="352"/>
      <c r="BJ105" s="352"/>
      <c r="BK105" s="358"/>
      <c r="BL105" s="604"/>
      <c r="BM105" s="352"/>
      <c r="BN105" s="357"/>
      <c r="BO105" s="352"/>
      <c r="BP105" s="352"/>
      <c r="BQ105" s="358"/>
      <c r="BR105" s="604"/>
      <c r="BS105" s="352"/>
      <c r="BT105" s="357"/>
      <c r="BU105" s="352"/>
      <c r="BV105" s="352"/>
      <c r="BW105" s="358"/>
      <c r="BX105" s="213"/>
      <c r="BY105" s="213"/>
      <c r="BZ105" s="213"/>
      <c r="CA105" s="213"/>
      <c r="CB105" s="213"/>
      <c r="CC105" s="213"/>
      <c r="CD105" s="213"/>
      <c r="CE105" s="213"/>
      <c r="CF105" s="213"/>
      <c r="CG105" s="213"/>
      <c r="CH105" s="213"/>
      <c r="CI105" s="213"/>
      <c r="CJ105" s="213"/>
      <c r="CK105" s="213"/>
      <c r="CL105" s="213"/>
      <c r="CM105" s="213"/>
      <c r="CN105" s="213"/>
      <c r="CO105" s="213"/>
      <c r="CP105" s="213"/>
      <c r="CQ105" s="213"/>
      <c r="CR105" s="213"/>
      <c r="CS105" s="213"/>
      <c r="CT105" s="213"/>
      <c r="CU105" s="213"/>
    </row>
    <row r="106" ht="15.75" customHeight="1">
      <c r="A106" s="213"/>
      <c r="B106" s="393"/>
      <c r="C106" s="350"/>
      <c r="D106" s="604"/>
      <c r="E106" s="352"/>
      <c r="F106" s="352"/>
      <c r="G106" s="352"/>
      <c r="H106" s="352"/>
      <c r="I106" s="358"/>
      <c r="J106" s="604"/>
      <c r="K106" s="352"/>
      <c r="L106" s="352"/>
      <c r="M106" s="352"/>
      <c r="N106" s="352"/>
      <c r="O106" s="358"/>
      <c r="P106" s="349"/>
      <c r="Q106" s="352"/>
      <c r="R106" s="352"/>
      <c r="S106" s="352"/>
      <c r="T106" s="352"/>
      <c r="U106" s="358"/>
      <c r="V106" s="604"/>
      <c r="W106" s="352"/>
      <c r="X106" s="352"/>
      <c r="Y106" s="352"/>
      <c r="Z106" s="352"/>
      <c r="AA106" s="358"/>
      <c r="AB106" s="604"/>
      <c r="AC106" s="352"/>
      <c r="AD106" s="357"/>
      <c r="AE106" s="352"/>
      <c r="AF106" s="352"/>
      <c r="AG106" s="358"/>
      <c r="AH106" s="604"/>
      <c r="AI106" s="352"/>
      <c r="AJ106" s="352"/>
      <c r="AK106" s="352"/>
      <c r="AL106" s="352"/>
      <c r="AM106" s="358"/>
      <c r="AN106" s="604"/>
      <c r="AO106" s="352"/>
      <c r="AP106" s="352"/>
      <c r="AQ106" s="352"/>
      <c r="AR106" s="352"/>
      <c r="AS106" s="358"/>
      <c r="AT106" s="604"/>
      <c r="AU106" s="352"/>
      <c r="AV106" s="352"/>
      <c r="AW106" s="352"/>
      <c r="AX106" s="352"/>
      <c r="AY106" s="358"/>
      <c r="AZ106" s="604"/>
      <c r="BA106" s="352"/>
      <c r="BB106" s="352"/>
      <c r="BC106" s="352"/>
      <c r="BD106" s="352"/>
      <c r="BE106" s="358"/>
      <c r="BF106" s="604"/>
      <c r="BG106" s="352"/>
      <c r="BH106" s="352"/>
      <c r="BI106" s="352"/>
      <c r="BJ106" s="352"/>
      <c r="BK106" s="358"/>
      <c r="BL106" s="604"/>
      <c r="BM106" s="352"/>
      <c r="BN106" s="357"/>
      <c r="BO106" s="352"/>
      <c r="BP106" s="352"/>
      <c r="BQ106" s="358"/>
      <c r="BR106" s="604"/>
      <c r="BS106" s="352"/>
      <c r="BT106" s="357"/>
      <c r="BU106" s="352"/>
      <c r="BV106" s="352"/>
      <c r="BW106" s="358"/>
      <c r="BX106" s="213"/>
      <c r="BY106" s="213"/>
      <c r="BZ106" s="213"/>
      <c r="CA106" s="213"/>
      <c r="CB106" s="213"/>
      <c r="CC106" s="213"/>
      <c r="CD106" s="213"/>
      <c r="CE106" s="213"/>
      <c r="CF106" s="213"/>
      <c r="CG106" s="213"/>
      <c r="CH106" s="213"/>
      <c r="CI106" s="213"/>
      <c r="CJ106" s="213"/>
      <c r="CK106" s="213"/>
      <c r="CL106" s="213"/>
      <c r="CM106" s="213"/>
      <c r="CN106" s="213"/>
      <c r="CO106" s="213"/>
      <c r="CP106" s="213"/>
      <c r="CQ106" s="213"/>
      <c r="CR106" s="213"/>
      <c r="CS106" s="213"/>
      <c r="CT106" s="213"/>
      <c r="CU106" s="213"/>
    </row>
    <row r="107" ht="15.75" customHeight="1">
      <c r="A107" s="213"/>
      <c r="B107" s="393"/>
      <c r="C107" s="723" t="s">
        <v>315</v>
      </c>
      <c r="D107" s="604">
        <f>SUM(D108:D111)</f>
        <v>1485950.333</v>
      </c>
      <c r="E107" s="355">
        <f t="shared" ref="E107:E111" si="193">D107/D$33</f>
        <v>0.1196353715</v>
      </c>
      <c r="F107" s="357">
        <f>SUM(F108:F111)</f>
        <v>1464099</v>
      </c>
      <c r="G107" s="355">
        <f t="shared" ref="G107:G111" si="194">F107/F$33</f>
        <v>0.1130628837</v>
      </c>
      <c r="H107" s="357">
        <f>SUM(H108:H111)</f>
        <v>21851.33333</v>
      </c>
      <c r="I107" s="358"/>
      <c r="J107" s="604">
        <f>SUM(J108:J111)</f>
        <v>1489972.333</v>
      </c>
      <c r="K107" s="355">
        <f t="shared" ref="K107:K111" si="195">J107/J$33</f>
        <v>0.1168790774</v>
      </c>
      <c r="L107" s="357">
        <f>SUM(L108:L111)</f>
        <v>1483293</v>
      </c>
      <c r="M107" s="355">
        <f t="shared" ref="M107:M111" si="196">L107/L$33</f>
        <v>0.1201037306</v>
      </c>
      <c r="N107" s="352">
        <f>SUM(N108:N111)</f>
        <v>0</v>
      </c>
      <c r="O107" s="358"/>
      <c r="P107" s="349">
        <f>SUM(P108:P111)</f>
        <v>1508842.333</v>
      </c>
      <c r="Q107" s="355">
        <f t="shared" ref="Q107:Q111" si="197">P107/P$33</f>
        <v>0.1335634098</v>
      </c>
      <c r="R107" s="357">
        <f>SUM(R108:R111)</f>
        <v>1502885</v>
      </c>
      <c r="S107" s="355">
        <f t="shared" ref="S107:S111" si="198">R107/R$33</f>
        <v>0.1149736408</v>
      </c>
      <c r="T107" s="352">
        <f>SUM(T108:T111)</f>
        <v>0</v>
      </c>
      <c r="U107" s="358"/>
      <c r="V107" s="604">
        <f>SUM(V108:V111)</f>
        <v>1460849</v>
      </c>
      <c r="W107" s="355">
        <f t="shared" ref="W107:W111" si="199">V107/V$33</f>
        <v>0.1041593836</v>
      </c>
      <c r="X107" s="357">
        <f>SUM(X108:X111)</f>
        <v>1339237</v>
      </c>
      <c r="Y107" s="355">
        <f t="shared" ref="Y107:Y111" si="200">X107/X$33</f>
        <v>0.09868269827</v>
      </c>
      <c r="Z107" s="352">
        <f>SUM(Z108:Z111)</f>
        <v>0</v>
      </c>
      <c r="AA107" s="358"/>
      <c r="AB107" s="604">
        <f>SUM(AB108:AB111)</f>
        <v>1494511</v>
      </c>
      <c r="AC107" s="355">
        <f t="shared" ref="AC107:AC111" si="201">AB107/AB$33</f>
        <v>0.1055315347</v>
      </c>
      <c r="AD107" s="357">
        <f>SUM(AD108:AD111)</f>
        <v>1507009</v>
      </c>
      <c r="AE107" s="355">
        <f t="shared" ref="AE107:AE111" si="202">AD107/AD$33</f>
        <v>0.1047981383</v>
      </c>
      <c r="AF107" s="352">
        <f>SUM(AF108:AF111)</f>
        <v>0</v>
      </c>
      <c r="AG107" s="358"/>
      <c r="AH107" s="604">
        <f>SUM(AH108:AH111)</f>
        <v>1511616</v>
      </c>
      <c r="AI107" s="355">
        <f t="shared" ref="AI107:AI111" si="203">AH107/AH$33</f>
        <v>0.1266976537</v>
      </c>
      <c r="AJ107" s="357">
        <f>SUM(AJ108:AJ111)</f>
        <v>1484187</v>
      </c>
      <c r="AK107" s="355">
        <f t="shared" ref="AK107:AK110" si="204">AJ107/AJ$33</f>
        <v>0.1088958811</v>
      </c>
      <c r="AL107" s="352">
        <f>SUM(AL108:AL111)</f>
        <v>0</v>
      </c>
      <c r="AM107" s="358"/>
      <c r="AN107" s="604">
        <f>SUM(AN108:AN111)</f>
        <v>1497058</v>
      </c>
      <c r="AO107" s="355">
        <f t="shared" ref="AO107:AO111" si="205">AN107/AN$33</f>
        <v>0.1181241694</v>
      </c>
      <c r="AP107" s="357">
        <f>SUM(AP108:AP111)</f>
        <v>1504193</v>
      </c>
      <c r="AQ107" s="355">
        <f t="shared" ref="AQ107:AQ110" si="206">AP107/AP$33</f>
        <v>0.09976777985</v>
      </c>
      <c r="AR107" s="352">
        <f>SUM(AR108:AR111)</f>
        <v>0</v>
      </c>
      <c r="AS107" s="358"/>
      <c r="AT107" s="604">
        <f>SUM(AT108:AT111)</f>
        <v>1455572</v>
      </c>
      <c r="AU107" s="355">
        <f t="shared" ref="AU107:AU111" si="207">AT107/AT$33</f>
        <v>0.1142206484</v>
      </c>
      <c r="AV107" s="357">
        <f>SUM(AV108:AV111)</f>
        <v>1487757</v>
      </c>
      <c r="AW107" s="355">
        <f t="shared" ref="AW107:AW110" si="208">AV107/AV$33</f>
        <v>0.09579478552</v>
      </c>
      <c r="AX107" s="352">
        <f>SUM(AX108:AX111)</f>
        <v>0</v>
      </c>
      <c r="AY107" s="358"/>
      <c r="AZ107" s="604">
        <f>SUM(AZ108:AZ111)</f>
        <v>1473577</v>
      </c>
      <c r="BA107" s="355">
        <f t="shared" ref="BA107:BA110" si="209">AZ107/AZ$33</f>
        <v>0.08229309743</v>
      </c>
      <c r="BB107" s="357">
        <f>SUM(BB108:BB111)</f>
        <v>1373715</v>
      </c>
      <c r="BC107" s="355">
        <f t="shared" ref="BC107:BC110" si="210">BB107/BB$33</f>
        <v>0.0821350711</v>
      </c>
      <c r="BD107" s="352">
        <f>SUM(BD108:BD111)</f>
        <v>0</v>
      </c>
      <c r="BE107" s="358"/>
      <c r="BF107" s="660">
        <f>SUM(BF108:BF111)</f>
        <v>1568107</v>
      </c>
      <c r="BG107" s="726">
        <f t="shared" ref="BG107:BG111" si="211">BF107/BF$33</f>
        <v>0.09079989348</v>
      </c>
      <c r="BH107" s="655">
        <f>SUM(BH108:BH111)</f>
        <v>1499510.5</v>
      </c>
      <c r="BI107" s="726">
        <f t="shared" ref="BI107:BI111" si="212">BH107/BH$33</f>
        <v>0.0923919618</v>
      </c>
      <c r="BJ107" s="658">
        <f>SUM(BJ108:BJ111)</f>
        <v>0</v>
      </c>
      <c r="BK107" s="656"/>
      <c r="BL107" s="660">
        <f>SUM(BL108:BL111)</f>
        <v>1566428</v>
      </c>
      <c r="BM107" s="726">
        <f t="shared" ref="BM107:BM111" si="213">BL107/BL$33</f>
        <v>0.09256349702</v>
      </c>
      <c r="BN107" s="655">
        <f>SUM(BN108:BN111)</f>
        <v>1499510.5</v>
      </c>
      <c r="BO107" s="726">
        <f t="shared" ref="BO107:BO111" si="214">BN107/BN$33</f>
        <v>0.1101903228</v>
      </c>
      <c r="BP107" s="658">
        <f>SUM(BP108:BP111)</f>
        <v>0</v>
      </c>
      <c r="BQ107" s="656"/>
      <c r="BR107" s="660">
        <f>SUM(BR108:BR111)</f>
        <v>1307410</v>
      </c>
      <c r="BS107" s="726">
        <f t="shared" ref="BS107:BS111" si="215">BR107/BR$33</f>
        <v>0.08803148432</v>
      </c>
      <c r="BT107" s="655">
        <f>SUM(BT108:BT111)</f>
        <v>1499510.5</v>
      </c>
      <c r="BU107" s="726">
        <f t="shared" ref="BU107:BU111" si="216">BT107/BT$33</f>
        <v>0.1006676168</v>
      </c>
      <c r="BV107" s="658">
        <f>SUM(BV108:BV111)</f>
        <v>0</v>
      </c>
      <c r="BW107" s="656"/>
      <c r="BX107" s="718">
        <f>D107+J107+P107+V107+AB107+AH107+AN107+AT107+AZ107+BF107+BL107+BR107</f>
        <v>17819893</v>
      </c>
      <c r="BY107" s="216"/>
      <c r="BZ107" s="216"/>
      <c r="CA107" s="216"/>
      <c r="CB107" s="216"/>
      <c r="CC107" s="216"/>
      <c r="CD107" s="216"/>
      <c r="CE107" s="216"/>
      <c r="CF107" s="216"/>
      <c r="CG107" s="216"/>
      <c r="CH107" s="216"/>
      <c r="CI107" s="216"/>
      <c r="CJ107" s="216"/>
      <c r="CK107" s="216"/>
      <c r="CL107" s="216"/>
      <c r="CM107" s="216"/>
      <c r="CN107" s="216"/>
      <c r="CO107" s="216"/>
      <c r="CP107" s="216"/>
      <c r="CQ107" s="216"/>
      <c r="CR107" s="216"/>
      <c r="CS107" s="216"/>
      <c r="CT107" s="216"/>
      <c r="CU107" s="216"/>
    </row>
    <row r="108" ht="15.75" customHeight="1">
      <c r="A108" s="213"/>
      <c r="B108" s="393"/>
      <c r="C108" s="350" t="s">
        <v>261</v>
      </c>
      <c r="D108" s="604">
        <v>1098875.0</v>
      </c>
      <c r="E108" s="355">
        <f t="shared" si="193"/>
        <v>0.08847154304</v>
      </c>
      <c r="F108" s="357">
        <v>1098875.0</v>
      </c>
      <c r="G108" s="355">
        <f t="shared" si="194"/>
        <v>0.08485899953</v>
      </c>
      <c r="H108" s="357">
        <f t="shared" ref="H108:H111" si="217">D108-F108</f>
        <v>0</v>
      </c>
      <c r="I108" s="395">
        <f t="shared" ref="I108:I111" si="218">H108/F108</f>
        <v>0</v>
      </c>
      <c r="J108" s="604">
        <v>1098875.0</v>
      </c>
      <c r="K108" s="355">
        <f t="shared" si="195"/>
        <v>0.08619992013</v>
      </c>
      <c r="L108" s="357">
        <v>1098875.0</v>
      </c>
      <c r="M108" s="355">
        <f t="shared" si="196"/>
        <v>0.0889770173</v>
      </c>
      <c r="N108" s="352"/>
      <c r="O108" s="358"/>
      <c r="P108" s="349">
        <v>1098875.0</v>
      </c>
      <c r="Q108" s="355">
        <f t="shared" si="197"/>
        <v>0.09727291494</v>
      </c>
      <c r="R108" s="357">
        <v>1098875.0</v>
      </c>
      <c r="S108" s="355">
        <f t="shared" si="198"/>
        <v>0.08406608595</v>
      </c>
      <c r="T108" s="352"/>
      <c r="U108" s="358"/>
      <c r="V108" s="604">
        <v>1098875.0</v>
      </c>
      <c r="W108" s="355">
        <f t="shared" si="199"/>
        <v>0.07835042682</v>
      </c>
      <c r="X108" s="357">
        <v>1098875.0</v>
      </c>
      <c r="Y108" s="355">
        <f t="shared" si="200"/>
        <v>0.08097144125</v>
      </c>
      <c r="Z108" s="352"/>
      <c r="AA108" s="358"/>
      <c r="AB108" s="604">
        <v>1098875.0</v>
      </c>
      <c r="AC108" s="355">
        <f t="shared" si="201"/>
        <v>0.0775945879</v>
      </c>
      <c r="AD108" s="357">
        <v>1098875.0</v>
      </c>
      <c r="AE108" s="355">
        <f t="shared" si="202"/>
        <v>0.07641630159</v>
      </c>
      <c r="AF108" s="352"/>
      <c r="AG108" s="358"/>
      <c r="AH108" s="604">
        <v>1098875.0</v>
      </c>
      <c r="AI108" s="355">
        <f t="shared" si="203"/>
        <v>0.09210334119</v>
      </c>
      <c r="AJ108" s="357">
        <v>1098875.0</v>
      </c>
      <c r="AK108" s="355">
        <f t="shared" si="204"/>
        <v>0.08062525906</v>
      </c>
      <c r="AL108" s="352"/>
      <c r="AM108" s="358"/>
      <c r="AN108" s="604">
        <v>1098875.0</v>
      </c>
      <c r="AO108" s="355">
        <f t="shared" si="205"/>
        <v>0.08670585687</v>
      </c>
      <c r="AP108" s="357">
        <v>1098875.0</v>
      </c>
      <c r="AQ108" s="355">
        <f t="shared" si="206"/>
        <v>0.07288447632</v>
      </c>
      <c r="AR108" s="352"/>
      <c r="AS108" s="358"/>
      <c r="AT108" s="604">
        <v>1098875.0</v>
      </c>
      <c r="AU108" s="355">
        <f t="shared" si="207"/>
        <v>0.08623016587</v>
      </c>
      <c r="AV108" s="357">
        <v>1098875.0</v>
      </c>
      <c r="AW108" s="355">
        <f t="shared" si="208"/>
        <v>0.07075516697</v>
      </c>
      <c r="AX108" s="352"/>
      <c r="AY108" s="358"/>
      <c r="AZ108" s="604">
        <v>1098875.0</v>
      </c>
      <c r="BA108" s="355">
        <f t="shared" si="209"/>
        <v>0.06136756168</v>
      </c>
      <c r="BB108" s="357">
        <v>1098875.0</v>
      </c>
      <c r="BC108" s="355">
        <f t="shared" si="210"/>
        <v>0.0657022572</v>
      </c>
      <c r="BD108" s="352"/>
      <c r="BE108" s="358"/>
      <c r="BF108" s="604">
        <v>1145337.0</v>
      </c>
      <c r="BG108" s="355">
        <f t="shared" si="211"/>
        <v>0.06631975854</v>
      </c>
      <c r="BH108" s="357">
        <f>1098875*1.06</f>
        <v>1164807.5</v>
      </c>
      <c r="BI108" s="355">
        <f t="shared" si="212"/>
        <v>0.07176932075</v>
      </c>
      <c r="BJ108" s="352"/>
      <c r="BK108" s="358"/>
      <c r="BL108" s="604">
        <v>1145337.0</v>
      </c>
      <c r="BM108" s="355">
        <f t="shared" si="213"/>
        <v>0.06768035172</v>
      </c>
      <c r="BN108" s="357">
        <f>1098875*1.06</f>
        <v>1164807.5</v>
      </c>
      <c r="BO108" s="355">
        <f t="shared" si="214"/>
        <v>0.08559494213</v>
      </c>
      <c r="BP108" s="352"/>
      <c r="BQ108" s="358"/>
      <c r="BR108" s="604">
        <v>970625.0</v>
      </c>
      <c r="BS108" s="355">
        <f t="shared" si="215"/>
        <v>0.0653548309</v>
      </c>
      <c r="BT108" s="357">
        <f>1098875*1.06</f>
        <v>1164807.5</v>
      </c>
      <c r="BU108" s="355">
        <f t="shared" si="216"/>
        <v>0.07819778189</v>
      </c>
      <c r="BV108" s="352"/>
      <c r="BW108" s="358"/>
      <c r="BX108" s="213"/>
      <c r="BY108" s="213"/>
      <c r="BZ108" s="213"/>
      <c r="CA108" s="213"/>
      <c r="CB108" s="213"/>
      <c r="CC108" s="213"/>
      <c r="CD108" s="213"/>
      <c r="CE108" s="213"/>
      <c r="CF108" s="213"/>
      <c r="CG108" s="213"/>
      <c r="CH108" s="213"/>
      <c r="CI108" s="213"/>
      <c r="CJ108" s="213"/>
      <c r="CK108" s="213"/>
      <c r="CL108" s="213"/>
      <c r="CM108" s="213"/>
      <c r="CN108" s="213"/>
      <c r="CO108" s="213"/>
      <c r="CP108" s="213"/>
      <c r="CQ108" s="213"/>
      <c r="CR108" s="213"/>
      <c r="CS108" s="213"/>
      <c r="CT108" s="213"/>
      <c r="CU108" s="213"/>
    </row>
    <row r="109" ht="15.75" customHeight="1">
      <c r="A109" s="213"/>
      <c r="B109" s="393"/>
      <c r="C109" s="350" t="s">
        <v>262</v>
      </c>
      <c r="D109" s="604">
        <f>325760+49337</f>
        <v>375097</v>
      </c>
      <c r="E109" s="355">
        <f t="shared" si="193"/>
        <v>0.03019944068</v>
      </c>
      <c r="F109" s="357">
        <v>357224.0</v>
      </c>
      <c r="G109" s="355">
        <f t="shared" si="194"/>
        <v>0.027586096</v>
      </c>
      <c r="H109" s="357">
        <f t="shared" si="217"/>
        <v>17873</v>
      </c>
      <c r="I109" s="395">
        <f t="shared" si="218"/>
        <v>0.0500330325</v>
      </c>
      <c r="J109" s="604">
        <v>379415.0</v>
      </c>
      <c r="K109" s="355">
        <f t="shared" si="195"/>
        <v>0.02976275072</v>
      </c>
      <c r="L109" s="357">
        <v>376418.0</v>
      </c>
      <c r="M109" s="355">
        <f t="shared" si="196"/>
        <v>0.03047894519</v>
      </c>
      <c r="N109" s="352"/>
      <c r="O109" s="358"/>
      <c r="P109" s="349">
        <v>397675.0</v>
      </c>
      <c r="Q109" s="355">
        <f t="shared" si="197"/>
        <v>0.03520237192</v>
      </c>
      <c r="R109" s="357">
        <v>396010.0</v>
      </c>
      <c r="S109" s="355">
        <f t="shared" si="198"/>
        <v>0.03029553925</v>
      </c>
      <c r="T109" s="352"/>
      <c r="U109" s="358"/>
      <c r="V109" s="604">
        <v>350100.0</v>
      </c>
      <c r="W109" s="355">
        <f t="shared" si="199"/>
        <v>0.02496233369</v>
      </c>
      <c r="X109" s="357">
        <v>232362.0</v>
      </c>
      <c r="Y109" s="355">
        <f t="shared" si="200"/>
        <v>0.01712177093</v>
      </c>
      <c r="Z109" s="352"/>
      <c r="AA109" s="358"/>
      <c r="AB109" s="604">
        <v>363050.0</v>
      </c>
      <c r="AC109" s="355">
        <f t="shared" si="201"/>
        <v>0.02563595963</v>
      </c>
      <c r="AD109" s="357">
        <v>400134.0</v>
      </c>
      <c r="AE109" s="355">
        <f t="shared" si="202"/>
        <v>0.02782551284</v>
      </c>
      <c r="AF109" s="352"/>
      <c r="AG109" s="358"/>
      <c r="AH109" s="604">
        <v>383905.0</v>
      </c>
      <c r="AI109" s="355">
        <f t="shared" si="203"/>
        <v>0.03217739342</v>
      </c>
      <c r="AJ109" s="357">
        <v>377312.0</v>
      </c>
      <c r="AK109" s="355">
        <f t="shared" si="204"/>
        <v>0.02768365623</v>
      </c>
      <c r="AL109" s="352"/>
      <c r="AM109" s="358"/>
      <c r="AN109" s="604">
        <v>385242.0</v>
      </c>
      <c r="AO109" s="355">
        <f t="shared" si="205"/>
        <v>0.03039721325</v>
      </c>
      <c r="AP109" s="357">
        <v>401318.0</v>
      </c>
      <c r="AQ109" s="355">
        <f t="shared" si="206"/>
        <v>0.02661799774</v>
      </c>
      <c r="AR109" s="352"/>
      <c r="AS109" s="358"/>
      <c r="AT109" s="604">
        <v>331847.0</v>
      </c>
      <c r="AU109" s="355">
        <f t="shared" si="207"/>
        <v>0.02604047035</v>
      </c>
      <c r="AV109" s="357">
        <v>384882.0</v>
      </c>
      <c r="AW109" s="355">
        <f t="shared" si="208"/>
        <v>0.02478206363</v>
      </c>
      <c r="AX109" s="352"/>
      <c r="AY109" s="358"/>
      <c r="AZ109" s="604">
        <v>347572.0</v>
      </c>
      <c r="BA109" s="355">
        <f t="shared" si="209"/>
        <v>0.01941043899</v>
      </c>
      <c r="BB109" s="357">
        <v>270840.0</v>
      </c>
      <c r="BC109" s="355">
        <f t="shared" si="210"/>
        <v>0.016193652</v>
      </c>
      <c r="BD109" s="352"/>
      <c r="BE109" s="358"/>
      <c r="BF109" s="604">
        <v>400200.0</v>
      </c>
      <c r="BG109" s="355">
        <f t="shared" si="211"/>
        <v>0.02317323842</v>
      </c>
      <c r="BH109" s="357">
        <v>330703.0</v>
      </c>
      <c r="BI109" s="355">
        <f t="shared" si="212"/>
        <v>0.02037618206</v>
      </c>
      <c r="BJ109" s="352"/>
      <c r="BK109" s="358"/>
      <c r="BL109" s="604">
        <v>400200.0</v>
      </c>
      <c r="BM109" s="355">
        <f t="shared" si="213"/>
        <v>0.02364865254</v>
      </c>
      <c r="BN109" s="357">
        <v>330703.0</v>
      </c>
      <c r="BO109" s="355">
        <f t="shared" si="214"/>
        <v>0.02430144393</v>
      </c>
      <c r="BP109" s="352"/>
      <c r="BQ109" s="358"/>
      <c r="BR109" s="604">
        <v>308088.0</v>
      </c>
      <c r="BS109" s="355">
        <f t="shared" si="215"/>
        <v>0.02074440607</v>
      </c>
      <c r="BT109" s="357">
        <v>330703.0</v>
      </c>
      <c r="BU109" s="355">
        <f t="shared" si="216"/>
        <v>0.02220130027</v>
      </c>
      <c r="BV109" s="352"/>
      <c r="BW109" s="358"/>
      <c r="BX109" s="213"/>
      <c r="BY109" s="213"/>
      <c r="BZ109" s="213"/>
      <c r="CA109" s="213"/>
      <c r="CB109" s="213"/>
      <c r="CC109" s="213"/>
      <c r="CD109" s="213"/>
      <c r="CE109" s="213"/>
      <c r="CF109" s="213"/>
      <c r="CG109" s="213"/>
      <c r="CH109" s="213"/>
      <c r="CI109" s="213"/>
      <c r="CJ109" s="213"/>
      <c r="CK109" s="213"/>
      <c r="CL109" s="213"/>
      <c r="CM109" s="213"/>
      <c r="CN109" s="213"/>
      <c r="CO109" s="213"/>
      <c r="CP109" s="213"/>
      <c r="CQ109" s="213"/>
      <c r="CR109" s="213"/>
      <c r="CS109" s="213"/>
      <c r="CT109" s="213"/>
      <c r="CU109" s="213"/>
    </row>
    <row r="110" ht="15.75" customHeight="1">
      <c r="A110" s="213"/>
      <c r="B110" s="393"/>
      <c r="C110" s="350" t="s">
        <v>263</v>
      </c>
      <c r="D110" s="604">
        <v>8223.0</v>
      </c>
      <c r="E110" s="355">
        <f t="shared" si="193"/>
        <v>0.0006620420871</v>
      </c>
      <c r="F110" s="357">
        <v>4000.0</v>
      </c>
      <c r="G110" s="355">
        <f t="shared" si="194"/>
        <v>0.0003088940945</v>
      </c>
      <c r="H110" s="357">
        <f t="shared" si="217"/>
        <v>4223</v>
      </c>
      <c r="I110" s="395">
        <f t="shared" si="218"/>
        <v>1.05575</v>
      </c>
      <c r="J110" s="604">
        <v>8223.0</v>
      </c>
      <c r="K110" s="355">
        <f t="shared" si="195"/>
        <v>0.0006450432881</v>
      </c>
      <c r="L110" s="357">
        <v>4000.0</v>
      </c>
      <c r="M110" s="355">
        <f t="shared" si="196"/>
        <v>0.0003238840352</v>
      </c>
      <c r="N110" s="352"/>
      <c r="O110" s="358"/>
      <c r="P110" s="349">
        <v>8548.0</v>
      </c>
      <c r="Q110" s="355">
        <f t="shared" si="197"/>
        <v>0.0007566728489</v>
      </c>
      <c r="R110" s="357">
        <v>4000.0</v>
      </c>
      <c r="S110" s="355">
        <f t="shared" si="198"/>
        <v>0.0003060078205</v>
      </c>
      <c r="T110" s="352"/>
      <c r="U110" s="358"/>
      <c r="V110" s="604">
        <v>8548.0</v>
      </c>
      <c r="W110" s="355">
        <f t="shared" si="199"/>
        <v>0.0006094773732</v>
      </c>
      <c r="X110" s="357">
        <v>4000.0</v>
      </c>
      <c r="Y110" s="355">
        <f t="shared" si="200"/>
        <v>0.0002947430463</v>
      </c>
      <c r="Z110" s="352"/>
      <c r="AA110" s="358"/>
      <c r="AB110" s="732">
        <v>29260.0</v>
      </c>
      <c r="AC110" s="355">
        <f t="shared" si="201"/>
        <v>0.002066129125</v>
      </c>
      <c r="AD110" s="357">
        <v>4000.0</v>
      </c>
      <c r="AE110" s="355">
        <f t="shared" si="202"/>
        <v>0.0002781619441</v>
      </c>
      <c r="AF110" s="352"/>
      <c r="AG110" s="358"/>
      <c r="AH110" s="604">
        <v>25840.0</v>
      </c>
      <c r="AI110" s="355">
        <f t="shared" si="203"/>
        <v>0.002165806244</v>
      </c>
      <c r="AJ110" s="357">
        <v>4000.0</v>
      </c>
      <c r="AK110" s="355">
        <f t="shared" si="204"/>
        <v>0.0002934829132</v>
      </c>
      <c r="AL110" s="352"/>
      <c r="AM110" s="358"/>
      <c r="AN110" s="604">
        <f>37114-25840</f>
        <v>11274</v>
      </c>
      <c r="AO110" s="355">
        <f t="shared" si="205"/>
        <v>0.0008895659929</v>
      </c>
      <c r="AP110" s="357">
        <v>4000.0</v>
      </c>
      <c r="AQ110" s="355">
        <f t="shared" si="206"/>
        <v>0.0002653057948</v>
      </c>
      <c r="AR110" s="352"/>
      <c r="AS110" s="358"/>
      <c r="AT110" s="604">
        <v>23180.0</v>
      </c>
      <c r="AU110" s="355">
        <f t="shared" si="207"/>
        <v>0.001818965073</v>
      </c>
      <c r="AV110" s="357">
        <v>4000.0</v>
      </c>
      <c r="AW110" s="355">
        <f t="shared" si="208"/>
        <v>0.0002575549247</v>
      </c>
      <c r="AX110" s="352"/>
      <c r="AY110" s="358"/>
      <c r="AZ110" s="732">
        <v>25460.0</v>
      </c>
      <c r="BA110" s="728">
        <f t="shared" si="209"/>
        <v>0.001421834258</v>
      </c>
      <c r="BB110" s="729">
        <v>4000.0</v>
      </c>
      <c r="BC110" s="728">
        <f t="shared" si="210"/>
        <v>0.0002391618963</v>
      </c>
      <c r="BD110" s="730"/>
      <c r="BE110" s="731"/>
      <c r="BF110" s="732">
        <v>20900.0</v>
      </c>
      <c r="BG110" s="355">
        <f t="shared" si="211"/>
        <v>0.001210196609</v>
      </c>
      <c r="BH110" s="357">
        <v>4000.0</v>
      </c>
      <c r="BI110" s="355">
        <f t="shared" si="212"/>
        <v>0.0002464589926</v>
      </c>
      <c r="BJ110" s="352"/>
      <c r="BK110" s="358"/>
      <c r="BL110" s="628">
        <v>19380.0</v>
      </c>
      <c r="BM110" s="355">
        <f t="shared" si="213"/>
        <v>0.001145204613</v>
      </c>
      <c r="BN110" s="357">
        <v>4000.0</v>
      </c>
      <c r="BO110" s="355">
        <f t="shared" si="214"/>
        <v>0.0002939367823</v>
      </c>
      <c r="BP110" s="352"/>
      <c r="BQ110" s="358"/>
      <c r="BR110" s="628">
        <v>23180.0</v>
      </c>
      <c r="BS110" s="355">
        <f t="shared" si="215"/>
        <v>0.001560772678</v>
      </c>
      <c r="BT110" s="357">
        <v>4000.0</v>
      </c>
      <c r="BU110" s="355">
        <f t="shared" si="216"/>
        <v>0.0002685346099</v>
      </c>
      <c r="BV110" s="352"/>
      <c r="BW110" s="358"/>
      <c r="BX110" s="213"/>
      <c r="BY110" s="213"/>
      <c r="BZ110" s="213"/>
      <c r="CA110" s="213"/>
      <c r="CB110" s="213"/>
      <c r="CC110" s="213"/>
      <c r="CD110" s="213"/>
      <c r="CE110" s="213"/>
      <c r="CF110" s="213"/>
      <c r="CG110" s="213"/>
      <c r="CH110" s="213"/>
      <c r="CI110" s="213"/>
      <c r="CJ110" s="213"/>
      <c r="CK110" s="213"/>
      <c r="CL110" s="213"/>
      <c r="CM110" s="213"/>
      <c r="CN110" s="213"/>
      <c r="CO110" s="213"/>
      <c r="CP110" s="213"/>
      <c r="CQ110" s="213"/>
      <c r="CR110" s="213"/>
      <c r="CS110" s="213"/>
      <c r="CT110" s="213"/>
      <c r="CU110" s="213"/>
    </row>
    <row r="111" ht="15.75" customHeight="1">
      <c r="A111" s="213"/>
      <c r="B111" s="393"/>
      <c r="C111" s="350" t="s">
        <v>264</v>
      </c>
      <c r="D111" s="604">
        <f>1978+(3673/3)+((3318/2)/3)</f>
        <v>3755.333333</v>
      </c>
      <c r="E111" s="355">
        <f t="shared" si="193"/>
        <v>0.0003023457032</v>
      </c>
      <c r="F111" s="352">
        <v>4000.0</v>
      </c>
      <c r="G111" s="355">
        <f t="shared" si="194"/>
        <v>0.0003088940945</v>
      </c>
      <c r="H111" s="357">
        <f t="shared" si="217"/>
        <v>-244.6666667</v>
      </c>
      <c r="I111" s="395">
        <f t="shared" si="218"/>
        <v>-0.06116666667</v>
      </c>
      <c r="J111" s="604">
        <f>1682+(3673/3)+((3318/2)/3)</f>
        <v>3459.333333</v>
      </c>
      <c r="K111" s="355">
        <f t="shared" si="195"/>
        <v>0.0002713632188</v>
      </c>
      <c r="L111" s="352">
        <f>$F$111</f>
        <v>4000</v>
      </c>
      <c r="M111" s="355">
        <f t="shared" si="196"/>
        <v>0.0003238840352</v>
      </c>
      <c r="N111" s="352"/>
      <c r="O111" s="358"/>
      <c r="P111" s="349">
        <f>(3673/3)+300+((3318/2)/3)+1667</f>
        <v>3744.333333</v>
      </c>
      <c r="Q111" s="355">
        <f t="shared" si="197"/>
        <v>0.0003314500902</v>
      </c>
      <c r="R111" s="352">
        <f>$F$111</f>
        <v>4000</v>
      </c>
      <c r="S111" s="355">
        <f t="shared" si="198"/>
        <v>0.0003060078205</v>
      </c>
      <c r="T111" s="352"/>
      <c r="U111" s="358"/>
      <c r="V111" s="604">
        <f>(3318/3)+((3318/2)/3)+1667</f>
        <v>3326</v>
      </c>
      <c r="W111" s="355">
        <f t="shared" si="199"/>
        <v>0.000237145735</v>
      </c>
      <c r="X111" s="352">
        <f>$F$111</f>
        <v>4000</v>
      </c>
      <c r="Y111" s="355">
        <f t="shared" si="200"/>
        <v>0.0002947430463</v>
      </c>
      <c r="Z111" s="352"/>
      <c r="AA111" s="358"/>
      <c r="AB111" s="604">
        <f>(3318/3)+((3318/2)/3)+1667</f>
        <v>3326</v>
      </c>
      <c r="AC111" s="355">
        <f t="shared" si="201"/>
        <v>0.0002348580133</v>
      </c>
      <c r="AD111" s="357">
        <f>$F$111</f>
        <v>4000</v>
      </c>
      <c r="AE111" s="355">
        <f t="shared" si="202"/>
        <v>0.0002781619441</v>
      </c>
      <c r="AF111" s="352"/>
      <c r="AG111" s="358"/>
      <c r="AH111" s="604">
        <f>(3318/3)+((3318/2)/3)+1337</f>
        <v>2996</v>
      </c>
      <c r="AI111" s="355">
        <f t="shared" si="203"/>
        <v>0.0002511128292</v>
      </c>
      <c r="AJ111" s="352">
        <f>$F$111</f>
        <v>4000</v>
      </c>
      <c r="AK111" s="352"/>
      <c r="AL111" s="352"/>
      <c r="AM111" s="358"/>
      <c r="AN111" s="604">
        <v>1667.0</v>
      </c>
      <c r="AO111" s="355">
        <f t="shared" si="205"/>
        <v>0.0001315333076</v>
      </c>
      <c r="AP111" s="352"/>
      <c r="AQ111" s="352"/>
      <c r="AR111" s="352"/>
      <c r="AS111" s="358"/>
      <c r="AT111" s="604">
        <v>1670.0</v>
      </c>
      <c r="AU111" s="355">
        <f t="shared" si="207"/>
        <v>0.0001310470954</v>
      </c>
      <c r="AV111" s="352"/>
      <c r="AW111" s="352"/>
      <c r="AX111" s="352"/>
      <c r="AY111" s="358"/>
      <c r="AZ111" s="604">
        <v>1670.0</v>
      </c>
      <c r="BA111" s="352"/>
      <c r="BB111" s="352"/>
      <c r="BC111" s="352"/>
      <c r="BD111" s="352"/>
      <c r="BE111" s="358"/>
      <c r="BF111" s="604">
        <v>1670.0</v>
      </c>
      <c r="BG111" s="355">
        <f t="shared" si="211"/>
        <v>0.00009669992043</v>
      </c>
      <c r="BH111" s="352"/>
      <c r="BI111" s="355">
        <f t="shared" si="212"/>
        <v>0</v>
      </c>
      <c r="BJ111" s="352"/>
      <c r="BK111" s="358"/>
      <c r="BL111" s="604">
        <v>1511.0</v>
      </c>
      <c r="BM111" s="355">
        <f t="shared" si="213"/>
        <v>0.00008928814091</v>
      </c>
      <c r="BN111" s="357"/>
      <c r="BO111" s="355">
        <f t="shared" si="214"/>
        <v>0</v>
      </c>
      <c r="BP111" s="352"/>
      <c r="BQ111" s="358"/>
      <c r="BR111" s="604">
        <v>5517.0</v>
      </c>
      <c r="BS111" s="355">
        <f t="shared" si="215"/>
        <v>0.0003714746705</v>
      </c>
      <c r="BT111" s="357"/>
      <c r="BU111" s="355">
        <f t="shared" si="216"/>
        <v>0</v>
      </c>
      <c r="BV111" s="352"/>
      <c r="BW111" s="358"/>
      <c r="BX111" s="213"/>
      <c r="BY111" s="213"/>
      <c r="BZ111" s="213"/>
      <c r="CA111" s="213"/>
      <c r="CB111" s="213"/>
      <c r="CC111" s="213"/>
      <c r="CD111" s="213"/>
      <c r="CE111" s="213"/>
      <c r="CF111" s="213"/>
      <c r="CG111" s="213"/>
      <c r="CH111" s="213"/>
      <c r="CI111" s="213"/>
      <c r="CJ111" s="213"/>
      <c r="CK111" s="213"/>
      <c r="CL111" s="213"/>
      <c r="CM111" s="213"/>
      <c r="CN111" s="213"/>
      <c r="CO111" s="213"/>
      <c r="CP111" s="213"/>
      <c r="CQ111" s="213"/>
      <c r="CR111" s="213"/>
      <c r="CS111" s="213"/>
      <c r="CT111" s="213"/>
      <c r="CU111" s="213"/>
    </row>
    <row r="112" ht="15.75" customHeight="1">
      <c r="A112" s="213"/>
      <c r="B112" s="393"/>
      <c r="C112" s="723"/>
      <c r="D112" s="604"/>
      <c r="E112" s="352"/>
      <c r="F112" s="352"/>
      <c r="G112" s="352"/>
      <c r="H112" s="352"/>
      <c r="I112" s="358"/>
      <c r="J112" s="604"/>
      <c r="K112" s="352"/>
      <c r="L112" s="352"/>
      <c r="M112" s="352"/>
      <c r="N112" s="352"/>
      <c r="O112" s="358"/>
      <c r="P112" s="349"/>
      <c r="Q112" s="352"/>
      <c r="R112" s="352"/>
      <c r="S112" s="352"/>
      <c r="T112" s="352"/>
      <c r="U112" s="358"/>
      <c r="V112" s="604"/>
      <c r="W112" s="352"/>
      <c r="X112" s="352"/>
      <c r="Y112" s="352"/>
      <c r="Z112" s="352"/>
      <c r="AA112" s="358"/>
      <c r="AB112" s="604"/>
      <c r="AC112" s="352"/>
      <c r="AD112" s="357"/>
      <c r="AE112" s="352"/>
      <c r="AF112" s="352"/>
      <c r="AG112" s="358"/>
      <c r="AH112" s="604"/>
      <c r="AI112" s="352"/>
      <c r="AJ112" s="352"/>
      <c r="AK112" s="352"/>
      <c r="AL112" s="352"/>
      <c r="AM112" s="358"/>
      <c r="AN112" s="604"/>
      <c r="AO112" s="352"/>
      <c r="AP112" s="352"/>
      <c r="AQ112" s="352"/>
      <c r="AR112" s="352"/>
      <c r="AS112" s="358"/>
      <c r="AT112" s="604"/>
      <c r="AU112" s="352"/>
      <c r="AV112" s="352"/>
      <c r="AW112" s="352"/>
      <c r="AX112" s="352"/>
      <c r="AY112" s="358"/>
      <c r="AZ112" s="604"/>
      <c r="BA112" s="352"/>
      <c r="BB112" s="352"/>
      <c r="BC112" s="352"/>
      <c r="BD112" s="352"/>
      <c r="BE112" s="358"/>
      <c r="BF112" s="604"/>
      <c r="BG112" s="352"/>
      <c r="BH112" s="352"/>
      <c r="BI112" s="352"/>
      <c r="BJ112" s="352"/>
      <c r="BK112" s="358"/>
      <c r="BL112" s="604"/>
      <c r="BM112" s="352"/>
      <c r="BN112" s="357"/>
      <c r="BO112" s="352"/>
      <c r="BP112" s="352"/>
      <c r="BQ112" s="358"/>
      <c r="BR112" s="604"/>
      <c r="BS112" s="352"/>
      <c r="BT112" s="357"/>
      <c r="BU112" s="352"/>
      <c r="BV112" s="352"/>
      <c r="BW112" s="358"/>
      <c r="BX112" s="213"/>
      <c r="BY112" s="213"/>
      <c r="BZ112" s="213"/>
      <c r="CA112" s="213"/>
      <c r="CB112" s="213"/>
      <c r="CC112" s="213"/>
      <c r="CD112" s="213"/>
      <c r="CE112" s="213"/>
      <c r="CF112" s="213"/>
      <c r="CG112" s="213"/>
      <c r="CH112" s="213"/>
      <c r="CI112" s="213"/>
      <c r="CJ112" s="213"/>
      <c r="CK112" s="213"/>
      <c r="CL112" s="213"/>
      <c r="CM112" s="213"/>
      <c r="CN112" s="213"/>
      <c r="CO112" s="213"/>
      <c r="CP112" s="213"/>
      <c r="CQ112" s="213"/>
      <c r="CR112" s="213"/>
      <c r="CS112" s="213"/>
      <c r="CT112" s="213"/>
      <c r="CU112" s="213"/>
    </row>
    <row r="113" ht="15.75" customHeight="1">
      <c r="A113" s="213"/>
      <c r="B113" s="393"/>
      <c r="C113" s="723" t="s">
        <v>38</v>
      </c>
      <c r="D113" s="604">
        <f>SUM(D114:D122)</f>
        <v>3211057.707</v>
      </c>
      <c r="E113" s="355">
        <f t="shared" ref="E113:E122" si="219">D113/D$33</f>
        <v>0.2585255194</v>
      </c>
      <c r="F113" s="357">
        <f>SUM(F114:F122)</f>
        <v>3285794.786</v>
      </c>
      <c r="G113" s="355">
        <f t="shared" ref="G113:G122" si="220">F113/F$33</f>
        <v>0.2537406513</v>
      </c>
      <c r="H113" s="357">
        <f>SUM(H114:H121)</f>
        <v>-74737.07972</v>
      </c>
      <c r="I113" s="358"/>
      <c r="J113" s="604">
        <f>SUM(J114:J122)</f>
        <v>3191797.347</v>
      </c>
      <c r="K113" s="355">
        <f t="shared" ref="K113:K122" si="221">J113/J$33</f>
        <v>0.2503766819</v>
      </c>
      <c r="L113" s="357">
        <f>SUM(L114:L122)</f>
        <v>3253759.319</v>
      </c>
      <c r="M113" s="355">
        <f t="shared" ref="M113:M122" si="222">L113/L$33</f>
        <v>0.2634601745</v>
      </c>
      <c r="N113" s="352">
        <f>SUM(N114:N121)</f>
        <v>0</v>
      </c>
      <c r="O113" s="358"/>
      <c r="P113" s="604">
        <f>SUM(P114:P122)</f>
        <v>3178772.027</v>
      </c>
      <c r="Q113" s="355">
        <f t="shared" ref="Q113:Q122" si="223">P113/P$33</f>
        <v>0.281386346</v>
      </c>
      <c r="R113" s="357">
        <f>SUM(R114:R122)</f>
        <v>3292323.471</v>
      </c>
      <c r="S113" s="355">
        <f t="shared" ref="S113:S122" si="224">R113/R$33</f>
        <v>0.2518691825</v>
      </c>
      <c r="T113" s="352">
        <f>SUM(T114:T121)</f>
        <v>0</v>
      </c>
      <c r="U113" s="358"/>
      <c r="V113" s="604">
        <f>SUM(V114:V122)</f>
        <v>3138083.897</v>
      </c>
      <c r="W113" s="355">
        <f t="shared" ref="W113:W122" si="225">V113/V$33</f>
        <v>0.2237472075</v>
      </c>
      <c r="X113" s="357">
        <f>SUM(X114:X122)</f>
        <v>3319027.494</v>
      </c>
      <c r="Y113" s="355">
        <f t="shared" ref="Y113:Y122" si="226">X113/X$33</f>
        <v>0.2445650686</v>
      </c>
      <c r="Z113" s="352">
        <f>SUM(Z114:Z121)</f>
        <v>0</v>
      </c>
      <c r="AA113" s="358"/>
      <c r="AB113" s="604">
        <f>SUM(AB114:AB122)</f>
        <v>3284714.657</v>
      </c>
      <c r="AC113" s="355">
        <f t="shared" ref="AC113:AC122" si="227">AB113/AB$33</f>
        <v>0.2319427416</v>
      </c>
      <c r="AD113" s="357">
        <f>SUM(AD114:AD122)</f>
        <v>3362269.16</v>
      </c>
      <c r="AE113" s="355">
        <f t="shared" ref="AE113:AE122" si="228">AD113/AD$33</f>
        <v>0.2338138315</v>
      </c>
      <c r="AF113" s="352">
        <f>SUM(AF114:AF121)</f>
        <v>0</v>
      </c>
      <c r="AG113" s="358"/>
      <c r="AH113" s="604">
        <f>SUM(AH114:AH122)</f>
        <v>3144920.946</v>
      </c>
      <c r="AI113" s="355">
        <f t="shared" ref="AI113:AI122" si="229">AH113/AH$33</f>
        <v>0.2635947919</v>
      </c>
      <c r="AJ113" s="357">
        <f>SUM(AJ114:AJ122)</f>
        <v>3322142.224</v>
      </c>
      <c r="AK113" s="355">
        <f t="shared" ref="AK113:AK122" si="230">AJ113/AJ$33</f>
        <v>0.2437479945</v>
      </c>
      <c r="AL113" s="352">
        <f>SUM(AL114:AL121)</f>
        <v>0</v>
      </c>
      <c r="AM113" s="358"/>
      <c r="AN113" s="604">
        <f>SUM(AN114:AN122)</f>
        <v>3141796.207</v>
      </c>
      <c r="AO113" s="355">
        <f t="shared" ref="AO113:AO122" si="231">AN113/AN$33</f>
        <v>0.247900928</v>
      </c>
      <c r="AP113" s="357">
        <f>SUM(AP114:AP122)</f>
        <v>3399516.628</v>
      </c>
      <c r="AQ113" s="352"/>
      <c r="AR113" s="352">
        <f>SUM(AR114:AR121)</f>
        <v>0</v>
      </c>
      <c r="AS113" s="358"/>
      <c r="AT113" s="604">
        <f>SUM(AT114:AT122)</f>
        <v>3082782.937</v>
      </c>
      <c r="AU113" s="355">
        <f t="shared" ref="AU113:AU122" si="232">AT113/AT$33</f>
        <v>0.2419100298</v>
      </c>
      <c r="AV113" s="357">
        <f>SUM(AV114:AV122)</f>
        <v>3323769.555</v>
      </c>
      <c r="AW113" s="355">
        <f t="shared" ref="AW113:AW122" si="233">AV113/AV$33</f>
        <v>0.2140133043</v>
      </c>
      <c r="AX113" s="352">
        <f>SUM(AX114:AX121)</f>
        <v>0</v>
      </c>
      <c r="AY113" s="358"/>
      <c r="AZ113" s="604">
        <f>SUM(AZ114:AZ122)</f>
        <v>3626342.537</v>
      </c>
      <c r="BA113" s="355">
        <f t="shared" ref="BA113:BA122" si="234">AZ113/AZ$33</f>
        <v>0.2025160271</v>
      </c>
      <c r="BB113" s="357">
        <f>SUM(BB114:BB122)</f>
        <v>3387613.79</v>
      </c>
      <c r="BC113" s="355">
        <f t="shared" ref="BC113:BC122" si="235">BB113/BB$33</f>
        <v>0.2025470345</v>
      </c>
      <c r="BD113" s="352">
        <f>SUM(BD114:BD121)</f>
        <v>0</v>
      </c>
      <c r="BE113" s="358"/>
      <c r="BF113" s="604">
        <f>SUM(BF114:BF122)</f>
        <v>3637279.197</v>
      </c>
      <c r="BG113" s="355">
        <f t="shared" ref="BG113:BG122" si="236">BF113/BF$33</f>
        <v>0.2106135383</v>
      </c>
      <c r="BH113" s="352">
        <f>SUM(BH114:BH122)</f>
        <v>3361144.413</v>
      </c>
      <c r="BI113" s="355">
        <f t="shared" ref="BI113:BI122" si="237">BH113/BH$33</f>
        <v>0.2070960665</v>
      </c>
      <c r="BJ113" s="352">
        <f>SUM(BJ114:BJ121)</f>
        <v>0</v>
      </c>
      <c r="BK113" s="358"/>
      <c r="BL113" s="604">
        <f>SUM(BL114:BL122)</f>
        <v>3377718.467</v>
      </c>
      <c r="BM113" s="355">
        <f t="shared" ref="BM113:BM122" si="238">BL113/BL$33</f>
        <v>0.1995964278</v>
      </c>
      <c r="BN113" s="604">
        <f>SUM(BN114:BN122)</f>
        <v>3221017.297</v>
      </c>
      <c r="BO113" s="355">
        <f t="shared" ref="BO113:BO122" si="239">BN113/BN$33</f>
        <v>0.236693865</v>
      </c>
      <c r="BP113" s="352">
        <f>SUM(BP114:BP121)</f>
        <v>0</v>
      </c>
      <c r="BQ113" s="358"/>
      <c r="BR113" s="604">
        <f>SUM(BR114:BR122)</f>
        <v>3484551.69</v>
      </c>
      <c r="BS113" s="726">
        <f t="shared" ref="BS113:BS122" si="240">BR113/BR$33</f>
        <v>0.2346243776</v>
      </c>
      <c r="BT113" s="660">
        <f>SUM(BT114:BT122)</f>
        <v>3289826.401</v>
      </c>
      <c r="BU113" s="726">
        <f t="shared" ref="BU113:BU121" si="241">BT113/BT$33</f>
        <v>0.2208580623</v>
      </c>
      <c r="BV113" s="658">
        <f>SUM(BV114:BV121)</f>
        <v>0</v>
      </c>
      <c r="BW113" s="656"/>
      <c r="BX113" s="718">
        <f>D113+J113+P113+V113+AB113+AH113+AN113+AT113+AZ113+BF113+BL113+BR113</f>
        <v>39499817.61</v>
      </c>
      <c r="BY113" s="216"/>
      <c r="BZ113" s="216"/>
      <c r="CA113" s="216"/>
      <c r="CB113" s="216"/>
      <c r="CC113" s="216"/>
      <c r="CD113" s="216"/>
      <c r="CE113" s="216"/>
      <c r="CF113" s="216"/>
      <c r="CG113" s="216"/>
      <c r="CH113" s="216"/>
      <c r="CI113" s="216"/>
      <c r="CJ113" s="216"/>
      <c r="CK113" s="216"/>
      <c r="CL113" s="216"/>
      <c r="CM113" s="216"/>
      <c r="CN113" s="216"/>
      <c r="CO113" s="216"/>
      <c r="CP113" s="216"/>
      <c r="CQ113" s="216"/>
      <c r="CR113" s="216"/>
      <c r="CS113" s="216"/>
      <c r="CT113" s="216"/>
      <c r="CU113" s="216"/>
    </row>
    <row r="114" ht="15.75" customHeight="1">
      <c r="A114" s="213"/>
      <c r="B114" s="393"/>
      <c r="C114" s="350" t="s">
        <v>318</v>
      </c>
      <c r="D114" s="604"/>
      <c r="E114" s="355">
        <f t="shared" si="219"/>
        <v>0</v>
      </c>
      <c r="F114" s="357"/>
      <c r="G114" s="355">
        <f t="shared" si="220"/>
        <v>0</v>
      </c>
      <c r="H114" s="357">
        <f t="shared" ref="H114:H121" si="242">D114-F114</f>
        <v>0</v>
      </c>
      <c r="I114" s="395"/>
      <c r="J114" s="604"/>
      <c r="K114" s="355">
        <f t="shared" si="221"/>
        <v>0</v>
      </c>
      <c r="L114" s="357"/>
      <c r="M114" s="355">
        <f t="shared" si="222"/>
        <v>0</v>
      </c>
      <c r="N114" s="352"/>
      <c r="O114" s="358"/>
      <c r="P114" s="349"/>
      <c r="Q114" s="355">
        <f t="shared" si="223"/>
        <v>0</v>
      </c>
      <c r="R114" s="357"/>
      <c r="S114" s="355">
        <f t="shared" si="224"/>
        <v>0</v>
      </c>
      <c r="T114" s="352"/>
      <c r="U114" s="358"/>
      <c r="V114" s="604"/>
      <c r="W114" s="355">
        <f t="shared" si="225"/>
        <v>0</v>
      </c>
      <c r="X114" s="357"/>
      <c r="Y114" s="355">
        <f t="shared" si="226"/>
        <v>0</v>
      </c>
      <c r="Z114" s="352"/>
      <c r="AA114" s="358"/>
      <c r="AB114" s="604"/>
      <c r="AC114" s="355">
        <f t="shared" si="227"/>
        <v>0</v>
      </c>
      <c r="AD114" s="357"/>
      <c r="AE114" s="355">
        <f t="shared" si="228"/>
        <v>0</v>
      </c>
      <c r="AF114" s="352"/>
      <c r="AG114" s="358"/>
      <c r="AH114" s="604"/>
      <c r="AI114" s="355">
        <f t="shared" si="229"/>
        <v>0</v>
      </c>
      <c r="AJ114" s="357"/>
      <c r="AK114" s="355">
        <f t="shared" si="230"/>
        <v>0</v>
      </c>
      <c r="AL114" s="352"/>
      <c r="AM114" s="358"/>
      <c r="AN114" s="604"/>
      <c r="AO114" s="355">
        <f t="shared" si="231"/>
        <v>0</v>
      </c>
      <c r="AP114" s="352"/>
      <c r="AQ114" s="355">
        <f t="shared" ref="AQ114:AQ122" si="243">AP114/AP$33</f>
        <v>0</v>
      </c>
      <c r="AR114" s="352"/>
      <c r="AS114" s="358"/>
      <c r="AT114" s="604"/>
      <c r="AU114" s="355">
        <f t="shared" si="232"/>
        <v>0</v>
      </c>
      <c r="AV114" s="352"/>
      <c r="AW114" s="355">
        <f t="shared" si="233"/>
        <v>0</v>
      </c>
      <c r="AX114" s="352"/>
      <c r="AY114" s="358"/>
      <c r="AZ114" s="604"/>
      <c r="BA114" s="355">
        <f t="shared" si="234"/>
        <v>0</v>
      </c>
      <c r="BB114" s="352"/>
      <c r="BC114" s="355">
        <f t="shared" si="235"/>
        <v>0</v>
      </c>
      <c r="BD114" s="352"/>
      <c r="BE114" s="358"/>
      <c r="BF114" s="604"/>
      <c r="BG114" s="355">
        <f t="shared" si="236"/>
        <v>0</v>
      </c>
      <c r="BH114" s="352"/>
      <c r="BI114" s="355">
        <f t="shared" si="237"/>
        <v>0</v>
      </c>
      <c r="BJ114" s="352"/>
      <c r="BK114" s="358"/>
      <c r="BL114" s="604"/>
      <c r="BM114" s="355">
        <f t="shared" si="238"/>
        <v>0</v>
      </c>
      <c r="BN114" s="357"/>
      <c r="BO114" s="355">
        <f t="shared" si="239"/>
        <v>0</v>
      </c>
      <c r="BP114" s="352"/>
      <c r="BQ114" s="358"/>
      <c r="BR114" s="604"/>
      <c r="BS114" s="355">
        <f t="shared" si="240"/>
        <v>0</v>
      </c>
      <c r="BT114" s="357"/>
      <c r="BU114" s="355">
        <f t="shared" si="241"/>
        <v>0</v>
      </c>
      <c r="BV114" s="352"/>
      <c r="BW114" s="358"/>
      <c r="BX114" s="213"/>
      <c r="BY114" s="213"/>
      <c r="BZ114" s="213"/>
      <c r="CA114" s="213"/>
      <c r="CB114" s="213"/>
      <c r="CC114" s="213"/>
      <c r="CD114" s="213"/>
      <c r="CE114" s="213"/>
      <c r="CF114" s="213"/>
      <c r="CG114" s="213"/>
      <c r="CH114" s="213"/>
      <c r="CI114" s="213"/>
      <c r="CJ114" s="213"/>
      <c r="CK114" s="213"/>
      <c r="CL114" s="213"/>
      <c r="CM114" s="213"/>
      <c r="CN114" s="213"/>
      <c r="CO114" s="213"/>
      <c r="CP114" s="213"/>
      <c r="CQ114" s="213"/>
      <c r="CR114" s="213"/>
      <c r="CS114" s="213"/>
      <c r="CT114" s="213"/>
      <c r="CU114" s="213"/>
    </row>
    <row r="115" ht="15.75" customHeight="1">
      <c r="A115" s="213"/>
      <c r="B115" s="393"/>
      <c r="C115" s="350" t="s">
        <v>265</v>
      </c>
      <c r="D115" s="604">
        <v>2953441.0</v>
      </c>
      <c r="E115" s="355">
        <f t="shared" si="219"/>
        <v>0.2377845365</v>
      </c>
      <c r="F115" s="357">
        <f>2338394+(0.8*F32)</f>
        <v>3030576.62</v>
      </c>
      <c r="G115" s="355">
        <f t="shared" si="220"/>
        <v>0.2340318052</v>
      </c>
      <c r="H115" s="357">
        <f t="shared" si="242"/>
        <v>-77135.61972</v>
      </c>
      <c r="I115" s="395">
        <f>H115/F115</f>
        <v>-0.02545245654</v>
      </c>
      <c r="J115" s="604">
        <v>2932081.0</v>
      </c>
      <c r="K115" s="355">
        <f t="shared" si="221"/>
        <v>0.2300035473</v>
      </c>
      <c r="L115" s="357">
        <f>2338394+(0.8*L32)</f>
        <v>2998541.152</v>
      </c>
      <c r="M115" s="355">
        <f t="shared" si="222"/>
        <v>0.242794902</v>
      </c>
      <c r="N115" s="352"/>
      <c r="O115" s="358"/>
      <c r="P115" s="349">
        <v>2905228.0</v>
      </c>
      <c r="Q115" s="355">
        <f t="shared" si="223"/>
        <v>0.2571721043</v>
      </c>
      <c r="R115" s="357">
        <f>2338394+(0.8*R32)</f>
        <v>3037105.305</v>
      </c>
      <c r="S115" s="355">
        <f t="shared" si="224"/>
        <v>0.2323444938</v>
      </c>
      <c r="T115" s="352"/>
      <c r="U115" s="358"/>
      <c r="V115" s="604">
        <v>2882946.0</v>
      </c>
      <c r="W115" s="355">
        <f t="shared" si="225"/>
        <v>0.2055557271</v>
      </c>
      <c r="X115" s="357">
        <f>2338394+(0.8*X32)</f>
        <v>3063809.328</v>
      </c>
      <c r="Y115" s="355">
        <f t="shared" si="226"/>
        <v>0.2257591236</v>
      </c>
      <c r="Z115" s="352"/>
      <c r="AA115" s="358"/>
      <c r="AB115" s="604">
        <v>3006629.0</v>
      </c>
      <c r="AC115" s="355">
        <f t="shared" si="227"/>
        <v>0.2123063481</v>
      </c>
      <c r="AD115" s="357">
        <f>2338394+(0.8*AD32)</f>
        <v>3107050.993</v>
      </c>
      <c r="AE115" s="355">
        <f t="shared" si="228"/>
        <v>0.2160658362</v>
      </c>
      <c r="AF115" s="352"/>
      <c r="AG115" s="358"/>
      <c r="AH115" s="604">
        <v>2862101.0</v>
      </c>
      <c r="AI115" s="355">
        <f t="shared" si="229"/>
        <v>0.2398899465</v>
      </c>
      <c r="AJ115" s="357">
        <f>2338394+(0.8*AJ32)</f>
        <v>3066924.057</v>
      </c>
      <c r="AK115" s="355">
        <f t="shared" si="230"/>
        <v>0.2250224517</v>
      </c>
      <c r="AL115" s="352"/>
      <c r="AM115" s="358"/>
      <c r="AN115" s="604">
        <v>2861658.0</v>
      </c>
      <c r="AO115" s="355">
        <f t="shared" si="231"/>
        <v>0.2257968458</v>
      </c>
      <c r="AP115" s="357">
        <f>2338394+(0.8*AP32)</f>
        <v>3144298.461</v>
      </c>
      <c r="AQ115" s="355">
        <f t="shared" si="243"/>
        <v>0.2085501506</v>
      </c>
      <c r="AR115" s="352"/>
      <c r="AS115" s="358"/>
      <c r="AT115" s="604">
        <v>2862707.0</v>
      </c>
      <c r="AU115" s="355">
        <f t="shared" si="232"/>
        <v>0.2246403817</v>
      </c>
      <c r="AV115" s="357">
        <f>2338394+(0.8*AV32)</f>
        <v>3168551.388</v>
      </c>
      <c r="AW115" s="355">
        <f t="shared" si="233"/>
        <v>0.2040190035</v>
      </c>
      <c r="AX115" s="352"/>
      <c r="AY115" s="358"/>
      <c r="AZ115" s="604">
        <v>3360182.0</v>
      </c>
      <c r="BA115" s="355">
        <f t="shared" si="234"/>
        <v>0.187652077</v>
      </c>
      <c r="BB115" s="357">
        <f>2338394+(0.8*BB32)</f>
        <v>3232395.623</v>
      </c>
      <c r="BC115" s="355">
        <f t="shared" si="235"/>
        <v>0.1932664667</v>
      </c>
      <c r="BD115" s="352"/>
      <c r="BE115" s="358"/>
      <c r="BF115" s="604">
        <v>3370237.0</v>
      </c>
      <c r="BG115" s="355">
        <f t="shared" si="236"/>
        <v>0.1951506885</v>
      </c>
      <c r="BH115" s="357">
        <f>2338394+(0.8*BH32)</f>
        <v>3205926.247</v>
      </c>
      <c r="BI115" s="355">
        <f t="shared" si="237"/>
        <v>0.1975323383</v>
      </c>
      <c r="BJ115" s="352"/>
      <c r="BK115" s="358"/>
      <c r="BL115" s="604">
        <v>3065491.0</v>
      </c>
      <c r="BM115" s="355">
        <f t="shared" si="238"/>
        <v>0.1811462557</v>
      </c>
      <c r="BN115" s="357">
        <f>2338394+(0.8*BN32)</f>
        <v>3065799.131</v>
      </c>
      <c r="BO115" s="355">
        <f t="shared" si="239"/>
        <v>0.2252877829</v>
      </c>
      <c r="BP115" s="352"/>
      <c r="BQ115" s="358"/>
      <c r="BR115" s="604">
        <v>3208182.0</v>
      </c>
      <c r="BS115" s="355">
        <f t="shared" si="240"/>
        <v>0.2160156519</v>
      </c>
      <c r="BT115" s="357">
        <f>2338394+(0.8*BT32)</f>
        <v>3134608.401</v>
      </c>
      <c r="BU115" s="355">
        <f t="shared" si="241"/>
        <v>0.210437711</v>
      </c>
      <c r="BV115" s="352"/>
      <c r="BW115" s="358"/>
      <c r="BX115" s="213"/>
      <c r="BY115" s="213"/>
      <c r="BZ115" s="213"/>
      <c r="CA115" s="213"/>
      <c r="CB115" s="213"/>
      <c r="CC115" s="213"/>
      <c r="CD115" s="213"/>
      <c r="CE115" s="213"/>
      <c r="CF115" s="213"/>
      <c r="CG115" s="213"/>
      <c r="CH115" s="213"/>
      <c r="CI115" s="213"/>
      <c r="CJ115" s="213"/>
      <c r="CK115" s="213"/>
      <c r="CL115" s="213"/>
      <c r="CM115" s="213"/>
      <c r="CN115" s="213"/>
      <c r="CO115" s="213"/>
      <c r="CP115" s="213"/>
      <c r="CQ115" s="213"/>
      <c r="CR115" s="213"/>
      <c r="CS115" s="213"/>
      <c r="CT115" s="213"/>
      <c r="CU115" s="213"/>
    </row>
    <row r="116" ht="15.75" customHeight="1">
      <c r="A116" s="213"/>
      <c r="B116" s="393"/>
      <c r="C116" s="350" t="s">
        <v>266</v>
      </c>
      <c r="D116" s="604">
        <v>2206.0</v>
      </c>
      <c r="E116" s="355">
        <f t="shared" si="219"/>
        <v>0.000177607302</v>
      </c>
      <c r="F116" s="357"/>
      <c r="G116" s="355">
        <f t="shared" si="220"/>
        <v>0</v>
      </c>
      <c r="H116" s="357">
        <f t="shared" si="242"/>
        <v>2206</v>
      </c>
      <c r="I116" s="395"/>
      <c r="J116" s="604">
        <v>640.0</v>
      </c>
      <c r="K116" s="355">
        <f t="shared" si="221"/>
        <v>0.00005020402583</v>
      </c>
      <c r="L116" s="357"/>
      <c r="M116" s="355">
        <f t="shared" si="222"/>
        <v>0</v>
      </c>
      <c r="N116" s="352"/>
      <c r="O116" s="358"/>
      <c r="P116" s="349"/>
      <c r="Q116" s="355">
        <f t="shared" si="223"/>
        <v>0</v>
      </c>
      <c r="R116" s="357"/>
      <c r="S116" s="355">
        <f t="shared" si="224"/>
        <v>0</v>
      </c>
      <c r="T116" s="352"/>
      <c r="U116" s="358"/>
      <c r="V116" s="604"/>
      <c r="W116" s="355">
        <f t="shared" si="225"/>
        <v>0</v>
      </c>
      <c r="X116" s="357"/>
      <c r="Y116" s="355">
        <f t="shared" si="226"/>
        <v>0</v>
      </c>
      <c r="Z116" s="352"/>
      <c r="AA116" s="358"/>
      <c r="AB116" s="604"/>
      <c r="AC116" s="355">
        <f t="shared" si="227"/>
        <v>0</v>
      </c>
      <c r="AD116" s="357"/>
      <c r="AE116" s="355">
        <f t="shared" si="228"/>
        <v>0</v>
      </c>
      <c r="AF116" s="352"/>
      <c r="AG116" s="358"/>
      <c r="AH116" s="604"/>
      <c r="AI116" s="355">
        <f t="shared" si="229"/>
        <v>0</v>
      </c>
      <c r="AJ116" s="357"/>
      <c r="AK116" s="355">
        <f t="shared" si="230"/>
        <v>0</v>
      </c>
      <c r="AL116" s="352"/>
      <c r="AM116" s="358"/>
      <c r="AN116" s="604"/>
      <c r="AO116" s="355">
        <f t="shared" si="231"/>
        <v>0</v>
      </c>
      <c r="AP116" s="352"/>
      <c r="AQ116" s="355">
        <f t="shared" si="243"/>
        <v>0</v>
      </c>
      <c r="AR116" s="352"/>
      <c r="AS116" s="358"/>
      <c r="AT116" s="604"/>
      <c r="AU116" s="355">
        <f t="shared" si="232"/>
        <v>0</v>
      </c>
      <c r="AV116" s="352"/>
      <c r="AW116" s="355">
        <f t="shared" si="233"/>
        <v>0</v>
      </c>
      <c r="AX116" s="352"/>
      <c r="AY116" s="358"/>
      <c r="AZ116" s="604">
        <v>5000.0</v>
      </c>
      <c r="BA116" s="355">
        <f t="shared" si="234"/>
        <v>0.0002792290373</v>
      </c>
      <c r="BB116" s="352"/>
      <c r="BC116" s="355">
        <f t="shared" si="235"/>
        <v>0</v>
      </c>
      <c r="BD116" s="352"/>
      <c r="BE116" s="358"/>
      <c r="BF116" s="604"/>
      <c r="BG116" s="355">
        <f t="shared" si="236"/>
        <v>0</v>
      </c>
      <c r="BH116" s="352"/>
      <c r="BI116" s="355">
        <f t="shared" si="237"/>
        <v>0</v>
      </c>
      <c r="BJ116" s="352"/>
      <c r="BK116" s="358"/>
      <c r="BL116" s="604"/>
      <c r="BM116" s="355">
        <f t="shared" si="238"/>
        <v>0</v>
      </c>
      <c r="BN116" s="357"/>
      <c r="BO116" s="355">
        <f t="shared" si="239"/>
        <v>0</v>
      </c>
      <c r="BP116" s="352"/>
      <c r="BQ116" s="358"/>
      <c r="BR116" s="604">
        <v>5000.0</v>
      </c>
      <c r="BS116" s="355">
        <f t="shared" si="240"/>
        <v>0.0003366636492</v>
      </c>
      <c r="BT116" s="357"/>
      <c r="BU116" s="355">
        <f t="shared" si="241"/>
        <v>0</v>
      </c>
      <c r="BV116" s="352"/>
      <c r="BW116" s="358"/>
      <c r="BX116" s="213"/>
      <c r="BY116" s="213"/>
      <c r="BZ116" s="213"/>
      <c r="CA116" s="213"/>
      <c r="CB116" s="213"/>
      <c r="CC116" s="213"/>
      <c r="CD116" s="213"/>
      <c r="CE116" s="213"/>
      <c r="CF116" s="213"/>
      <c r="CG116" s="213"/>
      <c r="CH116" s="213"/>
      <c r="CI116" s="213"/>
      <c r="CJ116" s="213"/>
      <c r="CK116" s="213"/>
      <c r="CL116" s="213"/>
      <c r="CM116" s="213"/>
      <c r="CN116" s="213"/>
      <c r="CO116" s="213"/>
      <c r="CP116" s="213"/>
      <c r="CQ116" s="213"/>
      <c r="CR116" s="213"/>
      <c r="CS116" s="213"/>
      <c r="CT116" s="213"/>
      <c r="CU116" s="213"/>
    </row>
    <row r="117" ht="15.75" customHeight="1">
      <c r="A117" s="213"/>
      <c r="B117" s="393"/>
      <c r="C117" s="350" t="s">
        <v>267</v>
      </c>
      <c r="D117" s="604">
        <v>96892.54</v>
      </c>
      <c r="E117" s="355">
        <f t="shared" si="219"/>
        <v>0.007800916868</v>
      </c>
      <c r="F117" s="357">
        <v>100000.0</v>
      </c>
      <c r="G117" s="355">
        <f t="shared" si="220"/>
        <v>0.007722352363</v>
      </c>
      <c r="H117" s="357">
        <f t="shared" si="242"/>
        <v>-3107.46</v>
      </c>
      <c r="I117" s="395">
        <f>H117/F117</f>
        <v>-0.0310746</v>
      </c>
      <c r="J117" s="604">
        <v>100613.18</v>
      </c>
      <c r="K117" s="355">
        <f t="shared" si="221"/>
        <v>0.007892479199</v>
      </c>
      <c r="L117" s="357">
        <v>100000.0</v>
      </c>
      <c r="M117" s="355">
        <f t="shared" si="222"/>
        <v>0.00809710088</v>
      </c>
      <c r="N117" s="352"/>
      <c r="O117" s="358"/>
      <c r="P117" s="349">
        <f>96364.4+21021.46</f>
        <v>117385.86</v>
      </c>
      <c r="Q117" s="355">
        <f t="shared" si="223"/>
        <v>0.01039104973</v>
      </c>
      <c r="R117" s="357">
        <v>100000.0</v>
      </c>
      <c r="S117" s="355">
        <f t="shared" si="224"/>
        <v>0.007650195513</v>
      </c>
      <c r="T117" s="352"/>
      <c r="U117" s="358"/>
      <c r="V117" s="604">
        <v>92867.73</v>
      </c>
      <c r="W117" s="355">
        <f t="shared" si="225"/>
        <v>0.006621523179</v>
      </c>
      <c r="X117" s="357">
        <v>100000.0</v>
      </c>
      <c r="Y117" s="355">
        <f t="shared" si="226"/>
        <v>0.007368576157</v>
      </c>
      <c r="Z117" s="352"/>
      <c r="AA117" s="358"/>
      <c r="AB117" s="604">
        <f>26430.65+91998.84</f>
        <v>118429.49</v>
      </c>
      <c r="AC117" s="355">
        <f t="shared" si="227"/>
        <v>0.008362632212</v>
      </c>
      <c r="AD117" s="357">
        <v>100000.0</v>
      </c>
      <c r="AE117" s="355">
        <f t="shared" si="228"/>
        <v>0.006954048603</v>
      </c>
      <c r="AF117" s="352"/>
      <c r="AG117" s="358"/>
      <c r="AH117" s="604">
        <f>26695.53+95316.2495890409</f>
        <v>122011.7796</v>
      </c>
      <c r="AI117" s="355">
        <f t="shared" si="229"/>
        <v>0.01022654311</v>
      </c>
      <c r="AJ117" s="357">
        <v>100000.0</v>
      </c>
      <c r="AK117" s="355">
        <f t="shared" si="230"/>
        <v>0.00733707283</v>
      </c>
      <c r="AL117" s="352"/>
      <c r="AM117" s="358"/>
      <c r="AN117" s="604">
        <f>99811.98+22418.06</f>
        <v>122230.04</v>
      </c>
      <c r="AO117" s="355">
        <f t="shared" si="231"/>
        <v>0.009644463978</v>
      </c>
      <c r="AP117" s="357">
        <v>100000.0</v>
      </c>
      <c r="AQ117" s="355">
        <f t="shared" si="243"/>
        <v>0.00663264487</v>
      </c>
      <c r="AR117" s="352"/>
      <c r="AS117" s="358"/>
      <c r="AT117" s="604">
        <f>50281.77+ 13506</f>
        <v>63787.77</v>
      </c>
      <c r="AU117" s="355">
        <f t="shared" si="232"/>
        <v>0.005005510169</v>
      </c>
      <c r="AV117" s="352"/>
      <c r="AW117" s="355">
        <f t="shared" si="233"/>
        <v>0</v>
      </c>
      <c r="AX117" s="352"/>
      <c r="AY117" s="358"/>
      <c r="AZ117" s="604">
        <v>96312.37</v>
      </c>
      <c r="BA117" s="355">
        <f t="shared" si="234"/>
        <v>0.005378642072</v>
      </c>
      <c r="BB117" s="352"/>
      <c r="BC117" s="355">
        <f t="shared" si="235"/>
        <v>0</v>
      </c>
      <c r="BD117" s="352"/>
      <c r="BE117" s="358"/>
      <c r="BF117" s="604">
        <v>103424.03</v>
      </c>
      <c r="BG117" s="355">
        <f t="shared" si="236"/>
        <v>0.005988679923</v>
      </c>
      <c r="BH117" s="352"/>
      <c r="BI117" s="355">
        <f t="shared" si="237"/>
        <v>0</v>
      </c>
      <c r="BJ117" s="352"/>
      <c r="BK117" s="358"/>
      <c r="BL117" s="628">
        <v>104338.3</v>
      </c>
      <c r="BM117" s="355">
        <f t="shared" si="238"/>
        <v>0.006165567725</v>
      </c>
      <c r="BN117" s="357"/>
      <c r="BO117" s="355">
        <f t="shared" si="239"/>
        <v>0</v>
      </c>
      <c r="BP117" s="352"/>
      <c r="BQ117" s="358"/>
      <c r="BR117" s="628">
        <v>110545.69</v>
      </c>
      <c r="BS117" s="355">
        <f t="shared" si="240"/>
        <v>0.00744334308</v>
      </c>
      <c r="BT117" s="357"/>
      <c r="BU117" s="355">
        <f t="shared" si="241"/>
        <v>0</v>
      </c>
      <c r="BV117" s="352"/>
      <c r="BW117" s="358"/>
      <c r="BX117" s="213"/>
      <c r="BY117" s="213"/>
      <c r="BZ117" s="213"/>
      <c r="CA117" s="213"/>
      <c r="CB117" s="213"/>
      <c r="CC117" s="213"/>
      <c r="CD117" s="213"/>
      <c r="CE117" s="213"/>
      <c r="CF117" s="213"/>
      <c r="CG117" s="213"/>
      <c r="CH117" s="213"/>
      <c r="CI117" s="213"/>
      <c r="CJ117" s="213"/>
      <c r="CK117" s="213"/>
      <c r="CL117" s="213"/>
      <c r="CM117" s="213"/>
      <c r="CN117" s="213"/>
      <c r="CO117" s="213"/>
      <c r="CP117" s="213"/>
      <c r="CQ117" s="213"/>
      <c r="CR117" s="213"/>
      <c r="CS117" s="213"/>
      <c r="CT117" s="213"/>
      <c r="CU117" s="213"/>
    </row>
    <row r="118" ht="15.75" customHeight="1">
      <c r="A118" s="213"/>
      <c r="B118" s="393"/>
      <c r="C118" s="350" t="s">
        <v>268</v>
      </c>
      <c r="D118" s="604"/>
      <c r="E118" s="355">
        <f t="shared" si="219"/>
        <v>0</v>
      </c>
      <c r="F118" s="357"/>
      <c r="G118" s="355">
        <f t="shared" si="220"/>
        <v>0</v>
      </c>
      <c r="H118" s="357">
        <f t="shared" si="242"/>
        <v>0</v>
      </c>
      <c r="I118" s="395"/>
      <c r="J118" s="604"/>
      <c r="K118" s="355">
        <f t="shared" si="221"/>
        <v>0</v>
      </c>
      <c r="L118" s="357"/>
      <c r="M118" s="355">
        <f t="shared" si="222"/>
        <v>0</v>
      </c>
      <c r="N118" s="352"/>
      <c r="O118" s="358"/>
      <c r="P118" s="349"/>
      <c r="Q118" s="355">
        <f t="shared" si="223"/>
        <v>0</v>
      </c>
      <c r="R118" s="357"/>
      <c r="S118" s="355">
        <f t="shared" si="224"/>
        <v>0</v>
      </c>
      <c r="T118" s="352"/>
      <c r="U118" s="358"/>
      <c r="V118" s="604"/>
      <c r="W118" s="355">
        <f t="shared" si="225"/>
        <v>0</v>
      </c>
      <c r="X118" s="357"/>
      <c r="Y118" s="355">
        <f t="shared" si="226"/>
        <v>0</v>
      </c>
      <c r="Z118" s="352"/>
      <c r="AA118" s="358"/>
      <c r="AB118" s="604"/>
      <c r="AC118" s="355">
        <f t="shared" si="227"/>
        <v>0</v>
      </c>
      <c r="AD118" s="357"/>
      <c r="AE118" s="355">
        <f t="shared" si="228"/>
        <v>0</v>
      </c>
      <c r="AF118" s="352"/>
      <c r="AG118" s="358"/>
      <c r="AH118" s="604"/>
      <c r="AI118" s="355">
        <f t="shared" si="229"/>
        <v>0</v>
      </c>
      <c r="AJ118" s="357"/>
      <c r="AK118" s="355">
        <f t="shared" si="230"/>
        <v>0</v>
      </c>
      <c r="AL118" s="352"/>
      <c r="AM118" s="358"/>
      <c r="AN118" s="604"/>
      <c r="AO118" s="355">
        <f t="shared" si="231"/>
        <v>0</v>
      </c>
      <c r="AP118" s="352"/>
      <c r="AQ118" s="355">
        <f t="shared" si="243"/>
        <v>0</v>
      </c>
      <c r="AR118" s="352"/>
      <c r="AS118" s="358"/>
      <c r="AT118" s="604"/>
      <c r="AU118" s="355">
        <f t="shared" si="232"/>
        <v>0</v>
      </c>
      <c r="AV118" s="352"/>
      <c r="AW118" s="355">
        <f t="shared" si="233"/>
        <v>0</v>
      </c>
      <c r="AX118" s="352"/>
      <c r="AY118" s="358"/>
      <c r="AZ118" s="604"/>
      <c r="BA118" s="355">
        <f t="shared" si="234"/>
        <v>0</v>
      </c>
      <c r="BB118" s="352"/>
      <c r="BC118" s="355">
        <f t="shared" si="235"/>
        <v>0</v>
      </c>
      <c r="BD118" s="352"/>
      <c r="BE118" s="358"/>
      <c r="BF118" s="604"/>
      <c r="BG118" s="355">
        <f t="shared" si="236"/>
        <v>0</v>
      </c>
      <c r="BH118" s="352"/>
      <c r="BI118" s="355">
        <f t="shared" si="237"/>
        <v>0</v>
      </c>
      <c r="BJ118" s="352"/>
      <c r="BK118" s="358"/>
      <c r="BL118" s="604"/>
      <c r="BM118" s="355">
        <f t="shared" si="238"/>
        <v>0</v>
      </c>
      <c r="BN118" s="357"/>
      <c r="BO118" s="355">
        <f t="shared" si="239"/>
        <v>0</v>
      </c>
      <c r="BP118" s="352"/>
      <c r="BQ118" s="358"/>
      <c r="BR118" s="604"/>
      <c r="BS118" s="355">
        <f t="shared" si="240"/>
        <v>0</v>
      </c>
      <c r="BT118" s="357"/>
      <c r="BU118" s="355">
        <f t="shared" si="241"/>
        <v>0</v>
      </c>
      <c r="BV118" s="352"/>
      <c r="BW118" s="358"/>
      <c r="BX118" s="213"/>
      <c r="BY118" s="213"/>
      <c r="BZ118" s="213"/>
      <c r="CA118" s="213"/>
      <c r="CB118" s="213"/>
      <c r="CC118" s="213"/>
      <c r="CD118" s="213"/>
      <c r="CE118" s="213"/>
      <c r="CF118" s="213"/>
      <c r="CG118" s="213"/>
      <c r="CH118" s="213"/>
      <c r="CI118" s="213"/>
      <c r="CJ118" s="213"/>
      <c r="CK118" s="213"/>
      <c r="CL118" s="213"/>
      <c r="CM118" s="213"/>
      <c r="CN118" s="213"/>
      <c r="CO118" s="213"/>
      <c r="CP118" s="213"/>
      <c r="CQ118" s="213"/>
      <c r="CR118" s="213"/>
      <c r="CS118" s="213"/>
      <c r="CT118" s="213"/>
      <c r="CU118" s="213"/>
    </row>
    <row r="119" ht="15.75" customHeight="1">
      <c r="A119" s="213"/>
      <c r="B119" s="393"/>
      <c r="C119" s="350" t="s">
        <v>396</v>
      </c>
      <c r="D119" s="604"/>
      <c r="E119" s="355">
        <f t="shared" si="219"/>
        <v>0</v>
      </c>
      <c r="F119" s="357"/>
      <c r="G119" s="355">
        <f t="shared" si="220"/>
        <v>0</v>
      </c>
      <c r="H119" s="357">
        <f t="shared" si="242"/>
        <v>0</v>
      </c>
      <c r="I119" s="395"/>
      <c r="J119" s="604"/>
      <c r="K119" s="355">
        <f t="shared" si="221"/>
        <v>0</v>
      </c>
      <c r="L119" s="357"/>
      <c r="M119" s="355">
        <f t="shared" si="222"/>
        <v>0</v>
      </c>
      <c r="N119" s="352"/>
      <c r="O119" s="358"/>
      <c r="P119" s="349"/>
      <c r="Q119" s="355">
        <f t="shared" si="223"/>
        <v>0</v>
      </c>
      <c r="R119" s="357"/>
      <c r="S119" s="355">
        <f t="shared" si="224"/>
        <v>0</v>
      </c>
      <c r="T119" s="352"/>
      <c r="U119" s="358"/>
      <c r="V119" s="604"/>
      <c r="W119" s="355">
        <f t="shared" si="225"/>
        <v>0</v>
      </c>
      <c r="X119" s="357"/>
      <c r="Y119" s="355">
        <f t="shared" si="226"/>
        <v>0</v>
      </c>
      <c r="Z119" s="352"/>
      <c r="AA119" s="358"/>
      <c r="AB119" s="604"/>
      <c r="AC119" s="355">
        <f t="shared" si="227"/>
        <v>0</v>
      </c>
      <c r="AD119" s="357"/>
      <c r="AE119" s="355">
        <f t="shared" si="228"/>
        <v>0</v>
      </c>
      <c r="AF119" s="352"/>
      <c r="AG119" s="358"/>
      <c r="AH119" s="604"/>
      <c r="AI119" s="355">
        <f t="shared" si="229"/>
        <v>0</v>
      </c>
      <c r="AJ119" s="357"/>
      <c r="AK119" s="355">
        <f t="shared" si="230"/>
        <v>0</v>
      </c>
      <c r="AL119" s="352"/>
      <c r="AM119" s="358"/>
      <c r="AN119" s="604"/>
      <c r="AO119" s="355">
        <f t="shared" si="231"/>
        <v>0</v>
      </c>
      <c r="AP119" s="352"/>
      <c r="AQ119" s="355">
        <f t="shared" si="243"/>
        <v>0</v>
      </c>
      <c r="AR119" s="352"/>
      <c r="AS119" s="358"/>
      <c r="AT119" s="604"/>
      <c r="AU119" s="355">
        <f t="shared" si="232"/>
        <v>0</v>
      </c>
      <c r="AV119" s="352"/>
      <c r="AW119" s="355">
        <f t="shared" si="233"/>
        <v>0</v>
      </c>
      <c r="AX119" s="352"/>
      <c r="AY119" s="358"/>
      <c r="AZ119" s="604"/>
      <c r="BA119" s="355">
        <f t="shared" si="234"/>
        <v>0</v>
      </c>
      <c r="BB119" s="352"/>
      <c r="BC119" s="355">
        <f t="shared" si="235"/>
        <v>0</v>
      </c>
      <c r="BD119" s="352"/>
      <c r="BE119" s="358"/>
      <c r="BF119" s="604"/>
      <c r="BG119" s="355">
        <f t="shared" si="236"/>
        <v>0</v>
      </c>
      <c r="BH119" s="352"/>
      <c r="BI119" s="355">
        <f t="shared" si="237"/>
        <v>0</v>
      </c>
      <c r="BJ119" s="352"/>
      <c r="BK119" s="358"/>
      <c r="BL119" s="604"/>
      <c r="BM119" s="355">
        <f t="shared" si="238"/>
        <v>0</v>
      </c>
      <c r="BN119" s="357"/>
      <c r="BO119" s="355">
        <f t="shared" si="239"/>
        <v>0</v>
      </c>
      <c r="BP119" s="352"/>
      <c r="BQ119" s="358"/>
      <c r="BR119" s="604"/>
      <c r="BS119" s="355">
        <f t="shared" si="240"/>
        <v>0</v>
      </c>
      <c r="BT119" s="357"/>
      <c r="BU119" s="355">
        <f t="shared" si="241"/>
        <v>0</v>
      </c>
      <c r="BV119" s="352"/>
      <c r="BW119" s="358"/>
      <c r="BX119" s="213"/>
      <c r="BY119" s="213"/>
      <c r="BZ119" s="213"/>
      <c r="CA119" s="213"/>
      <c r="CB119" s="213"/>
      <c r="CC119" s="213"/>
      <c r="CD119" s="213"/>
      <c r="CE119" s="213"/>
      <c r="CF119" s="213"/>
      <c r="CG119" s="213"/>
      <c r="CH119" s="213"/>
      <c r="CI119" s="213"/>
      <c r="CJ119" s="213"/>
      <c r="CK119" s="213"/>
      <c r="CL119" s="213"/>
      <c r="CM119" s="213"/>
      <c r="CN119" s="213"/>
      <c r="CO119" s="213"/>
      <c r="CP119" s="213"/>
      <c r="CQ119" s="213"/>
      <c r="CR119" s="213"/>
      <c r="CS119" s="213"/>
      <c r="CT119" s="213"/>
      <c r="CU119" s="213"/>
    </row>
    <row r="120" ht="15.75" customHeight="1">
      <c r="A120" s="213"/>
      <c r="B120" s="393"/>
      <c r="C120" s="350" t="s">
        <v>269</v>
      </c>
      <c r="D120" s="604">
        <f>2400+900</f>
        <v>3300</v>
      </c>
      <c r="E120" s="355">
        <f t="shared" si="219"/>
        <v>0.0002656863538</v>
      </c>
      <c r="F120" s="357"/>
      <c r="G120" s="355">
        <f t="shared" si="220"/>
        <v>0</v>
      </c>
      <c r="H120" s="357">
        <f t="shared" si="242"/>
        <v>3300</v>
      </c>
      <c r="I120" s="395"/>
      <c r="J120" s="604">
        <v>3245.0</v>
      </c>
      <c r="K120" s="355">
        <f t="shared" si="221"/>
        <v>0.0002545500997</v>
      </c>
      <c r="L120" s="357"/>
      <c r="M120" s="355">
        <f t="shared" si="222"/>
        <v>0</v>
      </c>
      <c r="N120" s="352"/>
      <c r="O120" s="358"/>
      <c r="P120" s="349">
        <v>940.0</v>
      </c>
      <c r="Q120" s="355">
        <f t="shared" si="223"/>
        <v>0.00008320922766</v>
      </c>
      <c r="R120" s="357"/>
      <c r="S120" s="355">
        <f t="shared" si="224"/>
        <v>0</v>
      </c>
      <c r="T120" s="352"/>
      <c r="U120" s="358"/>
      <c r="V120" s="604">
        <f>4732+2320</f>
        <v>7052</v>
      </c>
      <c r="W120" s="355">
        <f t="shared" si="225"/>
        <v>0.0005028117028</v>
      </c>
      <c r="X120" s="357"/>
      <c r="Y120" s="355">
        <f t="shared" si="226"/>
        <v>0</v>
      </c>
      <c r="Z120" s="352"/>
      <c r="AA120" s="358"/>
      <c r="AB120" s="604">
        <v>4438.0</v>
      </c>
      <c r="AC120" s="355">
        <f t="shared" si="227"/>
        <v>0.0003133793936</v>
      </c>
      <c r="AD120" s="357"/>
      <c r="AE120" s="355">
        <f t="shared" si="228"/>
        <v>0</v>
      </c>
      <c r="AF120" s="352"/>
      <c r="AG120" s="358"/>
      <c r="AH120" s="604">
        <v>5590.0</v>
      </c>
      <c r="AI120" s="355">
        <f t="shared" si="229"/>
        <v>0.0004685316139</v>
      </c>
      <c r="AJ120" s="357"/>
      <c r="AK120" s="355">
        <f t="shared" si="230"/>
        <v>0</v>
      </c>
      <c r="AL120" s="352"/>
      <c r="AM120" s="358"/>
      <c r="AN120" s="604">
        <v>2690.0</v>
      </c>
      <c r="AO120" s="355">
        <f t="shared" si="231"/>
        <v>0.000212252308</v>
      </c>
      <c r="AP120" s="352"/>
      <c r="AQ120" s="355">
        <f t="shared" si="243"/>
        <v>0</v>
      </c>
      <c r="AR120" s="352"/>
      <c r="AS120" s="358"/>
      <c r="AT120" s="604">
        <v>1070.0</v>
      </c>
      <c r="AU120" s="355">
        <f t="shared" si="232"/>
        <v>0.00008396430666</v>
      </c>
      <c r="AV120" s="352"/>
      <c r="AW120" s="355">
        <f t="shared" si="233"/>
        <v>0</v>
      </c>
      <c r="AX120" s="352"/>
      <c r="AY120" s="358"/>
      <c r="AZ120" s="604">
        <v>9630.0</v>
      </c>
      <c r="BA120" s="355">
        <f t="shared" si="234"/>
        <v>0.0005377951259</v>
      </c>
      <c r="BB120" s="352"/>
      <c r="BC120" s="355">
        <f t="shared" si="235"/>
        <v>0</v>
      </c>
      <c r="BD120" s="352"/>
      <c r="BE120" s="358"/>
      <c r="BF120" s="604">
        <v>8400.0</v>
      </c>
      <c r="BG120" s="355">
        <f t="shared" si="236"/>
        <v>0.0004863948093</v>
      </c>
      <c r="BH120" s="352"/>
      <c r="BI120" s="355">
        <f t="shared" si="237"/>
        <v>0</v>
      </c>
      <c r="BJ120" s="352"/>
      <c r="BK120" s="358"/>
      <c r="BL120" s="604">
        <v>52671.0</v>
      </c>
      <c r="BM120" s="355">
        <f t="shared" si="238"/>
        <v>0.003112439226</v>
      </c>
      <c r="BN120" s="357"/>
      <c r="BO120" s="355">
        <f t="shared" si="239"/>
        <v>0</v>
      </c>
      <c r="BP120" s="352"/>
      <c r="BQ120" s="358"/>
      <c r="BR120" s="628">
        <v>5606.0</v>
      </c>
      <c r="BS120" s="355">
        <f t="shared" si="240"/>
        <v>0.0003774672835</v>
      </c>
      <c r="BT120" s="357"/>
      <c r="BU120" s="355">
        <f t="shared" si="241"/>
        <v>0</v>
      </c>
      <c r="BV120" s="352"/>
      <c r="BW120" s="358"/>
      <c r="BX120" s="213"/>
      <c r="BY120" s="213"/>
      <c r="BZ120" s="213"/>
      <c r="CA120" s="213"/>
      <c r="CB120" s="213"/>
      <c r="CC120" s="213"/>
      <c r="CD120" s="213"/>
      <c r="CE120" s="213"/>
      <c r="CF120" s="213"/>
      <c r="CG120" s="213"/>
      <c r="CH120" s="213"/>
      <c r="CI120" s="213"/>
      <c r="CJ120" s="213"/>
      <c r="CK120" s="213"/>
      <c r="CL120" s="213"/>
      <c r="CM120" s="213"/>
      <c r="CN120" s="213"/>
      <c r="CO120" s="213"/>
      <c r="CP120" s="213"/>
      <c r="CQ120" s="213"/>
      <c r="CR120" s="213"/>
      <c r="CS120" s="213"/>
      <c r="CT120" s="213"/>
      <c r="CU120" s="213"/>
    </row>
    <row r="121" ht="15.75" customHeight="1">
      <c r="A121" s="213"/>
      <c r="B121" s="393"/>
      <c r="C121" s="350" t="s">
        <v>270</v>
      </c>
      <c r="D121" s="604"/>
      <c r="E121" s="355">
        <f t="shared" si="219"/>
        <v>0</v>
      </c>
      <c r="F121" s="352"/>
      <c r="G121" s="355">
        <f t="shared" si="220"/>
        <v>0</v>
      </c>
      <c r="H121" s="357">
        <f t="shared" si="242"/>
        <v>0</v>
      </c>
      <c r="I121" s="395"/>
      <c r="J121" s="604"/>
      <c r="K121" s="355">
        <f t="shared" si="221"/>
        <v>0</v>
      </c>
      <c r="L121" s="357"/>
      <c r="M121" s="355">
        <f t="shared" si="222"/>
        <v>0</v>
      </c>
      <c r="N121" s="352"/>
      <c r="O121" s="358"/>
      <c r="P121" s="349"/>
      <c r="Q121" s="355">
        <f t="shared" si="223"/>
        <v>0</v>
      </c>
      <c r="R121" s="357"/>
      <c r="S121" s="355">
        <f t="shared" si="224"/>
        <v>0</v>
      </c>
      <c r="T121" s="352"/>
      <c r="U121" s="358"/>
      <c r="V121" s="604"/>
      <c r="W121" s="355">
        <f t="shared" si="225"/>
        <v>0</v>
      </c>
      <c r="X121" s="357"/>
      <c r="Y121" s="355">
        <f t="shared" si="226"/>
        <v>0</v>
      </c>
      <c r="Z121" s="352"/>
      <c r="AA121" s="358"/>
      <c r="AB121" s="604"/>
      <c r="AC121" s="355">
        <f t="shared" si="227"/>
        <v>0</v>
      </c>
      <c r="AD121" s="357"/>
      <c r="AE121" s="355">
        <f t="shared" si="228"/>
        <v>0</v>
      </c>
      <c r="AF121" s="352"/>
      <c r="AG121" s="358"/>
      <c r="AH121" s="604"/>
      <c r="AI121" s="355">
        <f t="shared" si="229"/>
        <v>0</v>
      </c>
      <c r="AJ121" s="357"/>
      <c r="AK121" s="355">
        <f t="shared" si="230"/>
        <v>0</v>
      </c>
      <c r="AL121" s="352"/>
      <c r="AM121" s="358"/>
      <c r="AN121" s="604"/>
      <c r="AO121" s="355">
        <f t="shared" si="231"/>
        <v>0</v>
      </c>
      <c r="AP121" s="352"/>
      <c r="AQ121" s="355">
        <f t="shared" si="243"/>
        <v>0</v>
      </c>
      <c r="AR121" s="352"/>
      <c r="AS121" s="358"/>
      <c r="AT121" s="604"/>
      <c r="AU121" s="355">
        <f t="shared" si="232"/>
        <v>0</v>
      </c>
      <c r="AV121" s="352"/>
      <c r="AW121" s="355">
        <f t="shared" si="233"/>
        <v>0</v>
      </c>
      <c r="AX121" s="352"/>
      <c r="AY121" s="358"/>
      <c r="AZ121" s="604"/>
      <c r="BA121" s="355">
        <f t="shared" si="234"/>
        <v>0</v>
      </c>
      <c r="BB121" s="352"/>
      <c r="BC121" s="355">
        <f t="shared" si="235"/>
        <v>0</v>
      </c>
      <c r="BD121" s="352"/>
      <c r="BE121" s="358"/>
      <c r="BF121" s="604"/>
      <c r="BG121" s="355">
        <f t="shared" si="236"/>
        <v>0</v>
      </c>
      <c r="BH121" s="352"/>
      <c r="BI121" s="355">
        <f t="shared" si="237"/>
        <v>0</v>
      </c>
      <c r="BJ121" s="352"/>
      <c r="BK121" s="358"/>
      <c r="BL121" s="604"/>
      <c r="BM121" s="355">
        <f t="shared" si="238"/>
        <v>0</v>
      </c>
      <c r="BN121" s="357"/>
      <c r="BO121" s="355">
        <f t="shared" si="239"/>
        <v>0</v>
      </c>
      <c r="BP121" s="352"/>
      <c r="BQ121" s="358"/>
      <c r="BR121" s="604"/>
      <c r="BS121" s="355">
        <f t="shared" si="240"/>
        <v>0</v>
      </c>
      <c r="BT121" s="357"/>
      <c r="BU121" s="355">
        <f t="shared" si="241"/>
        <v>0</v>
      </c>
      <c r="BV121" s="352"/>
      <c r="BW121" s="358"/>
      <c r="BX121" s="213"/>
      <c r="BY121" s="213"/>
      <c r="BZ121" s="213"/>
      <c r="CA121" s="213"/>
      <c r="CB121" s="213"/>
      <c r="CC121" s="213"/>
      <c r="CD121" s="213"/>
      <c r="CE121" s="213"/>
      <c r="CF121" s="213"/>
      <c r="CG121" s="213"/>
      <c r="CH121" s="213"/>
      <c r="CI121" s="213"/>
      <c r="CJ121" s="213"/>
      <c r="CK121" s="213"/>
      <c r="CL121" s="213"/>
      <c r="CM121" s="213"/>
      <c r="CN121" s="213"/>
      <c r="CO121" s="213"/>
      <c r="CP121" s="213"/>
      <c r="CQ121" s="213"/>
      <c r="CR121" s="213"/>
      <c r="CS121" s="213"/>
      <c r="CT121" s="213"/>
      <c r="CU121" s="213"/>
    </row>
    <row r="122" ht="15.75" customHeight="1">
      <c r="A122" s="213"/>
      <c r="B122" s="393"/>
      <c r="C122" s="723" t="s">
        <v>271</v>
      </c>
      <c r="D122" s="604">
        <f>1862618/12</f>
        <v>155218.1667</v>
      </c>
      <c r="E122" s="355">
        <f t="shared" si="219"/>
        <v>0.01249677235</v>
      </c>
      <c r="F122" s="357">
        <f>1862618/12</f>
        <v>155218.1667</v>
      </c>
      <c r="G122" s="355">
        <f t="shared" si="220"/>
        <v>0.01198649376</v>
      </c>
      <c r="H122" s="352"/>
      <c r="I122" s="358"/>
      <c r="J122" s="604">
        <f>1862618/12</f>
        <v>155218.1667</v>
      </c>
      <c r="K122" s="355">
        <f t="shared" si="221"/>
        <v>0.01217590133</v>
      </c>
      <c r="L122" s="357">
        <f>1862618/12</f>
        <v>155218.1667</v>
      </c>
      <c r="M122" s="355">
        <f t="shared" si="222"/>
        <v>0.01256817154</v>
      </c>
      <c r="N122" s="352"/>
      <c r="O122" s="358"/>
      <c r="P122" s="604">
        <f>1862618/12</f>
        <v>155218.1667</v>
      </c>
      <c r="Q122" s="355">
        <f t="shared" si="223"/>
        <v>0.01373998273</v>
      </c>
      <c r="R122" s="357">
        <f>1862618/12</f>
        <v>155218.1667</v>
      </c>
      <c r="S122" s="355">
        <f t="shared" si="224"/>
        <v>0.01187449322</v>
      </c>
      <c r="T122" s="352"/>
      <c r="U122" s="358"/>
      <c r="V122" s="604">
        <f>1862618/12</f>
        <v>155218.1667</v>
      </c>
      <c r="W122" s="355">
        <f t="shared" si="225"/>
        <v>0.01106714559</v>
      </c>
      <c r="X122" s="357">
        <f>1862618/12</f>
        <v>155218.1667</v>
      </c>
      <c r="Y122" s="355">
        <f t="shared" si="226"/>
        <v>0.01143736882</v>
      </c>
      <c r="Z122" s="352"/>
      <c r="AA122" s="358"/>
      <c r="AB122" s="604">
        <f>1862618/12</f>
        <v>155218.1667</v>
      </c>
      <c r="AC122" s="355">
        <f t="shared" si="227"/>
        <v>0.01096038192</v>
      </c>
      <c r="AD122" s="357">
        <f>1862618/12</f>
        <v>155218.1667</v>
      </c>
      <c r="AE122" s="355">
        <f t="shared" si="228"/>
        <v>0.01079394675</v>
      </c>
      <c r="AF122" s="352"/>
      <c r="AG122" s="358"/>
      <c r="AH122" s="604">
        <f>1862618/12</f>
        <v>155218.1667</v>
      </c>
      <c r="AI122" s="355">
        <f t="shared" si="229"/>
        <v>0.01300977069</v>
      </c>
      <c r="AJ122" s="357">
        <f>1862618/12</f>
        <v>155218.1667</v>
      </c>
      <c r="AK122" s="355">
        <f t="shared" si="230"/>
        <v>0.01138846993</v>
      </c>
      <c r="AL122" s="352"/>
      <c r="AM122" s="358"/>
      <c r="AN122" s="604">
        <f>1862618/12</f>
        <v>155218.1667</v>
      </c>
      <c r="AO122" s="355">
        <f t="shared" si="231"/>
        <v>0.01224736585</v>
      </c>
      <c r="AP122" s="357">
        <f>AN122</f>
        <v>155218.1667</v>
      </c>
      <c r="AQ122" s="355">
        <f t="shared" si="243"/>
        <v>0.01029506977</v>
      </c>
      <c r="AR122" s="352"/>
      <c r="AS122" s="358"/>
      <c r="AT122" s="604">
        <f>1862618/12</f>
        <v>155218.1667</v>
      </c>
      <c r="AU122" s="355">
        <f t="shared" si="232"/>
        <v>0.01218017359</v>
      </c>
      <c r="AV122" s="357">
        <f>1862618/12</f>
        <v>155218.1667</v>
      </c>
      <c r="AW122" s="355">
        <f t="shared" si="233"/>
        <v>0.009994300806</v>
      </c>
      <c r="AX122" s="352"/>
      <c r="AY122" s="358"/>
      <c r="AZ122" s="604">
        <f>AT122</f>
        <v>155218.1667</v>
      </c>
      <c r="BA122" s="355">
        <f t="shared" si="234"/>
        <v>0.008668283851</v>
      </c>
      <c r="BB122" s="357">
        <f>1862618/12</f>
        <v>155218.1667</v>
      </c>
      <c r="BC122" s="355">
        <f t="shared" si="235"/>
        <v>0.009280567771</v>
      </c>
      <c r="BD122" s="352"/>
      <c r="BE122" s="358"/>
      <c r="BF122" s="604">
        <f>1862618/12</f>
        <v>155218.1667</v>
      </c>
      <c r="BG122" s="355">
        <f t="shared" si="236"/>
        <v>0.008987775069</v>
      </c>
      <c r="BH122" s="357">
        <f>1862618/12</f>
        <v>155218.1667</v>
      </c>
      <c r="BI122" s="355">
        <f t="shared" si="237"/>
        <v>0.009563728247</v>
      </c>
      <c r="BJ122" s="352"/>
      <c r="BK122" s="358"/>
      <c r="BL122" s="604">
        <f>1862618/12</f>
        <v>155218.1667</v>
      </c>
      <c r="BM122" s="355">
        <f t="shared" si="238"/>
        <v>0.009172165147</v>
      </c>
      <c r="BN122" s="357">
        <f>1862618/12</f>
        <v>155218.1667</v>
      </c>
      <c r="BO122" s="355">
        <f t="shared" si="239"/>
        <v>0.01140608212</v>
      </c>
      <c r="BP122" s="352"/>
      <c r="BQ122" s="358"/>
      <c r="BR122" s="628">
        <v>155218.0</v>
      </c>
      <c r="BS122" s="355">
        <f t="shared" si="240"/>
        <v>0.01045125166</v>
      </c>
      <c r="BT122" s="737">
        <v>155218.0</v>
      </c>
      <c r="BU122" s="352"/>
      <c r="BV122" s="352"/>
      <c r="BW122" s="358"/>
      <c r="BX122" s="213"/>
      <c r="BY122" s="213"/>
      <c r="BZ122" s="213"/>
      <c r="CA122" s="213"/>
      <c r="CB122" s="213"/>
      <c r="CC122" s="213"/>
      <c r="CD122" s="213"/>
      <c r="CE122" s="213"/>
      <c r="CF122" s="213"/>
      <c r="CG122" s="213"/>
      <c r="CH122" s="213"/>
      <c r="CI122" s="213"/>
      <c r="CJ122" s="213"/>
      <c r="CK122" s="213"/>
      <c r="CL122" s="213"/>
      <c r="CM122" s="213"/>
      <c r="CN122" s="213"/>
      <c r="CO122" s="213"/>
      <c r="CP122" s="213"/>
      <c r="CQ122" s="213"/>
      <c r="CR122" s="213"/>
      <c r="CS122" s="213"/>
      <c r="CT122" s="213"/>
      <c r="CU122" s="213"/>
    </row>
    <row r="123" ht="15.75" customHeight="1">
      <c r="A123" s="213"/>
      <c r="B123" s="393"/>
      <c r="C123" s="723"/>
      <c r="D123" s="604"/>
      <c r="E123" s="352"/>
      <c r="F123" s="352"/>
      <c r="G123" s="352"/>
      <c r="H123" s="352"/>
      <c r="I123" s="358"/>
      <c r="J123" s="604"/>
      <c r="K123" s="352"/>
      <c r="L123" s="352"/>
      <c r="M123" s="352"/>
      <c r="N123" s="352"/>
      <c r="O123" s="358"/>
      <c r="P123" s="349"/>
      <c r="Q123" s="352"/>
      <c r="R123" s="352"/>
      <c r="S123" s="352"/>
      <c r="T123" s="352"/>
      <c r="U123" s="358"/>
      <c r="V123" s="604"/>
      <c r="W123" s="352"/>
      <c r="X123" s="352"/>
      <c r="Y123" s="352"/>
      <c r="Z123" s="352"/>
      <c r="AA123" s="358"/>
      <c r="AB123" s="604"/>
      <c r="AC123" s="352"/>
      <c r="AD123" s="357"/>
      <c r="AE123" s="352"/>
      <c r="AF123" s="352"/>
      <c r="AG123" s="358"/>
      <c r="AH123" s="604"/>
      <c r="AI123" s="352"/>
      <c r="AJ123" s="352"/>
      <c r="AK123" s="352"/>
      <c r="AL123" s="352"/>
      <c r="AM123" s="358"/>
      <c r="AN123" s="604"/>
      <c r="AO123" s="352"/>
      <c r="AP123" s="352"/>
      <c r="AQ123" s="352"/>
      <c r="AR123" s="352"/>
      <c r="AS123" s="358"/>
      <c r="AT123" s="604"/>
      <c r="AU123" s="352"/>
      <c r="AV123" s="352"/>
      <c r="AW123" s="352"/>
      <c r="AX123" s="352"/>
      <c r="AY123" s="358"/>
      <c r="AZ123" s="604"/>
      <c r="BA123" s="352"/>
      <c r="BB123" s="352"/>
      <c r="BC123" s="352"/>
      <c r="BD123" s="352"/>
      <c r="BE123" s="358"/>
      <c r="BF123" s="604"/>
      <c r="BG123" s="352"/>
      <c r="BH123" s="352"/>
      <c r="BI123" s="352"/>
      <c r="BJ123" s="352"/>
      <c r="BK123" s="358"/>
      <c r="BL123" s="604"/>
      <c r="BM123" s="352"/>
      <c r="BN123" s="357"/>
      <c r="BO123" s="352"/>
      <c r="BP123" s="352"/>
      <c r="BQ123" s="358"/>
      <c r="BR123" s="604"/>
      <c r="BS123" s="352"/>
      <c r="BT123" s="357"/>
      <c r="BU123" s="352"/>
      <c r="BV123" s="352"/>
      <c r="BW123" s="358"/>
      <c r="BX123" s="213"/>
      <c r="BY123" s="213"/>
      <c r="BZ123" s="213"/>
      <c r="CA123" s="213"/>
      <c r="CB123" s="213"/>
      <c r="CC123" s="213"/>
      <c r="CD123" s="213"/>
      <c r="CE123" s="213"/>
      <c r="CF123" s="213"/>
      <c r="CG123" s="213"/>
      <c r="CH123" s="213"/>
      <c r="CI123" s="213"/>
      <c r="CJ123" s="213"/>
      <c r="CK123" s="213"/>
      <c r="CL123" s="213"/>
      <c r="CM123" s="213"/>
      <c r="CN123" s="213"/>
      <c r="CO123" s="213"/>
      <c r="CP123" s="213"/>
      <c r="CQ123" s="213"/>
      <c r="CR123" s="213"/>
      <c r="CS123" s="213"/>
      <c r="CT123" s="213"/>
      <c r="CU123" s="213"/>
    </row>
    <row r="124" ht="15.75" customHeight="1">
      <c r="A124" s="213"/>
      <c r="B124" s="393"/>
      <c r="C124" s="723" t="s">
        <v>39</v>
      </c>
      <c r="D124" s="604">
        <f>SUM(D125)</f>
        <v>101675.6</v>
      </c>
      <c r="E124" s="355">
        <f t="shared" ref="E124:E125" si="244">D124/D$33</f>
        <v>0.008186005889</v>
      </c>
      <c r="F124" s="357">
        <f>SUM(F125)</f>
        <v>117386.944</v>
      </c>
      <c r="G124" s="355">
        <f>F124/F$33</f>
        <v>0.009065033444</v>
      </c>
      <c r="H124" s="357">
        <f>SUM(H125)</f>
        <v>-15711.344</v>
      </c>
      <c r="I124" s="358"/>
      <c r="J124" s="604">
        <f>SUM(J125)</f>
        <v>102730.27</v>
      </c>
      <c r="K124" s="355">
        <f t="shared" ref="K124:K125" si="245">J124/J$33</f>
        <v>0.008058551763</v>
      </c>
      <c r="L124" s="357">
        <f>SUM(L125)</f>
        <v>107941.0126</v>
      </c>
      <c r="M124" s="352"/>
      <c r="N124" s="352">
        <f>SUM(N125)</f>
        <v>0</v>
      </c>
      <c r="O124" s="358"/>
      <c r="P124" s="349">
        <f>SUM(P125)</f>
        <v>91016.3</v>
      </c>
      <c r="Q124" s="355">
        <f t="shared" ref="Q124:Q125" si="246">P124/P$33</f>
        <v>0.008056804284</v>
      </c>
      <c r="R124" s="357">
        <f>SUM(R125)</f>
        <v>116283.6115</v>
      </c>
      <c r="S124" s="352"/>
      <c r="T124" s="352">
        <f>SUM(T125)</f>
        <v>0</v>
      </c>
      <c r="U124" s="358"/>
      <c r="V124" s="604">
        <f>SUM(V125)</f>
        <v>103606.09</v>
      </c>
      <c r="W124" s="355">
        <f t="shared" ref="W124:W125" si="247">V124/V$33</f>
        <v>0.007387174494</v>
      </c>
      <c r="X124" s="357">
        <f>SUM(X125)</f>
        <v>121631.6346</v>
      </c>
      <c r="Y124" s="355">
        <f>X124/X$33</f>
        <v>0.008962519624</v>
      </c>
      <c r="Z124" s="352">
        <f>SUM(Z125)</f>
        <v>0</v>
      </c>
      <c r="AA124" s="358"/>
      <c r="AB124" s="604">
        <f>SUM(AB125)</f>
        <v>112317.25</v>
      </c>
      <c r="AC124" s="355">
        <f t="shared" ref="AC124:AC125" si="248">AB124/AB$33</f>
        <v>0.007931030124</v>
      </c>
      <c r="AD124" s="357">
        <f>SUM(AD125)</f>
        <v>129691.4285</v>
      </c>
      <c r="AE124" s="355">
        <f>AD124/AD$33</f>
        <v>0.009018804971</v>
      </c>
      <c r="AF124" s="352">
        <f>SUM(AF125)</f>
        <v>0</v>
      </c>
      <c r="AG124" s="358"/>
      <c r="AH124" s="604">
        <f>SUM(AH125)</f>
        <v>89671.22</v>
      </c>
      <c r="AI124" s="355">
        <f t="shared" ref="AI124:AI125" si="249">AH124/AH$33</f>
        <v>0.007515885766</v>
      </c>
      <c r="AJ124" s="357">
        <f>SUM(AJ125)</f>
        <v>120084.656</v>
      </c>
      <c r="AK124" s="355">
        <f>AJ124/AJ$33</f>
        <v>0.008810698668</v>
      </c>
      <c r="AL124" s="352">
        <f>SUM(AL125)</f>
        <v>0</v>
      </c>
      <c r="AM124" s="358"/>
      <c r="AN124" s="604">
        <f>SUM(AN125)</f>
        <v>101304.43</v>
      </c>
      <c r="AO124" s="355">
        <f t="shared" ref="AO124:AO125" si="250">AN124/AN$33</f>
        <v>0.007993345384</v>
      </c>
      <c r="AP124" s="357">
        <f>SUM(AP125)</f>
        <v>134494.8147</v>
      </c>
      <c r="AQ124" s="352"/>
      <c r="AR124" s="352">
        <f>SUM(AR125)</f>
        <v>0</v>
      </c>
      <c r="AS124" s="358"/>
      <c r="AT124" s="604">
        <f>SUM(AT125)</f>
        <v>100956.73</v>
      </c>
      <c r="AU124" s="355">
        <f t="shared" ref="AU124:AU125" si="251">AT124/AT$33</f>
        <v>0.007922207324</v>
      </c>
      <c r="AV124" s="357">
        <f>SUM(AV125)</f>
        <v>139298.201</v>
      </c>
      <c r="AW124" s="352"/>
      <c r="AX124" s="352">
        <f>SUM(AX125)</f>
        <v>0</v>
      </c>
      <c r="AY124" s="358"/>
      <c r="AZ124" s="604">
        <f>SUM(AZ125)</f>
        <v>139861.34</v>
      </c>
      <c r="BA124" s="355">
        <f t="shared" ref="BA124:BA125" si="252">AZ124/AZ$33</f>
        <v>0.007810669466</v>
      </c>
      <c r="BB124" s="357">
        <f>SUM(BB125)</f>
        <v>148904.9734</v>
      </c>
      <c r="BC124" s="355"/>
      <c r="BD124" s="352">
        <f>SUM(BD125)</f>
        <v>0</v>
      </c>
      <c r="BE124" s="358"/>
      <c r="BF124" s="604">
        <f>SUM(BF125)</f>
        <v>116562.62</v>
      </c>
      <c r="BG124" s="355">
        <f t="shared" ref="BG124:BG125" si="253">BF124/BF$33</f>
        <v>0.00674945873</v>
      </c>
      <c r="BH124" s="357">
        <f>SUM(BH125)</f>
        <v>144101.5872</v>
      </c>
      <c r="BI124" s="352"/>
      <c r="BJ124" s="352">
        <f>SUM(BJ125)</f>
        <v>0</v>
      </c>
      <c r="BK124" s="358"/>
      <c r="BL124" s="604">
        <f>SUM(BL125)</f>
        <v>36077.2</v>
      </c>
      <c r="BM124" s="355">
        <f t="shared" ref="BM124:BM125" si="254">BL124/BL$33</f>
        <v>0.00213187698</v>
      </c>
      <c r="BN124" s="357">
        <f>SUM(BN125)</f>
        <v>118657.9062</v>
      </c>
      <c r="BO124" s="352"/>
      <c r="BP124" s="352">
        <f>SUM(BP125)</f>
        <v>0</v>
      </c>
      <c r="BQ124" s="358"/>
      <c r="BR124" s="604">
        <f>SUM(BR125)</f>
        <v>7565.26</v>
      </c>
      <c r="BS124" s="726">
        <f t="shared" ref="BS124:BS125" si="255">BR124/BR$33</f>
        <v>0.0005093896078</v>
      </c>
      <c r="BT124" s="655">
        <f>SUM(BT125)</f>
        <v>129691.4285</v>
      </c>
      <c r="BU124" s="658"/>
      <c r="BV124" s="658">
        <f>SUM(BV125)</f>
        <v>0</v>
      </c>
      <c r="BW124" s="656"/>
      <c r="BX124" s="718">
        <f>D124+J124+P124+V124+AB124+AH124+AN124+AT124+AZ124+BF124+BL124+BR124</f>
        <v>1103344.31</v>
      </c>
      <c r="BY124" s="216"/>
      <c r="BZ124" s="216"/>
      <c r="CA124" s="216"/>
      <c r="CB124" s="216"/>
      <c r="CC124" s="216"/>
      <c r="CD124" s="216"/>
      <c r="CE124" s="216"/>
      <c r="CF124" s="216"/>
      <c r="CG124" s="216"/>
      <c r="CH124" s="216"/>
      <c r="CI124" s="216"/>
      <c r="CJ124" s="216"/>
      <c r="CK124" s="216"/>
      <c r="CL124" s="216"/>
      <c r="CM124" s="216"/>
      <c r="CN124" s="216"/>
      <c r="CO124" s="216"/>
      <c r="CP124" s="216"/>
      <c r="CQ124" s="216"/>
      <c r="CR124" s="216"/>
      <c r="CS124" s="216"/>
      <c r="CT124" s="216"/>
      <c r="CU124" s="216"/>
    </row>
    <row r="125" ht="15.75" customHeight="1">
      <c r="A125" s="213"/>
      <c r="B125" s="393"/>
      <c r="C125" s="350" t="s">
        <v>272</v>
      </c>
      <c r="D125" s="604">
        <v>101675.6</v>
      </c>
      <c r="E125" s="355">
        <f t="shared" si="244"/>
        <v>0.008186005889</v>
      </c>
      <c r="F125" s="357">
        <f>G125*F17</f>
        <v>117386.944</v>
      </c>
      <c r="G125" s="355">
        <v>0.016</v>
      </c>
      <c r="H125" s="357">
        <f>D125-F125</f>
        <v>-15711.344</v>
      </c>
      <c r="I125" s="395">
        <f>H125/F125</f>
        <v>-0.1338423462</v>
      </c>
      <c r="J125" s="604">
        <v>102730.27</v>
      </c>
      <c r="K125" s="355">
        <f t="shared" si="245"/>
        <v>0.008058551763</v>
      </c>
      <c r="L125" s="357">
        <f>M125*L17</f>
        <v>107941.0126</v>
      </c>
      <c r="M125" s="355">
        <v>0.016</v>
      </c>
      <c r="N125" s="352"/>
      <c r="O125" s="358"/>
      <c r="P125" s="349">
        <v>91016.3</v>
      </c>
      <c r="Q125" s="355">
        <f t="shared" si="246"/>
        <v>0.008056804284</v>
      </c>
      <c r="R125" s="357">
        <f>S125*R17</f>
        <v>116283.6115</v>
      </c>
      <c r="S125" s="355">
        <v>0.016</v>
      </c>
      <c r="T125" s="352"/>
      <c r="U125" s="358"/>
      <c r="V125" s="604">
        <f>14178.87+89427.22</f>
        <v>103606.09</v>
      </c>
      <c r="W125" s="355">
        <f t="shared" si="247"/>
        <v>0.007387174494</v>
      </c>
      <c r="X125" s="357">
        <f>Y125*X17</f>
        <v>121631.6346</v>
      </c>
      <c r="Y125" s="355">
        <v>0.016</v>
      </c>
      <c r="Z125" s="352"/>
      <c r="AA125" s="358"/>
      <c r="AB125" s="604">
        <f>87146+25171.25</f>
        <v>112317.25</v>
      </c>
      <c r="AC125" s="355">
        <f t="shared" si="248"/>
        <v>0.007931030124</v>
      </c>
      <c r="AD125" s="357">
        <f>AE125*AD17</f>
        <v>129691.4285</v>
      </c>
      <c r="AE125" s="355">
        <v>0.016</v>
      </c>
      <c r="AF125" s="352"/>
      <c r="AG125" s="358"/>
      <c r="AH125" s="604">
        <f>80900.51+8770.71</f>
        <v>89671.22</v>
      </c>
      <c r="AI125" s="355">
        <f t="shared" si="249"/>
        <v>0.007515885766</v>
      </c>
      <c r="AJ125" s="357">
        <f>AK125*AJ17</f>
        <v>120084.656</v>
      </c>
      <c r="AK125" s="355">
        <v>0.016</v>
      </c>
      <c r="AL125" s="352"/>
      <c r="AM125" s="358"/>
      <c r="AN125" s="604">
        <f>7038.22+94266.21</f>
        <v>101304.43</v>
      </c>
      <c r="AO125" s="355">
        <f t="shared" si="250"/>
        <v>0.007993345384</v>
      </c>
      <c r="AP125" s="357">
        <f>AQ125*AP17</f>
        <v>134494.8147</v>
      </c>
      <c r="AQ125" s="355">
        <v>0.016</v>
      </c>
      <c r="AR125" s="352"/>
      <c r="AS125" s="358"/>
      <c r="AT125" s="604">
        <f>4005.63+96951.1</f>
        <v>100956.73</v>
      </c>
      <c r="AU125" s="355">
        <f t="shared" si="251"/>
        <v>0.007922207324</v>
      </c>
      <c r="AV125" s="357">
        <f>AW125*AV17</f>
        <v>139298.201</v>
      </c>
      <c r="AW125" s="355">
        <v>0.016</v>
      </c>
      <c r="AX125" s="352"/>
      <c r="AY125" s="358"/>
      <c r="AZ125" s="604">
        <f>20521.33+119340.01</f>
        <v>139861.34</v>
      </c>
      <c r="BA125" s="355">
        <f t="shared" si="252"/>
        <v>0.007810669466</v>
      </c>
      <c r="BB125" s="357">
        <f>BC125*BB17</f>
        <v>148904.9734</v>
      </c>
      <c r="BC125" s="355">
        <v>0.016</v>
      </c>
      <c r="BD125" s="352"/>
      <c r="BE125" s="358"/>
      <c r="BF125" s="628">
        <v>116562.62</v>
      </c>
      <c r="BG125" s="355">
        <f t="shared" si="253"/>
        <v>0.00674945873</v>
      </c>
      <c r="BH125" s="357">
        <f>BI125*BH17</f>
        <v>144101.5872</v>
      </c>
      <c r="BI125" s="355">
        <v>0.016</v>
      </c>
      <c r="BJ125" s="352"/>
      <c r="BK125" s="358"/>
      <c r="BL125" s="604">
        <v>36077.2</v>
      </c>
      <c r="BM125" s="355">
        <f t="shared" si="254"/>
        <v>0.00213187698</v>
      </c>
      <c r="BN125" s="357">
        <f>BO125*BN17</f>
        <v>118657.9062</v>
      </c>
      <c r="BO125" s="355">
        <v>0.016</v>
      </c>
      <c r="BP125" s="352"/>
      <c r="BQ125" s="358"/>
      <c r="BR125" s="604">
        <v>7565.26</v>
      </c>
      <c r="BS125" s="355">
        <f t="shared" si="255"/>
        <v>0.0005093896078</v>
      </c>
      <c r="BT125" s="357">
        <f>BU125*BT17</f>
        <v>129691.4285</v>
      </c>
      <c r="BU125" s="355">
        <v>0.016</v>
      </c>
      <c r="BV125" s="352"/>
      <c r="BW125" s="358"/>
      <c r="BX125" s="213"/>
      <c r="BY125" s="213"/>
      <c r="BZ125" s="213"/>
      <c r="CA125" s="213"/>
      <c r="CB125" s="213"/>
      <c r="CC125" s="213"/>
      <c r="CD125" s="213"/>
      <c r="CE125" s="213"/>
      <c r="CF125" s="213"/>
      <c r="CG125" s="213"/>
      <c r="CH125" s="213"/>
      <c r="CI125" s="213"/>
      <c r="CJ125" s="213"/>
      <c r="CK125" s="213"/>
      <c r="CL125" s="213"/>
      <c r="CM125" s="213"/>
      <c r="CN125" s="213"/>
      <c r="CO125" s="213"/>
      <c r="CP125" s="213"/>
      <c r="CQ125" s="213"/>
      <c r="CR125" s="213"/>
      <c r="CS125" s="213"/>
      <c r="CT125" s="213"/>
      <c r="CU125" s="213"/>
    </row>
    <row r="126" ht="15.75" customHeight="1">
      <c r="A126" s="213"/>
      <c r="B126" s="393"/>
      <c r="C126" s="350"/>
      <c r="D126" s="604"/>
      <c r="E126" s="352"/>
      <c r="F126" s="352"/>
      <c r="G126" s="352"/>
      <c r="H126" s="352"/>
      <c r="I126" s="358"/>
      <c r="J126" s="604"/>
      <c r="K126" s="352"/>
      <c r="L126" s="352"/>
      <c r="M126" s="352"/>
      <c r="N126" s="352"/>
      <c r="O126" s="358"/>
      <c r="P126" s="349"/>
      <c r="Q126" s="352"/>
      <c r="R126" s="352"/>
      <c r="S126" s="352"/>
      <c r="T126" s="352"/>
      <c r="U126" s="358"/>
      <c r="V126" s="604"/>
      <c r="W126" s="352"/>
      <c r="X126" s="352"/>
      <c r="Y126" s="352"/>
      <c r="Z126" s="352"/>
      <c r="AA126" s="358"/>
      <c r="AB126" s="604"/>
      <c r="AC126" s="352"/>
      <c r="AD126" s="357"/>
      <c r="AE126" s="352"/>
      <c r="AF126" s="352"/>
      <c r="AG126" s="358"/>
      <c r="AH126" s="604"/>
      <c r="AI126" s="352"/>
      <c r="AJ126" s="352"/>
      <c r="AK126" s="352"/>
      <c r="AL126" s="352"/>
      <c r="AM126" s="358"/>
      <c r="AN126" s="604"/>
      <c r="AO126" s="352"/>
      <c r="AP126" s="352"/>
      <c r="AQ126" s="352"/>
      <c r="AR126" s="352"/>
      <c r="AS126" s="358"/>
      <c r="AT126" s="604"/>
      <c r="AU126" s="352"/>
      <c r="AV126" s="352"/>
      <c r="AW126" s="352"/>
      <c r="AX126" s="352"/>
      <c r="AY126" s="358"/>
      <c r="AZ126" s="604"/>
      <c r="BA126" s="352"/>
      <c r="BB126" s="352"/>
      <c r="BC126" s="352"/>
      <c r="BD126" s="352"/>
      <c r="BE126" s="358"/>
      <c r="BF126" s="604"/>
      <c r="BG126" s="352"/>
      <c r="BH126" s="352"/>
      <c r="BI126" s="352"/>
      <c r="BJ126" s="352"/>
      <c r="BK126" s="358"/>
      <c r="BL126" s="604"/>
      <c r="BM126" s="352"/>
      <c r="BN126" s="357"/>
      <c r="BO126" s="352"/>
      <c r="BP126" s="352"/>
      <c r="BQ126" s="358"/>
      <c r="BR126" s="604"/>
      <c r="BS126" s="352"/>
      <c r="BT126" s="357"/>
      <c r="BU126" s="352"/>
      <c r="BV126" s="352"/>
      <c r="BW126" s="358"/>
      <c r="BX126" s="213"/>
      <c r="BY126" s="213"/>
      <c r="BZ126" s="213"/>
      <c r="CA126" s="213"/>
      <c r="CB126" s="213"/>
      <c r="CC126" s="213"/>
      <c r="CD126" s="213"/>
      <c r="CE126" s="213"/>
      <c r="CF126" s="213"/>
      <c r="CG126" s="213"/>
      <c r="CH126" s="213"/>
      <c r="CI126" s="213"/>
      <c r="CJ126" s="213"/>
      <c r="CK126" s="213"/>
      <c r="CL126" s="213"/>
      <c r="CM126" s="213"/>
      <c r="CN126" s="213"/>
      <c r="CO126" s="213"/>
      <c r="CP126" s="213"/>
      <c r="CQ126" s="213"/>
      <c r="CR126" s="213"/>
      <c r="CS126" s="213"/>
      <c r="CT126" s="213"/>
      <c r="CU126" s="213"/>
    </row>
    <row r="127" ht="15.75" customHeight="1">
      <c r="A127" s="213"/>
      <c r="B127" s="393"/>
      <c r="C127" s="723" t="s">
        <v>273</v>
      </c>
      <c r="D127" s="604">
        <f>SUM(D128:D129)</f>
        <v>31958.33333</v>
      </c>
      <c r="E127" s="355">
        <f t="shared" ref="E127:E128" si="256">D127/D$33</f>
        <v>0.002572997896</v>
      </c>
      <c r="F127" s="357">
        <f>SUM(F128:F129)</f>
        <v>30188.33333</v>
      </c>
      <c r="G127" s="355">
        <f>F127/F$33</f>
        <v>0.002331249472</v>
      </c>
      <c r="H127" s="357">
        <f>SUM(H128:H129)</f>
        <v>1770</v>
      </c>
      <c r="I127" s="358"/>
      <c r="J127" s="604">
        <f>SUM(J128:J129)</f>
        <v>30188.33333</v>
      </c>
      <c r="K127" s="355">
        <f t="shared" ref="K127:K128" si="257">J127/J$33</f>
        <v>0.002368087291</v>
      </c>
      <c r="L127" s="352">
        <f>SUM(L128:L129)</f>
        <v>30188.33333</v>
      </c>
      <c r="M127" s="352"/>
      <c r="N127" s="352">
        <f>SUM(N128:N129)</f>
        <v>0</v>
      </c>
      <c r="O127" s="358"/>
      <c r="P127" s="349">
        <f>SUM(P128:P129)</f>
        <v>30188.33333</v>
      </c>
      <c r="Q127" s="355">
        <f t="shared" ref="Q127:Q129" si="258">P127/P$33</f>
        <v>0.002672285001</v>
      </c>
      <c r="R127" s="352">
        <f>SUM(R128:R129)</f>
        <v>30188.33333</v>
      </c>
      <c r="S127" s="352"/>
      <c r="T127" s="352">
        <f>SUM(T128:T129)</f>
        <v>0</v>
      </c>
      <c r="U127" s="358"/>
      <c r="V127" s="604">
        <f>SUM(V128:V129)</f>
        <v>30188.33333</v>
      </c>
      <c r="W127" s="355">
        <f t="shared" ref="W127:W129" si="259">V127/V$33</f>
        <v>0.00215244573</v>
      </c>
      <c r="X127" s="352">
        <f>SUM(X128:X129)</f>
        <v>30188.33333</v>
      </c>
      <c r="Y127" s="355">
        <f>X127/X$33</f>
        <v>0.002224450332</v>
      </c>
      <c r="Z127" s="352">
        <f>SUM(Z128:Z129)</f>
        <v>0</v>
      </c>
      <c r="AA127" s="358"/>
      <c r="AB127" s="604">
        <f>SUM(AB128:AB129)</f>
        <v>30188.33333</v>
      </c>
      <c r="AC127" s="355">
        <f t="shared" ref="AC127:AC130" si="260">AB127/AB$33</f>
        <v>0.002131681296</v>
      </c>
      <c r="AD127" s="357">
        <f>SUM(AD128:AD129)</f>
        <v>30188.33333</v>
      </c>
      <c r="AE127" s="355">
        <f t="shared" ref="AE127:AE129" si="261">AD127/AD$33</f>
        <v>0.002099311372</v>
      </c>
      <c r="AF127" s="352">
        <f>SUM(AF128:AF129)</f>
        <v>0</v>
      </c>
      <c r="AG127" s="358"/>
      <c r="AH127" s="604">
        <f>SUM(AH128:AH129)</f>
        <v>30188.33333</v>
      </c>
      <c r="AI127" s="355">
        <f t="shared" ref="AI127:AI130" si="262">AH127/AH$33</f>
        <v>0.002530266286</v>
      </c>
      <c r="AJ127" s="357">
        <f>SUM(AJ128:AJ129)</f>
        <v>30188.33333</v>
      </c>
      <c r="AK127" s="352"/>
      <c r="AL127" s="352">
        <f>SUM(AL128:AL129)</f>
        <v>0</v>
      </c>
      <c r="AM127" s="358"/>
      <c r="AN127" s="604">
        <f>SUM(AN128:AN129)</f>
        <v>30188.33333</v>
      </c>
      <c r="AO127" s="355">
        <f t="shared" ref="AO127:AO130" si="263">AN127/AN$33</f>
        <v>0.002381986404</v>
      </c>
      <c r="AP127" s="352">
        <f>SUM(AP128:AP129)</f>
        <v>30188</v>
      </c>
      <c r="AQ127" s="352"/>
      <c r="AR127" s="352">
        <f>SUM(AR128:AR129)</f>
        <v>0</v>
      </c>
      <c r="AS127" s="358"/>
      <c r="AT127" s="604">
        <f>SUM(AT128:AT129)</f>
        <v>34768.33333</v>
      </c>
      <c r="AU127" s="355">
        <f t="shared" ref="AU127:AU130" si="264">AT127/AT$33</f>
        <v>0.002728316824</v>
      </c>
      <c r="AV127" s="352">
        <f>SUM(AV128:AV129)</f>
        <v>30188</v>
      </c>
      <c r="AW127" s="352"/>
      <c r="AX127" s="352">
        <f>SUM(AX128:AX129)</f>
        <v>0</v>
      </c>
      <c r="AY127" s="358"/>
      <c r="AZ127" s="604">
        <f>SUM(AZ128:AZ129)</f>
        <v>30188.33333</v>
      </c>
      <c r="BA127" s="355">
        <f t="shared" ref="BA127:BA130" si="265">AZ127/AZ$33</f>
        <v>0.001685891851</v>
      </c>
      <c r="BB127" s="352">
        <f>SUM(BB128:BB129)</f>
        <v>30188</v>
      </c>
      <c r="BC127" s="352"/>
      <c r="BD127" s="352">
        <f>SUM(BD128:BD129)</f>
        <v>0</v>
      </c>
      <c r="BE127" s="358"/>
      <c r="BF127" s="604">
        <f>SUM(BF128:BF129)</f>
        <v>30837.33333</v>
      </c>
      <c r="BG127" s="355">
        <f t="shared" ref="BG127:BG130" si="266">BF127/BF$33</f>
        <v>0.001785609389</v>
      </c>
      <c r="BH127" s="604">
        <f>SUM(BH128:BH129)</f>
        <v>30188.33333</v>
      </c>
      <c r="BI127" s="355">
        <f t="shared" ref="BI127:BI130" si="267">BH127/BH$33</f>
        <v>0.001860046555</v>
      </c>
      <c r="BJ127" s="352">
        <f>SUM(BJ128:BJ129)</f>
        <v>0</v>
      </c>
      <c r="BK127" s="358"/>
      <c r="BL127" s="604">
        <f>SUM(BL128:BL129)</f>
        <v>56325.33333</v>
      </c>
      <c r="BM127" s="355">
        <f t="shared" ref="BM127:BM130" si="268">BL127/BL$33</f>
        <v>0.003328381403</v>
      </c>
      <c r="BN127" s="357">
        <f>SUM(BN128:BN129)</f>
        <v>30188.33333</v>
      </c>
      <c r="BO127" s="355">
        <f t="shared" ref="BO127:BO130" si="269">BN127/BN$33</f>
        <v>0.002218365391</v>
      </c>
      <c r="BP127" s="352">
        <f>SUM(BP128:BP129)</f>
        <v>0</v>
      </c>
      <c r="BQ127" s="358"/>
      <c r="BR127" s="604">
        <f>SUM(BR128:BR129)</f>
        <v>36416</v>
      </c>
      <c r="BS127" s="726">
        <f t="shared" ref="BS127:BS130" si="270">BR127/BR$33</f>
        <v>0.00245198869</v>
      </c>
      <c r="BT127" s="655">
        <f>SUM(BT128:BT129)</f>
        <v>30188.33333</v>
      </c>
      <c r="BU127" s="658"/>
      <c r="BV127" s="658">
        <f>SUM(BV128:BV129)</f>
        <v>0</v>
      </c>
      <c r="BW127" s="656"/>
      <c r="BX127" s="718">
        <f>D127+J127+P127+V127+AB127+AH127+AN127+AT127+AZ127+BF127+BL127+BR127</f>
        <v>401623.6667</v>
      </c>
      <c r="BY127" s="216"/>
      <c r="BZ127" s="216"/>
      <c r="CA127" s="216"/>
      <c r="CB127" s="216"/>
      <c r="CC127" s="216"/>
      <c r="CD127" s="216"/>
      <c r="CE127" s="216"/>
      <c r="CF127" s="216"/>
      <c r="CG127" s="216"/>
      <c r="CH127" s="216"/>
      <c r="CI127" s="216"/>
      <c r="CJ127" s="216"/>
      <c r="CK127" s="216"/>
      <c r="CL127" s="216"/>
      <c r="CM127" s="216"/>
      <c r="CN127" s="216"/>
      <c r="CO127" s="216"/>
      <c r="CP127" s="216"/>
      <c r="CQ127" s="216"/>
      <c r="CR127" s="216"/>
      <c r="CS127" s="216"/>
      <c r="CT127" s="216"/>
      <c r="CU127" s="216"/>
    </row>
    <row r="128" ht="15.75" customHeight="1">
      <c r="A128" s="213"/>
      <c r="B128" s="393"/>
      <c r="C128" s="350" t="s">
        <v>274</v>
      </c>
      <c r="D128" s="604">
        <v>1770.0</v>
      </c>
      <c r="E128" s="355">
        <f t="shared" si="256"/>
        <v>0.0001425044989</v>
      </c>
      <c r="F128" s="352"/>
      <c r="G128" s="352"/>
      <c r="H128" s="357">
        <f t="shared" ref="H128:H129" si="271">D128-F128</f>
        <v>1770</v>
      </c>
      <c r="I128" s="395" t="str">
        <f t="shared" ref="I128:I129" si="272">H128/F128</f>
        <v>#DIV/0!</v>
      </c>
      <c r="J128" s="604"/>
      <c r="K128" s="355">
        <f t="shared" si="257"/>
        <v>0</v>
      </c>
      <c r="L128" s="352"/>
      <c r="M128" s="352"/>
      <c r="N128" s="352"/>
      <c r="O128" s="358"/>
      <c r="P128" s="349"/>
      <c r="Q128" s="355">
        <f t="shared" si="258"/>
        <v>0</v>
      </c>
      <c r="R128" s="352"/>
      <c r="S128" s="352"/>
      <c r="T128" s="352"/>
      <c r="U128" s="358"/>
      <c r="V128" s="604"/>
      <c r="W128" s="355">
        <f t="shared" si="259"/>
        <v>0</v>
      </c>
      <c r="X128" s="352"/>
      <c r="Y128" s="352"/>
      <c r="Z128" s="352"/>
      <c r="AA128" s="358"/>
      <c r="AB128" s="604"/>
      <c r="AC128" s="355">
        <f t="shared" si="260"/>
        <v>0</v>
      </c>
      <c r="AD128" s="357"/>
      <c r="AE128" s="355">
        <f t="shared" si="261"/>
        <v>0</v>
      </c>
      <c r="AF128" s="352"/>
      <c r="AG128" s="358"/>
      <c r="AH128" s="604"/>
      <c r="AI128" s="355">
        <f t="shared" si="262"/>
        <v>0</v>
      </c>
      <c r="AJ128" s="352"/>
      <c r="AK128" s="352"/>
      <c r="AL128" s="352"/>
      <c r="AM128" s="358"/>
      <c r="AN128" s="604"/>
      <c r="AO128" s="355">
        <f t="shared" si="263"/>
        <v>0</v>
      </c>
      <c r="AP128" s="352"/>
      <c r="AQ128" s="352"/>
      <c r="AR128" s="352"/>
      <c r="AS128" s="358"/>
      <c r="AT128" s="604">
        <v>4580.0</v>
      </c>
      <c r="AU128" s="355">
        <f t="shared" si="264"/>
        <v>0.000359398621</v>
      </c>
      <c r="AV128" s="352"/>
      <c r="AW128" s="352"/>
      <c r="AX128" s="352"/>
      <c r="AY128" s="358"/>
      <c r="AZ128" s="604"/>
      <c r="BA128" s="355">
        <f t="shared" si="265"/>
        <v>0</v>
      </c>
      <c r="BB128" s="352"/>
      <c r="BC128" s="352"/>
      <c r="BD128" s="352"/>
      <c r="BE128" s="358"/>
      <c r="BF128" s="604">
        <v>649.0</v>
      </c>
      <c r="BG128" s="355">
        <f t="shared" si="266"/>
        <v>0.00003757978943</v>
      </c>
      <c r="BH128" s="352"/>
      <c r="BI128" s="355">
        <f t="shared" si="267"/>
        <v>0</v>
      </c>
      <c r="BJ128" s="352"/>
      <c r="BK128" s="358"/>
      <c r="BL128" s="604">
        <v>26137.0</v>
      </c>
      <c r="BM128" s="355">
        <f t="shared" si="268"/>
        <v>0.001544489834</v>
      </c>
      <c r="BN128" s="357"/>
      <c r="BO128" s="355">
        <f t="shared" si="269"/>
        <v>0</v>
      </c>
      <c r="BP128" s="352"/>
      <c r="BQ128" s="358"/>
      <c r="BR128" s="604"/>
      <c r="BS128" s="355">
        <f t="shared" si="270"/>
        <v>0</v>
      </c>
      <c r="BT128" s="357"/>
      <c r="BU128" s="352"/>
      <c r="BV128" s="352"/>
      <c r="BW128" s="358"/>
      <c r="BX128" s="213"/>
      <c r="BY128" s="213"/>
      <c r="BZ128" s="213"/>
      <c r="CA128" s="216"/>
      <c r="CB128" s="213"/>
      <c r="CC128" s="213"/>
      <c r="CD128" s="213"/>
      <c r="CE128" s="213"/>
      <c r="CF128" s="213"/>
      <c r="CG128" s="213"/>
      <c r="CH128" s="213"/>
      <c r="CI128" s="213"/>
      <c r="CJ128" s="213"/>
      <c r="CK128" s="213"/>
      <c r="CL128" s="213"/>
      <c r="CM128" s="213"/>
      <c r="CN128" s="213"/>
      <c r="CO128" s="213"/>
      <c r="CP128" s="213"/>
      <c r="CQ128" s="213"/>
      <c r="CR128" s="213"/>
      <c r="CS128" s="213"/>
      <c r="CT128" s="213"/>
      <c r="CU128" s="213"/>
    </row>
    <row r="129" ht="15.75" customHeight="1">
      <c r="A129" s="213"/>
      <c r="B129" s="393"/>
      <c r="C129" s="350" t="s">
        <v>397</v>
      </c>
      <c r="D129" s="604">
        <f>14750+1475+2950+2065+8260+(8260/12)</f>
        <v>30188.33333</v>
      </c>
      <c r="E129" s="352"/>
      <c r="F129" s="663">
        <f>14750+1475+2950+2065+8260+(8260/12)</f>
        <v>30188.33333</v>
      </c>
      <c r="G129" s="355">
        <f>F129/F$33</f>
        <v>0.002331249472</v>
      </c>
      <c r="H129" s="357">
        <f t="shared" si="271"/>
        <v>0</v>
      </c>
      <c r="I129" s="395">
        <f t="shared" si="272"/>
        <v>0</v>
      </c>
      <c r="J129" s="604">
        <f>14750+1475+2950+2065+8260+(8260/12)</f>
        <v>30188.33333</v>
      </c>
      <c r="K129" s="352"/>
      <c r="L129" s="663">
        <f>14750+1475+2950+2065+8260+(8260/12)</f>
        <v>30188.33333</v>
      </c>
      <c r="M129" s="352"/>
      <c r="N129" s="352"/>
      <c r="O129" s="358"/>
      <c r="P129" s="738">
        <f>14750+1475+2950+2065+8260+(8260/12)</f>
        <v>30188.33333</v>
      </c>
      <c r="Q129" s="355">
        <f t="shared" si="258"/>
        <v>0.002672285001</v>
      </c>
      <c r="R129" s="663">
        <f>14750+1475+2950+2065+8260+(8260/12)</f>
        <v>30188.33333</v>
      </c>
      <c r="S129" s="352"/>
      <c r="T129" s="352"/>
      <c r="U129" s="358"/>
      <c r="V129" s="604">
        <f>14750+1475+2950+2065+8260+(8260/12)</f>
        <v>30188.33333</v>
      </c>
      <c r="W129" s="355">
        <f t="shared" si="259"/>
        <v>0.00215244573</v>
      </c>
      <c r="X129" s="663">
        <f>14750+1475+2950+2065+8260+(8260/12)</f>
        <v>30188.33333</v>
      </c>
      <c r="Y129" s="352"/>
      <c r="Z129" s="352"/>
      <c r="AA129" s="358"/>
      <c r="AB129" s="604">
        <f>14750+1475+2950+2065+8260+(8260/12)</f>
        <v>30188.33333</v>
      </c>
      <c r="AC129" s="355">
        <f t="shared" si="260"/>
        <v>0.002131681296</v>
      </c>
      <c r="AD129" s="357">
        <f>14750+1475+2950+2065+8260+(8260/12)</f>
        <v>30188.33333</v>
      </c>
      <c r="AE129" s="355">
        <f t="shared" si="261"/>
        <v>0.002099311372</v>
      </c>
      <c r="AF129" s="352"/>
      <c r="AG129" s="358"/>
      <c r="AH129" s="604">
        <f>14750+1475+2950+2065+8260+(8260/12)</f>
        <v>30188.33333</v>
      </c>
      <c r="AI129" s="355">
        <f t="shared" si="262"/>
        <v>0.002530266286</v>
      </c>
      <c r="AJ129" s="663">
        <f>14750+1475+2950+2065+8260+(8260/12)</f>
        <v>30188.33333</v>
      </c>
      <c r="AK129" s="352"/>
      <c r="AL129" s="352"/>
      <c r="AM129" s="358"/>
      <c r="AN129" s="604">
        <f>14750+1475+2950+2065+8260+(8260/12)</f>
        <v>30188.33333</v>
      </c>
      <c r="AO129" s="355">
        <f t="shared" si="263"/>
        <v>0.002381986404</v>
      </c>
      <c r="AP129" s="352">
        <v>30188.0</v>
      </c>
      <c r="AQ129" s="352"/>
      <c r="AR129" s="352"/>
      <c r="AS129" s="358"/>
      <c r="AT129" s="604">
        <f>14750+1475+2950+2065+8260+(8260/12)</f>
        <v>30188.33333</v>
      </c>
      <c r="AU129" s="355">
        <f t="shared" si="264"/>
        <v>0.002368918203</v>
      </c>
      <c r="AV129" s="352">
        <v>30188.0</v>
      </c>
      <c r="AW129" s="352"/>
      <c r="AX129" s="352"/>
      <c r="AY129" s="358"/>
      <c r="AZ129" s="604">
        <f>14750+1475+2950+2065+8260+(8260/12)</f>
        <v>30188.33333</v>
      </c>
      <c r="BA129" s="355">
        <f t="shared" si="265"/>
        <v>0.001685891851</v>
      </c>
      <c r="BB129" s="352">
        <v>30188.0</v>
      </c>
      <c r="BC129" s="352"/>
      <c r="BD129" s="352"/>
      <c r="BE129" s="358"/>
      <c r="BF129" s="604">
        <f>14750+1475+2950+2065+8260+(8260/12)</f>
        <v>30188.33333</v>
      </c>
      <c r="BG129" s="355">
        <f t="shared" si="266"/>
        <v>0.001748029599</v>
      </c>
      <c r="BH129" s="604">
        <f>14750+1475+2950+2065+8260+(8260/12)</f>
        <v>30188.33333</v>
      </c>
      <c r="BI129" s="355">
        <f t="shared" si="267"/>
        <v>0.001860046555</v>
      </c>
      <c r="BJ129" s="352"/>
      <c r="BK129" s="358"/>
      <c r="BL129" s="604">
        <f>14750+1475+2950+2065+8260+(8260/12)</f>
        <v>30188.33333</v>
      </c>
      <c r="BM129" s="355">
        <f t="shared" si="268"/>
        <v>0.001783891569</v>
      </c>
      <c r="BN129" s="604">
        <f>14750+1475+2950+2065+8260+(8260/12)</f>
        <v>30188.33333</v>
      </c>
      <c r="BO129" s="355">
        <f t="shared" si="269"/>
        <v>0.002218365391</v>
      </c>
      <c r="BP129" s="352"/>
      <c r="BQ129" s="358"/>
      <c r="BR129" s="604">
        <f>+(8750*1.18)+3000+23091</f>
        <v>36416</v>
      </c>
      <c r="BS129" s="355">
        <f t="shared" si="270"/>
        <v>0.00245198869</v>
      </c>
      <c r="BT129" s="604">
        <f>14750+1475+2950+2065+8260+(8260/12)</f>
        <v>30188.33333</v>
      </c>
      <c r="BU129" s="352"/>
      <c r="BV129" s="352"/>
      <c r="BW129" s="358"/>
      <c r="BX129" s="213"/>
      <c r="BY129" s="213"/>
      <c r="BZ129" s="213"/>
      <c r="CA129" s="216"/>
      <c r="CB129" s="213"/>
      <c r="CC129" s="213"/>
      <c r="CD129" s="213"/>
      <c r="CE129" s="213"/>
      <c r="CF129" s="213"/>
      <c r="CG129" s="213"/>
      <c r="CH129" s="213"/>
      <c r="CI129" s="213"/>
      <c r="CJ129" s="213"/>
      <c r="CK129" s="213"/>
      <c r="CL129" s="213"/>
      <c r="CM129" s="213"/>
      <c r="CN129" s="213"/>
      <c r="CO129" s="213"/>
      <c r="CP129" s="213"/>
      <c r="CQ129" s="213"/>
      <c r="CR129" s="213"/>
      <c r="CS129" s="213"/>
      <c r="CT129" s="213"/>
      <c r="CU129" s="213"/>
    </row>
    <row r="130" ht="15.75" customHeight="1">
      <c r="A130" s="213"/>
      <c r="B130" s="393"/>
      <c r="C130" s="350" t="s">
        <v>398</v>
      </c>
      <c r="D130" s="604"/>
      <c r="E130" s="352"/>
      <c r="F130" s="352"/>
      <c r="G130" s="352"/>
      <c r="H130" s="352"/>
      <c r="I130" s="358"/>
      <c r="J130" s="604"/>
      <c r="K130" s="352"/>
      <c r="L130" s="352"/>
      <c r="M130" s="352"/>
      <c r="N130" s="352"/>
      <c r="O130" s="358"/>
      <c r="P130" s="349"/>
      <c r="Q130" s="352"/>
      <c r="R130" s="352"/>
      <c r="S130" s="352"/>
      <c r="T130" s="352"/>
      <c r="U130" s="358"/>
      <c r="V130" s="604"/>
      <c r="W130" s="352"/>
      <c r="X130" s="352"/>
      <c r="Y130" s="352"/>
      <c r="Z130" s="352"/>
      <c r="AA130" s="358"/>
      <c r="AB130" s="604"/>
      <c r="AC130" s="355">
        <f t="shared" si="260"/>
        <v>0</v>
      </c>
      <c r="AD130" s="357"/>
      <c r="AE130" s="352"/>
      <c r="AF130" s="352"/>
      <c r="AG130" s="358"/>
      <c r="AH130" s="604"/>
      <c r="AI130" s="355">
        <f t="shared" si="262"/>
        <v>0</v>
      </c>
      <c r="AJ130" s="352"/>
      <c r="AK130" s="352"/>
      <c r="AL130" s="352"/>
      <c r="AM130" s="358"/>
      <c r="AN130" s="604"/>
      <c r="AO130" s="355">
        <f t="shared" si="263"/>
        <v>0</v>
      </c>
      <c r="AP130" s="352"/>
      <c r="AQ130" s="352"/>
      <c r="AR130" s="352"/>
      <c r="AS130" s="358"/>
      <c r="AT130" s="604"/>
      <c r="AU130" s="355">
        <f t="shared" si="264"/>
        <v>0</v>
      </c>
      <c r="AV130" s="352"/>
      <c r="AW130" s="352"/>
      <c r="AX130" s="352"/>
      <c r="AY130" s="358"/>
      <c r="AZ130" s="604"/>
      <c r="BA130" s="355">
        <f t="shared" si="265"/>
        <v>0</v>
      </c>
      <c r="BB130" s="352"/>
      <c r="BC130" s="352"/>
      <c r="BD130" s="352"/>
      <c r="BE130" s="358"/>
      <c r="BF130" s="604"/>
      <c r="BG130" s="355">
        <f t="shared" si="266"/>
        <v>0</v>
      </c>
      <c r="BH130" s="352"/>
      <c r="BI130" s="355">
        <f t="shared" si="267"/>
        <v>0</v>
      </c>
      <c r="BJ130" s="352"/>
      <c r="BK130" s="358"/>
      <c r="BL130" s="604"/>
      <c r="BM130" s="355">
        <f t="shared" si="268"/>
        <v>0</v>
      </c>
      <c r="BN130" s="357"/>
      <c r="BO130" s="355">
        <f t="shared" si="269"/>
        <v>0</v>
      </c>
      <c r="BP130" s="352"/>
      <c r="BQ130" s="358"/>
      <c r="BR130" s="604"/>
      <c r="BS130" s="355">
        <f t="shared" si="270"/>
        <v>0</v>
      </c>
      <c r="BT130" s="357"/>
      <c r="BU130" s="352"/>
      <c r="BV130" s="352"/>
      <c r="BW130" s="358"/>
      <c r="BX130" s="213"/>
      <c r="BY130" s="213"/>
      <c r="BZ130" s="213"/>
      <c r="CA130" s="216"/>
      <c r="CB130" s="213"/>
      <c r="CC130" s="213"/>
      <c r="CD130" s="213"/>
      <c r="CE130" s="213"/>
      <c r="CF130" s="213"/>
      <c r="CG130" s="213"/>
      <c r="CH130" s="213"/>
      <c r="CI130" s="213"/>
      <c r="CJ130" s="213"/>
      <c r="CK130" s="213"/>
      <c r="CL130" s="213"/>
      <c r="CM130" s="213"/>
      <c r="CN130" s="213"/>
      <c r="CO130" s="213"/>
      <c r="CP130" s="213"/>
      <c r="CQ130" s="213"/>
      <c r="CR130" s="213"/>
      <c r="CS130" s="213"/>
      <c r="CT130" s="213"/>
      <c r="CU130" s="213"/>
    </row>
    <row r="131" ht="15.75" customHeight="1">
      <c r="A131" s="213"/>
      <c r="B131" s="393"/>
      <c r="C131" s="350"/>
      <c r="D131" s="604"/>
      <c r="E131" s="352"/>
      <c r="F131" s="352"/>
      <c r="G131" s="352"/>
      <c r="H131" s="352"/>
      <c r="I131" s="358"/>
      <c r="J131" s="604"/>
      <c r="K131" s="352"/>
      <c r="L131" s="352"/>
      <c r="M131" s="352"/>
      <c r="N131" s="352"/>
      <c r="O131" s="358"/>
      <c r="P131" s="349"/>
      <c r="Q131" s="352"/>
      <c r="R131" s="352"/>
      <c r="S131" s="352"/>
      <c r="T131" s="352"/>
      <c r="U131" s="358"/>
      <c r="V131" s="604"/>
      <c r="W131" s="352"/>
      <c r="X131" s="352"/>
      <c r="Y131" s="352"/>
      <c r="Z131" s="352"/>
      <c r="AA131" s="358"/>
      <c r="AB131" s="604"/>
      <c r="AC131" s="352"/>
      <c r="AD131" s="357"/>
      <c r="AE131" s="352"/>
      <c r="AF131" s="352"/>
      <c r="AG131" s="358"/>
      <c r="AH131" s="604"/>
      <c r="AI131" s="352"/>
      <c r="AJ131" s="352"/>
      <c r="AK131" s="352"/>
      <c r="AL131" s="352"/>
      <c r="AM131" s="358"/>
      <c r="AN131" s="604"/>
      <c r="AO131" s="352"/>
      <c r="AP131" s="352"/>
      <c r="AQ131" s="352"/>
      <c r="AR131" s="352"/>
      <c r="AS131" s="358"/>
      <c r="AT131" s="604"/>
      <c r="AU131" s="352"/>
      <c r="AV131" s="352"/>
      <c r="AW131" s="352"/>
      <c r="AX131" s="352"/>
      <c r="AY131" s="358"/>
      <c r="AZ131" s="604"/>
      <c r="BA131" s="352"/>
      <c r="BB131" s="352"/>
      <c r="BC131" s="352"/>
      <c r="BD131" s="352"/>
      <c r="BE131" s="358"/>
      <c r="BF131" s="604"/>
      <c r="BG131" s="352"/>
      <c r="BH131" s="352"/>
      <c r="BI131" s="352"/>
      <c r="BJ131" s="352"/>
      <c r="BK131" s="358"/>
      <c r="BL131" s="604"/>
      <c r="BM131" s="352"/>
      <c r="BN131" s="357"/>
      <c r="BO131" s="352"/>
      <c r="BP131" s="352"/>
      <c r="BQ131" s="358"/>
      <c r="BR131" s="604"/>
      <c r="BS131" s="352"/>
      <c r="BT131" s="357"/>
      <c r="BU131" s="352"/>
      <c r="BV131" s="352"/>
      <c r="BW131" s="358"/>
      <c r="BX131" s="213"/>
      <c r="BY131" s="213"/>
      <c r="BZ131" s="213"/>
      <c r="CA131" s="216"/>
      <c r="CB131" s="213"/>
      <c r="CC131" s="213"/>
      <c r="CD131" s="213"/>
      <c r="CE131" s="213"/>
      <c r="CF131" s="213"/>
      <c r="CG131" s="213"/>
      <c r="CH131" s="213"/>
      <c r="CI131" s="213"/>
      <c r="CJ131" s="213"/>
      <c r="CK131" s="213"/>
      <c r="CL131" s="213"/>
      <c r="CM131" s="213"/>
      <c r="CN131" s="213"/>
      <c r="CO131" s="213"/>
      <c r="CP131" s="213"/>
      <c r="CQ131" s="213"/>
      <c r="CR131" s="213"/>
      <c r="CS131" s="213"/>
      <c r="CT131" s="213"/>
      <c r="CU131" s="213"/>
    </row>
    <row r="132" ht="15.75" customHeight="1">
      <c r="A132" s="213"/>
      <c r="B132" s="393"/>
      <c r="C132" s="723" t="s">
        <v>41</v>
      </c>
      <c r="D132" s="604">
        <f>SUM(D133:D146)</f>
        <v>331379</v>
      </c>
      <c r="E132" s="355">
        <f t="shared" ref="E132:E145" si="273">D132/D$33</f>
        <v>0.02667966007</v>
      </c>
      <c r="F132" s="357">
        <f>SUM(F133:F146)</f>
        <v>421563.0833</v>
      </c>
      <c r="G132" s="355">
        <f t="shared" ref="G132:G145" si="274">F132/F$33</f>
        <v>0.03255458673</v>
      </c>
      <c r="H132" s="357">
        <f>SUM(H133:H145)</f>
        <v>-90184.08333</v>
      </c>
      <c r="I132" s="358"/>
      <c r="J132" s="604">
        <f>SUM(J133:J146)</f>
        <v>289173</v>
      </c>
      <c r="K132" s="355">
        <f t="shared" ref="K132:K138" si="275">J132/J$33</f>
        <v>0.02268382619</v>
      </c>
      <c r="L132" s="357">
        <f>SUM(L133:L146)</f>
        <v>421563.0833</v>
      </c>
      <c r="M132" s="355">
        <f t="shared" ref="M132:M138" si="276">L132/L$33</f>
        <v>0.03413438813</v>
      </c>
      <c r="N132" s="352">
        <f>SUM(N133:N145)</f>
        <v>0</v>
      </c>
      <c r="O132" s="358"/>
      <c r="P132" s="604">
        <f>SUM(P133:P146)</f>
        <v>365658</v>
      </c>
      <c r="Q132" s="355">
        <f t="shared" ref="Q132:Q146" si="277">P132/P$33</f>
        <v>0.03236821252</v>
      </c>
      <c r="R132" s="357">
        <f>SUM(R133:R146)</f>
        <v>421563.0833</v>
      </c>
      <c r="S132" s="355">
        <f t="shared" ref="S132:S138" si="278">R132/R$33</f>
        <v>0.03225040009</v>
      </c>
      <c r="T132" s="352">
        <f>SUM(T133:T144)</f>
        <v>0</v>
      </c>
      <c r="U132" s="358"/>
      <c r="V132" s="604">
        <f>SUM(V133:V146)</f>
        <v>338825.6667</v>
      </c>
      <c r="W132" s="355">
        <f t="shared" ref="W132:W146" si="279">V132/V$33</f>
        <v>0.02415846716</v>
      </c>
      <c r="X132" s="357">
        <f>SUM(X133:X144)</f>
        <v>407563.0833</v>
      </c>
      <c r="Y132" s="355">
        <f t="shared" ref="Y132:Y138" si="280">X132/X$33</f>
        <v>0.03003159618</v>
      </c>
      <c r="Z132" s="352">
        <f>SUM(Z133:Z144)</f>
        <v>0</v>
      </c>
      <c r="AA132" s="358"/>
      <c r="AB132" s="604">
        <f>SUM(AB133:AB146)</f>
        <v>272200.3333</v>
      </c>
      <c r="AC132" s="355">
        <f t="shared" ref="AC132:AC138" si="281">AB132/AB$33</f>
        <v>0.01922081464</v>
      </c>
      <c r="AD132" s="357">
        <f>SUM(AD133:AD144)</f>
        <v>407563.0833</v>
      </c>
      <c r="AE132" s="355">
        <f t="shared" ref="AE132:AE138" si="282">AD132/AD$33</f>
        <v>0.0283421349</v>
      </c>
      <c r="AF132" s="352">
        <f>SUM(AF133:AF144)</f>
        <v>0</v>
      </c>
      <c r="AG132" s="358"/>
      <c r="AH132" s="604">
        <f>SUM(AH133:AH146)</f>
        <v>305441.3333</v>
      </c>
      <c r="AI132" s="355">
        <f t="shared" ref="AI132:AI138" si="283">AH132/AH$33</f>
        <v>0.0256008803</v>
      </c>
      <c r="AJ132" s="357">
        <f>SUM(AJ133:AJ144)</f>
        <v>407563.0833</v>
      </c>
      <c r="AK132" s="355">
        <f t="shared" ref="AK132:AK138" si="284">AJ132/AJ$33</f>
        <v>0.02990320025</v>
      </c>
      <c r="AL132" s="352">
        <f>SUM(AL133:AL144)</f>
        <v>0</v>
      </c>
      <c r="AM132" s="358"/>
      <c r="AN132" s="604">
        <f>SUM(AN133:AN144)</f>
        <v>653985.3333</v>
      </c>
      <c r="AO132" s="355">
        <f t="shared" ref="AO132:AO138" si="285">AN132/AN$33</f>
        <v>0.05160219198</v>
      </c>
      <c r="AP132" s="357">
        <f>SUM(AP133:AP144)</f>
        <v>424211.4167</v>
      </c>
      <c r="AQ132" s="355">
        <f t="shared" ref="AQ132:AQ138" si="286">AP132/AP$33</f>
        <v>0.02813643677</v>
      </c>
      <c r="AR132" s="352">
        <f>SUM(AR133:AR144)</f>
        <v>0</v>
      </c>
      <c r="AS132" s="358"/>
      <c r="AT132" s="604">
        <f>SUM(AT133:AT146)</f>
        <v>1004769.333</v>
      </c>
      <c r="AU132" s="355">
        <f t="shared" ref="AU132:AU138" si="287">AT132/AT$33</f>
        <v>0.07884557049</v>
      </c>
      <c r="AV132" s="357">
        <f>SUM(AV133:AV146)</f>
        <v>438211.4167</v>
      </c>
      <c r="AW132" s="355">
        <f t="shared" ref="AW132:AW138" si="288">AV132/AV$33</f>
        <v>0.0282158771</v>
      </c>
      <c r="AX132" s="352">
        <f>SUM(AX133:AX144)</f>
        <v>0</v>
      </c>
      <c r="AY132" s="358"/>
      <c r="AZ132" s="604">
        <f>SUM(AZ133:AZ146)</f>
        <v>911121.3333</v>
      </c>
      <c r="BA132" s="355">
        <f t="shared" ref="BA132:BA138" si="289">AZ132/AZ$33</f>
        <v>0.05088230656</v>
      </c>
      <c r="BB132" s="357">
        <f>SUM(BB133:BB144)</f>
        <v>407563.0833</v>
      </c>
      <c r="BC132" s="355">
        <f t="shared" ref="BC132:BC138" si="290">BB132/BB$33</f>
        <v>0.02436838997</v>
      </c>
      <c r="BD132" s="352">
        <f>SUM(BD133:BD144)</f>
        <v>0</v>
      </c>
      <c r="BE132" s="358"/>
      <c r="BF132" s="604">
        <f>SUM(BF133:BF147)</f>
        <v>495984.3333</v>
      </c>
      <c r="BG132" s="355">
        <f t="shared" ref="BG132:BG146" si="291">BF132/BF$33</f>
        <v>0.02871954824</v>
      </c>
      <c r="BH132" s="604">
        <f>SUM(BH133:BH147)</f>
        <v>421563.0833</v>
      </c>
      <c r="BI132" s="355">
        <f t="shared" ref="BI132:BI138" si="292">BH132/BH$33</f>
        <v>0.02597450321</v>
      </c>
      <c r="BJ132" s="352">
        <f>SUM(BJ133:BJ144)</f>
        <v>0</v>
      </c>
      <c r="BK132" s="358"/>
      <c r="BL132" s="604">
        <f>SUM(BL133:BL146)</f>
        <v>512968.3333</v>
      </c>
      <c r="BM132" s="355">
        <f t="shared" ref="BM132:BM146" si="293">BL132/BL$33</f>
        <v>0.03031236852</v>
      </c>
      <c r="BN132" s="604">
        <f>SUM(BN133:BN146)</f>
        <v>421563.0833</v>
      </c>
      <c r="BO132" s="355">
        <f t="shared" ref="BO132:BO138" si="294">BN132/BN$33</f>
        <v>0.03097822406</v>
      </c>
      <c r="BP132" s="352">
        <f>SUM(BP133:BP144)</f>
        <v>0</v>
      </c>
      <c r="BQ132" s="358"/>
      <c r="BR132" s="604">
        <f>SUM(BR133:BR155)</f>
        <v>723869.1433</v>
      </c>
      <c r="BS132" s="726">
        <f t="shared" ref="BS132:BS146" si="295">BR132/BR$33</f>
        <v>0.04874008547</v>
      </c>
      <c r="BT132" s="660">
        <f>SUM(BT133:BT144)</f>
        <v>407563.0833</v>
      </c>
      <c r="BU132" s="726">
        <f t="shared" ref="BU132:BU138" si="296">BT132/BT$33</f>
        <v>0.02736119839</v>
      </c>
      <c r="BV132" s="658">
        <f>SUM(BV133:BV144)</f>
        <v>0</v>
      </c>
      <c r="BW132" s="656"/>
      <c r="BX132" s="718">
        <f>D132+J132+P132+V132+AB132+AH132+AN132+AT132+AZ132+BF132+BL132+BR132</f>
        <v>6205375.143</v>
      </c>
      <c r="BY132" s="216"/>
      <c r="BZ132" s="216"/>
      <c r="CA132" s="216"/>
      <c r="CB132" s="216"/>
      <c r="CC132" s="216"/>
      <c r="CD132" s="216"/>
      <c r="CE132" s="216"/>
      <c r="CF132" s="216"/>
      <c r="CG132" s="216"/>
      <c r="CH132" s="216"/>
      <c r="CI132" s="216"/>
      <c r="CJ132" s="216"/>
      <c r="CK132" s="216"/>
      <c r="CL132" s="216"/>
      <c r="CM132" s="216"/>
      <c r="CN132" s="216"/>
      <c r="CO132" s="216"/>
      <c r="CP132" s="216"/>
      <c r="CQ132" s="216"/>
      <c r="CR132" s="216"/>
      <c r="CS132" s="216"/>
      <c r="CT132" s="216"/>
      <c r="CU132" s="216"/>
    </row>
    <row r="133" ht="15.75" customHeight="1">
      <c r="A133" s="213"/>
      <c r="B133" s="393"/>
      <c r="C133" s="350" t="s">
        <v>277</v>
      </c>
      <c r="D133" s="604"/>
      <c r="E133" s="355">
        <f t="shared" si="273"/>
        <v>0</v>
      </c>
      <c r="F133" s="357"/>
      <c r="G133" s="355">
        <f t="shared" si="274"/>
        <v>0</v>
      </c>
      <c r="H133" s="357">
        <f t="shared" ref="H133:H138" si="297">D133-F133</f>
        <v>0</v>
      </c>
      <c r="I133" s="395" t="str">
        <f t="shared" ref="I133:I138" si="298">H133/F133</f>
        <v>#DIV/0!</v>
      </c>
      <c r="J133" s="604"/>
      <c r="K133" s="355">
        <f t="shared" si="275"/>
        <v>0</v>
      </c>
      <c r="L133" s="357" t="str">
        <f t="shared" ref="L133:L138" si="299">$F133</f>
        <v/>
      </c>
      <c r="M133" s="355">
        <f t="shared" si="276"/>
        <v>0</v>
      </c>
      <c r="N133" s="352"/>
      <c r="O133" s="358"/>
      <c r="P133" s="349"/>
      <c r="Q133" s="355">
        <f t="shared" si="277"/>
        <v>0</v>
      </c>
      <c r="R133" s="357" t="str">
        <f t="shared" ref="R133:R138" si="300">$F133</f>
        <v/>
      </c>
      <c r="S133" s="355">
        <f t="shared" si="278"/>
        <v>0</v>
      </c>
      <c r="T133" s="352"/>
      <c r="U133" s="358"/>
      <c r="V133" s="628">
        <v>4444.0</v>
      </c>
      <c r="W133" s="355">
        <f t="shared" si="279"/>
        <v>0.0003168597855</v>
      </c>
      <c r="X133" s="357" t="str">
        <f t="shared" ref="X133:X138" si="301">$F133</f>
        <v/>
      </c>
      <c r="Y133" s="355">
        <f t="shared" si="280"/>
        <v>0</v>
      </c>
      <c r="Z133" s="352"/>
      <c r="AA133" s="358"/>
      <c r="AB133" s="604"/>
      <c r="AC133" s="355">
        <f t="shared" si="281"/>
        <v>0</v>
      </c>
      <c r="AD133" s="357" t="str">
        <f t="shared" ref="AD133:AD138" si="302">$F133</f>
        <v/>
      </c>
      <c r="AE133" s="355">
        <f t="shared" si="282"/>
        <v>0</v>
      </c>
      <c r="AF133" s="352"/>
      <c r="AG133" s="358"/>
      <c r="AH133" s="628">
        <v>2382.0</v>
      </c>
      <c r="AI133" s="355">
        <f t="shared" si="283"/>
        <v>0.0001996497861</v>
      </c>
      <c r="AJ133" s="357" t="str">
        <f t="shared" ref="AJ133:AJ138" si="303">$F133</f>
        <v/>
      </c>
      <c r="AK133" s="355">
        <f t="shared" si="284"/>
        <v>0</v>
      </c>
      <c r="AL133" s="352"/>
      <c r="AM133" s="358"/>
      <c r="AN133" s="604"/>
      <c r="AO133" s="355">
        <f t="shared" si="285"/>
        <v>0</v>
      </c>
      <c r="AP133" s="357" t="str">
        <f t="shared" ref="AP133:AP138" si="304">$F133</f>
        <v/>
      </c>
      <c r="AQ133" s="355">
        <f t="shared" si="286"/>
        <v>0</v>
      </c>
      <c r="AR133" s="352"/>
      <c r="AS133" s="358"/>
      <c r="AT133" s="628">
        <v>9539.0</v>
      </c>
      <c r="AU133" s="355">
        <f t="shared" si="287"/>
        <v>0.0007485378703</v>
      </c>
      <c r="AV133" s="357" t="str">
        <f t="shared" ref="AV133:AV138" si="305">$F133</f>
        <v/>
      </c>
      <c r="AW133" s="355">
        <f t="shared" si="288"/>
        <v>0</v>
      </c>
      <c r="AX133" s="352"/>
      <c r="AY133" s="358"/>
      <c r="AZ133" s="604"/>
      <c r="BA133" s="355">
        <f t="shared" si="289"/>
        <v>0</v>
      </c>
      <c r="BB133" s="357" t="str">
        <f t="shared" ref="BB133:BB138" si="306">$F133</f>
        <v/>
      </c>
      <c r="BC133" s="355">
        <f t="shared" si="290"/>
        <v>0</v>
      </c>
      <c r="BD133" s="352"/>
      <c r="BE133" s="358"/>
      <c r="BF133" s="604"/>
      <c r="BG133" s="355">
        <f t="shared" si="291"/>
        <v>0</v>
      </c>
      <c r="BH133" s="357" t="str">
        <f t="shared" ref="BH133:BH138" si="307">$F133</f>
        <v/>
      </c>
      <c r="BI133" s="355">
        <f t="shared" si="292"/>
        <v>0</v>
      </c>
      <c r="BJ133" s="352"/>
      <c r="BK133" s="358"/>
      <c r="BL133" s="628">
        <v>119927.0</v>
      </c>
      <c r="BM133" s="355">
        <f t="shared" si="293"/>
        <v>0.007086736516</v>
      </c>
      <c r="BN133" s="357" t="str">
        <f t="shared" ref="BN133:BN138" si="308">$F133</f>
        <v/>
      </c>
      <c r="BO133" s="355">
        <f t="shared" si="294"/>
        <v>0</v>
      </c>
      <c r="BP133" s="352"/>
      <c r="BQ133" s="358"/>
      <c r="BR133" s="739">
        <v>59877.0</v>
      </c>
      <c r="BS133" s="355">
        <f t="shared" si="295"/>
        <v>0.004031681865</v>
      </c>
      <c r="BT133" s="357" t="str">
        <f t="shared" ref="BT133:BT138" si="309">$F133</f>
        <v/>
      </c>
      <c r="BU133" s="355">
        <f t="shared" si="296"/>
        <v>0</v>
      </c>
      <c r="BV133" s="352"/>
      <c r="BW133" s="358"/>
      <c r="BX133" s="213"/>
      <c r="BY133" s="213"/>
      <c r="BZ133" s="216"/>
      <c r="CA133" s="216"/>
      <c r="CB133" s="213"/>
      <c r="CC133" s="213"/>
      <c r="CD133" s="213"/>
      <c r="CE133" s="213"/>
      <c r="CF133" s="213"/>
      <c r="CG133" s="213"/>
      <c r="CH133" s="213"/>
      <c r="CI133" s="213"/>
      <c r="CJ133" s="213"/>
      <c r="CK133" s="213"/>
      <c r="CL133" s="213"/>
      <c r="CM133" s="213"/>
      <c r="CN133" s="213"/>
      <c r="CO133" s="213"/>
      <c r="CP133" s="213"/>
      <c r="CQ133" s="213"/>
      <c r="CR133" s="213"/>
      <c r="CS133" s="213"/>
      <c r="CT133" s="213"/>
      <c r="CU133" s="213"/>
    </row>
    <row r="134" ht="15.75" customHeight="1">
      <c r="A134" s="213"/>
      <c r="B134" s="393"/>
      <c r="C134" s="350" t="s">
        <v>278</v>
      </c>
      <c r="D134" s="604">
        <v>1745.0</v>
      </c>
      <c r="E134" s="355">
        <f t="shared" si="273"/>
        <v>0.0001404917234</v>
      </c>
      <c r="F134" s="357">
        <v>1250.0</v>
      </c>
      <c r="G134" s="355">
        <f t="shared" si="274"/>
        <v>0.00009652940453</v>
      </c>
      <c r="H134" s="357">
        <f t="shared" si="297"/>
        <v>495</v>
      </c>
      <c r="I134" s="395">
        <f t="shared" si="298"/>
        <v>0.396</v>
      </c>
      <c r="J134" s="604">
        <v>2330.0</v>
      </c>
      <c r="K134" s="355">
        <f t="shared" si="275"/>
        <v>0.0001827740315</v>
      </c>
      <c r="L134" s="357">
        <f t="shared" si="299"/>
        <v>1250</v>
      </c>
      <c r="M134" s="355">
        <f t="shared" si="276"/>
        <v>0.000101213761</v>
      </c>
      <c r="N134" s="352"/>
      <c r="O134" s="358"/>
      <c r="P134" s="349">
        <v>460.0</v>
      </c>
      <c r="Q134" s="355">
        <f t="shared" si="277"/>
        <v>0.00004071940928</v>
      </c>
      <c r="R134" s="357">
        <f t="shared" si="300"/>
        <v>1250</v>
      </c>
      <c r="S134" s="355">
        <f t="shared" si="278"/>
        <v>0.00009562744392</v>
      </c>
      <c r="T134" s="352"/>
      <c r="U134" s="358"/>
      <c r="V134" s="604">
        <v>820.0</v>
      </c>
      <c r="W134" s="355">
        <f t="shared" si="279"/>
        <v>0.00005846647707</v>
      </c>
      <c r="X134" s="357">
        <f t="shared" si="301"/>
        <v>1250</v>
      </c>
      <c r="Y134" s="355">
        <f t="shared" si="280"/>
        <v>0.00009210720197</v>
      </c>
      <c r="Z134" s="352"/>
      <c r="AA134" s="358"/>
      <c r="AB134" s="604">
        <v>1330.0</v>
      </c>
      <c r="AC134" s="355">
        <f t="shared" si="281"/>
        <v>0.00009391496022</v>
      </c>
      <c r="AD134" s="357">
        <f t="shared" si="302"/>
        <v>1250</v>
      </c>
      <c r="AE134" s="355">
        <f t="shared" si="282"/>
        <v>0.00008692560754</v>
      </c>
      <c r="AF134" s="352"/>
      <c r="AG134" s="358"/>
      <c r="AH134" s="604">
        <v>780.0</v>
      </c>
      <c r="AI134" s="355">
        <f t="shared" si="283"/>
        <v>0.00006537650427</v>
      </c>
      <c r="AJ134" s="357">
        <f t="shared" si="303"/>
        <v>1250</v>
      </c>
      <c r="AK134" s="355">
        <f t="shared" si="284"/>
        <v>0.00009171341037</v>
      </c>
      <c r="AL134" s="352"/>
      <c r="AM134" s="358"/>
      <c r="AN134" s="604">
        <v>1030.0</v>
      </c>
      <c r="AO134" s="355">
        <f t="shared" si="285"/>
        <v>0.00008127132984</v>
      </c>
      <c r="AP134" s="357">
        <f t="shared" si="304"/>
        <v>1250</v>
      </c>
      <c r="AQ134" s="355">
        <f t="shared" si="286"/>
        <v>0.00008290806088</v>
      </c>
      <c r="AR134" s="352"/>
      <c r="AS134" s="358"/>
      <c r="AT134" s="604">
        <v>460.0</v>
      </c>
      <c r="AU134" s="355">
        <f t="shared" si="287"/>
        <v>0.00003609680473</v>
      </c>
      <c r="AV134" s="357">
        <f t="shared" si="305"/>
        <v>1250</v>
      </c>
      <c r="AW134" s="355">
        <f t="shared" si="288"/>
        <v>0.00008048591396</v>
      </c>
      <c r="AX134" s="352"/>
      <c r="AY134" s="358"/>
      <c r="AZ134" s="604">
        <v>1090.0</v>
      </c>
      <c r="BA134" s="355">
        <f t="shared" si="289"/>
        <v>0.00006087193014</v>
      </c>
      <c r="BB134" s="357">
        <f t="shared" si="306"/>
        <v>1250</v>
      </c>
      <c r="BC134" s="355">
        <f t="shared" si="290"/>
        <v>0.0000747380926</v>
      </c>
      <c r="BD134" s="352"/>
      <c r="BE134" s="358"/>
      <c r="BF134" s="604">
        <v>2290.0</v>
      </c>
      <c r="BG134" s="355">
        <f t="shared" si="291"/>
        <v>0.0001326004897</v>
      </c>
      <c r="BH134" s="357">
        <f t="shared" si="307"/>
        <v>1250</v>
      </c>
      <c r="BI134" s="355">
        <f t="shared" si="292"/>
        <v>0.00007701843519</v>
      </c>
      <c r="BJ134" s="352"/>
      <c r="BK134" s="358"/>
      <c r="BL134" s="604">
        <v>1205.0</v>
      </c>
      <c r="BM134" s="355">
        <f t="shared" si="293"/>
        <v>0.00007120596281</v>
      </c>
      <c r="BN134" s="357">
        <f t="shared" si="308"/>
        <v>1250</v>
      </c>
      <c r="BO134" s="355">
        <f t="shared" si="294"/>
        <v>0.00009185524446</v>
      </c>
      <c r="BP134" s="352"/>
      <c r="BQ134" s="358"/>
      <c r="BR134" s="604">
        <v>1640.0</v>
      </c>
      <c r="BS134" s="355">
        <f t="shared" si="295"/>
        <v>0.0001104256769</v>
      </c>
      <c r="BT134" s="357">
        <f t="shared" si="309"/>
        <v>1250</v>
      </c>
      <c r="BU134" s="355">
        <f t="shared" si="296"/>
        <v>0.00008391706558</v>
      </c>
      <c r="BV134" s="352"/>
      <c r="BW134" s="358"/>
      <c r="BX134" s="213"/>
      <c r="BY134" s="213"/>
      <c r="BZ134" s="216"/>
      <c r="CA134" s="216"/>
      <c r="CB134" s="213"/>
      <c r="CC134" s="213"/>
      <c r="CD134" s="213"/>
      <c r="CE134" s="213"/>
      <c r="CF134" s="213"/>
      <c r="CG134" s="213"/>
      <c r="CH134" s="213"/>
      <c r="CI134" s="213"/>
      <c r="CJ134" s="213"/>
      <c r="CK134" s="213"/>
      <c r="CL134" s="213"/>
      <c r="CM134" s="213"/>
      <c r="CN134" s="213"/>
      <c r="CO134" s="213"/>
      <c r="CP134" s="213"/>
      <c r="CQ134" s="213"/>
      <c r="CR134" s="213"/>
      <c r="CS134" s="213"/>
      <c r="CT134" s="213"/>
      <c r="CU134" s="213"/>
    </row>
    <row r="135" ht="15.75" customHeight="1">
      <c r="A135" s="213"/>
      <c r="B135" s="393"/>
      <c r="C135" s="350" t="s">
        <v>280</v>
      </c>
      <c r="D135" s="604">
        <f>3000+86402+(48067/12)</f>
        <v>93407.58333</v>
      </c>
      <c r="E135" s="355">
        <f t="shared" si="273"/>
        <v>0.007520339465</v>
      </c>
      <c r="F135" s="357">
        <f>850000*1.1/12</f>
        <v>77916.66667</v>
      </c>
      <c r="G135" s="355">
        <f t="shared" si="274"/>
        <v>0.006016999549</v>
      </c>
      <c r="H135" s="357">
        <f t="shared" si="297"/>
        <v>15490.91667</v>
      </c>
      <c r="I135" s="395">
        <f t="shared" si="298"/>
        <v>0.1988139037</v>
      </c>
      <c r="J135" s="604">
        <f>86402+(48067/12)</f>
        <v>90407.58333</v>
      </c>
      <c r="K135" s="355">
        <f t="shared" si="275"/>
        <v>0.007091913513</v>
      </c>
      <c r="L135" s="357">
        <f t="shared" si="299"/>
        <v>77916.66667</v>
      </c>
      <c r="M135" s="355">
        <f t="shared" si="276"/>
        <v>0.006308991103</v>
      </c>
      <c r="N135" s="352"/>
      <c r="O135" s="358"/>
      <c r="P135" s="604">
        <f>86402+(48067/12)</f>
        <v>90407.58333</v>
      </c>
      <c r="Q135" s="355">
        <f t="shared" si="277"/>
        <v>0.008002920408</v>
      </c>
      <c r="R135" s="357">
        <f t="shared" si="300"/>
        <v>77916.66667</v>
      </c>
      <c r="S135" s="355">
        <f t="shared" si="278"/>
        <v>0.005960777338</v>
      </c>
      <c r="T135" s="352"/>
      <c r="U135" s="358"/>
      <c r="V135" s="604">
        <f>86402+(48067/12)</f>
        <v>90407.58333</v>
      </c>
      <c r="W135" s="355">
        <f t="shared" si="279"/>
        <v>0.00644611329</v>
      </c>
      <c r="X135" s="357">
        <f t="shared" si="301"/>
        <v>77916.66667</v>
      </c>
      <c r="Y135" s="355">
        <f t="shared" si="280"/>
        <v>0.005741348923</v>
      </c>
      <c r="Z135" s="352"/>
      <c r="AA135" s="358"/>
      <c r="AB135" s="604">
        <f>86402+(48067/12)</f>
        <v>90407.58333</v>
      </c>
      <c r="AC135" s="355">
        <f t="shared" si="281"/>
        <v>0.006383928265</v>
      </c>
      <c r="AD135" s="357">
        <f t="shared" si="302"/>
        <v>77916.66667</v>
      </c>
      <c r="AE135" s="355">
        <f t="shared" si="282"/>
        <v>0.00541836287</v>
      </c>
      <c r="AF135" s="352"/>
      <c r="AG135" s="358"/>
      <c r="AH135" s="604">
        <f>86402+(48067/12)</f>
        <v>90407.58333</v>
      </c>
      <c r="AI135" s="355">
        <f t="shared" si="283"/>
        <v>0.007577604818</v>
      </c>
      <c r="AJ135" s="357">
        <f t="shared" si="303"/>
        <v>77916.66667</v>
      </c>
      <c r="AK135" s="355">
        <f t="shared" si="284"/>
        <v>0.00571680258</v>
      </c>
      <c r="AL135" s="352"/>
      <c r="AM135" s="358"/>
      <c r="AN135" s="604">
        <f>86402+(48067/12)</f>
        <v>90407.58333</v>
      </c>
      <c r="AO135" s="355">
        <f t="shared" si="285"/>
        <v>0.007133538374</v>
      </c>
      <c r="AP135" s="357">
        <f t="shared" si="304"/>
        <v>77916.66667</v>
      </c>
      <c r="AQ135" s="355">
        <f t="shared" si="286"/>
        <v>0.005167935795</v>
      </c>
      <c r="AR135" s="352"/>
      <c r="AS135" s="358"/>
      <c r="AT135" s="604">
        <f>86402+(48067/12)+3500+2000</f>
        <v>95907.58333</v>
      </c>
      <c r="AU135" s="355">
        <f t="shared" si="287"/>
        <v>0.007525994147</v>
      </c>
      <c r="AV135" s="357">
        <f t="shared" si="305"/>
        <v>77916.66667</v>
      </c>
      <c r="AW135" s="355">
        <f t="shared" si="288"/>
        <v>0.005016955304</v>
      </c>
      <c r="AX135" s="352"/>
      <c r="AY135" s="358"/>
      <c r="AZ135" s="604">
        <f>86402+(48067/12)</f>
        <v>90407.58333</v>
      </c>
      <c r="BA135" s="355">
        <f t="shared" si="289"/>
        <v>0.005048884493</v>
      </c>
      <c r="BB135" s="357">
        <f t="shared" si="306"/>
        <v>77916.66667</v>
      </c>
      <c r="BC135" s="355">
        <f t="shared" si="290"/>
        <v>0.004658674439</v>
      </c>
      <c r="BD135" s="352"/>
      <c r="BE135" s="358"/>
      <c r="BF135" s="604">
        <f>86402+(48067/12)</f>
        <v>90407.58333</v>
      </c>
      <c r="BG135" s="355">
        <f t="shared" si="291"/>
        <v>0.005234973721</v>
      </c>
      <c r="BH135" s="357">
        <f t="shared" si="307"/>
        <v>77916.66667</v>
      </c>
      <c r="BI135" s="355">
        <f t="shared" si="292"/>
        <v>0.004800815793</v>
      </c>
      <c r="BJ135" s="352"/>
      <c r="BK135" s="358"/>
      <c r="BL135" s="604">
        <f>86402+(48067/12)</f>
        <v>90407.58333</v>
      </c>
      <c r="BM135" s="355">
        <f t="shared" si="293"/>
        <v>0.005342372628</v>
      </c>
      <c r="BN135" s="357">
        <f t="shared" si="308"/>
        <v>77916.66667</v>
      </c>
      <c r="BO135" s="355">
        <f t="shared" si="294"/>
        <v>0.005725643571</v>
      </c>
      <c r="BP135" s="352"/>
      <c r="BQ135" s="358"/>
      <c r="BR135" s="604">
        <f>86402+(48067/12)+3000</f>
        <v>93407.58333</v>
      </c>
      <c r="BS135" s="355">
        <f t="shared" si="295"/>
        <v>0.006289387574</v>
      </c>
      <c r="BT135" s="357">
        <f t="shared" si="309"/>
        <v>77916.66667</v>
      </c>
      <c r="BU135" s="355">
        <f t="shared" si="296"/>
        <v>0.005230830421</v>
      </c>
      <c r="BV135" s="352"/>
      <c r="BW135" s="358"/>
      <c r="BX135" s="213"/>
      <c r="BY135" s="213"/>
      <c r="BZ135" s="213"/>
      <c r="CA135" s="213"/>
      <c r="CB135" s="213"/>
      <c r="CC135" s="213"/>
      <c r="CD135" s="213"/>
      <c r="CE135" s="213"/>
      <c r="CF135" s="213"/>
      <c r="CG135" s="213"/>
      <c r="CH135" s="213"/>
      <c r="CI135" s="213"/>
      <c r="CJ135" s="213"/>
      <c r="CK135" s="213"/>
      <c r="CL135" s="213"/>
      <c r="CM135" s="213"/>
      <c r="CN135" s="213"/>
      <c r="CO135" s="213"/>
      <c r="CP135" s="213"/>
      <c r="CQ135" s="213"/>
      <c r="CR135" s="213"/>
      <c r="CS135" s="213"/>
      <c r="CT135" s="213"/>
      <c r="CU135" s="213"/>
    </row>
    <row r="136" ht="15.75" customHeight="1">
      <c r="A136" s="213"/>
      <c r="B136" s="393"/>
      <c r="C136" s="350" t="s">
        <v>399</v>
      </c>
      <c r="D136" s="604">
        <f>14000+8333+5000</f>
        <v>27333</v>
      </c>
      <c r="E136" s="355">
        <f t="shared" si="273"/>
        <v>0.002200607609</v>
      </c>
      <c r="F136" s="357">
        <f>14000+8333+5000</f>
        <v>27333</v>
      </c>
      <c r="G136" s="355">
        <f t="shared" si="274"/>
        <v>0.002110750571</v>
      </c>
      <c r="H136" s="357">
        <f t="shared" si="297"/>
        <v>0</v>
      </c>
      <c r="I136" s="395">
        <f t="shared" si="298"/>
        <v>0</v>
      </c>
      <c r="J136" s="604">
        <f>14000+8333+5000</f>
        <v>27333</v>
      </c>
      <c r="K136" s="355">
        <f t="shared" si="275"/>
        <v>0.002144104122</v>
      </c>
      <c r="L136" s="357">
        <f t="shared" si="299"/>
        <v>27333</v>
      </c>
      <c r="M136" s="355">
        <f t="shared" si="276"/>
        <v>0.002213180584</v>
      </c>
      <c r="N136" s="352"/>
      <c r="O136" s="358"/>
      <c r="P136" s="349">
        <f>14000+8333+5000</f>
        <v>27333</v>
      </c>
      <c r="Q136" s="355">
        <f t="shared" si="277"/>
        <v>0.002419529595</v>
      </c>
      <c r="R136" s="357">
        <f t="shared" si="300"/>
        <v>27333</v>
      </c>
      <c r="S136" s="355">
        <f t="shared" si="278"/>
        <v>0.00209102794</v>
      </c>
      <c r="T136" s="352"/>
      <c r="U136" s="358"/>
      <c r="V136" s="604">
        <f>14000+8333+5000</f>
        <v>27333</v>
      </c>
      <c r="W136" s="355">
        <f t="shared" si="279"/>
        <v>0.001948858802</v>
      </c>
      <c r="X136" s="357">
        <f t="shared" si="301"/>
        <v>27333</v>
      </c>
      <c r="Y136" s="355">
        <f t="shared" si="280"/>
        <v>0.002014052921</v>
      </c>
      <c r="Z136" s="352"/>
      <c r="AA136" s="358"/>
      <c r="AB136" s="604">
        <f>14000+8333+5000</f>
        <v>27333</v>
      </c>
      <c r="AC136" s="355">
        <f t="shared" si="281"/>
        <v>0.001930058352</v>
      </c>
      <c r="AD136" s="357">
        <f t="shared" si="302"/>
        <v>27333</v>
      </c>
      <c r="AE136" s="355">
        <f t="shared" si="282"/>
        <v>0.001900750105</v>
      </c>
      <c r="AF136" s="352"/>
      <c r="AG136" s="358"/>
      <c r="AH136" s="604">
        <f>14000+8333+5000</f>
        <v>27333</v>
      </c>
      <c r="AI136" s="355">
        <f t="shared" si="283"/>
        <v>0.002290943578</v>
      </c>
      <c r="AJ136" s="357">
        <f t="shared" si="303"/>
        <v>27333</v>
      </c>
      <c r="AK136" s="355">
        <f t="shared" si="284"/>
        <v>0.002005442117</v>
      </c>
      <c r="AL136" s="352"/>
      <c r="AM136" s="358"/>
      <c r="AN136" s="604">
        <f>14000+8333+5000</f>
        <v>27333</v>
      </c>
      <c r="AO136" s="355">
        <f t="shared" si="285"/>
        <v>0.002156688601</v>
      </c>
      <c r="AP136" s="357">
        <f t="shared" si="304"/>
        <v>27333</v>
      </c>
      <c r="AQ136" s="355">
        <f t="shared" si="286"/>
        <v>0.001812900822</v>
      </c>
      <c r="AR136" s="352"/>
      <c r="AS136" s="358"/>
      <c r="AT136" s="604">
        <f>14000+8333+5000</f>
        <v>27333</v>
      </c>
      <c r="AU136" s="355">
        <f t="shared" si="287"/>
        <v>0.002144856443</v>
      </c>
      <c r="AV136" s="357">
        <f t="shared" si="305"/>
        <v>27333</v>
      </c>
      <c r="AW136" s="355">
        <f t="shared" si="288"/>
        <v>0.001759937189</v>
      </c>
      <c r="AX136" s="352"/>
      <c r="AY136" s="358"/>
      <c r="AZ136" s="604">
        <f>14000+8333+5000</f>
        <v>27333</v>
      </c>
      <c r="BA136" s="355">
        <f t="shared" si="289"/>
        <v>0.001526433456</v>
      </c>
      <c r="BB136" s="357">
        <f t="shared" si="306"/>
        <v>27333</v>
      </c>
      <c r="BC136" s="355">
        <f t="shared" si="290"/>
        <v>0.001634253028</v>
      </c>
      <c r="BD136" s="352"/>
      <c r="BE136" s="358"/>
      <c r="BF136" s="604">
        <v>27333.0</v>
      </c>
      <c r="BG136" s="355">
        <f t="shared" si="291"/>
        <v>0.001582693967</v>
      </c>
      <c r="BH136" s="357">
        <f t="shared" si="307"/>
        <v>27333</v>
      </c>
      <c r="BI136" s="355">
        <f t="shared" si="292"/>
        <v>0.001684115911</v>
      </c>
      <c r="BJ136" s="352"/>
      <c r="BK136" s="358"/>
      <c r="BL136" s="628">
        <v>27333.0</v>
      </c>
      <c r="BM136" s="355">
        <f t="shared" si="293"/>
        <v>0.001615163968</v>
      </c>
      <c r="BN136" s="357">
        <f t="shared" si="308"/>
        <v>27333</v>
      </c>
      <c r="BO136" s="355">
        <f t="shared" si="294"/>
        <v>0.002008543518</v>
      </c>
      <c r="BP136" s="352"/>
      <c r="BQ136" s="358"/>
      <c r="BR136" s="628">
        <v>27333.0</v>
      </c>
      <c r="BS136" s="355">
        <f t="shared" si="295"/>
        <v>0.001840405505</v>
      </c>
      <c r="BT136" s="357">
        <f t="shared" si="309"/>
        <v>27333</v>
      </c>
      <c r="BU136" s="355">
        <f t="shared" si="296"/>
        <v>0.001834964123</v>
      </c>
      <c r="BV136" s="352"/>
      <c r="BW136" s="358"/>
      <c r="BX136" s="213"/>
      <c r="BY136" s="213"/>
      <c r="BZ136" s="213"/>
      <c r="CA136" s="213"/>
      <c r="CB136" s="213"/>
      <c r="CC136" s="213"/>
      <c r="CD136" s="213"/>
      <c r="CE136" s="213"/>
      <c r="CF136" s="213"/>
      <c r="CG136" s="213"/>
      <c r="CH136" s="213"/>
      <c r="CI136" s="213"/>
      <c r="CJ136" s="213"/>
      <c r="CK136" s="213"/>
      <c r="CL136" s="213"/>
      <c r="CM136" s="213"/>
      <c r="CN136" s="213"/>
      <c r="CO136" s="213"/>
      <c r="CP136" s="213"/>
      <c r="CQ136" s="213"/>
      <c r="CR136" s="213"/>
      <c r="CS136" s="213"/>
      <c r="CT136" s="213"/>
      <c r="CU136" s="213"/>
    </row>
    <row r="137" ht="15.75" customHeight="1">
      <c r="A137" s="213"/>
      <c r="B137" s="393"/>
      <c r="C137" s="350" t="s">
        <v>335</v>
      </c>
      <c r="D137" s="604"/>
      <c r="E137" s="355">
        <f t="shared" si="273"/>
        <v>0</v>
      </c>
      <c r="F137" s="357"/>
      <c r="G137" s="355">
        <f t="shared" si="274"/>
        <v>0</v>
      </c>
      <c r="H137" s="357">
        <f t="shared" si="297"/>
        <v>0</v>
      </c>
      <c r="I137" s="395" t="str">
        <f t="shared" si="298"/>
        <v>#DIV/0!</v>
      </c>
      <c r="J137" s="604"/>
      <c r="K137" s="355">
        <f t="shared" si="275"/>
        <v>0</v>
      </c>
      <c r="L137" s="357" t="str">
        <f t="shared" si="299"/>
        <v/>
      </c>
      <c r="M137" s="355">
        <f t="shared" si="276"/>
        <v>0</v>
      </c>
      <c r="N137" s="352"/>
      <c r="O137" s="358"/>
      <c r="P137" s="349"/>
      <c r="Q137" s="355">
        <f t="shared" si="277"/>
        <v>0</v>
      </c>
      <c r="R137" s="357" t="str">
        <f t="shared" si="300"/>
        <v/>
      </c>
      <c r="S137" s="355">
        <f t="shared" si="278"/>
        <v>0</v>
      </c>
      <c r="T137" s="352"/>
      <c r="U137" s="358"/>
      <c r="V137" s="604"/>
      <c r="W137" s="355">
        <f t="shared" si="279"/>
        <v>0</v>
      </c>
      <c r="X137" s="357" t="str">
        <f t="shared" si="301"/>
        <v/>
      </c>
      <c r="Y137" s="355">
        <f t="shared" si="280"/>
        <v>0</v>
      </c>
      <c r="Z137" s="352"/>
      <c r="AA137" s="358"/>
      <c r="AB137" s="604"/>
      <c r="AC137" s="355">
        <f t="shared" si="281"/>
        <v>0</v>
      </c>
      <c r="AD137" s="357" t="str">
        <f t="shared" si="302"/>
        <v/>
      </c>
      <c r="AE137" s="355">
        <f t="shared" si="282"/>
        <v>0</v>
      </c>
      <c r="AF137" s="352"/>
      <c r="AG137" s="358"/>
      <c r="AH137" s="604"/>
      <c r="AI137" s="355">
        <f t="shared" si="283"/>
        <v>0</v>
      </c>
      <c r="AJ137" s="357" t="str">
        <f t="shared" si="303"/>
        <v/>
      </c>
      <c r="AK137" s="355">
        <f t="shared" si="284"/>
        <v>0</v>
      </c>
      <c r="AL137" s="352"/>
      <c r="AM137" s="358"/>
      <c r="AN137" s="604"/>
      <c r="AO137" s="355">
        <f t="shared" si="285"/>
        <v>0</v>
      </c>
      <c r="AP137" s="357" t="str">
        <f t="shared" si="304"/>
        <v/>
      </c>
      <c r="AQ137" s="355">
        <f t="shared" si="286"/>
        <v>0</v>
      </c>
      <c r="AR137" s="352"/>
      <c r="AS137" s="358"/>
      <c r="AT137" s="604"/>
      <c r="AU137" s="355">
        <f t="shared" si="287"/>
        <v>0</v>
      </c>
      <c r="AV137" s="357" t="str">
        <f t="shared" si="305"/>
        <v/>
      </c>
      <c r="AW137" s="355">
        <f t="shared" si="288"/>
        <v>0</v>
      </c>
      <c r="AX137" s="352"/>
      <c r="AY137" s="358"/>
      <c r="AZ137" s="604"/>
      <c r="BA137" s="355">
        <f t="shared" si="289"/>
        <v>0</v>
      </c>
      <c r="BB137" s="357" t="str">
        <f t="shared" si="306"/>
        <v/>
      </c>
      <c r="BC137" s="355">
        <f t="shared" si="290"/>
        <v>0</v>
      </c>
      <c r="BD137" s="352"/>
      <c r="BE137" s="358"/>
      <c r="BF137" s="604"/>
      <c r="BG137" s="355">
        <f t="shared" si="291"/>
        <v>0</v>
      </c>
      <c r="BH137" s="357" t="str">
        <f t="shared" si="307"/>
        <v/>
      </c>
      <c r="BI137" s="355">
        <f t="shared" si="292"/>
        <v>0</v>
      </c>
      <c r="BJ137" s="352"/>
      <c r="BK137" s="358"/>
      <c r="BL137" s="604"/>
      <c r="BM137" s="355">
        <f t="shared" si="293"/>
        <v>0</v>
      </c>
      <c r="BN137" s="357" t="str">
        <f t="shared" si="308"/>
        <v/>
      </c>
      <c r="BO137" s="355">
        <f t="shared" si="294"/>
        <v>0</v>
      </c>
      <c r="BP137" s="352"/>
      <c r="BQ137" s="358"/>
      <c r="BR137" s="604"/>
      <c r="BS137" s="355">
        <f t="shared" si="295"/>
        <v>0</v>
      </c>
      <c r="BT137" s="357" t="str">
        <f t="shared" si="309"/>
        <v/>
      </c>
      <c r="BU137" s="355">
        <f t="shared" si="296"/>
        <v>0</v>
      </c>
      <c r="BV137" s="352"/>
      <c r="BW137" s="358"/>
      <c r="BX137" s="213"/>
      <c r="BY137" s="213"/>
      <c r="BZ137" s="213"/>
      <c r="CA137" s="213"/>
      <c r="CB137" s="213"/>
      <c r="CC137" s="213"/>
      <c r="CD137" s="213"/>
      <c r="CE137" s="213"/>
      <c r="CF137" s="213"/>
      <c r="CG137" s="213"/>
      <c r="CH137" s="213"/>
      <c r="CI137" s="213"/>
      <c r="CJ137" s="213"/>
      <c r="CK137" s="213"/>
      <c r="CL137" s="213"/>
      <c r="CM137" s="213"/>
      <c r="CN137" s="213"/>
      <c r="CO137" s="213"/>
      <c r="CP137" s="213"/>
      <c r="CQ137" s="213"/>
      <c r="CR137" s="213"/>
      <c r="CS137" s="213"/>
      <c r="CT137" s="213"/>
      <c r="CU137" s="213"/>
    </row>
    <row r="138" ht="15.75" customHeight="1">
      <c r="A138" s="213"/>
      <c r="B138" s="393"/>
      <c r="C138" s="350" t="s">
        <v>282</v>
      </c>
      <c r="D138" s="604">
        <f>41310+80533</f>
        <v>121843</v>
      </c>
      <c r="E138" s="355">
        <f t="shared" si="273"/>
        <v>0.009809703759</v>
      </c>
      <c r="F138" s="357">
        <v>180000.0</v>
      </c>
      <c r="G138" s="355">
        <f t="shared" si="274"/>
        <v>0.01390023425</v>
      </c>
      <c r="H138" s="357">
        <f t="shared" si="297"/>
        <v>-58157</v>
      </c>
      <c r="I138" s="395">
        <f t="shared" si="298"/>
        <v>-0.3230944444</v>
      </c>
      <c r="J138" s="604">
        <f>42130+26974+2236</f>
        <v>71340</v>
      </c>
      <c r="K138" s="355">
        <f t="shared" si="275"/>
        <v>0.005596180004</v>
      </c>
      <c r="L138" s="357">
        <f t="shared" si="299"/>
        <v>180000</v>
      </c>
      <c r="M138" s="355">
        <f t="shared" si="276"/>
        <v>0.01457478158</v>
      </c>
      <c r="N138" s="352"/>
      <c r="O138" s="358"/>
      <c r="P138" s="349">
        <f>28910+25995</f>
        <v>54905</v>
      </c>
      <c r="Q138" s="355">
        <f t="shared" si="277"/>
        <v>0.004860215579</v>
      </c>
      <c r="R138" s="357">
        <f t="shared" si="300"/>
        <v>180000</v>
      </c>
      <c r="S138" s="355">
        <f t="shared" si="278"/>
        <v>0.01377035192</v>
      </c>
      <c r="T138" s="352"/>
      <c r="U138" s="358"/>
      <c r="V138" s="604">
        <f>32025+403+87223+2263</f>
        <v>121914</v>
      </c>
      <c r="W138" s="355">
        <f t="shared" si="279"/>
        <v>0.008692539129</v>
      </c>
      <c r="X138" s="357">
        <f t="shared" si="301"/>
        <v>180000</v>
      </c>
      <c r="Y138" s="355">
        <f t="shared" si="280"/>
        <v>0.01326343708</v>
      </c>
      <c r="Z138" s="352"/>
      <c r="AA138" s="358"/>
      <c r="AB138" s="604">
        <f>2273+28032+26522</f>
        <v>56827</v>
      </c>
      <c r="AC138" s="355">
        <f t="shared" si="281"/>
        <v>0.00401271086</v>
      </c>
      <c r="AD138" s="357">
        <f t="shared" si="302"/>
        <v>180000</v>
      </c>
      <c r="AE138" s="355">
        <f t="shared" si="282"/>
        <v>0.01251728749</v>
      </c>
      <c r="AF138" s="352"/>
      <c r="AG138" s="358"/>
      <c r="AH138" s="604">
        <f>2275+54475+1604+1604</f>
        <v>59958</v>
      </c>
      <c r="AI138" s="355">
        <f t="shared" si="283"/>
        <v>0.005025441594</v>
      </c>
      <c r="AJ138" s="357">
        <f t="shared" si="303"/>
        <v>180000</v>
      </c>
      <c r="AK138" s="355">
        <f t="shared" si="284"/>
        <v>0.01320673109</v>
      </c>
      <c r="AL138" s="352"/>
      <c r="AM138" s="358"/>
      <c r="AN138" s="604">
        <f>2288+357450+84500</f>
        <v>444238</v>
      </c>
      <c r="AO138" s="355">
        <f t="shared" si="285"/>
        <v>0.03505224566</v>
      </c>
      <c r="AP138" s="357">
        <f t="shared" si="304"/>
        <v>180000</v>
      </c>
      <c r="AQ138" s="355">
        <f t="shared" si="286"/>
        <v>0.01193876077</v>
      </c>
      <c r="AR138" s="352"/>
      <c r="AS138" s="358"/>
      <c r="AT138" s="604">
        <f>2284+412995+245916</f>
        <v>661195</v>
      </c>
      <c r="AU138" s="355">
        <f t="shared" si="287"/>
        <v>0.05188484088</v>
      </c>
      <c r="AV138" s="357">
        <f t="shared" si="305"/>
        <v>180000</v>
      </c>
      <c r="AW138" s="355">
        <f t="shared" si="288"/>
        <v>0.01158997161</v>
      </c>
      <c r="AX138" s="352"/>
      <c r="AY138" s="358"/>
      <c r="AZ138" s="604">
        <f>2310+249385+419304</f>
        <v>670999</v>
      </c>
      <c r="BA138" s="355">
        <f t="shared" si="289"/>
        <v>0.03747248097</v>
      </c>
      <c r="BB138" s="357">
        <f t="shared" si="306"/>
        <v>180000</v>
      </c>
      <c r="BC138" s="355">
        <f t="shared" si="290"/>
        <v>0.01076228533</v>
      </c>
      <c r="BD138" s="352"/>
      <c r="BE138" s="358"/>
      <c r="BF138" s="604">
        <f>900+2312+88700+124143</f>
        <v>216055</v>
      </c>
      <c r="BG138" s="355">
        <f t="shared" si="291"/>
        <v>0.01251047982</v>
      </c>
      <c r="BH138" s="357">
        <f t="shared" si="307"/>
        <v>180000</v>
      </c>
      <c r="BI138" s="355">
        <f t="shared" si="292"/>
        <v>0.01109065467</v>
      </c>
      <c r="BJ138" s="352"/>
      <c r="BK138" s="358"/>
      <c r="BL138" s="604">
        <f>2312+2500+16892</f>
        <v>21704</v>
      </c>
      <c r="BM138" s="355">
        <f t="shared" si="293"/>
        <v>0.00128253462</v>
      </c>
      <c r="BN138" s="357">
        <f t="shared" si="308"/>
        <v>180000</v>
      </c>
      <c r="BO138" s="355">
        <f t="shared" si="294"/>
        <v>0.0132271552</v>
      </c>
      <c r="BP138" s="352"/>
      <c r="BQ138" s="358"/>
      <c r="BR138" s="604">
        <v>407125.81</v>
      </c>
      <c r="BS138" s="355">
        <f t="shared" si="295"/>
        <v>0.02741289218</v>
      </c>
      <c r="BT138" s="357">
        <f t="shared" si="309"/>
        <v>180000</v>
      </c>
      <c r="BU138" s="355">
        <f t="shared" si="296"/>
        <v>0.01208405744</v>
      </c>
      <c r="BV138" s="352"/>
      <c r="BW138" s="358"/>
      <c r="BX138" s="213"/>
      <c r="BY138" s="213"/>
      <c r="BZ138" s="213"/>
      <c r="CA138" s="213"/>
      <c r="CB138" s="213"/>
      <c r="CC138" s="213"/>
      <c r="CD138" s="213"/>
      <c r="CE138" s="213"/>
      <c r="CF138" s="213"/>
      <c r="CG138" s="213"/>
      <c r="CH138" s="213"/>
      <c r="CI138" s="213"/>
      <c r="CJ138" s="213"/>
      <c r="CK138" s="213"/>
      <c r="CL138" s="213"/>
      <c r="CM138" s="213"/>
      <c r="CN138" s="213"/>
      <c r="CO138" s="213"/>
      <c r="CP138" s="213"/>
      <c r="CQ138" s="213"/>
      <c r="CR138" s="213"/>
      <c r="CS138" s="213"/>
      <c r="CT138" s="213"/>
      <c r="CU138" s="213"/>
    </row>
    <row r="139" ht="15.75" customHeight="1">
      <c r="A139" s="213"/>
      <c r="B139" s="393"/>
      <c r="C139" s="350" t="s">
        <v>283</v>
      </c>
      <c r="D139" s="604">
        <f>(28320/12)+(74340/12)+(77231/12)+(27140/12)+(24780/3)+(20650/12)</f>
        <v>27233.41667</v>
      </c>
      <c r="E139" s="355">
        <f t="shared" si="273"/>
        <v>0.002192590053</v>
      </c>
      <c r="F139" s="357">
        <f>D139</f>
        <v>27233.41667</v>
      </c>
      <c r="G139" s="355">
        <f t="shared" si="274"/>
        <v>0.002103060395</v>
      </c>
      <c r="H139" s="357"/>
      <c r="I139" s="395"/>
      <c r="J139" s="604">
        <f>(28320/12)+(74340/12)+(77231/12)+(27140/12)+(24780/3)+(20650/12)</f>
        <v>27233.41667</v>
      </c>
      <c r="K139" s="355"/>
      <c r="L139" s="357">
        <f>$F$139</f>
        <v>27233.41667</v>
      </c>
      <c r="M139" s="355"/>
      <c r="N139" s="352"/>
      <c r="O139" s="358"/>
      <c r="P139" s="604">
        <f>(28320/12)+(74340/12)+(77231/12)+(27140/12)+(24780/3)+(20650/12)</f>
        <v>27233.41667</v>
      </c>
      <c r="Q139" s="355">
        <f t="shared" si="277"/>
        <v>0.002410714433</v>
      </c>
      <c r="R139" s="357">
        <f>$F$139</f>
        <v>27233.41667</v>
      </c>
      <c r="S139" s="355"/>
      <c r="T139" s="352"/>
      <c r="U139" s="358"/>
      <c r="V139" s="604">
        <f>(28320/12)+(74340/12)+(85255/12)+(27140/12)+(20650/12)+8260</f>
        <v>27902.08333</v>
      </c>
      <c r="W139" s="355">
        <f t="shared" si="279"/>
        <v>0.001989434775</v>
      </c>
      <c r="X139" s="357">
        <f>$F$139</f>
        <v>27233.41667</v>
      </c>
      <c r="Y139" s="355"/>
      <c r="Z139" s="352"/>
      <c r="AA139" s="358"/>
      <c r="AB139" s="604">
        <f>(28320/12)+(74340/12)+(85255/12)+(27140/12)+(20650/12)+(3375/3)+(36344/3)</f>
        <v>32881.75</v>
      </c>
      <c r="AC139" s="355"/>
      <c r="AD139" s="357">
        <f>$F$139</f>
        <v>27233.41667</v>
      </c>
      <c r="AE139" s="355"/>
      <c r="AF139" s="352"/>
      <c r="AG139" s="358"/>
      <c r="AH139" s="604">
        <f>(28320/12)+(74340/12)+(85255/12)+(27140/12)+(20650/12)+(3375/3)+(36344/3)</f>
        <v>32881.75</v>
      </c>
      <c r="AI139" s="355"/>
      <c r="AJ139" s="357">
        <f>$F$139</f>
        <v>27233.41667</v>
      </c>
      <c r="AK139" s="355"/>
      <c r="AL139" s="352"/>
      <c r="AM139" s="358"/>
      <c r="AN139" s="604">
        <f>(28320/12)+(74340/12)+(85255/12)+(27140/12)+(20650/12)+(3375/3)+(36344/3)+11000</f>
        <v>43881.75</v>
      </c>
      <c r="AO139" s="355"/>
      <c r="AP139" s="357">
        <f>(28320/12)+(74340/12)+(85255/12)+(27140/12)+(20650/12)+(3375/3)+(36344/3)+11000</f>
        <v>43881.75</v>
      </c>
      <c r="AQ139" s="355"/>
      <c r="AR139" s="352"/>
      <c r="AS139" s="358"/>
      <c r="AT139" s="604">
        <f>(28320/12)+(74340/12)+(85255/12)+(27140/12)+(20650/12)+(3375/3)+(36344/3)+11000</f>
        <v>43881.75</v>
      </c>
      <c r="AU139" s="355"/>
      <c r="AV139" s="357">
        <f>(28320/12)+(74340/12)+(85255/12)+(27140/12)+(20650/12)+(3375/3)+(36344/3)+11000</f>
        <v>43881.75</v>
      </c>
      <c r="AW139" s="355"/>
      <c r="AX139" s="352"/>
      <c r="AY139" s="358"/>
      <c r="AZ139" s="604">
        <f>(28320/12)+(74340/12)+(85255/12)+(27140/12)+(20650/12)+(3375/3)+(36344/3)+11000</f>
        <v>43881.75</v>
      </c>
      <c r="BA139" s="355"/>
      <c r="BB139" s="357">
        <f>$F$139</f>
        <v>27233.41667</v>
      </c>
      <c r="BC139" s="355"/>
      <c r="BD139" s="352"/>
      <c r="BE139" s="358"/>
      <c r="BF139" s="604">
        <f>(28320/12)+(74340/12)+(85255/12)+(27140/12)+(20650/12)+(3375/3)+(36344/3)+11000</f>
        <v>43881.75</v>
      </c>
      <c r="BG139" s="355">
        <f t="shared" si="291"/>
        <v>0.00254093517</v>
      </c>
      <c r="BH139" s="357">
        <f>$F$139</f>
        <v>27233.41667</v>
      </c>
      <c r="BI139" s="355"/>
      <c r="BJ139" s="352"/>
      <c r="BK139" s="358"/>
      <c r="BL139" s="604">
        <f>(28320/12)+(74340/12)+(85255/12)+(27140/12)+(20650/12)+(3375/3)+(36344/3)+11000</f>
        <v>43881.75</v>
      </c>
      <c r="BM139" s="355">
        <f t="shared" si="293"/>
        <v>0.002593064115</v>
      </c>
      <c r="BN139" s="357">
        <f>$F$139</f>
        <v>27233.41667</v>
      </c>
      <c r="BO139" s="355"/>
      <c r="BP139" s="352"/>
      <c r="BQ139" s="358"/>
      <c r="BR139" s="604">
        <f>(28320/12)+(74340/12)+(85255/12)+(27140/12)+(20650/12)+(3375/3)+(36344/3)+11000</f>
        <v>43881.75</v>
      </c>
      <c r="BS139" s="355">
        <f t="shared" si="295"/>
        <v>0.002954678018</v>
      </c>
      <c r="BT139" s="357">
        <f>$F$139</f>
        <v>27233.41667</v>
      </c>
      <c r="BU139" s="355"/>
      <c r="BV139" s="352"/>
      <c r="BW139" s="358"/>
      <c r="BX139" s="213"/>
      <c r="BY139" s="213"/>
      <c r="BZ139" s="213"/>
      <c r="CA139" s="213"/>
      <c r="CB139" s="213"/>
      <c r="CC139" s="213"/>
      <c r="CD139" s="213"/>
      <c r="CE139" s="213"/>
      <c r="CF139" s="213"/>
      <c r="CG139" s="213"/>
      <c r="CH139" s="213"/>
      <c r="CI139" s="213"/>
      <c r="CJ139" s="213"/>
      <c r="CK139" s="213"/>
      <c r="CL139" s="213"/>
      <c r="CM139" s="213"/>
      <c r="CN139" s="213"/>
      <c r="CO139" s="213"/>
      <c r="CP139" s="213"/>
      <c r="CQ139" s="213"/>
      <c r="CR139" s="213"/>
      <c r="CS139" s="213"/>
      <c r="CT139" s="213"/>
      <c r="CU139" s="213"/>
    </row>
    <row r="140" ht="15.75" customHeight="1">
      <c r="A140" s="213"/>
      <c r="B140" s="393" t="s">
        <v>400</v>
      </c>
      <c r="C140" s="350" t="s">
        <v>285</v>
      </c>
      <c r="D140" s="604">
        <v>555.0</v>
      </c>
      <c r="E140" s="355">
        <f t="shared" si="273"/>
        <v>0.00004468361405</v>
      </c>
      <c r="F140" s="357">
        <v>20000.0</v>
      </c>
      <c r="G140" s="355">
        <f t="shared" si="274"/>
        <v>0.001544470473</v>
      </c>
      <c r="H140" s="357">
        <f t="shared" ref="H140:H145" si="310">D140-F140</f>
        <v>-19445</v>
      </c>
      <c r="I140" s="395">
        <f t="shared" ref="I140:I145" si="311">H140/F140</f>
        <v>-0.97225</v>
      </c>
      <c r="J140" s="604"/>
      <c r="K140" s="355">
        <f t="shared" ref="K140:K145" si="312">J140/J$33</f>
        <v>0</v>
      </c>
      <c r="L140" s="357">
        <f t="shared" ref="L140:L142" si="313">$F140</f>
        <v>20000</v>
      </c>
      <c r="M140" s="355">
        <f t="shared" ref="M140:M145" si="314">L140/L$33</f>
        <v>0.001619420176</v>
      </c>
      <c r="N140" s="352"/>
      <c r="O140" s="358"/>
      <c r="P140" s="349"/>
      <c r="Q140" s="355">
        <f t="shared" si="277"/>
        <v>0</v>
      </c>
      <c r="R140" s="357">
        <f t="shared" ref="R140:R142" si="315">$F140</f>
        <v>20000</v>
      </c>
      <c r="S140" s="355">
        <f t="shared" ref="S140:S145" si="316">R140/R$33</f>
        <v>0.001530039103</v>
      </c>
      <c r="T140" s="352"/>
      <c r="U140" s="358"/>
      <c r="V140" s="604"/>
      <c r="W140" s="355">
        <f t="shared" si="279"/>
        <v>0</v>
      </c>
      <c r="X140" s="357">
        <f t="shared" ref="X140:X142" si="317">$F140</f>
        <v>20000</v>
      </c>
      <c r="Y140" s="355">
        <f t="shared" ref="Y140:Y145" si="318">X140/X$33</f>
        <v>0.001473715231</v>
      </c>
      <c r="Z140" s="352"/>
      <c r="AA140" s="358"/>
      <c r="AB140" s="604"/>
      <c r="AC140" s="355">
        <f t="shared" ref="AC140:AC145" si="319">AB140/AB$33</f>
        <v>0</v>
      </c>
      <c r="AD140" s="357">
        <f t="shared" ref="AD140:AD142" si="320">$F140</f>
        <v>20000</v>
      </c>
      <c r="AE140" s="355">
        <f t="shared" ref="AE140:AE145" si="321">AD140/AD$33</f>
        <v>0.001390809721</v>
      </c>
      <c r="AF140" s="352"/>
      <c r="AG140" s="358"/>
      <c r="AH140" s="604"/>
      <c r="AI140" s="355">
        <f t="shared" ref="AI140:AI145" si="322">AH140/AH$33</f>
        <v>0</v>
      </c>
      <c r="AJ140" s="357">
        <f t="shared" ref="AJ140:AJ142" si="323">$F140</f>
        <v>20000</v>
      </c>
      <c r="AK140" s="355">
        <f t="shared" ref="AK140:AK145" si="324">AJ140/AJ$33</f>
        <v>0.001467414566</v>
      </c>
      <c r="AL140" s="352"/>
      <c r="AM140" s="358"/>
      <c r="AN140" s="604"/>
      <c r="AO140" s="355">
        <f t="shared" ref="AO140:AO145" si="325">AN140/AN$33</f>
        <v>0</v>
      </c>
      <c r="AP140" s="357">
        <f t="shared" ref="AP140:AP142" si="326">$F140</f>
        <v>20000</v>
      </c>
      <c r="AQ140" s="355">
        <f t="shared" ref="AQ140:AQ145" si="327">AP140/AP$33</f>
        <v>0.001326528974</v>
      </c>
      <c r="AR140" s="352"/>
      <c r="AS140" s="358"/>
      <c r="AT140" s="604"/>
      <c r="AU140" s="355">
        <f t="shared" ref="AU140:AU146" si="328">AT140/AT$33</f>
        <v>0</v>
      </c>
      <c r="AV140" s="357">
        <f t="shared" ref="AV140:AV142" si="329">$F140</f>
        <v>20000</v>
      </c>
      <c r="AW140" s="355">
        <f t="shared" ref="AW140:AW145" si="330">AV140/AV$33</f>
        <v>0.001287774623</v>
      </c>
      <c r="AX140" s="352"/>
      <c r="AY140" s="358"/>
      <c r="AZ140" s="604"/>
      <c r="BA140" s="355">
        <f t="shared" ref="BA140:BA146" si="331">AZ140/AZ$33</f>
        <v>0</v>
      </c>
      <c r="BB140" s="357">
        <f t="shared" ref="BB140:BB142" si="332">$F140</f>
        <v>20000</v>
      </c>
      <c r="BC140" s="355">
        <f t="shared" ref="BC140:BC145" si="333">BB140/BB$33</f>
        <v>0.001195809482</v>
      </c>
      <c r="BD140" s="352"/>
      <c r="BE140" s="358"/>
      <c r="BF140" s="604"/>
      <c r="BG140" s="355">
        <f t="shared" si="291"/>
        <v>0</v>
      </c>
      <c r="BH140" s="357">
        <f t="shared" ref="BH140:BH145" si="334">$F140</f>
        <v>20000</v>
      </c>
      <c r="BI140" s="355">
        <f t="shared" ref="BI140:BI145" si="335">BH140/BH$33</f>
        <v>0.001232294963</v>
      </c>
      <c r="BJ140" s="352"/>
      <c r="BK140" s="358"/>
      <c r="BL140" s="604"/>
      <c r="BM140" s="355">
        <f t="shared" si="293"/>
        <v>0</v>
      </c>
      <c r="BN140" s="357">
        <f t="shared" ref="BN140:BN145" si="336">$F140</f>
        <v>20000</v>
      </c>
      <c r="BO140" s="355">
        <f t="shared" ref="BO140:BO145" si="337">BN140/BN$33</f>
        <v>0.001469683911</v>
      </c>
      <c r="BP140" s="352"/>
      <c r="BQ140" s="358"/>
      <c r="BR140" s="628">
        <v>0.0</v>
      </c>
      <c r="BS140" s="355">
        <f t="shared" si="295"/>
        <v>0</v>
      </c>
      <c r="BT140" s="357">
        <f t="shared" ref="BT140:BT145" si="338">$F140</f>
        <v>20000</v>
      </c>
      <c r="BU140" s="355">
        <f t="shared" ref="BU140:BU145" si="339">BT140/BT$33</f>
        <v>0.001342673049</v>
      </c>
      <c r="BV140" s="352"/>
      <c r="BW140" s="358"/>
      <c r="BX140" s="213"/>
      <c r="BY140" s="213"/>
      <c r="BZ140" s="213"/>
      <c r="CA140" s="213"/>
      <c r="CB140" s="213"/>
      <c r="CC140" s="213"/>
      <c r="CD140" s="213"/>
      <c r="CE140" s="213"/>
      <c r="CF140" s="213"/>
      <c r="CG140" s="213"/>
      <c r="CH140" s="213"/>
      <c r="CI140" s="213"/>
      <c r="CJ140" s="213"/>
      <c r="CK140" s="213"/>
      <c r="CL140" s="213"/>
      <c r="CM140" s="213"/>
      <c r="CN140" s="213"/>
      <c r="CO140" s="213"/>
      <c r="CP140" s="213"/>
      <c r="CQ140" s="213"/>
      <c r="CR140" s="213"/>
      <c r="CS140" s="213"/>
      <c r="CT140" s="213"/>
      <c r="CU140" s="213"/>
    </row>
    <row r="141" ht="15.75" customHeight="1">
      <c r="A141" s="213"/>
      <c r="B141" s="393" t="s">
        <v>400</v>
      </c>
      <c r="C141" s="350" t="s">
        <v>286</v>
      </c>
      <c r="D141" s="604">
        <v>24632.0</v>
      </c>
      <c r="E141" s="355">
        <f t="shared" si="273"/>
        <v>0.001983147354</v>
      </c>
      <c r="F141" s="357">
        <v>40000.0</v>
      </c>
      <c r="G141" s="355">
        <f t="shared" si="274"/>
        <v>0.003088940945</v>
      </c>
      <c r="H141" s="357">
        <f t="shared" si="310"/>
        <v>-15368</v>
      </c>
      <c r="I141" s="395">
        <f t="shared" si="311"/>
        <v>-0.3842</v>
      </c>
      <c r="J141" s="604">
        <v>25851.0</v>
      </c>
      <c r="K141" s="355">
        <f t="shared" si="312"/>
        <v>0.002027850424</v>
      </c>
      <c r="L141" s="357">
        <f t="shared" si="313"/>
        <v>40000</v>
      </c>
      <c r="M141" s="355">
        <f t="shared" si="314"/>
        <v>0.003238840352</v>
      </c>
      <c r="N141" s="352"/>
      <c r="O141" s="358"/>
      <c r="P141" s="349">
        <v>26054.0</v>
      </c>
      <c r="Q141" s="355">
        <f t="shared" si="277"/>
        <v>0.002306311933</v>
      </c>
      <c r="R141" s="357">
        <f t="shared" si="315"/>
        <v>40000</v>
      </c>
      <c r="S141" s="355">
        <f t="shared" si="316"/>
        <v>0.003060078205</v>
      </c>
      <c r="T141" s="352"/>
      <c r="U141" s="358"/>
      <c r="V141" s="604">
        <v>29140.0</v>
      </c>
      <c r="W141" s="355">
        <f t="shared" si="279"/>
        <v>0.002077698953</v>
      </c>
      <c r="X141" s="357">
        <f t="shared" si="317"/>
        <v>40000</v>
      </c>
      <c r="Y141" s="355">
        <f t="shared" si="318"/>
        <v>0.002947430463</v>
      </c>
      <c r="Z141" s="352"/>
      <c r="AA141" s="358"/>
      <c r="AB141" s="604">
        <v>27591.0</v>
      </c>
      <c r="AC141" s="355">
        <f t="shared" si="319"/>
        <v>0.001948276442</v>
      </c>
      <c r="AD141" s="357">
        <f t="shared" si="320"/>
        <v>40000</v>
      </c>
      <c r="AE141" s="355">
        <f t="shared" si="321"/>
        <v>0.002781619441</v>
      </c>
      <c r="AF141" s="352"/>
      <c r="AG141" s="358"/>
      <c r="AH141" s="604">
        <v>24843.0</v>
      </c>
      <c r="AI141" s="355">
        <f t="shared" si="322"/>
        <v>0.002082241661</v>
      </c>
      <c r="AJ141" s="357">
        <f t="shared" si="323"/>
        <v>40000</v>
      </c>
      <c r="AK141" s="355">
        <f t="shared" si="324"/>
        <v>0.002934829132</v>
      </c>
      <c r="AL141" s="352"/>
      <c r="AM141" s="358"/>
      <c r="AN141" s="604">
        <v>25265.0</v>
      </c>
      <c r="AO141" s="355">
        <f t="shared" si="325"/>
        <v>0.001993514707</v>
      </c>
      <c r="AP141" s="357">
        <f t="shared" si="326"/>
        <v>40000</v>
      </c>
      <c r="AQ141" s="355">
        <f t="shared" si="327"/>
        <v>0.002653057948</v>
      </c>
      <c r="AR141" s="352"/>
      <c r="AS141" s="358"/>
      <c r="AT141" s="604">
        <v>25266.0</v>
      </c>
      <c r="AU141" s="355">
        <f t="shared" si="328"/>
        <v>0.001982656236</v>
      </c>
      <c r="AV141" s="357">
        <f t="shared" si="329"/>
        <v>40000</v>
      </c>
      <c r="AW141" s="355">
        <f t="shared" si="330"/>
        <v>0.002575549247</v>
      </c>
      <c r="AX141" s="352"/>
      <c r="AY141" s="358"/>
      <c r="AZ141" s="604">
        <v>28000.0</v>
      </c>
      <c r="BA141" s="355">
        <f t="shared" si="331"/>
        <v>0.001563682609</v>
      </c>
      <c r="BB141" s="357">
        <f t="shared" si="332"/>
        <v>40000</v>
      </c>
      <c r="BC141" s="355">
        <f t="shared" si="333"/>
        <v>0.002391618963</v>
      </c>
      <c r="BD141" s="352"/>
      <c r="BE141" s="358"/>
      <c r="BF141" s="604">
        <v>27117.0</v>
      </c>
      <c r="BG141" s="355">
        <f t="shared" si="291"/>
        <v>0.001570186672</v>
      </c>
      <c r="BH141" s="357">
        <f t="shared" si="334"/>
        <v>40000</v>
      </c>
      <c r="BI141" s="355">
        <f t="shared" si="335"/>
        <v>0.002464589926</v>
      </c>
      <c r="BJ141" s="352"/>
      <c r="BK141" s="358"/>
      <c r="BL141" s="604">
        <v>25159.0</v>
      </c>
      <c r="BM141" s="355">
        <f t="shared" si="293"/>
        <v>0.001486697774</v>
      </c>
      <c r="BN141" s="357">
        <f t="shared" si="336"/>
        <v>40000</v>
      </c>
      <c r="BO141" s="355">
        <f t="shared" si="337"/>
        <v>0.002939367823</v>
      </c>
      <c r="BP141" s="352"/>
      <c r="BQ141" s="358"/>
      <c r="BR141" s="628">
        <v>31994.0</v>
      </c>
      <c r="BS141" s="355">
        <f t="shared" si="295"/>
        <v>0.002154243359</v>
      </c>
      <c r="BT141" s="357">
        <f t="shared" si="338"/>
        <v>40000</v>
      </c>
      <c r="BU141" s="355">
        <f t="shared" si="339"/>
        <v>0.002685346099</v>
      </c>
      <c r="BV141" s="352"/>
      <c r="BW141" s="358"/>
      <c r="BX141" s="213"/>
      <c r="BY141" s="213"/>
      <c r="BZ141" s="213"/>
      <c r="CA141" s="213"/>
      <c r="CB141" s="213"/>
      <c r="CC141" s="213"/>
      <c r="CD141" s="213"/>
      <c r="CE141" s="213"/>
      <c r="CF141" s="213"/>
      <c r="CG141" s="213"/>
      <c r="CH141" s="213"/>
      <c r="CI141" s="213"/>
      <c r="CJ141" s="213"/>
      <c r="CK141" s="213"/>
      <c r="CL141" s="213"/>
      <c r="CM141" s="213"/>
      <c r="CN141" s="213"/>
      <c r="CO141" s="213"/>
      <c r="CP141" s="213"/>
      <c r="CQ141" s="213"/>
      <c r="CR141" s="213"/>
      <c r="CS141" s="213"/>
      <c r="CT141" s="213"/>
      <c r="CU141" s="213"/>
    </row>
    <row r="142" ht="15.75" customHeight="1">
      <c r="A142" s="213"/>
      <c r="B142" s="393"/>
      <c r="C142" s="350" t="s">
        <v>279</v>
      </c>
      <c r="D142" s="604"/>
      <c r="E142" s="355">
        <f t="shared" si="273"/>
        <v>0</v>
      </c>
      <c r="F142" s="357">
        <v>12000.0</v>
      </c>
      <c r="G142" s="355">
        <f t="shared" si="274"/>
        <v>0.0009266822835</v>
      </c>
      <c r="H142" s="357">
        <f t="shared" si="310"/>
        <v>-12000</v>
      </c>
      <c r="I142" s="395">
        <f t="shared" si="311"/>
        <v>-1</v>
      </c>
      <c r="J142" s="604"/>
      <c r="K142" s="355">
        <f t="shared" si="312"/>
        <v>0</v>
      </c>
      <c r="L142" s="357">
        <f t="shared" si="313"/>
        <v>12000</v>
      </c>
      <c r="M142" s="355">
        <f t="shared" si="314"/>
        <v>0.0009716521056</v>
      </c>
      <c r="N142" s="352"/>
      <c r="O142" s="358"/>
      <c r="P142" s="349"/>
      <c r="Q142" s="355">
        <f t="shared" si="277"/>
        <v>0</v>
      </c>
      <c r="R142" s="357">
        <f t="shared" si="315"/>
        <v>12000</v>
      </c>
      <c r="S142" s="355">
        <f t="shared" si="316"/>
        <v>0.0009180234616</v>
      </c>
      <c r="T142" s="352"/>
      <c r="U142" s="358"/>
      <c r="V142" s="604"/>
      <c r="W142" s="355">
        <f t="shared" si="279"/>
        <v>0</v>
      </c>
      <c r="X142" s="357">
        <f t="shared" si="317"/>
        <v>12000</v>
      </c>
      <c r="Y142" s="355">
        <f t="shared" si="318"/>
        <v>0.0008842291389</v>
      </c>
      <c r="Z142" s="352"/>
      <c r="AA142" s="358"/>
      <c r="AB142" s="604"/>
      <c r="AC142" s="355">
        <f t="shared" si="319"/>
        <v>0</v>
      </c>
      <c r="AD142" s="357">
        <f t="shared" si="320"/>
        <v>12000</v>
      </c>
      <c r="AE142" s="355">
        <f t="shared" si="321"/>
        <v>0.0008344858324</v>
      </c>
      <c r="AF142" s="352"/>
      <c r="AG142" s="358"/>
      <c r="AH142" s="604"/>
      <c r="AI142" s="355">
        <f t="shared" si="322"/>
        <v>0</v>
      </c>
      <c r="AJ142" s="357">
        <f t="shared" si="323"/>
        <v>12000</v>
      </c>
      <c r="AK142" s="355">
        <f t="shared" si="324"/>
        <v>0.0008804487396</v>
      </c>
      <c r="AL142" s="352"/>
      <c r="AM142" s="358"/>
      <c r="AN142" s="604"/>
      <c r="AO142" s="355">
        <f t="shared" si="325"/>
        <v>0</v>
      </c>
      <c r="AP142" s="357">
        <f t="shared" si="326"/>
        <v>12000</v>
      </c>
      <c r="AQ142" s="355">
        <f t="shared" si="327"/>
        <v>0.0007959173844</v>
      </c>
      <c r="AR142" s="352"/>
      <c r="AS142" s="358"/>
      <c r="AT142" s="604">
        <v>69281.0</v>
      </c>
      <c r="AU142" s="355">
        <f t="shared" si="328"/>
        <v>0.005436571149</v>
      </c>
      <c r="AV142" s="357">
        <f t="shared" si="329"/>
        <v>12000</v>
      </c>
      <c r="AW142" s="355">
        <f t="shared" si="330"/>
        <v>0.0007726647741</v>
      </c>
      <c r="AX142" s="352"/>
      <c r="AY142" s="358"/>
      <c r="AZ142" s="604"/>
      <c r="BA142" s="355">
        <f t="shared" si="331"/>
        <v>0</v>
      </c>
      <c r="BB142" s="357">
        <f t="shared" si="332"/>
        <v>12000</v>
      </c>
      <c r="BC142" s="355">
        <f t="shared" si="333"/>
        <v>0.000717485689</v>
      </c>
      <c r="BD142" s="352"/>
      <c r="BE142" s="358"/>
      <c r="BF142" s="604"/>
      <c r="BG142" s="355">
        <f t="shared" si="291"/>
        <v>0</v>
      </c>
      <c r="BH142" s="357">
        <f t="shared" si="334"/>
        <v>12000</v>
      </c>
      <c r="BI142" s="355">
        <f t="shared" si="335"/>
        <v>0.0007393769778</v>
      </c>
      <c r="BJ142" s="352"/>
      <c r="BK142" s="358"/>
      <c r="BL142" s="628">
        <v>20721.0</v>
      </c>
      <c r="BM142" s="355">
        <f t="shared" si="293"/>
        <v>0.0012244471</v>
      </c>
      <c r="BN142" s="357">
        <f t="shared" si="336"/>
        <v>12000</v>
      </c>
      <c r="BO142" s="355">
        <f t="shared" si="337"/>
        <v>0.0008818103468</v>
      </c>
      <c r="BP142" s="352"/>
      <c r="BQ142" s="358"/>
      <c r="BR142" s="628">
        <v>0.0</v>
      </c>
      <c r="BS142" s="355">
        <f t="shared" si="295"/>
        <v>0</v>
      </c>
      <c r="BT142" s="357">
        <f t="shared" si="338"/>
        <v>12000</v>
      </c>
      <c r="BU142" s="355">
        <f t="shared" si="339"/>
        <v>0.0008056038296</v>
      </c>
      <c r="BV142" s="352"/>
      <c r="BW142" s="358"/>
      <c r="BX142" s="213"/>
      <c r="BY142" s="213"/>
      <c r="BZ142" s="213"/>
      <c r="CA142" s="213"/>
      <c r="CB142" s="213"/>
      <c r="CC142" s="213"/>
      <c r="CD142" s="213"/>
      <c r="CE142" s="213"/>
      <c r="CF142" s="213"/>
      <c r="CG142" s="213"/>
      <c r="CH142" s="213"/>
      <c r="CI142" s="213"/>
      <c r="CJ142" s="213"/>
      <c r="CK142" s="213"/>
      <c r="CL142" s="213"/>
      <c r="CM142" s="213"/>
      <c r="CN142" s="213"/>
      <c r="CO142" s="213"/>
      <c r="CP142" s="213"/>
      <c r="CQ142" s="213"/>
      <c r="CR142" s="213"/>
      <c r="CS142" s="213"/>
      <c r="CT142" s="213"/>
      <c r="CU142" s="213"/>
    </row>
    <row r="143" ht="15.75" customHeight="1">
      <c r="A143" s="213"/>
      <c r="B143" s="393"/>
      <c r="C143" s="350" t="s">
        <v>287</v>
      </c>
      <c r="D143" s="604">
        <v>21830.0</v>
      </c>
      <c r="E143" s="355">
        <f t="shared" si="273"/>
        <v>0.001757555486</v>
      </c>
      <c r="F143" s="357">
        <v>21830.0</v>
      </c>
      <c r="G143" s="355">
        <f t="shared" si="274"/>
        <v>0.001685789521</v>
      </c>
      <c r="H143" s="357">
        <f t="shared" si="310"/>
        <v>0</v>
      </c>
      <c r="I143" s="395">
        <f t="shared" si="311"/>
        <v>0</v>
      </c>
      <c r="J143" s="604">
        <v>21830.0</v>
      </c>
      <c r="K143" s="355">
        <f t="shared" si="312"/>
        <v>0.001712427943</v>
      </c>
      <c r="L143" s="357">
        <v>21830.0</v>
      </c>
      <c r="M143" s="355">
        <f t="shared" si="314"/>
        <v>0.001767597122</v>
      </c>
      <c r="N143" s="352"/>
      <c r="O143" s="358"/>
      <c r="P143" s="349">
        <v>21830.0</v>
      </c>
      <c r="Q143" s="355">
        <f t="shared" si="277"/>
        <v>0.001932401532</v>
      </c>
      <c r="R143" s="357">
        <v>21830.0</v>
      </c>
      <c r="S143" s="355">
        <f t="shared" si="316"/>
        <v>0.001670037681</v>
      </c>
      <c r="T143" s="352"/>
      <c r="U143" s="358"/>
      <c r="V143" s="604">
        <v>21830.0</v>
      </c>
      <c r="W143" s="355">
        <f t="shared" si="279"/>
        <v>0.001556491701</v>
      </c>
      <c r="X143" s="357">
        <v>21830.0</v>
      </c>
      <c r="Y143" s="355">
        <f t="shared" si="318"/>
        <v>0.001608560175</v>
      </c>
      <c r="Z143" s="352"/>
      <c r="AA143" s="358"/>
      <c r="AB143" s="604">
        <v>21830.0</v>
      </c>
      <c r="AC143" s="355">
        <f t="shared" si="319"/>
        <v>0.001541476377</v>
      </c>
      <c r="AD143" s="357">
        <v>21830.0</v>
      </c>
      <c r="AE143" s="355">
        <f t="shared" si="321"/>
        <v>0.00151806881</v>
      </c>
      <c r="AF143" s="352"/>
      <c r="AG143" s="358"/>
      <c r="AH143" s="604">
        <v>21830.0</v>
      </c>
      <c r="AI143" s="355">
        <f t="shared" si="322"/>
        <v>0.001829703959</v>
      </c>
      <c r="AJ143" s="357">
        <v>21830.0</v>
      </c>
      <c r="AK143" s="355">
        <f t="shared" si="324"/>
        <v>0.001601682999</v>
      </c>
      <c r="AL143" s="352"/>
      <c r="AM143" s="358"/>
      <c r="AN143" s="604">
        <v>21830.0</v>
      </c>
      <c r="AO143" s="355">
        <f t="shared" si="325"/>
        <v>0.001722478767</v>
      </c>
      <c r="AP143" s="357">
        <v>21830.0</v>
      </c>
      <c r="AQ143" s="355">
        <f t="shared" si="327"/>
        <v>0.001447906375</v>
      </c>
      <c r="AR143" s="352"/>
      <c r="AS143" s="358"/>
      <c r="AT143" s="604">
        <v>21830.0</v>
      </c>
      <c r="AU143" s="355">
        <f t="shared" si="328"/>
        <v>0.001713028798</v>
      </c>
      <c r="AV143" s="357">
        <v>21830.0</v>
      </c>
      <c r="AW143" s="355">
        <f t="shared" si="330"/>
        <v>0.001405606001</v>
      </c>
      <c r="AX143" s="352"/>
      <c r="AY143" s="358"/>
      <c r="AZ143" s="604">
        <v>21830.0</v>
      </c>
      <c r="BA143" s="355">
        <f t="shared" si="331"/>
        <v>0.001219113977</v>
      </c>
      <c r="BB143" s="357">
        <v>21830.0</v>
      </c>
      <c r="BC143" s="355">
        <f t="shared" si="333"/>
        <v>0.001305226049</v>
      </c>
      <c r="BD143" s="352"/>
      <c r="BE143" s="358"/>
      <c r="BF143" s="604">
        <v>21830.0</v>
      </c>
      <c r="BG143" s="355">
        <f t="shared" si="291"/>
        <v>0.001264047463</v>
      </c>
      <c r="BH143" s="357">
        <f t="shared" si="334"/>
        <v>21830</v>
      </c>
      <c r="BI143" s="355">
        <f t="shared" si="335"/>
        <v>0.001345049952</v>
      </c>
      <c r="BJ143" s="352"/>
      <c r="BK143" s="358"/>
      <c r="BL143" s="604">
        <v>21830.0</v>
      </c>
      <c r="BM143" s="355">
        <f t="shared" si="293"/>
        <v>0.001289980222</v>
      </c>
      <c r="BN143" s="357">
        <f t="shared" si="336"/>
        <v>21830</v>
      </c>
      <c r="BO143" s="355">
        <f t="shared" si="337"/>
        <v>0.001604159989</v>
      </c>
      <c r="BP143" s="352"/>
      <c r="BQ143" s="358"/>
      <c r="BR143" s="604">
        <v>18500.0</v>
      </c>
      <c r="BS143" s="355">
        <f t="shared" si="295"/>
        <v>0.001245655502</v>
      </c>
      <c r="BT143" s="357">
        <f t="shared" si="338"/>
        <v>21830</v>
      </c>
      <c r="BU143" s="355">
        <f t="shared" si="339"/>
        <v>0.001465527633</v>
      </c>
      <c r="BV143" s="352"/>
      <c r="BW143" s="358"/>
      <c r="BX143" s="213"/>
      <c r="BY143" s="213"/>
      <c r="BZ143" s="213"/>
      <c r="CA143" s="213"/>
      <c r="CB143" s="213"/>
      <c r="CC143" s="213"/>
      <c r="CD143" s="213"/>
      <c r="CE143" s="213"/>
      <c r="CF143" s="213"/>
      <c r="CG143" s="213"/>
      <c r="CH143" s="213"/>
      <c r="CI143" s="213"/>
      <c r="CJ143" s="213"/>
      <c r="CK143" s="213"/>
      <c r="CL143" s="213"/>
      <c r="CM143" s="213"/>
      <c r="CN143" s="213"/>
      <c r="CO143" s="213"/>
      <c r="CP143" s="213"/>
      <c r="CQ143" s="213"/>
      <c r="CR143" s="213"/>
      <c r="CS143" s="213"/>
      <c r="CT143" s="213"/>
      <c r="CU143" s="213"/>
    </row>
    <row r="144" ht="15.75" customHeight="1">
      <c r="A144" s="213"/>
      <c r="B144" s="393"/>
      <c r="C144" s="350" t="s">
        <v>401</v>
      </c>
      <c r="D144" s="604"/>
      <c r="E144" s="355">
        <f t="shared" si="273"/>
        <v>0</v>
      </c>
      <c r="F144" s="357"/>
      <c r="G144" s="355">
        <f t="shared" si="274"/>
        <v>0</v>
      </c>
      <c r="H144" s="357">
        <f t="shared" si="310"/>
        <v>0</v>
      </c>
      <c r="I144" s="395" t="str">
        <f t="shared" si="311"/>
        <v>#DIV/0!</v>
      </c>
      <c r="J144" s="604">
        <v>8848.0</v>
      </c>
      <c r="K144" s="355">
        <f t="shared" si="312"/>
        <v>0.0006940706571</v>
      </c>
      <c r="L144" s="357" t="str">
        <f t="shared" ref="L144:L145" si="340">$F144</f>
        <v/>
      </c>
      <c r="M144" s="355">
        <f t="shared" si="314"/>
        <v>0</v>
      </c>
      <c r="N144" s="352"/>
      <c r="O144" s="358"/>
      <c r="P144" s="349">
        <v>103435.0</v>
      </c>
      <c r="Q144" s="355">
        <f t="shared" si="277"/>
        <v>0.009156113258</v>
      </c>
      <c r="R144" s="357" t="str">
        <f t="shared" ref="R144:R145" si="341">$F144</f>
        <v/>
      </c>
      <c r="S144" s="355">
        <f t="shared" si="316"/>
        <v>0</v>
      </c>
      <c r="T144" s="352"/>
      <c r="U144" s="358"/>
      <c r="V144" s="604">
        <v>735.0</v>
      </c>
      <c r="W144" s="355">
        <f t="shared" si="279"/>
        <v>0.00005240592762</v>
      </c>
      <c r="X144" s="357" t="str">
        <f t="shared" ref="X144:X145" si="342">$F144</f>
        <v/>
      </c>
      <c r="Y144" s="355">
        <f t="shared" si="318"/>
        <v>0</v>
      </c>
      <c r="Z144" s="352"/>
      <c r="AA144" s="358"/>
      <c r="AB144" s="604"/>
      <c r="AC144" s="355">
        <f t="shared" si="319"/>
        <v>0</v>
      </c>
      <c r="AD144" s="357" t="str">
        <f t="shared" ref="AD144:AD145" si="343">$F144</f>
        <v/>
      </c>
      <c r="AE144" s="355">
        <f t="shared" si="321"/>
        <v>0</v>
      </c>
      <c r="AF144" s="352"/>
      <c r="AG144" s="358"/>
      <c r="AH144" s="604"/>
      <c r="AI144" s="355">
        <f t="shared" si="322"/>
        <v>0</v>
      </c>
      <c r="AJ144" s="357" t="str">
        <f t="shared" ref="AJ144:AJ145" si="344">$F144</f>
        <v/>
      </c>
      <c r="AK144" s="355">
        <f t="shared" si="324"/>
        <v>0</v>
      </c>
      <c r="AL144" s="352"/>
      <c r="AM144" s="358"/>
      <c r="AN144" s="604"/>
      <c r="AO144" s="355">
        <f t="shared" si="325"/>
        <v>0</v>
      </c>
      <c r="AP144" s="357" t="str">
        <f t="shared" ref="AP144:AP145" si="345">$F144</f>
        <v/>
      </c>
      <c r="AQ144" s="355">
        <f t="shared" si="327"/>
        <v>0</v>
      </c>
      <c r="AR144" s="352"/>
      <c r="AS144" s="358"/>
      <c r="AT144" s="604"/>
      <c r="AU144" s="355">
        <f t="shared" si="328"/>
        <v>0</v>
      </c>
      <c r="AV144" s="357" t="str">
        <f t="shared" ref="AV144:AV145" si="346">$F144</f>
        <v/>
      </c>
      <c r="AW144" s="355">
        <f t="shared" si="330"/>
        <v>0</v>
      </c>
      <c r="AX144" s="352"/>
      <c r="AY144" s="358"/>
      <c r="AZ144" s="604"/>
      <c r="BA144" s="355">
        <f t="shared" si="331"/>
        <v>0</v>
      </c>
      <c r="BB144" s="357" t="str">
        <f t="shared" ref="BB144:BB145" si="347">$F144</f>
        <v/>
      </c>
      <c r="BC144" s="355">
        <f t="shared" si="333"/>
        <v>0</v>
      </c>
      <c r="BD144" s="352"/>
      <c r="BE144" s="358"/>
      <c r="BF144" s="604"/>
      <c r="BG144" s="355">
        <f t="shared" si="291"/>
        <v>0</v>
      </c>
      <c r="BH144" s="357" t="str">
        <f t="shared" si="334"/>
        <v/>
      </c>
      <c r="BI144" s="355">
        <f t="shared" si="335"/>
        <v>0</v>
      </c>
      <c r="BJ144" s="352"/>
      <c r="BK144" s="358"/>
      <c r="BL144" s="604"/>
      <c r="BM144" s="355">
        <f t="shared" si="293"/>
        <v>0</v>
      </c>
      <c r="BN144" s="357" t="str">
        <f t="shared" si="336"/>
        <v/>
      </c>
      <c r="BO144" s="355">
        <f t="shared" si="337"/>
        <v>0</v>
      </c>
      <c r="BP144" s="352"/>
      <c r="BQ144" s="358"/>
      <c r="BR144" s="604"/>
      <c r="BS144" s="355">
        <f t="shared" si="295"/>
        <v>0</v>
      </c>
      <c r="BT144" s="357" t="str">
        <f t="shared" si="338"/>
        <v/>
      </c>
      <c r="BU144" s="355">
        <f t="shared" si="339"/>
        <v>0</v>
      </c>
      <c r="BV144" s="352"/>
      <c r="BW144" s="358"/>
      <c r="BX144" s="213"/>
      <c r="BY144" s="213"/>
      <c r="BZ144" s="213"/>
      <c r="CA144" s="213"/>
      <c r="CB144" s="213"/>
      <c r="CC144" s="213"/>
      <c r="CD144" s="213"/>
      <c r="CE144" s="213"/>
      <c r="CF144" s="213"/>
      <c r="CG144" s="213"/>
      <c r="CH144" s="213"/>
      <c r="CI144" s="213"/>
      <c r="CJ144" s="213"/>
      <c r="CK144" s="213"/>
      <c r="CL144" s="213"/>
      <c r="CM144" s="213"/>
      <c r="CN144" s="213"/>
      <c r="CO144" s="213"/>
      <c r="CP144" s="213"/>
      <c r="CQ144" s="213"/>
      <c r="CR144" s="213"/>
      <c r="CS144" s="213"/>
      <c r="CT144" s="213"/>
      <c r="CU144" s="213"/>
    </row>
    <row r="145" ht="15.75" customHeight="1">
      <c r="A145" s="213"/>
      <c r="B145" s="393"/>
      <c r="C145" s="350" t="s">
        <v>288</v>
      </c>
      <c r="D145" s="604">
        <v>12800.0</v>
      </c>
      <c r="E145" s="355">
        <f t="shared" si="273"/>
        <v>0.001030541009</v>
      </c>
      <c r="F145" s="357">
        <v>14000.0</v>
      </c>
      <c r="G145" s="355">
        <f t="shared" si="274"/>
        <v>0.001081129331</v>
      </c>
      <c r="H145" s="357">
        <f t="shared" si="310"/>
        <v>-1200</v>
      </c>
      <c r="I145" s="395">
        <f t="shared" si="311"/>
        <v>-0.08571428571</v>
      </c>
      <c r="J145" s="604">
        <v>14000.0</v>
      </c>
      <c r="K145" s="355">
        <f t="shared" si="312"/>
        <v>0.001098213065</v>
      </c>
      <c r="L145" s="357">
        <f t="shared" si="340"/>
        <v>14000</v>
      </c>
      <c r="M145" s="355">
        <f t="shared" si="314"/>
        <v>0.001133594123</v>
      </c>
      <c r="N145" s="352"/>
      <c r="O145" s="358"/>
      <c r="P145" s="349">
        <v>14000.0</v>
      </c>
      <c r="Q145" s="355">
        <f t="shared" si="277"/>
        <v>0.001239286369</v>
      </c>
      <c r="R145" s="357">
        <f t="shared" si="341"/>
        <v>14000</v>
      </c>
      <c r="S145" s="355">
        <f t="shared" si="316"/>
        <v>0.001071027372</v>
      </c>
      <c r="T145" s="352"/>
      <c r="U145" s="358"/>
      <c r="V145" s="604">
        <v>14300.0</v>
      </c>
      <c r="W145" s="355">
        <f t="shared" si="279"/>
        <v>0.00101959832</v>
      </c>
      <c r="X145" s="357">
        <f t="shared" si="342"/>
        <v>14000</v>
      </c>
      <c r="Y145" s="355">
        <f t="shared" si="318"/>
        <v>0.001031600662</v>
      </c>
      <c r="Z145" s="352"/>
      <c r="AA145" s="358"/>
      <c r="AB145" s="604">
        <f>14000</f>
        <v>14000</v>
      </c>
      <c r="AC145" s="355">
        <f t="shared" si="319"/>
        <v>0.0009885785286</v>
      </c>
      <c r="AD145" s="357">
        <f t="shared" si="343"/>
        <v>14000</v>
      </c>
      <c r="AE145" s="355">
        <f t="shared" si="321"/>
        <v>0.0009735668044</v>
      </c>
      <c r="AF145" s="352"/>
      <c r="AG145" s="358"/>
      <c r="AH145" s="604">
        <v>14000.0</v>
      </c>
      <c r="AI145" s="355">
        <f t="shared" si="322"/>
        <v>0.001173424436</v>
      </c>
      <c r="AJ145" s="357">
        <f t="shared" si="344"/>
        <v>14000</v>
      </c>
      <c r="AK145" s="355">
        <f t="shared" si="324"/>
        <v>0.001027190196</v>
      </c>
      <c r="AL145" s="352"/>
      <c r="AM145" s="358"/>
      <c r="AN145" s="604">
        <v>14300.0</v>
      </c>
      <c r="AO145" s="355">
        <f t="shared" si="325"/>
        <v>0.001128330113</v>
      </c>
      <c r="AP145" s="357">
        <f t="shared" si="345"/>
        <v>14000</v>
      </c>
      <c r="AQ145" s="355">
        <f t="shared" si="327"/>
        <v>0.0009285702818</v>
      </c>
      <c r="AR145" s="352"/>
      <c r="AS145" s="358"/>
      <c r="AT145" s="604">
        <v>14000.0</v>
      </c>
      <c r="AU145" s="355">
        <f t="shared" si="328"/>
        <v>0.001098598405</v>
      </c>
      <c r="AV145" s="357">
        <f t="shared" si="346"/>
        <v>14000</v>
      </c>
      <c r="AW145" s="355">
        <f t="shared" si="330"/>
        <v>0.0009014422364</v>
      </c>
      <c r="AX145" s="352"/>
      <c r="AY145" s="358"/>
      <c r="AZ145" s="604">
        <f>14300</f>
        <v>14300</v>
      </c>
      <c r="BA145" s="355">
        <f t="shared" si="331"/>
        <v>0.0007985950468</v>
      </c>
      <c r="BB145" s="357">
        <f t="shared" si="347"/>
        <v>14000</v>
      </c>
      <c r="BC145" s="355">
        <f t="shared" si="333"/>
        <v>0.0008370666371</v>
      </c>
      <c r="BD145" s="352"/>
      <c r="BE145" s="358"/>
      <c r="BF145" s="604">
        <v>14000.0</v>
      </c>
      <c r="BG145" s="355">
        <f t="shared" si="291"/>
        <v>0.0008106580155</v>
      </c>
      <c r="BH145" s="357">
        <f t="shared" si="334"/>
        <v>14000</v>
      </c>
      <c r="BI145" s="355">
        <f t="shared" si="335"/>
        <v>0.0008626064741</v>
      </c>
      <c r="BJ145" s="352"/>
      <c r="BK145" s="358"/>
      <c r="BL145" s="604">
        <v>14000.0</v>
      </c>
      <c r="BM145" s="355">
        <f t="shared" si="293"/>
        <v>0.0008272891944</v>
      </c>
      <c r="BN145" s="357">
        <f t="shared" si="336"/>
        <v>14000</v>
      </c>
      <c r="BO145" s="355">
        <f t="shared" si="337"/>
        <v>0.001028778738</v>
      </c>
      <c r="BP145" s="352"/>
      <c r="BQ145" s="358"/>
      <c r="BR145" s="604">
        <v>14000.0</v>
      </c>
      <c r="BS145" s="355">
        <f t="shared" si="295"/>
        <v>0.0009426582178</v>
      </c>
      <c r="BT145" s="357">
        <f t="shared" si="338"/>
        <v>14000</v>
      </c>
      <c r="BU145" s="355">
        <f t="shared" si="339"/>
        <v>0.0009398711345</v>
      </c>
      <c r="BV145" s="352"/>
      <c r="BW145" s="358"/>
      <c r="BX145" s="213"/>
      <c r="BY145" s="213"/>
      <c r="BZ145" s="213"/>
      <c r="CA145" s="213"/>
      <c r="CB145" s="213"/>
      <c r="CC145" s="213"/>
      <c r="CD145" s="213"/>
      <c r="CE145" s="213"/>
      <c r="CF145" s="213"/>
      <c r="CG145" s="213"/>
      <c r="CH145" s="213"/>
      <c r="CI145" s="213"/>
      <c r="CJ145" s="213"/>
      <c r="CK145" s="213"/>
      <c r="CL145" s="213"/>
      <c r="CM145" s="213"/>
      <c r="CN145" s="213"/>
      <c r="CO145" s="213"/>
      <c r="CP145" s="213"/>
      <c r="CQ145" s="213"/>
      <c r="CR145" s="213"/>
      <c r="CS145" s="213"/>
      <c r="CT145" s="213"/>
      <c r="CU145" s="213"/>
    </row>
    <row r="146" ht="15.75" customHeight="1">
      <c r="A146" s="213"/>
      <c r="B146" s="393"/>
      <c r="C146" s="350" t="s">
        <v>386</v>
      </c>
      <c r="D146" s="604"/>
      <c r="E146" s="352"/>
      <c r="F146" s="352"/>
      <c r="G146" s="352"/>
      <c r="H146" s="352"/>
      <c r="I146" s="358"/>
      <c r="J146" s="604"/>
      <c r="K146" s="352"/>
      <c r="L146" s="352"/>
      <c r="M146" s="352"/>
      <c r="N146" s="352"/>
      <c r="O146" s="358"/>
      <c r="P146" s="349"/>
      <c r="Q146" s="355">
        <f t="shared" si="277"/>
        <v>0</v>
      </c>
      <c r="R146" s="352"/>
      <c r="S146" s="352"/>
      <c r="T146" s="352"/>
      <c r="U146" s="358"/>
      <c r="V146" s="604"/>
      <c r="W146" s="355">
        <f t="shared" si="279"/>
        <v>0</v>
      </c>
      <c r="X146" s="357"/>
      <c r="Y146" s="352"/>
      <c r="Z146" s="352"/>
      <c r="AA146" s="358"/>
      <c r="AB146" s="604"/>
      <c r="AC146" s="352"/>
      <c r="AD146" s="357"/>
      <c r="AE146" s="352"/>
      <c r="AF146" s="352"/>
      <c r="AG146" s="358"/>
      <c r="AH146" s="604">
        <f>19175+11851</f>
        <v>31026</v>
      </c>
      <c r="AI146" s="352"/>
      <c r="AJ146" s="352"/>
      <c r="AK146" s="352"/>
      <c r="AL146" s="352"/>
      <c r="AM146" s="358"/>
      <c r="AN146" s="604">
        <v>3160.0</v>
      </c>
      <c r="AO146" s="352"/>
      <c r="AP146" s="352"/>
      <c r="AQ146" s="352"/>
      <c r="AR146" s="352"/>
      <c r="AS146" s="358"/>
      <c r="AT146" s="604">
        <f>9016+12900+14160</f>
        <v>36076</v>
      </c>
      <c r="AU146" s="355">
        <f t="shared" si="328"/>
        <v>0.002830931147</v>
      </c>
      <c r="AV146" s="352"/>
      <c r="AW146" s="352"/>
      <c r="AX146" s="352"/>
      <c r="AY146" s="358"/>
      <c r="AZ146" s="604">
        <f>4630+8650</f>
        <v>13280</v>
      </c>
      <c r="BA146" s="355">
        <f t="shared" si="331"/>
        <v>0.0007416323232</v>
      </c>
      <c r="BB146" s="352"/>
      <c r="BC146" s="352"/>
      <c r="BD146" s="352"/>
      <c r="BE146" s="358"/>
      <c r="BF146" s="604">
        <f>24485+28585</f>
        <v>53070</v>
      </c>
      <c r="BG146" s="355">
        <f t="shared" si="291"/>
        <v>0.00307297292</v>
      </c>
      <c r="BH146" s="352"/>
      <c r="BI146" s="352"/>
      <c r="BJ146" s="352"/>
      <c r="BK146" s="358"/>
      <c r="BL146" s="604">
        <v>126800.0</v>
      </c>
      <c r="BM146" s="355">
        <f t="shared" si="293"/>
        <v>0.007492876418</v>
      </c>
      <c r="BN146" s="357"/>
      <c r="BO146" s="352"/>
      <c r="BP146" s="352"/>
      <c r="BQ146" s="358"/>
      <c r="BR146" s="604">
        <v>26110.0</v>
      </c>
      <c r="BS146" s="355">
        <f t="shared" si="295"/>
        <v>0.001758057576</v>
      </c>
      <c r="BT146" s="357"/>
      <c r="BU146" s="352"/>
      <c r="BV146" s="352"/>
      <c r="BW146" s="358"/>
      <c r="BX146" s="213"/>
      <c r="BY146" s="213"/>
      <c r="BZ146" s="213"/>
      <c r="CA146" s="213"/>
      <c r="CB146" s="213"/>
      <c r="CC146" s="213"/>
      <c r="CD146" s="213"/>
      <c r="CE146" s="213"/>
      <c r="CF146" s="213"/>
      <c r="CG146" s="213"/>
      <c r="CH146" s="213"/>
      <c r="CI146" s="213"/>
      <c r="CJ146" s="213"/>
      <c r="CK146" s="213"/>
      <c r="CL146" s="213"/>
      <c r="CM146" s="213"/>
      <c r="CN146" s="213"/>
      <c r="CO146" s="213"/>
      <c r="CP146" s="213"/>
      <c r="CQ146" s="213"/>
      <c r="CR146" s="213"/>
      <c r="CS146" s="213"/>
      <c r="CT146" s="213"/>
      <c r="CU146" s="213"/>
    </row>
    <row r="147" ht="15.75" customHeight="1">
      <c r="A147" s="213"/>
      <c r="B147" s="393"/>
      <c r="C147" s="686"/>
      <c r="D147" s="604"/>
      <c r="E147" s="352"/>
      <c r="F147" s="352"/>
      <c r="G147" s="352"/>
      <c r="H147" s="352"/>
      <c r="I147" s="358"/>
      <c r="J147" s="604"/>
      <c r="K147" s="352"/>
      <c r="L147" s="352"/>
      <c r="M147" s="352"/>
      <c r="N147" s="352"/>
      <c r="O147" s="358"/>
      <c r="P147" s="349"/>
      <c r="Q147" s="352"/>
      <c r="R147" s="352"/>
      <c r="S147" s="352"/>
      <c r="T147" s="352"/>
      <c r="U147" s="358"/>
      <c r="V147" s="604"/>
      <c r="W147" s="352"/>
      <c r="X147" s="352"/>
      <c r="Y147" s="352"/>
      <c r="Z147" s="352"/>
      <c r="AA147" s="358"/>
      <c r="AB147" s="604"/>
      <c r="AC147" s="352"/>
      <c r="AD147" s="357"/>
      <c r="AE147" s="352"/>
      <c r="AF147" s="352"/>
      <c r="AG147" s="358"/>
      <c r="AH147" s="604"/>
      <c r="AI147" s="352"/>
      <c r="AJ147" s="352"/>
      <c r="AK147" s="352"/>
      <c r="AL147" s="352"/>
      <c r="AM147" s="358"/>
      <c r="AN147" s="604"/>
      <c r="AO147" s="352"/>
      <c r="AP147" s="352"/>
      <c r="AQ147" s="352"/>
      <c r="AR147" s="352"/>
      <c r="AS147" s="358"/>
      <c r="AT147" s="604"/>
      <c r="AU147" s="352"/>
      <c r="AV147" s="352"/>
      <c r="AW147" s="352"/>
      <c r="AX147" s="352"/>
      <c r="AY147" s="358"/>
      <c r="AZ147" s="604"/>
      <c r="BA147" s="352"/>
      <c r="BB147" s="352"/>
      <c r="BC147" s="352"/>
      <c r="BD147" s="352"/>
      <c r="BE147" s="358"/>
      <c r="BF147" s="604"/>
      <c r="BG147" s="352"/>
      <c r="BH147" s="352"/>
      <c r="BI147" s="352"/>
      <c r="BJ147" s="352"/>
      <c r="BK147" s="358"/>
      <c r="BL147" s="604"/>
      <c r="BM147" s="352"/>
      <c r="BN147" s="357"/>
      <c r="BO147" s="352"/>
      <c r="BP147" s="352"/>
      <c r="BQ147" s="358"/>
      <c r="BR147" s="604"/>
      <c r="BS147" s="352"/>
      <c r="BT147" s="357"/>
      <c r="BU147" s="352"/>
      <c r="BV147" s="352"/>
      <c r="BW147" s="358"/>
      <c r="BX147" s="213"/>
      <c r="BY147" s="213"/>
      <c r="BZ147" s="213"/>
      <c r="CA147" s="213"/>
      <c r="CB147" s="213"/>
      <c r="CC147" s="213"/>
      <c r="CD147" s="213"/>
      <c r="CE147" s="213"/>
      <c r="CF147" s="213"/>
      <c r="CG147" s="213"/>
      <c r="CH147" s="213"/>
      <c r="CI147" s="213"/>
      <c r="CJ147" s="213"/>
      <c r="CK147" s="213"/>
      <c r="CL147" s="213"/>
      <c r="CM147" s="213"/>
      <c r="CN147" s="213"/>
      <c r="CO147" s="213"/>
      <c r="CP147" s="213"/>
      <c r="CQ147" s="213"/>
      <c r="CR147" s="213"/>
      <c r="CS147" s="213"/>
      <c r="CT147" s="213"/>
      <c r="CU147" s="213"/>
    </row>
    <row r="148" ht="15.75" hidden="1" customHeight="1">
      <c r="A148" s="213"/>
      <c r="B148" s="393"/>
      <c r="C148" s="723" t="s">
        <v>42</v>
      </c>
      <c r="D148" s="604">
        <f>SUM(D149:D151)</f>
        <v>0</v>
      </c>
      <c r="E148" s="355">
        <f>D148/D$33</f>
        <v>0</v>
      </c>
      <c r="F148" s="352">
        <f>SUM(F149:F151)</f>
        <v>0</v>
      </c>
      <c r="G148" s="355">
        <f>F148/F$33</f>
        <v>0</v>
      </c>
      <c r="H148" s="352">
        <f>SUM(H149:H151)</f>
        <v>0</v>
      </c>
      <c r="I148" s="358"/>
      <c r="J148" s="604">
        <f>SUM(J149:J151)</f>
        <v>0</v>
      </c>
      <c r="K148" s="352"/>
      <c r="L148" s="352">
        <f>SUM(L149:L151)</f>
        <v>0</v>
      </c>
      <c r="M148" s="352"/>
      <c r="N148" s="352">
        <f>SUM(N149:N151)</f>
        <v>0</v>
      </c>
      <c r="O148" s="358"/>
      <c r="P148" s="349">
        <f>SUM(P149:P151)</f>
        <v>0</v>
      </c>
      <c r="Q148" s="352"/>
      <c r="R148" s="352">
        <f>SUM(R149:R151)</f>
        <v>0</v>
      </c>
      <c r="S148" s="352"/>
      <c r="T148" s="352">
        <f>SUM(T149)</f>
        <v>0</v>
      </c>
      <c r="U148" s="358"/>
      <c r="V148" s="604">
        <f>SUM(V149)</f>
        <v>0</v>
      </c>
      <c r="W148" s="352"/>
      <c r="X148" s="352">
        <f>SUM(X149)</f>
        <v>0</v>
      </c>
      <c r="Y148" s="352"/>
      <c r="Z148" s="352">
        <f>SUM(Z149)</f>
        <v>0</v>
      </c>
      <c r="AA148" s="358"/>
      <c r="AB148" s="604">
        <f>SUM(AB149)</f>
        <v>0</v>
      </c>
      <c r="AC148" s="352"/>
      <c r="AD148" s="357">
        <f>SUM(AD149)</f>
        <v>0</v>
      </c>
      <c r="AE148" s="352"/>
      <c r="AF148" s="352">
        <f>SUM(AF149)</f>
        <v>0</v>
      </c>
      <c r="AG148" s="358"/>
      <c r="AH148" s="604">
        <f>SUM(AH149)</f>
        <v>0</v>
      </c>
      <c r="AI148" s="352"/>
      <c r="AJ148" s="352">
        <f>SUM(AJ149)</f>
        <v>0</v>
      </c>
      <c r="AK148" s="352"/>
      <c r="AL148" s="352">
        <f>SUM(AL149)</f>
        <v>0</v>
      </c>
      <c r="AM148" s="358"/>
      <c r="AN148" s="604">
        <f>SUM(AN149)</f>
        <v>0</v>
      </c>
      <c r="AO148" s="352"/>
      <c r="AP148" s="352">
        <f>SUM(AP149)</f>
        <v>0</v>
      </c>
      <c r="AQ148" s="352"/>
      <c r="AR148" s="352">
        <f>SUM(AR149)</f>
        <v>0</v>
      </c>
      <c r="AS148" s="358"/>
      <c r="AT148" s="604">
        <f>SUM(AT149)</f>
        <v>0</v>
      </c>
      <c r="AU148" s="352"/>
      <c r="AV148" s="352">
        <f>SUM(AV149)</f>
        <v>0</v>
      </c>
      <c r="AW148" s="352"/>
      <c r="AX148" s="352">
        <f>SUM(AX149)</f>
        <v>0</v>
      </c>
      <c r="AY148" s="358"/>
      <c r="AZ148" s="604">
        <f>SUM(AZ149)</f>
        <v>0</v>
      </c>
      <c r="BA148" s="352"/>
      <c r="BB148" s="352">
        <f>SUM(BB149)</f>
        <v>0</v>
      </c>
      <c r="BC148" s="352"/>
      <c r="BD148" s="352">
        <f>SUM(BD149)</f>
        <v>0</v>
      </c>
      <c r="BE148" s="358"/>
      <c r="BF148" s="604">
        <f>SUM(BF149)</f>
        <v>0</v>
      </c>
      <c r="BG148" s="352"/>
      <c r="BH148" s="352">
        <f>SUM(BH149)</f>
        <v>0</v>
      </c>
      <c r="BI148" s="352"/>
      <c r="BJ148" s="352">
        <f>SUM(BJ149)</f>
        <v>0</v>
      </c>
      <c r="BK148" s="358"/>
      <c r="BL148" s="604">
        <f>SUM(BL149)</f>
        <v>0</v>
      </c>
      <c r="BM148" s="352"/>
      <c r="BN148" s="357">
        <f>SUM(BN149)</f>
        <v>0</v>
      </c>
      <c r="BO148" s="352"/>
      <c r="BP148" s="352">
        <f>SUM(BP149)</f>
        <v>0</v>
      </c>
      <c r="BQ148" s="358"/>
      <c r="BR148" s="604">
        <f>SUM(BR149)</f>
        <v>0</v>
      </c>
      <c r="BS148" s="352"/>
      <c r="BT148" s="357">
        <f>SUM(BT149)</f>
        <v>0</v>
      </c>
      <c r="BU148" s="352"/>
      <c r="BV148" s="352">
        <f>SUM(BV149)</f>
        <v>0</v>
      </c>
      <c r="BW148" s="358"/>
      <c r="BX148" s="216"/>
      <c r="BY148" s="216"/>
      <c r="BZ148" s="216"/>
      <c r="CA148" s="216"/>
      <c r="CB148" s="216"/>
      <c r="CC148" s="216"/>
      <c r="CD148" s="216"/>
      <c r="CE148" s="216"/>
      <c r="CF148" s="216"/>
      <c r="CG148" s="216"/>
      <c r="CH148" s="216"/>
      <c r="CI148" s="216"/>
      <c r="CJ148" s="216"/>
      <c r="CK148" s="216"/>
      <c r="CL148" s="216"/>
      <c r="CM148" s="216"/>
      <c r="CN148" s="216"/>
      <c r="CO148" s="216"/>
      <c r="CP148" s="216"/>
      <c r="CQ148" s="216"/>
      <c r="CR148" s="216"/>
      <c r="CS148" s="216"/>
      <c r="CT148" s="216"/>
      <c r="CU148" s="216"/>
    </row>
    <row r="149" ht="15.75" hidden="1" customHeight="1">
      <c r="A149" s="213"/>
      <c r="B149" s="393"/>
      <c r="C149" s="350" t="s">
        <v>340</v>
      </c>
      <c r="D149" s="604"/>
      <c r="E149" s="352"/>
      <c r="F149" s="352"/>
      <c r="G149" s="352"/>
      <c r="H149" s="352"/>
      <c r="I149" s="358"/>
      <c r="J149" s="604"/>
      <c r="K149" s="352"/>
      <c r="L149" s="352"/>
      <c r="M149" s="352"/>
      <c r="N149" s="352"/>
      <c r="O149" s="358"/>
      <c r="P149" s="349"/>
      <c r="Q149" s="352"/>
      <c r="R149" s="352"/>
      <c r="S149" s="352"/>
      <c r="T149" s="352"/>
      <c r="U149" s="358"/>
      <c r="V149" s="604"/>
      <c r="W149" s="352"/>
      <c r="X149" s="352"/>
      <c r="Y149" s="352"/>
      <c r="Z149" s="352"/>
      <c r="AA149" s="358"/>
      <c r="AB149" s="604"/>
      <c r="AC149" s="352"/>
      <c r="AD149" s="357"/>
      <c r="AE149" s="352"/>
      <c r="AF149" s="352"/>
      <c r="AG149" s="358"/>
      <c r="AH149" s="604"/>
      <c r="AI149" s="352"/>
      <c r="AJ149" s="352"/>
      <c r="AK149" s="352"/>
      <c r="AL149" s="352"/>
      <c r="AM149" s="358"/>
      <c r="AN149" s="604"/>
      <c r="AO149" s="352"/>
      <c r="AP149" s="352"/>
      <c r="AQ149" s="352"/>
      <c r="AR149" s="352"/>
      <c r="AS149" s="358"/>
      <c r="AT149" s="604"/>
      <c r="AU149" s="352"/>
      <c r="AV149" s="352"/>
      <c r="AW149" s="352"/>
      <c r="AX149" s="352"/>
      <c r="AY149" s="358"/>
      <c r="AZ149" s="604"/>
      <c r="BA149" s="352"/>
      <c r="BB149" s="352"/>
      <c r="BC149" s="352"/>
      <c r="BD149" s="352"/>
      <c r="BE149" s="358"/>
      <c r="BF149" s="604"/>
      <c r="BG149" s="352"/>
      <c r="BH149" s="352"/>
      <c r="BI149" s="352"/>
      <c r="BJ149" s="352"/>
      <c r="BK149" s="358"/>
      <c r="BL149" s="604"/>
      <c r="BM149" s="352"/>
      <c r="BN149" s="357"/>
      <c r="BO149" s="352"/>
      <c r="BP149" s="352"/>
      <c r="BQ149" s="358"/>
      <c r="BR149" s="604"/>
      <c r="BS149" s="352"/>
      <c r="BT149" s="357"/>
      <c r="BU149" s="352"/>
      <c r="BV149" s="352"/>
      <c r="BW149" s="358"/>
      <c r="BX149" s="213"/>
      <c r="BY149" s="213"/>
      <c r="BZ149" s="213"/>
      <c r="CA149" s="213"/>
      <c r="CB149" s="213"/>
      <c r="CC149" s="213"/>
      <c r="CD149" s="213"/>
      <c r="CE149" s="213"/>
      <c r="CF149" s="213"/>
      <c r="CG149" s="213"/>
      <c r="CH149" s="213"/>
      <c r="CI149" s="213"/>
      <c r="CJ149" s="213"/>
      <c r="CK149" s="213"/>
      <c r="CL149" s="213"/>
      <c r="CM149" s="213"/>
      <c r="CN149" s="213"/>
      <c r="CO149" s="213"/>
      <c r="CP149" s="213"/>
      <c r="CQ149" s="213"/>
      <c r="CR149" s="213"/>
      <c r="CS149" s="213"/>
      <c r="CT149" s="213"/>
      <c r="CU149" s="213"/>
    </row>
    <row r="150" ht="15.75" hidden="1" customHeight="1">
      <c r="A150" s="213"/>
      <c r="B150" s="393"/>
      <c r="C150" s="350" t="s">
        <v>42</v>
      </c>
      <c r="D150" s="604">
        <v>0.0</v>
      </c>
      <c r="E150" s="355">
        <f t="shared" ref="E150:E151" si="348">D150/D$33</f>
        <v>0</v>
      </c>
      <c r="F150" s="352"/>
      <c r="G150" s="352"/>
      <c r="H150" s="352"/>
      <c r="I150" s="358"/>
      <c r="J150" s="604"/>
      <c r="K150" s="352"/>
      <c r="L150" s="352"/>
      <c r="M150" s="352"/>
      <c r="N150" s="352"/>
      <c r="O150" s="358"/>
      <c r="P150" s="349"/>
      <c r="Q150" s="352"/>
      <c r="R150" s="352"/>
      <c r="S150" s="352"/>
      <c r="T150" s="352"/>
      <c r="U150" s="358"/>
      <c r="V150" s="604"/>
      <c r="W150" s="352"/>
      <c r="X150" s="352"/>
      <c r="Y150" s="352"/>
      <c r="Z150" s="352"/>
      <c r="AA150" s="358"/>
      <c r="AB150" s="604"/>
      <c r="AC150" s="352"/>
      <c r="AD150" s="357"/>
      <c r="AE150" s="352"/>
      <c r="AF150" s="352"/>
      <c r="AG150" s="358"/>
      <c r="AH150" s="604"/>
      <c r="AI150" s="352"/>
      <c r="AJ150" s="352"/>
      <c r="AK150" s="352"/>
      <c r="AL150" s="352"/>
      <c r="AM150" s="358"/>
      <c r="AN150" s="604"/>
      <c r="AO150" s="352"/>
      <c r="AP150" s="352"/>
      <c r="AQ150" s="352"/>
      <c r="AR150" s="352"/>
      <c r="AS150" s="358"/>
      <c r="AT150" s="604"/>
      <c r="AU150" s="352"/>
      <c r="AV150" s="352"/>
      <c r="AW150" s="352"/>
      <c r="AX150" s="352"/>
      <c r="AY150" s="358"/>
      <c r="AZ150" s="604"/>
      <c r="BA150" s="352"/>
      <c r="BB150" s="352"/>
      <c r="BC150" s="352"/>
      <c r="BD150" s="352"/>
      <c r="BE150" s="358"/>
      <c r="BF150" s="604"/>
      <c r="BG150" s="352"/>
      <c r="BH150" s="352"/>
      <c r="BI150" s="352"/>
      <c r="BJ150" s="352"/>
      <c r="BK150" s="358"/>
      <c r="BL150" s="604"/>
      <c r="BM150" s="352"/>
      <c r="BN150" s="357"/>
      <c r="BO150" s="352"/>
      <c r="BP150" s="352"/>
      <c r="BQ150" s="358"/>
      <c r="BR150" s="604"/>
      <c r="BS150" s="352"/>
      <c r="BT150" s="357"/>
      <c r="BU150" s="352"/>
      <c r="BV150" s="352"/>
      <c r="BW150" s="358"/>
      <c r="BX150" s="213"/>
      <c r="BY150" s="213"/>
      <c r="BZ150" s="213"/>
      <c r="CA150" s="213"/>
      <c r="CB150" s="213"/>
      <c r="CC150" s="213"/>
      <c r="CD150" s="213"/>
      <c r="CE150" s="213"/>
      <c r="CF150" s="213"/>
      <c r="CG150" s="213"/>
      <c r="CH150" s="213"/>
      <c r="CI150" s="213"/>
      <c r="CJ150" s="213"/>
      <c r="CK150" s="213"/>
      <c r="CL150" s="213"/>
      <c r="CM150" s="213"/>
      <c r="CN150" s="213"/>
      <c r="CO150" s="213"/>
      <c r="CP150" s="213"/>
      <c r="CQ150" s="213"/>
      <c r="CR150" s="213"/>
      <c r="CS150" s="213"/>
      <c r="CT150" s="213"/>
      <c r="CU150" s="213"/>
    </row>
    <row r="151" ht="15.75" hidden="1" customHeight="1">
      <c r="A151" s="213"/>
      <c r="B151" s="393"/>
      <c r="C151" s="350" t="s">
        <v>291</v>
      </c>
      <c r="D151" s="604"/>
      <c r="E151" s="355">
        <f t="shared" si="348"/>
        <v>0</v>
      </c>
      <c r="F151" s="352"/>
      <c r="G151" s="352"/>
      <c r="H151" s="352"/>
      <c r="I151" s="358"/>
      <c r="J151" s="604"/>
      <c r="K151" s="352"/>
      <c r="L151" s="352"/>
      <c r="M151" s="352"/>
      <c r="N151" s="352"/>
      <c r="O151" s="358"/>
      <c r="P151" s="349"/>
      <c r="Q151" s="352"/>
      <c r="R151" s="352"/>
      <c r="S151" s="352"/>
      <c r="T151" s="352"/>
      <c r="U151" s="358"/>
      <c r="V151" s="604"/>
      <c r="W151" s="352"/>
      <c r="X151" s="352"/>
      <c r="Y151" s="352"/>
      <c r="Z151" s="352"/>
      <c r="AA151" s="358"/>
      <c r="AB151" s="604"/>
      <c r="AC151" s="352"/>
      <c r="AD151" s="357"/>
      <c r="AE151" s="352"/>
      <c r="AF151" s="352"/>
      <c r="AG151" s="358"/>
      <c r="AH151" s="604"/>
      <c r="AI151" s="352"/>
      <c r="AJ151" s="352"/>
      <c r="AK151" s="352"/>
      <c r="AL151" s="352"/>
      <c r="AM151" s="358"/>
      <c r="AN151" s="604"/>
      <c r="AO151" s="352"/>
      <c r="AP151" s="352"/>
      <c r="AQ151" s="352"/>
      <c r="AR151" s="352"/>
      <c r="AS151" s="358"/>
      <c r="AT151" s="604"/>
      <c r="AU151" s="352"/>
      <c r="AV151" s="352"/>
      <c r="AW151" s="352"/>
      <c r="AX151" s="352"/>
      <c r="AY151" s="358"/>
      <c r="AZ151" s="604"/>
      <c r="BA151" s="352"/>
      <c r="BB151" s="352"/>
      <c r="BC151" s="352"/>
      <c r="BD151" s="352"/>
      <c r="BE151" s="358"/>
      <c r="BF151" s="604"/>
      <c r="BG151" s="352"/>
      <c r="BH151" s="352"/>
      <c r="BI151" s="352"/>
      <c r="BJ151" s="352"/>
      <c r="BK151" s="358"/>
      <c r="BL151" s="604"/>
      <c r="BM151" s="352"/>
      <c r="BN151" s="357"/>
      <c r="BO151" s="352"/>
      <c r="BP151" s="352"/>
      <c r="BQ151" s="358"/>
      <c r="BR151" s="604"/>
      <c r="BS151" s="352"/>
      <c r="BT151" s="357"/>
      <c r="BU151" s="352"/>
      <c r="BV151" s="352"/>
      <c r="BW151" s="358"/>
      <c r="BX151" s="213"/>
      <c r="BY151" s="213"/>
      <c r="BZ151" s="213"/>
      <c r="CA151" s="213"/>
      <c r="CB151" s="213"/>
      <c r="CC151" s="213"/>
      <c r="CD151" s="213"/>
      <c r="CE151" s="213"/>
      <c r="CF151" s="213"/>
      <c r="CG151" s="213"/>
      <c r="CH151" s="213"/>
      <c r="CI151" s="213"/>
      <c r="CJ151" s="213"/>
      <c r="CK151" s="213"/>
      <c r="CL151" s="213"/>
      <c r="CM151" s="213"/>
      <c r="CN151" s="213"/>
      <c r="CO151" s="213"/>
      <c r="CP151" s="213"/>
      <c r="CQ151" s="213"/>
      <c r="CR151" s="213"/>
      <c r="CS151" s="213"/>
      <c r="CT151" s="213"/>
      <c r="CU151" s="213"/>
    </row>
    <row r="152" ht="15.75" hidden="1" customHeight="1">
      <c r="A152" s="213"/>
      <c r="B152" s="393"/>
      <c r="C152" s="350"/>
      <c r="D152" s="604"/>
      <c r="E152" s="352"/>
      <c r="F152" s="352"/>
      <c r="G152" s="352"/>
      <c r="H152" s="352"/>
      <c r="I152" s="358"/>
      <c r="J152" s="604"/>
      <c r="K152" s="352"/>
      <c r="L152" s="352"/>
      <c r="M152" s="352"/>
      <c r="N152" s="352"/>
      <c r="O152" s="358"/>
      <c r="P152" s="349"/>
      <c r="Q152" s="352"/>
      <c r="R152" s="352"/>
      <c r="S152" s="352"/>
      <c r="T152" s="352"/>
      <c r="U152" s="358"/>
      <c r="V152" s="604"/>
      <c r="W152" s="352"/>
      <c r="X152" s="352"/>
      <c r="Y152" s="352"/>
      <c r="Z152" s="352"/>
      <c r="AA152" s="358"/>
      <c r="AB152" s="604"/>
      <c r="AC152" s="352"/>
      <c r="AD152" s="357"/>
      <c r="AE152" s="352"/>
      <c r="AF152" s="352"/>
      <c r="AG152" s="358"/>
      <c r="AH152" s="604"/>
      <c r="AI152" s="352"/>
      <c r="AJ152" s="352"/>
      <c r="AK152" s="352"/>
      <c r="AL152" s="352"/>
      <c r="AM152" s="358"/>
      <c r="AN152" s="604"/>
      <c r="AO152" s="352"/>
      <c r="AP152" s="352"/>
      <c r="AQ152" s="352"/>
      <c r="AR152" s="352"/>
      <c r="AS152" s="358"/>
      <c r="AT152" s="604"/>
      <c r="AU152" s="352"/>
      <c r="AV152" s="352"/>
      <c r="AW152" s="352"/>
      <c r="AX152" s="352"/>
      <c r="AY152" s="358"/>
      <c r="AZ152" s="604"/>
      <c r="BA152" s="352"/>
      <c r="BB152" s="352"/>
      <c r="BC152" s="352"/>
      <c r="BD152" s="352"/>
      <c r="BE152" s="358"/>
      <c r="BF152" s="604"/>
      <c r="BG152" s="352"/>
      <c r="BH152" s="352"/>
      <c r="BI152" s="352"/>
      <c r="BJ152" s="352"/>
      <c r="BK152" s="358"/>
      <c r="BL152" s="604"/>
      <c r="BM152" s="352"/>
      <c r="BN152" s="357"/>
      <c r="BO152" s="352"/>
      <c r="BP152" s="352"/>
      <c r="BQ152" s="358"/>
      <c r="BR152" s="604"/>
      <c r="BS152" s="352"/>
      <c r="BT152" s="357"/>
      <c r="BU152" s="352"/>
      <c r="BV152" s="352"/>
      <c r="BW152" s="358"/>
      <c r="BX152" s="213"/>
      <c r="BY152" s="213"/>
      <c r="BZ152" s="213"/>
      <c r="CA152" s="213"/>
      <c r="CB152" s="213"/>
      <c r="CC152" s="213"/>
      <c r="CD152" s="213"/>
      <c r="CE152" s="213"/>
      <c r="CF152" s="213"/>
      <c r="CG152" s="213"/>
      <c r="CH152" s="213"/>
      <c r="CI152" s="213"/>
      <c r="CJ152" s="213"/>
      <c r="CK152" s="213"/>
      <c r="CL152" s="213"/>
      <c r="CM152" s="213"/>
      <c r="CN152" s="213"/>
      <c r="CO152" s="213"/>
      <c r="CP152" s="213"/>
      <c r="CQ152" s="213"/>
      <c r="CR152" s="213"/>
      <c r="CS152" s="213"/>
      <c r="CT152" s="213"/>
      <c r="CU152" s="213"/>
    </row>
    <row r="153" ht="15.75" hidden="1" customHeight="1">
      <c r="A153" s="213"/>
      <c r="B153" s="393"/>
      <c r="C153" s="723" t="s">
        <v>43</v>
      </c>
      <c r="D153" s="604">
        <f>SUM(D154)</f>
        <v>0</v>
      </c>
      <c r="E153" s="355">
        <f>D153/D$33</f>
        <v>0</v>
      </c>
      <c r="F153" s="357">
        <f>SUM(F154)</f>
        <v>0</v>
      </c>
      <c r="G153" s="355">
        <f>F153/F$33</f>
        <v>0</v>
      </c>
      <c r="H153" s="352">
        <f>SUM(H154)</f>
        <v>0</v>
      </c>
      <c r="I153" s="358"/>
      <c r="J153" s="604">
        <f>SUM(J154)</f>
        <v>0</v>
      </c>
      <c r="K153" s="352"/>
      <c r="L153" s="357">
        <f>SUM(L154)</f>
        <v>0</v>
      </c>
      <c r="M153" s="355">
        <f>L153/L$33</f>
        <v>0</v>
      </c>
      <c r="N153" s="352">
        <f>SUM(N154)</f>
        <v>0</v>
      </c>
      <c r="O153" s="358"/>
      <c r="P153" s="349">
        <f>SUM(P154)</f>
        <v>0</v>
      </c>
      <c r="Q153" s="352"/>
      <c r="R153" s="357">
        <f>SUM(R154)</f>
        <v>0</v>
      </c>
      <c r="S153" s="355">
        <f>R153/R$33</f>
        <v>0</v>
      </c>
      <c r="T153" s="352">
        <f>SUM(T154)</f>
        <v>0</v>
      </c>
      <c r="U153" s="358"/>
      <c r="V153" s="604">
        <f>SUM(V154)</f>
        <v>0</v>
      </c>
      <c r="W153" s="352"/>
      <c r="X153" s="357">
        <f>SUM(X154)</f>
        <v>0</v>
      </c>
      <c r="Y153" s="355">
        <f>X153/X$33</f>
        <v>0</v>
      </c>
      <c r="Z153" s="352">
        <f>SUM(Z154)</f>
        <v>0</v>
      </c>
      <c r="AA153" s="358"/>
      <c r="AB153" s="604">
        <f>SUM(AB154)</f>
        <v>0</v>
      </c>
      <c r="AC153" s="352"/>
      <c r="AD153" s="357">
        <f>SUM(AD154)</f>
        <v>0</v>
      </c>
      <c r="AE153" s="355">
        <f>AD153/AD$33</f>
        <v>0</v>
      </c>
      <c r="AF153" s="352">
        <f>SUM(AF154)</f>
        <v>0</v>
      </c>
      <c r="AG153" s="358"/>
      <c r="AH153" s="604">
        <f>SUM(AH154)</f>
        <v>0</v>
      </c>
      <c r="AI153" s="352"/>
      <c r="AJ153" s="357">
        <f>SUM(AJ154)</f>
        <v>0</v>
      </c>
      <c r="AK153" s="355">
        <f>AJ153/AJ$33</f>
        <v>0</v>
      </c>
      <c r="AL153" s="352">
        <f>SUM(AL154)</f>
        <v>0</v>
      </c>
      <c r="AM153" s="358"/>
      <c r="AN153" s="604">
        <f>SUM(AN154)</f>
        <v>0</v>
      </c>
      <c r="AO153" s="352"/>
      <c r="AP153" s="357">
        <f>SUM(AP154)</f>
        <v>0</v>
      </c>
      <c r="AQ153" s="355">
        <f>AP153/AP$33</f>
        <v>0</v>
      </c>
      <c r="AR153" s="352">
        <f>SUM(AR154)</f>
        <v>0</v>
      </c>
      <c r="AS153" s="358"/>
      <c r="AT153" s="604">
        <f>SUM(AT154)</f>
        <v>0</v>
      </c>
      <c r="AU153" s="352"/>
      <c r="AV153" s="357">
        <f>SUM(AV154)</f>
        <v>0</v>
      </c>
      <c r="AW153" s="355">
        <f>AV153/AV$33</f>
        <v>0</v>
      </c>
      <c r="AX153" s="352">
        <f>SUM(AX154)</f>
        <v>0</v>
      </c>
      <c r="AY153" s="358"/>
      <c r="AZ153" s="604">
        <f>SUM(AZ154)</f>
        <v>0</v>
      </c>
      <c r="BA153" s="352"/>
      <c r="BB153" s="357">
        <f>SUM(BB154)</f>
        <v>0</v>
      </c>
      <c r="BC153" s="355">
        <f>BB153/BB$33</f>
        <v>0</v>
      </c>
      <c r="BD153" s="352">
        <f>SUM(BD154)</f>
        <v>0</v>
      </c>
      <c r="BE153" s="358"/>
      <c r="BF153" s="604">
        <f>SUM(BF154)</f>
        <v>0</v>
      </c>
      <c r="BG153" s="352"/>
      <c r="BH153" s="357">
        <f>SUM(BH154)</f>
        <v>0</v>
      </c>
      <c r="BI153" s="355">
        <f>BH153/BH$33</f>
        <v>0</v>
      </c>
      <c r="BJ153" s="352">
        <f>SUM(BJ154)</f>
        <v>0</v>
      </c>
      <c r="BK153" s="358"/>
      <c r="BL153" s="604">
        <f>SUM(BL154)</f>
        <v>0</v>
      </c>
      <c r="BM153" s="352"/>
      <c r="BN153" s="357">
        <f>SUM(BN154)</f>
        <v>0</v>
      </c>
      <c r="BO153" s="355">
        <f>BN153/BN$33</f>
        <v>0</v>
      </c>
      <c r="BP153" s="352">
        <f>SUM(BP154)</f>
        <v>0</v>
      </c>
      <c r="BQ153" s="358"/>
      <c r="BR153" s="604">
        <f>SUM(BR154)</f>
        <v>0</v>
      </c>
      <c r="BS153" s="352"/>
      <c r="BT153" s="357">
        <f>SUM(BT154)</f>
        <v>0</v>
      </c>
      <c r="BU153" s="355">
        <f>BT153/BT$33</f>
        <v>0</v>
      </c>
      <c r="BV153" s="352">
        <f>SUM(BV154)</f>
        <v>0</v>
      </c>
      <c r="BW153" s="358"/>
      <c r="BX153" s="216"/>
      <c r="BY153" s="216"/>
      <c r="BZ153" s="216"/>
      <c r="CA153" s="216"/>
      <c r="CB153" s="216"/>
      <c r="CC153" s="216"/>
      <c r="CD153" s="216"/>
      <c r="CE153" s="216"/>
      <c r="CF153" s="216"/>
      <c r="CG153" s="216"/>
      <c r="CH153" s="216"/>
      <c r="CI153" s="216"/>
      <c r="CJ153" s="216"/>
      <c r="CK153" s="216"/>
      <c r="CL153" s="216"/>
      <c r="CM153" s="216"/>
      <c r="CN153" s="216"/>
      <c r="CO153" s="216"/>
      <c r="CP153" s="216"/>
      <c r="CQ153" s="216"/>
      <c r="CR153" s="216"/>
      <c r="CS153" s="216"/>
      <c r="CT153" s="216"/>
      <c r="CU153" s="216"/>
    </row>
    <row r="154" ht="15.75" hidden="1" customHeight="1">
      <c r="A154" s="213"/>
      <c r="B154" s="393"/>
      <c r="C154" s="350" t="s">
        <v>292</v>
      </c>
      <c r="D154" s="604"/>
      <c r="E154" s="352"/>
      <c r="F154" s="352"/>
      <c r="G154" s="352"/>
      <c r="H154" s="352"/>
      <c r="I154" s="358"/>
      <c r="J154" s="604"/>
      <c r="K154" s="352"/>
      <c r="L154" s="352"/>
      <c r="M154" s="352"/>
      <c r="N154" s="352"/>
      <c r="O154" s="358"/>
      <c r="P154" s="349"/>
      <c r="Q154" s="352"/>
      <c r="R154" s="352"/>
      <c r="S154" s="352"/>
      <c r="T154" s="352"/>
      <c r="U154" s="358"/>
      <c r="V154" s="604"/>
      <c r="W154" s="352"/>
      <c r="X154" s="352"/>
      <c r="Y154" s="352"/>
      <c r="Z154" s="352"/>
      <c r="AA154" s="358"/>
      <c r="AB154" s="604"/>
      <c r="AC154" s="352"/>
      <c r="AD154" s="357"/>
      <c r="AE154" s="352"/>
      <c r="AF154" s="352"/>
      <c r="AG154" s="358"/>
      <c r="AH154" s="604"/>
      <c r="AI154" s="352"/>
      <c r="AJ154" s="352"/>
      <c r="AK154" s="352"/>
      <c r="AL154" s="352"/>
      <c r="AM154" s="358"/>
      <c r="AN154" s="604"/>
      <c r="AO154" s="352"/>
      <c r="AP154" s="352"/>
      <c r="AQ154" s="352"/>
      <c r="AR154" s="352"/>
      <c r="AS154" s="358"/>
      <c r="AT154" s="604"/>
      <c r="AU154" s="352"/>
      <c r="AV154" s="352"/>
      <c r="AW154" s="352"/>
      <c r="AX154" s="352"/>
      <c r="AY154" s="358"/>
      <c r="AZ154" s="604"/>
      <c r="BA154" s="352"/>
      <c r="BB154" s="352"/>
      <c r="BC154" s="352"/>
      <c r="BD154" s="352"/>
      <c r="BE154" s="358"/>
      <c r="BF154" s="604"/>
      <c r="BG154" s="352"/>
      <c r="BH154" s="352"/>
      <c r="BI154" s="352"/>
      <c r="BJ154" s="352"/>
      <c r="BK154" s="358"/>
      <c r="BL154" s="604"/>
      <c r="BM154" s="352"/>
      <c r="BN154" s="357"/>
      <c r="BO154" s="352"/>
      <c r="BP154" s="352"/>
      <c r="BQ154" s="358"/>
      <c r="BR154" s="604"/>
      <c r="BS154" s="352"/>
      <c r="BT154" s="357"/>
      <c r="BU154" s="352"/>
      <c r="BV154" s="352"/>
      <c r="BW154" s="358"/>
      <c r="BX154" s="213"/>
      <c r="BY154" s="213"/>
      <c r="BZ154" s="213"/>
      <c r="CA154" s="213"/>
      <c r="CB154" s="213"/>
      <c r="CC154" s="213"/>
      <c r="CD154" s="213"/>
      <c r="CE154" s="213"/>
      <c r="CF154" s="213"/>
      <c r="CG154" s="213"/>
      <c r="CH154" s="213"/>
      <c r="CI154" s="213"/>
      <c r="CJ154" s="213"/>
      <c r="CK154" s="213"/>
      <c r="CL154" s="213"/>
      <c r="CM154" s="213"/>
      <c r="CN154" s="213"/>
      <c r="CO154" s="213"/>
      <c r="CP154" s="213"/>
      <c r="CQ154" s="213"/>
      <c r="CR154" s="213"/>
      <c r="CS154" s="213"/>
      <c r="CT154" s="213"/>
      <c r="CU154" s="213"/>
    </row>
    <row r="155" ht="15.75" customHeight="1">
      <c r="A155" s="213"/>
      <c r="B155" s="393"/>
      <c r="C155" s="350"/>
      <c r="D155" s="604"/>
      <c r="E155" s="352"/>
      <c r="F155" s="352"/>
      <c r="G155" s="352"/>
      <c r="H155" s="352"/>
      <c r="I155" s="358"/>
      <c r="J155" s="604"/>
      <c r="K155" s="352"/>
      <c r="L155" s="352"/>
      <c r="M155" s="352"/>
      <c r="N155" s="352"/>
      <c r="O155" s="358"/>
      <c r="P155" s="349"/>
      <c r="Q155" s="352"/>
      <c r="R155" s="352"/>
      <c r="S155" s="352"/>
      <c r="T155" s="352"/>
      <c r="U155" s="358"/>
      <c r="V155" s="604"/>
      <c r="W155" s="352"/>
      <c r="X155" s="352"/>
      <c r="Y155" s="352"/>
      <c r="Z155" s="352"/>
      <c r="AA155" s="358"/>
      <c r="AB155" s="604"/>
      <c r="AC155" s="352"/>
      <c r="AD155" s="357"/>
      <c r="AE155" s="352"/>
      <c r="AF155" s="352"/>
      <c r="AG155" s="358"/>
      <c r="AH155" s="604"/>
      <c r="AI155" s="352"/>
      <c r="AJ155" s="352"/>
      <c r="AK155" s="352"/>
      <c r="AL155" s="352"/>
      <c r="AM155" s="358"/>
      <c r="AN155" s="604"/>
      <c r="AO155" s="352"/>
      <c r="AP155" s="352"/>
      <c r="AQ155" s="352"/>
      <c r="AR155" s="352"/>
      <c r="AS155" s="358"/>
      <c r="AT155" s="604"/>
      <c r="AU155" s="352"/>
      <c r="AV155" s="352"/>
      <c r="AW155" s="352"/>
      <c r="AX155" s="352"/>
      <c r="AY155" s="358"/>
      <c r="AZ155" s="604"/>
      <c r="BA155" s="352"/>
      <c r="BB155" s="352"/>
      <c r="BC155" s="352"/>
      <c r="BD155" s="352"/>
      <c r="BE155" s="358"/>
      <c r="BF155" s="604"/>
      <c r="BG155" s="352"/>
      <c r="BH155" s="352"/>
      <c r="BI155" s="352"/>
      <c r="BJ155" s="352"/>
      <c r="BK155" s="358"/>
      <c r="BL155" s="604"/>
      <c r="BM155" s="352"/>
      <c r="BN155" s="357"/>
      <c r="BO155" s="352"/>
      <c r="BP155" s="352"/>
      <c r="BQ155" s="358"/>
      <c r="BR155" s="604"/>
      <c r="BS155" s="352"/>
      <c r="BT155" s="357"/>
      <c r="BU155" s="352"/>
      <c r="BV155" s="352"/>
      <c r="BW155" s="358"/>
      <c r="BX155" s="213"/>
      <c r="BY155" s="213"/>
      <c r="BZ155" s="213"/>
      <c r="CA155" s="213"/>
      <c r="CB155" s="213"/>
      <c r="CC155" s="213"/>
      <c r="CD155" s="213"/>
      <c r="CE155" s="213"/>
      <c r="CF155" s="213"/>
      <c r="CG155" s="213"/>
      <c r="CH155" s="213"/>
      <c r="CI155" s="213"/>
      <c r="CJ155" s="213"/>
      <c r="CK155" s="213"/>
      <c r="CL155" s="213"/>
      <c r="CM155" s="213"/>
      <c r="CN155" s="213"/>
      <c r="CO155" s="213"/>
      <c r="CP155" s="213"/>
      <c r="CQ155" s="213"/>
      <c r="CR155" s="213"/>
      <c r="CS155" s="213"/>
      <c r="CT155" s="213"/>
      <c r="CU155" s="213"/>
    </row>
    <row r="156" ht="15.75" customHeight="1">
      <c r="A156" s="213"/>
      <c r="B156" s="393"/>
      <c r="C156" s="350"/>
      <c r="D156" s="604"/>
      <c r="E156" s="352"/>
      <c r="F156" s="352"/>
      <c r="G156" s="352"/>
      <c r="H156" s="352"/>
      <c r="I156" s="358"/>
      <c r="J156" s="604"/>
      <c r="K156" s="352"/>
      <c r="L156" s="352"/>
      <c r="M156" s="352"/>
      <c r="N156" s="352"/>
      <c r="O156" s="358"/>
      <c r="P156" s="349"/>
      <c r="Q156" s="352"/>
      <c r="R156" s="352"/>
      <c r="S156" s="352"/>
      <c r="T156" s="352"/>
      <c r="U156" s="358"/>
      <c r="V156" s="604"/>
      <c r="W156" s="352"/>
      <c r="X156" s="352"/>
      <c r="Y156" s="352"/>
      <c r="Z156" s="352"/>
      <c r="AA156" s="358"/>
      <c r="AB156" s="604"/>
      <c r="AC156" s="352"/>
      <c r="AD156" s="357"/>
      <c r="AE156" s="352"/>
      <c r="AF156" s="352"/>
      <c r="AG156" s="358"/>
      <c r="AH156" s="604"/>
      <c r="AI156" s="352"/>
      <c r="AJ156" s="352"/>
      <c r="AK156" s="352"/>
      <c r="AL156" s="352"/>
      <c r="AM156" s="358"/>
      <c r="AN156" s="604"/>
      <c r="AO156" s="352"/>
      <c r="AP156" s="352"/>
      <c r="AQ156" s="352"/>
      <c r="AR156" s="352"/>
      <c r="AS156" s="358"/>
      <c r="AT156" s="604"/>
      <c r="AU156" s="352"/>
      <c r="AV156" s="352"/>
      <c r="AW156" s="352"/>
      <c r="AX156" s="352"/>
      <c r="AY156" s="358"/>
      <c r="AZ156" s="604"/>
      <c r="BA156" s="352"/>
      <c r="BB156" s="352"/>
      <c r="BC156" s="352"/>
      <c r="BD156" s="352"/>
      <c r="BE156" s="358"/>
      <c r="BF156" s="604"/>
      <c r="BG156" s="352"/>
      <c r="BH156" s="352"/>
      <c r="BI156" s="352"/>
      <c r="BJ156" s="352"/>
      <c r="BK156" s="358"/>
      <c r="BL156" s="604"/>
      <c r="BM156" s="352"/>
      <c r="BN156" s="357"/>
      <c r="BO156" s="352"/>
      <c r="BP156" s="352"/>
      <c r="BQ156" s="358"/>
      <c r="BR156" s="604"/>
      <c r="BS156" s="352"/>
      <c r="BT156" s="357"/>
      <c r="BU156" s="352"/>
      <c r="BV156" s="352"/>
      <c r="BW156" s="358"/>
      <c r="BX156" s="213"/>
      <c r="BY156" s="213"/>
      <c r="BZ156" s="213"/>
      <c r="CA156" s="213"/>
      <c r="CB156" s="213"/>
      <c r="CC156" s="213"/>
      <c r="CD156" s="213"/>
      <c r="CE156" s="213"/>
      <c r="CF156" s="213"/>
      <c r="CG156" s="213"/>
      <c r="CH156" s="213"/>
      <c r="CI156" s="213"/>
      <c r="CJ156" s="213"/>
      <c r="CK156" s="213"/>
      <c r="CL156" s="213"/>
      <c r="CM156" s="213"/>
      <c r="CN156" s="213"/>
      <c r="CO156" s="213"/>
      <c r="CP156" s="213"/>
      <c r="CQ156" s="213"/>
      <c r="CR156" s="213"/>
      <c r="CS156" s="213"/>
      <c r="CT156" s="213"/>
      <c r="CU156" s="213"/>
    </row>
    <row r="157" ht="15.75" customHeight="1">
      <c r="A157" s="213"/>
      <c r="B157" s="393"/>
      <c r="C157" s="350" t="s">
        <v>293</v>
      </c>
      <c r="D157" s="357">
        <f>D77+D89+D100+D107+D113+D124+D127+D132+D148+D153</f>
        <v>6088264.264</v>
      </c>
      <c r="E157" s="355">
        <f>D157/D$33</f>
        <v>0.4901723434</v>
      </c>
      <c r="F157" s="357">
        <f>F77+F89+F100+F107+F113+F124+F127+F132+F148+F153</f>
        <v>6111359.837</v>
      </c>
      <c r="G157" s="355">
        <f>F157/F$33</f>
        <v>0.4719407408</v>
      </c>
      <c r="H157" s="357">
        <f>D157-F157</f>
        <v>-23095.57242</v>
      </c>
      <c r="I157" s="395">
        <f>H157/F157</f>
        <v>-0.003779121674</v>
      </c>
      <c r="J157" s="357">
        <f>J77+J89+J100+J107+J113+J124+J127+J132+J148+J153</f>
        <v>6100518.049</v>
      </c>
      <c r="K157" s="355">
        <f>J157/J$33</f>
        <v>0.4785477589</v>
      </c>
      <c r="L157" s="357">
        <f>L77+L89+L100+L107+L113+L124+L127+L132+L148+L153</f>
        <v>6081764.864</v>
      </c>
      <c r="M157" s="355">
        <f>L157/L$33</f>
        <v>0.4924466363</v>
      </c>
      <c r="N157" s="352"/>
      <c r="O157" s="358"/>
      <c r="P157" s="357">
        <f>P77+P89+P100+P107+P113+P124+P127+P132+P148+P153</f>
        <v>5808576.271</v>
      </c>
      <c r="Q157" s="355">
        <f>P157/P$33</f>
        <v>0.5141778141</v>
      </c>
      <c r="R157" s="357">
        <f>R77+R89+R100+R107+R113+R124+R127+R132+R148+R153</f>
        <v>6236323.256</v>
      </c>
      <c r="S157" s="355">
        <f>R157/R$33</f>
        <v>0.477090922</v>
      </c>
      <c r="T157" s="352"/>
      <c r="U157" s="358"/>
      <c r="V157" s="357">
        <f>V77+V89+V100+V107+V113+V124+V127+V132+V148+V153</f>
        <v>5967415.293</v>
      </c>
      <c r="W157" s="355">
        <f>V157/V$33</f>
        <v>0.4254801822</v>
      </c>
      <c r="X157" s="357">
        <f>X77+X89+X100+X107+X113+X124+X127+X132+X148+X153</f>
        <v>6131063.947</v>
      </c>
      <c r="Y157" s="355">
        <f>X157/X$33</f>
        <v>0.4517721162</v>
      </c>
      <c r="Z157" s="352"/>
      <c r="AA157" s="358"/>
      <c r="AB157" s="357">
        <f>AB77+AB89+AB100+AB107+AB113+AB124+AB127+AB132+AB148+AB153</f>
        <v>6025317.707</v>
      </c>
      <c r="AC157" s="355">
        <f>AB157/AB$33</f>
        <v>0.4254642652</v>
      </c>
      <c r="AD157" s="357">
        <f>AD77+AD89+AD100+AD107+AD113+AD124+AD127+AD132+AD148+AD153</f>
        <v>6399289.599</v>
      </c>
      <c r="AE157" s="355">
        <f>AD157/AD$33</f>
        <v>0.445009709</v>
      </c>
      <c r="AF157" s="352"/>
      <c r="AG157" s="358"/>
      <c r="AH157" s="357">
        <f>AH77+AH89+AH100+AH107+AH113+AH124+AH127+AH132+AH148+AH153</f>
        <v>6036220.005</v>
      </c>
      <c r="AI157" s="355">
        <f>AH157/AH$33</f>
        <v>0.5059320038</v>
      </c>
      <c r="AJ157" s="357">
        <f>AJ77+AJ89+AJ100+AJ107+AJ113+AJ124+AJ127+AJ132+AJ148+AJ153</f>
        <v>6353194.75</v>
      </c>
      <c r="AK157" s="355">
        <f>AJ157/AJ$33</f>
        <v>0.4661385258</v>
      </c>
      <c r="AL157" s="352"/>
      <c r="AM157" s="358"/>
      <c r="AN157" s="357">
        <f>AN77+AN89+AN100+AN107+AN113+AN124+AN127+AN132+AN148+AN153</f>
        <v>6341395.11</v>
      </c>
      <c r="AO157" s="355">
        <f>AN157/AN$33</f>
        <v>0.5003627317</v>
      </c>
      <c r="AP157" s="357">
        <f>AP77+AP89+AP100+AP107+AP113+AP124+AP127+AP132+AP148+AP153</f>
        <v>6561881.212</v>
      </c>
      <c r="AQ157" s="355">
        <f>AP157/AP$33</f>
        <v>0.4352262776</v>
      </c>
      <c r="AR157" s="352"/>
      <c r="AS157" s="358"/>
      <c r="AT157" s="357">
        <f>AT77+AT89+AT100+AT107+AT113+AT124+AT127+AT132+AT148+AT153</f>
        <v>6806382.049</v>
      </c>
      <c r="AU157" s="355">
        <f>AT157/AT$33</f>
        <v>0.5341057473</v>
      </c>
      <c r="AV157" s="357">
        <f>AV77+AV89+AV100+AV107+AV113+AV124+AV127+AV132+AV148+AV153</f>
        <v>6425655.691</v>
      </c>
      <c r="AW157" s="355">
        <f>AV157/AV$33</f>
        <v>0.4137398169</v>
      </c>
      <c r="AX157" s="352"/>
      <c r="AY157" s="358"/>
      <c r="AZ157" s="357">
        <f>AZ77+AZ89+AZ100+AZ107+AZ113+AZ124+AZ127+AZ132+AZ148+AZ153</f>
        <v>7375564.51</v>
      </c>
      <c r="BA157" s="355">
        <f>AZ157/AZ$33</f>
        <v>0.4118943556</v>
      </c>
      <c r="BB157" s="357">
        <f>BB77+BB89+BB100+BB107+BB113+BB124+BB127+BB132+BB148+BB153</f>
        <v>6639774.048</v>
      </c>
      <c r="BC157" s="355">
        <f>BB157/BB$33</f>
        <v>0.3969952381</v>
      </c>
      <c r="BD157" s="352"/>
      <c r="BE157" s="358"/>
      <c r="BF157" s="357">
        <f>BF77+BF89+BF100+BF107+BF113+BF124+BF127+BF132+BF148+BF153</f>
        <v>7121489.539</v>
      </c>
      <c r="BG157" s="355">
        <f>BF157/BF$33</f>
        <v>0.4123637555</v>
      </c>
      <c r="BH157" s="357">
        <f>BH77+BH89+BH100+BH107+BH113+BH124+BH127+BH132+BH148+BH153</f>
        <v>6562264.991</v>
      </c>
      <c r="BI157" s="355">
        <f>BH157/BH$33</f>
        <v>0.4043323047</v>
      </c>
      <c r="BJ157" s="352"/>
      <c r="BK157" s="358"/>
      <c r="BL157" s="357">
        <f>BL77+BL89+BL100+BL107+BL113+BL124+BL127+BL132+BL148+BL153</f>
        <v>6565314.22</v>
      </c>
      <c r="BM157" s="355">
        <f>BL157/BL$33</f>
        <v>0.387958108</v>
      </c>
      <c r="BN157" s="357">
        <f>BN77+BN89+BN100+BN107+BN113+BN124+BN127+BN132+BN148+BN153</f>
        <v>6251117.381</v>
      </c>
      <c r="BO157" s="355">
        <f>BN157/BN$33</f>
        <v>0.4593583322</v>
      </c>
      <c r="BP157" s="352"/>
      <c r="BQ157" s="358"/>
      <c r="BR157" s="357">
        <f>BR77+BR89+BR100+BR107+BR113+BR124+BR127+BR132+BR148+BR153</f>
        <v>6631278.39</v>
      </c>
      <c r="BS157" s="726">
        <f>BR157/BR$33</f>
        <v>0.4465020764</v>
      </c>
      <c r="BT157" s="655">
        <f>BT77+BT89+BT100+BT107+BT113+BT124+BT127+BT132+BT148+BT153</f>
        <v>6422235.821</v>
      </c>
      <c r="BU157" s="726">
        <f>BT157/BT$33</f>
        <v>0.4311481477</v>
      </c>
      <c r="BV157" s="658"/>
      <c r="BW157" s="656"/>
      <c r="BX157" s="718">
        <f>D157+J157+P157+V157+AB157+AH157+AN157+AT157+AZ157+BF157+BL157+BR157</f>
        <v>76867735.41</v>
      </c>
      <c r="BY157" s="213"/>
      <c r="BZ157" s="213"/>
      <c r="CA157" s="213"/>
      <c r="CB157" s="213"/>
      <c r="CC157" s="213"/>
      <c r="CD157" s="213"/>
      <c r="CE157" s="213"/>
      <c r="CF157" s="213"/>
      <c r="CG157" s="213"/>
      <c r="CH157" s="213"/>
      <c r="CI157" s="213"/>
      <c r="CJ157" s="213"/>
      <c r="CK157" s="213"/>
      <c r="CL157" s="213"/>
      <c r="CM157" s="213"/>
      <c r="CN157" s="213"/>
      <c r="CO157" s="213"/>
      <c r="CP157" s="213"/>
      <c r="CQ157" s="213"/>
      <c r="CR157" s="213"/>
      <c r="CS157" s="213"/>
      <c r="CT157" s="213"/>
      <c r="CU157" s="213"/>
    </row>
    <row r="158" ht="15.75" customHeight="1">
      <c r="A158" s="213"/>
      <c r="B158" s="403"/>
      <c r="C158" s="362"/>
      <c r="D158" s="619"/>
      <c r="E158" s="364"/>
      <c r="F158" s="364"/>
      <c r="G158" s="364"/>
      <c r="H158" s="367"/>
      <c r="I158" s="406"/>
      <c r="J158" s="619"/>
      <c r="K158" s="364"/>
      <c r="L158" s="364"/>
      <c r="M158" s="364"/>
      <c r="N158" s="364"/>
      <c r="O158" s="368"/>
      <c r="P158" s="361"/>
      <c r="Q158" s="364"/>
      <c r="R158" s="364"/>
      <c r="S158" s="364"/>
      <c r="T158" s="364"/>
      <c r="U158" s="368"/>
      <c r="V158" s="619"/>
      <c r="W158" s="364"/>
      <c r="X158" s="364"/>
      <c r="Y158" s="364"/>
      <c r="Z158" s="364"/>
      <c r="AA158" s="368"/>
      <c r="AB158" s="619"/>
      <c r="AC158" s="364"/>
      <c r="AD158" s="367"/>
      <c r="AE158" s="364"/>
      <c r="AF158" s="364"/>
      <c r="AG158" s="368"/>
      <c r="AH158" s="619"/>
      <c r="AI158" s="364"/>
      <c r="AJ158" s="364"/>
      <c r="AK158" s="364"/>
      <c r="AL158" s="364"/>
      <c r="AM158" s="368"/>
      <c r="AN158" s="619"/>
      <c r="AO158" s="364"/>
      <c r="AP158" s="364"/>
      <c r="AQ158" s="364"/>
      <c r="AR158" s="364"/>
      <c r="AS158" s="368"/>
      <c r="AT158" s="619"/>
      <c r="AU158" s="364"/>
      <c r="AV158" s="364"/>
      <c r="AW158" s="364"/>
      <c r="AX158" s="364"/>
      <c r="AY158" s="368"/>
      <c r="AZ158" s="619"/>
      <c r="BA158" s="364"/>
      <c r="BB158" s="364"/>
      <c r="BC158" s="364"/>
      <c r="BD158" s="364"/>
      <c r="BE158" s="368"/>
      <c r="BF158" s="619"/>
      <c r="BG158" s="364"/>
      <c r="BH158" s="364"/>
      <c r="BI158" s="364"/>
      <c r="BJ158" s="364"/>
      <c r="BK158" s="368"/>
      <c r="BL158" s="619"/>
      <c r="BM158" s="364"/>
      <c r="BN158" s="367"/>
      <c r="BO158" s="364"/>
      <c r="BP158" s="364"/>
      <c r="BQ158" s="368"/>
      <c r="BR158" s="720"/>
      <c r="BS158" s="364"/>
      <c r="BT158" s="367"/>
      <c r="BU158" s="364"/>
      <c r="BV158" s="364"/>
      <c r="BW158" s="368"/>
      <c r="BX158" s="213"/>
      <c r="BY158" s="213"/>
      <c r="BZ158" s="213"/>
      <c r="CA158" s="213"/>
      <c r="CB158" s="213"/>
      <c r="CC158" s="213"/>
      <c r="CD158" s="213"/>
      <c r="CE158" s="213"/>
      <c r="CF158" s="213"/>
      <c r="CG158" s="213"/>
      <c r="CH158" s="213"/>
      <c r="CI158" s="213"/>
      <c r="CJ158" s="213"/>
      <c r="CK158" s="213"/>
      <c r="CL158" s="213"/>
      <c r="CM158" s="213"/>
      <c r="CN158" s="213"/>
      <c r="CO158" s="213"/>
      <c r="CP158" s="213"/>
      <c r="CQ158" s="213"/>
      <c r="CR158" s="213"/>
      <c r="CS158" s="213"/>
      <c r="CT158" s="213"/>
      <c r="CU158" s="213"/>
    </row>
    <row r="159" ht="15.75" customHeight="1">
      <c r="A159" s="213"/>
      <c r="B159" s="407"/>
      <c r="C159" s="372" t="s">
        <v>294</v>
      </c>
      <c r="D159" s="377">
        <f>D68-D157</f>
        <v>2228701.005</v>
      </c>
      <c r="E159" s="374">
        <f>D159/D$33</f>
        <v>0.1794349829</v>
      </c>
      <c r="F159" s="377">
        <f>F68-F157</f>
        <v>3160343.607</v>
      </c>
      <c r="G159" s="374">
        <f>F159/F$33</f>
        <v>0.2440528692</v>
      </c>
      <c r="H159" s="377">
        <f>D159-F159</f>
        <v>-931642.6019</v>
      </c>
      <c r="I159" s="379">
        <f>H159/F159</f>
        <v>-0.2947915537</v>
      </c>
      <c r="J159" s="377">
        <f>J68-J157</f>
        <v>2375425.028</v>
      </c>
      <c r="K159" s="374">
        <f>J159/J$33</f>
        <v>0.1863373429</v>
      </c>
      <c r="L159" s="377">
        <f>L68-L157</f>
        <v>2769149.16</v>
      </c>
      <c r="M159" s="374">
        <f>L159/L$33</f>
        <v>0.224220801</v>
      </c>
      <c r="N159" s="408"/>
      <c r="O159" s="378"/>
      <c r="P159" s="377">
        <f>P68-P157</f>
        <v>1708603.606</v>
      </c>
      <c r="Q159" s="374">
        <f>P159/P$33</f>
        <v>0.1512463686</v>
      </c>
      <c r="R159" s="377">
        <f>R68-R157</f>
        <v>3119478.844</v>
      </c>
      <c r="S159" s="374">
        <f>R159/R$33</f>
        <v>0.2386462306</v>
      </c>
      <c r="T159" s="408"/>
      <c r="U159" s="378"/>
      <c r="V159" s="377">
        <f>V68-V157</f>
        <v>4077909.552</v>
      </c>
      <c r="W159" s="374">
        <f>V159/V$33</f>
        <v>0.2907573236</v>
      </c>
      <c r="X159" s="377">
        <f>X68-X157</f>
        <v>3583677.842</v>
      </c>
      <c r="Y159" s="374">
        <f>X159/X$33</f>
        <v>0.264066031</v>
      </c>
      <c r="Z159" s="408"/>
      <c r="AA159" s="378"/>
      <c r="AB159" s="377">
        <f>AB68-AB157</f>
        <v>3952848.456</v>
      </c>
      <c r="AC159" s="374">
        <f>AB159/AB$33</f>
        <v>0.2791215079</v>
      </c>
      <c r="AD159" s="377">
        <f>AD68-AD157</f>
        <v>3895770.821</v>
      </c>
      <c r="AE159" s="374">
        <f>AD159/AD$33</f>
        <v>0.2709137964</v>
      </c>
      <c r="AF159" s="408"/>
      <c r="AG159" s="378"/>
      <c r="AH159" s="377">
        <f>AH68-AH157</f>
        <v>1932221.183</v>
      </c>
      <c r="AI159" s="374">
        <f>AH159/AH$33</f>
        <v>0.1619511108</v>
      </c>
      <c r="AJ159" s="377">
        <f>AJ68-AJ157</f>
        <v>3400121.365</v>
      </c>
      <c r="AK159" s="374">
        <f>AJ159/AJ$33</f>
        <v>0.2494693808</v>
      </c>
      <c r="AL159" s="408"/>
      <c r="AM159" s="378"/>
      <c r="AN159" s="377">
        <f>AN68-AN157</f>
        <v>2081474.671</v>
      </c>
      <c r="AO159" s="374">
        <f>AN159/AN$33</f>
        <v>0.1642371015</v>
      </c>
      <c r="AP159" s="377">
        <f>AP68-AP157</f>
        <v>4229809.485</v>
      </c>
      <c r="AQ159" s="374">
        <f>AP159/AP$33</f>
        <v>0.2805482418</v>
      </c>
      <c r="AR159" s="408"/>
      <c r="AS159" s="378"/>
      <c r="AT159" s="377">
        <f>AT68-AT157</f>
        <v>1639313.554</v>
      </c>
      <c r="AU159" s="374">
        <f>AT159/AT$33</f>
        <v>0.1286390897</v>
      </c>
      <c r="AV159" s="377">
        <f>AV68-AV157</f>
        <v>4691946.99</v>
      </c>
      <c r="AW159" s="374">
        <f>AV159/AV$33</f>
        <v>0.3021085134</v>
      </c>
      <c r="AX159" s="408"/>
      <c r="AY159" s="378"/>
      <c r="AZ159" s="377">
        <f>AZ68-AZ157</f>
        <v>4947463.174</v>
      </c>
      <c r="BA159" s="374">
        <f>AZ159/AZ$33</f>
        <v>0.2762950759</v>
      </c>
      <c r="BB159" s="377">
        <f>BB68-BB157</f>
        <v>5331163.549</v>
      </c>
      <c r="BC159" s="374">
        <f>BB159/BB$33</f>
        <v>0.318752796</v>
      </c>
      <c r="BD159" s="408"/>
      <c r="BE159" s="378"/>
      <c r="BF159" s="377">
        <f>BF68-BF157</f>
        <v>4743348.324</v>
      </c>
      <c r="BG159" s="374">
        <f>BF159/BF$33</f>
        <v>0.2746595242</v>
      </c>
      <c r="BH159" s="377">
        <f>BH68-BH157</f>
        <v>5053641.587</v>
      </c>
      <c r="BI159" s="374">
        <f>BH159/BH$33</f>
        <v>0.3113788536</v>
      </c>
      <c r="BJ159" s="408"/>
      <c r="BK159" s="378"/>
      <c r="BL159" s="377">
        <f>BL68-BL157</f>
        <v>5559954.001</v>
      </c>
      <c r="BM159" s="374">
        <f>BL159/BL$33</f>
        <v>0.3285492762</v>
      </c>
      <c r="BN159" s="377">
        <f>BN68-BN157</f>
        <v>3485256.09</v>
      </c>
      <c r="BO159" s="374">
        <f>BN159/BN$33</f>
        <v>0.2561112401</v>
      </c>
      <c r="BP159" s="408"/>
      <c r="BQ159" s="378"/>
      <c r="BR159" s="377">
        <f>BR68-BR157</f>
        <v>3581587.593</v>
      </c>
      <c r="BS159" s="374">
        <f>BR159/BR$33</f>
        <v>0.2411580698</v>
      </c>
      <c r="BT159" s="377">
        <f>BT68-BT157</f>
        <v>4234865.378</v>
      </c>
      <c r="BU159" s="374">
        <f>BT159/BT$33</f>
        <v>0.2843019805</v>
      </c>
      <c r="BV159" s="408"/>
      <c r="BW159" s="378"/>
      <c r="BX159" s="718">
        <f>D159+J159+P159+V159+AB159+AH159+AN159+AT159+AZ159+BF159+BL159+BR159</f>
        <v>38828850.15</v>
      </c>
      <c r="BY159" s="237">
        <f>BX159-'FY25-26'!W30</f>
        <v>0</v>
      </c>
      <c r="BZ159" s="213"/>
      <c r="CA159" s="213"/>
      <c r="CB159" s="213"/>
      <c r="CC159" s="213"/>
      <c r="CD159" s="213"/>
      <c r="CE159" s="213"/>
      <c r="CF159" s="213"/>
      <c r="CG159" s="213"/>
      <c r="CH159" s="213"/>
      <c r="CI159" s="213"/>
      <c r="CJ159" s="213"/>
      <c r="CK159" s="213"/>
      <c r="CL159" s="213"/>
      <c r="CM159" s="213"/>
      <c r="CN159" s="213"/>
      <c r="CO159" s="213"/>
      <c r="CP159" s="213"/>
      <c r="CQ159" s="213"/>
      <c r="CR159" s="213"/>
      <c r="CS159" s="213"/>
      <c r="CT159" s="213"/>
      <c r="CU159" s="213"/>
    </row>
    <row r="160" ht="15.75" customHeight="1">
      <c r="A160" s="213"/>
      <c r="B160" s="213"/>
      <c r="C160" s="213"/>
      <c r="D160" s="213"/>
      <c r="E160" s="213"/>
      <c r="F160" s="213"/>
      <c r="G160" s="213"/>
      <c r="H160" s="213"/>
      <c r="I160" s="213"/>
      <c r="J160" s="213"/>
      <c r="K160" s="213"/>
      <c r="L160" s="213"/>
      <c r="M160" s="213"/>
      <c r="N160" s="213"/>
      <c r="O160" s="213"/>
      <c r="P160" s="213"/>
      <c r="Q160" s="213"/>
      <c r="R160" s="213"/>
      <c r="S160" s="213"/>
      <c r="T160" s="213"/>
      <c r="U160" s="213"/>
      <c r="V160" s="213"/>
      <c r="W160" s="213"/>
      <c r="X160" s="213"/>
      <c r="Y160" s="213"/>
      <c r="Z160" s="213"/>
      <c r="AA160" s="213"/>
      <c r="AB160" s="213"/>
      <c r="AC160" s="213"/>
      <c r="AD160" s="213"/>
      <c r="AE160" s="213"/>
      <c r="AF160" s="213"/>
      <c r="AG160" s="213"/>
      <c r="AH160" s="213"/>
      <c r="AI160" s="213"/>
      <c r="AJ160" s="213"/>
      <c r="AK160" s="213"/>
      <c r="AL160" s="213"/>
      <c r="AM160" s="213"/>
      <c r="AN160" s="213"/>
      <c r="AO160" s="213"/>
      <c r="AP160" s="213"/>
      <c r="AQ160" s="213"/>
      <c r="AR160" s="213"/>
      <c r="AS160" s="213"/>
      <c r="AT160" s="213"/>
      <c r="AU160" s="213"/>
      <c r="AV160" s="213"/>
      <c r="AW160" s="213"/>
      <c r="AX160" s="213"/>
      <c r="AY160" s="213"/>
      <c r="AZ160" s="213"/>
      <c r="BA160" s="213"/>
      <c r="BB160" s="213"/>
      <c r="BC160" s="213"/>
      <c r="BD160" s="213"/>
      <c r="BE160" s="213"/>
      <c r="BF160" s="213"/>
      <c r="BG160" s="213"/>
      <c r="BH160" s="213"/>
      <c r="BI160" s="213"/>
      <c r="BJ160" s="213"/>
      <c r="BK160" s="213"/>
      <c r="BL160" s="213"/>
      <c r="BM160" s="213"/>
      <c r="BN160" s="215"/>
      <c r="BO160" s="213"/>
      <c r="BP160" s="213"/>
      <c r="BQ160" s="213"/>
      <c r="BR160" s="326"/>
      <c r="BS160" s="213"/>
      <c r="BT160" s="213"/>
      <c r="BU160" s="213"/>
      <c r="BV160" s="213"/>
      <c r="BW160" s="213"/>
      <c r="BX160" s="213"/>
      <c r="BY160" s="213"/>
      <c r="BZ160" s="213"/>
      <c r="CA160" s="213"/>
      <c r="CB160" s="213"/>
      <c r="CC160" s="213"/>
      <c r="CD160" s="213"/>
      <c r="CE160" s="213"/>
      <c r="CF160" s="213"/>
      <c r="CG160" s="213"/>
      <c r="CH160" s="213"/>
      <c r="CI160" s="213"/>
      <c r="CJ160" s="213"/>
      <c r="CK160" s="213"/>
      <c r="CL160" s="213"/>
      <c r="CM160" s="213"/>
      <c r="CN160" s="213"/>
      <c r="CO160" s="213"/>
      <c r="CP160" s="213"/>
      <c r="CQ160" s="213"/>
      <c r="CR160" s="213"/>
      <c r="CS160" s="213"/>
      <c r="CT160" s="213"/>
      <c r="CU160" s="213"/>
    </row>
    <row r="161" ht="15.75" customHeight="1">
      <c r="A161" s="213"/>
      <c r="B161" s="213"/>
      <c r="C161" s="213"/>
      <c r="D161" s="213"/>
      <c r="E161" s="213"/>
      <c r="F161" s="213"/>
      <c r="G161" s="213"/>
      <c r="H161" s="213"/>
      <c r="I161" s="213"/>
      <c r="J161" s="213"/>
      <c r="K161" s="213"/>
      <c r="L161" s="213"/>
      <c r="M161" s="213"/>
      <c r="N161" s="213"/>
      <c r="O161" s="213"/>
      <c r="P161" s="213"/>
      <c r="Q161" s="213"/>
      <c r="R161" s="213"/>
      <c r="S161" s="213"/>
      <c r="T161" s="213"/>
      <c r="U161" s="213"/>
      <c r="V161" s="213"/>
      <c r="W161" s="213"/>
      <c r="X161" s="213"/>
      <c r="Y161" s="213"/>
      <c r="Z161" s="213"/>
      <c r="AA161" s="213"/>
      <c r="AB161" s="213"/>
      <c r="AC161" s="213"/>
      <c r="AD161" s="213"/>
      <c r="AE161" s="213"/>
      <c r="AF161" s="213"/>
      <c r="AG161" s="213"/>
      <c r="AH161" s="213"/>
      <c r="AI161" s="213"/>
      <c r="AJ161" s="213"/>
      <c r="AK161" s="213"/>
      <c r="AL161" s="213"/>
      <c r="AM161" s="213"/>
      <c r="AN161" s="213"/>
      <c r="AO161" s="213"/>
      <c r="AP161" s="213"/>
      <c r="AQ161" s="213"/>
      <c r="AR161" s="213"/>
      <c r="AS161" s="213"/>
      <c r="AT161" s="213"/>
      <c r="AU161" s="213"/>
      <c r="AV161" s="213"/>
      <c r="AW161" s="213"/>
      <c r="AX161" s="213"/>
      <c r="AY161" s="213"/>
      <c r="AZ161" s="213"/>
      <c r="BA161" s="213"/>
      <c r="BB161" s="213"/>
      <c r="BC161" s="213"/>
      <c r="BD161" s="213"/>
      <c r="BE161" s="213"/>
      <c r="BF161" s="213"/>
      <c r="BG161" s="213"/>
      <c r="BH161" s="213"/>
      <c r="BI161" s="213"/>
      <c r="BJ161" s="213"/>
      <c r="BK161" s="213"/>
      <c r="BL161" s="213"/>
      <c r="BM161" s="213"/>
      <c r="BN161" s="215"/>
      <c r="BO161" s="213"/>
      <c r="BP161" s="213"/>
      <c r="BQ161" s="213"/>
      <c r="BR161" s="326"/>
      <c r="BS161" s="213"/>
      <c r="BT161" s="213"/>
      <c r="BU161" s="213"/>
      <c r="BV161" s="213"/>
      <c r="BW161" s="213"/>
      <c r="BX161" s="213"/>
      <c r="BY161" s="213"/>
      <c r="BZ161" s="213"/>
      <c r="CA161" s="213"/>
      <c r="CB161" s="213"/>
      <c r="CC161" s="213"/>
      <c r="CD161" s="213"/>
      <c r="CE161" s="213"/>
      <c r="CF161" s="213"/>
      <c r="CG161" s="213"/>
      <c r="CH161" s="213"/>
      <c r="CI161" s="213"/>
      <c r="CJ161" s="213"/>
      <c r="CK161" s="213"/>
      <c r="CL161" s="213"/>
      <c r="CM161" s="213"/>
      <c r="CN161" s="213"/>
      <c r="CO161" s="213"/>
      <c r="CP161" s="213"/>
      <c r="CQ161" s="213"/>
      <c r="CR161" s="213"/>
      <c r="CS161" s="213"/>
      <c r="CT161" s="213"/>
      <c r="CU161" s="213"/>
    </row>
    <row r="162" ht="15.75" customHeight="1">
      <c r="A162" s="213"/>
      <c r="B162" s="213"/>
      <c r="C162" s="213"/>
      <c r="D162" s="213"/>
      <c r="E162" s="213"/>
      <c r="F162" s="213"/>
      <c r="G162" s="213"/>
      <c r="H162" s="213"/>
      <c r="I162" s="213"/>
      <c r="J162" s="213"/>
      <c r="K162" s="213"/>
      <c r="L162" s="213"/>
      <c r="M162" s="213"/>
      <c r="N162" s="213"/>
      <c r="O162" s="213"/>
      <c r="P162" s="213"/>
      <c r="Q162" s="213"/>
      <c r="R162" s="213"/>
      <c r="S162" s="213"/>
      <c r="T162" s="213"/>
      <c r="U162" s="213"/>
      <c r="V162" s="213"/>
      <c r="W162" s="213"/>
      <c r="X162" s="213"/>
      <c r="Y162" s="213"/>
      <c r="Z162" s="213"/>
      <c r="AA162" s="213"/>
      <c r="AB162" s="213"/>
      <c r="AC162" s="213"/>
      <c r="AD162" s="213"/>
      <c r="AE162" s="213"/>
      <c r="AF162" s="213"/>
      <c r="AG162" s="213"/>
      <c r="AH162" s="213"/>
      <c r="AI162" s="213"/>
      <c r="AJ162" s="213"/>
      <c r="AK162" s="213"/>
      <c r="AL162" s="213"/>
      <c r="AM162" s="213"/>
      <c r="AN162" s="213"/>
      <c r="AO162" s="213"/>
      <c r="AP162" s="213"/>
      <c r="AQ162" s="213"/>
      <c r="AR162" s="213"/>
      <c r="AS162" s="213"/>
      <c r="AT162" s="213"/>
      <c r="AU162" s="213"/>
      <c r="AV162" s="213"/>
      <c r="AW162" s="213"/>
      <c r="AX162" s="213"/>
      <c r="AY162" s="213"/>
      <c r="AZ162" s="213"/>
      <c r="BA162" s="213"/>
      <c r="BB162" s="213"/>
      <c r="BC162" s="213"/>
      <c r="BD162" s="213"/>
      <c r="BE162" s="213"/>
      <c r="BF162" s="213"/>
      <c r="BG162" s="213"/>
      <c r="BH162" s="213"/>
      <c r="BI162" s="213"/>
      <c r="BJ162" s="213"/>
      <c r="BK162" s="213"/>
      <c r="BL162" s="213"/>
      <c r="BM162" s="213"/>
      <c r="BN162" s="215"/>
      <c r="BO162" s="213"/>
      <c r="BP162" s="213"/>
      <c r="BQ162" s="213"/>
      <c r="BR162" s="326"/>
      <c r="BS162" s="213"/>
      <c r="BT162" s="213"/>
      <c r="BU162" s="213"/>
      <c r="BV162" s="213"/>
      <c r="BW162" s="213"/>
      <c r="BX162" s="213"/>
      <c r="BY162" s="213"/>
      <c r="BZ162" s="213"/>
      <c r="CA162" s="213"/>
      <c r="CB162" s="213"/>
      <c r="CC162" s="213"/>
      <c r="CD162" s="213"/>
      <c r="CE162" s="213"/>
      <c r="CF162" s="213"/>
      <c r="CG162" s="213"/>
      <c r="CH162" s="213"/>
      <c r="CI162" s="213"/>
      <c r="CJ162" s="213"/>
      <c r="CK162" s="213"/>
      <c r="CL162" s="213"/>
      <c r="CM162" s="213"/>
      <c r="CN162" s="213"/>
      <c r="CO162" s="213"/>
      <c r="CP162" s="213"/>
      <c r="CQ162" s="213"/>
      <c r="CR162" s="213"/>
      <c r="CS162" s="213"/>
      <c r="CT162" s="213"/>
      <c r="CU162" s="213"/>
    </row>
    <row r="163" ht="15.75" customHeight="1">
      <c r="A163" s="213"/>
      <c r="B163" s="213"/>
      <c r="C163" s="213"/>
      <c r="D163" s="213"/>
      <c r="E163" s="213"/>
      <c r="F163" s="213"/>
      <c r="G163" s="213"/>
      <c r="H163" s="213"/>
      <c r="I163" s="213"/>
      <c r="J163" s="213"/>
      <c r="K163" s="213"/>
      <c r="L163" s="213"/>
      <c r="M163" s="213"/>
      <c r="N163" s="213"/>
      <c r="O163" s="213"/>
      <c r="P163" s="213"/>
      <c r="Q163" s="213"/>
      <c r="R163" s="213"/>
      <c r="S163" s="213"/>
      <c r="T163" s="213"/>
      <c r="U163" s="213"/>
      <c r="V163" s="213"/>
      <c r="W163" s="213"/>
      <c r="X163" s="213"/>
      <c r="Y163" s="213"/>
      <c r="Z163" s="213"/>
      <c r="AA163" s="213"/>
      <c r="AB163" s="213"/>
      <c r="AC163" s="213"/>
      <c r="AD163" s="213"/>
      <c r="AE163" s="213"/>
      <c r="AF163" s="213"/>
      <c r="AG163" s="213"/>
      <c r="AH163" s="213"/>
      <c r="AI163" s="213"/>
      <c r="AJ163" s="213"/>
      <c r="AK163" s="213"/>
      <c r="AL163" s="213"/>
      <c r="AM163" s="213"/>
      <c r="AN163" s="213"/>
      <c r="AO163" s="213"/>
      <c r="AP163" s="213"/>
      <c r="AQ163" s="213"/>
      <c r="AR163" s="213"/>
      <c r="AS163" s="213"/>
      <c r="AT163" s="213"/>
      <c r="AU163" s="213"/>
      <c r="AV163" s="213"/>
      <c r="AW163" s="213"/>
      <c r="AX163" s="213"/>
      <c r="AY163" s="213"/>
      <c r="AZ163" s="213"/>
      <c r="BA163" s="213"/>
      <c r="BB163" s="213"/>
      <c r="BC163" s="213"/>
      <c r="BD163" s="213"/>
      <c r="BE163" s="213"/>
      <c r="BF163" s="213"/>
      <c r="BG163" s="213"/>
      <c r="BH163" s="213"/>
      <c r="BI163" s="213"/>
      <c r="BJ163" s="213"/>
      <c r="BK163" s="213"/>
      <c r="BL163" s="213"/>
      <c r="BM163" s="213"/>
      <c r="BN163" s="215"/>
      <c r="BO163" s="213"/>
      <c r="BP163" s="213"/>
      <c r="BQ163" s="213"/>
      <c r="BR163" s="326"/>
      <c r="BS163" s="213"/>
      <c r="BT163" s="213"/>
      <c r="BU163" s="213"/>
      <c r="BV163" s="213"/>
      <c r="BW163" s="213"/>
      <c r="BX163" s="213"/>
      <c r="BY163" s="213"/>
      <c r="BZ163" s="213"/>
      <c r="CA163" s="213"/>
      <c r="CB163" s="213"/>
      <c r="CC163" s="213"/>
      <c r="CD163" s="213"/>
      <c r="CE163" s="213"/>
      <c r="CF163" s="213"/>
      <c r="CG163" s="213"/>
      <c r="CH163" s="213"/>
      <c r="CI163" s="213"/>
      <c r="CJ163" s="213"/>
      <c r="CK163" s="213"/>
      <c r="CL163" s="213"/>
      <c r="CM163" s="213"/>
      <c r="CN163" s="213"/>
      <c r="CO163" s="213"/>
      <c r="CP163" s="213"/>
      <c r="CQ163" s="213"/>
      <c r="CR163" s="213"/>
      <c r="CS163" s="213"/>
      <c r="CT163" s="213"/>
      <c r="CU163" s="213"/>
    </row>
    <row r="164" ht="15.75" customHeight="1">
      <c r="A164" s="213"/>
      <c r="B164" s="213"/>
      <c r="C164" s="213"/>
      <c r="D164" s="213"/>
      <c r="E164" s="213"/>
      <c r="F164" s="213"/>
      <c r="G164" s="213"/>
      <c r="H164" s="213"/>
      <c r="I164" s="213"/>
      <c r="J164" s="213"/>
      <c r="K164" s="213"/>
      <c r="L164" s="213"/>
      <c r="M164" s="213"/>
      <c r="N164" s="213"/>
      <c r="O164" s="213"/>
      <c r="P164" s="213"/>
      <c r="Q164" s="213"/>
      <c r="R164" s="213"/>
      <c r="S164" s="213"/>
      <c r="T164" s="213"/>
      <c r="U164" s="213"/>
      <c r="V164" s="213"/>
      <c r="W164" s="213"/>
      <c r="X164" s="213"/>
      <c r="Y164" s="213"/>
      <c r="Z164" s="213"/>
      <c r="AA164" s="213"/>
      <c r="AB164" s="213"/>
      <c r="AC164" s="213"/>
      <c r="AD164" s="213"/>
      <c r="AE164" s="213"/>
      <c r="AF164" s="213"/>
      <c r="AG164" s="213"/>
      <c r="AH164" s="213"/>
      <c r="AI164" s="213"/>
      <c r="AJ164" s="213"/>
      <c r="AK164" s="213"/>
      <c r="AL164" s="213"/>
      <c r="AM164" s="213"/>
      <c r="AN164" s="213"/>
      <c r="AO164" s="213"/>
      <c r="AP164" s="213"/>
      <c r="AQ164" s="213"/>
      <c r="AR164" s="213"/>
      <c r="AS164" s="213"/>
      <c r="AT164" s="213"/>
      <c r="AU164" s="213"/>
      <c r="AV164" s="213"/>
      <c r="AW164" s="213"/>
      <c r="AX164" s="213"/>
      <c r="AY164" s="213"/>
      <c r="AZ164" s="213"/>
      <c r="BA164" s="213"/>
      <c r="BB164" s="213"/>
      <c r="BC164" s="213"/>
      <c r="BD164" s="213"/>
      <c r="BE164" s="213"/>
      <c r="BF164" s="213"/>
      <c r="BG164" s="213"/>
      <c r="BH164" s="213"/>
      <c r="BI164" s="213"/>
      <c r="BJ164" s="213"/>
      <c r="BK164" s="213"/>
      <c r="BL164" s="213"/>
      <c r="BM164" s="213"/>
      <c r="BN164" s="215"/>
      <c r="BO164" s="213"/>
      <c r="BP164" s="213"/>
      <c r="BQ164" s="213"/>
      <c r="BR164" s="326"/>
      <c r="BS164" s="213"/>
      <c r="BT164" s="213"/>
      <c r="BU164" s="213"/>
      <c r="BV164" s="213"/>
      <c r="BW164" s="213"/>
      <c r="BX164" s="213"/>
      <c r="BY164" s="213"/>
      <c r="BZ164" s="213"/>
      <c r="CA164" s="213"/>
      <c r="CB164" s="213"/>
      <c r="CC164" s="213"/>
      <c r="CD164" s="213"/>
      <c r="CE164" s="213"/>
      <c r="CF164" s="213"/>
      <c r="CG164" s="213"/>
      <c r="CH164" s="213"/>
      <c r="CI164" s="213"/>
      <c r="CJ164" s="213"/>
      <c r="CK164" s="213"/>
      <c r="CL164" s="213"/>
      <c r="CM164" s="213"/>
      <c r="CN164" s="213"/>
      <c r="CO164" s="213"/>
      <c r="CP164" s="213"/>
      <c r="CQ164" s="213"/>
      <c r="CR164" s="213"/>
      <c r="CS164" s="213"/>
      <c r="CT164" s="213"/>
      <c r="CU164" s="213"/>
    </row>
    <row r="165" ht="15.75" customHeight="1">
      <c r="A165" s="213"/>
      <c r="B165" s="213"/>
      <c r="C165" s="213"/>
      <c r="D165" s="213"/>
      <c r="E165" s="213"/>
      <c r="F165" s="213"/>
      <c r="G165" s="213"/>
      <c r="H165" s="213"/>
      <c r="I165" s="213"/>
      <c r="J165" s="213"/>
      <c r="K165" s="213"/>
      <c r="L165" s="213"/>
      <c r="M165" s="213"/>
      <c r="N165" s="213"/>
      <c r="O165" s="213"/>
      <c r="P165" s="213"/>
      <c r="Q165" s="213"/>
      <c r="R165" s="213"/>
      <c r="S165" s="213"/>
      <c r="T165" s="213"/>
      <c r="U165" s="213"/>
      <c r="V165" s="213"/>
      <c r="W165" s="213"/>
      <c r="X165" s="213"/>
      <c r="Y165" s="213"/>
      <c r="Z165" s="213"/>
      <c r="AA165" s="213"/>
      <c r="AB165" s="213"/>
      <c r="AC165" s="213"/>
      <c r="AD165" s="213"/>
      <c r="AE165" s="213"/>
      <c r="AF165" s="213"/>
      <c r="AG165" s="213"/>
      <c r="AH165" s="213"/>
      <c r="AI165" s="213"/>
      <c r="AJ165" s="213"/>
      <c r="AK165" s="213"/>
      <c r="AL165" s="213"/>
      <c r="AM165" s="213"/>
      <c r="AN165" s="213"/>
      <c r="AO165" s="213"/>
      <c r="AP165" s="213"/>
      <c r="AQ165" s="213"/>
      <c r="AR165" s="213"/>
      <c r="AS165" s="213"/>
      <c r="AT165" s="213"/>
      <c r="AU165" s="213"/>
      <c r="AV165" s="213"/>
      <c r="AW165" s="213"/>
      <c r="AX165" s="213"/>
      <c r="AY165" s="213"/>
      <c r="AZ165" s="213"/>
      <c r="BA165" s="213"/>
      <c r="BB165" s="213"/>
      <c r="BC165" s="213"/>
      <c r="BD165" s="213"/>
      <c r="BE165" s="213"/>
      <c r="BF165" s="213"/>
      <c r="BG165" s="213"/>
      <c r="BH165" s="213"/>
      <c r="BI165" s="213"/>
      <c r="BJ165" s="213"/>
      <c r="BK165" s="213"/>
      <c r="BL165" s="213"/>
      <c r="BM165" s="213"/>
      <c r="BN165" s="215"/>
      <c r="BO165" s="213"/>
      <c r="BP165" s="213"/>
      <c r="BQ165" s="213"/>
      <c r="BR165" s="326"/>
      <c r="BS165" s="213"/>
      <c r="BT165" s="213"/>
      <c r="BU165" s="213"/>
      <c r="BV165" s="213"/>
      <c r="BW165" s="213"/>
      <c r="BX165" s="213"/>
      <c r="BY165" s="213"/>
      <c r="BZ165" s="213"/>
      <c r="CA165" s="213"/>
      <c r="CB165" s="213"/>
      <c r="CC165" s="213"/>
      <c r="CD165" s="213"/>
      <c r="CE165" s="213"/>
      <c r="CF165" s="213"/>
      <c r="CG165" s="213"/>
      <c r="CH165" s="213"/>
      <c r="CI165" s="213"/>
      <c r="CJ165" s="213"/>
      <c r="CK165" s="213"/>
      <c r="CL165" s="213"/>
      <c r="CM165" s="213"/>
      <c r="CN165" s="213"/>
      <c r="CO165" s="213"/>
      <c r="CP165" s="213"/>
      <c r="CQ165" s="213"/>
      <c r="CR165" s="213"/>
      <c r="CS165" s="213"/>
      <c r="CT165" s="213"/>
      <c r="CU165" s="213"/>
    </row>
    <row r="166" ht="15.75" customHeight="1">
      <c r="A166" s="213"/>
      <c r="B166" s="213"/>
      <c r="C166" s="213"/>
      <c r="D166" s="213"/>
      <c r="E166" s="213"/>
      <c r="F166" s="213"/>
      <c r="G166" s="213"/>
      <c r="H166" s="213"/>
      <c r="I166" s="213"/>
      <c r="J166" s="213"/>
      <c r="K166" s="213"/>
      <c r="L166" s="213"/>
      <c r="M166" s="213"/>
      <c r="N166" s="213"/>
      <c r="O166" s="213"/>
      <c r="P166" s="213"/>
      <c r="Q166" s="213"/>
      <c r="R166" s="213"/>
      <c r="S166" s="213"/>
      <c r="T166" s="213"/>
      <c r="U166" s="213"/>
      <c r="V166" s="213"/>
      <c r="W166" s="213"/>
      <c r="X166" s="213"/>
      <c r="Y166" s="213"/>
      <c r="Z166" s="213"/>
      <c r="AA166" s="213"/>
      <c r="AB166" s="213"/>
      <c r="AC166" s="213"/>
      <c r="AD166" s="213"/>
      <c r="AE166" s="213"/>
      <c r="AF166" s="213"/>
      <c r="AG166" s="213"/>
      <c r="AH166" s="213"/>
      <c r="AI166" s="213"/>
      <c r="AJ166" s="213"/>
      <c r="AK166" s="213"/>
      <c r="AL166" s="213"/>
      <c r="AM166" s="213"/>
      <c r="AN166" s="213"/>
      <c r="AO166" s="213"/>
      <c r="AP166" s="213"/>
      <c r="AQ166" s="213"/>
      <c r="AR166" s="213"/>
      <c r="AS166" s="213"/>
      <c r="AT166" s="213"/>
      <c r="AU166" s="213"/>
      <c r="AV166" s="213"/>
      <c r="AW166" s="213"/>
      <c r="AX166" s="213"/>
      <c r="AY166" s="213"/>
      <c r="AZ166" s="213"/>
      <c r="BA166" s="213"/>
      <c r="BB166" s="213"/>
      <c r="BC166" s="213"/>
      <c r="BD166" s="213"/>
      <c r="BE166" s="213"/>
      <c r="BF166" s="213"/>
      <c r="BG166" s="213"/>
      <c r="BH166" s="213"/>
      <c r="BI166" s="213"/>
      <c r="BJ166" s="213"/>
      <c r="BK166" s="213"/>
      <c r="BL166" s="213"/>
      <c r="BM166" s="213"/>
      <c r="BN166" s="215"/>
      <c r="BO166" s="213"/>
      <c r="BP166" s="213"/>
      <c r="BQ166" s="213"/>
      <c r="BR166" s="326"/>
      <c r="BS166" s="213"/>
      <c r="BT166" s="213"/>
      <c r="BU166" s="213"/>
      <c r="BV166" s="213"/>
      <c r="BW166" s="213"/>
      <c r="BX166" s="213"/>
      <c r="BY166" s="213"/>
      <c r="BZ166" s="213"/>
      <c r="CA166" s="213"/>
      <c r="CB166" s="213"/>
      <c r="CC166" s="213"/>
      <c r="CD166" s="213"/>
      <c r="CE166" s="213"/>
      <c r="CF166" s="213"/>
      <c r="CG166" s="213"/>
      <c r="CH166" s="213"/>
      <c r="CI166" s="213"/>
      <c r="CJ166" s="213"/>
      <c r="CK166" s="213"/>
      <c r="CL166" s="213"/>
      <c r="CM166" s="213"/>
      <c r="CN166" s="213"/>
      <c r="CO166" s="213"/>
      <c r="CP166" s="213"/>
      <c r="CQ166" s="213"/>
      <c r="CR166" s="213"/>
      <c r="CS166" s="213"/>
      <c r="CT166" s="213"/>
      <c r="CU166" s="213"/>
    </row>
    <row r="167" ht="15.75" customHeight="1">
      <c r="A167" s="213"/>
      <c r="B167" s="213"/>
      <c r="C167" s="213"/>
      <c r="D167" s="213"/>
      <c r="E167" s="213"/>
      <c r="F167" s="213"/>
      <c r="G167" s="213"/>
      <c r="H167" s="213"/>
      <c r="I167" s="213"/>
      <c r="J167" s="213"/>
      <c r="K167" s="213"/>
      <c r="L167" s="213"/>
      <c r="M167" s="213"/>
      <c r="N167" s="213"/>
      <c r="O167" s="213"/>
      <c r="P167" s="213"/>
      <c r="Q167" s="213"/>
      <c r="R167" s="213"/>
      <c r="S167" s="213"/>
      <c r="T167" s="213"/>
      <c r="U167" s="213"/>
      <c r="V167" s="213"/>
      <c r="W167" s="213"/>
      <c r="X167" s="213"/>
      <c r="Y167" s="213"/>
      <c r="Z167" s="213"/>
      <c r="AA167" s="213"/>
      <c r="AB167" s="213"/>
      <c r="AC167" s="213"/>
      <c r="AD167" s="213"/>
      <c r="AE167" s="213"/>
      <c r="AF167" s="213"/>
      <c r="AG167" s="213"/>
      <c r="AH167" s="213"/>
      <c r="AI167" s="213"/>
      <c r="AJ167" s="213"/>
      <c r="AK167" s="213"/>
      <c r="AL167" s="213"/>
      <c r="AM167" s="213"/>
      <c r="AN167" s="213"/>
      <c r="AO167" s="213"/>
      <c r="AP167" s="213"/>
      <c r="AQ167" s="213"/>
      <c r="AR167" s="213"/>
      <c r="AS167" s="213"/>
      <c r="AT167" s="213"/>
      <c r="AU167" s="213"/>
      <c r="AV167" s="213"/>
      <c r="AW167" s="213"/>
      <c r="AX167" s="213"/>
      <c r="AY167" s="213"/>
      <c r="AZ167" s="213"/>
      <c r="BA167" s="213"/>
      <c r="BB167" s="213"/>
      <c r="BC167" s="213"/>
      <c r="BD167" s="213"/>
      <c r="BE167" s="213"/>
      <c r="BF167" s="213"/>
      <c r="BG167" s="213"/>
      <c r="BH167" s="213"/>
      <c r="BI167" s="213"/>
      <c r="BJ167" s="213"/>
      <c r="BK167" s="213"/>
      <c r="BL167" s="213"/>
      <c r="BM167" s="213"/>
      <c r="BN167" s="215"/>
      <c r="BO167" s="213"/>
      <c r="BP167" s="213"/>
      <c r="BQ167" s="213"/>
      <c r="BR167" s="326"/>
      <c r="BS167" s="213"/>
      <c r="BT167" s="213"/>
      <c r="BU167" s="213"/>
      <c r="BV167" s="213"/>
      <c r="BW167" s="213"/>
      <c r="BX167" s="213"/>
      <c r="BY167" s="213"/>
      <c r="BZ167" s="213"/>
      <c r="CA167" s="213"/>
      <c r="CB167" s="213"/>
      <c r="CC167" s="213"/>
      <c r="CD167" s="213"/>
      <c r="CE167" s="213"/>
      <c r="CF167" s="213"/>
      <c r="CG167" s="213"/>
      <c r="CH167" s="213"/>
      <c r="CI167" s="213"/>
      <c r="CJ167" s="213"/>
      <c r="CK167" s="213"/>
      <c r="CL167" s="213"/>
      <c r="CM167" s="213"/>
      <c r="CN167" s="213"/>
      <c r="CO167" s="213"/>
      <c r="CP167" s="213"/>
      <c r="CQ167" s="213"/>
      <c r="CR167" s="213"/>
      <c r="CS167" s="213"/>
      <c r="CT167" s="213"/>
      <c r="CU167" s="213"/>
    </row>
    <row r="168" ht="15.75" customHeight="1">
      <c r="A168" s="213"/>
      <c r="B168" s="213"/>
      <c r="C168" s="213"/>
      <c r="D168" s="213"/>
      <c r="E168" s="213"/>
      <c r="F168" s="213"/>
      <c r="G168" s="213"/>
      <c r="H168" s="213"/>
      <c r="I168" s="213"/>
      <c r="J168" s="213"/>
      <c r="K168" s="213"/>
      <c r="L168" s="213"/>
      <c r="M168" s="213"/>
      <c r="N168" s="213"/>
      <c r="O168" s="213"/>
      <c r="P168" s="213"/>
      <c r="Q168" s="213"/>
      <c r="R168" s="213"/>
      <c r="S168" s="213"/>
      <c r="T168" s="213"/>
      <c r="U168" s="213"/>
      <c r="V168" s="213"/>
      <c r="W168" s="213"/>
      <c r="X168" s="213"/>
      <c r="Y168" s="213"/>
      <c r="Z168" s="213"/>
      <c r="AA168" s="213"/>
      <c r="AB168" s="213"/>
      <c r="AC168" s="213"/>
      <c r="AD168" s="213"/>
      <c r="AE168" s="213"/>
      <c r="AF168" s="213"/>
      <c r="AG168" s="213"/>
      <c r="AH168" s="213"/>
      <c r="AI168" s="213"/>
      <c r="AJ168" s="213"/>
      <c r="AK168" s="213"/>
      <c r="AL168" s="213"/>
      <c r="AM168" s="213"/>
      <c r="AN168" s="213"/>
      <c r="AO168" s="213"/>
      <c r="AP168" s="213"/>
      <c r="AQ168" s="213"/>
      <c r="AR168" s="213"/>
      <c r="AS168" s="213"/>
      <c r="AT168" s="213"/>
      <c r="AU168" s="213"/>
      <c r="AV168" s="213"/>
      <c r="AW168" s="213"/>
      <c r="AX168" s="213"/>
      <c r="AY168" s="213"/>
      <c r="AZ168" s="213"/>
      <c r="BA168" s="213"/>
      <c r="BB168" s="213"/>
      <c r="BC168" s="213"/>
      <c r="BD168" s="213"/>
      <c r="BE168" s="213"/>
      <c r="BF168" s="213"/>
      <c r="BG168" s="213"/>
      <c r="BH168" s="213"/>
      <c r="BI168" s="213"/>
      <c r="BJ168" s="213"/>
      <c r="BK168" s="213"/>
      <c r="BL168" s="213"/>
      <c r="BM168" s="213"/>
      <c r="BN168" s="215"/>
      <c r="BO168" s="213"/>
      <c r="BP168" s="213"/>
      <c r="BQ168" s="213"/>
      <c r="BR168" s="326"/>
      <c r="BS168" s="213"/>
      <c r="BT168" s="213"/>
      <c r="BU168" s="213"/>
      <c r="BV168" s="213"/>
      <c r="BW168" s="213"/>
      <c r="BX168" s="213"/>
      <c r="BY168" s="213"/>
      <c r="BZ168" s="213"/>
      <c r="CA168" s="213"/>
      <c r="CB168" s="213"/>
      <c r="CC168" s="213"/>
      <c r="CD168" s="213"/>
      <c r="CE168" s="213"/>
      <c r="CF168" s="213"/>
      <c r="CG168" s="213"/>
      <c r="CH168" s="213"/>
      <c r="CI168" s="213"/>
      <c r="CJ168" s="213"/>
      <c r="CK168" s="213"/>
      <c r="CL168" s="213"/>
      <c r="CM168" s="213"/>
      <c r="CN168" s="213"/>
      <c r="CO168" s="213"/>
      <c r="CP168" s="213"/>
      <c r="CQ168" s="213"/>
      <c r="CR168" s="213"/>
      <c r="CS168" s="213"/>
      <c r="CT168" s="213"/>
      <c r="CU168" s="213"/>
    </row>
    <row r="169" ht="15.75" customHeight="1">
      <c r="A169" s="213"/>
      <c r="B169" s="213"/>
      <c r="C169" s="213"/>
      <c r="D169" s="213"/>
      <c r="E169" s="213"/>
      <c r="F169" s="213"/>
      <c r="G169" s="213"/>
      <c r="H169" s="213"/>
      <c r="I169" s="213"/>
      <c r="J169" s="213"/>
      <c r="K169" s="213"/>
      <c r="L169" s="213"/>
      <c r="M169" s="213"/>
      <c r="N169" s="213"/>
      <c r="O169" s="213"/>
      <c r="P169" s="213"/>
      <c r="Q169" s="213"/>
      <c r="R169" s="213"/>
      <c r="S169" s="213"/>
      <c r="T169" s="213"/>
      <c r="U169" s="213"/>
      <c r="V169" s="213"/>
      <c r="W169" s="213"/>
      <c r="X169" s="213"/>
      <c r="Y169" s="213"/>
      <c r="Z169" s="213"/>
      <c r="AA169" s="213"/>
      <c r="AB169" s="213"/>
      <c r="AC169" s="213"/>
      <c r="AD169" s="213"/>
      <c r="AE169" s="213"/>
      <c r="AF169" s="213"/>
      <c r="AG169" s="213"/>
      <c r="AH169" s="213"/>
      <c r="AI169" s="213"/>
      <c r="AJ169" s="213"/>
      <c r="AK169" s="213"/>
      <c r="AL169" s="213"/>
      <c r="AM169" s="213"/>
      <c r="AN169" s="213"/>
      <c r="AO169" s="213"/>
      <c r="AP169" s="213"/>
      <c r="AQ169" s="213"/>
      <c r="AR169" s="213"/>
      <c r="AS169" s="213"/>
      <c r="AT169" s="213"/>
      <c r="AU169" s="213"/>
      <c r="AV169" s="213"/>
      <c r="AW169" s="213"/>
      <c r="AX169" s="213"/>
      <c r="AY169" s="213"/>
      <c r="AZ169" s="213"/>
      <c r="BA169" s="213"/>
      <c r="BB169" s="213"/>
      <c r="BC169" s="213"/>
      <c r="BD169" s="213"/>
      <c r="BE169" s="213"/>
      <c r="BF169" s="213"/>
      <c r="BG169" s="213"/>
      <c r="BH169" s="213"/>
      <c r="BI169" s="213"/>
      <c r="BJ169" s="213"/>
      <c r="BK169" s="213"/>
      <c r="BL169" s="213"/>
      <c r="BM169" s="213"/>
      <c r="BN169" s="215"/>
      <c r="BO169" s="213"/>
      <c r="BP169" s="213"/>
      <c r="BQ169" s="213"/>
      <c r="BR169" s="326"/>
      <c r="BS169" s="213"/>
      <c r="BT169" s="213"/>
      <c r="BU169" s="213"/>
      <c r="BV169" s="213"/>
      <c r="BW169" s="213"/>
      <c r="BX169" s="213"/>
      <c r="BY169" s="213"/>
      <c r="BZ169" s="213"/>
      <c r="CA169" s="213"/>
      <c r="CB169" s="213"/>
      <c r="CC169" s="213"/>
      <c r="CD169" s="213"/>
      <c r="CE169" s="213"/>
      <c r="CF169" s="213"/>
      <c r="CG169" s="213"/>
      <c r="CH169" s="213"/>
      <c r="CI169" s="213"/>
      <c r="CJ169" s="213"/>
      <c r="CK169" s="213"/>
      <c r="CL169" s="213"/>
      <c r="CM169" s="213"/>
      <c r="CN169" s="213"/>
      <c r="CO169" s="213"/>
      <c r="CP169" s="213"/>
      <c r="CQ169" s="213"/>
      <c r="CR169" s="213"/>
      <c r="CS169" s="213"/>
      <c r="CT169" s="213"/>
      <c r="CU169" s="213"/>
    </row>
    <row r="170" ht="15.75" customHeight="1">
      <c r="A170" s="213"/>
      <c r="B170" s="213"/>
      <c r="C170" s="213"/>
      <c r="D170" s="213"/>
      <c r="E170" s="213"/>
      <c r="F170" s="213"/>
      <c r="G170" s="213"/>
      <c r="H170" s="213"/>
      <c r="I170" s="213"/>
      <c r="J170" s="213"/>
      <c r="K170" s="213"/>
      <c r="L170" s="213"/>
      <c r="M170" s="213"/>
      <c r="N170" s="213"/>
      <c r="O170" s="213"/>
      <c r="P170" s="213"/>
      <c r="Q170" s="213"/>
      <c r="R170" s="213"/>
      <c r="S170" s="213"/>
      <c r="T170" s="213"/>
      <c r="U170" s="213"/>
      <c r="V170" s="213"/>
      <c r="W170" s="213"/>
      <c r="X170" s="213"/>
      <c r="Y170" s="213"/>
      <c r="Z170" s="213"/>
      <c r="AA170" s="213"/>
      <c r="AB170" s="213"/>
      <c r="AC170" s="213"/>
      <c r="AD170" s="213"/>
      <c r="AE170" s="213"/>
      <c r="AF170" s="213"/>
      <c r="AG170" s="213"/>
      <c r="AH170" s="213"/>
      <c r="AI170" s="213"/>
      <c r="AJ170" s="213"/>
      <c r="AK170" s="213"/>
      <c r="AL170" s="213"/>
      <c r="AM170" s="213"/>
      <c r="AN170" s="213"/>
      <c r="AO170" s="213"/>
      <c r="AP170" s="213"/>
      <c r="AQ170" s="213"/>
      <c r="AR170" s="213"/>
      <c r="AS170" s="213"/>
      <c r="AT170" s="213"/>
      <c r="AU170" s="213"/>
      <c r="AV170" s="213"/>
      <c r="AW170" s="213"/>
      <c r="AX170" s="213"/>
      <c r="AY170" s="213"/>
      <c r="AZ170" s="213"/>
      <c r="BA170" s="213"/>
      <c r="BB170" s="213"/>
      <c r="BC170" s="213"/>
      <c r="BD170" s="213"/>
      <c r="BE170" s="213"/>
      <c r="BF170" s="213"/>
      <c r="BG170" s="213"/>
      <c r="BH170" s="213"/>
      <c r="BI170" s="213"/>
      <c r="BJ170" s="213"/>
      <c r="BK170" s="213"/>
      <c r="BL170" s="213"/>
      <c r="BM170" s="213"/>
      <c r="BN170" s="215"/>
      <c r="BO170" s="213"/>
      <c r="BP170" s="213"/>
      <c r="BQ170" s="213"/>
      <c r="BR170" s="326"/>
      <c r="BS170" s="213"/>
      <c r="BT170" s="213"/>
      <c r="BU170" s="213"/>
      <c r="BV170" s="213"/>
      <c r="BW170" s="213"/>
      <c r="BX170" s="213"/>
      <c r="BY170" s="213"/>
      <c r="BZ170" s="213"/>
      <c r="CA170" s="213"/>
      <c r="CB170" s="213"/>
      <c r="CC170" s="213"/>
      <c r="CD170" s="213"/>
      <c r="CE170" s="213"/>
      <c r="CF170" s="213"/>
      <c r="CG170" s="213"/>
      <c r="CH170" s="213"/>
      <c r="CI170" s="213"/>
      <c r="CJ170" s="213"/>
      <c r="CK170" s="213"/>
      <c r="CL170" s="213"/>
      <c r="CM170" s="213"/>
      <c r="CN170" s="213"/>
      <c r="CO170" s="213"/>
      <c r="CP170" s="213"/>
      <c r="CQ170" s="213"/>
      <c r="CR170" s="213"/>
      <c r="CS170" s="213"/>
      <c r="CT170" s="213"/>
      <c r="CU170" s="213"/>
    </row>
    <row r="171" ht="15.75" customHeight="1">
      <c r="A171" s="213"/>
      <c r="B171" s="213"/>
      <c r="C171" s="213"/>
      <c r="D171" s="213"/>
      <c r="E171" s="213"/>
      <c r="F171" s="213"/>
      <c r="G171" s="213"/>
      <c r="H171" s="213"/>
      <c r="I171" s="213"/>
      <c r="J171" s="213"/>
      <c r="K171" s="213"/>
      <c r="L171" s="213"/>
      <c r="M171" s="213"/>
      <c r="N171" s="213"/>
      <c r="O171" s="213"/>
      <c r="P171" s="213"/>
      <c r="Q171" s="213"/>
      <c r="R171" s="213"/>
      <c r="S171" s="213"/>
      <c r="T171" s="213"/>
      <c r="U171" s="213"/>
      <c r="V171" s="213"/>
      <c r="W171" s="213"/>
      <c r="X171" s="213"/>
      <c r="Y171" s="213"/>
      <c r="Z171" s="213"/>
      <c r="AA171" s="213"/>
      <c r="AB171" s="213"/>
      <c r="AC171" s="213"/>
      <c r="AD171" s="213"/>
      <c r="AE171" s="213"/>
      <c r="AF171" s="213"/>
      <c r="AG171" s="213"/>
      <c r="AH171" s="213"/>
      <c r="AI171" s="213"/>
      <c r="AJ171" s="213"/>
      <c r="AK171" s="213"/>
      <c r="AL171" s="213"/>
      <c r="AM171" s="213"/>
      <c r="AN171" s="213"/>
      <c r="AO171" s="213"/>
      <c r="AP171" s="213"/>
      <c r="AQ171" s="213"/>
      <c r="AR171" s="213"/>
      <c r="AS171" s="213"/>
      <c r="AT171" s="213"/>
      <c r="AU171" s="213"/>
      <c r="AV171" s="213"/>
      <c r="AW171" s="213"/>
      <c r="AX171" s="213"/>
      <c r="AY171" s="213"/>
      <c r="AZ171" s="213"/>
      <c r="BA171" s="213"/>
      <c r="BB171" s="213"/>
      <c r="BC171" s="213"/>
      <c r="BD171" s="213"/>
      <c r="BE171" s="213"/>
      <c r="BF171" s="213"/>
      <c r="BG171" s="213"/>
      <c r="BH171" s="213"/>
      <c r="BI171" s="213"/>
      <c r="BJ171" s="213"/>
      <c r="BK171" s="213"/>
      <c r="BL171" s="213"/>
      <c r="BM171" s="213"/>
      <c r="BN171" s="215"/>
      <c r="BO171" s="213"/>
      <c r="BP171" s="213"/>
      <c r="BQ171" s="213"/>
      <c r="BR171" s="326"/>
      <c r="BS171" s="213"/>
      <c r="BT171" s="213"/>
      <c r="BU171" s="213"/>
      <c r="BV171" s="213"/>
      <c r="BW171" s="213"/>
      <c r="BX171" s="213"/>
      <c r="BY171" s="213"/>
      <c r="BZ171" s="213"/>
      <c r="CA171" s="213"/>
      <c r="CB171" s="213"/>
      <c r="CC171" s="213"/>
      <c r="CD171" s="213"/>
      <c r="CE171" s="213"/>
      <c r="CF171" s="213"/>
      <c r="CG171" s="213"/>
      <c r="CH171" s="213"/>
      <c r="CI171" s="213"/>
      <c r="CJ171" s="213"/>
      <c r="CK171" s="213"/>
      <c r="CL171" s="213"/>
      <c r="CM171" s="213"/>
      <c r="CN171" s="213"/>
      <c r="CO171" s="213"/>
      <c r="CP171" s="213"/>
      <c r="CQ171" s="213"/>
      <c r="CR171" s="213"/>
      <c r="CS171" s="213"/>
      <c r="CT171" s="213"/>
      <c r="CU171" s="213"/>
    </row>
    <row r="172" ht="15.75" customHeight="1">
      <c r="A172" s="213"/>
      <c r="B172" s="213"/>
      <c r="C172" s="213"/>
      <c r="D172" s="213"/>
      <c r="E172" s="213"/>
      <c r="F172" s="213"/>
      <c r="G172" s="213"/>
      <c r="H172" s="213"/>
      <c r="I172" s="213"/>
      <c r="J172" s="213"/>
      <c r="K172" s="213"/>
      <c r="L172" s="213"/>
      <c r="M172" s="213"/>
      <c r="N172" s="213"/>
      <c r="O172" s="213"/>
      <c r="P172" s="213"/>
      <c r="Q172" s="213"/>
      <c r="R172" s="213"/>
      <c r="S172" s="213"/>
      <c r="T172" s="213"/>
      <c r="U172" s="213"/>
      <c r="V172" s="213"/>
      <c r="W172" s="213"/>
      <c r="X172" s="213"/>
      <c r="Y172" s="213"/>
      <c r="Z172" s="213"/>
      <c r="AA172" s="213"/>
      <c r="AB172" s="213"/>
      <c r="AC172" s="213"/>
      <c r="AD172" s="213"/>
      <c r="AE172" s="213"/>
      <c r="AF172" s="213"/>
      <c r="AG172" s="213"/>
      <c r="AH172" s="213"/>
      <c r="AI172" s="213"/>
      <c r="AJ172" s="213"/>
      <c r="AK172" s="213"/>
      <c r="AL172" s="213"/>
      <c r="AM172" s="213"/>
      <c r="AN172" s="213"/>
      <c r="AO172" s="213"/>
      <c r="AP172" s="213"/>
      <c r="AQ172" s="213"/>
      <c r="AR172" s="213"/>
      <c r="AS172" s="213"/>
      <c r="AT172" s="213"/>
      <c r="AU172" s="213"/>
      <c r="AV172" s="213"/>
      <c r="AW172" s="213"/>
      <c r="AX172" s="213"/>
      <c r="AY172" s="213"/>
      <c r="AZ172" s="213"/>
      <c r="BA172" s="213"/>
      <c r="BB172" s="213"/>
      <c r="BC172" s="213"/>
      <c r="BD172" s="213"/>
      <c r="BE172" s="213"/>
      <c r="BF172" s="213"/>
      <c r="BG172" s="213"/>
      <c r="BH172" s="213"/>
      <c r="BI172" s="213"/>
      <c r="BJ172" s="213"/>
      <c r="BK172" s="213"/>
      <c r="BL172" s="213"/>
      <c r="BM172" s="213"/>
      <c r="BN172" s="215"/>
      <c r="BO172" s="213"/>
      <c r="BP172" s="213"/>
      <c r="BQ172" s="213"/>
      <c r="BR172" s="326"/>
      <c r="BS172" s="213"/>
      <c r="BT172" s="213"/>
      <c r="BU172" s="213"/>
      <c r="BV172" s="213"/>
      <c r="BW172" s="213"/>
      <c r="BX172" s="213"/>
      <c r="BY172" s="213"/>
      <c r="BZ172" s="213"/>
      <c r="CA172" s="213"/>
      <c r="CB172" s="213"/>
      <c r="CC172" s="213"/>
      <c r="CD172" s="213"/>
      <c r="CE172" s="213"/>
      <c r="CF172" s="213"/>
      <c r="CG172" s="213"/>
      <c r="CH172" s="213"/>
      <c r="CI172" s="213"/>
      <c r="CJ172" s="213"/>
      <c r="CK172" s="213"/>
      <c r="CL172" s="213"/>
      <c r="CM172" s="213"/>
      <c r="CN172" s="213"/>
      <c r="CO172" s="213"/>
      <c r="CP172" s="213"/>
      <c r="CQ172" s="213"/>
      <c r="CR172" s="213"/>
      <c r="CS172" s="213"/>
      <c r="CT172" s="213"/>
      <c r="CU172" s="213"/>
    </row>
    <row r="173" ht="15.75" customHeight="1">
      <c r="A173" s="213"/>
      <c r="B173" s="213"/>
      <c r="C173" s="213"/>
      <c r="D173" s="213"/>
      <c r="E173" s="213"/>
      <c r="F173" s="213"/>
      <c r="G173" s="213"/>
      <c r="H173" s="213"/>
      <c r="I173" s="213"/>
      <c r="J173" s="213"/>
      <c r="K173" s="213"/>
      <c r="L173" s="213"/>
      <c r="M173" s="213"/>
      <c r="N173" s="213"/>
      <c r="O173" s="213"/>
      <c r="P173" s="213"/>
      <c r="Q173" s="213"/>
      <c r="R173" s="213"/>
      <c r="S173" s="213"/>
      <c r="T173" s="213"/>
      <c r="U173" s="213"/>
      <c r="V173" s="213"/>
      <c r="W173" s="213"/>
      <c r="X173" s="213"/>
      <c r="Y173" s="213"/>
      <c r="Z173" s="213"/>
      <c r="AA173" s="213"/>
      <c r="AB173" s="213"/>
      <c r="AC173" s="213"/>
      <c r="AD173" s="213"/>
      <c r="AE173" s="213"/>
      <c r="AF173" s="213"/>
      <c r="AG173" s="213"/>
      <c r="AH173" s="213"/>
      <c r="AI173" s="213"/>
      <c r="AJ173" s="213"/>
      <c r="AK173" s="213"/>
      <c r="AL173" s="213"/>
      <c r="AM173" s="213"/>
      <c r="AN173" s="213"/>
      <c r="AO173" s="213"/>
      <c r="AP173" s="213"/>
      <c r="AQ173" s="213"/>
      <c r="AR173" s="213"/>
      <c r="AS173" s="213"/>
      <c r="AT173" s="213"/>
      <c r="AU173" s="213"/>
      <c r="AV173" s="213"/>
      <c r="AW173" s="213"/>
      <c r="AX173" s="213"/>
      <c r="AY173" s="213"/>
      <c r="AZ173" s="213"/>
      <c r="BA173" s="213"/>
      <c r="BB173" s="213"/>
      <c r="BC173" s="213"/>
      <c r="BD173" s="213"/>
      <c r="BE173" s="213"/>
      <c r="BF173" s="213"/>
      <c r="BG173" s="213"/>
      <c r="BH173" s="213"/>
      <c r="BI173" s="213"/>
      <c r="BJ173" s="213"/>
      <c r="BK173" s="213"/>
      <c r="BL173" s="213"/>
      <c r="BM173" s="213"/>
      <c r="BN173" s="215"/>
      <c r="BO173" s="213"/>
      <c r="BP173" s="213"/>
      <c r="BQ173" s="213"/>
      <c r="BR173" s="326"/>
      <c r="BS173" s="213"/>
      <c r="BT173" s="213"/>
      <c r="BU173" s="213"/>
      <c r="BV173" s="213"/>
      <c r="BW173" s="213"/>
      <c r="BX173" s="213"/>
      <c r="BY173" s="213"/>
      <c r="BZ173" s="213"/>
      <c r="CA173" s="213"/>
      <c r="CB173" s="213"/>
      <c r="CC173" s="213"/>
      <c r="CD173" s="213"/>
      <c r="CE173" s="213"/>
      <c r="CF173" s="213"/>
      <c r="CG173" s="213"/>
      <c r="CH173" s="213"/>
      <c r="CI173" s="213"/>
      <c r="CJ173" s="213"/>
      <c r="CK173" s="213"/>
      <c r="CL173" s="213"/>
      <c r="CM173" s="213"/>
      <c r="CN173" s="213"/>
      <c r="CO173" s="213"/>
      <c r="CP173" s="213"/>
      <c r="CQ173" s="213"/>
      <c r="CR173" s="213"/>
      <c r="CS173" s="213"/>
      <c r="CT173" s="213"/>
      <c r="CU173" s="213"/>
    </row>
    <row r="174" ht="15.75" customHeight="1">
      <c r="A174" s="213"/>
      <c r="B174" s="213"/>
      <c r="C174" s="213"/>
      <c r="D174" s="213"/>
      <c r="E174" s="213"/>
      <c r="F174" s="213"/>
      <c r="G174" s="213"/>
      <c r="H174" s="213"/>
      <c r="I174" s="213"/>
      <c r="J174" s="213"/>
      <c r="K174" s="213"/>
      <c r="L174" s="213"/>
      <c r="M174" s="213"/>
      <c r="N174" s="213"/>
      <c r="O174" s="213"/>
      <c r="P174" s="213"/>
      <c r="Q174" s="213"/>
      <c r="R174" s="213"/>
      <c r="S174" s="213"/>
      <c r="T174" s="213"/>
      <c r="U174" s="213"/>
      <c r="V174" s="213"/>
      <c r="W174" s="213"/>
      <c r="X174" s="213"/>
      <c r="Y174" s="213"/>
      <c r="Z174" s="213"/>
      <c r="AA174" s="213"/>
      <c r="AB174" s="213"/>
      <c r="AC174" s="213"/>
      <c r="AD174" s="213"/>
      <c r="AE174" s="213"/>
      <c r="AF174" s="213"/>
      <c r="AG174" s="213"/>
      <c r="AH174" s="213"/>
      <c r="AI174" s="213"/>
      <c r="AJ174" s="213"/>
      <c r="AK174" s="213"/>
      <c r="AL174" s="213"/>
      <c r="AM174" s="213"/>
      <c r="AN174" s="213"/>
      <c r="AO174" s="213"/>
      <c r="AP174" s="213"/>
      <c r="AQ174" s="213"/>
      <c r="AR174" s="213"/>
      <c r="AS174" s="213"/>
      <c r="AT174" s="213"/>
      <c r="AU174" s="213"/>
      <c r="AV174" s="213"/>
      <c r="AW174" s="213"/>
      <c r="AX174" s="213"/>
      <c r="AY174" s="213"/>
      <c r="AZ174" s="213"/>
      <c r="BA174" s="213"/>
      <c r="BB174" s="213"/>
      <c r="BC174" s="213"/>
      <c r="BD174" s="213"/>
      <c r="BE174" s="213"/>
      <c r="BF174" s="213"/>
      <c r="BG174" s="213"/>
      <c r="BH174" s="213"/>
      <c r="BI174" s="213"/>
      <c r="BJ174" s="213"/>
      <c r="BK174" s="213"/>
      <c r="BL174" s="213"/>
      <c r="BM174" s="213"/>
      <c r="BN174" s="215"/>
      <c r="BO174" s="213"/>
      <c r="BP174" s="213"/>
      <c r="BQ174" s="213"/>
      <c r="BR174" s="326"/>
      <c r="BS174" s="213"/>
      <c r="BT174" s="213"/>
      <c r="BU174" s="213"/>
      <c r="BV174" s="213"/>
      <c r="BW174" s="213"/>
      <c r="BX174" s="213"/>
      <c r="BY174" s="213"/>
      <c r="BZ174" s="213"/>
      <c r="CA174" s="213"/>
      <c r="CB174" s="213"/>
      <c r="CC174" s="213"/>
      <c r="CD174" s="213"/>
      <c r="CE174" s="213"/>
      <c r="CF174" s="213"/>
      <c r="CG174" s="213"/>
      <c r="CH174" s="213"/>
      <c r="CI174" s="213"/>
      <c r="CJ174" s="213"/>
      <c r="CK174" s="213"/>
      <c r="CL174" s="213"/>
      <c r="CM174" s="213"/>
      <c r="CN174" s="213"/>
      <c r="CO174" s="213"/>
      <c r="CP174" s="213"/>
      <c r="CQ174" s="213"/>
      <c r="CR174" s="213"/>
      <c r="CS174" s="213"/>
      <c r="CT174" s="213"/>
      <c r="CU174" s="213"/>
    </row>
    <row r="175" ht="15.75" customHeight="1">
      <c r="A175" s="213"/>
      <c r="B175" s="213"/>
      <c r="C175" s="213"/>
      <c r="D175" s="213"/>
      <c r="E175" s="213"/>
      <c r="F175" s="213"/>
      <c r="G175" s="213"/>
      <c r="H175" s="213"/>
      <c r="I175" s="213"/>
      <c r="J175" s="213"/>
      <c r="K175" s="213"/>
      <c r="L175" s="213"/>
      <c r="M175" s="213"/>
      <c r="N175" s="213"/>
      <c r="O175" s="213"/>
      <c r="P175" s="213"/>
      <c r="Q175" s="213"/>
      <c r="R175" s="213"/>
      <c r="S175" s="213"/>
      <c r="T175" s="213"/>
      <c r="U175" s="213"/>
      <c r="V175" s="213"/>
      <c r="W175" s="213"/>
      <c r="X175" s="213"/>
      <c r="Y175" s="213"/>
      <c r="Z175" s="213"/>
      <c r="AA175" s="213"/>
      <c r="AB175" s="213"/>
      <c r="AC175" s="213"/>
      <c r="AD175" s="213"/>
      <c r="AE175" s="213"/>
      <c r="AF175" s="213"/>
      <c r="AG175" s="213"/>
      <c r="AH175" s="213"/>
      <c r="AI175" s="213"/>
      <c r="AJ175" s="213"/>
      <c r="AK175" s="213"/>
      <c r="AL175" s="213"/>
      <c r="AM175" s="213"/>
      <c r="AN175" s="213"/>
      <c r="AO175" s="213"/>
      <c r="AP175" s="213"/>
      <c r="AQ175" s="213"/>
      <c r="AR175" s="213"/>
      <c r="AS175" s="213"/>
      <c r="AT175" s="213"/>
      <c r="AU175" s="213"/>
      <c r="AV175" s="213"/>
      <c r="AW175" s="213"/>
      <c r="AX175" s="213"/>
      <c r="AY175" s="213"/>
      <c r="AZ175" s="213"/>
      <c r="BA175" s="213"/>
      <c r="BB175" s="213"/>
      <c r="BC175" s="213"/>
      <c r="BD175" s="213"/>
      <c r="BE175" s="213"/>
      <c r="BF175" s="213"/>
      <c r="BG175" s="213"/>
      <c r="BH175" s="213"/>
      <c r="BI175" s="213"/>
      <c r="BJ175" s="213"/>
      <c r="BK175" s="213"/>
      <c r="BL175" s="213"/>
      <c r="BM175" s="213"/>
      <c r="BN175" s="215"/>
      <c r="BO175" s="213"/>
      <c r="BP175" s="213"/>
      <c r="BQ175" s="213"/>
      <c r="BR175" s="326"/>
      <c r="BS175" s="213"/>
      <c r="BT175" s="213"/>
      <c r="BU175" s="213"/>
      <c r="BV175" s="213"/>
      <c r="BW175" s="213"/>
      <c r="BX175" s="213"/>
      <c r="BY175" s="213"/>
      <c r="BZ175" s="213"/>
      <c r="CA175" s="213"/>
      <c r="CB175" s="213"/>
      <c r="CC175" s="213"/>
      <c r="CD175" s="213"/>
      <c r="CE175" s="213"/>
      <c r="CF175" s="213"/>
      <c r="CG175" s="213"/>
      <c r="CH175" s="213"/>
      <c r="CI175" s="213"/>
      <c r="CJ175" s="213"/>
      <c r="CK175" s="213"/>
      <c r="CL175" s="213"/>
      <c r="CM175" s="213"/>
      <c r="CN175" s="213"/>
      <c r="CO175" s="213"/>
      <c r="CP175" s="213"/>
      <c r="CQ175" s="213"/>
      <c r="CR175" s="213"/>
      <c r="CS175" s="213"/>
      <c r="CT175" s="213"/>
      <c r="CU175" s="213"/>
    </row>
    <row r="176" ht="15.75" customHeight="1">
      <c r="A176" s="213"/>
      <c r="B176" s="213"/>
      <c r="C176" s="213"/>
      <c r="D176" s="213"/>
      <c r="E176" s="213"/>
      <c r="F176" s="213"/>
      <c r="G176" s="213"/>
      <c r="H176" s="213"/>
      <c r="I176" s="213"/>
      <c r="J176" s="213"/>
      <c r="K176" s="213"/>
      <c r="L176" s="213"/>
      <c r="M176" s="213"/>
      <c r="N176" s="213"/>
      <c r="O176" s="213"/>
      <c r="P176" s="213"/>
      <c r="Q176" s="213"/>
      <c r="R176" s="213"/>
      <c r="S176" s="213"/>
      <c r="T176" s="213"/>
      <c r="U176" s="213"/>
      <c r="V176" s="213"/>
      <c r="W176" s="213"/>
      <c r="X176" s="213"/>
      <c r="Y176" s="213"/>
      <c r="Z176" s="213"/>
      <c r="AA176" s="213"/>
      <c r="AB176" s="213"/>
      <c r="AC176" s="213"/>
      <c r="AD176" s="213"/>
      <c r="AE176" s="213"/>
      <c r="AF176" s="213"/>
      <c r="AG176" s="213"/>
      <c r="AH176" s="213"/>
      <c r="AI176" s="213"/>
      <c r="AJ176" s="213"/>
      <c r="AK176" s="213"/>
      <c r="AL176" s="213"/>
      <c r="AM176" s="213"/>
      <c r="AN176" s="213"/>
      <c r="AO176" s="213"/>
      <c r="AP176" s="213"/>
      <c r="AQ176" s="213"/>
      <c r="AR176" s="213"/>
      <c r="AS176" s="213"/>
      <c r="AT176" s="213"/>
      <c r="AU176" s="213"/>
      <c r="AV176" s="213"/>
      <c r="AW176" s="213"/>
      <c r="AX176" s="213"/>
      <c r="AY176" s="213"/>
      <c r="AZ176" s="213"/>
      <c r="BA176" s="213"/>
      <c r="BB176" s="213"/>
      <c r="BC176" s="213"/>
      <c r="BD176" s="213"/>
      <c r="BE176" s="213"/>
      <c r="BF176" s="213"/>
      <c r="BG176" s="213"/>
      <c r="BH176" s="213"/>
      <c r="BI176" s="213"/>
      <c r="BJ176" s="213"/>
      <c r="BK176" s="213"/>
      <c r="BL176" s="213"/>
      <c r="BM176" s="213"/>
      <c r="BN176" s="215"/>
      <c r="BO176" s="213"/>
      <c r="BP176" s="213"/>
      <c r="BQ176" s="213"/>
      <c r="BR176" s="326"/>
      <c r="BS176" s="213"/>
      <c r="BT176" s="213"/>
      <c r="BU176" s="213"/>
      <c r="BV176" s="213"/>
      <c r="BW176" s="213"/>
      <c r="BX176" s="213"/>
      <c r="BY176" s="213"/>
      <c r="BZ176" s="213"/>
      <c r="CA176" s="213"/>
      <c r="CB176" s="213"/>
      <c r="CC176" s="213"/>
      <c r="CD176" s="213"/>
      <c r="CE176" s="213"/>
      <c r="CF176" s="213"/>
      <c r="CG176" s="213"/>
      <c r="CH176" s="213"/>
      <c r="CI176" s="213"/>
      <c r="CJ176" s="213"/>
      <c r="CK176" s="213"/>
      <c r="CL176" s="213"/>
      <c r="CM176" s="213"/>
      <c r="CN176" s="213"/>
      <c r="CO176" s="213"/>
      <c r="CP176" s="213"/>
      <c r="CQ176" s="213"/>
      <c r="CR176" s="213"/>
      <c r="CS176" s="213"/>
      <c r="CT176" s="213"/>
      <c r="CU176" s="213"/>
    </row>
    <row r="177" ht="15.75" customHeight="1">
      <c r="A177" s="213"/>
      <c r="B177" s="213"/>
      <c r="C177" s="213"/>
      <c r="D177" s="213"/>
      <c r="E177" s="213"/>
      <c r="F177" s="213"/>
      <c r="G177" s="213"/>
      <c r="H177" s="213"/>
      <c r="I177" s="213"/>
      <c r="J177" s="213"/>
      <c r="K177" s="213"/>
      <c r="L177" s="213"/>
      <c r="M177" s="213"/>
      <c r="N177" s="213"/>
      <c r="O177" s="213"/>
      <c r="P177" s="213"/>
      <c r="Q177" s="213"/>
      <c r="R177" s="213"/>
      <c r="S177" s="213"/>
      <c r="T177" s="213"/>
      <c r="U177" s="213"/>
      <c r="V177" s="213"/>
      <c r="W177" s="213"/>
      <c r="X177" s="213"/>
      <c r="Y177" s="213"/>
      <c r="Z177" s="213"/>
      <c r="AA177" s="213"/>
      <c r="AB177" s="213"/>
      <c r="AC177" s="213"/>
      <c r="AD177" s="213"/>
      <c r="AE177" s="213"/>
      <c r="AF177" s="213"/>
      <c r="AG177" s="213"/>
      <c r="AH177" s="213"/>
      <c r="AI177" s="213"/>
      <c r="AJ177" s="213"/>
      <c r="AK177" s="213"/>
      <c r="AL177" s="213"/>
      <c r="AM177" s="213"/>
      <c r="AN177" s="213"/>
      <c r="AO177" s="213"/>
      <c r="AP177" s="213"/>
      <c r="AQ177" s="213"/>
      <c r="AR177" s="213"/>
      <c r="AS177" s="213"/>
      <c r="AT177" s="213"/>
      <c r="AU177" s="213"/>
      <c r="AV177" s="213"/>
      <c r="AW177" s="213"/>
      <c r="AX177" s="213"/>
      <c r="AY177" s="213"/>
      <c r="AZ177" s="213"/>
      <c r="BA177" s="213"/>
      <c r="BB177" s="213"/>
      <c r="BC177" s="213"/>
      <c r="BD177" s="213"/>
      <c r="BE177" s="213"/>
      <c r="BF177" s="213"/>
      <c r="BG177" s="213"/>
      <c r="BH177" s="213"/>
      <c r="BI177" s="213"/>
      <c r="BJ177" s="213"/>
      <c r="BK177" s="213"/>
      <c r="BL177" s="213"/>
      <c r="BM177" s="213"/>
      <c r="BN177" s="215"/>
      <c r="BO177" s="213"/>
      <c r="BP177" s="213"/>
      <c r="BQ177" s="213"/>
      <c r="BR177" s="326"/>
      <c r="BS177" s="213"/>
      <c r="BT177" s="213"/>
      <c r="BU177" s="213"/>
      <c r="BV177" s="213"/>
      <c r="BW177" s="213"/>
      <c r="BX177" s="213"/>
      <c r="BY177" s="213"/>
      <c r="BZ177" s="213"/>
      <c r="CA177" s="213"/>
      <c r="CB177" s="213"/>
      <c r="CC177" s="213"/>
      <c r="CD177" s="213"/>
      <c r="CE177" s="213"/>
      <c r="CF177" s="213"/>
      <c r="CG177" s="213"/>
      <c r="CH177" s="213"/>
      <c r="CI177" s="213"/>
      <c r="CJ177" s="213"/>
      <c r="CK177" s="213"/>
      <c r="CL177" s="213"/>
      <c r="CM177" s="213"/>
      <c r="CN177" s="213"/>
      <c r="CO177" s="213"/>
      <c r="CP177" s="213"/>
      <c r="CQ177" s="213"/>
      <c r="CR177" s="213"/>
      <c r="CS177" s="213"/>
      <c r="CT177" s="213"/>
      <c r="CU177" s="213"/>
    </row>
    <row r="178" ht="15.75" customHeight="1">
      <c r="A178" s="213"/>
      <c r="B178" s="213"/>
      <c r="C178" s="213"/>
      <c r="D178" s="213"/>
      <c r="E178" s="213"/>
      <c r="F178" s="213"/>
      <c r="G178" s="213"/>
      <c r="H178" s="213"/>
      <c r="I178" s="213"/>
      <c r="J178" s="213"/>
      <c r="K178" s="213"/>
      <c r="L178" s="213"/>
      <c r="M178" s="213"/>
      <c r="N178" s="213"/>
      <c r="O178" s="213"/>
      <c r="P178" s="213"/>
      <c r="Q178" s="213"/>
      <c r="R178" s="213"/>
      <c r="S178" s="213"/>
      <c r="T178" s="213"/>
      <c r="U178" s="213"/>
      <c r="V178" s="213"/>
      <c r="W178" s="213"/>
      <c r="X178" s="213"/>
      <c r="Y178" s="213"/>
      <c r="Z178" s="213"/>
      <c r="AA178" s="213"/>
      <c r="AB178" s="213"/>
      <c r="AC178" s="213"/>
      <c r="AD178" s="213"/>
      <c r="AE178" s="213"/>
      <c r="AF178" s="213"/>
      <c r="AG178" s="213"/>
      <c r="AH178" s="213"/>
      <c r="AI178" s="213"/>
      <c r="AJ178" s="213"/>
      <c r="AK178" s="213"/>
      <c r="AL178" s="213"/>
      <c r="AM178" s="213"/>
      <c r="AN178" s="213"/>
      <c r="AO178" s="213"/>
      <c r="AP178" s="213"/>
      <c r="AQ178" s="213"/>
      <c r="AR178" s="213"/>
      <c r="AS178" s="213"/>
      <c r="AT178" s="213"/>
      <c r="AU178" s="213"/>
      <c r="AV178" s="213"/>
      <c r="AW178" s="213"/>
      <c r="AX178" s="213"/>
      <c r="AY178" s="213"/>
      <c r="AZ178" s="213"/>
      <c r="BA178" s="213"/>
      <c r="BB178" s="213"/>
      <c r="BC178" s="213"/>
      <c r="BD178" s="213"/>
      <c r="BE178" s="213"/>
      <c r="BF178" s="213"/>
      <c r="BG178" s="213"/>
      <c r="BH178" s="213"/>
      <c r="BI178" s="213"/>
      <c r="BJ178" s="213"/>
      <c r="BK178" s="213"/>
      <c r="BL178" s="213"/>
      <c r="BM178" s="213"/>
      <c r="BN178" s="215"/>
      <c r="BO178" s="213"/>
      <c r="BP178" s="213"/>
      <c r="BQ178" s="213"/>
      <c r="BR178" s="326"/>
      <c r="BS178" s="213"/>
      <c r="BT178" s="213"/>
      <c r="BU178" s="213"/>
      <c r="BV178" s="213"/>
      <c r="BW178" s="213"/>
      <c r="BX178" s="213"/>
      <c r="BY178" s="213"/>
      <c r="BZ178" s="213"/>
      <c r="CA178" s="213"/>
      <c r="CB178" s="213"/>
      <c r="CC178" s="213"/>
      <c r="CD178" s="213"/>
      <c r="CE178" s="213"/>
      <c r="CF178" s="213"/>
      <c r="CG178" s="213"/>
      <c r="CH178" s="213"/>
      <c r="CI178" s="213"/>
      <c r="CJ178" s="213"/>
      <c r="CK178" s="213"/>
      <c r="CL178" s="213"/>
      <c r="CM178" s="213"/>
      <c r="CN178" s="213"/>
      <c r="CO178" s="213"/>
      <c r="CP178" s="213"/>
      <c r="CQ178" s="213"/>
      <c r="CR178" s="213"/>
      <c r="CS178" s="213"/>
      <c r="CT178" s="213"/>
      <c r="CU178" s="213"/>
    </row>
    <row r="179" ht="15.75" customHeight="1">
      <c r="A179" s="213"/>
      <c r="B179" s="213"/>
      <c r="C179" s="213"/>
      <c r="D179" s="213"/>
      <c r="E179" s="213"/>
      <c r="F179" s="213"/>
      <c r="G179" s="213"/>
      <c r="H179" s="213"/>
      <c r="I179" s="213"/>
      <c r="J179" s="213"/>
      <c r="K179" s="213"/>
      <c r="L179" s="213"/>
      <c r="M179" s="213"/>
      <c r="N179" s="213"/>
      <c r="O179" s="213"/>
      <c r="P179" s="213"/>
      <c r="Q179" s="213"/>
      <c r="R179" s="213"/>
      <c r="S179" s="213"/>
      <c r="T179" s="213"/>
      <c r="U179" s="213"/>
      <c r="V179" s="213"/>
      <c r="W179" s="213"/>
      <c r="X179" s="213"/>
      <c r="Y179" s="213"/>
      <c r="Z179" s="213"/>
      <c r="AA179" s="213"/>
      <c r="AB179" s="213"/>
      <c r="AC179" s="213"/>
      <c r="AD179" s="213"/>
      <c r="AE179" s="213"/>
      <c r="AF179" s="213"/>
      <c r="AG179" s="213"/>
      <c r="AH179" s="213"/>
      <c r="AI179" s="213"/>
      <c r="AJ179" s="213"/>
      <c r="AK179" s="213"/>
      <c r="AL179" s="213"/>
      <c r="AM179" s="213"/>
      <c r="AN179" s="213"/>
      <c r="AO179" s="213"/>
      <c r="AP179" s="213"/>
      <c r="AQ179" s="213"/>
      <c r="AR179" s="213"/>
      <c r="AS179" s="213"/>
      <c r="AT179" s="213"/>
      <c r="AU179" s="213"/>
      <c r="AV179" s="213"/>
      <c r="AW179" s="213"/>
      <c r="AX179" s="213"/>
      <c r="AY179" s="213"/>
      <c r="AZ179" s="213"/>
      <c r="BA179" s="213"/>
      <c r="BB179" s="213"/>
      <c r="BC179" s="213"/>
      <c r="BD179" s="213"/>
      <c r="BE179" s="213"/>
      <c r="BF179" s="213"/>
      <c r="BG179" s="213"/>
      <c r="BH179" s="213"/>
      <c r="BI179" s="213"/>
      <c r="BJ179" s="213"/>
      <c r="BK179" s="213"/>
      <c r="BL179" s="213"/>
      <c r="BM179" s="213"/>
      <c r="BN179" s="215"/>
      <c r="BO179" s="213"/>
      <c r="BP179" s="213"/>
      <c r="BQ179" s="213"/>
      <c r="BR179" s="326"/>
      <c r="BS179" s="213"/>
      <c r="BT179" s="213"/>
      <c r="BU179" s="213"/>
      <c r="BV179" s="213"/>
      <c r="BW179" s="213"/>
      <c r="BX179" s="213"/>
      <c r="BY179" s="213"/>
      <c r="BZ179" s="213"/>
      <c r="CA179" s="213"/>
      <c r="CB179" s="213"/>
      <c r="CC179" s="213"/>
      <c r="CD179" s="213"/>
      <c r="CE179" s="213"/>
      <c r="CF179" s="213"/>
      <c r="CG179" s="213"/>
      <c r="CH179" s="213"/>
      <c r="CI179" s="213"/>
      <c r="CJ179" s="213"/>
      <c r="CK179" s="213"/>
      <c r="CL179" s="213"/>
      <c r="CM179" s="213"/>
      <c r="CN179" s="213"/>
      <c r="CO179" s="213"/>
      <c r="CP179" s="213"/>
      <c r="CQ179" s="213"/>
      <c r="CR179" s="213"/>
      <c r="CS179" s="213"/>
      <c r="CT179" s="213"/>
      <c r="CU179" s="213"/>
    </row>
    <row r="180" ht="15.75" customHeight="1">
      <c r="A180" s="213"/>
      <c r="B180" s="213"/>
      <c r="C180" s="213"/>
      <c r="D180" s="213"/>
      <c r="E180" s="213"/>
      <c r="F180" s="213"/>
      <c r="G180" s="213"/>
      <c r="H180" s="213"/>
      <c r="I180" s="213"/>
      <c r="J180" s="213"/>
      <c r="K180" s="213"/>
      <c r="L180" s="213"/>
      <c r="M180" s="213"/>
      <c r="N180" s="213"/>
      <c r="O180" s="213"/>
      <c r="P180" s="213"/>
      <c r="Q180" s="213"/>
      <c r="R180" s="213"/>
      <c r="S180" s="213"/>
      <c r="T180" s="213"/>
      <c r="U180" s="213"/>
      <c r="V180" s="213"/>
      <c r="W180" s="213"/>
      <c r="X180" s="213"/>
      <c r="Y180" s="213"/>
      <c r="Z180" s="213"/>
      <c r="AA180" s="213"/>
      <c r="AB180" s="213"/>
      <c r="AC180" s="213"/>
      <c r="AD180" s="213"/>
      <c r="AE180" s="213"/>
      <c r="AF180" s="213"/>
      <c r="AG180" s="213"/>
      <c r="AH180" s="213"/>
      <c r="AI180" s="213"/>
      <c r="AJ180" s="213"/>
      <c r="AK180" s="213"/>
      <c r="AL180" s="213"/>
      <c r="AM180" s="213"/>
      <c r="AN180" s="213"/>
      <c r="AO180" s="213"/>
      <c r="AP180" s="213"/>
      <c r="AQ180" s="213"/>
      <c r="AR180" s="213"/>
      <c r="AS180" s="213"/>
      <c r="AT180" s="213"/>
      <c r="AU180" s="213"/>
      <c r="AV180" s="213"/>
      <c r="AW180" s="213"/>
      <c r="AX180" s="213"/>
      <c r="AY180" s="213"/>
      <c r="AZ180" s="213"/>
      <c r="BA180" s="213"/>
      <c r="BB180" s="213"/>
      <c r="BC180" s="213"/>
      <c r="BD180" s="213"/>
      <c r="BE180" s="213"/>
      <c r="BF180" s="213"/>
      <c r="BG180" s="213"/>
      <c r="BH180" s="213"/>
      <c r="BI180" s="213"/>
      <c r="BJ180" s="213"/>
      <c r="BK180" s="213"/>
      <c r="BL180" s="213"/>
      <c r="BM180" s="213"/>
      <c r="BN180" s="215"/>
      <c r="BO180" s="213"/>
      <c r="BP180" s="213"/>
      <c r="BQ180" s="213"/>
      <c r="BR180" s="326"/>
      <c r="BS180" s="213"/>
      <c r="BT180" s="213"/>
      <c r="BU180" s="213"/>
      <c r="BV180" s="213"/>
      <c r="BW180" s="213"/>
      <c r="BX180" s="213"/>
      <c r="BY180" s="213"/>
      <c r="BZ180" s="213"/>
      <c r="CA180" s="213"/>
      <c r="CB180" s="213"/>
      <c r="CC180" s="213"/>
      <c r="CD180" s="213"/>
      <c r="CE180" s="213"/>
      <c r="CF180" s="213"/>
      <c r="CG180" s="213"/>
      <c r="CH180" s="213"/>
      <c r="CI180" s="213"/>
      <c r="CJ180" s="213"/>
      <c r="CK180" s="213"/>
      <c r="CL180" s="213"/>
      <c r="CM180" s="213"/>
      <c r="CN180" s="213"/>
      <c r="CO180" s="213"/>
      <c r="CP180" s="213"/>
      <c r="CQ180" s="213"/>
      <c r="CR180" s="213"/>
      <c r="CS180" s="213"/>
      <c r="CT180" s="213"/>
      <c r="CU180" s="213"/>
    </row>
    <row r="181" ht="15.75" customHeight="1">
      <c r="A181" s="213"/>
      <c r="B181" s="213"/>
      <c r="C181" s="213"/>
      <c r="D181" s="213"/>
      <c r="E181" s="213"/>
      <c r="F181" s="213"/>
      <c r="G181" s="213"/>
      <c r="H181" s="213"/>
      <c r="I181" s="213"/>
      <c r="J181" s="213"/>
      <c r="K181" s="213"/>
      <c r="L181" s="213"/>
      <c r="M181" s="213"/>
      <c r="N181" s="213"/>
      <c r="O181" s="213"/>
      <c r="P181" s="213"/>
      <c r="Q181" s="213"/>
      <c r="R181" s="213"/>
      <c r="S181" s="213"/>
      <c r="T181" s="213"/>
      <c r="U181" s="213"/>
      <c r="V181" s="213"/>
      <c r="W181" s="213"/>
      <c r="X181" s="213"/>
      <c r="Y181" s="213"/>
      <c r="Z181" s="213"/>
      <c r="AA181" s="213"/>
      <c r="AB181" s="213"/>
      <c r="AC181" s="213"/>
      <c r="AD181" s="213"/>
      <c r="AE181" s="213"/>
      <c r="AF181" s="213"/>
      <c r="AG181" s="213"/>
      <c r="AH181" s="213"/>
      <c r="AI181" s="213"/>
      <c r="AJ181" s="213"/>
      <c r="AK181" s="213"/>
      <c r="AL181" s="213"/>
      <c r="AM181" s="213"/>
      <c r="AN181" s="213"/>
      <c r="AO181" s="213"/>
      <c r="AP181" s="213"/>
      <c r="AQ181" s="213"/>
      <c r="AR181" s="213"/>
      <c r="AS181" s="213"/>
      <c r="AT181" s="213"/>
      <c r="AU181" s="213"/>
      <c r="AV181" s="213"/>
      <c r="AW181" s="213"/>
      <c r="AX181" s="213"/>
      <c r="AY181" s="213"/>
      <c r="AZ181" s="213"/>
      <c r="BA181" s="213"/>
      <c r="BB181" s="213"/>
      <c r="BC181" s="213"/>
      <c r="BD181" s="213"/>
      <c r="BE181" s="213"/>
      <c r="BF181" s="213"/>
      <c r="BG181" s="213"/>
      <c r="BH181" s="213"/>
      <c r="BI181" s="213"/>
      <c r="BJ181" s="213"/>
      <c r="BK181" s="213"/>
      <c r="BL181" s="213"/>
      <c r="BM181" s="213"/>
      <c r="BN181" s="215"/>
      <c r="BO181" s="213"/>
      <c r="BP181" s="213"/>
      <c r="BQ181" s="213"/>
      <c r="BR181" s="326"/>
      <c r="BS181" s="213"/>
      <c r="BT181" s="213"/>
      <c r="BU181" s="213"/>
      <c r="BV181" s="213"/>
      <c r="BW181" s="213"/>
      <c r="BX181" s="213"/>
      <c r="BY181" s="213"/>
      <c r="BZ181" s="213"/>
      <c r="CA181" s="213"/>
      <c r="CB181" s="213"/>
      <c r="CC181" s="213"/>
      <c r="CD181" s="213"/>
      <c r="CE181" s="213"/>
      <c r="CF181" s="213"/>
      <c r="CG181" s="213"/>
      <c r="CH181" s="213"/>
      <c r="CI181" s="213"/>
      <c r="CJ181" s="213"/>
      <c r="CK181" s="213"/>
      <c r="CL181" s="213"/>
      <c r="CM181" s="213"/>
      <c r="CN181" s="213"/>
      <c r="CO181" s="213"/>
      <c r="CP181" s="213"/>
      <c r="CQ181" s="213"/>
      <c r="CR181" s="213"/>
      <c r="CS181" s="213"/>
      <c r="CT181" s="213"/>
      <c r="CU181" s="213"/>
    </row>
    <row r="182" ht="15.75" customHeight="1">
      <c r="A182" s="213"/>
      <c r="B182" s="213"/>
      <c r="C182" s="213"/>
      <c r="D182" s="213"/>
      <c r="E182" s="213"/>
      <c r="F182" s="213"/>
      <c r="G182" s="213"/>
      <c r="H182" s="213"/>
      <c r="I182" s="213"/>
      <c r="J182" s="213"/>
      <c r="K182" s="213"/>
      <c r="L182" s="213"/>
      <c r="M182" s="213"/>
      <c r="N182" s="213"/>
      <c r="O182" s="213"/>
      <c r="P182" s="213"/>
      <c r="Q182" s="213"/>
      <c r="R182" s="213"/>
      <c r="S182" s="213"/>
      <c r="T182" s="213"/>
      <c r="U182" s="213"/>
      <c r="V182" s="213"/>
      <c r="W182" s="213"/>
      <c r="X182" s="213"/>
      <c r="Y182" s="213"/>
      <c r="Z182" s="213"/>
      <c r="AA182" s="213"/>
      <c r="AB182" s="213"/>
      <c r="AC182" s="213"/>
      <c r="AD182" s="213"/>
      <c r="AE182" s="213"/>
      <c r="AF182" s="213"/>
      <c r="AG182" s="213"/>
      <c r="AH182" s="213"/>
      <c r="AI182" s="213"/>
      <c r="AJ182" s="213"/>
      <c r="AK182" s="213"/>
      <c r="AL182" s="213"/>
      <c r="AM182" s="213"/>
      <c r="AN182" s="213"/>
      <c r="AO182" s="213"/>
      <c r="AP182" s="213"/>
      <c r="AQ182" s="213"/>
      <c r="AR182" s="213"/>
      <c r="AS182" s="213"/>
      <c r="AT182" s="213"/>
      <c r="AU182" s="213"/>
      <c r="AV182" s="213"/>
      <c r="AW182" s="213"/>
      <c r="AX182" s="213"/>
      <c r="AY182" s="213"/>
      <c r="AZ182" s="213"/>
      <c r="BA182" s="213"/>
      <c r="BB182" s="213"/>
      <c r="BC182" s="213"/>
      <c r="BD182" s="213"/>
      <c r="BE182" s="213"/>
      <c r="BF182" s="213"/>
      <c r="BG182" s="213"/>
      <c r="BH182" s="213"/>
      <c r="BI182" s="213"/>
      <c r="BJ182" s="213"/>
      <c r="BK182" s="213"/>
      <c r="BL182" s="213"/>
      <c r="BM182" s="213"/>
      <c r="BN182" s="215"/>
      <c r="BO182" s="213"/>
      <c r="BP182" s="213"/>
      <c r="BQ182" s="213"/>
      <c r="BR182" s="326"/>
      <c r="BS182" s="213"/>
      <c r="BT182" s="213"/>
      <c r="BU182" s="213"/>
      <c r="BV182" s="213"/>
      <c r="BW182" s="213"/>
      <c r="BX182" s="213"/>
      <c r="BY182" s="213"/>
      <c r="BZ182" s="213"/>
      <c r="CA182" s="213"/>
      <c r="CB182" s="213"/>
      <c r="CC182" s="213"/>
      <c r="CD182" s="213"/>
      <c r="CE182" s="213"/>
      <c r="CF182" s="213"/>
      <c r="CG182" s="213"/>
      <c r="CH182" s="213"/>
      <c r="CI182" s="213"/>
      <c r="CJ182" s="213"/>
      <c r="CK182" s="213"/>
      <c r="CL182" s="213"/>
      <c r="CM182" s="213"/>
      <c r="CN182" s="213"/>
      <c r="CO182" s="213"/>
      <c r="CP182" s="213"/>
      <c r="CQ182" s="213"/>
      <c r="CR182" s="213"/>
      <c r="CS182" s="213"/>
      <c r="CT182" s="213"/>
      <c r="CU182" s="213"/>
    </row>
    <row r="183" ht="15.75" customHeight="1">
      <c r="A183" s="213"/>
      <c r="B183" s="213"/>
      <c r="C183" s="213"/>
      <c r="D183" s="213"/>
      <c r="E183" s="213"/>
      <c r="F183" s="213"/>
      <c r="G183" s="213"/>
      <c r="H183" s="213"/>
      <c r="I183" s="213"/>
      <c r="J183" s="213"/>
      <c r="K183" s="213"/>
      <c r="L183" s="213"/>
      <c r="M183" s="213"/>
      <c r="N183" s="213"/>
      <c r="O183" s="213"/>
      <c r="P183" s="213"/>
      <c r="Q183" s="213"/>
      <c r="R183" s="213"/>
      <c r="S183" s="213"/>
      <c r="T183" s="213"/>
      <c r="U183" s="213"/>
      <c r="V183" s="213"/>
      <c r="W183" s="213"/>
      <c r="X183" s="213"/>
      <c r="Y183" s="213"/>
      <c r="Z183" s="213"/>
      <c r="AA183" s="213"/>
      <c r="AB183" s="213"/>
      <c r="AC183" s="213"/>
      <c r="AD183" s="213"/>
      <c r="AE183" s="213"/>
      <c r="AF183" s="213"/>
      <c r="AG183" s="213"/>
      <c r="AH183" s="213"/>
      <c r="AI183" s="213"/>
      <c r="AJ183" s="213"/>
      <c r="AK183" s="213"/>
      <c r="AL183" s="213"/>
      <c r="AM183" s="213"/>
      <c r="AN183" s="213"/>
      <c r="AO183" s="213"/>
      <c r="AP183" s="213"/>
      <c r="AQ183" s="213"/>
      <c r="AR183" s="213"/>
      <c r="AS183" s="213"/>
      <c r="AT183" s="213"/>
      <c r="AU183" s="213"/>
      <c r="AV183" s="213"/>
      <c r="AW183" s="213"/>
      <c r="AX183" s="213"/>
      <c r="AY183" s="213"/>
      <c r="AZ183" s="213"/>
      <c r="BA183" s="213"/>
      <c r="BB183" s="213"/>
      <c r="BC183" s="213"/>
      <c r="BD183" s="213"/>
      <c r="BE183" s="213"/>
      <c r="BF183" s="213"/>
      <c r="BG183" s="213"/>
      <c r="BH183" s="213"/>
      <c r="BI183" s="213"/>
      <c r="BJ183" s="213"/>
      <c r="BK183" s="213"/>
      <c r="BL183" s="213"/>
      <c r="BM183" s="213"/>
      <c r="BN183" s="215"/>
      <c r="BO183" s="213"/>
      <c r="BP183" s="213"/>
      <c r="BQ183" s="213"/>
      <c r="BR183" s="326"/>
      <c r="BS183" s="213"/>
      <c r="BT183" s="213"/>
      <c r="BU183" s="213"/>
      <c r="BV183" s="213"/>
      <c r="BW183" s="213"/>
      <c r="BX183" s="213"/>
      <c r="BY183" s="213"/>
      <c r="BZ183" s="213"/>
      <c r="CA183" s="213"/>
      <c r="CB183" s="213"/>
      <c r="CC183" s="213"/>
      <c r="CD183" s="213"/>
      <c r="CE183" s="213"/>
      <c r="CF183" s="213"/>
      <c r="CG183" s="213"/>
      <c r="CH183" s="213"/>
      <c r="CI183" s="213"/>
      <c r="CJ183" s="213"/>
      <c r="CK183" s="213"/>
      <c r="CL183" s="213"/>
      <c r="CM183" s="213"/>
      <c r="CN183" s="213"/>
      <c r="CO183" s="213"/>
      <c r="CP183" s="213"/>
      <c r="CQ183" s="213"/>
      <c r="CR183" s="213"/>
      <c r="CS183" s="213"/>
      <c r="CT183" s="213"/>
      <c r="CU183" s="213"/>
    </row>
    <row r="184" ht="15.75" customHeight="1">
      <c r="A184" s="213"/>
      <c r="B184" s="213"/>
      <c r="C184" s="213"/>
      <c r="D184" s="213"/>
      <c r="E184" s="213"/>
      <c r="F184" s="213"/>
      <c r="G184" s="213"/>
      <c r="H184" s="213"/>
      <c r="I184" s="213"/>
      <c r="J184" s="213"/>
      <c r="K184" s="213"/>
      <c r="L184" s="213"/>
      <c r="M184" s="213"/>
      <c r="N184" s="213"/>
      <c r="O184" s="213"/>
      <c r="P184" s="213"/>
      <c r="Q184" s="213"/>
      <c r="R184" s="213"/>
      <c r="S184" s="213"/>
      <c r="T184" s="213"/>
      <c r="U184" s="213"/>
      <c r="V184" s="213"/>
      <c r="W184" s="213"/>
      <c r="X184" s="213"/>
      <c r="Y184" s="213"/>
      <c r="Z184" s="213"/>
      <c r="AA184" s="213"/>
      <c r="AB184" s="213"/>
      <c r="AC184" s="213"/>
      <c r="AD184" s="213"/>
      <c r="AE184" s="213"/>
      <c r="AF184" s="213"/>
      <c r="AG184" s="213"/>
      <c r="AH184" s="213"/>
      <c r="AI184" s="213"/>
      <c r="AJ184" s="213"/>
      <c r="AK184" s="213"/>
      <c r="AL184" s="213"/>
      <c r="AM184" s="213"/>
      <c r="AN184" s="213"/>
      <c r="AO184" s="213"/>
      <c r="AP184" s="213"/>
      <c r="AQ184" s="213"/>
      <c r="AR184" s="213"/>
      <c r="AS184" s="213"/>
      <c r="AT184" s="213"/>
      <c r="AU184" s="213"/>
      <c r="AV184" s="213"/>
      <c r="AW184" s="213"/>
      <c r="AX184" s="213"/>
      <c r="AY184" s="213"/>
      <c r="AZ184" s="213"/>
      <c r="BA184" s="213"/>
      <c r="BB184" s="213"/>
      <c r="BC184" s="213"/>
      <c r="BD184" s="213"/>
      <c r="BE184" s="213"/>
      <c r="BF184" s="213"/>
      <c r="BG184" s="213"/>
      <c r="BH184" s="213"/>
      <c r="BI184" s="213"/>
      <c r="BJ184" s="213"/>
      <c r="BK184" s="213"/>
      <c r="BL184" s="213"/>
      <c r="BM184" s="213"/>
      <c r="BN184" s="215"/>
      <c r="BO184" s="213"/>
      <c r="BP184" s="213"/>
      <c r="BQ184" s="213"/>
      <c r="BR184" s="326"/>
      <c r="BS184" s="213"/>
      <c r="BT184" s="213"/>
      <c r="BU184" s="213"/>
      <c r="BV184" s="213"/>
      <c r="BW184" s="213"/>
      <c r="BX184" s="213"/>
      <c r="BY184" s="213"/>
      <c r="BZ184" s="213"/>
      <c r="CA184" s="213"/>
      <c r="CB184" s="213"/>
      <c r="CC184" s="213"/>
      <c r="CD184" s="213"/>
      <c r="CE184" s="213"/>
      <c r="CF184" s="213"/>
      <c r="CG184" s="213"/>
      <c r="CH184" s="213"/>
      <c r="CI184" s="213"/>
      <c r="CJ184" s="213"/>
      <c r="CK184" s="213"/>
      <c r="CL184" s="213"/>
      <c r="CM184" s="213"/>
      <c r="CN184" s="213"/>
      <c r="CO184" s="213"/>
      <c r="CP184" s="213"/>
      <c r="CQ184" s="213"/>
      <c r="CR184" s="213"/>
      <c r="CS184" s="213"/>
      <c r="CT184" s="213"/>
      <c r="CU184" s="213"/>
    </row>
    <row r="185" ht="15.75" customHeight="1">
      <c r="A185" s="213"/>
      <c r="B185" s="213"/>
      <c r="C185" s="213"/>
      <c r="D185" s="213"/>
      <c r="E185" s="213"/>
      <c r="F185" s="213"/>
      <c r="G185" s="213"/>
      <c r="H185" s="213"/>
      <c r="I185" s="213"/>
      <c r="J185" s="213"/>
      <c r="K185" s="213"/>
      <c r="L185" s="213"/>
      <c r="M185" s="213"/>
      <c r="N185" s="213"/>
      <c r="O185" s="213"/>
      <c r="P185" s="213"/>
      <c r="Q185" s="213"/>
      <c r="R185" s="213"/>
      <c r="S185" s="213"/>
      <c r="T185" s="213"/>
      <c r="U185" s="213"/>
      <c r="V185" s="213"/>
      <c r="W185" s="213"/>
      <c r="X185" s="213"/>
      <c r="Y185" s="213"/>
      <c r="Z185" s="213"/>
      <c r="AA185" s="213"/>
      <c r="AB185" s="213"/>
      <c r="AC185" s="213"/>
      <c r="AD185" s="213"/>
      <c r="AE185" s="213"/>
      <c r="AF185" s="213"/>
      <c r="AG185" s="213"/>
      <c r="AH185" s="213"/>
      <c r="AI185" s="213"/>
      <c r="AJ185" s="213"/>
      <c r="AK185" s="213"/>
      <c r="AL185" s="213"/>
      <c r="AM185" s="213"/>
      <c r="AN185" s="213"/>
      <c r="AO185" s="213"/>
      <c r="AP185" s="213"/>
      <c r="AQ185" s="213"/>
      <c r="AR185" s="213"/>
      <c r="AS185" s="213"/>
      <c r="AT185" s="213"/>
      <c r="AU185" s="213"/>
      <c r="AV185" s="213"/>
      <c r="AW185" s="213"/>
      <c r="AX185" s="213"/>
      <c r="AY185" s="213"/>
      <c r="AZ185" s="213"/>
      <c r="BA185" s="213"/>
      <c r="BB185" s="213"/>
      <c r="BC185" s="213"/>
      <c r="BD185" s="213"/>
      <c r="BE185" s="213"/>
      <c r="BF185" s="213"/>
      <c r="BG185" s="213"/>
      <c r="BH185" s="213"/>
      <c r="BI185" s="213"/>
      <c r="BJ185" s="213"/>
      <c r="BK185" s="213"/>
      <c r="BL185" s="213"/>
      <c r="BM185" s="213"/>
      <c r="BN185" s="215"/>
      <c r="BO185" s="213"/>
      <c r="BP185" s="213"/>
      <c r="BQ185" s="213"/>
      <c r="BR185" s="326"/>
      <c r="BS185" s="213"/>
      <c r="BT185" s="213"/>
      <c r="BU185" s="213"/>
      <c r="BV185" s="213"/>
      <c r="BW185" s="213"/>
      <c r="BX185" s="213"/>
      <c r="BY185" s="213"/>
      <c r="BZ185" s="213"/>
      <c r="CA185" s="213"/>
      <c r="CB185" s="213"/>
      <c r="CC185" s="213"/>
      <c r="CD185" s="213"/>
      <c r="CE185" s="213"/>
      <c r="CF185" s="213"/>
      <c r="CG185" s="213"/>
      <c r="CH185" s="213"/>
      <c r="CI185" s="213"/>
      <c r="CJ185" s="213"/>
      <c r="CK185" s="213"/>
      <c r="CL185" s="213"/>
      <c r="CM185" s="213"/>
      <c r="CN185" s="213"/>
      <c r="CO185" s="213"/>
      <c r="CP185" s="213"/>
      <c r="CQ185" s="213"/>
      <c r="CR185" s="213"/>
      <c r="CS185" s="213"/>
      <c r="CT185" s="213"/>
      <c r="CU185" s="213"/>
    </row>
    <row r="186" ht="15.75" customHeight="1">
      <c r="A186" s="213"/>
      <c r="B186" s="213"/>
      <c r="C186" s="213"/>
      <c r="D186" s="213"/>
      <c r="E186" s="213"/>
      <c r="F186" s="213"/>
      <c r="G186" s="213"/>
      <c r="H186" s="213"/>
      <c r="I186" s="213"/>
      <c r="J186" s="213"/>
      <c r="K186" s="213"/>
      <c r="L186" s="213"/>
      <c r="M186" s="213"/>
      <c r="N186" s="213"/>
      <c r="O186" s="213"/>
      <c r="P186" s="213"/>
      <c r="Q186" s="213"/>
      <c r="R186" s="213"/>
      <c r="S186" s="213"/>
      <c r="T186" s="213"/>
      <c r="U186" s="213"/>
      <c r="V186" s="213"/>
      <c r="W186" s="213"/>
      <c r="X186" s="213"/>
      <c r="Y186" s="213"/>
      <c r="Z186" s="213"/>
      <c r="AA186" s="213"/>
      <c r="AB186" s="213"/>
      <c r="AC186" s="213"/>
      <c r="AD186" s="213"/>
      <c r="AE186" s="213"/>
      <c r="AF186" s="213"/>
      <c r="AG186" s="213"/>
      <c r="AH186" s="213"/>
      <c r="AI186" s="213"/>
      <c r="AJ186" s="213"/>
      <c r="AK186" s="213"/>
      <c r="AL186" s="213"/>
      <c r="AM186" s="213"/>
      <c r="AN186" s="213"/>
      <c r="AO186" s="213"/>
      <c r="AP186" s="213"/>
      <c r="AQ186" s="213"/>
      <c r="AR186" s="213"/>
      <c r="AS186" s="213"/>
      <c r="AT186" s="213"/>
      <c r="AU186" s="213"/>
      <c r="AV186" s="213"/>
      <c r="AW186" s="213"/>
      <c r="AX186" s="213"/>
      <c r="AY186" s="213"/>
      <c r="AZ186" s="213"/>
      <c r="BA186" s="213"/>
      <c r="BB186" s="213"/>
      <c r="BC186" s="213"/>
      <c r="BD186" s="213"/>
      <c r="BE186" s="213"/>
      <c r="BF186" s="213"/>
      <c r="BG186" s="213"/>
      <c r="BH186" s="213"/>
      <c r="BI186" s="213"/>
      <c r="BJ186" s="213"/>
      <c r="BK186" s="213"/>
      <c r="BL186" s="213"/>
      <c r="BM186" s="213"/>
      <c r="BN186" s="215"/>
      <c r="BO186" s="213"/>
      <c r="BP186" s="213"/>
      <c r="BQ186" s="213"/>
      <c r="BR186" s="326"/>
      <c r="BS186" s="213"/>
      <c r="BT186" s="213"/>
      <c r="BU186" s="213"/>
      <c r="BV186" s="213"/>
      <c r="BW186" s="213"/>
      <c r="BX186" s="213"/>
      <c r="BY186" s="213"/>
      <c r="BZ186" s="213"/>
      <c r="CA186" s="213"/>
      <c r="CB186" s="213"/>
      <c r="CC186" s="213"/>
      <c r="CD186" s="213"/>
      <c r="CE186" s="213"/>
      <c r="CF186" s="213"/>
      <c r="CG186" s="213"/>
      <c r="CH186" s="213"/>
      <c r="CI186" s="213"/>
      <c r="CJ186" s="213"/>
      <c r="CK186" s="213"/>
      <c r="CL186" s="213"/>
      <c r="CM186" s="213"/>
      <c r="CN186" s="213"/>
      <c r="CO186" s="213"/>
      <c r="CP186" s="213"/>
      <c r="CQ186" s="213"/>
      <c r="CR186" s="213"/>
      <c r="CS186" s="213"/>
      <c r="CT186" s="213"/>
      <c r="CU186" s="213"/>
    </row>
    <row r="187" ht="15.75" customHeight="1">
      <c r="A187" s="213"/>
      <c r="B187" s="213"/>
      <c r="C187" s="213"/>
      <c r="D187" s="213"/>
      <c r="E187" s="213"/>
      <c r="F187" s="213"/>
      <c r="G187" s="213"/>
      <c r="H187" s="213"/>
      <c r="I187" s="213"/>
      <c r="J187" s="213"/>
      <c r="K187" s="213"/>
      <c r="L187" s="213"/>
      <c r="M187" s="213"/>
      <c r="N187" s="213"/>
      <c r="O187" s="213"/>
      <c r="P187" s="213"/>
      <c r="Q187" s="213"/>
      <c r="R187" s="213"/>
      <c r="S187" s="213"/>
      <c r="T187" s="213"/>
      <c r="U187" s="213"/>
      <c r="V187" s="213"/>
      <c r="W187" s="213"/>
      <c r="X187" s="213"/>
      <c r="Y187" s="213"/>
      <c r="Z187" s="213"/>
      <c r="AA187" s="213"/>
      <c r="AB187" s="213"/>
      <c r="AC187" s="213"/>
      <c r="AD187" s="213"/>
      <c r="AE187" s="213"/>
      <c r="AF187" s="213"/>
      <c r="AG187" s="213"/>
      <c r="AH187" s="213"/>
      <c r="AI187" s="213"/>
      <c r="AJ187" s="213"/>
      <c r="AK187" s="213"/>
      <c r="AL187" s="213"/>
      <c r="AM187" s="213"/>
      <c r="AN187" s="213"/>
      <c r="AO187" s="213"/>
      <c r="AP187" s="213"/>
      <c r="AQ187" s="213"/>
      <c r="AR187" s="213"/>
      <c r="AS187" s="213"/>
      <c r="AT187" s="213"/>
      <c r="AU187" s="213"/>
      <c r="AV187" s="213"/>
      <c r="AW187" s="213"/>
      <c r="AX187" s="213"/>
      <c r="AY187" s="213"/>
      <c r="AZ187" s="213"/>
      <c r="BA187" s="213"/>
      <c r="BB187" s="213"/>
      <c r="BC187" s="213"/>
      <c r="BD187" s="213"/>
      <c r="BE187" s="213"/>
      <c r="BF187" s="213"/>
      <c r="BG187" s="213"/>
      <c r="BH187" s="213"/>
      <c r="BI187" s="213"/>
      <c r="BJ187" s="213"/>
      <c r="BK187" s="213"/>
      <c r="BL187" s="213"/>
      <c r="BM187" s="213"/>
      <c r="BN187" s="215"/>
      <c r="BO187" s="213"/>
      <c r="BP187" s="213"/>
      <c r="BQ187" s="213"/>
      <c r="BR187" s="326"/>
      <c r="BS187" s="213"/>
      <c r="BT187" s="213"/>
      <c r="BU187" s="213"/>
      <c r="BV187" s="213"/>
      <c r="BW187" s="213"/>
      <c r="BX187" s="213"/>
      <c r="BY187" s="213"/>
      <c r="BZ187" s="213"/>
      <c r="CA187" s="213"/>
      <c r="CB187" s="213"/>
      <c r="CC187" s="213"/>
      <c r="CD187" s="213"/>
      <c r="CE187" s="213"/>
      <c r="CF187" s="213"/>
      <c r="CG187" s="213"/>
      <c r="CH187" s="213"/>
      <c r="CI187" s="213"/>
      <c r="CJ187" s="213"/>
      <c r="CK187" s="213"/>
      <c r="CL187" s="213"/>
      <c r="CM187" s="213"/>
      <c r="CN187" s="213"/>
      <c r="CO187" s="213"/>
      <c r="CP187" s="213"/>
      <c r="CQ187" s="213"/>
      <c r="CR187" s="213"/>
      <c r="CS187" s="213"/>
      <c r="CT187" s="213"/>
      <c r="CU187" s="213"/>
    </row>
    <row r="188" ht="15.75" customHeight="1">
      <c r="A188" s="213"/>
      <c r="B188" s="213"/>
      <c r="C188" s="213"/>
      <c r="D188" s="213"/>
      <c r="E188" s="213"/>
      <c r="F188" s="213"/>
      <c r="G188" s="213"/>
      <c r="H188" s="213"/>
      <c r="I188" s="213"/>
      <c r="J188" s="213"/>
      <c r="K188" s="213"/>
      <c r="L188" s="213"/>
      <c r="M188" s="213"/>
      <c r="N188" s="213"/>
      <c r="O188" s="213"/>
      <c r="P188" s="213"/>
      <c r="Q188" s="213"/>
      <c r="R188" s="213"/>
      <c r="S188" s="213"/>
      <c r="T188" s="213"/>
      <c r="U188" s="213"/>
      <c r="V188" s="213"/>
      <c r="W188" s="213"/>
      <c r="X188" s="213"/>
      <c r="Y188" s="213"/>
      <c r="Z188" s="213"/>
      <c r="AA188" s="213"/>
      <c r="AB188" s="213"/>
      <c r="AC188" s="213"/>
      <c r="AD188" s="213"/>
      <c r="AE188" s="213"/>
      <c r="AF188" s="213"/>
      <c r="AG188" s="213"/>
      <c r="AH188" s="213"/>
      <c r="AI188" s="213"/>
      <c r="AJ188" s="213"/>
      <c r="AK188" s="213"/>
      <c r="AL188" s="213"/>
      <c r="AM188" s="213"/>
      <c r="AN188" s="213"/>
      <c r="AO188" s="213"/>
      <c r="AP188" s="213"/>
      <c r="AQ188" s="213"/>
      <c r="AR188" s="213"/>
      <c r="AS188" s="213"/>
      <c r="AT188" s="213"/>
      <c r="AU188" s="213"/>
      <c r="AV188" s="213"/>
      <c r="AW188" s="213"/>
      <c r="AX188" s="213"/>
      <c r="AY188" s="213"/>
      <c r="AZ188" s="213"/>
      <c r="BA188" s="213"/>
      <c r="BB188" s="213"/>
      <c r="BC188" s="213"/>
      <c r="BD188" s="213"/>
      <c r="BE188" s="213"/>
      <c r="BF188" s="213"/>
      <c r="BG188" s="213"/>
      <c r="BH188" s="213"/>
      <c r="BI188" s="213"/>
      <c r="BJ188" s="213"/>
      <c r="BK188" s="213"/>
      <c r="BL188" s="213"/>
      <c r="BM188" s="213"/>
      <c r="BN188" s="215"/>
      <c r="BO188" s="213"/>
      <c r="BP188" s="213"/>
      <c r="BQ188" s="213"/>
      <c r="BR188" s="326"/>
      <c r="BS188" s="213"/>
      <c r="BT188" s="213"/>
      <c r="BU188" s="213"/>
      <c r="BV188" s="213"/>
      <c r="BW188" s="213"/>
      <c r="BX188" s="213"/>
      <c r="BY188" s="213"/>
      <c r="BZ188" s="213"/>
      <c r="CA188" s="213"/>
      <c r="CB188" s="213"/>
      <c r="CC188" s="213"/>
      <c r="CD188" s="213"/>
      <c r="CE188" s="213"/>
      <c r="CF188" s="213"/>
      <c r="CG188" s="213"/>
      <c r="CH188" s="213"/>
      <c r="CI188" s="213"/>
      <c r="CJ188" s="213"/>
      <c r="CK188" s="213"/>
      <c r="CL188" s="213"/>
      <c r="CM188" s="213"/>
      <c r="CN188" s="213"/>
      <c r="CO188" s="213"/>
      <c r="CP188" s="213"/>
      <c r="CQ188" s="213"/>
      <c r="CR188" s="213"/>
      <c r="CS188" s="213"/>
      <c r="CT188" s="213"/>
      <c r="CU188" s="213"/>
    </row>
    <row r="189" ht="15.75" customHeight="1">
      <c r="A189" s="213"/>
      <c r="B189" s="213"/>
      <c r="C189" s="213"/>
      <c r="D189" s="213"/>
      <c r="E189" s="213"/>
      <c r="F189" s="213"/>
      <c r="G189" s="213"/>
      <c r="H189" s="213"/>
      <c r="I189" s="213"/>
      <c r="J189" s="213"/>
      <c r="K189" s="213"/>
      <c r="L189" s="213"/>
      <c r="M189" s="213"/>
      <c r="N189" s="213"/>
      <c r="O189" s="213"/>
      <c r="P189" s="213"/>
      <c r="Q189" s="213"/>
      <c r="R189" s="213"/>
      <c r="S189" s="213"/>
      <c r="T189" s="213"/>
      <c r="U189" s="213"/>
      <c r="V189" s="213"/>
      <c r="W189" s="213"/>
      <c r="X189" s="213"/>
      <c r="Y189" s="213"/>
      <c r="Z189" s="213"/>
      <c r="AA189" s="213"/>
      <c r="AB189" s="213"/>
      <c r="AC189" s="213"/>
      <c r="AD189" s="213"/>
      <c r="AE189" s="213"/>
      <c r="AF189" s="213"/>
      <c r="AG189" s="213"/>
      <c r="AH189" s="213"/>
      <c r="AI189" s="213"/>
      <c r="AJ189" s="213"/>
      <c r="AK189" s="213"/>
      <c r="AL189" s="213"/>
      <c r="AM189" s="213"/>
      <c r="AN189" s="213"/>
      <c r="AO189" s="213"/>
      <c r="AP189" s="213"/>
      <c r="AQ189" s="213"/>
      <c r="AR189" s="213"/>
      <c r="AS189" s="213"/>
      <c r="AT189" s="213"/>
      <c r="AU189" s="213"/>
      <c r="AV189" s="213"/>
      <c r="AW189" s="213"/>
      <c r="AX189" s="213"/>
      <c r="AY189" s="213"/>
      <c r="AZ189" s="213"/>
      <c r="BA189" s="213"/>
      <c r="BB189" s="213"/>
      <c r="BC189" s="213"/>
      <c r="BD189" s="213"/>
      <c r="BE189" s="213"/>
      <c r="BF189" s="213"/>
      <c r="BG189" s="213"/>
      <c r="BH189" s="213"/>
      <c r="BI189" s="213"/>
      <c r="BJ189" s="213"/>
      <c r="BK189" s="213"/>
      <c r="BL189" s="213"/>
      <c r="BM189" s="213"/>
      <c r="BN189" s="215"/>
      <c r="BO189" s="213"/>
      <c r="BP189" s="213"/>
      <c r="BQ189" s="213"/>
      <c r="BR189" s="326"/>
      <c r="BS189" s="213"/>
      <c r="BT189" s="213"/>
      <c r="BU189" s="213"/>
      <c r="BV189" s="213"/>
      <c r="BW189" s="213"/>
      <c r="BX189" s="213"/>
      <c r="BY189" s="213"/>
      <c r="BZ189" s="213"/>
      <c r="CA189" s="213"/>
      <c r="CB189" s="213"/>
      <c r="CC189" s="213"/>
      <c r="CD189" s="213"/>
      <c r="CE189" s="213"/>
      <c r="CF189" s="213"/>
      <c r="CG189" s="213"/>
      <c r="CH189" s="213"/>
      <c r="CI189" s="213"/>
      <c r="CJ189" s="213"/>
      <c r="CK189" s="213"/>
      <c r="CL189" s="213"/>
      <c r="CM189" s="213"/>
      <c r="CN189" s="213"/>
      <c r="CO189" s="213"/>
      <c r="CP189" s="213"/>
      <c r="CQ189" s="213"/>
      <c r="CR189" s="213"/>
      <c r="CS189" s="213"/>
      <c r="CT189" s="213"/>
      <c r="CU189" s="213"/>
    </row>
    <row r="190" ht="15.75" customHeight="1">
      <c r="A190" s="213"/>
      <c r="B190" s="213"/>
      <c r="C190" s="213"/>
      <c r="D190" s="213"/>
      <c r="E190" s="213"/>
      <c r="F190" s="213"/>
      <c r="G190" s="213"/>
      <c r="H190" s="213"/>
      <c r="I190" s="213"/>
      <c r="J190" s="213"/>
      <c r="K190" s="213"/>
      <c r="L190" s="213"/>
      <c r="M190" s="213"/>
      <c r="N190" s="213"/>
      <c r="O190" s="213"/>
      <c r="P190" s="213"/>
      <c r="Q190" s="213"/>
      <c r="R190" s="213"/>
      <c r="S190" s="213"/>
      <c r="T190" s="213"/>
      <c r="U190" s="213"/>
      <c r="V190" s="213"/>
      <c r="W190" s="213"/>
      <c r="X190" s="213"/>
      <c r="Y190" s="213"/>
      <c r="Z190" s="213"/>
      <c r="AA190" s="213"/>
      <c r="AB190" s="213"/>
      <c r="AC190" s="213"/>
      <c r="AD190" s="213"/>
      <c r="AE190" s="213"/>
      <c r="AF190" s="213"/>
      <c r="AG190" s="213"/>
      <c r="AH190" s="213"/>
      <c r="AI190" s="213"/>
      <c r="AJ190" s="213"/>
      <c r="AK190" s="213"/>
      <c r="AL190" s="213"/>
      <c r="AM190" s="213"/>
      <c r="AN190" s="213"/>
      <c r="AO190" s="213"/>
      <c r="AP190" s="213"/>
      <c r="AQ190" s="213"/>
      <c r="AR190" s="213"/>
      <c r="AS190" s="213"/>
      <c r="AT190" s="213"/>
      <c r="AU190" s="213"/>
      <c r="AV190" s="213"/>
      <c r="AW190" s="213"/>
      <c r="AX190" s="213"/>
      <c r="AY190" s="213"/>
      <c r="AZ190" s="213"/>
      <c r="BA190" s="213"/>
      <c r="BB190" s="213"/>
      <c r="BC190" s="213"/>
      <c r="BD190" s="213"/>
      <c r="BE190" s="213"/>
      <c r="BF190" s="213"/>
      <c r="BG190" s="213"/>
      <c r="BH190" s="213"/>
      <c r="BI190" s="213"/>
      <c r="BJ190" s="213"/>
      <c r="BK190" s="213"/>
      <c r="BL190" s="213"/>
      <c r="BM190" s="213"/>
      <c r="BN190" s="215"/>
      <c r="BO190" s="213"/>
      <c r="BP190" s="213"/>
      <c r="BQ190" s="213"/>
      <c r="BR190" s="326"/>
      <c r="BS190" s="213"/>
      <c r="BT190" s="213"/>
      <c r="BU190" s="213"/>
      <c r="BV190" s="213"/>
      <c r="BW190" s="213"/>
      <c r="BX190" s="213"/>
      <c r="BY190" s="213"/>
      <c r="BZ190" s="213"/>
      <c r="CA190" s="213"/>
      <c r="CB190" s="213"/>
      <c r="CC190" s="213"/>
      <c r="CD190" s="213"/>
      <c r="CE190" s="213"/>
      <c r="CF190" s="213"/>
      <c r="CG190" s="213"/>
      <c r="CH190" s="213"/>
      <c r="CI190" s="213"/>
      <c r="CJ190" s="213"/>
      <c r="CK190" s="213"/>
      <c r="CL190" s="213"/>
      <c r="CM190" s="213"/>
      <c r="CN190" s="213"/>
      <c r="CO190" s="213"/>
      <c r="CP190" s="213"/>
      <c r="CQ190" s="213"/>
      <c r="CR190" s="213"/>
      <c r="CS190" s="213"/>
      <c r="CT190" s="213"/>
      <c r="CU190" s="213"/>
    </row>
    <row r="191" ht="15.75" customHeight="1">
      <c r="A191" s="213"/>
      <c r="B191" s="213"/>
      <c r="C191" s="213"/>
      <c r="D191" s="213"/>
      <c r="E191" s="213"/>
      <c r="F191" s="213"/>
      <c r="G191" s="213"/>
      <c r="H191" s="213"/>
      <c r="I191" s="213"/>
      <c r="J191" s="213"/>
      <c r="K191" s="213"/>
      <c r="L191" s="213"/>
      <c r="M191" s="213"/>
      <c r="N191" s="213"/>
      <c r="O191" s="213"/>
      <c r="P191" s="213"/>
      <c r="Q191" s="213"/>
      <c r="R191" s="213"/>
      <c r="S191" s="213"/>
      <c r="T191" s="213"/>
      <c r="U191" s="213"/>
      <c r="V191" s="213"/>
      <c r="W191" s="213"/>
      <c r="X191" s="213"/>
      <c r="Y191" s="213"/>
      <c r="Z191" s="213"/>
      <c r="AA191" s="213"/>
      <c r="AB191" s="213"/>
      <c r="AC191" s="213"/>
      <c r="AD191" s="213"/>
      <c r="AE191" s="213"/>
      <c r="AF191" s="213"/>
      <c r="AG191" s="213"/>
      <c r="AH191" s="213"/>
      <c r="AI191" s="213"/>
      <c r="AJ191" s="213"/>
      <c r="AK191" s="213"/>
      <c r="AL191" s="213"/>
      <c r="AM191" s="213"/>
      <c r="AN191" s="213"/>
      <c r="AO191" s="213"/>
      <c r="AP191" s="213"/>
      <c r="AQ191" s="213"/>
      <c r="AR191" s="213"/>
      <c r="AS191" s="213"/>
      <c r="AT191" s="213"/>
      <c r="AU191" s="213"/>
      <c r="AV191" s="213"/>
      <c r="AW191" s="213"/>
      <c r="AX191" s="213"/>
      <c r="AY191" s="213"/>
      <c r="AZ191" s="213"/>
      <c r="BA191" s="213"/>
      <c r="BB191" s="213"/>
      <c r="BC191" s="213"/>
      <c r="BD191" s="213"/>
      <c r="BE191" s="213"/>
      <c r="BF191" s="213"/>
      <c r="BG191" s="213"/>
      <c r="BH191" s="213"/>
      <c r="BI191" s="213"/>
      <c r="BJ191" s="213"/>
      <c r="BK191" s="213"/>
      <c r="BL191" s="213"/>
      <c r="BM191" s="213"/>
      <c r="BN191" s="215"/>
      <c r="BO191" s="213"/>
      <c r="BP191" s="213"/>
      <c r="BQ191" s="213"/>
      <c r="BR191" s="326"/>
      <c r="BS191" s="213"/>
      <c r="BT191" s="213"/>
      <c r="BU191" s="213"/>
      <c r="BV191" s="213"/>
      <c r="BW191" s="213"/>
      <c r="BX191" s="213"/>
      <c r="BY191" s="213"/>
      <c r="BZ191" s="213"/>
      <c r="CA191" s="213"/>
      <c r="CB191" s="213"/>
      <c r="CC191" s="213"/>
      <c r="CD191" s="213"/>
      <c r="CE191" s="213"/>
      <c r="CF191" s="213"/>
      <c r="CG191" s="213"/>
      <c r="CH191" s="213"/>
      <c r="CI191" s="213"/>
      <c r="CJ191" s="213"/>
      <c r="CK191" s="213"/>
      <c r="CL191" s="213"/>
      <c r="CM191" s="213"/>
      <c r="CN191" s="213"/>
      <c r="CO191" s="213"/>
      <c r="CP191" s="213"/>
      <c r="CQ191" s="213"/>
      <c r="CR191" s="213"/>
      <c r="CS191" s="213"/>
      <c r="CT191" s="213"/>
      <c r="CU191" s="213"/>
    </row>
    <row r="192" ht="15.75" customHeight="1">
      <c r="A192" s="213"/>
      <c r="B192" s="213"/>
      <c r="C192" s="213"/>
      <c r="D192" s="213"/>
      <c r="E192" s="213"/>
      <c r="F192" s="213"/>
      <c r="G192" s="213"/>
      <c r="H192" s="213"/>
      <c r="I192" s="213"/>
      <c r="J192" s="213"/>
      <c r="K192" s="213"/>
      <c r="L192" s="213"/>
      <c r="M192" s="213"/>
      <c r="N192" s="213"/>
      <c r="O192" s="213"/>
      <c r="P192" s="213"/>
      <c r="Q192" s="213"/>
      <c r="R192" s="213"/>
      <c r="S192" s="213"/>
      <c r="T192" s="213"/>
      <c r="U192" s="213"/>
      <c r="V192" s="213"/>
      <c r="W192" s="213"/>
      <c r="X192" s="213"/>
      <c r="Y192" s="213"/>
      <c r="Z192" s="213"/>
      <c r="AA192" s="213"/>
      <c r="AB192" s="213"/>
      <c r="AC192" s="213"/>
      <c r="AD192" s="213"/>
      <c r="AE192" s="213"/>
      <c r="AF192" s="213"/>
      <c r="AG192" s="213"/>
      <c r="AH192" s="213"/>
      <c r="AI192" s="213"/>
      <c r="AJ192" s="213"/>
      <c r="AK192" s="213"/>
      <c r="AL192" s="213"/>
      <c r="AM192" s="213"/>
      <c r="AN192" s="213"/>
      <c r="AO192" s="213"/>
      <c r="AP192" s="213"/>
      <c r="AQ192" s="213"/>
      <c r="AR192" s="213"/>
      <c r="AS192" s="213"/>
      <c r="AT192" s="213"/>
      <c r="AU192" s="213"/>
      <c r="AV192" s="213"/>
      <c r="AW192" s="213"/>
      <c r="AX192" s="213"/>
      <c r="AY192" s="213"/>
      <c r="AZ192" s="213"/>
      <c r="BA192" s="213"/>
      <c r="BB192" s="213"/>
      <c r="BC192" s="213"/>
      <c r="BD192" s="213"/>
      <c r="BE192" s="213"/>
      <c r="BF192" s="213"/>
      <c r="BG192" s="213"/>
      <c r="BH192" s="213"/>
      <c r="BI192" s="213"/>
      <c r="BJ192" s="213"/>
      <c r="BK192" s="213"/>
      <c r="BL192" s="213"/>
      <c r="BM192" s="213"/>
      <c r="BN192" s="215"/>
      <c r="BO192" s="213"/>
      <c r="BP192" s="213"/>
      <c r="BQ192" s="213"/>
      <c r="BR192" s="326"/>
      <c r="BS192" s="213"/>
      <c r="BT192" s="213"/>
      <c r="BU192" s="213"/>
      <c r="BV192" s="213"/>
      <c r="BW192" s="213"/>
      <c r="BX192" s="213"/>
      <c r="BY192" s="213"/>
      <c r="BZ192" s="213"/>
      <c r="CA192" s="213"/>
      <c r="CB192" s="213"/>
      <c r="CC192" s="213"/>
      <c r="CD192" s="213"/>
      <c r="CE192" s="213"/>
      <c r="CF192" s="213"/>
      <c r="CG192" s="213"/>
      <c r="CH192" s="213"/>
      <c r="CI192" s="213"/>
      <c r="CJ192" s="213"/>
      <c r="CK192" s="213"/>
      <c r="CL192" s="213"/>
      <c r="CM192" s="213"/>
      <c r="CN192" s="213"/>
      <c r="CO192" s="213"/>
      <c r="CP192" s="213"/>
      <c r="CQ192" s="213"/>
      <c r="CR192" s="213"/>
      <c r="CS192" s="213"/>
      <c r="CT192" s="213"/>
      <c r="CU192" s="213"/>
    </row>
    <row r="193" ht="15.75" customHeight="1">
      <c r="A193" s="213"/>
      <c r="B193" s="213"/>
      <c r="C193" s="213"/>
      <c r="D193" s="213"/>
      <c r="E193" s="213"/>
      <c r="F193" s="213"/>
      <c r="G193" s="213"/>
      <c r="H193" s="213"/>
      <c r="I193" s="213"/>
      <c r="J193" s="213"/>
      <c r="K193" s="213"/>
      <c r="L193" s="213"/>
      <c r="M193" s="213"/>
      <c r="N193" s="213"/>
      <c r="O193" s="213"/>
      <c r="P193" s="213"/>
      <c r="Q193" s="213"/>
      <c r="R193" s="213"/>
      <c r="S193" s="213"/>
      <c r="T193" s="213"/>
      <c r="U193" s="213"/>
      <c r="V193" s="213"/>
      <c r="W193" s="213"/>
      <c r="X193" s="213"/>
      <c r="Y193" s="213"/>
      <c r="Z193" s="213"/>
      <c r="AA193" s="213"/>
      <c r="AB193" s="213"/>
      <c r="AC193" s="213"/>
      <c r="AD193" s="213"/>
      <c r="AE193" s="213"/>
      <c r="AF193" s="213"/>
      <c r="AG193" s="213"/>
      <c r="AH193" s="213"/>
      <c r="AI193" s="213"/>
      <c r="AJ193" s="213"/>
      <c r="AK193" s="213"/>
      <c r="AL193" s="213"/>
      <c r="AM193" s="213"/>
      <c r="AN193" s="213"/>
      <c r="AO193" s="213"/>
      <c r="AP193" s="213"/>
      <c r="AQ193" s="213"/>
      <c r="AR193" s="213"/>
      <c r="AS193" s="213"/>
      <c r="AT193" s="213"/>
      <c r="AU193" s="213"/>
      <c r="AV193" s="213"/>
      <c r="AW193" s="213"/>
      <c r="AX193" s="213"/>
      <c r="AY193" s="213"/>
      <c r="AZ193" s="213"/>
      <c r="BA193" s="213"/>
      <c r="BB193" s="213"/>
      <c r="BC193" s="213"/>
      <c r="BD193" s="213"/>
      <c r="BE193" s="213"/>
      <c r="BF193" s="213"/>
      <c r="BG193" s="213"/>
      <c r="BH193" s="213"/>
      <c r="BI193" s="213"/>
      <c r="BJ193" s="213"/>
      <c r="BK193" s="213"/>
      <c r="BL193" s="213"/>
      <c r="BM193" s="213"/>
      <c r="BN193" s="215"/>
      <c r="BO193" s="213"/>
      <c r="BP193" s="213"/>
      <c r="BQ193" s="213"/>
      <c r="BR193" s="326"/>
      <c r="BS193" s="213"/>
      <c r="BT193" s="213"/>
      <c r="BU193" s="213"/>
      <c r="BV193" s="213"/>
      <c r="BW193" s="213"/>
      <c r="BX193" s="213"/>
      <c r="BY193" s="213"/>
      <c r="BZ193" s="213"/>
      <c r="CA193" s="213"/>
      <c r="CB193" s="213"/>
      <c r="CC193" s="213"/>
      <c r="CD193" s="213"/>
      <c r="CE193" s="213"/>
      <c r="CF193" s="213"/>
      <c r="CG193" s="213"/>
      <c r="CH193" s="213"/>
      <c r="CI193" s="213"/>
      <c r="CJ193" s="213"/>
      <c r="CK193" s="213"/>
      <c r="CL193" s="213"/>
      <c r="CM193" s="213"/>
      <c r="CN193" s="213"/>
      <c r="CO193" s="213"/>
      <c r="CP193" s="213"/>
      <c r="CQ193" s="213"/>
      <c r="CR193" s="213"/>
      <c r="CS193" s="213"/>
      <c r="CT193" s="213"/>
      <c r="CU193" s="213"/>
    </row>
    <row r="194" ht="15.75" customHeight="1">
      <c r="A194" s="213"/>
      <c r="B194" s="213"/>
      <c r="C194" s="213"/>
      <c r="D194" s="213"/>
      <c r="E194" s="213"/>
      <c r="F194" s="213"/>
      <c r="G194" s="213"/>
      <c r="H194" s="213"/>
      <c r="I194" s="213"/>
      <c r="J194" s="213"/>
      <c r="K194" s="213"/>
      <c r="L194" s="213"/>
      <c r="M194" s="213"/>
      <c r="N194" s="213"/>
      <c r="O194" s="213"/>
      <c r="P194" s="213"/>
      <c r="Q194" s="213"/>
      <c r="R194" s="213"/>
      <c r="S194" s="213"/>
      <c r="T194" s="213"/>
      <c r="U194" s="213"/>
      <c r="V194" s="213"/>
      <c r="W194" s="213"/>
      <c r="X194" s="213"/>
      <c r="Y194" s="213"/>
      <c r="Z194" s="213"/>
      <c r="AA194" s="213"/>
      <c r="AB194" s="213"/>
      <c r="AC194" s="213"/>
      <c r="AD194" s="213"/>
      <c r="AE194" s="213"/>
      <c r="AF194" s="213"/>
      <c r="AG194" s="213"/>
      <c r="AH194" s="213"/>
      <c r="AI194" s="213"/>
      <c r="AJ194" s="213"/>
      <c r="AK194" s="213"/>
      <c r="AL194" s="213"/>
      <c r="AM194" s="213"/>
      <c r="AN194" s="213"/>
      <c r="AO194" s="213"/>
      <c r="AP194" s="213"/>
      <c r="AQ194" s="213"/>
      <c r="AR194" s="213"/>
      <c r="AS194" s="213"/>
      <c r="AT194" s="213"/>
      <c r="AU194" s="213"/>
      <c r="AV194" s="213"/>
      <c r="AW194" s="213"/>
      <c r="AX194" s="213"/>
      <c r="AY194" s="213"/>
      <c r="AZ194" s="213"/>
      <c r="BA194" s="213"/>
      <c r="BB194" s="213"/>
      <c r="BC194" s="213"/>
      <c r="BD194" s="213"/>
      <c r="BE194" s="213"/>
      <c r="BF194" s="213"/>
      <c r="BG194" s="213"/>
      <c r="BH194" s="213"/>
      <c r="BI194" s="213"/>
      <c r="BJ194" s="213"/>
      <c r="BK194" s="213"/>
      <c r="BL194" s="213"/>
      <c r="BM194" s="213"/>
      <c r="BN194" s="215"/>
      <c r="BO194" s="213"/>
      <c r="BP194" s="213"/>
      <c r="BQ194" s="213"/>
      <c r="BR194" s="326"/>
      <c r="BS194" s="213"/>
      <c r="BT194" s="213"/>
      <c r="BU194" s="213"/>
      <c r="BV194" s="213"/>
      <c r="BW194" s="213"/>
      <c r="BX194" s="213"/>
      <c r="BY194" s="213"/>
      <c r="BZ194" s="213"/>
      <c r="CA194" s="213"/>
      <c r="CB194" s="213"/>
      <c r="CC194" s="213"/>
      <c r="CD194" s="213"/>
      <c r="CE194" s="213"/>
      <c r="CF194" s="213"/>
      <c r="CG194" s="213"/>
      <c r="CH194" s="213"/>
      <c r="CI194" s="213"/>
      <c r="CJ194" s="213"/>
      <c r="CK194" s="213"/>
      <c r="CL194" s="213"/>
      <c r="CM194" s="213"/>
      <c r="CN194" s="213"/>
      <c r="CO194" s="213"/>
      <c r="CP194" s="213"/>
      <c r="CQ194" s="213"/>
      <c r="CR194" s="213"/>
      <c r="CS194" s="213"/>
      <c r="CT194" s="213"/>
      <c r="CU194" s="213"/>
    </row>
    <row r="195" ht="15.75" customHeight="1">
      <c r="A195" s="213"/>
      <c r="B195" s="213"/>
      <c r="C195" s="213"/>
      <c r="D195" s="213"/>
      <c r="E195" s="213"/>
      <c r="F195" s="213"/>
      <c r="G195" s="213"/>
      <c r="H195" s="213"/>
      <c r="I195" s="213"/>
      <c r="J195" s="213"/>
      <c r="K195" s="213"/>
      <c r="L195" s="213"/>
      <c r="M195" s="213"/>
      <c r="N195" s="213"/>
      <c r="O195" s="213"/>
      <c r="P195" s="213"/>
      <c r="Q195" s="213"/>
      <c r="R195" s="213"/>
      <c r="S195" s="213"/>
      <c r="T195" s="213"/>
      <c r="U195" s="213"/>
      <c r="V195" s="213"/>
      <c r="W195" s="213"/>
      <c r="X195" s="213"/>
      <c r="Y195" s="213"/>
      <c r="Z195" s="213"/>
      <c r="AA195" s="213"/>
      <c r="AB195" s="213"/>
      <c r="AC195" s="213"/>
      <c r="AD195" s="213"/>
      <c r="AE195" s="213"/>
      <c r="AF195" s="213"/>
      <c r="AG195" s="213"/>
      <c r="AH195" s="213"/>
      <c r="AI195" s="213"/>
      <c r="AJ195" s="213"/>
      <c r="AK195" s="213"/>
      <c r="AL195" s="213"/>
      <c r="AM195" s="213"/>
      <c r="AN195" s="213"/>
      <c r="AO195" s="213"/>
      <c r="AP195" s="213"/>
      <c r="AQ195" s="213"/>
      <c r="AR195" s="213"/>
      <c r="AS195" s="213"/>
      <c r="AT195" s="213"/>
      <c r="AU195" s="213"/>
      <c r="AV195" s="213"/>
      <c r="AW195" s="213"/>
      <c r="AX195" s="213"/>
      <c r="AY195" s="213"/>
      <c r="AZ195" s="213"/>
      <c r="BA195" s="213"/>
      <c r="BB195" s="213"/>
      <c r="BC195" s="213"/>
      <c r="BD195" s="213"/>
      <c r="BE195" s="213"/>
      <c r="BF195" s="213"/>
      <c r="BG195" s="213"/>
      <c r="BH195" s="213"/>
      <c r="BI195" s="213"/>
      <c r="BJ195" s="213"/>
      <c r="BK195" s="213"/>
      <c r="BL195" s="213"/>
      <c r="BM195" s="213"/>
      <c r="BN195" s="215"/>
      <c r="BO195" s="213"/>
      <c r="BP195" s="213"/>
      <c r="BQ195" s="213"/>
      <c r="BR195" s="326"/>
      <c r="BS195" s="213"/>
      <c r="BT195" s="213"/>
      <c r="BU195" s="213"/>
      <c r="BV195" s="213"/>
      <c r="BW195" s="213"/>
      <c r="BX195" s="213"/>
      <c r="BY195" s="213"/>
      <c r="BZ195" s="213"/>
      <c r="CA195" s="213"/>
      <c r="CB195" s="213"/>
      <c r="CC195" s="213"/>
      <c r="CD195" s="213"/>
      <c r="CE195" s="213"/>
      <c r="CF195" s="213"/>
      <c r="CG195" s="213"/>
      <c r="CH195" s="213"/>
      <c r="CI195" s="213"/>
      <c r="CJ195" s="213"/>
      <c r="CK195" s="213"/>
      <c r="CL195" s="213"/>
      <c r="CM195" s="213"/>
      <c r="CN195" s="213"/>
      <c r="CO195" s="213"/>
      <c r="CP195" s="213"/>
      <c r="CQ195" s="213"/>
      <c r="CR195" s="213"/>
      <c r="CS195" s="213"/>
      <c r="CT195" s="213"/>
      <c r="CU195" s="213"/>
    </row>
    <row r="196" ht="15.75" customHeight="1">
      <c r="A196" s="213"/>
      <c r="B196" s="213"/>
      <c r="C196" s="213"/>
      <c r="D196" s="213"/>
      <c r="E196" s="213"/>
      <c r="F196" s="213"/>
      <c r="G196" s="213"/>
      <c r="H196" s="213"/>
      <c r="I196" s="213"/>
      <c r="J196" s="213"/>
      <c r="K196" s="213"/>
      <c r="L196" s="213"/>
      <c r="M196" s="213"/>
      <c r="N196" s="213"/>
      <c r="O196" s="213"/>
      <c r="P196" s="213"/>
      <c r="Q196" s="213"/>
      <c r="R196" s="213"/>
      <c r="S196" s="213"/>
      <c r="T196" s="213"/>
      <c r="U196" s="213"/>
      <c r="V196" s="213"/>
      <c r="W196" s="213"/>
      <c r="X196" s="213"/>
      <c r="Y196" s="213"/>
      <c r="Z196" s="213"/>
      <c r="AA196" s="213"/>
      <c r="AB196" s="213"/>
      <c r="AC196" s="213"/>
      <c r="AD196" s="213"/>
      <c r="AE196" s="213"/>
      <c r="AF196" s="213"/>
      <c r="AG196" s="213"/>
      <c r="AH196" s="213"/>
      <c r="AI196" s="213"/>
      <c r="AJ196" s="213"/>
      <c r="AK196" s="213"/>
      <c r="AL196" s="213"/>
      <c r="AM196" s="213"/>
      <c r="AN196" s="213"/>
      <c r="AO196" s="213"/>
      <c r="AP196" s="213"/>
      <c r="AQ196" s="213"/>
      <c r="AR196" s="213"/>
      <c r="AS196" s="213"/>
      <c r="AT196" s="213"/>
      <c r="AU196" s="213"/>
      <c r="AV196" s="213"/>
      <c r="AW196" s="213"/>
      <c r="AX196" s="213"/>
      <c r="AY196" s="213"/>
      <c r="AZ196" s="213"/>
      <c r="BA196" s="213"/>
      <c r="BB196" s="213"/>
      <c r="BC196" s="213"/>
      <c r="BD196" s="213"/>
      <c r="BE196" s="213"/>
      <c r="BF196" s="213"/>
      <c r="BG196" s="213"/>
      <c r="BH196" s="213"/>
      <c r="BI196" s="213"/>
      <c r="BJ196" s="213"/>
      <c r="BK196" s="213"/>
      <c r="BL196" s="213"/>
      <c r="BM196" s="213"/>
      <c r="BN196" s="215"/>
      <c r="BO196" s="213"/>
      <c r="BP196" s="213"/>
      <c r="BQ196" s="213"/>
      <c r="BR196" s="326"/>
      <c r="BS196" s="213"/>
      <c r="BT196" s="213"/>
      <c r="BU196" s="213"/>
      <c r="BV196" s="213"/>
      <c r="BW196" s="213"/>
      <c r="BX196" s="213"/>
      <c r="BY196" s="213"/>
      <c r="BZ196" s="213"/>
      <c r="CA196" s="213"/>
      <c r="CB196" s="213"/>
      <c r="CC196" s="213"/>
      <c r="CD196" s="213"/>
      <c r="CE196" s="213"/>
      <c r="CF196" s="213"/>
      <c r="CG196" s="213"/>
      <c r="CH196" s="213"/>
      <c r="CI196" s="213"/>
      <c r="CJ196" s="213"/>
      <c r="CK196" s="213"/>
      <c r="CL196" s="213"/>
      <c r="CM196" s="213"/>
      <c r="CN196" s="213"/>
      <c r="CO196" s="213"/>
      <c r="CP196" s="213"/>
      <c r="CQ196" s="213"/>
      <c r="CR196" s="213"/>
      <c r="CS196" s="213"/>
      <c r="CT196" s="213"/>
      <c r="CU196" s="213"/>
    </row>
    <row r="197" ht="15.75" customHeight="1">
      <c r="A197" s="213"/>
      <c r="B197" s="213"/>
      <c r="C197" s="213"/>
      <c r="D197" s="213"/>
      <c r="E197" s="213"/>
      <c r="F197" s="213"/>
      <c r="G197" s="213"/>
      <c r="H197" s="213"/>
      <c r="I197" s="213"/>
      <c r="J197" s="213"/>
      <c r="K197" s="213"/>
      <c r="L197" s="213"/>
      <c r="M197" s="213"/>
      <c r="N197" s="213"/>
      <c r="O197" s="213"/>
      <c r="P197" s="213"/>
      <c r="Q197" s="213"/>
      <c r="R197" s="213"/>
      <c r="S197" s="213"/>
      <c r="T197" s="213"/>
      <c r="U197" s="213"/>
      <c r="V197" s="213"/>
      <c r="W197" s="213"/>
      <c r="X197" s="213"/>
      <c r="Y197" s="213"/>
      <c r="Z197" s="213"/>
      <c r="AA197" s="213"/>
      <c r="AB197" s="213"/>
      <c r="AC197" s="213"/>
      <c r="AD197" s="213"/>
      <c r="AE197" s="213"/>
      <c r="AF197" s="213"/>
      <c r="AG197" s="213"/>
      <c r="AH197" s="213"/>
      <c r="AI197" s="213"/>
      <c r="AJ197" s="213"/>
      <c r="AK197" s="213"/>
      <c r="AL197" s="213"/>
      <c r="AM197" s="213"/>
      <c r="AN197" s="213"/>
      <c r="AO197" s="213"/>
      <c r="AP197" s="213"/>
      <c r="AQ197" s="213"/>
      <c r="AR197" s="213"/>
      <c r="AS197" s="213"/>
      <c r="AT197" s="213"/>
      <c r="AU197" s="213"/>
      <c r="AV197" s="213"/>
      <c r="AW197" s="213"/>
      <c r="AX197" s="213"/>
      <c r="AY197" s="213"/>
      <c r="AZ197" s="213"/>
      <c r="BA197" s="213"/>
      <c r="BB197" s="213"/>
      <c r="BC197" s="213"/>
      <c r="BD197" s="213"/>
      <c r="BE197" s="213"/>
      <c r="BF197" s="213"/>
      <c r="BG197" s="213"/>
      <c r="BH197" s="213"/>
      <c r="BI197" s="213"/>
      <c r="BJ197" s="213"/>
      <c r="BK197" s="213"/>
      <c r="BL197" s="213"/>
      <c r="BM197" s="213"/>
      <c r="BN197" s="215"/>
      <c r="BO197" s="213"/>
      <c r="BP197" s="213"/>
      <c r="BQ197" s="213"/>
      <c r="BR197" s="326"/>
      <c r="BS197" s="213"/>
      <c r="BT197" s="213"/>
      <c r="BU197" s="213"/>
      <c r="BV197" s="213"/>
      <c r="BW197" s="213"/>
      <c r="BX197" s="213"/>
      <c r="BY197" s="213"/>
      <c r="BZ197" s="213"/>
      <c r="CA197" s="213"/>
      <c r="CB197" s="213"/>
      <c r="CC197" s="213"/>
      <c r="CD197" s="213"/>
      <c r="CE197" s="213"/>
      <c r="CF197" s="213"/>
      <c r="CG197" s="213"/>
      <c r="CH197" s="213"/>
      <c r="CI197" s="213"/>
      <c r="CJ197" s="213"/>
      <c r="CK197" s="213"/>
      <c r="CL197" s="213"/>
      <c r="CM197" s="213"/>
      <c r="CN197" s="213"/>
      <c r="CO197" s="213"/>
      <c r="CP197" s="213"/>
      <c r="CQ197" s="213"/>
      <c r="CR197" s="213"/>
      <c r="CS197" s="213"/>
      <c r="CT197" s="213"/>
      <c r="CU197" s="213"/>
    </row>
    <row r="198" ht="15.75" customHeight="1">
      <c r="A198" s="213"/>
      <c r="B198" s="213"/>
      <c r="C198" s="213"/>
      <c r="D198" s="213"/>
      <c r="E198" s="213"/>
      <c r="F198" s="213"/>
      <c r="G198" s="213"/>
      <c r="H198" s="213"/>
      <c r="I198" s="213"/>
      <c r="J198" s="213"/>
      <c r="K198" s="213"/>
      <c r="L198" s="213"/>
      <c r="M198" s="213"/>
      <c r="N198" s="213"/>
      <c r="O198" s="213"/>
      <c r="P198" s="213"/>
      <c r="Q198" s="213"/>
      <c r="R198" s="213"/>
      <c r="S198" s="213"/>
      <c r="T198" s="213"/>
      <c r="U198" s="213"/>
      <c r="V198" s="213"/>
      <c r="W198" s="213"/>
      <c r="X198" s="213"/>
      <c r="Y198" s="213"/>
      <c r="Z198" s="213"/>
      <c r="AA198" s="213"/>
      <c r="AB198" s="213"/>
      <c r="AC198" s="213"/>
      <c r="AD198" s="213"/>
      <c r="AE198" s="213"/>
      <c r="AF198" s="213"/>
      <c r="AG198" s="213"/>
      <c r="AH198" s="213"/>
      <c r="AI198" s="213"/>
      <c r="AJ198" s="213"/>
      <c r="AK198" s="213"/>
      <c r="AL198" s="213"/>
      <c r="AM198" s="213"/>
      <c r="AN198" s="213"/>
      <c r="AO198" s="213"/>
      <c r="AP198" s="213"/>
      <c r="AQ198" s="213"/>
      <c r="AR198" s="213"/>
      <c r="AS198" s="213"/>
      <c r="AT198" s="213"/>
      <c r="AU198" s="213"/>
      <c r="AV198" s="213"/>
      <c r="AW198" s="213"/>
      <c r="AX198" s="213"/>
      <c r="AY198" s="213"/>
      <c r="AZ198" s="213"/>
      <c r="BA198" s="213"/>
      <c r="BB198" s="213"/>
      <c r="BC198" s="213"/>
      <c r="BD198" s="213"/>
      <c r="BE198" s="213"/>
      <c r="BF198" s="213"/>
      <c r="BG198" s="213"/>
      <c r="BH198" s="213"/>
      <c r="BI198" s="213"/>
      <c r="BJ198" s="213"/>
      <c r="BK198" s="213"/>
      <c r="BL198" s="213"/>
      <c r="BM198" s="213"/>
      <c r="BN198" s="215"/>
      <c r="BO198" s="213"/>
      <c r="BP198" s="213"/>
      <c r="BQ198" s="213"/>
      <c r="BR198" s="326"/>
      <c r="BS198" s="213"/>
      <c r="BT198" s="213"/>
      <c r="BU198" s="213"/>
      <c r="BV198" s="213"/>
      <c r="BW198" s="213"/>
      <c r="BX198" s="213"/>
      <c r="BY198" s="213"/>
      <c r="BZ198" s="213"/>
      <c r="CA198" s="213"/>
      <c r="CB198" s="213"/>
      <c r="CC198" s="213"/>
      <c r="CD198" s="213"/>
      <c r="CE198" s="213"/>
      <c r="CF198" s="213"/>
      <c r="CG198" s="213"/>
      <c r="CH198" s="213"/>
      <c r="CI198" s="213"/>
      <c r="CJ198" s="213"/>
      <c r="CK198" s="213"/>
      <c r="CL198" s="213"/>
      <c r="CM198" s="213"/>
      <c r="CN198" s="213"/>
      <c r="CO198" s="213"/>
      <c r="CP198" s="213"/>
      <c r="CQ198" s="213"/>
      <c r="CR198" s="213"/>
      <c r="CS198" s="213"/>
      <c r="CT198" s="213"/>
      <c r="CU198" s="213"/>
    </row>
    <row r="199" ht="15.75" customHeight="1">
      <c r="A199" s="213"/>
      <c r="B199" s="213"/>
      <c r="C199" s="213"/>
      <c r="D199" s="213"/>
      <c r="E199" s="213"/>
      <c r="F199" s="213"/>
      <c r="G199" s="213"/>
      <c r="H199" s="213"/>
      <c r="I199" s="213"/>
      <c r="J199" s="213"/>
      <c r="K199" s="213"/>
      <c r="L199" s="213"/>
      <c r="M199" s="213"/>
      <c r="N199" s="213"/>
      <c r="O199" s="213"/>
      <c r="P199" s="213"/>
      <c r="Q199" s="213"/>
      <c r="R199" s="213"/>
      <c r="S199" s="213"/>
      <c r="T199" s="213"/>
      <c r="U199" s="213"/>
      <c r="V199" s="213"/>
      <c r="W199" s="213"/>
      <c r="X199" s="213"/>
      <c r="Y199" s="213"/>
      <c r="Z199" s="213"/>
      <c r="AA199" s="213"/>
      <c r="AB199" s="213"/>
      <c r="AC199" s="213"/>
      <c r="AD199" s="213"/>
      <c r="AE199" s="213"/>
      <c r="AF199" s="213"/>
      <c r="AG199" s="213"/>
      <c r="AH199" s="213"/>
      <c r="AI199" s="213"/>
      <c r="AJ199" s="213"/>
      <c r="AK199" s="213"/>
      <c r="AL199" s="213"/>
      <c r="AM199" s="213"/>
      <c r="AN199" s="213"/>
      <c r="AO199" s="213"/>
      <c r="AP199" s="213"/>
      <c r="AQ199" s="213"/>
      <c r="AR199" s="213"/>
      <c r="AS199" s="213"/>
      <c r="AT199" s="213"/>
      <c r="AU199" s="213"/>
      <c r="AV199" s="213"/>
      <c r="AW199" s="213"/>
      <c r="AX199" s="213"/>
      <c r="AY199" s="213"/>
      <c r="AZ199" s="213"/>
      <c r="BA199" s="213"/>
      <c r="BB199" s="213"/>
      <c r="BC199" s="213"/>
      <c r="BD199" s="213"/>
      <c r="BE199" s="213"/>
      <c r="BF199" s="213"/>
      <c r="BG199" s="213"/>
      <c r="BH199" s="213"/>
      <c r="BI199" s="213"/>
      <c r="BJ199" s="213"/>
      <c r="BK199" s="213"/>
      <c r="BL199" s="213"/>
      <c r="BM199" s="213"/>
      <c r="BN199" s="215"/>
      <c r="BO199" s="213"/>
      <c r="BP199" s="213"/>
      <c r="BQ199" s="213"/>
      <c r="BR199" s="326"/>
      <c r="BS199" s="213"/>
      <c r="BT199" s="213"/>
      <c r="BU199" s="213"/>
      <c r="BV199" s="213"/>
      <c r="BW199" s="213"/>
      <c r="BX199" s="213"/>
      <c r="BY199" s="213"/>
      <c r="BZ199" s="213"/>
      <c r="CA199" s="213"/>
      <c r="CB199" s="213"/>
      <c r="CC199" s="213"/>
      <c r="CD199" s="213"/>
      <c r="CE199" s="213"/>
      <c r="CF199" s="213"/>
      <c r="CG199" s="213"/>
      <c r="CH199" s="213"/>
      <c r="CI199" s="213"/>
      <c r="CJ199" s="213"/>
      <c r="CK199" s="213"/>
      <c r="CL199" s="213"/>
      <c r="CM199" s="213"/>
      <c r="CN199" s="213"/>
      <c r="CO199" s="213"/>
      <c r="CP199" s="213"/>
      <c r="CQ199" s="213"/>
      <c r="CR199" s="213"/>
      <c r="CS199" s="213"/>
      <c r="CT199" s="213"/>
      <c r="CU199" s="213"/>
    </row>
    <row r="200" ht="15.75" customHeight="1">
      <c r="A200" s="213"/>
      <c r="B200" s="213"/>
      <c r="C200" s="213"/>
      <c r="D200" s="213"/>
      <c r="E200" s="213"/>
      <c r="F200" s="213"/>
      <c r="G200" s="213"/>
      <c r="H200" s="213"/>
      <c r="I200" s="213"/>
      <c r="J200" s="213"/>
      <c r="K200" s="213"/>
      <c r="L200" s="213"/>
      <c r="M200" s="213"/>
      <c r="N200" s="213"/>
      <c r="O200" s="213"/>
      <c r="P200" s="213"/>
      <c r="Q200" s="213"/>
      <c r="R200" s="213"/>
      <c r="S200" s="213"/>
      <c r="T200" s="213"/>
      <c r="U200" s="213"/>
      <c r="V200" s="213"/>
      <c r="W200" s="213"/>
      <c r="X200" s="213"/>
      <c r="Y200" s="213"/>
      <c r="Z200" s="213"/>
      <c r="AA200" s="213"/>
      <c r="AB200" s="213"/>
      <c r="AC200" s="213"/>
      <c r="AD200" s="213"/>
      <c r="AE200" s="213"/>
      <c r="AF200" s="213"/>
      <c r="AG200" s="213"/>
      <c r="AH200" s="213"/>
      <c r="AI200" s="213"/>
      <c r="AJ200" s="213"/>
      <c r="AK200" s="213"/>
      <c r="AL200" s="213"/>
      <c r="AM200" s="213"/>
      <c r="AN200" s="213"/>
      <c r="AO200" s="213"/>
      <c r="AP200" s="213"/>
      <c r="AQ200" s="213"/>
      <c r="AR200" s="213"/>
      <c r="AS200" s="213"/>
      <c r="AT200" s="213"/>
      <c r="AU200" s="213"/>
      <c r="AV200" s="213"/>
      <c r="AW200" s="213"/>
      <c r="AX200" s="213"/>
      <c r="AY200" s="213"/>
      <c r="AZ200" s="213"/>
      <c r="BA200" s="213"/>
      <c r="BB200" s="213"/>
      <c r="BC200" s="213"/>
      <c r="BD200" s="213"/>
      <c r="BE200" s="213"/>
      <c r="BF200" s="213"/>
      <c r="BG200" s="213"/>
      <c r="BH200" s="213"/>
      <c r="BI200" s="213"/>
      <c r="BJ200" s="213"/>
      <c r="BK200" s="213"/>
      <c r="BL200" s="213"/>
      <c r="BM200" s="213"/>
      <c r="BN200" s="215"/>
      <c r="BO200" s="213"/>
      <c r="BP200" s="213"/>
      <c r="BQ200" s="213"/>
      <c r="BR200" s="326"/>
      <c r="BS200" s="213"/>
      <c r="BT200" s="213"/>
      <c r="BU200" s="213"/>
      <c r="BV200" s="213"/>
      <c r="BW200" s="213"/>
      <c r="BX200" s="213"/>
      <c r="BY200" s="213"/>
      <c r="BZ200" s="213"/>
      <c r="CA200" s="213"/>
      <c r="CB200" s="213"/>
      <c r="CC200" s="213"/>
      <c r="CD200" s="213"/>
      <c r="CE200" s="213"/>
      <c r="CF200" s="213"/>
      <c r="CG200" s="213"/>
      <c r="CH200" s="213"/>
      <c r="CI200" s="213"/>
      <c r="CJ200" s="213"/>
      <c r="CK200" s="213"/>
      <c r="CL200" s="213"/>
      <c r="CM200" s="213"/>
      <c r="CN200" s="213"/>
      <c r="CO200" s="213"/>
      <c r="CP200" s="213"/>
      <c r="CQ200" s="213"/>
      <c r="CR200" s="213"/>
      <c r="CS200" s="213"/>
      <c r="CT200" s="213"/>
      <c r="CU200" s="213"/>
    </row>
    <row r="201" ht="15.75" customHeight="1">
      <c r="A201" s="213"/>
      <c r="B201" s="213"/>
      <c r="C201" s="213"/>
      <c r="D201" s="213"/>
      <c r="E201" s="213"/>
      <c r="F201" s="213"/>
      <c r="G201" s="213"/>
      <c r="H201" s="213"/>
      <c r="I201" s="213"/>
      <c r="J201" s="213"/>
      <c r="K201" s="213"/>
      <c r="L201" s="213"/>
      <c r="M201" s="213"/>
      <c r="N201" s="213"/>
      <c r="O201" s="213"/>
      <c r="P201" s="213"/>
      <c r="Q201" s="213"/>
      <c r="R201" s="213"/>
      <c r="S201" s="213"/>
      <c r="T201" s="213"/>
      <c r="U201" s="213"/>
      <c r="V201" s="213"/>
      <c r="W201" s="213"/>
      <c r="X201" s="213"/>
      <c r="Y201" s="213"/>
      <c r="Z201" s="213"/>
      <c r="AA201" s="213"/>
      <c r="AB201" s="213"/>
      <c r="AC201" s="213"/>
      <c r="AD201" s="213"/>
      <c r="AE201" s="213"/>
      <c r="AF201" s="213"/>
      <c r="AG201" s="213"/>
      <c r="AH201" s="213"/>
      <c r="AI201" s="213"/>
      <c r="AJ201" s="213"/>
      <c r="AK201" s="213"/>
      <c r="AL201" s="213"/>
      <c r="AM201" s="213"/>
      <c r="AN201" s="213"/>
      <c r="AO201" s="213"/>
      <c r="AP201" s="213"/>
      <c r="AQ201" s="213"/>
      <c r="AR201" s="213"/>
      <c r="AS201" s="213"/>
      <c r="AT201" s="213"/>
      <c r="AU201" s="213"/>
      <c r="AV201" s="213"/>
      <c r="AW201" s="213"/>
      <c r="AX201" s="213"/>
      <c r="AY201" s="213"/>
      <c r="AZ201" s="213"/>
      <c r="BA201" s="213"/>
      <c r="BB201" s="213"/>
      <c r="BC201" s="213"/>
      <c r="BD201" s="213"/>
      <c r="BE201" s="213"/>
      <c r="BF201" s="213"/>
      <c r="BG201" s="213"/>
      <c r="BH201" s="213"/>
      <c r="BI201" s="213"/>
      <c r="BJ201" s="213"/>
      <c r="BK201" s="213"/>
      <c r="BL201" s="213"/>
      <c r="BM201" s="213"/>
      <c r="BN201" s="215"/>
      <c r="BO201" s="213"/>
      <c r="BP201" s="213"/>
      <c r="BQ201" s="213"/>
      <c r="BR201" s="326"/>
      <c r="BS201" s="213"/>
      <c r="BT201" s="213"/>
      <c r="BU201" s="213"/>
      <c r="BV201" s="213"/>
      <c r="BW201" s="213"/>
      <c r="BX201" s="213"/>
      <c r="BY201" s="213"/>
      <c r="BZ201" s="213"/>
      <c r="CA201" s="213"/>
      <c r="CB201" s="213"/>
      <c r="CC201" s="213"/>
      <c r="CD201" s="213"/>
      <c r="CE201" s="213"/>
      <c r="CF201" s="213"/>
      <c r="CG201" s="213"/>
      <c r="CH201" s="213"/>
      <c r="CI201" s="213"/>
      <c r="CJ201" s="213"/>
      <c r="CK201" s="213"/>
      <c r="CL201" s="213"/>
      <c r="CM201" s="213"/>
      <c r="CN201" s="213"/>
      <c r="CO201" s="213"/>
      <c r="CP201" s="213"/>
      <c r="CQ201" s="213"/>
      <c r="CR201" s="213"/>
      <c r="CS201" s="213"/>
      <c r="CT201" s="213"/>
      <c r="CU201" s="213"/>
    </row>
    <row r="202" ht="15.75" customHeight="1">
      <c r="A202" s="213"/>
      <c r="B202" s="213"/>
      <c r="C202" s="213"/>
      <c r="D202" s="213"/>
      <c r="E202" s="213"/>
      <c r="F202" s="213"/>
      <c r="G202" s="213"/>
      <c r="H202" s="213"/>
      <c r="I202" s="213"/>
      <c r="J202" s="213"/>
      <c r="K202" s="213"/>
      <c r="L202" s="213"/>
      <c r="M202" s="213"/>
      <c r="N202" s="213"/>
      <c r="O202" s="213"/>
      <c r="P202" s="213"/>
      <c r="Q202" s="213"/>
      <c r="R202" s="213"/>
      <c r="S202" s="213"/>
      <c r="T202" s="213"/>
      <c r="U202" s="213"/>
      <c r="V202" s="213"/>
      <c r="W202" s="213"/>
      <c r="X202" s="213"/>
      <c r="Y202" s="213"/>
      <c r="Z202" s="213"/>
      <c r="AA202" s="213"/>
      <c r="AB202" s="213"/>
      <c r="AC202" s="213"/>
      <c r="AD202" s="213"/>
      <c r="AE202" s="213"/>
      <c r="AF202" s="213"/>
      <c r="AG202" s="213"/>
      <c r="AH202" s="213"/>
      <c r="AI202" s="213"/>
      <c r="AJ202" s="213"/>
      <c r="AK202" s="213"/>
      <c r="AL202" s="213"/>
      <c r="AM202" s="213"/>
      <c r="AN202" s="213"/>
      <c r="AO202" s="213"/>
      <c r="AP202" s="213"/>
      <c r="AQ202" s="213"/>
      <c r="AR202" s="213"/>
      <c r="AS202" s="213"/>
      <c r="AT202" s="213"/>
      <c r="AU202" s="213"/>
      <c r="AV202" s="213"/>
      <c r="AW202" s="213"/>
      <c r="AX202" s="213"/>
      <c r="AY202" s="213"/>
      <c r="AZ202" s="213"/>
      <c r="BA202" s="213"/>
      <c r="BB202" s="213"/>
      <c r="BC202" s="213"/>
      <c r="BD202" s="213"/>
      <c r="BE202" s="213"/>
      <c r="BF202" s="213"/>
      <c r="BG202" s="213"/>
      <c r="BH202" s="213"/>
      <c r="BI202" s="213"/>
      <c r="BJ202" s="213"/>
      <c r="BK202" s="213"/>
      <c r="BL202" s="213"/>
      <c r="BM202" s="213"/>
      <c r="BN202" s="215"/>
      <c r="BO202" s="213"/>
      <c r="BP202" s="213"/>
      <c r="BQ202" s="213"/>
      <c r="BR202" s="326"/>
      <c r="BS202" s="213"/>
      <c r="BT202" s="213"/>
      <c r="BU202" s="213"/>
      <c r="BV202" s="213"/>
      <c r="BW202" s="213"/>
      <c r="BX202" s="213"/>
      <c r="BY202" s="213"/>
      <c r="BZ202" s="213"/>
      <c r="CA202" s="213"/>
      <c r="CB202" s="213"/>
      <c r="CC202" s="213"/>
      <c r="CD202" s="213"/>
      <c r="CE202" s="213"/>
      <c r="CF202" s="213"/>
      <c r="CG202" s="213"/>
      <c r="CH202" s="213"/>
      <c r="CI202" s="213"/>
      <c r="CJ202" s="213"/>
      <c r="CK202" s="213"/>
      <c r="CL202" s="213"/>
      <c r="CM202" s="213"/>
      <c r="CN202" s="213"/>
      <c r="CO202" s="213"/>
      <c r="CP202" s="213"/>
      <c r="CQ202" s="213"/>
      <c r="CR202" s="213"/>
      <c r="CS202" s="213"/>
      <c r="CT202" s="213"/>
      <c r="CU202" s="213"/>
    </row>
    <row r="203" ht="15.75" customHeight="1">
      <c r="A203" s="213"/>
      <c r="B203" s="213"/>
      <c r="C203" s="213"/>
      <c r="D203" s="213"/>
      <c r="E203" s="213"/>
      <c r="F203" s="213"/>
      <c r="G203" s="213"/>
      <c r="H203" s="213"/>
      <c r="I203" s="213"/>
      <c r="J203" s="213"/>
      <c r="K203" s="213"/>
      <c r="L203" s="213"/>
      <c r="M203" s="213"/>
      <c r="N203" s="213"/>
      <c r="O203" s="213"/>
      <c r="P203" s="213"/>
      <c r="Q203" s="213"/>
      <c r="R203" s="213"/>
      <c r="S203" s="213"/>
      <c r="T203" s="213"/>
      <c r="U203" s="213"/>
      <c r="V203" s="213"/>
      <c r="W203" s="213"/>
      <c r="X203" s="213"/>
      <c r="Y203" s="213"/>
      <c r="Z203" s="213"/>
      <c r="AA203" s="213"/>
      <c r="AB203" s="213"/>
      <c r="AC203" s="213"/>
      <c r="AD203" s="213"/>
      <c r="AE203" s="213"/>
      <c r="AF203" s="213"/>
      <c r="AG203" s="213"/>
      <c r="AH203" s="213"/>
      <c r="AI203" s="213"/>
      <c r="AJ203" s="213"/>
      <c r="AK203" s="213"/>
      <c r="AL203" s="213"/>
      <c r="AM203" s="213"/>
      <c r="AN203" s="213"/>
      <c r="AO203" s="213"/>
      <c r="AP203" s="213"/>
      <c r="AQ203" s="213"/>
      <c r="AR203" s="213"/>
      <c r="AS203" s="213"/>
      <c r="AT203" s="213"/>
      <c r="AU203" s="213"/>
      <c r="AV203" s="213"/>
      <c r="AW203" s="213"/>
      <c r="AX203" s="213"/>
      <c r="AY203" s="213"/>
      <c r="AZ203" s="213"/>
      <c r="BA203" s="213"/>
      <c r="BB203" s="213"/>
      <c r="BC203" s="213"/>
      <c r="BD203" s="213"/>
      <c r="BE203" s="213"/>
      <c r="BF203" s="213"/>
      <c r="BG203" s="213"/>
      <c r="BH203" s="213"/>
      <c r="BI203" s="213"/>
      <c r="BJ203" s="213"/>
      <c r="BK203" s="213"/>
      <c r="BL203" s="213"/>
      <c r="BM203" s="213"/>
      <c r="BN203" s="215"/>
      <c r="BO203" s="213"/>
      <c r="BP203" s="213"/>
      <c r="BQ203" s="213"/>
      <c r="BR203" s="326"/>
      <c r="BS203" s="213"/>
      <c r="BT203" s="213"/>
      <c r="BU203" s="213"/>
      <c r="BV203" s="213"/>
      <c r="BW203" s="213"/>
      <c r="BX203" s="213"/>
      <c r="BY203" s="213"/>
      <c r="BZ203" s="213"/>
      <c r="CA203" s="213"/>
      <c r="CB203" s="213"/>
      <c r="CC203" s="213"/>
      <c r="CD203" s="213"/>
      <c r="CE203" s="213"/>
      <c r="CF203" s="213"/>
      <c r="CG203" s="213"/>
      <c r="CH203" s="213"/>
      <c r="CI203" s="213"/>
      <c r="CJ203" s="213"/>
      <c r="CK203" s="213"/>
      <c r="CL203" s="213"/>
      <c r="CM203" s="213"/>
      <c r="CN203" s="213"/>
      <c r="CO203" s="213"/>
      <c r="CP203" s="213"/>
      <c r="CQ203" s="213"/>
      <c r="CR203" s="213"/>
      <c r="CS203" s="213"/>
      <c r="CT203" s="213"/>
      <c r="CU203" s="213"/>
    </row>
    <row r="204" ht="15.75" customHeight="1">
      <c r="A204" s="213"/>
      <c r="B204" s="213"/>
      <c r="C204" s="213"/>
      <c r="D204" s="213"/>
      <c r="E204" s="213"/>
      <c r="F204" s="213"/>
      <c r="G204" s="213"/>
      <c r="H204" s="213"/>
      <c r="I204" s="213"/>
      <c r="J204" s="213"/>
      <c r="K204" s="213"/>
      <c r="L204" s="213"/>
      <c r="M204" s="213"/>
      <c r="N204" s="213"/>
      <c r="O204" s="213"/>
      <c r="P204" s="213"/>
      <c r="Q204" s="213"/>
      <c r="R204" s="213"/>
      <c r="S204" s="213"/>
      <c r="T204" s="213"/>
      <c r="U204" s="213"/>
      <c r="V204" s="213"/>
      <c r="W204" s="213"/>
      <c r="X204" s="213"/>
      <c r="Y204" s="213"/>
      <c r="Z204" s="213"/>
      <c r="AA204" s="213"/>
      <c r="AB204" s="213"/>
      <c r="AC204" s="213"/>
      <c r="AD204" s="213"/>
      <c r="AE204" s="213"/>
      <c r="AF204" s="213"/>
      <c r="AG204" s="213"/>
      <c r="AH204" s="213"/>
      <c r="AI204" s="213"/>
      <c r="AJ204" s="213"/>
      <c r="AK204" s="213"/>
      <c r="AL204" s="213"/>
      <c r="AM204" s="213"/>
      <c r="AN204" s="213"/>
      <c r="AO204" s="213"/>
      <c r="AP204" s="213"/>
      <c r="AQ204" s="213"/>
      <c r="AR204" s="213"/>
      <c r="AS204" s="213"/>
      <c r="AT204" s="213"/>
      <c r="AU204" s="213"/>
      <c r="AV204" s="213"/>
      <c r="AW204" s="213"/>
      <c r="AX204" s="213"/>
      <c r="AY204" s="213"/>
      <c r="AZ204" s="213"/>
      <c r="BA204" s="213"/>
      <c r="BB204" s="213"/>
      <c r="BC204" s="213"/>
      <c r="BD204" s="213"/>
      <c r="BE204" s="213"/>
      <c r="BF204" s="213"/>
      <c r="BG204" s="213"/>
      <c r="BH204" s="213"/>
      <c r="BI204" s="213"/>
      <c r="BJ204" s="213"/>
      <c r="BK204" s="213"/>
      <c r="BL204" s="213"/>
      <c r="BM204" s="213"/>
      <c r="BN204" s="215"/>
      <c r="BO204" s="213"/>
      <c r="BP204" s="213"/>
      <c r="BQ204" s="213"/>
      <c r="BR204" s="326"/>
      <c r="BS204" s="213"/>
      <c r="BT204" s="213"/>
      <c r="BU204" s="213"/>
      <c r="BV204" s="213"/>
      <c r="BW204" s="213"/>
      <c r="BX204" s="213"/>
      <c r="BY204" s="213"/>
      <c r="BZ204" s="213"/>
      <c r="CA204" s="213"/>
      <c r="CB204" s="213"/>
      <c r="CC204" s="213"/>
      <c r="CD204" s="213"/>
      <c r="CE204" s="213"/>
      <c r="CF204" s="213"/>
      <c r="CG204" s="213"/>
      <c r="CH204" s="213"/>
      <c r="CI204" s="213"/>
      <c r="CJ204" s="213"/>
      <c r="CK204" s="213"/>
      <c r="CL204" s="213"/>
      <c r="CM204" s="213"/>
      <c r="CN204" s="213"/>
      <c r="CO204" s="213"/>
      <c r="CP204" s="213"/>
      <c r="CQ204" s="213"/>
      <c r="CR204" s="213"/>
      <c r="CS204" s="213"/>
      <c r="CT204" s="213"/>
      <c r="CU204" s="213"/>
    </row>
    <row r="205" ht="15.75" customHeight="1">
      <c r="A205" s="213"/>
      <c r="B205" s="213"/>
      <c r="C205" s="213"/>
      <c r="D205" s="213"/>
      <c r="E205" s="213"/>
      <c r="F205" s="213"/>
      <c r="G205" s="213"/>
      <c r="H205" s="213"/>
      <c r="I205" s="213"/>
      <c r="J205" s="213"/>
      <c r="K205" s="213"/>
      <c r="L205" s="213"/>
      <c r="M205" s="213"/>
      <c r="N205" s="213"/>
      <c r="O205" s="213"/>
      <c r="P205" s="213"/>
      <c r="Q205" s="213"/>
      <c r="R205" s="213"/>
      <c r="S205" s="213"/>
      <c r="T205" s="213"/>
      <c r="U205" s="213"/>
      <c r="V205" s="213"/>
      <c r="W205" s="213"/>
      <c r="X205" s="213"/>
      <c r="Y205" s="213"/>
      <c r="Z205" s="213"/>
      <c r="AA205" s="213"/>
      <c r="AB205" s="213"/>
      <c r="AC205" s="213"/>
      <c r="AD205" s="213"/>
      <c r="AE205" s="213"/>
      <c r="AF205" s="213"/>
      <c r="AG205" s="213"/>
      <c r="AH205" s="213"/>
      <c r="AI205" s="213"/>
      <c r="AJ205" s="213"/>
      <c r="AK205" s="213"/>
      <c r="AL205" s="213"/>
      <c r="AM205" s="213"/>
      <c r="AN205" s="213"/>
      <c r="AO205" s="213"/>
      <c r="AP205" s="213"/>
      <c r="AQ205" s="213"/>
      <c r="AR205" s="213"/>
      <c r="AS205" s="213"/>
      <c r="AT205" s="213"/>
      <c r="AU205" s="213"/>
      <c r="AV205" s="213"/>
      <c r="AW205" s="213"/>
      <c r="AX205" s="213"/>
      <c r="AY205" s="213"/>
      <c r="AZ205" s="213"/>
      <c r="BA205" s="213"/>
      <c r="BB205" s="213"/>
      <c r="BC205" s="213"/>
      <c r="BD205" s="213"/>
      <c r="BE205" s="213"/>
      <c r="BF205" s="213"/>
      <c r="BG205" s="213"/>
      <c r="BH205" s="213"/>
      <c r="BI205" s="213"/>
      <c r="BJ205" s="213"/>
      <c r="BK205" s="213"/>
      <c r="BL205" s="213"/>
      <c r="BM205" s="213"/>
      <c r="BN205" s="215"/>
      <c r="BO205" s="213"/>
      <c r="BP205" s="213"/>
      <c r="BQ205" s="213"/>
      <c r="BR205" s="326"/>
      <c r="BS205" s="213"/>
      <c r="BT205" s="213"/>
      <c r="BU205" s="213"/>
      <c r="BV205" s="213"/>
      <c r="BW205" s="213"/>
      <c r="BX205" s="213"/>
      <c r="BY205" s="213"/>
      <c r="BZ205" s="213"/>
      <c r="CA205" s="213"/>
      <c r="CB205" s="213"/>
      <c r="CC205" s="213"/>
      <c r="CD205" s="213"/>
      <c r="CE205" s="213"/>
      <c r="CF205" s="213"/>
      <c r="CG205" s="213"/>
      <c r="CH205" s="213"/>
      <c r="CI205" s="213"/>
      <c r="CJ205" s="213"/>
      <c r="CK205" s="213"/>
      <c r="CL205" s="213"/>
      <c r="CM205" s="213"/>
      <c r="CN205" s="213"/>
      <c r="CO205" s="213"/>
      <c r="CP205" s="213"/>
      <c r="CQ205" s="213"/>
      <c r="CR205" s="213"/>
      <c r="CS205" s="213"/>
      <c r="CT205" s="213"/>
      <c r="CU205" s="213"/>
    </row>
    <row r="206" ht="15.75" customHeight="1">
      <c r="A206" s="213"/>
      <c r="B206" s="213"/>
      <c r="C206" s="213"/>
      <c r="D206" s="213"/>
      <c r="E206" s="213"/>
      <c r="F206" s="213"/>
      <c r="G206" s="213"/>
      <c r="H206" s="213"/>
      <c r="I206" s="213"/>
      <c r="J206" s="213"/>
      <c r="K206" s="213"/>
      <c r="L206" s="213"/>
      <c r="M206" s="213"/>
      <c r="N206" s="213"/>
      <c r="O206" s="213"/>
      <c r="P206" s="213"/>
      <c r="Q206" s="213"/>
      <c r="R206" s="213"/>
      <c r="S206" s="213"/>
      <c r="T206" s="213"/>
      <c r="U206" s="213"/>
      <c r="V206" s="213"/>
      <c r="W206" s="213"/>
      <c r="X206" s="213"/>
      <c r="Y206" s="213"/>
      <c r="Z206" s="213"/>
      <c r="AA206" s="213"/>
      <c r="AB206" s="213"/>
      <c r="AC206" s="213"/>
      <c r="AD206" s="213"/>
      <c r="AE206" s="213"/>
      <c r="AF206" s="213"/>
      <c r="AG206" s="213"/>
      <c r="AH206" s="213"/>
      <c r="AI206" s="213"/>
      <c r="AJ206" s="213"/>
      <c r="AK206" s="213"/>
      <c r="AL206" s="213"/>
      <c r="AM206" s="213"/>
      <c r="AN206" s="213"/>
      <c r="AO206" s="213"/>
      <c r="AP206" s="213"/>
      <c r="AQ206" s="213"/>
      <c r="AR206" s="213"/>
      <c r="AS206" s="213"/>
      <c r="AT206" s="213"/>
      <c r="AU206" s="213"/>
      <c r="AV206" s="213"/>
      <c r="AW206" s="213"/>
      <c r="AX206" s="213"/>
      <c r="AY206" s="213"/>
      <c r="AZ206" s="213"/>
      <c r="BA206" s="213"/>
      <c r="BB206" s="213"/>
      <c r="BC206" s="213"/>
      <c r="BD206" s="213"/>
      <c r="BE206" s="213"/>
      <c r="BF206" s="213"/>
      <c r="BG206" s="213"/>
      <c r="BH206" s="213"/>
      <c r="BI206" s="213"/>
      <c r="BJ206" s="213"/>
      <c r="BK206" s="213"/>
      <c r="BL206" s="213"/>
      <c r="BM206" s="213"/>
      <c r="BN206" s="215"/>
      <c r="BO206" s="213"/>
      <c r="BP206" s="213"/>
      <c r="BQ206" s="213"/>
      <c r="BR206" s="326"/>
      <c r="BS206" s="213"/>
      <c r="BT206" s="213"/>
      <c r="BU206" s="213"/>
      <c r="BV206" s="213"/>
      <c r="BW206" s="213"/>
      <c r="BX206" s="213"/>
      <c r="BY206" s="213"/>
      <c r="BZ206" s="213"/>
      <c r="CA206" s="213"/>
      <c r="CB206" s="213"/>
      <c r="CC206" s="213"/>
      <c r="CD206" s="213"/>
      <c r="CE206" s="213"/>
      <c r="CF206" s="213"/>
      <c r="CG206" s="213"/>
      <c r="CH206" s="213"/>
      <c r="CI206" s="213"/>
      <c r="CJ206" s="213"/>
      <c r="CK206" s="213"/>
      <c r="CL206" s="213"/>
      <c r="CM206" s="213"/>
      <c r="CN206" s="213"/>
      <c r="CO206" s="213"/>
      <c r="CP206" s="213"/>
      <c r="CQ206" s="213"/>
      <c r="CR206" s="213"/>
      <c r="CS206" s="213"/>
      <c r="CT206" s="213"/>
      <c r="CU206" s="213"/>
    </row>
    <row r="207" ht="15.75" customHeight="1">
      <c r="A207" s="213"/>
      <c r="B207" s="213"/>
      <c r="C207" s="213"/>
      <c r="D207" s="213"/>
      <c r="E207" s="213"/>
      <c r="F207" s="213"/>
      <c r="G207" s="213"/>
      <c r="H207" s="213"/>
      <c r="I207" s="213"/>
      <c r="J207" s="213"/>
      <c r="K207" s="213"/>
      <c r="L207" s="213"/>
      <c r="M207" s="213"/>
      <c r="N207" s="213"/>
      <c r="O207" s="213"/>
      <c r="P207" s="213"/>
      <c r="Q207" s="213"/>
      <c r="R207" s="213"/>
      <c r="S207" s="213"/>
      <c r="T207" s="213"/>
      <c r="U207" s="213"/>
      <c r="V207" s="213"/>
      <c r="W207" s="213"/>
      <c r="X207" s="213"/>
      <c r="Y207" s="213"/>
      <c r="Z207" s="213"/>
      <c r="AA207" s="213"/>
      <c r="AB207" s="213"/>
      <c r="AC207" s="213"/>
      <c r="AD207" s="213"/>
      <c r="AE207" s="213"/>
      <c r="AF207" s="213"/>
      <c r="AG207" s="213"/>
      <c r="AH207" s="213"/>
      <c r="AI207" s="213"/>
      <c r="AJ207" s="213"/>
      <c r="AK207" s="213"/>
      <c r="AL207" s="213"/>
      <c r="AM207" s="213"/>
      <c r="AN207" s="213"/>
      <c r="AO207" s="213"/>
      <c r="AP207" s="213"/>
      <c r="AQ207" s="213"/>
      <c r="AR207" s="213"/>
      <c r="AS207" s="213"/>
      <c r="AT207" s="213"/>
      <c r="AU207" s="213"/>
      <c r="AV207" s="213"/>
      <c r="AW207" s="213"/>
      <c r="AX207" s="213"/>
      <c r="AY207" s="213"/>
      <c r="AZ207" s="213"/>
      <c r="BA207" s="213"/>
      <c r="BB207" s="213"/>
      <c r="BC207" s="213"/>
      <c r="BD207" s="213"/>
      <c r="BE207" s="213"/>
      <c r="BF207" s="213"/>
      <c r="BG207" s="213"/>
      <c r="BH207" s="213"/>
      <c r="BI207" s="213"/>
      <c r="BJ207" s="213"/>
      <c r="BK207" s="213"/>
      <c r="BL207" s="213"/>
      <c r="BM207" s="213"/>
      <c r="BN207" s="215"/>
      <c r="BO207" s="213"/>
      <c r="BP207" s="213"/>
      <c r="BQ207" s="213"/>
      <c r="BR207" s="326"/>
      <c r="BS207" s="213"/>
      <c r="BT207" s="213"/>
      <c r="BU207" s="213"/>
      <c r="BV207" s="213"/>
      <c r="BW207" s="213"/>
      <c r="BX207" s="213"/>
      <c r="BY207" s="213"/>
      <c r="BZ207" s="213"/>
      <c r="CA207" s="213"/>
      <c r="CB207" s="213"/>
      <c r="CC207" s="213"/>
      <c r="CD207" s="213"/>
      <c r="CE207" s="213"/>
      <c r="CF207" s="213"/>
      <c r="CG207" s="213"/>
      <c r="CH207" s="213"/>
      <c r="CI207" s="213"/>
      <c r="CJ207" s="213"/>
      <c r="CK207" s="213"/>
      <c r="CL207" s="213"/>
      <c r="CM207" s="213"/>
      <c r="CN207" s="213"/>
      <c r="CO207" s="213"/>
      <c r="CP207" s="213"/>
      <c r="CQ207" s="213"/>
      <c r="CR207" s="213"/>
      <c r="CS207" s="213"/>
      <c r="CT207" s="213"/>
      <c r="CU207" s="213"/>
    </row>
    <row r="208" ht="15.75" customHeight="1">
      <c r="A208" s="213"/>
      <c r="B208" s="213"/>
      <c r="C208" s="213"/>
      <c r="D208" s="213"/>
      <c r="E208" s="213"/>
      <c r="F208" s="213"/>
      <c r="G208" s="213"/>
      <c r="H208" s="213"/>
      <c r="I208" s="213"/>
      <c r="J208" s="213"/>
      <c r="K208" s="213"/>
      <c r="L208" s="213"/>
      <c r="M208" s="213"/>
      <c r="N208" s="213"/>
      <c r="O208" s="213"/>
      <c r="P208" s="213"/>
      <c r="Q208" s="213"/>
      <c r="R208" s="213"/>
      <c r="S208" s="213"/>
      <c r="T208" s="213"/>
      <c r="U208" s="213"/>
      <c r="V208" s="213"/>
      <c r="W208" s="213"/>
      <c r="X208" s="213"/>
      <c r="Y208" s="213"/>
      <c r="Z208" s="213"/>
      <c r="AA208" s="213"/>
      <c r="AB208" s="213"/>
      <c r="AC208" s="213"/>
      <c r="AD208" s="213"/>
      <c r="AE208" s="213"/>
      <c r="AF208" s="213"/>
      <c r="AG208" s="213"/>
      <c r="AH208" s="213"/>
      <c r="AI208" s="213"/>
      <c r="AJ208" s="213"/>
      <c r="AK208" s="213"/>
      <c r="AL208" s="213"/>
      <c r="AM208" s="213"/>
      <c r="AN208" s="213"/>
      <c r="AO208" s="213"/>
      <c r="AP208" s="213"/>
      <c r="AQ208" s="213"/>
      <c r="AR208" s="213"/>
      <c r="AS208" s="213"/>
      <c r="AT208" s="213"/>
      <c r="AU208" s="213"/>
      <c r="AV208" s="213"/>
      <c r="AW208" s="213"/>
      <c r="AX208" s="213"/>
      <c r="AY208" s="213"/>
      <c r="AZ208" s="213"/>
      <c r="BA208" s="213"/>
      <c r="BB208" s="213"/>
      <c r="BC208" s="213"/>
      <c r="BD208" s="213"/>
      <c r="BE208" s="213"/>
      <c r="BF208" s="213"/>
      <c r="BG208" s="213"/>
      <c r="BH208" s="213"/>
      <c r="BI208" s="213"/>
      <c r="BJ208" s="213"/>
      <c r="BK208" s="213"/>
      <c r="BL208" s="213"/>
      <c r="BM208" s="213"/>
      <c r="BN208" s="215"/>
      <c r="BO208" s="213"/>
      <c r="BP208" s="213"/>
      <c r="BQ208" s="213"/>
      <c r="BR208" s="326"/>
      <c r="BS208" s="213"/>
      <c r="BT208" s="213"/>
      <c r="BU208" s="213"/>
      <c r="BV208" s="213"/>
      <c r="BW208" s="213"/>
      <c r="BX208" s="213"/>
      <c r="BY208" s="213"/>
      <c r="BZ208" s="213"/>
      <c r="CA208" s="213"/>
      <c r="CB208" s="213"/>
      <c r="CC208" s="213"/>
      <c r="CD208" s="213"/>
      <c r="CE208" s="213"/>
      <c r="CF208" s="213"/>
      <c r="CG208" s="213"/>
      <c r="CH208" s="213"/>
      <c r="CI208" s="213"/>
      <c r="CJ208" s="213"/>
      <c r="CK208" s="213"/>
      <c r="CL208" s="213"/>
      <c r="CM208" s="213"/>
      <c r="CN208" s="213"/>
      <c r="CO208" s="213"/>
      <c r="CP208" s="213"/>
      <c r="CQ208" s="213"/>
      <c r="CR208" s="213"/>
      <c r="CS208" s="213"/>
      <c r="CT208" s="213"/>
      <c r="CU208" s="213"/>
    </row>
    <row r="209" ht="15.75" customHeight="1">
      <c r="A209" s="213"/>
      <c r="B209" s="213"/>
      <c r="C209" s="213"/>
      <c r="D209" s="213"/>
      <c r="E209" s="213"/>
      <c r="F209" s="213"/>
      <c r="G209" s="213"/>
      <c r="H209" s="213"/>
      <c r="I209" s="213"/>
      <c r="J209" s="213"/>
      <c r="K209" s="213"/>
      <c r="L209" s="213"/>
      <c r="M209" s="213"/>
      <c r="N209" s="213"/>
      <c r="O209" s="213"/>
      <c r="P209" s="213"/>
      <c r="Q209" s="213"/>
      <c r="R209" s="213"/>
      <c r="S209" s="213"/>
      <c r="T209" s="213"/>
      <c r="U209" s="213"/>
      <c r="V209" s="213"/>
      <c r="W209" s="213"/>
      <c r="X209" s="213"/>
      <c r="Y209" s="213"/>
      <c r="Z209" s="213"/>
      <c r="AA209" s="213"/>
      <c r="AB209" s="213"/>
      <c r="AC209" s="213"/>
      <c r="AD209" s="213"/>
      <c r="AE209" s="213"/>
      <c r="AF209" s="213"/>
      <c r="AG209" s="213"/>
      <c r="AH209" s="213"/>
      <c r="AI209" s="213"/>
      <c r="AJ209" s="213"/>
      <c r="AK209" s="213"/>
      <c r="AL209" s="213"/>
      <c r="AM209" s="213"/>
      <c r="AN209" s="213"/>
      <c r="AO209" s="213"/>
      <c r="AP209" s="213"/>
      <c r="AQ209" s="213"/>
      <c r="AR209" s="213"/>
      <c r="AS209" s="213"/>
      <c r="AT209" s="213"/>
      <c r="AU209" s="213"/>
      <c r="AV209" s="213"/>
      <c r="AW209" s="213"/>
      <c r="AX209" s="213"/>
      <c r="AY209" s="213"/>
      <c r="AZ209" s="213"/>
      <c r="BA209" s="213"/>
      <c r="BB209" s="213"/>
      <c r="BC209" s="213"/>
      <c r="BD209" s="213"/>
      <c r="BE209" s="213"/>
      <c r="BF209" s="213"/>
      <c r="BG209" s="213"/>
      <c r="BH209" s="213"/>
      <c r="BI209" s="213"/>
      <c r="BJ209" s="213"/>
      <c r="BK209" s="213"/>
      <c r="BL209" s="213"/>
      <c r="BM209" s="213"/>
      <c r="BN209" s="215"/>
      <c r="BO209" s="213"/>
      <c r="BP209" s="213"/>
      <c r="BQ209" s="213"/>
      <c r="BR209" s="326"/>
      <c r="BS209" s="213"/>
      <c r="BT209" s="213"/>
      <c r="BU209" s="213"/>
      <c r="BV209" s="213"/>
      <c r="BW209" s="213"/>
      <c r="BX209" s="213"/>
      <c r="BY209" s="213"/>
      <c r="BZ209" s="213"/>
      <c r="CA209" s="213"/>
      <c r="CB209" s="213"/>
      <c r="CC209" s="213"/>
      <c r="CD209" s="213"/>
      <c r="CE209" s="213"/>
      <c r="CF209" s="213"/>
      <c r="CG209" s="213"/>
      <c r="CH209" s="213"/>
      <c r="CI209" s="213"/>
      <c r="CJ209" s="213"/>
      <c r="CK209" s="213"/>
      <c r="CL209" s="213"/>
      <c r="CM209" s="213"/>
      <c r="CN209" s="213"/>
      <c r="CO209" s="213"/>
      <c r="CP209" s="213"/>
      <c r="CQ209" s="213"/>
      <c r="CR209" s="213"/>
      <c r="CS209" s="213"/>
      <c r="CT209" s="213"/>
      <c r="CU209" s="213"/>
    </row>
    <row r="210" ht="15.75" customHeight="1">
      <c r="A210" s="213"/>
      <c r="B210" s="213"/>
      <c r="C210" s="213"/>
      <c r="D210" s="213"/>
      <c r="E210" s="213"/>
      <c r="F210" s="213"/>
      <c r="G210" s="213"/>
      <c r="H210" s="213"/>
      <c r="I210" s="213"/>
      <c r="J210" s="213"/>
      <c r="K210" s="213"/>
      <c r="L210" s="213"/>
      <c r="M210" s="213"/>
      <c r="N210" s="213"/>
      <c r="O210" s="213"/>
      <c r="P210" s="213"/>
      <c r="Q210" s="213"/>
      <c r="R210" s="213"/>
      <c r="S210" s="213"/>
      <c r="T210" s="213"/>
      <c r="U210" s="213"/>
      <c r="V210" s="213"/>
      <c r="W210" s="213"/>
      <c r="X210" s="213"/>
      <c r="Y210" s="213"/>
      <c r="Z210" s="213"/>
      <c r="AA210" s="213"/>
      <c r="AB210" s="213"/>
      <c r="AC210" s="213"/>
      <c r="AD210" s="213"/>
      <c r="AE210" s="213"/>
      <c r="AF210" s="213"/>
      <c r="AG210" s="213"/>
      <c r="AH210" s="213"/>
      <c r="AI210" s="213"/>
      <c r="AJ210" s="213"/>
      <c r="AK210" s="213"/>
      <c r="AL210" s="213"/>
      <c r="AM210" s="213"/>
      <c r="AN210" s="213"/>
      <c r="AO210" s="213"/>
      <c r="AP210" s="213"/>
      <c r="AQ210" s="213"/>
      <c r="AR210" s="213"/>
      <c r="AS210" s="213"/>
      <c r="AT210" s="213"/>
      <c r="AU210" s="213"/>
      <c r="AV210" s="213"/>
      <c r="AW210" s="213"/>
      <c r="AX210" s="213"/>
      <c r="AY210" s="213"/>
      <c r="AZ210" s="213"/>
      <c r="BA210" s="213"/>
      <c r="BB210" s="213"/>
      <c r="BC210" s="213"/>
      <c r="BD210" s="213"/>
      <c r="BE210" s="213"/>
      <c r="BF210" s="213"/>
      <c r="BG210" s="213"/>
      <c r="BH210" s="213"/>
      <c r="BI210" s="213"/>
      <c r="BJ210" s="213"/>
      <c r="BK210" s="213"/>
      <c r="BL210" s="213"/>
      <c r="BM210" s="213"/>
      <c r="BN210" s="215"/>
      <c r="BO210" s="213"/>
      <c r="BP210" s="213"/>
      <c r="BQ210" s="213"/>
      <c r="BR210" s="326"/>
      <c r="BS210" s="213"/>
      <c r="BT210" s="213"/>
      <c r="BU210" s="213"/>
      <c r="BV210" s="213"/>
      <c r="BW210" s="213"/>
      <c r="BX210" s="213"/>
      <c r="BY210" s="213"/>
      <c r="BZ210" s="213"/>
      <c r="CA210" s="213"/>
      <c r="CB210" s="213"/>
      <c r="CC210" s="213"/>
      <c r="CD210" s="213"/>
      <c r="CE210" s="213"/>
      <c r="CF210" s="213"/>
      <c r="CG210" s="213"/>
      <c r="CH210" s="213"/>
      <c r="CI210" s="213"/>
      <c r="CJ210" s="213"/>
      <c r="CK210" s="213"/>
      <c r="CL210" s="213"/>
      <c r="CM210" s="213"/>
      <c r="CN210" s="213"/>
      <c r="CO210" s="213"/>
      <c r="CP210" s="213"/>
      <c r="CQ210" s="213"/>
      <c r="CR210" s="213"/>
      <c r="CS210" s="213"/>
      <c r="CT210" s="213"/>
      <c r="CU210" s="213"/>
    </row>
    <row r="211" ht="15.75" customHeight="1">
      <c r="A211" s="213"/>
      <c r="B211" s="213"/>
      <c r="C211" s="213"/>
      <c r="D211" s="213"/>
      <c r="E211" s="213"/>
      <c r="F211" s="213"/>
      <c r="G211" s="213"/>
      <c r="H211" s="213"/>
      <c r="I211" s="213"/>
      <c r="J211" s="213"/>
      <c r="K211" s="213"/>
      <c r="L211" s="213"/>
      <c r="M211" s="213"/>
      <c r="N211" s="213"/>
      <c r="O211" s="213"/>
      <c r="P211" s="213"/>
      <c r="Q211" s="213"/>
      <c r="R211" s="213"/>
      <c r="S211" s="213"/>
      <c r="T211" s="213"/>
      <c r="U211" s="213"/>
      <c r="V211" s="213"/>
      <c r="W211" s="213"/>
      <c r="X211" s="213"/>
      <c r="Y211" s="213"/>
      <c r="Z211" s="213"/>
      <c r="AA211" s="213"/>
      <c r="AB211" s="213"/>
      <c r="AC211" s="213"/>
      <c r="AD211" s="213"/>
      <c r="AE211" s="213"/>
      <c r="AF211" s="213"/>
      <c r="AG211" s="213"/>
      <c r="AH211" s="213"/>
      <c r="AI211" s="213"/>
      <c r="AJ211" s="213"/>
      <c r="AK211" s="213"/>
      <c r="AL211" s="213"/>
      <c r="AM211" s="213"/>
      <c r="AN211" s="213"/>
      <c r="AO211" s="213"/>
      <c r="AP211" s="213"/>
      <c r="AQ211" s="213"/>
      <c r="AR211" s="213"/>
      <c r="AS211" s="213"/>
      <c r="AT211" s="213"/>
      <c r="AU211" s="213"/>
      <c r="AV211" s="213"/>
      <c r="AW211" s="213"/>
      <c r="AX211" s="213"/>
      <c r="AY211" s="213"/>
      <c r="AZ211" s="213"/>
      <c r="BA211" s="213"/>
      <c r="BB211" s="213"/>
      <c r="BC211" s="213"/>
      <c r="BD211" s="213"/>
      <c r="BE211" s="213"/>
      <c r="BF211" s="213"/>
      <c r="BG211" s="213"/>
      <c r="BH211" s="213"/>
      <c r="BI211" s="213"/>
      <c r="BJ211" s="213"/>
      <c r="BK211" s="213"/>
      <c r="BL211" s="213"/>
      <c r="BM211" s="213"/>
      <c r="BN211" s="215"/>
      <c r="BO211" s="213"/>
      <c r="BP211" s="213"/>
      <c r="BQ211" s="213"/>
      <c r="BR211" s="326"/>
      <c r="BS211" s="213"/>
      <c r="BT211" s="213"/>
      <c r="BU211" s="213"/>
      <c r="BV211" s="213"/>
      <c r="BW211" s="213"/>
      <c r="BX211" s="213"/>
      <c r="BY211" s="213"/>
      <c r="BZ211" s="213"/>
      <c r="CA211" s="213"/>
      <c r="CB211" s="213"/>
      <c r="CC211" s="213"/>
      <c r="CD211" s="213"/>
      <c r="CE211" s="213"/>
      <c r="CF211" s="213"/>
      <c r="CG211" s="213"/>
      <c r="CH211" s="213"/>
      <c r="CI211" s="213"/>
      <c r="CJ211" s="213"/>
      <c r="CK211" s="213"/>
      <c r="CL211" s="213"/>
      <c r="CM211" s="213"/>
      <c r="CN211" s="213"/>
      <c r="CO211" s="213"/>
      <c r="CP211" s="213"/>
      <c r="CQ211" s="213"/>
      <c r="CR211" s="213"/>
      <c r="CS211" s="213"/>
      <c r="CT211" s="213"/>
      <c r="CU211" s="213"/>
    </row>
    <row r="212" ht="15.75" customHeight="1">
      <c r="A212" s="213"/>
      <c r="B212" s="213"/>
      <c r="C212" s="213"/>
      <c r="D212" s="213"/>
      <c r="E212" s="213"/>
      <c r="F212" s="213"/>
      <c r="G212" s="213"/>
      <c r="H212" s="213"/>
      <c r="I212" s="213"/>
      <c r="J212" s="213"/>
      <c r="K212" s="213"/>
      <c r="L212" s="213"/>
      <c r="M212" s="213"/>
      <c r="N212" s="213"/>
      <c r="O212" s="213"/>
      <c r="P212" s="213"/>
      <c r="Q212" s="213"/>
      <c r="R212" s="213"/>
      <c r="S212" s="213"/>
      <c r="T212" s="213"/>
      <c r="U212" s="213"/>
      <c r="V212" s="213"/>
      <c r="W212" s="213"/>
      <c r="X212" s="213"/>
      <c r="Y212" s="213"/>
      <c r="Z212" s="213"/>
      <c r="AA212" s="213"/>
      <c r="AB212" s="213"/>
      <c r="AC212" s="213"/>
      <c r="AD212" s="213"/>
      <c r="AE212" s="213"/>
      <c r="AF212" s="213"/>
      <c r="AG212" s="213"/>
      <c r="AH212" s="213"/>
      <c r="AI212" s="213"/>
      <c r="AJ212" s="213"/>
      <c r="AK212" s="213"/>
      <c r="AL212" s="213"/>
      <c r="AM212" s="213"/>
      <c r="AN212" s="213"/>
      <c r="AO212" s="213"/>
      <c r="AP212" s="213"/>
      <c r="AQ212" s="213"/>
      <c r="AR212" s="213"/>
      <c r="AS212" s="213"/>
      <c r="AT212" s="213"/>
      <c r="AU212" s="213"/>
      <c r="AV212" s="213"/>
      <c r="AW212" s="213"/>
      <c r="AX212" s="213"/>
      <c r="AY212" s="213"/>
      <c r="AZ212" s="213"/>
      <c r="BA212" s="213"/>
      <c r="BB212" s="213"/>
      <c r="BC212" s="213"/>
      <c r="BD212" s="213"/>
      <c r="BE212" s="213"/>
      <c r="BF212" s="213"/>
      <c r="BG212" s="213"/>
      <c r="BH212" s="213"/>
      <c r="BI212" s="213"/>
      <c r="BJ212" s="213"/>
      <c r="BK212" s="213"/>
      <c r="BL212" s="213"/>
      <c r="BM212" s="213"/>
      <c r="BN212" s="215"/>
      <c r="BO212" s="213"/>
      <c r="BP212" s="213"/>
      <c r="BQ212" s="213"/>
      <c r="BR212" s="326"/>
      <c r="BS212" s="213"/>
      <c r="BT212" s="213"/>
      <c r="BU212" s="213"/>
      <c r="BV212" s="213"/>
      <c r="BW212" s="213"/>
      <c r="BX212" s="213"/>
      <c r="BY212" s="213"/>
      <c r="BZ212" s="213"/>
      <c r="CA212" s="213"/>
      <c r="CB212" s="213"/>
      <c r="CC212" s="213"/>
      <c r="CD212" s="213"/>
      <c r="CE212" s="213"/>
      <c r="CF212" s="213"/>
      <c r="CG212" s="213"/>
      <c r="CH212" s="213"/>
      <c r="CI212" s="213"/>
      <c r="CJ212" s="213"/>
      <c r="CK212" s="213"/>
      <c r="CL212" s="213"/>
      <c r="CM212" s="213"/>
      <c r="CN212" s="213"/>
      <c r="CO212" s="213"/>
      <c r="CP212" s="213"/>
      <c r="CQ212" s="213"/>
      <c r="CR212" s="213"/>
      <c r="CS212" s="213"/>
      <c r="CT212" s="213"/>
      <c r="CU212" s="213"/>
    </row>
    <row r="213" ht="15.75" customHeight="1">
      <c r="A213" s="213"/>
      <c r="B213" s="213"/>
      <c r="C213" s="213"/>
      <c r="D213" s="213"/>
      <c r="E213" s="213"/>
      <c r="F213" s="213"/>
      <c r="G213" s="213"/>
      <c r="H213" s="213"/>
      <c r="I213" s="213"/>
      <c r="J213" s="213"/>
      <c r="K213" s="213"/>
      <c r="L213" s="213"/>
      <c r="M213" s="213"/>
      <c r="N213" s="213"/>
      <c r="O213" s="213"/>
      <c r="P213" s="213"/>
      <c r="Q213" s="213"/>
      <c r="R213" s="213"/>
      <c r="S213" s="213"/>
      <c r="T213" s="213"/>
      <c r="U213" s="213"/>
      <c r="V213" s="213"/>
      <c r="W213" s="213"/>
      <c r="X213" s="213"/>
      <c r="Y213" s="213"/>
      <c r="Z213" s="213"/>
      <c r="AA213" s="213"/>
      <c r="AB213" s="213"/>
      <c r="AC213" s="213"/>
      <c r="AD213" s="213"/>
      <c r="AE213" s="213"/>
      <c r="AF213" s="213"/>
      <c r="AG213" s="213"/>
      <c r="AH213" s="213"/>
      <c r="AI213" s="213"/>
      <c r="AJ213" s="213"/>
      <c r="AK213" s="213"/>
      <c r="AL213" s="213"/>
      <c r="AM213" s="213"/>
      <c r="AN213" s="213"/>
      <c r="AO213" s="213"/>
      <c r="AP213" s="213"/>
      <c r="AQ213" s="213"/>
      <c r="AR213" s="213"/>
      <c r="AS213" s="213"/>
      <c r="AT213" s="213"/>
      <c r="AU213" s="213"/>
      <c r="AV213" s="213"/>
      <c r="AW213" s="213"/>
      <c r="AX213" s="213"/>
      <c r="AY213" s="213"/>
      <c r="AZ213" s="213"/>
      <c r="BA213" s="213"/>
      <c r="BB213" s="213"/>
      <c r="BC213" s="213"/>
      <c r="BD213" s="213"/>
      <c r="BE213" s="213"/>
      <c r="BF213" s="213"/>
      <c r="BG213" s="213"/>
      <c r="BH213" s="213"/>
      <c r="BI213" s="213"/>
      <c r="BJ213" s="213"/>
      <c r="BK213" s="213"/>
      <c r="BL213" s="213"/>
      <c r="BM213" s="213"/>
      <c r="BN213" s="215"/>
      <c r="BO213" s="213"/>
      <c r="BP213" s="213"/>
      <c r="BQ213" s="213"/>
      <c r="BR213" s="326"/>
      <c r="BS213" s="213"/>
      <c r="BT213" s="213"/>
      <c r="BU213" s="213"/>
      <c r="BV213" s="213"/>
      <c r="BW213" s="213"/>
      <c r="BX213" s="213"/>
      <c r="BY213" s="213"/>
      <c r="BZ213" s="213"/>
      <c r="CA213" s="213"/>
      <c r="CB213" s="213"/>
      <c r="CC213" s="213"/>
      <c r="CD213" s="213"/>
      <c r="CE213" s="213"/>
      <c r="CF213" s="213"/>
      <c r="CG213" s="213"/>
      <c r="CH213" s="213"/>
      <c r="CI213" s="213"/>
      <c r="CJ213" s="213"/>
      <c r="CK213" s="213"/>
      <c r="CL213" s="213"/>
      <c r="CM213" s="213"/>
      <c r="CN213" s="213"/>
      <c r="CO213" s="213"/>
      <c r="CP213" s="213"/>
      <c r="CQ213" s="213"/>
      <c r="CR213" s="213"/>
      <c r="CS213" s="213"/>
      <c r="CT213" s="213"/>
      <c r="CU213" s="213"/>
    </row>
    <row r="214" ht="15.75" customHeight="1">
      <c r="A214" s="213"/>
      <c r="B214" s="213"/>
      <c r="C214" s="213"/>
      <c r="D214" s="213"/>
      <c r="E214" s="213"/>
      <c r="F214" s="213"/>
      <c r="G214" s="213"/>
      <c r="H214" s="213"/>
      <c r="I214" s="213"/>
      <c r="J214" s="213"/>
      <c r="K214" s="213"/>
      <c r="L214" s="213"/>
      <c r="M214" s="213"/>
      <c r="N214" s="213"/>
      <c r="O214" s="213"/>
      <c r="P214" s="213"/>
      <c r="Q214" s="213"/>
      <c r="R214" s="213"/>
      <c r="S214" s="213"/>
      <c r="T214" s="213"/>
      <c r="U214" s="213"/>
      <c r="V214" s="213"/>
      <c r="W214" s="213"/>
      <c r="X214" s="213"/>
      <c r="Y214" s="213"/>
      <c r="Z214" s="213"/>
      <c r="AA214" s="213"/>
      <c r="AB214" s="213"/>
      <c r="AC214" s="213"/>
      <c r="AD214" s="213"/>
      <c r="AE214" s="213"/>
      <c r="AF214" s="213"/>
      <c r="AG214" s="213"/>
      <c r="AH214" s="213"/>
      <c r="AI214" s="213"/>
      <c r="AJ214" s="213"/>
      <c r="AK214" s="213"/>
      <c r="AL214" s="213"/>
      <c r="AM214" s="213"/>
      <c r="AN214" s="213"/>
      <c r="AO214" s="213"/>
      <c r="AP214" s="213"/>
      <c r="AQ214" s="213"/>
      <c r="AR214" s="213"/>
      <c r="AS214" s="213"/>
      <c r="AT214" s="213"/>
      <c r="AU214" s="213"/>
      <c r="AV214" s="213"/>
      <c r="AW214" s="213"/>
      <c r="AX214" s="213"/>
      <c r="AY214" s="213"/>
      <c r="AZ214" s="213"/>
      <c r="BA214" s="213"/>
      <c r="BB214" s="213"/>
      <c r="BC214" s="213"/>
      <c r="BD214" s="213"/>
      <c r="BE214" s="213"/>
      <c r="BF214" s="213"/>
      <c r="BG214" s="213"/>
      <c r="BH214" s="213"/>
      <c r="BI214" s="213"/>
      <c r="BJ214" s="213"/>
      <c r="BK214" s="213"/>
      <c r="BL214" s="213"/>
      <c r="BM214" s="213"/>
      <c r="BN214" s="215"/>
      <c r="BO214" s="213"/>
      <c r="BP214" s="213"/>
      <c r="BQ214" s="213"/>
      <c r="BR214" s="326"/>
      <c r="BS214" s="213"/>
      <c r="BT214" s="213"/>
      <c r="BU214" s="213"/>
      <c r="BV214" s="213"/>
      <c r="BW214" s="213"/>
      <c r="BX214" s="213"/>
      <c r="BY214" s="213"/>
      <c r="BZ214" s="213"/>
      <c r="CA214" s="213"/>
      <c r="CB214" s="213"/>
      <c r="CC214" s="213"/>
      <c r="CD214" s="213"/>
      <c r="CE214" s="213"/>
      <c r="CF214" s="213"/>
      <c r="CG214" s="213"/>
      <c r="CH214" s="213"/>
      <c r="CI214" s="213"/>
      <c r="CJ214" s="213"/>
      <c r="CK214" s="213"/>
      <c r="CL214" s="213"/>
      <c r="CM214" s="213"/>
      <c r="CN214" s="213"/>
      <c r="CO214" s="213"/>
      <c r="CP214" s="213"/>
      <c r="CQ214" s="213"/>
      <c r="CR214" s="213"/>
      <c r="CS214" s="213"/>
      <c r="CT214" s="213"/>
      <c r="CU214" s="213"/>
    </row>
    <row r="215" ht="15.75" customHeight="1">
      <c r="A215" s="213"/>
      <c r="B215" s="213"/>
      <c r="C215" s="213"/>
      <c r="D215" s="213"/>
      <c r="E215" s="213"/>
      <c r="F215" s="213"/>
      <c r="G215" s="213"/>
      <c r="H215" s="213"/>
      <c r="I215" s="213"/>
      <c r="J215" s="213"/>
      <c r="K215" s="213"/>
      <c r="L215" s="213"/>
      <c r="M215" s="213"/>
      <c r="N215" s="213"/>
      <c r="O215" s="213"/>
      <c r="P215" s="213"/>
      <c r="Q215" s="213"/>
      <c r="R215" s="213"/>
      <c r="S215" s="213"/>
      <c r="T215" s="213"/>
      <c r="U215" s="213"/>
      <c r="V215" s="213"/>
      <c r="W215" s="213"/>
      <c r="X215" s="213"/>
      <c r="Y215" s="213"/>
      <c r="Z215" s="213"/>
      <c r="AA215" s="213"/>
      <c r="AB215" s="213"/>
      <c r="AC215" s="213"/>
      <c r="AD215" s="213"/>
      <c r="AE215" s="213"/>
      <c r="AF215" s="213"/>
      <c r="AG215" s="213"/>
      <c r="AH215" s="213"/>
      <c r="AI215" s="213"/>
      <c r="AJ215" s="213"/>
      <c r="AK215" s="213"/>
      <c r="AL215" s="213"/>
      <c r="AM215" s="213"/>
      <c r="AN215" s="213"/>
      <c r="AO215" s="213"/>
      <c r="AP215" s="213"/>
      <c r="AQ215" s="213"/>
      <c r="AR215" s="213"/>
      <c r="AS215" s="213"/>
      <c r="AT215" s="213"/>
      <c r="AU215" s="213"/>
      <c r="AV215" s="213"/>
      <c r="AW215" s="213"/>
      <c r="AX215" s="213"/>
      <c r="AY215" s="213"/>
      <c r="AZ215" s="213"/>
      <c r="BA215" s="213"/>
      <c r="BB215" s="213"/>
      <c r="BC215" s="213"/>
      <c r="BD215" s="213"/>
      <c r="BE215" s="213"/>
      <c r="BF215" s="213"/>
      <c r="BG215" s="213"/>
      <c r="BH215" s="213"/>
      <c r="BI215" s="213"/>
      <c r="BJ215" s="213"/>
      <c r="BK215" s="213"/>
      <c r="BL215" s="213"/>
      <c r="BM215" s="213"/>
      <c r="BN215" s="215"/>
      <c r="BO215" s="213"/>
      <c r="BP215" s="213"/>
      <c r="BQ215" s="213"/>
      <c r="BR215" s="326"/>
      <c r="BS215" s="213"/>
      <c r="BT215" s="213"/>
      <c r="BU215" s="213"/>
      <c r="BV215" s="213"/>
      <c r="BW215" s="213"/>
      <c r="BX215" s="213"/>
      <c r="BY215" s="213"/>
      <c r="BZ215" s="213"/>
      <c r="CA215" s="213"/>
      <c r="CB215" s="213"/>
      <c r="CC215" s="213"/>
      <c r="CD215" s="213"/>
      <c r="CE215" s="213"/>
      <c r="CF215" s="213"/>
      <c r="CG215" s="213"/>
      <c r="CH215" s="213"/>
      <c r="CI215" s="213"/>
      <c r="CJ215" s="213"/>
      <c r="CK215" s="213"/>
      <c r="CL215" s="213"/>
      <c r="CM215" s="213"/>
      <c r="CN215" s="213"/>
      <c r="CO215" s="213"/>
      <c r="CP215" s="213"/>
      <c r="CQ215" s="213"/>
      <c r="CR215" s="213"/>
      <c r="CS215" s="213"/>
      <c r="CT215" s="213"/>
      <c r="CU215" s="213"/>
    </row>
    <row r="216" ht="15.75" customHeight="1">
      <c r="A216" s="213"/>
      <c r="B216" s="213"/>
      <c r="C216" s="213"/>
      <c r="D216" s="213"/>
      <c r="E216" s="213"/>
      <c r="F216" s="213"/>
      <c r="G216" s="213"/>
      <c r="H216" s="213"/>
      <c r="I216" s="213"/>
      <c r="J216" s="213"/>
      <c r="K216" s="213"/>
      <c r="L216" s="213"/>
      <c r="M216" s="213"/>
      <c r="N216" s="213"/>
      <c r="O216" s="213"/>
      <c r="P216" s="213"/>
      <c r="Q216" s="213"/>
      <c r="R216" s="213"/>
      <c r="S216" s="213"/>
      <c r="T216" s="213"/>
      <c r="U216" s="213"/>
      <c r="V216" s="213"/>
      <c r="W216" s="213"/>
      <c r="X216" s="213"/>
      <c r="Y216" s="213"/>
      <c r="Z216" s="213"/>
      <c r="AA216" s="213"/>
      <c r="AB216" s="213"/>
      <c r="AC216" s="213"/>
      <c r="AD216" s="213"/>
      <c r="AE216" s="213"/>
      <c r="AF216" s="213"/>
      <c r="AG216" s="213"/>
      <c r="AH216" s="213"/>
      <c r="AI216" s="213"/>
      <c r="AJ216" s="213"/>
      <c r="AK216" s="213"/>
      <c r="AL216" s="213"/>
      <c r="AM216" s="213"/>
      <c r="AN216" s="213"/>
      <c r="AO216" s="213"/>
      <c r="AP216" s="213"/>
      <c r="AQ216" s="213"/>
      <c r="AR216" s="213"/>
      <c r="AS216" s="213"/>
      <c r="AT216" s="213"/>
      <c r="AU216" s="213"/>
      <c r="AV216" s="213"/>
      <c r="AW216" s="213"/>
      <c r="AX216" s="213"/>
      <c r="AY216" s="213"/>
      <c r="AZ216" s="213"/>
      <c r="BA216" s="213"/>
      <c r="BB216" s="213"/>
      <c r="BC216" s="213"/>
      <c r="BD216" s="213"/>
      <c r="BE216" s="213"/>
      <c r="BF216" s="213"/>
      <c r="BG216" s="213"/>
      <c r="BH216" s="213"/>
      <c r="BI216" s="213"/>
      <c r="BJ216" s="213"/>
      <c r="BK216" s="213"/>
      <c r="BL216" s="213"/>
      <c r="BM216" s="213"/>
      <c r="BN216" s="215"/>
      <c r="BO216" s="213"/>
      <c r="BP216" s="213"/>
      <c r="BQ216" s="213"/>
      <c r="BR216" s="326"/>
      <c r="BS216" s="213"/>
      <c r="BT216" s="213"/>
      <c r="BU216" s="213"/>
      <c r="BV216" s="213"/>
      <c r="BW216" s="213"/>
      <c r="BX216" s="213"/>
      <c r="BY216" s="213"/>
      <c r="BZ216" s="213"/>
      <c r="CA216" s="213"/>
      <c r="CB216" s="213"/>
      <c r="CC216" s="213"/>
      <c r="CD216" s="213"/>
      <c r="CE216" s="213"/>
      <c r="CF216" s="213"/>
      <c r="CG216" s="213"/>
      <c r="CH216" s="213"/>
      <c r="CI216" s="213"/>
      <c r="CJ216" s="213"/>
      <c r="CK216" s="213"/>
      <c r="CL216" s="213"/>
      <c r="CM216" s="213"/>
      <c r="CN216" s="213"/>
      <c r="CO216" s="213"/>
      <c r="CP216" s="213"/>
      <c r="CQ216" s="213"/>
      <c r="CR216" s="213"/>
      <c r="CS216" s="213"/>
      <c r="CT216" s="213"/>
      <c r="CU216" s="213"/>
    </row>
    <row r="217" ht="15.75" customHeight="1">
      <c r="A217" s="213"/>
      <c r="B217" s="213"/>
      <c r="C217" s="213"/>
      <c r="D217" s="213"/>
      <c r="E217" s="213"/>
      <c r="F217" s="213"/>
      <c r="G217" s="213"/>
      <c r="H217" s="213"/>
      <c r="I217" s="213"/>
      <c r="J217" s="213"/>
      <c r="K217" s="213"/>
      <c r="L217" s="213"/>
      <c r="M217" s="213"/>
      <c r="N217" s="213"/>
      <c r="O217" s="213"/>
      <c r="P217" s="213"/>
      <c r="Q217" s="213"/>
      <c r="R217" s="213"/>
      <c r="S217" s="213"/>
      <c r="T217" s="213"/>
      <c r="U217" s="213"/>
      <c r="V217" s="213"/>
      <c r="W217" s="213"/>
      <c r="X217" s="213"/>
      <c r="Y217" s="213"/>
      <c r="Z217" s="213"/>
      <c r="AA217" s="213"/>
      <c r="AB217" s="213"/>
      <c r="AC217" s="213"/>
      <c r="AD217" s="213"/>
      <c r="AE217" s="213"/>
      <c r="AF217" s="213"/>
      <c r="AG217" s="213"/>
      <c r="AH217" s="213"/>
      <c r="AI217" s="213"/>
      <c r="AJ217" s="213"/>
      <c r="AK217" s="213"/>
      <c r="AL217" s="213"/>
      <c r="AM217" s="213"/>
      <c r="AN217" s="213"/>
      <c r="AO217" s="213"/>
      <c r="AP217" s="213"/>
      <c r="AQ217" s="213"/>
      <c r="AR217" s="213"/>
      <c r="AS217" s="213"/>
      <c r="AT217" s="213"/>
      <c r="AU217" s="213"/>
      <c r="AV217" s="213"/>
      <c r="AW217" s="213"/>
      <c r="AX217" s="213"/>
      <c r="AY217" s="213"/>
      <c r="AZ217" s="213"/>
      <c r="BA217" s="213"/>
      <c r="BB217" s="213"/>
      <c r="BC217" s="213"/>
      <c r="BD217" s="213"/>
      <c r="BE217" s="213"/>
      <c r="BF217" s="213"/>
      <c r="BG217" s="213"/>
      <c r="BH217" s="213"/>
      <c r="BI217" s="213"/>
      <c r="BJ217" s="213"/>
      <c r="BK217" s="213"/>
      <c r="BL217" s="213"/>
      <c r="BM217" s="213"/>
      <c r="BN217" s="215"/>
      <c r="BO217" s="213"/>
      <c r="BP217" s="213"/>
      <c r="BQ217" s="213"/>
      <c r="BR217" s="326"/>
      <c r="BS217" s="213"/>
      <c r="BT217" s="213"/>
      <c r="BU217" s="213"/>
      <c r="BV217" s="213"/>
      <c r="BW217" s="213"/>
      <c r="BX217" s="213"/>
      <c r="BY217" s="213"/>
      <c r="BZ217" s="213"/>
      <c r="CA217" s="213"/>
      <c r="CB217" s="213"/>
      <c r="CC217" s="213"/>
      <c r="CD217" s="213"/>
      <c r="CE217" s="213"/>
      <c r="CF217" s="213"/>
      <c r="CG217" s="213"/>
      <c r="CH217" s="213"/>
      <c r="CI217" s="213"/>
      <c r="CJ217" s="213"/>
      <c r="CK217" s="213"/>
      <c r="CL217" s="213"/>
      <c r="CM217" s="213"/>
      <c r="CN217" s="213"/>
      <c r="CO217" s="213"/>
      <c r="CP217" s="213"/>
      <c r="CQ217" s="213"/>
      <c r="CR217" s="213"/>
      <c r="CS217" s="213"/>
      <c r="CT217" s="213"/>
      <c r="CU217" s="213"/>
    </row>
    <row r="218" ht="15.75" customHeight="1">
      <c r="A218" s="213"/>
      <c r="B218" s="213"/>
      <c r="C218" s="213"/>
      <c r="D218" s="213"/>
      <c r="E218" s="213"/>
      <c r="F218" s="213"/>
      <c r="G218" s="213"/>
      <c r="H218" s="213"/>
      <c r="I218" s="213"/>
      <c r="J218" s="213"/>
      <c r="K218" s="213"/>
      <c r="L218" s="213"/>
      <c r="M218" s="213"/>
      <c r="N218" s="213"/>
      <c r="O218" s="213"/>
      <c r="P218" s="213"/>
      <c r="Q218" s="213"/>
      <c r="R218" s="213"/>
      <c r="S218" s="213"/>
      <c r="T218" s="213"/>
      <c r="U218" s="213"/>
      <c r="V218" s="213"/>
      <c r="W218" s="213"/>
      <c r="X218" s="213"/>
      <c r="Y218" s="213"/>
      <c r="Z218" s="213"/>
      <c r="AA218" s="213"/>
      <c r="AB218" s="213"/>
      <c r="AC218" s="213"/>
      <c r="AD218" s="213"/>
      <c r="AE218" s="213"/>
      <c r="AF218" s="213"/>
      <c r="AG218" s="213"/>
      <c r="AH218" s="213"/>
      <c r="AI218" s="213"/>
      <c r="AJ218" s="213"/>
      <c r="AK218" s="213"/>
      <c r="AL218" s="213"/>
      <c r="AM218" s="213"/>
      <c r="AN218" s="213"/>
      <c r="AO218" s="213"/>
      <c r="AP218" s="213"/>
      <c r="AQ218" s="213"/>
      <c r="AR218" s="213"/>
      <c r="AS218" s="213"/>
      <c r="AT218" s="213"/>
      <c r="AU218" s="213"/>
      <c r="AV218" s="213"/>
      <c r="AW218" s="213"/>
      <c r="AX218" s="213"/>
      <c r="AY218" s="213"/>
      <c r="AZ218" s="213"/>
      <c r="BA218" s="213"/>
      <c r="BB218" s="213"/>
      <c r="BC218" s="213"/>
      <c r="BD218" s="213"/>
      <c r="BE218" s="213"/>
      <c r="BF218" s="213"/>
      <c r="BG218" s="213"/>
      <c r="BH218" s="213"/>
      <c r="BI218" s="213"/>
      <c r="BJ218" s="213"/>
      <c r="BK218" s="213"/>
      <c r="BL218" s="213"/>
      <c r="BM218" s="213"/>
      <c r="BN218" s="215"/>
      <c r="BO218" s="213"/>
      <c r="BP218" s="213"/>
      <c r="BQ218" s="213"/>
      <c r="BR218" s="326"/>
      <c r="BS218" s="213"/>
      <c r="BT218" s="213"/>
      <c r="BU218" s="213"/>
      <c r="BV218" s="213"/>
      <c r="BW218" s="213"/>
      <c r="BX218" s="213"/>
      <c r="BY218" s="213"/>
      <c r="BZ218" s="213"/>
      <c r="CA218" s="213"/>
      <c r="CB218" s="213"/>
      <c r="CC218" s="213"/>
      <c r="CD218" s="213"/>
      <c r="CE218" s="213"/>
      <c r="CF218" s="213"/>
      <c r="CG218" s="213"/>
      <c r="CH218" s="213"/>
      <c r="CI218" s="213"/>
      <c r="CJ218" s="213"/>
      <c r="CK218" s="213"/>
      <c r="CL218" s="213"/>
      <c r="CM218" s="213"/>
      <c r="CN218" s="213"/>
      <c r="CO218" s="213"/>
      <c r="CP218" s="213"/>
      <c r="CQ218" s="213"/>
      <c r="CR218" s="213"/>
      <c r="CS218" s="213"/>
      <c r="CT218" s="213"/>
      <c r="CU218" s="213"/>
    </row>
    <row r="219" ht="15.75" customHeight="1">
      <c r="A219" s="213"/>
      <c r="B219" s="213"/>
      <c r="C219" s="213"/>
      <c r="D219" s="213"/>
      <c r="E219" s="213"/>
      <c r="F219" s="213"/>
      <c r="G219" s="213"/>
      <c r="H219" s="213"/>
      <c r="I219" s="213"/>
      <c r="J219" s="213"/>
      <c r="K219" s="213"/>
      <c r="L219" s="213"/>
      <c r="M219" s="213"/>
      <c r="N219" s="213"/>
      <c r="O219" s="213"/>
      <c r="P219" s="213"/>
      <c r="Q219" s="213"/>
      <c r="R219" s="213"/>
      <c r="S219" s="213"/>
      <c r="T219" s="213"/>
      <c r="U219" s="213"/>
      <c r="V219" s="213"/>
      <c r="W219" s="213"/>
      <c r="X219" s="213"/>
      <c r="Y219" s="213"/>
      <c r="Z219" s="213"/>
      <c r="AA219" s="213"/>
      <c r="AB219" s="213"/>
      <c r="AC219" s="213"/>
      <c r="AD219" s="213"/>
      <c r="AE219" s="213"/>
      <c r="AF219" s="213"/>
      <c r="AG219" s="213"/>
      <c r="AH219" s="213"/>
      <c r="AI219" s="213"/>
      <c r="AJ219" s="213"/>
      <c r="AK219" s="213"/>
      <c r="AL219" s="213"/>
      <c r="AM219" s="213"/>
      <c r="AN219" s="213"/>
      <c r="AO219" s="213"/>
      <c r="AP219" s="213"/>
      <c r="AQ219" s="213"/>
      <c r="AR219" s="213"/>
      <c r="AS219" s="213"/>
      <c r="AT219" s="213"/>
      <c r="AU219" s="213"/>
      <c r="AV219" s="213"/>
      <c r="AW219" s="213"/>
      <c r="AX219" s="213"/>
      <c r="AY219" s="213"/>
      <c r="AZ219" s="213"/>
      <c r="BA219" s="213"/>
      <c r="BB219" s="213"/>
      <c r="BC219" s="213"/>
      <c r="BD219" s="213"/>
      <c r="BE219" s="213"/>
      <c r="BF219" s="213"/>
      <c r="BG219" s="213"/>
      <c r="BH219" s="213"/>
      <c r="BI219" s="213"/>
      <c r="BJ219" s="213"/>
      <c r="BK219" s="213"/>
      <c r="BL219" s="213"/>
      <c r="BM219" s="213"/>
      <c r="BN219" s="215"/>
      <c r="BO219" s="213"/>
      <c r="BP219" s="213"/>
      <c r="BQ219" s="213"/>
      <c r="BR219" s="326"/>
      <c r="BS219" s="213"/>
      <c r="BT219" s="213"/>
      <c r="BU219" s="213"/>
      <c r="BV219" s="213"/>
      <c r="BW219" s="213"/>
      <c r="BX219" s="213"/>
      <c r="BY219" s="213"/>
      <c r="BZ219" s="213"/>
      <c r="CA219" s="213"/>
      <c r="CB219" s="213"/>
      <c r="CC219" s="213"/>
      <c r="CD219" s="213"/>
      <c r="CE219" s="213"/>
      <c r="CF219" s="213"/>
      <c r="CG219" s="213"/>
      <c r="CH219" s="213"/>
      <c r="CI219" s="213"/>
      <c r="CJ219" s="213"/>
      <c r="CK219" s="213"/>
      <c r="CL219" s="213"/>
      <c r="CM219" s="213"/>
      <c r="CN219" s="213"/>
      <c r="CO219" s="213"/>
      <c r="CP219" s="213"/>
      <c r="CQ219" s="213"/>
      <c r="CR219" s="213"/>
      <c r="CS219" s="213"/>
      <c r="CT219" s="213"/>
      <c r="CU219" s="213"/>
    </row>
    <row r="220" ht="15.75" customHeight="1">
      <c r="A220" s="213"/>
      <c r="B220" s="213"/>
      <c r="C220" s="213"/>
      <c r="D220" s="213"/>
      <c r="E220" s="213"/>
      <c r="F220" s="213"/>
      <c r="G220" s="213"/>
      <c r="H220" s="213"/>
      <c r="I220" s="213"/>
      <c r="J220" s="213"/>
      <c r="K220" s="213"/>
      <c r="L220" s="213"/>
      <c r="M220" s="213"/>
      <c r="N220" s="213"/>
      <c r="O220" s="213"/>
      <c r="P220" s="213"/>
      <c r="Q220" s="213"/>
      <c r="R220" s="213"/>
      <c r="S220" s="213"/>
      <c r="T220" s="213"/>
      <c r="U220" s="213"/>
      <c r="V220" s="213"/>
      <c r="W220" s="213"/>
      <c r="X220" s="213"/>
      <c r="Y220" s="213"/>
      <c r="Z220" s="213"/>
      <c r="AA220" s="213"/>
      <c r="AB220" s="213"/>
      <c r="AC220" s="213"/>
      <c r="AD220" s="213"/>
      <c r="AE220" s="213"/>
      <c r="AF220" s="213"/>
      <c r="AG220" s="213"/>
      <c r="AH220" s="213"/>
      <c r="AI220" s="213"/>
      <c r="AJ220" s="213"/>
      <c r="AK220" s="213"/>
      <c r="AL220" s="213"/>
      <c r="AM220" s="213"/>
      <c r="AN220" s="213"/>
      <c r="AO220" s="213"/>
      <c r="AP220" s="213"/>
      <c r="AQ220" s="213"/>
      <c r="AR220" s="213"/>
      <c r="AS220" s="213"/>
      <c r="AT220" s="213"/>
      <c r="AU220" s="213"/>
      <c r="AV220" s="213"/>
      <c r="AW220" s="213"/>
      <c r="AX220" s="213"/>
      <c r="AY220" s="213"/>
      <c r="AZ220" s="213"/>
      <c r="BA220" s="213"/>
      <c r="BB220" s="213"/>
      <c r="BC220" s="213"/>
      <c r="BD220" s="213"/>
      <c r="BE220" s="213"/>
      <c r="BF220" s="213"/>
      <c r="BG220" s="213"/>
      <c r="BH220" s="213"/>
      <c r="BI220" s="213"/>
      <c r="BJ220" s="213"/>
      <c r="BK220" s="213"/>
      <c r="BL220" s="213"/>
      <c r="BM220" s="213"/>
      <c r="BN220" s="215"/>
      <c r="BO220" s="213"/>
      <c r="BP220" s="213"/>
      <c r="BQ220" s="213"/>
      <c r="BR220" s="326"/>
      <c r="BS220" s="213"/>
      <c r="BT220" s="213"/>
      <c r="BU220" s="213"/>
      <c r="BV220" s="213"/>
      <c r="BW220" s="213"/>
      <c r="BX220" s="213"/>
      <c r="BY220" s="213"/>
      <c r="BZ220" s="213"/>
      <c r="CA220" s="213"/>
      <c r="CB220" s="213"/>
      <c r="CC220" s="213"/>
      <c r="CD220" s="213"/>
      <c r="CE220" s="213"/>
      <c r="CF220" s="213"/>
      <c r="CG220" s="213"/>
      <c r="CH220" s="213"/>
      <c r="CI220" s="213"/>
      <c r="CJ220" s="213"/>
      <c r="CK220" s="213"/>
      <c r="CL220" s="213"/>
      <c r="CM220" s="213"/>
      <c r="CN220" s="213"/>
      <c r="CO220" s="213"/>
      <c r="CP220" s="213"/>
      <c r="CQ220" s="213"/>
      <c r="CR220" s="213"/>
      <c r="CS220" s="213"/>
      <c r="CT220" s="213"/>
      <c r="CU220" s="213"/>
    </row>
    <row r="221" ht="15.75" customHeight="1">
      <c r="A221" s="213"/>
      <c r="B221" s="213"/>
      <c r="C221" s="213"/>
      <c r="D221" s="213"/>
      <c r="E221" s="213"/>
      <c r="F221" s="213"/>
      <c r="G221" s="213"/>
      <c r="H221" s="213"/>
      <c r="I221" s="213"/>
      <c r="J221" s="213"/>
      <c r="K221" s="213"/>
      <c r="L221" s="213"/>
      <c r="M221" s="213"/>
      <c r="N221" s="213"/>
      <c r="O221" s="213"/>
      <c r="P221" s="213"/>
      <c r="Q221" s="213"/>
      <c r="R221" s="213"/>
      <c r="S221" s="213"/>
      <c r="T221" s="213"/>
      <c r="U221" s="213"/>
      <c r="V221" s="213"/>
      <c r="W221" s="213"/>
      <c r="X221" s="213"/>
      <c r="Y221" s="213"/>
      <c r="Z221" s="213"/>
      <c r="AA221" s="213"/>
      <c r="AB221" s="213"/>
      <c r="AC221" s="213"/>
      <c r="AD221" s="213"/>
      <c r="AE221" s="213"/>
      <c r="AF221" s="213"/>
      <c r="AG221" s="213"/>
      <c r="AH221" s="213"/>
      <c r="AI221" s="213"/>
      <c r="AJ221" s="213"/>
      <c r="AK221" s="213"/>
      <c r="AL221" s="213"/>
      <c r="AM221" s="213"/>
      <c r="AN221" s="213"/>
      <c r="AO221" s="213"/>
      <c r="AP221" s="213"/>
      <c r="AQ221" s="213"/>
      <c r="AR221" s="213"/>
      <c r="AS221" s="213"/>
      <c r="AT221" s="213"/>
      <c r="AU221" s="213"/>
      <c r="AV221" s="213"/>
      <c r="AW221" s="213"/>
      <c r="AX221" s="213"/>
      <c r="AY221" s="213"/>
      <c r="AZ221" s="213"/>
      <c r="BA221" s="213"/>
      <c r="BB221" s="213"/>
      <c r="BC221" s="213"/>
      <c r="BD221" s="213"/>
      <c r="BE221" s="213"/>
      <c r="BF221" s="213"/>
      <c r="BG221" s="213"/>
      <c r="BH221" s="213"/>
      <c r="BI221" s="213"/>
      <c r="BJ221" s="213"/>
      <c r="BK221" s="213"/>
      <c r="BL221" s="213"/>
      <c r="BM221" s="213"/>
      <c r="BN221" s="215"/>
      <c r="BO221" s="213"/>
      <c r="BP221" s="213"/>
      <c r="BQ221" s="213"/>
      <c r="BR221" s="326"/>
      <c r="BS221" s="213"/>
      <c r="BT221" s="213"/>
      <c r="BU221" s="213"/>
      <c r="BV221" s="213"/>
      <c r="BW221" s="213"/>
      <c r="BX221" s="213"/>
      <c r="BY221" s="213"/>
      <c r="BZ221" s="213"/>
      <c r="CA221" s="213"/>
      <c r="CB221" s="213"/>
      <c r="CC221" s="213"/>
      <c r="CD221" s="213"/>
      <c r="CE221" s="213"/>
      <c r="CF221" s="213"/>
      <c r="CG221" s="213"/>
      <c r="CH221" s="213"/>
      <c r="CI221" s="213"/>
      <c r="CJ221" s="213"/>
      <c r="CK221" s="213"/>
      <c r="CL221" s="213"/>
      <c r="CM221" s="213"/>
      <c r="CN221" s="213"/>
      <c r="CO221" s="213"/>
      <c r="CP221" s="213"/>
      <c r="CQ221" s="213"/>
      <c r="CR221" s="213"/>
      <c r="CS221" s="213"/>
      <c r="CT221" s="213"/>
      <c r="CU221" s="213"/>
    </row>
    <row r="222" ht="15.75" customHeight="1">
      <c r="A222" s="213"/>
      <c r="B222" s="213"/>
      <c r="C222" s="213"/>
      <c r="D222" s="213"/>
      <c r="E222" s="213"/>
      <c r="F222" s="213"/>
      <c r="G222" s="213"/>
      <c r="H222" s="213"/>
      <c r="I222" s="213"/>
      <c r="J222" s="213"/>
      <c r="K222" s="213"/>
      <c r="L222" s="213"/>
      <c r="M222" s="213"/>
      <c r="N222" s="213"/>
      <c r="O222" s="213"/>
      <c r="P222" s="213"/>
      <c r="Q222" s="213"/>
      <c r="R222" s="213"/>
      <c r="S222" s="213"/>
      <c r="T222" s="213"/>
      <c r="U222" s="213"/>
      <c r="V222" s="213"/>
      <c r="W222" s="213"/>
      <c r="X222" s="213"/>
      <c r="Y222" s="213"/>
      <c r="Z222" s="213"/>
      <c r="AA222" s="213"/>
      <c r="AB222" s="213"/>
      <c r="AC222" s="213"/>
      <c r="AD222" s="213"/>
      <c r="AE222" s="213"/>
      <c r="AF222" s="213"/>
      <c r="AG222" s="213"/>
      <c r="AH222" s="213"/>
      <c r="AI222" s="213"/>
      <c r="AJ222" s="213"/>
      <c r="AK222" s="213"/>
      <c r="AL222" s="213"/>
      <c r="AM222" s="213"/>
      <c r="AN222" s="213"/>
      <c r="AO222" s="213"/>
      <c r="AP222" s="213"/>
      <c r="AQ222" s="213"/>
      <c r="AR222" s="213"/>
      <c r="AS222" s="213"/>
      <c r="AT222" s="213"/>
      <c r="AU222" s="213"/>
      <c r="AV222" s="213"/>
      <c r="AW222" s="213"/>
      <c r="AX222" s="213"/>
      <c r="AY222" s="213"/>
      <c r="AZ222" s="213"/>
      <c r="BA222" s="213"/>
      <c r="BB222" s="213"/>
      <c r="BC222" s="213"/>
      <c r="BD222" s="213"/>
      <c r="BE222" s="213"/>
      <c r="BF222" s="213"/>
      <c r="BG222" s="213"/>
      <c r="BH222" s="213"/>
      <c r="BI222" s="213"/>
      <c r="BJ222" s="213"/>
      <c r="BK222" s="213"/>
      <c r="BL222" s="213"/>
      <c r="BM222" s="213"/>
      <c r="BN222" s="215"/>
      <c r="BO222" s="213"/>
      <c r="BP222" s="213"/>
      <c r="BQ222" s="213"/>
      <c r="BR222" s="326"/>
      <c r="BS222" s="213"/>
      <c r="BT222" s="213"/>
      <c r="BU222" s="213"/>
      <c r="BV222" s="213"/>
      <c r="BW222" s="213"/>
      <c r="BX222" s="213"/>
      <c r="BY222" s="213"/>
      <c r="BZ222" s="213"/>
      <c r="CA222" s="213"/>
      <c r="CB222" s="213"/>
      <c r="CC222" s="213"/>
      <c r="CD222" s="213"/>
      <c r="CE222" s="213"/>
      <c r="CF222" s="213"/>
      <c r="CG222" s="213"/>
      <c r="CH222" s="213"/>
      <c r="CI222" s="213"/>
      <c r="CJ222" s="213"/>
      <c r="CK222" s="213"/>
      <c r="CL222" s="213"/>
      <c r="CM222" s="213"/>
      <c r="CN222" s="213"/>
      <c r="CO222" s="213"/>
      <c r="CP222" s="213"/>
      <c r="CQ222" s="213"/>
      <c r="CR222" s="213"/>
      <c r="CS222" s="213"/>
      <c r="CT222" s="213"/>
      <c r="CU222" s="213"/>
    </row>
    <row r="223" ht="15.75" customHeight="1">
      <c r="A223" s="213"/>
      <c r="B223" s="213"/>
      <c r="C223" s="213"/>
      <c r="D223" s="213"/>
      <c r="E223" s="213"/>
      <c r="F223" s="213"/>
      <c r="G223" s="213"/>
      <c r="H223" s="213"/>
      <c r="I223" s="213"/>
      <c r="J223" s="213"/>
      <c r="K223" s="213"/>
      <c r="L223" s="213"/>
      <c r="M223" s="213"/>
      <c r="N223" s="213"/>
      <c r="O223" s="213"/>
      <c r="P223" s="213"/>
      <c r="Q223" s="213"/>
      <c r="R223" s="213"/>
      <c r="S223" s="213"/>
      <c r="T223" s="213"/>
      <c r="U223" s="213"/>
      <c r="V223" s="213"/>
      <c r="W223" s="213"/>
      <c r="X223" s="213"/>
      <c r="Y223" s="213"/>
      <c r="Z223" s="213"/>
      <c r="AA223" s="213"/>
      <c r="AB223" s="213"/>
      <c r="AC223" s="213"/>
      <c r="AD223" s="213"/>
      <c r="AE223" s="213"/>
      <c r="AF223" s="213"/>
      <c r="AG223" s="213"/>
      <c r="AH223" s="213"/>
      <c r="AI223" s="213"/>
      <c r="AJ223" s="213"/>
      <c r="AK223" s="213"/>
      <c r="AL223" s="213"/>
      <c r="AM223" s="213"/>
      <c r="AN223" s="213"/>
      <c r="AO223" s="213"/>
      <c r="AP223" s="213"/>
      <c r="AQ223" s="213"/>
      <c r="AR223" s="213"/>
      <c r="AS223" s="213"/>
      <c r="AT223" s="213"/>
      <c r="AU223" s="213"/>
      <c r="AV223" s="213"/>
      <c r="AW223" s="213"/>
      <c r="AX223" s="213"/>
      <c r="AY223" s="213"/>
      <c r="AZ223" s="213"/>
      <c r="BA223" s="213"/>
      <c r="BB223" s="213"/>
      <c r="BC223" s="213"/>
      <c r="BD223" s="213"/>
      <c r="BE223" s="213"/>
      <c r="BF223" s="213"/>
      <c r="BG223" s="213"/>
      <c r="BH223" s="213"/>
      <c r="BI223" s="213"/>
      <c r="BJ223" s="213"/>
      <c r="BK223" s="213"/>
      <c r="BL223" s="213"/>
      <c r="BM223" s="213"/>
      <c r="BN223" s="215"/>
      <c r="BO223" s="213"/>
      <c r="BP223" s="213"/>
      <c r="BQ223" s="213"/>
      <c r="BR223" s="326"/>
      <c r="BS223" s="213"/>
      <c r="BT223" s="213"/>
      <c r="BU223" s="213"/>
      <c r="BV223" s="213"/>
      <c r="BW223" s="213"/>
      <c r="BX223" s="213"/>
      <c r="BY223" s="213"/>
      <c r="BZ223" s="213"/>
      <c r="CA223" s="213"/>
      <c r="CB223" s="213"/>
      <c r="CC223" s="213"/>
      <c r="CD223" s="213"/>
      <c r="CE223" s="213"/>
      <c r="CF223" s="213"/>
      <c r="CG223" s="213"/>
      <c r="CH223" s="213"/>
      <c r="CI223" s="213"/>
      <c r="CJ223" s="213"/>
      <c r="CK223" s="213"/>
      <c r="CL223" s="213"/>
      <c r="CM223" s="213"/>
      <c r="CN223" s="213"/>
      <c r="CO223" s="213"/>
      <c r="CP223" s="213"/>
      <c r="CQ223" s="213"/>
      <c r="CR223" s="213"/>
      <c r="CS223" s="213"/>
      <c r="CT223" s="213"/>
      <c r="CU223" s="213"/>
    </row>
    <row r="224" ht="15.75" customHeight="1">
      <c r="A224" s="213"/>
      <c r="B224" s="213"/>
      <c r="C224" s="213"/>
      <c r="D224" s="213"/>
      <c r="E224" s="213"/>
      <c r="F224" s="213"/>
      <c r="G224" s="213"/>
      <c r="H224" s="213"/>
      <c r="I224" s="213"/>
      <c r="J224" s="213"/>
      <c r="K224" s="213"/>
      <c r="L224" s="213"/>
      <c r="M224" s="213"/>
      <c r="N224" s="213"/>
      <c r="O224" s="213"/>
      <c r="P224" s="213"/>
      <c r="Q224" s="213"/>
      <c r="R224" s="213"/>
      <c r="S224" s="213"/>
      <c r="T224" s="213"/>
      <c r="U224" s="213"/>
      <c r="V224" s="213"/>
      <c r="W224" s="213"/>
      <c r="X224" s="213"/>
      <c r="Y224" s="213"/>
      <c r="Z224" s="213"/>
      <c r="AA224" s="213"/>
      <c r="AB224" s="213"/>
      <c r="AC224" s="213"/>
      <c r="AD224" s="213"/>
      <c r="AE224" s="213"/>
      <c r="AF224" s="213"/>
      <c r="AG224" s="213"/>
      <c r="AH224" s="213"/>
      <c r="AI224" s="213"/>
      <c r="AJ224" s="213"/>
      <c r="AK224" s="213"/>
      <c r="AL224" s="213"/>
      <c r="AM224" s="213"/>
      <c r="AN224" s="213"/>
      <c r="AO224" s="213"/>
      <c r="AP224" s="213"/>
      <c r="AQ224" s="213"/>
      <c r="AR224" s="213"/>
      <c r="AS224" s="213"/>
      <c r="AT224" s="213"/>
      <c r="AU224" s="213"/>
      <c r="AV224" s="213"/>
      <c r="AW224" s="213"/>
      <c r="AX224" s="213"/>
      <c r="AY224" s="213"/>
      <c r="AZ224" s="213"/>
      <c r="BA224" s="213"/>
      <c r="BB224" s="213"/>
      <c r="BC224" s="213"/>
      <c r="BD224" s="213"/>
      <c r="BE224" s="213"/>
      <c r="BF224" s="213"/>
      <c r="BG224" s="213"/>
      <c r="BH224" s="213"/>
      <c r="BI224" s="213"/>
      <c r="BJ224" s="213"/>
      <c r="BK224" s="213"/>
      <c r="BL224" s="213"/>
      <c r="BM224" s="213"/>
      <c r="BN224" s="215"/>
      <c r="BO224" s="213"/>
      <c r="BP224" s="213"/>
      <c r="BQ224" s="213"/>
      <c r="BR224" s="326"/>
      <c r="BS224" s="213"/>
      <c r="BT224" s="213"/>
      <c r="BU224" s="213"/>
      <c r="BV224" s="213"/>
      <c r="BW224" s="213"/>
      <c r="BX224" s="213"/>
      <c r="BY224" s="213"/>
      <c r="BZ224" s="213"/>
      <c r="CA224" s="213"/>
      <c r="CB224" s="213"/>
      <c r="CC224" s="213"/>
      <c r="CD224" s="213"/>
      <c r="CE224" s="213"/>
      <c r="CF224" s="213"/>
      <c r="CG224" s="213"/>
      <c r="CH224" s="213"/>
      <c r="CI224" s="213"/>
      <c r="CJ224" s="213"/>
      <c r="CK224" s="213"/>
      <c r="CL224" s="213"/>
      <c r="CM224" s="213"/>
      <c r="CN224" s="213"/>
      <c r="CO224" s="213"/>
      <c r="CP224" s="213"/>
      <c r="CQ224" s="213"/>
      <c r="CR224" s="213"/>
      <c r="CS224" s="213"/>
      <c r="CT224" s="213"/>
      <c r="CU224" s="213"/>
    </row>
    <row r="225" ht="15.75" customHeight="1">
      <c r="A225" s="213"/>
      <c r="B225" s="213"/>
      <c r="C225" s="213"/>
      <c r="D225" s="213"/>
      <c r="E225" s="213"/>
      <c r="F225" s="213"/>
      <c r="G225" s="213"/>
      <c r="H225" s="213"/>
      <c r="I225" s="213"/>
      <c r="J225" s="213"/>
      <c r="K225" s="213"/>
      <c r="L225" s="213"/>
      <c r="M225" s="213"/>
      <c r="N225" s="213"/>
      <c r="O225" s="213"/>
      <c r="P225" s="213"/>
      <c r="Q225" s="213"/>
      <c r="R225" s="213"/>
      <c r="S225" s="213"/>
      <c r="T225" s="213"/>
      <c r="U225" s="213"/>
      <c r="V225" s="213"/>
      <c r="W225" s="213"/>
      <c r="X225" s="213"/>
      <c r="Y225" s="213"/>
      <c r="Z225" s="213"/>
      <c r="AA225" s="213"/>
      <c r="AB225" s="213"/>
      <c r="AC225" s="213"/>
      <c r="AD225" s="213"/>
      <c r="AE225" s="213"/>
      <c r="AF225" s="213"/>
      <c r="AG225" s="213"/>
      <c r="AH225" s="213"/>
      <c r="AI225" s="213"/>
      <c r="AJ225" s="213"/>
      <c r="AK225" s="213"/>
      <c r="AL225" s="213"/>
      <c r="AM225" s="213"/>
      <c r="AN225" s="213"/>
      <c r="AO225" s="213"/>
      <c r="AP225" s="213"/>
      <c r="AQ225" s="213"/>
      <c r="AR225" s="213"/>
      <c r="AS225" s="213"/>
      <c r="AT225" s="213"/>
      <c r="AU225" s="213"/>
      <c r="AV225" s="213"/>
      <c r="AW225" s="213"/>
      <c r="AX225" s="213"/>
      <c r="AY225" s="213"/>
      <c r="AZ225" s="213"/>
      <c r="BA225" s="213"/>
      <c r="BB225" s="213"/>
      <c r="BC225" s="213"/>
      <c r="BD225" s="213"/>
      <c r="BE225" s="213"/>
      <c r="BF225" s="213"/>
      <c r="BG225" s="213"/>
      <c r="BH225" s="213"/>
      <c r="BI225" s="213"/>
      <c r="BJ225" s="213"/>
      <c r="BK225" s="213"/>
      <c r="BL225" s="213"/>
      <c r="BM225" s="213"/>
      <c r="BN225" s="215"/>
      <c r="BO225" s="213"/>
      <c r="BP225" s="213"/>
      <c r="BQ225" s="213"/>
      <c r="BR225" s="326"/>
      <c r="BS225" s="213"/>
      <c r="BT225" s="213"/>
      <c r="BU225" s="213"/>
      <c r="BV225" s="213"/>
      <c r="BW225" s="213"/>
      <c r="BX225" s="213"/>
      <c r="BY225" s="213"/>
      <c r="BZ225" s="213"/>
      <c r="CA225" s="213"/>
      <c r="CB225" s="213"/>
      <c r="CC225" s="213"/>
      <c r="CD225" s="213"/>
      <c r="CE225" s="213"/>
      <c r="CF225" s="213"/>
      <c r="CG225" s="213"/>
      <c r="CH225" s="213"/>
      <c r="CI225" s="213"/>
      <c r="CJ225" s="213"/>
      <c r="CK225" s="213"/>
      <c r="CL225" s="213"/>
      <c r="CM225" s="213"/>
      <c r="CN225" s="213"/>
      <c r="CO225" s="213"/>
      <c r="CP225" s="213"/>
      <c r="CQ225" s="213"/>
      <c r="CR225" s="213"/>
      <c r="CS225" s="213"/>
      <c r="CT225" s="213"/>
      <c r="CU225" s="213"/>
    </row>
    <row r="226" ht="15.75" customHeight="1">
      <c r="A226" s="213"/>
      <c r="B226" s="213"/>
      <c r="C226" s="213"/>
      <c r="D226" s="213"/>
      <c r="E226" s="213"/>
      <c r="F226" s="213"/>
      <c r="G226" s="213"/>
      <c r="H226" s="213"/>
      <c r="I226" s="213"/>
      <c r="J226" s="213"/>
      <c r="K226" s="213"/>
      <c r="L226" s="213"/>
      <c r="M226" s="213"/>
      <c r="N226" s="213"/>
      <c r="O226" s="213"/>
      <c r="P226" s="213"/>
      <c r="Q226" s="213"/>
      <c r="R226" s="213"/>
      <c r="S226" s="213"/>
      <c r="T226" s="213"/>
      <c r="U226" s="213"/>
      <c r="V226" s="213"/>
      <c r="W226" s="213"/>
      <c r="X226" s="213"/>
      <c r="Y226" s="213"/>
      <c r="Z226" s="213"/>
      <c r="AA226" s="213"/>
      <c r="AB226" s="213"/>
      <c r="AC226" s="213"/>
      <c r="AD226" s="213"/>
      <c r="AE226" s="213"/>
      <c r="AF226" s="213"/>
      <c r="AG226" s="213"/>
      <c r="AH226" s="213"/>
      <c r="AI226" s="213"/>
      <c r="AJ226" s="213"/>
      <c r="AK226" s="213"/>
      <c r="AL226" s="213"/>
      <c r="AM226" s="213"/>
      <c r="AN226" s="213"/>
      <c r="AO226" s="213"/>
      <c r="AP226" s="213"/>
      <c r="AQ226" s="213"/>
      <c r="AR226" s="213"/>
      <c r="AS226" s="213"/>
      <c r="AT226" s="213"/>
      <c r="AU226" s="213"/>
      <c r="AV226" s="213"/>
      <c r="AW226" s="213"/>
      <c r="AX226" s="213"/>
      <c r="AY226" s="213"/>
      <c r="AZ226" s="213"/>
      <c r="BA226" s="213"/>
      <c r="BB226" s="213"/>
      <c r="BC226" s="213"/>
      <c r="BD226" s="213"/>
      <c r="BE226" s="213"/>
      <c r="BF226" s="213"/>
      <c r="BG226" s="213"/>
      <c r="BH226" s="213"/>
      <c r="BI226" s="213"/>
      <c r="BJ226" s="213"/>
      <c r="BK226" s="213"/>
      <c r="BL226" s="213"/>
      <c r="BM226" s="213"/>
      <c r="BN226" s="215"/>
      <c r="BO226" s="213"/>
      <c r="BP226" s="213"/>
      <c r="BQ226" s="213"/>
      <c r="BR226" s="326"/>
      <c r="BS226" s="213"/>
      <c r="BT226" s="213"/>
      <c r="BU226" s="213"/>
      <c r="BV226" s="213"/>
      <c r="BW226" s="213"/>
      <c r="BX226" s="213"/>
      <c r="BY226" s="213"/>
      <c r="BZ226" s="213"/>
      <c r="CA226" s="213"/>
      <c r="CB226" s="213"/>
      <c r="CC226" s="213"/>
      <c r="CD226" s="213"/>
      <c r="CE226" s="213"/>
      <c r="CF226" s="213"/>
      <c r="CG226" s="213"/>
      <c r="CH226" s="213"/>
      <c r="CI226" s="213"/>
      <c r="CJ226" s="213"/>
      <c r="CK226" s="213"/>
      <c r="CL226" s="213"/>
      <c r="CM226" s="213"/>
      <c r="CN226" s="213"/>
      <c r="CO226" s="213"/>
      <c r="CP226" s="213"/>
      <c r="CQ226" s="213"/>
      <c r="CR226" s="213"/>
      <c r="CS226" s="213"/>
      <c r="CT226" s="213"/>
      <c r="CU226" s="213"/>
    </row>
    <row r="227" ht="15.75" customHeight="1">
      <c r="A227" s="213"/>
      <c r="B227" s="213"/>
      <c r="C227" s="213"/>
      <c r="D227" s="213"/>
      <c r="E227" s="213"/>
      <c r="F227" s="213"/>
      <c r="G227" s="213"/>
      <c r="H227" s="213"/>
      <c r="I227" s="213"/>
      <c r="J227" s="213"/>
      <c r="K227" s="213"/>
      <c r="L227" s="213"/>
      <c r="M227" s="213"/>
      <c r="N227" s="213"/>
      <c r="O227" s="213"/>
      <c r="P227" s="213"/>
      <c r="Q227" s="213"/>
      <c r="R227" s="213"/>
      <c r="S227" s="213"/>
      <c r="T227" s="213"/>
      <c r="U227" s="213"/>
      <c r="V227" s="213"/>
      <c r="W227" s="213"/>
      <c r="X227" s="213"/>
      <c r="Y227" s="213"/>
      <c r="Z227" s="213"/>
      <c r="AA227" s="213"/>
      <c r="AB227" s="213"/>
      <c r="AC227" s="213"/>
      <c r="AD227" s="213"/>
      <c r="AE227" s="213"/>
      <c r="AF227" s="213"/>
      <c r="AG227" s="213"/>
      <c r="AH227" s="213"/>
      <c r="AI227" s="213"/>
      <c r="AJ227" s="213"/>
      <c r="AK227" s="213"/>
      <c r="AL227" s="213"/>
      <c r="AM227" s="213"/>
      <c r="AN227" s="213"/>
      <c r="AO227" s="213"/>
      <c r="AP227" s="213"/>
      <c r="AQ227" s="213"/>
      <c r="AR227" s="213"/>
      <c r="AS227" s="213"/>
      <c r="AT227" s="213"/>
      <c r="AU227" s="213"/>
      <c r="AV227" s="213"/>
      <c r="AW227" s="213"/>
      <c r="AX227" s="213"/>
      <c r="AY227" s="213"/>
      <c r="AZ227" s="213"/>
      <c r="BA227" s="213"/>
      <c r="BB227" s="213"/>
      <c r="BC227" s="213"/>
      <c r="BD227" s="213"/>
      <c r="BE227" s="213"/>
      <c r="BF227" s="213"/>
      <c r="BG227" s="213"/>
      <c r="BH227" s="213"/>
      <c r="BI227" s="213"/>
      <c r="BJ227" s="213"/>
      <c r="BK227" s="213"/>
      <c r="BL227" s="213"/>
      <c r="BM227" s="213"/>
      <c r="BN227" s="215"/>
      <c r="BO227" s="213"/>
      <c r="BP227" s="213"/>
      <c r="BQ227" s="213"/>
      <c r="BR227" s="326"/>
      <c r="BS227" s="213"/>
      <c r="BT227" s="213"/>
      <c r="BU227" s="213"/>
      <c r="BV227" s="213"/>
      <c r="BW227" s="213"/>
      <c r="BX227" s="213"/>
      <c r="BY227" s="213"/>
      <c r="BZ227" s="213"/>
      <c r="CA227" s="213"/>
      <c r="CB227" s="213"/>
      <c r="CC227" s="213"/>
      <c r="CD227" s="213"/>
      <c r="CE227" s="213"/>
      <c r="CF227" s="213"/>
      <c r="CG227" s="213"/>
      <c r="CH227" s="213"/>
      <c r="CI227" s="213"/>
      <c r="CJ227" s="213"/>
      <c r="CK227" s="213"/>
      <c r="CL227" s="213"/>
      <c r="CM227" s="213"/>
      <c r="CN227" s="213"/>
      <c r="CO227" s="213"/>
      <c r="CP227" s="213"/>
      <c r="CQ227" s="213"/>
      <c r="CR227" s="213"/>
      <c r="CS227" s="213"/>
      <c r="CT227" s="213"/>
      <c r="CU227" s="213"/>
    </row>
    <row r="228" ht="15.75" customHeight="1">
      <c r="A228" s="213"/>
      <c r="B228" s="213"/>
      <c r="C228" s="213"/>
      <c r="D228" s="213"/>
      <c r="E228" s="213"/>
      <c r="F228" s="213"/>
      <c r="G228" s="213"/>
      <c r="H228" s="213"/>
      <c r="I228" s="213"/>
      <c r="J228" s="213"/>
      <c r="K228" s="213"/>
      <c r="L228" s="213"/>
      <c r="M228" s="213"/>
      <c r="N228" s="213"/>
      <c r="O228" s="213"/>
      <c r="P228" s="213"/>
      <c r="Q228" s="213"/>
      <c r="R228" s="213"/>
      <c r="S228" s="213"/>
      <c r="T228" s="213"/>
      <c r="U228" s="213"/>
      <c r="V228" s="213"/>
      <c r="W228" s="213"/>
      <c r="X228" s="213"/>
      <c r="Y228" s="213"/>
      <c r="Z228" s="213"/>
      <c r="AA228" s="213"/>
      <c r="AB228" s="213"/>
      <c r="AC228" s="213"/>
      <c r="AD228" s="213"/>
      <c r="AE228" s="213"/>
      <c r="AF228" s="213"/>
      <c r="AG228" s="213"/>
      <c r="AH228" s="213"/>
      <c r="AI228" s="213"/>
      <c r="AJ228" s="213"/>
      <c r="AK228" s="213"/>
      <c r="AL228" s="213"/>
      <c r="AM228" s="213"/>
      <c r="AN228" s="213"/>
      <c r="AO228" s="213"/>
      <c r="AP228" s="213"/>
      <c r="AQ228" s="213"/>
      <c r="AR228" s="213"/>
      <c r="AS228" s="213"/>
      <c r="AT228" s="213"/>
      <c r="AU228" s="213"/>
      <c r="AV228" s="213"/>
      <c r="AW228" s="213"/>
      <c r="AX228" s="213"/>
      <c r="AY228" s="213"/>
      <c r="AZ228" s="213"/>
      <c r="BA228" s="213"/>
      <c r="BB228" s="213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5"/>
      <c r="BO228" s="213"/>
      <c r="BP228" s="213"/>
      <c r="BQ228" s="213"/>
      <c r="BR228" s="326"/>
      <c r="BS228" s="213"/>
      <c r="BT228" s="213"/>
      <c r="BU228" s="213"/>
      <c r="BV228" s="213"/>
      <c r="BW228" s="213"/>
      <c r="BX228" s="213"/>
      <c r="BY228" s="213"/>
      <c r="BZ228" s="213"/>
      <c r="CA228" s="213"/>
      <c r="CB228" s="213"/>
      <c r="CC228" s="213"/>
      <c r="CD228" s="213"/>
      <c r="CE228" s="213"/>
      <c r="CF228" s="213"/>
      <c r="CG228" s="213"/>
      <c r="CH228" s="213"/>
      <c r="CI228" s="213"/>
      <c r="CJ228" s="213"/>
      <c r="CK228" s="213"/>
      <c r="CL228" s="213"/>
      <c r="CM228" s="213"/>
      <c r="CN228" s="213"/>
      <c r="CO228" s="213"/>
      <c r="CP228" s="213"/>
      <c r="CQ228" s="213"/>
      <c r="CR228" s="213"/>
      <c r="CS228" s="213"/>
      <c r="CT228" s="213"/>
      <c r="CU228" s="213"/>
    </row>
    <row r="229" ht="15.75" customHeight="1">
      <c r="A229" s="213"/>
      <c r="B229" s="213"/>
      <c r="C229" s="213"/>
      <c r="D229" s="213"/>
      <c r="E229" s="213"/>
      <c r="F229" s="213"/>
      <c r="G229" s="213"/>
      <c r="H229" s="213"/>
      <c r="I229" s="213"/>
      <c r="J229" s="213"/>
      <c r="K229" s="213"/>
      <c r="L229" s="213"/>
      <c r="M229" s="213"/>
      <c r="N229" s="213"/>
      <c r="O229" s="213"/>
      <c r="P229" s="213"/>
      <c r="Q229" s="213"/>
      <c r="R229" s="213"/>
      <c r="S229" s="213"/>
      <c r="T229" s="213"/>
      <c r="U229" s="213"/>
      <c r="V229" s="213"/>
      <c r="W229" s="213"/>
      <c r="X229" s="213"/>
      <c r="Y229" s="213"/>
      <c r="Z229" s="213"/>
      <c r="AA229" s="213"/>
      <c r="AB229" s="213"/>
      <c r="AC229" s="213"/>
      <c r="AD229" s="213"/>
      <c r="AE229" s="213"/>
      <c r="AF229" s="213"/>
      <c r="AG229" s="213"/>
      <c r="AH229" s="213"/>
      <c r="AI229" s="213"/>
      <c r="AJ229" s="213"/>
      <c r="AK229" s="213"/>
      <c r="AL229" s="213"/>
      <c r="AM229" s="213"/>
      <c r="AN229" s="213"/>
      <c r="AO229" s="213"/>
      <c r="AP229" s="213"/>
      <c r="AQ229" s="213"/>
      <c r="AR229" s="213"/>
      <c r="AS229" s="213"/>
      <c r="AT229" s="213"/>
      <c r="AU229" s="213"/>
      <c r="AV229" s="213"/>
      <c r="AW229" s="213"/>
      <c r="AX229" s="213"/>
      <c r="AY229" s="213"/>
      <c r="AZ229" s="213"/>
      <c r="BA229" s="213"/>
      <c r="BB229" s="213"/>
      <c r="BC229" s="213"/>
      <c r="BD229" s="213"/>
      <c r="BE229" s="213"/>
      <c r="BF229" s="213"/>
      <c r="BG229" s="213"/>
      <c r="BH229" s="213"/>
      <c r="BI229" s="213"/>
      <c r="BJ229" s="213"/>
      <c r="BK229" s="213"/>
      <c r="BL229" s="213"/>
      <c r="BM229" s="213"/>
      <c r="BN229" s="215"/>
      <c r="BO229" s="213"/>
      <c r="BP229" s="213"/>
      <c r="BQ229" s="213"/>
      <c r="BR229" s="326"/>
      <c r="BS229" s="213"/>
      <c r="BT229" s="213"/>
      <c r="BU229" s="213"/>
      <c r="BV229" s="213"/>
      <c r="BW229" s="213"/>
      <c r="BX229" s="213"/>
      <c r="BY229" s="213"/>
      <c r="BZ229" s="213"/>
      <c r="CA229" s="213"/>
      <c r="CB229" s="213"/>
      <c r="CC229" s="213"/>
      <c r="CD229" s="213"/>
      <c r="CE229" s="213"/>
      <c r="CF229" s="213"/>
      <c r="CG229" s="213"/>
      <c r="CH229" s="213"/>
      <c r="CI229" s="213"/>
      <c r="CJ229" s="213"/>
      <c r="CK229" s="213"/>
      <c r="CL229" s="213"/>
      <c r="CM229" s="213"/>
      <c r="CN229" s="213"/>
      <c r="CO229" s="213"/>
      <c r="CP229" s="213"/>
      <c r="CQ229" s="213"/>
      <c r="CR229" s="213"/>
      <c r="CS229" s="213"/>
      <c r="CT229" s="213"/>
      <c r="CU229" s="213"/>
    </row>
    <row r="230" ht="15.75" customHeight="1">
      <c r="A230" s="213"/>
      <c r="B230" s="213"/>
      <c r="C230" s="213"/>
      <c r="D230" s="213"/>
      <c r="E230" s="213"/>
      <c r="F230" s="213"/>
      <c r="G230" s="213"/>
      <c r="H230" s="213"/>
      <c r="I230" s="213"/>
      <c r="J230" s="213"/>
      <c r="K230" s="213"/>
      <c r="L230" s="213"/>
      <c r="M230" s="213"/>
      <c r="N230" s="213"/>
      <c r="O230" s="213"/>
      <c r="P230" s="213"/>
      <c r="Q230" s="213"/>
      <c r="R230" s="213"/>
      <c r="S230" s="213"/>
      <c r="T230" s="213"/>
      <c r="U230" s="213"/>
      <c r="V230" s="213"/>
      <c r="W230" s="213"/>
      <c r="X230" s="213"/>
      <c r="Y230" s="213"/>
      <c r="Z230" s="213"/>
      <c r="AA230" s="213"/>
      <c r="AB230" s="213"/>
      <c r="AC230" s="213"/>
      <c r="AD230" s="213"/>
      <c r="AE230" s="213"/>
      <c r="AF230" s="213"/>
      <c r="AG230" s="213"/>
      <c r="AH230" s="213"/>
      <c r="AI230" s="213"/>
      <c r="AJ230" s="213"/>
      <c r="AK230" s="213"/>
      <c r="AL230" s="213"/>
      <c r="AM230" s="213"/>
      <c r="AN230" s="213"/>
      <c r="AO230" s="213"/>
      <c r="AP230" s="213"/>
      <c r="AQ230" s="213"/>
      <c r="AR230" s="213"/>
      <c r="AS230" s="213"/>
      <c r="AT230" s="213"/>
      <c r="AU230" s="213"/>
      <c r="AV230" s="213"/>
      <c r="AW230" s="213"/>
      <c r="AX230" s="213"/>
      <c r="AY230" s="213"/>
      <c r="AZ230" s="213"/>
      <c r="BA230" s="213"/>
      <c r="BB230" s="213"/>
      <c r="BC230" s="213"/>
      <c r="BD230" s="213"/>
      <c r="BE230" s="213"/>
      <c r="BF230" s="213"/>
      <c r="BG230" s="213"/>
      <c r="BH230" s="213"/>
      <c r="BI230" s="213"/>
      <c r="BJ230" s="213"/>
      <c r="BK230" s="213"/>
      <c r="BL230" s="213"/>
      <c r="BM230" s="213"/>
      <c r="BN230" s="215"/>
      <c r="BO230" s="213"/>
      <c r="BP230" s="213"/>
      <c r="BQ230" s="213"/>
      <c r="BR230" s="326"/>
      <c r="BS230" s="213"/>
      <c r="BT230" s="213"/>
      <c r="BU230" s="213"/>
      <c r="BV230" s="213"/>
      <c r="BW230" s="213"/>
      <c r="BX230" s="213"/>
      <c r="BY230" s="213"/>
      <c r="BZ230" s="213"/>
      <c r="CA230" s="213"/>
      <c r="CB230" s="213"/>
      <c r="CC230" s="213"/>
      <c r="CD230" s="213"/>
      <c r="CE230" s="213"/>
      <c r="CF230" s="213"/>
      <c r="CG230" s="213"/>
      <c r="CH230" s="213"/>
      <c r="CI230" s="213"/>
      <c r="CJ230" s="213"/>
      <c r="CK230" s="213"/>
      <c r="CL230" s="213"/>
      <c r="CM230" s="213"/>
      <c r="CN230" s="213"/>
      <c r="CO230" s="213"/>
      <c r="CP230" s="213"/>
      <c r="CQ230" s="213"/>
      <c r="CR230" s="213"/>
      <c r="CS230" s="213"/>
      <c r="CT230" s="213"/>
      <c r="CU230" s="213"/>
    </row>
    <row r="231" ht="15.75" customHeight="1">
      <c r="A231" s="213"/>
      <c r="B231" s="213"/>
      <c r="C231" s="213"/>
      <c r="D231" s="213"/>
      <c r="E231" s="213"/>
      <c r="F231" s="213"/>
      <c r="G231" s="213"/>
      <c r="H231" s="213"/>
      <c r="I231" s="213"/>
      <c r="J231" s="213"/>
      <c r="K231" s="213"/>
      <c r="L231" s="213"/>
      <c r="M231" s="213"/>
      <c r="N231" s="213"/>
      <c r="O231" s="213"/>
      <c r="P231" s="213"/>
      <c r="Q231" s="213"/>
      <c r="R231" s="213"/>
      <c r="S231" s="213"/>
      <c r="T231" s="213"/>
      <c r="U231" s="213"/>
      <c r="V231" s="213"/>
      <c r="W231" s="213"/>
      <c r="X231" s="213"/>
      <c r="Y231" s="213"/>
      <c r="Z231" s="213"/>
      <c r="AA231" s="213"/>
      <c r="AB231" s="213"/>
      <c r="AC231" s="213"/>
      <c r="AD231" s="213"/>
      <c r="AE231" s="213"/>
      <c r="AF231" s="213"/>
      <c r="AG231" s="213"/>
      <c r="AH231" s="213"/>
      <c r="AI231" s="213"/>
      <c r="AJ231" s="213"/>
      <c r="AK231" s="213"/>
      <c r="AL231" s="213"/>
      <c r="AM231" s="213"/>
      <c r="AN231" s="213"/>
      <c r="AO231" s="213"/>
      <c r="AP231" s="213"/>
      <c r="AQ231" s="213"/>
      <c r="AR231" s="213"/>
      <c r="AS231" s="213"/>
      <c r="AT231" s="213"/>
      <c r="AU231" s="213"/>
      <c r="AV231" s="213"/>
      <c r="AW231" s="213"/>
      <c r="AX231" s="213"/>
      <c r="AY231" s="213"/>
      <c r="AZ231" s="213"/>
      <c r="BA231" s="213"/>
      <c r="BB231" s="213"/>
      <c r="BC231" s="213"/>
      <c r="BD231" s="213"/>
      <c r="BE231" s="213"/>
      <c r="BF231" s="213"/>
      <c r="BG231" s="213"/>
      <c r="BH231" s="213"/>
      <c r="BI231" s="213"/>
      <c r="BJ231" s="213"/>
      <c r="BK231" s="213"/>
      <c r="BL231" s="213"/>
      <c r="BM231" s="213"/>
      <c r="BN231" s="215"/>
      <c r="BO231" s="213"/>
      <c r="BP231" s="213"/>
      <c r="BQ231" s="213"/>
      <c r="BR231" s="326"/>
      <c r="BS231" s="213"/>
      <c r="BT231" s="213"/>
      <c r="BU231" s="213"/>
      <c r="BV231" s="213"/>
      <c r="BW231" s="213"/>
      <c r="BX231" s="213"/>
      <c r="BY231" s="213"/>
      <c r="BZ231" s="213"/>
      <c r="CA231" s="213"/>
      <c r="CB231" s="213"/>
      <c r="CC231" s="213"/>
      <c r="CD231" s="213"/>
      <c r="CE231" s="213"/>
      <c r="CF231" s="213"/>
      <c r="CG231" s="213"/>
      <c r="CH231" s="213"/>
      <c r="CI231" s="213"/>
      <c r="CJ231" s="213"/>
      <c r="CK231" s="213"/>
      <c r="CL231" s="213"/>
      <c r="CM231" s="213"/>
      <c r="CN231" s="213"/>
      <c r="CO231" s="213"/>
      <c r="CP231" s="213"/>
      <c r="CQ231" s="213"/>
      <c r="CR231" s="213"/>
      <c r="CS231" s="213"/>
      <c r="CT231" s="213"/>
      <c r="CU231" s="213"/>
    </row>
    <row r="232" ht="15.75" customHeight="1">
      <c r="A232" s="213"/>
      <c r="B232" s="213"/>
      <c r="C232" s="213"/>
      <c r="D232" s="213"/>
      <c r="E232" s="213"/>
      <c r="F232" s="213"/>
      <c r="G232" s="213"/>
      <c r="H232" s="213"/>
      <c r="I232" s="213"/>
      <c r="J232" s="213"/>
      <c r="K232" s="213"/>
      <c r="L232" s="213"/>
      <c r="M232" s="213"/>
      <c r="N232" s="213"/>
      <c r="O232" s="213"/>
      <c r="P232" s="213"/>
      <c r="Q232" s="213"/>
      <c r="R232" s="213"/>
      <c r="S232" s="213"/>
      <c r="T232" s="213"/>
      <c r="U232" s="213"/>
      <c r="V232" s="213"/>
      <c r="W232" s="213"/>
      <c r="X232" s="213"/>
      <c r="Y232" s="213"/>
      <c r="Z232" s="213"/>
      <c r="AA232" s="213"/>
      <c r="AB232" s="213"/>
      <c r="AC232" s="213"/>
      <c r="AD232" s="213"/>
      <c r="AE232" s="213"/>
      <c r="AF232" s="213"/>
      <c r="AG232" s="213"/>
      <c r="AH232" s="213"/>
      <c r="AI232" s="213"/>
      <c r="AJ232" s="213"/>
      <c r="AK232" s="213"/>
      <c r="AL232" s="213"/>
      <c r="AM232" s="213"/>
      <c r="AN232" s="213"/>
      <c r="AO232" s="213"/>
      <c r="AP232" s="213"/>
      <c r="AQ232" s="213"/>
      <c r="AR232" s="213"/>
      <c r="AS232" s="213"/>
      <c r="AT232" s="213"/>
      <c r="AU232" s="213"/>
      <c r="AV232" s="213"/>
      <c r="AW232" s="213"/>
      <c r="AX232" s="213"/>
      <c r="AY232" s="213"/>
      <c r="AZ232" s="213"/>
      <c r="BA232" s="213"/>
      <c r="BB232" s="213"/>
      <c r="BC232" s="213"/>
      <c r="BD232" s="213"/>
      <c r="BE232" s="213"/>
      <c r="BF232" s="213"/>
      <c r="BG232" s="213"/>
      <c r="BH232" s="213"/>
      <c r="BI232" s="213"/>
      <c r="BJ232" s="213"/>
      <c r="BK232" s="213"/>
      <c r="BL232" s="213"/>
      <c r="BM232" s="213"/>
      <c r="BN232" s="215"/>
      <c r="BO232" s="213"/>
      <c r="BP232" s="213"/>
      <c r="BQ232" s="213"/>
      <c r="BR232" s="326"/>
      <c r="BS232" s="213"/>
      <c r="BT232" s="213"/>
      <c r="BU232" s="213"/>
      <c r="BV232" s="213"/>
      <c r="BW232" s="213"/>
      <c r="BX232" s="213"/>
      <c r="BY232" s="213"/>
      <c r="BZ232" s="213"/>
      <c r="CA232" s="213"/>
      <c r="CB232" s="213"/>
      <c r="CC232" s="213"/>
      <c r="CD232" s="213"/>
      <c r="CE232" s="213"/>
      <c r="CF232" s="213"/>
      <c r="CG232" s="213"/>
      <c r="CH232" s="213"/>
      <c r="CI232" s="213"/>
      <c r="CJ232" s="213"/>
      <c r="CK232" s="213"/>
      <c r="CL232" s="213"/>
      <c r="CM232" s="213"/>
      <c r="CN232" s="213"/>
      <c r="CO232" s="213"/>
      <c r="CP232" s="213"/>
      <c r="CQ232" s="213"/>
      <c r="CR232" s="213"/>
      <c r="CS232" s="213"/>
      <c r="CT232" s="213"/>
      <c r="CU232" s="213"/>
    </row>
    <row r="233" ht="15.75" customHeight="1">
      <c r="A233" s="213"/>
      <c r="B233" s="213"/>
      <c r="C233" s="213"/>
      <c r="D233" s="213"/>
      <c r="E233" s="213"/>
      <c r="F233" s="213"/>
      <c r="G233" s="213"/>
      <c r="H233" s="213"/>
      <c r="I233" s="213"/>
      <c r="J233" s="213"/>
      <c r="K233" s="213"/>
      <c r="L233" s="213"/>
      <c r="M233" s="213"/>
      <c r="N233" s="213"/>
      <c r="O233" s="213"/>
      <c r="P233" s="213"/>
      <c r="Q233" s="213"/>
      <c r="R233" s="213"/>
      <c r="S233" s="213"/>
      <c r="T233" s="213"/>
      <c r="U233" s="213"/>
      <c r="V233" s="213"/>
      <c r="W233" s="213"/>
      <c r="X233" s="213"/>
      <c r="Y233" s="213"/>
      <c r="Z233" s="213"/>
      <c r="AA233" s="213"/>
      <c r="AB233" s="213"/>
      <c r="AC233" s="213"/>
      <c r="AD233" s="213"/>
      <c r="AE233" s="213"/>
      <c r="AF233" s="213"/>
      <c r="AG233" s="213"/>
      <c r="AH233" s="213"/>
      <c r="AI233" s="213"/>
      <c r="AJ233" s="213"/>
      <c r="AK233" s="213"/>
      <c r="AL233" s="213"/>
      <c r="AM233" s="213"/>
      <c r="AN233" s="213"/>
      <c r="AO233" s="213"/>
      <c r="AP233" s="213"/>
      <c r="AQ233" s="213"/>
      <c r="AR233" s="213"/>
      <c r="AS233" s="213"/>
      <c r="AT233" s="213"/>
      <c r="AU233" s="213"/>
      <c r="AV233" s="213"/>
      <c r="AW233" s="213"/>
      <c r="AX233" s="213"/>
      <c r="AY233" s="213"/>
      <c r="AZ233" s="213"/>
      <c r="BA233" s="213"/>
      <c r="BB233" s="213"/>
      <c r="BC233" s="213"/>
      <c r="BD233" s="213"/>
      <c r="BE233" s="213"/>
      <c r="BF233" s="213"/>
      <c r="BG233" s="213"/>
      <c r="BH233" s="213"/>
      <c r="BI233" s="213"/>
      <c r="BJ233" s="213"/>
      <c r="BK233" s="213"/>
      <c r="BL233" s="213"/>
      <c r="BM233" s="213"/>
      <c r="BN233" s="215"/>
      <c r="BO233" s="213"/>
      <c r="BP233" s="213"/>
      <c r="BQ233" s="213"/>
      <c r="BR233" s="326"/>
      <c r="BS233" s="213"/>
      <c r="BT233" s="213"/>
      <c r="BU233" s="213"/>
      <c r="BV233" s="213"/>
      <c r="BW233" s="213"/>
      <c r="BX233" s="213"/>
      <c r="BY233" s="213"/>
      <c r="BZ233" s="213"/>
      <c r="CA233" s="213"/>
      <c r="CB233" s="213"/>
      <c r="CC233" s="213"/>
      <c r="CD233" s="213"/>
      <c r="CE233" s="213"/>
      <c r="CF233" s="213"/>
      <c r="CG233" s="213"/>
      <c r="CH233" s="213"/>
      <c r="CI233" s="213"/>
      <c r="CJ233" s="213"/>
      <c r="CK233" s="213"/>
      <c r="CL233" s="213"/>
      <c r="CM233" s="213"/>
      <c r="CN233" s="213"/>
      <c r="CO233" s="213"/>
      <c r="CP233" s="213"/>
      <c r="CQ233" s="213"/>
      <c r="CR233" s="213"/>
      <c r="CS233" s="213"/>
      <c r="CT233" s="213"/>
      <c r="CU233" s="213"/>
    </row>
    <row r="234" ht="15.75" customHeight="1">
      <c r="A234" s="213"/>
      <c r="B234" s="213"/>
      <c r="C234" s="213"/>
      <c r="D234" s="213"/>
      <c r="E234" s="213"/>
      <c r="F234" s="213"/>
      <c r="G234" s="213"/>
      <c r="H234" s="213"/>
      <c r="I234" s="213"/>
      <c r="J234" s="213"/>
      <c r="K234" s="213"/>
      <c r="L234" s="213"/>
      <c r="M234" s="213"/>
      <c r="N234" s="213"/>
      <c r="O234" s="213"/>
      <c r="P234" s="213"/>
      <c r="Q234" s="213"/>
      <c r="R234" s="213"/>
      <c r="S234" s="213"/>
      <c r="T234" s="213"/>
      <c r="U234" s="213"/>
      <c r="V234" s="213"/>
      <c r="W234" s="213"/>
      <c r="X234" s="213"/>
      <c r="Y234" s="213"/>
      <c r="Z234" s="213"/>
      <c r="AA234" s="213"/>
      <c r="AB234" s="213"/>
      <c r="AC234" s="213"/>
      <c r="AD234" s="213"/>
      <c r="AE234" s="213"/>
      <c r="AF234" s="213"/>
      <c r="AG234" s="213"/>
      <c r="AH234" s="213"/>
      <c r="AI234" s="213"/>
      <c r="AJ234" s="213"/>
      <c r="AK234" s="213"/>
      <c r="AL234" s="213"/>
      <c r="AM234" s="213"/>
      <c r="AN234" s="213"/>
      <c r="AO234" s="213"/>
      <c r="AP234" s="213"/>
      <c r="AQ234" s="213"/>
      <c r="AR234" s="213"/>
      <c r="AS234" s="213"/>
      <c r="AT234" s="213"/>
      <c r="AU234" s="213"/>
      <c r="AV234" s="213"/>
      <c r="AW234" s="213"/>
      <c r="AX234" s="213"/>
      <c r="AY234" s="213"/>
      <c r="AZ234" s="213"/>
      <c r="BA234" s="213"/>
      <c r="BB234" s="213"/>
      <c r="BC234" s="213"/>
      <c r="BD234" s="213"/>
      <c r="BE234" s="213"/>
      <c r="BF234" s="213"/>
      <c r="BG234" s="213"/>
      <c r="BH234" s="213"/>
      <c r="BI234" s="213"/>
      <c r="BJ234" s="213"/>
      <c r="BK234" s="213"/>
      <c r="BL234" s="213"/>
      <c r="BM234" s="213"/>
      <c r="BN234" s="215"/>
      <c r="BO234" s="213"/>
      <c r="BP234" s="213"/>
      <c r="BQ234" s="213"/>
      <c r="BR234" s="326"/>
      <c r="BS234" s="213"/>
      <c r="BT234" s="213"/>
      <c r="BU234" s="213"/>
      <c r="BV234" s="213"/>
      <c r="BW234" s="213"/>
      <c r="BX234" s="213"/>
      <c r="BY234" s="213"/>
      <c r="BZ234" s="213"/>
      <c r="CA234" s="213"/>
      <c r="CB234" s="213"/>
      <c r="CC234" s="213"/>
      <c r="CD234" s="213"/>
      <c r="CE234" s="213"/>
      <c r="CF234" s="213"/>
      <c r="CG234" s="213"/>
      <c r="CH234" s="213"/>
      <c r="CI234" s="213"/>
      <c r="CJ234" s="213"/>
      <c r="CK234" s="213"/>
      <c r="CL234" s="213"/>
      <c r="CM234" s="213"/>
      <c r="CN234" s="213"/>
      <c r="CO234" s="213"/>
      <c r="CP234" s="213"/>
      <c r="CQ234" s="213"/>
      <c r="CR234" s="213"/>
      <c r="CS234" s="213"/>
      <c r="CT234" s="213"/>
      <c r="CU234" s="213"/>
    </row>
    <row r="235" ht="15.75" customHeight="1">
      <c r="A235" s="213"/>
      <c r="B235" s="213"/>
      <c r="C235" s="213"/>
      <c r="D235" s="213"/>
      <c r="E235" s="213"/>
      <c r="F235" s="213"/>
      <c r="G235" s="213"/>
      <c r="H235" s="213"/>
      <c r="I235" s="213"/>
      <c r="J235" s="213"/>
      <c r="K235" s="213"/>
      <c r="L235" s="213"/>
      <c r="M235" s="213"/>
      <c r="N235" s="213"/>
      <c r="O235" s="213"/>
      <c r="P235" s="213"/>
      <c r="Q235" s="213"/>
      <c r="R235" s="213"/>
      <c r="S235" s="213"/>
      <c r="T235" s="213"/>
      <c r="U235" s="213"/>
      <c r="V235" s="213"/>
      <c r="W235" s="213"/>
      <c r="X235" s="213"/>
      <c r="Y235" s="213"/>
      <c r="Z235" s="213"/>
      <c r="AA235" s="213"/>
      <c r="AB235" s="213"/>
      <c r="AC235" s="213"/>
      <c r="AD235" s="213"/>
      <c r="AE235" s="213"/>
      <c r="AF235" s="213"/>
      <c r="AG235" s="213"/>
      <c r="AH235" s="213"/>
      <c r="AI235" s="213"/>
      <c r="AJ235" s="213"/>
      <c r="AK235" s="213"/>
      <c r="AL235" s="213"/>
      <c r="AM235" s="213"/>
      <c r="AN235" s="213"/>
      <c r="AO235" s="213"/>
      <c r="AP235" s="213"/>
      <c r="AQ235" s="213"/>
      <c r="AR235" s="213"/>
      <c r="AS235" s="213"/>
      <c r="AT235" s="213"/>
      <c r="AU235" s="213"/>
      <c r="AV235" s="213"/>
      <c r="AW235" s="213"/>
      <c r="AX235" s="213"/>
      <c r="AY235" s="213"/>
      <c r="AZ235" s="213"/>
      <c r="BA235" s="213"/>
      <c r="BB235" s="213"/>
      <c r="BC235" s="213"/>
      <c r="BD235" s="213"/>
      <c r="BE235" s="213"/>
      <c r="BF235" s="213"/>
      <c r="BG235" s="213"/>
      <c r="BH235" s="213"/>
      <c r="BI235" s="213"/>
      <c r="BJ235" s="213"/>
      <c r="BK235" s="213"/>
      <c r="BL235" s="213"/>
      <c r="BM235" s="213"/>
      <c r="BN235" s="215"/>
      <c r="BO235" s="213"/>
      <c r="BP235" s="213"/>
      <c r="BQ235" s="213"/>
      <c r="BR235" s="326"/>
      <c r="BS235" s="213"/>
      <c r="BT235" s="213"/>
      <c r="BU235" s="213"/>
      <c r="BV235" s="213"/>
      <c r="BW235" s="213"/>
      <c r="BX235" s="213"/>
      <c r="BY235" s="213"/>
      <c r="BZ235" s="213"/>
      <c r="CA235" s="213"/>
      <c r="CB235" s="213"/>
      <c r="CC235" s="213"/>
      <c r="CD235" s="213"/>
      <c r="CE235" s="213"/>
      <c r="CF235" s="213"/>
      <c r="CG235" s="213"/>
      <c r="CH235" s="213"/>
      <c r="CI235" s="213"/>
      <c r="CJ235" s="213"/>
      <c r="CK235" s="213"/>
      <c r="CL235" s="213"/>
      <c r="CM235" s="213"/>
      <c r="CN235" s="213"/>
      <c r="CO235" s="213"/>
      <c r="CP235" s="213"/>
      <c r="CQ235" s="213"/>
      <c r="CR235" s="213"/>
      <c r="CS235" s="213"/>
      <c r="CT235" s="213"/>
      <c r="CU235" s="213"/>
    </row>
    <row r="236" ht="15.75" customHeight="1">
      <c r="A236" s="213"/>
      <c r="B236" s="213"/>
      <c r="C236" s="213"/>
      <c r="D236" s="213"/>
      <c r="E236" s="213"/>
      <c r="F236" s="213"/>
      <c r="G236" s="213"/>
      <c r="H236" s="213"/>
      <c r="I236" s="213"/>
      <c r="J236" s="213"/>
      <c r="K236" s="213"/>
      <c r="L236" s="213"/>
      <c r="M236" s="213"/>
      <c r="N236" s="213"/>
      <c r="O236" s="213"/>
      <c r="P236" s="213"/>
      <c r="Q236" s="213"/>
      <c r="R236" s="213"/>
      <c r="S236" s="213"/>
      <c r="T236" s="213"/>
      <c r="U236" s="213"/>
      <c r="V236" s="213"/>
      <c r="W236" s="213"/>
      <c r="X236" s="213"/>
      <c r="Y236" s="213"/>
      <c r="Z236" s="213"/>
      <c r="AA236" s="213"/>
      <c r="AB236" s="213"/>
      <c r="AC236" s="213"/>
      <c r="AD236" s="213"/>
      <c r="AE236" s="213"/>
      <c r="AF236" s="213"/>
      <c r="AG236" s="213"/>
      <c r="AH236" s="213"/>
      <c r="AI236" s="213"/>
      <c r="AJ236" s="213"/>
      <c r="AK236" s="213"/>
      <c r="AL236" s="213"/>
      <c r="AM236" s="213"/>
      <c r="AN236" s="213"/>
      <c r="AO236" s="213"/>
      <c r="AP236" s="213"/>
      <c r="AQ236" s="213"/>
      <c r="AR236" s="213"/>
      <c r="AS236" s="213"/>
      <c r="AT236" s="213"/>
      <c r="AU236" s="213"/>
      <c r="AV236" s="213"/>
      <c r="AW236" s="213"/>
      <c r="AX236" s="213"/>
      <c r="AY236" s="213"/>
      <c r="AZ236" s="213"/>
      <c r="BA236" s="213"/>
      <c r="BB236" s="213"/>
      <c r="BC236" s="213"/>
      <c r="BD236" s="213"/>
      <c r="BE236" s="213"/>
      <c r="BF236" s="213"/>
      <c r="BG236" s="213"/>
      <c r="BH236" s="213"/>
      <c r="BI236" s="213"/>
      <c r="BJ236" s="213"/>
      <c r="BK236" s="213"/>
      <c r="BL236" s="213"/>
      <c r="BM236" s="213"/>
      <c r="BN236" s="215"/>
      <c r="BO236" s="213"/>
      <c r="BP236" s="213"/>
      <c r="BQ236" s="213"/>
      <c r="BR236" s="326"/>
      <c r="BS236" s="213"/>
      <c r="BT236" s="213"/>
      <c r="BU236" s="213"/>
      <c r="BV236" s="213"/>
      <c r="BW236" s="213"/>
      <c r="BX236" s="213"/>
      <c r="BY236" s="213"/>
      <c r="BZ236" s="213"/>
      <c r="CA236" s="213"/>
      <c r="CB236" s="213"/>
      <c r="CC236" s="213"/>
      <c r="CD236" s="213"/>
      <c r="CE236" s="213"/>
      <c r="CF236" s="213"/>
      <c r="CG236" s="213"/>
      <c r="CH236" s="213"/>
      <c r="CI236" s="213"/>
      <c r="CJ236" s="213"/>
      <c r="CK236" s="213"/>
      <c r="CL236" s="213"/>
      <c r="CM236" s="213"/>
      <c r="CN236" s="213"/>
      <c r="CO236" s="213"/>
      <c r="CP236" s="213"/>
      <c r="CQ236" s="213"/>
      <c r="CR236" s="213"/>
      <c r="CS236" s="213"/>
      <c r="CT236" s="213"/>
      <c r="CU236" s="213"/>
    </row>
    <row r="237" ht="15.75" customHeight="1">
      <c r="A237" s="213"/>
      <c r="B237" s="213"/>
      <c r="C237" s="213"/>
      <c r="D237" s="213"/>
      <c r="E237" s="213"/>
      <c r="F237" s="213"/>
      <c r="G237" s="213"/>
      <c r="H237" s="213"/>
      <c r="I237" s="213"/>
      <c r="J237" s="213"/>
      <c r="K237" s="213"/>
      <c r="L237" s="213"/>
      <c r="M237" s="213"/>
      <c r="N237" s="213"/>
      <c r="O237" s="213"/>
      <c r="P237" s="213"/>
      <c r="Q237" s="213"/>
      <c r="R237" s="213"/>
      <c r="S237" s="213"/>
      <c r="T237" s="213"/>
      <c r="U237" s="213"/>
      <c r="V237" s="213"/>
      <c r="W237" s="213"/>
      <c r="X237" s="213"/>
      <c r="Y237" s="213"/>
      <c r="Z237" s="213"/>
      <c r="AA237" s="213"/>
      <c r="AB237" s="213"/>
      <c r="AC237" s="213"/>
      <c r="AD237" s="213"/>
      <c r="AE237" s="213"/>
      <c r="AF237" s="213"/>
      <c r="AG237" s="213"/>
      <c r="AH237" s="213"/>
      <c r="AI237" s="213"/>
      <c r="AJ237" s="213"/>
      <c r="AK237" s="213"/>
      <c r="AL237" s="213"/>
      <c r="AM237" s="213"/>
      <c r="AN237" s="213"/>
      <c r="AO237" s="213"/>
      <c r="AP237" s="213"/>
      <c r="AQ237" s="213"/>
      <c r="AR237" s="213"/>
      <c r="AS237" s="213"/>
      <c r="AT237" s="213"/>
      <c r="AU237" s="213"/>
      <c r="AV237" s="213"/>
      <c r="AW237" s="213"/>
      <c r="AX237" s="213"/>
      <c r="AY237" s="213"/>
      <c r="AZ237" s="213"/>
      <c r="BA237" s="213"/>
      <c r="BB237" s="213"/>
      <c r="BC237" s="213"/>
      <c r="BD237" s="213"/>
      <c r="BE237" s="213"/>
      <c r="BF237" s="213"/>
      <c r="BG237" s="213"/>
      <c r="BH237" s="213"/>
      <c r="BI237" s="213"/>
      <c r="BJ237" s="213"/>
      <c r="BK237" s="213"/>
      <c r="BL237" s="213"/>
      <c r="BM237" s="213"/>
      <c r="BN237" s="215"/>
      <c r="BO237" s="213"/>
      <c r="BP237" s="213"/>
      <c r="BQ237" s="213"/>
      <c r="BR237" s="326"/>
      <c r="BS237" s="213"/>
      <c r="BT237" s="213"/>
      <c r="BU237" s="213"/>
      <c r="BV237" s="213"/>
      <c r="BW237" s="213"/>
      <c r="BX237" s="213"/>
      <c r="BY237" s="213"/>
      <c r="BZ237" s="213"/>
      <c r="CA237" s="213"/>
      <c r="CB237" s="213"/>
      <c r="CC237" s="213"/>
      <c r="CD237" s="213"/>
      <c r="CE237" s="213"/>
      <c r="CF237" s="213"/>
      <c r="CG237" s="213"/>
      <c r="CH237" s="213"/>
      <c r="CI237" s="213"/>
      <c r="CJ237" s="213"/>
      <c r="CK237" s="213"/>
      <c r="CL237" s="213"/>
      <c r="CM237" s="213"/>
      <c r="CN237" s="213"/>
      <c r="CO237" s="213"/>
      <c r="CP237" s="213"/>
      <c r="CQ237" s="213"/>
      <c r="CR237" s="213"/>
      <c r="CS237" s="213"/>
      <c r="CT237" s="213"/>
      <c r="CU237" s="213"/>
    </row>
    <row r="238" ht="15.75" customHeight="1">
      <c r="A238" s="213"/>
      <c r="B238" s="213"/>
      <c r="C238" s="213"/>
      <c r="D238" s="213"/>
      <c r="E238" s="213"/>
      <c r="F238" s="213"/>
      <c r="G238" s="213"/>
      <c r="H238" s="213"/>
      <c r="I238" s="213"/>
      <c r="J238" s="213"/>
      <c r="K238" s="213"/>
      <c r="L238" s="213"/>
      <c r="M238" s="213"/>
      <c r="N238" s="213"/>
      <c r="O238" s="213"/>
      <c r="P238" s="213"/>
      <c r="Q238" s="213"/>
      <c r="R238" s="213"/>
      <c r="S238" s="213"/>
      <c r="T238" s="213"/>
      <c r="U238" s="213"/>
      <c r="V238" s="213"/>
      <c r="W238" s="213"/>
      <c r="X238" s="213"/>
      <c r="Y238" s="213"/>
      <c r="Z238" s="213"/>
      <c r="AA238" s="213"/>
      <c r="AB238" s="213"/>
      <c r="AC238" s="213"/>
      <c r="AD238" s="213"/>
      <c r="AE238" s="213"/>
      <c r="AF238" s="213"/>
      <c r="AG238" s="213"/>
      <c r="AH238" s="213"/>
      <c r="AI238" s="213"/>
      <c r="AJ238" s="213"/>
      <c r="AK238" s="213"/>
      <c r="AL238" s="213"/>
      <c r="AM238" s="213"/>
      <c r="AN238" s="213"/>
      <c r="AO238" s="213"/>
      <c r="AP238" s="213"/>
      <c r="AQ238" s="213"/>
      <c r="AR238" s="213"/>
      <c r="AS238" s="213"/>
      <c r="AT238" s="213"/>
      <c r="AU238" s="213"/>
      <c r="AV238" s="213"/>
      <c r="AW238" s="213"/>
      <c r="AX238" s="213"/>
      <c r="AY238" s="213"/>
      <c r="AZ238" s="213"/>
      <c r="BA238" s="213"/>
      <c r="BB238" s="213"/>
      <c r="BC238" s="213"/>
      <c r="BD238" s="213"/>
      <c r="BE238" s="213"/>
      <c r="BF238" s="213"/>
      <c r="BG238" s="213"/>
      <c r="BH238" s="213"/>
      <c r="BI238" s="213"/>
      <c r="BJ238" s="213"/>
      <c r="BK238" s="213"/>
      <c r="BL238" s="213"/>
      <c r="BM238" s="213"/>
      <c r="BN238" s="215"/>
      <c r="BO238" s="213"/>
      <c r="BP238" s="213"/>
      <c r="BQ238" s="213"/>
      <c r="BR238" s="326"/>
      <c r="BS238" s="213"/>
      <c r="BT238" s="213"/>
      <c r="BU238" s="213"/>
      <c r="BV238" s="213"/>
      <c r="BW238" s="213"/>
      <c r="BX238" s="213"/>
      <c r="BY238" s="213"/>
      <c r="BZ238" s="213"/>
      <c r="CA238" s="213"/>
      <c r="CB238" s="213"/>
      <c r="CC238" s="213"/>
      <c r="CD238" s="213"/>
      <c r="CE238" s="213"/>
      <c r="CF238" s="213"/>
      <c r="CG238" s="213"/>
      <c r="CH238" s="213"/>
      <c r="CI238" s="213"/>
      <c r="CJ238" s="213"/>
      <c r="CK238" s="213"/>
      <c r="CL238" s="213"/>
      <c r="CM238" s="213"/>
      <c r="CN238" s="213"/>
      <c r="CO238" s="213"/>
      <c r="CP238" s="213"/>
      <c r="CQ238" s="213"/>
      <c r="CR238" s="213"/>
      <c r="CS238" s="213"/>
      <c r="CT238" s="213"/>
      <c r="CU238" s="213"/>
    </row>
    <row r="239" ht="15.75" customHeight="1">
      <c r="A239" s="213"/>
      <c r="B239" s="213"/>
      <c r="C239" s="213"/>
      <c r="D239" s="213"/>
      <c r="E239" s="213"/>
      <c r="F239" s="213"/>
      <c r="G239" s="213"/>
      <c r="H239" s="213"/>
      <c r="I239" s="213"/>
      <c r="J239" s="213"/>
      <c r="K239" s="213"/>
      <c r="L239" s="213"/>
      <c r="M239" s="213"/>
      <c r="N239" s="213"/>
      <c r="O239" s="213"/>
      <c r="P239" s="213"/>
      <c r="Q239" s="213"/>
      <c r="R239" s="213"/>
      <c r="S239" s="213"/>
      <c r="T239" s="213"/>
      <c r="U239" s="213"/>
      <c r="V239" s="213"/>
      <c r="W239" s="213"/>
      <c r="X239" s="213"/>
      <c r="Y239" s="213"/>
      <c r="Z239" s="213"/>
      <c r="AA239" s="213"/>
      <c r="AB239" s="213"/>
      <c r="AC239" s="213"/>
      <c r="AD239" s="213"/>
      <c r="AE239" s="213"/>
      <c r="AF239" s="213"/>
      <c r="AG239" s="213"/>
      <c r="AH239" s="213"/>
      <c r="AI239" s="213"/>
      <c r="AJ239" s="213"/>
      <c r="AK239" s="213"/>
      <c r="AL239" s="213"/>
      <c r="AM239" s="213"/>
      <c r="AN239" s="213"/>
      <c r="AO239" s="213"/>
      <c r="AP239" s="213"/>
      <c r="AQ239" s="213"/>
      <c r="AR239" s="213"/>
      <c r="AS239" s="213"/>
      <c r="AT239" s="213"/>
      <c r="AU239" s="213"/>
      <c r="AV239" s="213"/>
      <c r="AW239" s="213"/>
      <c r="AX239" s="213"/>
      <c r="AY239" s="213"/>
      <c r="AZ239" s="213"/>
      <c r="BA239" s="213"/>
      <c r="BB239" s="213"/>
      <c r="BC239" s="213"/>
      <c r="BD239" s="213"/>
      <c r="BE239" s="213"/>
      <c r="BF239" s="213"/>
      <c r="BG239" s="213"/>
      <c r="BH239" s="213"/>
      <c r="BI239" s="213"/>
      <c r="BJ239" s="213"/>
      <c r="BK239" s="213"/>
      <c r="BL239" s="213"/>
      <c r="BM239" s="213"/>
      <c r="BN239" s="215"/>
      <c r="BO239" s="213"/>
      <c r="BP239" s="213"/>
      <c r="BQ239" s="213"/>
      <c r="BR239" s="326"/>
      <c r="BS239" s="213"/>
      <c r="BT239" s="213"/>
      <c r="BU239" s="213"/>
      <c r="BV239" s="213"/>
      <c r="BW239" s="213"/>
      <c r="BX239" s="213"/>
      <c r="BY239" s="213"/>
      <c r="BZ239" s="213"/>
      <c r="CA239" s="213"/>
      <c r="CB239" s="213"/>
      <c r="CC239" s="213"/>
      <c r="CD239" s="213"/>
      <c r="CE239" s="213"/>
      <c r="CF239" s="213"/>
      <c r="CG239" s="213"/>
      <c r="CH239" s="213"/>
      <c r="CI239" s="213"/>
      <c r="CJ239" s="213"/>
      <c r="CK239" s="213"/>
      <c r="CL239" s="213"/>
      <c r="CM239" s="213"/>
      <c r="CN239" s="213"/>
      <c r="CO239" s="213"/>
      <c r="CP239" s="213"/>
      <c r="CQ239" s="213"/>
      <c r="CR239" s="213"/>
      <c r="CS239" s="213"/>
      <c r="CT239" s="213"/>
      <c r="CU239" s="213"/>
    </row>
    <row r="240" ht="15.75" customHeight="1">
      <c r="A240" s="213"/>
      <c r="B240" s="213"/>
      <c r="C240" s="213"/>
      <c r="D240" s="213"/>
      <c r="E240" s="213"/>
      <c r="F240" s="213"/>
      <c r="G240" s="213"/>
      <c r="H240" s="213"/>
      <c r="I240" s="213"/>
      <c r="J240" s="213"/>
      <c r="K240" s="213"/>
      <c r="L240" s="213"/>
      <c r="M240" s="213"/>
      <c r="N240" s="213"/>
      <c r="O240" s="213"/>
      <c r="P240" s="213"/>
      <c r="Q240" s="213"/>
      <c r="R240" s="213"/>
      <c r="S240" s="213"/>
      <c r="T240" s="213"/>
      <c r="U240" s="213"/>
      <c r="V240" s="213"/>
      <c r="W240" s="213"/>
      <c r="X240" s="213"/>
      <c r="Y240" s="213"/>
      <c r="Z240" s="213"/>
      <c r="AA240" s="213"/>
      <c r="AB240" s="213"/>
      <c r="AC240" s="213"/>
      <c r="AD240" s="213"/>
      <c r="AE240" s="213"/>
      <c r="AF240" s="213"/>
      <c r="AG240" s="213"/>
      <c r="AH240" s="213"/>
      <c r="AI240" s="213"/>
      <c r="AJ240" s="213"/>
      <c r="AK240" s="213"/>
      <c r="AL240" s="213"/>
      <c r="AM240" s="213"/>
      <c r="AN240" s="213"/>
      <c r="AO240" s="213"/>
      <c r="AP240" s="213"/>
      <c r="AQ240" s="213"/>
      <c r="AR240" s="213"/>
      <c r="AS240" s="213"/>
      <c r="AT240" s="213"/>
      <c r="AU240" s="213"/>
      <c r="AV240" s="213"/>
      <c r="AW240" s="213"/>
      <c r="AX240" s="213"/>
      <c r="AY240" s="213"/>
      <c r="AZ240" s="213"/>
      <c r="BA240" s="213"/>
      <c r="BB240" s="213"/>
      <c r="BC240" s="213"/>
      <c r="BD240" s="213"/>
      <c r="BE240" s="213"/>
      <c r="BF240" s="213"/>
      <c r="BG240" s="213"/>
      <c r="BH240" s="213"/>
      <c r="BI240" s="213"/>
      <c r="BJ240" s="213"/>
      <c r="BK240" s="213"/>
      <c r="BL240" s="213"/>
      <c r="BM240" s="213"/>
      <c r="BN240" s="215"/>
      <c r="BO240" s="213"/>
      <c r="BP240" s="213"/>
      <c r="BQ240" s="213"/>
      <c r="BR240" s="326"/>
      <c r="BS240" s="213"/>
      <c r="BT240" s="213"/>
      <c r="BU240" s="213"/>
      <c r="BV240" s="213"/>
      <c r="BW240" s="213"/>
      <c r="BX240" s="213"/>
      <c r="BY240" s="213"/>
      <c r="BZ240" s="213"/>
      <c r="CA240" s="213"/>
      <c r="CB240" s="213"/>
      <c r="CC240" s="213"/>
      <c r="CD240" s="213"/>
      <c r="CE240" s="213"/>
      <c r="CF240" s="213"/>
      <c r="CG240" s="213"/>
      <c r="CH240" s="213"/>
      <c r="CI240" s="213"/>
      <c r="CJ240" s="213"/>
      <c r="CK240" s="213"/>
      <c r="CL240" s="213"/>
      <c r="CM240" s="213"/>
      <c r="CN240" s="213"/>
      <c r="CO240" s="213"/>
      <c r="CP240" s="213"/>
      <c r="CQ240" s="213"/>
      <c r="CR240" s="213"/>
      <c r="CS240" s="213"/>
      <c r="CT240" s="213"/>
      <c r="CU240" s="213"/>
    </row>
    <row r="241" ht="15.75" customHeight="1">
      <c r="A241" s="213"/>
      <c r="B241" s="213"/>
      <c r="C241" s="213"/>
      <c r="D241" s="213"/>
      <c r="E241" s="213"/>
      <c r="F241" s="213"/>
      <c r="G241" s="213"/>
      <c r="H241" s="213"/>
      <c r="I241" s="213"/>
      <c r="J241" s="213"/>
      <c r="K241" s="213"/>
      <c r="L241" s="213"/>
      <c r="M241" s="213"/>
      <c r="N241" s="213"/>
      <c r="O241" s="213"/>
      <c r="P241" s="213"/>
      <c r="Q241" s="213"/>
      <c r="R241" s="213"/>
      <c r="S241" s="213"/>
      <c r="T241" s="213"/>
      <c r="U241" s="213"/>
      <c r="V241" s="213"/>
      <c r="W241" s="213"/>
      <c r="X241" s="213"/>
      <c r="Y241" s="213"/>
      <c r="Z241" s="213"/>
      <c r="AA241" s="213"/>
      <c r="AB241" s="213"/>
      <c r="AC241" s="213"/>
      <c r="AD241" s="213"/>
      <c r="AE241" s="213"/>
      <c r="AF241" s="213"/>
      <c r="AG241" s="213"/>
      <c r="AH241" s="213"/>
      <c r="AI241" s="213"/>
      <c r="AJ241" s="213"/>
      <c r="AK241" s="213"/>
      <c r="AL241" s="213"/>
      <c r="AM241" s="213"/>
      <c r="AN241" s="213"/>
      <c r="AO241" s="213"/>
      <c r="AP241" s="213"/>
      <c r="AQ241" s="213"/>
      <c r="AR241" s="213"/>
      <c r="AS241" s="213"/>
      <c r="AT241" s="213"/>
      <c r="AU241" s="213"/>
      <c r="AV241" s="213"/>
      <c r="AW241" s="213"/>
      <c r="AX241" s="213"/>
      <c r="AY241" s="213"/>
      <c r="AZ241" s="213"/>
      <c r="BA241" s="213"/>
      <c r="BB241" s="213"/>
      <c r="BC241" s="213"/>
      <c r="BD241" s="213"/>
      <c r="BE241" s="213"/>
      <c r="BF241" s="213"/>
      <c r="BG241" s="213"/>
      <c r="BH241" s="213"/>
      <c r="BI241" s="213"/>
      <c r="BJ241" s="213"/>
      <c r="BK241" s="213"/>
      <c r="BL241" s="213"/>
      <c r="BM241" s="213"/>
      <c r="BN241" s="215"/>
      <c r="BO241" s="213"/>
      <c r="BP241" s="213"/>
      <c r="BQ241" s="213"/>
      <c r="BR241" s="326"/>
      <c r="BS241" s="213"/>
      <c r="BT241" s="213"/>
      <c r="BU241" s="213"/>
      <c r="BV241" s="213"/>
      <c r="BW241" s="213"/>
      <c r="BX241" s="213"/>
      <c r="BY241" s="213"/>
      <c r="BZ241" s="213"/>
      <c r="CA241" s="213"/>
      <c r="CB241" s="213"/>
      <c r="CC241" s="213"/>
      <c r="CD241" s="213"/>
      <c r="CE241" s="213"/>
      <c r="CF241" s="213"/>
      <c r="CG241" s="213"/>
      <c r="CH241" s="213"/>
      <c r="CI241" s="213"/>
      <c r="CJ241" s="213"/>
      <c r="CK241" s="213"/>
      <c r="CL241" s="213"/>
      <c r="CM241" s="213"/>
      <c r="CN241" s="213"/>
      <c r="CO241" s="213"/>
      <c r="CP241" s="213"/>
      <c r="CQ241" s="213"/>
      <c r="CR241" s="213"/>
      <c r="CS241" s="213"/>
      <c r="CT241" s="213"/>
      <c r="CU241" s="213"/>
    </row>
    <row r="242" ht="15.75" customHeight="1">
      <c r="A242" s="213"/>
      <c r="B242" s="213"/>
      <c r="C242" s="213"/>
      <c r="D242" s="213"/>
      <c r="E242" s="213"/>
      <c r="F242" s="213"/>
      <c r="G242" s="213"/>
      <c r="H242" s="213"/>
      <c r="I242" s="213"/>
      <c r="J242" s="213"/>
      <c r="K242" s="213"/>
      <c r="L242" s="213"/>
      <c r="M242" s="213"/>
      <c r="N242" s="213"/>
      <c r="O242" s="213"/>
      <c r="P242" s="213"/>
      <c r="Q242" s="213"/>
      <c r="R242" s="213"/>
      <c r="S242" s="213"/>
      <c r="T242" s="213"/>
      <c r="U242" s="213"/>
      <c r="V242" s="213"/>
      <c r="W242" s="213"/>
      <c r="X242" s="213"/>
      <c r="Y242" s="213"/>
      <c r="Z242" s="213"/>
      <c r="AA242" s="213"/>
      <c r="AB242" s="213"/>
      <c r="AC242" s="213"/>
      <c r="AD242" s="213"/>
      <c r="AE242" s="213"/>
      <c r="AF242" s="213"/>
      <c r="AG242" s="213"/>
      <c r="AH242" s="213"/>
      <c r="AI242" s="213"/>
      <c r="AJ242" s="213"/>
      <c r="AK242" s="213"/>
      <c r="AL242" s="213"/>
      <c r="AM242" s="213"/>
      <c r="AN242" s="213"/>
      <c r="AO242" s="213"/>
      <c r="AP242" s="213"/>
      <c r="AQ242" s="213"/>
      <c r="AR242" s="213"/>
      <c r="AS242" s="213"/>
      <c r="AT242" s="213"/>
      <c r="AU242" s="213"/>
      <c r="AV242" s="213"/>
      <c r="AW242" s="213"/>
      <c r="AX242" s="213"/>
      <c r="AY242" s="213"/>
      <c r="AZ242" s="213"/>
      <c r="BA242" s="213"/>
      <c r="BB242" s="213"/>
      <c r="BC242" s="213"/>
      <c r="BD242" s="213"/>
      <c r="BE242" s="213"/>
      <c r="BF242" s="213"/>
      <c r="BG242" s="213"/>
      <c r="BH242" s="213"/>
      <c r="BI242" s="213"/>
      <c r="BJ242" s="213"/>
      <c r="BK242" s="213"/>
      <c r="BL242" s="213"/>
      <c r="BM242" s="213"/>
      <c r="BN242" s="215"/>
      <c r="BO242" s="213"/>
      <c r="BP242" s="213"/>
      <c r="BQ242" s="213"/>
      <c r="BR242" s="326"/>
      <c r="BS242" s="213"/>
      <c r="BT242" s="213"/>
      <c r="BU242" s="213"/>
      <c r="BV242" s="213"/>
      <c r="BW242" s="213"/>
      <c r="BX242" s="213"/>
      <c r="BY242" s="213"/>
      <c r="BZ242" s="213"/>
      <c r="CA242" s="213"/>
      <c r="CB242" s="213"/>
      <c r="CC242" s="213"/>
      <c r="CD242" s="213"/>
      <c r="CE242" s="213"/>
      <c r="CF242" s="213"/>
      <c r="CG242" s="213"/>
      <c r="CH242" s="213"/>
      <c r="CI242" s="213"/>
      <c r="CJ242" s="213"/>
      <c r="CK242" s="213"/>
      <c r="CL242" s="213"/>
      <c r="CM242" s="213"/>
      <c r="CN242" s="213"/>
      <c r="CO242" s="213"/>
      <c r="CP242" s="213"/>
      <c r="CQ242" s="213"/>
      <c r="CR242" s="213"/>
      <c r="CS242" s="213"/>
      <c r="CT242" s="213"/>
      <c r="CU242" s="213"/>
    </row>
    <row r="243" ht="15.75" customHeight="1">
      <c r="A243" s="213"/>
      <c r="B243" s="213"/>
      <c r="C243" s="213"/>
      <c r="D243" s="213"/>
      <c r="E243" s="213"/>
      <c r="F243" s="213"/>
      <c r="G243" s="213"/>
      <c r="H243" s="213"/>
      <c r="I243" s="213"/>
      <c r="J243" s="213"/>
      <c r="K243" s="213"/>
      <c r="L243" s="213"/>
      <c r="M243" s="213"/>
      <c r="N243" s="213"/>
      <c r="O243" s="213"/>
      <c r="P243" s="213"/>
      <c r="Q243" s="213"/>
      <c r="R243" s="213"/>
      <c r="S243" s="213"/>
      <c r="T243" s="213"/>
      <c r="U243" s="213"/>
      <c r="V243" s="213"/>
      <c r="W243" s="213"/>
      <c r="X243" s="213"/>
      <c r="Y243" s="213"/>
      <c r="Z243" s="213"/>
      <c r="AA243" s="213"/>
      <c r="AB243" s="213"/>
      <c r="AC243" s="213"/>
      <c r="AD243" s="213"/>
      <c r="AE243" s="213"/>
      <c r="AF243" s="213"/>
      <c r="AG243" s="213"/>
      <c r="AH243" s="213"/>
      <c r="AI243" s="213"/>
      <c r="AJ243" s="213"/>
      <c r="AK243" s="213"/>
      <c r="AL243" s="213"/>
      <c r="AM243" s="213"/>
      <c r="AN243" s="213"/>
      <c r="AO243" s="213"/>
      <c r="AP243" s="213"/>
      <c r="AQ243" s="213"/>
      <c r="AR243" s="213"/>
      <c r="AS243" s="213"/>
      <c r="AT243" s="213"/>
      <c r="AU243" s="213"/>
      <c r="AV243" s="213"/>
      <c r="AW243" s="213"/>
      <c r="AX243" s="213"/>
      <c r="AY243" s="213"/>
      <c r="AZ243" s="213"/>
      <c r="BA243" s="213"/>
      <c r="BB243" s="213"/>
      <c r="BC243" s="213"/>
      <c r="BD243" s="213"/>
      <c r="BE243" s="213"/>
      <c r="BF243" s="213"/>
      <c r="BG243" s="213"/>
      <c r="BH243" s="213"/>
      <c r="BI243" s="213"/>
      <c r="BJ243" s="213"/>
      <c r="BK243" s="213"/>
      <c r="BL243" s="213"/>
      <c r="BM243" s="213"/>
      <c r="BN243" s="215"/>
      <c r="BO243" s="213"/>
      <c r="BP243" s="213"/>
      <c r="BQ243" s="213"/>
      <c r="BR243" s="326"/>
      <c r="BS243" s="213"/>
      <c r="BT243" s="213"/>
      <c r="BU243" s="213"/>
      <c r="BV243" s="213"/>
      <c r="BW243" s="213"/>
      <c r="BX243" s="213"/>
      <c r="BY243" s="213"/>
      <c r="BZ243" s="213"/>
      <c r="CA243" s="213"/>
      <c r="CB243" s="213"/>
      <c r="CC243" s="213"/>
      <c r="CD243" s="213"/>
      <c r="CE243" s="213"/>
      <c r="CF243" s="213"/>
      <c r="CG243" s="213"/>
      <c r="CH243" s="213"/>
      <c r="CI243" s="213"/>
      <c r="CJ243" s="213"/>
      <c r="CK243" s="213"/>
      <c r="CL243" s="213"/>
      <c r="CM243" s="213"/>
      <c r="CN243" s="213"/>
      <c r="CO243" s="213"/>
      <c r="CP243" s="213"/>
      <c r="CQ243" s="213"/>
      <c r="CR243" s="213"/>
      <c r="CS243" s="213"/>
      <c r="CT243" s="213"/>
      <c r="CU243" s="213"/>
    </row>
    <row r="244" ht="15.75" customHeight="1">
      <c r="A244" s="213"/>
      <c r="B244" s="213"/>
      <c r="C244" s="213"/>
      <c r="D244" s="213"/>
      <c r="E244" s="213"/>
      <c r="F244" s="213"/>
      <c r="G244" s="213"/>
      <c r="H244" s="213"/>
      <c r="I244" s="213"/>
      <c r="J244" s="213"/>
      <c r="K244" s="213"/>
      <c r="L244" s="213"/>
      <c r="M244" s="213"/>
      <c r="N244" s="213"/>
      <c r="O244" s="213"/>
      <c r="P244" s="213"/>
      <c r="Q244" s="213"/>
      <c r="R244" s="213"/>
      <c r="S244" s="213"/>
      <c r="T244" s="213"/>
      <c r="U244" s="213"/>
      <c r="V244" s="213"/>
      <c r="W244" s="213"/>
      <c r="X244" s="213"/>
      <c r="Y244" s="213"/>
      <c r="Z244" s="213"/>
      <c r="AA244" s="213"/>
      <c r="AB244" s="213"/>
      <c r="AC244" s="213"/>
      <c r="AD244" s="213"/>
      <c r="AE244" s="213"/>
      <c r="AF244" s="213"/>
      <c r="AG244" s="213"/>
      <c r="AH244" s="213"/>
      <c r="AI244" s="213"/>
      <c r="AJ244" s="213"/>
      <c r="AK244" s="213"/>
      <c r="AL244" s="213"/>
      <c r="AM244" s="213"/>
      <c r="AN244" s="213"/>
      <c r="AO244" s="213"/>
      <c r="AP244" s="213"/>
      <c r="AQ244" s="213"/>
      <c r="AR244" s="213"/>
      <c r="AS244" s="213"/>
      <c r="AT244" s="213"/>
      <c r="AU244" s="213"/>
      <c r="AV244" s="213"/>
      <c r="AW244" s="213"/>
      <c r="AX244" s="213"/>
      <c r="AY244" s="213"/>
      <c r="AZ244" s="213"/>
      <c r="BA244" s="213"/>
      <c r="BB244" s="213"/>
      <c r="BC244" s="213"/>
      <c r="BD244" s="213"/>
      <c r="BE244" s="213"/>
      <c r="BF244" s="213"/>
      <c r="BG244" s="213"/>
      <c r="BH244" s="213"/>
      <c r="BI244" s="213"/>
      <c r="BJ244" s="213"/>
      <c r="BK244" s="213"/>
      <c r="BL244" s="213"/>
      <c r="BM244" s="213"/>
      <c r="BN244" s="215"/>
      <c r="BO244" s="213"/>
      <c r="BP244" s="213"/>
      <c r="BQ244" s="213"/>
      <c r="BR244" s="326"/>
      <c r="BS244" s="213"/>
      <c r="BT244" s="213"/>
      <c r="BU244" s="213"/>
      <c r="BV244" s="213"/>
      <c r="BW244" s="213"/>
      <c r="BX244" s="213"/>
      <c r="BY244" s="213"/>
      <c r="BZ244" s="213"/>
      <c r="CA244" s="213"/>
      <c r="CB244" s="213"/>
      <c r="CC244" s="213"/>
      <c r="CD244" s="213"/>
      <c r="CE244" s="213"/>
      <c r="CF244" s="213"/>
      <c r="CG244" s="213"/>
      <c r="CH244" s="213"/>
      <c r="CI244" s="213"/>
      <c r="CJ244" s="213"/>
      <c r="CK244" s="213"/>
      <c r="CL244" s="213"/>
      <c r="CM244" s="213"/>
      <c r="CN244" s="213"/>
      <c r="CO244" s="213"/>
      <c r="CP244" s="213"/>
      <c r="CQ244" s="213"/>
      <c r="CR244" s="213"/>
      <c r="CS244" s="213"/>
      <c r="CT244" s="213"/>
      <c r="CU244" s="213"/>
    </row>
    <row r="245" ht="15.75" customHeight="1">
      <c r="A245" s="213"/>
      <c r="B245" s="213"/>
      <c r="C245" s="213"/>
      <c r="D245" s="213"/>
      <c r="E245" s="213"/>
      <c r="F245" s="213"/>
      <c r="G245" s="213"/>
      <c r="H245" s="213"/>
      <c r="I245" s="213"/>
      <c r="J245" s="213"/>
      <c r="K245" s="213"/>
      <c r="L245" s="213"/>
      <c r="M245" s="213"/>
      <c r="N245" s="213"/>
      <c r="O245" s="213"/>
      <c r="P245" s="213"/>
      <c r="Q245" s="213"/>
      <c r="R245" s="213"/>
      <c r="S245" s="213"/>
      <c r="T245" s="213"/>
      <c r="U245" s="213"/>
      <c r="V245" s="213"/>
      <c r="W245" s="213"/>
      <c r="X245" s="213"/>
      <c r="Y245" s="213"/>
      <c r="Z245" s="213"/>
      <c r="AA245" s="213"/>
      <c r="AB245" s="213"/>
      <c r="AC245" s="213"/>
      <c r="AD245" s="213"/>
      <c r="AE245" s="213"/>
      <c r="AF245" s="213"/>
      <c r="AG245" s="213"/>
      <c r="AH245" s="213"/>
      <c r="AI245" s="213"/>
      <c r="AJ245" s="213"/>
      <c r="AK245" s="213"/>
      <c r="AL245" s="213"/>
      <c r="AM245" s="213"/>
      <c r="AN245" s="213"/>
      <c r="AO245" s="213"/>
      <c r="AP245" s="213"/>
      <c r="AQ245" s="213"/>
      <c r="AR245" s="213"/>
      <c r="AS245" s="213"/>
      <c r="AT245" s="213"/>
      <c r="AU245" s="213"/>
      <c r="AV245" s="213"/>
      <c r="AW245" s="213"/>
      <c r="AX245" s="213"/>
      <c r="AY245" s="213"/>
      <c r="AZ245" s="213"/>
      <c r="BA245" s="213"/>
      <c r="BB245" s="213"/>
      <c r="BC245" s="213"/>
      <c r="BD245" s="213"/>
      <c r="BE245" s="213"/>
      <c r="BF245" s="213"/>
      <c r="BG245" s="213"/>
      <c r="BH245" s="213"/>
      <c r="BI245" s="213"/>
      <c r="BJ245" s="213"/>
      <c r="BK245" s="213"/>
      <c r="BL245" s="213"/>
      <c r="BM245" s="213"/>
      <c r="BN245" s="215"/>
      <c r="BO245" s="213"/>
      <c r="BP245" s="213"/>
      <c r="BQ245" s="213"/>
      <c r="BR245" s="326"/>
      <c r="BS245" s="213"/>
      <c r="BT245" s="213"/>
      <c r="BU245" s="213"/>
      <c r="BV245" s="213"/>
      <c r="BW245" s="213"/>
      <c r="BX245" s="213"/>
      <c r="BY245" s="213"/>
      <c r="BZ245" s="213"/>
      <c r="CA245" s="213"/>
      <c r="CB245" s="213"/>
      <c r="CC245" s="213"/>
      <c r="CD245" s="213"/>
      <c r="CE245" s="213"/>
      <c r="CF245" s="213"/>
      <c r="CG245" s="213"/>
      <c r="CH245" s="213"/>
      <c r="CI245" s="213"/>
      <c r="CJ245" s="213"/>
      <c r="CK245" s="213"/>
      <c r="CL245" s="213"/>
      <c r="CM245" s="213"/>
      <c r="CN245" s="213"/>
      <c r="CO245" s="213"/>
      <c r="CP245" s="213"/>
      <c r="CQ245" s="213"/>
      <c r="CR245" s="213"/>
      <c r="CS245" s="213"/>
      <c r="CT245" s="213"/>
      <c r="CU245" s="213"/>
    </row>
    <row r="246" ht="15.75" customHeight="1">
      <c r="A246" s="213"/>
      <c r="B246" s="213"/>
      <c r="C246" s="213"/>
      <c r="D246" s="213"/>
      <c r="E246" s="213"/>
      <c r="F246" s="213"/>
      <c r="G246" s="213"/>
      <c r="H246" s="213"/>
      <c r="I246" s="213"/>
      <c r="J246" s="213"/>
      <c r="K246" s="213"/>
      <c r="L246" s="213"/>
      <c r="M246" s="213"/>
      <c r="N246" s="213"/>
      <c r="O246" s="213"/>
      <c r="P246" s="213"/>
      <c r="Q246" s="213"/>
      <c r="R246" s="213"/>
      <c r="S246" s="213"/>
      <c r="T246" s="213"/>
      <c r="U246" s="213"/>
      <c r="V246" s="213"/>
      <c r="W246" s="213"/>
      <c r="X246" s="213"/>
      <c r="Y246" s="213"/>
      <c r="Z246" s="213"/>
      <c r="AA246" s="213"/>
      <c r="AB246" s="213"/>
      <c r="AC246" s="213"/>
      <c r="AD246" s="213"/>
      <c r="AE246" s="213"/>
      <c r="AF246" s="213"/>
      <c r="AG246" s="213"/>
      <c r="AH246" s="213"/>
      <c r="AI246" s="213"/>
      <c r="AJ246" s="213"/>
      <c r="AK246" s="213"/>
      <c r="AL246" s="213"/>
      <c r="AM246" s="213"/>
      <c r="AN246" s="213"/>
      <c r="AO246" s="213"/>
      <c r="AP246" s="213"/>
      <c r="AQ246" s="213"/>
      <c r="AR246" s="213"/>
      <c r="AS246" s="213"/>
      <c r="AT246" s="213"/>
      <c r="AU246" s="213"/>
      <c r="AV246" s="213"/>
      <c r="AW246" s="213"/>
      <c r="AX246" s="213"/>
      <c r="AY246" s="213"/>
      <c r="AZ246" s="213"/>
      <c r="BA246" s="213"/>
      <c r="BB246" s="213"/>
      <c r="BC246" s="213"/>
      <c r="BD246" s="213"/>
      <c r="BE246" s="213"/>
      <c r="BF246" s="213"/>
      <c r="BG246" s="213"/>
      <c r="BH246" s="213"/>
      <c r="BI246" s="213"/>
      <c r="BJ246" s="213"/>
      <c r="BK246" s="213"/>
      <c r="BL246" s="213"/>
      <c r="BM246" s="213"/>
      <c r="BN246" s="215"/>
      <c r="BO246" s="213"/>
      <c r="BP246" s="213"/>
      <c r="BQ246" s="213"/>
      <c r="BR246" s="326"/>
      <c r="BS246" s="213"/>
      <c r="BT246" s="213"/>
      <c r="BU246" s="213"/>
      <c r="BV246" s="213"/>
      <c r="BW246" s="213"/>
      <c r="BX246" s="213"/>
      <c r="BY246" s="213"/>
      <c r="BZ246" s="213"/>
      <c r="CA246" s="213"/>
      <c r="CB246" s="213"/>
      <c r="CC246" s="213"/>
      <c r="CD246" s="213"/>
      <c r="CE246" s="213"/>
      <c r="CF246" s="213"/>
      <c r="CG246" s="213"/>
      <c r="CH246" s="213"/>
      <c r="CI246" s="213"/>
      <c r="CJ246" s="213"/>
      <c r="CK246" s="213"/>
      <c r="CL246" s="213"/>
      <c r="CM246" s="213"/>
      <c r="CN246" s="213"/>
      <c r="CO246" s="213"/>
      <c r="CP246" s="213"/>
      <c r="CQ246" s="213"/>
      <c r="CR246" s="213"/>
      <c r="CS246" s="213"/>
      <c r="CT246" s="213"/>
      <c r="CU246" s="213"/>
    </row>
    <row r="247" ht="15.75" customHeight="1">
      <c r="A247" s="213"/>
      <c r="B247" s="213"/>
      <c r="C247" s="213"/>
      <c r="D247" s="213"/>
      <c r="E247" s="213"/>
      <c r="F247" s="213"/>
      <c r="G247" s="213"/>
      <c r="H247" s="213"/>
      <c r="I247" s="213"/>
      <c r="J247" s="213"/>
      <c r="K247" s="213"/>
      <c r="L247" s="213"/>
      <c r="M247" s="213"/>
      <c r="N247" s="213"/>
      <c r="O247" s="213"/>
      <c r="P247" s="213"/>
      <c r="Q247" s="213"/>
      <c r="R247" s="213"/>
      <c r="S247" s="213"/>
      <c r="T247" s="213"/>
      <c r="U247" s="213"/>
      <c r="V247" s="213"/>
      <c r="W247" s="213"/>
      <c r="X247" s="213"/>
      <c r="Y247" s="213"/>
      <c r="Z247" s="213"/>
      <c r="AA247" s="213"/>
      <c r="AB247" s="213"/>
      <c r="AC247" s="213"/>
      <c r="AD247" s="213"/>
      <c r="AE247" s="213"/>
      <c r="AF247" s="213"/>
      <c r="AG247" s="213"/>
      <c r="AH247" s="213"/>
      <c r="AI247" s="213"/>
      <c r="AJ247" s="213"/>
      <c r="AK247" s="213"/>
      <c r="AL247" s="213"/>
      <c r="AM247" s="213"/>
      <c r="AN247" s="213"/>
      <c r="AO247" s="213"/>
      <c r="AP247" s="213"/>
      <c r="AQ247" s="213"/>
      <c r="AR247" s="213"/>
      <c r="AS247" s="213"/>
      <c r="AT247" s="213"/>
      <c r="AU247" s="213"/>
      <c r="AV247" s="213"/>
      <c r="AW247" s="213"/>
      <c r="AX247" s="213"/>
      <c r="AY247" s="213"/>
      <c r="AZ247" s="213"/>
      <c r="BA247" s="213"/>
      <c r="BB247" s="213"/>
      <c r="BC247" s="213"/>
      <c r="BD247" s="213"/>
      <c r="BE247" s="213"/>
      <c r="BF247" s="213"/>
      <c r="BG247" s="213"/>
      <c r="BH247" s="213"/>
      <c r="BI247" s="213"/>
      <c r="BJ247" s="213"/>
      <c r="BK247" s="213"/>
      <c r="BL247" s="213"/>
      <c r="BM247" s="213"/>
      <c r="BN247" s="215"/>
      <c r="BO247" s="213"/>
      <c r="BP247" s="213"/>
      <c r="BQ247" s="213"/>
      <c r="BR247" s="326"/>
      <c r="BS247" s="213"/>
      <c r="BT247" s="213"/>
      <c r="BU247" s="213"/>
      <c r="BV247" s="213"/>
      <c r="BW247" s="213"/>
      <c r="BX247" s="213"/>
      <c r="BY247" s="213"/>
      <c r="BZ247" s="213"/>
      <c r="CA247" s="213"/>
      <c r="CB247" s="213"/>
      <c r="CC247" s="213"/>
      <c r="CD247" s="213"/>
      <c r="CE247" s="213"/>
      <c r="CF247" s="213"/>
      <c r="CG247" s="213"/>
      <c r="CH247" s="213"/>
      <c r="CI247" s="213"/>
      <c r="CJ247" s="213"/>
      <c r="CK247" s="213"/>
      <c r="CL247" s="213"/>
      <c r="CM247" s="213"/>
      <c r="CN247" s="213"/>
      <c r="CO247" s="213"/>
      <c r="CP247" s="213"/>
      <c r="CQ247" s="213"/>
      <c r="CR247" s="213"/>
      <c r="CS247" s="213"/>
      <c r="CT247" s="213"/>
      <c r="CU247" s="213"/>
    </row>
    <row r="248" ht="15.75" customHeight="1">
      <c r="A248" s="213"/>
      <c r="B248" s="213"/>
      <c r="C248" s="213"/>
      <c r="D248" s="213"/>
      <c r="E248" s="213"/>
      <c r="F248" s="213"/>
      <c r="G248" s="213"/>
      <c r="H248" s="213"/>
      <c r="I248" s="213"/>
      <c r="J248" s="213"/>
      <c r="K248" s="213"/>
      <c r="L248" s="213"/>
      <c r="M248" s="213"/>
      <c r="N248" s="213"/>
      <c r="O248" s="213"/>
      <c r="P248" s="213"/>
      <c r="Q248" s="213"/>
      <c r="R248" s="213"/>
      <c r="S248" s="213"/>
      <c r="T248" s="213"/>
      <c r="U248" s="213"/>
      <c r="V248" s="213"/>
      <c r="W248" s="213"/>
      <c r="X248" s="213"/>
      <c r="Y248" s="213"/>
      <c r="Z248" s="213"/>
      <c r="AA248" s="213"/>
      <c r="AB248" s="213"/>
      <c r="AC248" s="213"/>
      <c r="AD248" s="213"/>
      <c r="AE248" s="213"/>
      <c r="AF248" s="213"/>
      <c r="AG248" s="213"/>
      <c r="AH248" s="213"/>
      <c r="AI248" s="213"/>
      <c r="AJ248" s="213"/>
      <c r="AK248" s="213"/>
      <c r="AL248" s="213"/>
      <c r="AM248" s="213"/>
      <c r="AN248" s="213"/>
      <c r="AO248" s="213"/>
      <c r="AP248" s="213"/>
      <c r="AQ248" s="213"/>
      <c r="AR248" s="213"/>
      <c r="AS248" s="213"/>
      <c r="AT248" s="213"/>
      <c r="AU248" s="213"/>
      <c r="AV248" s="213"/>
      <c r="AW248" s="213"/>
      <c r="AX248" s="213"/>
      <c r="AY248" s="213"/>
      <c r="AZ248" s="213"/>
      <c r="BA248" s="213"/>
      <c r="BB248" s="213"/>
      <c r="BC248" s="213"/>
      <c r="BD248" s="213"/>
      <c r="BE248" s="213"/>
      <c r="BF248" s="213"/>
      <c r="BG248" s="213"/>
      <c r="BH248" s="213"/>
      <c r="BI248" s="213"/>
      <c r="BJ248" s="213"/>
      <c r="BK248" s="213"/>
      <c r="BL248" s="213"/>
      <c r="BM248" s="213"/>
      <c r="BN248" s="215"/>
      <c r="BO248" s="213"/>
      <c r="BP248" s="213"/>
      <c r="BQ248" s="213"/>
      <c r="BR248" s="326"/>
      <c r="BS248" s="213"/>
      <c r="BT248" s="213"/>
      <c r="BU248" s="213"/>
      <c r="BV248" s="213"/>
      <c r="BW248" s="213"/>
      <c r="BX248" s="213"/>
      <c r="BY248" s="213"/>
      <c r="BZ248" s="213"/>
      <c r="CA248" s="213"/>
      <c r="CB248" s="213"/>
      <c r="CC248" s="213"/>
      <c r="CD248" s="213"/>
      <c r="CE248" s="213"/>
      <c r="CF248" s="213"/>
      <c r="CG248" s="213"/>
      <c r="CH248" s="213"/>
      <c r="CI248" s="213"/>
      <c r="CJ248" s="213"/>
      <c r="CK248" s="213"/>
      <c r="CL248" s="213"/>
      <c r="CM248" s="213"/>
      <c r="CN248" s="213"/>
      <c r="CO248" s="213"/>
      <c r="CP248" s="213"/>
      <c r="CQ248" s="213"/>
      <c r="CR248" s="213"/>
      <c r="CS248" s="213"/>
      <c r="CT248" s="213"/>
      <c r="CU248" s="213"/>
    </row>
    <row r="249" ht="15.75" customHeight="1">
      <c r="A249" s="213"/>
      <c r="B249" s="213"/>
      <c r="C249" s="213"/>
      <c r="D249" s="213"/>
      <c r="E249" s="213"/>
      <c r="F249" s="213"/>
      <c r="G249" s="213"/>
      <c r="H249" s="213"/>
      <c r="I249" s="213"/>
      <c r="J249" s="213"/>
      <c r="K249" s="213"/>
      <c r="L249" s="213"/>
      <c r="M249" s="213"/>
      <c r="N249" s="213"/>
      <c r="O249" s="213"/>
      <c r="P249" s="213"/>
      <c r="Q249" s="213"/>
      <c r="R249" s="213"/>
      <c r="S249" s="213"/>
      <c r="T249" s="213"/>
      <c r="U249" s="213"/>
      <c r="V249" s="213"/>
      <c r="W249" s="213"/>
      <c r="X249" s="213"/>
      <c r="Y249" s="213"/>
      <c r="Z249" s="213"/>
      <c r="AA249" s="213"/>
      <c r="AB249" s="213"/>
      <c r="AC249" s="213"/>
      <c r="AD249" s="213"/>
      <c r="AE249" s="213"/>
      <c r="AF249" s="213"/>
      <c r="AG249" s="213"/>
      <c r="AH249" s="213"/>
      <c r="AI249" s="213"/>
      <c r="AJ249" s="213"/>
      <c r="AK249" s="213"/>
      <c r="AL249" s="213"/>
      <c r="AM249" s="213"/>
      <c r="AN249" s="213"/>
      <c r="AO249" s="213"/>
      <c r="AP249" s="213"/>
      <c r="AQ249" s="213"/>
      <c r="AR249" s="213"/>
      <c r="AS249" s="213"/>
      <c r="AT249" s="213"/>
      <c r="AU249" s="213"/>
      <c r="AV249" s="213"/>
      <c r="AW249" s="213"/>
      <c r="AX249" s="213"/>
      <c r="AY249" s="213"/>
      <c r="AZ249" s="213"/>
      <c r="BA249" s="213"/>
      <c r="BB249" s="213"/>
      <c r="BC249" s="213"/>
      <c r="BD249" s="213"/>
      <c r="BE249" s="213"/>
      <c r="BF249" s="213"/>
      <c r="BG249" s="213"/>
      <c r="BH249" s="213"/>
      <c r="BI249" s="213"/>
      <c r="BJ249" s="213"/>
      <c r="BK249" s="213"/>
      <c r="BL249" s="213"/>
      <c r="BM249" s="213"/>
      <c r="BN249" s="215"/>
      <c r="BO249" s="213"/>
      <c r="BP249" s="213"/>
      <c r="BQ249" s="213"/>
      <c r="BR249" s="326"/>
      <c r="BS249" s="213"/>
      <c r="BT249" s="213"/>
      <c r="BU249" s="213"/>
      <c r="BV249" s="213"/>
      <c r="BW249" s="213"/>
      <c r="BX249" s="213"/>
      <c r="BY249" s="213"/>
      <c r="BZ249" s="213"/>
      <c r="CA249" s="213"/>
      <c r="CB249" s="213"/>
      <c r="CC249" s="213"/>
      <c r="CD249" s="213"/>
      <c r="CE249" s="213"/>
      <c r="CF249" s="213"/>
      <c r="CG249" s="213"/>
      <c r="CH249" s="213"/>
      <c r="CI249" s="213"/>
      <c r="CJ249" s="213"/>
      <c r="CK249" s="213"/>
      <c r="CL249" s="213"/>
      <c r="CM249" s="213"/>
      <c r="CN249" s="213"/>
      <c r="CO249" s="213"/>
      <c r="CP249" s="213"/>
      <c r="CQ249" s="213"/>
      <c r="CR249" s="213"/>
      <c r="CS249" s="213"/>
      <c r="CT249" s="213"/>
      <c r="CU249" s="213"/>
    </row>
    <row r="250" ht="15.75" customHeight="1">
      <c r="A250" s="213"/>
      <c r="B250" s="213"/>
      <c r="C250" s="213"/>
      <c r="D250" s="213"/>
      <c r="E250" s="213"/>
      <c r="F250" s="213"/>
      <c r="G250" s="213"/>
      <c r="H250" s="213"/>
      <c r="I250" s="213"/>
      <c r="J250" s="213"/>
      <c r="K250" s="213"/>
      <c r="L250" s="213"/>
      <c r="M250" s="213"/>
      <c r="N250" s="213"/>
      <c r="O250" s="213"/>
      <c r="P250" s="213"/>
      <c r="Q250" s="213"/>
      <c r="R250" s="213"/>
      <c r="S250" s="213"/>
      <c r="T250" s="213"/>
      <c r="U250" s="213"/>
      <c r="V250" s="213"/>
      <c r="W250" s="213"/>
      <c r="X250" s="213"/>
      <c r="Y250" s="213"/>
      <c r="Z250" s="213"/>
      <c r="AA250" s="213"/>
      <c r="AB250" s="213"/>
      <c r="AC250" s="213"/>
      <c r="AD250" s="213"/>
      <c r="AE250" s="213"/>
      <c r="AF250" s="213"/>
      <c r="AG250" s="213"/>
      <c r="AH250" s="213"/>
      <c r="AI250" s="213"/>
      <c r="AJ250" s="213"/>
      <c r="AK250" s="213"/>
      <c r="AL250" s="213"/>
      <c r="AM250" s="213"/>
      <c r="AN250" s="213"/>
      <c r="AO250" s="213"/>
      <c r="AP250" s="213"/>
      <c r="AQ250" s="213"/>
      <c r="AR250" s="213"/>
      <c r="AS250" s="213"/>
      <c r="AT250" s="213"/>
      <c r="AU250" s="213"/>
      <c r="AV250" s="213"/>
      <c r="AW250" s="213"/>
      <c r="AX250" s="213"/>
      <c r="AY250" s="213"/>
      <c r="AZ250" s="213"/>
      <c r="BA250" s="213"/>
      <c r="BB250" s="213"/>
      <c r="BC250" s="213"/>
      <c r="BD250" s="213"/>
      <c r="BE250" s="213"/>
      <c r="BF250" s="213"/>
      <c r="BG250" s="213"/>
      <c r="BH250" s="213"/>
      <c r="BI250" s="213"/>
      <c r="BJ250" s="213"/>
      <c r="BK250" s="213"/>
      <c r="BL250" s="213"/>
      <c r="BM250" s="213"/>
      <c r="BN250" s="215"/>
      <c r="BO250" s="213"/>
      <c r="BP250" s="213"/>
      <c r="BQ250" s="213"/>
      <c r="BR250" s="326"/>
      <c r="BS250" s="213"/>
      <c r="BT250" s="213"/>
      <c r="BU250" s="213"/>
      <c r="BV250" s="213"/>
      <c r="BW250" s="213"/>
      <c r="BX250" s="213"/>
      <c r="BY250" s="213"/>
      <c r="BZ250" s="213"/>
      <c r="CA250" s="213"/>
      <c r="CB250" s="213"/>
      <c r="CC250" s="213"/>
      <c r="CD250" s="213"/>
      <c r="CE250" s="213"/>
      <c r="CF250" s="213"/>
      <c r="CG250" s="213"/>
      <c r="CH250" s="213"/>
      <c r="CI250" s="213"/>
      <c r="CJ250" s="213"/>
      <c r="CK250" s="213"/>
      <c r="CL250" s="213"/>
      <c r="CM250" s="213"/>
      <c r="CN250" s="213"/>
      <c r="CO250" s="213"/>
      <c r="CP250" s="213"/>
      <c r="CQ250" s="213"/>
      <c r="CR250" s="213"/>
      <c r="CS250" s="213"/>
      <c r="CT250" s="213"/>
      <c r="CU250" s="213"/>
    </row>
    <row r="251" ht="15.75" customHeight="1">
      <c r="A251" s="213"/>
      <c r="B251" s="213"/>
      <c r="C251" s="213"/>
      <c r="D251" s="213"/>
      <c r="E251" s="213"/>
      <c r="F251" s="213"/>
      <c r="G251" s="213"/>
      <c r="H251" s="213"/>
      <c r="I251" s="213"/>
      <c r="J251" s="213"/>
      <c r="K251" s="213"/>
      <c r="L251" s="213"/>
      <c r="M251" s="213"/>
      <c r="N251" s="213"/>
      <c r="O251" s="213"/>
      <c r="P251" s="213"/>
      <c r="Q251" s="213"/>
      <c r="R251" s="213"/>
      <c r="S251" s="213"/>
      <c r="T251" s="213"/>
      <c r="U251" s="213"/>
      <c r="V251" s="213"/>
      <c r="W251" s="213"/>
      <c r="X251" s="213"/>
      <c r="Y251" s="213"/>
      <c r="Z251" s="213"/>
      <c r="AA251" s="213"/>
      <c r="AB251" s="213"/>
      <c r="AC251" s="213"/>
      <c r="AD251" s="213"/>
      <c r="AE251" s="213"/>
      <c r="AF251" s="213"/>
      <c r="AG251" s="213"/>
      <c r="AH251" s="213"/>
      <c r="AI251" s="213"/>
      <c r="AJ251" s="213"/>
      <c r="AK251" s="213"/>
      <c r="AL251" s="213"/>
      <c r="AM251" s="213"/>
      <c r="AN251" s="213"/>
      <c r="AO251" s="213"/>
      <c r="AP251" s="213"/>
      <c r="AQ251" s="213"/>
      <c r="AR251" s="213"/>
      <c r="AS251" s="213"/>
      <c r="AT251" s="213"/>
      <c r="AU251" s="213"/>
      <c r="AV251" s="213"/>
      <c r="AW251" s="213"/>
      <c r="AX251" s="213"/>
      <c r="AY251" s="213"/>
      <c r="AZ251" s="213"/>
      <c r="BA251" s="213"/>
      <c r="BB251" s="213"/>
      <c r="BC251" s="213"/>
      <c r="BD251" s="213"/>
      <c r="BE251" s="213"/>
      <c r="BF251" s="213"/>
      <c r="BG251" s="213"/>
      <c r="BH251" s="213"/>
      <c r="BI251" s="213"/>
      <c r="BJ251" s="213"/>
      <c r="BK251" s="213"/>
      <c r="BL251" s="213"/>
      <c r="BM251" s="213"/>
      <c r="BN251" s="215"/>
      <c r="BO251" s="213"/>
      <c r="BP251" s="213"/>
      <c r="BQ251" s="213"/>
      <c r="BR251" s="326"/>
      <c r="BS251" s="213"/>
      <c r="BT251" s="213"/>
      <c r="BU251" s="213"/>
      <c r="BV251" s="213"/>
      <c r="BW251" s="213"/>
      <c r="BX251" s="213"/>
      <c r="BY251" s="213"/>
      <c r="BZ251" s="213"/>
      <c r="CA251" s="213"/>
      <c r="CB251" s="213"/>
      <c r="CC251" s="213"/>
      <c r="CD251" s="213"/>
      <c r="CE251" s="213"/>
      <c r="CF251" s="213"/>
      <c r="CG251" s="213"/>
      <c r="CH251" s="213"/>
      <c r="CI251" s="213"/>
      <c r="CJ251" s="213"/>
      <c r="CK251" s="213"/>
      <c r="CL251" s="213"/>
      <c r="CM251" s="213"/>
      <c r="CN251" s="213"/>
      <c r="CO251" s="213"/>
      <c r="CP251" s="213"/>
      <c r="CQ251" s="213"/>
      <c r="CR251" s="213"/>
      <c r="CS251" s="213"/>
      <c r="CT251" s="213"/>
      <c r="CU251" s="213"/>
    </row>
    <row r="252" ht="15.75" customHeight="1">
      <c r="A252" s="213"/>
      <c r="B252" s="213"/>
      <c r="C252" s="213"/>
      <c r="D252" s="213"/>
      <c r="E252" s="213"/>
      <c r="F252" s="213"/>
      <c r="G252" s="213"/>
      <c r="H252" s="213"/>
      <c r="I252" s="213"/>
      <c r="J252" s="213"/>
      <c r="K252" s="213"/>
      <c r="L252" s="213"/>
      <c r="M252" s="213"/>
      <c r="N252" s="213"/>
      <c r="O252" s="213"/>
      <c r="P252" s="213"/>
      <c r="Q252" s="213"/>
      <c r="R252" s="213"/>
      <c r="S252" s="213"/>
      <c r="T252" s="213"/>
      <c r="U252" s="213"/>
      <c r="V252" s="213"/>
      <c r="W252" s="213"/>
      <c r="X252" s="213"/>
      <c r="Y252" s="213"/>
      <c r="Z252" s="213"/>
      <c r="AA252" s="213"/>
      <c r="AB252" s="213"/>
      <c r="AC252" s="213"/>
      <c r="AD252" s="213"/>
      <c r="AE252" s="213"/>
      <c r="AF252" s="213"/>
      <c r="AG252" s="213"/>
      <c r="AH252" s="213"/>
      <c r="AI252" s="213"/>
      <c r="AJ252" s="213"/>
      <c r="AK252" s="213"/>
      <c r="AL252" s="213"/>
      <c r="AM252" s="213"/>
      <c r="AN252" s="213"/>
      <c r="AO252" s="213"/>
      <c r="AP252" s="213"/>
      <c r="AQ252" s="213"/>
      <c r="AR252" s="213"/>
      <c r="AS252" s="213"/>
      <c r="AT252" s="213"/>
      <c r="AU252" s="213"/>
      <c r="AV252" s="213"/>
      <c r="AW252" s="213"/>
      <c r="AX252" s="213"/>
      <c r="AY252" s="213"/>
      <c r="AZ252" s="213"/>
      <c r="BA252" s="213"/>
      <c r="BB252" s="213"/>
      <c r="BC252" s="213"/>
      <c r="BD252" s="213"/>
      <c r="BE252" s="213"/>
      <c r="BF252" s="213"/>
      <c r="BG252" s="213"/>
      <c r="BH252" s="213"/>
      <c r="BI252" s="213"/>
      <c r="BJ252" s="213"/>
      <c r="BK252" s="213"/>
      <c r="BL252" s="213"/>
      <c r="BM252" s="213"/>
      <c r="BN252" s="215"/>
      <c r="BO252" s="213"/>
      <c r="BP252" s="213"/>
      <c r="BQ252" s="213"/>
      <c r="BR252" s="326"/>
      <c r="BS252" s="213"/>
      <c r="BT252" s="213"/>
      <c r="BU252" s="213"/>
      <c r="BV252" s="213"/>
      <c r="BW252" s="213"/>
      <c r="BX252" s="213"/>
      <c r="BY252" s="213"/>
      <c r="BZ252" s="213"/>
      <c r="CA252" s="213"/>
      <c r="CB252" s="213"/>
      <c r="CC252" s="213"/>
      <c r="CD252" s="213"/>
      <c r="CE252" s="213"/>
      <c r="CF252" s="213"/>
      <c r="CG252" s="213"/>
      <c r="CH252" s="213"/>
      <c r="CI252" s="213"/>
      <c r="CJ252" s="213"/>
      <c r="CK252" s="213"/>
      <c r="CL252" s="213"/>
      <c r="CM252" s="213"/>
      <c r="CN252" s="213"/>
      <c r="CO252" s="213"/>
      <c r="CP252" s="213"/>
      <c r="CQ252" s="213"/>
      <c r="CR252" s="213"/>
      <c r="CS252" s="213"/>
      <c r="CT252" s="213"/>
      <c r="CU252" s="213"/>
    </row>
    <row r="253" ht="15.75" customHeight="1">
      <c r="A253" s="213"/>
      <c r="B253" s="213"/>
      <c r="C253" s="213"/>
      <c r="D253" s="213"/>
      <c r="E253" s="213"/>
      <c r="F253" s="213"/>
      <c r="G253" s="213"/>
      <c r="H253" s="213"/>
      <c r="I253" s="213"/>
      <c r="J253" s="213"/>
      <c r="K253" s="213"/>
      <c r="L253" s="213"/>
      <c r="M253" s="213"/>
      <c r="N253" s="213"/>
      <c r="O253" s="213"/>
      <c r="P253" s="213"/>
      <c r="Q253" s="213"/>
      <c r="R253" s="213"/>
      <c r="S253" s="213"/>
      <c r="T253" s="213"/>
      <c r="U253" s="213"/>
      <c r="V253" s="213"/>
      <c r="W253" s="213"/>
      <c r="X253" s="213"/>
      <c r="Y253" s="213"/>
      <c r="Z253" s="213"/>
      <c r="AA253" s="213"/>
      <c r="AB253" s="213"/>
      <c r="AC253" s="213"/>
      <c r="AD253" s="213"/>
      <c r="AE253" s="213"/>
      <c r="AF253" s="213"/>
      <c r="AG253" s="213"/>
      <c r="AH253" s="213"/>
      <c r="AI253" s="213"/>
      <c r="AJ253" s="213"/>
      <c r="AK253" s="213"/>
      <c r="AL253" s="213"/>
      <c r="AM253" s="213"/>
      <c r="AN253" s="213"/>
      <c r="AO253" s="213"/>
      <c r="AP253" s="213"/>
      <c r="AQ253" s="213"/>
      <c r="AR253" s="213"/>
      <c r="AS253" s="213"/>
      <c r="AT253" s="213"/>
      <c r="AU253" s="213"/>
      <c r="AV253" s="213"/>
      <c r="AW253" s="213"/>
      <c r="AX253" s="213"/>
      <c r="AY253" s="213"/>
      <c r="AZ253" s="213"/>
      <c r="BA253" s="213"/>
      <c r="BB253" s="213"/>
      <c r="BC253" s="213"/>
      <c r="BD253" s="213"/>
      <c r="BE253" s="213"/>
      <c r="BF253" s="213"/>
      <c r="BG253" s="213"/>
      <c r="BH253" s="213"/>
      <c r="BI253" s="213"/>
      <c r="BJ253" s="213"/>
      <c r="BK253" s="213"/>
      <c r="BL253" s="213"/>
      <c r="BM253" s="213"/>
      <c r="BN253" s="215"/>
      <c r="BO253" s="213"/>
      <c r="BP253" s="213"/>
      <c r="BQ253" s="213"/>
      <c r="BR253" s="326"/>
      <c r="BS253" s="213"/>
      <c r="BT253" s="213"/>
      <c r="BU253" s="213"/>
      <c r="BV253" s="213"/>
      <c r="BW253" s="213"/>
      <c r="BX253" s="213"/>
      <c r="BY253" s="213"/>
      <c r="BZ253" s="213"/>
      <c r="CA253" s="213"/>
      <c r="CB253" s="213"/>
      <c r="CC253" s="213"/>
      <c r="CD253" s="213"/>
      <c r="CE253" s="213"/>
      <c r="CF253" s="213"/>
      <c r="CG253" s="213"/>
      <c r="CH253" s="213"/>
      <c r="CI253" s="213"/>
      <c r="CJ253" s="213"/>
      <c r="CK253" s="213"/>
      <c r="CL253" s="213"/>
      <c r="CM253" s="213"/>
      <c r="CN253" s="213"/>
      <c r="CO253" s="213"/>
      <c r="CP253" s="213"/>
      <c r="CQ253" s="213"/>
      <c r="CR253" s="213"/>
      <c r="CS253" s="213"/>
      <c r="CT253" s="213"/>
      <c r="CU253" s="213"/>
    </row>
    <row r="254" ht="15.75" customHeight="1">
      <c r="A254" s="213"/>
      <c r="B254" s="213"/>
      <c r="C254" s="213"/>
      <c r="D254" s="213"/>
      <c r="E254" s="213"/>
      <c r="F254" s="213"/>
      <c r="G254" s="213"/>
      <c r="H254" s="213"/>
      <c r="I254" s="213"/>
      <c r="J254" s="213"/>
      <c r="K254" s="213"/>
      <c r="L254" s="213"/>
      <c r="M254" s="213"/>
      <c r="N254" s="213"/>
      <c r="O254" s="213"/>
      <c r="P254" s="213"/>
      <c r="Q254" s="213"/>
      <c r="R254" s="213"/>
      <c r="S254" s="213"/>
      <c r="T254" s="213"/>
      <c r="U254" s="213"/>
      <c r="V254" s="213"/>
      <c r="W254" s="213"/>
      <c r="X254" s="213"/>
      <c r="Y254" s="213"/>
      <c r="Z254" s="213"/>
      <c r="AA254" s="213"/>
      <c r="AB254" s="213"/>
      <c r="AC254" s="213"/>
      <c r="AD254" s="213"/>
      <c r="AE254" s="213"/>
      <c r="AF254" s="213"/>
      <c r="AG254" s="213"/>
      <c r="AH254" s="213"/>
      <c r="AI254" s="213"/>
      <c r="AJ254" s="213"/>
      <c r="AK254" s="213"/>
      <c r="AL254" s="213"/>
      <c r="AM254" s="213"/>
      <c r="AN254" s="213"/>
      <c r="AO254" s="213"/>
      <c r="AP254" s="213"/>
      <c r="AQ254" s="213"/>
      <c r="AR254" s="213"/>
      <c r="AS254" s="213"/>
      <c r="AT254" s="213"/>
      <c r="AU254" s="213"/>
      <c r="AV254" s="213"/>
      <c r="AW254" s="213"/>
      <c r="AX254" s="213"/>
      <c r="AY254" s="213"/>
      <c r="AZ254" s="213"/>
      <c r="BA254" s="213"/>
      <c r="BB254" s="213"/>
      <c r="BC254" s="213"/>
      <c r="BD254" s="213"/>
      <c r="BE254" s="213"/>
      <c r="BF254" s="213"/>
      <c r="BG254" s="213"/>
      <c r="BH254" s="213"/>
      <c r="BI254" s="213"/>
      <c r="BJ254" s="213"/>
      <c r="BK254" s="213"/>
      <c r="BL254" s="213"/>
      <c r="BM254" s="213"/>
      <c r="BN254" s="215"/>
      <c r="BO254" s="213"/>
      <c r="BP254" s="213"/>
      <c r="BQ254" s="213"/>
      <c r="BR254" s="326"/>
      <c r="BS254" s="213"/>
      <c r="BT254" s="213"/>
      <c r="BU254" s="213"/>
      <c r="BV254" s="213"/>
      <c r="BW254" s="213"/>
      <c r="BX254" s="213"/>
      <c r="BY254" s="213"/>
      <c r="BZ254" s="213"/>
      <c r="CA254" s="213"/>
      <c r="CB254" s="213"/>
      <c r="CC254" s="213"/>
      <c r="CD254" s="213"/>
      <c r="CE254" s="213"/>
      <c r="CF254" s="213"/>
      <c r="CG254" s="213"/>
      <c r="CH254" s="213"/>
      <c r="CI254" s="213"/>
      <c r="CJ254" s="213"/>
      <c r="CK254" s="213"/>
      <c r="CL254" s="213"/>
      <c r="CM254" s="213"/>
      <c r="CN254" s="213"/>
      <c r="CO254" s="213"/>
      <c r="CP254" s="213"/>
      <c r="CQ254" s="213"/>
      <c r="CR254" s="213"/>
      <c r="CS254" s="213"/>
      <c r="CT254" s="213"/>
      <c r="CU254" s="213"/>
    </row>
    <row r="255" ht="15.75" customHeight="1">
      <c r="A255" s="213"/>
      <c r="B255" s="213"/>
      <c r="C255" s="213"/>
      <c r="D255" s="213"/>
      <c r="E255" s="213"/>
      <c r="F255" s="213"/>
      <c r="G255" s="213"/>
      <c r="H255" s="213"/>
      <c r="I255" s="213"/>
      <c r="J255" s="213"/>
      <c r="K255" s="213"/>
      <c r="L255" s="213"/>
      <c r="M255" s="213"/>
      <c r="N255" s="213"/>
      <c r="O255" s="213"/>
      <c r="P255" s="213"/>
      <c r="Q255" s="213"/>
      <c r="R255" s="213"/>
      <c r="S255" s="213"/>
      <c r="T255" s="213"/>
      <c r="U255" s="213"/>
      <c r="V255" s="213"/>
      <c r="W255" s="213"/>
      <c r="X255" s="213"/>
      <c r="Y255" s="213"/>
      <c r="Z255" s="213"/>
      <c r="AA255" s="213"/>
      <c r="AB255" s="213"/>
      <c r="AC255" s="213"/>
      <c r="AD255" s="213"/>
      <c r="AE255" s="213"/>
      <c r="AF255" s="213"/>
      <c r="AG255" s="213"/>
      <c r="AH255" s="213"/>
      <c r="AI255" s="213"/>
      <c r="AJ255" s="213"/>
      <c r="AK255" s="213"/>
      <c r="AL255" s="213"/>
      <c r="AM255" s="213"/>
      <c r="AN255" s="213"/>
      <c r="AO255" s="213"/>
      <c r="AP255" s="213"/>
      <c r="AQ255" s="213"/>
      <c r="AR255" s="213"/>
      <c r="AS255" s="213"/>
      <c r="AT255" s="213"/>
      <c r="AU255" s="213"/>
      <c r="AV255" s="213"/>
      <c r="AW255" s="213"/>
      <c r="AX255" s="213"/>
      <c r="AY255" s="213"/>
      <c r="AZ255" s="213"/>
      <c r="BA255" s="213"/>
      <c r="BB255" s="213"/>
      <c r="BC255" s="213"/>
      <c r="BD255" s="213"/>
      <c r="BE255" s="213"/>
      <c r="BF255" s="213"/>
      <c r="BG255" s="213"/>
      <c r="BH255" s="213"/>
      <c r="BI255" s="213"/>
      <c r="BJ255" s="213"/>
      <c r="BK255" s="213"/>
      <c r="BL255" s="213"/>
      <c r="BM255" s="213"/>
      <c r="BN255" s="215"/>
      <c r="BO255" s="213"/>
      <c r="BP255" s="213"/>
      <c r="BQ255" s="213"/>
      <c r="BR255" s="326"/>
      <c r="BS255" s="213"/>
      <c r="BT255" s="213"/>
      <c r="BU255" s="213"/>
      <c r="BV255" s="213"/>
      <c r="BW255" s="213"/>
      <c r="BX255" s="213"/>
      <c r="BY255" s="213"/>
      <c r="BZ255" s="213"/>
      <c r="CA255" s="213"/>
      <c r="CB255" s="213"/>
      <c r="CC255" s="213"/>
      <c r="CD255" s="213"/>
      <c r="CE255" s="213"/>
      <c r="CF255" s="213"/>
      <c r="CG255" s="213"/>
      <c r="CH255" s="213"/>
      <c r="CI255" s="213"/>
      <c r="CJ255" s="213"/>
      <c r="CK255" s="213"/>
      <c r="CL255" s="213"/>
      <c r="CM255" s="213"/>
      <c r="CN255" s="213"/>
      <c r="CO255" s="213"/>
      <c r="CP255" s="213"/>
      <c r="CQ255" s="213"/>
      <c r="CR255" s="213"/>
      <c r="CS255" s="213"/>
      <c r="CT255" s="213"/>
      <c r="CU255" s="213"/>
    </row>
    <row r="256" ht="15.75" customHeight="1">
      <c r="A256" s="213"/>
      <c r="B256" s="213"/>
      <c r="C256" s="213"/>
      <c r="D256" s="213"/>
      <c r="E256" s="213"/>
      <c r="F256" s="213"/>
      <c r="G256" s="213"/>
      <c r="H256" s="213"/>
      <c r="I256" s="213"/>
      <c r="J256" s="213"/>
      <c r="K256" s="213"/>
      <c r="L256" s="213"/>
      <c r="M256" s="213"/>
      <c r="N256" s="213"/>
      <c r="O256" s="213"/>
      <c r="P256" s="213"/>
      <c r="Q256" s="213"/>
      <c r="R256" s="213"/>
      <c r="S256" s="213"/>
      <c r="T256" s="213"/>
      <c r="U256" s="213"/>
      <c r="V256" s="213"/>
      <c r="W256" s="213"/>
      <c r="X256" s="213"/>
      <c r="Y256" s="213"/>
      <c r="Z256" s="213"/>
      <c r="AA256" s="213"/>
      <c r="AB256" s="213"/>
      <c r="AC256" s="213"/>
      <c r="AD256" s="213"/>
      <c r="AE256" s="213"/>
      <c r="AF256" s="213"/>
      <c r="AG256" s="213"/>
      <c r="AH256" s="213"/>
      <c r="AI256" s="213"/>
      <c r="AJ256" s="213"/>
      <c r="AK256" s="213"/>
      <c r="AL256" s="213"/>
      <c r="AM256" s="213"/>
      <c r="AN256" s="213"/>
      <c r="AO256" s="213"/>
      <c r="AP256" s="213"/>
      <c r="AQ256" s="213"/>
      <c r="AR256" s="213"/>
      <c r="AS256" s="213"/>
      <c r="AT256" s="213"/>
      <c r="AU256" s="213"/>
      <c r="AV256" s="213"/>
      <c r="AW256" s="213"/>
      <c r="AX256" s="213"/>
      <c r="AY256" s="213"/>
      <c r="AZ256" s="213"/>
      <c r="BA256" s="213"/>
      <c r="BB256" s="213"/>
      <c r="BC256" s="213"/>
      <c r="BD256" s="213"/>
      <c r="BE256" s="213"/>
      <c r="BF256" s="213"/>
      <c r="BG256" s="213"/>
      <c r="BH256" s="213"/>
      <c r="BI256" s="213"/>
      <c r="BJ256" s="213"/>
      <c r="BK256" s="213"/>
      <c r="BL256" s="213"/>
      <c r="BM256" s="213"/>
      <c r="BN256" s="215"/>
      <c r="BO256" s="213"/>
      <c r="BP256" s="213"/>
      <c r="BQ256" s="213"/>
      <c r="BR256" s="326"/>
      <c r="BS256" s="213"/>
      <c r="BT256" s="213"/>
      <c r="BU256" s="213"/>
      <c r="BV256" s="213"/>
      <c r="BW256" s="213"/>
      <c r="BX256" s="213"/>
      <c r="BY256" s="213"/>
      <c r="BZ256" s="213"/>
      <c r="CA256" s="213"/>
      <c r="CB256" s="213"/>
      <c r="CC256" s="213"/>
      <c r="CD256" s="213"/>
      <c r="CE256" s="213"/>
      <c r="CF256" s="213"/>
      <c r="CG256" s="213"/>
      <c r="CH256" s="213"/>
      <c r="CI256" s="213"/>
      <c r="CJ256" s="213"/>
      <c r="CK256" s="213"/>
      <c r="CL256" s="213"/>
      <c r="CM256" s="213"/>
      <c r="CN256" s="213"/>
      <c r="CO256" s="213"/>
      <c r="CP256" s="213"/>
      <c r="CQ256" s="213"/>
      <c r="CR256" s="213"/>
      <c r="CS256" s="213"/>
      <c r="CT256" s="213"/>
      <c r="CU256" s="213"/>
    </row>
    <row r="257" ht="15.75" customHeight="1">
      <c r="A257" s="213"/>
      <c r="B257" s="213"/>
      <c r="C257" s="213"/>
      <c r="D257" s="213"/>
      <c r="E257" s="213"/>
      <c r="F257" s="213"/>
      <c r="G257" s="213"/>
      <c r="H257" s="213"/>
      <c r="I257" s="213"/>
      <c r="J257" s="213"/>
      <c r="K257" s="213"/>
      <c r="L257" s="213"/>
      <c r="M257" s="213"/>
      <c r="N257" s="213"/>
      <c r="O257" s="213"/>
      <c r="P257" s="213"/>
      <c r="Q257" s="213"/>
      <c r="R257" s="213"/>
      <c r="S257" s="213"/>
      <c r="T257" s="213"/>
      <c r="U257" s="213"/>
      <c r="V257" s="213"/>
      <c r="W257" s="213"/>
      <c r="X257" s="213"/>
      <c r="Y257" s="213"/>
      <c r="Z257" s="213"/>
      <c r="AA257" s="213"/>
      <c r="AB257" s="213"/>
      <c r="AC257" s="213"/>
      <c r="AD257" s="213"/>
      <c r="AE257" s="213"/>
      <c r="AF257" s="213"/>
      <c r="AG257" s="213"/>
      <c r="AH257" s="213"/>
      <c r="AI257" s="213"/>
      <c r="AJ257" s="213"/>
      <c r="AK257" s="213"/>
      <c r="AL257" s="213"/>
      <c r="AM257" s="213"/>
      <c r="AN257" s="213"/>
      <c r="AO257" s="213"/>
      <c r="AP257" s="213"/>
      <c r="AQ257" s="213"/>
      <c r="AR257" s="213"/>
      <c r="AS257" s="213"/>
      <c r="AT257" s="213"/>
      <c r="AU257" s="213"/>
      <c r="AV257" s="213"/>
      <c r="AW257" s="213"/>
      <c r="AX257" s="213"/>
      <c r="AY257" s="213"/>
      <c r="AZ257" s="213"/>
      <c r="BA257" s="213"/>
      <c r="BB257" s="213"/>
      <c r="BC257" s="213"/>
      <c r="BD257" s="213"/>
      <c r="BE257" s="213"/>
      <c r="BF257" s="213"/>
      <c r="BG257" s="213"/>
      <c r="BH257" s="213"/>
      <c r="BI257" s="213"/>
      <c r="BJ257" s="213"/>
      <c r="BK257" s="213"/>
      <c r="BL257" s="213"/>
      <c r="BM257" s="213"/>
      <c r="BN257" s="215"/>
      <c r="BO257" s="213"/>
      <c r="BP257" s="213"/>
      <c r="BQ257" s="213"/>
      <c r="BR257" s="326"/>
      <c r="BS257" s="213"/>
      <c r="BT257" s="213"/>
      <c r="BU257" s="213"/>
      <c r="BV257" s="213"/>
      <c r="BW257" s="213"/>
      <c r="BX257" s="213"/>
      <c r="BY257" s="213"/>
      <c r="BZ257" s="213"/>
      <c r="CA257" s="213"/>
      <c r="CB257" s="213"/>
      <c r="CC257" s="213"/>
      <c r="CD257" s="213"/>
      <c r="CE257" s="213"/>
      <c r="CF257" s="213"/>
      <c r="CG257" s="213"/>
      <c r="CH257" s="213"/>
      <c r="CI257" s="213"/>
      <c r="CJ257" s="213"/>
      <c r="CK257" s="213"/>
      <c r="CL257" s="213"/>
      <c r="CM257" s="213"/>
      <c r="CN257" s="213"/>
      <c r="CO257" s="213"/>
      <c r="CP257" s="213"/>
      <c r="CQ257" s="213"/>
      <c r="CR257" s="213"/>
      <c r="CS257" s="213"/>
      <c r="CT257" s="213"/>
      <c r="CU257" s="213"/>
    </row>
    <row r="258" ht="15.75" customHeight="1">
      <c r="A258" s="213"/>
      <c r="B258" s="213"/>
      <c r="C258" s="213"/>
      <c r="D258" s="213"/>
      <c r="E258" s="213"/>
      <c r="F258" s="213"/>
      <c r="G258" s="213"/>
      <c r="H258" s="213"/>
      <c r="I258" s="213"/>
      <c r="J258" s="213"/>
      <c r="K258" s="213"/>
      <c r="L258" s="213"/>
      <c r="M258" s="213"/>
      <c r="N258" s="213"/>
      <c r="O258" s="213"/>
      <c r="P258" s="213"/>
      <c r="Q258" s="213"/>
      <c r="R258" s="213"/>
      <c r="S258" s="213"/>
      <c r="T258" s="213"/>
      <c r="U258" s="213"/>
      <c r="V258" s="213"/>
      <c r="W258" s="213"/>
      <c r="X258" s="213"/>
      <c r="Y258" s="213"/>
      <c r="Z258" s="213"/>
      <c r="AA258" s="213"/>
      <c r="AB258" s="213"/>
      <c r="AC258" s="213"/>
      <c r="AD258" s="213"/>
      <c r="AE258" s="213"/>
      <c r="AF258" s="213"/>
      <c r="AG258" s="213"/>
      <c r="AH258" s="213"/>
      <c r="AI258" s="213"/>
      <c r="AJ258" s="213"/>
      <c r="AK258" s="213"/>
      <c r="AL258" s="213"/>
      <c r="AM258" s="213"/>
      <c r="AN258" s="213"/>
      <c r="AO258" s="213"/>
      <c r="AP258" s="213"/>
      <c r="AQ258" s="213"/>
      <c r="AR258" s="213"/>
      <c r="AS258" s="213"/>
      <c r="AT258" s="213"/>
      <c r="AU258" s="213"/>
      <c r="AV258" s="213"/>
      <c r="AW258" s="213"/>
      <c r="AX258" s="213"/>
      <c r="AY258" s="213"/>
      <c r="AZ258" s="213"/>
      <c r="BA258" s="213"/>
      <c r="BB258" s="213"/>
      <c r="BC258" s="213"/>
      <c r="BD258" s="213"/>
      <c r="BE258" s="213"/>
      <c r="BF258" s="213"/>
      <c r="BG258" s="213"/>
      <c r="BH258" s="213"/>
      <c r="BI258" s="213"/>
      <c r="BJ258" s="213"/>
      <c r="BK258" s="213"/>
      <c r="BL258" s="213"/>
      <c r="BM258" s="213"/>
      <c r="BN258" s="215"/>
      <c r="BO258" s="213"/>
      <c r="BP258" s="213"/>
      <c r="BQ258" s="213"/>
      <c r="BR258" s="326"/>
      <c r="BS258" s="213"/>
      <c r="BT258" s="213"/>
      <c r="BU258" s="213"/>
      <c r="BV258" s="213"/>
      <c r="BW258" s="213"/>
      <c r="BX258" s="213"/>
      <c r="BY258" s="213"/>
      <c r="BZ258" s="213"/>
      <c r="CA258" s="213"/>
      <c r="CB258" s="213"/>
      <c r="CC258" s="213"/>
      <c r="CD258" s="213"/>
      <c r="CE258" s="213"/>
      <c r="CF258" s="213"/>
      <c r="CG258" s="213"/>
      <c r="CH258" s="213"/>
      <c r="CI258" s="213"/>
      <c r="CJ258" s="213"/>
      <c r="CK258" s="213"/>
      <c r="CL258" s="213"/>
      <c r="CM258" s="213"/>
      <c r="CN258" s="213"/>
      <c r="CO258" s="213"/>
      <c r="CP258" s="213"/>
      <c r="CQ258" s="213"/>
      <c r="CR258" s="213"/>
      <c r="CS258" s="213"/>
      <c r="CT258" s="213"/>
      <c r="CU258" s="213"/>
    </row>
    <row r="259" ht="15.75" customHeight="1">
      <c r="A259" s="213"/>
      <c r="B259" s="213"/>
      <c r="C259" s="213"/>
      <c r="D259" s="213"/>
      <c r="E259" s="213"/>
      <c r="F259" s="213"/>
      <c r="G259" s="213"/>
      <c r="H259" s="213"/>
      <c r="I259" s="213"/>
      <c r="J259" s="213"/>
      <c r="K259" s="213"/>
      <c r="L259" s="213"/>
      <c r="M259" s="213"/>
      <c r="N259" s="213"/>
      <c r="O259" s="213"/>
      <c r="P259" s="213"/>
      <c r="Q259" s="213"/>
      <c r="R259" s="213"/>
      <c r="S259" s="213"/>
      <c r="T259" s="213"/>
      <c r="U259" s="213"/>
      <c r="V259" s="213"/>
      <c r="W259" s="213"/>
      <c r="X259" s="213"/>
      <c r="Y259" s="213"/>
      <c r="Z259" s="213"/>
      <c r="AA259" s="213"/>
      <c r="AB259" s="213"/>
      <c r="AC259" s="213"/>
      <c r="AD259" s="213"/>
      <c r="AE259" s="213"/>
      <c r="AF259" s="213"/>
      <c r="AG259" s="213"/>
      <c r="AH259" s="213"/>
      <c r="AI259" s="213"/>
      <c r="AJ259" s="213"/>
      <c r="AK259" s="213"/>
      <c r="AL259" s="213"/>
      <c r="AM259" s="213"/>
      <c r="AN259" s="213"/>
      <c r="AO259" s="213"/>
      <c r="AP259" s="213"/>
      <c r="AQ259" s="213"/>
      <c r="AR259" s="213"/>
      <c r="AS259" s="213"/>
      <c r="AT259" s="213"/>
      <c r="AU259" s="213"/>
      <c r="AV259" s="213"/>
      <c r="AW259" s="213"/>
      <c r="AX259" s="213"/>
      <c r="AY259" s="213"/>
      <c r="AZ259" s="213"/>
      <c r="BA259" s="213"/>
      <c r="BB259" s="213"/>
      <c r="BC259" s="213"/>
      <c r="BD259" s="213"/>
      <c r="BE259" s="213"/>
      <c r="BF259" s="213"/>
      <c r="BG259" s="213"/>
      <c r="BH259" s="213"/>
      <c r="BI259" s="213"/>
      <c r="BJ259" s="213"/>
      <c r="BK259" s="213"/>
      <c r="BL259" s="213"/>
      <c r="BM259" s="213"/>
      <c r="BN259" s="215"/>
      <c r="BO259" s="213"/>
      <c r="BP259" s="213"/>
      <c r="BQ259" s="213"/>
      <c r="BR259" s="326"/>
      <c r="BS259" s="213"/>
      <c r="BT259" s="213"/>
      <c r="BU259" s="213"/>
      <c r="BV259" s="213"/>
      <c r="BW259" s="213"/>
      <c r="BX259" s="213"/>
      <c r="BY259" s="213"/>
      <c r="BZ259" s="213"/>
      <c r="CA259" s="213"/>
      <c r="CB259" s="213"/>
      <c r="CC259" s="213"/>
      <c r="CD259" s="213"/>
      <c r="CE259" s="213"/>
      <c r="CF259" s="213"/>
      <c r="CG259" s="213"/>
      <c r="CH259" s="213"/>
      <c r="CI259" s="213"/>
      <c r="CJ259" s="213"/>
      <c r="CK259" s="213"/>
      <c r="CL259" s="213"/>
      <c r="CM259" s="213"/>
      <c r="CN259" s="213"/>
      <c r="CO259" s="213"/>
      <c r="CP259" s="213"/>
      <c r="CQ259" s="213"/>
      <c r="CR259" s="213"/>
      <c r="CS259" s="213"/>
      <c r="CT259" s="213"/>
      <c r="CU259" s="213"/>
    </row>
    <row r="260" ht="15.75" customHeight="1">
      <c r="A260" s="213"/>
      <c r="B260" s="213"/>
      <c r="C260" s="213"/>
      <c r="D260" s="213"/>
      <c r="E260" s="213"/>
      <c r="F260" s="213"/>
      <c r="G260" s="213"/>
      <c r="H260" s="213"/>
      <c r="I260" s="213"/>
      <c r="J260" s="213"/>
      <c r="K260" s="213"/>
      <c r="L260" s="213"/>
      <c r="M260" s="213"/>
      <c r="N260" s="213"/>
      <c r="O260" s="213"/>
      <c r="P260" s="213"/>
      <c r="Q260" s="213"/>
      <c r="R260" s="213"/>
      <c r="S260" s="213"/>
      <c r="T260" s="213"/>
      <c r="U260" s="213"/>
      <c r="V260" s="213"/>
      <c r="W260" s="213"/>
      <c r="X260" s="213"/>
      <c r="Y260" s="213"/>
      <c r="Z260" s="213"/>
      <c r="AA260" s="213"/>
      <c r="AB260" s="213"/>
      <c r="AC260" s="213"/>
      <c r="AD260" s="213"/>
      <c r="AE260" s="213"/>
      <c r="AF260" s="213"/>
      <c r="AG260" s="213"/>
      <c r="AH260" s="213"/>
      <c r="AI260" s="213"/>
      <c r="AJ260" s="213"/>
      <c r="AK260" s="213"/>
      <c r="AL260" s="213"/>
      <c r="AM260" s="213"/>
      <c r="AN260" s="213"/>
      <c r="AO260" s="213"/>
      <c r="AP260" s="213"/>
      <c r="AQ260" s="213"/>
      <c r="AR260" s="213"/>
      <c r="AS260" s="213"/>
      <c r="AT260" s="213"/>
      <c r="AU260" s="213"/>
      <c r="AV260" s="213"/>
      <c r="AW260" s="213"/>
      <c r="AX260" s="213"/>
      <c r="AY260" s="213"/>
      <c r="AZ260" s="213"/>
      <c r="BA260" s="213"/>
      <c r="BB260" s="213"/>
      <c r="BC260" s="213"/>
      <c r="BD260" s="213"/>
      <c r="BE260" s="213"/>
      <c r="BF260" s="213"/>
      <c r="BG260" s="213"/>
      <c r="BH260" s="213"/>
      <c r="BI260" s="213"/>
      <c r="BJ260" s="213"/>
      <c r="BK260" s="213"/>
      <c r="BL260" s="213"/>
      <c r="BM260" s="213"/>
      <c r="BN260" s="215"/>
      <c r="BO260" s="213"/>
      <c r="BP260" s="213"/>
      <c r="BQ260" s="213"/>
      <c r="BR260" s="326"/>
      <c r="BS260" s="213"/>
      <c r="BT260" s="213"/>
      <c r="BU260" s="213"/>
      <c r="BV260" s="213"/>
      <c r="BW260" s="213"/>
      <c r="BX260" s="213"/>
      <c r="BY260" s="213"/>
      <c r="BZ260" s="213"/>
      <c r="CA260" s="213"/>
      <c r="CB260" s="213"/>
      <c r="CC260" s="213"/>
      <c r="CD260" s="213"/>
      <c r="CE260" s="213"/>
      <c r="CF260" s="213"/>
      <c r="CG260" s="213"/>
      <c r="CH260" s="213"/>
      <c r="CI260" s="213"/>
      <c r="CJ260" s="213"/>
      <c r="CK260" s="213"/>
      <c r="CL260" s="213"/>
      <c r="CM260" s="213"/>
      <c r="CN260" s="213"/>
      <c r="CO260" s="213"/>
      <c r="CP260" s="213"/>
      <c r="CQ260" s="213"/>
      <c r="CR260" s="213"/>
      <c r="CS260" s="213"/>
      <c r="CT260" s="213"/>
      <c r="CU260" s="213"/>
    </row>
    <row r="261" ht="15.75" customHeight="1">
      <c r="A261" s="213"/>
      <c r="B261" s="213"/>
      <c r="C261" s="213"/>
      <c r="D261" s="213"/>
      <c r="E261" s="213"/>
      <c r="F261" s="213"/>
      <c r="G261" s="213"/>
      <c r="H261" s="213"/>
      <c r="I261" s="213"/>
      <c r="J261" s="213"/>
      <c r="K261" s="213"/>
      <c r="L261" s="213"/>
      <c r="M261" s="213"/>
      <c r="N261" s="213"/>
      <c r="O261" s="213"/>
      <c r="P261" s="213"/>
      <c r="Q261" s="213"/>
      <c r="R261" s="213"/>
      <c r="S261" s="213"/>
      <c r="T261" s="213"/>
      <c r="U261" s="213"/>
      <c r="V261" s="213"/>
      <c r="W261" s="213"/>
      <c r="X261" s="213"/>
      <c r="Y261" s="213"/>
      <c r="Z261" s="213"/>
      <c r="AA261" s="213"/>
      <c r="AB261" s="213"/>
      <c r="AC261" s="213"/>
      <c r="AD261" s="213"/>
      <c r="AE261" s="213"/>
      <c r="AF261" s="213"/>
      <c r="AG261" s="213"/>
      <c r="AH261" s="213"/>
      <c r="AI261" s="213"/>
      <c r="AJ261" s="213"/>
      <c r="AK261" s="213"/>
      <c r="AL261" s="213"/>
      <c r="AM261" s="213"/>
      <c r="AN261" s="213"/>
      <c r="AO261" s="213"/>
      <c r="AP261" s="213"/>
      <c r="AQ261" s="213"/>
      <c r="AR261" s="213"/>
      <c r="AS261" s="213"/>
      <c r="AT261" s="213"/>
      <c r="AU261" s="213"/>
      <c r="AV261" s="213"/>
      <c r="AW261" s="213"/>
      <c r="AX261" s="213"/>
      <c r="AY261" s="213"/>
      <c r="AZ261" s="213"/>
      <c r="BA261" s="213"/>
      <c r="BB261" s="213"/>
      <c r="BC261" s="213"/>
      <c r="BD261" s="213"/>
      <c r="BE261" s="213"/>
      <c r="BF261" s="213"/>
      <c r="BG261" s="213"/>
      <c r="BH261" s="213"/>
      <c r="BI261" s="213"/>
      <c r="BJ261" s="213"/>
      <c r="BK261" s="213"/>
      <c r="BL261" s="213"/>
      <c r="BM261" s="213"/>
      <c r="BN261" s="215"/>
      <c r="BO261" s="213"/>
      <c r="BP261" s="213"/>
      <c r="BQ261" s="213"/>
      <c r="BR261" s="326"/>
      <c r="BS261" s="213"/>
      <c r="BT261" s="213"/>
      <c r="BU261" s="213"/>
      <c r="BV261" s="213"/>
      <c r="BW261" s="213"/>
      <c r="BX261" s="213"/>
      <c r="BY261" s="213"/>
      <c r="BZ261" s="213"/>
      <c r="CA261" s="213"/>
      <c r="CB261" s="213"/>
      <c r="CC261" s="213"/>
      <c r="CD261" s="213"/>
      <c r="CE261" s="213"/>
      <c r="CF261" s="213"/>
      <c r="CG261" s="213"/>
      <c r="CH261" s="213"/>
      <c r="CI261" s="213"/>
      <c r="CJ261" s="213"/>
      <c r="CK261" s="213"/>
      <c r="CL261" s="213"/>
      <c r="CM261" s="213"/>
      <c r="CN261" s="213"/>
      <c r="CO261" s="213"/>
      <c r="CP261" s="213"/>
      <c r="CQ261" s="213"/>
      <c r="CR261" s="213"/>
      <c r="CS261" s="213"/>
      <c r="CT261" s="213"/>
      <c r="CU261" s="213"/>
    </row>
    <row r="262" ht="15.75" customHeight="1">
      <c r="A262" s="213"/>
      <c r="B262" s="213"/>
      <c r="C262" s="213"/>
      <c r="D262" s="213"/>
      <c r="E262" s="213"/>
      <c r="F262" s="213"/>
      <c r="G262" s="213"/>
      <c r="H262" s="213"/>
      <c r="I262" s="213"/>
      <c r="J262" s="213"/>
      <c r="K262" s="213"/>
      <c r="L262" s="213"/>
      <c r="M262" s="213"/>
      <c r="N262" s="213"/>
      <c r="O262" s="213"/>
      <c r="P262" s="213"/>
      <c r="Q262" s="213"/>
      <c r="R262" s="213"/>
      <c r="S262" s="213"/>
      <c r="T262" s="213"/>
      <c r="U262" s="213"/>
      <c r="V262" s="213"/>
      <c r="W262" s="213"/>
      <c r="X262" s="213"/>
      <c r="Y262" s="213"/>
      <c r="Z262" s="213"/>
      <c r="AA262" s="213"/>
      <c r="AB262" s="213"/>
      <c r="AC262" s="213"/>
      <c r="AD262" s="213"/>
      <c r="AE262" s="213"/>
      <c r="AF262" s="213"/>
      <c r="AG262" s="213"/>
      <c r="AH262" s="213"/>
      <c r="AI262" s="213"/>
      <c r="AJ262" s="213"/>
      <c r="AK262" s="213"/>
      <c r="AL262" s="213"/>
      <c r="AM262" s="213"/>
      <c r="AN262" s="213"/>
      <c r="AO262" s="213"/>
      <c r="AP262" s="213"/>
      <c r="AQ262" s="213"/>
      <c r="AR262" s="213"/>
      <c r="AS262" s="213"/>
      <c r="AT262" s="213"/>
      <c r="AU262" s="213"/>
      <c r="AV262" s="213"/>
      <c r="AW262" s="213"/>
      <c r="AX262" s="213"/>
      <c r="AY262" s="213"/>
      <c r="AZ262" s="213"/>
      <c r="BA262" s="213"/>
      <c r="BB262" s="213"/>
      <c r="BC262" s="213"/>
      <c r="BD262" s="213"/>
      <c r="BE262" s="213"/>
      <c r="BF262" s="213"/>
      <c r="BG262" s="213"/>
      <c r="BH262" s="213"/>
      <c r="BI262" s="213"/>
      <c r="BJ262" s="213"/>
      <c r="BK262" s="213"/>
      <c r="BL262" s="213"/>
      <c r="BM262" s="213"/>
      <c r="BN262" s="215"/>
      <c r="BO262" s="213"/>
      <c r="BP262" s="213"/>
      <c r="BQ262" s="213"/>
      <c r="BR262" s="326"/>
      <c r="BS262" s="213"/>
      <c r="BT262" s="213"/>
      <c r="BU262" s="213"/>
      <c r="BV262" s="213"/>
      <c r="BW262" s="213"/>
      <c r="BX262" s="213"/>
      <c r="BY262" s="213"/>
      <c r="BZ262" s="213"/>
      <c r="CA262" s="213"/>
      <c r="CB262" s="213"/>
      <c r="CC262" s="213"/>
      <c r="CD262" s="213"/>
      <c r="CE262" s="213"/>
      <c r="CF262" s="213"/>
      <c r="CG262" s="213"/>
      <c r="CH262" s="213"/>
      <c r="CI262" s="213"/>
      <c r="CJ262" s="213"/>
      <c r="CK262" s="213"/>
      <c r="CL262" s="213"/>
      <c r="CM262" s="213"/>
      <c r="CN262" s="213"/>
      <c r="CO262" s="213"/>
      <c r="CP262" s="213"/>
      <c r="CQ262" s="213"/>
      <c r="CR262" s="213"/>
      <c r="CS262" s="213"/>
      <c r="CT262" s="213"/>
      <c r="CU262" s="213"/>
    </row>
    <row r="263" ht="15.75" customHeight="1">
      <c r="A263" s="213"/>
      <c r="B263" s="213"/>
      <c r="C263" s="213"/>
      <c r="D263" s="213"/>
      <c r="E263" s="213"/>
      <c r="F263" s="213"/>
      <c r="G263" s="213"/>
      <c r="H263" s="213"/>
      <c r="I263" s="213"/>
      <c r="J263" s="213"/>
      <c r="K263" s="213"/>
      <c r="L263" s="213"/>
      <c r="M263" s="213"/>
      <c r="N263" s="213"/>
      <c r="O263" s="213"/>
      <c r="P263" s="213"/>
      <c r="Q263" s="213"/>
      <c r="R263" s="213"/>
      <c r="S263" s="213"/>
      <c r="T263" s="213"/>
      <c r="U263" s="213"/>
      <c r="V263" s="213"/>
      <c r="W263" s="213"/>
      <c r="X263" s="213"/>
      <c r="Y263" s="213"/>
      <c r="Z263" s="213"/>
      <c r="AA263" s="213"/>
      <c r="AB263" s="213"/>
      <c r="AC263" s="213"/>
      <c r="AD263" s="213"/>
      <c r="AE263" s="213"/>
      <c r="AF263" s="213"/>
      <c r="AG263" s="213"/>
      <c r="AH263" s="213"/>
      <c r="AI263" s="213"/>
      <c r="AJ263" s="213"/>
      <c r="AK263" s="213"/>
      <c r="AL263" s="213"/>
      <c r="AM263" s="213"/>
      <c r="AN263" s="213"/>
      <c r="AO263" s="213"/>
      <c r="AP263" s="213"/>
      <c r="AQ263" s="213"/>
      <c r="AR263" s="213"/>
      <c r="AS263" s="213"/>
      <c r="AT263" s="213"/>
      <c r="AU263" s="213"/>
      <c r="AV263" s="213"/>
      <c r="AW263" s="213"/>
      <c r="AX263" s="213"/>
      <c r="AY263" s="213"/>
      <c r="AZ263" s="213"/>
      <c r="BA263" s="213"/>
      <c r="BB263" s="213"/>
      <c r="BC263" s="213"/>
      <c r="BD263" s="213"/>
      <c r="BE263" s="213"/>
      <c r="BF263" s="213"/>
      <c r="BG263" s="213"/>
      <c r="BH263" s="213"/>
      <c r="BI263" s="213"/>
      <c r="BJ263" s="213"/>
      <c r="BK263" s="213"/>
      <c r="BL263" s="213"/>
      <c r="BM263" s="213"/>
      <c r="BN263" s="215"/>
      <c r="BO263" s="213"/>
      <c r="BP263" s="213"/>
      <c r="BQ263" s="213"/>
      <c r="BR263" s="326"/>
      <c r="BS263" s="213"/>
      <c r="BT263" s="213"/>
      <c r="BU263" s="213"/>
      <c r="BV263" s="213"/>
      <c r="BW263" s="213"/>
      <c r="BX263" s="213"/>
      <c r="BY263" s="213"/>
      <c r="BZ263" s="213"/>
      <c r="CA263" s="213"/>
      <c r="CB263" s="213"/>
      <c r="CC263" s="213"/>
      <c r="CD263" s="213"/>
      <c r="CE263" s="213"/>
      <c r="CF263" s="213"/>
      <c r="CG263" s="213"/>
      <c r="CH263" s="213"/>
      <c r="CI263" s="213"/>
      <c r="CJ263" s="213"/>
      <c r="CK263" s="213"/>
      <c r="CL263" s="213"/>
      <c r="CM263" s="213"/>
      <c r="CN263" s="213"/>
      <c r="CO263" s="213"/>
      <c r="CP263" s="213"/>
      <c r="CQ263" s="213"/>
      <c r="CR263" s="213"/>
      <c r="CS263" s="213"/>
      <c r="CT263" s="213"/>
      <c r="CU263" s="213"/>
    </row>
    <row r="264" ht="15.75" customHeight="1">
      <c r="A264" s="213"/>
      <c r="B264" s="213"/>
      <c r="C264" s="213"/>
      <c r="D264" s="213"/>
      <c r="E264" s="213"/>
      <c r="F264" s="213"/>
      <c r="G264" s="213"/>
      <c r="H264" s="213"/>
      <c r="I264" s="213"/>
      <c r="J264" s="213"/>
      <c r="K264" s="213"/>
      <c r="L264" s="213"/>
      <c r="M264" s="213"/>
      <c r="N264" s="213"/>
      <c r="O264" s="213"/>
      <c r="P264" s="213"/>
      <c r="Q264" s="213"/>
      <c r="R264" s="213"/>
      <c r="S264" s="213"/>
      <c r="T264" s="213"/>
      <c r="U264" s="213"/>
      <c r="V264" s="213"/>
      <c r="W264" s="213"/>
      <c r="X264" s="213"/>
      <c r="Y264" s="213"/>
      <c r="Z264" s="213"/>
      <c r="AA264" s="213"/>
      <c r="AB264" s="213"/>
      <c r="AC264" s="213"/>
      <c r="AD264" s="213"/>
      <c r="AE264" s="213"/>
      <c r="AF264" s="213"/>
      <c r="AG264" s="213"/>
      <c r="AH264" s="213"/>
      <c r="AI264" s="213"/>
      <c r="AJ264" s="213"/>
      <c r="AK264" s="213"/>
      <c r="AL264" s="213"/>
      <c r="AM264" s="213"/>
      <c r="AN264" s="213"/>
      <c r="AO264" s="213"/>
      <c r="AP264" s="213"/>
      <c r="AQ264" s="213"/>
      <c r="AR264" s="213"/>
      <c r="AS264" s="213"/>
      <c r="AT264" s="213"/>
      <c r="AU264" s="213"/>
      <c r="AV264" s="213"/>
      <c r="AW264" s="213"/>
      <c r="AX264" s="213"/>
      <c r="AY264" s="213"/>
      <c r="AZ264" s="213"/>
      <c r="BA264" s="213"/>
      <c r="BB264" s="213"/>
      <c r="BC264" s="213"/>
      <c r="BD264" s="213"/>
      <c r="BE264" s="213"/>
      <c r="BF264" s="213"/>
      <c r="BG264" s="213"/>
      <c r="BH264" s="213"/>
      <c r="BI264" s="213"/>
      <c r="BJ264" s="213"/>
      <c r="BK264" s="213"/>
      <c r="BL264" s="213"/>
      <c r="BM264" s="213"/>
      <c r="BN264" s="215"/>
      <c r="BO264" s="213"/>
      <c r="BP264" s="213"/>
      <c r="BQ264" s="213"/>
      <c r="BR264" s="326"/>
      <c r="BS264" s="213"/>
      <c r="BT264" s="213"/>
      <c r="BU264" s="213"/>
      <c r="BV264" s="213"/>
      <c r="BW264" s="213"/>
      <c r="BX264" s="213"/>
      <c r="BY264" s="213"/>
      <c r="BZ264" s="213"/>
      <c r="CA264" s="213"/>
      <c r="CB264" s="213"/>
      <c r="CC264" s="213"/>
      <c r="CD264" s="213"/>
      <c r="CE264" s="213"/>
      <c r="CF264" s="213"/>
      <c r="CG264" s="213"/>
      <c r="CH264" s="213"/>
      <c r="CI264" s="213"/>
      <c r="CJ264" s="213"/>
      <c r="CK264" s="213"/>
      <c r="CL264" s="213"/>
      <c r="CM264" s="213"/>
      <c r="CN264" s="213"/>
      <c r="CO264" s="213"/>
      <c r="CP264" s="213"/>
      <c r="CQ264" s="213"/>
      <c r="CR264" s="213"/>
      <c r="CS264" s="213"/>
      <c r="CT264" s="213"/>
      <c r="CU264" s="213"/>
    </row>
    <row r="265" ht="15.75" customHeight="1">
      <c r="A265" s="213"/>
      <c r="B265" s="213"/>
      <c r="C265" s="213"/>
      <c r="D265" s="213"/>
      <c r="E265" s="213"/>
      <c r="F265" s="213"/>
      <c r="G265" s="213"/>
      <c r="H265" s="213"/>
      <c r="I265" s="213"/>
      <c r="J265" s="213"/>
      <c r="K265" s="213"/>
      <c r="L265" s="213"/>
      <c r="M265" s="213"/>
      <c r="N265" s="213"/>
      <c r="O265" s="213"/>
      <c r="P265" s="213"/>
      <c r="Q265" s="213"/>
      <c r="R265" s="213"/>
      <c r="S265" s="213"/>
      <c r="T265" s="213"/>
      <c r="U265" s="213"/>
      <c r="V265" s="213"/>
      <c r="W265" s="213"/>
      <c r="X265" s="213"/>
      <c r="Y265" s="213"/>
      <c r="Z265" s="213"/>
      <c r="AA265" s="213"/>
      <c r="AB265" s="213"/>
      <c r="AC265" s="213"/>
      <c r="AD265" s="213"/>
      <c r="AE265" s="213"/>
      <c r="AF265" s="213"/>
      <c r="AG265" s="213"/>
      <c r="AH265" s="213"/>
      <c r="AI265" s="213"/>
      <c r="AJ265" s="213"/>
      <c r="AK265" s="213"/>
      <c r="AL265" s="213"/>
      <c r="AM265" s="213"/>
      <c r="AN265" s="213"/>
      <c r="AO265" s="213"/>
      <c r="AP265" s="213"/>
      <c r="AQ265" s="213"/>
      <c r="AR265" s="213"/>
      <c r="AS265" s="213"/>
      <c r="AT265" s="213"/>
      <c r="AU265" s="213"/>
      <c r="AV265" s="213"/>
      <c r="AW265" s="213"/>
      <c r="AX265" s="213"/>
      <c r="AY265" s="213"/>
      <c r="AZ265" s="213"/>
      <c r="BA265" s="213"/>
      <c r="BB265" s="213"/>
      <c r="BC265" s="213"/>
      <c r="BD265" s="213"/>
      <c r="BE265" s="213"/>
      <c r="BF265" s="213"/>
      <c r="BG265" s="213"/>
      <c r="BH265" s="213"/>
      <c r="BI265" s="213"/>
      <c r="BJ265" s="213"/>
      <c r="BK265" s="213"/>
      <c r="BL265" s="213"/>
      <c r="BM265" s="213"/>
      <c r="BN265" s="215"/>
      <c r="BO265" s="213"/>
      <c r="BP265" s="213"/>
      <c r="BQ265" s="213"/>
      <c r="BR265" s="326"/>
      <c r="BS265" s="213"/>
      <c r="BT265" s="213"/>
      <c r="BU265" s="213"/>
      <c r="BV265" s="213"/>
      <c r="BW265" s="213"/>
      <c r="BX265" s="213"/>
      <c r="BY265" s="213"/>
      <c r="BZ265" s="213"/>
      <c r="CA265" s="213"/>
      <c r="CB265" s="213"/>
      <c r="CC265" s="213"/>
      <c r="CD265" s="213"/>
      <c r="CE265" s="213"/>
      <c r="CF265" s="213"/>
      <c r="CG265" s="213"/>
      <c r="CH265" s="213"/>
      <c r="CI265" s="213"/>
      <c r="CJ265" s="213"/>
      <c r="CK265" s="213"/>
      <c r="CL265" s="213"/>
      <c r="CM265" s="213"/>
      <c r="CN265" s="213"/>
      <c r="CO265" s="213"/>
      <c r="CP265" s="213"/>
      <c r="CQ265" s="213"/>
      <c r="CR265" s="213"/>
      <c r="CS265" s="213"/>
      <c r="CT265" s="213"/>
      <c r="CU265" s="213"/>
    </row>
    <row r="266" ht="15.75" customHeight="1">
      <c r="A266" s="213"/>
      <c r="B266" s="213"/>
      <c r="C266" s="213"/>
      <c r="D266" s="213"/>
      <c r="E266" s="213"/>
      <c r="F266" s="213"/>
      <c r="G266" s="213"/>
      <c r="H266" s="213"/>
      <c r="I266" s="213"/>
      <c r="J266" s="213"/>
      <c r="K266" s="213"/>
      <c r="L266" s="213"/>
      <c r="M266" s="213"/>
      <c r="N266" s="213"/>
      <c r="O266" s="213"/>
      <c r="P266" s="213"/>
      <c r="Q266" s="213"/>
      <c r="R266" s="213"/>
      <c r="S266" s="213"/>
      <c r="T266" s="213"/>
      <c r="U266" s="213"/>
      <c r="V266" s="213"/>
      <c r="W266" s="213"/>
      <c r="X266" s="213"/>
      <c r="Y266" s="213"/>
      <c r="Z266" s="213"/>
      <c r="AA266" s="213"/>
      <c r="AB266" s="213"/>
      <c r="AC266" s="213"/>
      <c r="AD266" s="213"/>
      <c r="AE266" s="213"/>
      <c r="AF266" s="213"/>
      <c r="AG266" s="213"/>
      <c r="AH266" s="213"/>
      <c r="AI266" s="213"/>
      <c r="AJ266" s="213"/>
      <c r="AK266" s="213"/>
      <c r="AL266" s="213"/>
      <c r="AM266" s="213"/>
      <c r="AN266" s="213"/>
      <c r="AO266" s="213"/>
      <c r="AP266" s="213"/>
      <c r="AQ266" s="213"/>
      <c r="AR266" s="213"/>
      <c r="AS266" s="213"/>
      <c r="AT266" s="213"/>
      <c r="AU266" s="213"/>
      <c r="AV266" s="213"/>
      <c r="AW266" s="213"/>
      <c r="AX266" s="213"/>
      <c r="AY266" s="213"/>
      <c r="AZ266" s="213"/>
      <c r="BA266" s="213"/>
      <c r="BB266" s="213"/>
      <c r="BC266" s="213"/>
      <c r="BD266" s="213"/>
      <c r="BE266" s="213"/>
      <c r="BF266" s="213"/>
      <c r="BG266" s="213"/>
      <c r="BH266" s="213"/>
      <c r="BI266" s="213"/>
      <c r="BJ266" s="213"/>
      <c r="BK266" s="213"/>
      <c r="BL266" s="213"/>
      <c r="BM266" s="213"/>
      <c r="BN266" s="215"/>
      <c r="BO266" s="213"/>
      <c r="BP266" s="213"/>
      <c r="BQ266" s="213"/>
      <c r="BR266" s="326"/>
      <c r="BS266" s="213"/>
      <c r="BT266" s="213"/>
      <c r="BU266" s="213"/>
      <c r="BV266" s="213"/>
      <c r="BW266" s="213"/>
      <c r="BX266" s="213"/>
      <c r="BY266" s="213"/>
      <c r="BZ266" s="213"/>
      <c r="CA266" s="213"/>
      <c r="CB266" s="213"/>
      <c r="CC266" s="213"/>
      <c r="CD266" s="213"/>
      <c r="CE266" s="213"/>
      <c r="CF266" s="213"/>
      <c r="CG266" s="213"/>
      <c r="CH266" s="213"/>
      <c r="CI266" s="213"/>
      <c r="CJ266" s="213"/>
      <c r="CK266" s="213"/>
      <c r="CL266" s="213"/>
      <c r="CM266" s="213"/>
      <c r="CN266" s="213"/>
      <c r="CO266" s="213"/>
      <c r="CP266" s="213"/>
      <c r="CQ266" s="213"/>
      <c r="CR266" s="213"/>
      <c r="CS266" s="213"/>
      <c r="CT266" s="213"/>
      <c r="CU266" s="213"/>
    </row>
    <row r="267" ht="15.75" customHeight="1">
      <c r="A267" s="213"/>
      <c r="B267" s="213"/>
      <c r="C267" s="213"/>
      <c r="D267" s="213"/>
      <c r="E267" s="213"/>
      <c r="F267" s="213"/>
      <c r="G267" s="213"/>
      <c r="H267" s="213"/>
      <c r="I267" s="213"/>
      <c r="J267" s="213"/>
      <c r="K267" s="213"/>
      <c r="L267" s="213"/>
      <c r="M267" s="213"/>
      <c r="N267" s="213"/>
      <c r="O267" s="213"/>
      <c r="P267" s="213"/>
      <c r="Q267" s="213"/>
      <c r="R267" s="213"/>
      <c r="S267" s="213"/>
      <c r="T267" s="213"/>
      <c r="U267" s="213"/>
      <c r="V267" s="213"/>
      <c r="W267" s="213"/>
      <c r="X267" s="213"/>
      <c r="Y267" s="213"/>
      <c r="Z267" s="213"/>
      <c r="AA267" s="213"/>
      <c r="AB267" s="213"/>
      <c r="AC267" s="213"/>
      <c r="AD267" s="213"/>
      <c r="AE267" s="213"/>
      <c r="AF267" s="213"/>
      <c r="AG267" s="213"/>
      <c r="AH267" s="213"/>
      <c r="AI267" s="213"/>
      <c r="AJ267" s="213"/>
      <c r="AK267" s="213"/>
      <c r="AL267" s="213"/>
      <c r="AM267" s="213"/>
      <c r="AN267" s="213"/>
      <c r="AO267" s="213"/>
      <c r="AP267" s="213"/>
      <c r="AQ267" s="213"/>
      <c r="AR267" s="213"/>
      <c r="AS267" s="213"/>
      <c r="AT267" s="213"/>
      <c r="AU267" s="213"/>
      <c r="AV267" s="213"/>
      <c r="AW267" s="213"/>
      <c r="AX267" s="213"/>
      <c r="AY267" s="213"/>
      <c r="AZ267" s="213"/>
      <c r="BA267" s="213"/>
      <c r="BB267" s="213"/>
      <c r="BC267" s="213"/>
      <c r="BD267" s="213"/>
      <c r="BE267" s="213"/>
      <c r="BF267" s="213"/>
      <c r="BG267" s="213"/>
      <c r="BH267" s="213"/>
      <c r="BI267" s="213"/>
      <c r="BJ267" s="213"/>
      <c r="BK267" s="213"/>
      <c r="BL267" s="213"/>
      <c r="BM267" s="213"/>
      <c r="BN267" s="215"/>
      <c r="BO267" s="213"/>
      <c r="BP267" s="213"/>
      <c r="BQ267" s="213"/>
      <c r="BR267" s="326"/>
      <c r="BS267" s="213"/>
      <c r="BT267" s="213"/>
      <c r="BU267" s="213"/>
      <c r="BV267" s="213"/>
      <c r="BW267" s="213"/>
      <c r="BX267" s="213"/>
      <c r="BY267" s="213"/>
      <c r="BZ267" s="213"/>
      <c r="CA267" s="213"/>
      <c r="CB267" s="213"/>
      <c r="CC267" s="213"/>
      <c r="CD267" s="213"/>
      <c r="CE267" s="213"/>
      <c r="CF267" s="213"/>
      <c r="CG267" s="213"/>
      <c r="CH267" s="213"/>
      <c r="CI267" s="213"/>
      <c r="CJ267" s="213"/>
      <c r="CK267" s="213"/>
      <c r="CL267" s="213"/>
      <c r="CM267" s="213"/>
      <c r="CN267" s="213"/>
      <c r="CO267" s="213"/>
      <c r="CP267" s="213"/>
      <c r="CQ267" s="213"/>
      <c r="CR267" s="213"/>
      <c r="CS267" s="213"/>
      <c r="CT267" s="213"/>
      <c r="CU267" s="213"/>
    </row>
    <row r="268" ht="15.75" customHeight="1">
      <c r="A268" s="213"/>
      <c r="B268" s="213"/>
      <c r="C268" s="213"/>
      <c r="D268" s="213"/>
      <c r="E268" s="213"/>
      <c r="F268" s="213"/>
      <c r="G268" s="213"/>
      <c r="H268" s="213"/>
      <c r="I268" s="213"/>
      <c r="J268" s="213"/>
      <c r="K268" s="213"/>
      <c r="L268" s="213"/>
      <c r="M268" s="213"/>
      <c r="N268" s="213"/>
      <c r="O268" s="213"/>
      <c r="P268" s="213"/>
      <c r="Q268" s="213"/>
      <c r="R268" s="213"/>
      <c r="S268" s="213"/>
      <c r="T268" s="213"/>
      <c r="U268" s="213"/>
      <c r="V268" s="213"/>
      <c r="W268" s="213"/>
      <c r="X268" s="213"/>
      <c r="Y268" s="213"/>
      <c r="Z268" s="213"/>
      <c r="AA268" s="213"/>
      <c r="AB268" s="213"/>
      <c r="AC268" s="213"/>
      <c r="AD268" s="213"/>
      <c r="AE268" s="213"/>
      <c r="AF268" s="213"/>
      <c r="AG268" s="213"/>
      <c r="AH268" s="213"/>
      <c r="AI268" s="213"/>
      <c r="AJ268" s="213"/>
      <c r="AK268" s="213"/>
      <c r="AL268" s="213"/>
      <c r="AM268" s="213"/>
      <c r="AN268" s="213"/>
      <c r="AO268" s="213"/>
      <c r="AP268" s="213"/>
      <c r="AQ268" s="213"/>
      <c r="AR268" s="213"/>
      <c r="AS268" s="213"/>
      <c r="AT268" s="213"/>
      <c r="AU268" s="213"/>
      <c r="AV268" s="213"/>
      <c r="AW268" s="213"/>
      <c r="AX268" s="213"/>
      <c r="AY268" s="213"/>
      <c r="AZ268" s="213"/>
      <c r="BA268" s="213"/>
      <c r="BB268" s="213"/>
      <c r="BC268" s="213"/>
      <c r="BD268" s="213"/>
      <c r="BE268" s="213"/>
      <c r="BF268" s="213"/>
      <c r="BG268" s="213"/>
      <c r="BH268" s="213"/>
      <c r="BI268" s="213"/>
      <c r="BJ268" s="213"/>
      <c r="BK268" s="213"/>
      <c r="BL268" s="213"/>
      <c r="BM268" s="213"/>
      <c r="BN268" s="215"/>
      <c r="BO268" s="213"/>
      <c r="BP268" s="213"/>
      <c r="BQ268" s="213"/>
      <c r="BR268" s="326"/>
      <c r="BS268" s="213"/>
      <c r="BT268" s="213"/>
      <c r="BU268" s="213"/>
      <c r="BV268" s="213"/>
      <c r="BW268" s="213"/>
      <c r="BX268" s="213"/>
      <c r="BY268" s="213"/>
      <c r="BZ268" s="213"/>
      <c r="CA268" s="213"/>
      <c r="CB268" s="213"/>
      <c r="CC268" s="213"/>
      <c r="CD268" s="213"/>
      <c r="CE268" s="213"/>
      <c r="CF268" s="213"/>
      <c r="CG268" s="213"/>
      <c r="CH268" s="213"/>
      <c r="CI268" s="213"/>
      <c r="CJ268" s="213"/>
      <c r="CK268" s="213"/>
      <c r="CL268" s="213"/>
      <c r="CM268" s="213"/>
      <c r="CN268" s="213"/>
      <c r="CO268" s="213"/>
      <c r="CP268" s="213"/>
      <c r="CQ268" s="213"/>
      <c r="CR268" s="213"/>
      <c r="CS268" s="213"/>
      <c r="CT268" s="213"/>
      <c r="CU268" s="213"/>
    </row>
    <row r="269" ht="15.75" customHeight="1">
      <c r="A269" s="213"/>
      <c r="B269" s="213"/>
      <c r="C269" s="213"/>
      <c r="D269" s="213"/>
      <c r="E269" s="213"/>
      <c r="F269" s="213"/>
      <c r="G269" s="213"/>
      <c r="H269" s="213"/>
      <c r="I269" s="213"/>
      <c r="J269" s="213"/>
      <c r="K269" s="213"/>
      <c r="L269" s="213"/>
      <c r="M269" s="213"/>
      <c r="N269" s="213"/>
      <c r="O269" s="213"/>
      <c r="P269" s="213"/>
      <c r="Q269" s="213"/>
      <c r="R269" s="213"/>
      <c r="S269" s="213"/>
      <c r="T269" s="213"/>
      <c r="U269" s="213"/>
      <c r="V269" s="213"/>
      <c r="W269" s="213"/>
      <c r="X269" s="213"/>
      <c r="Y269" s="213"/>
      <c r="Z269" s="213"/>
      <c r="AA269" s="213"/>
      <c r="AB269" s="213"/>
      <c r="AC269" s="213"/>
      <c r="AD269" s="213"/>
      <c r="AE269" s="213"/>
      <c r="AF269" s="213"/>
      <c r="AG269" s="213"/>
      <c r="AH269" s="213"/>
      <c r="AI269" s="213"/>
      <c r="AJ269" s="213"/>
      <c r="AK269" s="213"/>
      <c r="AL269" s="213"/>
      <c r="AM269" s="213"/>
      <c r="AN269" s="213"/>
      <c r="AO269" s="213"/>
      <c r="AP269" s="213"/>
      <c r="AQ269" s="213"/>
      <c r="AR269" s="213"/>
      <c r="AS269" s="213"/>
      <c r="AT269" s="213"/>
      <c r="AU269" s="213"/>
      <c r="AV269" s="213"/>
      <c r="AW269" s="213"/>
      <c r="AX269" s="213"/>
      <c r="AY269" s="213"/>
      <c r="AZ269" s="213"/>
      <c r="BA269" s="213"/>
      <c r="BB269" s="213"/>
      <c r="BC269" s="213"/>
      <c r="BD269" s="213"/>
      <c r="BE269" s="213"/>
      <c r="BF269" s="213"/>
      <c r="BG269" s="213"/>
      <c r="BH269" s="213"/>
      <c r="BI269" s="213"/>
      <c r="BJ269" s="213"/>
      <c r="BK269" s="213"/>
      <c r="BL269" s="213"/>
      <c r="BM269" s="213"/>
      <c r="BN269" s="215"/>
      <c r="BO269" s="213"/>
      <c r="BP269" s="213"/>
      <c r="BQ269" s="213"/>
      <c r="BR269" s="326"/>
      <c r="BS269" s="213"/>
      <c r="BT269" s="213"/>
      <c r="BU269" s="213"/>
      <c r="BV269" s="213"/>
      <c r="BW269" s="213"/>
      <c r="BX269" s="213"/>
      <c r="BY269" s="213"/>
      <c r="BZ269" s="213"/>
      <c r="CA269" s="213"/>
      <c r="CB269" s="213"/>
      <c r="CC269" s="213"/>
      <c r="CD269" s="213"/>
      <c r="CE269" s="213"/>
      <c r="CF269" s="213"/>
      <c r="CG269" s="213"/>
      <c r="CH269" s="213"/>
      <c r="CI269" s="213"/>
      <c r="CJ269" s="213"/>
      <c r="CK269" s="213"/>
      <c r="CL269" s="213"/>
      <c r="CM269" s="213"/>
      <c r="CN269" s="213"/>
      <c r="CO269" s="213"/>
      <c r="CP269" s="213"/>
      <c r="CQ269" s="213"/>
      <c r="CR269" s="213"/>
      <c r="CS269" s="213"/>
      <c r="CT269" s="213"/>
      <c r="CU269" s="213"/>
    </row>
    <row r="270" ht="15.75" customHeight="1">
      <c r="A270" s="213"/>
      <c r="B270" s="213"/>
      <c r="C270" s="213"/>
      <c r="D270" s="213"/>
      <c r="E270" s="213"/>
      <c r="F270" s="213"/>
      <c r="G270" s="213"/>
      <c r="H270" s="213"/>
      <c r="I270" s="213"/>
      <c r="J270" s="213"/>
      <c r="K270" s="213"/>
      <c r="L270" s="213"/>
      <c r="M270" s="213"/>
      <c r="N270" s="213"/>
      <c r="O270" s="213"/>
      <c r="P270" s="213"/>
      <c r="Q270" s="213"/>
      <c r="R270" s="213"/>
      <c r="S270" s="213"/>
      <c r="T270" s="213"/>
      <c r="U270" s="213"/>
      <c r="V270" s="213"/>
      <c r="W270" s="213"/>
      <c r="X270" s="213"/>
      <c r="Y270" s="213"/>
      <c r="Z270" s="213"/>
      <c r="AA270" s="213"/>
      <c r="AB270" s="213"/>
      <c r="AC270" s="213"/>
      <c r="AD270" s="213"/>
      <c r="AE270" s="213"/>
      <c r="AF270" s="213"/>
      <c r="AG270" s="213"/>
      <c r="AH270" s="213"/>
      <c r="AI270" s="213"/>
      <c r="AJ270" s="213"/>
      <c r="AK270" s="213"/>
      <c r="AL270" s="213"/>
      <c r="AM270" s="213"/>
      <c r="AN270" s="213"/>
      <c r="AO270" s="213"/>
      <c r="AP270" s="213"/>
      <c r="AQ270" s="213"/>
      <c r="AR270" s="213"/>
      <c r="AS270" s="213"/>
      <c r="AT270" s="213"/>
      <c r="AU270" s="213"/>
      <c r="AV270" s="213"/>
      <c r="AW270" s="213"/>
      <c r="AX270" s="213"/>
      <c r="AY270" s="213"/>
      <c r="AZ270" s="213"/>
      <c r="BA270" s="213"/>
      <c r="BB270" s="213"/>
      <c r="BC270" s="213"/>
      <c r="BD270" s="213"/>
      <c r="BE270" s="213"/>
      <c r="BF270" s="213"/>
      <c r="BG270" s="213"/>
      <c r="BH270" s="213"/>
      <c r="BI270" s="213"/>
      <c r="BJ270" s="213"/>
      <c r="BK270" s="213"/>
      <c r="BL270" s="213"/>
      <c r="BM270" s="213"/>
      <c r="BN270" s="215"/>
      <c r="BO270" s="213"/>
      <c r="BP270" s="213"/>
      <c r="BQ270" s="213"/>
      <c r="BR270" s="326"/>
      <c r="BS270" s="213"/>
      <c r="BT270" s="213"/>
      <c r="BU270" s="213"/>
      <c r="BV270" s="213"/>
      <c r="BW270" s="213"/>
      <c r="BX270" s="213"/>
      <c r="BY270" s="213"/>
      <c r="BZ270" s="213"/>
      <c r="CA270" s="213"/>
      <c r="CB270" s="213"/>
      <c r="CC270" s="213"/>
      <c r="CD270" s="213"/>
      <c r="CE270" s="213"/>
      <c r="CF270" s="213"/>
      <c r="CG270" s="213"/>
      <c r="CH270" s="213"/>
      <c r="CI270" s="213"/>
      <c r="CJ270" s="213"/>
      <c r="CK270" s="213"/>
      <c r="CL270" s="213"/>
      <c r="CM270" s="213"/>
      <c r="CN270" s="213"/>
      <c r="CO270" s="213"/>
      <c r="CP270" s="213"/>
      <c r="CQ270" s="213"/>
      <c r="CR270" s="213"/>
      <c r="CS270" s="213"/>
      <c r="CT270" s="213"/>
      <c r="CU270" s="213"/>
    </row>
    <row r="271" ht="15.75" customHeight="1">
      <c r="A271" s="213"/>
      <c r="B271" s="213"/>
      <c r="C271" s="213"/>
      <c r="D271" s="213"/>
      <c r="E271" s="213"/>
      <c r="F271" s="213"/>
      <c r="G271" s="213"/>
      <c r="H271" s="213"/>
      <c r="I271" s="213"/>
      <c r="J271" s="213"/>
      <c r="K271" s="213"/>
      <c r="L271" s="213"/>
      <c r="M271" s="213"/>
      <c r="N271" s="213"/>
      <c r="O271" s="213"/>
      <c r="P271" s="213"/>
      <c r="Q271" s="213"/>
      <c r="R271" s="213"/>
      <c r="S271" s="213"/>
      <c r="T271" s="213"/>
      <c r="U271" s="213"/>
      <c r="V271" s="213"/>
      <c r="W271" s="213"/>
      <c r="X271" s="213"/>
      <c r="Y271" s="213"/>
      <c r="Z271" s="213"/>
      <c r="AA271" s="213"/>
      <c r="AB271" s="213"/>
      <c r="AC271" s="213"/>
      <c r="AD271" s="213"/>
      <c r="AE271" s="213"/>
      <c r="AF271" s="213"/>
      <c r="AG271" s="213"/>
      <c r="AH271" s="213"/>
      <c r="AI271" s="213"/>
      <c r="AJ271" s="213"/>
      <c r="AK271" s="213"/>
      <c r="AL271" s="213"/>
      <c r="AM271" s="213"/>
      <c r="AN271" s="213"/>
      <c r="AO271" s="213"/>
      <c r="AP271" s="213"/>
      <c r="AQ271" s="213"/>
      <c r="AR271" s="213"/>
      <c r="AS271" s="213"/>
      <c r="AT271" s="213"/>
      <c r="AU271" s="213"/>
      <c r="AV271" s="213"/>
      <c r="AW271" s="213"/>
      <c r="AX271" s="213"/>
      <c r="AY271" s="213"/>
      <c r="AZ271" s="213"/>
      <c r="BA271" s="213"/>
      <c r="BB271" s="213"/>
      <c r="BC271" s="213"/>
      <c r="BD271" s="213"/>
      <c r="BE271" s="213"/>
      <c r="BF271" s="213"/>
      <c r="BG271" s="213"/>
      <c r="BH271" s="213"/>
      <c r="BI271" s="213"/>
      <c r="BJ271" s="213"/>
      <c r="BK271" s="213"/>
      <c r="BL271" s="213"/>
      <c r="BM271" s="213"/>
      <c r="BN271" s="215"/>
      <c r="BO271" s="213"/>
      <c r="BP271" s="213"/>
      <c r="BQ271" s="213"/>
      <c r="BR271" s="326"/>
      <c r="BS271" s="213"/>
      <c r="BT271" s="213"/>
      <c r="BU271" s="213"/>
      <c r="BV271" s="213"/>
      <c r="BW271" s="213"/>
      <c r="BX271" s="213"/>
      <c r="BY271" s="213"/>
      <c r="BZ271" s="213"/>
      <c r="CA271" s="213"/>
      <c r="CB271" s="213"/>
      <c r="CC271" s="213"/>
      <c r="CD271" s="213"/>
      <c r="CE271" s="213"/>
      <c r="CF271" s="213"/>
      <c r="CG271" s="213"/>
      <c r="CH271" s="213"/>
      <c r="CI271" s="213"/>
      <c r="CJ271" s="213"/>
      <c r="CK271" s="213"/>
      <c r="CL271" s="213"/>
      <c r="CM271" s="213"/>
      <c r="CN271" s="213"/>
      <c r="CO271" s="213"/>
      <c r="CP271" s="213"/>
      <c r="CQ271" s="213"/>
      <c r="CR271" s="213"/>
      <c r="CS271" s="213"/>
      <c r="CT271" s="213"/>
      <c r="CU271" s="213"/>
    </row>
    <row r="272" ht="15.75" customHeight="1">
      <c r="A272" s="213"/>
      <c r="B272" s="213"/>
      <c r="C272" s="213"/>
      <c r="D272" s="213"/>
      <c r="E272" s="213"/>
      <c r="F272" s="213"/>
      <c r="G272" s="213"/>
      <c r="H272" s="213"/>
      <c r="I272" s="213"/>
      <c r="J272" s="213"/>
      <c r="K272" s="213"/>
      <c r="L272" s="213"/>
      <c r="M272" s="213"/>
      <c r="N272" s="213"/>
      <c r="O272" s="213"/>
      <c r="P272" s="213"/>
      <c r="Q272" s="213"/>
      <c r="R272" s="213"/>
      <c r="S272" s="213"/>
      <c r="T272" s="213"/>
      <c r="U272" s="213"/>
      <c r="V272" s="213"/>
      <c r="W272" s="213"/>
      <c r="X272" s="213"/>
      <c r="Y272" s="213"/>
      <c r="Z272" s="213"/>
      <c r="AA272" s="213"/>
      <c r="AB272" s="213"/>
      <c r="AC272" s="213"/>
      <c r="AD272" s="213"/>
      <c r="AE272" s="213"/>
      <c r="AF272" s="213"/>
      <c r="AG272" s="213"/>
      <c r="AH272" s="213"/>
      <c r="AI272" s="213"/>
      <c r="AJ272" s="213"/>
      <c r="AK272" s="213"/>
      <c r="AL272" s="213"/>
      <c r="AM272" s="213"/>
      <c r="AN272" s="213"/>
      <c r="AO272" s="213"/>
      <c r="AP272" s="213"/>
      <c r="AQ272" s="213"/>
      <c r="AR272" s="213"/>
      <c r="AS272" s="213"/>
      <c r="AT272" s="213"/>
      <c r="AU272" s="213"/>
      <c r="AV272" s="213"/>
      <c r="AW272" s="213"/>
      <c r="AX272" s="213"/>
      <c r="AY272" s="213"/>
      <c r="AZ272" s="213"/>
      <c r="BA272" s="213"/>
      <c r="BB272" s="213"/>
      <c r="BC272" s="213"/>
      <c r="BD272" s="213"/>
      <c r="BE272" s="213"/>
      <c r="BF272" s="213"/>
      <c r="BG272" s="213"/>
      <c r="BH272" s="213"/>
      <c r="BI272" s="213"/>
      <c r="BJ272" s="213"/>
      <c r="BK272" s="213"/>
      <c r="BL272" s="213"/>
      <c r="BM272" s="213"/>
      <c r="BN272" s="215"/>
      <c r="BO272" s="213"/>
      <c r="BP272" s="213"/>
      <c r="BQ272" s="213"/>
      <c r="BR272" s="326"/>
      <c r="BS272" s="213"/>
      <c r="BT272" s="213"/>
      <c r="BU272" s="213"/>
      <c r="BV272" s="213"/>
      <c r="BW272" s="213"/>
      <c r="BX272" s="213"/>
      <c r="BY272" s="213"/>
      <c r="BZ272" s="213"/>
      <c r="CA272" s="213"/>
      <c r="CB272" s="213"/>
      <c r="CC272" s="213"/>
      <c r="CD272" s="213"/>
      <c r="CE272" s="213"/>
      <c r="CF272" s="213"/>
      <c r="CG272" s="213"/>
      <c r="CH272" s="213"/>
      <c r="CI272" s="213"/>
      <c r="CJ272" s="213"/>
      <c r="CK272" s="213"/>
      <c r="CL272" s="213"/>
      <c r="CM272" s="213"/>
      <c r="CN272" s="213"/>
      <c r="CO272" s="213"/>
      <c r="CP272" s="213"/>
      <c r="CQ272" s="213"/>
      <c r="CR272" s="213"/>
      <c r="CS272" s="213"/>
      <c r="CT272" s="213"/>
      <c r="CU272" s="213"/>
    </row>
    <row r="273" ht="15.75" customHeight="1">
      <c r="A273" s="213"/>
      <c r="B273" s="213"/>
      <c r="C273" s="213"/>
      <c r="D273" s="213"/>
      <c r="E273" s="213"/>
      <c r="F273" s="213"/>
      <c r="G273" s="213"/>
      <c r="H273" s="213"/>
      <c r="I273" s="213"/>
      <c r="J273" s="213"/>
      <c r="K273" s="213"/>
      <c r="L273" s="213"/>
      <c r="M273" s="213"/>
      <c r="N273" s="213"/>
      <c r="O273" s="213"/>
      <c r="P273" s="213"/>
      <c r="Q273" s="213"/>
      <c r="R273" s="213"/>
      <c r="S273" s="213"/>
      <c r="T273" s="213"/>
      <c r="U273" s="213"/>
      <c r="V273" s="213"/>
      <c r="W273" s="213"/>
      <c r="X273" s="213"/>
      <c r="Y273" s="213"/>
      <c r="Z273" s="213"/>
      <c r="AA273" s="213"/>
      <c r="AB273" s="213"/>
      <c r="AC273" s="213"/>
      <c r="AD273" s="213"/>
      <c r="AE273" s="213"/>
      <c r="AF273" s="213"/>
      <c r="AG273" s="213"/>
      <c r="AH273" s="213"/>
      <c r="AI273" s="213"/>
      <c r="AJ273" s="213"/>
      <c r="AK273" s="213"/>
      <c r="AL273" s="213"/>
      <c r="AM273" s="213"/>
      <c r="AN273" s="213"/>
      <c r="AO273" s="213"/>
      <c r="AP273" s="213"/>
      <c r="AQ273" s="213"/>
      <c r="AR273" s="213"/>
      <c r="AS273" s="213"/>
      <c r="AT273" s="213"/>
      <c r="AU273" s="213"/>
      <c r="AV273" s="213"/>
      <c r="AW273" s="213"/>
      <c r="AX273" s="213"/>
      <c r="AY273" s="213"/>
      <c r="AZ273" s="213"/>
      <c r="BA273" s="213"/>
      <c r="BB273" s="213"/>
      <c r="BC273" s="213"/>
      <c r="BD273" s="213"/>
      <c r="BE273" s="213"/>
      <c r="BF273" s="213"/>
      <c r="BG273" s="213"/>
      <c r="BH273" s="213"/>
      <c r="BI273" s="213"/>
      <c r="BJ273" s="213"/>
      <c r="BK273" s="213"/>
      <c r="BL273" s="213"/>
      <c r="BM273" s="213"/>
      <c r="BN273" s="215"/>
      <c r="BO273" s="213"/>
      <c r="BP273" s="213"/>
      <c r="BQ273" s="213"/>
      <c r="BR273" s="326"/>
      <c r="BS273" s="213"/>
      <c r="BT273" s="213"/>
      <c r="BU273" s="213"/>
      <c r="BV273" s="213"/>
      <c r="BW273" s="213"/>
      <c r="BX273" s="213"/>
      <c r="BY273" s="213"/>
      <c r="BZ273" s="213"/>
      <c r="CA273" s="213"/>
      <c r="CB273" s="213"/>
      <c r="CC273" s="213"/>
      <c r="CD273" s="213"/>
      <c r="CE273" s="213"/>
      <c r="CF273" s="213"/>
      <c r="CG273" s="213"/>
      <c r="CH273" s="213"/>
      <c r="CI273" s="213"/>
      <c r="CJ273" s="213"/>
      <c r="CK273" s="213"/>
      <c r="CL273" s="213"/>
      <c r="CM273" s="213"/>
      <c r="CN273" s="213"/>
      <c r="CO273" s="213"/>
      <c r="CP273" s="213"/>
      <c r="CQ273" s="213"/>
      <c r="CR273" s="213"/>
      <c r="CS273" s="213"/>
      <c r="CT273" s="213"/>
      <c r="CU273" s="213"/>
    </row>
    <row r="274" ht="15.75" customHeight="1">
      <c r="A274" s="213"/>
      <c r="B274" s="213"/>
      <c r="C274" s="213"/>
      <c r="D274" s="213"/>
      <c r="E274" s="213"/>
      <c r="F274" s="213"/>
      <c r="G274" s="213"/>
      <c r="H274" s="213"/>
      <c r="I274" s="213"/>
      <c r="J274" s="213"/>
      <c r="K274" s="213"/>
      <c r="L274" s="213"/>
      <c r="M274" s="213"/>
      <c r="N274" s="213"/>
      <c r="O274" s="213"/>
      <c r="P274" s="213"/>
      <c r="Q274" s="213"/>
      <c r="R274" s="213"/>
      <c r="S274" s="213"/>
      <c r="T274" s="213"/>
      <c r="U274" s="213"/>
      <c r="V274" s="213"/>
      <c r="W274" s="213"/>
      <c r="X274" s="213"/>
      <c r="Y274" s="213"/>
      <c r="Z274" s="213"/>
      <c r="AA274" s="213"/>
      <c r="AB274" s="213"/>
      <c r="AC274" s="213"/>
      <c r="AD274" s="213"/>
      <c r="AE274" s="213"/>
      <c r="AF274" s="213"/>
      <c r="AG274" s="213"/>
      <c r="AH274" s="213"/>
      <c r="AI274" s="213"/>
      <c r="AJ274" s="213"/>
      <c r="AK274" s="213"/>
      <c r="AL274" s="213"/>
      <c r="AM274" s="213"/>
      <c r="AN274" s="213"/>
      <c r="AO274" s="213"/>
      <c r="AP274" s="213"/>
      <c r="AQ274" s="213"/>
      <c r="AR274" s="213"/>
      <c r="AS274" s="213"/>
      <c r="AT274" s="213"/>
      <c r="AU274" s="213"/>
      <c r="AV274" s="213"/>
      <c r="AW274" s="213"/>
      <c r="AX274" s="213"/>
      <c r="AY274" s="213"/>
      <c r="AZ274" s="213"/>
      <c r="BA274" s="213"/>
      <c r="BB274" s="213"/>
      <c r="BC274" s="213"/>
      <c r="BD274" s="213"/>
      <c r="BE274" s="213"/>
      <c r="BF274" s="213"/>
      <c r="BG274" s="213"/>
      <c r="BH274" s="213"/>
      <c r="BI274" s="213"/>
      <c r="BJ274" s="213"/>
      <c r="BK274" s="213"/>
      <c r="BL274" s="213"/>
      <c r="BM274" s="213"/>
      <c r="BN274" s="215"/>
      <c r="BO274" s="213"/>
      <c r="BP274" s="213"/>
      <c r="BQ274" s="213"/>
      <c r="BR274" s="326"/>
      <c r="BS274" s="213"/>
      <c r="BT274" s="213"/>
      <c r="BU274" s="213"/>
      <c r="BV274" s="213"/>
      <c r="BW274" s="213"/>
      <c r="BX274" s="213"/>
      <c r="BY274" s="213"/>
      <c r="BZ274" s="213"/>
      <c r="CA274" s="213"/>
      <c r="CB274" s="213"/>
      <c r="CC274" s="213"/>
      <c r="CD274" s="213"/>
      <c r="CE274" s="213"/>
      <c r="CF274" s="213"/>
      <c r="CG274" s="213"/>
      <c r="CH274" s="213"/>
      <c r="CI274" s="213"/>
      <c r="CJ274" s="213"/>
      <c r="CK274" s="213"/>
      <c r="CL274" s="213"/>
      <c r="CM274" s="213"/>
      <c r="CN274" s="213"/>
      <c r="CO274" s="213"/>
      <c r="CP274" s="213"/>
      <c r="CQ274" s="213"/>
      <c r="CR274" s="213"/>
      <c r="CS274" s="213"/>
      <c r="CT274" s="213"/>
      <c r="CU274" s="213"/>
    </row>
    <row r="275" ht="15.75" customHeight="1">
      <c r="A275" s="213"/>
      <c r="B275" s="213"/>
      <c r="C275" s="213"/>
      <c r="D275" s="213"/>
      <c r="E275" s="213"/>
      <c r="F275" s="213"/>
      <c r="G275" s="213"/>
      <c r="H275" s="213"/>
      <c r="I275" s="213"/>
      <c r="J275" s="213"/>
      <c r="K275" s="213"/>
      <c r="L275" s="213"/>
      <c r="M275" s="213"/>
      <c r="N275" s="213"/>
      <c r="O275" s="213"/>
      <c r="P275" s="213"/>
      <c r="Q275" s="213"/>
      <c r="R275" s="213"/>
      <c r="S275" s="213"/>
      <c r="T275" s="213"/>
      <c r="U275" s="213"/>
      <c r="V275" s="213"/>
      <c r="W275" s="213"/>
      <c r="X275" s="213"/>
      <c r="Y275" s="213"/>
      <c r="Z275" s="213"/>
      <c r="AA275" s="213"/>
      <c r="AB275" s="213"/>
      <c r="AC275" s="213"/>
      <c r="AD275" s="213"/>
      <c r="AE275" s="213"/>
      <c r="AF275" s="213"/>
      <c r="AG275" s="213"/>
      <c r="AH275" s="213"/>
      <c r="AI275" s="213"/>
      <c r="AJ275" s="213"/>
      <c r="AK275" s="213"/>
      <c r="AL275" s="213"/>
      <c r="AM275" s="213"/>
      <c r="AN275" s="213"/>
      <c r="AO275" s="213"/>
      <c r="AP275" s="213"/>
      <c r="AQ275" s="213"/>
      <c r="AR275" s="213"/>
      <c r="AS275" s="213"/>
      <c r="AT275" s="213"/>
      <c r="AU275" s="213"/>
      <c r="AV275" s="213"/>
      <c r="AW275" s="213"/>
      <c r="AX275" s="213"/>
      <c r="AY275" s="213"/>
      <c r="AZ275" s="213"/>
      <c r="BA275" s="213"/>
      <c r="BB275" s="213"/>
      <c r="BC275" s="213"/>
      <c r="BD275" s="213"/>
      <c r="BE275" s="213"/>
      <c r="BF275" s="213"/>
      <c r="BG275" s="213"/>
      <c r="BH275" s="213"/>
      <c r="BI275" s="213"/>
      <c r="BJ275" s="213"/>
      <c r="BK275" s="213"/>
      <c r="BL275" s="213"/>
      <c r="BM275" s="213"/>
      <c r="BN275" s="215"/>
      <c r="BO275" s="213"/>
      <c r="BP275" s="213"/>
      <c r="BQ275" s="213"/>
      <c r="BR275" s="326"/>
      <c r="BS275" s="213"/>
      <c r="BT275" s="213"/>
      <c r="BU275" s="213"/>
      <c r="BV275" s="213"/>
      <c r="BW275" s="213"/>
      <c r="BX275" s="213"/>
      <c r="BY275" s="213"/>
      <c r="BZ275" s="213"/>
      <c r="CA275" s="213"/>
      <c r="CB275" s="213"/>
      <c r="CC275" s="213"/>
      <c r="CD275" s="213"/>
      <c r="CE275" s="213"/>
      <c r="CF275" s="213"/>
      <c r="CG275" s="213"/>
      <c r="CH275" s="213"/>
      <c r="CI275" s="213"/>
      <c r="CJ275" s="213"/>
      <c r="CK275" s="213"/>
      <c r="CL275" s="213"/>
      <c r="CM275" s="213"/>
      <c r="CN275" s="213"/>
      <c r="CO275" s="213"/>
      <c r="CP275" s="213"/>
      <c r="CQ275" s="213"/>
      <c r="CR275" s="213"/>
      <c r="CS275" s="213"/>
      <c r="CT275" s="213"/>
      <c r="CU275" s="213"/>
    </row>
    <row r="276" ht="15.75" customHeight="1">
      <c r="A276" s="213"/>
      <c r="B276" s="213"/>
      <c r="C276" s="213"/>
      <c r="D276" s="213"/>
      <c r="E276" s="213"/>
      <c r="F276" s="213"/>
      <c r="G276" s="213"/>
      <c r="H276" s="213"/>
      <c r="I276" s="213"/>
      <c r="J276" s="213"/>
      <c r="K276" s="213"/>
      <c r="L276" s="213"/>
      <c r="M276" s="213"/>
      <c r="N276" s="213"/>
      <c r="O276" s="213"/>
      <c r="P276" s="213"/>
      <c r="Q276" s="213"/>
      <c r="R276" s="213"/>
      <c r="S276" s="213"/>
      <c r="T276" s="213"/>
      <c r="U276" s="213"/>
      <c r="V276" s="213"/>
      <c r="W276" s="213"/>
      <c r="X276" s="213"/>
      <c r="Y276" s="213"/>
      <c r="Z276" s="213"/>
      <c r="AA276" s="213"/>
      <c r="AB276" s="213"/>
      <c r="AC276" s="213"/>
      <c r="AD276" s="213"/>
      <c r="AE276" s="213"/>
      <c r="AF276" s="213"/>
      <c r="AG276" s="213"/>
      <c r="AH276" s="213"/>
      <c r="AI276" s="213"/>
      <c r="AJ276" s="213"/>
      <c r="AK276" s="213"/>
      <c r="AL276" s="213"/>
      <c r="AM276" s="213"/>
      <c r="AN276" s="213"/>
      <c r="AO276" s="213"/>
      <c r="AP276" s="213"/>
      <c r="AQ276" s="213"/>
      <c r="AR276" s="213"/>
      <c r="AS276" s="213"/>
      <c r="AT276" s="213"/>
      <c r="AU276" s="213"/>
      <c r="AV276" s="213"/>
      <c r="AW276" s="213"/>
      <c r="AX276" s="213"/>
      <c r="AY276" s="213"/>
      <c r="AZ276" s="213"/>
      <c r="BA276" s="213"/>
      <c r="BB276" s="213"/>
      <c r="BC276" s="213"/>
      <c r="BD276" s="213"/>
      <c r="BE276" s="213"/>
      <c r="BF276" s="213"/>
      <c r="BG276" s="213"/>
      <c r="BH276" s="213"/>
      <c r="BI276" s="213"/>
      <c r="BJ276" s="213"/>
      <c r="BK276" s="213"/>
      <c r="BL276" s="213"/>
      <c r="BM276" s="213"/>
      <c r="BN276" s="215"/>
      <c r="BO276" s="213"/>
      <c r="BP276" s="213"/>
      <c r="BQ276" s="213"/>
      <c r="BR276" s="326"/>
      <c r="BS276" s="213"/>
      <c r="BT276" s="213"/>
      <c r="BU276" s="213"/>
      <c r="BV276" s="213"/>
      <c r="BW276" s="213"/>
      <c r="BX276" s="213"/>
      <c r="BY276" s="213"/>
      <c r="BZ276" s="213"/>
      <c r="CA276" s="213"/>
      <c r="CB276" s="213"/>
      <c r="CC276" s="213"/>
      <c r="CD276" s="213"/>
      <c r="CE276" s="213"/>
      <c r="CF276" s="213"/>
      <c r="CG276" s="213"/>
      <c r="CH276" s="213"/>
      <c r="CI276" s="213"/>
      <c r="CJ276" s="213"/>
      <c r="CK276" s="213"/>
      <c r="CL276" s="213"/>
      <c r="CM276" s="213"/>
      <c r="CN276" s="213"/>
      <c r="CO276" s="213"/>
      <c r="CP276" s="213"/>
      <c r="CQ276" s="213"/>
      <c r="CR276" s="213"/>
      <c r="CS276" s="213"/>
      <c r="CT276" s="213"/>
      <c r="CU276" s="213"/>
    </row>
    <row r="277" ht="15.75" customHeight="1">
      <c r="A277" s="213"/>
      <c r="B277" s="213"/>
      <c r="C277" s="213"/>
      <c r="D277" s="213"/>
      <c r="E277" s="213"/>
      <c r="F277" s="213"/>
      <c r="G277" s="213"/>
      <c r="H277" s="213"/>
      <c r="I277" s="213"/>
      <c r="J277" s="213"/>
      <c r="K277" s="213"/>
      <c r="L277" s="213"/>
      <c r="M277" s="213"/>
      <c r="N277" s="213"/>
      <c r="O277" s="213"/>
      <c r="P277" s="213"/>
      <c r="Q277" s="213"/>
      <c r="R277" s="213"/>
      <c r="S277" s="213"/>
      <c r="T277" s="213"/>
      <c r="U277" s="213"/>
      <c r="V277" s="213"/>
      <c r="W277" s="213"/>
      <c r="X277" s="213"/>
      <c r="Y277" s="213"/>
      <c r="Z277" s="213"/>
      <c r="AA277" s="213"/>
      <c r="AB277" s="213"/>
      <c r="AC277" s="213"/>
      <c r="AD277" s="213"/>
      <c r="AE277" s="213"/>
      <c r="AF277" s="213"/>
      <c r="AG277" s="213"/>
      <c r="AH277" s="213"/>
      <c r="AI277" s="213"/>
      <c r="AJ277" s="213"/>
      <c r="AK277" s="213"/>
      <c r="AL277" s="213"/>
      <c r="AM277" s="213"/>
      <c r="AN277" s="213"/>
      <c r="AO277" s="213"/>
      <c r="AP277" s="213"/>
      <c r="AQ277" s="213"/>
      <c r="AR277" s="213"/>
      <c r="AS277" s="213"/>
      <c r="AT277" s="213"/>
      <c r="AU277" s="213"/>
      <c r="AV277" s="213"/>
      <c r="AW277" s="213"/>
      <c r="AX277" s="213"/>
      <c r="AY277" s="213"/>
      <c r="AZ277" s="213"/>
      <c r="BA277" s="213"/>
      <c r="BB277" s="213"/>
      <c r="BC277" s="213"/>
      <c r="BD277" s="213"/>
      <c r="BE277" s="213"/>
      <c r="BF277" s="213"/>
      <c r="BG277" s="213"/>
      <c r="BH277" s="213"/>
      <c r="BI277" s="213"/>
      <c r="BJ277" s="213"/>
      <c r="BK277" s="213"/>
      <c r="BL277" s="213"/>
      <c r="BM277" s="213"/>
      <c r="BN277" s="215"/>
      <c r="BO277" s="213"/>
      <c r="BP277" s="213"/>
      <c r="BQ277" s="213"/>
      <c r="BR277" s="326"/>
      <c r="BS277" s="213"/>
      <c r="BT277" s="213"/>
      <c r="BU277" s="213"/>
      <c r="BV277" s="213"/>
      <c r="BW277" s="213"/>
      <c r="BX277" s="213"/>
      <c r="BY277" s="213"/>
      <c r="BZ277" s="213"/>
      <c r="CA277" s="213"/>
      <c r="CB277" s="213"/>
      <c r="CC277" s="213"/>
      <c r="CD277" s="213"/>
      <c r="CE277" s="213"/>
      <c r="CF277" s="213"/>
      <c r="CG277" s="213"/>
      <c r="CH277" s="213"/>
      <c r="CI277" s="213"/>
      <c r="CJ277" s="213"/>
      <c r="CK277" s="213"/>
      <c r="CL277" s="213"/>
      <c r="CM277" s="213"/>
      <c r="CN277" s="213"/>
      <c r="CO277" s="213"/>
      <c r="CP277" s="213"/>
      <c r="CQ277" s="213"/>
      <c r="CR277" s="213"/>
      <c r="CS277" s="213"/>
      <c r="CT277" s="213"/>
      <c r="CU277" s="213"/>
    </row>
    <row r="278" ht="15.75" customHeight="1">
      <c r="A278" s="213"/>
      <c r="B278" s="213"/>
      <c r="C278" s="213"/>
      <c r="D278" s="213"/>
      <c r="E278" s="213"/>
      <c r="F278" s="213"/>
      <c r="G278" s="213"/>
      <c r="H278" s="213"/>
      <c r="I278" s="213"/>
      <c r="J278" s="213"/>
      <c r="K278" s="213"/>
      <c r="L278" s="213"/>
      <c r="M278" s="213"/>
      <c r="N278" s="213"/>
      <c r="O278" s="213"/>
      <c r="P278" s="213"/>
      <c r="Q278" s="213"/>
      <c r="R278" s="213"/>
      <c r="S278" s="213"/>
      <c r="T278" s="213"/>
      <c r="U278" s="213"/>
      <c r="V278" s="213"/>
      <c r="W278" s="213"/>
      <c r="X278" s="213"/>
      <c r="Y278" s="213"/>
      <c r="Z278" s="213"/>
      <c r="AA278" s="213"/>
      <c r="AB278" s="213"/>
      <c r="AC278" s="213"/>
      <c r="AD278" s="213"/>
      <c r="AE278" s="213"/>
      <c r="AF278" s="213"/>
      <c r="AG278" s="213"/>
      <c r="AH278" s="213"/>
      <c r="AI278" s="213"/>
      <c r="AJ278" s="213"/>
      <c r="AK278" s="213"/>
      <c r="AL278" s="213"/>
      <c r="AM278" s="213"/>
      <c r="AN278" s="213"/>
      <c r="AO278" s="213"/>
      <c r="AP278" s="213"/>
      <c r="AQ278" s="213"/>
      <c r="AR278" s="213"/>
      <c r="AS278" s="213"/>
      <c r="AT278" s="213"/>
      <c r="AU278" s="213"/>
      <c r="AV278" s="213"/>
      <c r="AW278" s="213"/>
      <c r="AX278" s="213"/>
      <c r="AY278" s="213"/>
      <c r="AZ278" s="213"/>
      <c r="BA278" s="213"/>
      <c r="BB278" s="213"/>
      <c r="BC278" s="213"/>
      <c r="BD278" s="213"/>
      <c r="BE278" s="213"/>
      <c r="BF278" s="213"/>
      <c r="BG278" s="213"/>
      <c r="BH278" s="213"/>
      <c r="BI278" s="213"/>
      <c r="BJ278" s="213"/>
      <c r="BK278" s="213"/>
      <c r="BL278" s="213"/>
      <c r="BM278" s="213"/>
      <c r="BN278" s="215"/>
      <c r="BO278" s="213"/>
      <c r="BP278" s="213"/>
      <c r="BQ278" s="213"/>
      <c r="BR278" s="326"/>
      <c r="BS278" s="213"/>
      <c r="BT278" s="213"/>
      <c r="BU278" s="213"/>
      <c r="BV278" s="213"/>
      <c r="BW278" s="213"/>
      <c r="BX278" s="213"/>
      <c r="BY278" s="213"/>
      <c r="BZ278" s="213"/>
      <c r="CA278" s="213"/>
      <c r="CB278" s="213"/>
      <c r="CC278" s="213"/>
      <c r="CD278" s="213"/>
      <c r="CE278" s="213"/>
      <c r="CF278" s="213"/>
      <c r="CG278" s="213"/>
      <c r="CH278" s="213"/>
      <c r="CI278" s="213"/>
      <c r="CJ278" s="213"/>
      <c r="CK278" s="213"/>
      <c r="CL278" s="213"/>
      <c r="CM278" s="213"/>
      <c r="CN278" s="213"/>
      <c r="CO278" s="213"/>
      <c r="CP278" s="213"/>
      <c r="CQ278" s="213"/>
      <c r="CR278" s="213"/>
      <c r="CS278" s="213"/>
      <c r="CT278" s="213"/>
      <c r="CU278" s="213"/>
    </row>
    <row r="279" ht="15.75" customHeight="1">
      <c r="A279" s="213"/>
      <c r="B279" s="213"/>
      <c r="C279" s="213"/>
      <c r="D279" s="213"/>
      <c r="E279" s="213"/>
      <c r="F279" s="213"/>
      <c r="G279" s="213"/>
      <c r="H279" s="213"/>
      <c r="I279" s="213"/>
      <c r="J279" s="213"/>
      <c r="K279" s="213"/>
      <c r="L279" s="213"/>
      <c r="M279" s="213"/>
      <c r="N279" s="213"/>
      <c r="O279" s="213"/>
      <c r="P279" s="213"/>
      <c r="Q279" s="213"/>
      <c r="R279" s="213"/>
      <c r="S279" s="213"/>
      <c r="T279" s="213"/>
      <c r="U279" s="213"/>
      <c r="V279" s="213"/>
      <c r="W279" s="213"/>
      <c r="X279" s="213"/>
      <c r="Y279" s="213"/>
      <c r="Z279" s="213"/>
      <c r="AA279" s="213"/>
      <c r="AB279" s="213"/>
      <c r="AC279" s="213"/>
      <c r="AD279" s="213"/>
      <c r="AE279" s="213"/>
      <c r="AF279" s="213"/>
      <c r="AG279" s="213"/>
      <c r="AH279" s="213"/>
      <c r="AI279" s="213"/>
      <c r="AJ279" s="213"/>
      <c r="AK279" s="213"/>
      <c r="AL279" s="213"/>
      <c r="AM279" s="213"/>
      <c r="AN279" s="213"/>
      <c r="AO279" s="213"/>
      <c r="AP279" s="213"/>
      <c r="AQ279" s="213"/>
      <c r="AR279" s="213"/>
      <c r="AS279" s="213"/>
      <c r="AT279" s="213"/>
      <c r="AU279" s="213"/>
      <c r="AV279" s="213"/>
      <c r="AW279" s="213"/>
      <c r="AX279" s="213"/>
      <c r="AY279" s="213"/>
      <c r="AZ279" s="213"/>
      <c r="BA279" s="213"/>
      <c r="BB279" s="213"/>
      <c r="BC279" s="213"/>
      <c r="BD279" s="213"/>
      <c r="BE279" s="213"/>
      <c r="BF279" s="213"/>
      <c r="BG279" s="213"/>
      <c r="BH279" s="213"/>
      <c r="BI279" s="213"/>
      <c r="BJ279" s="213"/>
      <c r="BK279" s="213"/>
      <c r="BL279" s="213"/>
      <c r="BM279" s="213"/>
      <c r="BN279" s="215"/>
      <c r="BO279" s="213"/>
      <c r="BP279" s="213"/>
      <c r="BQ279" s="213"/>
      <c r="BR279" s="326"/>
      <c r="BS279" s="213"/>
      <c r="BT279" s="213"/>
      <c r="BU279" s="213"/>
      <c r="BV279" s="213"/>
      <c r="BW279" s="213"/>
      <c r="BX279" s="213"/>
      <c r="BY279" s="213"/>
      <c r="BZ279" s="213"/>
      <c r="CA279" s="213"/>
      <c r="CB279" s="213"/>
      <c r="CC279" s="213"/>
      <c r="CD279" s="213"/>
      <c r="CE279" s="213"/>
      <c r="CF279" s="213"/>
      <c r="CG279" s="213"/>
      <c r="CH279" s="213"/>
      <c r="CI279" s="213"/>
      <c r="CJ279" s="213"/>
      <c r="CK279" s="213"/>
      <c r="CL279" s="213"/>
      <c r="CM279" s="213"/>
      <c r="CN279" s="213"/>
      <c r="CO279" s="213"/>
      <c r="CP279" s="213"/>
      <c r="CQ279" s="213"/>
      <c r="CR279" s="213"/>
      <c r="CS279" s="213"/>
      <c r="CT279" s="213"/>
      <c r="CU279" s="213"/>
    </row>
    <row r="280" ht="15.75" customHeight="1">
      <c r="A280" s="213"/>
      <c r="B280" s="213"/>
      <c r="C280" s="213"/>
      <c r="D280" s="213"/>
      <c r="E280" s="213"/>
      <c r="F280" s="213"/>
      <c r="G280" s="213"/>
      <c r="H280" s="213"/>
      <c r="I280" s="213"/>
      <c r="J280" s="213"/>
      <c r="K280" s="213"/>
      <c r="L280" s="213"/>
      <c r="M280" s="213"/>
      <c r="N280" s="213"/>
      <c r="O280" s="213"/>
      <c r="P280" s="213"/>
      <c r="Q280" s="213"/>
      <c r="R280" s="213"/>
      <c r="S280" s="213"/>
      <c r="T280" s="213"/>
      <c r="U280" s="213"/>
      <c r="V280" s="213"/>
      <c r="W280" s="213"/>
      <c r="X280" s="213"/>
      <c r="Y280" s="213"/>
      <c r="Z280" s="213"/>
      <c r="AA280" s="213"/>
      <c r="AB280" s="213"/>
      <c r="AC280" s="213"/>
      <c r="AD280" s="213"/>
      <c r="AE280" s="213"/>
      <c r="AF280" s="213"/>
      <c r="AG280" s="213"/>
      <c r="AH280" s="213"/>
      <c r="AI280" s="213"/>
      <c r="AJ280" s="213"/>
      <c r="AK280" s="213"/>
      <c r="AL280" s="213"/>
      <c r="AM280" s="213"/>
      <c r="AN280" s="213"/>
      <c r="AO280" s="213"/>
      <c r="AP280" s="213"/>
      <c r="AQ280" s="213"/>
      <c r="AR280" s="213"/>
      <c r="AS280" s="213"/>
      <c r="AT280" s="213"/>
      <c r="AU280" s="213"/>
      <c r="AV280" s="213"/>
      <c r="AW280" s="213"/>
      <c r="AX280" s="213"/>
      <c r="AY280" s="213"/>
      <c r="AZ280" s="213"/>
      <c r="BA280" s="213"/>
      <c r="BB280" s="213"/>
      <c r="BC280" s="213"/>
      <c r="BD280" s="213"/>
      <c r="BE280" s="213"/>
      <c r="BF280" s="213"/>
      <c r="BG280" s="213"/>
      <c r="BH280" s="213"/>
      <c r="BI280" s="213"/>
      <c r="BJ280" s="213"/>
      <c r="BK280" s="213"/>
      <c r="BL280" s="213"/>
      <c r="BM280" s="213"/>
      <c r="BN280" s="215"/>
      <c r="BO280" s="213"/>
      <c r="BP280" s="213"/>
      <c r="BQ280" s="213"/>
      <c r="BR280" s="326"/>
      <c r="BS280" s="213"/>
      <c r="BT280" s="213"/>
      <c r="BU280" s="213"/>
      <c r="BV280" s="213"/>
      <c r="BW280" s="213"/>
      <c r="BX280" s="213"/>
      <c r="BY280" s="213"/>
      <c r="BZ280" s="213"/>
      <c r="CA280" s="213"/>
      <c r="CB280" s="213"/>
      <c r="CC280" s="213"/>
      <c r="CD280" s="213"/>
      <c r="CE280" s="213"/>
      <c r="CF280" s="213"/>
      <c r="CG280" s="213"/>
      <c r="CH280" s="213"/>
      <c r="CI280" s="213"/>
      <c r="CJ280" s="213"/>
      <c r="CK280" s="213"/>
      <c r="CL280" s="213"/>
      <c r="CM280" s="213"/>
      <c r="CN280" s="213"/>
      <c r="CO280" s="213"/>
      <c r="CP280" s="213"/>
      <c r="CQ280" s="213"/>
      <c r="CR280" s="213"/>
      <c r="CS280" s="213"/>
      <c r="CT280" s="213"/>
      <c r="CU280" s="213"/>
    </row>
    <row r="281" ht="15.75" customHeight="1">
      <c r="A281" s="213"/>
      <c r="B281" s="213"/>
      <c r="C281" s="213"/>
      <c r="D281" s="213"/>
      <c r="E281" s="213"/>
      <c r="F281" s="213"/>
      <c r="G281" s="213"/>
      <c r="H281" s="213"/>
      <c r="I281" s="213"/>
      <c r="J281" s="213"/>
      <c r="K281" s="213"/>
      <c r="L281" s="213"/>
      <c r="M281" s="213"/>
      <c r="N281" s="213"/>
      <c r="O281" s="213"/>
      <c r="P281" s="213"/>
      <c r="Q281" s="213"/>
      <c r="R281" s="213"/>
      <c r="S281" s="213"/>
      <c r="T281" s="213"/>
      <c r="U281" s="213"/>
      <c r="V281" s="213"/>
      <c r="W281" s="213"/>
      <c r="X281" s="213"/>
      <c r="Y281" s="213"/>
      <c r="Z281" s="213"/>
      <c r="AA281" s="213"/>
      <c r="AB281" s="213"/>
      <c r="AC281" s="213"/>
      <c r="AD281" s="213"/>
      <c r="AE281" s="213"/>
      <c r="AF281" s="213"/>
      <c r="AG281" s="213"/>
      <c r="AH281" s="213"/>
      <c r="AI281" s="213"/>
      <c r="AJ281" s="213"/>
      <c r="AK281" s="213"/>
      <c r="AL281" s="213"/>
      <c r="AM281" s="213"/>
      <c r="AN281" s="213"/>
      <c r="AO281" s="213"/>
      <c r="AP281" s="213"/>
      <c r="AQ281" s="213"/>
      <c r="AR281" s="213"/>
      <c r="AS281" s="213"/>
      <c r="AT281" s="213"/>
      <c r="AU281" s="213"/>
      <c r="AV281" s="213"/>
      <c r="AW281" s="213"/>
      <c r="AX281" s="213"/>
      <c r="AY281" s="213"/>
      <c r="AZ281" s="213"/>
      <c r="BA281" s="213"/>
      <c r="BB281" s="213"/>
      <c r="BC281" s="213"/>
      <c r="BD281" s="213"/>
      <c r="BE281" s="213"/>
      <c r="BF281" s="213"/>
      <c r="BG281" s="213"/>
      <c r="BH281" s="213"/>
      <c r="BI281" s="213"/>
      <c r="BJ281" s="213"/>
      <c r="BK281" s="213"/>
      <c r="BL281" s="213"/>
      <c r="BM281" s="213"/>
      <c r="BN281" s="215"/>
      <c r="BO281" s="213"/>
      <c r="BP281" s="213"/>
      <c r="BQ281" s="213"/>
      <c r="BR281" s="326"/>
      <c r="BS281" s="213"/>
      <c r="BT281" s="213"/>
      <c r="BU281" s="213"/>
      <c r="BV281" s="213"/>
      <c r="BW281" s="213"/>
      <c r="BX281" s="213"/>
      <c r="BY281" s="213"/>
      <c r="BZ281" s="213"/>
      <c r="CA281" s="213"/>
      <c r="CB281" s="213"/>
      <c r="CC281" s="213"/>
      <c r="CD281" s="213"/>
      <c r="CE281" s="213"/>
      <c r="CF281" s="213"/>
      <c r="CG281" s="213"/>
      <c r="CH281" s="213"/>
      <c r="CI281" s="213"/>
      <c r="CJ281" s="213"/>
      <c r="CK281" s="213"/>
      <c r="CL281" s="213"/>
      <c r="CM281" s="213"/>
      <c r="CN281" s="213"/>
      <c r="CO281" s="213"/>
      <c r="CP281" s="213"/>
      <c r="CQ281" s="213"/>
      <c r="CR281" s="213"/>
      <c r="CS281" s="213"/>
      <c r="CT281" s="213"/>
      <c r="CU281" s="213"/>
    </row>
    <row r="282" ht="15.75" customHeight="1">
      <c r="A282" s="213"/>
      <c r="B282" s="213"/>
      <c r="C282" s="213"/>
      <c r="D282" s="213"/>
      <c r="E282" s="213"/>
      <c r="F282" s="213"/>
      <c r="G282" s="213"/>
      <c r="H282" s="213"/>
      <c r="I282" s="213"/>
      <c r="J282" s="213"/>
      <c r="K282" s="213"/>
      <c r="L282" s="213"/>
      <c r="M282" s="213"/>
      <c r="N282" s="213"/>
      <c r="O282" s="213"/>
      <c r="P282" s="213"/>
      <c r="Q282" s="213"/>
      <c r="R282" s="213"/>
      <c r="S282" s="213"/>
      <c r="T282" s="213"/>
      <c r="U282" s="213"/>
      <c r="V282" s="213"/>
      <c r="W282" s="213"/>
      <c r="X282" s="213"/>
      <c r="Y282" s="213"/>
      <c r="Z282" s="213"/>
      <c r="AA282" s="213"/>
      <c r="AB282" s="213"/>
      <c r="AC282" s="213"/>
      <c r="AD282" s="213"/>
      <c r="AE282" s="213"/>
      <c r="AF282" s="213"/>
      <c r="AG282" s="213"/>
      <c r="AH282" s="213"/>
      <c r="AI282" s="213"/>
      <c r="AJ282" s="213"/>
      <c r="AK282" s="213"/>
      <c r="AL282" s="213"/>
      <c r="AM282" s="213"/>
      <c r="AN282" s="213"/>
      <c r="AO282" s="213"/>
      <c r="AP282" s="213"/>
      <c r="AQ282" s="213"/>
      <c r="AR282" s="213"/>
      <c r="AS282" s="213"/>
      <c r="AT282" s="213"/>
      <c r="AU282" s="213"/>
      <c r="AV282" s="213"/>
      <c r="AW282" s="213"/>
      <c r="AX282" s="213"/>
      <c r="AY282" s="213"/>
      <c r="AZ282" s="213"/>
      <c r="BA282" s="213"/>
      <c r="BB282" s="213"/>
      <c r="BC282" s="213"/>
      <c r="BD282" s="213"/>
      <c r="BE282" s="213"/>
      <c r="BF282" s="213"/>
      <c r="BG282" s="213"/>
      <c r="BH282" s="213"/>
      <c r="BI282" s="213"/>
      <c r="BJ282" s="213"/>
      <c r="BK282" s="213"/>
      <c r="BL282" s="213"/>
      <c r="BM282" s="213"/>
      <c r="BN282" s="215"/>
      <c r="BO282" s="213"/>
      <c r="BP282" s="213"/>
      <c r="BQ282" s="213"/>
      <c r="BR282" s="326"/>
      <c r="BS282" s="213"/>
      <c r="BT282" s="213"/>
      <c r="BU282" s="213"/>
      <c r="BV282" s="213"/>
      <c r="BW282" s="213"/>
      <c r="BX282" s="213"/>
      <c r="BY282" s="213"/>
      <c r="BZ282" s="213"/>
      <c r="CA282" s="213"/>
      <c r="CB282" s="213"/>
      <c r="CC282" s="213"/>
      <c r="CD282" s="213"/>
      <c r="CE282" s="213"/>
      <c r="CF282" s="213"/>
      <c r="CG282" s="213"/>
      <c r="CH282" s="213"/>
      <c r="CI282" s="213"/>
      <c r="CJ282" s="213"/>
      <c r="CK282" s="213"/>
      <c r="CL282" s="213"/>
      <c r="CM282" s="213"/>
      <c r="CN282" s="213"/>
      <c r="CO282" s="213"/>
      <c r="CP282" s="213"/>
      <c r="CQ282" s="213"/>
      <c r="CR282" s="213"/>
      <c r="CS282" s="213"/>
      <c r="CT282" s="213"/>
      <c r="CU282" s="213"/>
    </row>
    <row r="283" ht="15.75" customHeight="1">
      <c r="A283" s="213"/>
      <c r="B283" s="213"/>
      <c r="C283" s="213"/>
      <c r="D283" s="213"/>
      <c r="E283" s="213"/>
      <c r="F283" s="213"/>
      <c r="G283" s="213"/>
      <c r="H283" s="213"/>
      <c r="I283" s="213"/>
      <c r="J283" s="213"/>
      <c r="K283" s="213"/>
      <c r="L283" s="213"/>
      <c r="M283" s="213"/>
      <c r="N283" s="213"/>
      <c r="O283" s="213"/>
      <c r="P283" s="213"/>
      <c r="Q283" s="213"/>
      <c r="R283" s="213"/>
      <c r="S283" s="213"/>
      <c r="T283" s="213"/>
      <c r="U283" s="213"/>
      <c r="V283" s="213"/>
      <c r="W283" s="213"/>
      <c r="X283" s="213"/>
      <c r="Y283" s="213"/>
      <c r="Z283" s="213"/>
      <c r="AA283" s="213"/>
      <c r="AB283" s="213"/>
      <c r="AC283" s="213"/>
      <c r="AD283" s="213"/>
      <c r="AE283" s="213"/>
      <c r="AF283" s="213"/>
      <c r="AG283" s="213"/>
      <c r="AH283" s="213"/>
      <c r="AI283" s="213"/>
      <c r="AJ283" s="213"/>
      <c r="AK283" s="213"/>
      <c r="AL283" s="213"/>
      <c r="AM283" s="213"/>
      <c r="AN283" s="213"/>
      <c r="AO283" s="213"/>
      <c r="AP283" s="213"/>
      <c r="AQ283" s="213"/>
      <c r="AR283" s="213"/>
      <c r="AS283" s="213"/>
      <c r="AT283" s="213"/>
      <c r="AU283" s="213"/>
      <c r="AV283" s="213"/>
      <c r="AW283" s="213"/>
      <c r="AX283" s="213"/>
      <c r="AY283" s="213"/>
      <c r="AZ283" s="213"/>
      <c r="BA283" s="213"/>
      <c r="BB283" s="213"/>
      <c r="BC283" s="213"/>
      <c r="BD283" s="213"/>
      <c r="BE283" s="213"/>
      <c r="BF283" s="213"/>
      <c r="BG283" s="213"/>
      <c r="BH283" s="213"/>
      <c r="BI283" s="213"/>
      <c r="BJ283" s="213"/>
      <c r="BK283" s="213"/>
      <c r="BL283" s="213"/>
      <c r="BM283" s="213"/>
      <c r="BN283" s="215"/>
      <c r="BO283" s="213"/>
      <c r="BP283" s="213"/>
      <c r="BQ283" s="213"/>
      <c r="BR283" s="326"/>
      <c r="BS283" s="213"/>
      <c r="BT283" s="213"/>
      <c r="BU283" s="213"/>
      <c r="BV283" s="213"/>
      <c r="BW283" s="213"/>
      <c r="BX283" s="213"/>
      <c r="BY283" s="213"/>
      <c r="BZ283" s="213"/>
      <c r="CA283" s="213"/>
      <c r="CB283" s="213"/>
      <c r="CC283" s="213"/>
      <c r="CD283" s="213"/>
      <c r="CE283" s="213"/>
      <c r="CF283" s="213"/>
      <c r="CG283" s="213"/>
      <c r="CH283" s="213"/>
      <c r="CI283" s="213"/>
      <c r="CJ283" s="213"/>
      <c r="CK283" s="213"/>
      <c r="CL283" s="213"/>
      <c r="CM283" s="213"/>
      <c r="CN283" s="213"/>
      <c r="CO283" s="213"/>
      <c r="CP283" s="213"/>
      <c r="CQ283" s="213"/>
      <c r="CR283" s="213"/>
      <c r="CS283" s="213"/>
      <c r="CT283" s="213"/>
      <c r="CU283" s="213"/>
    </row>
    <row r="284" ht="15.75" customHeight="1">
      <c r="A284" s="213"/>
      <c r="B284" s="213"/>
      <c r="C284" s="213"/>
      <c r="D284" s="213"/>
      <c r="E284" s="213"/>
      <c r="F284" s="213"/>
      <c r="G284" s="213"/>
      <c r="H284" s="213"/>
      <c r="I284" s="213"/>
      <c r="J284" s="213"/>
      <c r="K284" s="213"/>
      <c r="L284" s="213"/>
      <c r="M284" s="213"/>
      <c r="N284" s="213"/>
      <c r="O284" s="213"/>
      <c r="P284" s="213"/>
      <c r="Q284" s="213"/>
      <c r="R284" s="213"/>
      <c r="S284" s="213"/>
      <c r="T284" s="213"/>
      <c r="U284" s="213"/>
      <c r="V284" s="213"/>
      <c r="W284" s="213"/>
      <c r="X284" s="213"/>
      <c r="Y284" s="213"/>
      <c r="Z284" s="213"/>
      <c r="AA284" s="213"/>
      <c r="AB284" s="213"/>
      <c r="AC284" s="213"/>
      <c r="AD284" s="213"/>
      <c r="AE284" s="213"/>
      <c r="AF284" s="213"/>
      <c r="AG284" s="213"/>
      <c r="AH284" s="213"/>
      <c r="AI284" s="213"/>
      <c r="AJ284" s="213"/>
      <c r="AK284" s="213"/>
      <c r="AL284" s="213"/>
      <c r="AM284" s="213"/>
      <c r="AN284" s="213"/>
      <c r="AO284" s="213"/>
      <c r="AP284" s="213"/>
      <c r="AQ284" s="213"/>
      <c r="AR284" s="213"/>
      <c r="AS284" s="213"/>
      <c r="AT284" s="213"/>
      <c r="AU284" s="213"/>
      <c r="AV284" s="213"/>
      <c r="AW284" s="213"/>
      <c r="AX284" s="213"/>
      <c r="AY284" s="213"/>
      <c r="AZ284" s="213"/>
      <c r="BA284" s="213"/>
      <c r="BB284" s="213"/>
      <c r="BC284" s="213"/>
      <c r="BD284" s="213"/>
      <c r="BE284" s="213"/>
      <c r="BF284" s="213"/>
      <c r="BG284" s="213"/>
      <c r="BH284" s="213"/>
      <c r="BI284" s="213"/>
      <c r="BJ284" s="213"/>
      <c r="BK284" s="213"/>
      <c r="BL284" s="213"/>
      <c r="BM284" s="213"/>
      <c r="BN284" s="215"/>
      <c r="BO284" s="213"/>
      <c r="BP284" s="213"/>
      <c r="BQ284" s="213"/>
      <c r="BR284" s="326"/>
      <c r="BS284" s="213"/>
      <c r="BT284" s="213"/>
      <c r="BU284" s="213"/>
      <c r="BV284" s="213"/>
      <c r="BW284" s="213"/>
      <c r="BX284" s="213"/>
      <c r="BY284" s="213"/>
      <c r="BZ284" s="213"/>
      <c r="CA284" s="213"/>
      <c r="CB284" s="213"/>
      <c r="CC284" s="213"/>
      <c r="CD284" s="213"/>
      <c r="CE284" s="213"/>
      <c r="CF284" s="213"/>
      <c r="CG284" s="213"/>
      <c r="CH284" s="213"/>
      <c r="CI284" s="213"/>
      <c r="CJ284" s="213"/>
      <c r="CK284" s="213"/>
      <c r="CL284" s="213"/>
      <c r="CM284" s="213"/>
      <c r="CN284" s="213"/>
      <c r="CO284" s="213"/>
      <c r="CP284" s="213"/>
      <c r="CQ284" s="213"/>
      <c r="CR284" s="213"/>
      <c r="CS284" s="213"/>
      <c r="CT284" s="213"/>
      <c r="CU284" s="213"/>
    </row>
    <row r="285" ht="15.75" customHeight="1">
      <c r="A285" s="213"/>
      <c r="B285" s="213"/>
      <c r="C285" s="213"/>
      <c r="D285" s="213"/>
      <c r="E285" s="213"/>
      <c r="F285" s="213"/>
      <c r="G285" s="213"/>
      <c r="H285" s="213"/>
      <c r="I285" s="213"/>
      <c r="J285" s="213"/>
      <c r="K285" s="213"/>
      <c r="L285" s="213"/>
      <c r="M285" s="213"/>
      <c r="N285" s="213"/>
      <c r="O285" s="213"/>
      <c r="P285" s="213"/>
      <c r="Q285" s="213"/>
      <c r="R285" s="213"/>
      <c r="S285" s="213"/>
      <c r="T285" s="213"/>
      <c r="U285" s="213"/>
      <c r="V285" s="213"/>
      <c r="W285" s="213"/>
      <c r="X285" s="213"/>
      <c r="Y285" s="213"/>
      <c r="Z285" s="213"/>
      <c r="AA285" s="213"/>
      <c r="AB285" s="213"/>
      <c r="AC285" s="213"/>
      <c r="AD285" s="213"/>
      <c r="AE285" s="213"/>
      <c r="AF285" s="213"/>
      <c r="AG285" s="213"/>
      <c r="AH285" s="213"/>
      <c r="AI285" s="213"/>
      <c r="AJ285" s="213"/>
      <c r="AK285" s="213"/>
      <c r="AL285" s="213"/>
      <c r="AM285" s="213"/>
      <c r="AN285" s="213"/>
      <c r="AO285" s="213"/>
      <c r="AP285" s="213"/>
      <c r="AQ285" s="213"/>
      <c r="AR285" s="213"/>
      <c r="AS285" s="213"/>
      <c r="AT285" s="213"/>
      <c r="AU285" s="213"/>
      <c r="AV285" s="213"/>
      <c r="AW285" s="213"/>
      <c r="AX285" s="213"/>
      <c r="AY285" s="213"/>
      <c r="AZ285" s="213"/>
      <c r="BA285" s="213"/>
      <c r="BB285" s="213"/>
      <c r="BC285" s="213"/>
      <c r="BD285" s="213"/>
      <c r="BE285" s="213"/>
      <c r="BF285" s="213"/>
      <c r="BG285" s="213"/>
      <c r="BH285" s="213"/>
      <c r="BI285" s="213"/>
      <c r="BJ285" s="213"/>
      <c r="BK285" s="213"/>
      <c r="BL285" s="213"/>
      <c r="BM285" s="213"/>
      <c r="BN285" s="215"/>
      <c r="BO285" s="213"/>
      <c r="BP285" s="213"/>
      <c r="BQ285" s="213"/>
      <c r="BR285" s="326"/>
      <c r="BS285" s="213"/>
      <c r="BT285" s="213"/>
      <c r="BU285" s="213"/>
      <c r="BV285" s="213"/>
      <c r="BW285" s="213"/>
      <c r="BX285" s="213"/>
      <c r="BY285" s="213"/>
      <c r="BZ285" s="213"/>
      <c r="CA285" s="213"/>
      <c r="CB285" s="213"/>
      <c r="CC285" s="213"/>
      <c r="CD285" s="213"/>
      <c r="CE285" s="213"/>
      <c r="CF285" s="213"/>
      <c r="CG285" s="213"/>
      <c r="CH285" s="213"/>
      <c r="CI285" s="213"/>
      <c r="CJ285" s="213"/>
      <c r="CK285" s="213"/>
      <c r="CL285" s="213"/>
      <c r="CM285" s="213"/>
      <c r="CN285" s="213"/>
      <c r="CO285" s="213"/>
      <c r="CP285" s="213"/>
      <c r="CQ285" s="213"/>
      <c r="CR285" s="213"/>
      <c r="CS285" s="213"/>
      <c r="CT285" s="213"/>
      <c r="CU285" s="213"/>
    </row>
    <row r="286" ht="15.75" customHeight="1">
      <c r="A286" s="213"/>
      <c r="B286" s="213"/>
      <c r="C286" s="213"/>
      <c r="D286" s="213"/>
      <c r="E286" s="213"/>
      <c r="F286" s="213"/>
      <c r="G286" s="213"/>
      <c r="H286" s="213"/>
      <c r="I286" s="213"/>
      <c r="J286" s="213"/>
      <c r="K286" s="213"/>
      <c r="L286" s="213"/>
      <c r="M286" s="213"/>
      <c r="N286" s="213"/>
      <c r="O286" s="213"/>
      <c r="P286" s="213"/>
      <c r="Q286" s="213"/>
      <c r="R286" s="213"/>
      <c r="S286" s="213"/>
      <c r="T286" s="213"/>
      <c r="U286" s="213"/>
      <c r="V286" s="213"/>
      <c r="W286" s="213"/>
      <c r="X286" s="213"/>
      <c r="Y286" s="213"/>
      <c r="Z286" s="213"/>
      <c r="AA286" s="213"/>
      <c r="AB286" s="213"/>
      <c r="AC286" s="213"/>
      <c r="AD286" s="213"/>
      <c r="AE286" s="213"/>
      <c r="AF286" s="213"/>
      <c r="AG286" s="213"/>
      <c r="AH286" s="213"/>
      <c r="AI286" s="213"/>
      <c r="AJ286" s="213"/>
      <c r="AK286" s="213"/>
      <c r="AL286" s="213"/>
      <c r="AM286" s="213"/>
      <c r="AN286" s="213"/>
      <c r="AO286" s="213"/>
      <c r="AP286" s="213"/>
      <c r="AQ286" s="213"/>
      <c r="AR286" s="213"/>
      <c r="AS286" s="213"/>
      <c r="AT286" s="213"/>
      <c r="AU286" s="213"/>
      <c r="AV286" s="213"/>
      <c r="AW286" s="213"/>
      <c r="AX286" s="213"/>
      <c r="AY286" s="213"/>
      <c r="AZ286" s="213"/>
      <c r="BA286" s="213"/>
      <c r="BB286" s="213"/>
      <c r="BC286" s="213"/>
      <c r="BD286" s="213"/>
      <c r="BE286" s="213"/>
      <c r="BF286" s="213"/>
      <c r="BG286" s="213"/>
      <c r="BH286" s="213"/>
      <c r="BI286" s="213"/>
      <c r="BJ286" s="213"/>
      <c r="BK286" s="213"/>
      <c r="BL286" s="213"/>
      <c r="BM286" s="213"/>
      <c r="BN286" s="215"/>
      <c r="BO286" s="213"/>
      <c r="BP286" s="213"/>
      <c r="BQ286" s="213"/>
      <c r="BR286" s="326"/>
      <c r="BS286" s="213"/>
      <c r="BT286" s="213"/>
      <c r="BU286" s="213"/>
      <c r="BV286" s="213"/>
      <c r="BW286" s="213"/>
      <c r="BX286" s="213"/>
      <c r="BY286" s="213"/>
      <c r="BZ286" s="213"/>
      <c r="CA286" s="213"/>
      <c r="CB286" s="213"/>
      <c r="CC286" s="213"/>
      <c r="CD286" s="213"/>
      <c r="CE286" s="213"/>
      <c r="CF286" s="213"/>
      <c r="CG286" s="213"/>
      <c r="CH286" s="213"/>
      <c r="CI286" s="213"/>
      <c r="CJ286" s="213"/>
      <c r="CK286" s="213"/>
      <c r="CL286" s="213"/>
      <c r="CM286" s="213"/>
      <c r="CN286" s="213"/>
      <c r="CO286" s="213"/>
      <c r="CP286" s="213"/>
      <c r="CQ286" s="213"/>
      <c r="CR286" s="213"/>
      <c r="CS286" s="213"/>
      <c r="CT286" s="213"/>
      <c r="CU286" s="213"/>
    </row>
    <row r="287" ht="15.75" customHeight="1">
      <c r="A287" s="213"/>
      <c r="B287" s="213"/>
      <c r="C287" s="213"/>
      <c r="D287" s="213"/>
      <c r="E287" s="213"/>
      <c r="F287" s="213"/>
      <c r="G287" s="213"/>
      <c r="H287" s="213"/>
      <c r="I287" s="213"/>
      <c r="J287" s="213"/>
      <c r="K287" s="213"/>
      <c r="L287" s="213"/>
      <c r="M287" s="213"/>
      <c r="N287" s="213"/>
      <c r="O287" s="213"/>
      <c r="P287" s="213"/>
      <c r="Q287" s="213"/>
      <c r="R287" s="213"/>
      <c r="S287" s="213"/>
      <c r="T287" s="213"/>
      <c r="U287" s="213"/>
      <c r="V287" s="213"/>
      <c r="W287" s="213"/>
      <c r="X287" s="213"/>
      <c r="Y287" s="213"/>
      <c r="Z287" s="213"/>
      <c r="AA287" s="213"/>
      <c r="AB287" s="213"/>
      <c r="AC287" s="213"/>
      <c r="AD287" s="213"/>
      <c r="AE287" s="213"/>
      <c r="AF287" s="213"/>
      <c r="AG287" s="213"/>
      <c r="AH287" s="213"/>
      <c r="AI287" s="213"/>
      <c r="AJ287" s="213"/>
      <c r="AK287" s="213"/>
      <c r="AL287" s="213"/>
      <c r="AM287" s="213"/>
      <c r="AN287" s="213"/>
      <c r="AO287" s="213"/>
      <c r="AP287" s="213"/>
      <c r="AQ287" s="213"/>
      <c r="AR287" s="213"/>
      <c r="AS287" s="213"/>
      <c r="AT287" s="213"/>
      <c r="AU287" s="213"/>
      <c r="AV287" s="213"/>
      <c r="AW287" s="213"/>
      <c r="AX287" s="213"/>
      <c r="AY287" s="213"/>
      <c r="AZ287" s="213"/>
      <c r="BA287" s="213"/>
      <c r="BB287" s="213"/>
      <c r="BC287" s="213"/>
      <c r="BD287" s="213"/>
      <c r="BE287" s="213"/>
      <c r="BF287" s="213"/>
      <c r="BG287" s="213"/>
      <c r="BH287" s="213"/>
      <c r="BI287" s="213"/>
      <c r="BJ287" s="213"/>
      <c r="BK287" s="213"/>
      <c r="BL287" s="213"/>
      <c r="BM287" s="213"/>
      <c r="BN287" s="215"/>
      <c r="BO287" s="213"/>
      <c r="BP287" s="213"/>
      <c r="BQ287" s="213"/>
      <c r="BR287" s="326"/>
      <c r="BS287" s="213"/>
      <c r="BT287" s="213"/>
      <c r="BU287" s="213"/>
      <c r="BV287" s="213"/>
      <c r="BW287" s="213"/>
      <c r="BX287" s="213"/>
      <c r="BY287" s="213"/>
      <c r="BZ287" s="213"/>
      <c r="CA287" s="213"/>
      <c r="CB287" s="213"/>
      <c r="CC287" s="213"/>
      <c r="CD287" s="213"/>
      <c r="CE287" s="213"/>
      <c r="CF287" s="213"/>
      <c r="CG287" s="213"/>
      <c r="CH287" s="213"/>
      <c r="CI287" s="213"/>
      <c r="CJ287" s="213"/>
      <c r="CK287" s="213"/>
      <c r="CL287" s="213"/>
      <c r="CM287" s="213"/>
      <c r="CN287" s="213"/>
      <c r="CO287" s="213"/>
      <c r="CP287" s="213"/>
      <c r="CQ287" s="213"/>
      <c r="CR287" s="213"/>
      <c r="CS287" s="213"/>
      <c r="CT287" s="213"/>
      <c r="CU287" s="213"/>
    </row>
    <row r="288" ht="15.75" customHeight="1">
      <c r="A288" s="213"/>
      <c r="B288" s="213"/>
      <c r="C288" s="213"/>
      <c r="D288" s="213"/>
      <c r="E288" s="213"/>
      <c r="F288" s="213"/>
      <c r="G288" s="213"/>
      <c r="H288" s="213"/>
      <c r="I288" s="213"/>
      <c r="J288" s="213"/>
      <c r="K288" s="213"/>
      <c r="L288" s="213"/>
      <c r="M288" s="213"/>
      <c r="N288" s="213"/>
      <c r="O288" s="213"/>
      <c r="P288" s="213"/>
      <c r="Q288" s="213"/>
      <c r="R288" s="213"/>
      <c r="S288" s="213"/>
      <c r="T288" s="213"/>
      <c r="U288" s="213"/>
      <c r="V288" s="213"/>
      <c r="W288" s="213"/>
      <c r="X288" s="213"/>
      <c r="Y288" s="213"/>
      <c r="Z288" s="213"/>
      <c r="AA288" s="213"/>
      <c r="AB288" s="213"/>
      <c r="AC288" s="213"/>
      <c r="AD288" s="213"/>
      <c r="AE288" s="213"/>
      <c r="AF288" s="213"/>
      <c r="AG288" s="213"/>
      <c r="AH288" s="213"/>
      <c r="AI288" s="213"/>
      <c r="AJ288" s="213"/>
      <c r="AK288" s="213"/>
      <c r="AL288" s="213"/>
      <c r="AM288" s="213"/>
      <c r="AN288" s="213"/>
      <c r="AO288" s="213"/>
      <c r="AP288" s="213"/>
      <c r="AQ288" s="213"/>
      <c r="AR288" s="213"/>
      <c r="AS288" s="213"/>
      <c r="AT288" s="213"/>
      <c r="AU288" s="213"/>
      <c r="AV288" s="213"/>
      <c r="AW288" s="213"/>
      <c r="AX288" s="213"/>
      <c r="AY288" s="213"/>
      <c r="AZ288" s="213"/>
      <c r="BA288" s="213"/>
      <c r="BB288" s="213"/>
      <c r="BC288" s="213"/>
      <c r="BD288" s="213"/>
      <c r="BE288" s="213"/>
      <c r="BF288" s="213"/>
      <c r="BG288" s="213"/>
      <c r="BH288" s="213"/>
      <c r="BI288" s="213"/>
      <c r="BJ288" s="213"/>
      <c r="BK288" s="213"/>
      <c r="BL288" s="213"/>
      <c r="BM288" s="213"/>
      <c r="BN288" s="215"/>
      <c r="BO288" s="213"/>
      <c r="BP288" s="213"/>
      <c r="BQ288" s="213"/>
      <c r="BR288" s="326"/>
      <c r="BS288" s="213"/>
      <c r="BT288" s="213"/>
      <c r="BU288" s="213"/>
      <c r="BV288" s="213"/>
      <c r="BW288" s="213"/>
      <c r="BX288" s="213"/>
      <c r="BY288" s="213"/>
      <c r="BZ288" s="213"/>
      <c r="CA288" s="213"/>
      <c r="CB288" s="213"/>
      <c r="CC288" s="213"/>
      <c r="CD288" s="213"/>
      <c r="CE288" s="213"/>
      <c r="CF288" s="213"/>
      <c r="CG288" s="213"/>
      <c r="CH288" s="213"/>
      <c r="CI288" s="213"/>
      <c r="CJ288" s="213"/>
      <c r="CK288" s="213"/>
      <c r="CL288" s="213"/>
      <c r="CM288" s="213"/>
      <c r="CN288" s="213"/>
      <c r="CO288" s="213"/>
      <c r="CP288" s="213"/>
      <c r="CQ288" s="213"/>
      <c r="CR288" s="213"/>
      <c r="CS288" s="213"/>
      <c r="CT288" s="213"/>
      <c r="CU288" s="213"/>
    </row>
    <row r="289" ht="15.75" customHeight="1">
      <c r="A289" s="213"/>
      <c r="B289" s="213"/>
      <c r="C289" s="213"/>
      <c r="D289" s="213"/>
      <c r="E289" s="213"/>
      <c r="F289" s="213"/>
      <c r="G289" s="213"/>
      <c r="H289" s="213"/>
      <c r="I289" s="213"/>
      <c r="J289" s="213"/>
      <c r="K289" s="213"/>
      <c r="L289" s="213"/>
      <c r="M289" s="213"/>
      <c r="N289" s="213"/>
      <c r="O289" s="213"/>
      <c r="P289" s="213"/>
      <c r="Q289" s="213"/>
      <c r="R289" s="213"/>
      <c r="S289" s="213"/>
      <c r="T289" s="213"/>
      <c r="U289" s="213"/>
      <c r="V289" s="213"/>
      <c r="W289" s="213"/>
      <c r="X289" s="213"/>
      <c r="Y289" s="213"/>
      <c r="Z289" s="213"/>
      <c r="AA289" s="213"/>
      <c r="AB289" s="213"/>
      <c r="AC289" s="213"/>
      <c r="AD289" s="213"/>
      <c r="AE289" s="213"/>
      <c r="AF289" s="213"/>
      <c r="AG289" s="213"/>
      <c r="AH289" s="213"/>
      <c r="AI289" s="213"/>
      <c r="AJ289" s="213"/>
      <c r="AK289" s="213"/>
      <c r="AL289" s="213"/>
      <c r="AM289" s="213"/>
      <c r="AN289" s="213"/>
      <c r="AO289" s="213"/>
      <c r="AP289" s="213"/>
      <c r="AQ289" s="213"/>
      <c r="AR289" s="213"/>
      <c r="AS289" s="213"/>
      <c r="AT289" s="213"/>
      <c r="AU289" s="213"/>
      <c r="AV289" s="213"/>
      <c r="AW289" s="213"/>
      <c r="AX289" s="213"/>
      <c r="AY289" s="213"/>
      <c r="AZ289" s="213"/>
      <c r="BA289" s="213"/>
      <c r="BB289" s="213"/>
      <c r="BC289" s="213"/>
      <c r="BD289" s="213"/>
      <c r="BE289" s="213"/>
      <c r="BF289" s="213"/>
      <c r="BG289" s="213"/>
      <c r="BH289" s="213"/>
      <c r="BI289" s="213"/>
      <c r="BJ289" s="213"/>
      <c r="BK289" s="213"/>
      <c r="BL289" s="213"/>
      <c r="BM289" s="213"/>
      <c r="BN289" s="215"/>
      <c r="BO289" s="213"/>
      <c r="BP289" s="213"/>
      <c r="BQ289" s="213"/>
      <c r="BR289" s="326"/>
      <c r="BS289" s="213"/>
      <c r="BT289" s="213"/>
      <c r="BU289" s="213"/>
      <c r="BV289" s="213"/>
      <c r="BW289" s="213"/>
      <c r="BX289" s="213"/>
      <c r="BY289" s="213"/>
      <c r="BZ289" s="213"/>
      <c r="CA289" s="213"/>
      <c r="CB289" s="213"/>
      <c r="CC289" s="213"/>
      <c r="CD289" s="213"/>
      <c r="CE289" s="213"/>
      <c r="CF289" s="213"/>
      <c r="CG289" s="213"/>
      <c r="CH289" s="213"/>
      <c r="CI289" s="213"/>
      <c r="CJ289" s="213"/>
      <c r="CK289" s="213"/>
      <c r="CL289" s="213"/>
      <c r="CM289" s="213"/>
      <c r="CN289" s="213"/>
      <c r="CO289" s="213"/>
      <c r="CP289" s="213"/>
      <c r="CQ289" s="213"/>
      <c r="CR289" s="213"/>
      <c r="CS289" s="213"/>
      <c r="CT289" s="213"/>
      <c r="CU289" s="213"/>
    </row>
    <row r="290" ht="15.75" customHeight="1">
      <c r="A290" s="213"/>
      <c r="B290" s="213"/>
      <c r="C290" s="213"/>
      <c r="D290" s="213"/>
      <c r="E290" s="213"/>
      <c r="F290" s="213"/>
      <c r="G290" s="213"/>
      <c r="H290" s="213"/>
      <c r="I290" s="213"/>
      <c r="J290" s="213"/>
      <c r="K290" s="213"/>
      <c r="L290" s="213"/>
      <c r="M290" s="213"/>
      <c r="N290" s="213"/>
      <c r="O290" s="213"/>
      <c r="P290" s="213"/>
      <c r="Q290" s="213"/>
      <c r="R290" s="213"/>
      <c r="S290" s="213"/>
      <c r="T290" s="213"/>
      <c r="U290" s="213"/>
      <c r="V290" s="213"/>
      <c r="W290" s="213"/>
      <c r="X290" s="213"/>
      <c r="Y290" s="213"/>
      <c r="Z290" s="213"/>
      <c r="AA290" s="213"/>
      <c r="AB290" s="213"/>
      <c r="AC290" s="213"/>
      <c r="AD290" s="213"/>
      <c r="AE290" s="213"/>
      <c r="AF290" s="213"/>
      <c r="AG290" s="213"/>
      <c r="AH290" s="213"/>
      <c r="AI290" s="213"/>
      <c r="AJ290" s="213"/>
      <c r="AK290" s="213"/>
      <c r="AL290" s="213"/>
      <c r="AM290" s="213"/>
      <c r="AN290" s="213"/>
      <c r="AO290" s="213"/>
      <c r="AP290" s="213"/>
      <c r="AQ290" s="213"/>
      <c r="AR290" s="213"/>
      <c r="AS290" s="213"/>
      <c r="AT290" s="213"/>
      <c r="AU290" s="213"/>
      <c r="AV290" s="213"/>
      <c r="AW290" s="213"/>
      <c r="AX290" s="213"/>
      <c r="AY290" s="213"/>
      <c r="AZ290" s="213"/>
      <c r="BA290" s="213"/>
      <c r="BB290" s="213"/>
      <c r="BC290" s="213"/>
      <c r="BD290" s="213"/>
      <c r="BE290" s="213"/>
      <c r="BF290" s="213"/>
      <c r="BG290" s="213"/>
      <c r="BH290" s="213"/>
      <c r="BI290" s="213"/>
      <c r="BJ290" s="213"/>
      <c r="BK290" s="213"/>
      <c r="BL290" s="213"/>
      <c r="BM290" s="213"/>
      <c r="BN290" s="215"/>
      <c r="BO290" s="213"/>
      <c r="BP290" s="213"/>
      <c r="BQ290" s="213"/>
      <c r="BR290" s="326"/>
      <c r="BS290" s="213"/>
      <c r="BT290" s="213"/>
      <c r="BU290" s="213"/>
      <c r="BV290" s="213"/>
      <c r="BW290" s="213"/>
      <c r="BX290" s="213"/>
      <c r="BY290" s="213"/>
      <c r="BZ290" s="213"/>
      <c r="CA290" s="213"/>
      <c r="CB290" s="213"/>
      <c r="CC290" s="213"/>
      <c r="CD290" s="213"/>
      <c r="CE290" s="213"/>
      <c r="CF290" s="213"/>
      <c r="CG290" s="213"/>
      <c r="CH290" s="213"/>
      <c r="CI290" s="213"/>
      <c r="CJ290" s="213"/>
      <c r="CK290" s="213"/>
      <c r="CL290" s="213"/>
      <c r="CM290" s="213"/>
      <c r="CN290" s="213"/>
      <c r="CO290" s="213"/>
      <c r="CP290" s="213"/>
      <c r="CQ290" s="213"/>
      <c r="CR290" s="213"/>
      <c r="CS290" s="213"/>
      <c r="CT290" s="213"/>
      <c r="CU290" s="213"/>
    </row>
    <row r="291" ht="15.75" customHeight="1">
      <c r="A291" s="213"/>
      <c r="B291" s="213"/>
      <c r="C291" s="213"/>
      <c r="D291" s="213"/>
      <c r="E291" s="213"/>
      <c r="F291" s="213"/>
      <c r="G291" s="213"/>
      <c r="H291" s="213"/>
      <c r="I291" s="213"/>
      <c r="J291" s="213"/>
      <c r="K291" s="213"/>
      <c r="L291" s="213"/>
      <c r="M291" s="213"/>
      <c r="N291" s="213"/>
      <c r="O291" s="213"/>
      <c r="P291" s="213"/>
      <c r="Q291" s="213"/>
      <c r="R291" s="213"/>
      <c r="S291" s="213"/>
      <c r="T291" s="213"/>
      <c r="U291" s="213"/>
      <c r="V291" s="213"/>
      <c r="W291" s="213"/>
      <c r="X291" s="213"/>
      <c r="Y291" s="213"/>
      <c r="Z291" s="213"/>
      <c r="AA291" s="213"/>
      <c r="AB291" s="213"/>
      <c r="AC291" s="213"/>
      <c r="AD291" s="213"/>
      <c r="AE291" s="213"/>
      <c r="AF291" s="213"/>
      <c r="AG291" s="213"/>
      <c r="AH291" s="213"/>
      <c r="AI291" s="213"/>
      <c r="AJ291" s="213"/>
      <c r="AK291" s="213"/>
      <c r="AL291" s="213"/>
      <c r="AM291" s="213"/>
      <c r="AN291" s="213"/>
      <c r="AO291" s="213"/>
      <c r="AP291" s="213"/>
      <c r="AQ291" s="213"/>
      <c r="AR291" s="213"/>
      <c r="AS291" s="213"/>
      <c r="AT291" s="213"/>
      <c r="AU291" s="213"/>
      <c r="AV291" s="213"/>
      <c r="AW291" s="213"/>
      <c r="AX291" s="213"/>
      <c r="AY291" s="213"/>
      <c r="AZ291" s="213"/>
      <c r="BA291" s="213"/>
      <c r="BB291" s="213"/>
      <c r="BC291" s="213"/>
      <c r="BD291" s="213"/>
      <c r="BE291" s="213"/>
      <c r="BF291" s="213"/>
      <c r="BG291" s="213"/>
      <c r="BH291" s="213"/>
      <c r="BI291" s="213"/>
      <c r="BJ291" s="213"/>
      <c r="BK291" s="213"/>
      <c r="BL291" s="213"/>
      <c r="BM291" s="213"/>
      <c r="BN291" s="215"/>
      <c r="BO291" s="213"/>
      <c r="BP291" s="213"/>
      <c r="BQ291" s="213"/>
      <c r="BR291" s="326"/>
      <c r="BS291" s="213"/>
      <c r="BT291" s="213"/>
      <c r="BU291" s="213"/>
      <c r="BV291" s="213"/>
      <c r="BW291" s="213"/>
      <c r="BX291" s="213"/>
      <c r="BY291" s="213"/>
      <c r="BZ291" s="213"/>
      <c r="CA291" s="213"/>
      <c r="CB291" s="213"/>
      <c r="CC291" s="213"/>
      <c r="CD291" s="213"/>
      <c r="CE291" s="213"/>
      <c r="CF291" s="213"/>
      <c r="CG291" s="213"/>
      <c r="CH291" s="213"/>
      <c r="CI291" s="213"/>
      <c r="CJ291" s="213"/>
      <c r="CK291" s="213"/>
      <c r="CL291" s="213"/>
      <c r="CM291" s="213"/>
      <c r="CN291" s="213"/>
      <c r="CO291" s="213"/>
      <c r="CP291" s="213"/>
      <c r="CQ291" s="213"/>
      <c r="CR291" s="213"/>
      <c r="CS291" s="213"/>
      <c r="CT291" s="213"/>
      <c r="CU291" s="213"/>
    </row>
    <row r="292" ht="15.75" customHeight="1">
      <c r="A292" s="213"/>
      <c r="B292" s="213"/>
      <c r="C292" s="213"/>
      <c r="D292" s="213"/>
      <c r="E292" s="213"/>
      <c r="F292" s="213"/>
      <c r="G292" s="213"/>
      <c r="H292" s="213"/>
      <c r="I292" s="213"/>
      <c r="J292" s="213"/>
      <c r="K292" s="213"/>
      <c r="L292" s="213"/>
      <c r="M292" s="213"/>
      <c r="N292" s="213"/>
      <c r="O292" s="213"/>
      <c r="P292" s="213"/>
      <c r="Q292" s="213"/>
      <c r="R292" s="213"/>
      <c r="S292" s="213"/>
      <c r="T292" s="213"/>
      <c r="U292" s="213"/>
      <c r="V292" s="213"/>
      <c r="W292" s="213"/>
      <c r="X292" s="213"/>
      <c r="Y292" s="213"/>
      <c r="Z292" s="213"/>
      <c r="AA292" s="213"/>
      <c r="AB292" s="213"/>
      <c r="AC292" s="213"/>
      <c r="AD292" s="213"/>
      <c r="AE292" s="213"/>
      <c r="AF292" s="213"/>
      <c r="AG292" s="213"/>
      <c r="AH292" s="213"/>
      <c r="AI292" s="213"/>
      <c r="AJ292" s="213"/>
      <c r="AK292" s="213"/>
      <c r="AL292" s="213"/>
      <c r="AM292" s="213"/>
      <c r="AN292" s="213"/>
      <c r="AO292" s="213"/>
      <c r="AP292" s="213"/>
      <c r="AQ292" s="213"/>
      <c r="AR292" s="213"/>
      <c r="AS292" s="213"/>
      <c r="AT292" s="213"/>
      <c r="AU292" s="213"/>
      <c r="AV292" s="213"/>
      <c r="AW292" s="213"/>
      <c r="AX292" s="213"/>
      <c r="AY292" s="213"/>
      <c r="AZ292" s="213"/>
      <c r="BA292" s="213"/>
      <c r="BB292" s="213"/>
      <c r="BC292" s="213"/>
      <c r="BD292" s="213"/>
      <c r="BE292" s="213"/>
      <c r="BF292" s="213"/>
      <c r="BG292" s="213"/>
      <c r="BH292" s="213"/>
      <c r="BI292" s="213"/>
      <c r="BJ292" s="213"/>
      <c r="BK292" s="213"/>
      <c r="BL292" s="213"/>
      <c r="BM292" s="213"/>
      <c r="BN292" s="215"/>
      <c r="BO292" s="213"/>
      <c r="BP292" s="213"/>
      <c r="BQ292" s="213"/>
      <c r="BR292" s="326"/>
      <c r="BS292" s="213"/>
      <c r="BT292" s="213"/>
      <c r="BU292" s="213"/>
      <c r="BV292" s="213"/>
      <c r="BW292" s="213"/>
      <c r="BX292" s="213"/>
      <c r="BY292" s="213"/>
      <c r="BZ292" s="213"/>
      <c r="CA292" s="213"/>
      <c r="CB292" s="213"/>
      <c r="CC292" s="213"/>
      <c r="CD292" s="213"/>
      <c r="CE292" s="213"/>
      <c r="CF292" s="213"/>
      <c r="CG292" s="213"/>
      <c r="CH292" s="213"/>
      <c r="CI292" s="213"/>
      <c r="CJ292" s="213"/>
      <c r="CK292" s="213"/>
      <c r="CL292" s="213"/>
      <c r="CM292" s="213"/>
      <c r="CN292" s="213"/>
      <c r="CO292" s="213"/>
      <c r="CP292" s="213"/>
      <c r="CQ292" s="213"/>
      <c r="CR292" s="213"/>
      <c r="CS292" s="213"/>
      <c r="CT292" s="213"/>
      <c r="CU292" s="213"/>
    </row>
    <row r="293" ht="15.75" customHeight="1">
      <c r="A293" s="213"/>
      <c r="B293" s="213"/>
      <c r="C293" s="213"/>
      <c r="D293" s="213"/>
      <c r="E293" s="213"/>
      <c r="F293" s="213"/>
      <c r="G293" s="213"/>
      <c r="H293" s="213"/>
      <c r="I293" s="213"/>
      <c r="J293" s="213"/>
      <c r="K293" s="213"/>
      <c r="L293" s="213"/>
      <c r="M293" s="213"/>
      <c r="N293" s="213"/>
      <c r="O293" s="213"/>
      <c r="P293" s="213"/>
      <c r="Q293" s="213"/>
      <c r="R293" s="213"/>
      <c r="S293" s="213"/>
      <c r="T293" s="213"/>
      <c r="U293" s="213"/>
      <c r="V293" s="213"/>
      <c r="W293" s="213"/>
      <c r="X293" s="213"/>
      <c r="Y293" s="213"/>
      <c r="Z293" s="213"/>
      <c r="AA293" s="213"/>
      <c r="AB293" s="213"/>
      <c r="AC293" s="213"/>
      <c r="AD293" s="213"/>
      <c r="AE293" s="213"/>
      <c r="AF293" s="213"/>
      <c r="AG293" s="213"/>
      <c r="AH293" s="213"/>
      <c r="AI293" s="213"/>
      <c r="AJ293" s="213"/>
      <c r="AK293" s="213"/>
      <c r="AL293" s="213"/>
      <c r="AM293" s="213"/>
      <c r="AN293" s="213"/>
      <c r="AO293" s="213"/>
      <c r="AP293" s="213"/>
      <c r="AQ293" s="213"/>
      <c r="AR293" s="213"/>
      <c r="AS293" s="213"/>
      <c r="AT293" s="213"/>
      <c r="AU293" s="213"/>
      <c r="AV293" s="213"/>
      <c r="AW293" s="213"/>
      <c r="AX293" s="213"/>
      <c r="AY293" s="213"/>
      <c r="AZ293" s="213"/>
      <c r="BA293" s="213"/>
      <c r="BB293" s="213"/>
      <c r="BC293" s="213"/>
      <c r="BD293" s="213"/>
      <c r="BE293" s="213"/>
      <c r="BF293" s="213"/>
      <c r="BG293" s="213"/>
      <c r="BH293" s="213"/>
      <c r="BI293" s="213"/>
      <c r="BJ293" s="213"/>
      <c r="BK293" s="213"/>
      <c r="BL293" s="213"/>
      <c r="BM293" s="213"/>
      <c r="BN293" s="215"/>
      <c r="BO293" s="213"/>
      <c r="BP293" s="213"/>
      <c r="BQ293" s="213"/>
      <c r="BR293" s="326"/>
      <c r="BS293" s="213"/>
      <c r="BT293" s="213"/>
      <c r="BU293" s="213"/>
      <c r="BV293" s="213"/>
      <c r="BW293" s="213"/>
      <c r="BX293" s="213"/>
      <c r="BY293" s="213"/>
      <c r="BZ293" s="213"/>
      <c r="CA293" s="213"/>
      <c r="CB293" s="213"/>
      <c r="CC293" s="213"/>
      <c r="CD293" s="213"/>
      <c r="CE293" s="213"/>
      <c r="CF293" s="213"/>
      <c r="CG293" s="213"/>
      <c r="CH293" s="213"/>
      <c r="CI293" s="213"/>
      <c r="CJ293" s="213"/>
      <c r="CK293" s="213"/>
      <c r="CL293" s="213"/>
      <c r="CM293" s="213"/>
      <c r="CN293" s="213"/>
      <c r="CO293" s="213"/>
      <c r="CP293" s="213"/>
      <c r="CQ293" s="213"/>
      <c r="CR293" s="213"/>
      <c r="CS293" s="213"/>
      <c r="CT293" s="213"/>
      <c r="CU293" s="213"/>
    </row>
    <row r="294" ht="15.75" customHeight="1">
      <c r="A294" s="213"/>
      <c r="B294" s="213"/>
      <c r="C294" s="213"/>
      <c r="D294" s="213"/>
      <c r="E294" s="213"/>
      <c r="F294" s="213"/>
      <c r="G294" s="213"/>
      <c r="H294" s="213"/>
      <c r="I294" s="213"/>
      <c r="J294" s="213"/>
      <c r="K294" s="213"/>
      <c r="L294" s="213"/>
      <c r="M294" s="213"/>
      <c r="N294" s="213"/>
      <c r="O294" s="213"/>
      <c r="P294" s="213"/>
      <c r="Q294" s="213"/>
      <c r="R294" s="213"/>
      <c r="S294" s="213"/>
      <c r="T294" s="213"/>
      <c r="U294" s="213"/>
      <c r="V294" s="213"/>
      <c r="W294" s="213"/>
      <c r="X294" s="213"/>
      <c r="Y294" s="213"/>
      <c r="Z294" s="213"/>
      <c r="AA294" s="213"/>
      <c r="AB294" s="213"/>
      <c r="AC294" s="213"/>
      <c r="AD294" s="213"/>
      <c r="AE294" s="213"/>
      <c r="AF294" s="213"/>
      <c r="AG294" s="213"/>
      <c r="AH294" s="213"/>
      <c r="AI294" s="213"/>
      <c r="AJ294" s="213"/>
      <c r="AK294" s="213"/>
      <c r="AL294" s="213"/>
      <c r="AM294" s="213"/>
      <c r="AN294" s="213"/>
      <c r="AO294" s="213"/>
      <c r="AP294" s="213"/>
      <c r="AQ294" s="213"/>
      <c r="AR294" s="213"/>
      <c r="AS294" s="213"/>
      <c r="AT294" s="213"/>
      <c r="AU294" s="213"/>
      <c r="AV294" s="213"/>
      <c r="AW294" s="213"/>
      <c r="AX294" s="213"/>
      <c r="AY294" s="213"/>
      <c r="AZ294" s="213"/>
      <c r="BA294" s="213"/>
      <c r="BB294" s="213"/>
      <c r="BC294" s="213"/>
      <c r="BD294" s="213"/>
      <c r="BE294" s="213"/>
      <c r="BF294" s="213"/>
      <c r="BG294" s="213"/>
      <c r="BH294" s="213"/>
      <c r="BI294" s="213"/>
      <c r="BJ294" s="213"/>
      <c r="BK294" s="213"/>
      <c r="BL294" s="213"/>
      <c r="BM294" s="213"/>
      <c r="BN294" s="215"/>
      <c r="BO294" s="213"/>
      <c r="BP294" s="213"/>
      <c r="BQ294" s="213"/>
      <c r="BR294" s="326"/>
      <c r="BS294" s="213"/>
      <c r="BT294" s="213"/>
      <c r="BU294" s="213"/>
      <c r="BV294" s="213"/>
      <c r="BW294" s="213"/>
      <c r="BX294" s="213"/>
      <c r="BY294" s="213"/>
      <c r="BZ294" s="213"/>
      <c r="CA294" s="213"/>
      <c r="CB294" s="213"/>
      <c r="CC294" s="213"/>
      <c r="CD294" s="213"/>
      <c r="CE294" s="213"/>
      <c r="CF294" s="213"/>
      <c r="CG294" s="213"/>
      <c r="CH294" s="213"/>
      <c r="CI294" s="213"/>
      <c r="CJ294" s="213"/>
      <c r="CK294" s="213"/>
      <c r="CL294" s="213"/>
      <c r="CM294" s="213"/>
      <c r="CN294" s="213"/>
      <c r="CO294" s="213"/>
      <c r="CP294" s="213"/>
      <c r="CQ294" s="213"/>
      <c r="CR294" s="213"/>
      <c r="CS294" s="213"/>
      <c r="CT294" s="213"/>
      <c r="CU294" s="213"/>
    </row>
    <row r="295" ht="15.75" customHeight="1">
      <c r="A295" s="213"/>
      <c r="B295" s="213"/>
      <c r="C295" s="213"/>
      <c r="D295" s="213"/>
      <c r="E295" s="213"/>
      <c r="F295" s="213"/>
      <c r="G295" s="213"/>
      <c r="H295" s="213"/>
      <c r="I295" s="213"/>
      <c r="J295" s="213"/>
      <c r="K295" s="213"/>
      <c r="L295" s="213"/>
      <c r="M295" s="213"/>
      <c r="N295" s="213"/>
      <c r="O295" s="213"/>
      <c r="P295" s="213"/>
      <c r="Q295" s="213"/>
      <c r="R295" s="213"/>
      <c r="S295" s="213"/>
      <c r="T295" s="213"/>
      <c r="U295" s="213"/>
      <c r="V295" s="213"/>
      <c r="W295" s="213"/>
      <c r="X295" s="213"/>
      <c r="Y295" s="213"/>
      <c r="Z295" s="213"/>
      <c r="AA295" s="213"/>
      <c r="AB295" s="213"/>
      <c r="AC295" s="213"/>
      <c r="AD295" s="213"/>
      <c r="AE295" s="213"/>
      <c r="AF295" s="213"/>
      <c r="AG295" s="213"/>
      <c r="AH295" s="213"/>
      <c r="AI295" s="213"/>
      <c r="AJ295" s="213"/>
      <c r="AK295" s="213"/>
      <c r="AL295" s="213"/>
      <c r="AM295" s="213"/>
      <c r="AN295" s="213"/>
      <c r="AO295" s="213"/>
      <c r="AP295" s="213"/>
      <c r="AQ295" s="213"/>
      <c r="AR295" s="213"/>
      <c r="AS295" s="213"/>
      <c r="AT295" s="213"/>
      <c r="AU295" s="213"/>
      <c r="AV295" s="213"/>
      <c r="AW295" s="213"/>
      <c r="AX295" s="213"/>
      <c r="AY295" s="213"/>
      <c r="AZ295" s="213"/>
      <c r="BA295" s="213"/>
      <c r="BB295" s="213"/>
      <c r="BC295" s="213"/>
      <c r="BD295" s="213"/>
      <c r="BE295" s="213"/>
      <c r="BF295" s="213"/>
      <c r="BG295" s="213"/>
      <c r="BH295" s="213"/>
      <c r="BI295" s="213"/>
      <c r="BJ295" s="213"/>
      <c r="BK295" s="213"/>
      <c r="BL295" s="213"/>
      <c r="BM295" s="213"/>
      <c r="BN295" s="215"/>
      <c r="BO295" s="213"/>
      <c r="BP295" s="213"/>
      <c r="BQ295" s="213"/>
      <c r="BR295" s="326"/>
      <c r="BS295" s="213"/>
      <c r="BT295" s="213"/>
      <c r="BU295" s="213"/>
      <c r="BV295" s="213"/>
      <c r="BW295" s="213"/>
      <c r="BX295" s="213"/>
      <c r="BY295" s="213"/>
      <c r="BZ295" s="213"/>
      <c r="CA295" s="213"/>
      <c r="CB295" s="213"/>
      <c r="CC295" s="213"/>
      <c r="CD295" s="213"/>
      <c r="CE295" s="213"/>
      <c r="CF295" s="213"/>
      <c r="CG295" s="213"/>
      <c r="CH295" s="213"/>
      <c r="CI295" s="213"/>
      <c r="CJ295" s="213"/>
      <c r="CK295" s="213"/>
      <c r="CL295" s="213"/>
      <c r="CM295" s="213"/>
      <c r="CN295" s="213"/>
      <c r="CO295" s="213"/>
      <c r="CP295" s="213"/>
      <c r="CQ295" s="213"/>
      <c r="CR295" s="213"/>
      <c r="CS295" s="213"/>
      <c r="CT295" s="213"/>
      <c r="CU295" s="213"/>
    </row>
    <row r="296" ht="15.75" customHeight="1">
      <c r="A296" s="213"/>
      <c r="B296" s="213"/>
      <c r="C296" s="213"/>
      <c r="D296" s="213"/>
      <c r="E296" s="213"/>
      <c r="F296" s="213"/>
      <c r="G296" s="213"/>
      <c r="H296" s="213"/>
      <c r="I296" s="213"/>
      <c r="J296" s="213"/>
      <c r="K296" s="213"/>
      <c r="L296" s="213"/>
      <c r="M296" s="213"/>
      <c r="N296" s="213"/>
      <c r="O296" s="213"/>
      <c r="P296" s="213"/>
      <c r="Q296" s="213"/>
      <c r="R296" s="213"/>
      <c r="S296" s="213"/>
      <c r="T296" s="213"/>
      <c r="U296" s="213"/>
      <c r="V296" s="213"/>
      <c r="W296" s="213"/>
      <c r="X296" s="213"/>
      <c r="Y296" s="213"/>
      <c r="Z296" s="213"/>
      <c r="AA296" s="213"/>
      <c r="AB296" s="213"/>
      <c r="AC296" s="213"/>
      <c r="AD296" s="213"/>
      <c r="AE296" s="213"/>
      <c r="AF296" s="213"/>
      <c r="AG296" s="213"/>
      <c r="AH296" s="213"/>
      <c r="AI296" s="213"/>
      <c r="AJ296" s="213"/>
      <c r="AK296" s="213"/>
      <c r="AL296" s="213"/>
      <c r="AM296" s="213"/>
      <c r="AN296" s="213"/>
      <c r="AO296" s="213"/>
      <c r="AP296" s="213"/>
      <c r="AQ296" s="213"/>
      <c r="AR296" s="213"/>
      <c r="AS296" s="213"/>
      <c r="AT296" s="213"/>
      <c r="AU296" s="213"/>
      <c r="AV296" s="213"/>
      <c r="AW296" s="213"/>
      <c r="AX296" s="213"/>
      <c r="AY296" s="213"/>
      <c r="AZ296" s="213"/>
      <c r="BA296" s="213"/>
      <c r="BB296" s="213"/>
      <c r="BC296" s="213"/>
      <c r="BD296" s="213"/>
      <c r="BE296" s="213"/>
      <c r="BF296" s="213"/>
      <c r="BG296" s="213"/>
      <c r="BH296" s="213"/>
      <c r="BI296" s="213"/>
      <c r="BJ296" s="213"/>
      <c r="BK296" s="213"/>
      <c r="BL296" s="213"/>
      <c r="BM296" s="213"/>
      <c r="BN296" s="215"/>
      <c r="BO296" s="213"/>
      <c r="BP296" s="213"/>
      <c r="BQ296" s="213"/>
      <c r="BR296" s="326"/>
      <c r="BS296" s="213"/>
      <c r="BT296" s="213"/>
      <c r="BU296" s="213"/>
      <c r="BV296" s="213"/>
      <c r="BW296" s="213"/>
      <c r="BX296" s="213"/>
      <c r="BY296" s="213"/>
      <c r="BZ296" s="213"/>
      <c r="CA296" s="213"/>
      <c r="CB296" s="213"/>
      <c r="CC296" s="213"/>
      <c r="CD296" s="213"/>
      <c r="CE296" s="213"/>
      <c r="CF296" s="213"/>
      <c r="CG296" s="213"/>
      <c r="CH296" s="213"/>
      <c r="CI296" s="213"/>
      <c r="CJ296" s="213"/>
      <c r="CK296" s="213"/>
      <c r="CL296" s="213"/>
      <c r="CM296" s="213"/>
      <c r="CN296" s="213"/>
      <c r="CO296" s="213"/>
      <c r="CP296" s="213"/>
      <c r="CQ296" s="213"/>
      <c r="CR296" s="213"/>
      <c r="CS296" s="213"/>
      <c r="CT296" s="213"/>
      <c r="CU296" s="213"/>
    </row>
    <row r="297" ht="15.75" customHeight="1">
      <c r="A297" s="213"/>
      <c r="B297" s="213"/>
      <c r="C297" s="213"/>
      <c r="D297" s="213"/>
      <c r="E297" s="213"/>
      <c r="F297" s="213"/>
      <c r="G297" s="213"/>
      <c r="H297" s="213"/>
      <c r="I297" s="213"/>
      <c r="J297" s="213"/>
      <c r="K297" s="213"/>
      <c r="L297" s="213"/>
      <c r="M297" s="213"/>
      <c r="N297" s="213"/>
      <c r="O297" s="213"/>
      <c r="P297" s="213"/>
      <c r="Q297" s="213"/>
      <c r="R297" s="213"/>
      <c r="S297" s="213"/>
      <c r="T297" s="213"/>
      <c r="U297" s="213"/>
      <c r="V297" s="213"/>
      <c r="W297" s="213"/>
      <c r="X297" s="213"/>
      <c r="Y297" s="213"/>
      <c r="Z297" s="213"/>
      <c r="AA297" s="213"/>
      <c r="AB297" s="213"/>
      <c r="AC297" s="213"/>
      <c r="AD297" s="213"/>
      <c r="AE297" s="213"/>
      <c r="AF297" s="213"/>
      <c r="AG297" s="213"/>
      <c r="AH297" s="213"/>
      <c r="AI297" s="213"/>
      <c r="AJ297" s="213"/>
      <c r="AK297" s="213"/>
      <c r="AL297" s="213"/>
      <c r="AM297" s="213"/>
      <c r="AN297" s="213"/>
      <c r="AO297" s="213"/>
      <c r="AP297" s="213"/>
      <c r="AQ297" s="213"/>
      <c r="AR297" s="213"/>
      <c r="AS297" s="213"/>
      <c r="AT297" s="213"/>
      <c r="AU297" s="213"/>
      <c r="AV297" s="213"/>
      <c r="AW297" s="213"/>
      <c r="AX297" s="213"/>
      <c r="AY297" s="213"/>
      <c r="AZ297" s="213"/>
      <c r="BA297" s="213"/>
      <c r="BB297" s="213"/>
      <c r="BC297" s="213"/>
      <c r="BD297" s="213"/>
      <c r="BE297" s="213"/>
      <c r="BF297" s="213"/>
      <c r="BG297" s="213"/>
      <c r="BH297" s="213"/>
      <c r="BI297" s="213"/>
      <c r="BJ297" s="213"/>
      <c r="BK297" s="213"/>
      <c r="BL297" s="213"/>
      <c r="BM297" s="213"/>
      <c r="BN297" s="215"/>
      <c r="BO297" s="213"/>
      <c r="BP297" s="213"/>
      <c r="BQ297" s="213"/>
      <c r="BR297" s="326"/>
      <c r="BS297" s="213"/>
      <c r="BT297" s="213"/>
      <c r="BU297" s="213"/>
      <c r="BV297" s="213"/>
      <c r="BW297" s="213"/>
      <c r="BX297" s="213"/>
      <c r="BY297" s="213"/>
      <c r="BZ297" s="213"/>
      <c r="CA297" s="213"/>
      <c r="CB297" s="213"/>
      <c r="CC297" s="213"/>
      <c r="CD297" s="213"/>
      <c r="CE297" s="213"/>
      <c r="CF297" s="213"/>
      <c r="CG297" s="213"/>
      <c r="CH297" s="213"/>
      <c r="CI297" s="213"/>
      <c r="CJ297" s="213"/>
      <c r="CK297" s="213"/>
      <c r="CL297" s="213"/>
      <c r="CM297" s="213"/>
      <c r="CN297" s="213"/>
      <c r="CO297" s="213"/>
      <c r="CP297" s="213"/>
      <c r="CQ297" s="213"/>
      <c r="CR297" s="213"/>
      <c r="CS297" s="213"/>
      <c r="CT297" s="213"/>
      <c r="CU297" s="213"/>
    </row>
    <row r="298" ht="15.75" customHeight="1">
      <c r="A298" s="213"/>
      <c r="B298" s="213"/>
      <c r="C298" s="213"/>
      <c r="D298" s="213"/>
      <c r="E298" s="213"/>
      <c r="F298" s="213"/>
      <c r="G298" s="213"/>
      <c r="H298" s="213"/>
      <c r="I298" s="213"/>
      <c r="J298" s="213"/>
      <c r="K298" s="213"/>
      <c r="L298" s="213"/>
      <c r="M298" s="213"/>
      <c r="N298" s="213"/>
      <c r="O298" s="213"/>
      <c r="P298" s="213"/>
      <c r="Q298" s="213"/>
      <c r="R298" s="213"/>
      <c r="S298" s="213"/>
      <c r="T298" s="213"/>
      <c r="U298" s="213"/>
      <c r="V298" s="213"/>
      <c r="W298" s="213"/>
      <c r="X298" s="213"/>
      <c r="Y298" s="213"/>
      <c r="Z298" s="213"/>
      <c r="AA298" s="213"/>
      <c r="AB298" s="213"/>
      <c r="AC298" s="213"/>
      <c r="AD298" s="213"/>
      <c r="AE298" s="213"/>
      <c r="AF298" s="213"/>
      <c r="AG298" s="213"/>
      <c r="AH298" s="213"/>
      <c r="AI298" s="213"/>
      <c r="AJ298" s="213"/>
      <c r="AK298" s="213"/>
      <c r="AL298" s="213"/>
      <c r="AM298" s="213"/>
      <c r="AN298" s="213"/>
      <c r="AO298" s="213"/>
      <c r="AP298" s="213"/>
      <c r="AQ298" s="213"/>
      <c r="AR298" s="213"/>
      <c r="AS298" s="213"/>
      <c r="AT298" s="213"/>
      <c r="AU298" s="213"/>
      <c r="AV298" s="213"/>
      <c r="AW298" s="213"/>
      <c r="AX298" s="213"/>
      <c r="AY298" s="213"/>
      <c r="AZ298" s="213"/>
      <c r="BA298" s="213"/>
      <c r="BB298" s="213"/>
      <c r="BC298" s="213"/>
      <c r="BD298" s="213"/>
      <c r="BE298" s="213"/>
      <c r="BF298" s="213"/>
      <c r="BG298" s="213"/>
      <c r="BH298" s="213"/>
      <c r="BI298" s="213"/>
      <c r="BJ298" s="213"/>
      <c r="BK298" s="213"/>
      <c r="BL298" s="213"/>
      <c r="BM298" s="213"/>
      <c r="BN298" s="215"/>
      <c r="BO298" s="213"/>
      <c r="BP298" s="213"/>
      <c r="BQ298" s="213"/>
      <c r="BR298" s="326"/>
      <c r="BS298" s="213"/>
      <c r="BT298" s="213"/>
      <c r="BU298" s="213"/>
      <c r="BV298" s="213"/>
      <c r="BW298" s="213"/>
      <c r="BX298" s="213"/>
      <c r="BY298" s="213"/>
      <c r="BZ298" s="213"/>
      <c r="CA298" s="213"/>
      <c r="CB298" s="213"/>
      <c r="CC298" s="213"/>
      <c r="CD298" s="213"/>
      <c r="CE298" s="213"/>
      <c r="CF298" s="213"/>
      <c r="CG298" s="213"/>
      <c r="CH298" s="213"/>
      <c r="CI298" s="213"/>
      <c r="CJ298" s="213"/>
      <c r="CK298" s="213"/>
      <c r="CL298" s="213"/>
      <c r="CM298" s="213"/>
      <c r="CN298" s="213"/>
      <c r="CO298" s="213"/>
      <c r="CP298" s="213"/>
      <c r="CQ298" s="213"/>
      <c r="CR298" s="213"/>
      <c r="CS298" s="213"/>
      <c r="CT298" s="213"/>
      <c r="CU298" s="213"/>
    </row>
    <row r="299" ht="15.75" customHeight="1">
      <c r="A299" s="213"/>
      <c r="B299" s="213"/>
      <c r="C299" s="213"/>
      <c r="D299" s="213"/>
      <c r="E299" s="213"/>
      <c r="F299" s="213"/>
      <c r="G299" s="213"/>
      <c r="H299" s="213"/>
      <c r="I299" s="213"/>
      <c r="J299" s="213"/>
      <c r="K299" s="213"/>
      <c r="L299" s="213"/>
      <c r="M299" s="213"/>
      <c r="N299" s="213"/>
      <c r="O299" s="213"/>
      <c r="P299" s="213"/>
      <c r="Q299" s="213"/>
      <c r="R299" s="213"/>
      <c r="S299" s="213"/>
      <c r="T299" s="213"/>
      <c r="U299" s="213"/>
      <c r="V299" s="213"/>
      <c r="W299" s="213"/>
      <c r="X299" s="213"/>
      <c r="Y299" s="213"/>
      <c r="Z299" s="213"/>
      <c r="AA299" s="213"/>
      <c r="AB299" s="213"/>
      <c r="AC299" s="213"/>
      <c r="AD299" s="213"/>
      <c r="AE299" s="213"/>
      <c r="AF299" s="213"/>
      <c r="AG299" s="213"/>
      <c r="AH299" s="213"/>
      <c r="AI299" s="213"/>
      <c r="AJ299" s="213"/>
      <c r="AK299" s="213"/>
      <c r="AL299" s="213"/>
      <c r="AM299" s="213"/>
      <c r="AN299" s="213"/>
      <c r="AO299" s="213"/>
      <c r="AP299" s="213"/>
      <c r="AQ299" s="213"/>
      <c r="AR299" s="213"/>
      <c r="AS299" s="213"/>
      <c r="AT299" s="213"/>
      <c r="AU299" s="213"/>
      <c r="AV299" s="213"/>
      <c r="AW299" s="213"/>
      <c r="AX299" s="213"/>
      <c r="AY299" s="213"/>
      <c r="AZ299" s="213"/>
      <c r="BA299" s="213"/>
      <c r="BB299" s="213"/>
      <c r="BC299" s="213"/>
      <c r="BD299" s="213"/>
      <c r="BE299" s="213"/>
      <c r="BF299" s="213"/>
      <c r="BG299" s="213"/>
      <c r="BH299" s="213"/>
      <c r="BI299" s="213"/>
      <c r="BJ299" s="213"/>
      <c r="BK299" s="213"/>
      <c r="BL299" s="213"/>
      <c r="BM299" s="213"/>
      <c r="BN299" s="215"/>
      <c r="BO299" s="213"/>
      <c r="BP299" s="213"/>
      <c r="BQ299" s="213"/>
      <c r="BR299" s="326"/>
      <c r="BS299" s="213"/>
      <c r="BT299" s="213"/>
      <c r="BU299" s="213"/>
      <c r="BV299" s="213"/>
      <c r="BW299" s="213"/>
      <c r="BX299" s="213"/>
      <c r="BY299" s="213"/>
      <c r="BZ299" s="213"/>
      <c r="CA299" s="213"/>
      <c r="CB299" s="213"/>
      <c r="CC299" s="213"/>
      <c r="CD299" s="213"/>
      <c r="CE299" s="213"/>
      <c r="CF299" s="213"/>
      <c r="CG299" s="213"/>
      <c r="CH299" s="213"/>
      <c r="CI299" s="213"/>
      <c r="CJ299" s="213"/>
      <c r="CK299" s="213"/>
      <c r="CL299" s="213"/>
      <c r="CM299" s="213"/>
      <c r="CN299" s="213"/>
      <c r="CO299" s="213"/>
      <c r="CP299" s="213"/>
      <c r="CQ299" s="213"/>
      <c r="CR299" s="213"/>
      <c r="CS299" s="213"/>
      <c r="CT299" s="213"/>
      <c r="CU299" s="213"/>
    </row>
    <row r="300" ht="15.75" customHeight="1">
      <c r="A300" s="213"/>
      <c r="B300" s="213"/>
      <c r="C300" s="213"/>
      <c r="D300" s="213"/>
      <c r="E300" s="213"/>
      <c r="F300" s="213"/>
      <c r="G300" s="213"/>
      <c r="H300" s="213"/>
      <c r="I300" s="213"/>
      <c r="J300" s="213"/>
      <c r="K300" s="213"/>
      <c r="L300" s="213"/>
      <c r="M300" s="213"/>
      <c r="N300" s="213"/>
      <c r="O300" s="213"/>
      <c r="P300" s="213"/>
      <c r="Q300" s="213"/>
      <c r="R300" s="213"/>
      <c r="S300" s="213"/>
      <c r="T300" s="213"/>
      <c r="U300" s="213"/>
      <c r="V300" s="213"/>
      <c r="W300" s="213"/>
      <c r="X300" s="213"/>
      <c r="Y300" s="213"/>
      <c r="Z300" s="213"/>
      <c r="AA300" s="213"/>
      <c r="AB300" s="213"/>
      <c r="AC300" s="213"/>
      <c r="AD300" s="213"/>
      <c r="AE300" s="213"/>
      <c r="AF300" s="213"/>
      <c r="AG300" s="213"/>
      <c r="AH300" s="213"/>
      <c r="AI300" s="213"/>
      <c r="AJ300" s="213"/>
      <c r="AK300" s="213"/>
      <c r="AL300" s="213"/>
      <c r="AM300" s="213"/>
      <c r="AN300" s="213"/>
      <c r="AO300" s="213"/>
      <c r="AP300" s="213"/>
      <c r="AQ300" s="213"/>
      <c r="AR300" s="213"/>
      <c r="AS300" s="213"/>
      <c r="AT300" s="213"/>
      <c r="AU300" s="213"/>
      <c r="AV300" s="213"/>
      <c r="AW300" s="213"/>
      <c r="AX300" s="213"/>
      <c r="AY300" s="213"/>
      <c r="AZ300" s="213"/>
      <c r="BA300" s="213"/>
      <c r="BB300" s="213"/>
      <c r="BC300" s="213"/>
      <c r="BD300" s="213"/>
      <c r="BE300" s="213"/>
      <c r="BF300" s="213"/>
      <c r="BG300" s="213"/>
      <c r="BH300" s="213"/>
      <c r="BI300" s="213"/>
      <c r="BJ300" s="213"/>
      <c r="BK300" s="213"/>
      <c r="BL300" s="213"/>
      <c r="BM300" s="213"/>
      <c r="BN300" s="215"/>
      <c r="BO300" s="213"/>
      <c r="BP300" s="213"/>
      <c r="BQ300" s="213"/>
      <c r="BR300" s="326"/>
      <c r="BS300" s="213"/>
      <c r="BT300" s="213"/>
      <c r="BU300" s="213"/>
      <c r="BV300" s="213"/>
      <c r="BW300" s="213"/>
      <c r="BX300" s="213"/>
      <c r="BY300" s="213"/>
      <c r="BZ300" s="213"/>
      <c r="CA300" s="213"/>
      <c r="CB300" s="213"/>
      <c r="CC300" s="213"/>
      <c r="CD300" s="213"/>
      <c r="CE300" s="213"/>
      <c r="CF300" s="213"/>
      <c r="CG300" s="213"/>
      <c r="CH300" s="213"/>
      <c r="CI300" s="213"/>
      <c r="CJ300" s="213"/>
      <c r="CK300" s="213"/>
      <c r="CL300" s="213"/>
      <c r="CM300" s="213"/>
      <c r="CN300" s="213"/>
      <c r="CO300" s="213"/>
      <c r="CP300" s="213"/>
      <c r="CQ300" s="213"/>
      <c r="CR300" s="213"/>
      <c r="CS300" s="213"/>
      <c r="CT300" s="213"/>
      <c r="CU300" s="213"/>
    </row>
    <row r="301" ht="15.75" customHeight="1">
      <c r="A301" s="213"/>
      <c r="B301" s="213"/>
      <c r="C301" s="213"/>
      <c r="D301" s="213"/>
      <c r="E301" s="213"/>
      <c r="F301" s="213"/>
      <c r="G301" s="213"/>
      <c r="H301" s="213"/>
      <c r="I301" s="213"/>
      <c r="J301" s="213"/>
      <c r="K301" s="213"/>
      <c r="L301" s="213"/>
      <c r="M301" s="213"/>
      <c r="N301" s="213"/>
      <c r="O301" s="213"/>
      <c r="P301" s="213"/>
      <c r="Q301" s="213"/>
      <c r="R301" s="213"/>
      <c r="S301" s="213"/>
      <c r="T301" s="213"/>
      <c r="U301" s="213"/>
      <c r="V301" s="213"/>
      <c r="W301" s="213"/>
      <c r="X301" s="213"/>
      <c r="Y301" s="213"/>
      <c r="Z301" s="213"/>
      <c r="AA301" s="213"/>
      <c r="AB301" s="213"/>
      <c r="AC301" s="213"/>
      <c r="AD301" s="213"/>
      <c r="AE301" s="213"/>
      <c r="AF301" s="213"/>
      <c r="AG301" s="213"/>
      <c r="AH301" s="213"/>
      <c r="AI301" s="213"/>
      <c r="AJ301" s="213"/>
      <c r="AK301" s="213"/>
      <c r="AL301" s="213"/>
      <c r="AM301" s="213"/>
      <c r="AN301" s="213"/>
      <c r="AO301" s="213"/>
      <c r="AP301" s="213"/>
      <c r="AQ301" s="213"/>
      <c r="AR301" s="213"/>
      <c r="AS301" s="213"/>
      <c r="AT301" s="213"/>
      <c r="AU301" s="213"/>
      <c r="AV301" s="213"/>
      <c r="AW301" s="213"/>
      <c r="AX301" s="213"/>
      <c r="AY301" s="213"/>
      <c r="AZ301" s="213"/>
      <c r="BA301" s="213"/>
      <c r="BB301" s="213"/>
      <c r="BC301" s="213"/>
      <c r="BD301" s="213"/>
      <c r="BE301" s="213"/>
      <c r="BF301" s="213"/>
      <c r="BG301" s="213"/>
      <c r="BH301" s="213"/>
      <c r="BI301" s="213"/>
      <c r="BJ301" s="213"/>
      <c r="BK301" s="213"/>
      <c r="BL301" s="213"/>
      <c r="BM301" s="213"/>
      <c r="BN301" s="215"/>
      <c r="BO301" s="213"/>
      <c r="BP301" s="213"/>
      <c r="BQ301" s="213"/>
      <c r="BR301" s="326"/>
      <c r="BS301" s="213"/>
      <c r="BT301" s="213"/>
      <c r="BU301" s="213"/>
      <c r="BV301" s="213"/>
      <c r="BW301" s="213"/>
      <c r="BX301" s="213"/>
      <c r="BY301" s="213"/>
      <c r="BZ301" s="213"/>
      <c r="CA301" s="213"/>
      <c r="CB301" s="213"/>
      <c r="CC301" s="213"/>
      <c r="CD301" s="213"/>
      <c r="CE301" s="213"/>
      <c r="CF301" s="213"/>
      <c r="CG301" s="213"/>
      <c r="CH301" s="213"/>
      <c r="CI301" s="213"/>
      <c r="CJ301" s="213"/>
      <c r="CK301" s="213"/>
      <c r="CL301" s="213"/>
      <c r="CM301" s="213"/>
      <c r="CN301" s="213"/>
      <c r="CO301" s="213"/>
      <c r="CP301" s="213"/>
      <c r="CQ301" s="213"/>
      <c r="CR301" s="213"/>
      <c r="CS301" s="213"/>
      <c r="CT301" s="213"/>
      <c r="CU301" s="213"/>
    </row>
    <row r="302" ht="15.75" customHeight="1">
      <c r="A302" s="213"/>
      <c r="B302" s="213"/>
      <c r="C302" s="213"/>
      <c r="D302" s="213"/>
      <c r="E302" s="213"/>
      <c r="F302" s="213"/>
      <c r="G302" s="213"/>
      <c r="H302" s="213"/>
      <c r="I302" s="213"/>
      <c r="J302" s="213"/>
      <c r="K302" s="213"/>
      <c r="L302" s="213"/>
      <c r="M302" s="213"/>
      <c r="N302" s="213"/>
      <c r="O302" s="213"/>
      <c r="P302" s="213"/>
      <c r="Q302" s="213"/>
      <c r="R302" s="213"/>
      <c r="S302" s="213"/>
      <c r="T302" s="213"/>
      <c r="U302" s="213"/>
      <c r="V302" s="213"/>
      <c r="W302" s="213"/>
      <c r="X302" s="213"/>
      <c r="Y302" s="213"/>
      <c r="Z302" s="213"/>
      <c r="AA302" s="213"/>
      <c r="AB302" s="213"/>
      <c r="AC302" s="213"/>
      <c r="AD302" s="213"/>
      <c r="AE302" s="213"/>
      <c r="AF302" s="213"/>
      <c r="AG302" s="213"/>
      <c r="AH302" s="213"/>
      <c r="AI302" s="213"/>
      <c r="AJ302" s="213"/>
      <c r="AK302" s="213"/>
      <c r="AL302" s="213"/>
      <c r="AM302" s="213"/>
      <c r="AN302" s="213"/>
      <c r="AO302" s="213"/>
      <c r="AP302" s="213"/>
      <c r="AQ302" s="213"/>
      <c r="AR302" s="213"/>
      <c r="AS302" s="213"/>
      <c r="AT302" s="213"/>
      <c r="AU302" s="213"/>
      <c r="AV302" s="213"/>
      <c r="AW302" s="213"/>
      <c r="AX302" s="213"/>
      <c r="AY302" s="213"/>
      <c r="AZ302" s="213"/>
      <c r="BA302" s="213"/>
      <c r="BB302" s="213"/>
      <c r="BC302" s="213"/>
      <c r="BD302" s="213"/>
      <c r="BE302" s="213"/>
      <c r="BF302" s="213"/>
      <c r="BG302" s="213"/>
      <c r="BH302" s="213"/>
      <c r="BI302" s="213"/>
      <c r="BJ302" s="213"/>
      <c r="BK302" s="213"/>
      <c r="BL302" s="213"/>
      <c r="BM302" s="213"/>
      <c r="BN302" s="215"/>
      <c r="BO302" s="213"/>
      <c r="BP302" s="213"/>
      <c r="BQ302" s="213"/>
      <c r="BR302" s="326"/>
      <c r="BS302" s="213"/>
      <c r="BT302" s="213"/>
      <c r="BU302" s="213"/>
      <c r="BV302" s="213"/>
      <c r="BW302" s="213"/>
      <c r="BX302" s="213"/>
      <c r="BY302" s="213"/>
      <c r="BZ302" s="213"/>
      <c r="CA302" s="213"/>
      <c r="CB302" s="213"/>
      <c r="CC302" s="213"/>
      <c r="CD302" s="213"/>
      <c r="CE302" s="213"/>
      <c r="CF302" s="213"/>
      <c r="CG302" s="213"/>
      <c r="CH302" s="213"/>
      <c r="CI302" s="213"/>
      <c r="CJ302" s="213"/>
      <c r="CK302" s="213"/>
      <c r="CL302" s="213"/>
      <c r="CM302" s="213"/>
      <c r="CN302" s="213"/>
      <c r="CO302" s="213"/>
      <c r="CP302" s="213"/>
      <c r="CQ302" s="213"/>
      <c r="CR302" s="213"/>
      <c r="CS302" s="213"/>
      <c r="CT302" s="213"/>
      <c r="CU302" s="213"/>
    </row>
    <row r="303" ht="15.75" customHeight="1">
      <c r="A303" s="213"/>
      <c r="B303" s="213"/>
      <c r="C303" s="213"/>
      <c r="D303" s="213"/>
      <c r="E303" s="213"/>
      <c r="F303" s="213"/>
      <c r="G303" s="213"/>
      <c r="H303" s="213"/>
      <c r="I303" s="213"/>
      <c r="J303" s="213"/>
      <c r="K303" s="213"/>
      <c r="L303" s="213"/>
      <c r="M303" s="213"/>
      <c r="N303" s="213"/>
      <c r="O303" s="213"/>
      <c r="P303" s="213"/>
      <c r="Q303" s="213"/>
      <c r="R303" s="213"/>
      <c r="S303" s="213"/>
      <c r="T303" s="213"/>
      <c r="U303" s="213"/>
      <c r="V303" s="213"/>
      <c r="W303" s="213"/>
      <c r="X303" s="213"/>
      <c r="Y303" s="213"/>
      <c r="Z303" s="213"/>
      <c r="AA303" s="213"/>
      <c r="AB303" s="213"/>
      <c r="AC303" s="213"/>
      <c r="AD303" s="213"/>
      <c r="AE303" s="213"/>
      <c r="AF303" s="213"/>
      <c r="AG303" s="213"/>
      <c r="AH303" s="213"/>
      <c r="AI303" s="213"/>
      <c r="AJ303" s="213"/>
      <c r="AK303" s="213"/>
      <c r="AL303" s="213"/>
      <c r="AM303" s="213"/>
      <c r="AN303" s="213"/>
      <c r="AO303" s="213"/>
      <c r="AP303" s="213"/>
      <c r="AQ303" s="213"/>
      <c r="AR303" s="213"/>
      <c r="AS303" s="213"/>
      <c r="AT303" s="213"/>
      <c r="AU303" s="213"/>
      <c r="AV303" s="213"/>
      <c r="AW303" s="213"/>
      <c r="AX303" s="213"/>
      <c r="AY303" s="213"/>
      <c r="AZ303" s="213"/>
      <c r="BA303" s="213"/>
      <c r="BB303" s="213"/>
      <c r="BC303" s="213"/>
      <c r="BD303" s="213"/>
      <c r="BE303" s="213"/>
      <c r="BF303" s="213"/>
      <c r="BG303" s="213"/>
      <c r="BH303" s="213"/>
      <c r="BI303" s="213"/>
      <c r="BJ303" s="213"/>
      <c r="BK303" s="213"/>
      <c r="BL303" s="213"/>
      <c r="BM303" s="213"/>
      <c r="BN303" s="215"/>
      <c r="BO303" s="213"/>
      <c r="BP303" s="213"/>
      <c r="BQ303" s="213"/>
      <c r="BR303" s="326"/>
      <c r="BS303" s="213"/>
      <c r="BT303" s="213"/>
      <c r="BU303" s="213"/>
      <c r="BV303" s="213"/>
      <c r="BW303" s="213"/>
      <c r="BX303" s="213"/>
      <c r="BY303" s="213"/>
      <c r="BZ303" s="213"/>
      <c r="CA303" s="213"/>
      <c r="CB303" s="213"/>
      <c r="CC303" s="213"/>
      <c r="CD303" s="213"/>
      <c r="CE303" s="213"/>
      <c r="CF303" s="213"/>
      <c r="CG303" s="213"/>
      <c r="CH303" s="213"/>
      <c r="CI303" s="213"/>
      <c r="CJ303" s="213"/>
      <c r="CK303" s="213"/>
      <c r="CL303" s="213"/>
      <c r="CM303" s="213"/>
      <c r="CN303" s="213"/>
      <c r="CO303" s="213"/>
      <c r="CP303" s="213"/>
      <c r="CQ303" s="213"/>
      <c r="CR303" s="213"/>
      <c r="CS303" s="213"/>
      <c r="CT303" s="213"/>
      <c r="CU303" s="213"/>
    </row>
    <row r="304" ht="15.75" customHeight="1">
      <c r="A304" s="213"/>
      <c r="B304" s="213"/>
      <c r="C304" s="213"/>
      <c r="D304" s="213"/>
      <c r="E304" s="213"/>
      <c r="F304" s="213"/>
      <c r="G304" s="213"/>
      <c r="H304" s="213"/>
      <c r="I304" s="213"/>
      <c r="J304" s="213"/>
      <c r="K304" s="213"/>
      <c r="L304" s="213"/>
      <c r="M304" s="213"/>
      <c r="N304" s="213"/>
      <c r="O304" s="213"/>
      <c r="P304" s="213"/>
      <c r="Q304" s="213"/>
      <c r="R304" s="213"/>
      <c r="S304" s="213"/>
      <c r="T304" s="213"/>
      <c r="U304" s="213"/>
      <c r="V304" s="213"/>
      <c r="W304" s="213"/>
      <c r="X304" s="213"/>
      <c r="Y304" s="213"/>
      <c r="Z304" s="213"/>
      <c r="AA304" s="213"/>
      <c r="AB304" s="213"/>
      <c r="AC304" s="213"/>
      <c r="AD304" s="213"/>
      <c r="AE304" s="213"/>
      <c r="AF304" s="213"/>
      <c r="AG304" s="213"/>
      <c r="AH304" s="213"/>
      <c r="AI304" s="213"/>
      <c r="AJ304" s="213"/>
      <c r="AK304" s="213"/>
      <c r="AL304" s="213"/>
      <c r="AM304" s="213"/>
      <c r="AN304" s="213"/>
      <c r="AO304" s="213"/>
      <c r="AP304" s="213"/>
      <c r="AQ304" s="213"/>
      <c r="AR304" s="213"/>
      <c r="AS304" s="213"/>
      <c r="AT304" s="213"/>
      <c r="AU304" s="213"/>
      <c r="AV304" s="213"/>
      <c r="AW304" s="213"/>
      <c r="AX304" s="213"/>
      <c r="AY304" s="213"/>
      <c r="AZ304" s="213"/>
      <c r="BA304" s="213"/>
      <c r="BB304" s="213"/>
      <c r="BC304" s="213"/>
      <c r="BD304" s="213"/>
      <c r="BE304" s="213"/>
      <c r="BF304" s="213"/>
      <c r="BG304" s="213"/>
      <c r="BH304" s="213"/>
      <c r="BI304" s="213"/>
      <c r="BJ304" s="213"/>
      <c r="BK304" s="213"/>
      <c r="BL304" s="213"/>
      <c r="BM304" s="213"/>
      <c r="BN304" s="215"/>
      <c r="BO304" s="213"/>
      <c r="BP304" s="213"/>
      <c r="BQ304" s="213"/>
      <c r="BR304" s="326"/>
      <c r="BS304" s="213"/>
      <c r="BT304" s="213"/>
      <c r="BU304" s="213"/>
      <c r="BV304" s="213"/>
      <c r="BW304" s="213"/>
      <c r="BX304" s="213"/>
      <c r="BY304" s="213"/>
      <c r="BZ304" s="213"/>
      <c r="CA304" s="213"/>
      <c r="CB304" s="213"/>
      <c r="CC304" s="213"/>
      <c r="CD304" s="213"/>
      <c r="CE304" s="213"/>
      <c r="CF304" s="213"/>
      <c r="CG304" s="213"/>
      <c r="CH304" s="213"/>
      <c r="CI304" s="213"/>
      <c r="CJ304" s="213"/>
      <c r="CK304" s="213"/>
      <c r="CL304" s="213"/>
      <c r="CM304" s="213"/>
      <c r="CN304" s="213"/>
      <c r="CO304" s="213"/>
      <c r="CP304" s="213"/>
      <c r="CQ304" s="213"/>
      <c r="CR304" s="213"/>
      <c r="CS304" s="213"/>
      <c r="CT304" s="213"/>
      <c r="CU304" s="213"/>
    </row>
    <row r="305" ht="15.75" customHeight="1">
      <c r="A305" s="213"/>
      <c r="B305" s="213"/>
      <c r="C305" s="213"/>
      <c r="D305" s="213"/>
      <c r="E305" s="213"/>
      <c r="F305" s="213"/>
      <c r="G305" s="213"/>
      <c r="H305" s="213"/>
      <c r="I305" s="213"/>
      <c r="J305" s="213"/>
      <c r="K305" s="213"/>
      <c r="L305" s="213"/>
      <c r="M305" s="213"/>
      <c r="N305" s="213"/>
      <c r="O305" s="213"/>
      <c r="P305" s="213"/>
      <c r="Q305" s="213"/>
      <c r="R305" s="213"/>
      <c r="S305" s="213"/>
      <c r="T305" s="213"/>
      <c r="U305" s="213"/>
      <c r="V305" s="213"/>
      <c r="W305" s="213"/>
      <c r="X305" s="213"/>
      <c r="Y305" s="213"/>
      <c r="Z305" s="213"/>
      <c r="AA305" s="213"/>
      <c r="AB305" s="213"/>
      <c r="AC305" s="213"/>
      <c r="AD305" s="213"/>
      <c r="AE305" s="213"/>
      <c r="AF305" s="213"/>
      <c r="AG305" s="213"/>
      <c r="AH305" s="213"/>
      <c r="AI305" s="213"/>
      <c r="AJ305" s="213"/>
      <c r="AK305" s="213"/>
      <c r="AL305" s="213"/>
      <c r="AM305" s="213"/>
      <c r="AN305" s="213"/>
      <c r="AO305" s="213"/>
      <c r="AP305" s="213"/>
      <c r="AQ305" s="213"/>
      <c r="AR305" s="213"/>
      <c r="AS305" s="213"/>
      <c r="AT305" s="213"/>
      <c r="AU305" s="213"/>
      <c r="AV305" s="213"/>
      <c r="AW305" s="213"/>
      <c r="AX305" s="213"/>
      <c r="AY305" s="213"/>
      <c r="AZ305" s="213"/>
      <c r="BA305" s="213"/>
      <c r="BB305" s="213"/>
      <c r="BC305" s="213"/>
      <c r="BD305" s="213"/>
      <c r="BE305" s="213"/>
      <c r="BF305" s="213"/>
      <c r="BG305" s="213"/>
      <c r="BH305" s="213"/>
      <c r="BI305" s="213"/>
      <c r="BJ305" s="213"/>
      <c r="BK305" s="213"/>
      <c r="BL305" s="213"/>
      <c r="BM305" s="213"/>
      <c r="BN305" s="215"/>
      <c r="BO305" s="213"/>
      <c r="BP305" s="213"/>
      <c r="BQ305" s="213"/>
      <c r="BR305" s="326"/>
      <c r="BS305" s="213"/>
      <c r="BT305" s="213"/>
      <c r="BU305" s="213"/>
      <c r="BV305" s="213"/>
      <c r="BW305" s="213"/>
      <c r="BX305" s="213"/>
      <c r="BY305" s="213"/>
      <c r="BZ305" s="213"/>
      <c r="CA305" s="213"/>
      <c r="CB305" s="213"/>
      <c r="CC305" s="213"/>
      <c r="CD305" s="213"/>
      <c r="CE305" s="213"/>
      <c r="CF305" s="213"/>
      <c r="CG305" s="213"/>
      <c r="CH305" s="213"/>
      <c r="CI305" s="213"/>
      <c r="CJ305" s="213"/>
      <c r="CK305" s="213"/>
      <c r="CL305" s="213"/>
      <c r="CM305" s="213"/>
      <c r="CN305" s="213"/>
      <c r="CO305" s="213"/>
      <c r="CP305" s="213"/>
      <c r="CQ305" s="213"/>
      <c r="CR305" s="213"/>
      <c r="CS305" s="213"/>
      <c r="CT305" s="213"/>
      <c r="CU305" s="213"/>
    </row>
    <row r="306" ht="15.75" customHeight="1">
      <c r="A306" s="213"/>
      <c r="B306" s="213"/>
      <c r="C306" s="213"/>
      <c r="D306" s="213"/>
      <c r="E306" s="213"/>
      <c r="F306" s="213"/>
      <c r="G306" s="213"/>
      <c r="H306" s="213"/>
      <c r="I306" s="213"/>
      <c r="J306" s="213"/>
      <c r="K306" s="213"/>
      <c r="L306" s="213"/>
      <c r="M306" s="213"/>
      <c r="N306" s="213"/>
      <c r="O306" s="213"/>
      <c r="P306" s="213"/>
      <c r="Q306" s="213"/>
      <c r="R306" s="213"/>
      <c r="S306" s="213"/>
      <c r="T306" s="213"/>
      <c r="U306" s="213"/>
      <c r="V306" s="213"/>
      <c r="W306" s="213"/>
      <c r="X306" s="213"/>
      <c r="Y306" s="213"/>
      <c r="Z306" s="213"/>
      <c r="AA306" s="213"/>
      <c r="AB306" s="213"/>
      <c r="AC306" s="213"/>
      <c r="AD306" s="213"/>
      <c r="AE306" s="213"/>
      <c r="AF306" s="213"/>
      <c r="AG306" s="213"/>
      <c r="AH306" s="213"/>
      <c r="AI306" s="213"/>
      <c r="AJ306" s="213"/>
      <c r="AK306" s="213"/>
      <c r="AL306" s="213"/>
      <c r="AM306" s="213"/>
      <c r="AN306" s="213"/>
      <c r="AO306" s="213"/>
      <c r="AP306" s="213"/>
      <c r="AQ306" s="213"/>
      <c r="AR306" s="213"/>
      <c r="AS306" s="213"/>
      <c r="AT306" s="213"/>
      <c r="AU306" s="213"/>
      <c r="AV306" s="213"/>
      <c r="AW306" s="213"/>
      <c r="AX306" s="213"/>
      <c r="AY306" s="213"/>
      <c r="AZ306" s="213"/>
      <c r="BA306" s="213"/>
      <c r="BB306" s="213"/>
      <c r="BC306" s="213"/>
      <c r="BD306" s="213"/>
      <c r="BE306" s="213"/>
      <c r="BF306" s="213"/>
      <c r="BG306" s="213"/>
      <c r="BH306" s="213"/>
      <c r="BI306" s="213"/>
      <c r="BJ306" s="213"/>
      <c r="BK306" s="213"/>
      <c r="BL306" s="213"/>
      <c r="BM306" s="213"/>
      <c r="BN306" s="215"/>
      <c r="BO306" s="213"/>
      <c r="BP306" s="213"/>
      <c r="BQ306" s="213"/>
      <c r="BR306" s="326"/>
      <c r="BS306" s="213"/>
      <c r="BT306" s="213"/>
      <c r="BU306" s="213"/>
      <c r="BV306" s="213"/>
      <c r="BW306" s="213"/>
      <c r="BX306" s="213"/>
      <c r="BY306" s="213"/>
      <c r="BZ306" s="213"/>
      <c r="CA306" s="213"/>
      <c r="CB306" s="213"/>
      <c r="CC306" s="213"/>
      <c r="CD306" s="213"/>
      <c r="CE306" s="213"/>
      <c r="CF306" s="213"/>
      <c r="CG306" s="213"/>
      <c r="CH306" s="213"/>
      <c r="CI306" s="213"/>
      <c r="CJ306" s="213"/>
      <c r="CK306" s="213"/>
      <c r="CL306" s="213"/>
      <c r="CM306" s="213"/>
      <c r="CN306" s="213"/>
      <c r="CO306" s="213"/>
      <c r="CP306" s="213"/>
      <c r="CQ306" s="213"/>
      <c r="CR306" s="213"/>
      <c r="CS306" s="213"/>
      <c r="CT306" s="213"/>
      <c r="CU306" s="213"/>
    </row>
    <row r="307" ht="15.75" customHeight="1">
      <c r="A307" s="213"/>
      <c r="B307" s="213"/>
      <c r="C307" s="213"/>
      <c r="D307" s="213"/>
      <c r="E307" s="213"/>
      <c r="F307" s="213"/>
      <c r="G307" s="213"/>
      <c r="H307" s="213"/>
      <c r="I307" s="213"/>
      <c r="J307" s="213"/>
      <c r="K307" s="213"/>
      <c r="L307" s="213"/>
      <c r="M307" s="213"/>
      <c r="N307" s="213"/>
      <c r="O307" s="213"/>
      <c r="P307" s="213"/>
      <c r="Q307" s="213"/>
      <c r="R307" s="213"/>
      <c r="S307" s="213"/>
      <c r="T307" s="213"/>
      <c r="U307" s="213"/>
      <c r="V307" s="213"/>
      <c r="W307" s="213"/>
      <c r="X307" s="213"/>
      <c r="Y307" s="213"/>
      <c r="Z307" s="213"/>
      <c r="AA307" s="213"/>
      <c r="AB307" s="213"/>
      <c r="AC307" s="213"/>
      <c r="AD307" s="213"/>
      <c r="AE307" s="213"/>
      <c r="AF307" s="213"/>
      <c r="AG307" s="213"/>
      <c r="AH307" s="213"/>
      <c r="AI307" s="213"/>
      <c r="AJ307" s="213"/>
      <c r="AK307" s="213"/>
      <c r="AL307" s="213"/>
      <c r="AM307" s="213"/>
      <c r="AN307" s="213"/>
      <c r="AO307" s="213"/>
      <c r="AP307" s="213"/>
      <c r="AQ307" s="213"/>
      <c r="AR307" s="213"/>
      <c r="AS307" s="213"/>
      <c r="AT307" s="213"/>
      <c r="AU307" s="213"/>
      <c r="AV307" s="213"/>
      <c r="AW307" s="213"/>
      <c r="AX307" s="213"/>
      <c r="AY307" s="213"/>
      <c r="AZ307" s="213"/>
      <c r="BA307" s="213"/>
      <c r="BB307" s="213"/>
      <c r="BC307" s="213"/>
      <c r="BD307" s="213"/>
      <c r="BE307" s="213"/>
      <c r="BF307" s="213"/>
      <c r="BG307" s="213"/>
      <c r="BH307" s="213"/>
      <c r="BI307" s="213"/>
      <c r="BJ307" s="213"/>
      <c r="BK307" s="213"/>
      <c r="BL307" s="213"/>
      <c r="BM307" s="213"/>
      <c r="BN307" s="215"/>
      <c r="BO307" s="213"/>
      <c r="BP307" s="213"/>
      <c r="BQ307" s="213"/>
      <c r="BR307" s="326"/>
      <c r="BS307" s="213"/>
      <c r="BT307" s="213"/>
      <c r="BU307" s="213"/>
      <c r="BV307" s="213"/>
      <c r="BW307" s="213"/>
      <c r="BX307" s="213"/>
      <c r="BY307" s="213"/>
      <c r="BZ307" s="213"/>
      <c r="CA307" s="213"/>
      <c r="CB307" s="213"/>
      <c r="CC307" s="213"/>
      <c r="CD307" s="213"/>
      <c r="CE307" s="213"/>
      <c r="CF307" s="213"/>
      <c r="CG307" s="213"/>
      <c r="CH307" s="213"/>
      <c r="CI307" s="213"/>
      <c r="CJ307" s="213"/>
      <c r="CK307" s="213"/>
      <c r="CL307" s="213"/>
      <c r="CM307" s="213"/>
      <c r="CN307" s="213"/>
      <c r="CO307" s="213"/>
      <c r="CP307" s="213"/>
      <c r="CQ307" s="213"/>
      <c r="CR307" s="213"/>
      <c r="CS307" s="213"/>
      <c r="CT307" s="213"/>
      <c r="CU307" s="213"/>
    </row>
    <row r="308" ht="15.75" customHeight="1">
      <c r="A308" s="213"/>
      <c r="B308" s="213"/>
      <c r="C308" s="213"/>
      <c r="D308" s="213"/>
      <c r="E308" s="213"/>
      <c r="F308" s="213"/>
      <c r="G308" s="213"/>
      <c r="H308" s="213"/>
      <c r="I308" s="213"/>
      <c r="J308" s="213"/>
      <c r="K308" s="213"/>
      <c r="L308" s="213"/>
      <c r="M308" s="213"/>
      <c r="N308" s="213"/>
      <c r="O308" s="213"/>
      <c r="P308" s="213"/>
      <c r="Q308" s="213"/>
      <c r="R308" s="213"/>
      <c r="S308" s="213"/>
      <c r="T308" s="213"/>
      <c r="U308" s="213"/>
      <c r="V308" s="213"/>
      <c r="W308" s="213"/>
      <c r="X308" s="213"/>
      <c r="Y308" s="213"/>
      <c r="Z308" s="213"/>
      <c r="AA308" s="213"/>
      <c r="AB308" s="213"/>
      <c r="AC308" s="213"/>
      <c r="AD308" s="213"/>
      <c r="AE308" s="213"/>
      <c r="AF308" s="213"/>
      <c r="AG308" s="213"/>
      <c r="AH308" s="213"/>
      <c r="AI308" s="213"/>
      <c r="AJ308" s="213"/>
      <c r="AK308" s="213"/>
      <c r="AL308" s="213"/>
      <c r="AM308" s="213"/>
      <c r="AN308" s="213"/>
      <c r="AO308" s="213"/>
      <c r="AP308" s="213"/>
      <c r="AQ308" s="213"/>
      <c r="AR308" s="213"/>
      <c r="AS308" s="213"/>
      <c r="AT308" s="213"/>
      <c r="AU308" s="213"/>
      <c r="AV308" s="213"/>
      <c r="AW308" s="213"/>
      <c r="AX308" s="213"/>
      <c r="AY308" s="213"/>
      <c r="AZ308" s="213"/>
      <c r="BA308" s="213"/>
      <c r="BB308" s="213"/>
      <c r="BC308" s="213"/>
      <c r="BD308" s="213"/>
      <c r="BE308" s="213"/>
      <c r="BF308" s="213"/>
      <c r="BG308" s="213"/>
      <c r="BH308" s="213"/>
      <c r="BI308" s="213"/>
      <c r="BJ308" s="213"/>
      <c r="BK308" s="213"/>
      <c r="BL308" s="213"/>
      <c r="BM308" s="213"/>
      <c r="BN308" s="215"/>
      <c r="BO308" s="213"/>
      <c r="BP308" s="213"/>
      <c r="BQ308" s="213"/>
      <c r="BR308" s="326"/>
      <c r="BS308" s="213"/>
      <c r="BT308" s="213"/>
      <c r="BU308" s="213"/>
      <c r="BV308" s="213"/>
      <c r="BW308" s="213"/>
      <c r="BX308" s="213"/>
      <c r="BY308" s="213"/>
      <c r="BZ308" s="213"/>
      <c r="CA308" s="213"/>
      <c r="CB308" s="213"/>
      <c r="CC308" s="213"/>
      <c r="CD308" s="213"/>
      <c r="CE308" s="213"/>
      <c r="CF308" s="213"/>
      <c r="CG308" s="213"/>
      <c r="CH308" s="213"/>
      <c r="CI308" s="213"/>
      <c r="CJ308" s="213"/>
      <c r="CK308" s="213"/>
      <c r="CL308" s="213"/>
      <c r="CM308" s="213"/>
      <c r="CN308" s="213"/>
      <c r="CO308" s="213"/>
      <c r="CP308" s="213"/>
      <c r="CQ308" s="213"/>
      <c r="CR308" s="213"/>
      <c r="CS308" s="213"/>
      <c r="CT308" s="213"/>
      <c r="CU308" s="213"/>
    </row>
    <row r="309" ht="15.75" customHeight="1">
      <c r="A309" s="213"/>
      <c r="B309" s="213"/>
      <c r="C309" s="213"/>
      <c r="D309" s="213"/>
      <c r="E309" s="213"/>
      <c r="F309" s="213"/>
      <c r="G309" s="213"/>
      <c r="H309" s="213"/>
      <c r="I309" s="213"/>
      <c r="J309" s="213"/>
      <c r="K309" s="213"/>
      <c r="L309" s="213"/>
      <c r="M309" s="213"/>
      <c r="N309" s="213"/>
      <c r="O309" s="213"/>
      <c r="P309" s="213"/>
      <c r="Q309" s="213"/>
      <c r="R309" s="213"/>
      <c r="S309" s="213"/>
      <c r="T309" s="213"/>
      <c r="U309" s="213"/>
      <c r="V309" s="213"/>
      <c r="W309" s="213"/>
      <c r="X309" s="213"/>
      <c r="Y309" s="213"/>
      <c r="Z309" s="213"/>
      <c r="AA309" s="213"/>
      <c r="AB309" s="213"/>
      <c r="AC309" s="213"/>
      <c r="AD309" s="213"/>
      <c r="AE309" s="213"/>
      <c r="AF309" s="213"/>
      <c r="AG309" s="213"/>
      <c r="AH309" s="213"/>
      <c r="AI309" s="213"/>
      <c r="AJ309" s="213"/>
      <c r="AK309" s="213"/>
      <c r="AL309" s="213"/>
      <c r="AM309" s="213"/>
      <c r="AN309" s="213"/>
      <c r="AO309" s="213"/>
      <c r="AP309" s="213"/>
      <c r="AQ309" s="213"/>
      <c r="AR309" s="213"/>
      <c r="AS309" s="213"/>
      <c r="AT309" s="213"/>
      <c r="AU309" s="213"/>
      <c r="AV309" s="213"/>
      <c r="AW309" s="213"/>
      <c r="AX309" s="213"/>
      <c r="AY309" s="213"/>
      <c r="AZ309" s="213"/>
      <c r="BA309" s="213"/>
      <c r="BB309" s="213"/>
      <c r="BC309" s="213"/>
      <c r="BD309" s="213"/>
      <c r="BE309" s="213"/>
      <c r="BF309" s="213"/>
      <c r="BG309" s="213"/>
      <c r="BH309" s="213"/>
      <c r="BI309" s="213"/>
      <c r="BJ309" s="213"/>
      <c r="BK309" s="213"/>
      <c r="BL309" s="213"/>
      <c r="BM309" s="213"/>
      <c r="BN309" s="215"/>
      <c r="BO309" s="213"/>
      <c r="BP309" s="213"/>
      <c r="BQ309" s="213"/>
      <c r="BR309" s="326"/>
      <c r="BS309" s="213"/>
      <c r="BT309" s="213"/>
      <c r="BU309" s="213"/>
      <c r="BV309" s="213"/>
      <c r="BW309" s="213"/>
      <c r="BX309" s="213"/>
      <c r="BY309" s="213"/>
      <c r="BZ309" s="213"/>
      <c r="CA309" s="213"/>
      <c r="CB309" s="213"/>
      <c r="CC309" s="213"/>
      <c r="CD309" s="213"/>
      <c r="CE309" s="213"/>
      <c r="CF309" s="213"/>
      <c r="CG309" s="213"/>
      <c r="CH309" s="213"/>
      <c r="CI309" s="213"/>
      <c r="CJ309" s="213"/>
      <c r="CK309" s="213"/>
      <c r="CL309" s="213"/>
      <c r="CM309" s="213"/>
      <c r="CN309" s="213"/>
      <c r="CO309" s="213"/>
      <c r="CP309" s="213"/>
      <c r="CQ309" s="213"/>
      <c r="CR309" s="213"/>
      <c r="CS309" s="213"/>
      <c r="CT309" s="213"/>
      <c r="CU309" s="213"/>
    </row>
    <row r="310" ht="15.75" customHeight="1">
      <c r="A310" s="213"/>
      <c r="B310" s="213"/>
      <c r="C310" s="213"/>
      <c r="D310" s="213"/>
      <c r="E310" s="213"/>
      <c r="F310" s="213"/>
      <c r="G310" s="213"/>
      <c r="H310" s="213"/>
      <c r="I310" s="213"/>
      <c r="J310" s="213"/>
      <c r="K310" s="213"/>
      <c r="L310" s="213"/>
      <c r="M310" s="213"/>
      <c r="N310" s="213"/>
      <c r="O310" s="213"/>
      <c r="P310" s="213"/>
      <c r="Q310" s="213"/>
      <c r="R310" s="213"/>
      <c r="S310" s="213"/>
      <c r="T310" s="213"/>
      <c r="U310" s="213"/>
      <c r="V310" s="213"/>
      <c r="W310" s="213"/>
      <c r="X310" s="213"/>
      <c r="Y310" s="213"/>
      <c r="Z310" s="213"/>
      <c r="AA310" s="213"/>
      <c r="AB310" s="213"/>
      <c r="AC310" s="213"/>
      <c r="AD310" s="213"/>
      <c r="AE310" s="213"/>
      <c r="AF310" s="213"/>
      <c r="AG310" s="213"/>
      <c r="AH310" s="213"/>
      <c r="AI310" s="213"/>
      <c r="AJ310" s="213"/>
      <c r="AK310" s="213"/>
      <c r="AL310" s="213"/>
      <c r="AM310" s="213"/>
      <c r="AN310" s="213"/>
      <c r="AO310" s="213"/>
      <c r="AP310" s="213"/>
      <c r="AQ310" s="213"/>
      <c r="AR310" s="213"/>
      <c r="AS310" s="213"/>
      <c r="AT310" s="213"/>
      <c r="AU310" s="213"/>
      <c r="AV310" s="213"/>
      <c r="AW310" s="213"/>
      <c r="AX310" s="213"/>
      <c r="AY310" s="213"/>
      <c r="AZ310" s="213"/>
      <c r="BA310" s="213"/>
      <c r="BB310" s="213"/>
      <c r="BC310" s="213"/>
      <c r="BD310" s="213"/>
      <c r="BE310" s="213"/>
      <c r="BF310" s="213"/>
      <c r="BG310" s="213"/>
      <c r="BH310" s="213"/>
      <c r="BI310" s="213"/>
      <c r="BJ310" s="213"/>
      <c r="BK310" s="213"/>
      <c r="BL310" s="213"/>
      <c r="BM310" s="213"/>
      <c r="BN310" s="215"/>
      <c r="BO310" s="213"/>
      <c r="BP310" s="213"/>
      <c r="BQ310" s="213"/>
      <c r="BR310" s="326"/>
      <c r="BS310" s="213"/>
      <c r="BT310" s="213"/>
      <c r="BU310" s="213"/>
      <c r="BV310" s="213"/>
      <c r="BW310" s="213"/>
      <c r="BX310" s="213"/>
      <c r="BY310" s="213"/>
      <c r="BZ310" s="213"/>
      <c r="CA310" s="213"/>
      <c r="CB310" s="213"/>
      <c r="CC310" s="213"/>
      <c r="CD310" s="213"/>
      <c r="CE310" s="213"/>
      <c r="CF310" s="213"/>
      <c r="CG310" s="213"/>
      <c r="CH310" s="213"/>
      <c r="CI310" s="213"/>
      <c r="CJ310" s="213"/>
      <c r="CK310" s="213"/>
      <c r="CL310" s="213"/>
      <c r="CM310" s="213"/>
      <c r="CN310" s="213"/>
      <c r="CO310" s="213"/>
      <c r="CP310" s="213"/>
      <c r="CQ310" s="213"/>
      <c r="CR310" s="213"/>
      <c r="CS310" s="213"/>
      <c r="CT310" s="213"/>
      <c r="CU310" s="213"/>
    </row>
    <row r="311" ht="15.75" customHeight="1">
      <c r="A311" s="213"/>
      <c r="B311" s="213"/>
      <c r="C311" s="213"/>
      <c r="D311" s="213"/>
      <c r="E311" s="213"/>
      <c r="F311" s="213"/>
      <c r="G311" s="213"/>
      <c r="H311" s="213"/>
      <c r="I311" s="213"/>
      <c r="J311" s="213"/>
      <c r="K311" s="213"/>
      <c r="L311" s="213"/>
      <c r="M311" s="213"/>
      <c r="N311" s="213"/>
      <c r="O311" s="213"/>
      <c r="P311" s="213"/>
      <c r="Q311" s="213"/>
      <c r="R311" s="213"/>
      <c r="S311" s="213"/>
      <c r="T311" s="213"/>
      <c r="U311" s="213"/>
      <c r="V311" s="213"/>
      <c r="W311" s="213"/>
      <c r="X311" s="213"/>
      <c r="Y311" s="213"/>
      <c r="Z311" s="213"/>
      <c r="AA311" s="213"/>
      <c r="AB311" s="213"/>
      <c r="AC311" s="213"/>
      <c r="AD311" s="213"/>
      <c r="AE311" s="213"/>
      <c r="AF311" s="213"/>
      <c r="AG311" s="213"/>
      <c r="AH311" s="213"/>
      <c r="AI311" s="213"/>
      <c r="AJ311" s="213"/>
      <c r="AK311" s="213"/>
      <c r="AL311" s="213"/>
      <c r="AM311" s="213"/>
      <c r="AN311" s="213"/>
      <c r="AO311" s="213"/>
      <c r="AP311" s="213"/>
      <c r="AQ311" s="213"/>
      <c r="AR311" s="213"/>
      <c r="AS311" s="213"/>
      <c r="AT311" s="213"/>
      <c r="AU311" s="213"/>
      <c r="AV311" s="213"/>
      <c r="AW311" s="213"/>
      <c r="AX311" s="213"/>
      <c r="AY311" s="213"/>
      <c r="AZ311" s="213"/>
      <c r="BA311" s="213"/>
      <c r="BB311" s="213"/>
      <c r="BC311" s="213"/>
      <c r="BD311" s="213"/>
      <c r="BE311" s="213"/>
      <c r="BF311" s="213"/>
      <c r="BG311" s="213"/>
      <c r="BH311" s="213"/>
      <c r="BI311" s="213"/>
      <c r="BJ311" s="213"/>
      <c r="BK311" s="213"/>
      <c r="BL311" s="213"/>
      <c r="BM311" s="213"/>
      <c r="BN311" s="215"/>
      <c r="BO311" s="213"/>
      <c r="BP311" s="213"/>
      <c r="BQ311" s="213"/>
      <c r="BR311" s="326"/>
      <c r="BS311" s="213"/>
      <c r="BT311" s="213"/>
      <c r="BU311" s="213"/>
      <c r="BV311" s="213"/>
      <c r="BW311" s="213"/>
      <c r="BX311" s="213"/>
      <c r="BY311" s="213"/>
      <c r="BZ311" s="213"/>
      <c r="CA311" s="213"/>
      <c r="CB311" s="213"/>
      <c r="CC311" s="213"/>
      <c r="CD311" s="213"/>
      <c r="CE311" s="213"/>
      <c r="CF311" s="213"/>
      <c r="CG311" s="213"/>
      <c r="CH311" s="213"/>
      <c r="CI311" s="213"/>
      <c r="CJ311" s="213"/>
      <c r="CK311" s="213"/>
      <c r="CL311" s="213"/>
      <c r="CM311" s="213"/>
      <c r="CN311" s="213"/>
      <c r="CO311" s="213"/>
      <c r="CP311" s="213"/>
      <c r="CQ311" s="213"/>
      <c r="CR311" s="213"/>
      <c r="CS311" s="213"/>
      <c r="CT311" s="213"/>
      <c r="CU311" s="213"/>
    </row>
    <row r="312" ht="15.75" customHeight="1">
      <c r="A312" s="213"/>
      <c r="B312" s="213"/>
      <c r="C312" s="213"/>
      <c r="D312" s="213"/>
      <c r="E312" s="213"/>
      <c r="F312" s="213"/>
      <c r="G312" s="213"/>
      <c r="H312" s="213"/>
      <c r="I312" s="213"/>
      <c r="J312" s="213"/>
      <c r="K312" s="213"/>
      <c r="L312" s="213"/>
      <c r="M312" s="213"/>
      <c r="N312" s="213"/>
      <c r="O312" s="213"/>
      <c r="P312" s="213"/>
      <c r="Q312" s="213"/>
      <c r="R312" s="213"/>
      <c r="S312" s="213"/>
      <c r="T312" s="213"/>
      <c r="U312" s="213"/>
      <c r="V312" s="213"/>
      <c r="W312" s="213"/>
      <c r="X312" s="213"/>
      <c r="Y312" s="213"/>
      <c r="Z312" s="213"/>
      <c r="AA312" s="213"/>
      <c r="AB312" s="213"/>
      <c r="AC312" s="213"/>
      <c r="AD312" s="213"/>
      <c r="AE312" s="213"/>
      <c r="AF312" s="213"/>
      <c r="AG312" s="213"/>
      <c r="AH312" s="213"/>
      <c r="AI312" s="213"/>
      <c r="AJ312" s="213"/>
      <c r="AK312" s="213"/>
      <c r="AL312" s="213"/>
      <c r="AM312" s="213"/>
      <c r="AN312" s="213"/>
      <c r="AO312" s="213"/>
      <c r="AP312" s="213"/>
      <c r="AQ312" s="213"/>
      <c r="AR312" s="213"/>
      <c r="AS312" s="213"/>
      <c r="AT312" s="213"/>
      <c r="AU312" s="213"/>
      <c r="AV312" s="213"/>
      <c r="AW312" s="213"/>
      <c r="AX312" s="213"/>
      <c r="AY312" s="213"/>
      <c r="AZ312" s="213"/>
      <c r="BA312" s="213"/>
      <c r="BB312" s="213"/>
      <c r="BC312" s="213"/>
      <c r="BD312" s="213"/>
      <c r="BE312" s="213"/>
      <c r="BF312" s="213"/>
      <c r="BG312" s="213"/>
      <c r="BH312" s="213"/>
      <c r="BI312" s="213"/>
      <c r="BJ312" s="213"/>
      <c r="BK312" s="213"/>
      <c r="BL312" s="213"/>
      <c r="BM312" s="213"/>
      <c r="BN312" s="215"/>
      <c r="BO312" s="213"/>
      <c r="BP312" s="213"/>
      <c r="BQ312" s="213"/>
      <c r="BR312" s="326"/>
      <c r="BS312" s="213"/>
      <c r="BT312" s="213"/>
      <c r="BU312" s="213"/>
      <c r="BV312" s="213"/>
      <c r="BW312" s="213"/>
      <c r="BX312" s="213"/>
      <c r="BY312" s="213"/>
      <c r="BZ312" s="213"/>
      <c r="CA312" s="213"/>
      <c r="CB312" s="213"/>
      <c r="CC312" s="213"/>
      <c r="CD312" s="213"/>
      <c r="CE312" s="213"/>
      <c r="CF312" s="213"/>
      <c r="CG312" s="213"/>
      <c r="CH312" s="213"/>
      <c r="CI312" s="213"/>
      <c r="CJ312" s="213"/>
      <c r="CK312" s="213"/>
      <c r="CL312" s="213"/>
      <c r="CM312" s="213"/>
      <c r="CN312" s="213"/>
      <c r="CO312" s="213"/>
      <c r="CP312" s="213"/>
      <c r="CQ312" s="213"/>
      <c r="CR312" s="213"/>
      <c r="CS312" s="213"/>
      <c r="CT312" s="213"/>
      <c r="CU312" s="213"/>
    </row>
    <row r="313" ht="15.75" customHeight="1">
      <c r="A313" s="213"/>
      <c r="B313" s="213"/>
      <c r="C313" s="213"/>
      <c r="D313" s="213"/>
      <c r="E313" s="213"/>
      <c r="F313" s="213"/>
      <c r="G313" s="213"/>
      <c r="H313" s="213"/>
      <c r="I313" s="213"/>
      <c r="J313" s="213"/>
      <c r="K313" s="213"/>
      <c r="L313" s="213"/>
      <c r="M313" s="213"/>
      <c r="N313" s="213"/>
      <c r="O313" s="213"/>
      <c r="P313" s="213"/>
      <c r="Q313" s="213"/>
      <c r="R313" s="213"/>
      <c r="S313" s="213"/>
      <c r="T313" s="213"/>
      <c r="U313" s="213"/>
      <c r="V313" s="213"/>
      <c r="W313" s="213"/>
      <c r="X313" s="213"/>
      <c r="Y313" s="213"/>
      <c r="Z313" s="213"/>
      <c r="AA313" s="213"/>
      <c r="AB313" s="213"/>
      <c r="AC313" s="213"/>
      <c r="AD313" s="213"/>
      <c r="AE313" s="213"/>
      <c r="AF313" s="213"/>
      <c r="AG313" s="213"/>
      <c r="AH313" s="213"/>
      <c r="AI313" s="213"/>
      <c r="AJ313" s="213"/>
      <c r="AK313" s="213"/>
      <c r="AL313" s="213"/>
      <c r="AM313" s="213"/>
      <c r="AN313" s="213"/>
      <c r="AO313" s="213"/>
      <c r="AP313" s="213"/>
      <c r="AQ313" s="213"/>
      <c r="AR313" s="213"/>
      <c r="AS313" s="213"/>
      <c r="AT313" s="213"/>
      <c r="AU313" s="213"/>
      <c r="AV313" s="213"/>
      <c r="AW313" s="213"/>
      <c r="AX313" s="213"/>
      <c r="AY313" s="213"/>
      <c r="AZ313" s="213"/>
      <c r="BA313" s="213"/>
      <c r="BB313" s="213"/>
      <c r="BC313" s="213"/>
      <c r="BD313" s="213"/>
      <c r="BE313" s="213"/>
      <c r="BF313" s="213"/>
      <c r="BG313" s="213"/>
      <c r="BH313" s="213"/>
      <c r="BI313" s="213"/>
      <c r="BJ313" s="213"/>
      <c r="BK313" s="213"/>
      <c r="BL313" s="213"/>
      <c r="BM313" s="213"/>
      <c r="BN313" s="215"/>
      <c r="BO313" s="213"/>
      <c r="BP313" s="213"/>
      <c r="BQ313" s="213"/>
      <c r="BR313" s="326"/>
      <c r="BS313" s="213"/>
      <c r="BT313" s="213"/>
      <c r="BU313" s="213"/>
      <c r="BV313" s="213"/>
      <c r="BW313" s="213"/>
      <c r="BX313" s="213"/>
      <c r="BY313" s="213"/>
      <c r="BZ313" s="213"/>
      <c r="CA313" s="213"/>
      <c r="CB313" s="213"/>
      <c r="CC313" s="213"/>
      <c r="CD313" s="213"/>
      <c r="CE313" s="213"/>
      <c r="CF313" s="213"/>
      <c r="CG313" s="213"/>
      <c r="CH313" s="213"/>
      <c r="CI313" s="213"/>
      <c r="CJ313" s="213"/>
      <c r="CK313" s="213"/>
      <c r="CL313" s="213"/>
      <c r="CM313" s="213"/>
      <c r="CN313" s="213"/>
      <c r="CO313" s="213"/>
      <c r="CP313" s="213"/>
      <c r="CQ313" s="213"/>
      <c r="CR313" s="213"/>
      <c r="CS313" s="213"/>
      <c r="CT313" s="213"/>
      <c r="CU313" s="213"/>
    </row>
    <row r="314" ht="15.75" customHeight="1">
      <c r="A314" s="213"/>
      <c r="B314" s="213"/>
      <c r="C314" s="213"/>
      <c r="D314" s="213"/>
      <c r="E314" s="213"/>
      <c r="F314" s="213"/>
      <c r="G314" s="213"/>
      <c r="H314" s="213"/>
      <c r="I314" s="213"/>
      <c r="J314" s="213"/>
      <c r="K314" s="213"/>
      <c r="L314" s="213"/>
      <c r="M314" s="213"/>
      <c r="N314" s="213"/>
      <c r="O314" s="213"/>
      <c r="P314" s="213"/>
      <c r="Q314" s="213"/>
      <c r="R314" s="213"/>
      <c r="S314" s="213"/>
      <c r="T314" s="213"/>
      <c r="U314" s="213"/>
      <c r="V314" s="213"/>
      <c r="W314" s="213"/>
      <c r="X314" s="213"/>
      <c r="Y314" s="213"/>
      <c r="Z314" s="213"/>
      <c r="AA314" s="213"/>
      <c r="AB314" s="213"/>
      <c r="AC314" s="213"/>
      <c r="AD314" s="213"/>
      <c r="AE314" s="213"/>
      <c r="AF314" s="213"/>
      <c r="AG314" s="213"/>
      <c r="AH314" s="213"/>
      <c r="AI314" s="213"/>
      <c r="AJ314" s="213"/>
      <c r="AK314" s="213"/>
      <c r="AL314" s="213"/>
      <c r="AM314" s="213"/>
      <c r="AN314" s="213"/>
      <c r="AO314" s="213"/>
      <c r="AP314" s="213"/>
      <c r="AQ314" s="213"/>
      <c r="AR314" s="213"/>
      <c r="AS314" s="213"/>
      <c r="AT314" s="213"/>
      <c r="AU314" s="213"/>
      <c r="AV314" s="213"/>
      <c r="AW314" s="213"/>
      <c r="AX314" s="213"/>
      <c r="AY314" s="213"/>
      <c r="AZ314" s="213"/>
      <c r="BA314" s="213"/>
      <c r="BB314" s="213"/>
      <c r="BC314" s="213"/>
      <c r="BD314" s="213"/>
      <c r="BE314" s="213"/>
      <c r="BF314" s="213"/>
      <c r="BG314" s="213"/>
      <c r="BH314" s="213"/>
      <c r="BI314" s="213"/>
      <c r="BJ314" s="213"/>
      <c r="BK314" s="213"/>
      <c r="BL314" s="213"/>
      <c r="BM314" s="213"/>
      <c r="BN314" s="215"/>
      <c r="BO314" s="213"/>
      <c r="BP314" s="213"/>
      <c r="BQ314" s="213"/>
      <c r="BR314" s="326"/>
      <c r="BS314" s="213"/>
      <c r="BT314" s="213"/>
      <c r="BU314" s="213"/>
      <c r="BV314" s="213"/>
      <c r="BW314" s="213"/>
      <c r="BX314" s="213"/>
      <c r="BY314" s="213"/>
      <c r="BZ314" s="213"/>
      <c r="CA314" s="213"/>
      <c r="CB314" s="213"/>
      <c r="CC314" s="213"/>
      <c r="CD314" s="213"/>
      <c r="CE314" s="213"/>
      <c r="CF314" s="213"/>
      <c r="CG314" s="213"/>
      <c r="CH314" s="213"/>
      <c r="CI314" s="213"/>
      <c r="CJ314" s="213"/>
      <c r="CK314" s="213"/>
      <c r="CL314" s="213"/>
      <c r="CM314" s="213"/>
      <c r="CN314" s="213"/>
      <c r="CO314" s="213"/>
      <c r="CP314" s="213"/>
      <c r="CQ314" s="213"/>
      <c r="CR314" s="213"/>
      <c r="CS314" s="213"/>
      <c r="CT314" s="213"/>
      <c r="CU314" s="213"/>
    </row>
    <row r="315" ht="15.75" customHeight="1">
      <c r="A315" s="213"/>
      <c r="B315" s="213"/>
      <c r="C315" s="213"/>
      <c r="D315" s="213"/>
      <c r="E315" s="213"/>
      <c r="F315" s="213"/>
      <c r="G315" s="213"/>
      <c r="H315" s="213"/>
      <c r="I315" s="213"/>
      <c r="J315" s="213"/>
      <c r="K315" s="213"/>
      <c r="L315" s="213"/>
      <c r="M315" s="213"/>
      <c r="N315" s="213"/>
      <c r="O315" s="213"/>
      <c r="P315" s="213"/>
      <c r="Q315" s="213"/>
      <c r="R315" s="213"/>
      <c r="S315" s="213"/>
      <c r="T315" s="213"/>
      <c r="U315" s="213"/>
      <c r="V315" s="213"/>
      <c r="W315" s="213"/>
      <c r="X315" s="213"/>
      <c r="Y315" s="213"/>
      <c r="Z315" s="213"/>
      <c r="AA315" s="213"/>
      <c r="AB315" s="213"/>
      <c r="AC315" s="213"/>
      <c r="AD315" s="213"/>
      <c r="AE315" s="213"/>
      <c r="AF315" s="213"/>
      <c r="AG315" s="213"/>
      <c r="AH315" s="213"/>
      <c r="AI315" s="213"/>
      <c r="AJ315" s="213"/>
      <c r="AK315" s="213"/>
      <c r="AL315" s="213"/>
      <c r="AM315" s="213"/>
      <c r="AN315" s="213"/>
      <c r="AO315" s="213"/>
      <c r="AP315" s="213"/>
      <c r="AQ315" s="213"/>
      <c r="AR315" s="213"/>
      <c r="AS315" s="213"/>
      <c r="AT315" s="213"/>
      <c r="AU315" s="213"/>
      <c r="AV315" s="213"/>
      <c r="AW315" s="213"/>
      <c r="AX315" s="213"/>
      <c r="AY315" s="213"/>
      <c r="AZ315" s="213"/>
      <c r="BA315" s="213"/>
      <c r="BB315" s="213"/>
      <c r="BC315" s="213"/>
      <c r="BD315" s="213"/>
      <c r="BE315" s="213"/>
      <c r="BF315" s="213"/>
      <c r="BG315" s="213"/>
      <c r="BH315" s="213"/>
      <c r="BI315" s="213"/>
      <c r="BJ315" s="213"/>
      <c r="BK315" s="213"/>
      <c r="BL315" s="213"/>
      <c r="BM315" s="213"/>
      <c r="BN315" s="215"/>
      <c r="BO315" s="213"/>
      <c r="BP315" s="213"/>
      <c r="BQ315" s="213"/>
      <c r="BR315" s="326"/>
      <c r="BS315" s="213"/>
      <c r="BT315" s="213"/>
      <c r="BU315" s="213"/>
      <c r="BV315" s="213"/>
      <c r="BW315" s="213"/>
      <c r="BX315" s="213"/>
      <c r="BY315" s="213"/>
      <c r="BZ315" s="213"/>
      <c r="CA315" s="213"/>
      <c r="CB315" s="213"/>
      <c r="CC315" s="213"/>
      <c r="CD315" s="213"/>
      <c r="CE315" s="213"/>
      <c r="CF315" s="213"/>
      <c r="CG315" s="213"/>
      <c r="CH315" s="213"/>
      <c r="CI315" s="213"/>
      <c r="CJ315" s="213"/>
      <c r="CK315" s="213"/>
      <c r="CL315" s="213"/>
      <c r="CM315" s="213"/>
      <c r="CN315" s="213"/>
      <c r="CO315" s="213"/>
      <c r="CP315" s="213"/>
      <c r="CQ315" s="213"/>
      <c r="CR315" s="213"/>
      <c r="CS315" s="213"/>
      <c r="CT315" s="213"/>
      <c r="CU315" s="213"/>
    </row>
    <row r="316" ht="15.75" customHeight="1">
      <c r="A316" s="213"/>
      <c r="B316" s="213"/>
      <c r="C316" s="213"/>
      <c r="D316" s="213"/>
      <c r="E316" s="213"/>
      <c r="F316" s="213"/>
      <c r="G316" s="213"/>
      <c r="H316" s="213"/>
      <c r="I316" s="213"/>
      <c r="J316" s="213"/>
      <c r="K316" s="213"/>
      <c r="L316" s="213"/>
      <c r="M316" s="213"/>
      <c r="N316" s="213"/>
      <c r="O316" s="213"/>
      <c r="P316" s="213"/>
      <c r="Q316" s="213"/>
      <c r="R316" s="213"/>
      <c r="S316" s="213"/>
      <c r="T316" s="213"/>
      <c r="U316" s="213"/>
      <c r="V316" s="213"/>
      <c r="W316" s="213"/>
      <c r="X316" s="213"/>
      <c r="Y316" s="213"/>
      <c r="Z316" s="213"/>
      <c r="AA316" s="213"/>
      <c r="AB316" s="213"/>
      <c r="AC316" s="213"/>
      <c r="AD316" s="213"/>
      <c r="AE316" s="213"/>
      <c r="AF316" s="213"/>
      <c r="AG316" s="213"/>
      <c r="AH316" s="213"/>
      <c r="AI316" s="213"/>
      <c r="AJ316" s="213"/>
      <c r="AK316" s="213"/>
      <c r="AL316" s="213"/>
      <c r="AM316" s="213"/>
      <c r="AN316" s="213"/>
      <c r="AO316" s="213"/>
      <c r="AP316" s="213"/>
      <c r="AQ316" s="213"/>
      <c r="AR316" s="213"/>
      <c r="AS316" s="213"/>
      <c r="AT316" s="213"/>
      <c r="AU316" s="213"/>
      <c r="AV316" s="213"/>
      <c r="AW316" s="213"/>
      <c r="AX316" s="213"/>
      <c r="AY316" s="213"/>
      <c r="AZ316" s="213"/>
      <c r="BA316" s="213"/>
      <c r="BB316" s="213"/>
      <c r="BC316" s="213"/>
      <c r="BD316" s="213"/>
      <c r="BE316" s="213"/>
      <c r="BF316" s="213"/>
      <c r="BG316" s="213"/>
      <c r="BH316" s="213"/>
      <c r="BI316" s="213"/>
      <c r="BJ316" s="213"/>
      <c r="BK316" s="213"/>
      <c r="BL316" s="213"/>
      <c r="BM316" s="213"/>
      <c r="BN316" s="215"/>
      <c r="BO316" s="213"/>
      <c r="BP316" s="213"/>
      <c r="BQ316" s="213"/>
      <c r="BR316" s="326"/>
      <c r="BS316" s="213"/>
      <c r="BT316" s="213"/>
      <c r="BU316" s="213"/>
      <c r="BV316" s="213"/>
      <c r="BW316" s="213"/>
      <c r="BX316" s="213"/>
      <c r="BY316" s="213"/>
      <c r="BZ316" s="213"/>
      <c r="CA316" s="213"/>
      <c r="CB316" s="213"/>
      <c r="CC316" s="213"/>
      <c r="CD316" s="213"/>
      <c r="CE316" s="213"/>
      <c r="CF316" s="213"/>
      <c r="CG316" s="213"/>
      <c r="CH316" s="213"/>
      <c r="CI316" s="213"/>
      <c r="CJ316" s="213"/>
      <c r="CK316" s="213"/>
      <c r="CL316" s="213"/>
      <c r="CM316" s="213"/>
      <c r="CN316" s="213"/>
      <c r="CO316" s="213"/>
      <c r="CP316" s="213"/>
      <c r="CQ316" s="213"/>
      <c r="CR316" s="213"/>
      <c r="CS316" s="213"/>
      <c r="CT316" s="213"/>
      <c r="CU316" s="213"/>
    </row>
    <row r="317" ht="15.75" customHeight="1">
      <c r="A317" s="213"/>
      <c r="B317" s="213"/>
      <c r="C317" s="213"/>
      <c r="D317" s="213"/>
      <c r="E317" s="213"/>
      <c r="F317" s="213"/>
      <c r="G317" s="213"/>
      <c r="H317" s="213"/>
      <c r="I317" s="213"/>
      <c r="J317" s="213"/>
      <c r="K317" s="213"/>
      <c r="L317" s="213"/>
      <c r="M317" s="213"/>
      <c r="N317" s="213"/>
      <c r="O317" s="213"/>
      <c r="P317" s="213"/>
      <c r="Q317" s="213"/>
      <c r="R317" s="213"/>
      <c r="S317" s="213"/>
      <c r="T317" s="213"/>
      <c r="U317" s="213"/>
      <c r="V317" s="213"/>
      <c r="W317" s="213"/>
      <c r="X317" s="213"/>
      <c r="Y317" s="213"/>
      <c r="Z317" s="213"/>
      <c r="AA317" s="213"/>
      <c r="AB317" s="213"/>
      <c r="AC317" s="213"/>
      <c r="AD317" s="213"/>
      <c r="AE317" s="213"/>
      <c r="AF317" s="213"/>
      <c r="AG317" s="213"/>
      <c r="AH317" s="213"/>
      <c r="AI317" s="213"/>
      <c r="AJ317" s="213"/>
      <c r="AK317" s="213"/>
      <c r="AL317" s="213"/>
      <c r="AM317" s="213"/>
      <c r="AN317" s="213"/>
      <c r="AO317" s="213"/>
      <c r="AP317" s="213"/>
      <c r="AQ317" s="213"/>
      <c r="AR317" s="213"/>
      <c r="AS317" s="213"/>
      <c r="AT317" s="213"/>
      <c r="AU317" s="213"/>
      <c r="AV317" s="213"/>
      <c r="AW317" s="213"/>
      <c r="AX317" s="213"/>
      <c r="AY317" s="213"/>
      <c r="AZ317" s="213"/>
      <c r="BA317" s="213"/>
      <c r="BB317" s="213"/>
      <c r="BC317" s="213"/>
      <c r="BD317" s="213"/>
      <c r="BE317" s="213"/>
      <c r="BF317" s="213"/>
      <c r="BG317" s="213"/>
      <c r="BH317" s="213"/>
      <c r="BI317" s="213"/>
      <c r="BJ317" s="213"/>
      <c r="BK317" s="213"/>
      <c r="BL317" s="213"/>
      <c r="BM317" s="213"/>
      <c r="BN317" s="215"/>
      <c r="BO317" s="213"/>
      <c r="BP317" s="213"/>
      <c r="BQ317" s="213"/>
      <c r="BR317" s="326"/>
      <c r="BS317" s="213"/>
      <c r="BT317" s="213"/>
      <c r="BU317" s="213"/>
      <c r="BV317" s="213"/>
      <c r="BW317" s="213"/>
      <c r="BX317" s="213"/>
      <c r="BY317" s="213"/>
      <c r="BZ317" s="213"/>
      <c r="CA317" s="213"/>
      <c r="CB317" s="213"/>
      <c r="CC317" s="213"/>
      <c r="CD317" s="213"/>
      <c r="CE317" s="213"/>
      <c r="CF317" s="213"/>
      <c r="CG317" s="213"/>
      <c r="CH317" s="213"/>
      <c r="CI317" s="213"/>
      <c r="CJ317" s="213"/>
      <c r="CK317" s="213"/>
      <c r="CL317" s="213"/>
      <c r="CM317" s="213"/>
      <c r="CN317" s="213"/>
      <c r="CO317" s="213"/>
      <c r="CP317" s="213"/>
      <c r="CQ317" s="213"/>
      <c r="CR317" s="213"/>
      <c r="CS317" s="213"/>
      <c r="CT317" s="213"/>
      <c r="CU317" s="213"/>
    </row>
    <row r="318" ht="15.75" customHeight="1">
      <c r="A318" s="213"/>
      <c r="B318" s="213"/>
      <c r="C318" s="213"/>
      <c r="D318" s="213"/>
      <c r="E318" s="213"/>
      <c r="F318" s="213"/>
      <c r="G318" s="213"/>
      <c r="H318" s="213"/>
      <c r="I318" s="213"/>
      <c r="J318" s="213"/>
      <c r="K318" s="213"/>
      <c r="L318" s="213"/>
      <c r="M318" s="213"/>
      <c r="N318" s="213"/>
      <c r="O318" s="213"/>
      <c r="P318" s="213"/>
      <c r="Q318" s="213"/>
      <c r="R318" s="213"/>
      <c r="S318" s="213"/>
      <c r="T318" s="213"/>
      <c r="U318" s="213"/>
      <c r="V318" s="213"/>
      <c r="W318" s="213"/>
      <c r="X318" s="213"/>
      <c r="Y318" s="213"/>
      <c r="Z318" s="213"/>
      <c r="AA318" s="213"/>
      <c r="AB318" s="213"/>
      <c r="AC318" s="213"/>
      <c r="AD318" s="213"/>
      <c r="AE318" s="213"/>
      <c r="AF318" s="213"/>
      <c r="AG318" s="213"/>
      <c r="AH318" s="213"/>
      <c r="AI318" s="213"/>
      <c r="AJ318" s="213"/>
      <c r="AK318" s="213"/>
      <c r="AL318" s="213"/>
      <c r="AM318" s="213"/>
      <c r="AN318" s="213"/>
      <c r="AO318" s="213"/>
      <c r="AP318" s="213"/>
      <c r="AQ318" s="213"/>
      <c r="AR318" s="213"/>
      <c r="AS318" s="213"/>
      <c r="AT318" s="213"/>
      <c r="AU318" s="213"/>
      <c r="AV318" s="213"/>
      <c r="AW318" s="213"/>
      <c r="AX318" s="213"/>
      <c r="AY318" s="213"/>
      <c r="AZ318" s="213"/>
      <c r="BA318" s="213"/>
      <c r="BB318" s="213"/>
      <c r="BC318" s="213"/>
      <c r="BD318" s="213"/>
      <c r="BE318" s="213"/>
      <c r="BF318" s="213"/>
      <c r="BG318" s="213"/>
      <c r="BH318" s="213"/>
      <c r="BI318" s="213"/>
      <c r="BJ318" s="213"/>
      <c r="BK318" s="213"/>
      <c r="BL318" s="213"/>
      <c r="BM318" s="213"/>
      <c r="BN318" s="215"/>
      <c r="BO318" s="213"/>
      <c r="BP318" s="213"/>
      <c r="BQ318" s="213"/>
      <c r="BR318" s="326"/>
      <c r="BS318" s="213"/>
      <c r="BT318" s="213"/>
      <c r="BU318" s="213"/>
      <c r="BV318" s="213"/>
      <c r="BW318" s="213"/>
      <c r="BX318" s="213"/>
      <c r="BY318" s="213"/>
      <c r="BZ318" s="213"/>
      <c r="CA318" s="213"/>
      <c r="CB318" s="213"/>
      <c r="CC318" s="213"/>
      <c r="CD318" s="213"/>
      <c r="CE318" s="213"/>
      <c r="CF318" s="213"/>
      <c r="CG318" s="213"/>
      <c r="CH318" s="213"/>
      <c r="CI318" s="213"/>
      <c r="CJ318" s="213"/>
      <c r="CK318" s="213"/>
      <c r="CL318" s="213"/>
      <c r="CM318" s="213"/>
      <c r="CN318" s="213"/>
      <c r="CO318" s="213"/>
      <c r="CP318" s="213"/>
      <c r="CQ318" s="213"/>
      <c r="CR318" s="213"/>
      <c r="CS318" s="213"/>
      <c r="CT318" s="213"/>
      <c r="CU318" s="213"/>
    </row>
    <row r="319" ht="15.75" customHeight="1">
      <c r="A319" s="213"/>
      <c r="B319" s="213"/>
      <c r="C319" s="213"/>
      <c r="D319" s="213"/>
      <c r="E319" s="213"/>
      <c r="F319" s="213"/>
      <c r="G319" s="213"/>
      <c r="H319" s="213"/>
      <c r="I319" s="213"/>
      <c r="J319" s="213"/>
      <c r="K319" s="213"/>
      <c r="L319" s="213"/>
      <c r="M319" s="213"/>
      <c r="N319" s="213"/>
      <c r="O319" s="213"/>
      <c r="P319" s="213"/>
      <c r="Q319" s="213"/>
      <c r="R319" s="213"/>
      <c r="S319" s="213"/>
      <c r="T319" s="213"/>
      <c r="U319" s="213"/>
      <c r="V319" s="213"/>
      <c r="W319" s="213"/>
      <c r="X319" s="213"/>
      <c r="Y319" s="213"/>
      <c r="Z319" s="213"/>
      <c r="AA319" s="213"/>
      <c r="AB319" s="213"/>
      <c r="AC319" s="213"/>
      <c r="AD319" s="213"/>
      <c r="AE319" s="213"/>
      <c r="AF319" s="213"/>
      <c r="AG319" s="213"/>
      <c r="AH319" s="213"/>
      <c r="AI319" s="213"/>
      <c r="AJ319" s="213"/>
      <c r="AK319" s="213"/>
      <c r="AL319" s="213"/>
      <c r="AM319" s="213"/>
      <c r="AN319" s="213"/>
      <c r="AO319" s="213"/>
      <c r="AP319" s="213"/>
      <c r="AQ319" s="213"/>
      <c r="AR319" s="213"/>
      <c r="AS319" s="213"/>
      <c r="AT319" s="213"/>
      <c r="AU319" s="213"/>
      <c r="AV319" s="213"/>
      <c r="AW319" s="213"/>
      <c r="AX319" s="213"/>
      <c r="AY319" s="213"/>
      <c r="AZ319" s="213"/>
      <c r="BA319" s="213"/>
      <c r="BB319" s="213"/>
      <c r="BC319" s="213"/>
      <c r="BD319" s="213"/>
      <c r="BE319" s="213"/>
      <c r="BF319" s="213"/>
      <c r="BG319" s="213"/>
      <c r="BH319" s="213"/>
      <c r="BI319" s="213"/>
      <c r="BJ319" s="213"/>
      <c r="BK319" s="213"/>
      <c r="BL319" s="213"/>
      <c r="BM319" s="213"/>
      <c r="BN319" s="215"/>
      <c r="BO319" s="213"/>
      <c r="BP319" s="213"/>
      <c r="BQ319" s="213"/>
      <c r="BR319" s="326"/>
      <c r="BS319" s="213"/>
      <c r="BT319" s="213"/>
      <c r="BU319" s="213"/>
      <c r="BV319" s="213"/>
      <c r="BW319" s="213"/>
      <c r="BX319" s="213"/>
      <c r="BY319" s="213"/>
      <c r="BZ319" s="213"/>
      <c r="CA319" s="213"/>
      <c r="CB319" s="213"/>
      <c r="CC319" s="213"/>
      <c r="CD319" s="213"/>
      <c r="CE319" s="213"/>
      <c r="CF319" s="213"/>
      <c r="CG319" s="213"/>
      <c r="CH319" s="213"/>
      <c r="CI319" s="213"/>
      <c r="CJ319" s="213"/>
      <c r="CK319" s="213"/>
      <c r="CL319" s="213"/>
      <c r="CM319" s="213"/>
      <c r="CN319" s="213"/>
      <c r="CO319" s="213"/>
      <c r="CP319" s="213"/>
      <c r="CQ319" s="213"/>
      <c r="CR319" s="213"/>
      <c r="CS319" s="213"/>
      <c r="CT319" s="213"/>
      <c r="CU319" s="213"/>
    </row>
    <row r="320" ht="15.75" customHeight="1">
      <c r="A320" s="213"/>
      <c r="B320" s="213"/>
      <c r="C320" s="213"/>
      <c r="D320" s="213"/>
      <c r="E320" s="213"/>
      <c r="F320" s="213"/>
      <c r="G320" s="213"/>
      <c r="H320" s="213"/>
      <c r="I320" s="213"/>
      <c r="J320" s="213"/>
      <c r="K320" s="213"/>
      <c r="L320" s="213"/>
      <c r="M320" s="213"/>
      <c r="N320" s="213"/>
      <c r="O320" s="213"/>
      <c r="P320" s="213"/>
      <c r="Q320" s="213"/>
      <c r="R320" s="213"/>
      <c r="S320" s="213"/>
      <c r="T320" s="213"/>
      <c r="U320" s="213"/>
      <c r="V320" s="213"/>
      <c r="W320" s="213"/>
      <c r="X320" s="213"/>
      <c r="Y320" s="213"/>
      <c r="Z320" s="213"/>
      <c r="AA320" s="213"/>
      <c r="AB320" s="213"/>
      <c r="AC320" s="213"/>
      <c r="AD320" s="213"/>
      <c r="AE320" s="213"/>
      <c r="AF320" s="213"/>
      <c r="AG320" s="213"/>
      <c r="AH320" s="213"/>
      <c r="AI320" s="213"/>
      <c r="AJ320" s="213"/>
      <c r="AK320" s="213"/>
      <c r="AL320" s="213"/>
      <c r="AM320" s="213"/>
      <c r="AN320" s="213"/>
      <c r="AO320" s="213"/>
      <c r="AP320" s="213"/>
      <c r="AQ320" s="213"/>
      <c r="AR320" s="213"/>
      <c r="AS320" s="213"/>
      <c r="AT320" s="213"/>
      <c r="AU320" s="213"/>
      <c r="AV320" s="213"/>
      <c r="AW320" s="213"/>
      <c r="AX320" s="213"/>
      <c r="AY320" s="213"/>
      <c r="AZ320" s="213"/>
      <c r="BA320" s="213"/>
      <c r="BB320" s="213"/>
      <c r="BC320" s="213"/>
      <c r="BD320" s="213"/>
      <c r="BE320" s="213"/>
      <c r="BF320" s="213"/>
      <c r="BG320" s="213"/>
      <c r="BH320" s="213"/>
      <c r="BI320" s="213"/>
      <c r="BJ320" s="213"/>
      <c r="BK320" s="213"/>
      <c r="BL320" s="213"/>
      <c r="BM320" s="213"/>
      <c r="BN320" s="215"/>
      <c r="BO320" s="213"/>
      <c r="BP320" s="213"/>
      <c r="BQ320" s="213"/>
      <c r="BR320" s="326"/>
      <c r="BS320" s="213"/>
      <c r="BT320" s="213"/>
      <c r="BU320" s="213"/>
      <c r="BV320" s="213"/>
      <c r="BW320" s="213"/>
      <c r="BX320" s="213"/>
      <c r="BY320" s="213"/>
      <c r="BZ320" s="213"/>
      <c r="CA320" s="213"/>
      <c r="CB320" s="213"/>
      <c r="CC320" s="213"/>
      <c r="CD320" s="213"/>
      <c r="CE320" s="213"/>
      <c r="CF320" s="213"/>
      <c r="CG320" s="213"/>
      <c r="CH320" s="213"/>
      <c r="CI320" s="213"/>
      <c r="CJ320" s="213"/>
      <c r="CK320" s="213"/>
      <c r="CL320" s="213"/>
      <c r="CM320" s="213"/>
      <c r="CN320" s="213"/>
      <c r="CO320" s="213"/>
      <c r="CP320" s="213"/>
      <c r="CQ320" s="213"/>
      <c r="CR320" s="213"/>
      <c r="CS320" s="213"/>
      <c r="CT320" s="213"/>
      <c r="CU320" s="213"/>
    </row>
    <row r="321" ht="15.75" customHeight="1">
      <c r="A321" s="213"/>
      <c r="B321" s="213"/>
      <c r="C321" s="213"/>
      <c r="D321" s="213"/>
      <c r="E321" s="213"/>
      <c r="F321" s="213"/>
      <c r="G321" s="213"/>
      <c r="H321" s="213"/>
      <c r="I321" s="213"/>
      <c r="J321" s="213"/>
      <c r="K321" s="213"/>
      <c r="L321" s="213"/>
      <c r="M321" s="213"/>
      <c r="N321" s="213"/>
      <c r="O321" s="213"/>
      <c r="P321" s="213"/>
      <c r="Q321" s="213"/>
      <c r="R321" s="213"/>
      <c r="S321" s="213"/>
      <c r="T321" s="213"/>
      <c r="U321" s="213"/>
      <c r="V321" s="213"/>
      <c r="W321" s="213"/>
      <c r="X321" s="213"/>
      <c r="Y321" s="213"/>
      <c r="Z321" s="213"/>
      <c r="AA321" s="213"/>
      <c r="AB321" s="213"/>
      <c r="AC321" s="213"/>
      <c r="AD321" s="213"/>
      <c r="AE321" s="213"/>
      <c r="AF321" s="213"/>
      <c r="AG321" s="213"/>
      <c r="AH321" s="213"/>
      <c r="AI321" s="213"/>
      <c r="AJ321" s="213"/>
      <c r="AK321" s="213"/>
      <c r="AL321" s="213"/>
      <c r="AM321" s="213"/>
      <c r="AN321" s="213"/>
      <c r="AO321" s="213"/>
      <c r="AP321" s="213"/>
      <c r="AQ321" s="213"/>
      <c r="AR321" s="213"/>
      <c r="AS321" s="213"/>
      <c r="AT321" s="213"/>
      <c r="AU321" s="213"/>
      <c r="AV321" s="213"/>
      <c r="AW321" s="213"/>
      <c r="AX321" s="213"/>
      <c r="AY321" s="213"/>
      <c r="AZ321" s="213"/>
      <c r="BA321" s="213"/>
      <c r="BB321" s="213"/>
      <c r="BC321" s="213"/>
      <c r="BD321" s="213"/>
      <c r="BE321" s="213"/>
      <c r="BF321" s="213"/>
      <c r="BG321" s="213"/>
      <c r="BH321" s="213"/>
      <c r="BI321" s="213"/>
      <c r="BJ321" s="213"/>
      <c r="BK321" s="213"/>
      <c r="BL321" s="213"/>
      <c r="BM321" s="213"/>
      <c r="BN321" s="215"/>
      <c r="BO321" s="213"/>
      <c r="BP321" s="213"/>
      <c r="BQ321" s="213"/>
      <c r="BR321" s="326"/>
      <c r="BS321" s="213"/>
      <c r="BT321" s="213"/>
      <c r="BU321" s="213"/>
      <c r="BV321" s="213"/>
      <c r="BW321" s="213"/>
      <c r="BX321" s="213"/>
      <c r="BY321" s="213"/>
      <c r="BZ321" s="213"/>
      <c r="CA321" s="213"/>
      <c r="CB321" s="213"/>
      <c r="CC321" s="213"/>
      <c r="CD321" s="213"/>
      <c r="CE321" s="213"/>
      <c r="CF321" s="213"/>
      <c r="CG321" s="213"/>
      <c r="CH321" s="213"/>
      <c r="CI321" s="213"/>
      <c r="CJ321" s="213"/>
      <c r="CK321" s="213"/>
      <c r="CL321" s="213"/>
      <c r="CM321" s="213"/>
      <c r="CN321" s="213"/>
      <c r="CO321" s="213"/>
      <c r="CP321" s="213"/>
      <c r="CQ321" s="213"/>
      <c r="CR321" s="213"/>
      <c r="CS321" s="213"/>
      <c r="CT321" s="213"/>
      <c r="CU321" s="213"/>
    </row>
    <row r="322" ht="15.75" customHeight="1">
      <c r="A322" s="213"/>
      <c r="B322" s="213"/>
      <c r="C322" s="213"/>
      <c r="D322" s="213"/>
      <c r="E322" s="213"/>
      <c r="F322" s="213"/>
      <c r="G322" s="213"/>
      <c r="H322" s="213"/>
      <c r="I322" s="213"/>
      <c r="J322" s="213"/>
      <c r="K322" s="213"/>
      <c r="L322" s="213"/>
      <c r="M322" s="213"/>
      <c r="N322" s="213"/>
      <c r="O322" s="213"/>
      <c r="P322" s="213"/>
      <c r="Q322" s="213"/>
      <c r="R322" s="213"/>
      <c r="S322" s="213"/>
      <c r="T322" s="213"/>
      <c r="U322" s="213"/>
      <c r="V322" s="213"/>
      <c r="W322" s="213"/>
      <c r="X322" s="213"/>
      <c r="Y322" s="213"/>
      <c r="Z322" s="213"/>
      <c r="AA322" s="213"/>
      <c r="AB322" s="213"/>
      <c r="AC322" s="213"/>
      <c r="AD322" s="213"/>
      <c r="AE322" s="213"/>
      <c r="AF322" s="213"/>
      <c r="AG322" s="213"/>
      <c r="AH322" s="213"/>
      <c r="AI322" s="213"/>
      <c r="AJ322" s="213"/>
      <c r="AK322" s="213"/>
      <c r="AL322" s="213"/>
      <c r="AM322" s="213"/>
      <c r="AN322" s="213"/>
      <c r="AO322" s="213"/>
      <c r="AP322" s="213"/>
      <c r="AQ322" s="213"/>
      <c r="AR322" s="213"/>
      <c r="AS322" s="213"/>
      <c r="AT322" s="213"/>
      <c r="AU322" s="213"/>
      <c r="AV322" s="213"/>
      <c r="AW322" s="213"/>
      <c r="AX322" s="213"/>
      <c r="AY322" s="213"/>
      <c r="AZ322" s="213"/>
      <c r="BA322" s="213"/>
      <c r="BB322" s="213"/>
      <c r="BC322" s="213"/>
      <c r="BD322" s="213"/>
      <c r="BE322" s="213"/>
      <c r="BF322" s="213"/>
      <c r="BG322" s="213"/>
      <c r="BH322" s="213"/>
      <c r="BI322" s="213"/>
      <c r="BJ322" s="213"/>
      <c r="BK322" s="213"/>
      <c r="BL322" s="213"/>
      <c r="BM322" s="213"/>
      <c r="BN322" s="215"/>
      <c r="BO322" s="213"/>
      <c r="BP322" s="213"/>
      <c r="BQ322" s="213"/>
      <c r="BR322" s="326"/>
      <c r="BS322" s="213"/>
      <c r="BT322" s="213"/>
      <c r="BU322" s="213"/>
      <c r="BV322" s="213"/>
      <c r="BW322" s="213"/>
      <c r="BX322" s="213"/>
      <c r="BY322" s="213"/>
      <c r="BZ322" s="213"/>
      <c r="CA322" s="213"/>
      <c r="CB322" s="213"/>
      <c r="CC322" s="213"/>
      <c r="CD322" s="213"/>
      <c r="CE322" s="213"/>
      <c r="CF322" s="213"/>
      <c r="CG322" s="213"/>
      <c r="CH322" s="213"/>
      <c r="CI322" s="213"/>
      <c r="CJ322" s="213"/>
      <c r="CK322" s="213"/>
      <c r="CL322" s="213"/>
      <c r="CM322" s="213"/>
      <c r="CN322" s="213"/>
      <c r="CO322" s="213"/>
      <c r="CP322" s="213"/>
      <c r="CQ322" s="213"/>
      <c r="CR322" s="213"/>
      <c r="CS322" s="213"/>
      <c r="CT322" s="213"/>
      <c r="CU322" s="213"/>
    </row>
    <row r="323" ht="15.75" customHeight="1">
      <c r="A323" s="213"/>
      <c r="B323" s="213"/>
      <c r="C323" s="213"/>
      <c r="D323" s="213"/>
      <c r="E323" s="213"/>
      <c r="F323" s="213"/>
      <c r="G323" s="213"/>
      <c r="H323" s="213"/>
      <c r="I323" s="213"/>
      <c r="J323" s="213"/>
      <c r="K323" s="213"/>
      <c r="L323" s="213"/>
      <c r="M323" s="213"/>
      <c r="N323" s="213"/>
      <c r="O323" s="213"/>
      <c r="P323" s="213"/>
      <c r="Q323" s="213"/>
      <c r="R323" s="213"/>
      <c r="S323" s="213"/>
      <c r="T323" s="213"/>
      <c r="U323" s="213"/>
      <c r="V323" s="213"/>
      <c r="W323" s="213"/>
      <c r="X323" s="213"/>
      <c r="Y323" s="213"/>
      <c r="Z323" s="213"/>
      <c r="AA323" s="213"/>
      <c r="AB323" s="213"/>
      <c r="AC323" s="213"/>
      <c r="AD323" s="213"/>
      <c r="AE323" s="213"/>
      <c r="AF323" s="213"/>
      <c r="AG323" s="213"/>
      <c r="AH323" s="213"/>
      <c r="AI323" s="213"/>
      <c r="AJ323" s="213"/>
      <c r="AK323" s="213"/>
      <c r="AL323" s="213"/>
      <c r="AM323" s="213"/>
      <c r="AN323" s="213"/>
      <c r="AO323" s="213"/>
      <c r="AP323" s="213"/>
      <c r="AQ323" s="213"/>
      <c r="AR323" s="213"/>
      <c r="AS323" s="213"/>
      <c r="AT323" s="213"/>
      <c r="AU323" s="213"/>
      <c r="AV323" s="213"/>
      <c r="AW323" s="213"/>
      <c r="AX323" s="213"/>
      <c r="AY323" s="213"/>
      <c r="AZ323" s="213"/>
      <c r="BA323" s="213"/>
      <c r="BB323" s="213"/>
      <c r="BC323" s="213"/>
      <c r="BD323" s="213"/>
      <c r="BE323" s="213"/>
      <c r="BF323" s="213"/>
      <c r="BG323" s="213"/>
      <c r="BH323" s="213"/>
      <c r="BI323" s="213"/>
      <c r="BJ323" s="213"/>
      <c r="BK323" s="213"/>
      <c r="BL323" s="213"/>
      <c r="BM323" s="213"/>
      <c r="BN323" s="215"/>
      <c r="BO323" s="213"/>
      <c r="BP323" s="213"/>
      <c r="BQ323" s="213"/>
      <c r="BR323" s="326"/>
      <c r="BS323" s="213"/>
      <c r="BT323" s="213"/>
      <c r="BU323" s="213"/>
      <c r="BV323" s="213"/>
      <c r="BW323" s="213"/>
      <c r="BX323" s="213"/>
      <c r="BY323" s="213"/>
      <c r="BZ323" s="213"/>
      <c r="CA323" s="213"/>
      <c r="CB323" s="213"/>
      <c r="CC323" s="213"/>
      <c r="CD323" s="213"/>
      <c r="CE323" s="213"/>
      <c r="CF323" s="213"/>
      <c r="CG323" s="213"/>
      <c r="CH323" s="213"/>
      <c r="CI323" s="213"/>
      <c r="CJ323" s="213"/>
      <c r="CK323" s="213"/>
      <c r="CL323" s="213"/>
      <c r="CM323" s="213"/>
      <c r="CN323" s="213"/>
      <c r="CO323" s="213"/>
      <c r="CP323" s="213"/>
      <c r="CQ323" s="213"/>
      <c r="CR323" s="213"/>
      <c r="CS323" s="213"/>
      <c r="CT323" s="213"/>
      <c r="CU323" s="213"/>
    </row>
    <row r="324" ht="15.75" customHeight="1">
      <c r="A324" s="213"/>
      <c r="B324" s="213"/>
      <c r="C324" s="213"/>
      <c r="D324" s="213"/>
      <c r="E324" s="213"/>
      <c r="F324" s="213"/>
      <c r="G324" s="213"/>
      <c r="H324" s="213"/>
      <c r="I324" s="213"/>
      <c r="J324" s="213"/>
      <c r="K324" s="213"/>
      <c r="L324" s="213"/>
      <c r="M324" s="213"/>
      <c r="N324" s="213"/>
      <c r="O324" s="213"/>
      <c r="P324" s="213"/>
      <c r="Q324" s="213"/>
      <c r="R324" s="213"/>
      <c r="S324" s="213"/>
      <c r="T324" s="213"/>
      <c r="U324" s="213"/>
      <c r="V324" s="213"/>
      <c r="W324" s="213"/>
      <c r="X324" s="213"/>
      <c r="Y324" s="213"/>
      <c r="Z324" s="213"/>
      <c r="AA324" s="213"/>
      <c r="AB324" s="213"/>
      <c r="AC324" s="213"/>
      <c r="AD324" s="213"/>
      <c r="AE324" s="213"/>
      <c r="AF324" s="213"/>
      <c r="AG324" s="213"/>
      <c r="AH324" s="213"/>
      <c r="AI324" s="213"/>
      <c r="AJ324" s="213"/>
      <c r="AK324" s="213"/>
      <c r="AL324" s="213"/>
      <c r="AM324" s="213"/>
      <c r="AN324" s="213"/>
      <c r="AO324" s="213"/>
      <c r="AP324" s="213"/>
      <c r="AQ324" s="213"/>
      <c r="AR324" s="213"/>
      <c r="AS324" s="213"/>
      <c r="AT324" s="213"/>
      <c r="AU324" s="213"/>
      <c r="AV324" s="213"/>
      <c r="AW324" s="213"/>
      <c r="AX324" s="213"/>
      <c r="AY324" s="213"/>
      <c r="AZ324" s="213"/>
      <c r="BA324" s="213"/>
      <c r="BB324" s="213"/>
      <c r="BC324" s="213"/>
      <c r="BD324" s="213"/>
      <c r="BE324" s="213"/>
      <c r="BF324" s="213"/>
      <c r="BG324" s="213"/>
      <c r="BH324" s="213"/>
      <c r="BI324" s="213"/>
      <c r="BJ324" s="213"/>
      <c r="BK324" s="213"/>
      <c r="BL324" s="213"/>
      <c r="BM324" s="213"/>
      <c r="BN324" s="215"/>
      <c r="BO324" s="213"/>
      <c r="BP324" s="213"/>
      <c r="BQ324" s="213"/>
      <c r="BR324" s="326"/>
      <c r="BS324" s="213"/>
      <c r="BT324" s="213"/>
      <c r="BU324" s="213"/>
      <c r="BV324" s="213"/>
      <c r="BW324" s="213"/>
      <c r="BX324" s="213"/>
      <c r="BY324" s="213"/>
      <c r="BZ324" s="213"/>
      <c r="CA324" s="213"/>
      <c r="CB324" s="213"/>
      <c r="CC324" s="213"/>
      <c r="CD324" s="213"/>
      <c r="CE324" s="213"/>
      <c r="CF324" s="213"/>
      <c r="CG324" s="213"/>
      <c r="CH324" s="213"/>
      <c r="CI324" s="213"/>
      <c r="CJ324" s="213"/>
      <c r="CK324" s="213"/>
      <c r="CL324" s="213"/>
      <c r="CM324" s="213"/>
      <c r="CN324" s="213"/>
      <c r="CO324" s="213"/>
      <c r="CP324" s="213"/>
      <c r="CQ324" s="213"/>
      <c r="CR324" s="213"/>
      <c r="CS324" s="213"/>
      <c r="CT324" s="213"/>
      <c r="CU324" s="213"/>
    </row>
    <row r="325" ht="15.75" customHeight="1">
      <c r="A325" s="213"/>
      <c r="B325" s="213"/>
      <c r="C325" s="213"/>
      <c r="D325" s="213"/>
      <c r="E325" s="213"/>
      <c r="F325" s="213"/>
      <c r="G325" s="213"/>
      <c r="H325" s="213"/>
      <c r="I325" s="213"/>
      <c r="J325" s="213"/>
      <c r="K325" s="213"/>
      <c r="L325" s="213"/>
      <c r="M325" s="213"/>
      <c r="N325" s="213"/>
      <c r="O325" s="213"/>
      <c r="P325" s="213"/>
      <c r="Q325" s="213"/>
      <c r="R325" s="213"/>
      <c r="S325" s="213"/>
      <c r="T325" s="213"/>
      <c r="U325" s="213"/>
      <c r="V325" s="213"/>
      <c r="W325" s="213"/>
      <c r="X325" s="213"/>
      <c r="Y325" s="213"/>
      <c r="Z325" s="213"/>
      <c r="AA325" s="213"/>
      <c r="AB325" s="213"/>
      <c r="AC325" s="213"/>
      <c r="AD325" s="213"/>
      <c r="AE325" s="213"/>
      <c r="AF325" s="213"/>
      <c r="AG325" s="213"/>
      <c r="AH325" s="213"/>
      <c r="AI325" s="213"/>
      <c r="AJ325" s="213"/>
      <c r="AK325" s="213"/>
      <c r="AL325" s="213"/>
      <c r="AM325" s="213"/>
      <c r="AN325" s="213"/>
      <c r="AO325" s="213"/>
      <c r="AP325" s="213"/>
      <c r="AQ325" s="213"/>
      <c r="AR325" s="213"/>
      <c r="AS325" s="213"/>
      <c r="AT325" s="213"/>
      <c r="AU325" s="213"/>
      <c r="AV325" s="213"/>
      <c r="AW325" s="213"/>
      <c r="AX325" s="213"/>
      <c r="AY325" s="213"/>
      <c r="AZ325" s="213"/>
      <c r="BA325" s="213"/>
      <c r="BB325" s="213"/>
      <c r="BC325" s="213"/>
      <c r="BD325" s="213"/>
      <c r="BE325" s="213"/>
      <c r="BF325" s="213"/>
      <c r="BG325" s="213"/>
      <c r="BH325" s="213"/>
      <c r="BI325" s="213"/>
      <c r="BJ325" s="213"/>
      <c r="BK325" s="213"/>
      <c r="BL325" s="213"/>
      <c r="BM325" s="213"/>
      <c r="BN325" s="215"/>
      <c r="BO325" s="213"/>
      <c r="BP325" s="213"/>
      <c r="BQ325" s="213"/>
      <c r="BR325" s="326"/>
      <c r="BS325" s="213"/>
      <c r="BT325" s="213"/>
      <c r="BU325" s="213"/>
      <c r="BV325" s="213"/>
      <c r="BW325" s="213"/>
      <c r="BX325" s="213"/>
      <c r="BY325" s="213"/>
      <c r="BZ325" s="213"/>
      <c r="CA325" s="213"/>
      <c r="CB325" s="213"/>
      <c r="CC325" s="213"/>
      <c r="CD325" s="213"/>
      <c r="CE325" s="213"/>
      <c r="CF325" s="213"/>
      <c r="CG325" s="213"/>
      <c r="CH325" s="213"/>
      <c r="CI325" s="213"/>
      <c r="CJ325" s="213"/>
      <c r="CK325" s="213"/>
      <c r="CL325" s="213"/>
      <c r="CM325" s="213"/>
      <c r="CN325" s="213"/>
      <c r="CO325" s="213"/>
      <c r="CP325" s="213"/>
      <c r="CQ325" s="213"/>
      <c r="CR325" s="213"/>
      <c r="CS325" s="213"/>
      <c r="CT325" s="213"/>
      <c r="CU325" s="213"/>
    </row>
    <row r="326" ht="15.75" customHeight="1">
      <c r="A326" s="213"/>
      <c r="B326" s="213"/>
      <c r="C326" s="213"/>
      <c r="D326" s="213"/>
      <c r="E326" s="213"/>
      <c r="F326" s="213"/>
      <c r="G326" s="213"/>
      <c r="H326" s="213"/>
      <c r="I326" s="213"/>
      <c r="J326" s="213"/>
      <c r="K326" s="213"/>
      <c r="L326" s="213"/>
      <c r="M326" s="213"/>
      <c r="N326" s="213"/>
      <c r="O326" s="213"/>
      <c r="P326" s="213"/>
      <c r="Q326" s="213"/>
      <c r="R326" s="213"/>
      <c r="S326" s="213"/>
      <c r="T326" s="213"/>
      <c r="U326" s="213"/>
      <c r="V326" s="213"/>
      <c r="W326" s="213"/>
      <c r="X326" s="213"/>
      <c r="Y326" s="213"/>
      <c r="Z326" s="213"/>
      <c r="AA326" s="213"/>
      <c r="AB326" s="213"/>
      <c r="AC326" s="213"/>
      <c r="AD326" s="213"/>
      <c r="AE326" s="213"/>
      <c r="AF326" s="213"/>
      <c r="AG326" s="213"/>
      <c r="AH326" s="213"/>
      <c r="AI326" s="213"/>
      <c r="AJ326" s="213"/>
      <c r="AK326" s="213"/>
      <c r="AL326" s="213"/>
      <c r="AM326" s="213"/>
      <c r="AN326" s="213"/>
      <c r="AO326" s="213"/>
      <c r="AP326" s="213"/>
      <c r="AQ326" s="213"/>
      <c r="AR326" s="213"/>
      <c r="AS326" s="213"/>
      <c r="AT326" s="213"/>
      <c r="AU326" s="213"/>
      <c r="AV326" s="213"/>
      <c r="AW326" s="213"/>
      <c r="AX326" s="213"/>
      <c r="AY326" s="213"/>
      <c r="AZ326" s="213"/>
      <c r="BA326" s="213"/>
      <c r="BB326" s="213"/>
      <c r="BC326" s="213"/>
      <c r="BD326" s="213"/>
      <c r="BE326" s="213"/>
      <c r="BF326" s="213"/>
      <c r="BG326" s="213"/>
      <c r="BH326" s="213"/>
      <c r="BI326" s="213"/>
      <c r="BJ326" s="213"/>
      <c r="BK326" s="213"/>
      <c r="BL326" s="213"/>
      <c r="BM326" s="213"/>
      <c r="BN326" s="215"/>
      <c r="BO326" s="213"/>
      <c r="BP326" s="213"/>
      <c r="BQ326" s="213"/>
      <c r="BR326" s="326"/>
      <c r="BS326" s="213"/>
      <c r="BT326" s="213"/>
      <c r="BU326" s="213"/>
      <c r="BV326" s="213"/>
      <c r="BW326" s="213"/>
      <c r="BX326" s="213"/>
      <c r="BY326" s="213"/>
      <c r="BZ326" s="213"/>
      <c r="CA326" s="213"/>
      <c r="CB326" s="213"/>
      <c r="CC326" s="213"/>
      <c r="CD326" s="213"/>
      <c r="CE326" s="213"/>
      <c r="CF326" s="213"/>
      <c r="CG326" s="213"/>
      <c r="CH326" s="213"/>
      <c r="CI326" s="213"/>
      <c r="CJ326" s="213"/>
      <c r="CK326" s="213"/>
      <c r="CL326" s="213"/>
      <c r="CM326" s="213"/>
      <c r="CN326" s="213"/>
      <c r="CO326" s="213"/>
      <c r="CP326" s="213"/>
      <c r="CQ326" s="213"/>
      <c r="CR326" s="213"/>
      <c r="CS326" s="213"/>
      <c r="CT326" s="213"/>
      <c r="CU326" s="213"/>
    </row>
    <row r="327" ht="15.75" customHeight="1">
      <c r="A327" s="213"/>
      <c r="B327" s="213"/>
      <c r="C327" s="213"/>
      <c r="D327" s="213"/>
      <c r="E327" s="213"/>
      <c r="F327" s="213"/>
      <c r="G327" s="213"/>
      <c r="H327" s="213"/>
      <c r="I327" s="213"/>
      <c r="J327" s="213"/>
      <c r="K327" s="213"/>
      <c r="L327" s="213"/>
      <c r="M327" s="213"/>
      <c r="N327" s="213"/>
      <c r="O327" s="213"/>
      <c r="P327" s="213"/>
      <c r="Q327" s="213"/>
      <c r="R327" s="213"/>
      <c r="S327" s="213"/>
      <c r="T327" s="213"/>
      <c r="U327" s="213"/>
      <c r="V327" s="213"/>
      <c r="W327" s="213"/>
      <c r="X327" s="213"/>
      <c r="Y327" s="213"/>
      <c r="Z327" s="213"/>
      <c r="AA327" s="213"/>
      <c r="AB327" s="213"/>
      <c r="AC327" s="213"/>
      <c r="AD327" s="213"/>
      <c r="AE327" s="213"/>
      <c r="AF327" s="213"/>
      <c r="AG327" s="213"/>
      <c r="AH327" s="213"/>
      <c r="AI327" s="213"/>
      <c r="AJ327" s="213"/>
      <c r="AK327" s="213"/>
      <c r="AL327" s="213"/>
      <c r="AM327" s="213"/>
      <c r="AN327" s="213"/>
      <c r="AO327" s="213"/>
      <c r="AP327" s="213"/>
      <c r="AQ327" s="213"/>
      <c r="AR327" s="213"/>
      <c r="AS327" s="213"/>
      <c r="AT327" s="213"/>
      <c r="AU327" s="213"/>
      <c r="AV327" s="213"/>
      <c r="AW327" s="213"/>
      <c r="AX327" s="213"/>
      <c r="AY327" s="213"/>
      <c r="AZ327" s="213"/>
      <c r="BA327" s="213"/>
      <c r="BB327" s="213"/>
      <c r="BC327" s="213"/>
      <c r="BD327" s="213"/>
      <c r="BE327" s="213"/>
      <c r="BF327" s="213"/>
      <c r="BG327" s="213"/>
      <c r="BH327" s="213"/>
      <c r="BI327" s="213"/>
      <c r="BJ327" s="213"/>
      <c r="BK327" s="213"/>
      <c r="BL327" s="213"/>
      <c r="BM327" s="213"/>
      <c r="BN327" s="215"/>
      <c r="BO327" s="213"/>
      <c r="BP327" s="213"/>
      <c r="BQ327" s="213"/>
      <c r="BR327" s="326"/>
      <c r="BS327" s="213"/>
      <c r="BT327" s="213"/>
      <c r="BU327" s="213"/>
      <c r="BV327" s="213"/>
      <c r="BW327" s="213"/>
      <c r="BX327" s="213"/>
      <c r="BY327" s="213"/>
      <c r="BZ327" s="213"/>
      <c r="CA327" s="213"/>
      <c r="CB327" s="213"/>
      <c r="CC327" s="213"/>
      <c r="CD327" s="213"/>
      <c r="CE327" s="213"/>
      <c r="CF327" s="213"/>
      <c r="CG327" s="213"/>
      <c r="CH327" s="213"/>
      <c r="CI327" s="213"/>
      <c r="CJ327" s="213"/>
      <c r="CK327" s="213"/>
      <c r="CL327" s="213"/>
      <c r="CM327" s="213"/>
      <c r="CN327" s="213"/>
      <c r="CO327" s="213"/>
      <c r="CP327" s="213"/>
      <c r="CQ327" s="213"/>
      <c r="CR327" s="213"/>
      <c r="CS327" s="213"/>
      <c r="CT327" s="213"/>
      <c r="CU327" s="213"/>
    </row>
    <row r="328" ht="15.75" customHeight="1">
      <c r="A328" s="213"/>
      <c r="B328" s="213"/>
      <c r="C328" s="213"/>
      <c r="D328" s="213"/>
      <c r="E328" s="213"/>
      <c r="F328" s="213"/>
      <c r="G328" s="213"/>
      <c r="H328" s="213"/>
      <c r="I328" s="213"/>
      <c r="J328" s="213"/>
      <c r="K328" s="213"/>
      <c r="L328" s="213"/>
      <c r="M328" s="213"/>
      <c r="N328" s="213"/>
      <c r="O328" s="213"/>
      <c r="P328" s="213"/>
      <c r="Q328" s="213"/>
      <c r="R328" s="213"/>
      <c r="S328" s="213"/>
      <c r="T328" s="213"/>
      <c r="U328" s="213"/>
      <c r="V328" s="213"/>
      <c r="W328" s="213"/>
      <c r="X328" s="213"/>
      <c r="Y328" s="213"/>
      <c r="Z328" s="213"/>
      <c r="AA328" s="213"/>
      <c r="AB328" s="213"/>
      <c r="AC328" s="213"/>
      <c r="AD328" s="213"/>
      <c r="AE328" s="213"/>
      <c r="AF328" s="213"/>
      <c r="AG328" s="213"/>
      <c r="AH328" s="213"/>
      <c r="AI328" s="213"/>
      <c r="AJ328" s="213"/>
      <c r="AK328" s="213"/>
      <c r="AL328" s="213"/>
      <c r="AM328" s="213"/>
      <c r="AN328" s="213"/>
      <c r="AO328" s="213"/>
      <c r="AP328" s="213"/>
      <c r="AQ328" s="213"/>
      <c r="AR328" s="213"/>
      <c r="AS328" s="213"/>
      <c r="AT328" s="213"/>
      <c r="AU328" s="213"/>
      <c r="AV328" s="213"/>
      <c r="AW328" s="213"/>
      <c r="AX328" s="213"/>
      <c r="AY328" s="213"/>
      <c r="AZ328" s="213"/>
      <c r="BA328" s="213"/>
      <c r="BB328" s="213"/>
      <c r="BC328" s="213"/>
      <c r="BD328" s="213"/>
      <c r="BE328" s="213"/>
      <c r="BF328" s="213"/>
      <c r="BG328" s="213"/>
      <c r="BH328" s="213"/>
      <c r="BI328" s="213"/>
      <c r="BJ328" s="213"/>
      <c r="BK328" s="213"/>
      <c r="BL328" s="213"/>
      <c r="BM328" s="213"/>
      <c r="BN328" s="215"/>
      <c r="BO328" s="213"/>
      <c r="BP328" s="213"/>
      <c r="BQ328" s="213"/>
      <c r="BR328" s="326"/>
      <c r="BS328" s="213"/>
      <c r="BT328" s="213"/>
      <c r="BU328" s="213"/>
      <c r="BV328" s="213"/>
      <c r="BW328" s="213"/>
      <c r="BX328" s="213"/>
      <c r="BY328" s="213"/>
      <c r="BZ328" s="213"/>
      <c r="CA328" s="213"/>
      <c r="CB328" s="213"/>
      <c r="CC328" s="213"/>
      <c r="CD328" s="213"/>
      <c r="CE328" s="213"/>
      <c r="CF328" s="213"/>
      <c r="CG328" s="213"/>
      <c r="CH328" s="213"/>
      <c r="CI328" s="213"/>
      <c r="CJ328" s="213"/>
      <c r="CK328" s="213"/>
      <c r="CL328" s="213"/>
      <c r="CM328" s="213"/>
      <c r="CN328" s="213"/>
      <c r="CO328" s="213"/>
      <c r="CP328" s="213"/>
      <c r="CQ328" s="213"/>
      <c r="CR328" s="213"/>
      <c r="CS328" s="213"/>
      <c r="CT328" s="213"/>
      <c r="CU328" s="213"/>
    </row>
    <row r="329" ht="15.75" customHeight="1">
      <c r="A329" s="213"/>
      <c r="B329" s="213"/>
      <c r="C329" s="213"/>
      <c r="D329" s="213"/>
      <c r="E329" s="213"/>
      <c r="F329" s="213"/>
      <c r="G329" s="213"/>
      <c r="H329" s="213"/>
      <c r="I329" s="213"/>
      <c r="J329" s="213"/>
      <c r="K329" s="213"/>
      <c r="L329" s="213"/>
      <c r="M329" s="213"/>
      <c r="N329" s="213"/>
      <c r="O329" s="213"/>
      <c r="P329" s="213"/>
      <c r="Q329" s="213"/>
      <c r="R329" s="213"/>
      <c r="S329" s="213"/>
      <c r="T329" s="213"/>
      <c r="U329" s="213"/>
      <c r="V329" s="213"/>
      <c r="W329" s="213"/>
      <c r="X329" s="213"/>
      <c r="Y329" s="213"/>
      <c r="Z329" s="213"/>
      <c r="AA329" s="213"/>
      <c r="AB329" s="213"/>
      <c r="AC329" s="213"/>
      <c r="AD329" s="213"/>
      <c r="AE329" s="213"/>
      <c r="AF329" s="213"/>
      <c r="AG329" s="213"/>
      <c r="AH329" s="213"/>
      <c r="AI329" s="213"/>
      <c r="AJ329" s="213"/>
      <c r="AK329" s="213"/>
      <c r="AL329" s="213"/>
      <c r="AM329" s="213"/>
      <c r="AN329" s="213"/>
      <c r="AO329" s="213"/>
      <c r="AP329" s="213"/>
      <c r="AQ329" s="213"/>
      <c r="AR329" s="213"/>
      <c r="AS329" s="213"/>
      <c r="AT329" s="213"/>
      <c r="AU329" s="213"/>
      <c r="AV329" s="213"/>
      <c r="AW329" s="213"/>
      <c r="AX329" s="213"/>
      <c r="AY329" s="213"/>
      <c r="AZ329" s="213"/>
      <c r="BA329" s="213"/>
      <c r="BB329" s="213"/>
      <c r="BC329" s="213"/>
      <c r="BD329" s="213"/>
      <c r="BE329" s="213"/>
      <c r="BF329" s="213"/>
      <c r="BG329" s="213"/>
      <c r="BH329" s="213"/>
      <c r="BI329" s="213"/>
      <c r="BJ329" s="213"/>
      <c r="BK329" s="213"/>
      <c r="BL329" s="213"/>
      <c r="BM329" s="213"/>
      <c r="BN329" s="215"/>
      <c r="BO329" s="213"/>
      <c r="BP329" s="213"/>
      <c r="BQ329" s="213"/>
      <c r="BR329" s="326"/>
      <c r="BS329" s="213"/>
      <c r="BT329" s="213"/>
      <c r="BU329" s="213"/>
      <c r="BV329" s="213"/>
      <c r="BW329" s="213"/>
      <c r="BX329" s="213"/>
      <c r="BY329" s="213"/>
      <c r="BZ329" s="213"/>
      <c r="CA329" s="213"/>
      <c r="CB329" s="213"/>
      <c r="CC329" s="213"/>
      <c r="CD329" s="213"/>
      <c r="CE329" s="213"/>
      <c r="CF329" s="213"/>
      <c r="CG329" s="213"/>
      <c r="CH329" s="213"/>
      <c r="CI329" s="213"/>
      <c r="CJ329" s="213"/>
      <c r="CK329" s="213"/>
      <c r="CL329" s="213"/>
      <c r="CM329" s="213"/>
      <c r="CN329" s="213"/>
      <c r="CO329" s="213"/>
      <c r="CP329" s="213"/>
      <c r="CQ329" s="213"/>
      <c r="CR329" s="213"/>
      <c r="CS329" s="213"/>
      <c r="CT329" s="213"/>
      <c r="CU329" s="213"/>
    </row>
    <row r="330" ht="15.75" customHeight="1">
      <c r="A330" s="213"/>
      <c r="B330" s="213"/>
      <c r="C330" s="213"/>
      <c r="D330" s="213"/>
      <c r="E330" s="213"/>
      <c r="F330" s="213"/>
      <c r="G330" s="213"/>
      <c r="H330" s="213"/>
      <c r="I330" s="213"/>
      <c r="J330" s="213"/>
      <c r="K330" s="213"/>
      <c r="L330" s="213"/>
      <c r="M330" s="213"/>
      <c r="N330" s="213"/>
      <c r="O330" s="213"/>
      <c r="P330" s="213"/>
      <c r="Q330" s="213"/>
      <c r="R330" s="213"/>
      <c r="S330" s="213"/>
      <c r="T330" s="213"/>
      <c r="U330" s="213"/>
      <c r="V330" s="213"/>
      <c r="W330" s="213"/>
      <c r="X330" s="213"/>
      <c r="Y330" s="213"/>
      <c r="Z330" s="213"/>
      <c r="AA330" s="213"/>
      <c r="AB330" s="213"/>
      <c r="AC330" s="213"/>
      <c r="AD330" s="213"/>
      <c r="AE330" s="213"/>
      <c r="AF330" s="213"/>
      <c r="AG330" s="213"/>
      <c r="AH330" s="213"/>
      <c r="AI330" s="213"/>
      <c r="AJ330" s="213"/>
      <c r="AK330" s="213"/>
      <c r="AL330" s="213"/>
      <c r="AM330" s="213"/>
      <c r="AN330" s="213"/>
      <c r="AO330" s="213"/>
      <c r="AP330" s="213"/>
      <c r="AQ330" s="213"/>
      <c r="AR330" s="213"/>
      <c r="AS330" s="213"/>
      <c r="AT330" s="213"/>
      <c r="AU330" s="213"/>
      <c r="AV330" s="213"/>
      <c r="AW330" s="213"/>
      <c r="AX330" s="213"/>
      <c r="AY330" s="213"/>
      <c r="AZ330" s="213"/>
      <c r="BA330" s="213"/>
      <c r="BB330" s="213"/>
      <c r="BC330" s="213"/>
      <c r="BD330" s="213"/>
      <c r="BE330" s="213"/>
      <c r="BF330" s="213"/>
      <c r="BG330" s="213"/>
      <c r="BH330" s="213"/>
      <c r="BI330" s="213"/>
      <c r="BJ330" s="213"/>
      <c r="BK330" s="213"/>
      <c r="BL330" s="213"/>
      <c r="BM330" s="213"/>
      <c r="BN330" s="215"/>
      <c r="BO330" s="213"/>
      <c r="BP330" s="213"/>
      <c r="BQ330" s="213"/>
      <c r="BR330" s="326"/>
      <c r="BS330" s="213"/>
      <c r="BT330" s="213"/>
      <c r="BU330" s="213"/>
      <c r="BV330" s="213"/>
      <c r="BW330" s="213"/>
      <c r="BX330" s="213"/>
      <c r="BY330" s="213"/>
      <c r="BZ330" s="213"/>
      <c r="CA330" s="213"/>
      <c r="CB330" s="213"/>
      <c r="CC330" s="213"/>
      <c r="CD330" s="213"/>
      <c r="CE330" s="213"/>
      <c r="CF330" s="213"/>
      <c r="CG330" s="213"/>
      <c r="CH330" s="213"/>
      <c r="CI330" s="213"/>
      <c r="CJ330" s="213"/>
      <c r="CK330" s="213"/>
      <c r="CL330" s="213"/>
      <c r="CM330" s="213"/>
      <c r="CN330" s="213"/>
      <c r="CO330" s="213"/>
      <c r="CP330" s="213"/>
      <c r="CQ330" s="213"/>
      <c r="CR330" s="213"/>
      <c r="CS330" s="213"/>
      <c r="CT330" s="213"/>
      <c r="CU330" s="213"/>
    </row>
    <row r="331" ht="15.75" customHeight="1">
      <c r="A331" s="213"/>
      <c r="B331" s="213"/>
      <c r="C331" s="213"/>
      <c r="D331" s="213"/>
      <c r="E331" s="213"/>
      <c r="F331" s="213"/>
      <c r="G331" s="213"/>
      <c r="H331" s="213"/>
      <c r="I331" s="213"/>
      <c r="J331" s="213"/>
      <c r="K331" s="213"/>
      <c r="L331" s="213"/>
      <c r="M331" s="213"/>
      <c r="N331" s="213"/>
      <c r="O331" s="213"/>
      <c r="P331" s="213"/>
      <c r="Q331" s="213"/>
      <c r="R331" s="213"/>
      <c r="S331" s="213"/>
      <c r="T331" s="213"/>
      <c r="U331" s="213"/>
      <c r="V331" s="213"/>
      <c r="W331" s="213"/>
      <c r="X331" s="213"/>
      <c r="Y331" s="213"/>
      <c r="Z331" s="213"/>
      <c r="AA331" s="213"/>
      <c r="AB331" s="213"/>
      <c r="AC331" s="213"/>
      <c r="AD331" s="213"/>
      <c r="AE331" s="213"/>
      <c r="AF331" s="213"/>
      <c r="AG331" s="213"/>
      <c r="AH331" s="213"/>
      <c r="AI331" s="213"/>
      <c r="AJ331" s="213"/>
      <c r="AK331" s="213"/>
      <c r="AL331" s="213"/>
      <c r="AM331" s="213"/>
      <c r="AN331" s="213"/>
      <c r="AO331" s="213"/>
      <c r="AP331" s="213"/>
      <c r="AQ331" s="213"/>
      <c r="AR331" s="213"/>
      <c r="AS331" s="213"/>
      <c r="AT331" s="213"/>
      <c r="AU331" s="213"/>
      <c r="AV331" s="213"/>
      <c r="AW331" s="213"/>
      <c r="AX331" s="213"/>
      <c r="AY331" s="213"/>
      <c r="AZ331" s="213"/>
      <c r="BA331" s="213"/>
      <c r="BB331" s="213"/>
      <c r="BC331" s="213"/>
      <c r="BD331" s="213"/>
      <c r="BE331" s="213"/>
      <c r="BF331" s="213"/>
      <c r="BG331" s="213"/>
      <c r="BH331" s="213"/>
      <c r="BI331" s="213"/>
      <c r="BJ331" s="213"/>
      <c r="BK331" s="213"/>
      <c r="BL331" s="213"/>
      <c r="BM331" s="213"/>
      <c r="BN331" s="215"/>
      <c r="BO331" s="213"/>
      <c r="BP331" s="213"/>
      <c r="BQ331" s="213"/>
      <c r="BR331" s="326"/>
      <c r="BS331" s="213"/>
      <c r="BT331" s="213"/>
      <c r="BU331" s="213"/>
      <c r="BV331" s="213"/>
      <c r="BW331" s="213"/>
      <c r="BX331" s="213"/>
      <c r="BY331" s="213"/>
      <c r="BZ331" s="213"/>
      <c r="CA331" s="213"/>
      <c r="CB331" s="213"/>
      <c r="CC331" s="213"/>
      <c r="CD331" s="213"/>
      <c r="CE331" s="213"/>
      <c r="CF331" s="213"/>
      <c r="CG331" s="213"/>
      <c r="CH331" s="213"/>
      <c r="CI331" s="213"/>
      <c r="CJ331" s="213"/>
      <c r="CK331" s="213"/>
      <c r="CL331" s="213"/>
      <c r="CM331" s="213"/>
      <c r="CN331" s="213"/>
      <c r="CO331" s="213"/>
      <c r="CP331" s="213"/>
      <c r="CQ331" s="213"/>
      <c r="CR331" s="213"/>
      <c r="CS331" s="213"/>
      <c r="CT331" s="213"/>
      <c r="CU331" s="213"/>
    </row>
    <row r="332" ht="15.75" customHeight="1">
      <c r="A332" s="213"/>
      <c r="B332" s="213"/>
      <c r="C332" s="213"/>
      <c r="D332" s="213"/>
      <c r="E332" s="213"/>
      <c r="F332" s="213"/>
      <c r="G332" s="213"/>
      <c r="H332" s="213"/>
      <c r="I332" s="213"/>
      <c r="J332" s="213"/>
      <c r="K332" s="213"/>
      <c r="L332" s="213"/>
      <c r="M332" s="213"/>
      <c r="N332" s="213"/>
      <c r="O332" s="213"/>
      <c r="P332" s="213"/>
      <c r="Q332" s="213"/>
      <c r="R332" s="213"/>
      <c r="S332" s="213"/>
      <c r="T332" s="213"/>
      <c r="U332" s="213"/>
      <c r="V332" s="213"/>
      <c r="W332" s="213"/>
      <c r="X332" s="213"/>
      <c r="Y332" s="213"/>
      <c r="Z332" s="213"/>
      <c r="AA332" s="213"/>
      <c r="AB332" s="213"/>
      <c r="AC332" s="213"/>
      <c r="AD332" s="213"/>
      <c r="AE332" s="213"/>
      <c r="AF332" s="213"/>
      <c r="AG332" s="213"/>
      <c r="AH332" s="213"/>
      <c r="AI332" s="213"/>
      <c r="AJ332" s="213"/>
      <c r="AK332" s="213"/>
      <c r="AL332" s="213"/>
      <c r="AM332" s="213"/>
      <c r="AN332" s="213"/>
      <c r="AO332" s="213"/>
      <c r="AP332" s="213"/>
      <c r="AQ332" s="213"/>
      <c r="AR332" s="213"/>
      <c r="AS332" s="213"/>
      <c r="AT332" s="213"/>
      <c r="AU332" s="213"/>
      <c r="AV332" s="213"/>
      <c r="AW332" s="213"/>
      <c r="AX332" s="213"/>
      <c r="AY332" s="213"/>
      <c r="AZ332" s="213"/>
      <c r="BA332" s="213"/>
      <c r="BB332" s="213"/>
      <c r="BC332" s="213"/>
      <c r="BD332" s="213"/>
      <c r="BE332" s="213"/>
      <c r="BF332" s="213"/>
      <c r="BG332" s="213"/>
      <c r="BH332" s="213"/>
      <c r="BI332" s="213"/>
      <c r="BJ332" s="213"/>
      <c r="BK332" s="213"/>
      <c r="BL332" s="213"/>
      <c r="BM332" s="213"/>
      <c r="BN332" s="215"/>
      <c r="BO332" s="213"/>
      <c r="BP332" s="213"/>
      <c r="BQ332" s="213"/>
      <c r="BR332" s="326"/>
      <c r="BS332" s="213"/>
      <c r="BT332" s="213"/>
      <c r="BU332" s="213"/>
      <c r="BV332" s="213"/>
      <c r="BW332" s="213"/>
      <c r="BX332" s="213"/>
      <c r="BY332" s="213"/>
      <c r="BZ332" s="213"/>
      <c r="CA332" s="213"/>
      <c r="CB332" s="213"/>
      <c r="CC332" s="213"/>
      <c r="CD332" s="213"/>
      <c r="CE332" s="213"/>
      <c r="CF332" s="213"/>
      <c r="CG332" s="213"/>
      <c r="CH332" s="213"/>
      <c r="CI332" s="213"/>
      <c r="CJ332" s="213"/>
      <c r="CK332" s="213"/>
      <c r="CL332" s="213"/>
      <c r="CM332" s="213"/>
      <c r="CN332" s="213"/>
      <c r="CO332" s="213"/>
      <c r="CP332" s="213"/>
      <c r="CQ332" s="213"/>
      <c r="CR332" s="213"/>
      <c r="CS332" s="213"/>
      <c r="CT332" s="213"/>
      <c r="CU332" s="213"/>
    </row>
    <row r="333" ht="15.75" customHeight="1">
      <c r="A333" s="213"/>
      <c r="B333" s="213"/>
      <c r="C333" s="213"/>
      <c r="D333" s="213"/>
      <c r="E333" s="213"/>
      <c r="F333" s="213"/>
      <c r="G333" s="213"/>
      <c r="H333" s="213"/>
      <c r="I333" s="213"/>
      <c r="J333" s="213"/>
      <c r="K333" s="213"/>
      <c r="L333" s="213"/>
      <c r="M333" s="213"/>
      <c r="N333" s="213"/>
      <c r="O333" s="213"/>
      <c r="P333" s="213"/>
      <c r="Q333" s="213"/>
      <c r="R333" s="213"/>
      <c r="S333" s="213"/>
      <c r="T333" s="213"/>
      <c r="U333" s="213"/>
      <c r="V333" s="213"/>
      <c r="W333" s="213"/>
      <c r="X333" s="213"/>
      <c r="Y333" s="213"/>
      <c r="Z333" s="213"/>
      <c r="AA333" s="213"/>
      <c r="AB333" s="213"/>
      <c r="AC333" s="213"/>
      <c r="AD333" s="213"/>
      <c r="AE333" s="213"/>
      <c r="AF333" s="213"/>
      <c r="AG333" s="213"/>
      <c r="AH333" s="213"/>
      <c r="AI333" s="213"/>
      <c r="AJ333" s="213"/>
      <c r="AK333" s="213"/>
      <c r="AL333" s="213"/>
      <c r="AM333" s="213"/>
      <c r="AN333" s="213"/>
      <c r="AO333" s="213"/>
      <c r="AP333" s="213"/>
      <c r="AQ333" s="213"/>
      <c r="AR333" s="213"/>
      <c r="AS333" s="213"/>
      <c r="AT333" s="213"/>
      <c r="AU333" s="213"/>
      <c r="AV333" s="213"/>
      <c r="AW333" s="213"/>
      <c r="AX333" s="213"/>
      <c r="AY333" s="213"/>
      <c r="AZ333" s="213"/>
      <c r="BA333" s="213"/>
      <c r="BB333" s="213"/>
      <c r="BC333" s="213"/>
      <c r="BD333" s="213"/>
      <c r="BE333" s="213"/>
      <c r="BF333" s="213"/>
      <c r="BG333" s="213"/>
      <c r="BH333" s="213"/>
      <c r="BI333" s="213"/>
      <c r="BJ333" s="213"/>
      <c r="BK333" s="213"/>
      <c r="BL333" s="213"/>
      <c r="BM333" s="213"/>
      <c r="BN333" s="215"/>
      <c r="BO333" s="213"/>
      <c r="BP333" s="213"/>
      <c r="BQ333" s="213"/>
      <c r="BR333" s="326"/>
      <c r="BS333" s="213"/>
      <c r="BT333" s="213"/>
      <c r="BU333" s="213"/>
      <c r="BV333" s="213"/>
      <c r="BW333" s="213"/>
      <c r="BX333" s="213"/>
      <c r="BY333" s="213"/>
      <c r="BZ333" s="213"/>
      <c r="CA333" s="213"/>
      <c r="CB333" s="213"/>
      <c r="CC333" s="213"/>
      <c r="CD333" s="213"/>
      <c r="CE333" s="213"/>
      <c r="CF333" s="213"/>
      <c r="CG333" s="213"/>
      <c r="CH333" s="213"/>
      <c r="CI333" s="213"/>
      <c r="CJ333" s="213"/>
      <c r="CK333" s="213"/>
      <c r="CL333" s="213"/>
      <c r="CM333" s="213"/>
      <c r="CN333" s="213"/>
      <c r="CO333" s="213"/>
      <c r="CP333" s="213"/>
      <c r="CQ333" s="213"/>
      <c r="CR333" s="213"/>
      <c r="CS333" s="213"/>
      <c r="CT333" s="213"/>
      <c r="CU333" s="213"/>
    </row>
    <row r="334" ht="15.75" customHeight="1">
      <c r="A334" s="213"/>
      <c r="B334" s="213"/>
      <c r="C334" s="213"/>
      <c r="D334" s="213"/>
      <c r="E334" s="213"/>
      <c r="F334" s="213"/>
      <c r="G334" s="213"/>
      <c r="H334" s="213"/>
      <c r="I334" s="213"/>
      <c r="J334" s="213"/>
      <c r="K334" s="213"/>
      <c r="L334" s="213"/>
      <c r="M334" s="213"/>
      <c r="N334" s="213"/>
      <c r="O334" s="213"/>
      <c r="P334" s="213"/>
      <c r="Q334" s="213"/>
      <c r="R334" s="213"/>
      <c r="S334" s="213"/>
      <c r="T334" s="213"/>
      <c r="U334" s="213"/>
      <c r="V334" s="213"/>
      <c r="W334" s="213"/>
      <c r="X334" s="213"/>
      <c r="Y334" s="213"/>
      <c r="Z334" s="213"/>
      <c r="AA334" s="213"/>
      <c r="AB334" s="213"/>
      <c r="AC334" s="213"/>
      <c r="AD334" s="213"/>
      <c r="AE334" s="213"/>
      <c r="AF334" s="213"/>
      <c r="AG334" s="213"/>
      <c r="AH334" s="213"/>
      <c r="AI334" s="213"/>
      <c r="AJ334" s="213"/>
      <c r="AK334" s="213"/>
      <c r="AL334" s="213"/>
      <c r="AM334" s="213"/>
      <c r="AN334" s="213"/>
      <c r="AO334" s="213"/>
      <c r="AP334" s="213"/>
      <c r="AQ334" s="213"/>
      <c r="AR334" s="213"/>
      <c r="AS334" s="213"/>
      <c r="AT334" s="213"/>
      <c r="AU334" s="213"/>
      <c r="AV334" s="213"/>
      <c r="AW334" s="213"/>
      <c r="AX334" s="213"/>
      <c r="AY334" s="213"/>
      <c r="AZ334" s="213"/>
      <c r="BA334" s="213"/>
      <c r="BB334" s="213"/>
      <c r="BC334" s="213"/>
      <c r="BD334" s="213"/>
      <c r="BE334" s="213"/>
      <c r="BF334" s="213"/>
      <c r="BG334" s="213"/>
      <c r="BH334" s="213"/>
      <c r="BI334" s="213"/>
      <c r="BJ334" s="213"/>
      <c r="BK334" s="213"/>
      <c r="BL334" s="213"/>
      <c r="BM334" s="213"/>
      <c r="BN334" s="215"/>
      <c r="BO334" s="213"/>
      <c r="BP334" s="213"/>
      <c r="BQ334" s="213"/>
      <c r="BR334" s="326"/>
      <c r="BS334" s="213"/>
      <c r="BT334" s="213"/>
      <c r="BU334" s="213"/>
      <c r="BV334" s="213"/>
      <c r="BW334" s="213"/>
      <c r="BX334" s="213"/>
      <c r="BY334" s="213"/>
      <c r="BZ334" s="213"/>
      <c r="CA334" s="213"/>
      <c r="CB334" s="213"/>
      <c r="CC334" s="213"/>
      <c r="CD334" s="213"/>
      <c r="CE334" s="213"/>
      <c r="CF334" s="213"/>
      <c r="CG334" s="213"/>
      <c r="CH334" s="213"/>
      <c r="CI334" s="213"/>
      <c r="CJ334" s="213"/>
      <c r="CK334" s="213"/>
      <c r="CL334" s="213"/>
      <c r="CM334" s="213"/>
      <c r="CN334" s="213"/>
      <c r="CO334" s="213"/>
      <c r="CP334" s="213"/>
      <c r="CQ334" s="213"/>
      <c r="CR334" s="213"/>
      <c r="CS334" s="213"/>
      <c r="CT334" s="213"/>
      <c r="CU334" s="213"/>
    </row>
    <row r="335" ht="15.75" customHeight="1">
      <c r="A335" s="213"/>
      <c r="B335" s="213"/>
      <c r="C335" s="213"/>
      <c r="D335" s="213"/>
      <c r="E335" s="213"/>
      <c r="F335" s="213"/>
      <c r="G335" s="213"/>
      <c r="H335" s="213"/>
      <c r="I335" s="213"/>
      <c r="J335" s="213"/>
      <c r="K335" s="213"/>
      <c r="L335" s="213"/>
      <c r="M335" s="213"/>
      <c r="N335" s="213"/>
      <c r="O335" s="213"/>
      <c r="P335" s="213"/>
      <c r="Q335" s="213"/>
      <c r="R335" s="213"/>
      <c r="S335" s="213"/>
      <c r="T335" s="213"/>
      <c r="U335" s="213"/>
      <c r="V335" s="213"/>
      <c r="W335" s="213"/>
      <c r="X335" s="213"/>
      <c r="Y335" s="213"/>
      <c r="Z335" s="213"/>
      <c r="AA335" s="213"/>
      <c r="AB335" s="213"/>
      <c r="AC335" s="213"/>
      <c r="AD335" s="213"/>
      <c r="AE335" s="213"/>
      <c r="AF335" s="213"/>
      <c r="AG335" s="213"/>
      <c r="AH335" s="213"/>
      <c r="AI335" s="213"/>
      <c r="AJ335" s="213"/>
      <c r="AK335" s="213"/>
      <c r="AL335" s="213"/>
      <c r="AM335" s="213"/>
      <c r="AN335" s="213"/>
      <c r="AO335" s="213"/>
      <c r="AP335" s="213"/>
      <c r="AQ335" s="213"/>
      <c r="AR335" s="213"/>
      <c r="AS335" s="213"/>
      <c r="AT335" s="213"/>
      <c r="AU335" s="213"/>
      <c r="AV335" s="213"/>
      <c r="AW335" s="213"/>
      <c r="AX335" s="213"/>
      <c r="AY335" s="213"/>
      <c r="AZ335" s="213"/>
      <c r="BA335" s="213"/>
      <c r="BB335" s="213"/>
      <c r="BC335" s="213"/>
      <c r="BD335" s="213"/>
      <c r="BE335" s="213"/>
      <c r="BF335" s="213"/>
      <c r="BG335" s="213"/>
      <c r="BH335" s="213"/>
      <c r="BI335" s="213"/>
      <c r="BJ335" s="213"/>
      <c r="BK335" s="213"/>
      <c r="BL335" s="213"/>
      <c r="BM335" s="213"/>
      <c r="BN335" s="215"/>
      <c r="BO335" s="213"/>
      <c r="BP335" s="213"/>
      <c r="BQ335" s="213"/>
      <c r="BR335" s="326"/>
      <c r="BS335" s="213"/>
      <c r="BT335" s="213"/>
      <c r="BU335" s="213"/>
      <c r="BV335" s="213"/>
      <c r="BW335" s="213"/>
      <c r="BX335" s="213"/>
      <c r="BY335" s="213"/>
      <c r="BZ335" s="213"/>
      <c r="CA335" s="213"/>
      <c r="CB335" s="213"/>
      <c r="CC335" s="213"/>
      <c r="CD335" s="213"/>
      <c r="CE335" s="213"/>
      <c r="CF335" s="213"/>
      <c r="CG335" s="213"/>
      <c r="CH335" s="213"/>
      <c r="CI335" s="213"/>
      <c r="CJ335" s="213"/>
      <c r="CK335" s="213"/>
      <c r="CL335" s="213"/>
      <c r="CM335" s="213"/>
      <c r="CN335" s="213"/>
      <c r="CO335" s="213"/>
      <c r="CP335" s="213"/>
      <c r="CQ335" s="213"/>
      <c r="CR335" s="213"/>
      <c r="CS335" s="213"/>
      <c r="CT335" s="213"/>
      <c r="CU335" s="213"/>
    </row>
    <row r="336" ht="15.75" customHeight="1">
      <c r="A336" s="213"/>
      <c r="B336" s="213"/>
      <c r="C336" s="213"/>
      <c r="D336" s="213"/>
      <c r="E336" s="213"/>
      <c r="F336" s="213"/>
      <c r="G336" s="213"/>
      <c r="H336" s="213"/>
      <c r="I336" s="213"/>
      <c r="J336" s="213"/>
      <c r="K336" s="213"/>
      <c r="L336" s="213"/>
      <c r="M336" s="213"/>
      <c r="N336" s="213"/>
      <c r="O336" s="213"/>
      <c r="P336" s="213"/>
      <c r="Q336" s="213"/>
      <c r="R336" s="213"/>
      <c r="S336" s="213"/>
      <c r="T336" s="213"/>
      <c r="U336" s="213"/>
      <c r="V336" s="213"/>
      <c r="W336" s="213"/>
      <c r="X336" s="213"/>
      <c r="Y336" s="213"/>
      <c r="Z336" s="213"/>
      <c r="AA336" s="213"/>
      <c r="AB336" s="213"/>
      <c r="AC336" s="213"/>
      <c r="AD336" s="213"/>
      <c r="AE336" s="213"/>
      <c r="AF336" s="213"/>
      <c r="AG336" s="213"/>
      <c r="AH336" s="213"/>
      <c r="AI336" s="213"/>
      <c r="AJ336" s="213"/>
      <c r="AK336" s="213"/>
      <c r="AL336" s="213"/>
      <c r="AM336" s="213"/>
      <c r="AN336" s="213"/>
      <c r="AO336" s="213"/>
      <c r="AP336" s="213"/>
      <c r="AQ336" s="213"/>
      <c r="AR336" s="213"/>
      <c r="AS336" s="213"/>
      <c r="AT336" s="213"/>
      <c r="AU336" s="213"/>
      <c r="AV336" s="213"/>
      <c r="AW336" s="213"/>
      <c r="AX336" s="213"/>
      <c r="AY336" s="213"/>
      <c r="AZ336" s="213"/>
      <c r="BA336" s="213"/>
      <c r="BB336" s="213"/>
      <c r="BC336" s="213"/>
      <c r="BD336" s="213"/>
      <c r="BE336" s="213"/>
      <c r="BF336" s="213"/>
      <c r="BG336" s="213"/>
      <c r="BH336" s="213"/>
      <c r="BI336" s="213"/>
      <c r="BJ336" s="213"/>
      <c r="BK336" s="213"/>
      <c r="BL336" s="213"/>
      <c r="BM336" s="213"/>
      <c r="BN336" s="215"/>
      <c r="BO336" s="213"/>
      <c r="BP336" s="213"/>
      <c r="BQ336" s="213"/>
      <c r="BR336" s="326"/>
      <c r="BS336" s="213"/>
      <c r="BT336" s="213"/>
      <c r="BU336" s="213"/>
      <c r="BV336" s="213"/>
      <c r="BW336" s="213"/>
      <c r="BX336" s="213"/>
      <c r="BY336" s="213"/>
      <c r="BZ336" s="213"/>
      <c r="CA336" s="213"/>
      <c r="CB336" s="213"/>
      <c r="CC336" s="213"/>
      <c r="CD336" s="213"/>
      <c r="CE336" s="213"/>
      <c r="CF336" s="213"/>
      <c r="CG336" s="213"/>
      <c r="CH336" s="213"/>
      <c r="CI336" s="213"/>
      <c r="CJ336" s="213"/>
      <c r="CK336" s="213"/>
      <c r="CL336" s="213"/>
      <c r="CM336" s="213"/>
      <c r="CN336" s="213"/>
      <c r="CO336" s="213"/>
      <c r="CP336" s="213"/>
      <c r="CQ336" s="213"/>
      <c r="CR336" s="213"/>
      <c r="CS336" s="213"/>
      <c r="CT336" s="213"/>
      <c r="CU336" s="213"/>
    </row>
    <row r="337" ht="15.75" customHeight="1">
      <c r="A337" s="213"/>
      <c r="B337" s="213"/>
      <c r="C337" s="213"/>
      <c r="D337" s="213"/>
      <c r="E337" s="213"/>
      <c r="F337" s="213"/>
      <c r="G337" s="213"/>
      <c r="H337" s="213"/>
      <c r="I337" s="213"/>
      <c r="J337" s="213"/>
      <c r="K337" s="213"/>
      <c r="L337" s="213"/>
      <c r="M337" s="213"/>
      <c r="N337" s="213"/>
      <c r="O337" s="213"/>
      <c r="P337" s="213"/>
      <c r="Q337" s="213"/>
      <c r="R337" s="213"/>
      <c r="S337" s="213"/>
      <c r="T337" s="213"/>
      <c r="U337" s="213"/>
      <c r="V337" s="213"/>
      <c r="W337" s="213"/>
      <c r="X337" s="213"/>
      <c r="Y337" s="213"/>
      <c r="Z337" s="213"/>
      <c r="AA337" s="213"/>
      <c r="AB337" s="213"/>
      <c r="AC337" s="213"/>
      <c r="AD337" s="213"/>
      <c r="AE337" s="213"/>
      <c r="AF337" s="213"/>
      <c r="AG337" s="213"/>
      <c r="AH337" s="213"/>
      <c r="AI337" s="213"/>
      <c r="AJ337" s="213"/>
      <c r="AK337" s="213"/>
      <c r="AL337" s="213"/>
      <c r="AM337" s="213"/>
      <c r="AN337" s="213"/>
      <c r="AO337" s="213"/>
      <c r="AP337" s="213"/>
      <c r="AQ337" s="213"/>
      <c r="AR337" s="213"/>
      <c r="AS337" s="213"/>
      <c r="AT337" s="213"/>
      <c r="AU337" s="213"/>
      <c r="AV337" s="213"/>
      <c r="AW337" s="213"/>
      <c r="AX337" s="213"/>
      <c r="AY337" s="213"/>
      <c r="AZ337" s="213"/>
      <c r="BA337" s="213"/>
      <c r="BB337" s="213"/>
      <c r="BC337" s="213"/>
      <c r="BD337" s="213"/>
      <c r="BE337" s="213"/>
      <c r="BF337" s="213"/>
      <c r="BG337" s="213"/>
      <c r="BH337" s="213"/>
      <c r="BI337" s="213"/>
      <c r="BJ337" s="213"/>
      <c r="BK337" s="213"/>
      <c r="BL337" s="213"/>
      <c r="BM337" s="213"/>
      <c r="BN337" s="215"/>
      <c r="BO337" s="213"/>
      <c r="BP337" s="213"/>
      <c r="BQ337" s="213"/>
      <c r="BR337" s="326"/>
      <c r="BS337" s="213"/>
      <c r="BT337" s="213"/>
      <c r="BU337" s="213"/>
      <c r="BV337" s="213"/>
      <c r="BW337" s="213"/>
      <c r="BX337" s="213"/>
      <c r="BY337" s="213"/>
      <c r="BZ337" s="213"/>
      <c r="CA337" s="213"/>
      <c r="CB337" s="213"/>
      <c r="CC337" s="213"/>
      <c r="CD337" s="213"/>
      <c r="CE337" s="213"/>
      <c r="CF337" s="213"/>
      <c r="CG337" s="213"/>
      <c r="CH337" s="213"/>
      <c r="CI337" s="213"/>
      <c r="CJ337" s="213"/>
      <c r="CK337" s="213"/>
      <c r="CL337" s="213"/>
      <c r="CM337" s="213"/>
      <c r="CN337" s="213"/>
      <c r="CO337" s="213"/>
      <c r="CP337" s="213"/>
      <c r="CQ337" s="213"/>
      <c r="CR337" s="213"/>
      <c r="CS337" s="213"/>
      <c r="CT337" s="213"/>
      <c r="CU337" s="213"/>
    </row>
    <row r="338" ht="15.75" customHeight="1">
      <c r="A338" s="213"/>
      <c r="B338" s="213"/>
      <c r="C338" s="213"/>
      <c r="D338" s="213"/>
      <c r="E338" s="213"/>
      <c r="F338" s="213"/>
      <c r="G338" s="213"/>
      <c r="H338" s="213"/>
      <c r="I338" s="213"/>
      <c r="J338" s="213"/>
      <c r="K338" s="213"/>
      <c r="L338" s="213"/>
      <c r="M338" s="213"/>
      <c r="N338" s="213"/>
      <c r="O338" s="213"/>
      <c r="P338" s="213"/>
      <c r="Q338" s="213"/>
      <c r="R338" s="213"/>
      <c r="S338" s="213"/>
      <c r="T338" s="213"/>
      <c r="U338" s="213"/>
      <c r="V338" s="213"/>
      <c r="W338" s="213"/>
      <c r="X338" s="213"/>
      <c r="Y338" s="213"/>
      <c r="Z338" s="213"/>
      <c r="AA338" s="213"/>
      <c r="AB338" s="213"/>
      <c r="AC338" s="213"/>
      <c r="AD338" s="213"/>
      <c r="AE338" s="213"/>
      <c r="AF338" s="213"/>
      <c r="AG338" s="213"/>
      <c r="AH338" s="213"/>
      <c r="AI338" s="213"/>
      <c r="AJ338" s="213"/>
      <c r="AK338" s="213"/>
      <c r="AL338" s="213"/>
      <c r="AM338" s="213"/>
      <c r="AN338" s="213"/>
      <c r="AO338" s="213"/>
      <c r="AP338" s="213"/>
      <c r="AQ338" s="213"/>
      <c r="AR338" s="213"/>
      <c r="AS338" s="213"/>
      <c r="AT338" s="213"/>
      <c r="AU338" s="213"/>
      <c r="AV338" s="213"/>
      <c r="AW338" s="213"/>
      <c r="AX338" s="213"/>
      <c r="AY338" s="213"/>
      <c r="AZ338" s="213"/>
      <c r="BA338" s="213"/>
      <c r="BB338" s="213"/>
      <c r="BC338" s="213"/>
      <c r="BD338" s="213"/>
      <c r="BE338" s="213"/>
      <c r="BF338" s="213"/>
      <c r="BG338" s="213"/>
      <c r="BH338" s="213"/>
      <c r="BI338" s="213"/>
      <c r="BJ338" s="213"/>
      <c r="BK338" s="213"/>
      <c r="BL338" s="213"/>
      <c r="BM338" s="213"/>
      <c r="BN338" s="215"/>
      <c r="BO338" s="213"/>
      <c r="BP338" s="213"/>
      <c r="BQ338" s="213"/>
      <c r="BR338" s="326"/>
      <c r="BS338" s="213"/>
      <c r="BT338" s="213"/>
      <c r="BU338" s="213"/>
      <c r="BV338" s="213"/>
      <c r="BW338" s="213"/>
      <c r="BX338" s="213"/>
      <c r="BY338" s="213"/>
      <c r="BZ338" s="213"/>
      <c r="CA338" s="213"/>
      <c r="CB338" s="213"/>
      <c r="CC338" s="213"/>
      <c r="CD338" s="213"/>
      <c r="CE338" s="213"/>
      <c r="CF338" s="213"/>
      <c r="CG338" s="213"/>
      <c r="CH338" s="213"/>
      <c r="CI338" s="213"/>
      <c r="CJ338" s="213"/>
      <c r="CK338" s="213"/>
      <c r="CL338" s="213"/>
      <c r="CM338" s="213"/>
      <c r="CN338" s="213"/>
      <c r="CO338" s="213"/>
      <c r="CP338" s="213"/>
      <c r="CQ338" s="213"/>
      <c r="CR338" s="213"/>
      <c r="CS338" s="213"/>
      <c r="CT338" s="213"/>
      <c r="CU338" s="213"/>
    </row>
    <row r="339" ht="15.75" customHeight="1">
      <c r="A339" s="213"/>
      <c r="B339" s="213"/>
      <c r="C339" s="213"/>
      <c r="D339" s="213"/>
      <c r="E339" s="213"/>
      <c r="F339" s="213"/>
      <c r="G339" s="213"/>
      <c r="H339" s="213"/>
      <c r="I339" s="213"/>
      <c r="J339" s="213"/>
      <c r="K339" s="213"/>
      <c r="L339" s="213"/>
      <c r="M339" s="213"/>
      <c r="N339" s="213"/>
      <c r="O339" s="213"/>
      <c r="P339" s="213"/>
      <c r="Q339" s="213"/>
      <c r="R339" s="213"/>
      <c r="S339" s="213"/>
      <c r="T339" s="213"/>
      <c r="U339" s="213"/>
      <c r="V339" s="213"/>
      <c r="W339" s="213"/>
      <c r="X339" s="213"/>
      <c r="Y339" s="213"/>
      <c r="Z339" s="213"/>
      <c r="AA339" s="213"/>
      <c r="AB339" s="213"/>
      <c r="AC339" s="213"/>
      <c r="AD339" s="213"/>
      <c r="AE339" s="213"/>
      <c r="AF339" s="213"/>
      <c r="AG339" s="213"/>
      <c r="AH339" s="213"/>
      <c r="AI339" s="213"/>
      <c r="AJ339" s="213"/>
      <c r="AK339" s="213"/>
      <c r="AL339" s="213"/>
      <c r="AM339" s="213"/>
      <c r="AN339" s="213"/>
      <c r="AO339" s="213"/>
      <c r="AP339" s="213"/>
      <c r="AQ339" s="213"/>
      <c r="AR339" s="213"/>
      <c r="AS339" s="213"/>
      <c r="AT339" s="213"/>
      <c r="AU339" s="213"/>
      <c r="AV339" s="213"/>
      <c r="AW339" s="213"/>
      <c r="AX339" s="213"/>
      <c r="AY339" s="213"/>
      <c r="AZ339" s="213"/>
      <c r="BA339" s="213"/>
      <c r="BB339" s="213"/>
      <c r="BC339" s="213"/>
      <c r="BD339" s="213"/>
      <c r="BE339" s="213"/>
      <c r="BF339" s="213"/>
      <c r="BG339" s="213"/>
      <c r="BH339" s="213"/>
      <c r="BI339" s="213"/>
      <c r="BJ339" s="213"/>
      <c r="BK339" s="213"/>
      <c r="BL339" s="213"/>
      <c r="BM339" s="213"/>
      <c r="BN339" s="215"/>
      <c r="BO339" s="213"/>
      <c r="BP339" s="213"/>
      <c r="BQ339" s="213"/>
      <c r="BR339" s="326"/>
      <c r="BS339" s="213"/>
      <c r="BT339" s="213"/>
      <c r="BU339" s="213"/>
      <c r="BV339" s="213"/>
      <c r="BW339" s="213"/>
      <c r="BX339" s="213"/>
      <c r="BY339" s="213"/>
      <c r="BZ339" s="213"/>
      <c r="CA339" s="213"/>
      <c r="CB339" s="213"/>
      <c r="CC339" s="213"/>
      <c r="CD339" s="213"/>
      <c r="CE339" s="213"/>
      <c r="CF339" s="213"/>
      <c r="CG339" s="213"/>
      <c r="CH339" s="213"/>
      <c r="CI339" s="213"/>
      <c r="CJ339" s="213"/>
      <c r="CK339" s="213"/>
      <c r="CL339" s="213"/>
      <c r="CM339" s="213"/>
      <c r="CN339" s="213"/>
      <c r="CO339" s="213"/>
      <c r="CP339" s="213"/>
      <c r="CQ339" s="213"/>
      <c r="CR339" s="213"/>
      <c r="CS339" s="213"/>
      <c r="CT339" s="213"/>
      <c r="CU339" s="213"/>
    </row>
    <row r="340" ht="15.75" customHeight="1">
      <c r="A340" s="213"/>
      <c r="B340" s="213"/>
      <c r="C340" s="213"/>
      <c r="D340" s="213"/>
      <c r="E340" s="213"/>
      <c r="F340" s="213"/>
      <c r="G340" s="213"/>
      <c r="H340" s="213"/>
      <c r="I340" s="213"/>
      <c r="J340" s="213"/>
      <c r="K340" s="213"/>
      <c r="L340" s="213"/>
      <c r="M340" s="213"/>
      <c r="N340" s="213"/>
      <c r="O340" s="213"/>
      <c r="P340" s="213"/>
      <c r="Q340" s="213"/>
      <c r="R340" s="213"/>
      <c r="S340" s="213"/>
      <c r="T340" s="213"/>
      <c r="U340" s="213"/>
      <c r="V340" s="213"/>
      <c r="W340" s="213"/>
      <c r="X340" s="213"/>
      <c r="Y340" s="213"/>
      <c r="Z340" s="213"/>
      <c r="AA340" s="213"/>
      <c r="AB340" s="213"/>
      <c r="AC340" s="213"/>
      <c r="AD340" s="213"/>
      <c r="AE340" s="213"/>
      <c r="AF340" s="213"/>
      <c r="AG340" s="213"/>
      <c r="AH340" s="213"/>
      <c r="AI340" s="213"/>
      <c r="AJ340" s="213"/>
      <c r="AK340" s="213"/>
      <c r="AL340" s="213"/>
      <c r="AM340" s="213"/>
      <c r="AN340" s="213"/>
      <c r="AO340" s="213"/>
      <c r="AP340" s="213"/>
      <c r="AQ340" s="213"/>
      <c r="AR340" s="213"/>
      <c r="AS340" s="213"/>
      <c r="AT340" s="213"/>
      <c r="AU340" s="213"/>
      <c r="AV340" s="213"/>
      <c r="AW340" s="213"/>
      <c r="AX340" s="213"/>
      <c r="AY340" s="213"/>
      <c r="AZ340" s="213"/>
      <c r="BA340" s="213"/>
      <c r="BB340" s="213"/>
      <c r="BC340" s="213"/>
      <c r="BD340" s="213"/>
      <c r="BE340" s="213"/>
      <c r="BF340" s="213"/>
      <c r="BG340" s="213"/>
      <c r="BH340" s="213"/>
      <c r="BI340" s="213"/>
      <c r="BJ340" s="213"/>
      <c r="BK340" s="213"/>
      <c r="BL340" s="213"/>
      <c r="BM340" s="213"/>
      <c r="BN340" s="215"/>
      <c r="BO340" s="213"/>
      <c r="BP340" s="213"/>
      <c r="BQ340" s="213"/>
      <c r="BR340" s="326"/>
      <c r="BS340" s="213"/>
      <c r="BT340" s="213"/>
      <c r="BU340" s="213"/>
      <c r="BV340" s="213"/>
      <c r="BW340" s="213"/>
      <c r="BX340" s="213"/>
      <c r="BY340" s="213"/>
      <c r="BZ340" s="213"/>
      <c r="CA340" s="213"/>
      <c r="CB340" s="213"/>
      <c r="CC340" s="213"/>
      <c r="CD340" s="213"/>
      <c r="CE340" s="213"/>
      <c r="CF340" s="213"/>
      <c r="CG340" s="213"/>
      <c r="CH340" s="213"/>
      <c r="CI340" s="213"/>
      <c r="CJ340" s="213"/>
      <c r="CK340" s="213"/>
      <c r="CL340" s="213"/>
      <c r="CM340" s="213"/>
      <c r="CN340" s="213"/>
      <c r="CO340" s="213"/>
      <c r="CP340" s="213"/>
      <c r="CQ340" s="213"/>
      <c r="CR340" s="213"/>
      <c r="CS340" s="213"/>
      <c r="CT340" s="213"/>
      <c r="CU340" s="213"/>
    </row>
    <row r="341" ht="15.75" customHeight="1">
      <c r="A341" s="213"/>
      <c r="B341" s="213"/>
      <c r="C341" s="213"/>
      <c r="D341" s="213"/>
      <c r="E341" s="213"/>
      <c r="F341" s="213"/>
      <c r="G341" s="213"/>
      <c r="H341" s="213"/>
      <c r="I341" s="213"/>
      <c r="J341" s="213"/>
      <c r="K341" s="213"/>
      <c r="L341" s="213"/>
      <c r="M341" s="213"/>
      <c r="N341" s="213"/>
      <c r="O341" s="213"/>
      <c r="P341" s="213"/>
      <c r="Q341" s="213"/>
      <c r="R341" s="213"/>
      <c r="S341" s="213"/>
      <c r="T341" s="213"/>
      <c r="U341" s="213"/>
      <c r="V341" s="213"/>
      <c r="W341" s="213"/>
      <c r="X341" s="213"/>
      <c r="Y341" s="213"/>
      <c r="Z341" s="213"/>
      <c r="AA341" s="213"/>
      <c r="AB341" s="213"/>
      <c r="AC341" s="213"/>
      <c r="AD341" s="213"/>
      <c r="AE341" s="213"/>
      <c r="AF341" s="213"/>
      <c r="AG341" s="213"/>
      <c r="AH341" s="213"/>
      <c r="AI341" s="213"/>
      <c r="AJ341" s="213"/>
      <c r="AK341" s="213"/>
      <c r="AL341" s="213"/>
      <c r="AM341" s="213"/>
      <c r="AN341" s="213"/>
      <c r="AO341" s="213"/>
      <c r="AP341" s="213"/>
      <c r="AQ341" s="213"/>
      <c r="AR341" s="213"/>
      <c r="AS341" s="213"/>
      <c r="AT341" s="213"/>
      <c r="AU341" s="213"/>
      <c r="AV341" s="213"/>
      <c r="AW341" s="213"/>
      <c r="AX341" s="213"/>
      <c r="AY341" s="213"/>
      <c r="AZ341" s="213"/>
      <c r="BA341" s="213"/>
      <c r="BB341" s="213"/>
      <c r="BC341" s="213"/>
      <c r="BD341" s="213"/>
      <c r="BE341" s="213"/>
      <c r="BF341" s="213"/>
      <c r="BG341" s="213"/>
      <c r="BH341" s="213"/>
      <c r="BI341" s="213"/>
      <c r="BJ341" s="213"/>
      <c r="BK341" s="213"/>
      <c r="BL341" s="213"/>
      <c r="BM341" s="213"/>
      <c r="BN341" s="215"/>
      <c r="BO341" s="213"/>
      <c r="BP341" s="213"/>
      <c r="BQ341" s="213"/>
      <c r="BR341" s="326"/>
      <c r="BS341" s="213"/>
      <c r="BT341" s="213"/>
      <c r="BU341" s="213"/>
      <c r="BV341" s="213"/>
      <c r="BW341" s="213"/>
      <c r="BX341" s="213"/>
      <c r="BY341" s="213"/>
      <c r="BZ341" s="213"/>
      <c r="CA341" s="213"/>
      <c r="CB341" s="213"/>
      <c r="CC341" s="213"/>
      <c r="CD341" s="213"/>
      <c r="CE341" s="213"/>
      <c r="CF341" s="213"/>
      <c r="CG341" s="213"/>
      <c r="CH341" s="213"/>
      <c r="CI341" s="213"/>
      <c r="CJ341" s="213"/>
      <c r="CK341" s="213"/>
      <c r="CL341" s="213"/>
      <c r="CM341" s="213"/>
      <c r="CN341" s="213"/>
      <c r="CO341" s="213"/>
      <c r="CP341" s="213"/>
      <c r="CQ341" s="213"/>
      <c r="CR341" s="213"/>
      <c r="CS341" s="213"/>
      <c r="CT341" s="213"/>
      <c r="CU341" s="213"/>
    </row>
    <row r="342" ht="15.75" customHeight="1">
      <c r="A342" s="213"/>
      <c r="B342" s="213"/>
      <c r="C342" s="213"/>
      <c r="D342" s="213"/>
      <c r="E342" s="213"/>
      <c r="F342" s="213"/>
      <c r="G342" s="213"/>
      <c r="H342" s="213"/>
      <c r="I342" s="213"/>
      <c r="J342" s="213"/>
      <c r="K342" s="213"/>
      <c r="L342" s="213"/>
      <c r="M342" s="213"/>
      <c r="N342" s="213"/>
      <c r="O342" s="213"/>
      <c r="P342" s="213"/>
      <c r="Q342" s="213"/>
      <c r="R342" s="213"/>
      <c r="S342" s="213"/>
      <c r="T342" s="213"/>
      <c r="U342" s="213"/>
      <c r="V342" s="213"/>
      <c r="W342" s="213"/>
      <c r="X342" s="213"/>
      <c r="Y342" s="213"/>
      <c r="Z342" s="213"/>
      <c r="AA342" s="213"/>
      <c r="AB342" s="213"/>
      <c r="AC342" s="213"/>
      <c r="AD342" s="213"/>
      <c r="AE342" s="213"/>
      <c r="AF342" s="213"/>
      <c r="AG342" s="213"/>
      <c r="AH342" s="213"/>
      <c r="AI342" s="213"/>
      <c r="AJ342" s="213"/>
      <c r="AK342" s="213"/>
      <c r="AL342" s="213"/>
      <c r="AM342" s="213"/>
      <c r="AN342" s="213"/>
      <c r="AO342" s="213"/>
      <c r="AP342" s="213"/>
      <c r="AQ342" s="213"/>
      <c r="AR342" s="213"/>
      <c r="AS342" s="213"/>
      <c r="AT342" s="213"/>
      <c r="AU342" s="213"/>
      <c r="AV342" s="213"/>
      <c r="AW342" s="213"/>
      <c r="AX342" s="213"/>
      <c r="AY342" s="213"/>
      <c r="AZ342" s="213"/>
      <c r="BA342" s="213"/>
      <c r="BB342" s="213"/>
      <c r="BC342" s="213"/>
      <c r="BD342" s="213"/>
      <c r="BE342" s="213"/>
      <c r="BF342" s="213"/>
      <c r="BG342" s="213"/>
      <c r="BH342" s="213"/>
      <c r="BI342" s="213"/>
      <c r="BJ342" s="213"/>
      <c r="BK342" s="213"/>
      <c r="BL342" s="213"/>
      <c r="BM342" s="213"/>
      <c r="BN342" s="215"/>
      <c r="BO342" s="213"/>
      <c r="BP342" s="213"/>
      <c r="BQ342" s="213"/>
      <c r="BR342" s="326"/>
      <c r="BS342" s="213"/>
      <c r="BT342" s="213"/>
      <c r="BU342" s="213"/>
      <c r="BV342" s="213"/>
      <c r="BW342" s="213"/>
      <c r="BX342" s="213"/>
      <c r="BY342" s="213"/>
      <c r="BZ342" s="213"/>
      <c r="CA342" s="213"/>
      <c r="CB342" s="213"/>
      <c r="CC342" s="213"/>
      <c r="CD342" s="213"/>
      <c r="CE342" s="213"/>
      <c r="CF342" s="213"/>
      <c r="CG342" s="213"/>
      <c r="CH342" s="213"/>
      <c r="CI342" s="213"/>
      <c r="CJ342" s="213"/>
      <c r="CK342" s="213"/>
      <c r="CL342" s="213"/>
      <c r="CM342" s="213"/>
      <c r="CN342" s="213"/>
      <c r="CO342" s="213"/>
      <c r="CP342" s="213"/>
      <c r="CQ342" s="213"/>
      <c r="CR342" s="213"/>
      <c r="CS342" s="213"/>
      <c r="CT342" s="213"/>
      <c r="CU342" s="213"/>
    </row>
    <row r="343" ht="15.75" customHeight="1">
      <c r="A343" s="213"/>
      <c r="B343" s="213"/>
      <c r="C343" s="213"/>
      <c r="D343" s="213"/>
      <c r="E343" s="213"/>
      <c r="F343" s="213"/>
      <c r="G343" s="213"/>
      <c r="H343" s="213"/>
      <c r="I343" s="213"/>
      <c r="J343" s="213"/>
      <c r="K343" s="213"/>
      <c r="L343" s="213"/>
      <c r="M343" s="213"/>
      <c r="N343" s="213"/>
      <c r="O343" s="213"/>
      <c r="P343" s="213"/>
      <c r="Q343" s="213"/>
      <c r="R343" s="213"/>
      <c r="S343" s="213"/>
      <c r="T343" s="213"/>
      <c r="U343" s="213"/>
      <c r="V343" s="213"/>
      <c r="W343" s="213"/>
      <c r="X343" s="213"/>
      <c r="Y343" s="213"/>
      <c r="Z343" s="213"/>
      <c r="AA343" s="213"/>
      <c r="AB343" s="213"/>
      <c r="AC343" s="213"/>
      <c r="AD343" s="213"/>
      <c r="AE343" s="213"/>
      <c r="AF343" s="213"/>
      <c r="AG343" s="213"/>
      <c r="AH343" s="213"/>
      <c r="AI343" s="213"/>
      <c r="AJ343" s="213"/>
      <c r="AK343" s="213"/>
      <c r="AL343" s="213"/>
      <c r="AM343" s="213"/>
      <c r="AN343" s="213"/>
      <c r="AO343" s="213"/>
      <c r="AP343" s="213"/>
      <c r="AQ343" s="213"/>
      <c r="AR343" s="213"/>
      <c r="AS343" s="213"/>
      <c r="AT343" s="213"/>
      <c r="AU343" s="213"/>
      <c r="AV343" s="213"/>
      <c r="AW343" s="213"/>
      <c r="AX343" s="213"/>
      <c r="AY343" s="213"/>
      <c r="AZ343" s="213"/>
      <c r="BA343" s="213"/>
      <c r="BB343" s="213"/>
      <c r="BC343" s="213"/>
      <c r="BD343" s="213"/>
      <c r="BE343" s="213"/>
      <c r="BF343" s="213"/>
      <c r="BG343" s="213"/>
      <c r="BH343" s="213"/>
      <c r="BI343" s="213"/>
      <c r="BJ343" s="213"/>
      <c r="BK343" s="213"/>
      <c r="BL343" s="213"/>
      <c r="BM343" s="213"/>
      <c r="BN343" s="215"/>
      <c r="BO343" s="213"/>
      <c r="BP343" s="213"/>
      <c r="BQ343" s="213"/>
      <c r="BR343" s="326"/>
      <c r="BS343" s="213"/>
      <c r="BT343" s="213"/>
      <c r="BU343" s="213"/>
      <c r="BV343" s="213"/>
      <c r="BW343" s="213"/>
      <c r="BX343" s="213"/>
      <c r="BY343" s="213"/>
      <c r="BZ343" s="213"/>
      <c r="CA343" s="213"/>
      <c r="CB343" s="213"/>
      <c r="CC343" s="213"/>
      <c r="CD343" s="213"/>
      <c r="CE343" s="213"/>
      <c r="CF343" s="213"/>
      <c r="CG343" s="213"/>
      <c r="CH343" s="213"/>
      <c r="CI343" s="213"/>
      <c r="CJ343" s="213"/>
      <c r="CK343" s="213"/>
      <c r="CL343" s="213"/>
      <c r="CM343" s="213"/>
      <c r="CN343" s="213"/>
      <c r="CO343" s="213"/>
      <c r="CP343" s="213"/>
      <c r="CQ343" s="213"/>
      <c r="CR343" s="213"/>
      <c r="CS343" s="213"/>
      <c r="CT343" s="213"/>
      <c r="CU343" s="213"/>
    </row>
    <row r="344" ht="15.75" customHeight="1">
      <c r="A344" s="213"/>
      <c r="B344" s="213"/>
      <c r="C344" s="213"/>
      <c r="D344" s="213"/>
      <c r="E344" s="213"/>
      <c r="F344" s="213"/>
      <c r="G344" s="213"/>
      <c r="H344" s="213"/>
      <c r="I344" s="213"/>
      <c r="J344" s="213"/>
      <c r="K344" s="213"/>
      <c r="L344" s="213"/>
      <c r="M344" s="213"/>
      <c r="N344" s="213"/>
      <c r="O344" s="213"/>
      <c r="P344" s="213"/>
      <c r="Q344" s="213"/>
      <c r="R344" s="213"/>
      <c r="S344" s="213"/>
      <c r="T344" s="213"/>
      <c r="U344" s="213"/>
      <c r="V344" s="213"/>
      <c r="W344" s="213"/>
      <c r="X344" s="213"/>
      <c r="Y344" s="213"/>
      <c r="Z344" s="213"/>
      <c r="AA344" s="213"/>
      <c r="AB344" s="213"/>
      <c r="AC344" s="213"/>
      <c r="AD344" s="213"/>
      <c r="AE344" s="213"/>
      <c r="AF344" s="213"/>
      <c r="AG344" s="213"/>
      <c r="AH344" s="213"/>
      <c r="AI344" s="213"/>
      <c r="AJ344" s="213"/>
      <c r="AK344" s="213"/>
      <c r="AL344" s="213"/>
      <c r="AM344" s="213"/>
      <c r="AN344" s="213"/>
      <c r="AO344" s="213"/>
      <c r="AP344" s="213"/>
      <c r="AQ344" s="213"/>
      <c r="AR344" s="213"/>
      <c r="AS344" s="213"/>
      <c r="AT344" s="213"/>
      <c r="AU344" s="213"/>
      <c r="AV344" s="213"/>
      <c r="AW344" s="213"/>
      <c r="AX344" s="213"/>
      <c r="AY344" s="213"/>
      <c r="AZ344" s="213"/>
      <c r="BA344" s="213"/>
      <c r="BB344" s="213"/>
      <c r="BC344" s="213"/>
      <c r="BD344" s="213"/>
      <c r="BE344" s="213"/>
      <c r="BF344" s="213"/>
      <c r="BG344" s="213"/>
      <c r="BH344" s="213"/>
      <c r="BI344" s="213"/>
      <c r="BJ344" s="213"/>
      <c r="BK344" s="213"/>
      <c r="BL344" s="213"/>
      <c r="BM344" s="213"/>
      <c r="BN344" s="215"/>
      <c r="BO344" s="213"/>
      <c r="BP344" s="213"/>
      <c r="BQ344" s="213"/>
      <c r="BR344" s="326"/>
      <c r="BS344" s="213"/>
      <c r="BT344" s="213"/>
      <c r="BU344" s="213"/>
      <c r="BV344" s="213"/>
      <c r="BW344" s="213"/>
      <c r="BX344" s="213"/>
      <c r="BY344" s="213"/>
      <c r="BZ344" s="213"/>
      <c r="CA344" s="213"/>
      <c r="CB344" s="213"/>
      <c r="CC344" s="213"/>
      <c r="CD344" s="213"/>
      <c r="CE344" s="213"/>
      <c r="CF344" s="213"/>
      <c r="CG344" s="213"/>
      <c r="CH344" s="213"/>
      <c r="CI344" s="213"/>
      <c r="CJ344" s="213"/>
      <c r="CK344" s="213"/>
      <c r="CL344" s="213"/>
      <c r="CM344" s="213"/>
      <c r="CN344" s="213"/>
      <c r="CO344" s="213"/>
      <c r="CP344" s="213"/>
      <c r="CQ344" s="213"/>
      <c r="CR344" s="213"/>
      <c r="CS344" s="213"/>
      <c r="CT344" s="213"/>
      <c r="CU344" s="213"/>
    </row>
    <row r="345" ht="15.75" customHeight="1">
      <c r="A345" s="213"/>
      <c r="B345" s="213"/>
      <c r="C345" s="213"/>
      <c r="D345" s="213"/>
      <c r="E345" s="213"/>
      <c r="F345" s="213"/>
      <c r="G345" s="213"/>
      <c r="H345" s="213"/>
      <c r="I345" s="213"/>
      <c r="J345" s="213"/>
      <c r="K345" s="213"/>
      <c r="L345" s="213"/>
      <c r="M345" s="213"/>
      <c r="N345" s="213"/>
      <c r="O345" s="213"/>
      <c r="P345" s="213"/>
      <c r="Q345" s="213"/>
      <c r="R345" s="213"/>
      <c r="S345" s="213"/>
      <c r="T345" s="213"/>
      <c r="U345" s="213"/>
      <c r="V345" s="213"/>
      <c r="W345" s="213"/>
      <c r="X345" s="213"/>
      <c r="Y345" s="213"/>
      <c r="Z345" s="213"/>
      <c r="AA345" s="213"/>
      <c r="AB345" s="213"/>
      <c r="AC345" s="213"/>
      <c r="AD345" s="213"/>
      <c r="AE345" s="213"/>
      <c r="AF345" s="213"/>
      <c r="AG345" s="213"/>
      <c r="AH345" s="213"/>
      <c r="AI345" s="213"/>
      <c r="AJ345" s="213"/>
      <c r="AK345" s="213"/>
      <c r="AL345" s="213"/>
      <c r="AM345" s="213"/>
      <c r="AN345" s="213"/>
      <c r="AO345" s="213"/>
      <c r="AP345" s="213"/>
      <c r="AQ345" s="213"/>
      <c r="AR345" s="213"/>
      <c r="AS345" s="213"/>
      <c r="AT345" s="213"/>
      <c r="AU345" s="213"/>
      <c r="AV345" s="213"/>
      <c r="AW345" s="213"/>
      <c r="AX345" s="213"/>
      <c r="AY345" s="213"/>
      <c r="AZ345" s="213"/>
      <c r="BA345" s="213"/>
      <c r="BB345" s="213"/>
      <c r="BC345" s="213"/>
      <c r="BD345" s="213"/>
      <c r="BE345" s="213"/>
      <c r="BF345" s="213"/>
      <c r="BG345" s="213"/>
      <c r="BH345" s="213"/>
      <c r="BI345" s="213"/>
      <c r="BJ345" s="213"/>
      <c r="BK345" s="213"/>
      <c r="BL345" s="213"/>
      <c r="BM345" s="213"/>
      <c r="BN345" s="215"/>
      <c r="BO345" s="213"/>
      <c r="BP345" s="213"/>
      <c r="BQ345" s="213"/>
      <c r="BR345" s="326"/>
      <c r="BS345" s="213"/>
      <c r="BT345" s="213"/>
      <c r="BU345" s="213"/>
      <c r="BV345" s="213"/>
      <c r="BW345" s="213"/>
      <c r="BX345" s="213"/>
      <c r="BY345" s="213"/>
      <c r="BZ345" s="213"/>
      <c r="CA345" s="213"/>
      <c r="CB345" s="213"/>
      <c r="CC345" s="213"/>
      <c r="CD345" s="213"/>
      <c r="CE345" s="213"/>
      <c r="CF345" s="213"/>
      <c r="CG345" s="213"/>
      <c r="CH345" s="213"/>
      <c r="CI345" s="213"/>
      <c r="CJ345" s="213"/>
      <c r="CK345" s="213"/>
      <c r="CL345" s="213"/>
      <c r="CM345" s="213"/>
      <c r="CN345" s="213"/>
      <c r="CO345" s="213"/>
      <c r="CP345" s="213"/>
      <c r="CQ345" s="213"/>
      <c r="CR345" s="213"/>
      <c r="CS345" s="213"/>
      <c r="CT345" s="213"/>
      <c r="CU345" s="213"/>
    </row>
    <row r="346" ht="15.75" customHeight="1">
      <c r="A346" s="213"/>
      <c r="B346" s="213"/>
      <c r="C346" s="213"/>
      <c r="D346" s="213"/>
      <c r="E346" s="213"/>
      <c r="F346" s="213"/>
      <c r="G346" s="213"/>
      <c r="H346" s="213"/>
      <c r="I346" s="213"/>
      <c r="J346" s="213"/>
      <c r="K346" s="213"/>
      <c r="L346" s="213"/>
      <c r="M346" s="213"/>
      <c r="N346" s="213"/>
      <c r="O346" s="213"/>
      <c r="P346" s="213"/>
      <c r="Q346" s="213"/>
      <c r="R346" s="213"/>
      <c r="S346" s="213"/>
      <c r="T346" s="213"/>
      <c r="U346" s="213"/>
      <c r="V346" s="213"/>
      <c r="W346" s="213"/>
      <c r="X346" s="213"/>
      <c r="Y346" s="213"/>
      <c r="Z346" s="213"/>
      <c r="AA346" s="213"/>
      <c r="AB346" s="213"/>
      <c r="AC346" s="213"/>
      <c r="AD346" s="213"/>
      <c r="AE346" s="213"/>
      <c r="AF346" s="213"/>
      <c r="AG346" s="213"/>
      <c r="AH346" s="213"/>
      <c r="AI346" s="213"/>
      <c r="AJ346" s="213"/>
      <c r="AK346" s="213"/>
      <c r="AL346" s="213"/>
      <c r="AM346" s="213"/>
      <c r="AN346" s="213"/>
      <c r="AO346" s="213"/>
      <c r="AP346" s="213"/>
      <c r="AQ346" s="213"/>
      <c r="AR346" s="213"/>
      <c r="AS346" s="213"/>
      <c r="AT346" s="213"/>
      <c r="AU346" s="213"/>
      <c r="AV346" s="213"/>
      <c r="AW346" s="213"/>
      <c r="AX346" s="213"/>
      <c r="AY346" s="213"/>
      <c r="AZ346" s="213"/>
      <c r="BA346" s="213"/>
      <c r="BB346" s="213"/>
      <c r="BC346" s="213"/>
      <c r="BD346" s="213"/>
      <c r="BE346" s="213"/>
      <c r="BF346" s="213"/>
      <c r="BG346" s="213"/>
      <c r="BH346" s="213"/>
      <c r="BI346" s="213"/>
      <c r="BJ346" s="213"/>
      <c r="BK346" s="213"/>
      <c r="BL346" s="213"/>
      <c r="BM346" s="213"/>
      <c r="BN346" s="215"/>
      <c r="BO346" s="213"/>
      <c r="BP346" s="213"/>
      <c r="BQ346" s="213"/>
      <c r="BR346" s="326"/>
      <c r="BS346" s="213"/>
      <c r="BT346" s="213"/>
      <c r="BU346" s="213"/>
      <c r="BV346" s="213"/>
      <c r="BW346" s="213"/>
      <c r="BX346" s="213"/>
      <c r="BY346" s="213"/>
      <c r="BZ346" s="213"/>
      <c r="CA346" s="213"/>
      <c r="CB346" s="213"/>
      <c r="CC346" s="213"/>
      <c r="CD346" s="213"/>
      <c r="CE346" s="213"/>
      <c r="CF346" s="213"/>
      <c r="CG346" s="213"/>
      <c r="CH346" s="213"/>
      <c r="CI346" s="213"/>
      <c r="CJ346" s="213"/>
      <c r="CK346" s="213"/>
      <c r="CL346" s="213"/>
      <c r="CM346" s="213"/>
      <c r="CN346" s="213"/>
      <c r="CO346" s="213"/>
      <c r="CP346" s="213"/>
      <c r="CQ346" s="213"/>
      <c r="CR346" s="213"/>
      <c r="CS346" s="213"/>
      <c r="CT346" s="213"/>
      <c r="CU346" s="213"/>
    </row>
    <row r="347" ht="15.75" customHeight="1">
      <c r="A347" s="213"/>
      <c r="B347" s="213"/>
      <c r="C347" s="213"/>
      <c r="D347" s="213"/>
      <c r="E347" s="213"/>
      <c r="F347" s="213"/>
      <c r="G347" s="213"/>
      <c r="H347" s="213"/>
      <c r="I347" s="213"/>
      <c r="J347" s="213"/>
      <c r="K347" s="213"/>
      <c r="L347" s="213"/>
      <c r="M347" s="213"/>
      <c r="N347" s="213"/>
      <c r="O347" s="213"/>
      <c r="P347" s="213"/>
      <c r="Q347" s="213"/>
      <c r="R347" s="213"/>
      <c r="S347" s="213"/>
      <c r="T347" s="213"/>
      <c r="U347" s="213"/>
      <c r="V347" s="213"/>
      <c r="W347" s="213"/>
      <c r="X347" s="213"/>
      <c r="Y347" s="213"/>
      <c r="Z347" s="213"/>
      <c r="AA347" s="213"/>
      <c r="AB347" s="213"/>
      <c r="AC347" s="213"/>
      <c r="AD347" s="213"/>
      <c r="AE347" s="213"/>
      <c r="AF347" s="213"/>
      <c r="AG347" s="213"/>
      <c r="AH347" s="213"/>
      <c r="AI347" s="213"/>
      <c r="AJ347" s="213"/>
      <c r="AK347" s="213"/>
      <c r="AL347" s="213"/>
      <c r="AM347" s="213"/>
      <c r="AN347" s="213"/>
      <c r="AO347" s="213"/>
      <c r="AP347" s="213"/>
      <c r="AQ347" s="213"/>
      <c r="AR347" s="213"/>
      <c r="AS347" s="213"/>
      <c r="AT347" s="213"/>
      <c r="AU347" s="213"/>
      <c r="AV347" s="213"/>
      <c r="AW347" s="213"/>
      <c r="AX347" s="213"/>
      <c r="AY347" s="213"/>
      <c r="AZ347" s="213"/>
      <c r="BA347" s="213"/>
      <c r="BB347" s="213"/>
      <c r="BC347" s="213"/>
      <c r="BD347" s="213"/>
      <c r="BE347" s="213"/>
      <c r="BF347" s="213"/>
      <c r="BG347" s="213"/>
      <c r="BH347" s="213"/>
      <c r="BI347" s="213"/>
      <c r="BJ347" s="213"/>
      <c r="BK347" s="213"/>
      <c r="BL347" s="213"/>
      <c r="BM347" s="213"/>
      <c r="BN347" s="215"/>
      <c r="BO347" s="213"/>
      <c r="BP347" s="213"/>
      <c r="BQ347" s="213"/>
      <c r="BR347" s="326"/>
      <c r="BS347" s="213"/>
      <c r="BT347" s="213"/>
      <c r="BU347" s="213"/>
      <c r="BV347" s="213"/>
      <c r="BW347" s="213"/>
      <c r="BX347" s="213"/>
      <c r="BY347" s="213"/>
      <c r="BZ347" s="213"/>
      <c r="CA347" s="213"/>
      <c r="CB347" s="213"/>
      <c r="CC347" s="213"/>
      <c r="CD347" s="213"/>
      <c r="CE347" s="213"/>
      <c r="CF347" s="213"/>
      <c r="CG347" s="213"/>
      <c r="CH347" s="213"/>
      <c r="CI347" s="213"/>
      <c r="CJ347" s="213"/>
      <c r="CK347" s="213"/>
      <c r="CL347" s="213"/>
      <c r="CM347" s="213"/>
      <c r="CN347" s="213"/>
      <c r="CO347" s="213"/>
      <c r="CP347" s="213"/>
      <c r="CQ347" s="213"/>
      <c r="CR347" s="213"/>
      <c r="CS347" s="213"/>
      <c r="CT347" s="213"/>
      <c r="CU347" s="213"/>
    </row>
    <row r="348" ht="15.75" customHeight="1">
      <c r="A348" s="213"/>
      <c r="B348" s="213"/>
      <c r="C348" s="213"/>
      <c r="D348" s="213"/>
      <c r="E348" s="213"/>
      <c r="F348" s="213"/>
      <c r="G348" s="213"/>
      <c r="H348" s="213"/>
      <c r="I348" s="213"/>
      <c r="J348" s="213"/>
      <c r="K348" s="213"/>
      <c r="L348" s="213"/>
      <c r="M348" s="213"/>
      <c r="N348" s="213"/>
      <c r="O348" s="213"/>
      <c r="P348" s="213"/>
      <c r="Q348" s="213"/>
      <c r="R348" s="213"/>
      <c r="S348" s="213"/>
      <c r="T348" s="213"/>
      <c r="U348" s="213"/>
      <c r="V348" s="213"/>
      <c r="W348" s="213"/>
      <c r="X348" s="213"/>
      <c r="Y348" s="213"/>
      <c r="Z348" s="213"/>
      <c r="AA348" s="213"/>
      <c r="AB348" s="213"/>
      <c r="AC348" s="213"/>
      <c r="AD348" s="213"/>
      <c r="AE348" s="213"/>
      <c r="AF348" s="213"/>
      <c r="AG348" s="213"/>
      <c r="AH348" s="213"/>
      <c r="AI348" s="213"/>
      <c r="AJ348" s="213"/>
      <c r="AK348" s="213"/>
      <c r="AL348" s="213"/>
      <c r="AM348" s="213"/>
      <c r="AN348" s="213"/>
      <c r="AO348" s="213"/>
      <c r="AP348" s="213"/>
      <c r="AQ348" s="213"/>
      <c r="AR348" s="213"/>
      <c r="AS348" s="213"/>
      <c r="AT348" s="213"/>
      <c r="AU348" s="213"/>
      <c r="AV348" s="213"/>
      <c r="AW348" s="213"/>
      <c r="AX348" s="213"/>
      <c r="AY348" s="213"/>
      <c r="AZ348" s="213"/>
      <c r="BA348" s="213"/>
      <c r="BB348" s="213"/>
      <c r="BC348" s="213"/>
      <c r="BD348" s="213"/>
      <c r="BE348" s="213"/>
      <c r="BF348" s="213"/>
      <c r="BG348" s="213"/>
      <c r="BH348" s="213"/>
      <c r="BI348" s="213"/>
      <c r="BJ348" s="213"/>
      <c r="BK348" s="213"/>
      <c r="BL348" s="213"/>
      <c r="BM348" s="213"/>
      <c r="BN348" s="215"/>
      <c r="BO348" s="213"/>
      <c r="BP348" s="213"/>
      <c r="BQ348" s="213"/>
      <c r="BR348" s="326"/>
      <c r="BS348" s="213"/>
      <c r="BT348" s="213"/>
      <c r="BU348" s="213"/>
      <c r="BV348" s="213"/>
      <c r="BW348" s="213"/>
      <c r="BX348" s="213"/>
      <c r="BY348" s="213"/>
      <c r="BZ348" s="213"/>
      <c r="CA348" s="213"/>
      <c r="CB348" s="213"/>
      <c r="CC348" s="213"/>
      <c r="CD348" s="213"/>
      <c r="CE348" s="213"/>
      <c r="CF348" s="213"/>
      <c r="CG348" s="213"/>
      <c r="CH348" s="213"/>
      <c r="CI348" s="213"/>
      <c r="CJ348" s="213"/>
      <c r="CK348" s="213"/>
      <c r="CL348" s="213"/>
      <c r="CM348" s="213"/>
      <c r="CN348" s="213"/>
      <c r="CO348" s="213"/>
      <c r="CP348" s="213"/>
      <c r="CQ348" s="213"/>
      <c r="CR348" s="213"/>
      <c r="CS348" s="213"/>
      <c r="CT348" s="213"/>
      <c r="CU348" s="213"/>
    </row>
    <row r="349" ht="15.75" customHeight="1">
      <c r="A349" s="213"/>
      <c r="B349" s="213"/>
      <c r="C349" s="213"/>
      <c r="D349" s="213"/>
      <c r="E349" s="213"/>
      <c r="F349" s="213"/>
      <c r="G349" s="213"/>
      <c r="H349" s="213"/>
      <c r="I349" s="213"/>
      <c r="J349" s="213"/>
      <c r="K349" s="213"/>
      <c r="L349" s="213"/>
      <c r="M349" s="213"/>
      <c r="N349" s="213"/>
      <c r="O349" s="213"/>
      <c r="P349" s="213"/>
      <c r="Q349" s="213"/>
      <c r="R349" s="213"/>
      <c r="S349" s="213"/>
      <c r="T349" s="213"/>
      <c r="U349" s="213"/>
      <c r="V349" s="213"/>
      <c r="W349" s="213"/>
      <c r="X349" s="213"/>
      <c r="Y349" s="213"/>
      <c r="Z349" s="213"/>
      <c r="AA349" s="213"/>
      <c r="AB349" s="213"/>
      <c r="AC349" s="213"/>
      <c r="AD349" s="213"/>
      <c r="AE349" s="213"/>
      <c r="AF349" s="213"/>
      <c r="AG349" s="213"/>
      <c r="AH349" s="213"/>
      <c r="AI349" s="213"/>
      <c r="AJ349" s="213"/>
      <c r="AK349" s="213"/>
      <c r="AL349" s="213"/>
      <c r="AM349" s="213"/>
      <c r="AN349" s="213"/>
      <c r="AO349" s="213"/>
      <c r="AP349" s="213"/>
      <c r="AQ349" s="213"/>
      <c r="AR349" s="213"/>
      <c r="AS349" s="213"/>
      <c r="AT349" s="213"/>
      <c r="AU349" s="213"/>
      <c r="AV349" s="213"/>
      <c r="AW349" s="213"/>
      <c r="AX349" s="213"/>
      <c r="AY349" s="213"/>
      <c r="AZ349" s="213"/>
      <c r="BA349" s="213"/>
      <c r="BB349" s="213"/>
      <c r="BC349" s="213"/>
      <c r="BD349" s="213"/>
      <c r="BE349" s="213"/>
      <c r="BF349" s="213"/>
      <c r="BG349" s="213"/>
      <c r="BH349" s="213"/>
      <c r="BI349" s="213"/>
      <c r="BJ349" s="213"/>
      <c r="BK349" s="213"/>
      <c r="BL349" s="213"/>
      <c r="BM349" s="213"/>
      <c r="BN349" s="215"/>
      <c r="BO349" s="213"/>
      <c r="BP349" s="213"/>
      <c r="BQ349" s="213"/>
      <c r="BR349" s="326"/>
      <c r="BS349" s="213"/>
      <c r="BT349" s="213"/>
      <c r="BU349" s="213"/>
      <c r="BV349" s="213"/>
      <c r="BW349" s="213"/>
      <c r="BX349" s="213"/>
      <c r="BY349" s="213"/>
      <c r="BZ349" s="213"/>
      <c r="CA349" s="213"/>
      <c r="CB349" s="213"/>
      <c r="CC349" s="213"/>
      <c r="CD349" s="213"/>
      <c r="CE349" s="213"/>
      <c r="CF349" s="213"/>
      <c r="CG349" s="213"/>
      <c r="CH349" s="213"/>
      <c r="CI349" s="213"/>
      <c r="CJ349" s="213"/>
      <c r="CK349" s="213"/>
      <c r="CL349" s="213"/>
      <c r="CM349" s="213"/>
      <c r="CN349" s="213"/>
      <c r="CO349" s="213"/>
      <c r="CP349" s="213"/>
      <c r="CQ349" s="213"/>
      <c r="CR349" s="213"/>
      <c r="CS349" s="213"/>
      <c r="CT349" s="213"/>
      <c r="CU349" s="213"/>
    </row>
    <row r="350" ht="15.75" customHeight="1">
      <c r="A350" s="213"/>
      <c r="B350" s="213"/>
      <c r="C350" s="213"/>
      <c r="D350" s="213"/>
      <c r="E350" s="213"/>
      <c r="F350" s="213"/>
      <c r="G350" s="213"/>
      <c r="H350" s="213"/>
      <c r="I350" s="213"/>
      <c r="J350" s="213"/>
      <c r="K350" s="213"/>
      <c r="L350" s="213"/>
      <c r="M350" s="213"/>
      <c r="N350" s="213"/>
      <c r="O350" s="213"/>
      <c r="P350" s="213"/>
      <c r="Q350" s="213"/>
      <c r="R350" s="213"/>
      <c r="S350" s="213"/>
      <c r="T350" s="213"/>
      <c r="U350" s="213"/>
      <c r="V350" s="213"/>
      <c r="W350" s="213"/>
      <c r="X350" s="213"/>
      <c r="Y350" s="213"/>
      <c r="Z350" s="213"/>
      <c r="AA350" s="213"/>
      <c r="AB350" s="213"/>
      <c r="AC350" s="213"/>
      <c r="AD350" s="213"/>
      <c r="AE350" s="213"/>
      <c r="AF350" s="213"/>
      <c r="AG350" s="213"/>
      <c r="AH350" s="213"/>
      <c r="AI350" s="213"/>
      <c r="AJ350" s="213"/>
      <c r="AK350" s="213"/>
      <c r="AL350" s="213"/>
      <c r="AM350" s="213"/>
      <c r="AN350" s="213"/>
      <c r="AO350" s="213"/>
      <c r="AP350" s="213"/>
      <c r="AQ350" s="213"/>
      <c r="AR350" s="213"/>
      <c r="AS350" s="213"/>
      <c r="AT350" s="213"/>
      <c r="AU350" s="213"/>
      <c r="AV350" s="213"/>
      <c r="AW350" s="213"/>
      <c r="AX350" s="213"/>
      <c r="AY350" s="213"/>
      <c r="AZ350" s="213"/>
      <c r="BA350" s="213"/>
      <c r="BB350" s="213"/>
      <c r="BC350" s="213"/>
      <c r="BD350" s="213"/>
      <c r="BE350" s="213"/>
      <c r="BF350" s="213"/>
      <c r="BG350" s="213"/>
      <c r="BH350" s="213"/>
      <c r="BI350" s="213"/>
      <c r="BJ350" s="213"/>
      <c r="BK350" s="213"/>
      <c r="BL350" s="213"/>
      <c r="BM350" s="213"/>
      <c r="BN350" s="215"/>
      <c r="BO350" s="213"/>
      <c r="BP350" s="213"/>
      <c r="BQ350" s="213"/>
      <c r="BR350" s="326"/>
      <c r="BS350" s="213"/>
      <c r="BT350" s="213"/>
      <c r="BU350" s="213"/>
      <c r="BV350" s="213"/>
      <c r="BW350" s="213"/>
      <c r="BX350" s="213"/>
      <c r="BY350" s="213"/>
      <c r="BZ350" s="213"/>
      <c r="CA350" s="213"/>
      <c r="CB350" s="213"/>
      <c r="CC350" s="213"/>
      <c r="CD350" s="213"/>
      <c r="CE350" s="213"/>
      <c r="CF350" s="213"/>
      <c r="CG350" s="213"/>
      <c r="CH350" s="213"/>
      <c r="CI350" s="213"/>
      <c r="CJ350" s="213"/>
      <c r="CK350" s="213"/>
      <c r="CL350" s="213"/>
      <c r="CM350" s="213"/>
      <c r="CN350" s="213"/>
      <c r="CO350" s="213"/>
      <c r="CP350" s="213"/>
      <c r="CQ350" s="213"/>
      <c r="CR350" s="213"/>
      <c r="CS350" s="213"/>
      <c r="CT350" s="213"/>
      <c r="CU350" s="213"/>
    </row>
    <row r="351" ht="15.75" customHeight="1">
      <c r="A351" s="213"/>
      <c r="B351" s="213"/>
      <c r="C351" s="213"/>
      <c r="D351" s="213"/>
      <c r="E351" s="213"/>
      <c r="F351" s="213"/>
      <c r="G351" s="213"/>
      <c r="H351" s="213"/>
      <c r="I351" s="213"/>
      <c r="J351" s="213"/>
      <c r="K351" s="213"/>
      <c r="L351" s="213"/>
      <c r="M351" s="213"/>
      <c r="N351" s="213"/>
      <c r="O351" s="213"/>
      <c r="P351" s="213"/>
      <c r="Q351" s="213"/>
      <c r="R351" s="213"/>
      <c r="S351" s="213"/>
      <c r="T351" s="213"/>
      <c r="U351" s="213"/>
      <c r="V351" s="213"/>
      <c r="W351" s="213"/>
      <c r="X351" s="213"/>
      <c r="Y351" s="213"/>
      <c r="Z351" s="213"/>
      <c r="AA351" s="213"/>
      <c r="AB351" s="213"/>
      <c r="AC351" s="213"/>
      <c r="AD351" s="213"/>
      <c r="AE351" s="213"/>
      <c r="AF351" s="213"/>
      <c r="AG351" s="213"/>
      <c r="AH351" s="213"/>
      <c r="AI351" s="213"/>
      <c r="AJ351" s="213"/>
      <c r="AK351" s="213"/>
      <c r="AL351" s="213"/>
      <c r="AM351" s="213"/>
      <c r="AN351" s="213"/>
      <c r="AO351" s="213"/>
      <c r="AP351" s="213"/>
      <c r="AQ351" s="213"/>
      <c r="AR351" s="213"/>
      <c r="AS351" s="213"/>
      <c r="AT351" s="213"/>
      <c r="AU351" s="213"/>
      <c r="AV351" s="213"/>
      <c r="AW351" s="213"/>
      <c r="AX351" s="213"/>
      <c r="AY351" s="213"/>
      <c r="AZ351" s="213"/>
      <c r="BA351" s="213"/>
      <c r="BB351" s="213"/>
      <c r="BC351" s="213"/>
      <c r="BD351" s="213"/>
      <c r="BE351" s="213"/>
      <c r="BF351" s="213"/>
      <c r="BG351" s="213"/>
      <c r="BH351" s="213"/>
      <c r="BI351" s="213"/>
      <c r="BJ351" s="213"/>
      <c r="BK351" s="213"/>
      <c r="BL351" s="213"/>
      <c r="BM351" s="213"/>
      <c r="BN351" s="215"/>
      <c r="BO351" s="213"/>
      <c r="BP351" s="213"/>
      <c r="BQ351" s="213"/>
      <c r="BR351" s="326"/>
      <c r="BS351" s="213"/>
      <c r="BT351" s="213"/>
      <c r="BU351" s="213"/>
      <c r="BV351" s="213"/>
      <c r="BW351" s="213"/>
      <c r="BX351" s="213"/>
      <c r="BY351" s="213"/>
      <c r="BZ351" s="213"/>
      <c r="CA351" s="213"/>
      <c r="CB351" s="213"/>
      <c r="CC351" s="213"/>
      <c r="CD351" s="213"/>
      <c r="CE351" s="213"/>
      <c r="CF351" s="213"/>
      <c r="CG351" s="213"/>
      <c r="CH351" s="213"/>
      <c r="CI351" s="213"/>
      <c r="CJ351" s="213"/>
      <c r="CK351" s="213"/>
      <c r="CL351" s="213"/>
      <c r="CM351" s="213"/>
      <c r="CN351" s="213"/>
      <c r="CO351" s="213"/>
      <c r="CP351" s="213"/>
      <c r="CQ351" s="213"/>
      <c r="CR351" s="213"/>
      <c r="CS351" s="213"/>
      <c r="CT351" s="213"/>
      <c r="CU351" s="213"/>
    </row>
    <row r="352" ht="15.75" customHeight="1">
      <c r="A352" s="213"/>
      <c r="B352" s="213"/>
      <c r="C352" s="213"/>
      <c r="D352" s="213"/>
      <c r="E352" s="213"/>
      <c r="F352" s="213"/>
      <c r="G352" s="213"/>
      <c r="H352" s="213"/>
      <c r="I352" s="213"/>
      <c r="J352" s="213"/>
      <c r="K352" s="213"/>
      <c r="L352" s="213"/>
      <c r="M352" s="213"/>
      <c r="N352" s="213"/>
      <c r="O352" s="213"/>
      <c r="P352" s="213"/>
      <c r="Q352" s="213"/>
      <c r="R352" s="213"/>
      <c r="S352" s="213"/>
      <c r="T352" s="213"/>
      <c r="U352" s="213"/>
      <c r="V352" s="213"/>
      <c r="W352" s="213"/>
      <c r="X352" s="213"/>
      <c r="Y352" s="213"/>
      <c r="Z352" s="213"/>
      <c r="AA352" s="213"/>
      <c r="AB352" s="213"/>
      <c r="AC352" s="213"/>
      <c r="AD352" s="213"/>
      <c r="AE352" s="213"/>
      <c r="AF352" s="213"/>
      <c r="AG352" s="213"/>
      <c r="AH352" s="213"/>
      <c r="AI352" s="213"/>
      <c r="AJ352" s="213"/>
      <c r="AK352" s="213"/>
      <c r="AL352" s="213"/>
      <c r="AM352" s="213"/>
      <c r="AN352" s="213"/>
      <c r="AO352" s="213"/>
      <c r="AP352" s="213"/>
      <c r="AQ352" s="213"/>
      <c r="AR352" s="213"/>
      <c r="AS352" s="213"/>
      <c r="AT352" s="213"/>
      <c r="AU352" s="213"/>
      <c r="AV352" s="213"/>
      <c r="AW352" s="213"/>
      <c r="AX352" s="213"/>
      <c r="AY352" s="213"/>
      <c r="AZ352" s="213"/>
      <c r="BA352" s="213"/>
      <c r="BB352" s="213"/>
      <c r="BC352" s="213"/>
      <c r="BD352" s="213"/>
      <c r="BE352" s="213"/>
      <c r="BF352" s="213"/>
      <c r="BG352" s="213"/>
      <c r="BH352" s="213"/>
      <c r="BI352" s="213"/>
      <c r="BJ352" s="213"/>
      <c r="BK352" s="213"/>
      <c r="BL352" s="213"/>
      <c r="BM352" s="213"/>
      <c r="BN352" s="215"/>
      <c r="BO352" s="213"/>
      <c r="BP352" s="213"/>
      <c r="BQ352" s="213"/>
      <c r="BR352" s="326"/>
      <c r="BS352" s="213"/>
      <c r="BT352" s="213"/>
      <c r="BU352" s="213"/>
      <c r="BV352" s="213"/>
      <c r="BW352" s="213"/>
      <c r="BX352" s="213"/>
      <c r="BY352" s="213"/>
      <c r="BZ352" s="213"/>
      <c r="CA352" s="213"/>
      <c r="CB352" s="213"/>
      <c r="CC352" s="213"/>
      <c r="CD352" s="213"/>
      <c r="CE352" s="213"/>
      <c r="CF352" s="213"/>
      <c r="CG352" s="213"/>
      <c r="CH352" s="213"/>
      <c r="CI352" s="213"/>
      <c r="CJ352" s="213"/>
      <c r="CK352" s="213"/>
      <c r="CL352" s="213"/>
      <c r="CM352" s="213"/>
      <c r="CN352" s="213"/>
      <c r="CO352" s="213"/>
      <c r="CP352" s="213"/>
      <c r="CQ352" s="213"/>
      <c r="CR352" s="213"/>
      <c r="CS352" s="213"/>
      <c r="CT352" s="213"/>
      <c r="CU352" s="213"/>
    </row>
    <row r="353" ht="15.75" customHeight="1">
      <c r="A353" s="213"/>
      <c r="B353" s="213"/>
      <c r="C353" s="213"/>
      <c r="D353" s="213"/>
      <c r="E353" s="213"/>
      <c r="F353" s="213"/>
      <c r="G353" s="213"/>
      <c r="H353" s="213"/>
      <c r="I353" s="213"/>
      <c r="J353" s="213"/>
      <c r="K353" s="213"/>
      <c r="L353" s="213"/>
      <c r="M353" s="213"/>
      <c r="N353" s="213"/>
      <c r="O353" s="213"/>
      <c r="P353" s="213"/>
      <c r="Q353" s="213"/>
      <c r="R353" s="213"/>
      <c r="S353" s="213"/>
      <c r="T353" s="213"/>
      <c r="U353" s="213"/>
      <c r="V353" s="213"/>
      <c r="W353" s="213"/>
      <c r="X353" s="213"/>
      <c r="Y353" s="213"/>
      <c r="Z353" s="213"/>
      <c r="AA353" s="213"/>
      <c r="AB353" s="213"/>
      <c r="AC353" s="213"/>
      <c r="AD353" s="213"/>
      <c r="AE353" s="213"/>
      <c r="AF353" s="213"/>
      <c r="AG353" s="213"/>
      <c r="AH353" s="213"/>
      <c r="AI353" s="213"/>
      <c r="AJ353" s="213"/>
      <c r="AK353" s="213"/>
      <c r="AL353" s="213"/>
      <c r="AM353" s="213"/>
      <c r="AN353" s="213"/>
      <c r="AO353" s="213"/>
      <c r="AP353" s="213"/>
      <c r="AQ353" s="213"/>
      <c r="AR353" s="213"/>
      <c r="AS353" s="213"/>
      <c r="AT353" s="213"/>
      <c r="AU353" s="213"/>
      <c r="AV353" s="213"/>
      <c r="AW353" s="213"/>
      <c r="AX353" s="213"/>
      <c r="AY353" s="213"/>
      <c r="AZ353" s="213"/>
      <c r="BA353" s="213"/>
      <c r="BB353" s="213"/>
      <c r="BC353" s="213"/>
      <c r="BD353" s="213"/>
      <c r="BE353" s="213"/>
      <c r="BF353" s="213"/>
      <c r="BG353" s="213"/>
      <c r="BH353" s="213"/>
      <c r="BI353" s="213"/>
      <c r="BJ353" s="213"/>
      <c r="BK353" s="213"/>
      <c r="BL353" s="213"/>
      <c r="BM353" s="213"/>
      <c r="BN353" s="215"/>
      <c r="BO353" s="213"/>
      <c r="BP353" s="213"/>
      <c r="BQ353" s="213"/>
      <c r="BR353" s="326"/>
      <c r="BS353" s="213"/>
      <c r="BT353" s="213"/>
      <c r="BU353" s="213"/>
      <c r="BV353" s="213"/>
      <c r="BW353" s="213"/>
      <c r="BX353" s="213"/>
      <c r="BY353" s="213"/>
      <c r="BZ353" s="213"/>
      <c r="CA353" s="213"/>
      <c r="CB353" s="213"/>
      <c r="CC353" s="213"/>
      <c r="CD353" s="213"/>
      <c r="CE353" s="213"/>
      <c r="CF353" s="213"/>
      <c r="CG353" s="213"/>
      <c r="CH353" s="213"/>
      <c r="CI353" s="213"/>
      <c r="CJ353" s="213"/>
      <c r="CK353" s="213"/>
      <c r="CL353" s="213"/>
      <c r="CM353" s="213"/>
      <c r="CN353" s="213"/>
      <c r="CO353" s="213"/>
      <c r="CP353" s="213"/>
      <c r="CQ353" s="213"/>
      <c r="CR353" s="213"/>
      <c r="CS353" s="213"/>
      <c r="CT353" s="213"/>
      <c r="CU353" s="213"/>
    </row>
    <row r="354" ht="15.75" customHeight="1">
      <c r="A354" s="213"/>
      <c r="B354" s="213"/>
      <c r="C354" s="213"/>
      <c r="D354" s="213"/>
      <c r="E354" s="213"/>
      <c r="F354" s="213"/>
      <c r="G354" s="213"/>
      <c r="H354" s="213"/>
      <c r="I354" s="213"/>
      <c r="J354" s="213"/>
      <c r="K354" s="213"/>
      <c r="L354" s="213"/>
      <c r="M354" s="213"/>
      <c r="N354" s="213"/>
      <c r="O354" s="213"/>
      <c r="P354" s="213"/>
      <c r="Q354" s="213"/>
      <c r="R354" s="213"/>
      <c r="S354" s="213"/>
      <c r="T354" s="213"/>
      <c r="U354" s="213"/>
      <c r="V354" s="213"/>
      <c r="W354" s="213"/>
      <c r="X354" s="213"/>
      <c r="Y354" s="213"/>
      <c r="Z354" s="213"/>
      <c r="AA354" s="213"/>
      <c r="AB354" s="213"/>
      <c r="AC354" s="213"/>
      <c r="AD354" s="213"/>
      <c r="AE354" s="213"/>
      <c r="AF354" s="213"/>
      <c r="AG354" s="213"/>
      <c r="AH354" s="213"/>
      <c r="AI354" s="213"/>
      <c r="AJ354" s="213"/>
      <c r="AK354" s="213"/>
      <c r="AL354" s="213"/>
      <c r="AM354" s="213"/>
      <c r="AN354" s="213"/>
      <c r="AO354" s="213"/>
      <c r="AP354" s="213"/>
      <c r="AQ354" s="213"/>
      <c r="AR354" s="213"/>
      <c r="AS354" s="213"/>
      <c r="AT354" s="213"/>
      <c r="AU354" s="213"/>
      <c r="AV354" s="213"/>
      <c r="AW354" s="213"/>
      <c r="AX354" s="213"/>
      <c r="AY354" s="213"/>
      <c r="AZ354" s="213"/>
      <c r="BA354" s="213"/>
      <c r="BB354" s="213"/>
      <c r="BC354" s="213"/>
      <c r="BD354" s="213"/>
      <c r="BE354" s="213"/>
      <c r="BF354" s="213"/>
      <c r="BG354" s="213"/>
      <c r="BH354" s="213"/>
      <c r="BI354" s="213"/>
      <c r="BJ354" s="213"/>
      <c r="BK354" s="213"/>
      <c r="BL354" s="213"/>
      <c r="BM354" s="213"/>
      <c r="BN354" s="215"/>
      <c r="BO354" s="213"/>
      <c r="BP354" s="213"/>
      <c r="BQ354" s="213"/>
      <c r="BR354" s="326"/>
      <c r="BS354" s="213"/>
      <c r="BT354" s="213"/>
      <c r="BU354" s="213"/>
      <c r="BV354" s="213"/>
      <c r="BW354" s="213"/>
      <c r="BX354" s="213"/>
      <c r="BY354" s="213"/>
      <c r="BZ354" s="213"/>
      <c r="CA354" s="213"/>
      <c r="CB354" s="213"/>
      <c r="CC354" s="213"/>
      <c r="CD354" s="213"/>
      <c r="CE354" s="213"/>
      <c r="CF354" s="213"/>
      <c r="CG354" s="213"/>
      <c r="CH354" s="213"/>
      <c r="CI354" s="213"/>
      <c r="CJ354" s="213"/>
      <c r="CK354" s="213"/>
      <c r="CL354" s="213"/>
      <c r="CM354" s="213"/>
      <c r="CN354" s="213"/>
      <c r="CO354" s="213"/>
      <c r="CP354" s="213"/>
      <c r="CQ354" s="213"/>
      <c r="CR354" s="213"/>
      <c r="CS354" s="213"/>
      <c r="CT354" s="213"/>
      <c r="CU354" s="213"/>
    </row>
    <row r="355" ht="15.75" customHeight="1">
      <c r="A355" s="213"/>
      <c r="B355" s="213"/>
      <c r="C355" s="213"/>
      <c r="D355" s="213"/>
      <c r="E355" s="213"/>
      <c r="F355" s="213"/>
      <c r="G355" s="213"/>
      <c r="H355" s="213"/>
      <c r="I355" s="213"/>
      <c r="J355" s="213"/>
      <c r="K355" s="213"/>
      <c r="L355" s="213"/>
      <c r="M355" s="213"/>
      <c r="N355" s="213"/>
      <c r="O355" s="213"/>
      <c r="P355" s="213"/>
      <c r="Q355" s="213"/>
      <c r="R355" s="213"/>
      <c r="S355" s="213"/>
      <c r="T355" s="213"/>
      <c r="U355" s="213"/>
      <c r="V355" s="213"/>
      <c r="W355" s="213"/>
      <c r="X355" s="213"/>
      <c r="Y355" s="213"/>
      <c r="Z355" s="213"/>
      <c r="AA355" s="213"/>
      <c r="AB355" s="213"/>
      <c r="AC355" s="213"/>
      <c r="AD355" s="213"/>
      <c r="AE355" s="213"/>
      <c r="AF355" s="213"/>
      <c r="AG355" s="213"/>
      <c r="AH355" s="213"/>
      <c r="AI355" s="213"/>
      <c r="AJ355" s="213"/>
      <c r="AK355" s="213"/>
      <c r="AL355" s="213"/>
      <c r="AM355" s="213"/>
      <c r="AN355" s="213"/>
      <c r="AO355" s="213"/>
      <c r="AP355" s="213"/>
      <c r="AQ355" s="213"/>
      <c r="AR355" s="213"/>
      <c r="AS355" s="213"/>
      <c r="AT355" s="213"/>
      <c r="AU355" s="213"/>
      <c r="AV355" s="213"/>
      <c r="AW355" s="213"/>
      <c r="AX355" s="213"/>
      <c r="AY355" s="213"/>
      <c r="AZ355" s="213"/>
      <c r="BA355" s="213"/>
      <c r="BB355" s="213"/>
      <c r="BC355" s="213"/>
      <c r="BD355" s="213"/>
      <c r="BE355" s="213"/>
      <c r="BF355" s="213"/>
      <c r="BG355" s="213"/>
      <c r="BH355" s="213"/>
      <c r="BI355" s="213"/>
      <c r="BJ355" s="213"/>
      <c r="BK355" s="213"/>
      <c r="BL355" s="213"/>
      <c r="BM355" s="213"/>
      <c r="BN355" s="215"/>
      <c r="BO355" s="213"/>
      <c r="BP355" s="213"/>
      <c r="BQ355" s="213"/>
      <c r="BR355" s="326"/>
      <c r="BS355" s="213"/>
      <c r="BT355" s="213"/>
      <c r="BU355" s="213"/>
      <c r="BV355" s="213"/>
      <c r="BW355" s="213"/>
      <c r="BX355" s="213"/>
      <c r="BY355" s="213"/>
      <c r="BZ355" s="213"/>
      <c r="CA355" s="213"/>
      <c r="CB355" s="213"/>
      <c r="CC355" s="213"/>
      <c r="CD355" s="213"/>
      <c r="CE355" s="213"/>
      <c r="CF355" s="213"/>
      <c r="CG355" s="213"/>
      <c r="CH355" s="213"/>
      <c r="CI355" s="213"/>
      <c r="CJ355" s="213"/>
      <c r="CK355" s="213"/>
      <c r="CL355" s="213"/>
      <c r="CM355" s="213"/>
      <c r="CN355" s="213"/>
      <c r="CO355" s="213"/>
      <c r="CP355" s="213"/>
      <c r="CQ355" s="213"/>
      <c r="CR355" s="213"/>
      <c r="CS355" s="213"/>
      <c r="CT355" s="213"/>
      <c r="CU355" s="213"/>
    </row>
    <row r="356" ht="15.75" customHeight="1">
      <c r="A356" s="213"/>
      <c r="B356" s="213"/>
      <c r="C356" s="213"/>
      <c r="D356" s="213"/>
      <c r="E356" s="213"/>
      <c r="F356" s="213"/>
      <c r="G356" s="213"/>
      <c r="H356" s="213"/>
      <c r="I356" s="213"/>
      <c r="J356" s="213"/>
      <c r="K356" s="213"/>
      <c r="L356" s="213"/>
      <c r="M356" s="213"/>
      <c r="N356" s="213"/>
      <c r="O356" s="213"/>
      <c r="P356" s="213"/>
      <c r="Q356" s="213"/>
      <c r="R356" s="213"/>
      <c r="S356" s="213"/>
      <c r="T356" s="213"/>
      <c r="U356" s="213"/>
      <c r="V356" s="213"/>
      <c r="W356" s="213"/>
      <c r="X356" s="213"/>
      <c r="Y356" s="213"/>
      <c r="Z356" s="213"/>
      <c r="AA356" s="213"/>
      <c r="AB356" s="213"/>
      <c r="AC356" s="213"/>
      <c r="AD356" s="213"/>
      <c r="AE356" s="213"/>
      <c r="AF356" s="213"/>
      <c r="AG356" s="213"/>
      <c r="AH356" s="213"/>
      <c r="AI356" s="213"/>
      <c r="AJ356" s="213"/>
      <c r="AK356" s="213"/>
      <c r="AL356" s="213"/>
      <c r="AM356" s="213"/>
      <c r="AN356" s="213"/>
      <c r="AO356" s="213"/>
      <c r="AP356" s="213"/>
      <c r="AQ356" s="213"/>
      <c r="AR356" s="213"/>
      <c r="AS356" s="213"/>
      <c r="AT356" s="213"/>
      <c r="AU356" s="213"/>
      <c r="AV356" s="213"/>
      <c r="AW356" s="213"/>
      <c r="AX356" s="213"/>
      <c r="AY356" s="213"/>
      <c r="AZ356" s="213"/>
      <c r="BA356" s="213"/>
      <c r="BB356" s="213"/>
      <c r="BC356" s="213"/>
      <c r="BD356" s="213"/>
      <c r="BE356" s="213"/>
      <c r="BF356" s="213"/>
      <c r="BG356" s="213"/>
      <c r="BH356" s="213"/>
      <c r="BI356" s="213"/>
      <c r="BJ356" s="213"/>
      <c r="BK356" s="213"/>
      <c r="BL356" s="213"/>
      <c r="BM356" s="213"/>
      <c r="BN356" s="215"/>
      <c r="BO356" s="213"/>
      <c r="BP356" s="213"/>
      <c r="BQ356" s="213"/>
      <c r="BR356" s="326"/>
      <c r="BS356" s="213"/>
      <c r="BT356" s="213"/>
      <c r="BU356" s="213"/>
      <c r="BV356" s="213"/>
      <c r="BW356" s="213"/>
      <c r="BX356" s="213"/>
      <c r="BY356" s="213"/>
      <c r="BZ356" s="213"/>
      <c r="CA356" s="213"/>
      <c r="CB356" s="213"/>
      <c r="CC356" s="213"/>
      <c r="CD356" s="213"/>
      <c r="CE356" s="213"/>
      <c r="CF356" s="213"/>
      <c r="CG356" s="213"/>
      <c r="CH356" s="213"/>
      <c r="CI356" s="213"/>
      <c r="CJ356" s="213"/>
      <c r="CK356" s="213"/>
      <c r="CL356" s="213"/>
      <c r="CM356" s="213"/>
      <c r="CN356" s="213"/>
      <c r="CO356" s="213"/>
      <c r="CP356" s="213"/>
      <c r="CQ356" s="213"/>
      <c r="CR356" s="213"/>
      <c r="CS356" s="213"/>
      <c r="CT356" s="213"/>
      <c r="CU356" s="213"/>
    </row>
    <row r="357" ht="15.75" customHeight="1">
      <c r="A357" s="213"/>
      <c r="B357" s="213"/>
      <c r="C357" s="213"/>
      <c r="D357" s="213"/>
      <c r="E357" s="213"/>
      <c r="F357" s="213"/>
      <c r="G357" s="213"/>
      <c r="H357" s="213"/>
      <c r="I357" s="213"/>
      <c r="J357" s="213"/>
      <c r="K357" s="213"/>
      <c r="L357" s="213"/>
      <c r="M357" s="213"/>
      <c r="N357" s="213"/>
      <c r="O357" s="213"/>
      <c r="P357" s="213"/>
      <c r="Q357" s="213"/>
      <c r="R357" s="213"/>
      <c r="S357" s="213"/>
      <c r="T357" s="213"/>
      <c r="U357" s="213"/>
      <c r="V357" s="213"/>
      <c r="W357" s="213"/>
      <c r="X357" s="213"/>
      <c r="Y357" s="213"/>
      <c r="Z357" s="213"/>
      <c r="AA357" s="213"/>
      <c r="AB357" s="213"/>
      <c r="AC357" s="213"/>
      <c r="AD357" s="213"/>
      <c r="AE357" s="213"/>
      <c r="AF357" s="213"/>
      <c r="AG357" s="213"/>
      <c r="AH357" s="213"/>
      <c r="AI357" s="213"/>
      <c r="AJ357" s="213"/>
      <c r="AK357" s="213"/>
      <c r="AL357" s="213"/>
      <c r="AM357" s="213"/>
      <c r="AN357" s="213"/>
      <c r="AO357" s="213"/>
      <c r="AP357" s="213"/>
      <c r="AQ357" s="213"/>
      <c r="AR357" s="213"/>
      <c r="AS357" s="213"/>
      <c r="AT357" s="213"/>
      <c r="AU357" s="213"/>
      <c r="AV357" s="213"/>
      <c r="AW357" s="213"/>
      <c r="AX357" s="213"/>
      <c r="AY357" s="213"/>
      <c r="AZ357" s="213"/>
      <c r="BA357" s="213"/>
      <c r="BB357" s="213"/>
      <c r="BC357" s="213"/>
      <c r="BD357" s="213"/>
      <c r="BE357" s="213"/>
      <c r="BF357" s="213"/>
      <c r="BG357" s="213"/>
      <c r="BH357" s="213"/>
      <c r="BI357" s="213"/>
      <c r="BJ357" s="213"/>
      <c r="BK357" s="213"/>
      <c r="BL357" s="213"/>
      <c r="BM357" s="213"/>
      <c r="BN357" s="215"/>
      <c r="BO357" s="213"/>
      <c r="BP357" s="213"/>
      <c r="BQ357" s="213"/>
      <c r="BR357" s="326"/>
      <c r="BS357" s="213"/>
      <c r="BT357" s="213"/>
      <c r="BU357" s="213"/>
      <c r="BV357" s="213"/>
      <c r="BW357" s="213"/>
      <c r="BX357" s="213"/>
      <c r="BY357" s="213"/>
      <c r="BZ357" s="213"/>
      <c r="CA357" s="213"/>
      <c r="CB357" s="213"/>
      <c r="CC357" s="213"/>
      <c r="CD357" s="213"/>
      <c r="CE357" s="213"/>
      <c r="CF357" s="213"/>
      <c r="CG357" s="213"/>
      <c r="CH357" s="213"/>
      <c r="CI357" s="213"/>
      <c r="CJ357" s="213"/>
      <c r="CK357" s="213"/>
      <c r="CL357" s="213"/>
      <c r="CM357" s="213"/>
      <c r="CN357" s="213"/>
      <c r="CO357" s="213"/>
      <c r="CP357" s="213"/>
      <c r="CQ357" s="213"/>
      <c r="CR357" s="213"/>
      <c r="CS357" s="213"/>
      <c r="CT357" s="213"/>
      <c r="CU357" s="213"/>
    </row>
    <row r="358" ht="15.75" customHeight="1">
      <c r="A358" s="213"/>
      <c r="B358" s="213"/>
      <c r="C358" s="213"/>
      <c r="D358" s="213"/>
      <c r="E358" s="213"/>
      <c r="F358" s="213"/>
      <c r="G358" s="213"/>
      <c r="H358" s="213"/>
      <c r="I358" s="213"/>
      <c r="J358" s="213"/>
      <c r="K358" s="213"/>
      <c r="L358" s="213"/>
      <c r="M358" s="213"/>
      <c r="N358" s="213"/>
      <c r="O358" s="213"/>
      <c r="P358" s="213"/>
      <c r="Q358" s="213"/>
      <c r="R358" s="213"/>
      <c r="S358" s="213"/>
      <c r="T358" s="213"/>
      <c r="U358" s="213"/>
      <c r="V358" s="213"/>
      <c r="W358" s="213"/>
      <c r="X358" s="213"/>
      <c r="Y358" s="213"/>
      <c r="Z358" s="213"/>
      <c r="AA358" s="213"/>
      <c r="AB358" s="213"/>
      <c r="AC358" s="213"/>
      <c r="AD358" s="213"/>
      <c r="AE358" s="213"/>
      <c r="AF358" s="213"/>
      <c r="AG358" s="213"/>
      <c r="AH358" s="213"/>
      <c r="AI358" s="213"/>
      <c r="AJ358" s="213"/>
      <c r="AK358" s="213"/>
      <c r="AL358" s="213"/>
      <c r="AM358" s="213"/>
      <c r="AN358" s="213"/>
      <c r="AO358" s="213"/>
      <c r="AP358" s="213"/>
      <c r="AQ358" s="213"/>
      <c r="AR358" s="213"/>
      <c r="AS358" s="213"/>
      <c r="AT358" s="213"/>
      <c r="AU358" s="213"/>
      <c r="AV358" s="213"/>
      <c r="AW358" s="213"/>
      <c r="AX358" s="213"/>
      <c r="AY358" s="213"/>
      <c r="AZ358" s="213"/>
      <c r="BA358" s="213"/>
      <c r="BB358" s="213"/>
      <c r="BC358" s="213"/>
      <c r="BD358" s="213"/>
      <c r="BE358" s="213"/>
      <c r="BF358" s="213"/>
      <c r="BG358" s="213"/>
      <c r="BH358" s="213"/>
      <c r="BI358" s="213"/>
      <c r="BJ358" s="213"/>
      <c r="BK358" s="213"/>
      <c r="BL358" s="213"/>
      <c r="BM358" s="213"/>
      <c r="BN358" s="215"/>
      <c r="BO358" s="213"/>
      <c r="BP358" s="213"/>
      <c r="BQ358" s="213"/>
      <c r="BR358" s="326"/>
      <c r="BS358" s="213"/>
      <c r="BT358" s="213"/>
      <c r="BU358" s="213"/>
      <c r="BV358" s="213"/>
      <c r="BW358" s="213"/>
      <c r="BX358" s="213"/>
      <c r="BY358" s="213"/>
      <c r="BZ358" s="213"/>
      <c r="CA358" s="213"/>
      <c r="CB358" s="213"/>
      <c r="CC358" s="213"/>
      <c r="CD358" s="213"/>
      <c r="CE358" s="213"/>
      <c r="CF358" s="213"/>
      <c r="CG358" s="213"/>
      <c r="CH358" s="213"/>
      <c r="CI358" s="213"/>
      <c r="CJ358" s="213"/>
      <c r="CK358" s="213"/>
      <c r="CL358" s="213"/>
      <c r="CM358" s="213"/>
      <c r="CN358" s="213"/>
      <c r="CO358" s="213"/>
      <c r="CP358" s="213"/>
      <c r="CQ358" s="213"/>
      <c r="CR358" s="213"/>
      <c r="CS358" s="213"/>
      <c r="CT358" s="213"/>
      <c r="CU358" s="213"/>
    </row>
    <row r="359" ht="15.75" customHeight="1">
      <c r="A359" s="213"/>
      <c r="B359" s="213"/>
      <c r="C359" s="213"/>
      <c r="D359" s="213"/>
      <c r="E359" s="213"/>
      <c r="F359" s="213"/>
      <c r="G359" s="213"/>
      <c r="H359" s="213"/>
      <c r="I359" s="213"/>
      <c r="J359" s="213"/>
      <c r="K359" s="213"/>
      <c r="L359" s="213"/>
      <c r="M359" s="213"/>
      <c r="N359" s="213"/>
      <c r="O359" s="213"/>
      <c r="P359" s="213"/>
      <c r="Q359" s="213"/>
      <c r="R359" s="213"/>
      <c r="S359" s="213"/>
      <c r="T359" s="213"/>
      <c r="U359" s="213"/>
      <c r="V359" s="213"/>
      <c r="W359" s="213"/>
      <c r="X359" s="213"/>
      <c r="Y359" s="213"/>
      <c r="Z359" s="213"/>
      <c r="AA359" s="213"/>
      <c r="AB359" s="213"/>
      <c r="AC359" s="213"/>
      <c r="AD359" s="213"/>
      <c r="AE359" s="213"/>
      <c r="AF359" s="213"/>
      <c r="AG359" s="213"/>
      <c r="AH359" s="213"/>
      <c r="AI359" s="213"/>
      <c r="AJ359" s="213"/>
      <c r="AK359" s="213"/>
      <c r="AL359" s="213"/>
      <c r="AM359" s="213"/>
      <c r="AN359" s="213"/>
      <c r="AO359" s="213"/>
      <c r="AP359" s="213"/>
      <c r="AQ359" s="213"/>
      <c r="AR359" s="213"/>
      <c r="AS359" s="213"/>
      <c r="AT359" s="213"/>
      <c r="AU359" s="213"/>
      <c r="AV359" s="213"/>
      <c r="AW359" s="213"/>
      <c r="AX359" s="213"/>
      <c r="AY359" s="213"/>
      <c r="AZ359" s="213"/>
      <c r="BA359" s="213"/>
      <c r="BB359" s="213"/>
      <c r="BC359" s="213"/>
      <c r="BD359" s="213"/>
      <c r="BE359" s="213"/>
      <c r="BF359" s="213"/>
      <c r="BG359" s="213"/>
      <c r="BH359" s="213"/>
      <c r="BI359" s="213"/>
      <c r="BJ359" s="213"/>
      <c r="BK359" s="213"/>
      <c r="BL359" s="213"/>
      <c r="BM359" s="213"/>
      <c r="BN359" s="215"/>
      <c r="BO359" s="213"/>
      <c r="BP359" s="213"/>
      <c r="BQ359" s="213"/>
      <c r="BR359" s="326"/>
      <c r="BS359" s="213"/>
      <c r="BT359" s="213"/>
      <c r="BU359" s="213"/>
      <c r="BV359" s="213"/>
      <c r="BW359" s="213"/>
      <c r="BX359" s="213"/>
      <c r="BY359" s="213"/>
      <c r="BZ359" s="213"/>
      <c r="CA359" s="213"/>
      <c r="CB359" s="213"/>
      <c r="CC359" s="213"/>
      <c r="CD359" s="213"/>
      <c r="CE359" s="213"/>
      <c r="CF359" s="213"/>
      <c r="CG359" s="213"/>
      <c r="CH359" s="213"/>
      <c r="CI359" s="213"/>
      <c r="CJ359" s="213"/>
      <c r="CK359" s="213"/>
      <c r="CL359" s="213"/>
      <c r="CM359" s="213"/>
      <c r="CN359" s="213"/>
      <c r="CO359" s="213"/>
      <c r="CP359" s="213"/>
      <c r="CQ359" s="213"/>
      <c r="CR359" s="213"/>
      <c r="CS359" s="213"/>
      <c r="CT359" s="213"/>
      <c r="CU359" s="213"/>
    </row>
  </sheetData>
  <mergeCells count="15">
    <mergeCell ref="AH4:AM4"/>
    <mergeCell ref="AN4:AS4"/>
    <mergeCell ref="AT4:AY4"/>
    <mergeCell ref="AZ4:BE4"/>
    <mergeCell ref="BF4:BK4"/>
    <mergeCell ref="BL4:BQ4"/>
    <mergeCell ref="BR4:BW4"/>
    <mergeCell ref="B4:B5"/>
    <mergeCell ref="C4:C5"/>
    <mergeCell ref="D4:I4"/>
    <mergeCell ref="J4:O4"/>
    <mergeCell ref="P4:U4"/>
    <mergeCell ref="V4:AA4"/>
    <mergeCell ref="AB4:AG4"/>
    <mergeCell ref="B88:C88"/>
  </mergeCells>
  <printOptions/>
  <pageMargins bottom="0.75" footer="0.0" header="0.0" left="0.7" right="0.7" top="0.75"/>
  <pageSetup orientation="landscape"/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5.63"/>
    <col customWidth="1" min="2" max="2" width="9.75"/>
    <col customWidth="1" min="3" max="3" width="35.88"/>
    <col customWidth="1" min="4" max="4" width="12.63"/>
    <col customWidth="1" hidden="1" min="5" max="6" width="12.63"/>
    <col hidden="1" min="7" max="9" width="12.63"/>
    <col hidden="1" min="11" max="15" width="12.63"/>
    <col hidden="1" min="17" max="18" width="12.63"/>
    <col customWidth="1" hidden="1" min="19" max="19" width="7.63"/>
    <col hidden="1" min="20" max="21" width="12.63"/>
    <col customWidth="1" hidden="1" min="23" max="23" width="8.88"/>
    <col hidden="1" min="24" max="24" width="12.63"/>
    <col customWidth="1" hidden="1" min="25" max="25" width="8.88"/>
    <col hidden="1" min="26" max="27" width="12.63"/>
    <col customWidth="1" hidden="1" min="29" max="29" width="8.88"/>
    <col hidden="1" min="30" max="30" width="12.63"/>
    <col customWidth="1" hidden="1" min="31" max="31" width="8.88"/>
    <col hidden="1" min="32" max="33" width="12.63"/>
    <col customWidth="1" hidden="1" min="35" max="35" width="8.88"/>
    <col hidden="1" min="36" max="36" width="12.63"/>
    <col customWidth="1" hidden="1" min="37" max="37" width="8.88"/>
    <col hidden="1" min="38" max="39" width="12.63"/>
    <col customWidth="1" hidden="1" min="41" max="41" width="8.88"/>
    <col hidden="1" min="42" max="45" width="12.63"/>
    <col hidden="1" min="47" max="51" width="12.63"/>
    <col hidden="1" min="53" max="57" width="12.63"/>
    <col customWidth="1" min="58" max="58" width="12.0"/>
    <col hidden="1" min="59" max="63" width="12.63"/>
    <col customWidth="1" min="64" max="64" width="12.63"/>
    <col customWidth="1" hidden="1" min="65" max="65" width="12.63"/>
    <col customWidth="1" hidden="1" min="66" max="66" width="11.25"/>
    <col customWidth="1" hidden="1" min="67" max="69" width="12.63"/>
    <col customWidth="1" min="70" max="70" width="14.25"/>
    <col customWidth="1" hidden="1" min="71" max="75" width="12.63"/>
    <col customWidth="1" min="76" max="95" width="12.63"/>
  </cols>
  <sheetData>
    <row r="1" ht="15.75" customHeight="1">
      <c r="A1" s="213"/>
      <c r="B1" s="214" t="s">
        <v>1</v>
      </c>
      <c r="C1" s="213"/>
      <c r="D1" s="213"/>
      <c r="E1" s="213"/>
      <c r="F1" s="213"/>
      <c r="G1" s="718"/>
      <c r="H1" s="213"/>
      <c r="I1" s="213"/>
      <c r="J1" s="216"/>
      <c r="K1" s="213"/>
      <c r="L1" s="213"/>
      <c r="M1" s="213"/>
      <c r="N1" s="213"/>
      <c r="O1" s="213"/>
      <c r="P1" s="216"/>
      <c r="Q1" s="213"/>
      <c r="R1" s="213"/>
      <c r="S1" s="213"/>
      <c r="T1" s="213"/>
      <c r="U1" s="213"/>
      <c r="V1" s="216"/>
      <c r="W1" s="213"/>
      <c r="X1" s="213"/>
      <c r="Y1" s="213"/>
      <c r="Z1" s="213"/>
      <c r="AA1" s="213"/>
      <c r="AB1" s="216"/>
      <c r="AC1" s="213"/>
      <c r="AD1" s="213"/>
      <c r="AE1" s="213"/>
      <c r="AF1" s="213"/>
      <c r="AG1" s="213"/>
      <c r="AH1" s="216"/>
      <c r="AI1" s="213"/>
      <c r="AJ1" s="213"/>
      <c r="AK1" s="213"/>
      <c r="AL1" s="213"/>
      <c r="AM1" s="213"/>
      <c r="AN1" s="216"/>
      <c r="AO1" s="213"/>
      <c r="AP1" s="213"/>
      <c r="AQ1" s="213"/>
      <c r="AR1" s="213"/>
      <c r="AS1" s="213"/>
      <c r="AT1" s="216"/>
      <c r="AU1" s="213"/>
      <c r="AV1" s="213"/>
      <c r="AW1" s="213"/>
      <c r="AX1" s="213"/>
      <c r="AY1" s="213"/>
      <c r="AZ1" s="216"/>
      <c r="BA1" s="213"/>
      <c r="BB1" s="213"/>
      <c r="BC1" s="213"/>
      <c r="BD1" s="213"/>
      <c r="BE1" s="213"/>
      <c r="BF1" s="216"/>
      <c r="BG1" s="213"/>
      <c r="BH1" s="213"/>
      <c r="BI1" s="213"/>
      <c r="BJ1" s="213"/>
      <c r="BK1" s="213"/>
      <c r="BL1" s="216"/>
      <c r="BM1" s="213"/>
      <c r="BN1" s="213"/>
      <c r="BO1" s="213"/>
      <c r="BP1" s="213"/>
      <c r="BQ1" s="213"/>
      <c r="BR1" s="326"/>
      <c r="BS1" s="213"/>
      <c r="BT1" s="213"/>
      <c r="BU1" s="213"/>
      <c r="BV1" s="213"/>
      <c r="BW1" s="213"/>
      <c r="BX1" s="213"/>
      <c r="BY1" s="213"/>
      <c r="BZ1" s="213"/>
      <c r="CA1" s="213"/>
      <c r="CB1" s="213"/>
      <c r="CC1" s="213"/>
      <c r="CD1" s="213"/>
      <c r="CE1" s="213"/>
      <c r="CF1" s="213"/>
      <c r="CG1" s="213"/>
      <c r="CH1" s="213"/>
      <c r="CI1" s="213"/>
      <c r="CJ1" s="213"/>
      <c r="CK1" s="213"/>
      <c r="CL1" s="213"/>
      <c r="CM1" s="213"/>
      <c r="CN1" s="213"/>
      <c r="CO1" s="213"/>
      <c r="CP1" s="213"/>
      <c r="CQ1" s="213"/>
    </row>
    <row r="2" ht="15.75" customHeight="1">
      <c r="A2" s="213"/>
      <c r="B2" s="327" t="s">
        <v>402</v>
      </c>
      <c r="C2" s="740"/>
      <c r="D2" s="216"/>
      <c r="E2" s="216"/>
      <c r="F2" s="213"/>
      <c r="G2" s="213"/>
      <c r="H2" s="213"/>
      <c r="I2" s="213"/>
      <c r="J2" s="741"/>
      <c r="K2" s="213"/>
      <c r="L2" s="213"/>
      <c r="M2" s="213"/>
      <c r="N2" s="213"/>
      <c r="O2" s="213"/>
      <c r="P2" s="741"/>
      <c r="Q2" s="213"/>
      <c r="R2" s="213"/>
      <c r="S2" s="213"/>
      <c r="T2" s="213"/>
      <c r="U2" s="213"/>
      <c r="V2" s="741"/>
      <c r="W2" s="213"/>
      <c r="X2" s="213"/>
      <c r="Y2" s="213"/>
      <c r="Z2" s="213"/>
      <c r="AA2" s="213"/>
      <c r="AB2" s="741"/>
      <c r="AC2" s="213"/>
      <c r="AD2" s="213"/>
      <c r="AE2" s="213"/>
      <c r="AF2" s="213"/>
      <c r="AG2" s="213"/>
      <c r="AH2" s="741"/>
      <c r="AI2" s="213"/>
      <c r="AJ2" s="213"/>
      <c r="AK2" s="213"/>
      <c r="AL2" s="213"/>
      <c r="AM2" s="213"/>
      <c r="AN2" s="741"/>
      <c r="AO2" s="213"/>
      <c r="AP2" s="213"/>
      <c r="AQ2" s="213"/>
      <c r="AR2" s="213"/>
      <c r="AS2" s="213"/>
      <c r="AT2" s="741"/>
      <c r="AU2" s="213"/>
      <c r="AV2" s="213"/>
      <c r="AW2" s="213"/>
      <c r="AX2" s="213"/>
      <c r="AY2" s="213"/>
      <c r="AZ2" s="741"/>
      <c r="BA2" s="213"/>
      <c r="BB2" s="213"/>
      <c r="BC2" s="213"/>
      <c r="BD2" s="213"/>
      <c r="BE2" s="213"/>
      <c r="BF2" s="741"/>
      <c r="BG2" s="213"/>
      <c r="BH2" s="213"/>
      <c r="BI2" s="213"/>
      <c r="BJ2" s="213"/>
      <c r="BK2" s="213"/>
      <c r="BL2" s="741"/>
      <c r="BM2" s="213"/>
      <c r="BN2" s="213"/>
      <c r="BO2" s="213"/>
      <c r="BP2" s="213"/>
      <c r="BQ2" s="213"/>
      <c r="BR2" s="326"/>
      <c r="BS2" s="213"/>
      <c r="BT2" s="213"/>
      <c r="BU2" s="213"/>
      <c r="BV2" s="213"/>
      <c r="BW2" s="213"/>
      <c r="BX2" s="213"/>
      <c r="BY2" s="213"/>
      <c r="BZ2" s="213"/>
      <c r="CA2" s="213"/>
      <c r="CB2" s="213"/>
      <c r="CC2" s="213"/>
      <c r="CD2" s="213"/>
      <c r="CE2" s="213"/>
      <c r="CF2" s="213"/>
      <c r="CG2" s="213"/>
      <c r="CH2" s="213"/>
      <c r="CI2" s="213"/>
      <c r="CJ2" s="213"/>
      <c r="CK2" s="213"/>
      <c r="CL2" s="213"/>
      <c r="CM2" s="213"/>
      <c r="CN2" s="213"/>
      <c r="CO2" s="213"/>
      <c r="CP2" s="213"/>
      <c r="CQ2" s="213"/>
    </row>
    <row r="3" ht="15.75" customHeight="1">
      <c r="A3" s="213"/>
      <c r="B3" s="213"/>
      <c r="C3" s="213"/>
      <c r="D3" s="213"/>
      <c r="E3" s="213"/>
      <c r="F3" s="213"/>
      <c r="G3" s="213"/>
      <c r="H3" s="213"/>
      <c r="I3" s="213"/>
      <c r="J3" s="216"/>
      <c r="K3" s="213"/>
      <c r="L3" s="213"/>
      <c r="M3" s="213"/>
      <c r="N3" s="213"/>
      <c r="O3" s="213"/>
      <c r="P3" s="216"/>
      <c r="Q3" s="213"/>
      <c r="R3" s="213"/>
      <c r="S3" s="213"/>
      <c r="T3" s="213"/>
      <c r="U3" s="213"/>
      <c r="V3" s="216"/>
      <c r="W3" s="213"/>
      <c r="X3" s="213"/>
      <c r="Y3" s="213"/>
      <c r="Z3" s="213"/>
      <c r="AA3" s="213"/>
      <c r="AB3" s="216"/>
      <c r="AC3" s="213"/>
      <c r="AD3" s="213"/>
      <c r="AE3" s="213"/>
      <c r="AF3" s="213"/>
      <c r="AG3" s="213"/>
      <c r="AH3" s="216"/>
      <c r="AI3" s="213"/>
      <c r="AJ3" s="213"/>
      <c r="AK3" s="213"/>
      <c r="AL3" s="213"/>
      <c r="AM3" s="213"/>
      <c r="AN3" s="216"/>
      <c r="AO3" s="213"/>
      <c r="AP3" s="213"/>
      <c r="AQ3" s="213"/>
      <c r="AR3" s="213"/>
      <c r="AS3" s="213"/>
      <c r="AT3" s="216"/>
      <c r="AU3" s="213"/>
      <c r="AV3" s="213"/>
      <c r="AW3" s="213"/>
      <c r="AX3" s="213"/>
      <c r="AY3" s="213"/>
      <c r="AZ3" s="216"/>
      <c r="BA3" s="213"/>
      <c r="BB3" s="213"/>
      <c r="BC3" s="213"/>
      <c r="BD3" s="213"/>
      <c r="BE3" s="213"/>
      <c r="BF3" s="216"/>
      <c r="BG3" s="213"/>
      <c r="BH3" s="213"/>
      <c r="BI3" s="213"/>
      <c r="BJ3" s="213"/>
      <c r="BK3" s="213"/>
      <c r="BL3" s="216"/>
      <c r="BM3" s="213"/>
      <c r="BN3" s="213"/>
      <c r="BO3" s="213"/>
      <c r="BP3" s="213"/>
      <c r="BQ3" s="213"/>
      <c r="BR3" s="326"/>
      <c r="BS3" s="213"/>
      <c r="BT3" s="213"/>
      <c r="BU3" s="213"/>
      <c r="BV3" s="213"/>
      <c r="BW3" s="213"/>
      <c r="BX3" s="213"/>
      <c r="BY3" s="213"/>
      <c r="BZ3" s="213"/>
      <c r="CA3" s="213"/>
      <c r="CB3" s="213"/>
      <c r="CC3" s="213"/>
      <c r="CD3" s="213"/>
      <c r="CE3" s="213"/>
      <c r="CF3" s="213"/>
      <c r="CG3" s="213"/>
      <c r="CH3" s="213"/>
      <c r="CI3" s="213"/>
      <c r="CJ3" s="213"/>
      <c r="CK3" s="213"/>
      <c r="CL3" s="213"/>
      <c r="CM3" s="213"/>
      <c r="CN3" s="213"/>
      <c r="CO3" s="213"/>
      <c r="CP3" s="213"/>
      <c r="CQ3" s="213"/>
    </row>
    <row r="4" ht="15.75" customHeight="1">
      <c r="A4" s="213"/>
      <c r="B4" s="742" t="s">
        <v>201</v>
      </c>
      <c r="C4" s="743" t="s">
        <v>47</v>
      </c>
      <c r="D4" s="744" t="s">
        <v>202</v>
      </c>
      <c r="E4" s="11"/>
      <c r="F4" s="11"/>
      <c r="G4" s="11"/>
      <c r="H4" s="11"/>
      <c r="I4" s="14"/>
      <c r="J4" s="744" t="s">
        <v>203</v>
      </c>
      <c r="K4" s="11"/>
      <c r="L4" s="11"/>
      <c r="M4" s="11"/>
      <c r="N4" s="11"/>
      <c r="O4" s="14"/>
      <c r="P4" s="744" t="s">
        <v>204</v>
      </c>
      <c r="Q4" s="11"/>
      <c r="R4" s="11"/>
      <c r="S4" s="11"/>
      <c r="T4" s="11"/>
      <c r="U4" s="14"/>
      <c r="V4" s="744" t="s">
        <v>205</v>
      </c>
      <c r="W4" s="11"/>
      <c r="X4" s="11"/>
      <c r="Y4" s="11"/>
      <c r="Z4" s="11"/>
      <c r="AA4" s="14"/>
      <c r="AB4" s="744" t="s">
        <v>206</v>
      </c>
      <c r="AC4" s="11"/>
      <c r="AD4" s="11"/>
      <c r="AE4" s="11"/>
      <c r="AF4" s="11"/>
      <c r="AG4" s="14"/>
      <c r="AH4" s="744" t="s">
        <v>207</v>
      </c>
      <c r="AI4" s="11"/>
      <c r="AJ4" s="11"/>
      <c r="AK4" s="11"/>
      <c r="AL4" s="11"/>
      <c r="AM4" s="14"/>
      <c r="AN4" s="744" t="s">
        <v>208</v>
      </c>
      <c r="AO4" s="11"/>
      <c r="AP4" s="11"/>
      <c r="AQ4" s="11"/>
      <c r="AR4" s="11"/>
      <c r="AS4" s="14"/>
      <c r="AT4" s="744" t="s">
        <v>209</v>
      </c>
      <c r="AU4" s="11"/>
      <c r="AV4" s="11"/>
      <c r="AW4" s="11"/>
      <c r="AX4" s="11"/>
      <c r="AY4" s="14"/>
      <c r="AZ4" s="744" t="s">
        <v>210</v>
      </c>
      <c r="BA4" s="11"/>
      <c r="BB4" s="11"/>
      <c r="BC4" s="11"/>
      <c r="BD4" s="11"/>
      <c r="BE4" s="14"/>
      <c r="BF4" s="744" t="s">
        <v>211</v>
      </c>
      <c r="BG4" s="11"/>
      <c r="BH4" s="11"/>
      <c r="BI4" s="11"/>
      <c r="BJ4" s="11"/>
      <c r="BK4" s="14"/>
      <c r="BL4" s="744" t="s">
        <v>212</v>
      </c>
      <c r="BM4" s="11"/>
      <c r="BN4" s="11"/>
      <c r="BO4" s="11"/>
      <c r="BP4" s="11"/>
      <c r="BQ4" s="14"/>
      <c r="BR4" s="745" t="s">
        <v>213</v>
      </c>
      <c r="BS4" s="11"/>
      <c r="BT4" s="11"/>
      <c r="BU4" s="11"/>
      <c r="BV4" s="11"/>
      <c r="BW4" s="14"/>
      <c r="BX4" s="334"/>
      <c r="BY4" s="334"/>
      <c r="BZ4" s="334"/>
      <c r="CA4" s="334"/>
      <c r="CB4" s="334"/>
      <c r="CC4" s="334"/>
      <c r="CD4" s="334"/>
      <c r="CE4" s="334"/>
      <c r="CF4" s="334"/>
      <c r="CG4" s="334"/>
      <c r="CH4" s="334"/>
      <c r="CI4" s="334"/>
      <c r="CJ4" s="334"/>
      <c r="CK4" s="334"/>
      <c r="CL4" s="334"/>
      <c r="CM4" s="334"/>
      <c r="CN4" s="334"/>
      <c r="CO4" s="334"/>
      <c r="CP4" s="334"/>
      <c r="CQ4" s="334"/>
    </row>
    <row r="5" ht="15.75" customHeight="1">
      <c r="A5" s="335"/>
      <c r="B5" s="746"/>
      <c r="C5" s="746"/>
      <c r="D5" s="747" t="s">
        <v>215</v>
      </c>
      <c r="E5" s="748" t="s">
        <v>19</v>
      </c>
      <c r="F5" s="748" t="s">
        <v>216</v>
      </c>
      <c r="G5" s="748" t="s">
        <v>19</v>
      </c>
      <c r="H5" s="748" t="s">
        <v>217</v>
      </c>
      <c r="I5" s="749" t="s">
        <v>218</v>
      </c>
      <c r="J5" s="747" t="s">
        <v>215</v>
      </c>
      <c r="K5" s="748" t="s">
        <v>19</v>
      </c>
      <c r="L5" s="748" t="s">
        <v>216</v>
      </c>
      <c r="M5" s="748" t="s">
        <v>19</v>
      </c>
      <c r="N5" s="748" t="s">
        <v>217</v>
      </c>
      <c r="O5" s="749" t="s">
        <v>218</v>
      </c>
      <c r="P5" s="747" t="s">
        <v>215</v>
      </c>
      <c r="Q5" s="748" t="s">
        <v>19</v>
      </c>
      <c r="R5" s="748" t="s">
        <v>216</v>
      </c>
      <c r="S5" s="748" t="s">
        <v>19</v>
      </c>
      <c r="T5" s="748" t="s">
        <v>217</v>
      </c>
      <c r="U5" s="749" t="s">
        <v>218</v>
      </c>
      <c r="V5" s="747" t="s">
        <v>215</v>
      </c>
      <c r="W5" s="748" t="s">
        <v>19</v>
      </c>
      <c r="X5" s="748" t="s">
        <v>216</v>
      </c>
      <c r="Y5" s="748" t="s">
        <v>19</v>
      </c>
      <c r="Z5" s="748" t="s">
        <v>217</v>
      </c>
      <c r="AA5" s="749" t="s">
        <v>218</v>
      </c>
      <c r="AB5" s="747" t="s">
        <v>215</v>
      </c>
      <c r="AC5" s="748" t="s">
        <v>19</v>
      </c>
      <c r="AD5" s="748" t="s">
        <v>216</v>
      </c>
      <c r="AE5" s="748" t="s">
        <v>19</v>
      </c>
      <c r="AF5" s="748" t="s">
        <v>217</v>
      </c>
      <c r="AG5" s="749" t="s">
        <v>218</v>
      </c>
      <c r="AH5" s="747" t="s">
        <v>215</v>
      </c>
      <c r="AI5" s="748" t="s">
        <v>19</v>
      </c>
      <c r="AJ5" s="748" t="s">
        <v>216</v>
      </c>
      <c r="AK5" s="748" t="s">
        <v>19</v>
      </c>
      <c r="AL5" s="748" t="s">
        <v>217</v>
      </c>
      <c r="AM5" s="749" t="s">
        <v>218</v>
      </c>
      <c r="AN5" s="747" t="s">
        <v>215</v>
      </c>
      <c r="AO5" s="748" t="s">
        <v>19</v>
      </c>
      <c r="AP5" s="748" t="s">
        <v>216</v>
      </c>
      <c r="AQ5" s="748" t="s">
        <v>19</v>
      </c>
      <c r="AR5" s="748" t="s">
        <v>217</v>
      </c>
      <c r="AS5" s="749" t="s">
        <v>218</v>
      </c>
      <c r="AT5" s="747" t="s">
        <v>215</v>
      </c>
      <c r="AU5" s="748" t="s">
        <v>19</v>
      </c>
      <c r="AV5" s="748" t="s">
        <v>216</v>
      </c>
      <c r="AW5" s="748" t="s">
        <v>19</v>
      </c>
      <c r="AX5" s="748" t="s">
        <v>217</v>
      </c>
      <c r="AY5" s="749" t="s">
        <v>218</v>
      </c>
      <c r="AZ5" s="747" t="s">
        <v>215</v>
      </c>
      <c r="BA5" s="748" t="s">
        <v>19</v>
      </c>
      <c r="BB5" s="748" t="s">
        <v>216</v>
      </c>
      <c r="BC5" s="748" t="s">
        <v>19</v>
      </c>
      <c r="BD5" s="748" t="s">
        <v>217</v>
      </c>
      <c r="BE5" s="749" t="s">
        <v>218</v>
      </c>
      <c r="BF5" s="747" t="s">
        <v>215</v>
      </c>
      <c r="BG5" s="748" t="s">
        <v>19</v>
      </c>
      <c r="BH5" s="748" t="s">
        <v>216</v>
      </c>
      <c r="BI5" s="748" t="s">
        <v>19</v>
      </c>
      <c r="BJ5" s="748" t="s">
        <v>217</v>
      </c>
      <c r="BK5" s="749" t="s">
        <v>218</v>
      </c>
      <c r="BL5" s="747" t="s">
        <v>215</v>
      </c>
      <c r="BM5" s="748" t="s">
        <v>19</v>
      </c>
      <c r="BN5" s="748" t="s">
        <v>216</v>
      </c>
      <c r="BO5" s="748" t="s">
        <v>19</v>
      </c>
      <c r="BP5" s="748" t="s">
        <v>217</v>
      </c>
      <c r="BQ5" s="749" t="s">
        <v>218</v>
      </c>
      <c r="BR5" s="750" t="s">
        <v>215</v>
      </c>
      <c r="BS5" s="472" t="s">
        <v>19</v>
      </c>
      <c r="BT5" s="472" t="s">
        <v>216</v>
      </c>
      <c r="BU5" s="472" t="s">
        <v>19</v>
      </c>
      <c r="BV5" s="472" t="s">
        <v>217</v>
      </c>
      <c r="BW5" s="473" t="s">
        <v>218</v>
      </c>
      <c r="BX5" s="348"/>
      <c r="BY5" s="348"/>
      <c r="BZ5" s="348"/>
      <c r="CA5" s="348"/>
      <c r="CB5" s="348"/>
      <c r="CC5" s="348"/>
      <c r="CD5" s="348"/>
      <c r="CE5" s="348"/>
      <c r="CF5" s="348"/>
      <c r="CG5" s="348"/>
      <c r="CH5" s="348"/>
      <c r="CI5" s="348"/>
      <c r="CJ5" s="348"/>
      <c r="CK5" s="348"/>
      <c r="CL5" s="348"/>
      <c r="CM5" s="348"/>
      <c r="CN5" s="348"/>
      <c r="CO5" s="348"/>
      <c r="CP5" s="348"/>
      <c r="CQ5" s="348"/>
    </row>
    <row r="6" ht="15.75" hidden="1" customHeight="1">
      <c r="A6" s="213"/>
      <c r="B6" s="487"/>
      <c r="C6" s="488" t="s">
        <v>85</v>
      </c>
      <c r="D6" s="708">
        <v>4432.0</v>
      </c>
      <c r="E6" s="440"/>
      <c r="F6" s="388"/>
      <c r="G6" s="440"/>
      <c r="H6" s="388"/>
      <c r="I6" s="389"/>
      <c r="J6" s="708">
        <v>4850.0</v>
      </c>
      <c r="K6" s="385">
        <f t="shared" ref="K6:K9" si="1">(J6-D6)/D6</f>
        <v>0.09431407942</v>
      </c>
      <c r="L6" s="709"/>
      <c r="M6" s="440"/>
      <c r="N6" s="388"/>
      <c r="O6" s="389"/>
      <c r="P6" s="708"/>
      <c r="Q6" s="440"/>
      <c r="R6" s="388"/>
      <c r="S6" s="440"/>
      <c r="T6" s="388"/>
      <c r="U6" s="389"/>
      <c r="V6" s="708"/>
      <c r="W6" s="440"/>
      <c r="X6" s="388"/>
      <c r="Y6" s="440"/>
      <c r="Z6" s="388"/>
      <c r="AA6" s="389"/>
      <c r="AB6" s="708"/>
      <c r="AC6" s="440"/>
      <c r="AD6" s="388"/>
      <c r="AE6" s="440"/>
      <c r="AF6" s="388"/>
      <c r="AG6" s="389"/>
      <c r="AH6" s="708"/>
      <c r="AI6" s="440"/>
      <c r="AJ6" s="388"/>
      <c r="AK6" s="440"/>
      <c r="AL6" s="388"/>
      <c r="AM6" s="389"/>
      <c r="AN6" s="708"/>
      <c r="AO6" s="440"/>
      <c r="AP6" s="388"/>
      <c r="AQ6" s="440"/>
      <c r="AR6" s="388"/>
      <c r="AS6" s="389"/>
      <c r="AT6" s="708"/>
      <c r="AU6" s="440"/>
      <c r="AV6" s="388"/>
      <c r="AW6" s="440"/>
      <c r="AX6" s="388"/>
      <c r="AY6" s="389"/>
      <c r="AZ6" s="708"/>
      <c r="BA6" s="440"/>
      <c r="BB6" s="388"/>
      <c r="BC6" s="440"/>
      <c r="BD6" s="388"/>
      <c r="BE6" s="389"/>
      <c r="BF6" s="708"/>
      <c r="BG6" s="440"/>
      <c r="BH6" s="388"/>
      <c r="BI6" s="440"/>
      <c r="BJ6" s="388"/>
      <c r="BK6" s="389"/>
      <c r="BL6" s="708"/>
      <c r="BM6" s="440"/>
      <c r="BN6" s="388"/>
      <c r="BO6" s="440"/>
      <c r="BP6" s="388"/>
      <c r="BQ6" s="389"/>
      <c r="BR6" s="491"/>
      <c r="BS6" s="440"/>
      <c r="BT6" s="388"/>
      <c r="BU6" s="440"/>
      <c r="BV6" s="388"/>
      <c r="BW6" s="389"/>
      <c r="BX6" s="213"/>
      <c r="BY6" s="213"/>
      <c r="BZ6" s="213"/>
      <c r="CA6" s="213"/>
      <c r="CB6" s="213"/>
      <c r="CC6" s="213"/>
      <c r="CD6" s="213"/>
      <c r="CE6" s="213"/>
      <c r="CF6" s="213"/>
      <c r="CG6" s="213"/>
      <c r="CH6" s="213"/>
      <c r="CI6" s="213"/>
      <c r="CJ6" s="213"/>
      <c r="CK6" s="213"/>
      <c r="CL6" s="213"/>
      <c r="CM6" s="213"/>
      <c r="CN6" s="213"/>
      <c r="CO6" s="213"/>
      <c r="CP6" s="213"/>
      <c r="CQ6" s="213"/>
    </row>
    <row r="7" ht="15.75" hidden="1" customHeight="1">
      <c r="A7" s="213"/>
      <c r="B7" s="496"/>
      <c r="C7" s="492" t="s">
        <v>92</v>
      </c>
      <c r="D7" s="604">
        <v>2983.0</v>
      </c>
      <c r="E7" s="352"/>
      <c r="F7" s="357"/>
      <c r="G7" s="352"/>
      <c r="H7" s="357"/>
      <c r="I7" s="358"/>
      <c r="J7" s="604">
        <v>3547.0</v>
      </c>
      <c r="K7" s="355">
        <f t="shared" si="1"/>
        <v>0.1890714046</v>
      </c>
      <c r="L7" s="245"/>
      <c r="M7" s="352"/>
      <c r="N7" s="357"/>
      <c r="O7" s="358"/>
      <c r="P7" s="604"/>
      <c r="Q7" s="352"/>
      <c r="R7" s="357"/>
      <c r="S7" s="352"/>
      <c r="T7" s="357"/>
      <c r="U7" s="358"/>
      <c r="V7" s="604"/>
      <c r="W7" s="352"/>
      <c r="X7" s="357"/>
      <c r="Y7" s="352"/>
      <c r="Z7" s="357"/>
      <c r="AA7" s="358"/>
      <c r="AB7" s="604"/>
      <c r="AC7" s="352"/>
      <c r="AD7" s="357"/>
      <c r="AE7" s="352"/>
      <c r="AF7" s="357"/>
      <c r="AG7" s="358"/>
      <c r="AH7" s="604"/>
      <c r="AI7" s="352"/>
      <c r="AJ7" s="357"/>
      <c r="AK7" s="352"/>
      <c r="AL7" s="357"/>
      <c r="AM7" s="358"/>
      <c r="AN7" s="604"/>
      <c r="AO7" s="352"/>
      <c r="AP7" s="357"/>
      <c r="AQ7" s="352"/>
      <c r="AR7" s="357"/>
      <c r="AS7" s="358"/>
      <c r="AT7" s="604"/>
      <c r="AU7" s="352"/>
      <c r="AV7" s="357"/>
      <c r="AW7" s="352"/>
      <c r="AX7" s="357"/>
      <c r="AY7" s="358"/>
      <c r="AZ7" s="604"/>
      <c r="BA7" s="352"/>
      <c r="BB7" s="357"/>
      <c r="BC7" s="352"/>
      <c r="BD7" s="357"/>
      <c r="BE7" s="358"/>
      <c r="BF7" s="604"/>
      <c r="BG7" s="352"/>
      <c r="BH7" s="357"/>
      <c r="BI7" s="352"/>
      <c r="BJ7" s="357"/>
      <c r="BK7" s="358"/>
      <c r="BL7" s="604"/>
      <c r="BM7" s="352"/>
      <c r="BN7" s="357"/>
      <c r="BO7" s="352"/>
      <c r="BP7" s="357"/>
      <c r="BQ7" s="358"/>
      <c r="BR7" s="351"/>
      <c r="BS7" s="352"/>
      <c r="BT7" s="357"/>
      <c r="BU7" s="352"/>
      <c r="BV7" s="357"/>
      <c r="BW7" s="358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</row>
    <row r="8" ht="15.75" hidden="1" customHeight="1">
      <c r="A8" s="213"/>
      <c r="B8" s="496"/>
      <c r="C8" s="492" t="s">
        <v>99</v>
      </c>
      <c r="D8" s="604">
        <f>D27+D28+D31+D16</f>
        <v>4181267.4</v>
      </c>
      <c r="E8" s="355"/>
      <c r="F8" s="357"/>
      <c r="G8" s="352"/>
      <c r="H8" s="357"/>
      <c r="I8" s="358"/>
      <c r="J8" s="604">
        <f>J27+J28+J31+J16</f>
        <v>4677508</v>
      </c>
      <c r="K8" s="355">
        <f t="shared" si="1"/>
        <v>0.1186818619</v>
      </c>
      <c r="L8" s="245"/>
      <c r="M8" s="352"/>
      <c r="N8" s="357"/>
      <c r="O8" s="358"/>
      <c r="P8" s="604"/>
      <c r="Q8" s="352"/>
      <c r="R8" s="357"/>
      <c r="S8" s="352"/>
      <c r="T8" s="357"/>
      <c r="U8" s="358"/>
      <c r="V8" s="604"/>
      <c r="W8" s="352"/>
      <c r="X8" s="357"/>
      <c r="Y8" s="352"/>
      <c r="Z8" s="357"/>
      <c r="AA8" s="358"/>
      <c r="AB8" s="604"/>
      <c r="AC8" s="352"/>
      <c r="AD8" s="357"/>
      <c r="AE8" s="352"/>
      <c r="AF8" s="357"/>
      <c r="AG8" s="358"/>
      <c r="AH8" s="604"/>
      <c r="AI8" s="352"/>
      <c r="AJ8" s="357"/>
      <c r="AK8" s="352"/>
      <c r="AL8" s="357"/>
      <c r="AM8" s="358"/>
      <c r="AN8" s="604"/>
      <c r="AO8" s="352"/>
      <c r="AP8" s="357"/>
      <c r="AQ8" s="352"/>
      <c r="AR8" s="357"/>
      <c r="AS8" s="358"/>
      <c r="AT8" s="604"/>
      <c r="AU8" s="352"/>
      <c r="AV8" s="357"/>
      <c r="AW8" s="352"/>
      <c r="AX8" s="357"/>
      <c r="AY8" s="358"/>
      <c r="AZ8" s="604"/>
      <c r="BA8" s="352"/>
      <c r="BB8" s="357"/>
      <c r="BC8" s="352"/>
      <c r="BD8" s="357"/>
      <c r="BE8" s="358"/>
      <c r="BF8" s="604"/>
      <c r="BG8" s="352"/>
      <c r="BH8" s="357"/>
      <c r="BI8" s="352"/>
      <c r="BJ8" s="357"/>
      <c r="BK8" s="358"/>
      <c r="BL8" s="604"/>
      <c r="BM8" s="352"/>
      <c r="BN8" s="357"/>
      <c r="BO8" s="352"/>
      <c r="BP8" s="357"/>
      <c r="BQ8" s="358"/>
      <c r="BR8" s="351"/>
      <c r="BS8" s="352"/>
      <c r="BT8" s="357"/>
      <c r="BU8" s="352"/>
      <c r="BV8" s="357"/>
      <c r="BW8" s="358"/>
      <c r="BX8" s="213"/>
      <c r="BY8" s="213"/>
      <c r="BZ8" s="213"/>
      <c r="CA8" s="213"/>
      <c r="CB8" s="213"/>
      <c r="CC8" s="213"/>
      <c r="CD8" s="213"/>
      <c r="CE8" s="213"/>
      <c r="CF8" s="213"/>
      <c r="CG8" s="213"/>
      <c r="CH8" s="213"/>
      <c r="CI8" s="213"/>
      <c r="CJ8" s="213"/>
      <c r="CK8" s="213"/>
      <c r="CL8" s="213"/>
      <c r="CM8" s="213"/>
      <c r="CN8" s="213"/>
      <c r="CO8" s="213"/>
      <c r="CP8" s="213"/>
      <c r="CQ8" s="213"/>
    </row>
    <row r="9" ht="15.75" hidden="1" customHeight="1">
      <c r="A9" s="213"/>
      <c r="B9" s="496"/>
      <c r="C9" s="492" t="s">
        <v>106</v>
      </c>
      <c r="D9" s="604">
        <f>D17+D22+D20+D21</f>
        <v>4402487.37</v>
      </c>
      <c r="E9" s="355"/>
      <c r="F9" s="357"/>
      <c r="G9" s="352"/>
      <c r="H9" s="357"/>
      <c r="I9" s="358"/>
      <c r="J9" s="604">
        <f>J17+J22+J20+J21</f>
        <v>4974938.88</v>
      </c>
      <c r="K9" s="355">
        <f t="shared" si="1"/>
        <v>0.130029109</v>
      </c>
      <c r="L9" s="245"/>
      <c r="M9" s="352"/>
      <c r="N9" s="357"/>
      <c r="O9" s="358"/>
      <c r="P9" s="604"/>
      <c r="Q9" s="352"/>
      <c r="R9" s="357"/>
      <c r="S9" s="352"/>
      <c r="T9" s="357"/>
      <c r="U9" s="358"/>
      <c r="V9" s="604"/>
      <c r="W9" s="352"/>
      <c r="X9" s="357"/>
      <c r="Y9" s="352"/>
      <c r="Z9" s="357"/>
      <c r="AA9" s="358"/>
      <c r="AB9" s="604"/>
      <c r="AC9" s="352"/>
      <c r="AD9" s="357"/>
      <c r="AE9" s="352"/>
      <c r="AF9" s="357"/>
      <c r="AG9" s="358"/>
      <c r="AH9" s="604"/>
      <c r="AI9" s="352"/>
      <c r="AJ9" s="357"/>
      <c r="AK9" s="352"/>
      <c r="AL9" s="357"/>
      <c r="AM9" s="358"/>
      <c r="AN9" s="604"/>
      <c r="AO9" s="352"/>
      <c r="AP9" s="357"/>
      <c r="AQ9" s="352"/>
      <c r="AR9" s="357"/>
      <c r="AS9" s="358"/>
      <c r="AT9" s="604"/>
      <c r="AU9" s="352"/>
      <c r="AV9" s="357"/>
      <c r="AW9" s="352"/>
      <c r="AX9" s="357"/>
      <c r="AY9" s="358"/>
      <c r="AZ9" s="604"/>
      <c r="BA9" s="352"/>
      <c r="BB9" s="357"/>
      <c r="BC9" s="352"/>
      <c r="BD9" s="357"/>
      <c r="BE9" s="358"/>
      <c r="BF9" s="604"/>
      <c r="BG9" s="352"/>
      <c r="BH9" s="357"/>
      <c r="BI9" s="352"/>
      <c r="BJ9" s="357"/>
      <c r="BK9" s="358"/>
      <c r="BL9" s="604"/>
      <c r="BM9" s="352"/>
      <c r="BN9" s="357"/>
      <c r="BO9" s="352"/>
      <c r="BP9" s="357"/>
      <c r="BQ9" s="358"/>
      <c r="BR9" s="351"/>
      <c r="BS9" s="352"/>
      <c r="BT9" s="357"/>
      <c r="BU9" s="352"/>
      <c r="BV9" s="357"/>
      <c r="BW9" s="358"/>
      <c r="BX9" s="213"/>
      <c r="BY9" s="213"/>
      <c r="BZ9" s="213"/>
      <c r="CA9" s="213"/>
      <c r="CB9" s="213"/>
      <c r="CC9" s="213"/>
      <c r="CD9" s="213"/>
      <c r="CE9" s="213"/>
      <c r="CF9" s="213"/>
      <c r="CG9" s="213"/>
      <c r="CH9" s="213"/>
      <c r="CI9" s="213"/>
      <c r="CJ9" s="213"/>
      <c r="CK9" s="213"/>
      <c r="CL9" s="213"/>
      <c r="CM9" s="213"/>
      <c r="CN9" s="213"/>
      <c r="CO9" s="213"/>
      <c r="CP9" s="213"/>
      <c r="CQ9" s="213"/>
    </row>
    <row r="10" ht="15.75" hidden="1" customHeight="1">
      <c r="A10" s="213"/>
      <c r="B10" s="751"/>
      <c r="C10" s="540" t="s">
        <v>113</v>
      </c>
      <c r="D10" s="752">
        <f>SUM(D8:D9)-D32</f>
        <v>-3600</v>
      </c>
      <c r="E10" s="753"/>
      <c r="F10" s="754"/>
      <c r="G10" s="753"/>
      <c r="H10" s="754"/>
      <c r="I10" s="755"/>
      <c r="J10" s="752">
        <f>SUM(J8:J9)-J32</f>
        <v>-11400</v>
      </c>
      <c r="K10" s="753"/>
      <c r="L10" s="754"/>
      <c r="M10" s="753"/>
      <c r="N10" s="754"/>
      <c r="O10" s="755"/>
      <c r="P10" s="752"/>
      <c r="Q10" s="753"/>
      <c r="R10" s="754"/>
      <c r="S10" s="753"/>
      <c r="T10" s="754"/>
      <c r="U10" s="755"/>
      <c r="V10" s="752"/>
      <c r="W10" s="753"/>
      <c r="X10" s="754"/>
      <c r="Y10" s="753"/>
      <c r="Z10" s="754"/>
      <c r="AA10" s="755"/>
      <c r="AB10" s="752"/>
      <c r="AC10" s="753"/>
      <c r="AD10" s="754"/>
      <c r="AE10" s="753"/>
      <c r="AF10" s="754"/>
      <c r="AG10" s="755"/>
      <c r="AH10" s="752"/>
      <c r="AI10" s="753"/>
      <c r="AJ10" s="754"/>
      <c r="AK10" s="753"/>
      <c r="AL10" s="754"/>
      <c r="AM10" s="755"/>
      <c r="AN10" s="752"/>
      <c r="AO10" s="753"/>
      <c r="AP10" s="754"/>
      <c r="AQ10" s="753"/>
      <c r="AR10" s="754"/>
      <c r="AS10" s="755"/>
      <c r="AT10" s="752"/>
      <c r="AU10" s="753"/>
      <c r="AV10" s="754"/>
      <c r="AW10" s="753"/>
      <c r="AX10" s="754"/>
      <c r="AY10" s="755"/>
      <c r="AZ10" s="752"/>
      <c r="BA10" s="753"/>
      <c r="BB10" s="754"/>
      <c r="BC10" s="753"/>
      <c r="BD10" s="754"/>
      <c r="BE10" s="755"/>
      <c r="BF10" s="752"/>
      <c r="BG10" s="753"/>
      <c r="BH10" s="754"/>
      <c r="BI10" s="753"/>
      <c r="BJ10" s="754"/>
      <c r="BK10" s="755"/>
      <c r="BL10" s="752"/>
      <c r="BM10" s="753"/>
      <c r="BN10" s="754"/>
      <c r="BO10" s="753"/>
      <c r="BP10" s="754"/>
      <c r="BQ10" s="755"/>
      <c r="BR10" s="756"/>
      <c r="BS10" s="753"/>
      <c r="BT10" s="754"/>
      <c r="BU10" s="753"/>
      <c r="BV10" s="754"/>
      <c r="BW10" s="755"/>
      <c r="BX10" s="213"/>
      <c r="BY10" s="213"/>
      <c r="BZ10" s="213"/>
      <c r="CA10" s="213"/>
      <c r="CB10" s="213"/>
      <c r="CC10" s="213"/>
      <c r="CD10" s="213"/>
      <c r="CE10" s="213"/>
      <c r="CF10" s="213"/>
      <c r="CG10" s="213"/>
      <c r="CH10" s="213"/>
      <c r="CI10" s="213"/>
      <c r="CJ10" s="213"/>
      <c r="CK10" s="213"/>
      <c r="CL10" s="213"/>
      <c r="CM10" s="213"/>
      <c r="CN10" s="213"/>
      <c r="CO10" s="213"/>
      <c r="CP10" s="213"/>
      <c r="CQ10" s="213"/>
    </row>
    <row r="11" ht="15.75" hidden="1" customHeight="1">
      <c r="A11" s="213"/>
      <c r="B11" s="487"/>
      <c r="C11" s="488" t="s">
        <v>120</v>
      </c>
      <c r="D11" s="708">
        <f t="shared" ref="D11:D12" si="2">D8/D6</f>
        <v>943.4267599</v>
      </c>
      <c r="E11" s="385"/>
      <c r="F11" s="388"/>
      <c r="G11" s="440"/>
      <c r="H11" s="388"/>
      <c r="I11" s="389"/>
      <c r="J11" s="708">
        <f t="shared" ref="J11:J12" si="3">J8/J6</f>
        <v>964.4346392</v>
      </c>
      <c r="K11" s="385">
        <f t="shared" ref="K11:K12" si="4">(J11-D11)/D11</f>
        <v>0.0222676313</v>
      </c>
      <c r="L11" s="388" t="s">
        <v>219</v>
      </c>
      <c r="M11" s="440"/>
      <c r="N11" s="388"/>
      <c r="O11" s="389"/>
      <c r="P11" s="708"/>
      <c r="Q11" s="440"/>
      <c r="R11" s="388"/>
      <c r="S11" s="440"/>
      <c r="T11" s="388"/>
      <c r="U11" s="389"/>
      <c r="V11" s="708"/>
      <c r="W11" s="440"/>
      <c r="X11" s="388"/>
      <c r="Y11" s="440"/>
      <c r="Z11" s="388"/>
      <c r="AA11" s="389"/>
      <c r="AB11" s="708"/>
      <c r="AC11" s="440"/>
      <c r="AD11" s="388"/>
      <c r="AE11" s="440"/>
      <c r="AF11" s="388"/>
      <c r="AG11" s="389"/>
      <c r="AH11" s="708"/>
      <c r="AI11" s="440"/>
      <c r="AJ11" s="388"/>
      <c r="AK11" s="440"/>
      <c r="AL11" s="388"/>
      <c r="AM11" s="389"/>
      <c r="AN11" s="708"/>
      <c r="AO11" s="440"/>
      <c r="AP11" s="388"/>
      <c r="AQ11" s="440"/>
      <c r="AR11" s="388"/>
      <c r="AS11" s="389"/>
      <c r="AT11" s="708"/>
      <c r="AU11" s="440"/>
      <c r="AV11" s="388"/>
      <c r="AW11" s="440"/>
      <c r="AX11" s="388"/>
      <c r="AY11" s="389"/>
      <c r="AZ11" s="708"/>
      <c r="BA11" s="440"/>
      <c r="BB11" s="388"/>
      <c r="BC11" s="440"/>
      <c r="BD11" s="388"/>
      <c r="BE11" s="389"/>
      <c r="BF11" s="708"/>
      <c r="BG11" s="440"/>
      <c r="BH11" s="388"/>
      <c r="BI11" s="440"/>
      <c r="BJ11" s="388"/>
      <c r="BK11" s="389"/>
      <c r="BL11" s="708"/>
      <c r="BM11" s="440"/>
      <c r="BN11" s="388"/>
      <c r="BO11" s="440"/>
      <c r="BP11" s="388"/>
      <c r="BQ11" s="389"/>
      <c r="BR11" s="491"/>
      <c r="BS11" s="440"/>
      <c r="BT11" s="388"/>
      <c r="BU11" s="440"/>
      <c r="BV11" s="388"/>
      <c r="BW11" s="389"/>
      <c r="BX11" s="213"/>
      <c r="BY11" s="213"/>
      <c r="BZ11" s="213"/>
      <c r="CA11" s="213"/>
      <c r="CB11" s="213"/>
      <c r="CC11" s="213"/>
      <c r="CD11" s="213"/>
      <c r="CE11" s="213"/>
      <c r="CF11" s="213"/>
      <c r="CG11" s="213"/>
      <c r="CH11" s="213"/>
      <c r="CI11" s="213"/>
      <c r="CJ11" s="213"/>
      <c r="CK11" s="213"/>
      <c r="CL11" s="213"/>
      <c r="CM11" s="213"/>
      <c r="CN11" s="213"/>
      <c r="CO11" s="213"/>
      <c r="CP11" s="213"/>
      <c r="CQ11" s="213"/>
    </row>
    <row r="12" ht="15.75" hidden="1" customHeight="1">
      <c r="A12" s="213"/>
      <c r="B12" s="496"/>
      <c r="C12" s="492" t="s">
        <v>127</v>
      </c>
      <c r="D12" s="604">
        <f t="shared" si="2"/>
        <v>1475.858991</v>
      </c>
      <c r="E12" s="355"/>
      <c r="F12" s="357"/>
      <c r="G12" s="352"/>
      <c r="H12" s="357"/>
      <c r="I12" s="358"/>
      <c r="J12" s="604">
        <f t="shared" si="3"/>
        <v>1402.57651</v>
      </c>
      <c r="K12" s="355">
        <f t="shared" si="4"/>
        <v>-0.04965412121</v>
      </c>
      <c r="L12" s="357"/>
      <c r="M12" s="352"/>
      <c r="N12" s="357"/>
      <c r="O12" s="358"/>
      <c r="P12" s="604"/>
      <c r="Q12" s="352"/>
      <c r="R12" s="357"/>
      <c r="S12" s="352"/>
      <c r="T12" s="357"/>
      <c r="U12" s="358"/>
      <c r="V12" s="604"/>
      <c r="W12" s="352"/>
      <c r="X12" s="357"/>
      <c r="Y12" s="352"/>
      <c r="Z12" s="357"/>
      <c r="AA12" s="358"/>
      <c r="AB12" s="604"/>
      <c r="AC12" s="352"/>
      <c r="AD12" s="357"/>
      <c r="AE12" s="352"/>
      <c r="AF12" s="357"/>
      <c r="AG12" s="358"/>
      <c r="AH12" s="604"/>
      <c r="AI12" s="352"/>
      <c r="AJ12" s="357"/>
      <c r="AK12" s="352"/>
      <c r="AL12" s="357"/>
      <c r="AM12" s="358"/>
      <c r="AN12" s="604"/>
      <c r="AO12" s="352"/>
      <c r="AP12" s="357"/>
      <c r="AQ12" s="352"/>
      <c r="AR12" s="357"/>
      <c r="AS12" s="358"/>
      <c r="AT12" s="604"/>
      <c r="AU12" s="352"/>
      <c r="AV12" s="357"/>
      <c r="AW12" s="352"/>
      <c r="AX12" s="357"/>
      <c r="AY12" s="358"/>
      <c r="AZ12" s="604"/>
      <c r="BA12" s="352"/>
      <c r="BB12" s="357"/>
      <c r="BC12" s="352"/>
      <c r="BD12" s="357"/>
      <c r="BE12" s="358"/>
      <c r="BF12" s="604"/>
      <c r="BG12" s="352"/>
      <c r="BH12" s="357"/>
      <c r="BI12" s="352"/>
      <c r="BJ12" s="357"/>
      <c r="BK12" s="358"/>
      <c r="BL12" s="604"/>
      <c r="BM12" s="352"/>
      <c r="BN12" s="357"/>
      <c r="BO12" s="352"/>
      <c r="BP12" s="357"/>
      <c r="BQ12" s="358"/>
      <c r="BR12" s="351"/>
      <c r="BS12" s="352"/>
      <c r="BT12" s="357"/>
      <c r="BU12" s="352"/>
      <c r="BV12" s="357"/>
      <c r="BW12" s="358"/>
      <c r="BX12" s="213"/>
      <c r="BY12" s="213"/>
      <c r="BZ12" s="213"/>
      <c r="CA12" s="213"/>
      <c r="CB12" s="213"/>
      <c r="CC12" s="213"/>
      <c r="CD12" s="213"/>
      <c r="CE12" s="213"/>
      <c r="CF12" s="213"/>
      <c r="CG12" s="213"/>
      <c r="CH12" s="213"/>
      <c r="CI12" s="213"/>
      <c r="CJ12" s="213"/>
      <c r="CK12" s="213"/>
      <c r="CL12" s="213"/>
      <c r="CM12" s="213"/>
      <c r="CN12" s="213"/>
      <c r="CO12" s="213"/>
      <c r="CP12" s="213"/>
      <c r="CQ12" s="213"/>
    </row>
    <row r="13" ht="15.75" hidden="1" customHeight="1">
      <c r="A13" s="213"/>
      <c r="B13" s="496"/>
      <c r="C13" s="492"/>
      <c r="D13" s="604"/>
      <c r="E13" s="352"/>
      <c r="F13" s="357"/>
      <c r="G13" s="352"/>
      <c r="H13" s="357"/>
      <c r="I13" s="358"/>
      <c r="J13" s="665"/>
      <c r="K13" s="352"/>
      <c r="L13" s="357"/>
      <c r="M13" s="352"/>
      <c r="N13" s="357"/>
      <c r="O13" s="358"/>
      <c r="P13" s="665"/>
      <c r="Q13" s="352"/>
      <c r="R13" s="357"/>
      <c r="S13" s="352"/>
      <c r="T13" s="357"/>
      <c r="U13" s="358"/>
      <c r="V13" s="665"/>
      <c r="W13" s="352"/>
      <c r="X13" s="357"/>
      <c r="Y13" s="352"/>
      <c r="Z13" s="357"/>
      <c r="AA13" s="358"/>
      <c r="AB13" s="665"/>
      <c r="AC13" s="352"/>
      <c r="AD13" s="357"/>
      <c r="AE13" s="352"/>
      <c r="AF13" s="357"/>
      <c r="AG13" s="358"/>
      <c r="AH13" s="665"/>
      <c r="AI13" s="352"/>
      <c r="AJ13" s="357"/>
      <c r="AK13" s="352"/>
      <c r="AL13" s="357"/>
      <c r="AM13" s="358"/>
      <c r="AN13" s="665"/>
      <c r="AO13" s="352"/>
      <c r="AP13" s="357"/>
      <c r="AQ13" s="352"/>
      <c r="AR13" s="357"/>
      <c r="AS13" s="358"/>
      <c r="AT13" s="665"/>
      <c r="AU13" s="352"/>
      <c r="AV13" s="357"/>
      <c r="AW13" s="352"/>
      <c r="AX13" s="357"/>
      <c r="AY13" s="358"/>
      <c r="AZ13" s="665"/>
      <c r="BA13" s="352"/>
      <c r="BB13" s="357"/>
      <c r="BC13" s="352"/>
      <c r="BD13" s="357"/>
      <c r="BE13" s="358"/>
      <c r="BF13" s="665"/>
      <c r="BG13" s="352"/>
      <c r="BH13" s="357"/>
      <c r="BI13" s="352"/>
      <c r="BJ13" s="357"/>
      <c r="BK13" s="358"/>
      <c r="BL13" s="665"/>
      <c r="BM13" s="352"/>
      <c r="BN13" s="357"/>
      <c r="BO13" s="352"/>
      <c r="BP13" s="357"/>
      <c r="BQ13" s="358"/>
      <c r="BR13" s="351"/>
      <c r="BS13" s="352"/>
      <c r="BT13" s="357"/>
      <c r="BU13" s="352"/>
      <c r="BV13" s="357"/>
      <c r="BW13" s="358"/>
      <c r="BX13" s="213"/>
      <c r="BY13" s="213"/>
      <c r="BZ13" s="213"/>
      <c r="CA13" s="213"/>
      <c r="CB13" s="213"/>
      <c r="CC13" s="213"/>
      <c r="CD13" s="213"/>
      <c r="CE13" s="213"/>
      <c r="CF13" s="213"/>
      <c r="CG13" s="213"/>
      <c r="CH13" s="213"/>
      <c r="CI13" s="213"/>
      <c r="CJ13" s="213"/>
      <c r="CK13" s="213"/>
      <c r="CL13" s="213"/>
      <c r="CM13" s="213"/>
      <c r="CN13" s="213"/>
      <c r="CO13" s="213"/>
      <c r="CP13" s="213"/>
      <c r="CQ13" s="213"/>
    </row>
    <row r="14" ht="15.75" customHeight="1">
      <c r="A14" s="213"/>
      <c r="B14" s="482" t="s">
        <v>220</v>
      </c>
      <c r="C14" s="492"/>
      <c r="D14" s="604"/>
      <c r="E14" s="352"/>
      <c r="F14" s="357"/>
      <c r="G14" s="352"/>
      <c r="H14" s="357"/>
      <c r="I14" s="358"/>
      <c r="J14" s="665"/>
      <c r="K14" s="352"/>
      <c r="L14" s="357"/>
      <c r="M14" s="352"/>
      <c r="N14" s="357"/>
      <c r="O14" s="358"/>
      <c r="P14" s="665"/>
      <c r="Q14" s="352"/>
      <c r="R14" s="357"/>
      <c r="S14" s="352"/>
      <c r="T14" s="357"/>
      <c r="U14" s="358"/>
      <c r="V14" s="665"/>
      <c r="W14" s="352"/>
      <c r="X14" s="357"/>
      <c r="Y14" s="352"/>
      <c r="Z14" s="357"/>
      <c r="AA14" s="358"/>
      <c r="AB14" s="604"/>
      <c r="AC14" s="352"/>
      <c r="AD14" s="357"/>
      <c r="AE14" s="352"/>
      <c r="AF14" s="357"/>
      <c r="AG14" s="358"/>
      <c r="AH14" s="604"/>
      <c r="AI14" s="352"/>
      <c r="AJ14" s="357"/>
      <c r="AK14" s="352"/>
      <c r="AL14" s="357"/>
      <c r="AM14" s="358"/>
      <c r="AN14" s="604"/>
      <c r="AO14" s="352"/>
      <c r="AP14" s="357"/>
      <c r="AQ14" s="352"/>
      <c r="AR14" s="357"/>
      <c r="AS14" s="358"/>
      <c r="AT14" s="604"/>
      <c r="AU14" s="352"/>
      <c r="AV14" s="357"/>
      <c r="AW14" s="352"/>
      <c r="AX14" s="357"/>
      <c r="AY14" s="358"/>
      <c r="AZ14" s="604"/>
      <c r="BA14" s="352"/>
      <c r="BB14" s="357"/>
      <c r="BC14" s="352"/>
      <c r="BD14" s="357"/>
      <c r="BE14" s="358"/>
      <c r="BF14" s="604"/>
      <c r="BG14" s="352"/>
      <c r="BH14" s="357"/>
      <c r="BI14" s="352"/>
      <c r="BJ14" s="357"/>
      <c r="BK14" s="358"/>
      <c r="BL14" s="604"/>
      <c r="BM14" s="352"/>
      <c r="BN14" s="357"/>
      <c r="BO14" s="352"/>
      <c r="BP14" s="357"/>
      <c r="BQ14" s="358"/>
      <c r="BR14" s="351"/>
      <c r="BS14" s="352"/>
      <c r="BT14" s="357"/>
      <c r="BU14" s="352"/>
      <c r="BV14" s="357"/>
      <c r="BW14" s="358"/>
      <c r="BX14" s="213"/>
      <c r="BY14" s="213"/>
      <c r="BZ14" s="213"/>
      <c r="CA14" s="213"/>
      <c r="CB14" s="213"/>
      <c r="CC14" s="213"/>
      <c r="CD14" s="213"/>
      <c r="CE14" s="213"/>
      <c r="CF14" s="213"/>
      <c r="CG14" s="213"/>
      <c r="CH14" s="213"/>
      <c r="CI14" s="213"/>
      <c r="CJ14" s="213"/>
      <c r="CK14" s="213"/>
      <c r="CL14" s="213"/>
      <c r="CM14" s="213"/>
      <c r="CN14" s="213"/>
      <c r="CO14" s="213"/>
      <c r="CP14" s="213"/>
      <c r="CQ14" s="213"/>
    </row>
    <row r="15" ht="15.75" customHeight="1">
      <c r="A15" s="213"/>
      <c r="B15" s="496"/>
      <c r="C15" s="492"/>
      <c r="D15" s="604">
        <f t="shared" ref="D15:E15" si="5">SUM(D16:D25)</f>
        <v>6880021.37</v>
      </c>
      <c r="E15" s="355">
        <f t="shared" si="5"/>
        <v>1</v>
      </c>
      <c r="F15" s="357">
        <f>SUM(F16:F22)</f>
        <v>6839784</v>
      </c>
      <c r="G15" s="355">
        <f>SUM(G16:G25)</f>
        <v>1</v>
      </c>
      <c r="H15" s="357">
        <f>SUM(H16:H22)</f>
        <v>-76035.63</v>
      </c>
      <c r="I15" s="358"/>
      <c r="J15" s="604">
        <f>SUM(J16:J23)</f>
        <v>7809948.88</v>
      </c>
      <c r="K15" s="355">
        <f>SUM(K16:K25)</f>
        <v>1</v>
      </c>
      <c r="L15" s="357">
        <f t="shared" ref="L15:N15" si="6">SUM(L16:L22)</f>
        <v>6766478</v>
      </c>
      <c r="M15" s="355">
        <f t="shared" si="6"/>
        <v>1</v>
      </c>
      <c r="N15" s="357">
        <f t="shared" si="6"/>
        <v>0</v>
      </c>
      <c r="O15" s="358"/>
      <c r="P15" s="604">
        <f t="shared" ref="P15:Q15" si="7">SUM(P16:P23)</f>
        <v>5702948</v>
      </c>
      <c r="Q15" s="355">
        <f t="shared" si="7"/>
        <v>1</v>
      </c>
      <c r="R15" s="357">
        <f>SUM(R16:R22)</f>
        <v>6705779</v>
      </c>
      <c r="S15" s="355">
        <f>SUM(S16:S25)</f>
        <v>1</v>
      </c>
      <c r="T15" s="357">
        <f>SUM(T16:T22)</f>
        <v>0</v>
      </c>
      <c r="U15" s="358"/>
      <c r="V15" s="604">
        <f t="shared" ref="V15:W15" si="8">SUM(V16:V23)</f>
        <v>7585633</v>
      </c>
      <c r="W15" s="355">
        <f t="shared" si="8"/>
        <v>1</v>
      </c>
      <c r="X15" s="357">
        <f>SUM(X16:X22)</f>
        <v>7397626</v>
      </c>
      <c r="Y15" s="355">
        <f>SUM(Y16:Y23)</f>
        <v>1</v>
      </c>
      <c r="Z15" s="357">
        <f>SUM(Z16:Z22)</f>
        <v>0</v>
      </c>
      <c r="AA15" s="358"/>
      <c r="AB15" s="604">
        <f>SUM(AB16:AB25)</f>
        <v>7605175</v>
      </c>
      <c r="AC15" s="355">
        <f>SUM(AC16:AC23)</f>
        <v>1</v>
      </c>
      <c r="AD15" s="357">
        <f>SUM(AD16:AD22)</f>
        <v>7416101</v>
      </c>
      <c r="AE15" s="355">
        <f>SUM(AE16:AE23)</f>
        <v>1</v>
      </c>
      <c r="AF15" s="357">
        <f>SUM(AF16:AF22)</f>
        <v>0</v>
      </c>
      <c r="AG15" s="358"/>
      <c r="AH15" s="604">
        <f>SUM(AH16:AH25)</f>
        <v>7302431.49</v>
      </c>
      <c r="AI15" s="355">
        <f>SUM(AI16:AI23)</f>
        <v>1</v>
      </c>
      <c r="AJ15" s="357">
        <f>SUM(AJ16:AJ22)</f>
        <v>7411978</v>
      </c>
      <c r="AK15" s="355">
        <f>SUM(AK16:AK23)</f>
        <v>1</v>
      </c>
      <c r="AL15" s="357">
        <f>SUM(AL16:AL22)</f>
        <v>0</v>
      </c>
      <c r="AM15" s="358"/>
      <c r="AN15" s="604">
        <f>SUM(AN16:AN22)</f>
        <v>6842254.94</v>
      </c>
      <c r="AO15" s="355">
        <f>SUM(AO16:AO23)</f>
        <v>1</v>
      </c>
      <c r="AP15" s="357">
        <f>SUM(AP16:AP22)</f>
        <v>8037276</v>
      </c>
      <c r="AQ15" s="355">
        <f>SUM(AQ16:AQ23)</f>
        <v>1</v>
      </c>
      <c r="AR15" s="357">
        <f>SUM(AR16:AR22)</f>
        <v>0</v>
      </c>
      <c r="AS15" s="358"/>
      <c r="AT15" s="604">
        <f>SUM(AT16:AT22)</f>
        <v>7495343.6</v>
      </c>
      <c r="AU15" s="355">
        <f>SUM(AU16:AU23)</f>
        <v>1</v>
      </c>
      <c r="AV15" s="357">
        <f>SUM(AV16:AV22)</f>
        <v>7946257</v>
      </c>
      <c r="AW15" s="355">
        <f>SUM(AW16:AW23)</f>
        <v>1</v>
      </c>
      <c r="AX15" s="357">
        <f>SUM(AX16:AX22)</f>
        <v>0</v>
      </c>
      <c r="AY15" s="358"/>
      <c r="AZ15" s="604">
        <f>SUM(AZ16:AZ22)</f>
        <v>8276529.57</v>
      </c>
      <c r="BA15" s="355">
        <f>SUM(BA16:BA23)</f>
        <v>1</v>
      </c>
      <c r="BB15" s="357">
        <f>SUM(BB16:BB22)</f>
        <v>8595722</v>
      </c>
      <c r="BC15" s="355">
        <f>SUM(BC16:BC23)</f>
        <v>1</v>
      </c>
      <c r="BD15" s="357">
        <f>SUM(BD16:BD22)</f>
        <v>0</v>
      </c>
      <c r="BE15" s="358"/>
      <c r="BF15" s="604">
        <f t="shared" ref="BF15:BI15" si="9">SUM(BF16:BF25)</f>
        <v>8253221.35</v>
      </c>
      <c r="BG15" s="355">
        <f t="shared" si="9"/>
        <v>1</v>
      </c>
      <c r="BH15" s="604">
        <f t="shared" si="9"/>
        <v>8404824</v>
      </c>
      <c r="BI15" s="355">
        <f t="shared" si="9"/>
        <v>1</v>
      </c>
      <c r="BJ15" s="357">
        <f>SUM(BJ16:BJ22)</f>
        <v>0</v>
      </c>
      <c r="BK15" s="358"/>
      <c r="BL15" s="604">
        <f t="shared" ref="BL15:BO15" si="10">SUM(BL16:BL25)</f>
        <v>7313515.71</v>
      </c>
      <c r="BM15" s="355">
        <f t="shared" si="10"/>
        <v>1</v>
      </c>
      <c r="BN15" s="604">
        <f t="shared" si="10"/>
        <v>7716936</v>
      </c>
      <c r="BO15" s="355">
        <f t="shared" si="10"/>
        <v>1</v>
      </c>
      <c r="BP15" s="357">
        <f>SUM(BP16:BP22)</f>
        <v>0</v>
      </c>
      <c r="BQ15" s="358"/>
      <c r="BR15" s="351">
        <f t="shared" ref="BR15:BU15" si="11">SUM(BR16:BR25)</f>
        <v>8548486.04</v>
      </c>
      <c r="BS15" s="355">
        <f t="shared" si="11"/>
        <v>1</v>
      </c>
      <c r="BT15" s="357">
        <f t="shared" si="11"/>
        <v>8330850</v>
      </c>
      <c r="BU15" s="355">
        <f t="shared" si="11"/>
        <v>1</v>
      </c>
      <c r="BV15" s="357">
        <f>SUM(BV16:BV22)</f>
        <v>0</v>
      </c>
      <c r="BW15" s="358"/>
      <c r="BX15" s="718">
        <f t="shared" ref="BX15:BX25" si="12">D15+J15+P15+V15+AB15+AH15+AN15+AT15+AZ15+BF15+BL15+BR15</f>
        <v>89615508.95</v>
      </c>
      <c r="BY15" s="216"/>
      <c r="BZ15" s="216"/>
      <c r="CA15" s="216"/>
      <c r="CB15" s="216"/>
      <c r="CC15" s="216"/>
      <c r="CD15" s="216"/>
      <c r="CE15" s="216"/>
      <c r="CF15" s="216"/>
      <c r="CG15" s="216"/>
      <c r="CH15" s="216"/>
      <c r="CI15" s="216"/>
      <c r="CJ15" s="216"/>
      <c r="CK15" s="216"/>
      <c r="CL15" s="216"/>
      <c r="CM15" s="216"/>
      <c r="CN15" s="216"/>
      <c r="CO15" s="216"/>
      <c r="CP15" s="216"/>
      <c r="CQ15" s="216"/>
    </row>
    <row r="16" ht="15.75" customHeight="1">
      <c r="A16" s="213"/>
      <c r="B16" s="496" t="s">
        <v>24</v>
      </c>
      <c r="C16" s="492" t="s">
        <v>221</v>
      </c>
      <c r="D16" s="604">
        <v>2473934.0</v>
      </c>
      <c r="E16" s="355">
        <f t="shared" ref="E16:E23" si="13">D16/$D$15</f>
        <v>0.3595823133</v>
      </c>
      <c r="F16" s="357">
        <v>3055347.0</v>
      </c>
      <c r="G16" s="355">
        <f t="shared" ref="G16:G22" si="14">F16/$F$15</f>
        <v>0.4467022643</v>
      </c>
      <c r="H16" s="357">
        <f>D16-F16</f>
        <v>-581413</v>
      </c>
      <c r="I16" s="395">
        <f t="shared" ref="I16:I17" si="15">H16/F16</f>
        <v>-0.1902936066</v>
      </c>
      <c r="J16" s="604">
        <v>2823610.0</v>
      </c>
      <c r="K16" s="355">
        <f t="shared" ref="K16:K23" si="16">J16/$J$15</f>
        <v>0.3615401385</v>
      </c>
      <c r="L16" s="357">
        <v>3000628.0</v>
      </c>
      <c r="M16" s="355">
        <f t="shared" ref="M16:M22" si="17">L16/L$15</f>
        <v>0.4434549259</v>
      </c>
      <c r="N16" s="357"/>
      <c r="O16" s="358"/>
      <c r="P16" s="604">
        <v>2533790.0</v>
      </c>
      <c r="Q16" s="355">
        <f t="shared" ref="Q16:Q23" si="18">P16/P$15</f>
        <v>0.4442947753</v>
      </c>
      <c r="R16" s="357">
        <v>2820924.0</v>
      </c>
      <c r="S16" s="355">
        <f t="shared" ref="S16:S22" si="19">R16/R$15</f>
        <v>0.4206705888</v>
      </c>
      <c r="T16" s="357"/>
      <c r="U16" s="358"/>
      <c r="V16" s="604">
        <v>2683376.0</v>
      </c>
      <c r="W16" s="355">
        <f t="shared" ref="W16:W23" si="20">V16/V$15</f>
        <v>0.3537445062</v>
      </c>
      <c r="X16" s="357">
        <v>3413099.0</v>
      </c>
      <c r="Y16" s="355">
        <f t="shared" ref="Y16:Y22" si="21">X16/X$15</f>
        <v>0.4613776095</v>
      </c>
      <c r="Z16" s="357"/>
      <c r="AA16" s="358"/>
      <c r="AB16" s="604">
        <v>2495187.0</v>
      </c>
      <c r="AC16" s="355">
        <f t="shared" ref="AC16:AC23" si="22">AB16/AB$15</f>
        <v>0.3280906751</v>
      </c>
      <c r="AD16" s="357">
        <v>3207103.0</v>
      </c>
      <c r="AE16" s="355">
        <f t="shared" ref="AE16:AE22" si="23">AD16/AD$15</f>
        <v>0.4324513649</v>
      </c>
      <c r="AF16" s="357"/>
      <c r="AG16" s="358"/>
      <c r="AH16" s="604">
        <v>2494182.0</v>
      </c>
      <c r="AI16" s="355">
        <f t="shared" ref="AI16:AI23" si="24">AH16/AH$15</f>
        <v>0.3415550017</v>
      </c>
      <c r="AJ16" s="357">
        <v>3041991.0</v>
      </c>
      <c r="AK16" s="355">
        <f t="shared" ref="AK16:AK22" si="25">AJ16/AJ$15</f>
        <v>0.4104155463</v>
      </c>
      <c r="AL16" s="357"/>
      <c r="AM16" s="358"/>
      <c r="AN16" s="604">
        <v>2254265.0</v>
      </c>
      <c r="AO16" s="355">
        <f t="shared" ref="AO16:AO22" si="26">AN16/AN$15</f>
        <v>0.3294622927</v>
      </c>
      <c r="AP16" s="357">
        <v>3404580.0</v>
      </c>
      <c r="AQ16" s="355">
        <f t="shared" ref="AQ16:AQ22" si="27">AP16/AP$15</f>
        <v>0.4235987417</v>
      </c>
      <c r="AR16" s="357"/>
      <c r="AS16" s="358"/>
      <c r="AT16" s="604">
        <v>2631454.0</v>
      </c>
      <c r="AU16" s="355">
        <f t="shared" ref="AU16:AU22" si="28">AT16/AT$15</f>
        <v>0.3510785016</v>
      </c>
      <c r="AV16" s="357">
        <v>3282451.0</v>
      </c>
      <c r="AW16" s="355">
        <f t="shared" ref="AW16:AW22" si="29">AV16/AV$15</f>
        <v>0.4130814042</v>
      </c>
      <c r="AX16" s="357"/>
      <c r="AY16" s="358"/>
      <c r="AZ16" s="604">
        <v>2854129.0</v>
      </c>
      <c r="BA16" s="355">
        <f t="shared" ref="BA16:BA22" si="30">AZ16/AZ$15</f>
        <v>0.3448461068</v>
      </c>
      <c r="BB16" s="357">
        <v>3506137.0</v>
      </c>
      <c r="BC16" s="355">
        <f t="shared" ref="BC16:BC22" si="31">BB16/BB$15</f>
        <v>0.407893252</v>
      </c>
      <c r="BD16" s="357"/>
      <c r="BE16" s="358"/>
      <c r="BF16" s="604">
        <f>2683409.75</f>
        <v>2683409.75</v>
      </c>
      <c r="BG16" s="355">
        <f t="shared" ref="BG16:BG22" si="32">BF16/BF$15</f>
        <v>0.3251348336</v>
      </c>
      <c r="BH16" s="357">
        <v>3357909.0</v>
      </c>
      <c r="BI16" s="355">
        <f t="shared" ref="BI16:BI22" si="33">BH16/BH$15</f>
        <v>0.3995216319</v>
      </c>
      <c r="BJ16" s="357"/>
      <c r="BK16" s="358"/>
      <c r="BL16" s="604">
        <v>2197875.25</v>
      </c>
      <c r="BM16" s="355">
        <f t="shared" ref="BM16:BM22" si="34">BL16/BL$15</f>
        <v>0.300522394</v>
      </c>
      <c r="BN16" s="357">
        <v>3201843.0</v>
      </c>
      <c r="BO16" s="355">
        <f t="shared" ref="BO16:BO22" si="35">BN16/BN$15</f>
        <v>0.4149111772</v>
      </c>
      <c r="BP16" s="357"/>
      <c r="BQ16" s="358"/>
      <c r="BR16" s="351">
        <v>2562758.0</v>
      </c>
      <c r="BS16" s="355">
        <f t="shared" ref="BS16:BS23" si="36">BR16/BR$15</f>
        <v>0.2997908621</v>
      </c>
      <c r="BT16" s="357">
        <v>3371326.0</v>
      </c>
      <c r="BU16" s="355">
        <f t="shared" ref="BU16:BU22" si="37">BT16/BT$15</f>
        <v>0.4046797146</v>
      </c>
      <c r="BV16" s="357"/>
      <c r="BW16" s="358"/>
      <c r="BX16" s="718">
        <f t="shared" si="12"/>
        <v>30687970</v>
      </c>
      <c r="BY16" s="213"/>
      <c r="BZ16" s="213"/>
      <c r="CA16" s="213"/>
      <c r="CB16" s="213"/>
      <c r="CC16" s="213"/>
      <c r="CD16" s="213"/>
      <c r="CE16" s="213"/>
      <c r="CF16" s="213"/>
      <c r="CG16" s="213"/>
      <c r="CH16" s="213"/>
      <c r="CI16" s="213"/>
      <c r="CJ16" s="213"/>
      <c r="CK16" s="213"/>
      <c r="CL16" s="213"/>
      <c r="CM16" s="213"/>
      <c r="CN16" s="213"/>
      <c r="CO16" s="213"/>
      <c r="CP16" s="213"/>
      <c r="CQ16" s="213"/>
    </row>
    <row r="17" ht="15.75" customHeight="1">
      <c r="A17" s="213"/>
      <c r="B17" s="492"/>
      <c r="C17" s="492" t="s">
        <v>222</v>
      </c>
      <c r="D17" s="604">
        <f>2000038+1003355.5+434168.64+87617+4780+672552.5</f>
        <v>4202511.64</v>
      </c>
      <c r="E17" s="355">
        <f t="shared" si="13"/>
        <v>0.6108282829</v>
      </c>
      <c r="F17" s="357">
        <f>2793443+306557+540000</f>
        <v>3640000</v>
      </c>
      <c r="G17" s="355">
        <f t="shared" si="14"/>
        <v>0.5321805484</v>
      </c>
      <c r="H17" s="357">
        <f>D17-SUM(F17:F19)</f>
        <v>562511.64</v>
      </c>
      <c r="I17" s="395">
        <f t="shared" si="15"/>
        <v>0.1545361648</v>
      </c>
      <c r="J17" s="604">
        <f>2331225+1165335+452863+157992+640736</f>
        <v>4748151</v>
      </c>
      <c r="K17" s="355">
        <f t="shared" si="16"/>
        <v>0.6079618539</v>
      </c>
      <c r="L17" s="357">
        <f>2743414+286586+594000</f>
        <v>3624000</v>
      </c>
      <c r="M17" s="355">
        <f t="shared" si="17"/>
        <v>0.5355814354</v>
      </c>
      <c r="N17" s="357"/>
      <c r="O17" s="358"/>
      <c r="P17" s="604">
        <f>368696+1724904+66177+223110+620105</f>
        <v>3002992</v>
      </c>
      <c r="Q17" s="355">
        <f t="shared" si="18"/>
        <v>0.5265683643</v>
      </c>
      <c r="R17" s="357">
        <v>3751500.0</v>
      </c>
      <c r="S17" s="355">
        <f t="shared" si="19"/>
        <v>0.5594428328</v>
      </c>
      <c r="T17" s="357"/>
      <c r="U17" s="358"/>
      <c r="V17" s="604">
        <f>4066309+594042</f>
        <v>4660351</v>
      </c>
      <c r="W17" s="355">
        <f t="shared" si="20"/>
        <v>0.6143654722</v>
      </c>
      <c r="X17" s="357">
        <v>3845130.0</v>
      </c>
      <c r="Y17" s="355">
        <f t="shared" si="21"/>
        <v>0.5197789129</v>
      </c>
      <c r="Z17" s="357"/>
      <c r="AA17" s="358"/>
      <c r="AB17" s="604">
        <f>4240459+614913</f>
        <v>4855372</v>
      </c>
      <c r="AC17" s="355">
        <f t="shared" si="22"/>
        <v>0.6384300164</v>
      </c>
      <c r="AD17" s="357">
        <v>4057387.0</v>
      </c>
      <c r="AE17" s="355">
        <f t="shared" si="23"/>
        <v>0.5471051433</v>
      </c>
      <c r="AF17" s="357"/>
      <c r="AG17" s="358"/>
      <c r="AH17" s="604">
        <f>2017170+1286994+723578+415509+126837</f>
        <v>4570088</v>
      </c>
      <c r="AI17" s="355">
        <f t="shared" si="24"/>
        <v>0.6258309998</v>
      </c>
      <c r="AJ17" s="357">
        <v>4226182.0</v>
      </c>
      <c r="AK17" s="355">
        <f t="shared" si="25"/>
        <v>0.5701827501</v>
      </c>
      <c r="AL17" s="357"/>
      <c r="AM17" s="358"/>
      <c r="AN17" s="604">
        <f>2148893.62+1227387.5+502018+386931.87+104579</f>
        <v>4369809.99</v>
      </c>
      <c r="AO17" s="355">
        <f t="shared" si="26"/>
        <v>0.638650566</v>
      </c>
      <c r="AP17" s="357">
        <v>3112740.0</v>
      </c>
      <c r="AQ17" s="355">
        <f t="shared" si="27"/>
        <v>0.3872879319</v>
      </c>
      <c r="AR17" s="357"/>
      <c r="AS17" s="358"/>
      <c r="AT17" s="604">
        <f>2207760+1388423+504544+432258+98966</f>
        <v>4631951</v>
      </c>
      <c r="AU17" s="355">
        <f t="shared" si="28"/>
        <v>0.6179771398</v>
      </c>
      <c r="AV17" s="357">
        <f>3001080+794340+713213</f>
        <v>4508633</v>
      </c>
      <c r="AW17" s="355">
        <f t="shared" si="29"/>
        <v>0.5673907854</v>
      </c>
      <c r="AX17" s="357"/>
      <c r="AY17" s="358"/>
      <c r="AZ17" s="604">
        <f>482734+2453775+1630758+499187+98152</f>
        <v>5164606</v>
      </c>
      <c r="BA17" s="355">
        <f t="shared" si="30"/>
        <v>0.6240062283</v>
      </c>
      <c r="BB17" s="357">
        <f>3205591+969371+748875</f>
        <v>4923837</v>
      </c>
      <c r="BC17" s="355">
        <f t="shared" si="31"/>
        <v>0.5728241327</v>
      </c>
      <c r="BD17" s="357"/>
      <c r="BE17" s="358"/>
      <c r="BF17" s="604">
        <f>2434818.31+1448250+818228.5+498899.42+99353.45</f>
        <v>5299549.68</v>
      </c>
      <c r="BG17" s="355">
        <f t="shared" si="32"/>
        <v>0.6421189321</v>
      </c>
      <c r="BH17" s="357">
        <v>3070069.0</v>
      </c>
      <c r="BI17" s="355">
        <f t="shared" si="33"/>
        <v>0.3652746328</v>
      </c>
      <c r="BJ17" s="357"/>
      <c r="BK17" s="358"/>
      <c r="BL17" s="604">
        <f>2303707.29+1326085.35+719450+422651.13+94179.5</f>
        <v>4866073.27</v>
      </c>
      <c r="BM17" s="355">
        <f t="shared" si="34"/>
        <v>0.6653534993</v>
      </c>
      <c r="BN17" s="357">
        <v>2927382.0</v>
      </c>
      <c r="BO17" s="355">
        <f t="shared" si="35"/>
        <v>0.3793451183</v>
      </c>
      <c r="BP17" s="357"/>
      <c r="BQ17" s="358"/>
      <c r="BR17" s="351">
        <f>2606571+1608290.5+876955+458628+136201</f>
        <v>5686645.5</v>
      </c>
      <c r="BS17" s="355">
        <f t="shared" si="36"/>
        <v>0.6652225287</v>
      </c>
      <c r="BT17" s="357">
        <v>3082337.0</v>
      </c>
      <c r="BU17" s="355">
        <f t="shared" si="37"/>
        <v>0.3699906972</v>
      </c>
      <c r="BV17" s="357"/>
      <c r="BW17" s="358"/>
      <c r="BX17" s="718">
        <f t="shared" si="12"/>
        <v>56058101.08</v>
      </c>
      <c r="BY17" s="213"/>
      <c r="BZ17" s="213"/>
      <c r="CA17" s="213"/>
      <c r="CB17" s="213"/>
      <c r="CC17" s="213"/>
      <c r="CD17" s="213"/>
      <c r="CE17" s="213"/>
      <c r="CF17" s="213"/>
      <c r="CG17" s="213"/>
      <c r="CH17" s="213"/>
      <c r="CI17" s="213"/>
      <c r="CJ17" s="213"/>
      <c r="CK17" s="213"/>
      <c r="CL17" s="213"/>
      <c r="CM17" s="213"/>
      <c r="CN17" s="213"/>
      <c r="CO17" s="213"/>
      <c r="CP17" s="213"/>
      <c r="CQ17" s="213"/>
    </row>
    <row r="18" ht="15.75" customHeight="1">
      <c r="A18" s="213"/>
      <c r="B18" s="492"/>
      <c r="C18" s="492" t="s">
        <v>223</v>
      </c>
      <c r="D18" s="604"/>
      <c r="E18" s="355">
        <f t="shared" si="13"/>
        <v>0</v>
      </c>
      <c r="F18" s="357"/>
      <c r="G18" s="355">
        <f t="shared" si="14"/>
        <v>0</v>
      </c>
      <c r="H18" s="357"/>
      <c r="I18" s="395"/>
      <c r="J18" s="665"/>
      <c r="K18" s="355">
        <f t="shared" si="16"/>
        <v>0</v>
      </c>
      <c r="L18" s="357"/>
      <c r="M18" s="355">
        <f t="shared" si="17"/>
        <v>0</v>
      </c>
      <c r="N18" s="357"/>
      <c r="O18" s="358"/>
      <c r="P18" s="604">
        <v>0.0</v>
      </c>
      <c r="Q18" s="355">
        <f t="shared" si="18"/>
        <v>0</v>
      </c>
      <c r="R18" s="357"/>
      <c r="S18" s="355">
        <f t="shared" si="19"/>
        <v>0</v>
      </c>
      <c r="T18" s="357"/>
      <c r="U18" s="358"/>
      <c r="V18" s="665"/>
      <c r="W18" s="355">
        <f t="shared" si="20"/>
        <v>0</v>
      </c>
      <c r="X18" s="357"/>
      <c r="Y18" s="355">
        <f t="shared" si="21"/>
        <v>0</v>
      </c>
      <c r="Z18" s="357"/>
      <c r="AA18" s="358"/>
      <c r="AB18" s="604"/>
      <c r="AC18" s="355">
        <f t="shared" si="22"/>
        <v>0</v>
      </c>
      <c r="AD18" s="357"/>
      <c r="AE18" s="355">
        <f t="shared" si="23"/>
        <v>0</v>
      </c>
      <c r="AF18" s="357"/>
      <c r="AG18" s="358"/>
      <c r="AH18" s="604"/>
      <c r="AI18" s="355">
        <f t="shared" si="24"/>
        <v>0</v>
      </c>
      <c r="AJ18" s="357"/>
      <c r="AK18" s="355">
        <f t="shared" si="25"/>
        <v>0</v>
      </c>
      <c r="AL18" s="357"/>
      <c r="AM18" s="358"/>
      <c r="AN18" s="604"/>
      <c r="AO18" s="355">
        <f t="shared" si="26"/>
        <v>0</v>
      </c>
      <c r="AP18" s="357">
        <f>3721000-AP17</f>
        <v>608260</v>
      </c>
      <c r="AQ18" s="355">
        <f t="shared" si="27"/>
        <v>0.07567986965</v>
      </c>
      <c r="AR18" s="357"/>
      <c r="AS18" s="358"/>
      <c r="AT18" s="604"/>
      <c r="AU18" s="355">
        <f t="shared" si="28"/>
        <v>0</v>
      </c>
      <c r="AV18" s="357"/>
      <c r="AW18" s="355">
        <f t="shared" si="29"/>
        <v>0</v>
      </c>
      <c r="AX18" s="357"/>
      <c r="AY18" s="358"/>
      <c r="AZ18" s="604"/>
      <c r="BA18" s="355">
        <f t="shared" si="30"/>
        <v>0</v>
      </c>
      <c r="BB18" s="357"/>
      <c r="BC18" s="355">
        <f t="shared" si="31"/>
        <v>0</v>
      </c>
      <c r="BD18" s="357"/>
      <c r="BE18" s="358"/>
      <c r="BF18" s="604"/>
      <c r="BG18" s="355">
        <f t="shared" si="32"/>
        <v>0</v>
      </c>
      <c r="BH18" s="357">
        <f>4174962-BH17</f>
        <v>1104893</v>
      </c>
      <c r="BI18" s="355">
        <f t="shared" si="33"/>
        <v>0.1314593857</v>
      </c>
      <c r="BJ18" s="357"/>
      <c r="BK18" s="358"/>
      <c r="BL18" s="604"/>
      <c r="BM18" s="355">
        <f t="shared" si="34"/>
        <v>0</v>
      </c>
      <c r="BN18" s="357">
        <f>3757500-BN17</f>
        <v>830118</v>
      </c>
      <c r="BO18" s="355">
        <f t="shared" si="35"/>
        <v>0.1075709323</v>
      </c>
      <c r="BP18" s="357"/>
      <c r="BQ18" s="358"/>
      <c r="BR18" s="351"/>
      <c r="BS18" s="355">
        <f t="shared" si="36"/>
        <v>0</v>
      </c>
      <c r="BT18" s="357">
        <f>4133250-BT17</f>
        <v>1050913</v>
      </c>
      <c r="BU18" s="355">
        <f t="shared" si="37"/>
        <v>0.1261471519</v>
      </c>
      <c r="BV18" s="357"/>
      <c r="BW18" s="358"/>
      <c r="BX18" s="718">
        <f t="shared" si="12"/>
        <v>0</v>
      </c>
      <c r="BY18" s="213"/>
      <c r="BZ18" s="213"/>
      <c r="CA18" s="213"/>
      <c r="CB18" s="213"/>
      <c r="CC18" s="213"/>
      <c r="CD18" s="213"/>
      <c r="CE18" s="213"/>
      <c r="CF18" s="213"/>
      <c r="CG18" s="213"/>
      <c r="CH18" s="213"/>
      <c r="CI18" s="213"/>
      <c r="CJ18" s="213"/>
      <c r="CK18" s="213"/>
      <c r="CL18" s="213"/>
      <c r="CM18" s="213"/>
      <c r="CN18" s="213"/>
      <c r="CO18" s="213"/>
      <c r="CP18" s="213"/>
      <c r="CQ18" s="213"/>
    </row>
    <row r="19" ht="15.75" customHeight="1">
      <c r="A19" s="213"/>
      <c r="B19" s="492"/>
      <c r="C19" s="492" t="s">
        <v>389</v>
      </c>
      <c r="D19" s="604"/>
      <c r="E19" s="355">
        <f t="shared" si="13"/>
        <v>0</v>
      </c>
      <c r="F19" s="357"/>
      <c r="G19" s="355">
        <f t="shared" si="14"/>
        <v>0</v>
      </c>
      <c r="H19" s="357"/>
      <c r="I19" s="395"/>
      <c r="J19" s="665"/>
      <c r="K19" s="355">
        <f t="shared" si="16"/>
        <v>0</v>
      </c>
      <c r="L19" s="357"/>
      <c r="M19" s="355">
        <f t="shared" si="17"/>
        <v>0</v>
      </c>
      <c r="N19" s="357"/>
      <c r="O19" s="358"/>
      <c r="P19" s="604">
        <v>0.0</v>
      </c>
      <c r="Q19" s="355">
        <f t="shared" si="18"/>
        <v>0</v>
      </c>
      <c r="R19" s="357"/>
      <c r="S19" s="355">
        <f t="shared" si="19"/>
        <v>0</v>
      </c>
      <c r="T19" s="357"/>
      <c r="U19" s="358"/>
      <c r="V19" s="665"/>
      <c r="W19" s="355">
        <f t="shared" si="20"/>
        <v>0</v>
      </c>
      <c r="X19" s="357"/>
      <c r="Y19" s="355">
        <f t="shared" si="21"/>
        <v>0</v>
      </c>
      <c r="Z19" s="357"/>
      <c r="AA19" s="358"/>
      <c r="AB19" s="604"/>
      <c r="AC19" s="355">
        <f t="shared" si="22"/>
        <v>0</v>
      </c>
      <c r="AD19" s="357"/>
      <c r="AE19" s="355">
        <f t="shared" si="23"/>
        <v>0</v>
      </c>
      <c r="AF19" s="357"/>
      <c r="AG19" s="358"/>
      <c r="AH19" s="604"/>
      <c r="AI19" s="355">
        <f t="shared" si="24"/>
        <v>0</v>
      </c>
      <c r="AJ19" s="357"/>
      <c r="AK19" s="355">
        <f t="shared" si="25"/>
        <v>0</v>
      </c>
      <c r="AL19" s="357"/>
      <c r="AM19" s="358"/>
      <c r="AN19" s="604"/>
      <c r="AO19" s="355">
        <f t="shared" si="26"/>
        <v>0</v>
      </c>
      <c r="AP19" s="357">
        <v>750750.0</v>
      </c>
      <c r="AQ19" s="355">
        <f t="shared" si="27"/>
        <v>0.09340851303</v>
      </c>
      <c r="AR19" s="357"/>
      <c r="AS19" s="358"/>
      <c r="AT19" s="604"/>
      <c r="AU19" s="355">
        <f t="shared" si="28"/>
        <v>0</v>
      </c>
      <c r="AV19" s="357"/>
      <c r="AW19" s="355">
        <f t="shared" si="29"/>
        <v>0</v>
      </c>
      <c r="AX19" s="357"/>
      <c r="AY19" s="358"/>
      <c r="AZ19" s="604"/>
      <c r="BA19" s="355">
        <f t="shared" si="30"/>
        <v>0</v>
      </c>
      <c r="BB19" s="357"/>
      <c r="BC19" s="355">
        <f t="shared" si="31"/>
        <v>0</v>
      </c>
      <c r="BD19" s="357"/>
      <c r="BE19" s="358"/>
      <c r="BF19" s="604"/>
      <c r="BG19" s="355">
        <f t="shared" si="32"/>
        <v>0</v>
      </c>
      <c r="BH19" s="357">
        <v>713213.0</v>
      </c>
      <c r="BI19" s="355">
        <f t="shared" si="33"/>
        <v>0.08485757703</v>
      </c>
      <c r="BJ19" s="357"/>
      <c r="BK19" s="358"/>
      <c r="BL19" s="604"/>
      <c r="BM19" s="355">
        <f t="shared" si="34"/>
        <v>0</v>
      </c>
      <c r="BN19" s="357">
        <v>606231.0</v>
      </c>
      <c r="BO19" s="355">
        <f t="shared" si="35"/>
        <v>0.07855851079</v>
      </c>
      <c r="BP19" s="357"/>
      <c r="BQ19" s="358"/>
      <c r="BR19" s="351"/>
      <c r="BS19" s="355">
        <f t="shared" si="36"/>
        <v>0</v>
      </c>
      <c r="BT19" s="357">
        <v>666900.0</v>
      </c>
      <c r="BU19" s="355">
        <f t="shared" si="37"/>
        <v>0.08005185545</v>
      </c>
      <c r="BV19" s="357"/>
      <c r="BW19" s="358"/>
      <c r="BX19" s="718">
        <f t="shared" si="12"/>
        <v>0</v>
      </c>
      <c r="BY19" s="213"/>
      <c r="BZ19" s="213"/>
      <c r="CA19" s="213"/>
      <c r="CB19" s="213"/>
      <c r="CC19" s="213"/>
      <c r="CD19" s="213"/>
      <c r="CE19" s="213"/>
      <c r="CF19" s="213"/>
      <c r="CG19" s="213"/>
      <c r="CH19" s="213"/>
      <c r="CI19" s="213"/>
      <c r="CJ19" s="213"/>
      <c r="CK19" s="213"/>
      <c r="CL19" s="213"/>
      <c r="CM19" s="213"/>
      <c r="CN19" s="213"/>
      <c r="CO19" s="213"/>
      <c r="CP19" s="213"/>
      <c r="CQ19" s="213"/>
    </row>
    <row r="20" ht="15.75" customHeight="1">
      <c r="A20" s="213"/>
      <c r="B20" s="492"/>
      <c r="C20" s="492" t="s">
        <v>297</v>
      </c>
      <c r="D20" s="604"/>
      <c r="E20" s="355">
        <f t="shared" si="13"/>
        <v>0</v>
      </c>
      <c r="F20" s="357">
        <v>0.0</v>
      </c>
      <c r="G20" s="355">
        <f t="shared" si="14"/>
        <v>0</v>
      </c>
      <c r="H20" s="357"/>
      <c r="I20" s="395"/>
      <c r="J20" s="665"/>
      <c r="K20" s="355">
        <f t="shared" si="16"/>
        <v>0</v>
      </c>
      <c r="L20" s="357">
        <v>0.0</v>
      </c>
      <c r="M20" s="355">
        <f t="shared" si="17"/>
        <v>0</v>
      </c>
      <c r="N20" s="357"/>
      <c r="O20" s="358"/>
      <c r="P20" s="604">
        <v>10375.0</v>
      </c>
      <c r="Q20" s="355">
        <f t="shared" si="18"/>
        <v>0.001819234543</v>
      </c>
      <c r="R20" s="357">
        <v>0.0</v>
      </c>
      <c r="S20" s="355">
        <f t="shared" si="19"/>
        <v>0</v>
      </c>
      <c r="T20" s="357"/>
      <c r="U20" s="358"/>
      <c r="V20" s="665"/>
      <c r="W20" s="355">
        <f t="shared" si="20"/>
        <v>0</v>
      </c>
      <c r="X20" s="357">
        <v>0.0</v>
      </c>
      <c r="Y20" s="355">
        <f t="shared" si="21"/>
        <v>0</v>
      </c>
      <c r="Z20" s="357"/>
      <c r="AA20" s="358"/>
      <c r="AB20" s="604">
        <v>3500.0</v>
      </c>
      <c r="AC20" s="355">
        <f t="shared" si="22"/>
        <v>0.0004602129471</v>
      </c>
      <c r="AD20" s="357">
        <v>0.0</v>
      </c>
      <c r="AE20" s="355">
        <f t="shared" si="23"/>
        <v>0</v>
      </c>
      <c r="AF20" s="357"/>
      <c r="AG20" s="358"/>
      <c r="AH20" s="604">
        <v>0.0</v>
      </c>
      <c r="AI20" s="355">
        <f t="shared" si="24"/>
        <v>0</v>
      </c>
      <c r="AJ20" s="357">
        <v>0.0</v>
      </c>
      <c r="AK20" s="355">
        <f t="shared" si="25"/>
        <v>0</v>
      </c>
      <c r="AL20" s="357"/>
      <c r="AM20" s="358"/>
      <c r="AN20" s="604"/>
      <c r="AO20" s="355">
        <f t="shared" si="26"/>
        <v>0</v>
      </c>
      <c r="AP20" s="357">
        <v>0.0</v>
      </c>
      <c r="AQ20" s="355">
        <f t="shared" si="27"/>
        <v>0</v>
      </c>
      <c r="AR20" s="357"/>
      <c r="AS20" s="358"/>
      <c r="AT20" s="604"/>
      <c r="AU20" s="355">
        <f t="shared" si="28"/>
        <v>0</v>
      </c>
      <c r="AV20" s="357">
        <v>0.0</v>
      </c>
      <c r="AW20" s="355">
        <f t="shared" si="29"/>
        <v>0</v>
      </c>
      <c r="AX20" s="357"/>
      <c r="AY20" s="358"/>
      <c r="AZ20" s="604"/>
      <c r="BA20" s="355">
        <f t="shared" si="30"/>
        <v>0</v>
      </c>
      <c r="BB20" s="357">
        <v>0.0</v>
      </c>
      <c r="BC20" s="355">
        <f t="shared" si="31"/>
        <v>0</v>
      </c>
      <c r="BD20" s="357"/>
      <c r="BE20" s="358"/>
      <c r="BF20" s="604"/>
      <c r="BG20" s="355">
        <f t="shared" si="32"/>
        <v>0</v>
      </c>
      <c r="BH20" s="357">
        <v>0.0</v>
      </c>
      <c r="BI20" s="355">
        <f t="shared" si="33"/>
        <v>0</v>
      </c>
      <c r="BJ20" s="357"/>
      <c r="BK20" s="358"/>
      <c r="BL20" s="604"/>
      <c r="BM20" s="355">
        <f t="shared" si="34"/>
        <v>0</v>
      </c>
      <c r="BN20" s="357">
        <v>0.0</v>
      </c>
      <c r="BO20" s="355">
        <f t="shared" si="35"/>
        <v>0</v>
      </c>
      <c r="BP20" s="357"/>
      <c r="BQ20" s="358"/>
      <c r="BR20" s="351"/>
      <c r="BS20" s="355">
        <f t="shared" si="36"/>
        <v>0</v>
      </c>
      <c r="BT20" s="357">
        <v>0.0</v>
      </c>
      <c r="BU20" s="355">
        <f t="shared" si="37"/>
        <v>0</v>
      </c>
      <c r="BV20" s="357"/>
      <c r="BW20" s="358"/>
      <c r="BX20" s="718">
        <f t="shared" si="12"/>
        <v>13875</v>
      </c>
      <c r="BY20" s="213"/>
      <c r="BZ20" s="213"/>
      <c r="CA20" s="213"/>
      <c r="CB20" s="213"/>
      <c r="CC20" s="213"/>
      <c r="CD20" s="213"/>
      <c r="CE20" s="213"/>
      <c r="CF20" s="213"/>
      <c r="CG20" s="213"/>
      <c r="CH20" s="213"/>
      <c r="CI20" s="213"/>
      <c r="CJ20" s="213"/>
      <c r="CK20" s="213"/>
      <c r="CL20" s="213"/>
      <c r="CM20" s="213"/>
      <c r="CN20" s="213"/>
      <c r="CO20" s="213"/>
      <c r="CP20" s="213"/>
      <c r="CQ20" s="213"/>
    </row>
    <row r="21" ht="15.75" customHeight="1">
      <c r="A21" s="213"/>
      <c r="B21" s="492"/>
      <c r="C21" s="492" t="s">
        <v>225</v>
      </c>
      <c r="D21" s="604">
        <f>222.75+33595.15</f>
        <v>33817.9</v>
      </c>
      <c r="E21" s="355">
        <f t="shared" si="13"/>
        <v>0.004915377174</v>
      </c>
      <c r="F21" s="357">
        <v>31764.0</v>
      </c>
      <c r="G21" s="355">
        <f t="shared" si="14"/>
        <v>0.004644006302</v>
      </c>
      <c r="H21" s="357">
        <f>D21-SUM(F21:F26)</f>
        <v>-110619.1</v>
      </c>
      <c r="I21" s="395">
        <f t="shared" ref="I21:I22" si="38">H21/F21</f>
        <v>-3.482530538</v>
      </c>
      <c r="J21" s="604">
        <f>32007.3+26</f>
        <v>32033.3</v>
      </c>
      <c r="K21" s="355">
        <f t="shared" si="16"/>
        <v>0.004101601751</v>
      </c>
      <c r="L21" s="357">
        <v>31195.0</v>
      </c>
      <c r="M21" s="355">
        <f t="shared" si="17"/>
        <v>0.004610227063</v>
      </c>
      <c r="N21" s="357"/>
      <c r="O21" s="358"/>
      <c r="P21" s="604">
        <f>103+30868</f>
        <v>30971</v>
      </c>
      <c r="Q21" s="355">
        <f t="shared" si="18"/>
        <v>0.005430700052</v>
      </c>
      <c r="R21" s="357">
        <v>29327.0</v>
      </c>
      <c r="S21" s="355">
        <f t="shared" si="19"/>
        <v>0.004373391965</v>
      </c>
      <c r="T21" s="357"/>
      <c r="U21" s="358"/>
      <c r="V21" s="604">
        <v>43313.0</v>
      </c>
      <c r="W21" s="355">
        <f t="shared" si="20"/>
        <v>0.005709872861</v>
      </c>
      <c r="X21" s="357">
        <v>30656.0</v>
      </c>
      <c r="Y21" s="355">
        <f t="shared" si="21"/>
        <v>0.004144032153</v>
      </c>
      <c r="Z21" s="357"/>
      <c r="AA21" s="358"/>
      <c r="AB21" s="604">
        <v>43187.0</v>
      </c>
      <c r="AC21" s="355">
        <f t="shared" si="22"/>
        <v>0.005678633299</v>
      </c>
      <c r="AD21" s="357">
        <v>33342.0</v>
      </c>
      <c r="AE21" s="355">
        <f t="shared" si="23"/>
        <v>0.004495893462</v>
      </c>
      <c r="AF21" s="357"/>
      <c r="AG21" s="358"/>
      <c r="AH21" s="604">
        <v>36178.91</v>
      </c>
      <c r="AI21" s="355">
        <f t="shared" si="24"/>
        <v>0.004954364865</v>
      </c>
      <c r="AJ21" s="357">
        <v>31625.0</v>
      </c>
      <c r="AK21" s="355">
        <f t="shared" si="25"/>
        <v>0.004266742292</v>
      </c>
      <c r="AL21" s="357"/>
      <c r="AM21" s="358"/>
      <c r="AN21" s="604">
        <v>25100.92</v>
      </c>
      <c r="AO21" s="355">
        <f t="shared" si="26"/>
        <v>0.003668515748</v>
      </c>
      <c r="AP21" s="357">
        <v>35395.0</v>
      </c>
      <c r="AQ21" s="355">
        <f t="shared" si="27"/>
        <v>0.004403855237</v>
      </c>
      <c r="AR21" s="357"/>
      <c r="AS21" s="358"/>
      <c r="AT21" s="604">
        <v>25207.24</v>
      </c>
      <c r="AU21" s="355">
        <f t="shared" si="28"/>
        <v>0.003363053296</v>
      </c>
      <c r="AV21" s="357">
        <v>34125.0</v>
      </c>
      <c r="AW21" s="355">
        <f t="shared" si="29"/>
        <v>0.004294474745</v>
      </c>
      <c r="AX21" s="357"/>
      <c r="AY21" s="358"/>
      <c r="AZ21" s="604">
        <v>24008.03</v>
      </c>
      <c r="BA21" s="355">
        <f t="shared" si="30"/>
        <v>0.002900736329</v>
      </c>
      <c r="BB21" s="357">
        <v>36451.0</v>
      </c>
      <c r="BC21" s="355">
        <f t="shared" si="31"/>
        <v>0.004240597823</v>
      </c>
      <c r="BD21" s="357"/>
      <c r="BE21" s="358"/>
      <c r="BF21" s="604">
        <v>40888.1</v>
      </c>
      <c r="BG21" s="355">
        <f t="shared" si="32"/>
        <v>0.004954198884</v>
      </c>
      <c r="BH21" s="357">
        <v>34910.0</v>
      </c>
      <c r="BI21" s="355">
        <f t="shared" si="33"/>
        <v>0.004153567047</v>
      </c>
      <c r="BJ21" s="357"/>
      <c r="BK21" s="358"/>
      <c r="BL21" s="604">
        <v>35861.85</v>
      </c>
      <c r="BM21" s="355">
        <f t="shared" si="34"/>
        <v>0.004903503516</v>
      </c>
      <c r="BN21" s="357">
        <v>33287.0</v>
      </c>
      <c r="BO21" s="355">
        <f t="shared" si="35"/>
        <v>0.004313499555</v>
      </c>
      <c r="BP21" s="357"/>
      <c r="BQ21" s="358"/>
      <c r="BR21" s="351">
        <v>43603.04</v>
      </c>
      <c r="BS21" s="355">
        <f t="shared" si="36"/>
        <v>0.005100673943</v>
      </c>
      <c r="BT21" s="357">
        <v>35049.0</v>
      </c>
      <c r="BU21" s="355">
        <f t="shared" si="37"/>
        <v>0.004207133726</v>
      </c>
      <c r="BV21" s="357"/>
      <c r="BW21" s="358"/>
      <c r="BX21" s="718">
        <f t="shared" si="12"/>
        <v>414170.29</v>
      </c>
      <c r="BY21" s="213"/>
      <c r="BZ21" s="213"/>
      <c r="CA21" s="213"/>
      <c r="CB21" s="213"/>
      <c r="CC21" s="213"/>
      <c r="CD21" s="213"/>
      <c r="CE21" s="213"/>
      <c r="CF21" s="213"/>
      <c r="CG21" s="213"/>
      <c r="CH21" s="213"/>
      <c r="CI21" s="213"/>
      <c r="CJ21" s="213"/>
      <c r="CK21" s="213"/>
      <c r="CL21" s="213"/>
      <c r="CM21" s="213"/>
      <c r="CN21" s="213"/>
      <c r="CO21" s="213"/>
      <c r="CP21" s="213"/>
      <c r="CQ21" s="213"/>
    </row>
    <row r="22" ht="15.75" customHeight="1">
      <c r="A22" s="213"/>
      <c r="B22" s="492"/>
      <c r="C22" s="492" t="s">
        <v>226</v>
      </c>
      <c r="D22" s="604">
        <f>92412+4380.83+19197+50168</f>
        <v>166157.83</v>
      </c>
      <c r="E22" s="355">
        <f t="shared" si="13"/>
        <v>0.02415077237</v>
      </c>
      <c r="F22" s="357">
        <v>112673.0</v>
      </c>
      <c r="G22" s="355">
        <f t="shared" si="14"/>
        <v>0.01647318102</v>
      </c>
      <c r="H22" s="357">
        <f>D22-SUM(F22:F26)</f>
        <v>53484.83</v>
      </c>
      <c r="I22" s="395">
        <f t="shared" si="38"/>
        <v>0.4746907422</v>
      </c>
      <c r="J22" s="604">
        <f>106037+7899.66+22551+58266.92</f>
        <v>194754.58</v>
      </c>
      <c r="K22" s="355">
        <f t="shared" si="16"/>
        <v>0.02493672916</v>
      </c>
      <c r="L22" s="357">
        <v>110655.0</v>
      </c>
      <c r="M22" s="355">
        <f t="shared" si="17"/>
        <v>0.01635341163</v>
      </c>
      <c r="N22" s="357"/>
      <c r="O22" s="358"/>
      <c r="P22" s="604">
        <f>16938+11156+3300+86226</f>
        <v>117620</v>
      </c>
      <c r="Q22" s="355">
        <f t="shared" si="18"/>
        <v>0.02062442091</v>
      </c>
      <c r="R22" s="357">
        <v>104028.0</v>
      </c>
      <c r="S22" s="355">
        <f t="shared" si="19"/>
        <v>0.01551318646</v>
      </c>
      <c r="T22" s="357"/>
      <c r="U22" s="358"/>
      <c r="V22" s="604">
        <v>187393.0</v>
      </c>
      <c r="W22" s="355">
        <f t="shared" si="20"/>
        <v>0.02470367338</v>
      </c>
      <c r="X22" s="357">
        <v>108741.0</v>
      </c>
      <c r="Y22" s="355">
        <f t="shared" si="21"/>
        <v>0.01469944547</v>
      </c>
      <c r="Z22" s="357"/>
      <c r="AA22" s="358"/>
      <c r="AB22" s="604">
        <v>199129.0</v>
      </c>
      <c r="AC22" s="355">
        <f t="shared" si="22"/>
        <v>0.02618335541</v>
      </c>
      <c r="AD22" s="357">
        <v>118269.0</v>
      </c>
      <c r="AE22" s="355">
        <f t="shared" si="23"/>
        <v>0.01594759834</v>
      </c>
      <c r="AF22" s="357"/>
      <c r="AG22" s="358"/>
      <c r="AH22" s="604">
        <f>22611.25+6341.91+64349.92+100979.5</f>
        <v>194282.58</v>
      </c>
      <c r="AI22" s="355">
        <f t="shared" si="24"/>
        <v>0.02660519038</v>
      </c>
      <c r="AJ22" s="357">
        <v>112180.0</v>
      </c>
      <c r="AK22" s="355">
        <f t="shared" si="25"/>
        <v>0.01513496127</v>
      </c>
      <c r="AL22" s="357"/>
      <c r="AM22" s="358"/>
      <c r="AN22" s="604">
        <f>20628.75+5228.98+61369.8+105851.5</f>
        <v>193079.03</v>
      </c>
      <c r="AO22" s="355">
        <f t="shared" si="26"/>
        <v>0.02821862554</v>
      </c>
      <c r="AP22" s="357">
        <v>125551.0</v>
      </c>
      <c r="AQ22" s="355">
        <f t="shared" si="27"/>
        <v>0.01562108854</v>
      </c>
      <c r="AR22" s="357"/>
      <c r="AS22" s="358"/>
      <c r="AT22" s="604">
        <f>23071+4948.33+69421.28+109290.75</f>
        <v>206731.36</v>
      </c>
      <c r="AU22" s="355">
        <f t="shared" si="28"/>
        <v>0.02758130528</v>
      </c>
      <c r="AV22" s="357">
        <v>121048.0</v>
      </c>
      <c r="AW22" s="355">
        <f t="shared" si="29"/>
        <v>0.01523333564</v>
      </c>
      <c r="AX22" s="357"/>
      <c r="AY22" s="358"/>
      <c r="AZ22" s="604">
        <v>233786.54</v>
      </c>
      <c r="BA22" s="355">
        <f t="shared" si="30"/>
        <v>0.02824692862</v>
      </c>
      <c r="BB22" s="357">
        <v>129297.0</v>
      </c>
      <c r="BC22" s="355">
        <f t="shared" si="31"/>
        <v>0.01504201741</v>
      </c>
      <c r="BD22" s="357"/>
      <c r="BE22" s="358"/>
      <c r="BF22" s="604">
        <v>229373.82</v>
      </c>
      <c r="BG22" s="355">
        <f t="shared" si="32"/>
        <v>0.02779203541</v>
      </c>
      <c r="BH22" s="357">
        <v>123830.0</v>
      </c>
      <c r="BI22" s="355">
        <f t="shared" si="33"/>
        <v>0.0147332056</v>
      </c>
      <c r="BJ22" s="357"/>
      <c r="BK22" s="358"/>
      <c r="BL22" s="604">
        <f>24138.75+4700.92+66290.92+118574.75</f>
        <v>213705.34</v>
      </c>
      <c r="BM22" s="355">
        <f t="shared" si="34"/>
        <v>0.02922060312</v>
      </c>
      <c r="BN22" s="357">
        <v>118075.0</v>
      </c>
      <c r="BO22" s="355">
        <f t="shared" si="35"/>
        <v>0.01530076186</v>
      </c>
      <c r="BP22" s="357"/>
      <c r="BQ22" s="358"/>
      <c r="BR22" s="351">
        <f>80384.62+134062.07+26172.75+6810.06</f>
        <v>247429.5</v>
      </c>
      <c r="BS22" s="355">
        <f t="shared" si="36"/>
        <v>0.028944248</v>
      </c>
      <c r="BT22" s="357">
        <v>124325.0</v>
      </c>
      <c r="BU22" s="355">
        <f t="shared" si="37"/>
        <v>0.01492344719</v>
      </c>
      <c r="BV22" s="357"/>
      <c r="BW22" s="358"/>
      <c r="BX22" s="718">
        <f t="shared" si="12"/>
        <v>2383442.58</v>
      </c>
      <c r="BY22" s="213"/>
      <c r="BZ22" s="213"/>
      <c r="CA22" s="213"/>
      <c r="CB22" s="213"/>
      <c r="CC22" s="213"/>
      <c r="CD22" s="213"/>
      <c r="CE22" s="213"/>
      <c r="CF22" s="213"/>
      <c r="CG22" s="213"/>
      <c r="CH22" s="213"/>
      <c r="CI22" s="213"/>
      <c r="CJ22" s="213"/>
      <c r="CK22" s="213"/>
      <c r="CL22" s="213"/>
      <c r="CM22" s="213"/>
      <c r="CN22" s="213"/>
      <c r="CO22" s="213"/>
      <c r="CP22" s="213"/>
      <c r="CQ22" s="213"/>
    </row>
    <row r="23" ht="15.75" customHeight="1">
      <c r="A23" s="213"/>
      <c r="B23" s="492"/>
      <c r="C23" s="492" t="s">
        <v>227</v>
      </c>
      <c r="D23" s="604">
        <v>3600.0</v>
      </c>
      <c r="E23" s="355">
        <f t="shared" si="13"/>
        <v>0.0005232541887</v>
      </c>
      <c r="F23" s="357"/>
      <c r="G23" s="355"/>
      <c r="H23" s="357"/>
      <c r="I23" s="719" t="str">
        <f t="shared" ref="I23:I24" si="39">IFERROR(H23/F23,"")</f>
        <v/>
      </c>
      <c r="J23" s="604">
        <v>11400.0</v>
      </c>
      <c r="K23" s="355">
        <f t="shared" si="16"/>
        <v>0.001459676648</v>
      </c>
      <c r="L23" s="357"/>
      <c r="M23" s="245"/>
      <c r="N23" s="357"/>
      <c r="O23" s="350"/>
      <c r="P23" s="604">
        <v>7200.0</v>
      </c>
      <c r="Q23" s="355">
        <f t="shared" si="18"/>
        <v>0.001262504936</v>
      </c>
      <c r="R23" s="357"/>
      <c r="S23" s="245"/>
      <c r="T23" s="357"/>
      <c r="U23" s="350"/>
      <c r="V23" s="604">
        <v>11200.0</v>
      </c>
      <c r="W23" s="355">
        <f t="shared" si="20"/>
        <v>0.001476475332</v>
      </c>
      <c r="X23" s="357"/>
      <c r="Y23" s="245"/>
      <c r="Z23" s="357"/>
      <c r="AA23" s="350"/>
      <c r="AB23" s="604">
        <v>8800.0</v>
      </c>
      <c r="AC23" s="355">
        <f t="shared" si="22"/>
        <v>0.001157106838</v>
      </c>
      <c r="AD23" s="357"/>
      <c r="AE23" s="245"/>
      <c r="AF23" s="357"/>
      <c r="AG23" s="350"/>
      <c r="AH23" s="604">
        <v>7700.0</v>
      </c>
      <c r="AI23" s="355">
        <f t="shared" si="24"/>
        <v>0.001054443306</v>
      </c>
      <c r="AJ23" s="357"/>
      <c r="AK23" s="245"/>
      <c r="AL23" s="357"/>
      <c r="AM23" s="350"/>
      <c r="AN23" s="604">
        <v>6600.0</v>
      </c>
      <c r="AO23" s="245"/>
      <c r="AP23" s="357"/>
      <c r="AQ23" s="245"/>
      <c r="AR23" s="357"/>
      <c r="AS23" s="350"/>
      <c r="AT23" s="604">
        <v>8000.0</v>
      </c>
      <c r="AU23" s="245"/>
      <c r="AV23" s="357"/>
      <c r="AW23" s="245"/>
      <c r="AX23" s="357"/>
      <c r="AY23" s="350"/>
      <c r="AZ23" s="604">
        <v>8800.0</v>
      </c>
      <c r="BA23" s="245"/>
      <c r="BB23" s="357"/>
      <c r="BC23" s="245"/>
      <c r="BD23" s="357"/>
      <c r="BE23" s="350"/>
      <c r="BF23" s="604"/>
      <c r="BG23" s="245"/>
      <c r="BH23" s="357"/>
      <c r="BI23" s="245"/>
      <c r="BJ23" s="357"/>
      <c r="BK23" s="350"/>
      <c r="BL23" s="604"/>
      <c r="BM23" s="245"/>
      <c r="BN23" s="357"/>
      <c r="BO23" s="245"/>
      <c r="BP23" s="357"/>
      <c r="BQ23" s="350"/>
      <c r="BR23" s="351">
        <v>8050.0</v>
      </c>
      <c r="BS23" s="355">
        <f t="shared" si="36"/>
        <v>0.0009416872137</v>
      </c>
      <c r="BT23" s="357"/>
      <c r="BU23" s="245"/>
      <c r="BV23" s="357"/>
      <c r="BW23" s="350"/>
      <c r="BX23" s="718">
        <f t="shared" si="12"/>
        <v>81350</v>
      </c>
      <c r="BY23" s="213"/>
      <c r="BZ23" s="213"/>
      <c r="CA23" s="213"/>
      <c r="CB23" s="213"/>
      <c r="CC23" s="213"/>
      <c r="CD23" s="213"/>
      <c r="CE23" s="213"/>
      <c r="CF23" s="213"/>
      <c r="CG23" s="213"/>
      <c r="CH23" s="213"/>
      <c r="CI23" s="213"/>
      <c r="CJ23" s="213"/>
      <c r="CK23" s="213"/>
      <c r="CL23" s="213"/>
      <c r="CM23" s="213"/>
      <c r="CN23" s="213"/>
      <c r="CO23" s="213"/>
      <c r="CP23" s="213"/>
      <c r="CQ23" s="213"/>
    </row>
    <row r="24" ht="15.75" customHeight="1">
      <c r="A24" s="213"/>
      <c r="B24" s="496"/>
      <c r="C24" s="492" t="s">
        <v>228</v>
      </c>
      <c r="D24" s="604"/>
      <c r="E24" s="355"/>
      <c r="F24" s="357"/>
      <c r="G24" s="355"/>
      <c r="H24" s="357"/>
      <c r="I24" s="719" t="str">
        <f t="shared" si="39"/>
        <v/>
      </c>
      <c r="J24" s="665"/>
      <c r="K24" s="245"/>
      <c r="L24" s="357"/>
      <c r="M24" s="245"/>
      <c r="N24" s="357"/>
      <c r="O24" s="350"/>
      <c r="P24" s="665"/>
      <c r="Q24" s="245"/>
      <c r="R24" s="357"/>
      <c r="S24" s="245"/>
      <c r="T24" s="357"/>
      <c r="U24" s="350"/>
      <c r="V24" s="665"/>
      <c r="W24" s="245"/>
      <c r="X24" s="357"/>
      <c r="Y24" s="245"/>
      <c r="Z24" s="357"/>
      <c r="AA24" s="350"/>
      <c r="AB24" s="604"/>
      <c r="AC24" s="245"/>
      <c r="AD24" s="357"/>
      <c r="AE24" s="245"/>
      <c r="AF24" s="357"/>
      <c r="AG24" s="350"/>
      <c r="AH24" s="604"/>
      <c r="AI24" s="245"/>
      <c r="AJ24" s="357"/>
      <c r="AK24" s="245"/>
      <c r="AL24" s="357"/>
      <c r="AM24" s="350"/>
      <c r="AN24" s="604"/>
      <c r="AO24" s="245"/>
      <c r="AP24" s="357"/>
      <c r="AQ24" s="245"/>
      <c r="AR24" s="357"/>
      <c r="AS24" s="350"/>
      <c r="AT24" s="604"/>
      <c r="AU24" s="245"/>
      <c r="AV24" s="357"/>
      <c r="AW24" s="245"/>
      <c r="AX24" s="357"/>
      <c r="AY24" s="350"/>
      <c r="AZ24" s="604"/>
      <c r="BA24" s="245"/>
      <c r="BB24" s="357"/>
      <c r="BC24" s="245"/>
      <c r="BD24" s="357"/>
      <c r="BE24" s="350"/>
      <c r="BF24" s="604"/>
      <c r="BG24" s="245"/>
      <c r="BH24" s="357"/>
      <c r="BI24" s="245"/>
      <c r="BJ24" s="357"/>
      <c r="BK24" s="350"/>
      <c r="BL24" s="604"/>
      <c r="BM24" s="245"/>
      <c r="BN24" s="357"/>
      <c r="BO24" s="245"/>
      <c r="BP24" s="357"/>
      <c r="BQ24" s="350"/>
      <c r="BR24" s="351"/>
      <c r="BS24" s="245"/>
      <c r="BT24" s="357"/>
      <c r="BU24" s="245"/>
      <c r="BV24" s="357"/>
      <c r="BW24" s="350"/>
      <c r="BX24" s="718">
        <f t="shared" si="12"/>
        <v>0</v>
      </c>
      <c r="BY24" s="213"/>
      <c r="BZ24" s="213"/>
      <c r="CA24" s="213"/>
      <c r="CB24" s="213"/>
      <c r="CC24" s="213"/>
      <c r="CD24" s="213"/>
      <c r="CE24" s="213"/>
      <c r="CF24" s="213"/>
      <c r="CG24" s="213"/>
      <c r="CH24" s="213"/>
      <c r="CI24" s="213"/>
      <c r="CJ24" s="213"/>
      <c r="CK24" s="213"/>
      <c r="CL24" s="213"/>
      <c r="CM24" s="213"/>
      <c r="CN24" s="213"/>
      <c r="CO24" s="213"/>
      <c r="CP24" s="213"/>
      <c r="CQ24" s="213"/>
    </row>
    <row r="25" ht="15.75" customHeight="1">
      <c r="A25" s="213"/>
      <c r="B25" s="496"/>
      <c r="C25" s="492" t="s">
        <v>229</v>
      </c>
      <c r="D25" s="604"/>
      <c r="E25" s="355"/>
      <c r="F25" s="357"/>
      <c r="G25" s="355"/>
      <c r="H25" s="357"/>
      <c r="I25" s="719"/>
      <c r="J25" s="665"/>
      <c r="K25" s="245"/>
      <c r="L25" s="357"/>
      <c r="M25" s="245"/>
      <c r="N25" s="357"/>
      <c r="O25" s="350"/>
      <c r="P25" s="665"/>
      <c r="Q25" s="245"/>
      <c r="R25" s="357"/>
      <c r="S25" s="245"/>
      <c r="T25" s="357"/>
      <c r="U25" s="350"/>
      <c r="V25" s="665"/>
      <c r="W25" s="245"/>
      <c r="X25" s="357"/>
      <c r="Y25" s="245"/>
      <c r="Z25" s="357"/>
      <c r="AA25" s="350"/>
      <c r="AB25" s="604"/>
      <c r="AC25" s="245"/>
      <c r="AD25" s="357"/>
      <c r="AE25" s="245"/>
      <c r="AF25" s="357"/>
      <c r="AG25" s="350"/>
      <c r="AH25" s="604"/>
      <c r="AI25" s="245"/>
      <c r="AJ25" s="357"/>
      <c r="AK25" s="245"/>
      <c r="AL25" s="357"/>
      <c r="AM25" s="350"/>
      <c r="AN25" s="604"/>
      <c r="AO25" s="245"/>
      <c r="AP25" s="357"/>
      <c r="AQ25" s="245"/>
      <c r="AR25" s="357"/>
      <c r="AS25" s="350"/>
      <c r="AT25" s="604"/>
      <c r="AU25" s="245"/>
      <c r="AV25" s="357"/>
      <c r="AW25" s="245"/>
      <c r="AX25" s="357"/>
      <c r="AY25" s="350"/>
      <c r="AZ25" s="604"/>
      <c r="BA25" s="245"/>
      <c r="BB25" s="357"/>
      <c r="BC25" s="245"/>
      <c r="BD25" s="357"/>
      <c r="BE25" s="350"/>
      <c r="BF25" s="604"/>
      <c r="BG25" s="245"/>
      <c r="BH25" s="357"/>
      <c r="BI25" s="245"/>
      <c r="BJ25" s="357"/>
      <c r="BK25" s="350"/>
      <c r="BL25" s="604"/>
      <c r="BM25" s="245"/>
      <c r="BN25" s="357"/>
      <c r="BO25" s="245"/>
      <c r="BP25" s="357"/>
      <c r="BQ25" s="350"/>
      <c r="BR25" s="351"/>
      <c r="BS25" s="245"/>
      <c r="BT25" s="357"/>
      <c r="BU25" s="245"/>
      <c r="BV25" s="357"/>
      <c r="BW25" s="350"/>
      <c r="BX25" s="718">
        <f t="shared" si="12"/>
        <v>0</v>
      </c>
      <c r="BY25" s="213"/>
      <c r="BZ25" s="213"/>
      <c r="CA25" s="213"/>
      <c r="CB25" s="213"/>
      <c r="CC25" s="213"/>
      <c r="CD25" s="213"/>
      <c r="CE25" s="213"/>
      <c r="CF25" s="213"/>
      <c r="CG25" s="213"/>
      <c r="CH25" s="213"/>
      <c r="CI25" s="213"/>
      <c r="CJ25" s="213"/>
      <c r="CK25" s="213"/>
      <c r="CL25" s="213"/>
      <c r="CM25" s="213"/>
      <c r="CN25" s="213"/>
      <c r="CO25" s="213"/>
      <c r="CP25" s="213"/>
      <c r="CQ25" s="213"/>
    </row>
    <row r="26" ht="15.75" customHeight="1">
      <c r="A26" s="213"/>
      <c r="B26" s="492"/>
      <c r="C26" s="492"/>
      <c r="D26" s="604"/>
      <c r="E26" s="352"/>
      <c r="F26" s="357"/>
      <c r="G26" s="355"/>
      <c r="H26" s="357"/>
      <c r="I26" s="395"/>
      <c r="J26" s="665"/>
      <c r="K26" s="352"/>
      <c r="L26" s="357"/>
      <c r="M26" s="352"/>
      <c r="N26" s="357"/>
      <c r="O26" s="358"/>
      <c r="P26" s="665"/>
      <c r="Q26" s="352"/>
      <c r="R26" s="357"/>
      <c r="S26" s="352"/>
      <c r="T26" s="357"/>
      <c r="U26" s="358"/>
      <c r="V26" s="665"/>
      <c r="W26" s="352"/>
      <c r="X26" s="357"/>
      <c r="Y26" s="352"/>
      <c r="Z26" s="357"/>
      <c r="AA26" s="358"/>
      <c r="AB26" s="604"/>
      <c r="AC26" s="352"/>
      <c r="AD26" s="357"/>
      <c r="AE26" s="352"/>
      <c r="AF26" s="357"/>
      <c r="AG26" s="358"/>
      <c r="AH26" s="604"/>
      <c r="AI26" s="352"/>
      <c r="AJ26" s="357"/>
      <c r="AK26" s="352"/>
      <c r="AL26" s="357"/>
      <c r="AM26" s="358"/>
      <c r="AN26" s="604"/>
      <c r="AO26" s="352"/>
      <c r="AP26" s="357"/>
      <c r="AQ26" s="352"/>
      <c r="AR26" s="357"/>
      <c r="AS26" s="358"/>
      <c r="AT26" s="604"/>
      <c r="AU26" s="352"/>
      <c r="AV26" s="357"/>
      <c r="AW26" s="352"/>
      <c r="AX26" s="357"/>
      <c r="AY26" s="358"/>
      <c r="AZ26" s="604"/>
      <c r="BA26" s="352"/>
      <c r="BB26" s="357"/>
      <c r="BC26" s="352"/>
      <c r="BD26" s="357"/>
      <c r="BE26" s="358"/>
      <c r="BF26" s="604"/>
      <c r="BG26" s="352"/>
      <c r="BH26" s="357"/>
      <c r="BI26" s="352"/>
      <c r="BJ26" s="357"/>
      <c r="BK26" s="358"/>
      <c r="BL26" s="604"/>
      <c r="BM26" s="352"/>
      <c r="BN26" s="357"/>
      <c r="BO26" s="352"/>
      <c r="BP26" s="357"/>
      <c r="BQ26" s="358"/>
      <c r="BR26" s="351"/>
      <c r="BS26" s="352"/>
      <c r="BT26" s="357"/>
      <c r="BU26" s="352"/>
      <c r="BV26" s="357"/>
      <c r="BW26" s="358"/>
      <c r="BX26" s="213"/>
      <c r="BY26" s="213"/>
      <c r="BZ26" s="213"/>
      <c r="CA26" s="213"/>
      <c r="CB26" s="213"/>
      <c r="CC26" s="213"/>
      <c r="CD26" s="213"/>
      <c r="CE26" s="213"/>
      <c r="CF26" s="213"/>
      <c r="CG26" s="213"/>
      <c r="CH26" s="213"/>
      <c r="CI26" s="213"/>
      <c r="CJ26" s="213"/>
      <c r="CK26" s="213"/>
      <c r="CL26" s="213"/>
      <c r="CM26" s="213"/>
      <c r="CN26" s="213"/>
      <c r="CO26" s="213"/>
      <c r="CP26" s="213"/>
      <c r="CQ26" s="213"/>
    </row>
    <row r="27" ht="15.75" customHeight="1">
      <c r="A27" s="213"/>
      <c r="B27" s="496" t="s">
        <v>22</v>
      </c>
      <c r="C27" s="492" t="s">
        <v>22</v>
      </c>
      <c r="D27" s="604">
        <v>1342152.5</v>
      </c>
      <c r="E27" s="355">
        <f t="shared" ref="E27:E29" si="40">D27/$D$32</f>
        <v>0.1562940551</v>
      </c>
      <c r="F27" s="357">
        <v>1117355.0</v>
      </c>
      <c r="G27" s="355">
        <f t="shared" ref="G27:G29" si="41">F27/$F$32</f>
        <v>0.1325358205</v>
      </c>
      <c r="H27" s="357">
        <f>D27-F27</f>
        <v>224797.5</v>
      </c>
      <c r="I27" s="395">
        <f t="shared" ref="I27:I29" si="42">H27/F27</f>
        <v>0.2011871786</v>
      </c>
      <c r="J27" s="604">
        <v>1428670.0</v>
      </c>
      <c r="K27" s="355">
        <f t="shared" ref="K27:K29" si="43">J27/$J$32</f>
        <v>0.1478365725</v>
      </c>
      <c r="L27" s="357">
        <v>1097344.0</v>
      </c>
      <c r="M27" s="355">
        <f t="shared" ref="M27:M29" si="44">L27/L$32</f>
        <v>0.1317067878</v>
      </c>
      <c r="N27" s="357">
        <v>0.0</v>
      </c>
      <c r="O27" s="358"/>
      <c r="P27" s="604">
        <v>1387515.0</v>
      </c>
      <c r="Q27" s="355">
        <f>P27/P$32</f>
        <v>0.1854323762</v>
      </c>
      <c r="R27" s="357">
        <v>1031626.0</v>
      </c>
      <c r="S27" s="355">
        <f t="shared" ref="S27:S29" si="45">R27/R$32</f>
        <v>0.1258421091</v>
      </c>
      <c r="T27" s="357">
        <v>0.0</v>
      </c>
      <c r="U27" s="358"/>
      <c r="V27" s="604">
        <v>1507440.0</v>
      </c>
      <c r="W27" s="355">
        <f>V27/V$32</f>
        <v>0.15847513</v>
      </c>
      <c r="X27" s="357">
        <v>1097344.0</v>
      </c>
      <c r="Y27" s="355">
        <f t="shared" ref="Y27:Y29" si="46">X27/X$32</f>
        <v>0.1219214118</v>
      </c>
      <c r="Z27" s="357">
        <v>0.0</v>
      </c>
      <c r="AA27" s="358"/>
      <c r="AB27" s="604">
        <v>1378277.0</v>
      </c>
      <c r="AC27" s="355">
        <f t="shared" ref="AC27:AC29" si="47">AB27/AB$32</f>
        <v>0.1470821375</v>
      </c>
      <c r="AD27" s="357">
        <v>1172853.0</v>
      </c>
      <c r="AE27" s="355">
        <f t="shared" ref="AE27:AE29" si="48">AD27/AD$32</f>
        <v>0.1288849909</v>
      </c>
      <c r="AF27" s="357">
        <v>0.0</v>
      </c>
      <c r="AG27" s="358"/>
      <c r="AH27" s="604">
        <v>1502492.0</v>
      </c>
      <c r="AI27" s="355">
        <f t="shared" ref="AI27:AI29" si="49">AH27/AH$32</f>
        <v>0.1632329001</v>
      </c>
      <c r="AJ27" s="357">
        <v>1112471.0</v>
      </c>
      <c r="AK27" s="355">
        <f t="shared" ref="AK27:AK29" si="50">AJ27/AJ$32</f>
        <v>0.1231746738</v>
      </c>
      <c r="AL27" s="357">
        <v>0.0</v>
      </c>
      <c r="AM27" s="358"/>
      <c r="AN27" s="604">
        <v>1223996.25</v>
      </c>
      <c r="AO27" s="355">
        <f t="shared" ref="AO27:AO29" si="51">AN27/AN$32</f>
        <v>0.1453560352</v>
      </c>
      <c r="AP27" s="357">
        <v>1245072.0</v>
      </c>
      <c r="AQ27" s="355">
        <f t="shared" ref="AQ27:AQ29" si="52">AP27/AP$32</f>
        <v>0.1266005695</v>
      </c>
      <c r="AR27" s="357">
        <v>0.0</v>
      </c>
      <c r="AS27" s="358"/>
      <c r="AT27" s="604">
        <v>1447686.0</v>
      </c>
      <c r="AU27" s="355">
        <f t="shared" ref="AU27:AU29" si="53">AT27/AT$32</f>
        <v>0.1546847659</v>
      </c>
      <c r="AV27" s="357">
        <v>1200409.0</v>
      </c>
      <c r="AW27" s="355">
        <f t="shared" ref="AW27:AW29" si="54">AV27/AV$32</f>
        <v>0.1238698071</v>
      </c>
      <c r="AX27" s="357">
        <v>0.0</v>
      </c>
      <c r="AY27" s="358"/>
      <c r="AZ27" s="604">
        <v>1393314.0</v>
      </c>
      <c r="BA27" s="355">
        <f t="shared" ref="BA27:BA29" si="55">AZ27/AZ$32</f>
        <v>0.1381484956</v>
      </c>
      <c r="BB27" s="357">
        <v>1282211.0</v>
      </c>
      <c r="BC27" s="355">
        <f t="shared" ref="BC27:BC29" si="56">BB27/BB$32</f>
        <v>0.1225159018</v>
      </c>
      <c r="BD27" s="357">
        <v>0.0</v>
      </c>
      <c r="BE27" s="358"/>
      <c r="BF27" s="351">
        <v>1065365.0</v>
      </c>
      <c r="BG27" s="355">
        <f t="shared" ref="BG27:BG29" si="57">BF27/BF$32</f>
        <v>0.1100079666</v>
      </c>
      <c r="BH27" s="357">
        <v>1228004.0</v>
      </c>
      <c r="BI27" s="355">
        <f t="shared" ref="BI27:BI29" si="58">BH27/BH$32</f>
        <v>0.1203219924</v>
      </c>
      <c r="BJ27" s="357">
        <v>0.0</v>
      </c>
      <c r="BK27" s="358"/>
      <c r="BL27" s="604">
        <v>904553.75</v>
      </c>
      <c r="BM27" s="355">
        <f t="shared" ref="BM27:BM29" si="59">BL27/BL$32</f>
        <v>0.1062298818</v>
      </c>
      <c r="BN27" s="357">
        <v>1170930.0</v>
      </c>
      <c r="BO27" s="355">
        <f t="shared" ref="BO27:BO29" si="60">BN27/BN$32</f>
        <v>0.1243461874</v>
      </c>
      <c r="BP27" s="357">
        <v>0.0</v>
      </c>
      <c r="BQ27" s="358"/>
      <c r="BR27" s="351">
        <v>1229492.5</v>
      </c>
      <c r="BS27" s="355">
        <f t="shared" ref="BS27:BS29" si="61">BR27/BR$32</f>
        <v>0.1214411628</v>
      </c>
      <c r="BT27" s="357">
        <v>1232911.0</v>
      </c>
      <c r="BU27" s="355">
        <f t="shared" ref="BU27:BU29" si="62">BT27/BT$32</f>
        <v>0.1216751953</v>
      </c>
      <c r="BV27" s="357">
        <v>0.0</v>
      </c>
      <c r="BW27" s="358"/>
      <c r="BX27" s="718">
        <f>D27+J27+P27+V27+AB27+AH27+AN27+AT27+AZ27+BF27+BL27+BR27</f>
        <v>15810954</v>
      </c>
      <c r="BY27" s="213"/>
      <c r="BZ27" s="213"/>
      <c r="CA27" s="213"/>
      <c r="CB27" s="213"/>
      <c r="CC27" s="213"/>
      <c r="CD27" s="213"/>
      <c r="CE27" s="213"/>
      <c r="CF27" s="213"/>
      <c r="CG27" s="213"/>
      <c r="CH27" s="213"/>
      <c r="CI27" s="213"/>
      <c r="CJ27" s="213"/>
      <c r="CK27" s="213"/>
      <c r="CL27" s="213"/>
      <c r="CM27" s="213"/>
      <c r="CN27" s="213"/>
      <c r="CO27" s="213"/>
      <c r="CP27" s="213"/>
      <c r="CQ27" s="213"/>
    </row>
    <row r="28" ht="15.75" customHeight="1">
      <c r="A28" s="213"/>
      <c r="B28" s="496" t="s">
        <v>23</v>
      </c>
      <c r="C28" s="492" t="s">
        <v>23</v>
      </c>
      <c r="D28" s="604">
        <v>0.0</v>
      </c>
      <c r="E28" s="355">
        <f t="shared" si="40"/>
        <v>0</v>
      </c>
      <c r="F28" s="357">
        <v>0.0</v>
      </c>
      <c r="G28" s="355">
        <f t="shared" si="41"/>
        <v>0</v>
      </c>
      <c r="H28" s="357">
        <v>0.0</v>
      </c>
      <c r="I28" s="395" t="str">
        <f t="shared" si="42"/>
        <v>#DIV/0!</v>
      </c>
      <c r="J28" s="604">
        <v>0.0</v>
      </c>
      <c r="K28" s="355">
        <f t="shared" si="43"/>
        <v>0</v>
      </c>
      <c r="L28" s="357">
        <v>0.0</v>
      </c>
      <c r="M28" s="355">
        <f t="shared" si="44"/>
        <v>0</v>
      </c>
      <c r="N28" s="357">
        <v>0.0</v>
      </c>
      <c r="O28" s="358"/>
      <c r="P28" s="604">
        <v>0.0</v>
      </c>
      <c r="Q28" s="352"/>
      <c r="R28" s="357">
        <v>0.0</v>
      </c>
      <c r="S28" s="355">
        <f t="shared" si="45"/>
        <v>0</v>
      </c>
      <c r="T28" s="357">
        <v>0.0</v>
      </c>
      <c r="U28" s="358"/>
      <c r="V28" s="604">
        <v>0.0</v>
      </c>
      <c r="W28" s="352"/>
      <c r="X28" s="357">
        <v>0.0</v>
      </c>
      <c r="Y28" s="355">
        <f t="shared" si="46"/>
        <v>0</v>
      </c>
      <c r="Z28" s="357">
        <v>0.0</v>
      </c>
      <c r="AA28" s="358"/>
      <c r="AB28" s="604">
        <v>0.0</v>
      </c>
      <c r="AC28" s="355">
        <f t="shared" si="47"/>
        <v>0</v>
      </c>
      <c r="AD28" s="357">
        <v>0.0</v>
      </c>
      <c r="AE28" s="355">
        <f t="shared" si="48"/>
        <v>0</v>
      </c>
      <c r="AF28" s="357">
        <v>0.0</v>
      </c>
      <c r="AG28" s="358"/>
      <c r="AH28" s="604">
        <v>0.0</v>
      </c>
      <c r="AI28" s="355">
        <f t="shared" si="49"/>
        <v>0</v>
      </c>
      <c r="AJ28" s="357">
        <v>0.0</v>
      </c>
      <c r="AK28" s="355">
        <f t="shared" si="50"/>
        <v>0</v>
      </c>
      <c r="AL28" s="357">
        <v>0.0</v>
      </c>
      <c r="AM28" s="358"/>
      <c r="AN28" s="604">
        <v>0.0</v>
      </c>
      <c r="AO28" s="355">
        <f t="shared" si="51"/>
        <v>0</v>
      </c>
      <c r="AP28" s="357">
        <v>0.0</v>
      </c>
      <c r="AQ28" s="355">
        <f t="shared" si="52"/>
        <v>0</v>
      </c>
      <c r="AR28" s="357">
        <v>0.0</v>
      </c>
      <c r="AS28" s="358"/>
      <c r="AT28" s="604">
        <v>0.0</v>
      </c>
      <c r="AU28" s="355">
        <f t="shared" si="53"/>
        <v>0</v>
      </c>
      <c r="AV28" s="357">
        <v>0.0</v>
      </c>
      <c r="AW28" s="355">
        <f t="shared" si="54"/>
        <v>0</v>
      </c>
      <c r="AX28" s="357">
        <v>0.0</v>
      </c>
      <c r="AY28" s="358"/>
      <c r="AZ28" s="604">
        <v>0.0</v>
      </c>
      <c r="BA28" s="355">
        <f t="shared" si="55"/>
        <v>0</v>
      </c>
      <c r="BB28" s="357">
        <v>0.0</v>
      </c>
      <c r="BC28" s="355">
        <f t="shared" si="56"/>
        <v>0</v>
      </c>
      <c r="BD28" s="357">
        <v>0.0</v>
      </c>
      <c r="BE28" s="358"/>
      <c r="BF28" s="351">
        <v>0.0</v>
      </c>
      <c r="BG28" s="355">
        <f t="shared" si="57"/>
        <v>0</v>
      </c>
      <c r="BH28" s="357">
        <v>0.0</v>
      </c>
      <c r="BI28" s="355">
        <f t="shared" si="58"/>
        <v>0</v>
      </c>
      <c r="BJ28" s="357">
        <v>0.0</v>
      </c>
      <c r="BK28" s="358"/>
      <c r="BL28" s="604">
        <v>0.0</v>
      </c>
      <c r="BM28" s="355">
        <f t="shared" si="59"/>
        <v>0</v>
      </c>
      <c r="BN28" s="357">
        <v>0.0</v>
      </c>
      <c r="BO28" s="355">
        <f t="shared" si="60"/>
        <v>0</v>
      </c>
      <c r="BP28" s="357">
        <v>0.0</v>
      </c>
      <c r="BQ28" s="358"/>
      <c r="BR28" s="351">
        <v>0.0</v>
      </c>
      <c r="BS28" s="355">
        <f t="shared" si="61"/>
        <v>0</v>
      </c>
      <c r="BT28" s="357">
        <v>0.0</v>
      </c>
      <c r="BU28" s="355">
        <f t="shared" si="62"/>
        <v>0</v>
      </c>
      <c r="BV28" s="357">
        <v>0.0</v>
      </c>
      <c r="BW28" s="358"/>
      <c r="BX28" s="213"/>
      <c r="BY28" s="213"/>
      <c r="BZ28" s="213"/>
      <c r="CA28" s="213"/>
      <c r="CB28" s="213"/>
      <c r="CC28" s="213"/>
      <c r="CD28" s="213"/>
      <c r="CE28" s="213"/>
      <c r="CF28" s="213"/>
      <c r="CG28" s="213"/>
      <c r="CH28" s="213"/>
      <c r="CI28" s="213"/>
      <c r="CJ28" s="213"/>
      <c r="CK28" s="213"/>
      <c r="CL28" s="213"/>
      <c r="CM28" s="213"/>
      <c r="CN28" s="213"/>
      <c r="CO28" s="213"/>
      <c r="CP28" s="213"/>
      <c r="CQ28" s="213"/>
    </row>
    <row r="29" ht="15.75" customHeight="1">
      <c r="A29" s="213"/>
      <c r="B29" s="496" t="s">
        <v>24</v>
      </c>
      <c r="C29" s="492" t="s">
        <v>230</v>
      </c>
      <c r="D29" s="609">
        <f>sum(D16:D22)</f>
        <v>6876421.37</v>
      </c>
      <c r="E29" s="355">
        <f t="shared" si="40"/>
        <v>0.8007613001</v>
      </c>
      <c r="F29" s="357">
        <f>F15</f>
        <v>6839784</v>
      </c>
      <c r="G29" s="355">
        <f t="shared" si="41"/>
        <v>0.8113056141</v>
      </c>
      <c r="H29" s="357">
        <f>D29-SUM(F29:F31)</f>
        <v>-436812.4005</v>
      </c>
      <c r="I29" s="395">
        <f t="shared" si="42"/>
        <v>-0.0638634788</v>
      </c>
      <c r="J29" s="609">
        <f>sum(J16:J22)</f>
        <v>7798548.88</v>
      </c>
      <c r="K29" s="355">
        <f t="shared" si="43"/>
        <v>0.8069818341</v>
      </c>
      <c r="L29" s="400">
        <f>SUM(L16:L22)</f>
        <v>6766478</v>
      </c>
      <c r="M29" s="355">
        <f t="shared" si="44"/>
        <v>0.8121346469</v>
      </c>
      <c r="N29" s="400">
        <f>SUM(N16:N22)</f>
        <v>0</v>
      </c>
      <c r="O29" s="358"/>
      <c r="P29" s="609">
        <f>sum(P16:P22)</f>
        <v>5695748</v>
      </c>
      <c r="Q29" s="355">
        <f>P29/P$32</f>
        <v>0.7611997606</v>
      </c>
      <c r="R29" s="400">
        <f>SUM(R16:R22)</f>
        <v>6705779</v>
      </c>
      <c r="S29" s="355">
        <f t="shared" si="45"/>
        <v>0.8179993256</v>
      </c>
      <c r="T29" s="400">
        <f>SUM(T16:T22)</f>
        <v>0</v>
      </c>
      <c r="U29" s="358"/>
      <c r="V29" s="609">
        <f>sum(V16:V22)</f>
        <v>7574433</v>
      </c>
      <c r="W29" s="355">
        <f>V29/V$32</f>
        <v>0.7962899049</v>
      </c>
      <c r="X29" s="400">
        <f>SUM(X16:X22)</f>
        <v>7397626</v>
      </c>
      <c r="Y29" s="355">
        <f t="shared" si="46"/>
        <v>0.8219200229</v>
      </c>
      <c r="Z29" s="400">
        <f>SUM(Z16:Z22)</f>
        <v>0</v>
      </c>
      <c r="AA29" s="358"/>
      <c r="AB29" s="609">
        <f>sum(AB16:AB22)</f>
        <v>7596375</v>
      </c>
      <c r="AC29" s="355">
        <f t="shared" si="47"/>
        <v>0.8106433412</v>
      </c>
      <c r="AD29" s="400">
        <f>SUM(AD16:AD22)</f>
        <v>7416101</v>
      </c>
      <c r="AE29" s="355">
        <f t="shared" si="48"/>
        <v>0.8149564437</v>
      </c>
      <c r="AF29" s="400">
        <f>SUM(AF16:AF22)</f>
        <v>0</v>
      </c>
      <c r="AG29" s="358"/>
      <c r="AH29" s="609">
        <f>sum(AH16:AH22)</f>
        <v>7294731.49</v>
      </c>
      <c r="AI29" s="355">
        <f t="shared" si="49"/>
        <v>0.7925101609</v>
      </c>
      <c r="AJ29" s="400">
        <f>SUM(AJ16:AJ22)</f>
        <v>7411978</v>
      </c>
      <c r="AK29" s="355">
        <f t="shared" si="50"/>
        <v>0.8206667609</v>
      </c>
      <c r="AL29" s="400">
        <f>SUM(AL16:AL22)</f>
        <v>0</v>
      </c>
      <c r="AM29" s="358"/>
      <c r="AN29" s="609">
        <f>sum(AN16:AN22)</f>
        <v>6842254.94</v>
      </c>
      <c r="AO29" s="355">
        <f t="shared" si="51"/>
        <v>0.8125540008</v>
      </c>
      <c r="AP29" s="400">
        <f>SUM(AP16:AP22)</f>
        <v>8037276</v>
      </c>
      <c r="AQ29" s="355">
        <f t="shared" si="52"/>
        <v>0.8172408652</v>
      </c>
      <c r="AR29" s="400">
        <f>SUM(AR16:AR22)</f>
        <v>0</v>
      </c>
      <c r="AS29" s="358"/>
      <c r="AT29" s="609">
        <f>sum(AT16:AT22)</f>
        <v>7495343.6</v>
      </c>
      <c r="AU29" s="355">
        <f t="shared" si="53"/>
        <v>0.800874962</v>
      </c>
      <c r="AV29" s="400">
        <f>SUM(AV16:AV22)</f>
        <v>7946257</v>
      </c>
      <c r="AW29" s="355">
        <f t="shared" si="54"/>
        <v>0.8199716276</v>
      </c>
      <c r="AX29" s="400">
        <f>SUM(AX16:AX22)</f>
        <v>0</v>
      </c>
      <c r="AY29" s="358"/>
      <c r="AZ29" s="609">
        <f>sum(AZ16:AZ22)</f>
        <v>8276529.57</v>
      </c>
      <c r="BA29" s="355">
        <f t="shared" si="55"/>
        <v>0.8206262976</v>
      </c>
      <c r="BB29" s="400">
        <f>SUM(BB16:BB22)</f>
        <v>8595722</v>
      </c>
      <c r="BC29" s="355">
        <f t="shared" si="56"/>
        <v>0.8213255328</v>
      </c>
      <c r="BD29" s="400">
        <f>SUM(BD16:BD22)</f>
        <v>0</v>
      </c>
      <c r="BE29" s="358"/>
      <c r="BF29" s="609">
        <f>sum(BF16:BF22)</f>
        <v>8253221.35</v>
      </c>
      <c r="BG29" s="355">
        <f t="shared" si="57"/>
        <v>0.8522150613</v>
      </c>
      <c r="BH29" s="400">
        <f>SUM(BH16:BH22)</f>
        <v>8404824</v>
      </c>
      <c r="BI29" s="355">
        <f t="shared" si="58"/>
        <v>0.8235194423</v>
      </c>
      <c r="BJ29" s="400">
        <f>SUM(BJ16:BJ22)</f>
        <v>0</v>
      </c>
      <c r="BK29" s="358"/>
      <c r="BL29" s="609">
        <f>sum(BL16:BL22)</f>
        <v>7313515.71</v>
      </c>
      <c r="BM29" s="355">
        <f t="shared" si="59"/>
        <v>0.8588919222</v>
      </c>
      <c r="BN29" s="400">
        <f>SUM(BN16:BN22)</f>
        <v>7716936</v>
      </c>
      <c r="BO29" s="355">
        <f t="shared" si="60"/>
        <v>0.8194952473</v>
      </c>
      <c r="BP29" s="400">
        <f>SUM(BP16:BP22)</f>
        <v>0</v>
      </c>
      <c r="BQ29" s="358"/>
      <c r="BR29" s="609">
        <f>sum(BR16:BR22)</f>
        <v>8540436.04</v>
      </c>
      <c r="BS29" s="355">
        <f t="shared" si="61"/>
        <v>0.8435679628</v>
      </c>
      <c r="BT29" s="400">
        <f>SUM(BT16:BT22)</f>
        <v>8330850</v>
      </c>
      <c r="BU29" s="355">
        <f t="shared" si="62"/>
        <v>0.8221662394</v>
      </c>
      <c r="BV29" s="400">
        <f>SUM(BV16:BV22)</f>
        <v>0</v>
      </c>
      <c r="BW29" s="358"/>
      <c r="BX29" s="718">
        <f>D29+J29+P29+V29+AB29+AH29+AN29+AT29+AZ29+BF29+BL29+BR29</f>
        <v>89557558.95</v>
      </c>
      <c r="BY29" s="213"/>
      <c r="BZ29" s="213"/>
      <c r="CA29" s="213"/>
      <c r="CB29" s="213"/>
      <c r="CC29" s="213"/>
      <c r="CD29" s="213"/>
      <c r="CE29" s="213"/>
      <c r="CF29" s="213"/>
      <c r="CG29" s="213"/>
      <c r="CH29" s="213"/>
      <c r="CI29" s="213"/>
      <c r="CJ29" s="213"/>
      <c r="CK29" s="213"/>
      <c r="CL29" s="213"/>
      <c r="CM29" s="213"/>
      <c r="CN29" s="213"/>
      <c r="CO29" s="213"/>
      <c r="CP29" s="213"/>
      <c r="CQ29" s="213"/>
    </row>
    <row r="30" ht="15.75" customHeight="1">
      <c r="A30" s="213"/>
      <c r="B30" s="492"/>
      <c r="C30" s="492"/>
      <c r="D30" s="604"/>
      <c r="E30" s="355"/>
      <c r="F30" s="352"/>
      <c r="G30" s="355"/>
      <c r="H30" s="352"/>
      <c r="I30" s="395"/>
      <c r="J30" s="393"/>
      <c r="K30" s="352"/>
      <c r="L30" s="352"/>
      <c r="M30" s="352"/>
      <c r="N30" s="352"/>
      <c r="O30" s="358"/>
      <c r="P30" s="393"/>
      <c r="Q30" s="352"/>
      <c r="R30" s="352"/>
      <c r="S30" s="352"/>
      <c r="T30" s="352"/>
      <c r="U30" s="358"/>
      <c r="V30" s="393"/>
      <c r="W30" s="352"/>
      <c r="X30" s="352"/>
      <c r="Y30" s="352"/>
      <c r="Z30" s="352"/>
      <c r="AA30" s="358"/>
      <c r="AB30" s="604"/>
      <c r="AC30" s="352"/>
      <c r="AD30" s="352"/>
      <c r="AE30" s="352"/>
      <c r="AF30" s="352"/>
      <c r="AG30" s="358"/>
      <c r="AH30" s="604"/>
      <c r="AI30" s="355"/>
      <c r="AJ30" s="352"/>
      <c r="AK30" s="352"/>
      <c r="AL30" s="352"/>
      <c r="AM30" s="358"/>
      <c r="AN30" s="604"/>
      <c r="AO30" s="352"/>
      <c r="AP30" s="352"/>
      <c r="AQ30" s="352"/>
      <c r="AR30" s="352"/>
      <c r="AS30" s="358"/>
      <c r="AT30" s="604"/>
      <c r="AU30" s="352"/>
      <c r="AV30" s="352"/>
      <c r="AW30" s="352"/>
      <c r="AX30" s="352"/>
      <c r="AY30" s="358"/>
      <c r="AZ30" s="604"/>
      <c r="BA30" s="352"/>
      <c r="BB30" s="352"/>
      <c r="BC30" s="352"/>
      <c r="BD30" s="352"/>
      <c r="BE30" s="358"/>
      <c r="BF30" s="351"/>
      <c r="BG30" s="352"/>
      <c r="BH30" s="352"/>
      <c r="BI30" s="352"/>
      <c r="BJ30" s="352"/>
      <c r="BK30" s="358"/>
      <c r="BL30" s="604"/>
      <c r="BM30" s="352"/>
      <c r="BN30" s="352"/>
      <c r="BO30" s="352"/>
      <c r="BP30" s="352"/>
      <c r="BQ30" s="358"/>
      <c r="BR30" s="351"/>
      <c r="BS30" s="352"/>
      <c r="BT30" s="352"/>
      <c r="BU30" s="352"/>
      <c r="BV30" s="352"/>
      <c r="BW30" s="358"/>
      <c r="BX30" s="213"/>
      <c r="BY30" s="213"/>
      <c r="BZ30" s="213"/>
      <c r="CA30" s="213"/>
      <c r="CB30" s="213"/>
      <c r="CC30" s="213"/>
      <c r="CD30" s="213"/>
      <c r="CE30" s="213"/>
      <c r="CF30" s="213"/>
      <c r="CG30" s="213"/>
      <c r="CH30" s="213"/>
      <c r="CI30" s="213"/>
      <c r="CJ30" s="213"/>
      <c r="CK30" s="213"/>
      <c r="CL30" s="213"/>
      <c r="CM30" s="213"/>
      <c r="CN30" s="213"/>
      <c r="CO30" s="213"/>
      <c r="CP30" s="213"/>
      <c r="CQ30" s="213"/>
    </row>
    <row r="31" ht="15.75" customHeight="1">
      <c r="A31" s="213"/>
      <c r="B31" s="502"/>
      <c r="C31" s="502" t="s">
        <v>231</v>
      </c>
      <c r="D31" s="619">
        <f>62042.6+303138.3</f>
        <v>365180.9</v>
      </c>
      <c r="E31" s="404">
        <f>D31/$D$32</f>
        <v>0.04252542369</v>
      </c>
      <c r="F31" s="367">
        <f>G31*SUM(F27:F29)</f>
        <v>473449.7705</v>
      </c>
      <c r="G31" s="404">
        <v>0.0595</v>
      </c>
      <c r="H31" s="367">
        <f t="shared" ref="H31:H32" si="63">D31-F31</f>
        <v>-108268.8705</v>
      </c>
      <c r="I31" s="406">
        <f>H31/F31</f>
        <v>-0.2286807962</v>
      </c>
      <c r="J31" s="361">
        <v>425228.0</v>
      </c>
      <c r="K31" s="404">
        <f>J31/J$32</f>
        <v>0.0440019389</v>
      </c>
      <c r="L31" s="367">
        <f>M31*SUM(L27:L29)</f>
        <v>467897.409</v>
      </c>
      <c r="M31" s="404">
        <v>0.0595</v>
      </c>
      <c r="N31" s="364"/>
      <c r="O31" s="368"/>
      <c r="P31" s="361">
        <f>392130</f>
        <v>392130</v>
      </c>
      <c r="Q31" s="404">
        <f>P31/P$32</f>
        <v>0.05240562997</v>
      </c>
      <c r="R31" s="367">
        <f>S31*SUM(R27:R29)</f>
        <v>460375.5975</v>
      </c>
      <c r="S31" s="404">
        <v>0.0595</v>
      </c>
      <c r="T31" s="364"/>
      <c r="U31" s="368"/>
      <c r="V31" s="619">
        <v>419082.0</v>
      </c>
      <c r="W31" s="404">
        <f>V31/V$32</f>
        <v>0.04405752429</v>
      </c>
      <c r="X31" s="367">
        <f>Y31*SUM(X27:X29)</f>
        <v>505450.715</v>
      </c>
      <c r="Y31" s="404">
        <v>0.0595</v>
      </c>
      <c r="Z31" s="364"/>
      <c r="AA31" s="368"/>
      <c r="AB31" s="619">
        <v>387346.0</v>
      </c>
      <c r="AC31" s="404">
        <f>AB31/AB$32</f>
        <v>0.04133543376</v>
      </c>
      <c r="AD31" s="367">
        <f>AE31*SUM(AD27:AD29)</f>
        <v>511042.763</v>
      </c>
      <c r="AE31" s="404">
        <v>0.0595</v>
      </c>
      <c r="AF31" s="364"/>
      <c r="AG31" s="368"/>
      <c r="AH31" s="619">
        <v>399667.0</v>
      </c>
      <c r="AI31" s="404">
        <f>AH31/AH$32</f>
        <v>0.0434203999</v>
      </c>
      <c r="AJ31" s="367">
        <f>AK31*SUM(AJ27:AJ29)</f>
        <v>507204.7155</v>
      </c>
      <c r="AK31" s="404">
        <v>0.0595</v>
      </c>
      <c r="AL31" s="364"/>
      <c r="AM31" s="368"/>
      <c r="AN31" s="619">
        <v>347826.0</v>
      </c>
      <c r="AO31" s="404">
        <v>0.0595</v>
      </c>
      <c r="AP31" s="367">
        <f>AQ31*SUM(AP27:AP29)</f>
        <v>552299.706</v>
      </c>
      <c r="AQ31" s="404">
        <v>0.0595</v>
      </c>
      <c r="AR31" s="364"/>
      <c r="AS31" s="368"/>
      <c r="AT31" s="619">
        <v>407914.0</v>
      </c>
      <c r="AU31" s="404">
        <v>0.0595</v>
      </c>
      <c r="AV31" s="367">
        <f>AW31*SUM(AV27:AV29)</f>
        <v>544226.627</v>
      </c>
      <c r="AW31" s="404">
        <v>0.0595</v>
      </c>
      <c r="AX31" s="364"/>
      <c r="AY31" s="368"/>
      <c r="AZ31" s="619">
        <v>406982.0</v>
      </c>
      <c r="BA31" s="404">
        <v>0.0595</v>
      </c>
      <c r="BB31" s="367">
        <f>BC31*SUM(BB27:BB29)</f>
        <v>587737.0135</v>
      </c>
      <c r="BC31" s="404">
        <v>0.0595</v>
      </c>
      <c r="BD31" s="364"/>
      <c r="BE31" s="368"/>
      <c r="BF31" s="363">
        <v>365848.63</v>
      </c>
      <c r="BG31" s="404">
        <v>0.0595</v>
      </c>
      <c r="BH31" s="367">
        <f>BI31*SUM(BH27:BH29)</f>
        <v>573153.266</v>
      </c>
      <c r="BI31" s="404">
        <v>0.0595</v>
      </c>
      <c r="BJ31" s="364"/>
      <c r="BK31" s="368"/>
      <c r="BL31" s="619">
        <v>296989.91</v>
      </c>
      <c r="BM31" s="364"/>
      <c r="BN31" s="367">
        <f>BO31*SUM(BN27:BN29)</f>
        <v>528828.027</v>
      </c>
      <c r="BO31" s="404">
        <v>0.0595</v>
      </c>
      <c r="BP31" s="364"/>
      <c r="BQ31" s="368"/>
      <c r="BR31" s="506">
        <v>346204.0</v>
      </c>
      <c r="BS31" s="364"/>
      <c r="BT31" s="367">
        <f>BU31*SUM(BT27:BT29)</f>
        <v>569043.7795</v>
      </c>
      <c r="BU31" s="404">
        <v>0.0595</v>
      </c>
      <c r="BV31" s="364"/>
      <c r="BW31" s="368"/>
      <c r="BX31" s="718">
        <f t="shared" ref="BX31:BX32" si="64">D31+J31+P31+V31+AB31+AH31+AN31+AT31+AZ31+BF31+BL31+BR31</f>
        <v>4560398.44</v>
      </c>
      <c r="BY31" s="213"/>
      <c r="BZ31" s="213"/>
      <c r="CA31" s="213"/>
      <c r="CB31" s="213"/>
      <c r="CC31" s="213"/>
      <c r="CD31" s="213"/>
      <c r="CE31" s="213"/>
      <c r="CF31" s="213"/>
      <c r="CG31" s="213"/>
      <c r="CH31" s="213"/>
      <c r="CI31" s="213"/>
      <c r="CJ31" s="213"/>
      <c r="CK31" s="213"/>
      <c r="CL31" s="213"/>
      <c r="CM31" s="213"/>
      <c r="CN31" s="213"/>
      <c r="CO31" s="213"/>
      <c r="CP31" s="213"/>
      <c r="CQ31" s="213"/>
    </row>
    <row r="32" ht="15.75" customHeight="1">
      <c r="A32" s="213"/>
      <c r="B32" s="483"/>
      <c r="C32" s="483" t="s">
        <v>232</v>
      </c>
      <c r="D32" s="373">
        <f>D27+D28+D29+D31+D23</f>
        <v>8587354.77</v>
      </c>
      <c r="E32" s="408"/>
      <c r="F32" s="373">
        <f>F27+F28+F29+F31+F23</f>
        <v>8430588.771</v>
      </c>
      <c r="G32" s="408"/>
      <c r="H32" s="377">
        <f t="shared" si="63"/>
        <v>156765.9995</v>
      </c>
      <c r="I32" s="378"/>
      <c r="J32" s="373">
        <f>J27+J28+J29+J31+J23</f>
        <v>9663846.88</v>
      </c>
      <c r="K32" s="408"/>
      <c r="L32" s="377">
        <f>L27+L28+L29+L31</f>
        <v>8331719.409</v>
      </c>
      <c r="M32" s="408"/>
      <c r="N32" s="377">
        <f>N27+N28+N29</f>
        <v>0</v>
      </c>
      <c r="O32" s="378"/>
      <c r="P32" s="373">
        <f>P27+P28+P29+P31+P23</f>
        <v>7482593</v>
      </c>
      <c r="Q32" s="408"/>
      <c r="R32" s="377">
        <f>R27+R28+R29+R31</f>
        <v>8197780.598</v>
      </c>
      <c r="S32" s="408"/>
      <c r="T32" s="377">
        <f>T27+T28+T29</f>
        <v>0</v>
      </c>
      <c r="U32" s="378"/>
      <c r="V32" s="373">
        <f>V27+V28+V29+V31+V23</f>
        <v>9512155</v>
      </c>
      <c r="W32" s="408"/>
      <c r="X32" s="377">
        <f>X27+X28+X29+X31</f>
        <v>9000420.715</v>
      </c>
      <c r="Y32" s="408"/>
      <c r="Z32" s="377">
        <f>Z27+Z28+Z29</f>
        <v>0</v>
      </c>
      <c r="AA32" s="378"/>
      <c r="AB32" s="373">
        <f>AB27+AB28+AB29+AB31+AB23</f>
        <v>9370798</v>
      </c>
      <c r="AC32" s="408"/>
      <c r="AD32" s="377">
        <f>AD27+AD28+AD29+AD31</f>
        <v>9099996.763</v>
      </c>
      <c r="AE32" s="408"/>
      <c r="AF32" s="377">
        <f>AF27+AF28+AF29</f>
        <v>0</v>
      </c>
      <c r="AG32" s="378"/>
      <c r="AH32" s="373">
        <f>AH27+AH28+AH29+AH31+AH23</f>
        <v>9204590.49</v>
      </c>
      <c r="AI32" s="408"/>
      <c r="AJ32" s="377">
        <f>AJ27+AJ28+AJ29+AJ31</f>
        <v>9031653.716</v>
      </c>
      <c r="AK32" s="408"/>
      <c r="AL32" s="377">
        <f>AL27+AL28+AL29</f>
        <v>0</v>
      </c>
      <c r="AM32" s="378"/>
      <c r="AN32" s="373">
        <f>AN27+AN28+AN29+AN31+AN23</f>
        <v>8420677.19</v>
      </c>
      <c r="AO32" s="408"/>
      <c r="AP32" s="373">
        <f>AP27+AP28+AP29+AP31+AP23</f>
        <v>9834647.706</v>
      </c>
      <c r="AQ32" s="408"/>
      <c r="AR32" s="377">
        <f>AR27+AR28+AR29</f>
        <v>0</v>
      </c>
      <c r="AS32" s="378"/>
      <c r="AT32" s="373">
        <f>AT27+AT28+AT29+AT31+AT23</f>
        <v>9358943.6</v>
      </c>
      <c r="AU32" s="408"/>
      <c r="AV32" s="377">
        <f>AV27+AV28+AV29+AV31</f>
        <v>9690892.627</v>
      </c>
      <c r="AW32" s="408"/>
      <c r="AX32" s="377">
        <f>AX27+AX28+AX29</f>
        <v>0</v>
      </c>
      <c r="AY32" s="378"/>
      <c r="AZ32" s="373">
        <f>AZ27+AZ28+AZ29+AZ31+AZ23</f>
        <v>10085625.57</v>
      </c>
      <c r="BA32" s="408"/>
      <c r="BB32" s="377">
        <f>BB27+BB28+BB29+BB31</f>
        <v>10465670.01</v>
      </c>
      <c r="BC32" s="408"/>
      <c r="BD32" s="377">
        <f>BD27+BD28+BD29</f>
        <v>0</v>
      </c>
      <c r="BE32" s="378"/>
      <c r="BF32" s="373">
        <f>BF27+BF28+BF29+BF31+BF23</f>
        <v>9684434.98</v>
      </c>
      <c r="BG32" s="408"/>
      <c r="BH32" s="377">
        <f>BH27+BH28+BH29+BH31</f>
        <v>10205981.27</v>
      </c>
      <c r="BI32" s="408"/>
      <c r="BJ32" s="377">
        <f>BJ27+BJ28+BJ29</f>
        <v>0</v>
      </c>
      <c r="BK32" s="378"/>
      <c r="BL32" s="373">
        <f>BL27+BL28+BL29+BL31+BL23</f>
        <v>8515059.37</v>
      </c>
      <c r="BM32" s="408"/>
      <c r="BN32" s="377">
        <f>BN27+BN28+BN29+BN31</f>
        <v>9416694.027</v>
      </c>
      <c r="BO32" s="408"/>
      <c r="BP32" s="377">
        <f>BP27+BP28+BP29</f>
        <v>0</v>
      </c>
      <c r="BQ32" s="378"/>
      <c r="BR32" s="373">
        <f>BR27+BR28+BR29+BR31+BR23</f>
        <v>10124182.54</v>
      </c>
      <c r="BS32" s="408"/>
      <c r="BT32" s="377">
        <f>BT27+BT28+BT29+BT31</f>
        <v>10132804.78</v>
      </c>
      <c r="BU32" s="408"/>
      <c r="BV32" s="377">
        <f>BV27+BV28+BV29</f>
        <v>0</v>
      </c>
      <c r="BW32" s="378"/>
      <c r="BX32" s="328">
        <f t="shared" si="64"/>
        <v>110010261.4</v>
      </c>
      <c r="BY32" s="216"/>
      <c r="BZ32" s="216"/>
      <c r="CA32" s="216"/>
      <c r="CB32" s="216"/>
      <c r="CC32" s="216"/>
      <c r="CD32" s="216"/>
      <c r="CE32" s="216"/>
      <c r="CF32" s="216"/>
      <c r="CG32" s="216"/>
      <c r="CH32" s="216"/>
      <c r="CI32" s="216"/>
      <c r="CJ32" s="216"/>
      <c r="CK32" s="216"/>
      <c r="CL32" s="216"/>
      <c r="CM32" s="216"/>
      <c r="CN32" s="216"/>
      <c r="CO32" s="216"/>
      <c r="CP32" s="216"/>
      <c r="CQ32" s="216"/>
    </row>
    <row r="33" ht="15.75" customHeight="1">
      <c r="A33" s="213"/>
      <c r="B33" s="487"/>
      <c r="C33" s="488"/>
      <c r="D33" s="708"/>
      <c r="E33" s="440"/>
      <c r="F33" s="440"/>
      <c r="G33" s="440"/>
      <c r="H33" s="440"/>
      <c r="I33" s="389"/>
      <c r="J33" s="444"/>
      <c r="K33" s="440"/>
      <c r="L33" s="440"/>
      <c r="M33" s="440"/>
      <c r="N33" s="440"/>
      <c r="O33" s="389"/>
      <c r="P33" s="444"/>
      <c r="Q33" s="440"/>
      <c r="R33" s="440"/>
      <c r="S33" s="440"/>
      <c r="T33" s="440"/>
      <c r="U33" s="389"/>
      <c r="V33" s="444"/>
      <c r="W33" s="440"/>
      <c r="X33" s="440"/>
      <c r="Y33" s="440"/>
      <c r="Z33" s="440"/>
      <c r="AA33" s="389"/>
      <c r="AB33" s="708"/>
      <c r="AC33" s="440"/>
      <c r="AD33" s="440"/>
      <c r="AE33" s="440"/>
      <c r="AF33" s="440"/>
      <c r="AG33" s="389"/>
      <c r="AH33" s="708"/>
      <c r="AI33" s="440"/>
      <c r="AJ33" s="440"/>
      <c r="AK33" s="440"/>
      <c r="AL33" s="440"/>
      <c r="AM33" s="389"/>
      <c r="AN33" s="708"/>
      <c r="AO33" s="440"/>
      <c r="AP33" s="440"/>
      <c r="AQ33" s="440"/>
      <c r="AR33" s="440"/>
      <c r="AS33" s="389"/>
      <c r="AT33" s="708"/>
      <c r="AU33" s="440"/>
      <c r="AV33" s="440"/>
      <c r="AW33" s="440"/>
      <c r="AX33" s="440"/>
      <c r="AY33" s="389"/>
      <c r="AZ33" s="708"/>
      <c r="BA33" s="440"/>
      <c r="BB33" s="440"/>
      <c r="BC33" s="440"/>
      <c r="BD33" s="440"/>
      <c r="BE33" s="389"/>
      <c r="BF33" s="708"/>
      <c r="BG33" s="440"/>
      <c r="BH33" s="440"/>
      <c r="BI33" s="440"/>
      <c r="BJ33" s="440"/>
      <c r="BK33" s="389"/>
      <c r="BL33" s="708"/>
      <c r="BM33" s="440"/>
      <c r="BN33" s="440"/>
      <c r="BO33" s="440"/>
      <c r="BP33" s="440"/>
      <c r="BQ33" s="389"/>
      <c r="BR33" s="491"/>
      <c r="BS33" s="440"/>
      <c r="BT33" s="440"/>
      <c r="BU33" s="440"/>
      <c r="BV33" s="440"/>
      <c r="BW33" s="389"/>
      <c r="BX33" s="213"/>
      <c r="BY33" s="213"/>
      <c r="BZ33" s="213"/>
      <c r="CA33" s="213"/>
      <c r="CB33" s="213"/>
      <c r="CC33" s="213"/>
      <c r="CD33" s="213"/>
      <c r="CE33" s="213"/>
      <c r="CF33" s="213"/>
      <c r="CG33" s="213"/>
      <c r="CH33" s="213"/>
      <c r="CI33" s="213"/>
      <c r="CJ33" s="213"/>
      <c r="CK33" s="213"/>
      <c r="CL33" s="213"/>
      <c r="CM33" s="213"/>
      <c r="CN33" s="213"/>
      <c r="CO33" s="213"/>
      <c r="CP33" s="213"/>
      <c r="CQ33" s="213"/>
    </row>
    <row r="34" ht="15.75" hidden="1" customHeight="1">
      <c r="A34" s="213"/>
      <c r="B34" s="492"/>
      <c r="C34" s="492"/>
      <c r="D34" s="604"/>
      <c r="E34" s="355"/>
      <c r="F34" s="357"/>
      <c r="G34" s="357"/>
      <c r="H34" s="357"/>
      <c r="I34" s="533"/>
      <c r="J34" s="665"/>
      <c r="K34" s="355"/>
      <c r="L34" s="352"/>
      <c r="M34" s="352"/>
      <c r="N34" s="352"/>
      <c r="O34" s="358"/>
      <c r="P34" s="665"/>
      <c r="Q34" s="352"/>
      <c r="R34" s="352"/>
      <c r="S34" s="352"/>
      <c r="T34" s="352"/>
      <c r="U34" s="358"/>
      <c r="V34" s="665"/>
      <c r="W34" s="352"/>
      <c r="X34" s="352"/>
      <c r="Y34" s="352"/>
      <c r="Z34" s="352"/>
      <c r="AA34" s="358"/>
      <c r="AB34" s="604"/>
      <c r="AC34" s="352"/>
      <c r="AD34" s="352"/>
      <c r="AE34" s="352"/>
      <c r="AF34" s="352"/>
      <c r="AG34" s="358"/>
      <c r="AH34" s="604"/>
      <c r="AI34" s="352"/>
      <c r="AJ34" s="352"/>
      <c r="AK34" s="352"/>
      <c r="AL34" s="352"/>
      <c r="AM34" s="358"/>
      <c r="AN34" s="604"/>
      <c r="AO34" s="352"/>
      <c r="AP34" s="352"/>
      <c r="AQ34" s="352"/>
      <c r="AR34" s="352"/>
      <c r="AS34" s="358"/>
      <c r="AT34" s="604"/>
      <c r="AU34" s="352"/>
      <c r="AV34" s="352"/>
      <c r="AW34" s="352"/>
      <c r="AX34" s="352"/>
      <c r="AY34" s="358"/>
      <c r="AZ34" s="604"/>
      <c r="BA34" s="352"/>
      <c r="BB34" s="352"/>
      <c r="BC34" s="352"/>
      <c r="BD34" s="352"/>
      <c r="BE34" s="358"/>
      <c r="BF34" s="604"/>
      <c r="BG34" s="352"/>
      <c r="BH34" s="352"/>
      <c r="BI34" s="352"/>
      <c r="BJ34" s="352"/>
      <c r="BK34" s="358"/>
      <c r="BL34" s="604"/>
      <c r="BM34" s="352"/>
      <c r="BN34" s="352"/>
      <c r="BO34" s="352"/>
      <c r="BP34" s="352"/>
      <c r="BQ34" s="358"/>
      <c r="BR34" s="351"/>
      <c r="BS34" s="352"/>
      <c r="BT34" s="352"/>
      <c r="BU34" s="352"/>
      <c r="BV34" s="352"/>
      <c r="BW34" s="358"/>
      <c r="BX34" s="213"/>
      <c r="BY34" s="213"/>
      <c r="BZ34" s="213"/>
      <c r="CA34" s="213"/>
      <c r="CB34" s="213"/>
      <c r="CC34" s="213"/>
      <c r="CD34" s="213"/>
      <c r="CE34" s="213"/>
      <c r="CF34" s="213"/>
      <c r="CG34" s="213"/>
      <c r="CH34" s="213"/>
      <c r="CI34" s="213"/>
      <c r="CJ34" s="213"/>
      <c r="CK34" s="213"/>
      <c r="CL34" s="213"/>
      <c r="CM34" s="213"/>
      <c r="CN34" s="213"/>
      <c r="CO34" s="213"/>
      <c r="CP34" s="213"/>
      <c r="CQ34" s="213"/>
    </row>
    <row r="35" ht="15.75" hidden="1" customHeight="1">
      <c r="A35" s="213"/>
      <c r="B35" s="492" t="s">
        <v>261</v>
      </c>
      <c r="C35" s="492">
        <v>1669.0</v>
      </c>
      <c r="D35" s="604"/>
      <c r="E35" s="355"/>
      <c r="F35" s="357"/>
      <c r="G35" s="357"/>
      <c r="H35" s="357"/>
      <c r="I35" s="533"/>
      <c r="J35" s="665"/>
      <c r="K35" s="355"/>
      <c r="L35" s="352"/>
      <c r="M35" s="352"/>
      <c r="N35" s="352"/>
      <c r="O35" s="358"/>
      <c r="P35" s="665"/>
      <c r="Q35" s="352"/>
      <c r="R35" s="352"/>
      <c r="S35" s="352"/>
      <c r="T35" s="352"/>
      <c r="U35" s="358"/>
      <c r="V35" s="665"/>
      <c r="W35" s="352"/>
      <c r="X35" s="352"/>
      <c r="Y35" s="352"/>
      <c r="Z35" s="352"/>
      <c r="AA35" s="358"/>
      <c r="AB35" s="604"/>
      <c r="AC35" s="352"/>
      <c r="AD35" s="352"/>
      <c r="AE35" s="352"/>
      <c r="AF35" s="352"/>
      <c r="AG35" s="358"/>
      <c r="AH35" s="604"/>
      <c r="AI35" s="352"/>
      <c r="AJ35" s="352"/>
      <c r="AK35" s="352"/>
      <c r="AL35" s="352"/>
      <c r="AM35" s="358"/>
      <c r="AN35" s="604"/>
      <c r="AO35" s="352"/>
      <c r="AP35" s="352"/>
      <c r="AQ35" s="352"/>
      <c r="AR35" s="352"/>
      <c r="AS35" s="358"/>
      <c r="AT35" s="604"/>
      <c r="AU35" s="352"/>
      <c r="AV35" s="352"/>
      <c r="AW35" s="352"/>
      <c r="AX35" s="352"/>
      <c r="AY35" s="358"/>
      <c r="AZ35" s="604"/>
      <c r="BA35" s="352"/>
      <c r="BB35" s="352"/>
      <c r="BC35" s="352"/>
      <c r="BD35" s="352"/>
      <c r="BE35" s="358"/>
      <c r="BF35" s="604"/>
      <c r="BG35" s="352"/>
      <c r="BH35" s="352"/>
      <c r="BI35" s="352"/>
      <c r="BJ35" s="352"/>
      <c r="BK35" s="358"/>
      <c r="BL35" s="604"/>
      <c r="BM35" s="352"/>
      <c r="BN35" s="352"/>
      <c r="BO35" s="352"/>
      <c r="BP35" s="352"/>
      <c r="BQ35" s="358"/>
      <c r="BR35" s="351"/>
      <c r="BS35" s="352"/>
      <c r="BT35" s="352"/>
      <c r="BU35" s="352"/>
      <c r="BV35" s="352"/>
      <c r="BW35" s="358"/>
      <c r="BX35" s="213"/>
      <c r="BY35" s="213"/>
      <c r="BZ35" s="213"/>
      <c r="CA35" s="213"/>
      <c r="CB35" s="213"/>
      <c r="CC35" s="213"/>
      <c r="CD35" s="213"/>
      <c r="CE35" s="213"/>
      <c r="CF35" s="213"/>
      <c r="CG35" s="213"/>
      <c r="CH35" s="213"/>
      <c r="CI35" s="213"/>
      <c r="CJ35" s="213"/>
      <c r="CK35" s="213"/>
      <c r="CL35" s="213"/>
      <c r="CM35" s="213"/>
      <c r="CN35" s="213"/>
      <c r="CO35" s="213"/>
      <c r="CP35" s="213"/>
      <c r="CQ35" s="213"/>
    </row>
    <row r="36" ht="15.75" hidden="1" customHeight="1">
      <c r="A36" s="213"/>
      <c r="B36" s="757">
        <v>0.07</v>
      </c>
      <c r="C36" s="492"/>
      <c r="D36" s="604">
        <f>B36*$D$32</f>
        <v>601114.8339</v>
      </c>
      <c r="E36" s="357">
        <f t="shared" ref="E36:E41" si="65">D36/$C$35</f>
        <v>360.1646698</v>
      </c>
      <c r="F36" s="357"/>
      <c r="G36" s="357"/>
      <c r="H36" s="357"/>
      <c r="I36" s="533"/>
      <c r="J36" s="604">
        <f>$B$36*$J$32</f>
        <v>676469.2816</v>
      </c>
      <c r="K36" s="357">
        <f t="shared" ref="K36:K41" si="66">J36/$C$35</f>
        <v>405.3141292</v>
      </c>
      <c r="L36" s="352"/>
      <c r="M36" s="352"/>
      <c r="N36" s="352"/>
      <c r="O36" s="358"/>
      <c r="P36" s="604"/>
      <c r="Q36" s="352"/>
      <c r="R36" s="357">
        <f>$B$36*$R$32</f>
        <v>573844.6418</v>
      </c>
      <c r="S36" s="357">
        <f t="shared" ref="S36:S41" si="67">R36/$C$35</f>
        <v>343.8254295</v>
      </c>
      <c r="T36" s="352"/>
      <c r="U36" s="358"/>
      <c r="V36" s="604"/>
      <c r="W36" s="352"/>
      <c r="X36" s="357">
        <f>$B$36*$X$32</f>
        <v>630029.4501</v>
      </c>
      <c r="Y36" s="357">
        <f t="shared" ref="Y36:Y41" si="68">X36/$C$35</f>
        <v>377.4891852</v>
      </c>
      <c r="Z36" s="352"/>
      <c r="AA36" s="358"/>
      <c r="AB36" s="604"/>
      <c r="AC36" s="352"/>
      <c r="AD36" s="357">
        <f>$B$36*$AD$32</f>
        <v>636999.7734</v>
      </c>
      <c r="AE36" s="357">
        <f t="shared" ref="AE36:AE41" si="69">AD36/$C$35</f>
        <v>381.6655323</v>
      </c>
      <c r="AF36" s="352"/>
      <c r="AG36" s="358"/>
      <c r="AH36" s="604"/>
      <c r="AI36" s="352"/>
      <c r="AJ36" s="357">
        <f>$B$36*$AJ$32</f>
        <v>632215.7601</v>
      </c>
      <c r="AK36" s="357">
        <f t="shared" ref="AK36:AK41" si="70">AJ36/$C$35</f>
        <v>378.7991373</v>
      </c>
      <c r="AL36" s="352"/>
      <c r="AM36" s="358"/>
      <c r="AN36" s="604"/>
      <c r="AO36" s="357">
        <f t="shared" ref="AO36:AO41" si="71">AN36/$C$35</f>
        <v>0</v>
      </c>
      <c r="AP36" s="352"/>
      <c r="AQ36" s="352"/>
      <c r="AR36" s="352"/>
      <c r="AS36" s="358"/>
      <c r="AT36" s="604"/>
      <c r="AU36" s="352"/>
      <c r="AV36" s="352"/>
      <c r="AW36" s="352"/>
      <c r="AX36" s="352"/>
      <c r="AY36" s="358"/>
      <c r="AZ36" s="604"/>
      <c r="BA36" s="352"/>
      <c r="BB36" s="352"/>
      <c r="BC36" s="352"/>
      <c r="BD36" s="352"/>
      <c r="BE36" s="358"/>
      <c r="BF36" s="604"/>
      <c r="BG36" s="352"/>
      <c r="BH36" s="352"/>
      <c r="BI36" s="352"/>
      <c r="BJ36" s="352"/>
      <c r="BK36" s="358"/>
      <c r="BL36" s="604"/>
      <c r="BM36" s="352"/>
      <c r="BN36" s="352"/>
      <c r="BO36" s="352"/>
      <c r="BP36" s="352"/>
      <c r="BQ36" s="358"/>
      <c r="BR36" s="351"/>
      <c r="BS36" s="352"/>
      <c r="BT36" s="352"/>
      <c r="BU36" s="352"/>
      <c r="BV36" s="352"/>
      <c r="BW36" s="358"/>
      <c r="BX36" s="213"/>
      <c r="BY36" s="213"/>
      <c r="BZ36" s="213"/>
      <c r="CA36" s="213"/>
      <c r="CB36" s="213"/>
      <c r="CC36" s="213"/>
      <c r="CD36" s="213"/>
      <c r="CE36" s="213"/>
      <c r="CF36" s="213"/>
      <c r="CG36" s="213"/>
      <c r="CH36" s="213"/>
      <c r="CI36" s="213"/>
      <c r="CJ36" s="213"/>
      <c r="CK36" s="213"/>
      <c r="CL36" s="213"/>
      <c r="CM36" s="213"/>
      <c r="CN36" s="213"/>
      <c r="CO36" s="213"/>
      <c r="CP36" s="213"/>
      <c r="CQ36" s="213"/>
    </row>
    <row r="37" ht="15.75" hidden="1" customHeight="1">
      <c r="A37" s="213"/>
      <c r="B37" s="757">
        <f>B36*1.18</f>
        <v>0.0826</v>
      </c>
      <c r="C37" s="492"/>
      <c r="D37" s="604">
        <f>$B$37*$D$32</f>
        <v>709315.504</v>
      </c>
      <c r="E37" s="357">
        <f t="shared" si="65"/>
        <v>424.9943104</v>
      </c>
      <c r="F37" s="357"/>
      <c r="G37" s="357"/>
      <c r="H37" s="357"/>
      <c r="I37" s="533"/>
      <c r="J37" s="604">
        <f>$B$37*$J$32</f>
        <v>798233.7523</v>
      </c>
      <c r="K37" s="357">
        <f t="shared" si="66"/>
        <v>478.2706724</v>
      </c>
      <c r="L37" s="352"/>
      <c r="M37" s="352"/>
      <c r="N37" s="352"/>
      <c r="O37" s="358"/>
      <c r="P37" s="604"/>
      <c r="Q37" s="352"/>
      <c r="R37" s="357">
        <f>$B$37*$R$32</f>
        <v>677136.6774</v>
      </c>
      <c r="S37" s="357">
        <f t="shared" si="67"/>
        <v>405.7140068</v>
      </c>
      <c r="T37" s="352"/>
      <c r="U37" s="358"/>
      <c r="V37" s="604"/>
      <c r="W37" s="352"/>
      <c r="X37" s="357">
        <f>$B$37*$X$32</f>
        <v>743434.7511</v>
      </c>
      <c r="Y37" s="357">
        <f t="shared" si="68"/>
        <v>445.4372385</v>
      </c>
      <c r="Z37" s="352"/>
      <c r="AA37" s="358"/>
      <c r="AB37" s="604"/>
      <c r="AC37" s="352"/>
      <c r="AD37" s="357">
        <f>$B$37*$AD$32</f>
        <v>751659.7326</v>
      </c>
      <c r="AE37" s="357">
        <f t="shared" si="69"/>
        <v>450.3653281</v>
      </c>
      <c r="AF37" s="352"/>
      <c r="AG37" s="358"/>
      <c r="AH37" s="604"/>
      <c r="AI37" s="352"/>
      <c r="AJ37" s="357">
        <f>$B$37*$AJ$32</f>
        <v>746014.5969</v>
      </c>
      <c r="AK37" s="357">
        <f t="shared" si="70"/>
        <v>446.982982</v>
      </c>
      <c r="AL37" s="352"/>
      <c r="AM37" s="358"/>
      <c r="AN37" s="604"/>
      <c r="AO37" s="357">
        <f t="shared" si="71"/>
        <v>0</v>
      </c>
      <c r="AP37" s="352"/>
      <c r="AQ37" s="352"/>
      <c r="AR37" s="352"/>
      <c r="AS37" s="358"/>
      <c r="AT37" s="604"/>
      <c r="AU37" s="352"/>
      <c r="AV37" s="352"/>
      <c r="AW37" s="352"/>
      <c r="AX37" s="352"/>
      <c r="AY37" s="358"/>
      <c r="AZ37" s="604"/>
      <c r="BA37" s="352"/>
      <c r="BB37" s="352"/>
      <c r="BC37" s="352"/>
      <c r="BD37" s="352"/>
      <c r="BE37" s="358"/>
      <c r="BF37" s="604"/>
      <c r="BG37" s="352"/>
      <c r="BH37" s="352"/>
      <c r="BI37" s="352"/>
      <c r="BJ37" s="352"/>
      <c r="BK37" s="358"/>
      <c r="BL37" s="604"/>
      <c r="BM37" s="352"/>
      <c r="BN37" s="352"/>
      <c r="BO37" s="352"/>
      <c r="BP37" s="352"/>
      <c r="BQ37" s="358"/>
      <c r="BR37" s="351"/>
      <c r="BS37" s="352"/>
      <c r="BT37" s="352"/>
      <c r="BU37" s="352"/>
      <c r="BV37" s="352"/>
      <c r="BW37" s="358"/>
      <c r="BX37" s="213"/>
      <c r="BY37" s="213"/>
      <c r="BZ37" s="213"/>
      <c r="CA37" s="213"/>
      <c r="CB37" s="213"/>
      <c r="CC37" s="213"/>
      <c r="CD37" s="213"/>
      <c r="CE37" s="213"/>
      <c r="CF37" s="213"/>
      <c r="CG37" s="213"/>
      <c r="CH37" s="213"/>
      <c r="CI37" s="213"/>
      <c r="CJ37" s="213"/>
      <c r="CK37" s="213"/>
      <c r="CL37" s="213"/>
      <c r="CM37" s="213"/>
      <c r="CN37" s="213"/>
      <c r="CO37" s="213"/>
      <c r="CP37" s="213"/>
      <c r="CQ37" s="213"/>
    </row>
    <row r="38" ht="15.75" hidden="1" customHeight="1">
      <c r="A38" s="213"/>
      <c r="B38" s="757">
        <v>0.08</v>
      </c>
      <c r="C38" s="492"/>
      <c r="D38" s="604">
        <f>$B$38*$D$32</f>
        <v>686988.3816</v>
      </c>
      <c r="E38" s="357">
        <f t="shared" si="65"/>
        <v>411.6167655</v>
      </c>
      <c r="F38" s="357"/>
      <c r="G38" s="357"/>
      <c r="H38" s="357"/>
      <c r="I38" s="533"/>
      <c r="J38" s="604">
        <f>$B$38*$J$32</f>
        <v>773107.7504</v>
      </c>
      <c r="K38" s="357">
        <f t="shared" si="66"/>
        <v>463.2161476</v>
      </c>
      <c r="L38" s="352"/>
      <c r="M38" s="352"/>
      <c r="N38" s="352"/>
      <c r="O38" s="358"/>
      <c r="P38" s="604"/>
      <c r="Q38" s="352"/>
      <c r="R38" s="357">
        <f>$B$38*$R$32</f>
        <v>655822.4478</v>
      </c>
      <c r="S38" s="357">
        <f t="shared" si="67"/>
        <v>392.943348</v>
      </c>
      <c r="T38" s="352"/>
      <c r="U38" s="358"/>
      <c r="V38" s="604"/>
      <c r="W38" s="352"/>
      <c r="X38" s="357">
        <f>$B$38*$X$32</f>
        <v>720033.6572</v>
      </c>
      <c r="Y38" s="357">
        <f t="shared" si="68"/>
        <v>431.4162116</v>
      </c>
      <c r="Z38" s="352"/>
      <c r="AA38" s="358"/>
      <c r="AB38" s="604"/>
      <c r="AC38" s="352"/>
      <c r="AD38" s="357">
        <f>$B$38*$AD$32</f>
        <v>727999.741</v>
      </c>
      <c r="AE38" s="357">
        <f t="shared" si="69"/>
        <v>436.1891798</v>
      </c>
      <c r="AF38" s="352"/>
      <c r="AG38" s="358"/>
      <c r="AH38" s="604"/>
      <c r="AI38" s="352"/>
      <c r="AJ38" s="357">
        <f>$B$38*$AJ$32</f>
        <v>722532.2972</v>
      </c>
      <c r="AK38" s="357">
        <f t="shared" si="70"/>
        <v>432.9132997</v>
      </c>
      <c r="AL38" s="352"/>
      <c r="AM38" s="358"/>
      <c r="AN38" s="604"/>
      <c r="AO38" s="357">
        <f t="shared" si="71"/>
        <v>0</v>
      </c>
      <c r="AP38" s="352"/>
      <c r="AQ38" s="352"/>
      <c r="AR38" s="352"/>
      <c r="AS38" s="358"/>
      <c r="AT38" s="604"/>
      <c r="AU38" s="352"/>
      <c r="AV38" s="352"/>
      <c r="AW38" s="352"/>
      <c r="AX38" s="352"/>
      <c r="AY38" s="358"/>
      <c r="AZ38" s="604"/>
      <c r="BA38" s="352"/>
      <c r="BB38" s="352"/>
      <c r="BC38" s="352"/>
      <c r="BD38" s="352"/>
      <c r="BE38" s="358"/>
      <c r="BF38" s="604"/>
      <c r="BG38" s="352"/>
      <c r="BH38" s="352"/>
      <c r="BI38" s="352"/>
      <c r="BJ38" s="352"/>
      <c r="BK38" s="358"/>
      <c r="BL38" s="604"/>
      <c r="BM38" s="352"/>
      <c r="BN38" s="352"/>
      <c r="BO38" s="352"/>
      <c r="BP38" s="352"/>
      <c r="BQ38" s="358"/>
      <c r="BR38" s="351"/>
      <c r="BS38" s="352"/>
      <c r="BT38" s="352"/>
      <c r="BU38" s="352"/>
      <c r="BV38" s="352"/>
      <c r="BW38" s="358"/>
      <c r="BX38" s="213"/>
      <c r="BY38" s="213"/>
      <c r="BZ38" s="213"/>
      <c r="CA38" s="213"/>
      <c r="CB38" s="213"/>
      <c r="CC38" s="213"/>
      <c r="CD38" s="213"/>
      <c r="CE38" s="213"/>
      <c r="CF38" s="213"/>
      <c r="CG38" s="213"/>
      <c r="CH38" s="213"/>
      <c r="CI38" s="213"/>
      <c r="CJ38" s="213"/>
      <c r="CK38" s="213"/>
      <c r="CL38" s="213"/>
      <c r="CM38" s="213"/>
      <c r="CN38" s="213"/>
      <c r="CO38" s="213"/>
      <c r="CP38" s="213"/>
      <c r="CQ38" s="213"/>
    </row>
    <row r="39" ht="15.75" hidden="1" customHeight="1">
      <c r="A39" s="213"/>
      <c r="B39" s="757">
        <f>B38*1.18</f>
        <v>0.0944</v>
      </c>
      <c r="C39" s="492"/>
      <c r="D39" s="604">
        <f>$B$39*$D$32</f>
        <v>810646.2903</v>
      </c>
      <c r="E39" s="357">
        <f t="shared" si="65"/>
        <v>485.7077833</v>
      </c>
      <c r="F39" s="357"/>
      <c r="G39" s="357"/>
      <c r="H39" s="357"/>
      <c r="I39" s="533"/>
      <c r="J39" s="604">
        <f>$B$39*$J$32</f>
        <v>912267.1455</v>
      </c>
      <c r="K39" s="357">
        <f t="shared" si="66"/>
        <v>546.5950542</v>
      </c>
      <c r="L39" s="352"/>
      <c r="M39" s="352"/>
      <c r="N39" s="352"/>
      <c r="O39" s="358"/>
      <c r="P39" s="604"/>
      <c r="Q39" s="352"/>
      <c r="R39" s="357">
        <f>$B$39*$R$32</f>
        <v>773870.4884</v>
      </c>
      <c r="S39" s="357">
        <f t="shared" si="67"/>
        <v>463.6731506</v>
      </c>
      <c r="T39" s="352"/>
      <c r="U39" s="358"/>
      <c r="V39" s="604"/>
      <c r="W39" s="352"/>
      <c r="X39" s="357">
        <f>$B$39*$X$32</f>
        <v>849639.7155</v>
      </c>
      <c r="Y39" s="357">
        <f t="shared" si="68"/>
        <v>509.0711297</v>
      </c>
      <c r="Z39" s="352"/>
      <c r="AA39" s="358"/>
      <c r="AB39" s="604"/>
      <c r="AC39" s="352"/>
      <c r="AD39" s="357">
        <f>$B$39*$AD$32</f>
        <v>859039.6944</v>
      </c>
      <c r="AE39" s="357">
        <f t="shared" si="69"/>
        <v>514.7032321</v>
      </c>
      <c r="AF39" s="352"/>
      <c r="AG39" s="358"/>
      <c r="AH39" s="604"/>
      <c r="AI39" s="352"/>
      <c r="AJ39" s="357">
        <f>$B$39*$AJ$32</f>
        <v>852588.1107</v>
      </c>
      <c r="AK39" s="357">
        <f t="shared" si="70"/>
        <v>510.8376937</v>
      </c>
      <c r="AL39" s="352"/>
      <c r="AM39" s="358"/>
      <c r="AN39" s="604"/>
      <c r="AO39" s="357">
        <f t="shared" si="71"/>
        <v>0</v>
      </c>
      <c r="AP39" s="352"/>
      <c r="AQ39" s="352"/>
      <c r="AR39" s="352"/>
      <c r="AS39" s="358"/>
      <c r="AT39" s="604"/>
      <c r="AU39" s="352"/>
      <c r="AV39" s="352"/>
      <c r="AW39" s="352"/>
      <c r="AX39" s="352"/>
      <c r="AY39" s="358"/>
      <c r="AZ39" s="604"/>
      <c r="BA39" s="352"/>
      <c r="BB39" s="352"/>
      <c r="BC39" s="352"/>
      <c r="BD39" s="352"/>
      <c r="BE39" s="358"/>
      <c r="BF39" s="604"/>
      <c r="BG39" s="352"/>
      <c r="BH39" s="352"/>
      <c r="BI39" s="352"/>
      <c r="BJ39" s="352"/>
      <c r="BK39" s="358"/>
      <c r="BL39" s="604"/>
      <c r="BM39" s="352"/>
      <c r="BN39" s="352"/>
      <c r="BO39" s="352"/>
      <c r="BP39" s="352"/>
      <c r="BQ39" s="358"/>
      <c r="BR39" s="351"/>
      <c r="BS39" s="352"/>
      <c r="BT39" s="352"/>
      <c r="BU39" s="352"/>
      <c r="BV39" s="352"/>
      <c r="BW39" s="358"/>
      <c r="BX39" s="213"/>
      <c r="BY39" s="213"/>
      <c r="BZ39" s="213"/>
      <c r="CA39" s="213"/>
      <c r="CB39" s="213"/>
      <c r="CC39" s="213"/>
      <c r="CD39" s="213"/>
      <c r="CE39" s="213"/>
      <c r="CF39" s="213"/>
      <c r="CG39" s="213"/>
      <c r="CH39" s="213"/>
      <c r="CI39" s="213"/>
      <c r="CJ39" s="213"/>
      <c r="CK39" s="213"/>
      <c r="CL39" s="213"/>
      <c r="CM39" s="213"/>
      <c r="CN39" s="213"/>
      <c r="CO39" s="213"/>
      <c r="CP39" s="213"/>
      <c r="CQ39" s="213"/>
    </row>
    <row r="40" ht="15.75" hidden="1" customHeight="1">
      <c r="A40" s="213"/>
      <c r="B40" s="757">
        <v>0.09</v>
      </c>
      <c r="C40" s="492"/>
      <c r="D40" s="604">
        <f>$B$40*$D$32</f>
        <v>772861.9293</v>
      </c>
      <c r="E40" s="357">
        <f t="shared" si="65"/>
        <v>463.0688612</v>
      </c>
      <c r="F40" s="357"/>
      <c r="G40" s="357"/>
      <c r="H40" s="357"/>
      <c r="I40" s="533"/>
      <c r="J40" s="604">
        <f>$B$40*$J$32</f>
        <v>869746.2192</v>
      </c>
      <c r="K40" s="357">
        <f t="shared" si="66"/>
        <v>521.1181661</v>
      </c>
      <c r="L40" s="352"/>
      <c r="M40" s="352"/>
      <c r="N40" s="352"/>
      <c r="O40" s="358"/>
      <c r="P40" s="604"/>
      <c r="Q40" s="352"/>
      <c r="R40" s="357">
        <f>$B$40*$R$32</f>
        <v>737800.2538</v>
      </c>
      <c r="S40" s="357">
        <f t="shared" si="67"/>
        <v>442.0612665</v>
      </c>
      <c r="T40" s="352"/>
      <c r="U40" s="358"/>
      <c r="V40" s="604"/>
      <c r="W40" s="352"/>
      <c r="X40" s="357">
        <f>$B$40*$X$32</f>
        <v>810037.8644</v>
      </c>
      <c r="Y40" s="357">
        <f t="shared" si="68"/>
        <v>485.3432381</v>
      </c>
      <c r="Z40" s="352"/>
      <c r="AA40" s="358"/>
      <c r="AB40" s="604"/>
      <c r="AC40" s="352"/>
      <c r="AD40" s="357">
        <f>$B$40*$AD$32</f>
        <v>818999.7087</v>
      </c>
      <c r="AE40" s="357">
        <f t="shared" si="69"/>
        <v>490.7128272</v>
      </c>
      <c r="AF40" s="352"/>
      <c r="AG40" s="358"/>
      <c r="AH40" s="604"/>
      <c r="AI40" s="352"/>
      <c r="AJ40" s="357">
        <f>$B$40*$AJ$32</f>
        <v>812848.8344</v>
      </c>
      <c r="AK40" s="357">
        <f t="shared" si="70"/>
        <v>487.0274622</v>
      </c>
      <c r="AL40" s="352"/>
      <c r="AM40" s="358"/>
      <c r="AN40" s="604"/>
      <c r="AO40" s="357">
        <f t="shared" si="71"/>
        <v>0</v>
      </c>
      <c r="AP40" s="352"/>
      <c r="AQ40" s="352"/>
      <c r="AR40" s="352"/>
      <c r="AS40" s="358"/>
      <c r="AT40" s="604"/>
      <c r="AU40" s="352"/>
      <c r="AV40" s="352"/>
      <c r="AW40" s="352"/>
      <c r="AX40" s="352"/>
      <c r="AY40" s="358"/>
      <c r="AZ40" s="604"/>
      <c r="BA40" s="352"/>
      <c r="BB40" s="352"/>
      <c r="BC40" s="352"/>
      <c r="BD40" s="352"/>
      <c r="BE40" s="358"/>
      <c r="BF40" s="604"/>
      <c r="BG40" s="352"/>
      <c r="BH40" s="352"/>
      <c r="BI40" s="352"/>
      <c r="BJ40" s="352"/>
      <c r="BK40" s="358"/>
      <c r="BL40" s="604"/>
      <c r="BM40" s="352"/>
      <c r="BN40" s="352"/>
      <c r="BO40" s="352"/>
      <c r="BP40" s="352"/>
      <c r="BQ40" s="358"/>
      <c r="BR40" s="351"/>
      <c r="BS40" s="352"/>
      <c r="BT40" s="352"/>
      <c r="BU40" s="352"/>
      <c r="BV40" s="352"/>
      <c r="BW40" s="358"/>
      <c r="BX40" s="213"/>
      <c r="BY40" s="213"/>
      <c r="BZ40" s="213"/>
      <c r="CA40" s="213"/>
      <c r="CB40" s="213"/>
      <c r="CC40" s="213"/>
      <c r="CD40" s="213"/>
      <c r="CE40" s="213"/>
      <c r="CF40" s="213"/>
      <c r="CG40" s="213"/>
      <c r="CH40" s="213"/>
      <c r="CI40" s="213"/>
      <c r="CJ40" s="213"/>
      <c r="CK40" s="213"/>
      <c r="CL40" s="213"/>
      <c r="CM40" s="213"/>
      <c r="CN40" s="213"/>
      <c r="CO40" s="213"/>
      <c r="CP40" s="213"/>
      <c r="CQ40" s="213"/>
    </row>
    <row r="41" ht="15.75" hidden="1" customHeight="1">
      <c r="A41" s="213"/>
      <c r="B41" s="758">
        <f>B40*1.18</f>
        <v>0.1062</v>
      </c>
      <c r="C41" s="492"/>
      <c r="D41" s="604">
        <f>$B$41*$D$32</f>
        <v>911977.0766</v>
      </c>
      <c r="E41" s="357">
        <f t="shared" si="65"/>
        <v>546.4212562</v>
      </c>
      <c r="F41" s="357"/>
      <c r="G41" s="357"/>
      <c r="H41" s="357"/>
      <c r="I41" s="533"/>
      <c r="J41" s="604">
        <f>$B$41*$J$32</f>
        <v>1026300.539</v>
      </c>
      <c r="K41" s="357">
        <f t="shared" si="66"/>
        <v>614.919436</v>
      </c>
      <c r="L41" s="352"/>
      <c r="M41" s="352"/>
      <c r="N41" s="352"/>
      <c r="O41" s="358"/>
      <c r="P41" s="604"/>
      <c r="Q41" s="352"/>
      <c r="R41" s="357">
        <f>$B$41*$R$32</f>
        <v>870604.2995</v>
      </c>
      <c r="S41" s="357">
        <f t="shared" si="67"/>
        <v>521.6322945</v>
      </c>
      <c r="T41" s="352"/>
      <c r="U41" s="358"/>
      <c r="V41" s="604"/>
      <c r="W41" s="352"/>
      <c r="X41" s="357">
        <f>$B$41*$X$32</f>
        <v>955844.6799</v>
      </c>
      <c r="Y41" s="357">
        <f t="shared" si="68"/>
        <v>572.7050209</v>
      </c>
      <c r="Z41" s="352"/>
      <c r="AA41" s="358"/>
      <c r="AB41" s="604"/>
      <c r="AC41" s="352"/>
      <c r="AD41" s="357">
        <f>$B$41*$AD$32</f>
        <v>966419.6562</v>
      </c>
      <c r="AE41" s="357">
        <f t="shared" si="69"/>
        <v>579.0411361</v>
      </c>
      <c r="AF41" s="352"/>
      <c r="AG41" s="358"/>
      <c r="AH41" s="604"/>
      <c r="AI41" s="352"/>
      <c r="AJ41" s="352">
        <f>$B$41*$AJ$32</f>
        <v>959161.6246</v>
      </c>
      <c r="AK41" s="357">
        <f t="shared" si="70"/>
        <v>574.6924054</v>
      </c>
      <c r="AL41" s="352"/>
      <c r="AM41" s="358"/>
      <c r="AN41" s="604"/>
      <c r="AO41" s="357">
        <f t="shared" si="71"/>
        <v>0</v>
      </c>
      <c r="AP41" s="352"/>
      <c r="AQ41" s="352"/>
      <c r="AR41" s="352"/>
      <c r="AS41" s="358"/>
      <c r="AT41" s="604"/>
      <c r="AU41" s="352"/>
      <c r="AV41" s="352"/>
      <c r="AW41" s="352"/>
      <c r="AX41" s="352"/>
      <c r="AY41" s="358"/>
      <c r="AZ41" s="604"/>
      <c r="BA41" s="352"/>
      <c r="BB41" s="352"/>
      <c r="BC41" s="352"/>
      <c r="BD41" s="352"/>
      <c r="BE41" s="358"/>
      <c r="BF41" s="604"/>
      <c r="BG41" s="352"/>
      <c r="BH41" s="352"/>
      <c r="BI41" s="352"/>
      <c r="BJ41" s="352"/>
      <c r="BK41" s="358"/>
      <c r="BL41" s="604"/>
      <c r="BM41" s="352"/>
      <c r="BN41" s="352"/>
      <c r="BO41" s="352"/>
      <c r="BP41" s="352"/>
      <c r="BQ41" s="358"/>
      <c r="BR41" s="351"/>
      <c r="BS41" s="352"/>
      <c r="BT41" s="352"/>
      <c r="BU41" s="352"/>
      <c r="BV41" s="352"/>
      <c r="BW41" s="358"/>
      <c r="BX41" s="213"/>
      <c r="BY41" s="213"/>
      <c r="BZ41" s="213"/>
      <c r="CA41" s="213"/>
      <c r="CB41" s="213"/>
      <c r="CC41" s="213"/>
      <c r="CD41" s="213"/>
      <c r="CE41" s="213"/>
      <c r="CF41" s="213"/>
      <c r="CG41" s="213"/>
      <c r="CH41" s="213"/>
      <c r="CI41" s="213"/>
      <c r="CJ41" s="213"/>
      <c r="CK41" s="213"/>
      <c r="CL41" s="213"/>
      <c r="CM41" s="213"/>
      <c r="CN41" s="213"/>
      <c r="CO41" s="213"/>
      <c r="CP41" s="213"/>
      <c r="CQ41" s="213"/>
    </row>
    <row r="42" ht="15.75" hidden="1" customHeight="1">
      <c r="A42" s="213"/>
      <c r="B42" s="492"/>
      <c r="C42" s="492"/>
      <c r="D42" s="604"/>
      <c r="E42" s="355"/>
      <c r="F42" s="357"/>
      <c r="G42" s="357"/>
      <c r="H42" s="357"/>
      <c r="I42" s="533"/>
      <c r="J42" s="665"/>
      <c r="K42" s="355"/>
      <c r="L42" s="352"/>
      <c r="M42" s="352"/>
      <c r="N42" s="352"/>
      <c r="O42" s="358"/>
      <c r="P42" s="665"/>
      <c r="Q42" s="352"/>
      <c r="R42" s="352"/>
      <c r="S42" s="352"/>
      <c r="T42" s="352"/>
      <c r="U42" s="358"/>
      <c r="V42" s="665"/>
      <c r="W42" s="352"/>
      <c r="X42" s="352"/>
      <c r="Y42" s="352"/>
      <c r="Z42" s="352"/>
      <c r="AA42" s="358"/>
      <c r="AB42" s="604"/>
      <c r="AC42" s="352"/>
      <c r="AD42" s="352"/>
      <c r="AE42" s="352"/>
      <c r="AF42" s="352"/>
      <c r="AG42" s="358"/>
      <c r="AH42" s="604"/>
      <c r="AI42" s="352"/>
      <c r="AJ42" s="352"/>
      <c r="AK42" s="352"/>
      <c r="AL42" s="352"/>
      <c r="AM42" s="358"/>
      <c r="AN42" s="604"/>
      <c r="AO42" s="352"/>
      <c r="AP42" s="352"/>
      <c r="AQ42" s="352"/>
      <c r="AR42" s="352"/>
      <c r="AS42" s="358"/>
      <c r="AT42" s="604"/>
      <c r="AU42" s="352"/>
      <c r="AV42" s="352"/>
      <c r="AW42" s="352"/>
      <c r="AX42" s="352"/>
      <c r="AY42" s="358"/>
      <c r="AZ42" s="604"/>
      <c r="BA42" s="352"/>
      <c r="BB42" s="352"/>
      <c r="BC42" s="352"/>
      <c r="BD42" s="352"/>
      <c r="BE42" s="358"/>
      <c r="BF42" s="604"/>
      <c r="BG42" s="352"/>
      <c r="BH42" s="352"/>
      <c r="BI42" s="352"/>
      <c r="BJ42" s="352"/>
      <c r="BK42" s="358"/>
      <c r="BL42" s="604"/>
      <c r="BM42" s="352"/>
      <c r="BN42" s="352"/>
      <c r="BO42" s="352"/>
      <c r="BP42" s="352"/>
      <c r="BQ42" s="358"/>
      <c r="BR42" s="351"/>
      <c r="BS42" s="759"/>
      <c r="BT42" s="759"/>
      <c r="BU42" s="759"/>
      <c r="BV42" s="759"/>
      <c r="BW42" s="760"/>
      <c r="BX42" s="216"/>
      <c r="BY42" s="216"/>
      <c r="BZ42" s="216"/>
      <c r="CA42" s="216"/>
      <c r="CB42" s="216"/>
      <c r="CC42" s="216"/>
      <c r="CD42" s="216"/>
      <c r="CE42" s="216"/>
      <c r="CF42" s="216"/>
      <c r="CG42" s="216"/>
      <c r="CH42" s="216"/>
      <c r="CI42" s="216"/>
      <c r="CJ42" s="216"/>
      <c r="CK42" s="216"/>
      <c r="CL42" s="216"/>
      <c r="CM42" s="216"/>
      <c r="CN42" s="216"/>
      <c r="CO42" s="216"/>
      <c r="CP42" s="216"/>
      <c r="CQ42" s="216"/>
    </row>
    <row r="43" ht="15.75" hidden="1" customHeight="1">
      <c r="A43" s="213"/>
      <c r="B43" s="496"/>
      <c r="C43" s="496"/>
      <c r="D43" s="604"/>
      <c r="E43" s="352"/>
      <c r="F43" s="352"/>
      <c r="G43" s="352"/>
      <c r="H43" s="352"/>
      <c r="I43" s="358"/>
      <c r="J43" s="393"/>
      <c r="K43" s="352"/>
      <c r="L43" s="352"/>
      <c r="M43" s="352"/>
      <c r="N43" s="352"/>
      <c r="O43" s="358"/>
      <c r="P43" s="393"/>
      <c r="Q43" s="352"/>
      <c r="R43" s="352"/>
      <c r="S43" s="352"/>
      <c r="T43" s="352"/>
      <c r="U43" s="358"/>
      <c r="V43" s="393"/>
      <c r="W43" s="352"/>
      <c r="X43" s="352"/>
      <c r="Y43" s="352"/>
      <c r="Z43" s="352"/>
      <c r="AA43" s="358"/>
      <c r="AB43" s="604"/>
      <c r="AC43" s="352"/>
      <c r="AD43" s="352"/>
      <c r="AE43" s="352"/>
      <c r="AF43" s="352"/>
      <c r="AG43" s="358"/>
      <c r="AH43" s="604"/>
      <c r="AI43" s="352"/>
      <c r="AJ43" s="352"/>
      <c r="AK43" s="352"/>
      <c r="AL43" s="352"/>
      <c r="AM43" s="358"/>
      <c r="AN43" s="604"/>
      <c r="AO43" s="352"/>
      <c r="AP43" s="352"/>
      <c r="AQ43" s="352"/>
      <c r="AR43" s="352"/>
      <c r="AS43" s="358"/>
      <c r="AT43" s="604"/>
      <c r="AU43" s="352"/>
      <c r="AV43" s="352"/>
      <c r="AW43" s="352"/>
      <c r="AX43" s="352"/>
      <c r="AY43" s="358"/>
      <c r="AZ43" s="604"/>
      <c r="BA43" s="352"/>
      <c r="BB43" s="352"/>
      <c r="BC43" s="352"/>
      <c r="BD43" s="352"/>
      <c r="BE43" s="358"/>
      <c r="BF43" s="604"/>
      <c r="BG43" s="352"/>
      <c r="BH43" s="352"/>
      <c r="BI43" s="352"/>
      <c r="BJ43" s="352"/>
      <c r="BK43" s="358"/>
      <c r="BL43" s="604"/>
      <c r="BM43" s="352"/>
      <c r="BN43" s="352"/>
      <c r="BO43" s="352"/>
      <c r="BP43" s="352"/>
      <c r="BQ43" s="358"/>
      <c r="BR43" s="351"/>
      <c r="BS43" s="352"/>
      <c r="BT43" s="352"/>
      <c r="BU43" s="352"/>
      <c r="BV43" s="352"/>
      <c r="BW43" s="358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 ht="15.75" customHeight="1">
      <c r="A44" s="213"/>
      <c r="B44" s="500" t="s">
        <v>233</v>
      </c>
      <c r="C44" s="492"/>
      <c r="D44" s="604"/>
      <c r="E44" s="352"/>
      <c r="F44" s="352"/>
      <c r="G44" s="352"/>
      <c r="H44" s="352"/>
      <c r="I44" s="358"/>
      <c r="J44" s="393"/>
      <c r="K44" s="352"/>
      <c r="L44" s="352"/>
      <c r="M44" s="352"/>
      <c r="N44" s="352"/>
      <c r="O44" s="358"/>
      <c r="P44" s="393"/>
      <c r="Q44" s="352"/>
      <c r="R44" s="352"/>
      <c r="S44" s="352"/>
      <c r="T44" s="352"/>
      <c r="U44" s="358"/>
      <c r="V44" s="393"/>
      <c r="W44" s="352"/>
      <c r="X44" s="352"/>
      <c r="Y44" s="352"/>
      <c r="Z44" s="352"/>
      <c r="AA44" s="533"/>
      <c r="AB44" s="604"/>
      <c r="AC44" s="352"/>
      <c r="AD44" s="352"/>
      <c r="AE44" s="352"/>
      <c r="AF44" s="352"/>
      <c r="AG44" s="358"/>
      <c r="AH44" s="604"/>
      <c r="AI44" s="352"/>
      <c r="AJ44" s="352"/>
      <c r="AK44" s="352"/>
      <c r="AL44" s="352"/>
      <c r="AM44" s="358"/>
      <c r="AN44" s="604"/>
      <c r="AO44" s="352"/>
      <c r="AP44" s="352"/>
      <c r="AQ44" s="352"/>
      <c r="AR44" s="352"/>
      <c r="AS44" s="358"/>
      <c r="AT44" s="604"/>
      <c r="AU44" s="352"/>
      <c r="AV44" s="352"/>
      <c r="AW44" s="352"/>
      <c r="AX44" s="352"/>
      <c r="AY44" s="358"/>
      <c r="AZ44" s="604"/>
      <c r="BA44" s="352"/>
      <c r="BB44" s="352"/>
      <c r="BC44" s="352"/>
      <c r="BD44" s="352"/>
      <c r="BE44" s="358"/>
      <c r="BF44" s="604"/>
      <c r="BG44" s="352"/>
      <c r="BH44" s="352"/>
      <c r="BI44" s="352"/>
      <c r="BJ44" s="352"/>
      <c r="BK44" s="358"/>
      <c r="BL44" s="604"/>
      <c r="BM44" s="352"/>
      <c r="BN44" s="352"/>
      <c r="BO44" s="352"/>
      <c r="BP44" s="352"/>
      <c r="BQ44" s="358"/>
      <c r="BR44" s="351"/>
      <c r="BS44" s="352"/>
      <c r="BT44" s="352"/>
      <c r="BU44" s="352"/>
      <c r="BV44" s="352"/>
      <c r="BW44" s="358"/>
      <c r="BX44" s="213"/>
      <c r="BY44" s="213"/>
      <c r="BZ44" s="213"/>
      <c r="CA44" s="213"/>
      <c r="CB44" s="213"/>
      <c r="CC44" s="213"/>
      <c r="CD44" s="213"/>
      <c r="CE44" s="213"/>
      <c r="CF44" s="213"/>
      <c r="CG44" s="213"/>
      <c r="CH44" s="213"/>
      <c r="CI44" s="213"/>
      <c r="CJ44" s="213"/>
      <c r="CK44" s="213"/>
      <c r="CL44" s="213"/>
      <c r="CM44" s="213"/>
      <c r="CN44" s="213"/>
      <c r="CO44" s="213"/>
      <c r="CP44" s="213"/>
      <c r="CQ44" s="213"/>
    </row>
    <row r="45" ht="15.75" customHeight="1">
      <c r="A45" s="213"/>
      <c r="B45" s="761" t="s">
        <v>29</v>
      </c>
      <c r="C45" s="492"/>
      <c r="D45" s="604"/>
      <c r="E45" s="352"/>
      <c r="F45" s="352"/>
      <c r="G45" s="352"/>
      <c r="H45" s="352"/>
      <c r="I45" s="358"/>
      <c r="J45" s="393"/>
      <c r="K45" s="352"/>
      <c r="L45" s="352"/>
      <c r="M45" s="352"/>
      <c r="N45" s="352"/>
      <c r="O45" s="358"/>
      <c r="P45" s="393"/>
      <c r="Q45" s="352"/>
      <c r="R45" s="352"/>
      <c r="S45" s="352"/>
      <c r="T45" s="352"/>
      <c r="U45" s="358"/>
      <c r="V45" s="393"/>
      <c r="W45" s="352"/>
      <c r="X45" s="352"/>
      <c r="Y45" s="352"/>
      <c r="Z45" s="352"/>
      <c r="AA45" s="533"/>
      <c r="AB45" s="604"/>
      <c r="AC45" s="352"/>
      <c r="AD45" s="352"/>
      <c r="AE45" s="352"/>
      <c r="AF45" s="352"/>
      <c r="AG45" s="358"/>
      <c r="AH45" s="604"/>
      <c r="AI45" s="352"/>
      <c r="AJ45" s="352"/>
      <c r="AK45" s="352"/>
      <c r="AL45" s="352"/>
      <c r="AM45" s="358"/>
      <c r="AN45" s="604"/>
      <c r="AO45" s="352"/>
      <c r="AP45" s="352"/>
      <c r="AQ45" s="352"/>
      <c r="AR45" s="352"/>
      <c r="AS45" s="358"/>
      <c r="AT45" s="604"/>
      <c r="AU45" s="352"/>
      <c r="AV45" s="352"/>
      <c r="AW45" s="352"/>
      <c r="AX45" s="352"/>
      <c r="AY45" s="358"/>
      <c r="AZ45" s="604"/>
      <c r="BA45" s="352"/>
      <c r="BB45" s="352"/>
      <c r="BC45" s="352"/>
      <c r="BD45" s="352"/>
      <c r="BE45" s="358"/>
      <c r="BF45" s="604"/>
      <c r="BG45" s="352"/>
      <c r="BH45" s="352"/>
      <c r="BI45" s="352"/>
      <c r="BJ45" s="352"/>
      <c r="BK45" s="358"/>
      <c r="BL45" s="604"/>
      <c r="BM45" s="352"/>
      <c r="BN45" s="352"/>
      <c r="BO45" s="352"/>
      <c r="BP45" s="352"/>
      <c r="BQ45" s="358"/>
      <c r="BR45" s="351"/>
      <c r="BS45" s="352"/>
      <c r="BT45" s="352"/>
      <c r="BU45" s="352"/>
      <c r="BV45" s="352"/>
      <c r="BW45" s="358"/>
      <c r="BX45" s="213"/>
      <c r="BY45" s="213"/>
      <c r="BZ45" s="213"/>
      <c r="CA45" s="213"/>
      <c r="CB45" s="213"/>
      <c r="CC45" s="213"/>
      <c r="CD45" s="213"/>
      <c r="CE45" s="213"/>
      <c r="CF45" s="213"/>
      <c r="CG45" s="213"/>
      <c r="CH45" s="213"/>
      <c r="CI45" s="213"/>
      <c r="CJ45" s="213"/>
      <c r="CK45" s="213"/>
      <c r="CL45" s="213"/>
      <c r="CM45" s="213"/>
      <c r="CN45" s="213"/>
      <c r="CO45" s="213"/>
      <c r="CP45" s="213"/>
      <c r="CQ45" s="213"/>
    </row>
    <row r="46" ht="15.75" customHeight="1">
      <c r="A46" s="213"/>
      <c r="B46" s="492"/>
      <c r="C46" s="501" t="s">
        <v>234</v>
      </c>
      <c r="D46" s="604"/>
      <c r="E46" s="352"/>
      <c r="F46" s="352"/>
      <c r="G46" s="352"/>
      <c r="H46" s="352"/>
      <c r="I46" s="358"/>
      <c r="J46" s="393"/>
      <c r="K46" s="352"/>
      <c r="L46" s="352"/>
      <c r="M46" s="352"/>
      <c r="N46" s="352"/>
      <c r="O46" s="358"/>
      <c r="P46" s="393"/>
      <c r="Q46" s="352"/>
      <c r="R46" s="352"/>
      <c r="S46" s="352"/>
      <c r="T46" s="352"/>
      <c r="U46" s="358"/>
      <c r="V46" s="393"/>
      <c r="W46" s="352"/>
      <c r="X46" s="352"/>
      <c r="Y46" s="352"/>
      <c r="Z46" s="352"/>
      <c r="AA46" s="533"/>
      <c r="AB46" s="604"/>
      <c r="AC46" s="352"/>
      <c r="AD46" s="352"/>
      <c r="AE46" s="352"/>
      <c r="AF46" s="352"/>
      <c r="AG46" s="358"/>
      <c r="AH46" s="604"/>
      <c r="AI46" s="352"/>
      <c r="AJ46" s="352"/>
      <c r="AK46" s="352"/>
      <c r="AL46" s="352"/>
      <c r="AM46" s="358"/>
      <c r="AN46" s="604"/>
      <c r="AO46" s="352"/>
      <c r="AP46" s="352"/>
      <c r="AQ46" s="352"/>
      <c r="AR46" s="352"/>
      <c r="AS46" s="358"/>
      <c r="AT46" s="604"/>
      <c r="AU46" s="352"/>
      <c r="AV46" s="352"/>
      <c r="AW46" s="352"/>
      <c r="AX46" s="352"/>
      <c r="AY46" s="358"/>
      <c r="AZ46" s="604"/>
      <c r="BA46" s="352"/>
      <c r="BB46" s="352"/>
      <c r="BC46" s="352"/>
      <c r="BD46" s="352"/>
      <c r="BE46" s="358"/>
      <c r="BF46" s="604"/>
      <c r="BG46" s="352"/>
      <c r="BH46" s="352"/>
      <c r="BI46" s="352"/>
      <c r="BJ46" s="352"/>
      <c r="BK46" s="358"/>
      <c r="BL46" s="604"/>
      <c r="BM46" s="352"/>
      <c r="BN46" s="352"/>
      <c r="BO46" s="352"/>
      <c r="BP46" s="352"/>
      <c r="BQ46" s="358"/>
      <c r="BR46" s="351"/>
      <c r="BS46" s="352"/>
      <c r="BT46" s="352"/>
      <c r="BU46" s="352"/>
      <c r="BV46" s="352"/>
      <c r="BW46" s="358"/>
      <c r="BX46" s="213"/>
      <c r="BY46" s="213"/>
      <c r="BZ46" s="213"/>
      <c r="CA46" s="213"/>
      <c r="CB46" s="213"/>
      <c r="CC46" s="213"/>
      <c r="CD46" s="213"/>
      <c r="CE46" s="213"/>
      <c r="CF46" s="213"/>
      <c r="CG46" s="213"/>
      <c r="CH46" s="213"/>
      <c r="CI46" s="213"/>
      <c r="CJ46" s="213"/>
      <c r="CK46" s="213"/>
      <c r="CL46" s="213"/>
      <c r="CM46" s="213"/>
      <c r="CN46" s="213"/>
      <c r="CO46" s="213"/>
      <c r="CP46" s="213"/>
      <c r="CQ46" s="213"/>
    </row>
    <row r="47" ht="15.75" customHeight="1">
      <c r="A47" s="213"/>
      <c r="B47" s="492"/>
      <c r="C47" s="492" t="s">
        <v>235</v>
      </c>
      <c r="D47" s="604">
        <f>'MSBC CK Allocation'!C33</f>
        <v>415673.5009</v>
      </c>
      <c r="E47" s="355">
        <f>D47/D29</f>
        <v>0.0604491026</v>
      </c>
      <c r="F47" s="357">
        <f>G47*F29</f>
        <v>136795.68</v>
      </c>
      <c r="G47" s="355">
        <v>0.02</v>
      </c>
      <c r="H47" s="357">
        <f t="shared" ref="H47:H49" si="72">D47-F47</f>
        <v>278877.8209</v>
      </c>
      <c r="I47" s="395">
        <f t="shared" ref="I47:I49" si="73">H47/F47</f>
        <v>2.038644941</v>
      </c>
      <c r="J47" s="604">
        <f>'MSBC CK Allocation'!D33</f>
        <v>448023.8102</v>
      </c>
      <c r="K47" s="355">
        <f>J47/J29</f>
        <v>0.05744963801</v>
      </c>
      <c r="L47" s="357">
        <f>M47*L29</f>
        <v>135329.56</v>
      </c>
      <c r="M47" s="355">
        <v>0.02</v>
      </c>
      <c r="N47" s="352"/>
      <c r="O47" s="358"/>
      <c r="P47" s="678">
        <f>'MSBC CK Allocation'!E33</f>
        <v>581009.3967</v>
      </c>
      <c r="Q47" s="355">
        <f>P47/P29</f>
        <v>0.1020075672</v>
      </c>
      <c r="R47" s="357">
        <f>S47*R29</f>
        <v>134115.58</v>
      </c>
      <c r="S47" s="355">
        <v>0.02</v>
      </c>
      <c r="T47" s="352"/>
      <c r="U47" s="358"/>
      <c r="V47" s="604">
        <f>'MSBC CK Allocation'!F33</f>
        <v>549441.7999</v>
      </c>
      <c r="W47" s="355">
        <f>V47/V29</f>
        <v>0.0725390006</v>
      </c>
      <c r="X47" s="357">
        <f>Y47*X29</f>
        <v>147952.52</v>
      </c>
      <c r="Y47" s="355">
        <v>0.02</v>
      </c>
      <c r="Z47" s="352"/>
      <c r="AA47" s="533"/>
      <c r="AB47" s="604">
        <f>'MSBC CK Allocation'!G33</f>
        <v>605549.0906</v>
      </c>
      <c r="AC47" s="355">
        <f>AB47/AB29</f>
        <v>0.07971553414</v>
      </c>
      <c r="AD47" s="357">
        <f>AE47*AD29</f>
        <v>148322.02</v>
      </c>
      <c r="AE47" s="355">
        <v>0.02</v>
      </c>
      <c r="AF47" s="352"/>
      <c r="AG47" s="358"/>
      <c r="AH47" s="604">
        <f>'MSBC CK Allocation'!H33</f>
        <v>554948.8961</v>
      </c>
      <c r="AI47" s="355">
        <f>AH47/AH29</f>
        <v>0.07607530131</v>
      </c>
      <c r="AJ47" s="357">
        <f>AK47*AJ29</f>
        <v>148239.56</v>
      </c>
      <c r="AK47" s="355">
        <v>0.02</v>
      </c>
      <c r="AL47" s="352"/>
      <c r="AM47" s="358"/>
      <c r="AN47" s="604">
        <f>'MSBC CK Allocation'!I33</f>
        <v>685919.1661</v>
      </c>
      <c r="AO47" s="355">
        <f>AN47/AN29</f>
        <v>0.1002475313</v>
      </c>
      <c r="AP47" s="357">
        <f>AQ47*AP29</f>
        <v>160745.52</v>
      </c>
      <c r="AQ47" s="355">
        <v>0.02</v>
      </c>
      <c r="AR47" s="352"/>
      <c r="AS47" s="358"/>
      <c r="AT47" s="604">
        <f>'MSBC CK Allocation'!J33</f>
        <v>457305.8056</v>
      </c>
      <c r="AU47" s="355">
        <f>AT47/AT29</f>
        <v>0.06101198691</v>
      </c>
      <c r="AV47" s="357">
        <f>AW47*AV29</f>
        <v>158925.14</v>
      </c>
      <c r="AW47" s="355">
        <v>0.02</v>
      </c>
      <c r="AX47" s="352"/>
      <c r="AY47" s="358"/>
      <c r="AZ47" s="604">
        <f>'MSBC CK Allocation'!K33</f>
        <v>551785.8977</v>
      </c>
      <c r="BA47" s="355">
        <f>AZ47/AZ29</f>
        <v>0.06666875205</v>
      </c>
      <c r="BB47" s="357">
        <f>BC47*BB29</f>
        <v>171914.44</v>
      </c>
      <c r="BC47" s="355">
        <v>0.02</v>
      </c>
      <c r="BD47" s="352"/>
      <c r="BE47" s="358"/>
      <c r="BF47" s="628">
        <v>465325.0</v>
      </c>
      <c r="BG47" s="355">
        <f>BF47/BF29</f>
        <v>0.0563810154</v>
      </c>
      <c r="BH47" s="357">
        <f>BI47*BH29</f>
        <v>168096.48</v>
      </c>
      <c r="BI47" s="355">
        <v>0.02</v>
      </c>
      <c r="BJ47" s="352"/>
      <c r="BK47" s="358"/>
      <c r="BL47" s="628">
        <v>540790.0</v>
      </c>
      <c r="BM47" s="355">
        <f>BL47/BL29</f>
        <v>0.07394391719</v>
      </c>
      <c r="BN47" s="357">
        <f>BO47*BN29</f>
        <v>154338.72</v>
      </c>
      <c r="BO47" s="355">
        <v>0.02</v>
      </c>
      <c r="BP47" s="352"/>
      <c r="BQ47" s="358"/>
      <c r="BR47" s="396">
        <v>566309.0</v>
      </c>
      <c r="BS47" s="355">
        <f>BR47/BR29</f>
        <v>0.06630914363</v>
      </c>
      <c r="BT47" s="357">
        <f>BU47*BT29</f>
        <v>166617</v>
      </c>
      <c r="BU47" s="355">
        <v>0.02</v>
      </c>
      <c r="BV47" s="352"/>
      <c r="BW47" s="358"/>
      <c r="BX47" s="718">
        <f t="shared" ref="BX47:BX49" si="74">D47+J47+P47+V47+AB47+AH47+AN47+AT47+AZ47+BF47+BL47+BR47</f>
        <v>6422081.364</v>
      </c>
      <c r="BY47" s="213"/>
      <c r="BZ47" s="213"/>
      <c r="CA47" s="213"/>
      <c r="CB47" s="213"/>
      <c r="CC47" s="213"/>
      <c r="CD47" s="213"/>
      <c r="CE47" s="213"/>
      <c r="CF47" s="213"/>
      <c r="CG47" s="213"/>
      <c r="CH47" s="213"/>
      <c r="CI47" s="213"/>
      <c r="CJ47" s="213"/>
      <c r="CK47" s="213"/>
      <c r="CL47" s="213"/>
      <c r="CM47" s="213"/>
      <c r="CN47" s="213"/>
      <c r="CO47" s="213"/>
      <c r="CP47" s="213"/>
      <c r="CQ47" s="213"/>
    </row>
    <row r="48" ht="15.75" customHeight="1">
      <c r="A48" s="213"/>
      <c r="B48" s="492"/>
      <c r="C48" s="492" t="s">
        <v>301</v>
      </c>
      <c r="D48" s="604">
        <f>E48*D29</f>
        <v>1758300.944</v>
      </c>
      <c r="E48" s="355">
        <v>0.2557</v>
      </c>
      <c r="F48" s="357">
        <f>G48*F29</f>
        <v>1576570.212</v>
      </c>
      <c r="G48" s="355">
        <v>0.2305</v>
      </c>
      <c r="H48" s="357">
        <f t="shared" si="72"/>
        <v>181730.7323</v>
      </c>
      <c r="I48" s="395">
        <f t="shared" si="73"/>
        <v>0.1152696727</v>
      </c>
      <c r="J48" s="604">
        <f>K48*J29</f>
        <v>2046339.226</v>
      </c>
      <c r="K48" s="355">
        <v>0.2624</v>
      </c>
      <c r="L48" s="357">
        <f>M48*L29</f>
        <v>1559673.179</v>
      </c>
      <c r="M48" s="355">
        <v>0.2305</v>
      </c>
      <c r="N48" s="352"/>
      <c r="O48" s="358"/>
      <c r="P48" s="604">
        <v>1332237.19</v>
      </c>
      <c r="Q48" s="355">
        <f>P48/P29</f>
        <v>0.2339003042</v>
      </c>
      <c r="R48" s="357">
        <f>S48*R29</f>
        <v>1545682.06</v>
      </c>
      <c r="S48" s="355">
        <v>0.2305</v>
      </c>
      <c r="T48" s="352"/>
      <c r="U48" s="358"/>
      <c r="V48" s="604">
        <v>1686145.83308251</v>
      </c>
      <c r="W48" s="355">
        <f>V48/V29</f>
        <v>0.222610172</v>
      </c>
      <c r="X48" s="357">
        <f>Y48*X29</f>
        <v>1705152.793</v>
      </c>
      <c r="Y48" s="355">
        <v>0.2305</v>
      </c>
      <c r="Z48" s="352"/>
      <c r="AA48" s="533"/>
      <c r="AB48" s="604">
        <v>1679169.46</v>
      </c>
      <c r="AC48" s="355">
        <f>AB48/AB29</f>
        <v>0.2210487845</v>
      </c>
      <c r="AD48" s="357">
        <f>AE48*AD29</f>
        <v>1709411.281</v>
      </c>
      <c r="AE48" s="355">
        <v>0.2305</v>
      </c>
      <c r="AF48" s="352"/>
      <c r="AG48" s="358"/>
      <c r="AH48" s="604">
        <v>1767194.03</v>
      </c>
      <c r="AI48" s="355">
        <f>AH48/AH29</f>
        <v>0.2422562136</v>
      </c>
      <c r="AJ48" s="357">
        <f>AK48*AJ29</f>
        <v>1708460.929</v>
      </c>
      <c r="AK48" s="355">
        <v>0.2305</v>
      </c>
      <c r="AL48" s="352"/>
      <c r="AM48" s="358"/>
      <c r="AN48" s="604">
        <v>1621978.75</v>
      </c>
      <c r="AO48" s="355">
        <v>0.2305</v>
      </c>
      <c r="AP48" s="357">
        <f>AQ48*AP29</f>
        <v>1852592.118</v>
      </c>
      <c r="AQ48" s="355">
        <v>0.2305</v>
      </c>
      <c r="AR48" s="352"/>
      <c r="AS48" s="358"/>
      <c r="AT48" s="604">
        <v>1714071.88</v>
      </c>
      <c r="AU48" s="355">
        <v>0.2305</v>
      </c>
      <c r="AV48" s="357">
        <f>AW48*AV29</f>
        <v>1831612.239</v>
      </c>
      <c r="AW48" s="355">
        <v>0.2305</v>
      </c>
      <c r="AX48" s="352"/>
      <c r="AY48" s="358"/>
      <c r="AZ48" s="604">
        <v>2054999.45</v>
      </c>
      <c r="BA48" s="355">
        <v>0.2305</v>
      </c>
      <c r="BB48" s="357">
        <f>BC48*BB29</f>
        <v>1981313.921</v>
      </c>
      <c r="BC48" s="355">
        <v>0.2305</v>
      </c>
      <c r="BD48" s="352"/>
      <c r="BE48" s="358"/>
      <c r="BF48" s="604">
        <v>1850502.6</v>
      </c>
      <c r="BG48" s="355">
        <v>0.2305</v>
      </c>
      <c r="BH48" s="357">
        <f>BI48*BH29</f>
        <v>1937311.932</v>
      </c>
      <c r="BI48" s="355">
        <v>0.2305</v>
      </c>
      <c r="BJ48" s="352"/>
      <c r="BK48" s="358"/>
      <c r="BL48" s="628">
        <v>1712884.51</v>
      </c>
      <c r="BM48" s="355">
        <v>0.2305</v>
      </c>
      <c r="BN48" s="357">
        <f>BO48*BN29</f>
        <v>1778753.748</v>
      </c>
      <c r="BO48" s="355">
        <v>0.2305</v>
      </c>
      <c r="BP48" s="352"/>
      <c r="BQ48" s="358"/>
      <c r="BR48" s="351">
        <f>(1957135.67869806)</f>
        <v>1957135.679</v>
      </c>
      <c r="BS48" s="355">
        <v>0.2305</v>
      </c>
      <c r="BT48" s="357">
        <f>BU48*BT29</f>
        <v>1920260.925</v>
      </c>
      <c r="BU48" s="355">
        <v>0.2305</v>
      </c>
      <c r="BV48" s="352"/>
      <c r="BW48" s="358"/>
      <c r="BX48" s="718">
        <f t="shared" si="74"/>
        <v>21180959.55</v>
      </c>
      <c r="BY48" s="213"/>
      <c r="BZ48" s="213"/>
      <c r="CA48" s="213"/>
      <c r="CB48" s="213"/>
      <c r="CC48" s="213"/>
      <c r="CD48" s="213"/>
      <c r="CE48" s="213"/>
      <c r="CF48" s="213"/>
      <c r="CG48" s="213"/>
      <c r="CH48" s="213"/>
      <c r="CI48" s="213"/>
      <c r="CJ48" s="213"/>
      <c r="CK48" s="213"/>
      <c r="CL48" s="213"/>
      <c r="CM48" s="213"/>
      <c r="CN48" s="213"/>
      <c r="CO48" s="213"/>
      <c r="CP48" s="213"/>
      <c r="CQ48" s="213"/>
    </row>
    <row r="49" ht="15.75" customHeight="1">
      <c r="A49" s="213"/>
      <c r="B49" s="492"/>
      <c r="C49" s="492" t="s">
        <v>22</v>
      </c>
      <c r="D49" s="604">
        <f>E49*D27</f>
        <v>241050.589</v>
      </c>
      <c r="E49" s="355">
        <v>0.1796</v>
      </c>
      <c r="F49" s="357">
        <f>G49*F27</f>
        <v>152295.4865</v>
      </c>
      <c r="G49" s="355">
        <v>0.1363</v>
      </c>
      <c r="H49" s="357">
        <f t="shared" si="72"/>
        <v>88755.1025</v>
      </c>
      <c r="I49" s="395">
        <f t="shared" si="73"/>
        <v>0.5827822251</v>
      </c>
      <c r="J49" s="604">
        <f>K49*J27</f>
        <v>200299.534</v>
      </c>
      <c r="K49" s="355">
        <v>0.1402</v>
      </c>
      <c r="L49" s="357">
        <f>M49*L27</f>
        <v>149567.9872</v>
      </c>
      <c r="M49" s="355">
        <v>0.1363</v>
      </c>
      <c r="N49" s="352"/>
      <c r="O49" s="358"/>
      <c r="P49" s="604">
        <f>115527.27+81590.58</f>
        <v>197117.85</v>
      </c>
      <c r="Q49" s="355">
        <f>P49/P27</f>
        <v>0.1420653831</v>
      </c>
      <c r="R49" s="357">
        <f>S49*R27</f>
        <v>140610.6238</v>
      </c>
      <c r="S49" s="355">
        <v>0.1363</v>
      </c>
      <c r="T49" s="352"/>
      <c r="U49" s="358"/>
      <c r="V49" s="604">
        <f>104514.49+134010.38</f>
        <v>238524.87</v>
      </c>
      <c r="W49" s="355">
        <f>V49/V27</f>
        <v>0.1582317505</v>
      </c>
      <c r="X49" s="357">
        <f>Y49*X27</f>
        <v>149567.9872</v>
      </c>
      <c r="Y49" s="355">
        <v>0.1363</v>
      </c>
      <c r="Z49" s="352"/>
      <c r="AA49" s="533"/>
      <c r="AB49" s="604">
        <v>222264.0</v>
      </c>
      <c r="AC49" s="355">
        <f>AB49/AB27</f>
        <v>0.1612622136</v>
      </c>
      <c r="AD49" s="357">
        <f>AE49*AD27</f>
        <v>159859.8639</v>
      </c>
      <c r="AE49" s="355">
        <v>0.1363</v>
      </c>
      <c r="AF49" s="352"/>
      <c r="AG49" s="358"/>
      <c r="AH49" s="604">
        <f>130698.59+147942.08</f>
        <v>278640.67</v>
      </c>
      <c r="AI49" s="355">
        <f>AH49/AH27</f>
        <v>0.1854523485</v>
      </c>
      <c r="AJ49" s="357">
        <f>AK49*AJ27</f>
        <v>151629.7973</v>
      </c>
      <c r="AK49" s="355">
        <v>0.1363</v>
      </c>
      <c r="AL49" s="352"/>
      <c r="AM49" s="358"/>
      <c r="AN49" s="604">
        <v>228295.0</v>
      </c>
      <c r="AO49" s="355">
        <v>0.1363</v>
      </c>
      <c r="AP49" s="357">
        <f>AQ49*AP27</f>
        <v>169703.3136</v>
      </c>
      <c r="AQ49" s="355">
        <v>0.1363</v>
      </c>
      <c r="AR49" s="352"/>
      <c r="AS49" s="358"/>
      <c r="AT49" s="604">
        <v>281803.0</v>
      </c>
      <c r="AU49" s="355">
        <v>0.1363</v>
      </c>
      <c r="AV49" s="357">
        <f>AW49*AV27</f>
        <v>163615.7467</v>
      </c>
      <c r="AW49" s="355">
        <v>0.1363</v>
      </c>
      <c r="AX49" s="352"/>
      <c r="AY49" s="358"/>
      <c r="AZ49" s="604">
        <v>254903.0</v>
      </c>
      <c r="BA49" s="355">
        <v>0.1363</v>
      </c>
      <c r="BB49" s="357">
        <f>BC49*BB27</f>
        <v>174765.3593</v>
      </c>
      <c r="BC49" s="355">
        <v>0.1363</v>
      </c>
      <c r="BD49" s="352"/>
      <c r="BE49" s="358"/>
      <c r="BF49" s="604"/>
      <c r="BG49" s="355">
        <v>0.1363</v>
      </c>
      <c r="BH49" s="357">
        <f>BI49*BH27</f>
        <v>167376.9452</v>
      </c>
      <c r="BI49" s="355">
        <v>0.1363</v>
      </c>
      <c r="BJ49" s="352"/>
      <c r="BK49" s="358"/>
      <c r="BL49" s="628">
        <v>100009.62</v>
      </c>
      <c r="BM49" s="355">
        <v>0.1363</v>
      </c>
      <c r="BN49" s="357">
        <f>BO49*BN27</f>
        <v>159597.759</v>
      </c>
      <c r="BO49" s="355">
        <v>0.1363</v>
      </c>
      <c r="BP49" s="352"/>
      <c r="BQ49" s="358"/>
      <c r="BR49" s="351">
        <f>(114147.787829289)</f>
        <v>114147.7878</v>
      </c>
      <c r="BS49" s="355">
        <v>0.1363</v>
      </c>
      <c r="BT49" s="357">
        <f>BU49*BT27</f>
        <v>168045.7693</v>
      </c>
      <c r="BU49" s="355">
        <v>0.1363</v>
      </c>
      <c r="BV49" s="352"/>
      <c r="BW49" s="358"/>
      <c r="BX49" s="718">
        <f t="shared" si="74"/>
        <v>2357055.921</v>
      </c>
      <c r="BY49" s="213"/>
      <c r="BZ49" s="213"/>
      <c r="CA49" s="213"/>
      <c r="CB49" s="213"/>
      <c r="CC49" s="213"/>
      <c r="CD49" s="213"/>
      <c r="CE49" s="213"/>
      <c r="CF49" s="213"/>
      <c r="CG49" s="213"/>
      <c r="CH49" s="213"/>
      <c r="CI49" s="213"/>
      <c r="CJ49" s="213"/>
      <c r="CK49" s="213"/>
      <c r="CL49" s="213"/>
      <c r="CM49" s="213"/>
      <c r="CN49" s="213"/>
      <c r="CO49" s="213"/>
      <c r="CP49" s="213"/>
      <c r="CQ49" s="213"/>
    </row>
    <row r="50" ht="15.75" hidden="1" customHeight="1">
      <c r="A50" s="213"/>
      <c r="B50" s="492"/>
      <c r="C50" s="492" t="s">
        <v>23</v>
      </c>
      <c r="D50" s="604"/>
      <c r="E50" s="352"/>
      <c r="F50" s="357"/>
      <c r="G50" s="355"/>
      <c r="H50" s="357"/>
      <c r="I50" s="395"/>
      <c r="J50" s="393"/>
      <c r="K50" s="352"/>
      <c r="L50" s="357"/>
      <c r="M50" s="355"/>
      <c r="N50" s="352"/>
      <c r="O50" s="358"/>
      <c r="P50" s="393"/>
      <c r="Q50" s="352"/>
      <c r="R50" s="357"/>
      <c r="S50" s="355"/>
      <c r="T50" s="352"/>
      <c r="U50" s="358"/>
      <c r="V50" s="604"/>
      <c r="W50" s="352"/>
      <c r="X50" s="357"/>
      <c r="Y50" s="355"/>
      <c r="Z50" s="352"/>
      <c r="AA50" s="533"/>
      <c r="AB50" s="604"/>
      <c r="AC50" s="352"/>
      <c r="AD50" s="357"/>
      <c r="AE50" s="355"/>
      <c r="AF50" s="352"/>
      <c r="AG50" s="358"/>
      <c r="AH50" s="604"/>
      <c r="AI50" s="352"/>
      <c r="AJ50" s="357"/>
      <c r="AK50" s="355"/>
      <c r="AL50" s="352"/>
      <c r="AM50" s="358"/>
      <c r="AN50" s="604"/>
      <c r="AO50" s="355"/>
      <c r="AP50" s="357"/>
      <c r="AQ50" s="355"/>
      <c r="AR50" s="352"/>
      <c r="AS50" s="358"/>
      <c r="AT50" s="604"/>
      <c r="AU50" s="355"/>
      <c r="AV50" s="357"/>
      <c r="AW50" s="355"/>
      <c r="AX50" s="352"/>
      <c r="AY50" s="358"/>
      <c r="AZ50" s="604"/>
      <c r="BA50" s="355"/>
      <c r="BB50" s="357"/>
      <c r="BC50" s="355"/>
      <c r="BD50" s="352"/>
      <c r="BE50" s="358"/>
      <c r="BF50" s="604"/>
      <c r="BG50" s="355"/>
      <c r="BH50" s="357"/>
      <c r="BI50" s="355"/>
      <c r="BJ50" s="352"/>
      <c r="BK50" s="358"/>
      <c r="BL50" s="604"/>
      <c r="BM50" s="355"/>
      <c r="BN50" s="357"/>
      <c r="BO50" s="355"/>
      <c r="BP50" s="352"/>
      <c r="BQ50" s="358"/>
      <c r="BR50" s="351"/>
      <c r="BS50" s="355"/>
      <c r="BT50" s="357"/>
      <c r="BU50" s="355"/>
      <c r="BV50" s="352"/>
      <c r="BW50" s="358"/>
      <c r="BX50" s="213"/>
      <c r="BY50" s="213"/>
      <c r="BZ50" s="213"/>
      <c r="CA50" s="213"/>
      <c r="CB50" s="213"/>
      <c r="CC50" s="213"/>
      <c r="CD50" s="213"/>
      <c r="CE50" s="213"/>
      <c r="CF50" s="213"/>
      <c r="CG50" s="213"/>
      <c r="CH50" s="213"/>
      <c r="CI50" s="213"/>
      <c r="CJ50" s="213"/>
      <c r="CK50" s="213"/>
      <c r="CL50" s="213"/>
      <c r="CM50" s="213"/>
      <c r="CN50" s="213"/>
      <c r="CO50" s="213"/>
      <c r="CP50" s="213"/>
      <c r="CQ50" s="213"/>
    </row>
    <row r="51" ht="15.75" customHeight="1">
      <c r="A51" s="695"/>
      <c r="B51" s="492"/>
      <c r="C51" s="492" t="s">
        <v>302</v>
      </c>
      <c r="D51" s="604">
        <f>(1303885+58721)*10%</f>
        <v>136260.6</v>
      </c>
      <c r="E51" s="355">
        <f>D51/SUM(D47:D50)</f>
        <v>0.05642202382</v>
      </c>
      <c r="F51" s="357">
        <v>156756.0</v>
      </c>
      <c r="G51" s="355">
        <f>F51/SUM(F47:F49)</f>
        <v>0.08402167821</v>
      </c>
      <c r="H51" s="357">
        <f>D51-F51</f>
        <v>-20495.4</v>
      </c>
      <c r="I51" s="395">
        <f>H51/F51</f>
        <v>-0.1307471484</v>
      </c>
      <c r="J51" s="604">
        <v>254342.11276410896</v>
      </c>
      <c r="K51" s="355">
        <f>J51/SUM(J47:J50)</f>
        <v>0.0943873699</v>
      </c>
      <c r="L51" s="357">
        <f>M51*SUM(L27:L29)</f>
        <v>154917.2934</v>
      </c>
      <c r="M51" s="355">
        <v>0.0197</v>
      </c>
      <c r="N51" s="352"/>
      <c r="O51" s="358"/>
      <c r="P51" s="604">
        <f>'Calculation Sheet for GST on Pu'!E24</f>
        <v>191595.3915</v>
      </c>
      <c r="Q51" s="355">
        <f>P51/SUM(P47:P50)</f>
        <v>0.09078782231</v>
      </c>
      <c r="R51" s="357">
        <f>S51*SUM(R27:R29)</f>
        <v>152426.8785</v>
      </c>
      <c r="S51" s="355">
        <v>0.0197</v>
      </c>
      <c r="T51" s="352"/>
      <c r="U51" s="358"/>
      <c r="V51" s="604">
        <f>'Calculation Sheet for GST on Pu'!F24</f>
        <v>198614.073</v>
      </c>
      <c r="W51" s="355">
        <f>V51/SUM(V47:V50)</f>
        <v>0.08027689638</v>
      </c>
      <c r="X51" s="357">
        <f>Y51*SUM(X27:X29)</f>
        <v>167350.909</v>
      </c>
      <c r="Y51" s="355">
        <v>0.0197</v>
      </c>
      <c r="Z51" s="352"/>
      <c r="AA51" s="533"/>
      <c r="AB51" s="604">
        <f>'Calculation Sheet for GST on Pu'!G24</f>
        <v>178033.3622</v>
      </c>
      <c r="AC51" s="355">
        <f>AB51/AB29</f>
        <v>0.02343662104</v>
      </c>
      <c r="AD51" s="357">
        <f>AE51*SUM(AD27:AD29)</f>
        <v>169202.3938</v>
      </c>
      <c r="AE51" s="355">
        <v>0.0197</v>
      </c>
      <c r="AF51" s="352"/>
      <c r="AG51" s="358"/>
      <c r="AH51" s="604">
        <f>'Calculation Sheet for GST on Pu'!H24</f>
        <v>179397.5493</v>
      </c>
      <c r="AI51" s="355">
        <f>AH51/AH29</f>
        <v>0.02459275569</v>
      </c>
      <c r="AJ51" s="357">
        <f>AK51*SUM(AJ27:AJ29)</f>
        <v>167931.6453</v>
      </c>
      <c r="AK51" s="355">
        <v>0.0197</v>
      </c>
      <c r="AL51" s="352"/>
      <c r="AM51" s="358"/>
      <c r="AN51" s="604">
        <f>'Calculation Sheet for GST on Pu'!I24</f>
        <v>115302.5499</v>
      </c>
      <c r="AO51" s="355">
        <v>0.0197</v>
      </c>
      <c r="AP51" s="357">
        <f>AQ51*SUM(AP27:AP29)</f>
        <v>182862.2556</v>
      </c>
      <c r="AQ51" s="355">
        <v>0.0197</v>
      </c>
      <c r="AR51" s="352"/>
      <c r="AS51" s="358"/>
      <c r="AT51" s="604">
        <f>'Calculation Sheet for GST on Pu'!J24</f>
        <v>128652.3267</v>
      </c>
      <c r="AU51" s="355">
        <v>0.0197</v>
      </c>
      <c r="AV51" s="357">
        <f>AW51*SUM(AV27:AV29)</f>
        <v>180189.3202</v>
      </c>
      <c r="AW51" s="355">
        <v>0.0197</v>
      </c>
      <c r="AX51" s="352"/>
      <c r="AY51" s="358"/>
      <c r="AZ51" s="604">
        <f>'Calculation Sheet for GST on Pu'!K24</f>
        <v>141477.2856</v>
      </c>
      <c r="BA51" s="355">
        <v>0.0197</v>
      </c>
      <c r="BB51" s="357">
        <f>BC51*SUM(BB27:BB29)</f>
        <v>194595.2801</v>
      </c>
      <c r="BC51" s="355">
        <v>0.0197</v>
      </c>
      <c r="BD51" s="352"/>
      <c r="BE51" s="358"/>
      <c r="BF51" s="604">
        <f>'Calculation Sheet for GST on Pu'!L24</f>
        <v>98563.86657</v>
      </c>
      <c r="BG51" s="355">
        <v>0.0197</v>
      </c>
      <c r="BH51" s="357">
        <f>BI51*SUM(BH27:BH29)</f>
        <v>189766.7116</v>
      </c>
      <c r="BI51" s="355">
        <v>0.0197</v>
      </c>
      <c r="BJ51" s="352"/>
      <c r="BK51" s="358"/>
      <c r="BL51" s="604">
        <f>'Calculation Sheet for GST on Pu'!M24</f>
        <v>118469.0642</v>
      </c>
      <c r="BM51" s="355">
        <v>0.0197</v>
      </c>
      <c r="BN51" s="357">
        <f>BO51*SUM(BN27:BN29)</f>
        <v>175090.9602</v>
      </c>
      <c r="BO51" s="355">
        <v>0.0197</v>
      </c>
      <c r="BP51" s="352"/>
      <c r="BQ51" s="358"/>
      <c r="BR51" s="351">
        <f>'Calculation Sheet for GST on Pu'!N24</f>
        <v>104178.6197</v>
      </c>
      <c r="BS51" s="355">
        <v>0.0197</v>
      </c>
      <c r="BT51" s="357">
        <f>BU51*SUM(BT27:BT29)</f>
        <v>188406.0917</v>
      </c>
      <c r="BU51" s="355">
        <v>0.0197</v>
      </c>
      <c r="BV51" s="352"/>
      <c r="BW51" s="358"/>
      <c r="BX51" s="213"/>
      <c r="BY51" s="213"/>
      <c r="BZ51" s="213"/>
      <c r="CA51" s="213"/>
      <c r="CB51" s="213"/>
      <c r="CC51" s="213"/>
      <c r="CD51" s="213"/>
      <c r="CE51" s="213"/>
      <c r="CF51" s="213"/>
      <c r="CG51" s="213"/>
      <c r="CH51" s="213"/>
      <c r="CI51" s="213"/>
      <c r="CJ51" s="213"/>
      <c r="CK51" s="213"/>
      <c r="CL51" s="213"/>
      <c r="CM51" s="213"/>
      <c r="CN51" s="213"/>
      <c r="CO51" s="213"/>
      <c r="CP51" s="213"/>
      <c r="CQ51" s="213"/>
    </row>
    <row r="52" ht="15.75" customHeight="1">
      <c r="A52" s="213"/>
      <c r="B52" s="492"/>
      <c r="C52" s="492" t="s">
        <v>238</v>
      </c>
      <c r="D52" s="604">
        <f>SUM(D47:D51)</f>
        <v>2551285.634</v>
      </c>
      <c r="E52" s="355">
        <f t="shared" ref="E52:E54" si="76">D52/D$32</f>
        <v>0.2970979659</v>
      </c>
      <c r="F52" s="357">
        <f>SUM(F47:F51)</f>
        <v>2022417.379</v>
      </c>
      <c r="G52" s="355">
        <f>F52/F$32</f>
        <v>0.2398904078</v>
      </c>
      <c r="H52" s="357">
        <f>SUM(H47:H51)</f>
        <v>528868.2557</v>
      </c>
      <c r="I52" s="358"/>
      <c r="J52" s="604">
        <f>SUM(J47:J51)</f>
        <v>2949004.683</v>
      </c>
      <c r="K52" s="355">
        <f t="shared" ref="K52:K54" si="77">J52/J$32</f>
        <v>0.3051584653</v>
      </c>
      <c r="L52" s="357">
        <f>SUM(L47:L51)</f>
        <v>1999488.02</v>
      </c>
      <c r="M52" s="355">
        <f>L52/L32</f>
        <v>0.2399850405</v>
      </c>
      <c r="N52" s="352">
        <f>SUM(N47:N51)</f>
        <v>0</v>
      </c>
      <c r="O52" s="358"/>
      <c r="P52" s="604">
        <f>SUM(P47:P51)</f>
        <v>2301959.828</v>
      </c>
      <c r="Q52" s="355">
        <f>P52/P$32</f>
        <v>0.3076419936</v>
      </c>
      <c r="R52" s="357">
        <f>SUM(R47:R51)</f>
        <v>1972835.142</v>
      </c>
      <c r="S52" s="355">
        <f>R52/R32</f>
        <v>0.2406547868</v>
      </c>
      <c r="T52" s="352">
        <f>SUM(T47:T51)</f>
        <v>0</v>
      </c>
      <c r="U52" s="358"/>
      <c r="V52" s="604">
        <f>SUM(V47:V51)</f>
        <v>2672726.576</v>
      </c>
      <c r="W52" s="355">
        <f t="shared" ref="W52:W54" si="78">V52/V$32</f>
        <v>0.2809801329</v>
      </c>
      <c r="X52" s="357">
        <f>SUM(X47:X51)</f>
        <v>2170024.209</v>
      </c>
      <c r="Y52" s="355">
        <f>X52/X32</f>
        <v>0.2411025304</v>
      </c>
      <c r="Z52" s="352">
        <f t="shared" ref="Z52:AB52" si="75">SUM(Z47:Z51)</f>
        <v>0</v>
      </c>
      <c r="AA52" s="533">
        <f t="shared" si="75"/>
        <v>0</v>
      </c>
      <c r="AB52" s="604">
        <f t="shared" si="75"/>
        <v>2685015.913</v>
      </c>
      <c r="AC52" s="355">
        <f t="shared" ref="AC52:AC54" si="79">AB52/AB$32</f>
        <v>0.286530124</v>
      </c>
      <c r="AD52" s="357">
        <f>SUM(AD47:AD51)</f>
        <v>2186795.558</v>
      </c>
      <c r="AE52" s="355">
        <f>AD52/AD32</f>
        <v>0.2403072897</v>
      </c>
      <c r="AF52" s="352">
        <f>SUM(AF47:AF51)</f>
        <v>0</v>
      </c>
      <c r="AG52" s="358"/>
      <c r="AH52" s="604">
        <f>SUM(AH47:AH51)</f>
        <v>2780181.145</v>
      </c>
      <c r="AI52" s="355">
        <f t="shared" ref="AI52:AI54" si="80">AH52/AH$32</f>
        <v>0.3020428935</v>
      </c>
      <c r="AJ52" s="357">
        <f>SUM(AJ47:AJ51)</f>
        <v>2176261.932</v>
      </c>
      <c r="AK52" s="355">
        <f>AJ52/AJ32</f>
        <v>0.2409594079</v>
      </c>
      <c r="AL52" s="352">
        <f>SUM(AL47:AL51)</f>
        <v>0</v>
      </c>
      <c r="AM52" s="358"/>
      <c r="AN52" s="604">
        <f>SUM(AN47:AN51)</f>
        <v>2651495.466</v>
      </c>
      <c r="AO52" s="355">
        <f>AN52/AN32</f>
        <v>0.3148791251</v>
      </c>
      <c r="AP52" s="357">
        <f>SUM(AP47:AP51)</f>
        <v>2365903.207</v>
      </c>
      <c r="AQ52" s="355">
        <f>AP52/AP32</f>
        <v>0.2405681706</v>
      </c>
      <c r="AR52" s="352">
        <f>SUM(AR47:AR51)</f>
        <v>0</v>
      </c>
      <c r="AS52" s="358"/>
      <c r="AT52" s="604">
        <f>SUM(AT47:AT51)</f>
        <v>2581833.012</v>
      </c>
      <c r="AU52" s="355">
        <f>AT52/AT32</f>
        <v>0.2758679956</v>
      </c>
      <c r="AV52" s="357">
        <f>SUM(AV47:AV51)</f>
        <v>2334342.445</v>
      </c>
      <c r="AW52" s="355">
        <f>AV52/AV32</f>
        <v>0.2408800237</v>
      </c>
      <c r="AX52" s="352">
        <f>SUM(AX47:AX51)</f>
        <v>0</v>
      </c>
      <c r="AY52" s="358"/>
      <c r="AZ52" s="604">
        <f>SUM(AZ47:AZ51)</f>
        <v>3003165.633</v>
      </c>
      <c r="BA52" s="355">
        <f>AZ52/AZ32</f>
        <v>0.2977669171</v>
      </c>
      <c r="BB52" s="357">
        <f>SUM(BB47:BB51)</f>
        <v>2522589</v>
      </c>
      <c r="BC52" s="355">
        <f>BB52/BB32</f>
        <v>0.2410346397</v>
      </c>
      <c r="BD52" s="352">
        <f>SUM(BD47:BD51)</f>
        <v>0</v>
      </c>
      <c r="BE52" s="358"/>
      <c r="BF52" s="604">
        <f>SUM(BF47:BF51)</f>
        <v>2414391.467</v>
      </c>
      <c r="BG52" s="355">
        <f>BF52/BF32</f>
        <v>0.2493063841</v>
      </c>
      <c r="BH52" s="357">
        <f>SUM(BH47:BH51)</f>
        <v>2462552.069</v>
      </c>
      <c r="BI52" s="355">
        <f>BH52/BH32</f>
        <v>0.2412851841</v>
      </c>
      <c r="BJ52" s="352">
        <f>SUM(BJ47:BJ51)</f>
        <v>0</v>
      </c>
      <c r="BK52" s="358"/>
      <c r="BL52" s="604">
        <f>SUM(BL47:BL51)</f>
        <v>2472153.194</v>
      </c>
      <c r="BM52" s="355">
        <f>BL52/BL32</f>
        <v>0.2903271823</v>
      </c>
      <c r="BN52" s="357">
        <f>SUM(BN47:BN51)</f>
        <v>2267781.187</v>
      </c>
      <c r="BO52" s="355">
        <f>BN52/BN32</f>
        <v>0.240825621</v>
      </c>
      <c r="BP52" s="352">
        <f>SUM(BP47:BP51)</f>
        <v>0</v>
      </c>
      <c r="BQ52" s="358"/>
      <c r="BR52" s="351">
        <f>SUM(BR47:BR51)</f>
        <v>2741771.086</v>
      </c>
      <c r="BS52" s="355">
        <f>BR52/BR32</f>
        <v>0.2708140707</v>
      </c>
      <c r="BT52" s="357">
        <f>SUM(BT47:BT51)</f>
        <v>2443329.786</v>
      </c>
      <c r="BU52" s="355">
        <f>BT52/BT32</f>
        <v>0.2411306483</v>
      </c>
      <c r="BV52" s="352">
        <f>SUM(BV47:BV51)</f>
        <v>0</v>
      </c>
      <c r="BW52" s="358"/>
      <c r="BX52" s="718">
        <f t="shared" ref="BX52:BX54" si="81">D52+J52+P52+V52+AB52+AH52+AN52+AT52+AZ52+BF52+BL52+BR52</f>
        <v>31804983.64</v>
      </c>
      <c r="BY52" s="216"/>
      <c r="BZ52" s="216"/>
      <c r="CA52" s="216"/>
      <c r="CB52" s="216"/>
      <c r="CC52" s="216"/>
      <c r="CD52" s="216"/>
      <c r="CE52" s="216"/>
      <c r="CF52" s="216"/>
      <c r="CG52" s="216"/>
      <c r="CH52" s="216"/>
      <c r="CI52" s="216"/>
      <c r="CJ52" s="216"/>
      <c r="CK52" s="216"/>
      <c r="CL52" s="216"/>
      <c r="CM52" s="216"/>
      <c r="CN52" s="216"/>
      <c r="CO52" s="216"/>
      <c r="CP52" s="216"/>
      <c r="CQ52" s="216"/>
    </row>
    <row r="53" ht="15.75" customHeight="1">
      <c r="A53" s="213"/>
      <c r="B53" s="502"/>
      <c r="C53" s="502" t="s">
        <v>239</v>
      </c>
      <c r="D53" s="619">
        <v>179513.6</v>
      </c>
      <c r="E53" s="404">
        <f t="shared" si="76"/>
        <v>0.02090441176</v>
      </c>
      <c r="F53" s="367">
        <f>SUM(F27:F29)*G53</f>
        <v>81162.8178</v>
      </c>
      <c r="G53" s="404">
        <v>0.0102</v>
      </c>
      <c r="H53" s="367">
        <f>D53-F53</f>
        <v>98350.7822</v>
      </c>
      <c r="I53" s="406">
        <f>H53/F53</f>
        <v>1.21177141</v>
      </c>
      <c r="J53" s="361">
        <v>201028.0</v>
      </c>
      <c r="K53" s="404">
        <f t="shared" si="77"/>
        <v>0.02080206801</v>
      </c>
      <c r="L53" s="367">
        <f>SUM(L27:L29)*M53</f>
        <v>80210.9844</v>
      </c>
      <c r="M53" s="404">
        <v>0.0102</v>
      </c>
      <c r="N53" s="364"/>
      <c r="O53" s="368"/>
      <c r="P53" s="361">
        <v>127025.0</v>
      </c>
      <c r="Q53" s="404">
        <f>P53/P32</f>
        <v>0.01697606699</v>
      </c>
      <c r="R53" s="367">
        <f>SUM(R27:R29)*S53</f>
        <v>78921.531</v>
      </c>
      <c r="S53" s="404">
        <v>0.0102</v>
      </c>
      <c r="T53" s="364"/>
      <c r="U53" s="368"/>
      <c r="V53" s="361">
        <v>145348.0</v>
      </c>
      <c r="W53" s="404">
        <f t="shared" si="78"/>
        <v>0.01528023881</v>
      </c>
      <c r="X53" s="367">
        <f>SUM(X27:X29)*Y53</f>
        <v>86648.694</v>
      </c>
      <c r="Y53" s="404">
        <v>0.0102</v>
      </c>
      <c r="Z53" s="364"/>
      <c r="AA53" s="535"/>
      <c r="AB53" s="619">
        <v>168318.0</v>
      </c>
      <c r="AC53" s="404">
        <f t="shared" si="79"/>
        <v>0.01796197079</v>
      </c>
      <c r="AD53" s="367">
        <f>SUM(AD27:AD29)*AE53</f>
        <v>87607.3308</v>
      </c>
      <c r="AE53" s="404">
        <v>0.0102</v>
      </c>
      <c r="AF53" s="364"/>
      <c r="AG53" s="368"/>
      <c r="AH53" s="619">
        <v>178707.6</v>
      </c>
      <c r="AI53" s="404">
        <f t="shared" si="80"/>
        <v>0.01941505167</v>
      </c>
      <c r="AJ53" s="367">
        <f>SUM(AJ27:AJ29)*AK53</f>
        <v>86949.3798</v>
      </c>
      <c r="AK53" s="404">
        <v>0.0102</v>
      </c>
      <c r="AL53" s="364"/>
      <c r="AM53" s="368"/>
      <c r="AN53" s="619">
        <v>211832.0</v>
      </c>
      <c r="AO53" s="404">
        <v>0.0102</v>
      </c>
      <c r="AP53" s="367">
        <f>SUM(AP27:AP29)*AQ53</f>
        <v>94679.9496</v>
      </c>
      <c r="AQ53" s="404">
        <v>0.0102</v>
      </c>
      <c r="AR53" s="364"/>
      <c r="AS53" s="368"/>
      <c r="AT53" s="619">
        <v>176963.0</v>
      </c>
      <c r="AU53" s="404">
        <v>0.0102</v>
      </c>
      <c r="AV53" s="367">
        <f>SUM(AV27:AV29)*AW53</f>
        <v>93295.9932</v>
      </c>
      <c r="AW53" s="404">
        <v>0.0102</v>
      </c>
      <c r="AX53" s="364"/>
      <c r="AY53" s="368"/>
      <c r="AZ53" s="619">
        <v>227331.0</v>
      </c>
      <c r="BA53" s="404">
        <v>0.0102</v>
      </c>
      <c r="BB53" s="367">
        <f>SUM(BB27:BB29)*BC53</f>
        <v>100754.9166</v>
      </c>
      <c r="BC53" s="404">
        <v>0.0102</v>
      </c>
      <c r="BD53" s="364"/>
      <c r="BE53" s="368"/>
      <c r="BF53" s="367">
        <f>SUM(BF27:BF29)*BG53</f>
        <v>95049.58077</v>
      </c>
      <c r="BG53" s="404">
        <v>0.0102</v>
      </c>
      <c r="BH53" s="367">
        <f>SUM(BH27:BH29)*BI53</f>
        <v>98254.8456</v>
      </c>
      <c r="BI53" s="404">
        <v>0.0102</v>
      </c>
      <c r="BJ53" s="364"/>
      <c r="BK53" s="368"/>
      <c r="BL53" s="724">
        <v>182387.5</v>
      </c>
      <c r="BM53" s="404">
        <v>0.0102</v>
      </c>
      <c r="BN53" s="367">
        <f>SUM(BN27:BN29)*BO53</f>
        <v>90656.2332</v>
      </c>
      <c r="BO53" s="404">
        <v>0.0102</v>
      </c>
      <c r="BP53" s="364"/>
      <c r="BQ53" s="368"/>
      <c r="BR53" s="516">
        <v>195046.5</v>
      </c>
      <c r="BS53" s="404">
        <v>0.0102</v>
      </c>
      <c r="BT53" s="367">
        <f>SUM(BT27:BT29)*BU53</f>
        <v>97550.3622</v>
      </c>
      <c r="BU53" s="404">
        <v>0.0102</v>
      </c>
      <c r="BV53" s="364"/>
      <c r="BW53" s="368"/>
      <c r="BX53" s="718">
        <f t="shared" si="81"/>
        <v>2088549.781</v>
      </c>
      <c r="BY53" s="213"/>
      <c r="BZ53" s="213"/>
      <c r="CA53" s="213"/>
      <c r="CB53" s="213"/>
      <c r="CC53" s="213"/>
      <c r="CD53" s="213"/>
      <c r="CE53" s="213"/>
      <c r="CF53" s="213"/>
      <c r="CG53" s="213"/>
      <c r="CH53" s="213"/>
      <c r="CI53" s="213"/>
      <c r="CJ53" s="213"/>
      <c r="CK53" s="213"/>
      <c r="CL53" s="213"/>
      <c r="CM53" s="213"/>
      <c r="CN53" s="213"/>
      <c r="CO53" s="213"/>
      <c r="CP53" s="213"/>
      <c r="CQ53" s="213"/>
    </row>
    <row r="54" ht="15.75" customHeight="1">
      <c r="A54" s="213"/>
      <c r="B54" s="483"/>
      <c r="C54" s="483" t="s">
        <v>240</v>
      </c>
      <c r="D54" s="600">
        <f>D52+D53</f>
        <v>2730799.234</v>
      </c>
      <c r="E54" s="374">
        <f t="shared" si="76"/>
        <v>0.3180023776</v>
      </c>
      <c r="F54" s="377">
        <f>F52+F53</f>
        <v>2103580.196</v>
      </c>
      <c r="G54" s="374">
        <f>F54/F$32</f>
        <v>0.2495175905</v>
      </c>
      <c r="H54" s="377">
        <f>H52+H53</f>
        <v>627219.0379</v>
      </c>
      <c r="I54" s="378"/>
      <c r="J54" s="600">
        <f>J52+J53</f>
        <v>3150032.683</v>
      </c>
      <c r="K54" s="374">
        <f t="shared" si="77"/>
        <v>0.3259605333</v>
      </c>
      <c r="L54" s="377">
        <f>L52+L53</f>
        <v>2079699.004</v>
      </c>
      <c r="M54" s="374">
        <f>L54/L$32</f>
        <v>0.2496122231</v>
      </c>
      <c r="N54" s="408">
        <f>N52+N53</f>
        <v>0</v>
      </c>
      <c r="O54" s="378"/>
      <c r="P54" s="600">
        <f>P52+P53</f>
        <v>2428984.828</v>
      </c>
      <c r="Q54" s="374">
        <f>P54/P$32</f>
        <v>0.3246180606</v>
      </c>
      <c r="R54" s="377">
        <f>R52+R53</f>
        <v>2051756.673</v>
      </c>
      <c r="S54" s="374">
        <f>R54/R$32</f>
        <v>0.2502819694</v>
      </c>
      <c r="T54" s="408">
        <f>T52+T53</f>
        <v>0</v>
      </c>
      <c r="U54" s="378"/>
      <c r="V54" s="600">
        <f>V52+V53</f>
        <v>2818074.576</v>
      </c>
      <c r="W54" s="374">
        <f t="shared" si="78"/>
        <v>0.2962603717</v>
      </c>
      <c r="X54" s="377">
        <f>X52+X53</f>
        <v>2256672.903</v>
      </c>
      <c r="Y54" s="374">
        <f>X54/X$32</f>
        <v>0.250729713</v>
      </c>
      <c r="Z54" s="408">
        <f t="shared" ref="Z54:AB54" si="82">Z52+Z53</f>
        <v>0</v>
      </c>
      <c r="AA54" s="528">
        <f t="shared" si="82"/>
        <v>0</v>
      </c>
      <c r="AB54" s="600">
        <f t="shared" si="82"/>
        <v>2853333.913</v>
      </c>
      <c r="AC54" s="374">
        <f t="shared" si="79"/>
        <v>0.3044920948</v>
      </c>
      <c r="AD54" s="377">
        <f>AD52+AD53</f>
        <v>2274402.889</v>
      </c>
      <c r="AE54" s="374">
        <f>AD54/AD$32</f>
        <v>0.2499344723</v>
      </c>
      <c r="AF54" s="408">
        <f>AF52+AF53</f>
        <v>0</v>
      </c>
      <c r="AG54" s="378"/>
      <c r="AH54" s="600">
        <f>AH52+AH53</f>
        <v>2958888.745</v>
      </c>
      <c r="AI54" s="374">
        <f t="shared" si="80"/>
        <v>0.3214579452</v>
      </c>
      <c r="AJ54" s="377">
        <f>AJ52+AJ53</f>
        <v>2263211.311</v>
      </c>
      <c r="AK54" s="374">
        <f>AJ54/AJ$32</f>
        <v>0.2505865905</v>
      </c>
      <c r="AL54" s="408">
        <f>AL52+AL53</f>
        <v>0</v>
      </c>
      <c r="AM54" s="378"/>
      <c r="AN54" s="600">
        <f>AN52+AN53</f>
        <v>2863327.466</v>
      </c>
      <c r="AO54" s="374">
        <f>AN54/AN$32</f>
        <v>0.3400352966</v>
      </c>
      <c r="AP54" s="377">
        <f>AP52+AP53</f>
        <v>2460583.157</v>
      </c>
      <c r="AQ54" s="374">
        <f>AP54/AP$32</f>
        <v>0.2501953532</v>
      </c>
      <c r="AR54" s="408">
        <f>AR52+AR53</f>
        <v>0</v>
      </c>
      <c r="AS54" s="378"/>
      <c r="AT54" s="600">
        <f>AT52+AT53</f>
        <v>2758796.012</v>
      </c>
      <c r="AU54" s="374">
        <f>AT54/AT$32</f>
        <v>0.2947764331</v>
      </c>
      <c r="AV54" s="377">
        <f>AV52+AV53</f>
        <v>2427638.439</v>
      </c>
      <c r="AW54" s="374">
        <f>AV54/AV$32</f>
        <v>0.2505072063</v>
      </c>
      <c r="AX54" s="408">
        <f>AX52+AX53</f>
        <v>0</v>
      </c>
      <c r="AY54" s="378"/>
      <c r="AZ54" s="600">
        <f>AZ52+AZ53</f>
        <v>3230496.633</v>
      </c>
      <c r="BA54" s="374">
        <f>AZ54/AZ$32</f>
        <v>0.3203070162</v>
      </c>
      <c r="BB54" s="377">
        <f>BB52+BB53</f>
        <v>2623343.917</v>
      </c>
      <c r="BC54" s="374">
        <f>BB54/BB$32</f>
        <v>0.2506618223</v>
      </c>
      <c r="BD54" s="408">
        <f>BD52+BD53</f>
        <v>0</v>
      </c>
      <c r="BE54" s="378"/>
      <c r="BF54" s="600">
        <f>BF52+BF53</f>
        <v>2509441.047</v>
      </c>
      <c r="BG54" s="374">
        <f>BF54/BF$32</f>
        <v>0.2591210589</v>
      </c>
      <c r="BH54" s="377">
        <f>BH52+BH53</f>
        <v>2560806.914</v>
      </c>
      <c r="BI54" s="374">
        <f>BH54/BH$32</f>
        <v>0.2509123667</v>
      </c>
      <c r="BJ54" s="408">
        <f>BJ52+BJ53</f>
        <v>0</v>
      </c>
      <c r="BK54" s="378"/>
      <c r="BL54" s="600">
        <f>BL52+BL53</f>
        <v>2654540.694</v>
      </c>
      <c r="BM54" s="374">
        <f>BL54/BL$32</f>
        <v>0.3117465867</v>
      </c>
      <c r="BN54" s="377">
        <f>BN52+BN53</f>
        <v>2358437.42</v>
      </c>
      <c r="BO54" s="374">
        <f>BN54/BN$32</f>
        <v>0.2504528037</v>
      </c>
      <c r="BP54" s="408">
        <f>BP52+BP53</f>
        <v>0</v>
      </c>
      <c r="BQ54" s="378"/>
      <c r="BR54" s="373">
        <f>BR52+BR53</f>
        <v>2936817.586</v>
      </c>
      <c r="BS54" s="374">
        <f>BR54/BR$32</f>
        <v>0.290079478</v>
      </c>
      <c r="BT54" s="377">
        <f>BT52+BT53</f>
        <v>2540880.148</v>
      </c>
      <c r="BU54" s="374">
        <f>BT54/BT$32</f>
        <v>0.250757831</v>
      </c>
      <c r="BV54" s="408">
        <f>BV52+BV53</f>
        <v>0</v>
      </c>
      <c r="BW54" s="378"/>
      <c r="BX54" s="718">
        <f t="shared" si="81"/>
        <v>33893533.42</v>
      </c>
      <c r="BY54" s="216"/>
      <c r="BZ54" s="216"/>
      <c r="CA54" s="216"/>
      <c r="CB54" s="216"/>
      <c r="CC54" s="216"/>
      <c r="CD54" s="216"/>
      <c r="CE54" s="216"/>
      <c r="CF54" s="216"/>
      <c r="CG54" s="216"/>
      <c r="CH54" s="216"/>
      <c r="CI54" s="216"/>
      <c r="CJ54" s="216"/>
      <c r="CK54" s="216"/>
      <c r="CL54" s="216"/>
      <c r="CM54" s="216"/>
      <c r="CN54" s="216"/>
      <c r="CO54" s="216"/>
      <c r="CP54" s="216"/>
      <c r="CQ54" s="216"/>
    </row>
    <row r="55" ht="15.75" hidden="1" customHeight="1">
      <c r="A55" s="213"/>
      <c r="B55" s="488"/>
      <c r="C55" s="488"/>
      <c r="D55" s="708"/>
      <c r="E55" s="440"/>
      <c r="F55" s="440"/>
      <c r="G55" s="440"/>
      <c r="H55" s="440"/>
      <c r="I55" s="389"/>
      <c r="J55" s="444"/>
      <c r="K55" s="440"/>
      <c r="L55" s="440"/>
      <c r="M55" s="440"/>
      <c r="N55" s="440"/>
      <c r="O55" s="389"/>
      <c r="P55" s="444"/>
      <c r="Q55" s="440"/>
      <c r="R55" s="440"/>
      <c r="S55" s="440"/>
      <c r="T55" s="440"/>
      <c r="U55" s="389"/>
      <c r="V55" s="444"/>
      <c r="W55" s="440"/>
      <c r="X55" s="440"/>
      <c r="Y55" s="440"/>
      <c r="Z55" s="440"/>
      <c r="AA55" s="389"/>
      <c r="AB55" s="708"/>
      <c r="AC55" s="440"/>
      <c r="AD55" s="440"/>
      <c r="AE55" s="440"/>
      <c r="AF55" s="440"/>
      <c r="AG55" s="389"/>
      <c r="AH55" s="708"/>
      <c r="AI55" s="440"/>
      <c r="AJ55" s="440"/>
      <c r="AK55" s="440"/>
      <c r="AL55" s="440"/>
      <c r="AM55" s="389"/>
      <c r="AN55" s="708"/>
      <c r="AO55" s="440"/>
      <c r="AP55" s="440"/>
      <c r="AQ55" s="440"/>
      <c r="AR55" s="440"/>
      <c r="AS55" s="389"/>
      <c r="AT55" s="708"/>
      <c r="AU55" s="440"/>
      <c r="AV55" s="440"/>
      <c r="AW55" s="440"/>
      <c r="AX55" s="440"/>
      <c r="AY55" s="389"/>
      <c r="AZ55" s="708"/>
      <c r="BA55" s="440"/>
      <c r="BB55" s="440"/>
      <c r="BC55" s="440"/>
      <c r="BD55" s="440"/>
      <c r="BE55" s="389"/>
      <c r="BF55" s="708"/>
      <c r="BG55" s="440"/>
      <c r="BH55" s="440"/>
      <c r="BI55" s="440"/>
      <c r="BJ55" s="440"/>
      <c r="BK55" s="389"/>
      <c r="BL55" s="708"/>
      <c r="BM55" s="440"/>
      <c r="BN55" s="440"/>
      <c r="BO55" s="440"/>
      <c r="BP55" s="440"/>
      <c r="BQ55" s="389"/>
      <c r="BR55" s="491"/>
      <c r="BS55" s="440"/>
      <c r="BT55" s="440"/>
      <c r="BU55" s="440"/>
      <c r="BV55" s="440"/>
      <c r="BW55" s="389"/>
      <c r="BX55" s="213"/>
      <c r="BY55" s="213"/>
      <c r="BZ55" s="213"/>
      <c r="CA55" s="213"/>
      <c r="CB55" s="213"/>
      <c r="CC55" s="213"/>
      <c r="CD55" s="213"/>
      <c r="CE55" s="213"/>
      <c r="CF55" s="213"/>
      <c r="CG55" s="213"/>
      <c r="CH55" s="213"/>
      <c r="CI55" s="213"/>
      <c r="CJ55" s="213"/>
      <c r="CK55" s="213"/>
      <c r="CL55" s="213"/>
      <c r="CM55" s="213"/>
      <c r="CN55" s="213"/>
      <c r="CO55" s="213"/>
      <c r="CP55" s="213"/>
      <c r="CQ55" s="213"/>
    </row>
    <row r="56" ht="15.75" hidden="1" customHeight="1">
      <c r="A56" s="213"/>
      <c r="B56" s="492"/>
      <c r="C56" s="492"/>
      <c r="D56" s="604"/>
      <c r="E56" s="355"/>
      <c r="F56" s="357"/>
      <c r="G56" s="357"/>
      <c r="H56" s="357"/>
      <c r="I56" s="533"/>
      <c r="J56" s="604"/>
      <c r="K56" s="355"/>
      <c r="L56" s="352"/>
      <c r="M56" s="352"/>
      <c r="N56" s="352"/>
      <c r="O56" s="358"/>
      <c r="P56" s="604"/>
      <c r="Q56" s="352"/>
      <c r="R56" s="352"/>
      <c r="S56" s="352"/>
      <c r="T56" s="352"/>
      <c r="U56" s="358"/>
      <c r="V56" s="604"/>
      <c r="W56" s="352"/>
      <c r="X56" s="352"/>
      <c r="Y56" s="352"/>
      <c r="Z56" s="352"/>
      <c r="AA56" s="762"/>
      <c r="AB56" s="604"/>
      <c r="AC56" s="352"/>
      <c r="AD56" s="352"/>
      <c r="AE56" s="352"/>
      <c r="AF56" s="352"/>
      <c r="AG56" s="358"/>
      <c r="AH56" s="604"/>
      <c r="AI56" s="352"/>
      <c r="AJ56" s="352"/>
      <c r="AK56" s="352"/>
      <c r="AL56" s="352"/>
      <c r="AM56" s="358"/>
      <c r="AN56" s="604"/>
      <c r="AO56" s="352"/>
      <c r="AP56" s="352"/>
      <c r="AQ56" s="352"/>
      <c r="AR56" s="352"/>
      <c r="AS56" s="358"/>
      <c r="AT56" s="604"/>
      <c r="AU56" s="352"/>
      <c r="AV56" s="352"/>
      <c r="AW56" s="352"/>
      <c r="AX56" s="352"/>
      <c r="AY56" s="358"/>
      <c r="AZ56" s="604"/>
      <c r="BA56" s="352"/>
      <c r="BB56" s="352"/>
      <c r="BC56" s="352"/>
      <c r="BD56" s="352"/>
      <c r="BE56" s="358"/>
      <c r="BF56" s="604"/>
      <c r="BG56" s="352"/>
      <c r="BH56" s="352"/>
      <c r="BI56" s="352"/>
      <c r="BJ56" s="352"/>
      <c r="BK56" s="358"/>
      <c r="BL56" s="604"/>
      <c r="BM56" s="352"/>
      <c r="BN56" s="352"/>
      <c r="BO56" s="352"/>
      <c r="BP56" s="352"/>
      <c r="BQ56" s="358"/>
      <c r="BR56" s="351"/>
      <c r="BS56" s="352"/>
      <c r="BT56" s="352"/>
      <c r="BU56" s="352"/>
      <c r="BV56" s="352"/>
      <c r="BW56" s="358"/>
      <c r="BX56" s="213"/>
      <c r="BY56" s="213"/>
      <c r="BZ56" s="213"/>
      <c r="CA56" s="213"/>
      <c r="CB56" s="213"/>
      <c r="CC56" s="213"/>
      <c r="CD56" s="213"/>
      <c r="CE56" s="213"/>
      <c r="CF56" s="213"/>
      <c r="CG56" s="213"/>
      <c r="CH56" s="213"/>
      <c r="CI56" s="213"/>
      <c r="CJ56" s="213"/>
      <c r="CK56" s="213"/>
      <c r="CL56" s="213"/>
      <c r="CM56" s="213"/>
      <c r="CN56" s="213"/>
      <c r="CO56" s="213"/>
      <c r="CP56" s="213"/>
      <c r="CQ56" s="213"/>
    </row>
    <row r="57" ht="15.75" hidden="1" customHeight="1">
      <c r="A57" s="213"/>
      <c r="B57" s="492"/>
      <c r="C57" s="492"/>
      <c r="D57" s="604"/>
      <c r="E57" s="355"/>
      <c r="F57" s="357"/>
      <c r="G57" s="357"/>
      <c r="H57" s="357"/>
      <c r="I57" s="533"/>
      <c r="J57" s="604"/>
      <c r="K57" s="355"/>
      <c r="L57" s="352"/>
      <c r="M57" s="352"/>
      <c r="N57" s="352"/>
      <c r="O57" s="358"/>
      <c r="P57" s="604"/>
      <c r="Q57" s="352"/>
      <c r="R57" s="352"/>
      <c r="S57" s="352"/>
      <c r="T57" s="352"/>
      <c r="U57" s="358"/>
      <c r="V57" s="604"/>
      <c r="W57" s="352"/>
      <c r="X57" s="352"/>
      <c r="Y57" s="352"/>
      <c r="Z57" s="352"/>
      <c r="AA57" s="762"/>
      <c r="AB57" s="604"/>
      <c r="AC57" s="352"/>
      <c r="AD57" s="352"/>
      <c r="AE57" s="352"/>
      <c r="AF57" s="352"/>
      <c r="AG57" s="358"/>
      <c r="AH57" s="604"/>
      <c r="AI57" s="352"/>
      <c r="AJ57" s="352"/>
      <c r="AK57" s="352"/>
      <c r="AL57" s="352"/>
      <c r="AM57" s="358"/>
      <c r="AN57" s="604"/>
      <c r="AO57" s="352"/>
      <c r="AP57" s="352"/>
      <c r="AQ57" s="352"/>
      <c r="AR57" s="352"/>
      <c r="AS57" s="358"/>
      <c r="AT57" s="604"/>
      <c r="AU57" s="352"/>
      <c r="AV57" s="352"/>
      <c r="AW57" s="352"/>
      <c r="AX57" s="352"/>
      <c r="AY57" s="358"/>
      <c r="AZ57" s="604"/>
      <c r="BA57" s="352"/>
      <c r="BB57" s="352"/>
      <c r="BC57" s="352"/>
      <c r="BD57" s="352"/>
      <c r="BE57" s="358"/>
      <c r="BF57" s="604"/>
      <c r="BG57" s="352"/>
      <c r="BH57" s="352"/>
      <c r="BI57" s="352"/>
      <c r="BJ57" s="352"/>
      <c r="BK57" s="358"/>
      <c r="BL57" s="604"/>
      <c r="BM57" s="352"/>
      <c r="BN57" s="352"/>
      <c r="BO57" s="352"/>
      <c r="BP57" s="352"/>
      <c r="BQ57" s="358"/>
      <c r="BR57" s="351"/>
      <c r="BS57" s="352"/>
      <c r="BT57" s="352"/>
      <c r="BU57" s="352"/>
      <c r="BV57" s="352"/>
      <c r="BW57" s="358"/>
      <c r="BX57" s="213"/>
      <c r="BY57" s="213"/>
      <c r="BZ57" s="213"/>
      <c r="CA57" s="213"/>
      <c r="CB57" s="213"/>
      <c r="CC57" s="213"/>
      <c r="CD57" s="213"/>
      <c r="CE57" s="213"/>
      <c r="CF57" s="213"/>
      <c r="CG57" s="213"/>
      <c r="CH57" s="213"/>
      <c r="CI57" s="213"/>
      <c r="CJ57" s="213"/>
      <c r="CK57" s="213"/>
      <c r="CL57" s="213"/>
      <c r="CM57" s="213"/>
      <c r="CN57" s="213"/>
      <c r="CO57" s="213"/>
      <c r="CP57" s="213"/>
      <c r="CQ57" s="213"/>
    </row>
    <row r="58" ht="15.75" hidden="1" customHeight="1">
      <c r="A58" s="213"/>
      <c r="B58" s="492"/>
      <c r="C58" s="492"/>
      <c r="D58" s="604"/>
      <c r="E58" s="355"/>
      <c r="F58" s="357"/>
      <c r="G58" s="357"/>
      <c r="H58" s="357"/>
      <c r="I58" s="533"/>
      <c r="J58" s="604"/>
      <c r="K58" s="355"/>
      <c r="L58" s="352"/>
      <c r="M58" s="352"/>
      <c r="N58" s="352"/>
      <c r="O58" s="358"/>
      <c r="P58" s="604"/>
      <c r="Q58" s="352"/>
      <c r="R58" s="352"/>
      <c r="S58" s="352"/>
      <c r="T58" s="352"/>
      <c r="U58" s="358"/>
      <c r="V58" s="604"/>
      <c r="W58" s="352"/>
      <c r="X58" s="352"/>
      <c r="Y58" s="352"/>
      <c r="Z58" s="352"/>
      <c r="AA58" s="358"/>
      <c r="AB58" s="604"/>
      <c r="AC58" s="352"/>
      <c r="AD58" s="352"/>
      <c r="AE58" s="352"/>
      <c r="AF58" s="352"/>
      <c r="AG58" s="358"/>
      <c r="AH58" s="604"/>
      <c r="AI58" s="352"/>
      <c r="AJ58" s="352"/>
      <c r="AK58" s="352"/>
      <c r="AL58" s="352"/>
      <c r="AM58" s="358"/>
      <c r="AN58" s="604"/>
      <c r="AO58" s="352"/>
      <c r="AP58" s="352"/>
      <c r="AQ58" s="352"/>
      <c r="AR58" s="352"/>
      <c r="AS58" s="358"/>
      <c r="AT58" s="604"/>
      <c r="AU58" s="352"/>
      <c r="AV58" s="352"/>
      <c r="AW58" s="352"/>
      <c r="AX58" s="352"/>
      <c r="AY58" s="358"/>
      <c r="AZ58" s="604"/>
      <c r="BA58" s="352"/>
      <c r="BB58" s="352"/>
      <c r="BC58" s="352"/>
      <c r="BD58" s="352"/>
      <c r="BE58" s="358"/>
      <c r="BF58" s="604"/>
      <c r="BG58" s="352"/>
      <c r="BH58" s="352"/>
      <c r="BI58" s="352"/>
      <c r="BJ58" s="352"/>
      <c r="BK58" s="358"/>
      <c r="BL58" s="604"/>
      <c r="BM58" s="352"/>
      <c r="BN58" s="352"/>
      <c r="BO58" s="352"/>
      <c r="BP58" s="352"/>
      <c r="BQ58" s="358"/>
      <c r="BR58" s="351"/>
      <c r="BS58" s="352"/>
      <c r="BT58" s="352"/>
      <c r="BU58" s="352"/>
      <c r="BV58" s="352"/>
      <c r="BW58" s="358"/>
      <c r="BX58" s="213"/>
      <c r="BY58" s="213"/>
      <c r="BZ58" s="213"/>
      <c r="CA58" s="213"/>
      <c r="CB58" s="213"/>
      <c r="CC58" s="213"/>
      <c r="CD58" s="213"/>
      <c r="CE58" s="213"/>
      <c r="CF58" s="213"/>
      <c r="CG58" s="213"/>
      <c r="CH58" s="213"/>
      <c r="CI58" s="213"/>
      <c r="CJ58" s="213"/>
      <c r="CK58" s="213"/>
      <c r="CL58" s="213"/>
      <c r="CM58" s="213"/>
      <c r="CN58" s="213"/>
      <c r="CO58" s="213"/>
      <c r="CP58" s="213"/>
      <c r="CQ58" s="213"/>
    </row>
    <row r="59" ht="15.75" hidden="1" customHeight="1">
      <c r="A59" s="213"/>
      <c r="B59" s="492"/>
      <c r="C59" s="492"/>
      <c r="D59" s="604"/>
      <c r="E59" s="355"/>
      <c r="F59" s="357"/>
      <c r="G59" s="357"/>
      <c r="H59" s="357"/>
      <c r="I59" s="533"/>
      <c r="J59" s="604"/>
      <c r="K59" s="355"/>
      <c r="L59" s="352"/>
      <c r="M59" s="352"/>
      <c r="N59" s="352"/>
      <c r="O59" s="358"/>
      <c r="P59" s="604"/>
      <c r="Q59" s="352"/>
      <c r="R59" s="352"/>
      <c r="S59" s="352"/>
      <c r="T59" s="352"/>
      <c r="U59" s="358"/>
      <c r="V59" s="604"/>
      <c r="W59" s="352"/>
      <c r="X59" s="352"/>
      <c r="Y59" s="352"/>
      <c r="Z59" s="352"/>
      <c r="AA59" s="358"/>
      <c r="AB59" s="604"/>
      <c r="AC59" s="352"/>
      <c r="AD59" s="352"/>
      <c r="AE59" s="352"/>
      <c r="AF59" s="352"/>
      <c r="AG59" s="358"/>
      <c r="AH59" s="604"/>
      <c r="AI59" s="352"/>
      <c r="AJ59" s="352"/>
      <c r="AK59" s="352"/>
      <c r="AL59" s="352"/>
      <c r="AM59" s="358"/>
      <c r="AN59" s="604"/>
      <c r="AO59" s="352"/>
      <c r="AP59" s="352"/>
      <c r="AQ59" s="352"/>
      <c r="AR59" s="352"/>
      <c r="AS59" s="358"/>
      <c r="AT59" s="604"/>
      <c r="AU59" s="352"/>
      <c r="AV59" s="352"/>
      <c r="AW59" s="352"/>
      <c r="AX59" s="352"/>
      <c r="AY59" s="358"/>
      <c r="AZ59" s="604"/>
      <c r="BA59" s="352"/>
      <c r="BB59" s="352"/>
      <c r="BC59" s="352"/>
      <c r="BD59" s="352"/>
      <c r="BE59" s="358"/>
      <c r="BF59" s="604"/>
      <c r="BG59" s="352"/>
      <c r="BH59" s="352"/>
      <c r="BI59" s="352"/>
      <c r="BJ59" s="352"/>
      <c r="BK59" s="358"/>
      <c r="BL59" s="604"/>
      <c r="BM59" s="352"/>
      <c r="BN59" s="352"/>
      <c r="BO59" s="352"/>
      <c r="BP59" s="352"/>
      <c r="BQ59" s="358"/>
      <c r="BR59" s="351"/>
      <c r="BS59" s="352"/>
      <c r="BT59" s="352"/>
      <c r="BU59" s="352"/>
      <c r="BV59" s="352"/>
      <c r="BW59" s="358"/>
      <c r="BX59" s="213"/>
      <c r="BY59" s="213"/>
      <c r="BZ59" s="213"/>
      <c r="CA59" s="213"/>
      <c r="CB59" s="213"/>
      <c r="CC59" s="213"/>
      <c r="CD59" s="213"/>
      <c r="CE59" s="213"/>
      <c r="CF59" s="213"/>
      <c r="CG59" s="213"/>
      <c r="CH59" s="213"/>
      <c r="CI59" s="213"/>
      <c r="CJ59" s="213"/>
      <c r="CK59" s="213"/>
      <c r="CL59" s="213"/>
      <c r="CM59" s="213"/>
      <c r="CN59" s="213"/>
      <c r="CO59" s="213"/>
      <c r="CP59" s="213"/>
      <c r="CQ59" s="213"/>
    </row>
    <row r="60" ht="15.75" hidden="1" customHeight="1">
      <c r="A60" s="213"/>
      <c r="B60" s="492"/>
      <c r="C60" s="492"/>
      <c r="D60" s="604"/>
      <c r="E60" s="355"/>
      <c r="F60" s="357"/>
      <c r="G60" s="357"/>
      <c r="H60" s="357"/>
      <c r="I60" s="533"/>
      <c r="J60" s="604"/>
      <c r="K60" s="355"/>
      <c r="L60" s="352"/>
      <c r="M60" s="352"/>
      <c r="N60" s="352"/>
      <c r="O60" s="358"/>
      <c r="P60" s="604"/>
      <c r="Q60" s="352"/>
      <c r="R60" s="352"/>
      <c r="S60" s="352"/>
      <c r="T60" s="352"/>
      <c r="U60" s="358"/>
      <c r="V60" s="604"/>
      <c r="W60" s="352"/>
      <c r="X60" s="352"/>
      <c r="Y60" s="352"/>
      <c r="Z60" s="352"/>
      <c r="AA60" s="358"/>
      <c r="AB60" s="604"/>
      <c r="AC60" s="352"/>
      <c r="AD60" s="352"/>
      <c r="AE60" s="352"/>
      <c r="AF60" s="352"/>
      <c r="AG60" s="358"/>
      <c r="AH60" s="604"/>
      <c r="AI60" s="352"/>
      <c r="AJ60" s="352"/>
      <c r="AK60" s="352"/>
      <c r="AL60" s="352"/>
      <c r="AM60" s="358"/>
      <c r="AN60" s="604"/>
      <c r="AO60" s="352"/>
      <c r="AP60" s="352"/>
      <c r="AQ60" s="352"/>
      <c r="AR60" s="352"/>
      <c r="AS60" s="358"/>
      <c r="AT60" s="604"/>
      <c r="AU60" s="352"/>
      <c r="AV60" s="352"/>
      <c r="AW60" s="352"/>
      <c r="AX60" s="352"/>
      <c r="AY60" s="358"/>
      <c r="AZ60" s="604"/>
      <c r="BA60" s="352"/>
      <c r="BB60" s="352"/>
      <c r="BC60" s="352"/>
      <c r="BD60" s="352"/>
      <c r="BE60" s="358"/>
      <c r="BF60" s="604"/>
      <c r="BG60" s="352"/>
      <c r="BH60" s="352"/>
      <c r="BI60" s="352"/>
      <c r="BJ60" s="352"/>
      <c r="BK60" s="358"/>
      <c r="BL60" s="604"/>
      <c r="BM60" s="352"/>
      <c r="BN60" s="352"/>
      <c r="BO60" s="352"/>
      <c r="BP60" s="352"/>
      <c r="BQ60" s="358"/>
      <c r="BR60" s="351"/>
      <c r="BS60" s="352"/>
      <c r="BT60" s="352"/>
      <c r="BU60" s="352"/>
      <c r="BV60" s="352"/>
      <c r="BW60" s="358"/>
      <c r="BX60" s="213"/>
      <c r="BY60" s="213"/>
      <c r="BZ60" s="213"/>
      <c r="CA60" s="213"/>
      <c r="CB60" s="213"/>
      <c r="CC60" s="213"/>
      <c r="CD60" s="213"/>
      <c r="CE60" s="213"/>
      <c r="CF60" s="213"/>
      <c r="CG60" s="213"/>
      <c r="CH60" s="213"/>
      <c r="CI60" s="213"/>
      <c r="CJ60" s="213"/>
      <c r="CK60" s="213"/>
      <c r="CL60" s="213"/>
      <c r="CM60" s="213"/>
      <c r="CN60" s="213"/>
      <c r="CO60" s="213"/>
      <c r="CP60" s="213"/>
      <c r="CQ60" s="213"/>
    </row>
    <row r="61" ht="15.75" hidden="1" customHeight="1">
      <c r="A61" s="213"/>
      <c r="B61" s="492"/>
      <c r="C61" s="492"/>
      <c r="D61" s="604"/>
      <c r="E61" s="355"/>
      <c r="F61" s="357"/>
      <c r="G61" s="357"/>
      <c r="H61" s="357"/>
      <c r="I61" s="533"/>
      <c r="J61" s="604"/>
      <c r="K61" s="355"/>
      <c r="L61" s="352"/>
      <c r="M61" s="352"/>
      <c r="N61" s="352"/>
      <c r="O61" s="358"/>
      <c r="P61" s="604"/>
      <c r="Q61" s="352"/>
      <c r="R61" s="352"/>
      <c r="S61" s="352"/>
      <c r="T61" s="352"/>
      <c r="U61" s="358"/>
      <c r="V61" s="604"/>
      <c r="W61" s="352"/>
      <c r="X61" s="352"/>
      <c r="Y61" s="352"/>
      <c r="Z61" s="352"/>
      <c r="AA61" s="358"/>
      <c r="AB61" s="604"/>
      <c r="AC61" s="352"/>
      <c r="AD61" s="352"/>
      <c r="AE61" s="352"/>
      <c r="AF61" s="352"/>
      <c r="AG61" s="358"/>
      <c r="AH61" s="604"/>
      <c r="AI61" s="352"/>
      <c r="AJ61" s="352"/>
      <c r="AK61" s="352"/>
      <c r="AL61" s="352"/>
      <c r="AM61" s="358"/>
      <c r="AN61" s="604"/>
      <c r="AO61" s="352"/>
      <c r="AP61" s="352"/>
      <c r="AQ61" s="352"/>
      <c r="AR61" s="352"/>
      <c r="AS61" s="358"/>
      <c r="AT61" s="604"/>
      <c r="AU61" s="352"/>
      <c r="AV61" s="352"/>
      <c r="AW61" s="352"/>
      <c r="AX61" s="352"/>
      <c r="AY61" s="358"/>
      <c r="AZ61" s="604"/>
      <c r="BA61" s="352"/>
      <c r="BB61" s="352"/>
      <c r="BC61" s="352"/>
      <c r="BD61" s="352"/>
      <c r="BE61" s="358"/>
      <c r="BF61" s="604"/>
      <c r="BG61" s="352"/>
      <c r="BH61" s="352"/>
      <c r="BI61" s="352"/>
      <c r="BJ61" s="352"/>
      <c r="BK61" s="358"/>
      <c r="BL61" s="604"/>
      <c r="BM61" s="352"/>
      <c r="BN61" s="352"/>
      <c r="BO61" s="352"/>
      <c r="BP61" s="352"/>
      <c r="BQ61" s="358"/>
      <c r="BR61" s="351"/>
      <c r="BS61" s="352"/>
      <c r="BT61" s="352"/>
      <c r="BU61" s="352"/>
      <c r="BV61" s="352"/>
      <c r="BW61" s="358"/>
      <c r="BX61" s="213"/>
      <c r="BY61" s="213"/>
      <c r="BZ61" s="213"/>
      <c r="CA61" s="213"/>
      <c r="CB61" s="213"/>
      <c r="CC61" s="213"/>
      <c r="CD61" s="213"/>
      <c r="CE61" s="213"/>
      <c r="CF61" s="213"/>
      <c r="CG61" s="213"/>
      <c r="CH61" s="213"/>
      <c r="CI61" s="213"/>
      <c r="CJ61" s="213"/>
      <c r="CK61" s="213"/>
      <c r="CL61" s="213"/>
      <c r="CM61" s="213"/>
      <c r="CN61" s="213"/>
      <c r="CO61" s="213"/>
      <c r="CP61" s="213"/>
      <c r="CQ61" s="213"/>
    </row>
    <row r="62" ht="15.75" hidden="1" customHeight="1">
      <c r="A62" s="213"/>
      <c r="B62" s="492"/>
      <c r="C62" s="492"/>
      <c r="D62" s="604"/>
      <c r="E62" s="352"/>
      <c r="F62" s="352"/>
      <c r="G62" s="352"/>
      <c r="H62" s="352"/>
      <c r="I62" s="358"/>
      <c r="J62" s="393"/>
      <c r="K62" s="352"/>
      <c r="L62" s="352"/>
      <c r="M62" s="352"/>
      <c r="N62" s="352"/>
      <c r="O62" s="358"/>
      <c r="P62" s="393"/>
      <c r="Q62" s="352"/>
      <c r="R62" s="352"/>
      <c r="S62" s="352"/>
      <c r="T62" s="352"/>
      <c r="U62" s="358"/>
      <c r="V62" s="393"/>
      <c r="W62" s="352"/>
      <c r="X62" s="352"/>
      <c r="Y62" s="352"/>
      <c r="Z62" s="352"/>
      <c r="AA62" s="358"/>
      <c r="AB62" s="604"/>
      <c r="AC62" s="352"/>
      <c r="AD62" s="352"/>
      <c r="AE62" s="352"/>
      <c r="AF62" s="352"/>
      <c r="AG62" s="358"/>
      <c r="AH62" s="604"/>
      <c r="AI62" s="352"/>
      <c r="AJ62" s="352"/>
      <c r="AK62" s="352"/>
      <c r="AL62" s="352"/>
      <c r="AM62" s="358"/>
      <c r="AN62" s="604"/>
      <c r="AO62" s="352"/>
      <c r="AP62" s="352"/>
      <c r="AQ62" s="352"/>
      <c r="AR62" s="352"/>
      <c r="AS62" s="358"/>
      <c r="AT62" s="604"/>
      <c r="AU62" s="352"/>
      <c r="AV62" s="352"/>
      <c r="AW62" s="352"/>
      <c r="AX62" s="352"/>
      <c r="AY62" s="358"/>
      <c r="AZ62" s="604"/>
      <c r="BA62" s="352"/>
      <c r="BB62" s="352"/>
      <c r="BC62" s="352"/>
      <c r="BD62" s="352"/>
      <c r="BE62" s="358"/>
      <c r="BF62" s="604"/>
      <c r="BG62" s="352"/>
      <c r="BH62" s="352"/>
      <c r="BI62" s="352"/>
      <c r="BJ62" s="352"/>
      <c r="BK62" s="358"/>
      <c r="BL62" s="604"/>
      <c r="BM62" s="352"/>
      <c r="BN62" s="352"/>
      <c r="BO62" s="352"/>
      <c r="BP62" s="352"/>
      <c r="BQ62" s="358"/>
      <c r="BR62" s="351"/>
      <c r="BS62" s="352"/>
      <c r="BT62" s="352"/>
      <c r="BU62" s="352"/>
      <c r="BV62" s="245"/>
      <c r="BW62" s="350"/>
      <c r="BX62" s="213"/>
      <c r="BY62" s="213"/>
      <c r="BZ62" s="213"/>
      <c r="CA62" s="213"/>
      <c r="CB62" s="213"/>
      <c r="CC62" s="213"/>
      <c r="CD62" s="213"/>
      <c r="CE62" s="213"/>
      <c r="CF62" s="213"/>
      <c r="CG62" s="213"/>
      <c r="CH62" s="213"/>
      <c r="CI62" s="213"/>
      <c r="CJ62" s="213"/>
      <c r="CK62" s="213"/>
      <c r="CL62" s="213"/>
      <c r="CM62" s="213"/>
      <c r="CN62" s="213"/>
      <c r="CO62" s="213"/>
      <c r="CP62" s="213"/>
      <c r="CQ62" s="213"/>
    </row>
    <row r="63" ht="15.75" hidden="1" customHeight="1">
      <c r="A63" s="213"/>
      <c r="B63" s="492"/>
      <c r="C63" s="492"/>
      <c r="D63" s="604"/>
      <c r="E63" s="355"/>
      <c r="F63" s="357"/>
      <c r="G63" s="355"/>
      <c r="H63" s="357"/>
      <c r="I63" s="395"/>
      <c r="J63" s="604"/>
      <c r="K63" s="355"/>
      <c r="L63" s="357"/>
      <c r="M63" s="355"/>
      <c r="N63" s="352"/>
      <c r="O63" s="358"/>
      <c r="P63" s="604"/>
      <c r="Q63" s="355"/>
      <c r="R63" s="352"/>
      <c r="S63" s="355"/>
      <c r="T63" s="352"/>
      <c r="U63" s="358"/>
      <c r="V63" s="604"/>
      <c r="W63" s="355"/>
      <c r="X63" s="352"/>
      <c r="Y63" s="355"/>
      <c r="Z63" s="352"/>
      <c r="AA63" s="358"/>
      <c r="AB63" s="604"/>
      <c r="AC63" s="352"/>
      <c r="AD63" s="352"/>
      <c r="AE63" s="355"/>
      <c r="AF63" s="352"/>
      <c r="AG63" s="358"/>
      <c r="AH63" s="604"/>
      <c r="AI63" s="352"/>
      <c r="AJ63" s="352"/>
      <c r="AK63" s="355"/>
      <c r="AL63" s="352"/>
      <c r="AM63" s="358"/>
      <c r="AN63" s="349"/>
      <c r="AO63" s="355"/>
      <c r="AP63" s="352"/>
      <c r="AQ63" s="355"/>
      <c r="AR63" s="352"/>
      <c r="AS63" s="358"/>
      <c r="AT63" s="349"/>
      <c r="AU63" s="352"/>
      <c r="AV63" s="352"/>
      <c r="AW63" s="355"/>
      <c r="AX63" s="352"/>
      <c r="AY63" s="358"/>
      <c r="AZ63" s="349"/>
      <c r="BA63" s="352"/>
      <c r="BB63" s="352"/>
      <c r="BC63" s="355"/>
      <c r="BD63" s="352"/>
      <c r="BE63" s="358"/>
      <c r="BF63" s="349"/>
      <c r="BG63" s="352"/>
      <c r="BH63" s="352"/>
      <c r="BI63" s="355"/>
      <c r="BJ63" s="352"/>
      <c r="BK63" s="358"/>
      <c r="BL63" s="349"/>
      <c r="BM63" s="352"/>
      <c r="BN63" s="352"/>
      <c r="BO63" s="355"/>
      <c r="BP63" s="352"/>
      <c r="BQ63" s="358"/>
      <c r="BR63" s="351"/>
      <c r="BS63" s="352"/>
      <c r="BT63" s="645"/>
      <c r="BU63" s="763"/>
      <c r="BV63" s="645"/>
      <c r="BW63" s="648"/>
      <c r="BX63" s="213"/>
      <c r="BY63" s="213"/>
      <c r="BZ63" s="213"/>
      <c r="CA63" s="213"/>
      <c r="CB63" s="213"/>
      <c r="CC63" s="213"/>
      <c r="CD63" s="213"/>
      <c r="CE63" s="213"/>
      <c r="CF63" s="213"/>
      <c r="CG63" s="213"/>
      <c r="CH63" s="213"/>
      <c r="CI63" s="213"/>
      <c r="CJ63" s="213"/>
      <c r="CK63" s="213"/>
      <c r="CL63" s="213"/>
      <c r="CM63" s="213"/>
      <c r="CN63" s="213"/>
      <c r="CO63" s="213"/>
      <c r="CP63" s="213"/>
      <c r="CQ63" s="213"/>
    </row>
    <row r="64" ht="15.75" hidden="1" customHeight="1">
      <c r="A64" s="213"/>
      <c r="B64" s="492"/>
      <c r="C64" s="492"/>
      <c r="D64" s="604"/>
      <c r="E64" s="352"/>
      <c r="F64" s="352"/>
      <c r="G64" s="352"/>
      <c r="H64" s="352"/>
      <c r="I64" s="358"/>
      <c r="J64" s="393"/>
      <c r="K64" s="352"/>
      <c r="L64" s="352"/>
      <c r="M64" s="352"/>
      <c r="N64" s="352"/>
      <c r="O64" s="358"/>
      <c r="P64" s="393"/>
      <c r="Q64" s="352"/>
      <c r="R64" s="352"/>
      <c r="S64" s="352"/>
      <c r="T64" s="352"/>
      <c r="U64" s="358"/>
      <c r="V64" s="393"/>
      <c r="W64" s="352"/>
      <c r="X64" s="352"/>
      <c r="Y64" s="352"/>
      <c r="Z64" s="352"/>
      <c r="AA64" s="358"/>
      <c r="AB64" s="604"/>
      <c r="AC64" s="352"/>
      <c r="AD64" s="352"/>
      <c r="AE64" s="352"/>
      <c r="AF64" s="352"/>
      <c r="AG64" s="358"/>
      <c r="AH64" s="604"/>
      <c r="AI64" s="352"/>
      <c r="AJ64" s="352"/>
      <c r="AK64" s="352"/>
      <c r="AL64" s="352"/>
      <c r="AM64" s="358"/>
      <c r="AN64" s="604"/>
      <c r="AO64" s="352"/>
      <c r="AP64" s="352"/>
      <c r="AQ64" s="352"/>
      <c r="AR64" s="352"/>
      <c r="AS64" s="358"/>
      <c r="AT64" s="604"/>
      <c r="AU64" s="352"/>
      <c r="AV64" s="352"/>
      <c r="AW64" s="352"/>
      <c r="AX64" s="352"/>
      <c r="AY64" s="358"/>
      <c r="AZ64" s="604"/>
      <c r="BA64" s="352"/>
      <c r="BB64" s="352"/>
      <c r="BC64" s="352"/>
      <c r="BD64" s="352"/>
      <c r="BE64" s="358"/>
      <c r="BF64" s="604"/>
      <c r="BG64" s="352"/>
      <c r="BH64" s="352"/>
      <c r="BI64" s="352"/>
      <c r="BJ64" s="352"/>
      <c r="BK64" s="358"/>
      <c r="BL64" s="604"/>
      <c r="BM64" s="352"/>
      <c r="BN64" s="352"/>
      <c r="BO64" s="352"/>
      <c r="BP64" s="352"/>
      <c r="BQ64" s="358"/>
      <c r="BR64" s="351"/>
      <c r="BS64" s="352"/>
      <c r="BT64" s="352"/>
      <c r="BU64" s="352"/>
      <c r="BV64" s="352"/>
      <c r="BW64" s="358"/>
      <c r="BX64" s="213"/>
      <c r="BY64" s="213"/>
      <c r="BZ64" s="213"/>
      <c r="CA64" s="213"/>
      <c r="CB64" s="213"/>
      <c r="CC64" s="213"/>
      <c r="CD64" s="213"/>
      <c r="CE64" s="213"/>
      <c r="CF64" s="213"/>
      <c r="CG64" s="213"/>
      <c r="CH64" s="213"/>
      <c r="CI64" s="213"/>
      <c r="CJ64" s="213"/>
      <c r="CK64" s="213"/>
      <c r="CL64" s="213"/>
      <c r="CM64" s="213"/>
      <c r="CN64" s="213"/>
      <c r="CO64" s="213"/>
      <c r="CP64" s="213"/>
      <c r="CQ64" s="213"/>
    </row>
    <row r="65" ht="15.75" hidden="1" customHeight="1">
      <c r="A65" s="213"/>
      <c r="B65" s="492"/>
      <c r="C65" s="492"/>
      <c r="D65" s="604"/>
      <c r="E65" s="352"/>
      <c r="F65" s="352"/>
      <c r="G65" s="352"/>
      <c r="H65" s="352"/>
      <c r="I65" s="358"/>
      <c r="J65" s="393"/>
      <c r="K65" s="352"/>
      <c r="L65" s="352"/>
      <c r="M65" s="352"/>
      <c r="N65" s="352"/>
      <c r="O65" s="358"/>
      <c r="P65" s="393"/>
      <c r="Q65" s="352"/>
      <c r="R65" s="352"/>
      <c r="S65" s="352"/>
      <c r="T65" s="352"/>
      <c r="U65" s="358"/>
      <c r="V65" s="393"/>
      <c r="W65" s="352"/>
      <c r="X65" s="352"/>
      <c r="Y65" s="352"/>
      <c r="Z65" s="352"/>
      <c r="AA65" s="358"/>
      <c r="AB65" s="604"/>
      <c r="AC65" s="352"/>
      <c r="AD65" s="352"/>
      <c r="AE65" s="352"/>
      <c r="AF65" s="352"/>
      <c r="AG65" s="358"/>
      <c r="AH65" s="604"/>
      <c r="AI65" s="352"/>
      <c r="AJ65" s="352"/>
      <c r="AK65" s="352"/>
      <c r="AL65" s="352"/>
      <c r="AM65" s="358"/>
      <c r="AN65" s="604"/>
      <c r="AO65" s="352"/>
      <c r="AP65" s="352"/>
      <c r="AQ65" s="352"/>
      <c r="AR65" s="352"/>
      <c r="AS65" s="358"/>
      <c r="AT65" s="604"/>
      <c r="AU65" s="352"/>
      <c r="AV65" s="352"/>
      <c r="AW65" s="352"/>
      <c r="AX65" s="352"/>
      <c r="AY65" s="358"/>
      <c r="AZ65" s="604"/>
      <c r="BA65" s="352"/>
      <c r="BB65" s="352"/>
      <c r="BC65" s="352"/>
      <c r="BD65" s="352"/>
      <c r="BE65" s="358"/>
      <c r="BF65" s="604"/>
      <c r="BG65" s="352"/>
      <c r="BH65" s="352"/>
      <c r="BI65" s="352"/>
      <c r="BJ65" s="352"/>
      <c r="BK65" s="358"/>
      <c r="BL65" s="604"/>
      <c r="BM65" s="352"/>
      <c r="BN65" s="352"/>
      <c r="BO65" s="352"/>
      <c r="BP65" s="352"/>
      <c r="BQ65" s="358"/>
      <c r="BR65" s="351"/>
      <c r="BS65" s="352"/>
      <c r="BT65" s="352"/>
      <c r="BU65" s="352"/>
      <c r="BV65" s="352"/>
      <c r="BW65" s="358"/>
      <c r="BX65" s="213"/>
      <c r="BY65" s="213"/>
      <c r="BZ65" s="213"/>
      <c r="CA65" s="213"/>
      <c r="CB65" s="213"/>
      <c r="CC65" s="213"/>
      <c r="CD65" s="213"/>
      <c r="CE65" s="213"/>
      <c r="CF65" s="213"/>
      <c r="CG65" s="213"/>
      <c r="CH65" s="213"/>
      <c r="CI65" s="213"/>
      <c r="CJ65" s="213"/>
      <c r="CK65" s="213"/>
      <c r="CL65" s="213"/>
      <c r="CM65" s="213"/>
      <c r="CN65" s="213"/>
      <c r="CO65" s="213"/>
      <c r="CP65" s="213"/>
      <c r="CQ65" s="213"/>
    </row>
    <row r="66" ht="15.75" hidden="1" customHeight="1">
      <c r="A66" s="213"/>
      <c r="B66" s="492"/>
      <c r="C66" s="492"/>
      <c r="D66" s="604"/>
      <c r="E66" s="352"/>
      <c r="F66" s="352"/>
      <c r="G66" s="352"/>
      <c r="H66" s="352"/>
      <c r="I66" s="358"/>
      <c r="J66" s="393"/>
      <c r="K66" s="352"/>
      <c r="L66" s="352"/>
      <c r="M66" s="352"/>
      <c r="N66" s="352"/>
      <c r="O66" s="358"/>
      <c r="P66" s="393"/>
      <c r="Q66" s="352"/>
      <c r="R66" s="352"/>
      <c r="S66" s="352"/>
      <c r="T66" s="352"/>
      <c r="U66" s="358"/>
      <c r="V66" s="393"/>
      <c r="W66" s="352"/>
      <c r="X66" s="352"/>
      <c r="Y66" s="352"/>
      <c r="Z66" s="352"/>
      <c r="AA66" s="358"/>
      <c r="AB66" s="604"/>
      <c r="AC66" s="352"/>
      <c r="AD66" s="352"/>
      <c r="AE66" s="352"/>
      <c r="AF66" s="352"/>
      <c r="AG66" s="358"/>
      <c r="AH66" s="604"/>
      <c r="AI66" s="352"/>
      <c r="AJ66" s="352"/>
      <c r="AK66" s="352"/>
      <c r="AL66" s="352"/>
      <c r="AM66" s="358"/>
      <c r="AN66" s="604"/>
      <c r="AO66" s="352"/>
      <c r="AP66" s="352"/>
      <c r="AQ66" s="352"/>
      <c r="AR66" s="352"/>
      <c r="AS66" s="358"/>
      <c r="AT66" s="604"/>
      <c r="AU66" s="352"/>
      <c r="AV66" s="352"/>
      <c r="AW66" s="352"/>
      <c r="AX66" s="352"/>
      <c r="AY66" s="358"/>
      <c r="AZ66" s="604"/>
      <c r="BA66" s="352"/>
      <c r="BB66" s="352"/>
      <c r="BC66" s="352"/>
      <c r="BD66" s="352"/>
      <c r="BE66" s="358"/>
      <c r="BF66" s="604"/>
      <c r="BG66" s="352"/>
      <c r="BH66" s="352"/>
      <c r="BI66" s="352"/>
      <c r="BJ66" s="352"/>
      <c r="BK66" s="358"/>
      <c r="BL66" s="604"/>
      <c r="BM66" s="352"/>
      <c r="BN66" s="352"/>
      <c r="BO66" s="352"/>
      <c r="BP66" s="352"/>
      <c r="BQ66" s="358"/>
      <c r="BR66" s="351"/>
      <c r="BS66" s="352"/>
      <c r="BT66" s="352"/>
      <c r="BU66" s="352"/>
      <c r="BV66" s="352"/>
      <c r="BW66" s="358"/>
      <c r="BX66" s="213"/>
      <c r="BY66" s="213"/>
      <c r="BZ66" s="213"/>
      <c r="CA66" s="213"/>
      <c r="CB66" s="213"/>
      <c r="CC66" s="213"/>
      <c r="CD66" s="213"/>
      <c r="CE66" s="213"/>
      <c r="CF66" s="213"/>
      <c r="CG66" s="213"/>
      <c r="CH66" s="213"/>
      <c r="CI66" s="213"/>
      <c r="CJ66" s="213"/>
      <c r="CK66" s="213"/>
      <c r="CL66" s="213"/>
      <c r="CM66" s="213"/>
      <c r="CN66" s="213"/>
      <c r="CO66" s="213"/>
      <c r="CP66" s="213"/>
      <c r="CQ66" s="213"/>
    </row>
    <row r="67" ht="15.75" hidden="1" customHeight="1">
      <c r="A67" s="213"/>
      <c r="B67" s="492"/>
      <c r="C67" s="492"/>
      <c r="D67" s="604"/>
      <c r="E67" s="352"/>
      <c r="F67" s="352"/>
      <c r="G67" s="352"/>
      <c r="H67" s="352"/>
      <c r="I67" s="358"/>
      <c r="J67" s="393"/>
      <c r="K67" s="352"/>
      <c r="L67" s="352"/>
      <c r="M67" s="352"/>
      <c r="N67" s="352"/>
      <c r="O67" s="358"/>
      <c r="P67" s="393"/>
      <c r="Q67" s="352"/>
      <c r="R67" s="352"/>
      <c r="S67" s="352"/>
      <c r="T67" s="352"/>
      <c r="U67" s="358"/>
      <c r="V67" s="393"/>
      <c r="W67" s="352"/>
      <c r="X67" s="352"/>
      <c r="Y67" s="352"/>
      <c r="Z67" s="352"/>
      <c r="AA67" s="358"/>
      <c r="AB67" s="604"/>
      <c r="AC67" s="352"/>
      <c r="AD67" s="352"/>
      <c r="AE67" s="352"/>
      <c r="AF67" s="352"/>
      <c r="AG67" s="358"/>
      <c r="AH67" s="604"/>
      <c r="AI67" s="352"/>
      <c r="AJ67" s="352"/>
      <c r="AK67" s="352"/>
      <c r="AL67" s="352"/>
      <c r="AM67" s="358"/>
      <c r="AN67" s="604"/>
      <c r="AO67" s="352"/>
      <c r="AP67" s="352"/>
      <c r="AQ67" s="352"/>
      <c r="AR67" s="352"/>
      <c r="AS67" s="358"/>
      <c r="AT67" s="604"/>
      <c r="AU67" s="352"/>
      <c r="AV67" s="352"/>
      <c r="AW67" s="352"/>
      <c r="AX67" s="352"/>
      <c r="AY67" s="358"/>
      <c r="AZ67" s="604"/>
      <c r="BA67" s="352"/>
      <c r="BB67" s="352"/>
      <c r="BC67" s="352"/>
      <c r="BD67" s="352"/>
      <c r="BE67" s="358"/>
      <c r="BF67" s="604"/>
      <c r="BG67" s="352"/>
      <c r="BH67" s="352"/>
      <c r="BI67" s="352"/>
      <c r="BJ67" s="352"/>
      <c r="BK67" s="358"/>
      <c r="BL67" s="604"/>
      <c r="BM67" s="352"/>
      <c r="BN67" s="352"/>
      <c r="BO67" s="352"/>
      <c r="BP67" s="352"/>
      <c r="BQ67" s="358"/>
      <c r="BR67" s="351"/>
      <c r="BS67" s="352"/>
      <c r="BT67" s="352"/>
      <c r="BU67" s="352"/>
      <c r="BV67" s="352"/>
      <c r="BW67" s="358"/>
      <c r="BX67" s="213"/>
      <c r="BY67" s="213"/>
      <c r="BZ67" s="213"/>
      <c r="CA67" s="213"/>
      <c r="CB67" s="213"/>
      <c r="CC67" s="213"/>
      <c r="CD67" s="213"/>
      <c r="CE67" s="213"/>
      <c r="CF67" s="213"/>
      <c r="CG67" s="213"/>
      <c r="CH67" s="213"/>
      <c r="CI67" s="213"/>
      <c r="CJ67" s="213"/>
      <c r="CK67" s="213"/>
      <c r="CL67" s="213"/>
      <c r="CM67" s="213"/>
      <c r="CN67" s="213"/>
      <c r="CO67" s="213"/>
      <c r="CP67" s="213"/>
      <c r="CQ67" s="213"/>
    </row>
    <row r="68" ht="15.75" hidden="1" customHeight="1">
      <c r="A68" s="213"/>
      <c r="B68" s="502"/>
      <c r="C68" s="502"/>
      <c r="D68" s="619"/>
      <c r="E68" s="364"/>
      <c r="F68" s="364"/>
      <c r="G68" s="364"/>
      <c r="H68" s="364"/>
      <c r="I68" s="368"/>
      <c r="J68" s="403"/>
      <c r="K68" s="364"/>
      <c r="L68" s="364"/>
      <c r="M68" s="364"/>
      <c r="N68" s="364"/>
      <c r="O68" s="368"/>
      <c r="P68" s="403"/>
      <c r="Q68" s="364"/>
      <c r="R68" s="364"/>
      <c r="S68" s="364"/>
      <c r="T68" s="364"/>
      <c r="U68" s="368"/>
      <c r="V68" s="403"/>
      <c r="W68" s="364"/>
      <c r="X68" s="364"/>
      <c r="Y68" s="364"/>
      <c r="Z68" s="364"/>
      <c r="AA68" s="368"/>
      <c r="AB68" s="619"/>
      <c r="AC68" s="364"/>
      <c r="AD68" s="364"/>
      <c r="AE68" s="364"/>
      <c r="AF68" s="364"/>
      <c r="AG68" s="368"/>
      <c r="AH68" s="619"/>
      <c r="AI68" s="364"/>
      <c r="AJ68" s="364"/>
      <c r="AK68" s="364"/>
      <c r="AL68" s="364"/>
      <c r="AM68" s="368"/>
      <c r="AN68" s="619"/>
      <c r="AO68" s="364"/>
      <c r="AP68" s="364"/>
      <c r="AQ68" s="364"/>
      <c r="AR68" s="364"/>
      <c r="AS68" s="368"/>
      <c r="AT68" s="619"/>
      <c r="AU68" s="364"/>
      <c r="AV68" s="364"/>
      <c r="AW68" s="364"/>
      <c r="AX68" s="364"/>
      <c r="AY68" s="368"/>
      <c r="AZ68" s="619"/>
      <c r="BA68" s="364"/>
      <c r="BB68" s="364"/>
      <c r="BC68" s="364"/>
      <c r="BD68" s="364"/>
      <c r="BE68" s="368"/>
      <c r="BF68" s="619"/>
      <c r="BG68" s="364"/>
      <c r="BH68" s="364"/>
      <c r="BI68" s="364"/>
      <c r="BJ68" s="364"/>
      <c r="BK68" s="368"/>
      <c r="BL68" s="619"/>
      <c r="BM68" s="364"/>
      <c r="BN68" s="364"/>
      <c r="BO68" s="364"/>
      <c r="BP68" s="364"/>
      <c r="BQ68" s="368"/>
      <c r="BR68" s="506"/>
      <c r="BS68" s="364"/>
      <c r="BT68" s="364"/>
      <c r="BU68" s="364"/>
      <c r="BV68" s="364"/>
      <c r="BW68" s="368"/>
      <c r="BX68" s="213"/>
      <c r="BY68" s="213"/>
      <c r="BZ68" s="213"/>
      <c r="CA68" s="213"/>
      <c r="CB68" s="213"/>
      <c r="CC68" s="213"/>
      <c r="CD68" s="213"/>
      <c r="CE68" s="213"/>
      <c r="CF68" s="213"/>
      <c r="CG68" s="213"/>
      <c r="CH68" s="213"/>
      <c r="CI68" s="213"/>
      <c r="CJ68" s="213"/>
      <c r="CK68" s="213"/>
      <c r="CL68" s="213"/>
      <c r="CM68" s="213"/>
      <c r="CN68" s="213"/>
      <c r="CO68" s="213"/>
      <c r="CP68" s="213"/>
      <c r="CQ68" s="213"/>
    </row>
    <row r="69" ht="15.75" customHeight="1">
      <c r="A69" s="213"/>
      <c r="B69" s="764" t="s">
        <v>33</v>
      </c>
      <c r="C69" s="307" t="s">
        <v>33</v>
      </c>
      <c r="D69" s="600">
        <f>D32-D54-D63</f>
        <v>5856555.536</v>
      </c>
      <c r="E69" s="374">
        <f>D69/D$32</f>
        <v>0.6819976224</v>
      </c>
      <c r="F69" s="377">
        <f>F32-F54-F63</f>
        <v>6327008.574</v>
      </c>
      <c r="G69" s="374">
        <f>F69/F$32</f>
        <v>0.7504824095</v>
      </c>
      <c r="H69" s="377">
        <f>H32-H54-H63</f>
        <v>-470453.0384</v>
      </c>
      <c r="I69" s="379">
        <f>H69/H$32</f>
        <v>-3.00098899</v>
      </c>
      <c r="J69" s="600">
        <f>J32-J54-J63</f>
        <v>6513814.197</v>
      </c>
      <c r="K69" s="374">
        <f>J69/J$32</f>
        <v>0.6740394667</v>
      </c>
      <c r="L69" s="377">
        <f>L32-L54-L63</f>
        <v>6252020.405</v>
      </c>
      <c r="M69" s="374">
        <f>L69/L$32</f>
        <v>0.7503877769</v>
      </c>
      <c r="N69" s="377">
        <f>N32-N54</f>
        <v>0</v>
      </c>
      <c r="O69" s="378"/>
      <c r="P69" s="600">
        <f>P32-P54-P63</f>
        <v>5053608.172</v>
      </c>
      <c r="Q69" s="374">
        <f>P69/P$32</f>
        <v>0.6753819394</v>
      </c>
      <c r="R69" s="377">
        <f>R32-R54</f>
        <v>6146023.925</v>
      </c>
      <c r="S69" s="374">
        <f>R69/R$32</f>
        <v>0.7497180306</v>
      </c>
      <c r="T69" s="377">
        <f>T32-T54</f>
        <v>0</v>
      </c>
      <c r="U69" s="378"/>
      <c r="V69" s="600">
        <f>V32-V54-V63</f>
        <v>6694080.424</v>
      </c>
      <c r="W69" s="374">
        <f>V69/V$32</f>
        <v>0.7037396283</v>
      </c>
      <c r="X69" s="377">
        <f>X32-X54</f>
        <v>6743747.812</v>
      </c>
      <c r="Y69" s="374">
        <f>X69/X$32</f>
        <v>0.749270287</v>
      </c>
      <c r="Z69" s="377">
        <f>Z32-Z54</f>
        <v>0</v>
      </c>
      <c r="AA69" s="378"/>
      <c r="AB69" s="600">
        <f>AB32-AB54-AB63</f>
        <v>6517464.087</v>
      </c>
      <c r="AC69" s="374">
        <f>AB69/AB$32</f>
        <v>0.6955079052</v>
      </c>
      <c r="AD69" s="377">
        <f>AD32-AD54</f>
        <v>6825593.874</v>
      </c>
      <c r="AE69" s="374">
        <f>AD69/AD$32</f>
        <v>0.7500655277</v>
      </c>
      <c r="AF69" s="377">
        <f>AF32-AF54</f>
        <v>0</v>
      </c>
      <c r="AG69" s="378"/>
      <c r="AH69" s="600">
        <f>AH32-AH54</f>
        <v>6245701.745</v>
      </c>
      <c r="AI69" s="374">
        <f>AH69/AH$32</f>
        <v>0.6785420548</v>
      </c>
      <c r="AJ69" s="377">
        <f>AJ32-AJ54</f>
        <v>6768442.404</v>
      </c>
      <c r="AK69" s="374">
        <f>AJ69/AJ$32</f>
        <v>0.7494134095</v>
      </c>
      <c r="AL69" s="377">
        <f>AL32-AL54</f>
        <v>0</v>
      </c>
      <c r="AM69" s="378"/>
      <c r="AN69" s="600">
        <f>AN32-AN54-AN63</f>
        <v>5557349.724</v>
      </c>
      <c r="AO69" s="374">
        <f>AN69/AN$32</f>
        <v>0.6599647034</v>
      </c>
      <c r="AP69" s="377">
        <f>AP32-AP54</f>
        <v>7374064.549</v>
      </c>
      <c r="AQ69" s="374">
        <f>AP69/AP$32</f>
        <v>0.7498046468</v>
      </c>
      <c r="AR69" s="377">
        <f>AR32-AR54</f>
        <v>0</v>
      </c>
      <c r="AS69" s="378"/>
      <c r="AT69" s="600">
        <f>AT32-AT54</f>
        <v>6600147.588</v>
      </c>
      <c r="AU69" s="374">
        <f>AT69/AT$32</f>
        <v>0.7052235669</v>
      </c>
      <c r="AV69" s="377">
        <f>AV32-AV54</f>
        <v>7263254.188</v>
      </c>
      <c r="AW69" s="374">
        <f>AV69/AV$32</f>
        <v>0.7494927937</v>
      </c>
      <c r="AX69" s="377">
        <f>AX32-AX54</f>
        <v>0</v>
      </c>
      <c r="AY69" s="378"/>
      <c r="AZ69" s="600">
        <f>AZ32-AZ54</f>
        <v>6855128.937</v>
      </c>
      <c r="BA69" s="374">
        <f>AZ69/AZ$32</f>
        <v>0.6796929838</v>
      </c>
      <c r="BB69" s="377">
        <f>BB32-BB54</f>
        <v>7842326.097</v>
      </c>
      <c r="BC69" s="374">
        <f>BB69/BB$32</f>
        <v>0.7493381777</v>
      </c>
      <c r="BD69" s="377">
        <f>BD32-BD54</f>
        <v>0</v>
      </c>
      <c r="BE69" s="378"/>
      <c r="BF69" s="600">
        <f>BF32-BF54</f>
        <v>7174993.933</v>
      </c>
      <c r="BG69" s="374">
        <f>BF69/BF$32</f>
        <v>0.7408789411</v>
      </c>
      <c r="BH69" s="377">
        <f>BH32-BH54</f>
        <v>7645174.352</v>
      </c>
      <c r="BI69" s="374">
        <f>BH69/BH$32</f>
        <v>0.7490876333</v>
      </c>
      <c r="BJ69" s="377">
        <f>BJ32-BJ54</f>
        <v>0</v>
      </c>
      <c r="BK69" s="378"/>
      <c r="BL69" s="600">
        <f>BL32-BL54</f>
        <v>5860518.676</v>
      </c>
      <c r="BM69" s="374">
        <f>BL69/BL$32</f>
        <v>0.6882534133</v>
      </c>
      <c r="BN69" s="377">
        <f>BN32-BN54</f>
        <v>7058256.607</v>
      </c>
      <c r="BO69" s="374">
        <f>BN69/BN$32</f>
        <v>0.7495471963</v>
      </c>
      <c r="BP69" s="377">
        <f>BP32-BP54</f>
        <v>0</v>
      </c>
      <c r="BQ69" s="378"/>
      <c r="BR69" s="373">
        <f>BR32-BR54</f>
        <v>7187364.954</v>
      </c>
      <c r="BS69" s="374">
        <f>BR69/BR$32</f>
        <v>0.709920522</v>
      </c>
      <c r="BT69" s="377">
        <f>BT32-BT54</f>
        <v>7591924.631</v>
      </c>
      <c r="BU69" s="374">
        <f>BT69/BT$32</f>
        <v>0.749242169</v>
      </c>
      <c r="BV69" s="377">
        <f>BV32-BV54</f>
        <v>0</v>
      </c>
      <c r="BW69" s="378"/>
      <c r="BX69" s="718">
        <f>D69+J69+P69+V69+AB69+AH69+AN69+AT69+AZ69+BF69+BL69+BR69</f>
        <v>76116727.97</v>
      </c>
      <c r="BY69" s="213"/>
      <c r="BZ69" s="213"/>
      <c r="CA69" s="213"/>
      <c r="CB69" s="213"/>
      <c r="CC69" s="213"/>
      <c r="CD69" s="213"/>
      <c r="CE69" s="213"/>
      <c r="CF69" s="213"/>
      <c r="CG69" s="213"/>
      <c r="CH69" s="213"/>
      <c r="CI69" s="213"/>
      <c r="CJ69" s="213"/>
      <c r="CK69" s="213"/>
      <c r="CL69" s="213"/>
      <c r="CM69" s="213"/>
      <c r="CN69" s="213"/>
      <c r="CO69" s="213"/>
      <c r="CP69" s="213"/>
      <c r="CQ69" s="213"/>
    </row>
    <row r="70" ht="15.75" customHeight="1">
      <c r="A70" s="213"/>
      <c r="B70" s="488"/>
      <c r="C70" s="488"/>
      <c r="D70" s="708"/>
      <c r="E70" s="440"/>
      <c r="F70" s="440"/>
      <c r="G70" s="440"/>
      <c r="H70" s="440"/>
      <c r="I70" s="389"/>
      <c r="J70" s="444"/>
      <c r="K70" s="440"/>
      <c r="L70" s="440"/>
      <c r="M70" s="440"/>
      <c r="N70" s="440"/>
      <c r="O70" s="389"/>
      <c r="P70" s="444"/>
      <c r="Q70" s="440"/>
      <c r="R70" s="440"/>
      <c r="S70" s="440"/>
      <c r="T70" s="440"/>
      <c r="U70" s="389"/>
      <c r="V70" s="444"/>
      <c r="W70" s="440"/>
      <c r="X70" s="440"/>
      <c r="Y70" s="440"/>
      <c r="Z70" s="440"/>
      <c r="AA70" s="389"/>
      <c r="AB70" s="708"/>
      <c r="AC70" s="440"/>
      <c r="AD70" s="440"/>
      <c r="AE70" s="440"/>
      <c r="AF70" s="440"/>
      <c r="AG70" s="389"/>
      <c r="AH70" s="708"/>
      <c r="AI70" s="440"/>
      <c r="AJ70" s="440"/>
      <c r="AK70" s="440"/>
      <c r="AL70" s="440"/>
      <c r="AM70" s="389"/>
      <c r="AN70" s="708"/>
      <c r="AO70" s="440"/>
      <c r="AP70" s="440"/>
      <c r="AQ70" s="440"/>
      <c r="AR70" s="440"/>
      <c r="AS70" s="389"/>
      <c r="AT70" s="708"/>
      <c r="AU70" s="440"/>
      <c r="AV70" s="440"/>
      <c r="AW70" s="440"/>
      <c r="AX70" s="440"/>
      <c r="AY70" s="389"/>
      <c r="AZ70" s="708"/>
      <c r="BA70" s="440"/>
      <c r="BB70" s="440"/>
      <c r="BC70" s="440"/>
      <c r="BD70" s="440"/>
      <c r="BE70" s="389"/>
      <c r="BF70" s="708"/>
      <c r="BG70" s="440"/>
      <c r="BH70" s="440"/>
      <c r="BI70" s="440"/>
      <c r="BJ70" s="440"/>
      <c r="BK70" s="389"/>
      <c r="BL70" s="708"/>
      <c r="BM70" s="440"/>
      <c r="BN70" s="440"/>
      <c r="BO70" s="440"/>
      <c r="BP70" s="440"/>
      <c r="BQ70" s="389"/>
      <c r="BR70" s="491"/>
      <c r="BS70" s="440"/>
      <c r="BT70" s="440"/>
      <c r="BU70" s="440"/>
      <c r="BV70" s="440"/>
      <c r="BW70" s="389"/>
      <c r="BX70" s="213"/>
      <c r="BY70" s="213"/>
      <c r="BZ70" s="213"/>
      <c r="CA70" s="213"/>
      <c r="CB70" s="213"/>
      <c r="CC70" s="213"/>
      <c r="CD70" s="213"/>
      <c r="CE70" s="213"/>
      <c r="CF70" s="213"/>
      <c r="CG70" s="213"/>
      <c r="CH70" s="213"/>
      <c r="CI70" s="213"/>
      <c r="CJ70" s="213"/>
      <c r="CK70" s="213"/>
      <c r="CL70" s="213"/>
      <c r="CM70" s="213"/>
      <c r="CN70" s="213"/>
      <c r="CO70" s="213"/>
      <c r="CP70" s="213"/>
      <c r="CQ70" s="213"/>
    </row>
    <row r="71" ht="15.75" customHeight="1">
      <c r="A71" s="213"/>
      <c r="B71" s="492"/>
      <c r="C71" s="514" t="s">
        <v>241</v>
      </c>
      <c r="D71" s="604"/>
      <c r="E71" s="352"/>
      <c r="F71" s="352"/>
      <c r="G71" s="352"/>
      <c r="H71" s="352"/>
      <c r="I71" s="358"/>
      <c r="J71" s="393"/>
      <c r="K71" s="352"/>
      <c r="L71" s="352"/>
      <c r="M71" s="352"/>
      <c r="N71" s="352"/>
      <c r="O71" s="358"/>
      <c r="P71" s="393"/>
      <c r="Q71" s="352"/>
      <c r="R71" s="352"/>
      <c r="S71" s="352"/>
      <c r="T71" s="352"/>
      <c r="U71" s="358"/>
      <c r="V71" s="393"/>
      <c r="W71" s="352"/>
      <c r="X71" s="352"/>
      <c r="Y71" s="352"/>
      <c r="Z71" s="352"/>
      <c r="AA71" s="358"/>
      <c r="AB71" s="604"/>
      <c r="AC71" s="352"/>
      <c r="AD71" s="352"/>
      <c r="AE71" s="352"/>
      <c r="AF71" s="352"/>
      <c r="AG71" s="358"/>
      <c r="AH71" s="604"/>
      <c r="AI71" s="352"/>
      <c r="AJ71" s="352"/>
      <c r="AK71" s="352"/>
      <c r="AL71" s="352"/>
      <c r="AM71" s="358"/>
      <c r="AN71" s="604"/>
      <c r="AO71" s="352"/>
      <c r="AP71" s="352"/>
      <c r="AQ71" s="352"/>
      <c r="AR71" s="352"/>
      <c r="AS71" s="358"/>
      <c r="AT71" s="604"/>
      <c r="AU71" s="352"/>
      <c r="AV71" s="352"/>
      <c r="AW71" s="352"/>
      <c r="AX71" s="352"/>
      <c r="AY71" s="358"/>
      <c r="AZ71" s="604"/>
      <c r="BA71" s="352"/>
      <c r="BB71" s="352"/>
      <c r="BC71" s="352"/>
      <c r="BD71" s="352"/>
      <c r="BE71" s="358"/>
      <c r="BF71" s="604"/>
      <c r="BG71" s="352"/>
      <c r="BH71" s="352"/>
      <c r="BI71" s="352"/>
      <c r="BJ71" s="352"/>
      <c r="BK71" s="358"/>
      <c r="BL71" s="604"/>
      <c r="BM71" s="352"/>
      <c r="BN71" s="352"/>
      <c r="BO71" s="352"/>
      <c r="BP71" s="352"/>
      <c r="BQ71" s="358"/>
      <c r="BR71" s="351"/>
      <c r="BS71" s="352"/>
      <c r="BT71" s="352"/>
      <c r="BU71" s="352"/>
      <c r="BV71" s="352"/>
      <c r="BW71" s="358"/>
      <c r="BX71" s="718">
        <f>D71+J71+P71+V71+AB71+AH71+AN71+AT71+AZ71+BF71+BL71+BR71</f>
        <v>0</v>
      </c>
      <c r="BY71" s="213"/>
      <c r="BZ71" s="213"/>
      <c r="CA71" s="213"/>
      <c r="CB71" s="213"/>
      <c r="CC71" s="213"/>
      <c r="CD71" s="213"/>
      <c r="CE71" s="213"/>
      <c r="CF71" s="213"/>
      <c r="CG71" s="213"/>
      <c r="CH71" s="213"/>
      <c r="CI71" s="213"/>
      <c r="CJ71" s="213"/>
      <c r="CK71" s="213"/>
      <c r="CL71" s="213"/>
      <c r="CM71" s="213"/>
      <c r="CN71" s="213"/>
      <c r="CO71" s="213"/>
      <c r="CP71" s="213"/>
      <c r="CQ71" s="213"/>
    </row>
    <row r="72" ht="15.75" customHeight="1">
      <c r="A72" s="213"/>
      <c r="B72" s="492"/>
      <c r="C72" s="492" t="s">
        <v>242</v>
      </c>
      <c r="D72" s="604">
        <v>14283.0</v>
      </c>
      <c r="E72" s="355">
        <f t="shared" ref="E72:E78" si="83">D72/D$32</f>
        <v>0.00166325957</v>
      </c>
      <c r="F72" s="357">
        <f t="shared" ref="F72:F76" si="84">G72*F$32</f>
        <v>37094.59059</v>
      </c>
      <c r="G72" s="355">
        <v>0.0044</v>
      </c>
      <c r="H72" s="357">
        <f t="shared" ref="H72:H77" si="85">D72-F72</f>
        <v>-22811.59059</v>
      </c>
      <c r="I72" s="395">
        <f t="shared" ref="I72:I76" si="86">H72/F72</f>
        <v>-0.6149573355</v>
      </c>
      <c r="J72" s="604">
        <v>33219.0</v>
      </c>
      <c r="K72" s="355">
        <f t="shared" ref="K72:K78" si="87">J72/J$32</f>
        <v>0.003437450987</v>
      </c>
      <c r="L72" s="357">
        <f t="shared" ref="L72:L76" si="88">M72*L$32</f>
        <v>36659.5654</v>
      </c>
      <c r="M72" s="355">
        <v>0.0044</v>
      </c>
      <c r="N72" s="352"/>
      <c r="O72" s="358"/>
      <c r="P72" s="604">
        <v>28470.0</v>
      </c>
      <c r="Q72" s="355">
        <f t="shared" ref="Q72:Q78" si="89">P72/P$32</f>
        <v>0.003804830759</v>
      </c>
      <c r="R72" s="357">
        <f t="shared" ref="R72:R76" si="90">S72*R$32</f>
        <v>36070.23463</v>
      </c>
      <c r="S72" s="355">
        <v>0.0044</v>
      </c>
      <c r="T72" s="352"/>
      <c r="U72" s="358"/>
      <c r="V72" s="604">
        <v>43876.0</v>
      </c>
      <c r="W72" s="355">
        <f t="shared" ref="W72:W78" si="91">V72/V$32</f>
        <v>0.004612624584</v>
      </c>
      <c r="X72" s="357">
        <f t="shared" ref="X72:X73" si="92">Y72*X$32</f>
        <v>39601.85115</v>
      </c>
      <c r="Y72" s="355">
        <v>0.0044</v>
      </c>
      <c r="Z72" s="352"/>
      <c r="AA72" s="358"/>
      <c r="AB72" s="604">
        <v>36816.0</v>
      </c>
      <c r="AC72" s="355">
        <f t="shared" ref="AC72:AC78" si="93">AB72/AB$32</f>
        <v>0.003928800941</v>
      </c>
      <c r="AD72" s="357">
        <f t="shared" ref="AD72:AD73" si="94">AE72*AD$32</f>
        <v>40039.98576</v>
      </c>
      <c r="AE72" s="355">
        <v>0.0044</v>
      </c>
      <c r="AF72" s="352"/>
      <c r="AG72" s="358"/>
      <c r="AH72" s="604">
        <v>34993.0</v>
      </c>
      <c r="AI72" s="355">
        <f t="shared" ref="AI72:AI78" si="95">AH72/AH$32</f>
        <v>0.003801690041</v>
      </c>
      <c r="AJ72" s="357">
        <f t="shared" ref="AJ72:AJ76" si="96">AK72*AJ$32</f>
        <v>39739.27635</v>
      </c>
      <c r="AK72" s="355">
        <v>0.0044</v>
      </c>
      <c r="AL72" s="352"/>
      <c r="AM72" s="358"/>
      <c r="AN72" s="604">
        <v>34875.0</v>
      </c>
      <c r="AO72" s="355">
        <f t="shared" ref="AO72:AO78" si="97">AN72/AN$32</f>
        <v>0.004141590897</v>
      </c>
      <c r="AP72" s="357">
        <f t="shared" ref="AP72:AP77" si="98">AQ72*AP$32</f>
        <v>43272.44991</v>
      </c>
      <c r="AQ72" s="355">
        <v>0.0044</v>
      </c>
      <c r="AR72" s="352"/>
      <c r="AS72" s="358"/>
      <c r="AT72" s="604">
        <v>33810.0</v>
      </c>
      <c r="AU72" s="355">
        <f t="shared" ref="AU72:AU78" si="99">AT72/AT$32</f>
        <v>0.003612587216</v>
      </c>
      <c r="AV72" s="357">
        <f t="shared" ref="AV72:AV77" si="100">AW72*AV$32</f>
        <v>42639.92756</v>
      </c>
      <c r="AW72" s="355">
        <v>0.0044</v>
      </c>
      <c r="AX72" s="352"/>
      <c r="AY72" s="358"/>
      <c r="AZ72" s="604">
        <v>36424.0</v>
      </c>
      <c r="BA72" s="355">
        <f t="shared" ref="BA72:BA78" si="101">AZ72/AZ$32</f>
        <v>0.003611476526</v>
      </c>
      <c r="BB72" s="357">
        <f t="shared" ref="BB72:BB77" si="102">BC72*BB$32</f>
        <v>46048.94806</v>
      </c>
      <c r="BC72" s="355">
        <v>0.0044</v>
      </c>
      <c r="BD72" s="352"/>
      <c r="BE72" s="358"/>
      <c r="BF72" s="604"/>
      <c r="BG72" s="355">
        <f t="shared" ref="BG72:BG78" si="103">BF72/BF$32</f>
        <v>0</v>
      </c>
      <c r="BH72" s="357">
        <f t="shared" ref="BH72:BH77" si="104">BI72*BH$32</f>
        <v>44906.31757</v>
      </c>
      <c r="BI72" s="355">
        <v>0.0044</v>
      </c>
      <c r="BJ72" s="352"/>
      <c r="BK72" s="358"/>
      <c r="BL72" s="628">
        <v>60110.0</v>
      </c>
      <c r="BM72" s="352"/>
      <c r="BN72" s="357">
        <f t="shared" ref="BN72:BN77" si="105">BO72*BN$32</f>
        <v>41433.45372</v>
      </c>
      <c r="BO72" s="355">
        <v>0.0044</v>
      </c>
      <c r="BP72" s="352"/>
      <c r="BQ72" s="358"/>
      <c r="BR72" s="351">
        <v>1070.0</v>
      </c>
      <c r="BS72" s="352"/>
      <c r="BT72" s="357">
        <f t="shared" ref="BT72:BT77" si="106">BU72*BT$32</f>
        <v>44584.34103</v>
      </c>
      <c r="BU72" s="355">
        <v>0.0044</v>
      </c>
      <c r="BV72" s="352"/>
      <c r="BW72" s="358"/>
      <c r="BX72" s="213"/>
      <c r="BY72" s="213"/>
      <c r="BZ72" s="213"/>
      <c r="CA72" s="213"/>
      <c r="CB72" s="213"/>
      <c r="CC72" s="213"/>
      <c r="CD72" s="213"/>
      <c r="CE72" s="213"/>
      <c r="CF72" s="213"/>
      <c r="CG72" s="213"/>
      <c r="CH72" s="213"/>
      <c r="CI72" s="213"/>
      <c r="CJ72" s="213"/>
      <c r="CK72" s="213"/>
      <c r="CL72" s="213"/>
      <c r="CM72" s="213"/>
      <c r="CN72" s="213"/>
      <c r="CO72" s="213"/>
      <c r="CP72" s="213"/>
      <c r="CQ72" s="213"/>
    </row>
    <row r="73" ht="15.75" customHeight="1">
      <c r="A73" s="213"/>
      <c r="B73" s="492"/>
      <c r="C73" s="492" t="s">
        <v>243</v>
      </c>
      <c r="D73" s="604">
        <v>102381.98</v>
      </c>
      <c r="E73" s="355">
        <f t="shared" si="83"/>
        <v>0.01192241182</v>
      </c>
      <c r="F73" s="357">
        <f t="shared" si="84"/>
        <v>85992.00546</v>
      </c>
      <c r="G73" s="355">
        <v>0.0102</v>
      </c>
      <c r="H73" s="357">
        <f t="shared" si="85"/>
        <v>16389.97454</v>
      </c>
      <c r="I73" s="395">
        <f t="shared" si="86"/>
        <v>0.1905988173</v>
      </c>
      <c r="J73" s="604">
        <v>105327.0</v>
      </c>
      <c r="K73" s="355">
        <f t="shared" si="87"/>
        <v>0.01089907583</v>
      </c>
      <c r="L73" s="357">
        <f t="shared" si="88"/>
        <v>84983.53797</v>
      </c>
      <c r="M73" s="355">
        <v>0.0102</v>
      </c>
      <c r="N73" s="352"/>
      <c r="O73" s="358"/>
      <c r="P73" s="604">
        <v>95078.0</v>
      </c>
      <c r="Q73" s="355">
        <f t="shared" si="89"/>
        <v>0.01270655774</v>
      </c>
      <c r="R73" s="357">
        <f t="shared" si="90"/>
        <v>83617.36209</v>
      </c>
      <c r="S73" s="355">
        <v>0.0102</v>
      </c>
      <c r="T73" s="352"/>
      <c r="U73" s="358"/>
      <c r="V73" s="604">
        <v>101626.0</v>
      </c>
      <c r="W73" s="355">
        <f t="shared" si="91"/>
        <v>0.01068380404</v>
      </c>
      <c r="X73" s="357">
        <f t="shared" si="92"/>
        <v>91804.29129</v>
      </c>
      <c r="Y73" s="355">
        <v>0.0102</v>
      </c>
      <c r="Z73" s="352"/>
      <c r="AA73" s="358"/>
      <c r="AB73" s="604">
        <v>99112.0</v>
      </c>
      <c r="AC73" s="355">
        <f t="shared" si="93"/>
        <v>0.01057668728</v>
      </c>
      <c r="AD73" s="357">
        <f t="shared" si="94"/>
        <v>92819.96698</v>
      </c>
      <c r="AE73" s="355">
        <v>0.0102</v>
      </c>
      <c r="AF73" s="352"/>
      <c r="AG73" s="358"/>
      <c r="AH73" s="604">
        <v>94997.24</v>
      </c>
      <c r="AI73" s="355">
        <f t="shared" si="95"/>
        <v>0.01032063731</v>
      </c>
      <c r="AJ73" s="357">
        <f t="shared" si="96"/>
        <v>92122.8679</v>
      </c>
      <c r="AK73" s="355">
        <v>0.0102</v>
      </c>
      <c r="AL73" s="352"/>
      <c r="AM73" s="358"/>
      <c r="AN73" s="604">
        <v>85871.0</v>
      </c>
      <c r="AO73" s="355">
        <f t="shared" si="97"/>
        <v>0.0101976359</v>
      </c>
      <c r="AP73" s="357">
        <f t="shared" si="98"/>
        <v>100313.4066</v>
      </c>
      <c r="AQ73" s="355">
        <v>0.0102</v>
      </c>
      <c r="AR73" s="352"/>
      <c r="AS73" s="358"/>
      <c r="AT73" s="604">
        <v>90294.0</v>
      </c>
      <c r="AU73" s="355">
        <f t="shared" si="99"/>
        <v>0.009647883763</v>
      </c>
      <c r="AV73" s="357">
        <f t="shared" si="100"/>
        <v>98847.1048</v>
      </c>
      <c r="AW73" s="355">
        <v>0.0102</v>
      </c>
      <c r="AX73" s="352"/>
      <c r="AY73" s="358"/>
      <c r="AZ73" s="604">
        <v>99936.76</v>
      </c>
      <c r="BA73" s="355">
        <f t="shared" si="101"/>
        <v>0.009908831069</v>
      </c>
      <c r="BB73" s="357">
        <f t="shared" si="102"/>
        <v>106749.8341</v>
      </c>
      <c r="BC73" s="355">
        <v>0.0102</v>
      </c>
      <c r="BD73" s="352"/>
      <c r="BE73" s="358"/>
      <c r="BF73" s="604"/>
      <c r="BG73" s="355">
        <f t="shared" si="103"/>
        <v>0</v>
      </c>
      <c r="BH73" s="357">
        <f t="shared" si="104"/>
        <v>104101.0089</v>
      </c>
      <c r="BI73" s="355">
        <v>0.0102</v>
      </c>
      <c r="BJ73" s="352"/>
      <c r="BK73" s="358"/>
      <c r="BL73" s="628">
        <v>97511.7</v>
      </c>
      <c r="BM73" s="352"/>
      <c r="BN73" s="357">
        <f t="shared" si="105"/>
        <v>96050.27908</v>
      </c>
      <c r="BO73" s="355">
        <v>0.0102</v>
      </c>
      <c r="BP73" s="352"/>
      <c r="BQ73" s="358"/>
      <c r="BR73" s="396">
        <v>54256.31</v>
      </c>
      <c r="BS73" s="352"/>
      <c r="BT73" s="357">
        <f t="shared" si="106"/>
        <v>103354.6088</v>
      </c>
      <c r="BU73" s="355">
        <v>0.0102</v>
      </c>
      <c r="BV73" s="352"/>
      <c r="BW73" s="358"/>
      <c r="BX73" s="213"/>
      <c r="BY73" s="213"/>
      <c r="BZ73" s="213"/>
      <c r="CA73" s="213"/>
      <c r="CB73" s="213"/>
      <c r="CC73" s="213"/>
      <c r="CD73" s="213"/>
      <c r="CE73" s="213"/>
      <c r="CF73" s="213"/>
      <c r="CG73" s="213"/>
      <c r="CH73" s="213"/>
      <c r="CI73" s="213"/>
      <c r="CJ73" s="213"/>
      <c r="CK73" s="213"/>
      <c r="CL73" s="213"/>
      <c r="CM73" s="213"/>
      <c r="CN73" s="213"/>
      <c r="CO73" s="213"/>
      <c r="CP73" s="213"/>
      <c r="CQ73" s="213"/>
    </row>
    <row r="74" ht="15.75" customHeight="1">
      <c r="A74" s="213"/>
      <c r="B74" s="492"/>
      <c r="C74" s="492" t="s">
        <v>244</v>
      </c>
      <c r="D74" s="604">
        <f>47820+2640</f>
        <v>50460</v>
      </c>
      <c r="E74" s="355">
        <f t="shared" si="83"/>
        <v>0.005876081908</v>
      </c>
      <c r="F74" s="357">
        <f t="shared" si="84"/>
        <v>15175.05979</v>
      </c>
      <c r="G74" s="355">
        <v>0.0018</v>
      </c>
      <c r="H74" s="357">
        <f t="shared" si="85"/>
        <v>35284.94021</v>
      </c>
      <c r="I74" s="395">
        <f t="shared" si="86"/>
        <v>2.32519283</v>
      </c>
      <c r="J74" s="604">
        <v>44445.0</v>
      </c>
      <c r="K74" s="355">
        <f t="shared" si="87"/>
        <v>0.004599100188</v>
      </c>
      <c r="L74" s="357">
        <f t="shared" si="88"/>
        <v>14997.09494</v>
      </c>
      <c r="M74" s="355">
        <v>0.0018</v>
      </c>
      <c r="N74" s="352"/>
      <c r="O74" s="358"/>
      <c r="P74" s="604">
        <v>29427.0</v>
      </c>
      <c r="Q74" s="355">
        <f t="shared" si="89"/>
        <v>0.003932727599</v>
      </c>
      <c r="R74" s="357">
        <f t="shared" si="90"/>
        <v>14756.00508</v>
      </c>
      <c r="S74" s="355">
        <v>0.0018</v>
      </c>
      <c r="T74" s="352"/>
      <c r="U74" s="358"/>
      <c r="V74" s="604">
        <v>29093.0</v>
      </c>
      <c r="W74" s="355">
        <f t="shared" si="91"/>
        <v>0.003058507772</v>
      </c>
      <c r="X74" s="357">
        <f>Y74*X$32+(18901)</f>
        <v>35101.75729</v>
      </c>
      <c r="Y74" s="355">
        <v>0.0018</v>
      </c>
      <c r="Z74" s="352"/>
      <c r="AA74" s="358"/>
      <c r="AB74" s="604">
        <v>740.0</v>
      </c>
      <c r="AC74" s="355">
        <f t="shared" si="93"/>
        <v>0.00007896872817</v>
      </c>
      <c r="AD74" s="357">
        <f>AE74*AD$32+(19110)</f>
        <v>35489.99417</v>
      </c>
      <c r="AE74" s="355">
        <v>0.0018</v>
      </c>
      <c r="AF74" s="352"/>
      <c r="AG74" s="358"/>
      <c r="AH74" s="604">
        <v>38345.0</v>
      </c>
      <c r="AI74" s="355">
        <f t="shared" si="95"/>
        <v>0.004165856161</v>
      </c>
      <c r="AJ74" s="357">
        <f t="shared" si="96"/>
        <v>16256.97669</v>
      </c>
      <c r="AK74" s="355">
        <v>0.0018</v>
      </c>
      <c r="AL74" s="352"/>
      <c r="AM74" s="358"/>
      <c r="AN74" s="604">
        <v>32470.0</v>
      </c>
      <c r="AO74" s="355">
        <f t="shared" si="97"/>
        <v>0.003855984414</v>
      </c>
      <c r="AP74" s="357">
        <f t="shared" si="98"/>
        <v>17702.36587</v>
      </c>
      <c r="AQ74" s="355">
        <v>0.0018</v>
      </c>
      <c r="AR74" s="352"/>
      <c r="AS74" s="358"/>
      <c r="AT74" s="604">
        <v>19150.0</v>
      </c>
      <c r="AU74" s="355">
        <f t="shared" si="99"/>
        <v>0.002046171108</v>
      </c>
      <c r="AV74" s="357">
        <f t="shared" si="100"/>
        <v>17443.60673</v>
      </c>
      <c r="AW74" s="355">
        <v>0.0018</v>
      </c>
      <c r="AX74" s="352"/>
      <c r="AY74" s="358"/>
      <c r="AZ74" s="604">
        <v>29114.0</v>
      </c>
      <c r="BA74" s="355">
        <f t="shared" si="101"/>
        <v>0.002886682616</v>
      </c>
      <c r="BB74" s="357">
        <f t="shared" si="102"/>
        <v>18838.20602</v>
      </c>
      <c r="BC74" s="355">
        <v>0.0018</v>
      </c>
      <c r="BD74" s="352"/>
      <c r="BE74" s="358"/>
      <c r="BF74" s="604"/>
      <c r="BG74" s="355">
        <f t="shared" si="103"/>
        <v>0</v>
      </c>
      <c r="BH74" s="357">
        <f t="shared" si="104"/>
        <v>18370.76628</v>
      </c>
      <c r="BI74" s="355">
        <v>0.0018</v>
      </c>
      <c r="BJ74" s="352"/>
      <c r="BK74" s="358"/>
      <c r="BL74" s="604"/>
      <c r="BM74" s="352"/>
      <c r="BN74" s="357">
        <f t="shared" si="105"/>
        <v>16950.04925</v>
      </c>
      <c r="BO74" s="355">
        <v>0.0018</v>
      </c>
      <c r="BP74" s="352"/>
      <c r="BQ74" s="358"/>
      <c r="BR74" s="396">
        <v>28470.0</v>
      </c>
      <c r="BS74" s="352"/>
      <c r="BT74" s="357">
        <f t="shared" si="106"/>
        <v>18239.0486</v>
      </c>
      <c r="BU74" s="355">
        <v>0.0018</v>
      </c>
      <c r="BV74" s="352"/>
      <c r="BW74" s="358"/>
      <c r="BX74" s="213"/>
      <c r="BY74" s="213"/>
      <c r="BZ74" s="213"/>
      <c r="CA74" s="213"/>
      <c r="CB74" s="213"/>
      <c r="CC74" s="213"/>
      <c r="CD74" s="213"/>
      <c r="CE74" s="213"/>
      <c r="CF74" s="213"/>
      <c r="CG74" s="213"/>
      <c r="CH74" s="213"/>
      <c r="CI74" s="213"/>
      <c r="CJ74" s="213"/>
      <c r="CK74" s="213"/>
      <c r="CL74" s="213"/>
      <c r="CM74" s="213"/>
      <c r="CN74" s="213"/>
      <c r="CO74" s="213"/>
      <c r="CP74" s="213"/>
      <c r="CQ74" s="213"/>
    </row>
    <row r="75" ht="15.75" customHeight="1">
      <c r="A75" s="213"/>
      <c r="B75" s="492"/>
      <c r="C75" s="492" t="s">
        <v>303</v>
      </c>
      <c r="D75" s="604">
        <v>69463.5</v>
      </c>
      <c r="E75" s="355">
        <f t="shared" si="83"/>
        <v>0.008089045097</v>
      </c>
      <c r="F75" s="357">
        <f t="shared" si="84"/>
        <v>843.0588771</v>
      </c>
      <c r="G75" s="355">
        <v>1.0E-4</v>
      </c>
      <c r="H75" s="357">
        <f t="shared" si="85"/>
        <v>68620.44112</v>
      </c>
      <c r="I75" s="395">
        <f t="shared" si="86"/>
        <v>81.39460124</v>
      </c>
      <c r="J75" s="604">
        <v>9535.0</v>
      </c>
      <c r="K75" s="355">
        <f t="shared" si="87"/>
        <v>0.0009866671232</v>
      </c>
      <c r="L75" s="357">
        <f t="shared" si="88"/>
        <v>833.1719409</v>
      </c>
      <c r="M75" s="355">
        <v>1.0E-4</v>
      </c>
      <c r="N75" s="352"/>
      <c r="O75" s="358"/>
      <c r="P75" s="604">
        <v>2570.0</v>
      </c>
      <c r="Q75" s="355">
        <f t="shared" si="89"/>
        <v>0.0003434638233</v>
      </c>
      <c r="R75" s="357">
        <f t="shared" si="90"/>
        <v>819.7780598</v>
      </c>
      <c r="S75" s="355">
        <v>1.0E-4</v>
      </c>
      <c r="T75" s="352"/>
      <c r="U75" s="358"/>
      <c r="V75" s="604">
        <v>11848.0</v>
      </c>
      <c r="W75" s="355">
        <f t="shared" si="91"/>
        <v>0.001245564228</v>
      </c>
      <c r="X75" s="357">
        <f>Y75*X$32</f>
        <v>900.0420715</v>
      </c>
      <c r="Y75" s="355">
        <v>1.0E-4</v>
      </c>
      <c r="Z75" s="352"/>
      <c r="AA75" s="358"/>
      <c r="AB75" s="604">
        <v>26466.0</v>
      </c>
      <c r="AC75" s="355">
        <f t="shared" si="93"/>
        <v>0.002824305892</v>
      </c>
      <c r="AD75" s="357">
        <f>AE75*AD$32</f>
        <v>909.9996763</v>
      </c>
      <c r="AE75" s="355">
        <v>1.0E-4</v>
      </c>
      <c r="AF75" s="352"/>
      <c r="AG75" s="358"/>
      <c r="AH75" s="604">
        <v>11332.0</v>
      </c>
      <c r="AI75" s="355">
        <f t="shared" si="95"/>
        <v>0.001231124841</v>
      </c>
      <c r="AJ75" s="357">
        <f t="shared" si="96"/>
        <v>903.1653716</v>
      </c>
      <c r="AK75" s="355">
        <v>1.0E-4</v>
      </c>
      <c r="AL75" s="352"/>
      <c r="AM75" s="358"/>
      <c r="AN75" s="604">
        <v>6405.0</v>
      </c>
      <c r="AO75" s="355">
        <f t="shared" si="97"/>
        <v>0.0007606276616</v>
      </c>
      <c r="AP75" s="357">
        <f t="shared" si="98"/>
        <v>983.4647706</v>
      </c>
      <c r="AQ75" s="355">
        <v>1.0E-4</v>
      </c>
      <c r="AR75" s="352"/>
      <c r="AS75" s="358"/>
      <c r="AT75" s="604">
        <v>11008.0</v>
      </c>
      <c r="AU75" s="355">
        <f t="shared" si="99"/>
        <v>0.001176201126</v>
      </c>
      <c r="AV75" s="357">
        <f t="shared" si="100"/>
        <v>969.0892627</v>
      </c>
      <c r="AW75" s="355">
        <v>1.0E-4</v>
      </c>
      <c r="AX75" s="352"/>
      <c r="AY75" s="358"/>
      <c r="AZ75" s="604">
        <v>8646.0</v>
      </c>
      <c r="BA75" s="355">
        <f t="shared" si="101"/>
        <v>0.0008572596653</v>
      </c>
      <c r="BB75" s="357">
        <f t="shared" si="102"/>
        <v>1046.567001</v>
      </c>
      <c r="BC75" s="355">
        <v>1.0E-4</v>
      </c>
      <c r="BD75" s="352"/>
      <c r="BE75" s="358"/>
      <c r="BF75" s="604"/>
      <c r="BG75" s="355">
        <f t="shared" si="103"/>
        <v>0</v>
      </c>
      <c r="BH75" s="357">
        <f t="shared" si="104"/>
        <v>1020.598127</v>
      </c>
      <c r="BI75" s="355">
        <v>1.0E-4</v>
      </c>
      <c r="BJ75" s="352"/>
      <c r="BK75" s="358"/>
      <c r="BL75" s="628">
        <v>5702.0</v>
      </c>
      <c r="BM75" s="352"/>
      <c r="BN75" s="357">
        <f t="shared" si="105"/>
        <v>941.6694027</v>
      </c>
      <c r="BO75" s="355">
        <v>1.0E-4</v>
      </c>
      <c r="BP75" s="352"/>
      <c r="BQ75" s="358"/>
      <c r="BR75" s="396">
        <v>18005.0</v>
      </c>
      <c r="BS75" s="352"/>
      <c r="BT75" s="357">
        <f t="shared" si="106"/>
        <v>1013.280478</v>
      </c>
      <c r="BU75" s="355">
        <v>1.0E-4</v>
      </c>
      <c r="BV75" s="352"/>
      <c r="BW75" s="358"/>
      <c r="BX75" s="213"/>
      <c r="BY75" s="213"/>
      <c r="BZ75" s="213"/>
      <c r="CA75" s="213"/>
      <c r="CB75" s="213"/>
      <c r="CC75" s="213"/>
      <c r="CD75" s="213"/>
      <c r="CE75" s="213"/>
      <c r="CF75" s="213"/>
      <c r="CG75" s="213"/>
      <c r="CH75" s="213"/>
      <c r="CI75" s="213"/>
      <c r="CJ75" s="213"/>
      <c r="CK75" s="213"/>
      <c r="CL75" s="213"/>
      <c r="CM75" s="213"/>
      <c r="CN75" s="213"/>
      <c r="CO75" s="213"/>
      <c r="CP75" s="213"/>
      <c r="CQ75" s="213"/>
    </row>
    <row r="76" ht="15.75" customHeight="1">
      <c r="A76" s="213"/>
      <c r="B76" s="492"/>
      <c r="C76" s="492" t="s">
        <v>246</v>
      </c>
      <c r="D76" s="604">
        <v>1590.0</v>
      </c>
      <c r="E76" s="355">
        <f t="shared" si="83"/>
        <v>0.0001851559697</v>
      </c>
      <c r="F76" s="357">
        <f t="shared" si="84"/>
        <v>17704.23642</v>
      </c>
      <c r="G76" s="355">
        <v>0.0021</v>
      </c>
      <c r="H76" s="357">
        <f t="shared" si="85"/>
        <v>-16114.23642</v>
      </c>
      <c r="I76" s="395">
        <f t="shared" si="86"/>
        <v>-0.9101909869</v>
      </c>
      <c r="J76" s="604"/>
      <c r="K76" s="355">
        <f t="shared" si="87"/>
        <v>0</v>
      </c>
      <c r="L76" s="357">
        <f t="shared" si="88"/>
        <v>17496.61076</v>
      </c>
      <c r="M76" s="355">
        <v>0.0021</v>
      </c>
      <c r="N76" s="352"/>
      <c r="O76" s="358"/>
      <c r="P76" s="604"/>
      <c r="Q76" s="355">
        <f t="shared" si="89"/>
        <v>0</v>
      </c>
      <c r="R76" s="357">
        <f t="shared" si="90"/>
        <v>17215.33925</v>
      </c>
      <c r="S76" s="355">
        <v>0.0021</v>
      </c>
      <c r="T76" s="352"/>
      <c r="U76" s="358"/>
      <c r="V76" s="604">
        <v>0.0</v>
      </c>
      <c r="W76" s="355">
        <f t="shared" si="91"/>
        <v>0</v>
      </c>
      <c r="X76" s="357"/>
      <c r="Y76" s="355">
        <v>0.0021</v>
      </c>
      <c r="Z76" s="352"/>
      <c r="AA76" s="358"/>
      <c r="AB76" s="604"/>
      <c r="AC76" s="355">
        <f t="shared" si="93"/>
        <v>0</v>
      </c>
      <c r="AD76" s="357"/>
      <c r="AE76" s="355">
        <v>0.0021</v>
      </c>
      <c r="AF76" s="352"/>
      <c r="AG76" s="358"/>
      <c r="AH76" s="604"/>
      <c r="AI76" s="355">
        <f t="shared" si="95"/>
        <v>0</v>
      </c>
      <c r="AJ76" s="357">
        <f t="shared" si="96"/>
        <v>18966.4728</v>
      </c>
      <c r="AK76" s="355">
        <v>0.0021</v>
      </c>
      <c r="AL76" s="352"/>
      <c r="AM76" s="358"/>
      <c r="AN76" s="604">
        <v>0.0</v>
      </c>
      <c r="AO76" s="355">
        <f t="shared" si="97"/>
        <v>0</v>
      </c>
      <c r="AP76" s="357">
        <f t="shared" si="98"/>
        <v>20652.76018</v>
      </c>
      <c r="AQ76" s="355">
        <v>0.0021</v>
      </c>
      <c r="AR76" s="352"/>
      <c r="AS76" s="358"/>
      <c r="AT76" s="604"/>
      <c r="AU76" s="355">
        <f t="shared" si="99"/>
        <v>0</v>
      </c>
      <c r="AV76" s="357">
        <f t="shared" si="100"/>
        <v>20350.87452</v>
      </c>
      <c r="AW76" s="355">
        <v>0.0021</v>
      </c>
      <c r="AX76" s="352"/>
      <c r="AY76" s="358"/>
      <c r="AZ76" s="604">
        <v>0.0</v>
      </c>
      <c r="BA76" s="355">
        <f t="shared" si="101"/>
        <v>0</v>
      </c>
      <c r="BB76" s="357">
        <f t="shared" si="102"/>
        <v>21977.90703</v>
      </c>
      <c r="BC76" s="355">
        <v>0.0021</v>
      </c>
      <c r="BD76" s="352"/>
      <c r="BE76" s="358"/>
      <c r="BF76" s="604"/>
      <c r="BG76" s="355">
        <f t="shared" si="103"/>
        <v>0</v>
      </c>
      <c r="BH76" s="357">
        <f t="shared" si="104"/>
        <v>21432.56066</v>
      </c>
      <c r="BI76" s="355">
        <v>0.0021</v>
      </c>
      <c r="BJ76" s="352"/>
      <c r="BK76" s="358"/>
      <c r="BL76" s="628">
        <v>24695.0</v>
      </c>
      <c r="BM76" s="352"/>
      <c r="BN76" s="357">
        <f t="shared" si="105"/>
        <v>19775.05746</v>
      </c>
      <c r="BO76" s="355">
        <v>0.0021</v>
      </c>
      <c r="BP76" s="352"/>
      <c r="BQ76" s="358"/>
      <c r="BR76" s="351"/>
      <c r="BS76" s="352"/>
      <c r="BT76" s="357">
        <f t="shared" si="106"/>
        <v>21278.89004</v>
      </c>
      <c r="BU76" s="355">
        <v>0.0021</v>
      </c>
      <c r="BV76" s="352"/>
      <c r="BW76" s="358"/>
      <c r="BX76" s="213"/>
      <c r="BY76" s="213"/>
      <c r="BZ76" s="213"/>
      <c r="CA76" s="213"/>
      <c r="CB76" s="213"/>
      <c r="CC76" s="213"/>
      <c r="CD76" s="213"/>
      <c r="CE76" s="213"/>
      <c r="CF76" s="213"/>
      <c r="CG76" s="213"/>
      <c r="CH76" s="213"/>
      <c r="CI76" s="213"/>
      <c r="CJ76" s="213"/>
      <c r="CK76" s="213"/>
      <c r="CL76" s="213"/>
      <c r="CM76" s="213"/>
      <c r="CN76" s="213"/>
      <c r="CO76" s="213"/>
      <c r="CP76" s="213"/>
      <c r="CQ76" s="213"/>
    </row>
    <row r="77" ht="15.75" customHeight="1">
      <c r="A77" s="213"/>
      <c r="B77" s="502"/>
      <c r="C77" s="502" t="s">
        <v>247</v>
      </c>
      <c r="D77" s="619">
        <v>850.0</v>
      </c>
      <c r="E77" s="404">
        <f t="shared" si="83"/>
        <v>0.00009898275112</v>
      </c>
      <c r="F77" s="367"/>
      <c r="G77" s="404">
        <v>0.0049</v>
      </c>
      <c r="H77" s="367">
        <f t="shared" si="85"/>
        <v>850</v>
      </c>
      <c r="I77" s="406"/>
      <c r="J77" s="619">
        <v>2394.0</v>
      </c>
      <c r="K77" s="404">
        <f t="shared" si="87"/>
        <v>0.000247727435</v>
      </c>
      <c r="L77" s="367"/>
      <c r="M77" s="404">
        <v>0.0049</v>
      </c>
      <c r="N77" s="364"/>
      <c r="O77" s="368"/>
      <c r="P77" s="619"/>
      <c r="Q77" s="404">
        <f t="shared" si="89"/>
        <v>0</v>
      </c>
      <c r="R77" s="367"/>
      <c r="S77" s="404">
        <v>0.0049</v>
      </c>
      <c r="T77" s="364"/>
      <c r="U77" s="368"/>
      <c r="V77" s="619">
        <v>0.0</v>
      </c>
      <c r="W77" s="404">
        <f t="shared" si="91"/>
        <v>0</v>
      </c>
      <c r="X77" s="367"/>
      <c r="Y77" s="404">
        <v>0.0049</v>
      </c>
      <c r="Z77" s="364"/>
      <c r="AA77" s="368"/>
      <c r="AB77" s="619"/>
      <c r="AC77" s="404">
        <f t="shared" si="93"/>
        <v>0</v>
      </c>
      <c r="AD77" s="367"/>
      <c r="AE77" s="404">
        <v>0.0049</v>
      </c>
      <c r="AF77" s="364"/>
      <c r="AG77" s="368"/>
      <c r="AH77" s="619"/>
      <c r="AI77" s="404">
        <f t="shared" si="95"/>
        <v>0</v>
      </c>
      <c r="AJ77" s="367"/>
      <c r="AK77" s="404">
        <v>0.0049</v>
      </c>
      <c r="AL77" s="364"/>
      <c r="AM77" s="368"/>
      <c r="AN77" s="619">
        <v>0.0</v>
      </c>
      <c r="AO77" s="404">
        <f t="shared" si="97"/>
        <v>0</v>
      </c>
      <c r="AP77" s="367">
        <f t="shared" si="98"/>
        <v>48189.77376</v>
      </c>
      <c r="AQ77" s="404">
        <v>0.0049</v>
      </c>
      <c r="AR77" s="364"/>
      <c r="AS77" s="368"/>
      <c r="AT77" s="619"/>
      <c r="AU77" s="404">
        <f t="shared" si="99"/>
        <v>0</v>
      </c>
      <c r="AV77" s="367">
        <f t="shared" si="100"/>
        <v>47485.37387</v>
      </c>
      <c r="AW77" s="404">
        <v>0.0049</v>
      </c>
      <c r="AX77" s="364"/>
      <c r="AY77" s="368"/>
      <c r="AZ77" s="619">
        <v>0.0</v>
      </c>
      <c r="BA77" s="404">
        <f t="shared" si="101"/>
        <v>0</v>
      </c>
      <c r="BB77" s="367">
        <f t="shared" si="102"/>
        <v>51281.78307</v>
      </c>
      <c r="BC77" s="404">
        <v>0.0049</v>
      </c>
      <c r="BD77" s="364"/>
      <c r="BE77" s="368"/>
      <c r="BF77" s="619"/>
      <c r="BG77" s="404">
        <f t="shared" si="103"/>
        <v>0</v>
      </c>
      <c r="BH77" s="367">
        <f t="shared" si="104"/>
        <v>50009.3082</v>
      </c>
      <c r="BI77" s="404">
        <v>0.0049</v>
      </c>
      <c r="BJ77" s="364"/>
      <c r="BK77" s="368"/>
      <c r="BL77" s="619"/>
      <c r="BM77" s="364"/>
      <c r="BN77" s="367">
        <f t="shared" si="105"/>
        <v>46141.80073</v>
      </c>
      <c r="BO77" s="404">
        <v>0.0049</v>
      </c>
      <c r="BP77" s="364"/>
      <c r="BQ77" s="368"/>
      <c r="BR77" s="516">
        <v>1230.57</v>
      </c>
      <c r="BS77" s="364"/>
      <c r="BT77" s="367">
        <f t="shared" si="106"/>
        <v>49650.74342</v>
      </c>
      <c r="BU77" s="404">
        <v>0.0049</v>
      </c>
      <c r="BV77" s="364"/>
      <c r="BW77" s="368"/>
      <c r="BX77" s="213"/>
      <c r="BY77" s="213"/>
      <c r="BZ77" s="213"/>
      <c r="CA77" s="213"/>
      <c r="CB77" s="213"/>
      <c r="CC77" s="213"/>
      <c r="CD77" s="213"/>
      <c r="CE77" s="213"/>
      <c r="CF77" s="213"/>
      <c r="CG77" s="213"/>
      <c r="CH77" s="213"/>
      <c r="CI77" s="213"/>
      <c r="CJ77" s="213"/>
      <c r="CK77" s="213"/>
      <c r="CL77" s="213"/>
      <c r="CM77" s="213"/>
      <c r="CN77" s="213"/>
      <c r="CO77" s="213"/>
      <c r="CP77" s="213"/>
      <c r="CQ77" s="213"/>
    </row>
    <row r="78" ht="15.75" customHeight="1">
      <c r="A78" s="213"/>
      <c r="B78" s="507"/>
      <c r="C78" s="483" t="s">
        <v>248</v>
      </c>
      <c r="D78" s="600">
        <f>SUM(D72:D77)</f>
        <v>239028.48</v>
      </c>
      <c r="E78" s="374">
        <f t="shared" si="83"/>
        <v>0.02783493711</v>
      </c>
      <c r="F78" s="377">
        <f>SUM(F72:F77)</f>
        <v>156808.9511</v>
      </c>
      <c r="G78" s="374">
        <f>F78/F$32</f>
        <v>0.0186</v>
      </c>
      <c r="H78" s="377">
        <f>SUM(H72:H77)</f>
        <v>82219.52887</v>
      </c>
      <c r="I78" s="378"/>
      <c r="J78" s="600">
        <f>SUM(J72:J77)</f>
        <v>194920</v>
      </c>
      <c r="K78" s="374">
        <f t="shared" si="87"/>
        <v>0.02017002157</v>
      </c>
      <c r="L78" s="377">
        <f>SUM(L72:L77)</f>
        <v>154969.981</v>
      </c>
      <c r="M78" s="374">
        <f>L78/L$32</f>
        <v>0.0186</v>
      </c>
      <c r="N78" s="408">
        <f>SUM(N72:N77)</f>
        <v>0</v>
      </c>
      <c r="O78" s="378"/>
      <c r="P78" s="600">
        <f>SUM(P72:P77)</f>
        <v>155545</v>
      </c>
      <c r="Q78" s="374">
        <f t="shared" si="89"/>
        <v>0.02078757992</v>
      </c>
      <c r="R78" s="377">
        <f>SUM(R72:R77)</f>
        <v>152478.7191</v>
      </c>
      <c r="S78" s="374">
        <f>R78/R$32</f>
        <v>0.0186</v>
      </c>
      <c r="T78" s="408">
        <f>SUM(T72:T77)</f>
        <v>0</v>
      </c>
      <c r="U78" s="378"/>
      <c r="V78" s="600">
        <f>SUM(V72:V77)</f>
        <v>186443</v>
      </c>
      <c r="W78" s="374">
        <f t="shared" si="91"/>
        <v>0.01960050062</v>
      </c>
      <c r="X78" s="377">
        <f>SUM(X72:X77)</f>
        <v>167407.9418</v>
      </c>
      <c r="Y78" s="374">
        <f>X78/X$32</f>
        <v>0.01860001294</v>
      </c>
      <c r="Z78" s="408">
        <f>SUM(Z72:Z77)</f>
        <v>0</v>
      </c>
      <c r="AA78" s="378"/>
      <c r="AB78" s="600">
        <f>SUM(AB72:AB77)</f>
        <v>163134</v>
      </c>
      <c r="AC78" s="374">
        <f t="shared" si="93"/>
        <v>0.01740876284</v>
      </c>
      <c r="AD78" s="377">
        <f>SUM(AD72:AD77)</f>
        <v>169259.9466</v>
      </c>
      <c r="AE78" s="374">
        <f>AD78/AD$32</f>
        <v>0.01860000075</v>
      </c>
      <c r="AF78" s="408">
        <f>SUM(AF72:AF77)</f>
        <v>0</v>
      </c>
      <c r="AG78" s="378"/>
      <c r="AH78" s="600">
        <f>SUM(AH72:AH77)</f>
        <v>179667.24</v>
      </c>
      <c r="AI78" s="374">
        <f t="shared" si="95"/>
        <v>0.01951930835</v>
      </c>
      <c r="AJ78" s="377">
        <f>SUM(AJ72:AJ77)</f>
        <v>167988.7591</v>
      </c>
      <c r="AK78" s="374">
        <f>AJ78/AJ$32</f>
        <v>0.0186</v>
      </c>
      <c r="AL78" s="408">
        <f>SUM(AL72:AL77)</f>
        <v>0</v>
      </c>
      <c r="AM78" s="378"/>
      <c r="AN78" s="600">
        <f>SUM(AN72:AN77)</f>
        <v>159621</v>
      </c>
      <c r="AO78" s="374">
        <f t="shared" si="97"/>
        <v>0.01895583887</v>
      </c>
      <c r="AP78" s="377">
        <f>SUM(AP72:AP77)</f>
        <v>231114.2211</v>
      </c>
      <c r="AQ78" s="374">
        <f>AP78/AP$32</f>
        <v>0.0235</v>
      </c>
      <c r="AR78" s="408">
        <f>SUM(AR72:AR77)</f>
        <v>0</v>
      </c>
      <c r="AS78" s="378"/>
      <c r="AT78" s="600">
        <f>SUM(AT72:AT77)</f>
        <v>154262</v>
      </c>
      <c r="AU78" s="374">
        <f t="shared" si="99"/>
        <v>0.01648284321</v>
      </c>
      <c r="AV78" s="377">
        <f>SUM(AV72:AV77)</f>
        <v>227735.9767</v>
      </c>
      <c r="AW78" s="374">
        <f>AV78/AV$32</f>
        <v>0.0235</v>
      </c>
      <c r="AX78" s="408">
        <f>SUM(AX72:AX77)</f>
        <v>0</v>
      </c>
      <c r="AY78" s="378"/>
      <c r="AZ78" s="600">
        <f>SUM(AZ72:AZ77)</f>
        <v>174120.76</v>
      </c>
      <c r="BA78" s="374">
        <f t="shared" si="101"/>
        <v>0.01726424988</v>
      </c>
      <c r="BB78" s="377">
        <f>SUM(BB72:BB77)</f>
        <v>245943.2453</v>
      </c>
      <c r="BC78" s="374">
        <f>BB78/BB$32</f>
        <v>0.0235</v>
      </c>
      <c r="BD78" s="408">
        <f>SUM(BD72:BD77)</f>
        <v>0</v>
      </c>
      <c r="BE78" s="378"/>
      <c r="BF78" s="600">
        <f>SUM(BF72:BF77)</f>
        <v>0</v>
      </c>
      <c r="BG78" s="374">
        <f t="shared" si="103"/>
        <v>0</v>
      </c>
      <c r="BH78" s="377">
        <f>SUM(BH72:BH77)</f>
        <v>239840.5598</v>
      </c>
      <c r="BI78" s="374">
        <f>BH78/BH$32</f>
        <v>0.0235</v>
      </c>
      <c r="BJ78" s="408">
        <f>SUM(BJ72:BJ77)</f>
        <v>0</v>
      </c>
      <c r="BK78" s="378"/>
      <c r="BL78" s="600">
        <f>SUM(BL72:BL77)</f>
        <v>188018.7</v>
      </c>
      <c r="BM78" s="408"/>
      <c r="BN78" s="377">
        <f>SUM(BN72:BN77)</f>
        <v>221292.3096</v>
      </c>
      <c r="BO78" s="374">
        <f>BN78/BN$32</f>
        <v>0.0235</v>
      </c>
      <c r="BP78" s="408">
        <f>SUM(BP72:BP77)</f>
        <v>0</v>
      </c>
      <c r="BQ78" s="378"/>
      <c r="BR78" s="373">
        <f>SUM(BR72:BR77)</f>
        <v>103031.88</v>
      </c>
      <c r="BS78" s="408"/>
      <c r="BT78" s="377">
        <f>SUM(BT72:BT77)</f>
        <v>238120.9123</v>
      </c>
      <c r="BU78" s="374">
        <f>BT78/BT$32</f>
        <v>0.0235</v>
      </c>
      <c r="BV78" s="408">
        <f>SUM(BV72:BV77)</f>
        <v>0</v>
      </c>
      <c r="BW78" s="378"/>
      <c r="BX78" s="718">
        <f>D78+J78+P78+V78+AB78+AH78+AN78+AT78+AZ78+BF78+BL78+BR78</f>
        <v>1897792.06</v>
      </c>
      <c r="BY78" s="216"/>
      <c r="BZ78" s="216"/>
      <c r="CA78" s="216"/>
      <c r="CB78" s="216"/>
      <c r="CC78" s="216"/>
      <c r="CD78" s="216"/>
      <c r="CE78" s="216"/>
      <c r="CF78" s="216"/>
      <c r="CG78" s="216"/>
      <c r="CH78" s="216"/>
      <c r="CI78" s="216"/>
      <c r="CJ78" s="216"/>
      <c r="CK78" s="216"/>
      <c r="CL78" s="216"/>
      <c r="CM78" s="216"/>
      <c r="CN78" s="216"/>
      <c r="CO78" s="216"/>
      <c r="CP78" s="216"/>
      <c r="CQ78" s="216"/>
    </row>
    <row r="79" ht="15.75" hidden="1" customHeight="1">
      <c r="A79" s="213"/>
      <c r="B79" s="488"/>
      <c r="C79" s="488"/>
      <c r="D79" s="708"/>
      <c r="E79" s="440"/>
      <c r="F79" s="440"/>
      <c r="G79" s="440"/>
      <c r="H79" s="440"/>
      <c r="I79" s="389"/>
      <c r="J79" s="444"/>
      <c r="K79" s="440"/>
      <c r="L79" s="440"/>
      <c r="M79" s="440"/>
      <c r="N79" s="440"/>
      <c r="O79" s="389"/>
      <c r="P79" s="444"/>
      <c r="Q79" s="440"/>
      <c r="R79" s="440"/>
      <c r="S79" s="440"/>
      <c r="T79" s="440"/>
      <c r="U79" s="389"/>
      <c r="V79" s="444"/>
      <c r="W79" s="440"/>
      <c r="X79" s="440"/>
      <c r="Y79" s="440"/>
      <c r="Z79" s="440"/>
      <c r="AA79" s="389"/>
      <c r="AB79" s="708"/>
      <c r="AC79" s="440"/>
      <c r="AD79" s="440"/>
      <c r="AE79" s="440"/>
      <c r="AF79" s="440"/>
      <c r="AG79" s="389"/>
      <c r="AH79" s="708"/>
      <c r="AI79" s="440"/>
      <c r="AJ79" s="440"/>
      <c r="AK79" s="440"/>
      <c r="AL79" s="440"/>
      <c r="AM79" s="389"/>
      <c r="AN79" s="708"/>
      <c r="AO79" s="440"/>
      <c r="AP79" s="440"/>
      <c r="AQ79" s="440"/>
      <c r="AR79" s="440"/>
      <c r="AS79" s="389"/>
      <c r="AT79" s="708"/>
      <c r="AU79" s="440"/>
      <c r="AV79" s="440"/>
      <c r="AW79" s="440"/>
      <c r="AX79" s="440"/>
      <c r="AY79" s="389"/>
      <c r="AZ79" s="708"/>
      <c r="BA79" s="440"/>
      <c r="BB79" s="440"/>
      <c r="BC79" s="440"/>
      <c r="BD79" s="440"/>
      <c r="BE79" s="389"/>
      <c r="BF79" s="708"/>
      <c r="BG79" s="440"/>
      <c r="BH79" s="440"/>
      <c r="BI79" s="440"/>
      <c r="BJ79" s="440"/>
      <c r="BK79" s="389"/>
      <c r="BL79" s="708"/>
      <c r="BM79" s="440"/>
      <c r="BN79" s="440"/>
      <c r="BO79" s="440"/>
      <c r="BP79" s="440"/>
      <c r="BQ79" s="389"/>
      <c r="BR79" s="491"/>
      <c r="BS79" s="440"/>
      <c r="BT79" s="440"/>
      <c r="BU79" s="440"/>
      <c r="BV79" s="440"/>
      <c r="BW79" s="389"/>
      <c r="BX79" s="213"/>
      <c r="BY79" s="213"/>
      <c r="BZ79" s="213"/>
      <c r="CA79" s="213"/>
      <c r="CB79" s="213"/>
      <c r="CC79" s="213"/>
      <c r="CD79" s="213"/>
      <c r="CE79" s="213"/>
      <c r="CF79" s="213"/>
      <c r="CG79" s="213"/>
      <c r="CH79" s="213"/>
      <c r="CI79" s="213"/>
      <c r="CJ79" s="213"/>
      <c r="CK79" s="213"/>
      <c r="CL79" s="213"/>
      <c r="CM79" s="213"/>
      <c r="CN79" s="213"/>
      <c r="CO79" s="213"/>
      <c r="CP79" s="213"/>
      <c r="CQ79" s="213"/>
    </row>
    <row r="80" ht="15.75" hidden="1" customHeight="1">
      <c r="A80" s="213"/>
      <c r="B80" s="492"/>
      <c r="C80" s="492"/>
      <c r="D80" s="604"/>
      <c r="E80" s="355"/>
      <c r="F80" s="357"/>
      <c r="G80" s="357"/>
      <c r="H80" s="357"/>
      <c r="I80" s="533"/>
      <c r="J80" s="665"/>
      <c r="K80" s="355"/>
      <c r="L80" s="352"/>
      <c r="M80" s="352"/>
      <c r="N80" s="352"/>
      <c r="O80" s="358"/>
      <c r="P80" s="665"/>
      <c r="Q80" s="352"/>
      <c r="R80" s="352"/>
      <c r="S80" s="352"/>
      <c r="T80" s="352"/>
      <c r="U80" s="358"/>
      <c r="V80" s="665"/>
      <c r="W80" s="352"/>
      <c r="X80" s="352"/>
      <c r="Y80" s="352"/>
      <c r="Z80" s="352"/>
      <c r="AA80" s="358"/>
      <c r="AB80" s="604"/>
      <c r="AC80" s="352"/>
      <c r="AD80" s="352"/>
      <c r="AE80" s="352"/>
      <c r="AF80" s="352"/>
      <c r="AG80" s="358"/>
      <c r="AH80" s="604"/>
      <c r="AI80" s="352"/>
      <c r="AJ80" s="352"/>
      <c r="AK80" s="352"/>
      <c r="AL80" s="352"/>
      <c r="AM80" s="358"/>
      <c r="AN80" s="604"/>
      <c r="AO80" s="352"/>
      <c r="AP80" s="352"/>
      <c r="AQ80" s="352"/>
      <c r="AR80" s="352"/>
      <c r="AS80" s="358"/>
      <c r="AT80" s="604"/>
      <c r="AU80" s="352"/>
      <c r="AV80" s="352"/>
      <c r="AW80" s="352"/>
      <c r="AX80" s="352"/>
      <c r="AY80" s="358"/>
      <c r="AZ80" s="604"/>
      <c r="BA80" s="352"/>
      <c r="BB80" s="352"/>
      <c r="BC80" s="352"/>
      <c r="BD80" s="352"/>
      <c r="BE80" s="358"/>
      <c r="BF80" s="604"/>
      <c r="BG80" s="352"/>
      <c r="BH80" s="352"/>
      <c r="BI80" s="352"/>
      <c r="BJ80" s="352"/>
      <c r="BK80" s="358"/>
      <c r="BL80" s="604"/>
      <c r="BM80" s="352"/>
      <c r="BN80" s="352"/>
      <c r="BO80" s="352"/>
      <c r="BP80" s="352"/>
      <c r="BQ80" s="358"/>
      <c r="BR80" s="351"/>
      <c r="BS80" s="352"/>
      <c r="BT80" s="352"/>
      <c r="BU80" s="352"/>
      <c r="BV80" s="352"/>
      <c r="BW80" s="358"/>
      <c r="BX80" s="213"/>
      <c r="BY80" s="213"/>
      <c r="BZ80" s="213"/>
      <c r="CA80" s="213"/>
      <c r="CB80" s="213"/>
      <c r="CC80" s="213"/>
      <c r="CD80" s="213"/>
      <c r="CE80" s="213"/>
      <c r="CF80" s="213"/>
      <c r="CG80" s="213"/>
      <c r="CH80" s="213"/>
      <c r="CI80" s="213"/>
      <c r="CJ80" s="213"/>
      <c r="CK80" s="213"/>
      <c r="CL80" s="213"/>
      <c r="CM80" s="213"/>
      <c r="CN80" s="213"/>
      <c r="CO80" s="213"/>
      <c r="CP80" s="213"/>
      <c r="CQ80" s="213"/>
    </row>
    <row r="81" ht="15.75" hidden="1" customHeight="1">
      <c r="A81" s="213"/>
      <c r="B81" s="492"/>
      <c r="C81" s="492"/>
      <c r="D81" s="604"/>
      <c r="E81" s="355"/>
      <c r="F81" s="357"/>
      <c r="G81" s="357"/>
      <c r="H81" s="357"/>
      <c r="I81" s="533"/>
      <c r="J81" s="665"/>
      <c r="K81" s="355"/>
      <c r="L81" s="352"/>
      <c r="M81" s="352"/>
      <c r="N81" s="352"/>
      <c r="O81" s="358"/>
      <c r="P81" s="665"/>
      <c r="Q81" s="352"/>
      <c r="R81" s="352"/>
      <c r="S81" s="352"/>
      <c r="T81" s="352"/>
      <c r="U81" s="358"/>
      <c r="V81" s="665"/>
      <c r="W81" s="352"/>
      <c r="X81" s="352"/>
      <c r="Y81" s="352"/>
      <c r="Z81" s="352"/>
      <c r="AA81" s="358"/>
      <c r="AB81" s="604"/>
      <c r="AC81" s="352"/>
      <c r="AD81" s="352"/>
      <c r="AE81" s="352"/>
      <c r="AF81" s="352"/>
      <c r="AG81" s="358"/>
      <c r="AH81" s="604"/>
      <c r="AI81" s="352"/>
      <c r="AJ81" s="352"/>
      <c r="AK81" s="352"/>
      <c r="AL81" s="352"/>
      <c r="AM81" s="358"/>
      <c r="AN81" s="604"/>
      <c r="AO81" s="352"/>
      <c r="AP81" s="352"/>
      <c r="AQ81" s="352"/>
      <c r="AR81" s="352"/>
      <c r="AS81" s="358"/>
      <c r="AT81" s="604"/>
      <c r="AU81" s="352"/>
      <c r="AV81" s="352"/>
      <c r="AW81" s="352"/>
      <c r="AX81" s="352"/>
      <c r="AY81" s="358"/>
      <c r="AZ81" s="604"/>
      <c r="BA81" s="352"/>
      <c r="BB81" s="352"/>
      <c r="BC81" s="352"/>
      <c r="BD81" s="352"/>
      <c r="BE81" s="358"/>
      <c r="BF81" s="604"/>
      <c r="BG81" s="352"/>
      <c r="BH81" s="352"/>
      <c r="BI81" s="352"/>
      <c r="BJ81" s="352"/>
      <c r="BK81" s="358"/>
      <c r="BL81" s="604"/>
      <c r="BM81" s="352"/>
      <c r="BN81" s="352"/>
      <c r="BO81" s="352"/>
      <c r="BP81" s="352"/>
      <c r="BQ81" s="358"/>
      <c r="BR81" s="351"/>
      <c r="BS81" s="352"/>
      <c r="BT81" s="352"/>
      <c r="BU81" s="352"/>
      <c r="BV81" s="352"/>
      <c r="BW81" s="358"/>
      <c r="BX81" s="213"/>
      <c r="BY81" s="213"/>
      <c r="BZ81" s="213"/>
      <c r="CA81" s="213"/>
      <c r="CB81" s="213"/>
      <c r="CC81" s="213"/>
      <c r="CD81" s="213"/>
      <c r="CE81" s="213"/>
      <c r="CF81" s="213"/>
      <c r="CG81" s="213"/>
      <c r="CH81" s="213"/>
      <c r="CI81" s="213"/>
      <c r="CJ81" s="213"/>
      <c r="CK81" s="213"/>
      <c r="CL81" s="213"/>
      <c r="CM81" s="213"/>
      <c r="CN81" s="213"/>
      <c r="CO81" s="213"/>
      <c r="CP81" s="213"/>
      <c r="CQ81" s="213"/>
    </row>
    <row r="82" ht="15.75" hidden="1" customHeight="1">
      <c r="A82" s="213"/>
      <c r="B82" s="492"/>
      <c r="C82" s="492"/>
      <c r="D82" s="604"/>
      <c r="E82" s="355"/>
      <c r="F82" s="357"/>
      <c r="G82" s="357"/>
      <c r="H82" s="357"/>
      <c r="I82" s="533"/>
      <c r="J82" s="665"/>
      <c r="K82" s="355"/>
      <c r="L82" s="352"/>
      <c r="M82" s="352"/>
      <c r="N82" s="352"/>
      <c r="O82" s="358"/>
      <c r="P82" s="665"/>
      <c r="Q82" s="352"/>
      <c r="R82" s="352"/>
      <c r="S82" s="352"/>
      <c r="T82" s="352"/>
      <c r="U82" s="358"/>
      <c r="V82" s="665"/>
      <c r="W82" s="352"/>
      <c r="X82" s="352"/>
      <c r="Y82" s="352"/>
      <c r="Z82" s="352"/>
      <c r="AA82" s="358"/>
      <c r="AB82" s="604"/>
      <c r="AC82" s="352"/>
      <c r="AD82" s="352"/>
      <c r="AE82" s="352"/>
      <c r="AF82" s="352"/>
      <c r="AG82" s="358"/>
      <c r="AH82" s="604"/>
      <c r="AI82" s="352"/>
      <c r="AJ82" s="352"/>
      <c r="AK82" s="352"/>
      <c r="AL82" s="352"/>
      <c r="AM82" s="358"/>
      <c r="AN82" s="604"/>
      <c r="AO82" s="352"/>
      <c r="AP82" s="352"/>
      <c r="AQ82" s="352"/>
      <c r="AR82" s="352"/>
      <c r="AS82" s="358"/>
      <c r="AT82" s="604"/>
      <c r="AU82" s="352"/>
      <c r="AV82" s="352"/>
      <c r="AW82" s="352"/>
      <c r="AX82" s="352"/>
      <c r="AY82" s="358"/>
      <c r="AZ82" s="604"/>
      <c r="BA82" s="352"/>
      <c r="BB82" s="352"/>
      <c r="BC82" s="352"/>
      <c r="BD82" s="352"/>
      <c r="BE82" s="358"/>
      <c r="BF82" s="604"/>
      <c r="BG82" s="352"/>
      <c r="BH82" s="352"/>
      <c r="BI82" s="352"/>
      <c r="BJ82" s="352"/>
      <c r="BK82" s="358"/>
      <c r="BL82" s="604"/>
      <c r="BM82" s="352"/>
      <c r="BN82" s="352"/>
      <c r="BO82" s="352"/>
      <c r="BP82" s="352"/>
      <c r="BQ82" s="358"/>
      <c r="BR82" s="351"/>
      <c r="BS82" s="352"/>
      <c r="BT82" s="352"/>
      <c r="BU82" s="352"/>
      <c r="BV82" s="352"/>
      <c r="BW82" s="358"/>
      <c r="BX82" s="213"/>
      <c r="BY82" s="213"/>
      <c r="BZ82" s="213"/>
      <c r="CA82" s="213"/>
      <c r="CB82" s="213"/>
      <c r="CC82" s="213"/>
      <c r="CD82" s="213"/>
      <c r="CE82" s="213"/>
      <c r="CF82" s="213"/>
      <c r="CG82" s="213"/>
      <c r="CH82" s="213"/>
      <c r="CI82" s="213"/>
      <c r="CJ82" s="213"/>
      <c r="CK82" s="213"/>
      <c r="CL82" s="213"/>
      <c r="CM82" s="213"/>
      <c r="CN82" s="213"/>
      <c r="CO82" s="213"/>
      <c r="CP82" s="213"/>
      <c r="CQ82" s="213"/>
    </row>
    <row r="83" ht="15.75" hidden="1" customHeight="1">
      <c r="A83" s="213"/>
      <c r="B83" s="492"/>
      <c r="C83" s="492"/>
      <c r="D83" s="604"/>
      <c r="E83" s="355"/>
      <c r="F83" s="357"/>
      <c r="G83" s="357"/>
      <c r="H83" s="357"/>
      <c r="I83" s="533"/>
      <c r="J83" s="665"/>
      <c r="K83" s="355"/>
      <c r="L83" s="352"/>
      <c r="M83" s="352"/>
      <c r="N83" s="352"/>
      <c r="O83" s="358"/>
      <c r="P83" s="665"/>
      <c r="Q83" s="352"/>
      <c r="R83" s="352"/>
      <c r="S83" s="352"/>
      <c r="T83" s="352"/>
      <c r="U83" s="358"/>
      <c r="V83" s="665"/>
      <c r="W83" s="352"/>
      <c r="X83" s="352"/>
      <c r="Y83" s="352"/>
      <c r="Z83" s="352"/>
      <c r="AA83" s="358"/>
      <c r="AB83" s="604"/>
      <c r="AC83" s="352"/>
      <c r="AD83" s="352"/>
      <c r="AE83" s="352"/>
      <c r="AF83" s="352"/>
      <c r="AG83" s="358"/>
      <c r="AH83" s="604"/>
      <c r="AI83" s="352"/>
      <c r="AJ83" s="352"/>
      <c r="AK83" s="352"/>
      <c r="AL83" s="352"/>
      <c r="AM83" s="358"/>
      <c r="AN83" s="604"/>
      <c r="AO83" s="352"/>
      <c r="AP83" s="352"/>
      <c r="AQ83" s="352"/>
      <c r="AR83" s="352"/>
      <c r="AS83" s="358"/>
      <c r="AT83" s="604"/>
      <c r="AU83" s="352"/>
      <c r="AV83" s="352"/>
      <c r="AW83" s="352"/>
      <c r="AX83" s="352"/>
      <c r="AY83" s="358"/>
      <c r="AZ83" s="604"/>
      <c r="BA83" s="352"/>
      <c r="BB83" s="352"/>
      <c r="BC83" s="352"/>
      <c r="BD83" s="352"/>
      <c r="BE83" s="358"/>
      <c r="BF83" s="604"/>
      <c r="BG83" s="352"/>
      <c r="BH83" s="352"/>
      <c r="BI83" s="352"/>
      <c r="BJ83" s="352"/>
      <c r="BK83" s="358"/>
      <c r="BL83" s="604"/>
      <c r="BM83" s="352"/>
      <c r="BN83" s="352"/>
      <c r="BO83" s="352"/>
      <c r="BP83" s="352"/>
      <c r="BQ83" s="358"/>
      <c r="BR83" s="351"/>
      <c r="BS83" s="352"/>
      <c r="BT83" s="352"/>
      <c r="BU83" s="352"/>
      <c r="BV83" s="352"/>
      <c r="BW83" s="358"/>
      <c r="BX83" s="213"/>
      <c r="BY83" s="213"/>
      <c r="BZ83" s="213"/>
      <c r="CA83" s="213"/>
      <c r="CB83" s="213"/>
      <c r="CC83" s="213"/>
      <c r="CD83" s="213"/>
      <c r="CE83" s="213"/>
      <c r="CF83" s="213"/>
      <c r="CG83" s="213"/>
      <c r="CH83" s="213"/>
      <c r="CI83" s="213"/>
      <c r="CJ83" s="213"/>
      <c r="CK83" s="213"/>
      <c r="CL83" s="213"/>
      <c r="CM83" s="213"/>
      <c r="CN83" s="213"/>
      <c r="CO83" s="213"/>
      <c r="CP83" s="213"/>
      <c r="CQ83" s="213"/>
    </row>
    <row r="84" ht="15.75" hidden="1" customHeight="1">
      <c r="A84" s="213"/>
      <c r="B84" s="492"/>
      <c r="C84" s="492"/>
      <c r="D84" s="604"/>
      <c r="E84" s="355"/>
      <c r="F84" s="357"/>
      <c r="G84" s="357"/>
      <c r="H84" s="357"/>
      <c r="I84" s="533"/>
      <c r="J84" s="665"/>
      <c r="K84" s="355"/>
      <c r="L84" s="352"/>
      <c r="M84" s="352"/>
      <c r="N84" s="352"/>
      <c r="O84" s="358"/>
      <c r="P84" s="665"/>
      <c r="Q84" s="352"/>
      <c r="R84" s="352"/>
      <c r="S84" s="352"/>
      <c r="T84" s="352"/>
      <c r="U84" s="358"/>
      <c r="V84" s="665"/>
      <c r="W84" s="352"/>
      <c r="X84" s="352"/>
      <c r="Y84" s="352"/>
      <c r="Z84" s="352"/>
      <c r="AA84" s="358"/>
      <c r="AB84" s="604"/>
      <c r="AC84" s="352"/>
      <c r="AD84" s="352"/>
      <c r="AE84" s="352"/>
      <c r="AF84" s="352"/>
      <c r="AG84" s="358"/>
      <c r="AH84" s="604"/>
      <c r="AI84" s="352"/>
      <c r="AJ84" s="352"/>
      <c r="AK84" s="352"/>
      <c r="AL84" s="352"/>
      <c r="AM84" s="358"/>
      <c r="AN84" s="604"/>
      <c r="AO84" s="352"/>
      <c r="AP84" s="352"/>
      <c r="AQ84" s="352"/>
      <c r="AR84" s="352"/>
      <c r="AS84" s="358"/>
      <c r="AT84" s="604"/>
      <c r="AU84" s="352"/>
      <c r="AV84" s="352"/>
      <c r="AW84" s="352"/>
      <c r="AX84" s="352"/>
      <c r="AY84" s="358"/>
      <c r="AZ84" s="604"/>
      <c r="BA84" s="352"/>
      <c r="BB84" s="352"/>
      <c r="BC84" s="352"/>
      <c r="BD84" s="352"/>
      <c r="BE84" s="358"/>
      <c r="BF84" s="604"/>
      <c r="BG84" s="352"/>
      <c r="BH84" s="352"/>
      <c r="BI84" s="352"/>
      <c r="BJ84" s="352"/>
      <c r="BK84" s="358"/>
      <c r="BL84" s="604"/>
      <c r="BM84" s="352"/>
      <c r="BN84" s="352"/>
      <c r="BO84" s="352"/>
      <c r="BP84" s="352"/>
      <c r="BQ84" s="358"/>
      <c r="BR84" s="351"/>
      <c r="BS84" s="352"/>
      <c r="BT84" s="352"/>
      <c r="BU84" s="352"/>
      <c r="BV84" s="352"/>
      <c r="BW84" s="358"/>
      <c r="BX84" s="213"/>
      <c r="BY84" s="213"/>
      <c r="BZ84" s="213"/>
      <c r="CA84" s="213"/>
      <c r="CB84" s="213"/>
      <c r="CC84" s="213"/>
      <c r="CD84" s="213"/>
      <c r="CE84" s="213"/>
      <c r="CF84" s="213"/>
      <c r="CG84" s="213"/>
      <c r="CH84" s="213"/>
      <c r="CI84" s="213"/>
      <c r="CJ84" s="213"/>
      <c r="CK84" s="213"/>
      <c r="CL84" s="213"/>
      <c r="CM84" s="213"/>
      <c r="CN84" s="213"/>
      <c r="CO84" s="213"/>
      <c r="CP84" s="213"/>
      <c r="CQ84" s="213"/>
    </row>
    <row r="85" ht="15.75" hidden="1" customHeight="1">
      <c r="A85" s="213"/>
      <c r="B85" s="492"/>
      <c r="C85" s="492"/>
      <c r="D85" s="604"/>
      <c r="E85" s="355"/>
      <c r="F85" s="357"/>
      <c r="G85" s="357"/>
      <c r="H85" s="357"/>
      <c r="I85" s="533"/>
      <c r="J85" s="665"/>
      <c r="K85" s="355"/>
      <c r="L85" s="352"/>
      <c r="M85" s="352"/>
      <c r="N85" s="352"/>
      <c r="O85" s="358"/>
      <c r="P85" s="665"/>
      <c r="Q85" s="352"/>
      <c r="R85" s="352"/>
      <c r="S85" s="352"/>
      <c r="T85" s="352"/>
      <c r="U85" s="358"/>
      <c r="V85" s="665"/>
      <c r="W85" s="352"/>
      <c r="X85" s="352"/>
      <c r="Y85" s="352"/>
      <c r="Z85" s="352"/>
      <c r="AA85" s="358"/>
      <c r="AB85" s="604"/>
      <c r="AC85" s="352"/>
      <c r="AD85" s="352"/>
      <c r="AE85" s="352"/>
      <c r="AF85" s="352"/>
      <c r="AG85" s="358"/>
      <c r="AH85" s="604"/>
      <c r="AI85" s="352"/>
      <c r="AJ85" s="352"/>
      <c r="AK85" s="352"/>
      <c r="AL85" s="352"/>
      <c r="AM85" s="358"/>
      <c r="AN85" s="604"/>
      <c r="AO85" s="352"/>
      <c r="AP85" s="352"/>
      <c r="AQ85" s="352"/>
      <c r="AR85" s="352"/>
      <c r="AS85" s="358"/>
      <c r="AT85" s="604"/>
      <c r="AU85" s="352"/>
      <c r="AV85" s="352"/>
      <c r="AW85" s="352"/>
      <c r="AX85" s="352"/>
      <c r="AY85" s="358"/>
      <c r="AZ85" s="604"/>
      <c r="BA85" s="352"/>
      <c r="BB85" s="352"/>
      <c r="BC85" s="352"/>
      <c r="BD85" s="352"/>
      <c r="BE85" s="358"/>
      <c r="BF85" s="604"/>
      <c r="BG85" s="352"/>
      <c r="BH85" s="352"/>
      <c r="BI85" s="352"/>
      <c r="BJ85" s="352"/>
      <c r="BK85" s="358"/>
      <c r="BL85" s="604"/>
      <c r="BM85" s="352"/>
      <c r="BN85" s="352"/>
      <c r="BO85" s="352"/>
      <c r="BP85" s="352"/>
      <c r="BQ85" s="358"/>
      <c r="BR85" s="351"/>
      <c r="BS85" s="352"/>
      <c r="BT85" s="352"/>
      <c r="BU85" s="352"/>
      <c r="BV85" s="352"/>
      <c r="BW85" s="358"/>
      <c r="BX85" s="213"/>
      <c r="BY85" s="213"/>
      <c r="BZ85" s="213"/>
      <c r="CA85" s="213"/>
      <c r="CB85" s="213"/>
      <c r="CC85" s="213"/>
      <c r="CD85" s="213"/>
      <c r="CE85" s="213"/>
      <c r="CF85" s="213"/>
      <c r="CG85" s="213"/>
      <c r="CH85" s="213"/>
      <c r="CI85" s="213"/>
      <c r="CJ85" s="213"/>
      <c r="CK85" s="213"/>
      <c r="CL85" s="213"/>
      <c r="CM85" s="213"/>
      <c r="CN85" s="213"/>
      <c r="CO85" s="213"/>
      <c r="CP85" s="213"/>
      <c r="CQ85" s="213"/>
    </row>
    <row r="86" ht="15.75" hidden="1" customHeight="1">
      <c r="A86" s="213"/>
      <c r="B86" s="492"/>
      <c r="C86" s="492"/>
      <c r="D86" s="604"/>
      <c r="E86" s="352"/>
      <c r="F86" s="352"/>
      <c r="G86" s="352"/>
      <c r="H86" s="352"/>
      <c r="I86" s="358"/>
      <c r="J86" s="393"/>
      <c r="K86" s="352"/>
      <c r="L86" s="352"/>
      <c r="M86" s="352"/>
      <c r="N86" s="352"/>
      <c r="O86" s="358"/>
      <c r="P86" s="393"/>
      <c r="Q86" s="352"/>
      <c r="R86" s="352"/>
      <c r="S86" s="352"/>
      <c r="T86" s="352"/>
      <c r="U86" s="358"/>
      <c r="V86" s="393"/>
      <c r="W86" s="352"/>
      <c r="X86" s="352"/>
      <c r="Y86" s="352"/>
      <c r="Z86" s="352"/>
      <c r="AA86" s="358"/>
      <c r="AB86" s="604"/>
      <c r="AC86" s="352"/>
      <c r="AD86" s="352"/>
      <c r="AE86" s="352"/>
      <c r="AF86" s="352"/>
      <c r="AG86" s="358"/>
      <c r="AH86" s="604"/>
      <c r="AI86" s="352"/>
      <c r="AJ86" s="352"/>
      <c r="AK86" s="352"/>
      <c r="AL86" s="352"/>
      <c r="AM86" s="358"/>
      <c r="AN86" s="604"/>
      <c r="AO86" s="352"/>
      <c r="AP86" s="352"/>
      <c r="AQ86" s="352"/>
      <c r="AR86" s="352"/>
      <c r="AS86" s="358"/>
      <c r="AT86" s="604"/>
      <c r="AU86" s="352"/>
      <c r="AV86" s="352"/>
      <c r="AW86" s="352"/>
      <c r="AX86" s="352"/>
      <c r="AY86" s="358"/>
      <c r="AZ86" s="604"/>
      <c r="BA86" s="352"/>
      <c r="BB86" s="352"/>
      <c r="BC86" s="352"/>
      <c r="BD86" s="352"/>
      <c r="BE86" s="358"/>
      <c r="BF86" s="604"/>
      <c r="BG86" s="352"/>
      <c r="BH86" s="352"/>
      <c r="BI86" s="352"/>
      <c r="BJ86" s="352"/>
      <c r="BK86" s="358"/>
      <c r="BL86" s="604"/>
      <c r="BM86" s="352"/>
      <c r="BN86" s="352"/>
      <c r="BO86" s="352"/>
      <c r="BP86" s="352"/>
      <c r="BQ86" s="358"/>
      <c r="BR86" s="351"/>
      <c r="BS86" s="352"/>
      <c r="BT86" s="352"/>
      <c r="BU86" s="352"/>
      <c r="BV86" s="245"/>
      <c r="BW86" s="350"/>
      <c r="BX86" s="213"/>
      <c r="BY86" s="213"/>
      <c r="BZ86" s="213"/>
      <c r="CA86" s="213"/>
      <c r="CB86" s="213"/>
      <c r="CC86" s="213"/>
      <c r="CD86" s="213"/>
      <c r="CE86" s="213"/>
      <c r="CF86" s="213"/>
      <c r="CG86" s="213"/>
      <c r="CH86" s="213"/>
      <c r="CI86" s="213"/>
      <c r="CJ86" s="213"/>
      <c r="CK86" s="213"/>
      <c r="CL86" s="213"/>
      <c r="CM86" s="213"/>
      <c r="CN86" s="213"/>
      <c r="CO86" s="213"/>
      <c r="CP86" s="213"/>
      <c r="CQ86" s="213"/>
    </row>
    <row r="87" ht="15.75" hidden="1" customHeight="1">
      <c r="A87" s="213"/>
      <c r="B87" s="492"/>
      <c r="C87" s="492"/>
      <c r="D87" s="604"/>
      <c r="E87" s="355"/>
      <c r="F87" s="352"/>
      <c r="G87" s="355"/>
      <c r="H87" s="352"/>
      <c r="I87" s="395"/>
      <c r="J87" s="393"/>
      <c r="K87" s="352"/>
      <c r="L87" s="352"/>
      <c r="M87" s="355"/>
      <c r="N87" s="352"/>
      <c r="O87" s="358"/>
      <c r="P87" s="393"/>
      <c r="Q87" s="352"/>
      <c r="R87" s="352"/>
      <c r="S87" s="355"/>
      <c r="T87" s="352"/>
      <c r="U87" s="358"/>
      <c r="V87" s="393"/>
      <c r="W87" s="352"/>
      <c r="X87" s="352"/>
      <c r="Y87" s="355"/>
      <c r="Z87" s="352"/>
      <c r="AA87" s="358"/>
      <c r="AB87" s="604"/>
      <c r="AC87" s="352"/>
      <c r="AD87" s="352"/>
      <c r="AE87" s="355"/>
      <c r="AF87" s="352"/>
      <c r="AG87" s="358"/>
      <c r="AH87" s="604"/>
      <c r="AI87" s="352"/>
      <c r="AJ87" s="352"/>
      <c r="AK87" s="355"/>
      <c r="AL87" s="352"/>
      <c r="AM87" s="358"/>
      <c r="AN87" s="604"/>
      <c r="AO87" s="355"/>
      <c r="AP87" s="352"/>
      <c r="AQ87" s="355"/>
      <c r="AR87" s="352"/>
      <c r="AS87" s="358"/>
      <c r="AT87" s="604"/>
      <c r="AU87" s="352"/>
      <c r="AV87" s="352"/>
      <c r="AW87" s="355"/>
      <c r="AX87" s="352"/>
      <c r="AY87" s="358"/>
      <c r="AZ87" s="604"/>
      <c r="BA87" s="352"/>
      <c r="BB87" s="352"/>
      <c r="BC87" s="355"/>
      <c r="BD87" s="352"/>
      <c r="BE87" s="358"/>
      <c r="BF87" s="604"/>
      <c r="BG87" s="352"/>
      <c r="BH87" s="352"/>
      <c r="BI87" s="355"/>
      <c r="BJ87" s="352"/>
      <c r="BK87" s="358"/>
      <c r="BL87" s="604"/>
      <c r="BM87" s="352"/>
      <c r="BN87" s="352"/>
      <c r="BO87" s="355"/>
      <c r="BP87" s="352"/>
      <c r="BQ87" s="358"/>
      <c r="BR87" s="351"/>
      <c r="BS87" s="352"/>
      <c r="BT87" s="352"/>
      <c r="BU87" s="355"/>
      <c r="BV87" s="352"/>
      <c r="BW87" s="358"/>
      <c r="BX87" s="213"/>
      <c r="BY87" s="213"/>
      <c r="BZ87" s="213"/>
      <c r="CA87" s="213"/>
      <c r="CB87" s="213"/>
      <c r="CC87" s="213"/>
      <c r="CD87" s="213"/>
      <c r="CE87" s="213"/>
      <c r="CF87" s="213"/>
      <c r="CG87" s="213"/>
      <c r="CH87" s="213"/>
      <c r="CI87" s="213"/>
      <c r="CJ87" s="213"/>
      <c r="CK87" s="213"/>
      <c r="CL87" s="213"/>
      <c r="CM87" s="213"/>
      <c r="CN87" s="213"/>
      <c r="CO87" s="213"/>
      <c r="CP87" s="213"/>
      <c r="CQ87" s="213"/>
    </row>
    <row r="88" ht="15.75" customHeight="1">
      <c r="A88" s="213"/>
      <c r="B88" s="502"/>
      <c r="C88" s="502"/>
      <c r="D88" s="619"/>
      <c r="E88" s="364"/>
      <c r="F88" s="364"/>
      <c r="G88" s="364"/>
      <c r="H88" s="364"/>
      <c r="I88" s="368"/>
      <c r="J88" s="403"/>
      <c r="K88" s="364"/>
      <c r="L88" s="364"/>
      <c r="M88" s="364"/>
      <c r="N88" s="364"/>
      <c r="O88" s="368"/>
      <c r="P88" s="403"/>
      <c r="Q88" s="364"/>
      <c r="R88" s="364"/>
      <c r="S88" s="364"/>
      <c r="T88" s="364"/>
      <c r="U88" s="368"/>
      <c r="V88" s="403"/>
      <c r="W88" s="364"/>
      <c r="X88" s="364"/>
      <c r="Y88" s="364"/>
      <c r="Z88" s="364"/>
      <c r="AA88" s="368"/>
      <c r="AB88" s="619"/>
      <c r="AC88" s="364"/>
      <c r="AD88" s="364"/>
      <c r="AE88" s="364"/>
      <c r="AF88" s="364"/>
      <c r="AG88" s="368"/>
      <c r="AH88" s="619"/>
      <c r="AI88" s="364"/>
      <c r="AJ88" s="364"/>
      <c r="AK88" s="364"/>
      <c r="AL88" s="364"/>
      <c r="AM88" s="368"/>
      <c r="AN88" s="619"/>
      <c r="AO88" s="364"/>
      <c r="AP88" s="364"/>
      <c r="AQ88" s="364"/>
      <c r="AR88" s="364"/>
      <c r="AS88" s="368"/>
      <c r="AT88" s="619"/>
      <c r="AU88" s="364"/>
      <c r="AV88" s="364"/>
      <c r="AW88" s="364"/>
      <c r="AX88" s="364"/>
      <c r="AY88" s="368"/>
      <c r="AZ88" s="619"/>
      <c r="BA88" s="364"/>
      <c r="BB88" s="364"/>
      <c r="BC88" s="364"/>
      <c r="BD88" s="364"/>
      <c r="BE88" s="368"/>
      <c r="BF88" s="619"/>
      <c r="BG88" s="364"/>
      <c r="BH88" s="364"/>
      <c r="BI88" s="364"/>
      <c r="BJ88" s="364"/>
      <c r="BK88" s="368"/>
      <c r="BL88" s="619"/>
      <c r="BM88" s="364"/>
      <c r="BN88" s="364"/>
      <c r="BO88" s="364"/>
      <c r="BP88" s="364"/>
      <c r="BQ88" s="368"/>
      <c r="BR88" s="506"/>
      <c r="BS88" s="364"/>
      <c r="BT88" s="364"/>
      <c r="BU88" s="364"/>
      <c r="BV88" s="364"/>
      <c r="BW88" s="368"/>
      <c r="BX88" s="213"/>
      <c r="BY88" s="213"/>
      <c r="BZ88" s="213"/>
      <c r="CA88" s="213"/>
      <c r="CB88" s="213"/>
      <c r="CC88" s="213"/>
      <c r="CD88" s="213"/>
      <c r="CE88" s="213"/>
      <c r="CF88" s="213"/>
      <c r="CG88" s="213"/>
      <c r="CH88" s="213"/>
      <c r="CI88" s="213"/>
      <c r="CJ88" s="213"/>
      <c r="CK88" s="213"/>
      <c r="CL88" s="213"/>
      <c r="CM88" s="213"/>
      <c r="CN88" s="213"/>
      <c r="CO88" s="213"/>
      <c r="CP88" s="213"/>
      <c r="CQ88" s="213"/>
    </row>
    <row r="89" ht="15.75" customHeight="1">
      <c r="A89" s="213"/>
      <c r="B89" s="483"/>
      <c r="C89" s="519" t="s">
        <v>250</v>
      </c>
      <c r="D89" s="600">
        <f>SUM(D90:D99)</f>
        <v>91861.06667</v>
      </c>
      <c r="E89" s="374">
        <f t="shared" ref="E89:E96" si="107">D89/D$32</f>
        <v>0.01069724835</v>
      </c>
      <c r="F89" s="377">
        <f>SUM(F90:F99)</f>
        <v>97936</v>
      </c>
      <c r="G89" s="374">
        <f t="shared" ref="G89:G96" si="108">F89/F$32</f>
        <v>0.01161674501</v>
      </c>
      <c r="H89" s="377">
        <f>SUM(H90:H99)</f>
        <v>-6074.6</v>
      </c>
      <c r="I89" s="378"/>
      <c r="J89" s="600">
        <f>SUM(J90:J99)</f>
        <v>101884.2667</v>
      </c>
      <c r="K89" s="374">
        <f t="shared" ref="K89:K97" si="109">J89/J$32</f>
        <v>0.01054282709</v>
      </c>
      <c r="L89" s="377">
        <f>SUM(L90:L99)</f>
        <v>96518</v>
      </c>
      <c r="M89" s="374">
        <f t="shared" ref="M89:M97" si="110">L89/L$32</f>
        <v>0.01158440356</v>
      </c>
      <c r="N89" s="377">
        <f>SUM(N90:N99)</f>
        <v>0</v>
      </c>
      <c r="O89" s="378"/>
      <c r="P89" s="600">
        <f>SUM(P90:P99)</f>
        <v>98472.46667</v>
      </c>
      <c r="Q89" s="374">
        <f t="shared" ref="Q89:Q99" si="111">P89/P$32</f>
        <v>0.01316020618</v>
      </c>
      <c r="R89" s="377">
        <f>SUM(R90:R99)</f>
        <v>126458</v>
      </c>
      <c r="S89" s="374">
        <f t="shared" ref="S89:S92" si="112">R89/R$32</f>
        <v>0.01542588247</v>
      </c>
      <c r="T89" s="377">
        <f>SUM(T90:T99)</f>
        <v>0</v>
      </c>
      <c r="U89" s="378"/>
      <c r="V89" s="600">
        <f>SUM(V90:V99)</f>
        <v>104816.6667</v>
      </c>
      <c r="W89" s="374">
        <f t="shared" ref="W89:W92" si="113">V89/V$32</f>
        <v>0.01101923451</v>
      </c>
      <c r="X89" s="377">
        <f>SUM(X90:X99)</f>
        <v>143858</v>
      </c>
      <c r="Y89" s="374">
        <f t="shared" ref="Y89:Y92" si="114">X89/X$32</f>
        <v>0.01598347506</v>
      </c>
      <c r="Z89" s="377">
        <f>SUM(Z90:Z99)</f>
        <v>0</v>
      </c>
      <c r="AA89" s="378"/>
      <c r="AB89" s="600">
        <f>SUM(AB90:AB99)</f>
        <v>125811.5238</v>
      </c>
      <c r="AC89" s="374">
        <f t="shared" ref="AC89:AC92" si="115">AB89/AB$32</f>
        <v>0.01342591355</v>
      </c>
      <c r="AD89" s="377">
        <f>SUM(AD90:AD100)</f>
        <v>170058</v>
      </c>
      <c r="AE89" s="374">
        <f t="shared" ref="AE89:AE92" si="116">AD89/AD$32</f>
        <v>0.01868769896</v>
      </c>
      <c r="AF89" s="408">
        <f>SUM(AF90:AF92)</f>
        <v>0</v>
      </c>
      <c r="AG89" s="378"/>
      <c r="AH89" s="600">
        <f>SUM(AH90:AH99)</f>
        <v>220509.9524</v>
      </c>
      <c r="AI89" s="374">
        <f t="shared" ref="AI89:AI99" si="117">AH89/AH$32</f>
        <v>0.02395651959</v>
      </c>
      <c r="AJ89" s="377">
        <f>SUM(AJ90:AJ100)</f>
        <v>198358</v>
      </c>
      <c r="AK89" s="374">
        <f t="shared" ref="AK89:AK97" si="118">AJ89/AJ$32</f>
        <v>0.0219625338</v>
      </c>
      <c r="AL89" s="408">
        <f>SUM(AL90:AL92)</f>
        <v>0</v>
      </c>
      <c r="AM89" s="378"/>
      <c r="AN89" s="600">
        <f>SUM(AN90:AN99)</f>
        <v>206392.6667</v>
      </c>
      <c r="AO89" s="374">
        <f t="shared" ref="AO89:AO97" si="119">AN89/AN$32</f>
        <v>0.02451022192</v>
      </c>
      <c r="AP89" s="377">
        <f>SUM(AP90:AP100)</f>
        <v>218658</v>
      </c>
      <c r="AQ89" s="374">
        <f t="shared" ref="AQ89:AQ92" si="120">AP89/AP$32</f>
        <v>0.02223343495</v>
      </c>
      <c r="AR89" s="408">
        <f>SUM(AR90:AR92)</f>
        <v>0</v>
      </c>
      <c r="AS89" s="378"/>
      <c r="AT89" s="600">
        <f>SUM(AT90:AT99)</f>
        <v>241718.1429</v>
      </c>
      <c r="AU89" s="374">
        <f t="shared" ref="AU89:AU98" si="121">AT89/AT$32</f>
        <v>0.02582750289</v>
      </c>
      <c r="AV89" s="377">
        <f>SUM(AV90:AV100)</f>
        <v>246958</v>
      </c>
      <c r="AW89" s="374">
        <f t="shared" ref="AW89:AW92" si="122">AV89/AV$32</f>
        <v>0.02548351421</v>
      </c>
      <c r="AX89" s="408">
        <f>SUM(AX90:AX92)</f>
        <v>0</v>
      </c>
      <c r="AY89" s="378"/>
      <c r="AZ89" s="600">
        <f>SUM(AZ90:AZ99)</f>
        <v>265186.6667</v>
      </c>
      <c r="BA89" s="374">
        <f t="shared" ref="BA89:BA98" si="123">AZ89/AZ$32</f>
        <v>0.02629352684</v>
      </c>
      <c r="BB89" s="377">
        <f>SUM(BB90:BB100)</f>
        <v>250458</v>
      </c>
      <c r="BC89" s="374">
        <f t="shared" ref="BC89:BC92" si="124">BB89/BB$32</f>
        <v>0.02393138707</v>
      </c>
      <c r="BD89" s="408">
        <f>SUM(BD90:BD92)</f>
        <v>0</v>
      </c>
      <c r="BE89" s="378"/>
      <c r="BF89" s="600">
        <f>SUM(BF90:BF92)</f>
        <v>43430</v>
      </c>
      <c r="BG89" s="374">
        <f t="shared" ref="BG89:BG98" si="125">BF89/BF$32</f>
        <v>0.004484515626</v>
      </c>
      <c r="BH89" s="377">
        <f>SUM(BH90:BH100)</f>
        <v>322358</v>
      </c>
      <c r="BI89" s="374">
        <f t="shared" ref="BI89:BI98" si="126">BH89/BH$32</f>
        <v>0.03158520397</v>
      </c>
      <c r="BJ89" s="408">
        <f>SUM(BJ90:BJ92)</f>
        <v>0</v>
      </c>
      <c r="BK89" s="378"/>
      <c r="BL89" s="600">
        <f>SUM(BL90:BL99)</f>
        <v>208162.4762</v>
      </c>
      <c r="BM89" s="374">
        <f t="shared" ref="BM89:BM98" si="127">BL89/BL$32</f>
        <v>0.02444639164</v>
      </c>
      <c r="BN89" s="600">
        <f>SUM(BN90:BN99)</f>
        <v>294058</v>
      </c>
      <c r="BO89" s="374">
        <f t="shared" ref="BO89:BO98" si="128">BN89/BN$32</f>
        <v>0.0312273075</v>
      </c>
      <c r="BP89" s="408">
        <f>SUM(BP90:BP92)</f>
        <v>0</v>
      </c>
      <c r="BQ89" s="378"/>
      <c r="BR89" s="373">
        <f>SUM(BR90:BR99)</f>
        <v>279500.9524</v>
      </c>
      <c r="BS89" s="765">
        <f t="shared" ref="BS89:BS99" si="129">BR89/BR$32</f>
        <v>0.02760726126</v>
      </c>
      <c r="BT89" s="377">
        <f>SUM(BT90:BT100)</f>
        <v>335958</v>
      </c>
      <c r="BU89" s="374">
        <f t="shared" ref="BU89:BU98" si="130">BT89/BT$32</f>
        <v>0.03315547939</v>
      </c>
      <c r="BV89" s="408">
        <f>SUM(BV90:BV92)</f>
        <v>0</v>
      </c>
      <c r="BW89" s="378"/>
      <c r="BX89" s="718">
        <f>D89+J89+P89+V89+AB89+AH89+AN89+AT89+AZ89+BF89+BL89+BR89</f>
        <v>1987746.848</v>
      </c>
      <c r="BY89" s="216"/>
      <c r="BZ89" s="216"/>
      <c r="CA89" s="216"/>
      <c r="CB89" s="216"/>
      <c r="CC89" s="216"/>
      <c r="CD89" s="216"/>
      <c r="CE89" s="216"/>
      <c r="CF89" s="216"/>
      <c r="CG89" s="216"/>
      <c r="CH89" s="216"/>
      <c r="CI89" s="216"/>
      <c r="CJ89" s="216"/>
      <c r="CK89" s="216"/>
      <c r="CL89" s="216"/>
      <c r="CM89" s="216"/>
      <c r="CN89" s="216"/>
      <c r="CO89" s="216"/>
      <c r="CP89" s="216"/>
      <c r="CQ89" s="216"/>
    </row>
    <row r="90" ht="15.75" customHeight="1">
      <c r="A90" s="213"/>
      <c r="B90" s="488"/>
      <c r="C90" s="488" t="s">
        <v>251</v>
      </c>
      <c r="D90" s="708">
        <v>0.0</v>
      </c>
      <c r="E90" s="385">
        <f t="shared" si="107"/>
        <v>0</v>
      </c>
      <c r="F90" s="388">
        <v>0.0</v>
      </c>
      <c r="G90" s="385">
        <f t="shared" si="108"/>
        <v>0</v>
      </c>
      <c r="H90" s="388">
        <f t="shared" ref="H90:H97" si="131">D90-F90</f>
        <v>0</v>
      </c>
      <c r="I90" s="390"/>
      <c r="J90" s="708">
        <v>1050.0</v>
      </c>
      <c r="K90" s="385">
        <f t="shared" si="109"/>
        <v>0.0001086523838</v>
      </c>
      <c r="L90" s="388">
        <v>6500.0</v>
      </c>
      <c r="M90" s="385">
        <f t="shared" si="110"/>
        <v>0.0007801510926</v>
      </c>
      <c r="N90" s="440"/>
      <c r="O90" s="389"/>
      <c r="P90" s="708"/>
      <c r="Q90" s="385">
        <f t="shared" si="111"/>
        <v>0</v>
      </c>
      <c r="R90" s="388">
        <v>0.0</v>
      </c>
      <c r="S90" s="385">
        <f t="shared" si="112"/>
        <v>0</v>
      </c>
      <c r="T90" s="440"/>
      <c r="U90" s="389"/>
      <c r="V90" s="708"/>
      <c r="W90" s="385">
        <f t="shared" si="113"/>
        <v>0</v>
      </c>
      <c r="X90" s="388">
        <v>6500.0</v>
      </c>
      <c r="Y90" s="385">
        <f t="shared" si="114"/>
        <v>0.0007221884627</v>
      </c>
      <c r="Z90" s="440"/>
      <c r="AA90" s="389"/>
      <c r="AB90" s="708"/>
      <c r="AC90" s="385">
        <f t="shared" si="115"/>
        <v>0</v>
      </c>
      <c r="AD90" s="388">
        <v>0.0</v>
      </c>
      <c r="AE90" s="385">
        <f t="shared" si="116"/>
        <v>0</v>
      </c>
      <c r="AF90" s="440"/>
      <c r="AG90" s="389"/>
      <c r="AH90" s="708">
        <f>37296+1666+15050</f>
        <v>54012</v>
      </c>
      <c r="AI90" s="385">
        <f t="shared" si="117"/>
        <v>0.00586794166</v>
      </c>
      <c r="AJ90" s="388">
        <v>6500.0</v>
      </c>
      <c r="AK90" s="385">
        <f t="shared" si="118"/>
        <v>0.0007196910117</v>
      </c>
      <c r="AL90" s="440"/>
      <c r="AM90" s="389"/>
      <c r="AN90" s="708">
        <v>1666.0</v>
      </c>
      <c r="AO90" s="385">
        <f t="shared" si="119"/>
        <v>0.0001978463207</v>
      </c>
      <c r="AP90" s="388">
        <v>0.0</v>
      </c>
      <c r="AQ90" s="385">
        <f t="shared" si="120"/>
        <v>0</v>
      </c>
      <c r="AR90" s="440"/>
      <c r="AS90" s="389"/>
      <c r="AT90" s="708"/>
      <c r="AU90" s="385">
        <f t="shared" si="121"/>
        <v>0</v>
      </c>
      <c r="AV90" s="388">
        <v>6500.0</v>
      </c>
      <c r="AW90" s="385">
        <f t="shared" si="122"/>
        <v>0.0006707328468</v>
      </c>
      <c r="AX90" s="440"/>
      <c r="AY90" s="389"/>
      <c r="AZ90" s="708"/>
      <c r="BA90" s="385">
        <f t="shared" si="123"/>
        <v>0</v>
      </c>
      <c r="BB90" s="388">
        <v>0.0</v>
      </c>
      <c r="BC90" s="385">
        <f t="shared" si="124"/>
        <v>0</v>
      </c>
      <c r="BD90" s="440"/>
      <c r="BE90" s="389"/>
      <c r="BF90" s="708">
        <f>34750+8260</f>
        <v>43010</v>
      </c>
      <c r="BG90" s="385">
        <f t="shared" si="125"/>
        <v>0.004441147066</v>
      </c>
      <c r="BH90" s="388">
        <v>6500.0</v>
      </c>
      <c r="BI90" s="385">
        <f t="shared" si="126"/>
        <v>0.0006368814356</v>
      </c>
      <c r="BJ90" s="440"/>
      <c r="BK90" s="389"/>
      <c r="BL90" s="708"/>
      <c r="BM90" s="385">
        <f t="shared" si="127"/>
        <v>0</v>
      </c>
      <c r="BN90" s="386"/>
      <c r="BO90" s="385">
        <f t="shared" si="128"/>
        <v>0</v>
      </c>
      <c r="BP90" s="440"/>
      <c r="BQ90" s="389"/>
      <c r="BR90" s="766"/>
      <c r="BS90" s="767">
        <f t="shared" si="129"/>
        <v>0</v>
      </c>
      <c r="BT90" s="388">
        <v>6500.0</v>
      </c>
      <c r="BU90" s="385">
        <f t="shared" si="130"/>
        <v>0.000641480828</v>
      </c>
      <c r="BV90" s="440"/>
      <c r="BW90" s="389"/>
      <c r="BX90" s="213"/>
      <c r="BY90" s="213"/>
      <c r="BZ90" s="213"/>
      <c r="CA90" s="213"/>
      <c r="CB90" s="213"/>
      <c r="CC90" s="213"/>
      <c r="CD90" s="213"/>
      <c r="CE90" s="213"/>
      <c r="CF90" s="213"/>
      <c r="CG90" s="213"/>
      <c r="CH90" s="213"/>
      <c r="CI90" s="213"/>
      <c r="CJ90" s="213"/>
      <c r="CK90" s="213"/>
      <c r="CL90" s="213"/>
      <c r="CM90" s="213"/>
      <c r="CN90" s="213"/>
      <c r="CO90" s="213"/>
      <c r="CP90" s="213"/>
      <c r="CQ90" s="213"/>
    </row>
    <row r="91" ht="15.75" customHeight="1">
      <c r="A91" s="213"/>
      <c r="B91" s="492"/>
      <c r="C91" s="492" t="s">
        <v>254</v>
      </c>
      <c r="D91" s="604">
        <v>948.0</v>
      </c>
      <c r="E91" s="355">
        <f t="shared" si="107"/>
        <v>0.0001103948801</v>
      </c>
      <c r="F91" s="357">
        <v>4000.0</v>
      </c>
      <c r="G91" s="355">
        <f t="shared" si="108"/>
        <v>0.0004744627106</v>
      </c>
      <c r="H91" s="357">
        <f t="shared" si="131"/>
        <v>-3052</v>
      </c>
      <c r="I91" s="395">
        <f t="shared" ref="I91:I97" si="132">H91/F91</f>
        <v>-0.763</v>
      </c>
      <c r="J91" s="604"/>
      <c r="K91" s="355">
        <f t="shared" si="109"/>
        <v>0</v>
      </c>
      <c r="L91" s="357">
        <v>4000.0</v>
      </c>
      <c r="M91" s="355">
        <f t="shared" si="110"/>
        <v>0.00048009298</v>
      </c>
      <c r="N91" s="352"/>
      <c r="O91" s="358"/>
      <c r="P91" s="604"/>
      <c r="Q91" s="355">
        <f t="shared" si="111"/>
        <v>0</v>
      </c>
      <c r="R91" s="357">
        <v>4000.0</v>
      </c>
      <c r="S91" s="355">
        <f t="shared" si="112"/>
        <v>0.0004879369425</v>
      </c>
      <c r="T91" s="352"/>
      <c r="U91" s="358"/>
      <c r="V91" s="604"/>
      <c r="W91" s="355">
        <f t="shared" si="113"/>
        <v>0</v>
      </c>
      <c r="X91" s="357">
        <v>4000.0</v>
      </c>
      <c r="Y91" s="355">
        <f t="shared" si="114"/>
        <v>0.0004444236694</v>
      </c>
      <c r="Z91" s="352"/>
      <c r="AA91" s="358"/>
      <c r="AB91" s="604"/>
      <c r="AC91" s="355">
        <f t="shared" si="115"/>
        <v>0</v>
      </c>
      <c r="AD91" s="357">
        <v>4000.0</v>
      </c>
      <c r="AE91" s="355">
        <f t="shared" si="116"/>
        <v>0.0004395605959</v>
      </c>
      <c r="AF91" s="352"/>
      <c r="AG91" s="358"/>
      <c r="AH91" s="604"/>
      <c r="AI91" s="355">
        <f t="shared" si="117"/>
        <v>0</v>
      </c>
      <c r="AJ91" s="357">
        <v>4000.0</v>
      </c>
      <c r="AK91" s="355">
        <f t="shared" si="118"/>
        <v>0.0004428867764</v>
      </c>
      <c r="AL91" s="352"/>
      <c r="AM91" s="358"/>
      <c r="AN91" s="604">
        <v>230.0</v>
      </c>
      <c r="AO91" s="355">
        <f t="shared" si="119"/>
        <v>0.00002731371775</v>
      </c>
      <c r="AP91" s="357">
        <v>4000.0</v>
      </c>
      <c r="AQ91" s="355">
        <f t="shared" si="120"/>
        <v>0.0004067252961</v>
      </c>
      <c r="AR91" s="352"/>
      <c r="AS91" s="358"/>
      <c r="AT91" s="604">
        <v>200.0</v>
      </c>
      <c r="AU91" s="355">
        <f t="shared" si="121"/>
        <v>0.00002136993325</v>
      </c>
      <c r="AV91" s="357">
        <v>4000.0</v>
      </c>
      <c r="AW91" s="355">
        <f t="shared" si="122"/>
        <v>0.000412758675</v>
      </c>
      <c r="AX91" s="352"/>
      <c r="AY91" s="358"/>
      <c r="AZ91" s="604">
        <v>2092.0</v>
      </c>
      <c r="BA91" s="355">
        <f t="shared" si="123"/>
        <v>0.0002074239209</v>
      </c>
      <c r="BB91" s="357">
        <v>4000.0</v>
      </c>
      <c r="BC91" s="355">
        <f t="shared" si="124"/>
        <v>0.000382201999</v>
      </c>
      <c r="BD91" s="352"/>
      <c r="BE91" s="358"/>
      <c r="BF91" s="604">
        <v>420.0</v>
      </c>
      <c r="BG91" s="355">
        <f t="shared" si="125"/>
        <v>0.00004336856005</v>
      </c>
      <c r="BH91" s="357">
        <v>4000.0</v>
      </c>
      <c r="BI91" s="355">
        <f t="shared" si="126"/>
        <v>0.0003919270373</v>
      </c>
      <c r="BJ91" s="352"/>
      <c r="BK91" s="358"/>
      <c r="BL91" s="604">
        <v>460.0</v>
      </c>
      <c r="BM91" s="355">
        <f t="shared" si="127"/>
        <v>0.0000540219369</v>
      </c>
      <c r="BN91" s="353">
        <v>4000.0</v>
      </c>
      <c r="BO91" s="355">
        <f t="shared" si="128"/>
        <v>0.0004247775269</v>
      </c>
      <c r="BP91" s="352"/>
      <c r="BQ91" s="358"/>
      <c r="BR91" s="351">
        <v>240.0</v>
      </c>
      <c r="BS91" s="768">
        <f t="shared" si="129"/>
        <v>0.00002370561762</v>
      </c>
      <c r="BT91" s="357">
        <v>4000.0</v>
      </c>
      <c r="BU91" s="355">
        <f t="shared" si="130"/>
        <v>0.0003947574326</v>
      </c>
      <c r="BV91" s="352"/>
      <c r="BW91" s="358"/>
      <c r="BX91" s="213"/>
      <c r="BY91" s="213"/>
      <c r="BZ91" s="213"/>
      <c r="CA91" s="213"/>
      <c r="CB91" s="213"/>
      <c r="CC91" s="213"/>
      <c r="CD91" s="213"/>
      <c r="CE91" s="213"/>
      <c r="CF91" s="213"/>
      <c r="CG91" s="213"/>
      <c r="CH91" s="213"/>
      <c r="CI91" s="213"/>
      <c r="CJ91" s="213"/>
      <c r="CK91" s="213"/>
      <c r="CL91" s="213"/>
      <c r="CM91" s="213"/>
      <c r="CN91" s="213"/>
      <c r="CO91" s="213"/>
      <c r="CP91" s="213"/>
      <c r="CQ91" s="213"/>
    </row>
    <row r="92" ht="15.75" customHeight="1">
      <c r="A92" s="213"/>
      <c r="B92" s="492"/>
      <c r="C92" s="492" t="s">
        <v>253</v>
      </c>
      <c r="D92" s="604">
        <v>0.0</v>
      </c>
      <c r="E92" s="355">
        <f t="shared" si="107"/>
        <v>0</v>
      </c>
      <c r="F92" s="357">
        <v>2778.0</v>
      </c>
      <c r="G92" s="355">
        <f t="shared" si="108"/>
        <v>0.0003295143525</v>
      </c>
      <c r="H92" s="357">
        <f t="shared" si="131"/>
        <v>-2778</v>
      </c>
      <c r="I92" s="395">
        <f t="shared" si="132"/>
        <v>-1</v>
      </c>
      <c r="J92" s="604"/>
      <c r="K92" s="355">
        <f t="shared" si="109"/>
        <v>0</v>
      </c>
      <c r="L92" s="352">
        <v>2778.0</v>
      </c>
      <c r="M92" s="355">
        <f t="shared" si="110"/>
        <v>0.0003334245746</v>
      </c>
      <c r="N92" s="352"/>
      <c r="O92" s="358"/>
      <c r="P92" s="604"/>
      <c r="Q92" s="355">
        <f t="shared" si="111"/>
        <v>0</v>
      </c>
      <c r="R92" s="352">
        <v>2778.0</v>
      </c>
      <c r="S92" s="355">
        <f t="shared" si="112"/>
        <v>0.0003388722066</v>
      </c>
      <c r="T92" s="352"/>
      <c r="U92" s="358"/>
      <c r="V92" s="604"/>
      <c r="W92" s="355">
        <f t="shared" si="113"/>
        <v>0</v>
      </c>
      <c r="X92" s="352">
        <v>2778.0</v>
      </c>
      <c r="Y92" s="355">
        <f t="shared" si="114"/>
        <v>0.0003086522384</v>
      </c>
      <c r="Z92" s="352"/>
      <c r="AA92" s="358"/>
      <c r="AB92" s="604"/>
      <c r="AC92" s="355">
        <f t="shared" si="115"/>
        <v>0</v>
      </c>
      <c r="AD92" s="352">
        <v>2778.0</v>
      </c>
      <c r="AE92" s="355">
        <f t="shared" si="116"/>
        <v>0.0003052748339</v>
      </c>
      <c r="AF92" s="352"/>
      <c r="AG92" s="358"/>
      <c r="AH92" s="604"/>
      <c r="AI92" s="355">
        <f t="shared" si="117"/>
        <v>0</v>
      </c>
      <c r="AJ92" s="352">
        <v>2778.0</v>
      </c>
      <c r="AK92" s="355">
        <f t="shared" si="118"/>
        <v>0.0003075848662</v>
      </c>
      <c r="AL92" s="352"/>
      <c r="AM92" s="358"/>
      <c r="AN92" s="604"/>
      <c r="AO92" s="355">
        <f t="shared" si="119"/>
        <v>0</v>
      </c>
      <c r="AP92" s="352">
        <v>2778.0</v>
      </c>
      <c r="AQ92" s="355">
        <f t="shared" si="120"/>
        <v>0.0002824707181</v>
      </c>
      <c r="AR92" s="352"/>
      <c r="AS92" s="358"/>
      <c r="AT92" s="604"/>
      <c r="AU92" s="355">
        <f t="shared" si="121"/>
        <v>0</v>
      </c>
      <c r="AV92" s="352">
        <v>2778.0</v>
      </c>
      <c r="AW92" s="355">
        <f t="shared" si="122"/>
        <v>0.0002866608998</v>
      </c>
      <c r="AX92" s="352"/>
      <c r="AY92" s="358"/>
      <c r="AZ92" s="604"/>
      <c r="BA92" s="355">
        <f t="shared" si="123"/>
        <v>0</v>
      </c>
      <c r="BB92" s="352">
        <v>2778.0</v>
      </c>
      <c r="BC92" s="355">
        <f t="shared" si="124"/>
        <v>0.0002654392883</v>
      </c>
      <c r="BD92" s="352"/>
      <c r="BE92" s="358"/>
      <c r="BF92" s="604"/>
      <c r="BG92" s="355">
        <f t="shared" si="125"/>
        <v>0</v>
      </c>
      <c r="BH92" s="352">
        <v>2778.0</v>
      </c>
      <c r="BI92" s="355">
        <f t="shared" si="126"/>
        <v>0.0002721933274</v>
      </c>
      <c r="BJ92" s="352"/>
      <c r="BK92" s="358"/>
      <c r="BL92" s="604"/>
      <c r="BM92" s="355">
        <f t="shared" si="127"/>
        <v>0</v>
      </c>
      <c r="BN92" s="353">
        <v>2778.0</v>
      </c>
      <c r="BO92" s="355">
        <f t="shared" si="128"/>
        <v>0.0002950079924</v>
      </c>
      <c r="BP92" s="352"/>
      <c r="BQ92" s="358"/>
      <c r="BR92" s="351">
        <v>35400.0</v>
      </c>
      <c r="BS92" s="768">
        <f t="shared" si="129"/>
        <v>0.003496578599</v>
      </c>
      <c r="BT92" s="352">
        <v>2778.0</v>
      </c>
      <c r="BU92" s="355">
        <f t="shared" si="130"/>
        <v>0.000274159037</v>
      </c>
      <c r="BV92" s="352"/>
      <c r="BW92" s="358"/>
      <c r="BX92" s="213"/>
      <c r="BY92" s="213"/>
      <c r="BZ92" s="213"/>
      <c r="CA92" s="213"/>
      <c r="CB92" s="213"/>
      <c r="CC92" s="213"/>
      <c r="CD92" s="213"/>
      <c r="CE92" s="213"/>
      <c r="CF92" s="213"/>
      <c r="CG92" s="213"/>
      <c r="CH92" s="213"/>
      <c r="CI92" s="213"/>
      <c r="CJ92" s="213"/>
      <c r="CK92" s="213"/>
      <c r="CL92" s="213"/>
      <c r="CM92" s="213"/>
      <c r="CN92" s="213"/>
      <c r="CO92" s="213"/>
      <c r="CP92" s="213"/>
      <c r="CQ92" s="213"/>
    </row>
    <row r="93" ht="15.75" customHeight="1">
      <c r="A93" s="213"/>
      <c r="B93" s="492"/>
      <c r="C93" s="538" t="s">
        <v>403</v>
      </c>
      <c r="D93" s="604">
        <f>(67303+7669)/5</f>
        <v>14994.4</v>
      </c>
      <c r="E93" s="355">
        <f t="shared" si="107"/>
        <v>0.00174610231</v>
      </c>
      <c r="F93" s="357">
        <v>20018.0</v>
      </c>
      <c r="G93" s="355">
        <f t="shared" si="108"/>
        <v>0.002374448635</v>
      </c>
      <c r="H93" s="357">
        <f t="shared" si="131"/>
        <v>-5023.6</v>
      </c>
      <c r="I93" s="395">
        <f t="shared" si="132"/>
        <v>-0.2509541413</v>
      </c>
      <c r="J93" s="604">
        <f>(12808+1700)/5</f>
        <v>2901.6</v>
      </c>
      <c r="K93" s="355">
        <f t="shared" si="109"/>
        <v>0.0003002531017</v>
      </c>
      <c r="L93" s="352">
        <v>0.0</v>
      </c>
      <c r="M93" s="355">
        <f t="shared" si="110"/>
        <v>0</v>
      </c>
      <c r="N93" s="352"/>
      <c r="O93" s="358"/>
      <c r="P93" s="604">
        <f>(4798+10946)/5</f>
        <v>3148.8</v>
      </c>
      <c r="Q93" s="355">
        <f t="shared" si="111"/>
        <v>0.0004208166875</v>
      </c>
      <c r="R93" s="352"/>
      <c r="S93" s="355"/>
      <c r="T93" s="352"/>
      <c r="U93" s="358"/>
      <c r="V93" s="604">
        <f>(15444+4807)/7</f>
        <v>2893</v>
      </c>
      <c r="W93" s="355"/>
      <c r="X93" s="352"/>
      <c r="Y93" s="355"/>
      <c r="Z93" s="352"/>
      <c r="AA93" s="358"/>
      <c r="AB93" s="604">
        <f>(35489+26768)/7</f>
        <v>8893.857143</v>
      </c>
      <c r="AC93" s="355"/>
      <c r="AD93" s="352"/>
      <c r="AE93" s="355"/>
      <c r="AF93" s="352"/>
      <c r="AG93" s="358"/>
      <c r="AH93" s="604">
        <f>38089/7</f>
        <v>5441.285714</v>
      </c>
      <c r="AI93" s="355">
        <f t="shared" si="117"/>
        <v>0.0005911491359</v>
      </c>
      <c r="AJ93" s="352"/>
      <c r="AK93" s="355">
        <f t="shared" si="118"/>
        <v>0</v>
      </c>
      <c r="AL93" s="352"/>
      <c r="AM93" s="358"/>
      <c r="AN93" s="628">
        <v>0.0</v>
      </c>
      <c r="AO93" s="355">
        <f t="shared" si="119"/>
        <v>0</v>
      </c>
      <c r="AP93" s="352"/>
      <c r="AQ93" s="355"/>
      <c r="AR93" s="352"/>
      <c r="AS93" s="358"/>
      <c r="AT93" s="604">
        <f>(34288+7979)/7</f>
        <v>6038.142857</v>
      </c>
      <c r="AU93" s="355">
        <f t="shared" si="121"/>
        <v>0.000645173549</v>
      </c>
      <c r="AV93" s="352"/>
      <c r="AW93" s="355"/>
      <c r="AX93" s="352"/>
      <c r="AY93" s="358"/>
      <c r="AZ93" s="605">
        <f>((17941+4788)/7)</f>
        <v>3247</v>
      </c>
      <c r="BA93" s="355">
        <f t="shared" si="123"/>
        <v>0.0003219433418</v>
      </c>
      <c r="BB93" s="352"/>
      <c r="BC93" s="355"/>
      <c r="BD93" s="352"/>
      <c r="BE93" s="358"/>
      <c r="BF93" s="604">
        <f>24538/7</f>
        <v>3505.428571</v>
      </c>
      <c r="BG93" s="355">
        <f t="shared" si="125"/>
        <v>0.0003619652131</v>
      </c>
      <c r="BH93" s="352"/>
      <c r="BI93" s="355">
        <f t="shared" si="126"/>
        <v>0</v>
      </c>
      <c r="BJ93" s="352"/>
      <c r="BK93" s="358"/>
      <c r="BL93" s="357">
        <f>12174/7</f>
        <v>1739.142857</v>
      </c>
      <c r="BM93" s="355">
        <f t="shared" si="127"/>
        <v>0.0002042431863</v>
      </c>
      <c r="BN93" s="353"/>
      <c r="BO93" s="355">
        <f t="shared" si="128"/>
        <v>0</v>
      </c>
      <c r="BP93" s="352"/>
      <c r="BQ93" s="358"/>
      <c r="BR93" s="604">
        <f>11888/7</f>
        <v>1698.285714</v>
      </c>
      <c r="BS93" s="768">
        <f t="shared" si="129"/>
        <v>0.0001677454656</v>
      </c>
      <c r="BT93" s="352"/>
      <c r="BU93" s="355">
        <f t="shared" si="130"/>
        <v>0</v>
      </c>
      <c r="BV93" s="352"/>
      <c r="BW93" s="358"/>
      <c r="BX93" s="213"/>
      <c r="BY93" s="213"/>
      <c r="BZ93" s="213"/>
      <c r="CA93" s="213"/>
      <c r="CB93" s="213"/>
      <c r="CC93" s="213"/>
      <c r="CD93" s="213"/>
      <c r="CE93" s="213"/>
      <c r="CF93" s="213"/>
      <c r="CG93" s="213"/>
      <c r="CH93" s="213"/>
      <c r="CI93" s="213"/>
      <c r="CJ93" s="213"/>
      <c r="CK93" s="213"/>
      <c r="CL93" s="213"/>
      <c r="CM93" s="213"/>
      <c r="CN93" s="213"/>
      <c r="CO93" s="213"/>
      <c r="CP93" s="213"/>
      <c r="CQ93" s="213"/>
    </row>
    <row r="94" ht="15.75" customHeight="1">
      <c r="A94" s="213"/>
      <c r="B94" s="492"/>
      <c r="C94" s="538" t="s">
        <v>404</v>
      </c>
      <c r="D94" s="604">
        <v>0.0</v>
      </c>
      <c r="E94" s="355">
        <f t="shared" si="107"/>
        <v>0</v>
      </c>
      <c r="F94" s="357">
        <v>23600.0</v>
      </c>
      <c r="G94" s="355">
        <f t="shared" si="108"/>
        <v>0.002799329993</v>
      </c>
      <c r="H94" s="357">
        <f t="shared" si="131"/>
        <v>-23600</v>
      </c>
      <c r="I94" s="395">
        <f t="shared" si="132"/>
        <v>-1</v>
      </c>
      <c r="J94" s="604">
        <v>6269.0</v>
      </c>
      <c r="K94" s="355">
        <f t="shared" si="109"/>
        <v>0.0006487064704</v>
      </c>
      <c r="L94" s="357">
        <v>23600.0</v>
      </c>
      <c r="M94" s="355">
        <f t="shared" si="110"/>
        <v>0.002832548582</v>
      </c>
      <c r="N94" s="352"/>
      <c r="O94" s="358"/>
      <c r="P94" s="349">
        <v>6623.0</v>
      </c>
      <c r="Q94" s="355">
        <f t="shared" si="111"/>
        <v>0.0008851209734</v>
      </c>
      <c r="R94" s="352">
        <v>47200.0</v>
      </c>
      <c r="S94" s="355"/>
      <c r="T94" s="352"/>
      <c r="U94" s="358"/>
      <c r="V94" s="349">
        <v>13262.0</v>
      </c>
      <c r="W94" s="355"/>
      <c r="X94" s="352">
        <v>53100.0</v>
      </c>
      <c r="Y94" s="355"/>
      <c r="Z94" s="352"/>
      <c r="AA94" s="358"/>
      <c r="AB94" s="604">
        <v>33801.0</v>
      </c>
      <c r="AC94" s="355"/>
      <c r="AD94" s="352">
        <v>70800.0</v>
      </c>
      <c r="AE94" s="355"/>
      <c r="AF94" s="352"/>
      <c r="AG94" s="358"/>
      <c r="AH94" s="604">
        <v>45795.0</v>
      </c>
      <c r="AI94" s="355">
        <f t="shared" si="117"/>
        <v>0.004975234917</v>
      </c>
      <c r="AJ94" s="352">
        <v>82600.0</v>
      </c>
      <c r="AK94" s="355">
        <f t="shared" si="118"/>
        <v>0.009145611934</v>
      </c>
      <c r="AL94" s="352"/>
      <c r="AM94" s="358"/>
      <c r="AN94" s="604">
        <v>61674.0</v>
      </c>
      <c r="AO94" s="355">
        <f t="shared" si="119"/>
        <v>0.007324114036</v>
      </c>
      <c r="AP94" s="352">
        <v>94400.0</v>
      </c>
      <c r="AQ94" s="355"/>
      <c r="AR94" s="352"/>
      <c r="AS94" s="358"/>
      <c r="AT94" s="604">
        <v>87627.0</v>
      </c>
      <c r="AU94" s="355">
        <f t="shared" si="121"/>
        <v>0.009362915703</v>
      </c>
      <c r="AV94" s="352">
        <v>106200.0</v>
      </c>
      <c r="AW94" s="355"/>
      <c r="AX94" s="352"/>
      <c r="AY94" s="358"/>
      <c r="AZ94" s="628">
        <v>111265.0</v>
      </c>
      <c r="BA94" s="355">
        <f t="shared" si="123"/>
        <v>0.01103203755</v>
      </c>
      <c r="BB94" s="352">
        <v>106200.0</v>
      </c>
      <c r="BC94" s="355"/>
      <c r="BD94" s="352"/>
      <c r="BE94" s="358"/>
      <c r="BF94" s="628">
        <v>82093.0</v>
      </c>
      <c r="BG94" s="355">
        <f t="shared" si="125"/>
        <v>0.008476798096</v>
      </c>
      <c r="BH94" s="769">
        <v>141600.0</v>
      </c>
      <c r="BI94" s="355">
        <f t="shared" si="126"/>
        <v>0.01387421712</v>
      </c>
      <c r="BJ94" s="352"/>
      <c r="BK94" s="358"/>
      <c r="BL94" s="628">
        <v>78005.0</v>
      </c>
      <c r="BM94" s="355">
        <f t="shared" si="127"/>
        <v>0.00916082867</v>
      </c>
      <c r="BN94" s="536">
        <v>129800.0</v>
      </c>
      <c r="BO94" s="355">
        <f t="shared" si="128"/>
        <v>0.01378403075</v>
      </c>
      <c r="BP94" s="352"/>
      <c r="BQ94" s="358"/>
      <c r="BR94" s="396">
        <v>109472.0</v>
      </c>
      <c r="BS94" s="768">
        <f t="shared" si="129"/>
        <v>0.01081292238</v>
      </c>
      <c r="BT94" s="769">
        <v>165200.0</v>
      </c>
      <c r="BU94" s="355">
        <f t="shared" si="130"/>
        <v>0.01630348197</v>
      </c>
      <c r="BV94" s="352"/>
      <c r="BW94" s="358"/>
      <c r="BX94" s="213"/>
      <c r="BY94" s="213"/>
      <c r="BZ94" s="213"/>
      <c r="CA94" s="213"/>
      <c r="CB94" s="213"/>
      <c r="CC94" s="213"/>
      <c r="CD94" s="213"/>
      <c r="CE94" s="213"/>
      <c r="CF94" s="213"/>
      <c r="CG94" s="213"/>
      <c r="CH94" s="213"/>
      <c r="CI94" s="213"/>
      <c r="CJ94" s="213"/>
      <c r="CK94" s="213"/>
      <c r="CL94" s="213"/>
      <c r="CM94" s="213"/>
      <c r="CN94" s="213"/>
      <c r="CO94" s="213"/>
      <c r="CP94" s="213"/>
      <c r="CQ94" s="213"/>
    </row>
    <row r="95" ht="15.75" customHeight="1">
      <c r="A95" s="213"/>
      <c r="B95" s="492"/>
      <c r="C95" s="538" t="s">
        <v>405</v>
      </c>
      <c r="D95" s="604">
        <f>(5408+29500)*2</f>
        <v>69816</v>
      </c>
      <c r="E95" s="355">
        <f t="shared" si="107"/>
        <v>0.008130093826</v>
      </c>
      <c r="F95" s="357">
        <v>20000.0</v>
      </c>
      <c r="G95" s="355">
        <f t="shared" si="108"/>
        <v>0.002372313553</v>
      </c>
      <c r="H95" s="357">
        <f t="shared" si="131"/>
        <v>49816</v>
      </c>
      <c r="I95" s="395">
        <f t="shared" si="132"/>
        <v>2.4908</v>
      </c>
      <c r="J95" s="604">
        <f>(5408+29500)*2</f>
        <v>69816</v>
      </c>
      <c r="K95" s="355">
        <f t="shared" si="109"/>
        <v>0.007224452215</v>
      </c>
      <c r="L95" s="352">
        <v>20000.0</v>
      </c>
      <c r="M95" s="355">
        <f t="shared" si="110"/>
        <v>0.0024004649</v>
      </c>
      <c r="N95" s="352"/>
      <c r="O95" s="358"/>
      <c r="P95" s="604">
        <f>(5408+29500)*2</f>
        <v>69816</v>
      </c>
      <c r="Q95" s="355">
        <f t="shared" si="111"/>
        <v>0.009330455365</v>
      </c>
      <c r="R95" s="352">
        <v>40000.0</v>
      </c>
      <c r="S95" s="355">
        <f t="shared" ref="S95:S97" si="133">R95/R$32</f>
        <v>0.004879369425</v>
      </c>
      <c r="T95" s="352"/>
      <c r="U95" s="358"/>
      <c r="V95" s="604">
        <f>(5408+29500)*2</f>
        <v>69816</v>
      </c>
      <c r="W95" s="355">
        <f t="shared" ref="W95:W97" si="134">V95/V$32</f>
        <v>0.007339661728</v>
      </c>
      <c r="X95" s="352">
        <v>45000.0</v>
      </c>
      <c r="Y95" s="355">
        <f t="shared" ref="Y95:Y97" si="135">X95/X$32</f>
        <v>0.00499976628</v>
      </c>
      <c r="Z95" s="352"/>
      <c r="AA95" s="358"/>
      <c r="AB95" s="604">
        <f>(5408+29500)*2</f>
        <v>69816</v>
      </c>
      <c r="AC95" s="355">
        <f t="shared" ref="AC95:AC99" si="136">AB95/AB$32</f>
        <v>0.007450379359</v>
      </c>
      <c r="AD95" s="352">
        <v>60000.0</v>
      </c>
      <c r="AE95" s="355">
        <f t="shared" ref="AE95:AE97" si="137">AD95/AD$32</f>
        <v>0.006593408939</v>
      </c>
      <c r="AF95" s="352"/>
      <c r="AG95" s="358"/>
      <c r="AH95" s="604">
        <f>(5408+29500)*2</f>
        <v>69816</v>
      </c>
      <c r="AI95" s="355">
        <f t="shared" si="117"/>
        <v>0.007584911037</v>
      </c>
      <c r="AJ95" s="352">
        <v>70000.0</v>
      </c>
      <c r="AK95" s="355">
        <f t="shared" si="118"/>
        <v>0.007750518588</v>
      </c>
      <c r="AL95" s="352"/>
      <c r="AM95" s="358"/>
      <c r="AN95" s="604">
        <f>(5408+29500)*2</f>
        <v>69816</v>
      </c>
      <c r="AO95" s="355">
        <f t="shared" si="119"/>
        <v>0.008291019644</v>
      </c>
      <c r="AP95" s="352">
        <v>80000.0</v>
      </c>
      <c r="AQ95" s="355">
        <f t="shared" ref="AQ95:AQ97" si="138">AP95/AP$32</f>
        <v>0.008134505921</v>
      </c>
      <c r="AR95" s="352"/>
      <c r="AS95" s="358"/>
      <c r="AT95" s="604">
        <f>(5408+29500)*2</f>
        <v>69816</v>
      </c>
      <c r="AU95" s="355">
        <f t="shared" si="121"/>
        <v>0.007459816298</v>
      </c>
      <c r="AV95" s="352">
        <v>90000.0</v>
      </c>
      <c r="AW95" s="355">
        <f t="shared" ref="AW95:AW97" si="139">AV95/AV$32</f>
        <v>0.009287070187</v>
      </c>
      <c r="AX95" s="352"/>
      <c r="AY95" s="358"/>
      <c r="AZ95" s="604">
        <f>(5408+29500)*2</f>
        <v>69816</v>
      </c>
      <c r="BA95" s="355">
        <f t="shared" si="123"/>
        <v>0.006922327179</v>
      </c>
      <c r="BB95" s="352">
        <v>90000.0</v>
      </c>
      <c r="BC95" s="355">
        <f t="shared" ref="BC95:BC97" si="140">BB95/BB$32</f>
        <v>0.008599544977</v>
      </c>
      <c r="BD95" s="352"/>
      <c r="BE95" s="358"/>
      <c r="BF95" s="604">
        <f>(5408+29500)*2</f>
        <v>69816</v>
      </c>
      <c r="BG95" s="355">
        <f t="shared" si="125"/>
        <v>0.007209093782</v>
      </c>
      <c r="BH95" s="352">
        <v>120000.0</v>
      </c>
      <c r="BI95" s="355">
        <f t="shared" si="126"/>
        <v>0.01175781112</v>
      </c>
      <c r="BJ95" s="352"/>
      <c r="BK95" s="358"/>
      <c r="BL95" s="604">
        <f>(5408+29500)*2</f>
        <v>69816</v>
      </c>
      <c r="BM95" s="355">
        <f t="shared" si="127"/>
        <v>0.008199120754</v>
      </c>
      <c r="BN95" s="353">
        <v>110000.0</v>
      </c>
      <c r="BO95" s="355">
        <f t="shared" si="128"/>
        <v>0.01168138199</v>
      </c>
      <c r="BP95" s="352"/>
      <c r="BQ95" s="358"/>
      <c r="BR95" s="604">
        <f>(5408+29500)*2</f>
        <v>69816</v>
      </c>
      <c r="BS95" s="768">
        <f t="shared" si="129"/>
        <v>0.006895964165</v>
      </c>
      <c r="BT95" s="352">
        <v>110000.0</v>
      </c>
      <c r="BU95" s="355">
        <f t="shared" si="130"/>
        <v>0.0108558294</v>
      </c>
      <c r="BV95" s="352"/>
      <c r="BW95" s="358"/>
      <c r="BX95" s="213"/>
      <c r="BY95" s="213"/>
      <c r="BZ95" s="213"/>
      <c r="CA95" s="213"/>
      <c r="CB95" s="213"/>
      <c r="CC95" s="213"/>
      <c r="CD95" s="213"/>
      <c r="CE95" s="213"/>
      <c r="CF95" s="213"/>
      <c r="CG95" s="213"/>
      <c r="CH95" s="213"/>
      <c r="CI95" s="213"/>
      <c r="CJ95" s="213"/>
      <c r="CK95" s="213"/>
      <c r="CL95" s="213"/>
      <c r="CM95" s="213"/>
      <c r="CN95" s="213"/>
      <c r="CO95" s="213"/>
      <c r="CP95" s="213"/>
      <c r="CQ95" s="213"/>
    </row>
    <row r="96" ht="15.75" customHeight="1">
      <c r="A96" s="213"/>
      <c r="B96" s="492"/>
      <c r="C96" s="492" t="s">
        <v>394</v>
      </c>
      <c r="D96" s="604">
        <v>0.0</v>
      </c>
      <c r="E96" s="355">
        <f t="shared" si="107"/>
        <v>0</v>
      </c>
      <c r="F96" s="357">
        <v>17700.0</v>
      </c>
      <c r="G96" s="355">
        <f t="shared" si="108"/>
        <v>0.002099497494</v>
      </c>
      <c r="H96" s="357">
        <f t="shared" si="131"/>
        <v>-17700</v>
      </c>
      <c r="I96" s="395">
        <f t="shared" si="132"/>
        <v>-1</v>
      </c>
      <c r="J96" s="604">
        <v>15083.0</v>
      </c>
      <c r="K96" s="355">
        <f t="shared" si="109"/>
        <v>0.001560765623</v>
      </c>
      <c r="L96" s="352">
        <v>29800.0</v>
      </c>
      <c r="M96" s="355">
        <f t="shared" si="110"/>
        <v>0.003576692701</v>
      </c>
      <c r="N96" s="352"/>
      <c r="O96" s="358"/>
      <c r="P96" s="604">
        <v>15261.0</v>
      </c>
      <c r="Q96" s="355">
        <f t="shared" si="111"/>
        <v>0.002039533622</v>
      </c>
      <c r="R96" s="352">
        <v>25000.0</v>
      </c>
      <c r="S96" s="355">
        <f t="shared" si="133"/>
        <v>0.003049605891</v>
      </c>
      <c r="T96" s="352"/>
      <c r="U96" s="358"/>
      <c r="V96" s="604">
        <v>18059.0</v>
      </c>
      <c r="W96" s="355">
        <f t="shared" si="134"/>
        <v>0.001898518264</v>
      </c>
      <c r="X96" s="352">
        <v>25000.0</v>
      </c>
      <c r="Y96" s="355">
        <f t="shared" si="135"/>
        <v>0.002777647934</v>
      </c>
      <c r="Z96" s="352"/>
      <c r="AA96" s="358"/>
      <c r="AB96" s="604">
        <v>12514.0</v>
      </c>
      <c r="AC96" s="355">
        <f t="shared" si="136"/>
        <v>0.001335425222</v>
      </c>
      <c r="AD96" s="352">
        <v>25000.0</v>
      </c>
      <c r="AE96" s="355">
        <f t="shared" si="137"/>
        <v>0.002747253724</v>
      </c>
      <c r="AF96" s="352"/>
      <c r="AG96" s="358"/>
      <c r="AH96" s="604">
        <v>44659.0</v>
      </c>
      <c r="AI96" s="355">
        <f t="shared" si="117"/>
        <v>0.004851818237</v>
      </c>
      <c r="AJ96" s="352">
        <v>25000.0</v>
      </c>
      <c r="AK96" s="355">
        <f t="shared" si="118"/>
        <v>0.002768042353</v>
      </c>
      <c r="AL96" s="352"/>
      <c r="AM96" s="358"/>
      <c r="AN96" s="604">
        <v>72220.0</v>
      </c>
      <c r="AO96" s="355">
        <f t="shared" si="119"/>
        <v>0.008576507372</v>
      </c>
      <c r="AP96" s="352">
        <v>30000.0</v>
      </c>
      <c r="AQ96" s="355">
        <f t="shared" si="138"/>
        <v>0.003050439721</v>
      </c>
      <c r="AR96" s="352"/>
      <c r="AS96" s="358"/>
      <c r="AT96" s="604">
        <v>70075.0</v>
      </c>
      <c r="AU96" s="355">
        <f t="shared" si="121"/>
        <v>0.007487490362</v>
      </c>
      <c r="AV96" s="352">
        <v>30000.0</v>
      </c>
      <c r="AW96" s="355">
        <f t="shared" si="139"/>
        <v>0.003095690062</v>
      </c>
      <c r="AX96" s="352"/>
      <c r="AY96" s="358"/>
      <c r="AZ96" s="628">
        <v>77980.0</v>
      </c>
      <c r="BA96" s="355">
        <f t="shared" si="123"/>
        <v>0.007731796056</v>
      </c>
      <c r="BB96" s="352">
        <v>40000.0</v>
      </c>
      <c r="BC96" s="355">
        <f t="shared" si="140"/>
        <v>0.00382201999</v>
      </c>
      <c r="BD96" s="352"/>
      <c r="BE96" s="358"/>
      <c r="BF96" s="628">
        <v>62429.0</v>
      </c>
      <c r="BG96" s="355">
        <f t="shared" si="125"/>
        <v>0.006446323418</v>
      </c>
      <c r="BH96" s="352">
        <v>40000.0</v>
      </c>
      <c r="BI96" s="355">
        <f t="shared" si="126"/>
        <v>0.003919270373</v>
      </c>
      <c r="BJ96" s="352"/>
      <c r="BK96" s="358"/>
      <c r="BL96" s="628">
        <v>54384.0</v>
      </c>
      <c r="BM96" s="355">
        <f t="shared" si="127"/>
        <v>0.00638680221</v>
      </c>
      <c r="BN96" s="353">
        <v>40000.0</v>
      </c>
      <c r="BO96" s="355">
        <f t="shared" si="128"/>
        <v>0.004247775269</v>
      </c>
      <c r="BP96" s="352"/>
      <c r="BQ96" s="358"/>
      <c r="BR96" s="396">
        <v>62088.0</v>
      </c>
      <c r="BS96" s="768">
        <f t="shared" si="129"/>
        <v>0.006132643278</v>
      </c>
      <c r="BT96" s="352">
        <v>40000.0</v>
      </c>
      <c r="BU96" s="355">
        <f t="shared" si="130"/>
        <v>0.003947574326</v>
      </c>
      <c r="BV96" s="352"/>
      <c r="BW96" s="358"/>
      <c r="BX96" s="213"/>
      <c r="BY96" s="213"/>
      <c r="BZ96" s="213"/>
      <c r="CA96" s="213"/>
      <c r="CB96" s="213"/>
      <c r="CC96" s="213"/>
      <c r="CD96" s="213"/>
      <c r="CE96" s="213"/>
      <c r="CF96" s="213"/>
      <c r="CG96" s="213"/>
      <c r="CH96" s="213"/>
      <c r="CI96" s="213"/>
      <c r="CJ96" s="213"/>
      <c r="CK96" s="213"/>
      <c r="CL96" s="213"/>
      <c r="CM96" s="213"/>
      <c r="CN96" s="213"/>
      <c r="CO96" s="213"/>
      <c r="CP96" s="213"/>
      <c r="CQ96" s="213"/>
    </row>
    <row r="97" ht="15.75" customHeight="1">
      <c r="A97" s="213"/>
      <c r="B97" s="492"/>
      <c r="C97" s="661" t="s">
        <v>395</v>
      </c>
      <c r="D97" s="604">
        <f>8868/3</f>
        <v>2956</v>
      </c>
      <c r="E97" s="355" t="str">
        <f>D97/D$33</f>
        <v>#DIV/0!</v>
      </c>
      <c r="F97" s="352">
        <v>6693.0</v>
      </c>
      <c r="G97" s="355" t="str">
        <f>F97/F$33</f>
        <v>#DIV/0!</v>
      </c>
      <c r="H97" s="357">
        <f t="shared" si="131"/>
        <v>-3737</v>
      </c>
      <c r="I97" s="395">
        <f t="shared" si="132"/>
        <v>-0.5583445391</v>
      </c>
      <c r="J97" s="604">
        <f>(8262+2592)/3</f>
        <v>3618</v>
      </c>
      <c r="K97" s="355">
        <f t="shared" si="109"/>
        <v>0.000374385071</v>
      </c>
      <c r="L97" s="352">
        <v>6693.0</v>
      </c>
      <c r="M97" s="355">
        <f t="shared" si="110"/>
        <v>0.0008033155789</v>
      </c>
      <c r="N97" s="352"/>
      <c r="O97" s="358"/>
      <c r="P97" s="604">
        <f>8511/3</f>
        <v>2837</v>
      </c>
      <c r="Q97" s="355">
        <f t="shared" si="111"/>
        <v>0.0003791466407</v>
      </c>
      <c r="R97" s="352">
        <v>6693.0</v>
      </c>
      <c r="S97" s="355">
        <f t="shared" si="133"/>
        <v>0.000816440489</v>
      </c>
      <c r="T97" s="352"/>
      <c r="U97" s="358"/>
      <c r="V97" s="604"/>
      <c r="W97" s="355">
        <f t="shared" si="134"/>
        <v>0</v>
      </c>
      <c r="X97" s="352">
        <v>6693.0</v>
      </c>
      <c r="Y97" s="355">
        <f t="shared" si="135"/>
        <v>0.0007436319048</v>
      </c>
      <c r="Z97" s="352"/>
      <c r="AA97" s="358"/>
      <c r="AB97" s="604"/>
      <c r="AC97" s="355">
        <f t="shared" si="136"/>
        <v>0</v>
      </c>
      <c r="AD97" s="352">
        <v>6693.0</v>
      </c>
      <c r="AE97" s="355">
        <f t="shared" si="137"/>
        <v>0.0007354947671</v>
      </c>
      <c r="AF97" s="352"/>
      <c r="AG97" s="358"/>
      <c r="AH97" s="604"/>
      <c r="AI97" s="355">
        <f t="shared" si="117"/>
        <v>0</v>
      </c>
      <c r="AJ97" s="352">
        <v>6693.0</v>
      </c>
      <c r="AK97" s="355">
        <f t="shared" si="118"/>
        <v>0.0007410602987</v>
      </c>
      <c r="AL97" s="352"/>
      <c r="AM97" s="358"/>
      <c r="AN97" s="604"/>
      <c r="AO97" s="355">
        <f t="shared" si="119"/>
        <v>0</v>
      </c>
      <c r="AP97" s="352">
        <v>6693.0</v>
      </c>
      <c r="AQ97" s="355">
        <f t="shared" si="138"/>
        <v>0.0006805531017</v>
      </c>
      <c r="AR97" s="352"/>
      <c r="AS97" s="358"/>
      <c r="AT97" s="604">
        <f>21526/3</f>
        <v>7175.333333</v>
      </c>
      <c r="AU97" s="355">
        <f t="shared" si="121"/>
        <v>0.0007666819718</v>
      </c>
      <c r="AV97" s="352">
        <v>6693.0</v>
      </c>
      <c r="AW97" s="355">
        <f t="shared" si="139"/>
        <v>0.0006906484529</v>
      </c>
      <c r="AX97" s="352"/>
      <c r="AY97" s="358"/>
      <c r="AZ97" s="604"/>
      <c r="BA97" s="355">
        <f t="shared" si="123"/>
        <v>0</v>
      </c>
      <c r="BB97" s="352">
        <v>6693.0</v>
      </c>
      <c r="BC97" s="355">
        <f t="shared" si="140"/>
        <v>0.0006395194948</v>
      </c>
      <c r="BD97" s="352"/>
      <c r="BE97" s="358"/>
      <c r="BF97" s="604"/>
      <c r="BG97" s="355">
        <f t="shared" si="125"/>
        <v>0</v>
      </c>
      <c r="BH97" s="352">
        <v>6693.0</v>
      </c>
      <c r="BI97" s="355">
        <f t="shared" si="126"/>
        <v>0.0006557919151</v>
      </c>
      <c r="BJ97" s="352"/>
      <c r="BK97" s="358"/>
      <c r="BL97" s="604">
        <f>8915/3</f>
        <v>2971.666667</v>
      </c>
      <c r="BM97" s="355">
        <f t="shared" si="127"/>
        <v>0.0003489895417</v>
      </c>
      <c r="BN97" s="353">
        <v>6693.0</v>
      </c>
      <c r="BO97" s="355">
        <f t="shared" si="128"/>
        <v>0.0007107589968</v>
      </c>
      <c r="BP97" s="352"/>
      <c r="BQ97" s="358"/>
      <c r="BR97" s="351"/>
      <c r="BS97" s="768">
        <f t="shared" si="129"/>
        <v>0</v>
      </c>
      <c r="BT97" s="352">
        <v>6693.0</v>
      </c>
      <c r="BU97" s="355">
        <f t="shared" si="130"/>
        <v>0.0006605278741</v>
      </c>
      <c r="BV97" s="352"/>
      <c r="BW97" s="358"/>
      <c r="BX97" s="213"/>
      <c r="BY97" s="213"/>
      <c r="BZ97" s="213"/>
      <c r="CA97" s="213"/>
      <c r="CB97" s="213"/>
      <c r="CC97" s="213"/>
      <c r="CD97" s="213"/>
      <c r="CE97" s="213"/>
      <c r="CF97" s="213"/>
      <c r="CG97" s="213"/>
      <c r="CH97" s="213"/>
      <c r="CI97" s="213"/>
      <c r="CJ97" s="213"/>
      <c r="CK97" s="213"/>
      <c r="CL97" s="213"/>
      <c r="CM97" s="213"/>
      <c r="CN97" s="213"/>
      <c r="CO97" s="213"/>
      <c r="CP97" s="213"/>
      <c r="CQ97" s="213"/>
    </row>
    <row r="98" ht="15.75" customHeight="1">
      <c r="A98" s="213"/>
      <c r="B98" s="492"/>
      <c r="C98" s="492" t="s">
        <v>256</v>
      </c>
      <c r="D98" s="604">
        <f>(113280/3)/12</f>
        <v>3146.666667</v>
      </c>
      <c r="E98" s="355"/>
      <c r="F98" s="352">
        <v>3147.0</v>
      </c>
      <c r="G98" s="355"/>
      <c r="H98" s="357"/>
      <c r="I98" s="395"/>
      <c r="J98" s="738">
        <f>(113280/3)/12</f>
        <v>3146.666667</v>
      </c>
      <c r="K98" s="355"/>
      <c r="L98" s="352">
        <f>F98</f>
        <v>3147</v>
      </c>
      <c r="M98" s="355"/>
      <c r="N98" s="352"/>
      <c r="O98" s="358"/>
      <c r="P98" s="738">
        <f>(28320/3)/12</f>
        <v>786.6666667</v>
      </c>
      <c r="Q98" s="355">
        <f t="shared" si="111"/>
        <v>0.0001051328953</v>
      </c>
      <c r="R98" s="352">
        <v>787.0</v>
      </c>
      <c r="S98" s="355"/>
      <c r="T98" s="352"/>
      <c r="U98" s="358"/>
      <c r="V98" s="738">
        <f>(28320/3)/12</f>
        <v>786.6666667</v>
      </c>
      <c r="W98" s="355"/>
      <c r="X98" s="352">
        <v>787.0</v>
      </c>
      <c r="Y98" s="355"/>
      <c r="Z98" s="352"/>
      <c r="AA98" s="358"/>
      <c r="AB98" s="604">
        <f>(28320/3)/12</f>
        <v>786.6666667</v>
      </c>
      <c r="AC98" s="355">
        <f t="shared" si="136"/>
        <v>0.00008394873805</v>
      </c>
      <c r="AD98" s="352">
        <v>787.0</v>
      </c>
      <c r="AE98" s="355"/>
      <c r="AF98" s="352"/>
      <c r="AG98" s="358"/>
      <c r="AH98" s="604">
        <f>(28320/3)/12</f>
        <v>786.6666667</v>
      </c>
      <c r="AI98" s="355">
        <f t="shared" si="117"/>
        <v>0.00008546460242</v>
      </c>
      <c r="AJ98" s="352">
        <v>787.0</v>
      </c>
      <c r="AK98" s="355"/>
      <c r="AL98" s="352"/>
      <c r="AM98" s="358"/>
      <c r="AN98" s="604">
        <f>(28320/3)/12</f>
        <v>786.6666667</v>
      </c>
      <c r="AO98" s="355"/>
      <c r="AP98" s="352">
        <v>787.0</v>
      </c>
      <c r="AQ98" s="355"/>
      <c r="AR98" s="352"/>
      <c r="AS98" s="358"/>
      <c r="AT98" s="604">
        <f>(28320/3)/12</f>
        <v>786.6666667</v>
      </c>
      <c r="AU98" s="355">
        <f t="shared" si="121"/>
        <v>0.00008405507077</v>
      </c>
      <c r="AV98" s="352">
        <v>787.0</v>
      </c>
      <c r="AW98" s="355"/>
      <c r="AX98" s="352"/>
      <c r="AY98" s="358"/>
      <c r="AZ98" s="604">
        <f>(28320/3)/12</f>
        <v>786.6666667</v>
      </c>
      <c r="BA98" s="355">
        <f t="shared" si="123"/>
        <v>0.00007799879752</v>
      </c>
      <c r="BB98" s="352">
        <v>787.0</v>
      </c>
      <c r="BC98" s="355"/>
      <c r="BD98" s="352"/>
      <c r="BE98" s="358"/>
      <c r="BF98" s="604">
        <f>(28320/3)/12</f>
        <v>786.6666667</v>
      </c>
      <c r="BG98" s="355">
        <f t="shared" si="125"/>
        <v>0.00008123000137</v>
      </c>
      <c r="BH98" s="769">
        <v>787.0</v>
      </c>
      <c r="BI98" s="355">
        <f t="shared" si="126"/>
        <v>0.00007711164458</v>
      </c>
      <c r="BJ98" s="352"/>
      <c r="BK98" s="358"/>
      <c r="BL98" s="604">
        <f>(28320/3)/12</f>
        <v>786.6666667</v>
      </c>
      <c r="BM98" s="355">
        <f t="shared" si="127"/>
        <v>0.00009238534137</v>
      </c>
      <c r="BN98" s="769">
        <v>787.0</v>
      </c>
      <c r="BO98" s="355">
        <f t="shared" si="128"/>
        <v>0.00008357497841</v>
      </c>
      <c r="BP98" s="352"/>
      <c r="BQ98" s="358"/>
      <c r="BR98" s="351">
        <f>(28320/3)/12</f>
        <v>786.6666667</v>
      </c>
      <c r="BS98" s="768">
        <f t="shared" si="129"/>
        <v>0.00007770174664</v>
      </c>
      <c r="BT98" s="769">
        <v>787.0</v>
      </c>
      <c r="BU98" s="355">
        <f t="shared" si="130"/>
        <v>0.00007766852487</v>
      </c>
      <c r="BV98" s="245"/>
      <c r="BW98" s="350"/>
      <c r="BX98" s="213"/>
      <c r="BY98" s="213"/>
      <c r="BZ98" s="213"/>
      <c r="CA98" s="213"/>
      <c r="CB98" s="213"/>
      <c r="CC98" s="213"/>
      <c r="CD98" s="213"/>
      <c r="CE98" s="213"/>
      <c r="CF98" s="213"/>
      <c r="CG98" s="213"/>
      <c r="CH98" s="213"/>
      <c r="CI98" s="213"/>
      <c r="CJ98" s="213"/>
      <c r="CK98" s="213"/>
      <c r="CL98" s="213"/>
      <c r="CM98" s="213"/>
      <c r="CN98" s="213"/>
      <c r="CO98" s="213"/>
      <c r="CP98" s="213"/>
      <c r="CQ98" s="213"/>
    </row>
    <row r="99" ht="15.75" customHeight="1">
      <c r="A99" s="213"/>
      <c r="B99" s="492"/>
      <c r="C99" s="492" t="s">
        <v>406</v>
      </c>
      <c r="D99" s="604">
        <v>0.0</v>
      </c>
      <c r="E99" s="355">
        <f>D99/D$31</f>
        <v>0</v>
      </c>
      <c r="F99" s="352">
        <v>0.0</v>
      </c>
      <c r="G99" s="355">
        <f>F99/F$32</f>
        <v>0</v>
      </c>
      <c r="H99" s="357">
        <f>D99-F99</f>
        <v>0</v>
      </c>
      <c r="I99" s="395" t="str">
        <f>H99/F99</f>
        <v>#DIV/0!</v>
      </c>
      <c r="J99" s="349"/>
      <c r="K99" s="355">
        <f>J99/J$31</f>
        <v>0</v>
      </c>
      <c r="L99" s="352">
        <v>0.0</v>
      </c>
      <c r="M99" s="355">
        <f>L99/L$32</f>
        <v>0</v>
      </c>
      <c r="N99" s="352"/>
      <c r="O99" s="358"/>
      <c r="P99" s="349"/>
      <c r="Q99" s="355">
        <f t="shared" si="111"/>
        <v>0</v>
      </c>
      <c r="R99" s="352"/>
      <c r="S99" s="355"/>
      <c r="T99" s="352"/>
      <c r="U99" s="358"/>
      <c r="V99" s="349"/>
      <c r="W99" s="355"/>
      <c r="X99" s="352"/>
      <c r="Y99" s="355"/>
      <c r="Z99" s="352"/>
      <c r="AA99" s="358"/>
      <c r="AB99" s="604">
        <v>0.0</v>
      </c>
      <c r="AC99" s="355">
        <f t="shared" si="136"/>
        <v>0</v>
      </c>
      <c r="AD99" s="352"/>
      <c r="AE99" s="355">
        <v>0.0</v>
      </c>
      <c r="AF99" s="352"/>
      <c r="AG99" s="358"/>
      <c r="AH99" s="604">
        <v>0.0</v>
      </c>
      <c r="AI99" s="355">
        <f t="shared" si="117"/>
        <v>0</v>
      </c>
      <c r="AJ99" s="352"/>
      <c r="AK99" s="355"/>
      <c r="AL99" s="352"/>
      <c r="AM99" s="358"/>
      <c r="AN99" s="604"/>
      <c r="AO99" s="355"/>
      <c r="AP99" s="352"/>
      <c r="AQ99" s="355"/>
      <c r="AR99" s="352"/>
      <c r="AS99" s="358"/>
      <c r="AT99" s="604"/>
      <c r="AU99" s="352"/>
      <c r="AV99" s="352"/>
      <c r="AW99" s="355"/>
      <c r="AX99" s="352"/>
      <c r="AY99" s="358"/>
      <c r="AZ99" s="604"/>
      <c r="BA99" s="352"/>
      <c r="BB99" s="352"/>
      <c r="BC99" s="355"/>
      <c r="BD99" s="352"/>
      <c r="BE99" s="358"/>
      <c r="BF99" s="604"/>
      <c r="BG99" s="352"/>
      <c r="BH99" s="352"/>
      <c r="BI99" s="355"/>
      <c r="BJ99" s="352"/>
      <c r="BK99" s="358"/>
      <c r="BL99" s="604"/>
      <c r="BM99" s="355"/>
      <c r="BN99" s="353"/>
      <c r="BO99" s="355"/>
      <c r="BP99" s="352"/>
      <c r="BQ99" s="358"/>
      <c r="BR99" s="351"/>
      <c r="BS99" s="768">
        <f t="shared" si="129"/>
        <v>0</v>
      </c>
      <c r="BT99" s="352"/>
      <c r="BU99" s="355"/>
      <c r="BV99" s="245"/>
      <c r="BW99" s="350"/>
      <c r="BX99" s="213"/>
      <c r="BY99" s="213"/>
      <c r="BZ99" s="213"/>
      <c r="CA99" s="213"/>
      <c r="CB99" s="213"/>
      <c r="CC99" s="213"/>
      <c r="CD99" s="213"/>
      <c r="CE99" s="213"/>
      <c r="CF99" s="213"/>
      <c r="CG99" s="213"/>
      <c r="CH99" s="213"/>
      <c r="CI99" s="213"/>
      <c r="CJ99" s="213"/>
      <c r="CK99" s="213"/>
      <c r="CL99" s="213"/>
      <c r="CM99" s="213"/>
      <c r="CN99" s="213"/>
      <c r="CO99" s="213"/>
      <c r="CP99" s="213"/>
      <c r="CQ99" s="213"/>
    </row>
    <row r="100" ht="15.75" customHeight="1">
      <c r="A100" s="213"/>
      <c r="B100" s="502"/>
      <c r="C100" s="534"/>
      <c r="D100" s="619"/>
      <c r="E100" s="364"/>
      <c r="F100" s="364"/>
      <c r="G100" s="364"/>
      <c r="H100" s="364"/>
      <c r="I100" s="368"/>
      <c r="J100" s="403"/>
      <c r="K100" s="364"/>
      <c r="L100" s="364"/>
      <c r="M100" s="364"/>
      <c r="N100" s="364"/>
      <c r="O100" s="368"/>
      <c r="P100" s="403"/>
      <c r="Q100" s="364"/>
      <c r="R100" s="364"/>
      <c r="S100" s="364"/>
      <c r="T100" s="364"/>
      <c r="U100" s="368"/>
      <c r="V100" s="403"/>
      <c r="W100" s="364"/>
      <c r="X100" s="364"/>
      <c r="Y100" s="364"/>
      <c r="Z100" s="364"/>
      <c r="AA100" s="368"/>
      <c r="AB100" s="619"/>
      <c r="AC100" s="364"/>
      <c r="AD100" s="364"/>
      <c r="AE100" s="364"/>
      <c r="AF100" s="364"/>
      <c r="AG100" s="368"/>
      <c r="AH100" s="619"/>
      <c r="AI100" s="364"/>
      <c r="AJ100" s="364"/>
      <c r="AK100" s="364"/>
      <c r="AL100" s="364"/>
      <c r="AM100" s="368"/>
      <c r="AN100" s="619"/>
      <c r="AO100" s="364"/>
      <c r="AP100" s="364"/>
      <c r="AQ100" s="364"/>
      <c r="AR100" s="364"/>
      <c r="AS100" s="368"/>
      <c r="AT100" s="619"/>
      <c r="AU100" s="364"/>
      <c r="AV100" s="364"/>
      <c r="AW100" s="364"/>
      <c r="AX100" s="364"/>
      <c r="AY100" s="368"/>
      <c r="AZ100" s="619"/>
      <c r="BA100" s="364"/>
      <c r="BB100" s="364"/>
      <c r="BC100" s="364"/>
      <c r="BD100" s="364"/>
      <c r="BE100" s="368"/>
      <c r="BF100" s="619"/>
      <c r="BG100" s="364"/>
      <c r="BH100" s="364"/>
      <c r="BI100" s="364"/>
      <c r="BJ100" s="364"/>
      <c r="BK100" s="368"/>
      <c r="BL100" s="619"/>
      <c r="BM100" s="364"/>
      <c r="BN100" s="364"/>
      <c r="BO100" s="364"/>
      <c r="BP100" s="364"/>
      <c r="BQ100" s="368"/>
      <c r="BR100" s="506"/>
      <c r="BS100" s="364"/>
      <c r="BT100" s="364"/>
      <c r="BU100" s="364"/>
      <c r="BV100" s="364"/>
      <c r="BW100" s="368"/>
      <c r="BX100" s="213"/>
      <c r="BY100" s="213"/>
      <c r="BZ100" s="213"/>
      <c r="CA100" s="213"/>
      <c r="CB100" s="213"/>
      <c r="CC100" s="213"/>
      <c r="CD100" s="213"/>
      <c r="CE100" s="213"/>
      <c r="CF100" s="213"/>
      <c r="CG100" s="213"/>
      <c r="CH100" s="213"/>
      <c r="CI100" s="213"/>
      <c r="CJ100" s="213"/>
      <c r="CK100" s="213"/>
      <c r="CL100" s="213"/>
      <c r="CM100" s="213"/>
      <c r="CN100" s="213"/>
      <c r="CO100" s="213"/>
      <c r="CP100" s="213"/>
      <c r="CQ100" s="213"/>
    </row>
    <row r="101" ht="15.75" customHeight="1">
      <c r="A101" s="213"/>
      <c r="B101" s="483"/>
      <c r="C101" s="519" t="s">
        <v>36</v>
      </c>
      <c r="D101" s="600">
        <f>SUM(D102:D105)</f>
        <v>621449.1642</v>
      </c>
      <c r="E101" s="374">
        <f t="shared" ref="E101:E105" si="141">D101/D$32</f>
        <v>0.07236793877</v>
      </c>
      <c r="F101" s="377">
        <f>SUM(F102:F105)</f>
        <v>613340</v>
      </c>
      <c r="G101" s="374">
        <f t="shared" ref="G101:G105" si="142">F101/F$32</f>
        <v>0.07275173973</v>
      </c>
      <c r="H101" s="377">
        <f>SUM(H102:H105)</f>
        <v>7932.1642</v>
      </c>
      <c r="I101" s="379"/>
      <c r="J101" s="600">
        <f>SUM(J102:J105)</f>
        <v>715679.4374</v>
      </c>
      <c r="K101" s="374">
        <f t="shared" ref="K101:K105" si="143">J101/J$32</f>
        <v>0.07405740657</v>
      </c>
      <c r="L101" s="377">
        <f>SUM(L102:L105)</f>
        <v>610644</v>
      </c>
      <c r="M101" s="374">
        <f t="shared" ref="M101:M105" si="144">L101/L$32</f>
        <v>0.07329147443</v>
      </c>
      <c r="N101" s="408">
        <f>SUM(N102:N105)</f>
        <v>0</v>
      </c>
      <c r="O101" s="378"/>
      <c r="P101" s="600">
        <f>SUM(P102:P105)</f>
        <v>379008.2612</v>
      </c>
      <c r="Q101" s="374">
        <f t="shared" ref="Q101:Q105" si="145">P101/P$32</f>
        <v>0.05065199473</v>
      </c>
      <c r="R101" s="377">
        <f>SUM(R102:R105)</f>
        <v>632127.75</v>
      </c>
      <c r="S101" s="374">
        <f t="shared" ref="S101:S105" si="146">R101/R$32</f>
        <v>0.0771096204</v>
      </c>
      <c r="T101" s="408">
        <f>SUM(T102:T105)</f>
        <v>0</v>
      </c>
      <c r="U101" s="378"/>
      <c r="V101" s="600">
        <f>SUM(V102:V105)</f>
        <v>566443.95</v>
      </c>
      <c r="W101" s="374">
        <f t="shared" ref="W101:W105" si="147">V101/V$32</f>
        <v>0.05954948695</v>
      </c>
      <c r="X101" s="377">
        <f>SUM(X102:X105)</f>
        <v>647904.405</v>
      </c>
      <c r="Y101" s="374">
        <f t="shared" ref="Y101:Y105" si="148">X101/X$32</f>
        <v>0.07198601327</v>
      </c>
      <c r="Z101" s="408">
        <f>SUM(Z102:Z105)</f>
        <v>0</v>
      </c>
      <c r="AA101" s="378"/>
      <c r="AB101" s="600">
        <f>SUM(AB102:AB105)</f>
        <v>597683.79</v>
      </c>
      <c r="AC101" s="374">
        <f t="shared" ref="AC101:AC105" si="149">AB101/AB$32</f>
        <v>0.06378152533</v>
      </c>
      <c r="AD101" s="377">
        <f>SUM(AD102:AD105)</f>
        <v>683669.7095</v>
      </c>
      <c r="AE101" s="374">
        <f t="shared" ref="AE101:AE105" si="150">AD101/AD$32</f>
        <v>0.07512856623</v>
      </c>
      <c r="AF101" s="408">
        <f>SUM(AF102:AF105)</f>
        <v>0</v>
      </c>
      <c r="AG101" s="378"/>
      <c r="AH101" s="600">
        <f>SUM(AH102:AH105)</f>
        <v>572905.78</v>
      </c>
      <c r="AI101" s="374">
        <f>AH101/AH$32</f>
        <v>0.06224131107</v>
      </c>
      <c r="AJ101" s="408">
        <f>SUM(AJ102:AJ105)</f>
        <v>712111.667</v>
      </c>
      <c r="AK101" s="374">
        <f t="shared" ref="AK101:AK105" si="151">AJ101/AJ$32</f>
        <v>0.07884621017</v>
      </c>
      <c r="AL101" s="408">
        <f>SUM(AL102:AL105)</f>
        <v>0</v>
      </c>
      <c r="AM101" s="378"/>
      <c r="AN101" s="600">
        <f>SUM(AN102:AN105)</f>
        <v>578445.45</v>
      </c>
      <c r="AO101" s="374">
        <f t="shared" ref="AO101:AO105" si="152">AN101/AN$32</f>
        <v>0.0686934598</v>
      </c>
      <c r="AP101" s="377">
        <f>SUM(AP102:AP105)</f>
        <v>753489.875</v>
      </c>
      <c r="AQ101" s="374">
        <f t="shared" ref="AQ101:AQ105" si="153">AP101/AP$32</f>
        <v>0.07661584812</v>
      </c>
      <c r="AR101" s="408">
        <f>SUM(AR102:AR105)</f>
        <v>0</v>
      </c>
      <c r="AS101" s="378"/>
      <c r="AT101" s="600">
        <f>SUM(AT102:AT105)</f>
        <v>614233.79</v>
      </c>
      <c r="AU101" s="374">
        <f t="shared" ref="AU101:AU106" si="154">AT101/AT$32</f>
        <v>0.06563067545</v>
      </c>
      <c r="AV101" s="377">
        <f>SUM(AV102:AV105)</f>
        <v>759704.6605</v>
      </c>
      <c r="AW101" s="374">
        <f t="shared" ref="AW101:AW105" si="155">AV101/AV$32</f>
        <v>0.07839367226</v>
      </c>
      <c r="AX101" s="408">
        <f>SUM(AX102:AX105)</f>
        <v>0</v>
      </c>
      <c r="AY101" s="378"/>
      <c r="AZ101" s="600">
        <f>SUM(AZ102:AZ105)</f>
        <v>701362.15</v>
      </c>
      <c r="BA101" s="374">
        <f t="shared" ref="BA101:BA106" si="156">AZ101/AZ$32</f>
        <v>0.06954076821</v>
      </c>
      <c r="BB101" s="377">
        <f>SUM(BB102:BB105)</f>
        <v>829666.5345</v>
      </c>
      <c r="BC101" s="374">
        <f t="shared" ref="BC101:BC105" si="157">BB101/BB$32</f>
        <v>0.079275052</v>
      </c>
      <c r="BD101" s="408">
        <f>SUM(BD102:BD105)</f>
        <v>0</v>
      </c>
      <c r="BE101" s="378"/>
      <c r="BF101" s="600">
        <f>SUM(BF102:BF105)</f>
        <v>677334.48</v>
      </c>
      <c r="BG101" s="374">
        <f t="shared" ref="BG101:BG106" si="158">BF101/BF$32</f>
        <v>0.06994052636</v>
      </c>
      <c r="BH101" s="377">
        <f>SUM(BH102:BH105)</f>
        <v>823657.4875</v>
      </c>
      <c r="BI101" s="374">
        <f t="shared" ref="BI101:BI105" si="159">BH101/BH$32</f>
        <v>0.0807034097</v>
      </c>
      <c r="BJ101" s="408">
        <f>SUM(BJ102:BJ105)</f>
        <v>0</v>
      </c>
      <c r="BK101" s="378"/>
      <c r="BL101" s="600">
        <f>SUM(BL102:BL105)</f>
        <v>619851.87</v>
      </c>
      <c r="BM101" s="374">
        <f t="shared" ref="BM101:BM106" si="160">BL101/BL$32</f>
        <v>0.07279477959</v>
      </c>
      <c r="BN101" s="377">
        <f>SUM(BN102:BN105)</f>
        <v>735288.6735</v>
      </c>
      <c r="BO101" s="374">
        <f t="shared" ref="BO101:BO105" si="161">BN101/BN$32</f>
        <v>0.07808352606</v>
      </c>
      <c r="BP101" s="408">
        <f>SUM(BP102:BP105)</f>
        <v>0</v>
      </c>
      <c r="BQ101" s="378"/>
      <c r="BR101" s="373">
        <f>SUM(BR102:BR105)</f>
        <v>719922</v>
      </c>
      <c r="BS101" s="374">
        <f t="shared" ref="BS101:BS105" si="162">BR101/BR$32</f>
        <v>0.07110914853</v>
      </c>
      <c r="BT101" s="377">
        <f>SUM(BT102:BT105)</f>
        <v>808825.275</v>
      </c>
      <c r="BU101" s="374">
        <f t="shared" ref="BU101:BU105" si="163">BT101/BT$32</f>
        <v>0.07982244725</v>
      </c>
      <c r="BV101" s="408">
        <f>SUM(BV102:BV105)</f>
        <v>0</v>
      </c>
      <c r="BW101" s="378"/>
      <c r="BX101" s="718">
        <f>D101+J101+P101+V101+AB101+AH101+AN101+AT101+AZ101+BF101+BL101+BR101</f>
        <v>7364320.123</v>
      </c>
      <c r="BY101" s="216"/>
      <c r="BZ101" s="216"/>
      <c r="CA101" s="216"/>
      <c r="CB101" s="216"/>
      <c r="CC101" s="216"/>
      <c r="CD101" s="216"/>
      <c r="CE101" s="216"/>
      <c r="CF101" s="216"/>
      <c r="CG101" s="216"/>
      <c r="CH101" s="216"/>
      <c r="CI101" s="216"/>
      <c r="CJ101" s="216"/>
      <c r="CK101" s="216"/>
      <c r="CL101" s="216"/>
      <c r="CM101" s="216"/>
      <c r="CN101" s="216"/>
      <c r="CO101" s="216"/>
      <c r="CP101" s="216"/>
      <c r="CQ101" s="216"/>
    </row>
    <row r="102" ht="15.75" customHeight="1">
      <c r="A102" s="213"/>
      <c r="B102" s="488"/>
      <c r="C102" s="488" t="s">
        <v>257</v>
      </c>
      <c r="D102" s="708">
        <f>(150+(150*18/100))</f>
        <v>177</v>
      </c>
      <c r="E102" s="385">
        <f t="shared" si="141"/>
        <v>0.00002061170229</v>
      </c>
      <c r="F102" s="440">
        <v>0.0</v>
      </c>
      <c r="G102" s="385">
        <f t="shared" si="142"/>
        <v>0</v>
      </c>
      <c r="H102" s="388"/>
      <c r="I102" s="390"/>
      <c r="J102" s="708">
        <v>1239.0</v>
      </c>
      <c r="K102" s="385">
        <f t="shared" si="143"/>
        <v>0.0001282098129</v>
      </c>
      <c r="L102" s="440"/>
      <c r="M102" s="385">
        <f t="shared" si="144"/>
        <v>0</v>
      </c>
      <c r="N102" s="440"/>
      <c r="O102" s="389"/>
      <c r="P102" s="708">
        <v>3540.0</v>
      </c>
      <c r="Q102" s="385">
        <f t="shared" si="145"/>
        <v>0.000473098029</v>
      </c>
      <c r="R102" s="440"/>
      <c r="S102" s="385">
        <f t="shared" si="146"/>
        <v>0</v>
      </c>
      <c r="T102" s="440"/>
      <c r="U102" s="389"/>
      <c r="V102" s="708">
        <v>1062.0</v>
      </c>
      <c r="W102" s="385">
        <f t="shared" si="147"/>
        <v>0.0001116466248</v>
      </c>
      <c r="X102" s="440"/>
      <c r="Y102" s="385">
        <f t="shared" si="148"/>
        <v>0</v>
      </c>
      <c r="Z102" s="440"/>
      <c r="AA102" s="389"/>
      <c r="AB102" s="708">
        <v>1062.0</v>
      </c>
      <c r="AC102" s="385">
        <f t="shared" si="149"/>
        <v>0.0001133307964</v>
      </c>
      <c r="AD102" s="440"/>
      <c r="AE102" s="385">
        <f t="shared" si="150"/>
        <v>0</v>
      </c>
      <c r="AF102" s="440"/>
      <c r="AG102" s="389"/>
      <c r="AH102" s="708">
        <f>177+177</f>
        <v>354</v>
      </c>
      <c r="AI102" s="440"/>
      <c r="AJ102" s="440"/>
      <c r="AK102" s="385">
        <f t="shared" si="151"/>
        <v>0</v>
      </c>
      <c r="AL102" s="440"/>
      <c r="AM102" s="389"/>
      <c r="AN102" s="708"/>
      <c r="AO102" s="385">
        <f t="shared" si="152"/>
        <v>0</v>
      </c>
      <c r="AP102" s="440"/>
      <c r="AQ102" s="385">
        <f t="shared" si="153"/>
        <v>0</v>
      </c>
      <c r="AR102" s="440"/>
      <c r="AS102" s="389"/>
      <c r="AT102" s="708"/>
      <c r="AU102" s="385">
        <f t="shared" si="154"/>
        <v>0</v>
      </c>
      <c r="AV102" s="440"/>
      <c r="AW102" s="385">
        <f t="shared" si="155"/>
        <v>0</v>
      </c>
      <c r="AX102" s="440"/>
      <c r="AY102" s="389"/>
      <c r="AZ102" s="708">
        <v>3894.0</v>
      </c>
      <c r="BA102" s="385">
        <f t="shared" si="156"/>
        <v>0.0003860940477</v>
      </c>
      <c r="BB102" s="440"/>
      <c r="BC102" s="385">
        <f t="shared" si="157"/>
        <v>0</v>
      </c>
      <c r="BD102" s="440"/>
      <c r="BE102" s="389"/>
      <c r="BF102" s="708">
        <v>4425.0</v>
      </c>
      <c r="BG102" s="385">
        <f t="shared" si="158"/>
        <v>0.0004569187577</v>
      </c>
      <c r="BH102" s="440"/>
      <c r="BI102" s="385">
        <f t="shared" si="159"/>
        <v>0</v>
      </c>
      <c r="BJ102" s="440"/>
      <c r="BK102" s="389"/>
      <c r="BL102" s="708">
        <v>2213.0</v>
      </c>
      <c r="BM102" s="385">
        <f t="shared" si="160"/>
        <v>0.0002598924921</v>
      </c>
      <c r="BN102" s="440"/>
      <c r="BO102" s="385">
        <f t="shared" si="161"/>
        <v>0</v>
      </c>
      <c r="BP102" s="440"/>
      <c r="BQ102" s="389"/>
      <c r="BR102" s="491">
        <f>2700*1.18</f>
        <v>3186</v>
      </c>
      <c r="BS102" s="385">
        <f t="shared" si="162"/>
        <v>0.0003146920739</v>
      </c>
      <c r="BT102" s="391">
        <v>0.0</v>
      </c>
      <c r="BU102" s="385">
        <f t="shared" si="163"/>
        <v>0</v>
      </c>
      <c r="BV102" s="440"/>
      <c r="BW102" s="389"/>
      <c r="BX102" s="213"/>
      <c r="BY102" s="213"/>
      <c r="BZ102" s="213"/>
      <c r="CA102" s="213"/>
      <c r="CB102" s="213"/>
      <c r="CC102" s="213"/>
      <c r="CD102" s="213"/>
      <c r="CE102" s="213"/>
      <c r="CF102" s="213"/>
      <c r="CG102" s="213"/>
      <c r="CH102" s="213"/>
      <c r="CI102" s="213"/>
      <c r="CJ102" s="213"/>
      <c r="CK102" s="213"/>
      <c r="CL102" s="213"/>
      <c r="CM102" s="213"/>
      <c r="CN102" s="213"/>
      <c r="CO102" s="213"/>
      <c r="CP102" s="213"/>
      <c r="CQ102" s="213"/>
    </row>
    <row r="103" ht="15.75" customHeight="1">
      <c r="A103" s="213"/>
      <c r="B103" s="492"/>
      <c r="C103" s="492" t="s">
        <v>258</v>
      </c>
      <c r="D103" s="604">
        <v>1615.0</v>
      </c>
      <c r="E103" s="355">
        <f t="shared" si="141"/>
        <v>0.0001880672271</v>
      </c>
      <c r="F103" s="357">
        <v>0.0</v>
      </c>
      <c r="G103" s="355">
        <f t="shared" si="142"/>
        <v>0</v>
      </c>
      <c r="H103" s="357">
        <f t="shared" ref="H103:H105" si="164">D103-F103</f>
        <v>1615</v>
      </c>
      <c r="I103" s="395" t="str">
        <f t="shared" ref="I103:I105" si="165">H103/F103</f>
        <v>#DIV/0!</v>
      </c>
      <c r="J103" s="604"/>
      <c r="K103" s="355">
        <f t="shared" si="143"/>
        <v>0</v>
      </c>
      <c r="L103" s="357"/>
      <c r="M103" s="355">
        <f t="shared" si="144"/>
        <v>0</v>
      </c>
      <c r="N103" s="352"/>
      <c r="O103" s="358"/>
      <c r="P103" s="604">
        <v>0.0</v>
      </c>
      <c r="Q103" s="355">
        <f t="shared" si="145"/>
        <v>0</v>
      </c>
      <c r="R103" s="357"/>
      <c r="S103" s="355">
        <f t="shared" si="146"/>
        <v>0</v>
      </c>
      <c r="T103" s="352"/>
      <c r="U103" s="358"/>
      <c r="V103" s="604"/>
      <c r="W103" s="355">
        <f t="shared" si="147"/>
        <v>0</v>
      </c>
      <c r="X103" s="357"/>
      <c r="Y103" s="355">
        <f t="shared" si="148"/>
        <v>0</v>
      </c>
      <c r="Z103" s="352"/>
      <c r="AA103" s="358"/>
      <c r="AB103" s="604"/>
      <c r="AC103" s="355">
        <f t="shared" si="149"/>
        <v>0</v>
      </c>
      <c r="AD103" s="357"/>
      <c r="AE103" s="355">
        <f t="shared" si="150"/>
        <v>0</v>
      </c>
      <c r="AF103" s="352"/>
      <c r="AG103" s="358"/>
      <c r="AH103" s="604"/>
      <c r="AI103" s="352"/>
      <c r="AJ103" s="357"/>
      <c r="AK103" s="355">
        <f t="shared" si="151"/>
        <v>0</v>
      </c>
      <c r="AL103" s="352"/>
      <c r="AM103" s="358"/>
      <c r="AN103" s="604"/>
      <c r="AO103" s="355">
        <f t="shared" si="152"/>
        <v>0</v>
      </c>
      <c r="AP103" s="357"/>
      <c r="AQ103" s="355">
        <f t="shared" si="153"/>
        <v>0</v>
      </c>
      <c r="AR103" s="352"/>
      <c r="AS103" s="358"/>
      <c r="AT103" s="604"/>
      <c r="AU103" s="355">
        <f t="shared" si="154"/>
        <v>0</v>
      </c>
      <c r="AV103" s="357"/>
      <c r="AW103" s="355">
        <f t="shared" si="155"/>
        <v>0</v>
      </c>
      <c r="AX103" s="352"/>
      <c r="AY103" s="358"/>
      <c r="AZ103" s="604"/>
      <c r="BA103" s="355">
        <f t="shared" si="156"/>
        <v>0</v>
      </c>
      <c r="BB103" s="357"/>
      <c r="BC103" s="355">
        <f t="shared" si="157"/>
        <v>0</v>
      </c>
      <c r="BD103" s="352"/>
      <c r="BE103" s="358"/>
      <c r="BF103" s="604">
        <v>0.0</v>
      </c>
      <c r="BG103" s="355">
        <f t="shared" si="158"/>
        <v>0</v>
      </c>
      <c r="BH103" s="357"/>
      <c r="BI103" s="355">
        <f t="shared" si="159"/>
        <v>0</v>
      </c>
      <c r="BJ103" s="352"/>
      <c r="BK103" s="358"/>
      <c r="BL103" s="604"/>
      <c r="BM103" s="355">
        <f t="shared" si="160"/>
        <v>0</v>
      </c>
      <c r="BN103" s="357"/>
      <c r="BO103" s="355">
        <f t="shared" si="161"/>
        <v>0</v>
      </c>
      <c r="BP103" s="352"/>
      <c r="BQ103" s="358"/>
      <c r="BR103" s="351">
        <v>0.0</v>
      </c>
      <c r="BS103" s="355">
        <f t="shared" si="162"/>
        <v>0</v>
      </c>
      <c r="BT103" s="359">
        <v>0.0</v>
      </c>
      <c r="BU103" s="355">
        <f t="shared" si="163"/>
        <v>0</v>
      </c>
      <c r="BV103" s="352"/>
      <c r="BW103" s="358"/>
      <c r="BX103" s="213"/>
      <c r="BY103" s="213"/>
      <c r="BZ103" s="213"/>
      <c r="CA103" s="213"/>
      <c r="CB103" s="213"/>
      <c r="CC103" s="213"/>
      <c r="CD103" s="213"/>
      <c r="CE103" s="213"/>
      <c r="CF103" s="213"/>
      <c r="CG103" s="213"/>
      <c r="CH103" s="213"/>
      <c r="CI103" s="213"/>
      <c r="CJ103" s="213"/>
      <c r="CK103" s="213"/>
      <c r="CL103" s="213"/>
      <c r="CM103" s="213"/>
      <c r="CN103" s="213"/>
      <c r="CO103" s="213"/>
      <c r="CP103" s="213"/>
      <c r="CQ103" s="213"/>
    </row>
    <row r="104" ht="15.75" customHeight="1">
      <c r="A104" s="213"/>
      <c r="B104" s="492"/>
      <c r="C104" s="492" t="s">
        <v>259</v>
      </c>
      <c r="D104" s="604">
        <f>(314856.02+(314856.02*18/100))+(73075.76+(73075.76*18/100))</f>
        <v>457759.5004</v>
      </c>
      <c r="E104" s="355">
        <f t="shared" si="141"/>
        <v>0.05330622906</v>
      </c>
      <c r="F104" s="357">
        <f>75%*(F$17+F$18+F$19)*17.8%</f>
        <v>485940</v>
      </c>
      <c r="G104" s="355">
        <f t="shared" si="142"/>
        <v>0.0576401024</v>
      </c>
      <c r="H104" s="357">
        <f t="shared" si="164"/>
        <v>-28180.4996</v>
      </c>
      <c r="I104" s="395">
        <f t="shared" si="165"/>
        <v>-0.05799172655</v>
      </c>
      <c r="J104" s="604">
        <f>(366740.89+(366740.89*18/100))+(72923.04+(72923.04*18/100))</f>
        <v>518803.4374</v>
      </c>
      <c r="K104" s="355">
        <f t="shared" si="143"/>
        <v>0.05368498113</v>
      </c>
      <c r="L104" s="357">
        <f>75%*(L$17+L$18+L$19)*17.8%</f>
        <v>483804</v>
      </c>
      <c r="M104" s="355">
        <f t="shared" si="144"/>
        <v>0.05806772603</v>
      </c>
      <c r="N104" s="352"/>
      <c r="O104" s="358"/>
      <c r="P104" s="604">
        <f>(10463.73+(10463.73*18/100))+(58763.61+(58763.61*18/100))</f>
        <v>81688.2612</v>
      </c>
      <c r="Q104" s="355">
        <f t="shared" si="145"/>
        <v>0.01091710604</v>
      </c>
      <c r="R104" s="357">
        <f>75%*(R$17+R$18+R$19)*17.8%</f>
        <v>500825.25</v>
      </c>
      <c r="S104" s="355">
        <f t="shared" si="146"/>
        <v>0.0610927853</v>
      </c>
      <c r="T104" s="352"/>
      <c r="U104" s="358"/>
      <c r="V104" s="604">
        <f>401279.52+89370.84-(80075+17567)</f>
        <v>393008.36</v>
      </c>
      <c r="W104" s="355">
        <f t="shared" si="147"/>
        <v>0.04131643776</v>
      </c>
      <c r="X104" s="357">
        <f>75%*(X$17+X$18+X$19)*17.8%</f>
        <v>513324.855</v>
      </c>
      <c r="Y104" s="355">
        <f t="shared" si="148"/>
        <v>0.05703342891</v>
      </c>
      <c r="Z104" s="352"/>
      <c r="AA104" s="358"/>
      <c r="AB104" s="604">
        <f>94348.82+420983.33-(83948+18571)</f>
        <v>412813.15</v>
      </c>
      <c r="AC104" s="355">
        <f t="shared" si="149"/>
        <v>0.04405314787</v>
      </c>
      <c r="AD104" s="357">
        <f>75%*(AD$17+AD$18+AD$19)*17.8%</f>
        <v>541661.1645</v>
      </c>
      <c r="AE104" s="355">
        <f t="shared" si="150"/>
        <v>0.05952322606</v>
      </c>
      <c r="AF104" s="352"/>
      <c r="AG104" s="358"/>
      <c r="AH104" s="604">
        <f>324696.15+67905.65-(24041+5026)</f>
        <v>363534.8</v>
      </c>
      <c r="AI104" s="355">
        <f t="shared" ref="AI104:AI105" si="166">AH104/AH$32</f>
        <v>0.03949494553</v>
      </c>
      <c r="AJ104" s="357">
        <f>75%*(AJ$17+AJ$18+AJ$19)*17.8%</f>
        <v>564195.297</v>
      </c>
      <c r="AK104" s="355">
        <f t="shared" si="151"/>
        <v>0.06246865909</v>
      </c>
      <c r="AL104" s="352"/>
      <c r="AM104" s="358"/>
      <c r="AN104" s="604">
        <f>320098.93+61491.68</f>
        <v>381590.61</v>
      </c>
      <c r="AO104" s="355">
        <f t="shared" si="152"/>
        <v>0.04531590529</v>
      </c>
      <c r="AP104" s="357">
        <f>75%*(AP$17+AP$18+AP$19)*17.8%</f>
        <v>596978.625</v>
      </c>
      <c r="AQ104" s="355">
        <f t="shared" si="153"/>
        <v>0.060701577</v>
      </c>
      <c r="AR104" s="352"/>
      <c r="AS104" s="358"/>
      <c r="AT104" s="604">
        <f>65265.59+329182.04</f>
        <v>394447.63</v>
      </c>
      <c r="AU104" s="355">
        <f t="shared" si="154"/>
        <v>0.04214659761</v>
      </c>
      <c r="AV104" s="357">
        <f>75%*(AV$17+AV$18+AV$19)*17.8%</f>
        <v>601902.5055</v>
      </c>
      <c r="AW104" s="355">
        <f t="shared" si="155"/>
        <v>0.06211012016</v>
      </c>
      <c r="AX104" s="352"/>
      <c r="AY104" s="358"/>
      <c r="AZ104" s="604">
        <f>76477.51+365725.97</f>
        <v>442203.48</v>
      </c>
      <c r="BA104" s="355">
        <f t="shared" si="156"/>
        <v>0.04384492334</v>
      </c>
      <c r="BB104" s="357">
        <f>75%*(BB$17+BB$18+BB$19)*17.8%</f>
        <v>657332.2395</v>
      </c>
      <c r="BC104" s="355">
        <f t="shared" si="157"/>
        <v>0.06280842399</v>
      </c>
      <c r="BD104" s="352"/>
      <c r="BE104" s="358"/>
      <c r="BF104" s="604">
        <f>79381.94+363905.24</f>
        <v>443287.18</v>
      </c>
      <c r="BG104" s="355">
        <f t="shared" si="158"/>
        <v>0.04577315878</v>
      </c>
      <c r="BH104" s="357">
        <f>75%*(BH$17+BH$18+BH$19)*17.8%</f>
        <v>652571.3625</v>
      </c>
      <c r="BI104" s="355">
        <f t="shared" si="159"/>
        <v>0.06394009018</v>
      </c>
      <c r="BJ104" s="352"/>
      <c r="BK104" s="358"/>
      <c r="BL104" s="604">
        <f>63933.41+343301.14</f>
        <v>407234.55</v>
      </c>
      <c r="BM104" s="355">
        <f t="shared" si="160"/>
        <v>0.04782521557</v>
      </c>
      <c r="BN104" s="357">
        <f>75%*(BN$17+BN$18+BN$19)*17.8%</f>
        <v>582558.0885</v>
      </c>
      <c r="BO104" s="355">
        <f t="shared" si="161"/>
        <v>0.06186439602</v>
      </c>
      <c r="BP104" s="352"/>
      <c r="BQ104" s="358"/>
      <c r="BR104" s="351">
        <v>458383.0</v>
      </c>
      <c r="BS104" s="355">
        <f t="shared" si="162"/>
        <v>0.0452760505</v>
      </c>
      <c r="BT104" s="357">
        <f>75%*(BT$17+BT$18+BT$19)*17.8%</f>
        <v>640820.025</v>
      </c>
      <c r="BU104" s="355">
        <f t="shared" si="163"/>
        <v>0.06324211696</v>
      </c>
      <c r="BV104" s="352"/>
      <c r="BW104" s="358"/>
      <c r="BX104" s="213"/>
      <c r="BY104" s="213"/>
      <c r="BZ104" s="213"/>
      <c r="CA104" s="213"/>
      <c r="CB104" s="213"/>
      <c r="CC104" s="213"/>
      <c r="CD104" s="213"/>
      <c r="CE104" s="213"/>
      <c r="CF104" s="213"/>
      <c r="CG104" s="213"/>
      <c r="CH104" s="213"/>
      <c r="CI104" s="213"/>
      <c r="CJ104" s="213"/>
      <c r="CK104" s="213"/>
      <c r="CL104" s="213"/>
      <c r="CM104" s="213"/>
      <c r="CN104" s="213"/>
      <c r="CO104" s="213"/>
      <c r="CP104" s="213"/>
      <c r="CQ104" s="213"/>
    </row>
    <row r="105" ht="15.75" customHeight="1">
      <c r="A105" s="213"/>
      <c r="B105" s="492"/>
      <c r="C105" s="492" t="s">
        <v>260</v>
      </c>
      <c r="D105" s="604">
        <f>(137201.41+(137201.41*18/100))</f>
        <v>161897.6638</v>
      </c>
      <c r="E105" s="355">
        <f t="shared" si="141"/>
        <v>0.01885303078</v>
      </c>
      <c r="F105" s="357">
        <f>25%*(F$17+F$18+F$19)*14%</f>
        <v>127400</v>
      </c>
      <c r="G105" s="355">
        <f t="shared" si="142"/>
        <v>0.01511163733</v>
      </c>
      <c r="H105" s="357">
        <f t="shared" si="164"/>
        <v>34497.6638</v>
      </c>
      <c r="I105" s="395">
        <f t="shared" si="165"/>
        <v>0.2707822904</v>
      </c>
      <c r="J105" s="604">
        <v>195637.0</v>
      </c>
      <c r="K105" s="355">
        <f t="shared" si="143"/>
        <v>0.02024421562</v>
      </c>
      <c r="L105" s="357">
        <f>25%*(L$17+L$18+L$19)*14%</f>
        <v>126840</v>
      </c>
      <c r="M105" s="355">
        <f t="shared" si="144"/>
        <v>0.0152237484</v>
      </c>
      <c r="N105" s="352"/>
      <c r="O105" s="358"/>
      <c r="P105" s="604">
        <f>38373+255407</f>
        <v>293780</v>
      </c>
      <c r="Q105" s="355">
        <f t="shared" si="145"/>
        <v>0.03926179067</v>
      </c>
      <c r="R105" s="357">
        <f>25%*(R$17+R$18+R$19)*14%</f>
        <v>131302.5</v>
      </c>
      <c r="S105" s="355">
        <f t="shared" si="146"/>
        <v>0.0160168351</v>
      </c>
      <c r="T105" s="352"/>
      <c r="U105" s="358"/>
      <c r="V105" s="604">
        <f>18340.95+154032.64</f>
        <v>172373.59</v>
      </c>
      <c r="W105" s="355">
        <f t="shared" si="147"/>
        <v>0.01812140256</v>
      </c>
      <c r="X105" s="357">
        <f>25%*(X$17+X$18+X$19)*14%</f>
        <v>134579.55</v>
      </c>
      <c r="Y105" s="355">
        <f t="shared" si="148"/>
        <v>0.01495258436</v>
      </c>
      <c r="Z105" s="352"/>
      <c r="AA105" s="358"/>
      <c r="AB105" s="604">
        <f>165922.9+17885.74</f>
        <v>183808.64</v>
      </c>
      <c r="AC105" s="355">
        <f t="shared" si="149"/>
        <v>0.01961504666</v>
      </c>
      <c r="AD105" s="357">
        <f>25%*(AD$17+AD$18+AD$19)*14%</f>
        <v>142008.545</v>
      </c>
      <c r="AE105" s="355">
        <f t="shared" si="150"/>
        <v>0.01560534017</v>
      </c>
      <c r="AF105" s="352"/>
      <c r="AG105" s="358"/>
      <c r="AH105" s="604">
        <f>190265.74+18751.24</f>
        <v>209016.98</v>
      </c>
      <c r="AI105" s="355">
        <f t="shared" si="166"/>
        <v>0.02270790648</v>
      </c>
      <c r="AJ105" s="357">
        <f>25%*(AJ$17+AJ$18+AJ$19)*14%</f>
        <v>147916.37</v>
      </c>
      <c r="AK105" s="355">
        <f t="shared" si="151"/>
        <v>0.01637755107</v>
      </c>
      <c r="AL105" s="352"/>
      <c r="AM105" s="358"/>
      <c r="AN105" s="604">
        <f>181394.42+15460.42</f>
        <v>196854.84</v>
      </c>
      <c r="AO105" s="355">
        <f t="shared" si="152"/>
        <v>0.02337755451</v>
      </c>
      <c r="AP105" s="357">
        <f>25%*(AP$17+AP$18+AP$19)*14%</f>
        <v>156511.25</v>
      </c>
      <c r="AQ105" s="355">
        <f t="shared" si="153"/>
        <v>0.01591427112</v>
      </c>
      <c r="AR105" s="352"/>
      <c r="AS105" s="358"/>
      <c r="AT105" s="604">
        <f>14630.65+205155.51</f>
        <v>219786.16</v>
      </c>
      <c r="AU105" s="355">
        <f t="shared" si="154"/>
        <v>0.02348407784</v>
      </c>
      <c r="AV105" s="357">
        <f>25%*(AV$17+AV$18+AV$19)*14%</f>
        <v>157802.155</v>
      </c>
      <c r="AW105" s="355">
        <f t="shared" si="155"/>
        <v>0.0162835521</v>
      </c>
      <c r="AX105" s="352"/>
      <c r="AY105" s="358"/>
      <c r="AZ105" s="604">
        <f>14510.31+240754.36</f>
        <v>255264.67</v>
      </c>
      <c r="BA105" s="355">
        <f t="shared" si="156"/>
        <v>0.02530975082</v>
      </c>
      <c r="BB105" s="357">
        <f>25%*(BB$17+BB$18+BB$19)*14%</f>
        <v>172334.295</v>
      </c>
      <c r="BC105" s="355">
        <f t="shared" si="157"/>
        <v>0.01646662801</v>
      </c>
      <c r="BD105" s="352"/>
      <c r="BE105" s="358"/>
      <c r="BF105" s="604">
        <f>14687.96+214934.34</f>
        <v>229622.3</v>
      </c>
      <c r="BG105" s="355">
        <f t="shared" si="158"/>
        <v>0.02371044883</v>
      </c>
      <c r="BH105" s="357">
        <f>25%*(BH$17+BH$18+BH$19)*14%</f>
        <v>171086.125</v>
      </c>
      <c r="BI105" s="355">
        <f t="shared" si="159"/>
        <v>0.01676331952</v>
      </c>
      <c r="BJ105" s="352"/>
      <c r="BK105" s="358"/>
      <c r="BL105" s="604">
        <f>14045.28+196359.04</f>
        <v>210404.32</v>
      </c>
      <c r="BM105" s="355">
        <f t="shared" si="160"/>
        <v>0.02470967152</v>
      </c>
      <c r="BN105" s="357">
        <f>25%*(BN$17+BN$18+BN$19)*14%</f>
        <v>152730.585</v>
      </c>
      <c r="BO105" s="355">
        <f t="shared" si="161"/>
        <v>0.01621913004</v>
      </c>
      <c r="BP105" s="352"/>
      <c r="BQ105" s="358"/>
      <c r="BR105" s="351">
        <v>258353.0</v>
      </c>
      <c r="BS105" s="355">
        <f t="shared" si="162"/>
        <v>0.02551840595</v>
      </c>
      <c r="BT105" s="357">
        <f>25%*(BT$17+BT$18+BT$19)*14%</f>
        <v>168005.25</v>
      </c>
      <c r="BU105" s="355">
        <f t="shared" si="163"/>
        <v>0.01658033029</v>
      </c>
      <c r="BV105" s="352"/>
      <c r="BW105" s="358"/>
      <c r="BX105" s="213"/>
      <c r="BY105" s="213"/>
      <c r="BZ105" s="213"/>
      <c r="CA105" s="213"/>
      <c r="CB105" s="213"/>
      <c r="CC105" s="213"/>
      <c r="CD105" s="213"/>
      <c r="CE105" s="213"/>
      <c r="CF105" s="213"/>
      <c r="CG105" s="213"/>
      <c r="CH105" s="213"/>
      <c r="CI105" s="213"/>
      <c r="CJ105" s="213"/>
      <c r="CK105" s="213"/>
      <c r="CL105" s="213"/>
      <c r="CM105" s="213"/>
      <c r="CN105" s="213"/>
      <c r="CO105" s="213"/>
      <c r="CP105" s="213"/>
      <c r="CQ105" s="213"/>
    </row>
    <row r="106" ht="15.75" customHeight="1">
      <c r="A106" s="213"/>
      <c r="B106" s="492"/>
      <c r="C106" s="492"/>
      <c r="D106" s="604"/>
      <c r="E106" s="352"/>
      <c r="F106" s="352"/>
      <c r="G106" s="352"/>
      <c r="H106" s="352"/>
      <c r="I106" s="358"/>
      <c r="J106" s="393"/>
      <c r="K106" s="352"/>
      <c r="L106" s="352"/>
      <c r="M106" s="352"/>
      <c r="N106" s="352"/>
      <c r="O106" s="358"/>
      <c r="P106" s="393"/>
      <c r="Q106" s="352"/>
      <c r="R106" s="352"/>
      <c r="S106" s="352"/>
      <c r="T106" s="352"/>
      <c r="U106" s="358"/>
      <c r="V106" s="393"/>
      <c r="W106" s="352"/>
      <c r="X106" s="352"/>
      <c r="Y106" s="352"/>
      <c r="Z106" s="352"/>
      <c r="AA106" s="358"/>
      <c r="AB106" s="604"/>
      <c r="AC106" s="352"/>
      <c r="AD106" s="352"/>
      <c r="AE106" s="352"/>
      <c r="AF106" s="352"/>
      <c r="AG106" s="358"/>
      <c r="AH106" s="604"/>
      <c r="AI106" s="352"/>
      <c r="AJ106" s="352"/>
      <c r="AK106" s="352"/>
      <c r="AL106" s="352"/>
      <c r="AM106" s="358"/>
      <c r="AN106" s="604"/>
      <c r="AO106" s="352"/>
      <c r="AP106" s="352"/>
      <c r="AQ106" s="352"/>
      <c r="AR106" s="352"/>
      <c r="AS106" s="358"/>
      <c r="AT106" s="604"/>
      <c r="AU106" s="355">
        <f t="shared" si="154"/>
        <v>0</v>
      </c>
      <c r="AV106" s="352"/>
      <c r="AW106" s="352"/>
      <c r="AX106" s="352"/>
      <c r="AY106" s="358"/>
      <c r="AZ106" s="604"/>
      <c r="BA106" s="355">
        <f t="shared" si="156"/>
        <v>0</v>
      </c>
      <c r="BB106" s="352"/>
      <c r="BC106" s="352"/>
      <c r="BD106" s="352"/>
      <c r="BE106" s="358"/>
      <c r="BF106" s="604"/>
      <c r="BG106" s="355">
        <f t="shared" si="158"/>
        <v>0</v>
      </c>
      <c r="BH106" s="352"/>
      <c r="BI106" s="352"/>
      <c r="BJ106" s="352"/>
      <c r="BK106" s="358"/>
      <c r="BL106" s="604"/>
      <c r="BM106" s="355">
        <f t="shared" si="160"/>
        <v>0</v>
      </c>
      <c r="BN106" s="352"/>
      <c r="BO106" s="352"/>
      <c r="BP106" s="352"/>
      <c r="BQ106" s="358"/>
      <c r="BR106" s="351"/>
      <c r="BS106" s="352"/>
      <c r="BT106" s="352"/>
      <c r="BU106" s="352"/>
      <c r="BV106" s="352"/>
      <c r="BW106" s="358"/>
      <c r="BX106" s="213"/>
      <c r="BY106" s="213"/>
      <c r="BZ106" s="213"/>
      <c r="CA106" s="213"/>
      <c r="CB106" s="213"/>
      <c r="CC106" s="213"/>
      <c r="CD106" s="213"/>
      <c r="CE106" s="213"/>
      <c r="CF106" s="213"/>
      <c r="CG106" s="213"/>
      <c r="CH106" s="213"/>
      <c r="CI106" s="213"/>
      <c r="CJ106" s="213"/>
      <c r="CK106" s="213"/>
      <c r="CL106" s="213"/>
      <c r="CM106" s="213"/>
      <c r="CN106" s="213"/>
      <c r="CO106" s="213"/>
      <c r="CP106" s="213"/>
      <c r="CQ106" s="213"/>
    </row>
    <row r="107" ht="15.75" customHeight="1">
      <c r="A107" s="213"/>
      <c r="B107" s="502"/>
      <c r="C107" s="502"/>
      <c r="D107" s="619"/>
      <c r="E107" s="364"/>
      <c r="F107" s="364"/>
      <c r="G107" s="364"/>
      <c r="H107" s="364"/>
      <c r="I107" s="368"/>
      <c r="J107" s="403"/>
      <c r="K107" s="364"/>
      <c r="L107" s="364"/>
      <c r="M107" s="364"/>
      <c r="N107" s="364"/>
      <c r="O107" s="368"/>
      <c r="P107" s="403"/>
      <c r="Q107" s="364"/>
      <c r="R107" s="364"/>
      <c r="S107" s="364"/>
      <c r="T107" s="364"/>
      <c r="U107" s="368"/>
      <c r="V107" s="403"/>
      <c r="W107" s="364"/>
      <c r="X107" s="364"/>
      <c r="Y107" s="364"/>
      <c r="Z107" s="364"/>
      <c r="AA107" s="368"/>
      <c r="AB107" s="619"/>
      <c r="AC107" s="364"/>
      <c r="AD107" s="364"/>
      <c r="AE107" s="364"/>
      <c r="AF107" s="364"/>
      <c r="AG107" s="368"/>
      <c r="AH107" s="619"/>
      <c r="AI107" s="364"/>
      <c r="AJ107" s="364"/>
      <c r="AK107" s="364"/>
      <c r="AL107" s="364"/>
      <c r="AM107" s="368"/>
      <c r="AN107" s="619"/>
      <c r="AO107" s="364"/>
      <c r="AP107" s="364"/>
      <c r="AQ107" s="364"/>
      <c r="AR107" s="364"/>
      <c r="AS107" s="368"/>
      <c r="AT107" s="619"/>
      <c r="AU107" s="364"/>
      <c r="AV107" s="364"/>
      <c r="AW107" s="364"/>
      <c r="AX107" s="364"/>
      <c r="AY107" s="368"/>
      <c r="AZ107" s="619"/>
      <c r="BA107" s="364"/>
      <c r="BB107" s="364"/>
      <c r="BC107" s="364"/>
      <c r="BD107" s="364"/>
      <c r="BE107" s="368"/>
      <c r="BF107" s="619"/>
      <c r="BG107" s="364"/>
      <c r="BH107" s="364"/>
      <c r="BI107" s="364"/>
      <c r="BJ107" s="364"/>
      <c r="BK107" s="368"/>
      <c r="BL107" s="619"/>
      <c r="BM107" s="364"/>
      <c r="BN107" s="364"/>
      <c r="BO107" s="364"/>
      <c r="BP107" s="364"/>
      <c r="BQ107" s="368"/>
      <c r="BR107" s="506"/>
      <c r="BS107" s="364"/>
      <c r="BT107" s="364"/>
      <c r="BU107" s="364"/>
      <c r="BV107" s="364"/>
      <c r="BW107" s="368"/>
      <c r="BX107" s="213"/>
      <c r="BY107" s="213"/>
      <c r="BZ107" s="213"/>
      <c r="CA107" s="213"/>
      <c r="CB107" s="213"/>
      <c r="CC107" s="213"/>
      <c r="CD107" s="213"/>
      <c r="CE107" s="213"/>
      <c r="CF107" s="213"/>
      <c r="CG107" s="213"/>
      <c r="CH107" s="213"/>
      <c r="CI107" s="213"/>
      <c r="CJ107" s="213"/>
      <c r="CK107" s="213"/>
      <c r="CL107" s="213"/>
      <c r="CM107" s="213"/>
      <c r="CN107" s="213"/>
      <c r="CO107" s="213"/>
      <c r="CP107" s="213"/>
      <c r="CQ107" s="213"/>
    </row>
    <row r="108" ht="15.75" customHeight="1">
      <c r="A108" s="213"/>
      <c r="B108" s="483"/>
      <c r="C108" s="519" t="s">
        <v>315</v>
      </c>
      <c r="D108" s="600">
        <f>SUM(D109:D113)</f>
        <v>399200</v>
      </c>
      <c r="E108" s="374">
        <f t="shared" ref="E108:E113" si="167">D108/D$32</f>
        <v>0.04648695794</v>
      </c>
      <c r="F108" s="377">
        <f>SUM(F109:F113)</f>
        <v>413372</v>
      </c>
      <c r="G108" s="374">
        <f t="shared" ref="G108:G109" si="168">F108/F$32</f>
        <v>0.0490323999</v>
      </c>
      <c r="H108" s="377">
        <f>SUM(H109:H113)</f>
        <v>-14172</v>
      </c>
      <c r="I108" s="378"/>
      <c r="J108" s="600">
        <f>SUM(J109:J113)</f>
        <v>448645</v>
      </c>
      <c r="K108" s="374">
        <f t="shared" ref="K108:K113" si="169">J108/J$32</f>
        <v>0.04642509402</v>
      </c>
      <c r="L108" s="377">
        <f>SUM(L109:L113)</f>
        <v>413372</v>
      </c>
      <c r="M108" s="374">
        <f t="shared" ref="M108:M109" si="170">L108/L$32</f>
        <v>0.04961424884</v>
      </c>
      <c r="N108" s="408">
        <f>SUM(N109:N113)</f>
        <v>0</v>
      </c>
      <c r="O108" s="378"/>
      <c r="P108" s="600">
        <f>SUM(P109:P113)</f>
        <v>485483</v>
      </c>
      <c r="Q108" s="374">
        <f t="shared" ref="Q108:Q113" si="171">P108/P$32</f>
        <v>0.06488165266</v>
      </c>
      <c r="R108" s="377">
        <f>SUM(R109:R113)</f>
        <v>413372</v>
      </c>
      <c r="S108" s="374">
        <f t="shared" ref="S108:S111" si="172">R108/R$32</f>
        <v>0.05042486745</v>
      </c>
      <c r="T108" s="408">
        <f>SUM(T109:T113)</f>
        <v>0</v>
      </c>
      <c r="U108" s="378"/>
      <c r="V108" s="600">
        <f>SUM(V109:V113)</f>
        <v>412377</v>
      </c>
      <c r="W108" s="374">
        <f t="shared" ref="W108:W112" si="173">V108/V$32</f>
        <v>0.04335263671</v>
      </c>
      <c r="X108" s="377">
        <f>SUM(X109:X113)</f>
        <v>413372</v>
      </c>
      <c r="Y108" s="374">
        <f t="shared" ref="Y108:Y111" si="174">X108/X$32</f>
        <v>0.04592807526</v>
      </c>
      <c r="Z108" s="408">
        <f>SUM(Z109:Z113)</f>
        <v>0</v>
      </c>
      <c r="AA108" s="378"/>
      <c r="AB108" s="600">
        <f>SUM(AB109:AB113)</f>
        <v>499285</v>
      </c>
      <c r="AC108" s="374">
        <f t="shared" ref="AC108:AC112" si="175">AB108/AB$32</f>
        <v>0.0532809479</v>
      </c>
      <c r="AD108" s="377">
        <f>SUM(AD109:AD113)</f>
        <v>434720</v>
      </c>
      <c r="AE108" s="374">
        <f t="shared" ref="AE108:AE111" si="176">AD108/AD$32</f>
        <v>0.04777144556</v>
      </c>
      <c r="AF108" s="408">
        <f>SUM(AF109:AF113)</f>
        <v>0</v>
      </c>
      <c r="AG108" s="378"/>
      <c r="AH108" s="600">
        <f>SUM(AH109:AH113)</f>
        <v>260228</v>
      </c>
      <c r="AI108" s="374">
        <f t="shared" ref="AI108:AI112" si="177">AH108/AH$32</f>
        <v>0.02827154563</v>
      </c>
      <c r="AJ108" s="377">
        <f>SUM(AJ109:AJ113)</f>
        <v>261295.4</v>
      </c>
      <c r="AK108" s="374">
        <f t="shared" ref="AK108:AK111" si="178">AJ108/AJ$32</f>
        <v>0.02893106935</v>
      </c>
      <c r="AL108" s="408">
        <f>SUM(AL109:AL113)</f>
        <v>0</v>
      </c>
      <c r="AM108" s="378"/>
      <c r="AN108" s="600">
        <f>SUM(AN109:AN113)</f>
        <v>1059747</v>
      </c>
      <c r="AO108" s="374">
        <f t="shared" ref="AO108:AO111" si="179">AN108/AN$32</f>
        <v>0.1258505671</v>
      </c>
      <c r="AP108" s="377">
        <f>SUM(AP109:AP113)</f>
        <v>1033770.6</v>
      </c>
      <c r="AQ108" s="374">
        <f t="shared" ref="AQ108:AQ111" si="180">AP108/AP$32</f>
        <v>0.1051151633</v>
      </c>
      <c r="AR108" s="408">
        <f>SUM(AR109:AR113)</f>
        <v>0</v>
      </c>
      <c r="AS108" s="378"/>
      <c r="AT108" s="600">
        <f>SUM(AT109:AT113)</f>
        <v>1062737</v>
      </c>
      <c r="AU108" s="374">
        <f t="shared" ref="AU108:AU111" si="181">AT108/AT$32</f>
        <v>0.1135530937</v>
      </c>
      <c r="AV108" s="408">
        <f>SUM(AV109:AV113)</f>
        <v>1027426.6</v>
      </c>
      <c r="AW108" s="374">
        <f t="shared" ref="AW108:AW111" si="182">AV108/AV$32</f>
        <v>0.1060198105</v>
      </c>
      <c r="AX108" s="408">
        <f>SUM(AX109:AX113)</f>
        <v>0</v>
      </c>
      <c r="AY108" s="378"/>
      <c r="AZ108" s="600">
        <f>SUM(AZ109:AZ113)</f>
        <v>1076257</v>
      </c>
      <c r="BA108" s="374">
        <f t="shared" ref="BA108:BA113" si="183">AZ108/AZ$32</f>
        <v>0.1067119727</v>
      </c>
      <c r="BB108" s="408">
        <f>SUM(BB109:BB113)</f>
        <v>1033770.6</v>
      </c>
      <c r="BC108" s="374">
        <f t="shared" ref="BC108:BC111" si="184">BB108/BB$32</f>
        <v>0.09877729746</v>
      </c>
      <c r="BD108" s="408">
        <f>SUM(BD109:BD113)</f>
        <v>0</v>
      </c>
      <c r="BE108" s="378"/>
      <c r="BF108" s="600">
        <f>SUM(BF109:BF113)</f>
        <v>1066315</v>
      </c>
      <c r="BG108" s="374">
        <f t="shared" ref="BG108:BG113" si="185">BF108/BF$32</f>
        <v>0.1101060622</v>
      </c>
      <c r="BH108" s="408">
        <f>SUM(BH109:BH113)</f>
        <v>1033770.6</v>
      </c>
      <c r="BI108" s="374">
        <f t="shared" ref="BI108:BI111" si="186">BH108/BH$32</f>
        <v>0.1012906621</v>
      </c>
      <c r="BJ108" s="408">
        <f>SUM(BJ109:BJ113)</f>
        <v>0</v>
      </c>
      <c r="BK108" s="378"/>
      <c r="BL108" s="600">
        <f>SUM(BL109:BL113)</f>
        <v>1061208</v>
      </c>
      <c r="BM108" s="374">
        <f t="shared" ref="BM108:BM113" si="187">BL108/BL$32</f>
        <v>0.1246271992</v>
      </c>
      <c r="BN108" s="375">
        <f>SUM(BN109:BN113)</f>
        <v>1033770.6</v>
      </c>
      <c r="BO108" s="374">
        <f t="shared" ref="BO108:BO111" si="188">BN108/BN$32</f>
        <v>0.1097806297</v>
      </c>
      <c r="BP108" s="408">
        <f>SUM(BP109:BP113)</f>
        <v>0</v>
      </c>
      <c r="BQ108" s="378"/>
      <c r="BR108" s="373">
        <f>SUM(BR109:BR113)</f>
        <v>1040604.36</v>
      </c>
      <c r="BS108" s="374">
        <f t="shared" ref="BS108:BS111" si="189">BR108/BR$32</f>
        <v>0.1027840377</v>
      </c>
      <c r="BT108" s="377">
        <f>SUM(BT109:BT113)</f>
        <v>1033770.6</v>
      </c>
      <c r="BU108" s="374">
        <f t="shared" ref="BU108:BU111" si="190">BT108/BT$32</f>
        <v>0.102022157</v>
      </c>
      <c r="BV108" s="408">
        <f>SUM(BV109:BV113)</f>
        <v>0</v>
      </c>
      <c r="BW108" s="378"/>
      <c r="BX108" s="718">
        <f>D108+J108+P108+V108+AB108+AH108+AN108+AT108+AZ108+BF108+BL108+BR108</f>
        <v>8872086.36</v>
      </c>
      <c r="BY108" s="216"/>
      <c r="BZ108" s="216"/>
      <c r="CA108" s="216"/>
      <c r="CB108" s="216"/>
      <c r="CC108" s="216"/>
      <c r="CD108" s="216"/>
      <c r="CE108" s="216"/>
      <c r="CF108" s="216"/>
      <c r="CG108" s="216"/>
      <c r="CH108" s="216"/>
      <c r="CI108" s="216"/>
      <c r="CJ108" s="216"/>
      <c r="CK108" s="216"/>
      <c r="CL108" s="216"/>
      <c r="CM108" s="216"/>
      <c r="CN108" s="216"/>
      <c r="CO108" s="216"/>
      <c r="CP108" s="216"/>
      <c r="CQ108" s="216"/>
    </row>
    <row r="109" ht="15.75" customHeight="1">
      <c r="A109" s="213"/>
      <c r="B109" s="488"/>
      <c r="C109" s="488" t="s">
        <v>407</v>
      </c>
      <c r="D109" s="708">
        <v>234303.0</v>
      </c>
      <c r="E109" s="385">
        <f t="shared" si="167"/>
        <v>0.02728465357</v>
      </c>
      <c r="F109" s="388">
        <f>234303</f>
        <v>234303</v>
      </c>
      <c r="G109" s="385">
        <f t="shared" si="168"/>
        <v>0.02779200912</v>
      </c>
      <c r="H109" s="388">
        <f>D109-F109</f>
        <v>0</v>
      </c>
      <c r="I109" s="390">
        <f>H109/F109</f>
        <v>0</v>
      </c>
      <c r="J109" s="708">
        <v>234303.0</v>
      </c>
      <c r="K109" s="385">
        <f t="shared" si="169"/>
        <v>0.02424531379</v>
      </c>
      <c r="L109" s="388">
        <f>234303</f>
        <v>234303</v>
      </c>
      <c r="M109" s="385">
        <f t="shared" si="170"/>
        <v>0.02812180638</v>
      </c>
      <c r="N109" s="440"/>
      <c r="O109" s="389"/>
      <c r="P109" s="708">
        <v>234303.0</v>
      </c>
      <c r="Q109" s="385">
        <f t="shared" si="171"/>
        <v>0.03131307556</v>
      </c>
      <c r="R109" s="388">
        <f>234303</f>
        <v>234303</v>
      </c>
      <c r="S109" s="385">
        <f t="shared" si="172"/>
        <v>0.02858127236</v>
      </c>
      <c r="T109" s="440"/>
      <c r="U109" s="389"/>
      <c r="V109" s="708">
        <v>234303.0</v>
      </c>
      <c r="W109" s="385">
        <f t="shared" si="173"/>
        <v>0.02463195774</v>
      </c>
      <c r="X109" s="388">
        <f>234303</f>
        <v>234303</v>
      </c>
      <c r="Y109" s="385">
        <f t="shared" si="174"/>
        <v>0.02603244975</v>
      </c>
      <c r="Z109" s="440"/>
      <c r="AA109" s="389"/>
      <c r="AB109" s="708">
        <v>234303.0</v>
      </c>
      <c r="AC109" s="385">
        <f t="shared" si="175"/>
        <v>0.02500352691</v>
      </c>
      <c r="AD109" s="388">
        <f>234303</f>
        <v>234303</v>
      </c>
      <c r="AE109" s="385">
        <f t="shared" si="176"/>
        <v>0.02574759158</v>
      </c>
      <c r="AF109" s="440"/>
      <c r="AG109" s="389"/>
      <c r="AH109" s="708">
        <v>0.0</v>
      </c>
      <c r="AI109" s="385">
        <f t="shared" si="177"/>
        <v>0</v>
      </c>
      <c r="AJ109" s="388">
        <f>270*136*1.18</f>
        <v>43329.6</v>
      </c>
      <c r="AK109" s="385">
        <f t="shared" si="178"/>
        <v>0.004797526717</v>
      </c>
      <c r="AL109" s="440"/>
      <c r="AM109" s="389"/>
      <c r="AN109" s="708">
        <v>815805.0</v>
      </c>
      <c r="AO109" s="385">
        <f t="shared" si="179"/>
        <v>0.09688116307</v>
      </c>
      <c r="AP109" s="388">
        <f>(392*1670*1.18)+(270*136*1.18)</f>
        <v>815804.8</v>
      </c>
      <c r="AQ109" s="385">
        <f t="shared" si="180"/>
        <v>0.0829521122</v>
      </c>
      <c r="AR109" s="440"/>
      <c r="AS109" s="389"/>
      <c r="AT109" s="708">
        <v>815805.0</v>
      </c>
      <c r="AU109" s="385">
        <f t="shared" si="181"/>
        <v>0.08716849197</v>
      </c>
      <c r="AV109" s="440">
        <f>(392*1670*1.18)+(270*136*1.18)</f>
        <v>815804.8</v>
      </c>
      <c r="AW109" s="385">
        <f t="shared" si="182"/>
        <v>0.08418262707</v>
      </c>
      <c r="AX109" s="440"/>
      <c r="AY109" s="389"/>
      <c r="AZ109" s="708">
        <v>815805.0</v>
      </c>
      <c r="BA109" s="385">
        <f t="shared" si="183"/>
        <v>0.08088789281</v>
      </c>
      <c r="BB109" s="440">
        <f>(392*1670*1.18)+(270*136*1.18)</f>
        <v>815804.8</v>
      </c>
      <c r="BC109" s="385">
        <f t="shared" si="184"/>
        <v>0.07795055634</v>
      </c>
      <c r="BD109" s="440"/>
      <c r="BE109" s="389"/>
      <c r="BF109" s="708">
        <v>815805.0</v>
      </c>
      <c r="BG109" s="385">
        <f t="shared" si="185"/>
        <v>0.08423878127</v>
      </c>
      <c r="BH109" s="440">
        <f>(392*1670*1.18)+(270*136*1.18)</f>
        <v>815804.8</v>
      </c>
      <c r="BI109" s="385">
        <f t="shared" si="186"/>
        <v>0.07993398956</v>
      </c>
      <c r="BJ109" s="440"/>
      <c r="BK109" s="389"/>
      <c r="BL109" s="708">
        <v>815805.0</v>
      </c>
      <c r="BM109" s="385">
        <f t="shared" si="187"/>
        <v>0.0958073179</v>
      </c>
      <c r="BN109" s="386">
        <f>(392*1670*1.18)+(270*136*1.18)</f>
        <v>815804.8</v>
      </c>
      <c r="BO109" s="385">
        <f t="shared" si="188"/>
        <v>0.08663388634</v>
      </c>
      <c r="BP109" s="440"/>
      <c r="BQ109" s="389"/>
      <c r="BR109" s="491">
        <f>777152*1.18</f>
        <v>917039.36</v>
      </c>
      <c r="BS109" s="385">
        <f t="shared" si="189"/>
        <v>0.09057910171</v>
      </c>
      <c r="BT109" s="388">
        <f>(392*1670*1.18)+(270*136*1.18)</f>
        <v>815804.8</v>
      </c>
      <c r="BU109" s="385">
        <f t="shared" si="190"/>
        <v>0.08051125209</v>
      </c>
      <c r="BV109" s="440"/>
      <c r="BW109" s="389"/>
      <c r="BX109" s="213"/>
      <c r="BY109" s="213"/>
      <c r="BZ109" s="213"/>
      <c r="CA109" s="213"/>
      <c r="CB109" s="213"/>
      <c r="CC109" s="213"/>
      <c r="CD109" s="213"/>
      <c r="CE109" s="213"/>
      <c r="CF109" s="213"/>
      <c r="CG109" s="213"/>
      <c r="CH109" s="213"/>
      <c r="CI109" s="213"/>
      <c r="CJ109" s="213"/>
      <c r="CK109" s="213"/>
      <c r="CL109" s="213"/>
      <c r="CM109" s="213"/>
      <c r="CN109" s="213"/>
      <c r="CO109" s="213"/>
      <c r="CP109" s="213"/>
      <c r="CQ109" s="213"/>
    </row>
    <row r="110" ht="15.75" customHeight="1">
      <c r="A110" s="213"/>
      <c r="B110" s="492"/>
      <c r="C110" s="492" t="s">
        <v>408</v>
      </c>
      <c r="D110" s="604">
        <v>26133.0</v>
      </c>
      <c r="E110" s="355">
        <f t="shared" si="167"/>
        <v>0.003043195571</v>
      </c>
      <c r="F110" s="357">
        <v>26133.0</v>
      </c>
      <c r="G110" s="355"/>
      <c r="H110" s="352"/>
      <c r="I110" s="395"/>
      <c r="J110" s="604">
        <v>26133.0</v>
      </c>
      <c r="K110" s="355">
        <f t="shared" si="169"/>
        <v>0.002704202615</v>
      </c>
      <c r="L110" s="357">
        <v>26133.0</v>
      </c>
      <c r="M110" s="355"/>
      <c r="N110" s="352"/>
      <c r="O110" s="358"/>
      <c r="P110" s="604">
        <v>26133.0</v>
      </c>
      <c r="Q110" s="355">
        <f t="shared" si="171"/>
        <v>0.003492505873</v>
      </c>
      <c r="R110" s="357">
        <v>26133.0</v>
      </c>
      <c r="S110" s="355">
        <f t="shared" si="172"/>
        <v>0.00318781403</v>
      </c>
      <c r="T110" s="352"/>
      <c r="U110" s="358"/>
      <c r="V110" s="604">
        <v>26133.0</v>
      </c>
      <c r="W110" s="355">
        <f t="shared" si="173"/>
        <v>0.002747326973</v>
      </c>
      <c r="X110" s="357">
        <v>26133.0</v>
      </c>
      <c r="Y110" s="355">
        <f t="shared" si="174"/>
        <v>0.002903530938</v>
      </c>
      <c r="Z110" s="352"/>
      <c r="AA110" s="358"/>
      <c r="AB110" s="604">
        <v>26133.0</v>
      </c>
      <c r="AC110" s="355">
        <f t="shared" si="175"/>
        <v>0.002788769964</v>
      </c>
      <c r="AD110" s="357">
        <v>26133.0</v>
      </c>
      <c r="AE110" s="355">
        <f t="shared" si="176"/>
        <v>0.002871759263</v>
      </c>
      <c r="AF110" s="352"/>
      <c r="AG110" s="358"/>
      <c r="AH110" s="604">
        <v>65030.0</v>
      </c>
      <c r="AI110" s="355">
        <f t="shared" si="177"/>
        <v>0.007064953087</v>
      </c>
      <c r="AJ110" s="770">
        <f>33*1670*1.18</f>
        <v>65029.8</v>
      </c>
      <c r="AK110" s="355">
        <f t="shared" si="178"/>
        <v>0.007200209624</v>
      </c>
      <c r="AL110" s="352"/>
      <c r="AM110" s="358"/>
      <c r="AN110" s="604">
        <v>65030.0</v>
      </c>
      <c r="AO110" s="355">
        <f t="shared" si="179"/>
        <v>0.007722656805</v>
      </c>
      <c r="AP110" s="357">
        <f>AJ110</f>
        <v>65029.8</v>
      </c>
      <c r="AQ110" s="355">
        <f t="shared" si="180"/>
        <v>0.006612316165</v>
      </c>
      <c r="AR110" s="352"/>
      <c r="AS110" s="358"/>
      <c r="AT110" s="604">
        <v>65030.0</v>
      </c>
      <c r="AU110" s="355">
        <f t="shared" si="181"/>
        <v>0.006948433795</v>
      </c>
      <c r="AV110" s="357">
        <f>AP110</f>
        <v>65029.8</v>
      </c>
      <c r="AW110" s="355">
        <f t="shared" si="182"/>
        <v>0.00671040352</v>
      </c>
      <c r="AX110" s="352"/>
      <c r="AY110" s="358"/>
      <c r="AZ110" s="604">
        <v>65030.0</v>
      </c>
      <c r="BA110" s="355">
        <f t="shared" si="183"/>
        <v>0.006447790427</v>
      </c>
      <c r="BB110" s="357">
        <f>AV110</f>
        <v>65029.8</v>
      </c>
      <c r="BC110" s="355">
        <f t="shared" si="184"/>
        <v>0.006213629889</v>
      </c>
      <c r="BD110" s="352"/>
      <c r="BE110" s="358"/>
      <c r="BF110" s="604">
        <v>65030.0</v>
      </c>
      <c r="BG110" s="355">
        <f t="shared" si="185"/>
        <v>0.006714898715</v>
      </c>
      <c r="BH110" s="357">
        <f>BB110</f>
        <v>65029.8</v>
      </c>
      <c r="BI110" s="355">
        <f t="shared" si="186"/>
        <v>0.006371734212</v>
      </c>
      <c r="BJ110" s="352"/>
      <c r="BK110" s="358"/>
      <c r="BL110" s="604">
        <v>65030.0</v>
      </c>
      <c r="BM110" s="355">
        <f t="shared" si="187"/>
        <v>0.007637057732</v>
      </c>
      <c r="BN110" s="353">
        <f>BH110</f>
        <v>65029.8</v>
      </c>
      <c r="BO110" s="355">
        <f t="shared" si="188"/>
        <v>0.006905799404</v>
      </c>
      <c r="BP110" s="352"/>
      <c r="BQ110" s="358"/>
      <c r="BR110" s="351"/>
      <c r="BS110" s="355">
        <f t="shared" si="189"/>
        <v>0</v>
      </c>
      <c r="BT110" s="357">
        <f>BN110</f>
        <v>65029.8</v>
      </c>
      <c r="BU110" s="355">
        <f t="shared" si="190"/>
        <v>0.006417749223</v>
      </c>
      <c r="BV110" s="352"/>
      <c r="BW110" s="358"/>
      <c r="BX110" s="213"/>
      <c r="BY110" s="213"/>
      <c r="BZ110" s="213"/>
      <c r="CA110" s="213"/>
      <c r="CB110" s="213"/>
      <c r="CC110" s="213"/>
      <c r="CD110" s="213"/>
      <c r="CE110" s="213"/>
      <c r="CF110" s="213"/>
      <c r="CG110" s="213"/>
      <c r="CH110" s="213"/>
      <c r="CI110" s="213"/>
      <c r="CJ110" s="213"/>
      <c r="CK110" s="213"/>
      <c r="CL110" s="213"/>
      <c r="CM110" s="213"/>
      <c r="CN110" s="213"/>
      <c r="CO110" s="213"/>
      <c r="CP110" s="213"/>
      <c r="CQ110" s="213"/>
    </row>
    <row r="111" ht="15.75" customHeight="1">
      <c r="A111" s="213"/>
      <c r="B111" s="492"/>
      <c r="C111" s="492" t="s">
        <v>262</v>
      </c>
      <c r="D111" s="604">
        <v>95766.0</v>
      </c>
      <c r="E111" s="355">
        <f t="shared" si="167"/>
        <v>0.01115197899</v>
      </c>
      <c r="F111" s="357">
        <v>152136.0</v>
      </c>
      <c r="G111" s="355">
        <f t="shared" ref="G111:G113" si="191">F111/F$32</f>
        <v>0.01804571473</v>
      </c>
      <c r="H111" s="357">
        <f t="shared" ref="H111:H113" si="192">D111-F111</f>
        <v>-56370</v>
      </c>
      <c r="I111" s="395">
        <f t="shared" ref="I111:I113" si="193">H111/F111</f>
        <v>-0.3705237419</v>
      </c>
      <c r="J111" s="604">
        <v>146547.0</v>
      </c>
      <c r="K111" s="355">
        <f t="shared" si="169"/>
        <v>0.01516445799</v>
      </c>
      <c r="L111" s="357">
        <v>152136.0</v>
      </c>
      <c r="M111" s="355">
        <f>L111/L$32</f>
        <v>0.0182598564</v>
      </c>
      <c r="N111" s="352"/>
      <c r="O111" s="358"/>
      <c r="P111" s="604">
        <f>145920+29468</f>
        <v>175388</v>
      </c>
      <c r="Q111" s="355">
        <f t="shared" si="171"/>
        <v>0.02343946811</v>
      </c>
      <c r="R111" s="357">
        <v>152136.0</v>
      </c>
      <c r="S111" s="355">
        <f t="shared" si="172"/>
        <v>0.01855819367</v>
      </c>
      <c r="T111" s="352"/>
      <c r="U111" s="358"/>
      <c r="V111" s="604">
        <v>116726.0</v>
      </c>
      <c r="W111" s="355">
        <f t="shared" si="173"/>
        <v>0.01227124663</v>
      </c>
      <c r="X111" s="357">
        <v>152136.0</v>
      </c>
      <c r="Y111" s="355">
        <f t="shared" si="174"/>
        <v>0.01690320984</v>
      </c>
      <c r="Z111" s="352"/>
      <c r="AA111" s="358"/>
      <c r="AB111" s="604">
        <f>155561+17923</f>
        <v>173484</v>
      </c>
      <c r="AC111" s="355">
        <f t="shared" si="175"/>
        <v>0.01851325789</v>
      </c>
      <c r="AD111" s="357">
        <v>173484.0</v>
      </c>
      <c r="AE111" s="355">
        <f t="shared" si="176"/>
        <v>0.01906418261</v>
      </c>
      <c r="AF111" s="352"/>
      <c r="AG111" s="358"/>
      <c r="AH111" s="604">
        <v>157554.0</v>
      </c>
      <c r="AI111" s="355">
        <f t="shared" si="177"/>
        <v>0.01711689403</v>
      </c>
      <c r="AJ111" s="357">
        <v>152136.0</v>
      </c>
      <c r="AK111" s="355">
        <f t="shared" si="178"/>
        <v>0.01684475566</v>
      </c>
      <c r="AL111" s="352"/>
      <c r="AM111" s="358"/>
      <c r="AN111" s="604">
        <v>134682.0</v>
      </c>
      <c r="AO111" s="355">
        <f t="shared" si="179"/>
        <v>0.01599420058</v>
      </c>
      <c r="AP111" s="357">
        <v>152136.0</v>
      </c>
      <c r="AQ111" s="355">
        <f t="shared" si="180"/>
        <v>0.01546938991</v>
      </c>
      <c r="AR111" s="352"/>
      <c r="AS111" s="358"/>
      <c r="AT111" s="604">
        <v>145792.0</v>
      </c>
      <c r="AU111" s="355">
        <f t="shared" si="181"/>
        <v>0.01557782654</v>
      </c>
      <c r="AV111" s="357">
        <v>145792.0</v>
      </c>
      <c r="AW111" s="355">
        <f t="shared" si="182"/>
        <v>0.01504422819</v>
      </c>
      <c r="AX111" s="352"/>
      <c r="AY111" s="358"/>
      <c r="AZ111" s="604">
        <v>153920.0</v>
      </c>
      <c r="BA111" s="355">
        <f t="shared" si="183"/>
        <v>0.01526132404</v>
      </c>
      <c r="BB111" s="357">
        <v>152136.0</v>
      </c>
      <c r="BC111" s="355">
        <f t="shared" si="184"/>
        <v>0.01453667083</v>
      </c>
      <c r="BD111" s="352"/>
      <c r="BE111" s="358"/>
      <c r="BF111" s="604">
        <v>144169.0</v>
      </c>
      <c r="BG111" s="355">
        <f t="shared" si="185"/>
        <v>0.01488667127</v>
      </c>
      <c r="BH111" s="357">
        <v>152136.0</v>
      </c>
      <c r="BI111" s="355">
        <f t="shared" si="186"/>
        <v>0.01490655294</v>
      </c>
      <c r="BJ111" s="352"/>
      <c r="BK111" s="358"/>
      <c r="BL111" s="604">
        <v>144169.0</v>
      </c>
      <c r="BM111" s="355">
        <f t="shared" si="187"/>
        <v>0.01693106222</v>
      </c>
      <c r="BN111" s="353">
        <v>152136.0</v>
      </c>
      <c r="BO111" s="355">
        <f t="shared" si="188"/>
        <v>0.01615598846</v>
      </c>
      <c r="BP111" s="352"/>
      <c r="BQ111" s="358"/>
      <c r="BR111" s="351">
        <v>123565.0</v>
      </c>
      <c r="BS111" s="355">
        <f t="shared" si="189"/>
        <v>0.012204936</v>
      </c>
      <c r="BT111" s="357">
        <v>152136.0</v>
      </c>
      <c r="BU111" s="355">
        <f t="shared" si="190"/>
        <v>0.01501420419</v>
      </c>
      <c r="BV111" s="352"/>
      <c r="BW111" s="358"/>
      <c r="BX111" s="213"/>
      <c r="BY111" s="213"/>
      <c r="BZ111" s="213"/>
      <c r="CA111" s="213"/>
      <c r="CB111" s="213"/>
      <c r="CC111" s="213"/>
      <c r="CD111" s="213"/>
      <c r="CE111" s="213"/>
      <c r="CF111" s="213"/>
      <c r="CG111" s="213"/>
      <c r="CH111" s="213"/>
      <c r="CI111" s="213"/>
      <c r="CJ111" s="213"/>
      <c r="CK111" s="213"/>
      <c r="CL111" s="213"/>
      <c r="CM111" s="213"/>
      <c r="CN111" s="213"/>
      <c r="CO111" s="213"/>
      <c r="CP111" s="213"/>
      <c r="CQ111" s="213"/>
    </row>
    <row r="112" ht="15.75" customHeight="1">
      <c r="A112" s="213"/>
      <c r="B112" s="492"/>
      <c r="C112" s="492" t="s">
        <v>263</v>
      </c>
      <c r="D112" s="604">
        <v>42172.0</v>
      </c>
      <c r="E112" s="355">
        <f t="shared" si="167"/>
        <v>0.004910941859</v>
      </c>
      <c r="F112" s="352"/>
      <c r="G112" s="355">
        <f t="shared" si="191"/>
        <v>0</v>
      </c>
      <c r="H112" s="357">
        <f t="shared" si="192"/>
        <v>42172</v>
      </c>
      <c r="I112" s="395" t="str">
        <f t="shared" si="193"/>
        <v>#DIV/0!</v>
      </c>
      <c r="J112" s="604">
        <v>40836.0</v>
      </c>
      <c r="K112" s="355">
        <f t="shared" si="169"/>
        <v>0.004225646423</v>
      </c>
      <c r="L112" s="352"/>
      <c r="M112" s="352"/>
      <c r="N112" s="352"/>
      <c r="O112" s="358"/>
      <c r="P112" s="604">
        <v>48833.0</v>
      </c>
      <c r="Q112" s="355">
        <f t="shared" si="171"/>
        <v>0.006526213573</v>
      </c>
      <c r="R112" s="352"/>
      <c r="S112" s="352"/>
      <c r="T112" s="352"/>
      <c r="U112" s="358"/>
      <c r="V112" s="604">
        <v>35215.0</v>
      </c>
      <c r="W112" s="355">
        <f t="shared" si="173"/>
        <v>0.003702105359</v>
      </c>
      <c r="X112" s="352"/>
      <c r="Y112" s="352"/>
      <c r="Z112" s="352"/>
      <c r="AA112" s="358"/>
      <c r="AB112" s="604">
        <v>40665.0</v>
      </c>
      <c r="AC112" s="355">
        <f t="shared" si="175"/>
        <v>0.004339545042</v>
      </c>
      <c r="AD112" s="352"/>
      <c r="AE112" s="352"/>
      <c r="AF112" s="352"/>
      <c r="AG112" s="358"/>
      <c r="AH112" s="604">
        <v>37644.0</v>
      </c>
      <c r="AI112" s="355">
        <f t="shared" si="177"/>
        <v>0.004089698509</v>
      </c>
      <c r="AJ112" s="352"/>
      <c r="AK112" s="352"/>
      <c r="AL112" s="352"/>
      <c r="AM112" s="358"/>
      <c r="AN112" s="604">
        <v>44230.0</v>
      </c>
      <c r="AO112" s="352"/>
      <c r="AP112" s="352"/>
      <c r="AQ112" s="352"/>
      <c r="AR112" s="352"/>
      <c r="AS112" s="358"/>
      <c r="AT112" s="604">
        <v>36110.0</v>
      </c>
      <c r="AU112" s="352"/>
      <c r="AV112" s="352"/>
      <c r="AW112" s="352"/>
      <c r="AX112" s="352"/>
      <c r="AY112" s="358"/>
      <c r="AZ112" s="604">
        <v>41502.0</v>
      </c>
      <c r="BA112" s="355">
        <f t="shared" si="183"/>
        <v>0.004114965374</v>
      </c>
      <c r="BB112" s="352"/>
      <c r="BC112" s="352"/>
      <c r="BD112" s="352"/>
      <c r="BE112" s="358"/>
      <c r="BF112" s="604">
        <v>41311.0</v>
      </c>
      <c r="BG112" s="355">
        <f t="shared" si="185"/>
        <v>0.004265710915</v>
      </c>
      <c r="BH112" s="352"/>
      <c r="BI112" s="352"/>
      <c r="BJ112" s="352"/>
      <c r="BK112" s="358"/>
      <c r="BL112" s="604">
        <v>36204.0</v>
      </c>
      <c r="BM112" s="355">
        <f t="shared" si="187"/>
        <v>0.004251761312</v>
      </c>
      <c r="BN112" s="353"/>
      <c r="BO112" s="352"/>
      <c r="BP112" s="352"/>
      <c r="BQ112" s="358"/>
      <c r="BR112" s="351"/>
      <c r="BS112" s="352"/>
      <c r="BT112" s="357"/>
      <c r="BU112" s="352"/>
      <c r="BV112" s="352"/>
      <c r="BW112" s="358"/>
      <c r="BX112" s="213"/>
      <c r="BY112" s="213"/>
      <c r="BZ112" s="213"/>
      <c r="CA112" s="213"/>
      <c r="CB112" s="213"/>
      <c r="CC112" s="213"/>
      <c r="CD112" s="213"/>
      <c r="CE112" s="213"/>
      <c r="CF112" s="213"/>
      <c r="CG112" s="213"/>
      <c r="CH112" s="213"/>
      <c r="CI112" s="213"/>
      <c r="CJ112" s="213"/>
      <c r="CK112" s="213"/>
      <c r="CL112" s="213"/>
      <c r="CM112" s="213"/>
      <c r="CN112" s="213"/>
      <c r="CO112" s="213"/>
      <c r="CP112" s="213"/>
      <c r="CQ112" s="213"/>
    </row>
    <row r="113" ht="15.75" customHeight="1">
      <c r="A113" s="213"/>
      <c r="B113" s="492"/>
      <c r="C113" s="492" t="s">
        <v>264</v>
      </c>
      <c r="D113" s="604">
        <f>2478/3</f>
        <v>826</v>
      </c>
      <c r="E113" s="355">
        <f t="shared" si="167"/>
        <v>0.00009618794403</v>
      </c>
      <c r="F113" s="352">
        <v>800.0</v>
      </c>
      <c r="G113" s="355">
        <f t="shared" si="191"/>
        <v>0.00009489254212</v>
      </c>
      <c r="H113" s="357">
        <f t="shared" si="192"/>
        <v>26</v>
      </c>
      <c r="I113" s="395">
        <f t="shared" si="193"/>
        <v>0.0325</v>
      </c>
      <c r="J113" s="604">
        <f>2478/3</f>
        <v>826</v>
      </c>
      <c r="K113" s="355">
        <f t="shared" si="169"/>
        <v>0.00008547320857</v>
      </c>
      <c r="L113" s="352">
        <v>800.0</v>
      </c>
      <c r="M113" s="355">
        <f>L113/L$32</f>
        <v>0.00009601859601</v>
      </c>
      <c r="N113" s="352"/>
      <c r="O113" s="358"/>
      <c r="P113" s="604">
        <f>2478/3</f>
        <v>826</v>
      </c>
      <c r="Q113" s="355">
        <f t="shared" si="171"/>
        <v>0.0001103895401</v>
      </c>
      <c r="R113" s="352">
        <v>800.0</v>
      </c>
      <c r="S113" s="355">
        <f>R113/R$32</f>
        <v>0.0000975873885</v>
      </c>
      <c r="T113" s="352"/>
      <c r="U113" s="358"/>
      <c r="V113" s="604"/>
      <c r="W113" s="352"/>
      <c r="X113" s="352">
        <v>800.0</v>
      </c>
      <c r="Y113" s="355">
        <f>X113/X$32</f>
        <v>0.00008888473387</v>
      </c>
      <c r="Z113" s="352"/>
      <c r="AA113" s="358"/>
      <c r="AB113" s="604">
        <v>24700.0</v>
      </c>
      <c r="AC113" s="352"/>
      <c r="AD113" s="352">
        <v>800.0</v>
      </c>
      <c r="AE113" s="355">
        <f>AD113/AD$32</f>
        <v>0.00008791211918</v>
      </c>
      <c r="AF113" s="352"/>
      <c r="AG113" s="358"/>
      <c r="AH113" s="604"/>
      <c r="AI113" s="352"/>
      <c r="AJ113" s="352">
        <v>800.0</v>
      </c>
      <c r="AK113" s="355">
        <f>AJ113/AJ$32</f>
        <v>0.00008857735529</v>
      </c>
      <c r="AL113" s="352"/>
      <c r="AM113" s="358"/>
      <c r="AN113" s="604"/>
      <c r="AO113" s="355">
        <f>AN113/AN$32</f>
        <v>0</v>
      </c>
      <c r="AP113" s="352">
        <v>800.0</v>
      </c>
      <c r="AQ113" s="355">
        <f>AP113/AP$32</f>
        <v>0.00008134505921</v>
      </c>
      <c r="AR113" s="352"/>
      <c r="AS113" s="358"/>
      <c r="AT113" s="604"/>
      <c r="AU113" s="355">
        <f>AT113/AT$32</f>
        <v>0</v>
      </c>
      <c r="AV113" s="352">
        <v>800.0</v>
      </c>
      <c r="AW113" s="355">
        <f>AV113/AV$32</f>
        <v>0.00008255173499</v>
      </c>
      <c r="AX113" s="352"/>
      <c r="AY113" s="358"/>
      <c r="AZ113" s="604"/>
      <c r="BA113" s="355">
        <f t="shared" si="183"/>
        <v>0</v>
      </c>
      <c r="BB113" s="352">
        <v>800.0</v>
      </c>
      <c r="BC113" s="355">
        <f>BB113/BB$32</f>
        <v>0.0000764403998</v>
      </c>
      <c r="BD113" s="352"/>
      <c r="BE113" s="358"/>
      <c r="BF113" s="604"/>
      <c r="BG113" s="355">
        <f t="shared" si="185"/>
        <v>0</v>
      </c>
      <c r="BH113" s="352">
        <v>800.0</v>
      </c>
      <c r="BI113" s="355">
        <f>BH113/BH$32</f>
        <v>0.00007838540745</v>
      </c>
      <c r="BJ113" s="352"/>
      <c r="BK113" s="358"/>
      <c r="BL113" s="604"/>
      <c r="BM113" s="355">
        <f t="shared" si="187"/>
        <v>0</v>
      </c>
      <c r="BN113" s="353">
        <v>800.0</v>
      </c>
      <c r="BO113" s="355">
        <f>BN113/BN$32</f>
        <v>0.00008495550537</v>
      </c>
      <c r="BP113" s="352"/>
      <c r="BQ113" s="358"/>
      <c r="BR113" s="351"/>
      <c r="BS113" s="355">
        <f>BR113/BR$32</f>
        <v>0</v>
      </c>
      <c r="BT113" s="357">
        <v>800.0</v>
      </c>
      <c r="BU113" s="355">
        <f>BT113/BT$32</f>
        <v>0.00007895148652</v>
      </c>
      <c r="BV113" s="352"/>
      <c r="BW113" s="358"/>
      <c r="BX113" s="213"/>
      <c r="BY113" s="213"/>
      <c r="BZ113" s="213"/>
      <c r="CA113" s="213"/>
      <c r="CB113" s="213"/>
      <c r="CC113" s="213"/>
      <c r="CD113" s="213"/>
      <c r="CE113" s="213"/>
      <c r="CF113" s="213"/>
      <c r="CG113" s="213"/>
      <c r="CH113" s="213"/>
      <c r="CI113" s="213"/>
      <c r="CJ113" s="213"/>
      <c r="CK113" s="213"/>
      <c r="CL113" s="213"/>
      <c r="CM113" s="213"/>
      <c r="CN113" s="213"/>
      <c r="CO113" s="213"/>
      <c r="CP113" s="213"/>
      <c r="CQ113" s="213"/>
    </row>
    <row r="114" ht="15.75" customHeight="1">
      <c r="A114" s="213"/>
      <c r="B114" s="502"/>
      <c r="C114" s="534"/>
      <c r="D114" s="619"/>
      <c r="E114" s="364"/>
      <c r="F114" s="364"/>
      <c r="G114" s="364"/>
      <c r="H114" s="364"/>
      <c r="I114" s="368"/>
      <c r="J114" s="403"/>
      <c r="K114" s="364"/>
      <c r="L114" s="364"/>
      <c r="M114" s="364"/>
      <c r="N114" s="364"/>
      <c r="O114" s="368"/>
      <c r="P114" s="403"/>
      <c r="Q114" s="364"/>
      <c r="R114" s="364"/>
      <c r="S114" s="364"/>
      <c r="T114" s="364"/>
      <c r="U114" s="368"/>
      <c r="V114" s="403"/>
      <c r="W114" s="364"/>
      <c r="X114" s="364"/>
      <c r="Y114" s="364"/>
      <c r="Z114" s="364"/>
      <c r="AA114" s="368"/>
      <c r="AB114" s="619"/>
      <c r="AC114" s="364"/>
      <c r="AD114" s="364"/>
      <c r="AE114" s="364"/>
      <c r="AF114" s="364"/>
      <c r="AG114" s="368"/>
      <c r="AH114" s="619"/>
      <c r="AI114" s="364"/>
      <c r="AJ114" s="364"/>
      <c r="AK114" s="364"/>
      <c r="AL114" s="364"/>
      <c r="AM114" s="368"/>
      <c r="AN114" s="619"/>
      <c r="AO114" s="364"/>
      <c r="AP114" s="364"/>
      <c r="AQ114" s="364"/>
      <c r="AR114" s="364"/>
      <c r="AS114" s="368"/>
      <c r="AT114" s="619"/>
      <c r="AU114" s="364"/>
      <c r="AV114" s="364"/>
      <c r="AW114" s="364"/>
      <c r="AX114" s="364"/>
      <c r="AY114" s="368"/>
      <c r="AZ114" s="619"/>
      <c r="BA114" s="364"/>
      <c r="BB114" s="364"/>
      <c r="BC114" s="364"/>
      <c r="BD114" s="364"/>
      <c r="BE114" s="368"/>
      <c r="BF114" s="619"/>
      <c r="BG114" s="364"/>
      <c r="BH114" s="364"/>
      <c r="BI114" s="364"/>
      <c r="BJ114" s="364"/>
      <c r="BK114" s="368"/>
      <c r="BL114" s="619"/>
      <c r="BM114" s="364"/>
      <c r="BN114" s="364"/>
      <c r="BO114" s="364"/>
      <c r="BP114" s="364"/>
      <c r="BQ114" s="368"/>
      <c r="BR114" s="506"/>
      <c r="BS114" s="364"/>
      <c r="BT114" s="364"/>
      <c r="BU114" s="364"/>
      <c r="BV114" s="364"/>
      <c r="BW114" s="368"/>
      <c r="BX114" s="213"/>
      <c r="BY114" s="213"/>
      <c r="BZ114" s="213"/>
      <c r="CA114" s="213"/>
      <c r="CB114" s="213"/>
      <c r="CC114" s="213"/>
      <c r="CD114" s="213"/>
      <c r="CE114" s="213"/>
      <c r="CF114" s="213"/>
      <c r="CG114" s="213"/>
      <c r="CH114" s="213"/>
      <c r="CI114" s="213"/>
      <c r="CJ114" s="213"/>
      <c r="CK114" s="213"/>
      <c r="CL114" s="213"/>
      <c r="CM114" s="213"/>
      <c r="CN114" s="213"/>
      <c r="CO114" s="213"/>
      <c r="CP114" s="213"/>
      <c r="CQ114" s="213"/>
    </row>
    <row r="115" ht="15.75" customHeight="1">
      <c r="A115" s="213"/>
      <c r="B115" s="507"/>
      <c r="C115" s="519" t="s">
        <v>38</v>
      </c>
      <c r="D115" s="771">
        <f>SUM(D116:D122)</f>
        <v>1558299</v>
      </c>
      <c r="E115" s="772">
        <f t="shared" ref="E115:E126" si="194">D115/D$32</f>
        <v>0.1814643789</v>
      </c>
      <c r="F115" s="773">
        <f>SUM(F116:F122)</f>
        <v>1552049</v>
      </c>
      <c r="G115" s="772">
        <f t="shared" ref="G115:G123" si="195">F115/F$32</f>
        <v>0.1840973439</v>
      </c>
      <c r="H115" s="773">
        <f>SUM(H116:H122)</f>
        <v>6250</v>
      </c>
      <c r="I115" s="513"/>
      <c r="J115" s="771">
        <f>SUM(J116:J122)</f>
        <v>1561042</v>
      </c>
      <c r="K115" s="772">
        <f t="shared" ref="K115:K126" si="196">J115/J$32</f>
        <v>0.1615342233</v>
      </c>
      <c r="L115" s="773">
        <f>SUM(L116:L122)</f>
        <v>1736689.802</v>
      </c>
      <c r="M115" s="772">
        <f>L115/L$32</f>
        <v>0.2084431456</v>
      </c>
      <c r="N115" s="774">
        <f>SUM(N116:N122)</f>
        <v>0</v>
      </c>
      <c r="O115" s="513"/>
      <c r="P115" s="771">
        <f>SUM(P116:P122)</f>
        <v>1558206.6</v>
      </c>
      <c r="Q115" s="772">
        <f>P115/P$32</f>
        <v>0.2082442009</v>
      </c>
      <c r="R115" s="773">
        <f>SUM(R116:R122)</f>
        <v>1730672.353</v>
      </c>
      <c r="S115" s="772">
        <f>R115/R$32</f>
        <v>0.2111147441</v>
      </c>
      <c r="T115" s="774">
        <f>SUM(T116:T122)</f>
        <v>0</v>
      </c>
      <c r="U115" s="513"/>
      <c r="V115" s="771">
        <f>SUM(V116:V122)</f>
        <v>1532138.4</v>
      </c>
      <c r="W115" s="772">
        <f t="shared" ref="W115:W123" si="197">V115/V$32</f>
        <v>0.1610716394</v>
      </c>
      <c r="X115" s="773">
        <f>SUM(X116:X122)</f>
        <v>1766732.447</v>
      </c>
      <c r="Y115" s="772">
        <f>X115/X$32</f>
        <v>0.1962944292</v>
      </c>
      <c r="Z115" s="774">
        <f>SUM(Z116:Z122)</f>
        <v>0</v>
      </c>
      <c r="AA115" s="513"/>
      <c r="AB115" s="771">
        <f>SUM(AB116:AB122)</f>
        <v>1558066.91</v>
      </c>
      <c r="AC115" s="772">
        <f t="shared" ref="AC115:AC123" si="198">AB115/AB$32</f>
        <v>0.1662683274</v>
      </c>
      <c r="AD115" s="773">
        <f>SUM(AD116:AD122)</f>
        <v>1362371.875</v>
      </c>
      <c r="AE115" s="772">
        <f>AD115/AD$32</f>
        <v>0.1497112483</v>
      </c>
      <c r="AF115" s="774">
        <f>SUM(AF116:AF122)</f>
        <v>0</v>
      </c>
      <c r="AG115" s="513"/>
      <c r="AH115" s="771">
        <f>SUM(AH116:AH122)</f>
        <v>1536455.11</v>
      </c>
      <c r="AI115" s="772">
        <f t="shared" ref="AI115:AI123" si="199">AH115/AH$32</f>
        <v>0.1669227014</v>
      </c>
      <c r="AJ115" s="773">
        <f>SUM(AJ116:AJ122)</f>
        <v>1362371.875</v>
      </c>
      <c r="AK115" s="772">
        <f>AJ115/AJ$32</f>
        <v>0.150844122</v>
      </c>
      <c r="AL115" s="774">
        <f>SUM(AL116:AL122)</f>
        <v>0</v>
      </c>
      <c r="AM115" s="513"/>
      <c r="AN115" s="771">
        <f>SUM(AN116:AN123)</f>
        <v>1619350.653</v>
      </c>
      <c r="AO115" s="772">
        <f>AN115/AN$32</f>
        <v>0.1923064638</v>
      </c>
      <c r="AP115" s="773">
        <f>SUM(AP116:AP123)</f>
        <v>1386737.458</v>
      </c>
      <c r="AQ115" s="772">
        <f>AP115/AP$32</f>
        <v>0.1410053008</v>
      </c>
      <c r="AR115" s="774">
        <f>SUM(AR116:AR122)</f>
        <v>0</v>
      </c>
      <c r="AS115" s="513"/>
      <c r="AT115" s="771">
        <f>SUM(AT116:AT123)</f>
        <v>1653788.223</v>
      </c>
      <c r="AU115" s="772">
        <f>AT115/AT$32</f>
        <v>0.1767067197</v>
      </c>
      <c r="AV115" s="773">
        <f>SUM(AV116:AV123)</f>
        <v>1386737.458</v>
      </c>
      <c r="AW115" s="772">
        <f>AV115/AV$32</f>
        <v>0.143096979</v>
      </c>
      <c r="AX115" s="774">
        <f>SUM(AX116:AX122)</f>
        <v>0</v>
      </c>
      <c r="AY115" s="513"/>
      <c r="AZ115" s="771">
        <f>SUM(AZ116:AZ123)</f>
        <v>1828331.993</v>
      </c>
      <c r="BA115" s="772">
        <f>AZ115/AZ$32</f>
        <v>0.1812809707</v>
      </c>
      <c r="BB115" s="775">
        <f>SUM(BB116:BB123)</f>
        <v>1386737.458</v>
      </c>
      <c r="BC115" s="772">
        <f>BB115/BB$32</f>
        <v>0.1325034572</v>
      </c>
      <c r="BD115" s="774">
        <f>SUM(BD116:BD122)</f>
        <v>0</v>
      </c>
      <c r="BE115" s="513"/>
      <c r="BF115" s="377">
        <f>SUM(BF116:BF123)</f>
        <v>1557434.583</v>
      </c>
      <c r="BG115" s="772">
        <f>BF115/BF$32</f>
        <v>0.160818322</v>
      </c>
      <c r="BH115" s="377">
        <f>SUM(BH116:BH123)</f>
        <v>1386737.458</v>
      </c>
      <c r="BI115" s="772">
        <f>BH115/BH$32</f>
        <v>0.1358749759</v>
      </c>
      <c r="BJ115" s="774">
        <f>SUM(BJ116:BJ122)</f>
        <v>0</v>
      </c>
      <c r="BK115" s="513"/>
      <c r="BL115" s="377">
        <f>SUM(BL116:BL123)</f>
        <v>1592561.923</v>
      </c>
      <c r="BM115" s="772">
        <f>BL115/BL$32</f>
        <v>0.187028869</v>
      </c>
      <c r="BN115" s="377">
        <f>SUM(BN116:BN123)</f>
        <v>1386737.458</v>
      </c>
      <c r="BO115" s="772">
        <f>BN115/BN$32</f>
        <v>0.147263727</v>
      </c>
      <c r="BP115" s="774">
        <f>SUM(BP116:BP122)</f>
        <v>0</v>
      </c>
      <c r="BQ115" s="513"/>
      <c r="BR115" s="508">
        <f>SUM(BR116:BR123)</f>
        <v>1763465.323</v>
      </c>
      <c r="BS115" s="772">
        <f>BR115/BR$32</f>
        <v>0.1741834777</v>
      </c>
      <c r="BT115" s="776">
        <f>SUM(BT116:BT123)</f>
        <v>1386737.458</v>
      </c>
      <c r="BU115" s="772">
        <f>BT115/BT$32</f>
        <v>0.1368562297</v>
      </c>
      <c r="BV115" s="774">
        <f>SUM(BV116:BV122)</f>
        <v>0</v>
      </c>
      <c r="BW115" s="513"/>
      <c r="BX115" s="718">
        <f>D115+J115+P115+V115+AB115+AH115+AN115+AT115+AZ115+BF115+BL115+BR115</f>
        <v>19319140.72</v>
      </c>
      <c r="BY115" s="216"/>
      <c r="BZ115" s="216"/>
      <c r="CA115" s="216"/>
      <c r="CB115" s="216"/>
      <c r="CC115" s="216"/>
      <c r="CD115" s="216"/>
      <c r="CE115" s="216"/>
      <c r="CF115" s="216"/>
      <c r="CG115" s="216"/>
      <c r="CH115" s="216"/>
      <c r="CI115" s="216"/>
      <c r="CJ115" s="216"/>
      <c r="CK115" s="216"/>
      <c r="CL115" s="216"/>
      <c r="CM115" s="216"/>
      <c r="CN115" s="216"/>
      <c r="CO115" s="216"/>
      <c r="CP115" s="216"/>
      <c r="CQ115" s="216"/>
    </row>
    <row r="116" ht="15.75" customHeight="1">
      <c r="A116" s="213"/>
      <c r="B116" s="488"/>
      <c r="C116" s="488" t="s">
        <v>318</v>
      </c>
      <c r="D116" s="708"/>
      <c r="E116" s="385">
        <f t="shared" si="194"/>
        <v>0</v>
      </c>
      <c r="F116" s="388"/>
      <c r="G116" s="385">
        <f t="shared" si="195"/>
        <v>0</v>
      </c>
      <c r="H116" s="388">
        <f t="shared" ref="H116:H123" si="200">D116-F116</f>
        <v>0</v>
      </c>
      <c r="I116" s="390" t="str">
        <f t="shared" ref="I116:I123" si="201">H116/F116</f>
        <v>#DIV/0!</v>
      </c>
      <c r="J116" s="777"/>
      <c r="K116" s="385">
        <f t="shared" si="196"/>
        <v>0</v>
      </c>
      <c r="L116" s="388"/>
      <c r="M116" s="440"/>
      <c r="N116" s="440"/>
      <c r="O116" s="389"/>
      <c r="P116" s="777"/>
      <c r="Q116" s="440"/>
      <c r="R116" s="388"/>
      <c r="S116" s="440"/>
      <c r="T116" s="440"/>
      <c r="U116" s="389"/>
      <c r="V116" s="777"/>
      <c r="W116" s="385">
        <f t="shared" si="197"/>
        <v>0</v>
      </c>
      <c r="X116" s="388"/>
      <c r="Y116" s="440"/>
      <c r="Z116" s="440"/>
      <c r="AA116" s="389"/>
      <c r="AB116" s="708"/>
      <c r="AC116" s="385">
        <f t="shared" si="198"/>
        <v>0</v>
      </c>
      <c r="AD116" s="388"/>
      <c r="AE116" s="440"/>
      <c r="AF116" s="440"/>
      <c r="AG116" s="389"/>
      <c r="AH116" s="708"/>
      <c r="AI116" s="385">
        <f t="shared" si="199"/>
        <v>0</v>
      </c>
      <c r="AJ116" s="388"/>
      <c r="AK116" s="440"/>
      <c r="AL116" s="440"/>
      <c r="AM116" s="389"/>
      <c r="AN116" s="708"/>
      <c r="AO116" s="440"/>
      <c r="AP116" s="388"/>
      <c r="AQ116" s="440"/>
      <c r="AR116" s="440"/>
      <c r="AS116" s="389"/>
      <c r="AT116" s="708"/>
      <c r="AU116" s="440"/>
      <c r="AV116" s="388"/>
      <c r="AW116" s="440"/>
      <c r="AX116" s="440"/>
      <c r="AY116" s="389"/>
      <c r="AZ116" s="708"/>
      <c r="BA116" s="440"/>
      <c r="BB116" s="388"/>
      <c r="BC116" s="440"/>
      <c r="BD116" s="440"/>
      <c r="BE116" s="389"/>
      <c r="BF116" s="708"/>
      <c r="BG116" s="440"/>
      <c r="BH116" s="388"/>
      <c r="BI116" s="440"/>
      <c r="BJ116" s="440"/>
      <c r="BK116" s="389"/>
      <c r="BL116" s="708"/>
      <c r="BM116" s="440"/>
      <c r="BN116" s="388"/>
      <c r="BO116" s="440"/>
      <c r="BP116" s="440"/>
      <c r="BQ116" s="389"/>
      <c r="BR116" s="491"/>
      <c r="BS116" s="440"/>
      <c r="BT116" s="388"/>
      <c r="BU116" s="440"/>
      <c r="BV116" s="440"/>
      <c r="BW116" s="389"/>
      <c r="BX116" s="213"/>
      <c r="BY116" s="213"/>
      <c r="BZ116" s="213"/>
      <c r="CA116" s="213"/>
      <c r="CB116" s="213"/>
      <c r="CC116" s="213"/>
      <c r="CD116" s="213"/>
      <c r="CE116" s="213"/>
      <c r="CF116" s="213"/>
      <c r="CG116" s="213"/>
      <c r="CH116" s="213"/>
      <c r="CI116" s="213"/>
      <c r="CJ116" s="213"/>
      <c r="CK116" s="213"/>
      <c r="CL116" s="213"/>
      <c r="CM116" s="213"/>
      <c r="CN116" s="213"/>
      <c r="CO116" s="213"/>
      <c r="CP116" s="213"/>
      <c r="CQ116" s="213"/>
    </row>
    <row r="117" ht="15.75" customHeight="1">
      <c r="A117" s="213"/>
      <c r="B117" s="492"/>
      <c r="C117" s="492" t="s">
        <v>265</v>
      </c>
      <c r="D117" s="604">
        <v>1492049.0</v>
      </c>
      <c r="E117" s="355">
        <f t="shared" si="194"/>
        <v>0.1737495469</v>
      </c>
      <c r="F117" s="357">
        <v>1492049.0</v>
      </c>
      <c r="G117" s="355">
        <f t="shared" si="195"/>
        <v>0.1769804032</v>
      </c>
      <c r="H117" s="357">
        <f t="shared" si="200"/>
        <v>0</v>
      </c>
      <c r="I117" s="395">
        <f t="shared" si="201"/>
        <v>0</v>
      </c>
      <c r="J117" s="604">
        <v>1495700.0</v>
      </c>
      <c r="K117" s="355">
        <f t="shared" si="196"/>
        <v>0.1547727337</v>
      </c>
      <c r="L117" s="357">
        <f>1302371.875+(0.8*L31)</f>
        <v>1676689.802</v>
      </c>
      <c r="M117" s="355">
        <f>L117/L$32</f>
        <v>0.2012417509</v>
      </c>
      <c r="N117" s="352"/>
      <c r="O117" s="358"/>
      <c r="P117" s="604">
        <v>1506417.0</v>
      </c>
      <c r="Q117" s="355">
        <f t="shared" ref="Q117:Q121" si="202">P117/P$32</f>
        <v>0.2013228569</v>
      </c>
      <c r="R117" s="357">
        <f>1302371.875+(0.8*R31)</f>
        <v>1670672.353</v>
      </c>
      <c r="S117" s="355">
        <f>R117/R$32</f>
        <v>0.20379569</v>
      </c>
      <c r="T117" s="352"/>
      <c r="U117" s="358"/>
      <c r="V117" s="604">
        <v>1480642.0</v>
      </c>
      <c r="W117" s="355">
        <f t="shared" si="197"/>
        <v>0.1556578925</v>
      </c>
      <c r="X117" s="357">
        <f>1302371.875+(0.8*X31)</f>
        <v>1706732.447</v>
      </c>
      <c r="Y117" s="355">
        <f>X117/X$32</f>
        <v>0.1896280742</v>
      </c>
      <c r="Z117" s="352"/>
      <c r="AA117" s="358"/>
      <c r="AB117" s="604">
        <v>1494277.0</v>
      </c>
      <c r="AC117" s="355">
        <f t="shared" si="198"/>
        <v>0.1594610192</v>
      </c>
      <c r="AD117" s="357">
        <v>1302371.8750000002</v>
      </c>
      <c r="AE117" s="355">
        <f>AD117/AD$32</f>
        <v>0.1431178394</v>
      </c>
      <c r="AF117" s="352"/>
      <c r="AG117" s="358"/>
      <c r="AH117" s="604">
        <v>1476920.0</v>
      </c>
      <c r="AI117" s="355">
        <f t="shared" si="199"/>
        <v>0.1604547211</v>
      </c>
      <c r="AJ117" s="357">
        <v>1302371.8750000002</v>
      </c>
      <c r="AK117" s="355">
        <f t="shared" ref="AK117:AK119" si="203">AJ117/AJ$32</f>
        <v>0.1442008204</v>
      </c>
      <c r="AL117" s="352"/>
      <c r="AM117" s="358"/>
      <c r="AN117" s="604">
        <v>1460632.0</v>
      </c>
      <c r="AO117" s="355">
        <f t="shared" ref="AO117:AO119" si="204">AN117/AN$32</f>
        <v>0.1734577834</v>
      </c>
      <c r="AP117" s="357">
        <v>1302371.8750000002</v>
      </c>
      <c r="AQ117" s="355">
        <f>AP117/AP$32</f>
        <v>0.1324268966</v>
      </c>
      <c r="AR117" s="352"/>
      <c r="AS117" s="358"/>
      <c r="AT117" s="604">
        <v>1530537.0</v>
      </c>
      <c r="AU117" s="355">
        <f t="shared" ref="AU117:AU122" si="205">AT117/AT$32</f>
        <v>0.1635373676</v>
      </c>
      <c r="AV117" s="357">
        <v>1302371.8750000002</v>
      </c>
      <c r="AW117" s="355">
        <f>AV117/AV$32</f>
        <v>0.1343913224</v>
      </c>
      <c r="AX117" s="352"/>
      <c r="AY117" s="358"/>
      <c r="AZ117" s="604">
        <v>1691531.0</v>
      </c>
      <c r="BA117" s="355">
        <f t="shared" ref="BA117:BA122" si="206">AZ117/AZ$32</f>
        <v>0.1677170135</v>
      </c>
      <c r="BB117" s="357">
        <v>1302371.8750000002</v>
      </c>
      <c r="BC117" s="355">
        <f>BB117/BB$32</f>
        <v>0.1244422835</v>
      </c>
      <c r="BD117" s="352"/>
      <c r="BE117" s="358"/>
      <c r="BF117" s="604">
        <v>1469272.0</v>
      </c>
      <c r="BG117" s="355">
        <f t="shared" ref="BG117:BG123" si="207">BF117/BF$32</f>
        <v>0.151714788</v>
      </c>
      <c r="BH117" s="357">
        <v>1302371.8750000002</v>
      </c>
      <c r="BI117" s="355">
        <f>BH117/BH$32</f>
        <v>0.1276086876</v>
      </c>
      <c r="BJ117" s="352"/>
      <c r="BK117" s="358"/>
      <c r="BL117" s="604">
        <v>1456015.0</v>
      </c>
      <c r="BM117" s="355">
        <f t="shared" ref="BM117:BM123" si="208">BL117/BL$32</f>
        <v>0.1709929358</v>
      </c>
      <c r="BN117" s="357">
        <v>1302371.8750000002</v>
      </c>
      <c r="BO117" s="355">
        <f>BN117/BN$32</f>
        <v>0.138304576</v>
      </c>
      <c r="BP117" s="352"/>
      <c r="BQ117" s="358"/>
      <c r="BR117" s="351">
        <v>1622420.0</v>
      </c>
      <c r="BS117" s="355">
        <f t="shared" ref="BS117:BS123" si="209">BR117/BR$32</f>
        <v>0.1602519506</v>
      </c>
      <c r="BT117" s="357">
        <v>1302371.8750000002</v>
      </c>
      <c r="BU117" s="355">
        <f>BT117/BT$32</f>
        <v>0.1285302444</v>
      </c>
      <c r="BV117" s="352"/>
      <c r="BW117" s="358"/>
      <c r="BX117" s="213"/>
      <c r="BY117" s="213"/>
      <c r="BZ117" s="213"/>
      <c r="CA117" s="213"/>
      <c r="CB117" s="213"/>
      <c r="CC117" s="213"/>
      <c r="CD117" s="213"/>
      <c r="CE117" s="213"/>
      <c r="CF117" s="213"/>
      <c r="CG117" s="213"/>
      <c r="CH117" s="213"/>
      <c r="CI117" s="213"/>
      <c r="CJ117" s="213"/>
      <c r="CK117" s="213"/>
      <c r="CL117" s="213"/>
      <c r="CM117" s="213"/>
      <c r="CN117" s="213"/>
      <c r="CO117" s="213"/>
      <c r="CP117" s="213"/>
      <c r="CQ117" s="213"/>
    </row>
    <row r="118" ht="15.75" customHeight="1">
      <c r="A118" s="213"/>
      <c r="B118" s="492"/>
      <c r="C118" s="492" t="s">
        <v>266</v>
      </c>
      <c r="D118" s="604">
        <v>1200.0</v>
      </c>
      <c r="E118" s="355">
        <f t="shared" si="194"/>
        <v>0.0001397403545</v>
      </c>
      <c r="F118" s="357"/>
      <c r="G118" s="355">
        <f t="shared" si="195"/>
        <v>0</v>
      </c>
      <c r="H118" s="357">
        <f t="shared" si="200"/>
        <v>1200</v>
      </c>
      <c r="I118" s="395" t="str">
        <f t="shared" si="201"/>
        <v>#DIV/0!</v>
      </c>
      <c r="J118" s="604">
        <v>1360.0</v>
      </c>
      <c r="K118" s="355">
        <f t="shared" si="196"/>
        <v>0.0001407307066</v>
      </c>
      <c r="L118" s="357"/>
      <c r="M118" s="352"/>
      <c r="N118" s="352"/>
      <c r="O118" s="358"/>
      <c r="P118" s="604">
        <v>1429.0</v>
      </c>
      <c r="Q118" s="355">
        <f t="shared" si="202"/>
        <v>0.0001909765772</v>
      </c>
      <c r="R118" s="357"/>
      <c r="S118" s="352"/>
      <c r="T118" s="352"/>
      <c r="U118" s="358"/>
      <c r="V118" s="604">
        <v>1400.0</v>
      </c>
      <c r="W118" s="355">
        <f t="shared" si="197"/>
        <v>0.000147180108</v>
      </c>
      <c r="X118" s="357"/>
      <c r="Y118" s="352"/>
      <c r="Z118" s="352"/>
      <c r="AA118" s="358"/>
      <c r="AB118" s="604">
        <v>1452.0</v>
      </c>
      <c r="AC118" s="355">
        <f t="shared" si="198"/>
        <v>0.0001549494504</v>
      </c>
      <c r="AD118" s="357"/>
      <c r="AE118" s="352"/>
      <c r="AF118" s="352"/>
      <c r="AG118" s="358"/>
      <c r="AH118" s="604">
        <v>1275.0</v>
      </c>
      <c r="AI118" s="355">
        <f t="shared" si="199"/>
        <v>0.0001385178408</v>
      </c>
      <c r="AJ118" s="357"/>
      <c r="AK118" s="355">
        <f t="shared" si="203"/>
        <v>0</v>
      </c>
      <c r="AL118" s="352"/>
      <c r="AM118" s="358"/>
      <c r="AN118" s="604">
        <v>13750.0</v>
      </c>
      <c r="AO118" s="355">
        <f t="shared" si="204"/>
        <v>0.0016328853</v>
      </c>
      <c r="AP118" s="357"/>
      <c r="AQ118" s="352"/>
      <c r="AR118" s="352"/>
      <c r="AS118" s="358"/>
      <c r="AT118" s="604">
        <v>1572.0</v>
      </c>
      <c r="AU118" s="355">
        <f t="shared" si="205"/>
        <v>0.0001679676753</v>
      </c>
      <c r="AV118" s="357"/>
      <c r="AW118" s="352"/>
      <c r="AX118" s="352"/>
      <c r="AY118" s="358"/>
      <c r="AZ118" s="604">
        <v>1690.0</v>
      </c>
      <c r="BA118" s="355">
        <f t="shared" si="206"/>
        <v>0.0001675652133</v>
      </c>
      <c r="BB118" s="357"/>
      <c r="BC118" s="352"/>
      <c r="BD118" s="352"/>
      <c r="BE118" s="358"/>
      <c r="BF118" s="604">
        <v>1906.0</v>
      </c>
      <c r="BG118" s="355">
        <f t="shared" si="207"/>
        <v>0.0001968106559</v>
      </c>
      <c r="BH118" s="357"/>
      <c r="BI118" s="352"/>
      <c r="BJ118" s="352"/>
      <c r="BK118" s="358"/>
      <c r="BL118" s="604">
        <v>1753.0</v>
      </c>
      <c r="BM118" s="355">
        <f t="shared" si="208"/>
        <v>0.0002058705552</v>
      </c>
      <c r="BN118" s="357"/>
      <c r="BO118" s="352"/>
      <c r="BP118" s="352"/>
      <c r="BQ118" s="358"/>
      <c r="BR118" s="351">
        <v>2156.0</v>
      </c>
      <c r="BS118" s="355">
        <f t="shared" si="209"/>
        <v>0.0002129554649</v>
      </c>
      <c r="BT118" s="357"/>
      <c r="BU118" s="352"/>
      <c r="BV118" s="352"/>
      <c r="BW118" s="358"/>
      <c r="BX118" s="213"/>
      <c r="BY118" s="213"/>
      <c r="BZ118" s="213"/>
      <c r="CA118" s="213"/>
      <c r="CB118" s="213"/>
      <c r="CC118" s="213"/>
      <c r="CD118" s="213"/>
      <c r="CE118" s="213"/>
      <c r="CF118" s="213"/>
      <c r="CG118" s="213"/>
      <c r="CH118" s="213"/>
      <c r="CI118" s="213"/>
      <c r="CJ118" s="213"/>
      <c r="CK118" s="213"/>
      <c r="CL118" s="213"/>
      <c r="CM118" s="213"/>
      <c r="CN118" s="213"/>
      <c r="CO118" s="213"/>
      <c r="CP118" s="213"/>
      <c r="CQ118" s="213"/>
    </row>
    <row r="119" ht="15.75" customHeight="1">
      <c r="A119" s="213"/>
      <c r="B119" s="492"/>
      <c r="C119" s="492" t="s">
        <v>267</v>
      </c>
      <c r="D119" s="604">
        <v>60254.0</v>
      </c>
      <c r="E119" s="355">
        <f t="shared" si="194"/>
        <v>0.007016596101</v>
      </c>
      <c r="F119" s="357">
        <v>60000.0</v>
      </c>
      <c r="G119" s="355">
        <f t="shared" si="195"/>
        <v>0.007116940659</v>
      </c>
      <c r="H119" s="357">
        <f t="shared" si="200"/>
        <v>254</v>
      </c>
      <c r="I119" s="395">
        <f t="shared" si="201"/>
        <v>0.004233333333</v>
      </c>
      <c r="J119" s="604">
        <v>56930.0</v>
      </c>
      <c r="K119" s="355">
        <f t="shared" si="196"/>
        <v>0.00589102877</v>
      </c>
      <c r="L119" s="357">
        <v>60000.0</v>
      </c>
      <c r="M119" s="355">
        <f>L119/L$32</f>
        <v>0.007201394701</v>
      </c>
      <c r="N119" s="352"/>
      <c r="O119" s="358"/>
      <c r="P119" s="604">
        <v>47656.6</v>
      </c>
      <c r="Q119" s="355">
        <f t="shared" si="202"/>
        <v>0.006368995347</v>
      </c>
      <c r="R119" s="357">
        <v>60000.0</v>
      </c>
      <c r="S119" s="355">
        <f>R119/R$32</f>
        <v>0.007319054137</v>
      </c>
      <c r="T119" s="352"/>
      <c r="U119" s="358"/>
      <c r="V119" s="604">
        <v>47069.4</v>
      </c>
      <c r="W119" s="355">
        <f t="shared" si="197"/>
        <v>0.00494834241</v>
      </c>
      <c r="X119" s="357">
        <v>60000.0</v>
      </c>
      <c r="Y119" s="355">
        <f>X119/X$32</f>
        <v>0.00666635504</v>
      </c>
      <c r="Z119" s="352"/>
      <c r="AA119" s="358"/>
      <c r="AB119" s="604">
        <v>58932.91</v>
      </c>
      <c r="AC119" s="355">
        <f t="shared" si="198"/>
        <v>0.006288995878</v>
      </c>
      <c r="AD119" s="357">
        <v>60000.0</v>
      </c>
      <c r="AE119" s="355">
        <f>AD119/AD$32</f>
        <v>0.006593408939</v>
      </c>
      <c r="AF119" s="352"/>
      <c r="AG119" s="358"/>
      <c r="AH119" s="604">
        <v>52366.11</v>
      </c>
      <c r="AI119" s="355">
        <f t="shared" si="199"/>
        <v>0.005689129794</v>
      </c>
      <c r="AJ119" s="357">
        <v>60000.0</v>
      </c>
      <c r="AK119" s="355">
        <f t="shared" si="203"/>
        <v>0.006643301647</v>
      </c>
      <c r="AL119" s="352"/>
      <c r="AM119" s="358"/>
      <c r="AN119" s="604">
        <v>57927.07</v>
      </c>
      <c r="AO119" s="355">
        <f t="shared" si="204"/>
        <v>0.00687914626</v>
      </c>
      <c r="AP119" s="357"/>
      <c r="AQ119" s="352"/>
      <c r="AR119" s="352"/>
      <c r="AS119" s="358"/>
      <c r="AT119" s="604">
        <v>35073.64</v>
      </c>
      <c r="AU119" s="355">
        <f t="shared" si="205"/>
        <v>0.003747606728</v>
      </c>
      <c r="AV119" s="357"/>
      <c r="AW119" s="352"/>
      <c r="AX119" s="352"/>
      <c r="AY119" s="358"/>
      <c r="AZ119" s="604">
        <v>47050.41</v>
      </c>
      <c r="BA119" s="355">
        <f t="shared" si="206"/>
        <v>0.004665095851</v>
      </c>
      <c r="BB119" s="357"/>
      <c r="BC119" s="352"/>
      <c r="BD119" s="352"/>
      <c r="BE119" s="358"/>
      <c r="BF119" s="604"/>
      <c r="BG119" s="355">
        <f t="shared" si="207"/>
        <v>0</v>
      </c>
      <c r="BH119" s="357"/>
      <c r="BI119" s="352"/>
      <c r="BJ119" s="352"/>
      <c r="BK119" s="358"/>
      <c r="BL119" s="628">
        <v>49095.34</v>
      </c>
      <c r="BM119" s="355">
        <f t="shared" si="208"/>
        <v>0.005765707304</v>
      </c>
      <c r="BN119" s="357"/>
      <c r="BO119" s="352"/>
      <c r="BP119" s="352"/>
      <c r="BQ119" s="358"/>
      <c r="BR119" s="396">
        <v>47879.74</v>
      </c>
      <c r="BS119" s="355">
        <f t="shared" si="209"/>
        <v>0.004729245034</v>
      </c>
      <c r="BT119" s="357"/>
      <c r="BU119" s="352"/>
      <c r="BV119" s="352"/>
      <c r="BW119" s="358"/>
      <c r="BX119" s="213"/>
      <c r="BY119" s="213"/>
      <c r="BZ119" s="213"/>
      <c r="CA119" s="213"/>
      <c r="CB119" s="213"/>
      <c r="CC119" s="213"/>
      <c r="CD119" s="213"/>
      <c r="CE119" s="213"/>
      <c r="CF119" s="213"/>
      <c r="CG119" s="213"/>
      <c r="CH119" s="213"/>
      <c r="CI119" s="213"/>
      <c r="CJ119" s="213"/>
      <c r="CK119" s="213"/>
      <c r="CL119" s="213"/>
      <c r="CM119" s="213"/>
      <c r="CN119" s="213"/>
      <c r="CO119" s="213"/>
      <c r="CP119" s="213"/>
      <c r="CQ119" s="213"/>
    </row>
    <row r="120" ht="15.75" customHeight="1">
      <c r="A120" s="213"/>
      <c r="B120" s="492"/>
      <c r="C120" s="492" t="s">
        <v>268</v>
      </c>
      <c r="D120" s="604"/>
      <c r="E120" s="355">
        <f t="shared" si="194"/>
        <v>0</v>
      </c>
      <c r="F120" s="357"/>
      <c r="G120" s="355">
        <f t="shared" si="195"/>
        <v>0</v>
      </c>
      <c r="H120" s="357">
        <f t="shared" si="200"/>
        <v>0</v>
      </c>
      <c r="I120" s="395" t="str">
        <f t="shared" si="201"/>
        <v>#DIV/0!</v>
      </c>
      <c r="J120" s="665"/>
      <c r="K120" s="355">
        <f t="shared" si="196"/>
        <v>0</v>
      </c>
      <c r="L120" s="357"/>
      <c r="M120" s="352"/>
      <c r="N120" s="352"/>
      <c r="O120" s="358"/>
      <c r="P120" s="665"/>
      <c r="Q120" s="355">
        <f t="shared" si="202"/>
        <v>0</v>
      </c>
      <c r="R120" s="357"/>
      <c r="S120" s="352"/>
      <c r="T120" s="352"/>
      <c r="U120" s="358"/>
      <c r="V120" s="665"/>
      <c r="W120" s="355">
        <f t="shared" si="197"/>
        <v>0</v>
      </c>
      <c r="X120" s="357"/>
      <c r="Y120" s="352"/>
      <c r="Z120" s="352"/>
      <c r="AA120" s="358"/>
      <c r="AB120" s="604"/>
      <c r="AC120" s="355">
        <f t="shared" si="198"/>
        <v>0</v>
      </c>
      <c r="AD120" s="357"/>
      <c r="AE120" s="352"/>
      <c r="AF120" s="352"/>
      <c r="AG120" s="358"/>
      <c r="AH120" s="604"/>
      <c r="AI120" s="355">
        <f t="shared" si="199"/>
        <v>0</v>
      </c>
      <c r="AJ120" s="357"/>
      <c r="AK120" s="352"/>
      <c r="AL120" s="352"/>
      <c r="AM120" s="358"/>
      <c r="AN120" s="604"/>
      <c r="AO120" s="352"/>
      <c r="AP120" s="357"/>
      <c r="AQ120" s="352"/>
      <c r="AR120" s="352"/>
      <c r="AS120" s="358"/>
      <c r="AT120" s="604"/>
      <c r="AU120" s="355">
        <f t="shared" si="205"/>
        <v>0</v>
      </c>
      <c r="AV120" s="357"/>
      <c r="AW120" s="352"/>
      <c r="AX120" s="352"/>
      <c r="AY120" s="358"/>
      <c r="AZ120" s="604"/>
      <c r="BA120" s="355">
        <f t="shared" si="206"/>
        <v>0</v>
      </c>
      <c r="BB120" s="357"/>
      <c r="BC120" s="352"/>
      <c r="BD120" s="352"/>
      <c r="BE120" s="358"/>
      <c r="BF120" s="604"/>
      <c r="BG120" s="355">
        <f t="shared" si="207"/>
        <v>0</v>
      </c>
      <c r="BH120" s="357"/>
      <c r="BI120" s="352"/>
      <c r="BJ120" s="352"/>
      <c r="BK120" s="358"/>
      <c r="BL120" s="604"/>
      <c r="BM120" s="355">
        <f t="shared" si="208"/>
        <v>0</v>
      </c>
      <c r="BN120" s="357"/>
      <c r="BO120" s="352"/>
      <c r="BP120" s="352"/>
      <c r="BQ120" s="358"/>
      <c r="BR120" s="351"/>
      <c r="BS120" s="355">
        <f t="shared" si="209"/>
        <v>0</v>
      </c>
      <c r="BT120" s="357"/>
      <c r="BU120" s="352"/>
      <c r="BV120" s="352"/>
      <c r="BW120" s="358"/>
      <c r="BX120" s="213"/>
      <c r="BY120" s="213"/>
      <c r="BZ120" s="213"/>
      <c r="CA120" s="213"/>
      <c r="CB120" s="213"/>
      <c r="CC120" s="213"/>
      <c r="CD120" s="213"/>
      <c r="CE120" s="213"/>
      <c r="CF120" s="213"/>
      <c r="CG120" s="213"/>
      <c r="CH120" s="213"/>
      <c r="CI120" s="213"/>
      <c r="CJ120" s="213"/>
      <c r="CK120" s="213"/>
      <c r="CL120" s="213"/>
      <c r="CM120" s="213"/>
      <c r="CN120" s="213"/>
      <c r="CO120" s="213"/>
      <c r="CP120" s="213"/>
      <c r="CQ120" s="213"/>
    </row>
    <row r="121" ht="15.75" customHeight="1">
      <c r="A121" s="213"/>
      <c r="B121" s="492"/>
      <c r="C121" s="492" t="s">
        <v>269</v>
      </c>
      <c r="D121" s="604">
        <f>1796+3000</f>
        <v>4796</v>
      </c>
      <c r="E121" s="355">
        <f t="shared" si="194"/>
        <v>0.0005584956169</v>
      </c>
      <c r="F121" s="357"/>
      <c r="G121" s="355">
        <f t="shared" si="195"/>
        <v>0</v>
      </c>
      <c r="H121" s="357">
        <f t="shared" si="200"/>
        <v>4796</v>
      </c>
      <c r="I121" s="395" t="str">
        <f t="shared" si="201"/>
        <v>#DIV/0!</v>
      </c>
      <c r="J121" s="604">
        <v>7052.0</v>
      </c>
      <c r="K121" s="355">
        <f t="shared" si="196"/>
        <v>0.0007297301052</v>
      </c>
      <c r="L121" s="357"/>
      <c r="M121" s="352"/>
      <c r="N121" s="352"/>
      <c r="O121" s="358"/>
      <c r="P121" s="604">
        <v>2704.0</v>
      </c>
      <c r="Q121" s="355">
        <f t="shared" si="202"/>
        <v>0.0003613720538</v>
      </c>
      <c r="R121" s="357"/>
      <c r="S121" s="352"/>
      <c r="T121" s="352"/>
      <c r="U121" s="358"/>
      <c r="V121" s="604">
        <v>3027.0</v>
      </c>
      <c r="W121" s="355">
        <f t="shared" si="197"/>
        <v>0.0003182244192</v>
      </c>
      <c r="X121" s="357"/>
      <c r="Y121" s="352"/>
      <c r="Z121" s="352"/>
      <c r="AA121" s="358"/>
      <c r="AB121" s="604">
        <v>3405.0</v>
      </c>
      <c r="AC121" s="355">
        <f t="shared" si="198"/>
        <v>0.0003633628641</v>
      </c>
      <c r="AD121" s="357"/>
      <c r="AE121" s="352"/>
      <c r="AF121" s="352"/>
      <c r="AG121" s="358"/>
      <c r="AH121" s="604">
        <v>5894.0</v>
      </c>
      <c r="AI121" s="355">
        <f t="shared" si="199"/>
        <v>0.0006403326695</v>
      </c>
      <c r="AJ121" s="357"/>
      <c r="AK121" s="352"/>
      <c r="AL121" s="352"/>
      <c r="AM121" s="358"/>
      <c r="AN121" s="604">
        <v>2676.0</v>
      </c>
      <c r="AO121" s="352"/>
      <c r="AP121" s="357"/>
      <c r="AQ121" s="352"/>
      <c r="AR121" s="352"/>
      <c r="AS121" s="358"/>
      <c r="AT121" s="604">
        <v>2240.0</v>
      </c>
      <c r="AU121" s="355">
        <f t="shared" si="205"/>
        <v>0.0002393432524</v>
      </c>
      <c r="AV121" s="357"/>
      <c r="AW121" s="352"/>
      <c r="AX121" s="352"/>
      <c r="AY121" s="358"/>
      <c r="AZ121" s="604">
        <v>3695.0</v>
      </c>
      <c r="BA121" s="355">
        <f t="shared" si="206"/>
        <v>0.000366362996</v>
      </c>
      <c r="BB121" s="357"/>
      <c r="BC121" s="352"/>
      <c r="BD121" s="352"/>
      <c r="BE121" s="358"/>
      <c r="BF121" s="604">
        <v>1891.0</v>
      </c>
      <c r="BG121" s="355">
        <f t="shared" si="207"/>
        <v>0.0001952617787</v>
      </c>
      <c r="BH121" s="357"/>
      <c r="BI121" s="352"/>
      <c r="BJ121" s="352"/>
      <c r="BK121" s="358"/>
      <c r="BL121" s="604">
        <v>1333.0</v>
      </c>
      <c r="BM121" s="355">
        <f t="shared" si="208"/>
        <v>0.000156546178</v>
      </c>
      <c r="BN121" s="357"/>
      <c r="BO121" s="352"/>
      <c r="BP121" s="352"/>
      <c r="BQ121" s="358"/>
      <c r="BR121" s="396">
        <v>6644.0</v>
      </c>
      <c r="BS121" s="355">
        <f t="shared" si="209"/>
        <v>0.0006562505144</v>
      </c>
      <c r="BT121" s="357"/>
      <c r="BU121" s="352"/>
      <c r="BV121" s="352"/>
      <c r="BW121" s="358"/>
      <c r="BX121" s="213"/>
      <c r="BY121" s="213"/>
      <c r="BZ121" s="213"/>
      <c r="CA121" s="213"/>
      <c r="CB121" s="213"/>
      <c r="CC121" s="213"/>
      <c r="CD121" s="213"/>
      <c r="CE121" s="213"/>
      <c r="CF121" s="213"/>
      <c r="CG121" s="213"/>
      <c r="CH121" s="213"/>
      <c r="CI121" s="213"/>
      <c r="CJ121" s="213"/>
      <c r="CK121" s="213"/>
      <c r="CL121" s="213"/>
      <c r="CM121" s="213"/>
      <c r="CN121" s="213"/>
      <c r="CO121" s="213"/>
      <c r="CP121" s="213"/>
      <c r="CQ121" s="213"/>
    </row>
    <row r="122" ht="15.75" customHeight="1">
      <c r="A122" s="213"/>
      <c r="B122" s="492"/>
      <c r="C122" s="492" t="s">
        <v>270</v>
      </c>
      <c r="D122" s="604"/>
      <c r="E122" s="355">
        <f t="shared" si="194"/>
        <v>0</v>
      </c>
      <c r="F122" s="357"/>
      <c r="G122" s="355">
        <f t="shared" si="195"/>
        <v>0</v>
      </c>
      <c r="H122" s="357">
        <f t="shared" si="200"/>
        <v>0</v>
      </c>
      <c r="I122" s="395" t="str">
        <f t="shared" si="201"/>
        <v>#DIV/0!</v>
      </c>
      <c r="J122" s="665"/>
      <c r="K122" s="355">
        <f t="shared" si="196"/>
        <v>0</v>
      </c>
      <c r="L122" s="357"/>
      <c r="M122" s="352"/>
      <c r="N122" s="352"/>
      <c r="O122" s="358"/>
      <c r="P122" s="665"/>
      <c r="Q122" s="352"/>
      <c r="R122" s="357"/>
      <c r="S122" s="352"/>
      <c r="T122" s="352"/>
      <c r="U122" s="358"/>
      <c r="V122" s="665"/>
      <c r="W122" s="355">
        <f t="shared" si="197"/>
        <v>0</v>
      </c>
      <c r="X122" s="357"/>
      <c r="Y122" s="352"/>
      <c r="Z122" s="352"/>
      <c r="AA122" s="358"/>
      <c r="AB122" s="604"/>
      <c r="AC122" s="355">
        <f t="shared" si="198"/>
        <v>0</v>
      </c>
      <c r="AD122" s="357"/>
      <c r="AE122" s="352"/>
      <c r="AF122" s="352"/>
      <c r="AG122" s="358"/>
      <c r="AH122" s="604"/>
      <c r="AI122" s="355">
        <f t="shared" si="199"/>
        <v>0</v>
      </c>
      <c r="AJ122" s="357"/>
      <c r="AK122" s="352"/>
      <c r="AL122" s="352"/>
      <c r="AM122" s="358"/>
      <c r="AN122" s="604"/>
      <c r="AO122" s="352"/>
      <c r="AP122" s="357"/>
      <c r="AQ122" s="352"/>
      <c r="AR122" s="352"/>
      <c r="AS122" s="358"/>
      <c r="AT122" s="604"/>
      <c r="AU122" s="355">
        <f t="shared" si="205"/>
        <v>0</v>
      </c>
      <c r="AV122" s="357"/>
      <c r="AW122" s="352"/>
      <c r="AX122" s="352"/>
      <c r="AY122" s="358"/>
      <c r="AZ122" s="604"/>
      <c r="BA122" s="355">
        <f t="shared" si="206"/>
        <v>0</v>
      </c>
      <c r="BB122" s="357"/>
      <c r="BC122" s="352"/>
      <c r="BD122" s="352"/>
      <c r="BE122" s="358"/>
      <c r="BF122" s="604"/>
      <c r="BG122" s="355">
        <f t="shared" si="207"/>
        <v>0</v>
      </c>
      <c r="BH122" s="357"/>
      <c r="BI122" s="352"/>
      <c r="BJ122" s="352"/>
      <c r="BK122" s="358"/>
      <c r="BL122" s="604"/>
      <c r="BM122" s="355">
        <f t="shared" si="208"/>
        <v>0</v>
      </c>
      <c r="BN122" s="357"/>
      <c r="BO122" s="352"/>
      <c r="BP122" s="352"/>
      <c r="BQ122" s="358"/>
      <c r="BR122" s="351"/>
      <c r="BS122" s="355">
        <f t="shared" si="209"/>
        <v>0</v>
      </c>
      <c r="BT122" s="357"/>
      <c r="BU122" s="352"/>
      <c r="BV122" s="352"/>
      <c r="BW122" s="358"/>
      <c r="BX122" s="213"/>
      <c r="BY122" s="213"/>
      <c r="BZ122" s="213"/>
      <c r="CA122" s="213"/>
      <c r="CB122" s="213"/>
      <c r="CC122" s="213"/>
      <c r="CD122" s="213"/>
      <c r="CE122" s="213"/>
      <c r="CF122" s="213"/>
      <c r="CG122" s="213"/>
      <c r="CH122" s="213"/>
      <c r="CI122" s="213"/>
      <c r="CJ122" s="213"/>
      <c r="CK122" s="213"/>
      <c r="CL122" s="213"/>
      <c r="CM122" s="213"/>
      <c r="CN122" s="213"/>
      <c r="CO122" s="213"/>
      <c r="CP122" s="213"/>
      <c r="CQ122" s="213"/>
    </row>
    <row r="123" ht="15.75" customHeight="1">
      <c r="A123" s="213"/>
      <c r="B123" s="492"/>
      <c r="C123" s="501" t="s">
        <v>271</v>
      </c>
      <c r="D123" s="604">
        <f>1012387/12</f>
        <v>84365.58333</v>
      </c>
      <c r="E123" s="355">
        <f t="shared" si="194"/>
        <v>0.009824397104</v>
      </c>
      <c r="F123" s="357">
        <f>1012387/12</f>
        <v>84365.58333</v>
      </c>
      <c r="G123" s="355">
        <f t="shared" si="195"/>
        <v>0.01000708084</v>
      </c>
      <c r="H123" s="357">
        <f t="shared" si="200"/>
        <v>0</v>
      </c>
      <c r="I123" s="395">
        <f t="shared" si="201"/>
        <v>0</v>
      </c>
      <c r="J123" s="604">
        <f>1012387/12</f>
        <v>84365.58333</v>
      </c>
      <c r="K123" s="355">
        <f t="shared" si="196"/>
        <v>0.008730020703</v>
      </c>
      <c r="L123" s="357">
        <f>1012387/12</f>
        <v>84365.58333</v>
      </c>
      <c r="M123" s="352"/>
      <c r="N123" s="352"/>
      <c r="O123" s="358"/>
      <c r="P123" s="604">
        <f>1012387/12</f>
        <v>84365.58333</v>
      </c>
      <c r="Q123" s="352"/>
      <c r="R123" s="357">
        <f>1012387/12</f>
        <v>84365.58333</v>
      </c>
      <c r="S123" s="352"/>
      <c r="T123" s="352"/>
      <c r="U123" s="358"/>
      <c r="V123" s="604">
        <f>1012387/12</f>
        <v>84365.58333</v>
      </c>
      <c r="W123" s="355">
        <f t="shared" si="197"/>
        <v>0.00886923976</v>
      </c>
      <c r="X123" s="357">
        <f>1012387/12</f>
        <v>84365.58333</v>
      </c>
      <c r="Y123" s="352"/>
      <c r="Z123" s="352"/>
      <c r="AA123" s="358"/>
      <c r="AB123" s="604">
        <f>1012387/12</f>
        <v>84365.58333</v>
      </c>
      <c r="AC123" s="355">
        <f t="shared" si="198"/>
        <v>0.009003030834</v>
      </c>
      <c r="AD123" s="357">
        <f>1012387/12</f>
        <v>84365.58333</v>
      </c>
      <c r="AE123" s="352"/>
      <c r="AF123" s="352"/>
      <c r="AG123" s="358"/>
      <c r="AH123" s="604">
        <f>1012387/12</f>
        <v>84365.58333</v>
      </c>
      <c r="AI123" s="355">
        <f t="shared" si="199"/>
        <v>0.009165598777</v>
      </c>
      <c r="AJ123" s="357">
        <f>1012387/12</f>
        <v>84365.58333</v>
      </c>
      <c r="AK123" s="352"/>
      <c r="AL123" s="352"/>
      <c r="AM123" s="358"/>
      <c r="AN123" s="604">
        <f>1012387/12</f>
        <v>84365.58333</v>
      </c>
      <c r="AO123" s="352"/>
      <c r="AP123" s="357">
        <f>1012387/12</f>
        <v>84365.58333</v>
      </c>
      <c r="AQ123" s="352"/>
      <c r="AR123" s="352"/>
      <c r="AS123" s="358"/>
      <c r="AT123" s="604">
        <f>1012387/12</f>
        <v>84365.58333</v>
      </c>
      <c r="AU123" s="352"/>
      <c r="AV123" s="357">
        <f>1012387/12</f>
        <v>84365.58333</v>
      </c>
      <c r="AW123" s="352"/>
      <c r="AX123" s="352"/>
      <c r="AY123" s="358"/>
      <c r="AZ123" s="604">
        <f>1012387/12</f>
        <v>84365.58333</v>
      </c>
      <c r="BA123" s="352"/>
      <c r="BB123" s="357">
        <f>1012387/12</f>
        <v>84365.58333</v>
      </c>
      <c r="BC123" s="352"/>
      <c r="BD123" s="352"/>
      <c r="BE123" s="358"/>
      <c r="BF123" s="604">
        <f>1012387/12</f>
        <v>84365.58333</v>
      </c>
      <c r="BG123" s="355">
        <f t="shared" si="207"/>
        <v>0.008711461588</v>
      </c>
      <c r="BH123" s="604">
        <f>1012387/12</f>
        <v>84365.58333</v>
      </c>
      <c r="BI123" s="355">
        <f>BH123/BH$32</f>
        <v>0.008266288281</v>
      </c>
      <c r="BJ123" s="352"/>
      <c r="BK123" s="358"/>
      <c r="BL123" s="604">
        <f>1012387/12</f>
        <v>84365.58333</v>
      </c>
      <c r="BM123" s="355">
        <f t="shared" si="208"/>
        <v>0.009907809173</v>
      </c>
      <c r="BN123" s="604">
        <f>1012387/12</f>
        <v>84365.58333</v>
      </c>
      <c r="BO123" s="355">
        <f>BN123/BN$32</f>
        <v>0.00895915096</v>
      </c>
      <c r="BP123" s="352"/>
      <c r="BQ123" s="358"/>
      <c r="BR123" s="604">
        <f>1012387/12</f>
        <v>84365.58333</v>
      </c>
      <c r="BS123" s="355">
        <f t="shared" si="209"/>
        <v>0.008333076078</v>
      </c>
      <c r="BT123" s="604">
        <f>1012387/12</f>
        <v>84365.58333</v>
      </c>
      <c r="BU123" s="352"/>
      <c r="BV123" s="352"/>
      <c r="BW123" s="358"/>
      <c r="BX123" s="213"/>
      <c r="BY123" s="213"/>
      <c r="BZ123" s="213"/>
      <c r="CA123" s="213"/>
      <c r="CB123" s="213"/>
      <c r="CC123" s="213"/>
      <c r="CD123" s="213"/>
      <c r="CE123" s="213"/>
      <c r="CF123" s="213"/>
      <c r="CG123" s="213"/>
      <c r="CH123" s="213"/>
      <c r="CI123" s="213"/>
      <c r="CJ123" s="213"/>
      <c r="CK123" s="213"/>
      <c r="CL123" s="213"/>
      <c r="CM123" s="213"/>
      <c r="CN123" s="213"/>
      <c r="CO123" s="213"/>
      <c r="CP123" s="213"/>
      <c r="CQ123" s="213"/>
    </row>
    <row r="124" ht="15.75" customHeight="1">
      <c r="A124" s="213"/>
      <c r="B124" s="492"/>
      <c r="C124" s="501"/>
      <c r="D124" s="604"/>
      <c r="E124" s="355">
        <f t="shared" si="194"/>
        <v>0</v>
      </c>
      <c r="F124" s="352"/>
      <c r="G124" s="352"/>
      <c r="H124" s="352"/>
      <c r="I124" s="358"/>
      <c r="J124" s="393"/>
      <c r="K124" s="355">
        <f t="shared" si="196"/>
        <v>0</v>
      </c>
      <c r="L124" s="352"/>
      <c r="M124" s="352"/>
      <c r="N124" s="352"/>
      <c r="O124" s="358"/>
      <c r="P124" s="393"/>
      <c r="Q124" s="352"/>
      <c r="R124" s="352"/>
      <c r="S124" s="352"/>
      <c r="T124" s="352"/>
      <c r="U124" s="358"/>
      <c r="V124" s="393"/>
      <c r="W124" s="352"/>
      <c r="X124" s="352"/>
      <c r="Y124" s="352"/>
      <c r="Z124" s="352"/>
      <c r="AA124" s="358"/>
      <c r="AB124" s="604"/>
      <c r="AC124" s="352"/>
      <c r="AD124" s="352"/>
      <c r="AE124" s="352"/>
      <c r="AF124" s="352"/>
      <c r="AG124" s="358"/>
      <c r="AH124" s="604"/>
      <c r="AI124" s="352"/>
      <c r="AJ124" s="352"/>
      <c r="AK124" s="352"/>
      <c r="AL124" s="352"/>
      <c r="AM124" s="358"/>
      <c r="AN124" s="604"/>
      <c r="AO124" s="352"/>
      <c r="AP124" s="352"/>
      <c r="AQ124" s="352"/>
      <c r="AR124" s="352"/>
      <c r="AS124" s="358"/>
      <c r="AT124" s="604"/>
      <c r="AU124" s="352"/>
      <c r="AV124" s="352"/>
      <c r="AW124" s="352"/>
      <c r="AX124" s="352"/>
      <c r="AY124" s="358"/>
      <c r="AZ124" s="604"/>
      <c r="BA124" s="352"/>
      <c r="BB124" s="352"/>
      <c r="BC124" s="352"/>
      <c r="BD124" s="352"/>
      <c r="BE124" s="358"/>
      <c r="BF124" s="604"/>
      <c r="BG124" s="352"/>
      <c r="BH124" s="352"/>
      <c r="BI124" s="352"/>
      <c r="BJ124" s="352"/>
      <c r="BK124" s="358"/>
      <c r="BL124" s="604"/>
      <c r="BM124" s="352"/>
      <c r="BN124" s="352"/>
      <c r="BO124" s="352"/>
      <c r="BP124" s="352"/>
      <c r="BQ124" s="358"/>
      <c r="BR124" s="351"/>
      <c r="BS124" s="352"/>
      <c r="BT124" s="352"/>
      <c r="BU124" s="352"/>
      <c r="BV124" s="352"/>
      <c r="BW124" s="358"/>
      <c r="BX124" s="213"/>
      <c r="BY124" s="213"/>
      <c r="BZ124" s="213"/>
      <c r="CA124" s="213"/>
      <c r="CB124" s="213"/>
      <c r="CC124" s="213"/>
      <c r="CD124" s="213"/>
      <c r="CE124" s="213"/>
      <c r="CF124" s="213"/>
      <c r="CG124" s="213"/>
      <c r="CH124" s="213"/>
      <c r="CI124" s="213"/>
      <c r="CJ124" s="213"/>
      <c r="CK124" s="213"/>
      <c r="CL124" s="213"/>
      <c r="CM124" s="213"/>
      <c r="CN124" s="213"/>
      <c r="CO124" s="213"/>
      <c r="CP124" s="213"/>
      <c r="CQ124" s="213"/>
    </row>
    <row r="125" ht="15.75" customHeight="1">
      <c r="A125" s="213"/>
      <c r="B125" s="492"/>
      <c r="C125" s="501" t="s">
        <v>39</v>
      </c>
      <c r="D125" s="604">
        <f>SUM(D126)</f>
        <v>43509.57</v>
      </c>
      <c r="E125" s="355">
        <f t="shared" si="194"/>
        <v>0.005066702281</v>
      </c>
      <c r="F125" s="357">
        <f>SUM(F126)</f>
        <v>36664.164</v>
      </c>
      <c r="G125" s="355">
        <f>F125/F$32</f>
        <v>0.004348944658</v>
      </c>
      <c r="H125" s="352">
        <f>SUM(H126)</f>
        <v>0</v>
      </c>
      <c r="I125" s="358"/>
      <c r="J125" s="604">
        <f>SUM(J126)</f>
        <v>43622.7</v>
      </c>
      <c r="K125" s="355">
        <f t="shared" si="196"/>
        <v>0.004514009849</v>
      </c>
      <c r="L125" s="357">
        <f>SUM(L126)</f>
        <v>36007.536</v>
      </c>
      <c r="M125" s="355">
        <f>L125/L$32</f>
        <v>0.004321741316</v>
      </c>
      <c r="N125" s="352">
        <f>SUM(N126)</f>
        <v>0</v>
      </c>
      <c r="O125" s="358"/>
      <c r="P125" s="604">
        <f>SUM(P126)</f>
        <v>41439</v>
      </c>
      <c r="Q125" s="355">
        <f>P125/P$32</f>
        <v>0.005538053453</v>
      </c>
      <c r="R125" s="357">
        <f>SUM(R126)</f>
        <v>33851.088</v>
      </c>
      <c r="S125" s="355">
        <f>R125/R$32</f>
        <v>0.004129299095</v>
      </c>
      <c r="T125" s="352">
        <f>SUM(T126)</f>
        <v>0</v>
      </c>
      <c r="U125" s="358"/>
      <c r="V125" s="604">
        <f>SUM(V126)</f>
        <v>45137.35</v>
      </c>
      <c r="W125" s="355">
        <f>V125/V$32</f>
        <v>0.004745228605</v>
      </c>
      <c r="X125" s="357">
        <f>SUM(X126)</f>
        <v>40957.188</v>
      </c>
      <c r="Y125" s="355">
        <f>X125/X$32</f>
        <v>0.004550585944</v>
      </c>
      <c r="Z125" s="352">
        <f>SUM(Z126)</f>
        <v>0</v>
      </c>
      <c r="AA125" s="358"/>
      <c r="AB125" s="604">
        <f>SUM(AB126)</f>
        <v>45482.22</v>
      </c>
      <c r="AC125" s="355">
        <f>AB125/AB$32</f>
        <v>0.004853612254</v>
      </c>
      <c r="AD125" s="357">
        <f>SUM(AD126)</f>
        <v>38485.236</v>
      </c>
      <c r="AE125" s="355">
        <f>AD125/AD$32</f>
        <v>0.004229148318</v>
      </c>
      <c r="AF125" s="352">
        <f>SUM(AF126)</f>
        <v>0</v>
      </c>
      <c r="AG125" s="358"/>
      <c r="AH125" s="604">
        <f>SUM(AH126)</f>
        <v>45786.63</v>
      </c>
      <c r="AI125" s="355">
        <f t="shared" ref="AI125:AI126" si="210">AH125/AH$32</f>
        <v>0.004974325588</v>
      </c>
      <c r="AJ125" s="352">
        <f>SUM(AJ126)</f>
        <v>36503.892</v>
      </c>
      <c r="AK125" s="355">
        <f>AJ125/AJ$32</f>
        <v>0.004041772764</v>
      </c>
      <c r="AL125" s="352">
        <f>SUM(AL126)</f>
        <v>0</v>
      </c>
      <c r="AM125" s="358"/>
      <c r="AN125" s="604">
        <f>SUM(AN126)</f>
        <v>35219.16</v>
      </c>
      <c r="AO125" s="355">
        <f t="shared" ref="AO125:AO126" si="211">AN125/AN$32</f>
        <v>0.00418246172</v>
      </c>
      <c r="AP125" s="357">
        <f>SUM(AP126)</f>
        <v>40854.96</v>
      </c>
      <c r="AQ125" s="355">
        <f>AP125/AP$32</f>
        <v>0.004154186426</v>
      </c>
      <c r="AR125" s="352">
        <f>SUM(AR126)</f>
        <v>0</v>
      </c>
      <c r="AS125" s="358"/>
      <c r="AT125" s="604">
        <f>SUM(AT126)</f>
        <v>42721.39</v>
      </c>
      <c r="AU125" s="355">
        <f t="shared" ref="AU125:AU126" si="212">AT125/AT$32</f>
        <v>0.004564766263</v>
      </c>
      <c r="AV125" s="357">
        <f>SUM(AV126)</f>
        <v>39389.412</v>
      </c>
      <c r="AW125" s="355">
        <f>AV125/AV$32</f>
        <v>0.004064580376</v>
      </c>
      <c r="AX125" s="352">
        <f>SUM(AX126)</f>
        <v>0</v>
      </c>
      <c r="AY125" s="358"/>
      <c r="AZ125" s="604">
        <f>SUM(AZ126)</f>
        <v>39037.78</v>
      </c>
      <c r="BA125" s="355">
        <f t="shared" ref="BA125:BA126" si="213">AZ125/AZ$32</f>
        <v>0.003870635463</v>
      </c>
      <c r="BB125" s="357">
        <f>SUM(BB126)</f>
        <v>42073.644</v>
      </c>
      <c r="BC125" s="355">
        <f>BB125/BB$32</f>
        <v>0.00402015771</v>
      </c>
      <c r="BD125" s="352">
        <f>SUM(BD126)</f>
        <v>0</v>
      </c>
      <c r="BE125" s="358"/>
      <c r="BF125" s="604">
        <f>SUM(BF126)</f>
        <v>42222.84</v>
      </c>
      <c r="BG125" s="355">
        <f t="shared" ref="BG125:BG126" si="214">BF125/BF$32</f>
        <v>0.004359866124</v>
      </c>
      <c r="BH125" s="357">
        <f>SUM(BH126)</f>
        <v>40294.908</v>
      </c>
      <c r="BI125" s="355">
        <f>BH125/BH$32</f>
        <v>0.003948165977</v>
      </c>
      <c r="BJ125" s="352">
        <f>SUM(BJ126)</f>
        <v>0</v>
      </c>
      <c r="BK125" s="358"/>
      <c r="BL125" s="604">
        <f>SUM(BL126)</f>
        <v>0</v>
      </c>
      <c r="BM125" s="355">
        <f t="shared" ref="BM125:BM126" si="215">BL125/BL$32</f>
        <v>0</v>
      </c>
      <c r="BN125" s="357">
        <f>SUM(BN126)</f>
        <v>38422.116</v>
      </c>
      <c r="BO125" s="355">
        <f>BN125/BN$32</f>
        <v>0.004080212853</v>
      </c>
      <c r="BP125" s="352">
        <f>SUM(BP126)</f>
        <v>0</v>
      </c>
      <c r="BQ125" s="358"/>
      <c r="BR125" s="351">
        <f>SUM(BR126)</f>
        <v>14527.44</v>
      </c>
      <c r="BS125" s="355">
        <f t="shared" ref="BS125:BS126" si="216">BR125/BR$32</f>
        <v>0.00143492474</v>
      </c>
      <c r="BT125" s="357">
        <f>SUM(BT126)</f>
        <v>40455.912</v>
      </c>
      <c r="BU125" s="355">
        <f>BT125/BT$32</f>
        <v>0.003992567989</v>
      </c>
      <c r="BV125" s="352">
        <f>SUM(BV126)</f>
        <v>0</v>
      </c>
      <c r="BW125" s="358"/>
      <c r="BX125" s="718">
        <f>D125+J125+P125+V125+AB125+AH125+AN125+AT125+AZ125+BF125+BL125+BR125</f>
        <v>438706.08</v>
      </c>
      <c r="BY125" s="216"/>
      <c r="BZ125" s="216"/>
      <c r="CA125" s="216"/>
      <c r="CB125" s="216"/>
      <c r="CC125" s="216"/>
      <c r="CD125" s="216"/>
      <c r="CE125" s="216"/>
      <c r="CF125" s="216"/>
      <c r="CG125" s="216"/>
      <c r="CH125" s="216"/>
      <c r="CI125" s="216"/>
      <c r="CJ125" s="216"/>
      <c r="CK125" s="216"/>
      <c r="CL125" s="216"/>
      <c r="CM125" s="216"/>
      <c r="CN125" s="216"/>
      <c r="CO125" s="216"/>
      <c r="CP125" s="216"/>
      <c r="CQ125" s="216"/>
    </row>
    <row r="126" ht="15.75" customHeight="1">
      <c r="A126" s="213"/>
      <c r="B126" s="492"/>
      <c r="C126" s="492" t="s">
        <v>272</v>
      </c>
      <c r="D126" s="604">
        <v>43509.57</v>
      </c>
      <c r="E126" s="355">
        <f t="shared" si="194"/>
        <v>0.005066702281</v>
      </c>
      <c r="F126" s="357">
        <f>G126*F$16</f>
        <v>36664.164</v>
      </c>
      <c r="G126" s="355">
        <v>0.012</v>
      </c>
      <c r="H126" s="352"/>
      <c r="I126" s="358"/>
      <c r="J126" s="604">
        <v>43622.7</v>
      </c>
      <c r="K126" s="355">
        <f t="shared" si="196"/>
        <v>0.004514009849</v>
      </c>
      <c r="L126" s="357">
        <f>M126*L$16</f>
        <v>36007.536</v>
      </c>
      <c r="M126" s="355">
        <v>0.012</v>
      </c>
      <c r="N126" s="352"/>
      <c r="O126" s="358"/>
      <c r="P126" s="604">
        <v>41439.0</v>
      </c>
      <c r="Q126" s="355">
        <v>0.012</v>
      </c>
      <c r="R126" s="357">
        <f>S126*R$16</f>
        <v>33851.088</v>
      </c>
      <c r="S126" s="355">
        <v>0.012</v>
      </c>
      <c r="T126" s="352"/>
      <c r="U126" s="358"/>
      <c r="V126" s="604">
        <v>45137.35</v>
      </c>
      <c r="W126" s="355">
        <v>0.012</v>
      </c>
      <c r="X126" s="357">
        <f>Y126*X$16</f>
        <v>40957.188</v>
      </c>
      <c r="Y126" s="355">
        <v>0.012</v>
      </c>
      <c r="Z126" s="352"/>
      <c r="AA126" s="358"/>
      <c r="AB126" s="604">
        <v>45482.22</v>
      </c>
      <c r="AC126" s="355">
        <v>0.012</v>
      </c>
      <c r="AD126" s="357">
        <f>AE126*AD$16</f>
        <v>38485.236</v>
      </c>
      <c r="AE126" s="355">
        <v>0.012</v>
      </c>
      <c r="AF126" s="352"/>
      <c r="AG126" s="358"/>
      <c r="AH126" s="604">
        <v>45786.63</v>
      </c>
      <c r="AI126" s="355">
        <f t="shared" si="210"/>
        <v>0.004974325588</v>
      </c>
      <c r="AJ126" s="352">
        <f>AK126*AJ$16</f>
        <v>36503.892</v>
      </c>
      <c r="AK126" s="355">
        <v>0.012</v>
      </c>
      <c r="AL126" s="352"/>
      <c r="AM126" s="358"/>
      <c r="AN126" s="604">
        <v>35219.16</v>
      </c>
      <c r="AO126" s="355">
        <f t="shared" si="211"/>
        <v>0.00418246172</v>
      </c>
      <c r="AP126" s="357">
        <f>AQ126*AP$16</f>
        <v>40854.96</v>
      </c>
      <c r="AQ126" s="355">
        <v>0.012</v>
      </c>
      <c r="AR126" s="352"/>
      <c r="AS126" s="358"/>
      <c r="AT126" s="604">
        <v>42721.39</v>
      </c>
      <c r="AU126" s="355">
        <f t="shared" si="212"/>
        <v>0.004564766263</v>
      </c>
      <c r="AV126" s="357">
        <f>AW126*AV$16</f>
        <v>39389.412</v>
      </c>
      <c r="AW126" s="355">
        <v>0.012</v>
      </c>
      <c r="AX126" s="352"/>
      <c r="AY126" s="358"/>
      <c r="AZ126" s="604">
        <v>39037.78</v>
      </c>
      <c r="BA126" s="355">
        <f t="shared" si="213"/>
        <v>0.003870635463</v>
      </c>
      <c r="BB126" s="357">
        <f>BC126*BB$16</f>
        <v>42073.644</v>
      </c>
      <c r="BC126" s="355">
        <v>0.012</v>
      </c>
      <c r="BD126" s="352"/>
      <c r="BE126" s="358"/>
      <c r="BF126" s="604">
        <v>42222.84</v>
      </c>
      <c r="BG126" s="355">
        <f t="shared" si="214"/>
        <v>0.004359866124</v>
      </c>
      <c r="BH126" s="357">
        <f>BI126*BH$16</f>
        <v>40294.908</v>
      </c>
      <c r="BI126" s="355">
        <v>0.012</v>
      </c>
      <c r="BJ126" s="352"/>
      <c r="BK126" s="358"/>
      <c r="BL126" s="604"/>
      <c r="BM126" s="355">
        <f t="shared" si="215"/>
        <v>0</v>
      </c>
      <c r="BN126" s="357">
        <f>BO126*BN$16</f>
        <v>38422.116</v>
      </c>
      <c r="BO126" s="355">
        <v>0.012</v>
      </c>
      <c r="BP126" s="352"/>
      <c r="BQ126" s="358"/>
      <c r="BR126" s="351">
        <v>14527.44</v>
      </c>
      <c r="BS126" s="355">
        <f t="shared" si="216"/>
        <v>0.00143492474</v>
      </c>
      <c r="BT126" s="357">
        <f>BU126*BT$16</f>
        <v>40455.912</v>
      </c>
      <c r="BU126" s="355">
        <v>0.012</v>
      </c>
      <c r="BV126" s="352"/>
      <c r="BW126" s="358"/>
      <c r="BX126" s="213"/>
      <c r="BY126" s="213"/>
      <c r="BZ126" s="213"/>
      <c r="CA126" s="213"/>
      <c r="CB126" s="213"/>
      <c r="CC126" s="213"/>
      <c r="CD126" s="213"/>
      <c r="CE126" s="213"/>
      <c r="CF126" s="213"/>
      <c r="CG126" s="213"/>
      <c r="CH126" s="213"/>
      <c r="CI126" s="213"/>
      <c r="CJ126" s="213"/>
      <c r="CK126" s="213"/>
      <c r="CL126" s="213"/>
      <c r="CM126" s="213"/>
      <c r="CN126" s="213"/>
      <c r="CO126" s="213"/>
      <c r="CP126" s="213"/>
      <c r="CQ126" s="213"/>
    </row>
    <row r="127" ht="15.75" customHeight="1">
      <c r="A127" s="213"/>
      <c r="B127" s="492"/>
      <c r="C127" s="492"/>
      <c r="D127" s="604"/>
      <c r="E127" s="352"/>
      <c r="F127" s="352"/>
      <c r="G127" s="352"/>
      <c r="H127" s="352"/>
      <c r="I127" s="358"/>
      <c r="J127" s="393"/>
      <c r="K127" s="352"/>
      <c r="L127" s="352"/>
      <c r="M127" s="352"/>
      <c r="N127" s="352"/>
      <c r="O127" s="358"/>
      <c r="P127" s="393"/>
      <c r="Q127" s="352"/>
      <c r="R127" s="352"/>
      <c r="S127" s="352"/>
      <c r="T127" s="352"/>
      <c r="U127" s="358"/>
      <c r="V127" s="393"/>
      <c r="W127" s="352"/>
      <c r="X127" s="352"/>
      <c r="Y127" s="352"/>
      <c r="Z127" s="352"/>
      <c r="AA127" s="358"/>
      <c r="AB127" s="604"/>
      <c r="AC127" s="352"/>
      <c r="AD127" s="352"/>
      <c r="AE127" s="352"/>
      <c r="AF127" s="352"/>
      <c r="AG127" s="358"/>
      <c r="AH127" s="604"/>
      <c r="AI127" s="352"/>
      <c r="AJ127" s="352"/>
      <c r="AK127" s="352"/>
      <c r="AL127" s="352"/>
      <c r="AM127" s="358"/>
      <c r="AN127" s="604"/>
      <c r="AO127" s="352"/>
      <c r="AP127" s="352"/>
      <c r="AQ127" s="352"/>
      <c r="AR127" s="352"/>
      <c r="AS127" s="358"/>
      <c r="AT127" s="604"/>
      <c r="AU127" s="352"/>
      <c r="AV127" s="352"/>
      <c r="AW127" s="352"/>
      <c r="AX127" s="352"/>
      <c r="AY127" s="358"/>
      <c r="AZ127" s="604"/>
      <c r="BA127" s="352"/>
      <c r="BB127" s="352"/>
      <c r="BC127" s="352"/>
      <c r="BD127" s="352"/>
      <c r="BE127" s="358"/>
      <c r="BF127" s="604"/>
      <c r="BG127" s="352"/>
      <c r="BH127" s="352"/>
      <c r="BI127" s="352"/>
      <c r="BJ127" s="352"/>
      <c r="BK127" s="358"/>
      <c r="BL127" s="604"/>
      <c r="BM127" s="352"/>
      <c r="BN127" s="352"/>
      <c r="BO127" s="352"/>
      <c r="BP127" s="352"/>
      <c r="BQ127" s="358"/>
      <c r="BR127" s="351"/>
      <c r="BS127" s="352"/>
      <c r="BT127" s="352"/>
      <c r="BU127" s="352"/>
      <c r="BV127" s="352"/>
      <c r="BW127" s="358"/>
      <c r="BX127" s="213"/>
      <c r="BY127" s="213"/>
      <c r="BZ127" s="213"/>
      <c r="CA127" s="213"/>
      <c r="CB127" s="213"/>
      <c r="CC127" s="213"/>
      <c r="CD127" s="213"/>
      <c r="CE127" s="213"/>
      <c r="CF127" s="213"/>
      <c r="CG127" s="213"/>
      <c r="CH127" s="213"/>
      <c r="CI127" s="213"/>
      <c r="CJ127" s="213"/>
      <c r="CK127" s="213"/>
      <c r="CL127" s="213"/>
      <c r="CM127" s="213"/>
      <c r="CN127" s="213"/>
      <c r="CO127" s="213"/>
      <c r="CP127" s="213"/>
      <c r="CQ127" s="213"/>
    </row>
    <row r="128" ht="15.75" customHeight="1">
      <c r="A128" s="213"/>
      <c r="B128" s="492"/>
      <c r="C128" s="501" t="s">
        <v>273</v>
      </c>
      <c r="D128" s="604">
        <f>SUM(D129:D130)</f>
        <v>3638.333333</v>
      </c>
      <c r="E128" s="355">
        <f t="shared" ref="E128:E130" si="217">D128/D$32</f>
        <v>0.0004236849916</v>
      </c>
      <c r="F128" s="357">
        <f>SUM(F129:F130)</f>
        <v>3638</v>
      </c>
      <c r="G128" s="355">
        <f t="shared" ref="G128:G130" si="218">F128/F$32</f>
        <v>0.0004315238353</v>
      </c>
      <c r="H128" s="357">
        <f>SUM(H129:H130)</f>
        <v>0.3333333333</v>
      </c>
      <c r="I128" s="358"/>
      <c r="J128" s="604">
        <f>SUM(J129:J130)</f>
        <v>3638.333333</v>
      </c>
      <c r="K128" s="355">
        <f>J128/J$32</f>
        <v>0.000376489133</v>
      </c>
      <c r="L128" s="357">
        <f>SUM(L129:L130)</f>
        <v>3638</v>
      </c>
      <c r="M128" s="355">
        <f t="shared" ref="M128:M130" si="219">L128/L$32</f>
        <v>0.0004366445654</v>
      </c>
      <c r="N128" s="352">
        <f>SUM(N129:N130)</f>
        <v>0</v>
      </c>
      <c r="O128" s="358"/>
      <c r="P128" s="604">
        <f>SUM(P129:P130)</f>
        <v>3638.333333</v>
      </c>
      <c r="Q128" s="355">
        <f t="shared" ref="Q128:Q130" si="220">P128/P$32</f>
        <v>0.0004862396409</v>
      </c>
      <c r="R128" s="357">
        <f>SUM(R129:R130)</f>
        <v>3638</v>
      </c>
      <c r="S128" s="355">
        <f t="shared" ref="S128:S130" si="221">R128/R$32</f>
        <v>0.0004437786492</v>
      </c>
      <c r="T128" s="352">
        <f>SUM(T129:T130)</f>
        <v>0</v>
      </c>
      <c r="U128" s="358"/>
      <c r="V128" s="604">
        <f>SUM(V129:V130)</f>
        <v>3638.333333</v>
      </c>
      <c r="W128" s="355">
        <f t="shared" ref="W128:W130" si="222">V128/V$32</f>
        <v>0.0003824930663</v>
      </c>
      <c r="X128" s="357">
        <f>SUM(X129:X130)</f>
        <v>3638</v>
      </c>
      <c r="Y128" s="355">
        <f t="shared" ref="Y128:Y130" si="223">X128/X$32</f>
        <v>0.0004042033273</v>
      </c>
      <c r="Z128" s="352">
        <f>SUM(Z129:Z130)</f>
        <v>0</v>
      </c>
      <c r="AA128" s="358"/>
      <c r="AB128" s="604">
        <f>SUM(AB129:AB130)</f>
        <v>3638.333333</v>
      </c>
      <c r="AC128" s="355">
        <f t="shared" ref="AC128:AC130" si="224">AB128/AB$32</f>
        <v>0.0003882629135</v>
      </c>
      <c r="AD128" s="357">
        <f>SUM(AD129:AD130)</f>
        <v>3638</v>
      </c>
      <c r="AE128" s="355">
        <f t="shared" ref="AE128:AE130" si="225">AD128/AD$32</f>
        <v>0.000399780362</v>
      </c>
      <c r="AF128" s="352">
        <f>SUM(AF129:AF130)</f>
        <v>0</v>
      </c>
      <c r="AG128" s="358"/>
      <c r="AH128" s="604">
        <f>SUM(AH129:AH130)</f>
        <v>3638.333333</v>
      </c>
      <c r="AI128" s="355">
        <f t="shared" ref="AI128:AI130" si="226">AH128/AH$32</f>
        <v>0.0003952737862</v>
      </c>
      <c r="AJ128" s="352">
        <f>SUM(AJ129:AJ130)</f>
        <v>3638</v>
      </c>
      <c r="AK128" s="355">
        <f t="shared" ref="AK128:AK130" si="227">AJ128/AJ$32</f>
        <v>0.0004028055232</v>
      </c>
      <c r="AL128" s="352">
        <f>SUM(AL129:AL130)</f>
        <v>0</v>
      </c>
      <c r="AM128" s="358"/>
      <c r="AN128" s="604">
        <f>SUM(AN129:AN130)</f>
        <v>3638.333333</v>
      </c>
      <c r="AO128" s="355">
        <f t="shared" ref="AO128:AO130" si="228">AN128/AN$32</f>
        <v>0.0004320713467</v>
      </c>
      <c r="AP128" s="357">
        <f>SUM(AP129:AP130)</f>
        <v>1500</v>
      </c>
      <c r="AQ128" s="355">
        <f t="shared" ref="AQ128:AQ130" si="229">AP128/AP$32</f>
        <v>0.000152521986</v>
      </c>
      <c r="AR128" s="352">
        <f>SUM(AR129:AR130)</f>
        <v>0</v>
      </c>
      <c r="AS128" s="358"/>
      <c r="AT128" s="604">
        <f>SUM(AT129:AT130)</f>
        <v>3638.333333</v>
      </c>
      <c r="AU128" s="355">
        <f t="shared" ref="AU128:AU130" si="230">AT128/AT$32</f>
        <v>0.0003887547023</v>
      </c>
      <c r="AV128" s="357">
        <f>SUM(AV129:AV130)</f>
        <v>1500</v>
      </c>
      <c r="AW128" s="355">
        <f t="shared" ref="AW128:AW130" si="231">AV128/AV$32</f>
        <v>0.0001547845031</v>
      </c>
      <c r="AX128" s="352">
        <f>SUM(AX129:AX130)</f>
        <v>0</v>
      </c>
      <c r="AY128" s="358"/>
      <c r="AZ128" s="604">
        <f>SUM(AZ129:AZ130)</f>
        <v>3638.333333</v>
      </c>
      <c r="BA128" s="355">
        <f t="shared" ref="BA128:BA130" si="232">AZ128/AZ$32</f>
        <v>0.0003607444385</v>
      </c>
      <c r="BB128" s="357">
        <f>SUM(BB129:BB130)</f>
        <v>1500</v>
      </c>
      <c r="BC128" s="355">
        <f t="shared" ref="BC128:BC130" si="233">BB128/BB$32</f>
        <v>0.0001433257496</v>
      </c>
      <c r="BD128" s="352">
        <f>SUM(BD129:BD130)</f>
        <v>0</v>
      </c>
      <c r="BE128" s="358"/>
      <c r="BF128" s="604">
        <f>SUM(BF129:BF130)</f>
        <v>5290.333333</v>
      </c>
      <c r="BG128" s="355">
        <f t="shared" ref="BG128:BG130" si="234">BF128/BF$32</f>
        <v>0.0005462717592</v>
      </c>
      <c r="BH128" s="357">
        <f>SUM(BH129:BH130)</f>
        <v>1500</v>
      </c>
      <c r="BI128" s="355">
        <f t="shared" ref="BI128:BI130" si="235">BH128/BH$32</f>
        <v>0.000146972639</v>
      </c>
      <c r="BJ128" s="352">
        <f>SUM(BJ129:BJ130)</f>
        <v>0</v>
      </c>
      <c r="BK128" s="358"/>
      <c r="BL128" s="604">
        <f>SUM(BL129:BL130)</f>
        <v>3638.333333</v>
      </c>
      <c r="BM128" s="355">
        <f t="shared" ref="BM128:BM130" si="236">BL128/BL$32</f>
        <v>0.0004272822038</v>
      </c>
      <c r="BN128" s="357">
        <f>SUM(BN129:BN130)</f>
        <v>1500</v>
      </c>
      <c r="BO128" s="355">
        <f t="shared" ref="BO128:BO130" si="237">BN128/BN$32</f>
        <v>0.0001592915726</v>
      </c>
      <c r="BP128" s="352">
        <f>SUM(BP129:BP130)</f>
        <v>0</v>
      </c>
      <c r="BQ128" s="358"/>
      <c r="BR128" s="351">
        <f>SUM(BR129:BR130)</f>
        <v>688.3333333</v>
      </c>
      <c r="BS128" s="355">
        <f t="shared" ref="BS128:BS130" si="238">BR128/BR$32</f>
        <v>0.00006798902831</v>
      </c>
      <c r="BT128" s="357">
        <f>SUM(BT129:BT130)</f>
        <v>1500</v>
      </c>
      <c r="BU128" s="355">
        <f t="shared" ref="BU128:BU130" si="239">BT128/BT$32</f>
        <v>0.0001480340372</v>
      </c>
      <c r="BV128" s="352">
        <f>SUM(BV129:BV130)</f>
        <v>0</v>
      </c>
      <c r="BW128" s="358"/>
      <c r="BX128" s="718">
        <f>D128+J128+P128+V128+AB128+AH128+AN128+AT128+AZ128+BF128+BL128+BR128</f>
        <v>42362</v>
      </c>
      <c r="BY128" s="216"/>
      <c r="BZ128" s="216"/>
      <c r="CA128" s="216"/>
      <c r="CB128" s="216"/>
      <c r="CC128" s="216"/>
      <c r="CD128" s="216"/>
      <c r="CE128" s="216"/>
      <c r="CF128" s="216"/>
      <c r="CG128" s="216"/>
      <c r="CH128" s="216"/>
      <c r="CI128" s="216"/>
      <c r="CJ128" s="216"/>
      <c r="CK128" s="216"/>
      <c r="CL128" s="216"/>
      <c r="CM128" s="216"/>
      <c r="CN128" s="216"/>
      <c r="CO128" s="216"/>
      <c r="CP128" s="216"/>
      <c r="CQ128" s="216"/>
    </row>
    <row r="129" ht="15.75" customHeight="1">
      <c r="A129" s="213"/>
      <c r="B129" s="492"/>
      <c r="C129" s="492" t="s">
        <v>274</v>
      </c>
      <c r="D129" s="604"/>
      <c r="E129" s="355">
        <f t="shared" si="217"/>
        <v>0</v>
      </c>
      <c r="F129" s="357"/>
      <c r="G129" s="355">
        <f t="shared" si="218"/>
        <v>0</v>
      </c>
      <c r="H129" s="357">
        <f t="shared" ref="H129:H131" si="240">D129-F129</f>
        <v>0</v>
      </c>
      <c r="I129" s="395" t="str">
        <f t="shared" ref="I129:I131" si="241">H129/F129</f>
        <v>#DIV/0!</v>
      </c>
      <c r="J129" s="665"/>
      <c r="K129" s="355"/>
      <c r="L129" s="357"/>
      <c r="M129" s="355">
        <f t="shared" si="219"/>
        <v>0</v>
      </c>
      <c r="N129" s="352"/>
      <c r="O129" s="358"/>
      <c r="P129" s="665"/>
      <c r="Q129" s="355">
        <f t="shared" si="220"/>
        <v>0</v>
      </c>
      <c r="R129" s="357"/>
      <c r="S129" s="355">
        <f t="shared" si="221"/>
        <v>0</v>
      </c>
      <c r="T129" s="352"/>
      <c r="U129" s="358"/>
      <c r="V129" s="665"/>
      <c r="W129" s="355">
        <f t="shared" si="222"/>
        <v>0</v>
      </c>
      <c r="X129" s="357"/>
      <c r="Y129" s="355">
        <f t="shared" si="223"/>
        <v>0</v>
      </c>
      <c r="Z129" s="352"/>
      <c r="AA129" s="358"/>
      <c r="AB129" s="604"/>
      <c r="AC129" s="355">
        <f t="shared" si="224"/>
        <v>0</v>
      </c>
      <c r="AD129" s="357"/>
      <c r="AE129" s="355">
        <f t="shared" si="225"/>
        <v>0</v>
      </c>
      <c r="AF129" s="352"/>
      <c r="AG129" s="358"/>
      <c r="AH129" s="604"/>
      <c r="AI129" s="355">
        <f t="shared" si="226"/>
        <v>0</v>
      </c>
      <c r="AJ129" s="352"/>
      <c r="AK129" s="355">
        <f t="shared" si="227"/>
        <v>0</v>
      </c>
      <c r="AL129" s="352"/>
      <c r="AM129" s="358"/>
      <c r="AN129" s="604"/>
      <c r="AO129" s="355">
        <f t="shared" si="228"/>
        <v>0</v>
      </c>
      <c r="AP129" s="357"/>
      <c r="AQ129" s="355">
        <f t="shared" si="229"/>
        <v>0</v>
      </c>
      <c r="AR129" s="352"/>
      <c r="AS129" s="358"/>
      <c r="AT129" s="604"/>
      <c r="AU129" s="355">
        <f t="shared" si="230"/>
        <v>0</v>
      </c>
      <c r="AV129" s="357"/>
      <c r="AW129" s="355">
        <f t="shared" si="231"/>
        <v>0</v>
      </c>
      <c r="AX129" s="352"/>
      <c r="AY129" s="358"/>
      <c r="AZ129" s="604"/>
      <c r="BA129" s="355">
        <f t="shared" si="232"/>
        <v>0</v>
      </c>
      <c r="BB129" s="357"/>
      <c r="BC129" s="355">
        <f t="shared" si="233"/>
        <v>0</v>
      </c>
      <c r="BD129" s="352"/>
      <c r="BE129" s="358"/>
      <c r="BF129" s="604">
        <v>1652.0</v>
      </c>
      <c r="BG129" s="355">
        <f t="shared" si="234"/>
        <v>0.0001705830029</v>
      </c>
      <c r="BH129" s="357"/>
      <c r="BI129" s="355">
        <f t="shared" si="235"/>
        <v>0</v>
      </c>
      <c r="BJ129" s="352"/>
      <c r="BK129" s="358"/>
      <c r="BL129" s="604"/>
      <c r="BM129" s="355">
        <f t="shared" si="236"/>
        <v>0</v>
      </c>
      <c r="BN129" s="357"/>
      <c r="BO129" s="355">
        <f t="shared" si="237"/>
        <v>0</v>
      </c>
      <c r="BP129" s="352"/>
      <c r="BQ129" s="358"/>
      <c r="BR129" s="351"/>
      <c r="BS129" s="355">
        <f t="shared" si="238"/>
        <v>0</v>
      </c>
      <c r="BT129" s="357"/>
      <c r="BU129" s="355">
        <f t="shared" si="239"/>
        <v>0</v>
      </c>
      <c r="BV129" s="352"/>
      <c r="BW129" s="358"/>
      <c r="BX129" s="213"/>
      <c r="BY129" s="213"/>
      <c r="BZ129" s="213"/>
      <c r="CA129" s="213"/>
      <c r="CB129" s="213"/>
      <c r="CC129" s="213"/>
      <c r="CD129" s="213"/>
      <c r="CE129" s="213"/>
      <c r="CF129" s="213"/>
      <c r="CG129" s="213"/>
      <c r="CH129" s="213"/>
      <c r="CI129" s="213"/>
      <c r="CJ129" s="213"/>
      <c r="CK129" s="213"/>
      <c r="CL129" s="213"/>
      <c r="CM129" s="213"/>
      <c r="CN129" s="213"/>
      <c r="CO129" s="213"/>
      <c r="CP129" s="213"/>
      <c r="CQ129" s="213"/>
    </row>
    <row r="130" ht="15.75" customHeight="1">
      <c r="A130" s="213"/>
      <c r="B130" s="492"/>
      <c r="C130" s="492" t="s">
        <v>409</v>
      </c>
      <c r="D130" s="604">
        <f>2950+(8260/12)</f>
        <v>3638.333333</v>
      </c>
      <c r="E130" s="355">
        <f t="shared" si="217"/>
        <v>0.0004236849916</v>
      </c>
      <c r="F130" s="352">
        <v>3638.0</v>
      </c>
      <c r="G130" s="355">
        <f t="shared" si="218"/>
        <v>0.0004315238353</v>
      </c>
      <c r="H130" s="357">
        <f t="shared" si="240"/>
        <v>0.3333333333</v>
      </c>
      <c r="I130" s="395">
        <f t="shared" si="241"/>
        <v>0.00009162543522</v>
      </c>
      <c r="J130" s="604">
        <f>2950+(8260/12)</f>
        <v>3638.333333</v>
      </c>
      <c r="K130" s="355">
        <f>J130/J$32</f>
        <v>0.000376489133</v>
      </c>
      <c r="L130" s="352">
        <v>3638.0</v>
      </c>
      <c r="M130" s="355">
        <f t="shared" si="219"/>
        <v>0.0004366445654</v>
      </c>
      <c r="N130" s="352"/>
      <c r="O130" s="358"/>
      <c r="P130" s="604">
        <f>2950+(8260/12)</f>
        <v>3638.333333</v>
      </c>
      <c r="Q130" s="355">
        <f t="shared" si="220"/>
        <v>0.0004862396409</v>
      </c>
      <c r="R130" s="352">
        <v>3638.0</v>
      </c>
      <c r="S130" s="355">
        <f t="shared" si="221"/>
        <v>0.0004437786492</v>
      </c>
      <c r="T130" s="352"/>
      <c r="U130" s="358"/>
      <c r="V130" s="604">
        <f>2950+(8260/12)</f>
        <v>3638.333333</v>
      </c>
      <c r="W130" s="355">
        <f t="shared" si="222"/>
        <v>0.0003824930663</v>
      </c>
      <c r="X130" s="352">
        <v>3638.0</v>
      </c>
      <c r="Y130" s="355">
        <f t="shared" si="223"/>
        <v>0.0004042033273</v>
      </c>
      <c r="Z130" s="352"/>
      <c r="AA130" s="358"/>
      <c r="AB130" s="604">
        <f>2950+(8260/12)</f>
        <v>3638.333333</v>
      </c>
      <c r="AC130" s="355">
        <f t="shared" si="224"/>
        <v>0.0003882629135</v>
      </c>
      <c r="AD130" s="352">
        <v>3638.0</v>
      </c>
      <c r="AE130" s="355">
        <f t="shared" si="225"/>
        <v>0.000399780362</v>
      </c>
      <c r="AF130" s="352"/>
      <c r="AG130" s="358"/>
      <c r="AH130" s="604">
        <f>2950+(8260/12)</f>
        <v>3638.333333</v>
      </c>
      <c r="AI130" s="355">
        <f t="shared" si="226"/>
        <v>0.0003952737862</v>
      </c>
      <c r="AJ130" s="352">
        <v>3638.0</v>
      </c>
      <c r="AK130" s="355">
        <f t="shared" si="227"/>
        <v>0.0004028055232</v>
      </c>
      <c r="AL130" s="352"/>
      <c r="AM130" s="358"/>
      <c r="AN130" s="604">
        <f>2950+(8260/12)</f>
        <v>3638.333333</v>
      </c>
      <c r="AO130" s="355">
        <f t="shared" si="228"/>
        <v>0.0004320713467</v>
      </c>
      <c r="AP130" s="357">
        <v>1500.0</v>
      </c>
      <c r="AQ130" s="355">
        <f t="shared" si="229"/>
        <v>0.000152521986</v>
      </c>
      <c r="AR130" s="352"/>
      <c r="AS130" s="358"/>
      <c r="AT130" s="604">
        <f>2950+(8260/12)</f>
        <v>3638.333333</v>
      </c>
      <c r="AU130" s="355">
        <f t="shared" si="230"/>
        <v>0.0003887547023</v>
      </c>
      <c r="AV130" s="357">
        <v>1500.0</v>
      </c>
      <c r="AW130" s="355">
        <f t="shared" si="231"/>
        <v>0.0001547845031</v>
      </c>
      <c r="AX130" s="352"/>
      <c r="AY130" s="358"/>
      <c r="AZ130" s="604">
        <f>2950+(8260/12)</f>
        <v>3638.333333</v>
      </c>
      <c r="BA130" s="355">
        <f t="shared" si="232"/>
        <v>0.0003607444385</v>
      </c>
      <c r="BB130" s="357">
        <v>1500.0</v>
      </c>
      <c r="BC130" s="355">
        <f t="shared" si="233"/>
        <v>0.0001433257496</v>
      </c>
      <c r="BD130" s="352"/>
      <c r="BE130" s="358"/>
      <c r="BF130" s="604">
        <f>2950+(8260/12)</f>
        <v>3638.333333</v>
      </c>
      <c r="BG130" s="355">
        <f t="shared" si="234"/>
        <v>0.0003756887563</v>
      </c>
      <c r="BH130" s="357">
        <v>1500.0</v>
      </c>
      <c r="BI130" s="355">
        <f t="shared" si="235"/>
        <v>0.000146972639</v>
      </c>
      <c r="BJ130" s="352"/>
      <c r="BK130" s="358"/>
      <c r="BL130" s="604">
        <f>2950+(8260/12)</f>
        <v>3638.333333</v>
      </c>
      <c r="BM130" s="355">
        <f t="shared" si="236"/>
        <v>0.0004272822038</v>
      </c>
      <c r="BN130" s="357">
        <v>1500.0</v>
      </c>
      <c r="BO130" s="355">
        <f t="shared" si="237"/>
        <v>0.0001592915726</v>
      </c>
      <c r="BP130" s="352"/>
      <c r="BQ130" s="358"/>
      <c r="BR130" s="351">
        <f>(8260/12)</f>
        <v>688.3333333</v>
      </c>
      <c r="BS130" s="355">
        <f t="shared" si="238"/>
        <v>0.00006798902831</v>
      </c>
      <c r="BT130" s="357">
        <v>1500.0</v>
      </c>
      <c r="BU130" s="355">
        <f t="shared" si="239"/>
        <v>0.0001480340372</v>
      </c>
      <c r="BV130" s="352"/>
      <c r="BW130" s="358"/>
      <c r="BX130" s="213"/>
      <c r="BY130" s="213"/>
      <c r="BZ130" s="213"/>
      <c r="CA130" s="213"/>
      <c r="CB130" s="213"/>
      <c r="CC130" s="213"/>
      <c r="CD130" s="213"/>
      <c r="CE130" s="213"/>
      <c r="CF130" s="213"/>
      <c r="CG130" s="213"/>
      <c r="CH130" s="213"/>
      <c r="CI130" s="213"/>
      <c r="CJ130" s="213"/>
      <c r="CK130" s="213"/>
      <c r="CL130" s="213"/>
      <c r="CM130" s="213"/>
      <c r="CN130" s="213"/>
      <c r="CO130" s="213"/>
      <c r="CP130" s="213"/>
      <c r="CQ130" s="213"/>
    </row>
    <row r="131" ht="15.75" customHeight="1">
      <c r="A131" s="213"/>
      <c r="B131" s="492"/>
      <c r="C131" s="492"/>
      <c r="D131" s="604"/>
      <c r="E131" s="352"/>
      <c r="F131" s="352"/>
      <c r="G131" s="352"/>
      <c r="H131" s="357">
        <f t="shared" si="240"/>
        <v>0</v>
      </c>
      <c r="I131" s="395" t="str">
        <f t="shared" si="241"/>
        <v>#DIV/0!</v>
      </c>
      <c r="J131" s="393"/>
      <c r="K131" s="352"/>
      <c r="L131" s="352"/>
      <c r="M131" s="352"/>
      <c r="N131" s="352"/>
      <c r="O131" s="358"/>
      <c r="P131" s="393"/>
      <c r="Q131" s="352"/>
      <c r="R131" s="352"/>
      <c r="S131" s="352"/>
      <c r="T131" s="352"/>
      <c r="U131" s="358"/>
      <c r="V131" s="393"/>
      <c r="W131" s="352"/>
      <c r="X131" s="352"/>
      <c r="Y131" s="352"/>
      <c r="Z131" s="352"/>
      <c r="AA131" s="358"/>
      <c r="AB131" s="604"/>
      <c r="AC131" s="352"/>
      <c r="AD131" s="352"/>
      <c r="AE131" s="352"/>
      <c r="AF131" s="352"/>
      <c r="AG131" s="358"/>
      <c r="AH131" s="604"/>
      <c r="AI131" s="352"/>
      <c r="AJ131" s="352"/>
      <c r="AK131" s="352"/>
      <c r="AL131" s="352"/>
      <c r="AM131" s="358"/>
      <c r="AN131" s="604"/>
      <c r="AO131" s="352"/>
      <c r="AP131" s="352"/>
      <c r="AQ131" s="352"/>
      <c r="AR131" s="352"/>
      <c r="AS131" s="358"/>
      <c r="AT131" s="604"/>
      <c r="AU131" s="352"/>
      <c r="AV131" s="352"/>
      <c r="AW131" s="352"/>
      <c r="AX131" s="352"/>
      <c r="AY131" s="358"/>
      <c r="AZ131" s="604"/>
      <c r="BA131" s="352"/>
      <c r="BB131" s="352"/>
      <c r="BC131" s="352"/>
      <c r="BD131" s="352"/>
      <c r="BE131" s="358"/>
      <c r="BF131" s="604"/>
      <c r="BG131" s="352"/>
      <c r="BH131" s="352"/>
      <c r="BI131" s="352"/>
      <c r="BJ131" s="352"/>
      <c r="BK131" s="358"/>
      <c r="BL131" s="604"/>
      <c r="BM131" s="352"/>
      <c r="BN131" s="352"/>
      <c r="BO131" s="352"/>
      <c r="BP131" s="352"/>
      <c r="BQ131" s="358"/>
      <c r="BR131" s="351"/>
      <c r="BS131" s="352"/>
      <c r="BT131" s="352"/>
      <c r="BU131" s="352"/>
      <c r="BV131" s="352"/>
      <c r="BW131" s="358"/>
      <c r="BX131" s="213"/>
      <c r="BY131" s="213"/>
      <c r="BZ131" s="213"/>
      <c r="CA131" s="213"/>
      <c r="CB131" s="213"/>
      <c r="CC131" s="213"/>
      <c r="CD131" s="213"/>
      <c r="CE131" s="213"/>
      <c r="CF131" s="213"/>
      <c r="CG131" s="213"/>
      <c r="CH131" s="213"/>
      <c r="CI131" s="213"/>
      <c r="CJ131" s="213"/>
      <c r="CK131" s="213"/>
      <c r="CL131" s="213"/>
      <c r="CM131" s="213"/>
      <c r="CN131" s="213"/>
      <c r="CO131" s="213"/>
      <c r="CP131" s="213"/>
      <c r="CQ131" s="213"/>
    </row>
    <row r="132" ht="15.75" customHeight="1">
      <c r="A132" s="213"/>
      <c r="B132" s="492"/>
      <c r="C132" s="501" t="s">
        <v>41</v>
      </c>
      <c r="D132" s="604">
        <f>SUM(D133:D144)</f>
        <v>156060.75</v>
      </c>
      <c r="E132" s="355">
        <f t="shared" ref="E132:E145" si="242">D132/D$32</f>
        <v>0.01817332044</v>
      </c>
      <c r="F132" s="357">
        <f>SUM(F133:F144)</f>
        <v>59242.5</v>
      </c>
      <c r="G132" s="355">
        <f t="shared" ref="G132:G148" si="243">F132/F$32</f>
        <v>0.007027089283</v>
      </c>
      <c r="H132" s="357">
        <f>SUM(H133:H144)</f>
        <v>96818.25</v>
      </c>
      <c r="I132" s="358"/>
      <c r="J132" s="604">
        <f>SUM(J133:J144)</f>
        <v>111886.75</v>
      </c>
      <c r="K132" s="355">
        <f t="shared" ref="K132:K145" si="244">J132/J$32</f>
        <v>0.01157786867</v>
      </c>
      <c r="L132" s="357">
        <f>SUM(L133:L144)</f>
        <v>59242.5</v>
      </c>
      <c r="M132" s="355">
        <f>L132/L$32</f>
        <v>0.007110477093</v>
      </c>
      <c r="N132" s="352">
        <f>SUM(N133:N144)</f>
        <v>0</v>
      </c>
      <c r="O132" s="358"/>
      <c r="P132" s="604">
        <f>SUM(P133:P144)</f>
        <v>70560.75</v>
      </c>
      <c r="Q132" s="355">
        <f>P132/P$32</f>
        <v>0.00942998637</v>
      </c>
      <c r="R132" s="357">
        <f>SUM(R133:R144)</f>
        <v>59242.5</v>
      </c>
      <c r="S132" s="355">
        <f>R132/R$32</f>
        <v>0.007226651079</v>
      </c>
      <c r="T132" s="352">
        <f>SUM(T133:T144)</f>
        <v>0</v>
      </c>
      <c r="U132" s="358"/>
      <c r="V132" s="604">
        <f>SUM(V133:V144)</f>
        <v>106737.5</v>
      </c>
      <c r="W132" s="355">
        <f t="shared" ref="W132:W145" si="245">V132/V$32</f>
        <v>0.01122116913</v>
      </c>
      <c r="X132" s="357">
        <f>SUM(X133:X144)</f>
        <v>94242.5</v>
      </c>
      <c r="Y132" s="355">
        <f>X132/X$32</f>
        <v>0.01047089942</v>
      </c>
      <c r="Z132" s="352">
        <f>SUM(Z133:Z144)</f>
        <v>0</v>
      </c>
      <c r="AA132" s="358"/>
      <c r="AB132" s="604">
        <f>SUM(AB133:AB144)</f>
        <v>135149.75</v>
      </c>
      <c r="AC132" s="355">
        <f t="shared" ref="AC132:AC145" si="246">AB132/AB$32</f>
        <v>0.01442243766</v>
      </c>
      <c r="AD132" s="357">
        <f>SUM(AD133:AD144)</f>
        <v>103538</v>
      </c>
      <c r="AE132" s="355">
        <f>AD132/AD$32</f>
        <v>0.01137780625</v>
      </c>
      <c r="AF132" s="352">
        <f>SUM(AF133:AF144)</f>
        <v>0</v>
      </c>
      <c r="AG132" s="358"/>
      <c r="AH132" s="604">
        <f>SUM(AH133:AH144)</f>
        <v>123272.75</v>
      </c>
      <c r="AI132" s="355">
        <f>AH132/AH$32</f>
        <v>0.01339252954</v>
      </c>
      <c r="AJ132" s="357">
        <f>SUM(AJ133:AJ144)</f>
        <v>59538</v>
      </c>
      <c r="AK132" s="355">
        <f>AJ132/AJ$32</f>
        <v>0.006592148224</v>
      </c>
      <c r="AL132" s="352">
        <f>SUM(AL133:AL144)</f>
        <v>0</v>
      </c>
      <c r="AM132" s="358"/>
      <c r="AN132" s="604">
        <f>SUM(AN133:AN144)</f>
        <v>127628.0833</v>
      </c>
      <c r="AO132" s="355">
        <f>AN132/AN$32</f>
        <v>0.01515651063</v>
      </c>
      <c r="AP132" s="357">
        <f>SUM(AP133:AP144)</f>
        <v>82000</v>
      </c>
      <c r="AQ132" s="355">
        <f>AP132/AP$32</f>
        <v>0.00833786857</v>
      </c>
      <c r="AR132" s="352">
        <f>SUM(AR133:AR144)</f>
        <v>0</v>
      </c>
      <c r="AS132" s="358"/>
      <c r="AT132" s="604">
        <f>SUM(AT133:AT144)</f>
        <v>50492.08333</v>
      </c>
      <c r="AU132" s="355">
        <f>AT132/AT$32</f>
        <v>0.005395062252</v>
      </c>
      <c r="AV132" s="357">
        <f>SUM(AV133:AV144)</f>
        <v>82000</v>
      </c>
      <c r="AW132" s="355">
        <f>AV132/AV$32</f>
        <v>0.008461552837</v>
      </c>
      <c r="AX132" s="352">
        <f>SUM(AX133:AX144)</f>
        <v>0</v>
      </c>
      <c r="AY132" s="358"/>
      <c r="AZ132" s="604">
        <f>SUM(AZ133:AZ144)</f>
        <v>99228.08333</v>
      </c>
      <c r="BA132" s="355">
        <f>AZ132/AZ$32</f>
        <v>0.009838565059</v>
      </c>
      <c r="BB132" s="357">
        <f>SUM(BB133:BB144)</f>
        <v>82000</v>
      </c>
      <c r="BC132" s="355">
        <f>BB132/BB$32</f>
        <v>0.007835140979</v>
      </c>
      <c r="BD132" s="352">
        <f>SUM(BD133:BD144)</f>
        <v>0</v>
      </c>
      <c r="BE132" s="358"/>
      <c r="BF132" s="604">
        <f>SUM(BF133:BF144)</f>
        <v>94657.83333</v>
      </c>
      <c r="BG132" s="355">
        <f>BF132/BF$32</f>
        <v>0.009774223641</v>
      </c>
      <c r="BH132" s="357">
        <f>SUM(BH133:BH144)</f>
        <v>47000</v>
      </c>
      <c r="BI132" s="355">
        <f>BH132/BH$32</f>
        <v>0.004605142688</v>
      </c>
      <c r="BJ132" s="352">
        <f>SUM(BJ133:BJ144)</f>
        <v>0</v>
      </c>
      <c r="BK132" s="358"/>
      <c r="BL132" s="604">
        <f>SUM(BL133:BL145)</f>
        <v>69258.2</v>
      </c>
      <c r="BM132" s="355">
        <f>BL132/BL$32</f>
        <v>0.008133613283</v>
      </c>
      <c r="BN132" s="604">
        <f>SUM(BN133:BN145)</f>
        <v>47000</v>
      </c>
      <c r="BO132" s="355">
        <f>BN132/BN$32</f>
        <v>0.004991135941</v>
      </c>
      <c r="BP132" s="352">
        <f>SUM(BP133:BP144)</f>
        <v>0</v>
      </c>
      <c r="BQ132" s="358"/>
      <c r="BR132" s="351">
        <f>SUM(BR133:BR144)</f>
        <v>171725.64</v>
      </c>
      <c r="BS132" s="355">
        <f>BR132/BR$32</f>
        <v>0.01696192649</v>
      </c>
      <c r="BT132" s="357">
        <f>SUM(BT133:BT144)</f>
        <v>47000</v>
      </c>
      <c r="BU132" s="355">
        <f>BT132/BT$32</f>
        <v>0.004638399833</v>
      </c>
      <c r="BV132" s="352">
        <f>SUM(BV133:BV144)</f>
        <v>0</v>
      </c>
      <c r="BW132" s="358"/>
      <c r="BX132" s="718">
        <f>D132+J132+P132+V132+AB132+AH132+AN132+AT132+AZ132+BF132+BL132+BR132</f>
        <v>1316658.173</v>
      </c>
      <c r="BY132" s="216"/>
      <c r="BZ132" s="216"/>
      <c r="CA132" s="216"/>
      <c r="CB132" s="216"/>
      <c r="CC132" s="216"/>
      <c r="CD132" s="216"/>
      <c r="CE132" s="216"/>
      <c r="CF132" s="216"/>
      <c r="CG132" s="216"/>
      <c r="CH132" s="216"/>
      <c r="CI132" s="216"/>
      <c r="CJ132" s="216"/>
      <c r="CK132" s="216"/>
      <c r="CL132" s="216"/>
      <c r="CM132" s="216"/>
      <c r="CN132" s="216"/>
      <c r="CO132" s="216"/>
      <c r="CP132" s="216"/>
      <c r="CQ132" s="216"/>
    </row>
    <row r="133" ht="15.75" customHeight="1">
      <c r="A133" s="213"/>
      <c r="B133" s="492"/>
      <c r="C133" s="492" t="s">
        <v>277</v>
      </c>
      <c r="D133" s="604"/>
      <c r="E133" s="355">
        <f t="shared" si="242"/>
        <v>0</v>
      </c>
      <c r="F133" s="357"/>
      <c r="G133" s="355">
        <f t="shared" si="243"/>
        <v>0</v>
      </c>
      <c r="H133" s="357">
        <f t="shared" ref="H133:H138" si="247">D133-F133</f>
        <v>0</v>
      </c>
      <c r="I133" s="395" t="str">
        <f t="shared" ref="I133:I138" si="248">H133/F133</f>
        <v>#DIV/0!</v>
      </c>
      <c r="J133" s="665"/>
      <c r="K133" s="355">
        <f t="shared" si="244"/>
        <v>0</v>
      </c>
      <c r="L133" s="357"/>
      <c r="M133" s="352"/>
      <c r="N133" s="352"/>
      <c r="O133" s="358"/>
      <c r="P133" s="665"/>
      <c r="Q133" s="352"/>
      <c r="R133" s="357"/>
      <c r="S133" s="352"/>
      <c r="T133" s="352"/>
      <c r="U133" s="358"/>
      <c r="V133" s="665"/>
      <c r="W133" s="355">
        <f t="shared" si="245"/>
        <v>0</v>
      </c>
      <c r="X133" s="357"/>
      <c r="Y133" s="352"/>
      <c r="Z133" s="352"/>
      <c r="AA133" s="358"/>
      <c r="AB133" s="604"/>
      <c r="AC133" s="355">
        <f t="shared" si="246"/>
        <v>0</v>
      </c>
      <c r="AD133" s="357"/>
      <c r="AE133" s="352"/>
      <c r="AF133" s="352"/>
      <c r="AG133" s="358"/>
      <c r="AH133" s="604"/>
      <c r="AI133" s="352"/>
      <c r="AJ133" s="357"/>
      <c r="AK133" s="352"/>
      <c r="AL133" s="352"/>
      <c r="AM133" s="358"/>
      <c r="AN133" s="604"/>
      <c r="AO133" s="352"/>
      <c r="AP133" s="357"/>
      <c r="AQ133" s="352"/>
      <c r="AR133" s="352"/>
      <c r="AS133" s="358"/>
      <c r="AT133" s="604"/>
      <c r="AU133" s="352"/>
      <c r="AV133" s="357"/>
      <c r="AW133" s="352"/>
      <c r="AX133" s="352"/>
      <c r="AY133" s="358"/>
      <c r="AZ133" s="604"/>
      <c r="BA133" s="352"/>
      <c r="BB133" s="357"/>
      <c r="BC133" s="352"/>
      <c r="BD133" s="352"/>
      <c r="BE133" s="358"/>
      <c r="BF133" s="604"/>
      <c r="BG133" s="352"/>
      <c r="BH133" s="357"/>
      <c r="BI133" s="352"/>
      <c r="BJ133" s="352"/>
      <c r="BK133" s="358"/>
      <c r="BL133" s="604"/>
      <c r="BM133" s="352"/>
      <c r="BN133" s="357"/>
      <c r="BO133" s="352"/>
      <c r="BP133" s="352"/>
      <c r="BQ133" s="358"/>
      <c r="BR133" s="351"/>
      <c r="BS133" s="352"/>
      <c r="BT133" s="357"/>
      <c r="BU133" s="352"/>
      <c r="BV133" s="352"/>
      <c r="BW133" s="358"/>
      <c r="BX133" s="213"/>
      <c r="BY133" s="213"/>
      <c r="BZ133" s="213"/>
      <c r="CA133" s="213"/>
      <c r="CB133" s="213"/>
      <c r="CC133" s="213"/>
      <c r="CD133" s="213"/>
      <c r="CE133" s="213"/>
      <c r="CF133" s="213"/>
      <c r="CG133" s="213"/>
      <c r="CH133" s="213"/>
      <c r="CI133" s="213"/>
      <c r="CJ133" s="213"/>
      <c r="CK133" s="213"/>
      <c r="CL133" s="213"/>
      <c r="CM133" s="213"/>
      <c r="CN133" s="213"/>
      <c r="CO133" s="213"/>
      <c r="CP133" s="213"/>
      <c r="CQ133" s="213"/>
    </row>
    <row r="134" ht="15.75" customHeight="1">
      <c r="A134" s="213"/>
      <c r="B134" s="492"/>
      <c r="C134" s="492" t="s">
        <v>278</v>
      </c>
      <c r="D134" s="604">
        <v>855.0</v>
      </c>
      <c r="E134" s="355">
        <f t="shared" si="242"/>
        <v>0.0000995650026</v>
      </c>
      <c r="F134" s="357">
        <v>500.0</v>
      </c>
      <c r="G134" s="355">
        <f t="shared" si="243"/>
        <v>0.00005930783882</v>
      </c>
      <c r="H134" s="357">
        <f t="shared" si="247"/>
        <v>355</v>
      </c>
      <c r="I134" s="395">
        <f t="shared" si="248"/>
        <v>0.71</v>
      </c>
      <c r="J134" s="604">
        <v>344.0</v>
      </c>
      <c r="K134" s="355">
        <f t="shared" si="244"/>
        <v>0.0000355965905</v>
      </c>
      <c r="L134" s="357">
        <v>500.0</v>
      </c>
      <c r="M134" s="355">
        <f>L134/L$32</f>
        <v>0.00006001162251</v>
      </c>
      <c r="N134" s="352"/>
      <c r="O134" s="358"/>
      <c r="P134" s="604">
        <v>1432.0</v>
      </c>
      <c r="Q134" s="355">
        <f>P134/P$32</f>
        <v>0.0001913775078</v>
      </c>
      <c r="R134" s="357">
        <v>500.0</v>
      </c>
      <c r="S134" s="355">
        <f>R134/R$32</f>
        <v>0.00006099211781</v>
      </c>
      <c r="T134" s="352"/>
      <c r="U134" s="358"/>
      <c r="V134" s="604">
        <v>1420.0</v>
      </c>
      <c r="W134" s="355">
        <f t="shared" si="245"/>
        <v>0.0001492826809</v>
      </c>
      <c r="X134" s="357">
        <v>500.0</v>
      </c>
      <c r="Y134" s="355">
        <f>X134/X$32</f>
        <v>0.00005555295867</v>
      </c>
      <c r="Z134" s="352"/>
      <c r="AA134" s="358"/>
      <c r="AB134" s="604">
        <v>270.0</v>
      </c>
      <c r="AC134" s="355">
        <f t="shared" si="246"/>
        <v>0.00002881291433</v>
      </c>
      <c r="AD134" s="357">
        <v>500.0</v>
      </c>
      <c r="AE134" s="355">
        <f>AD134/AD$32</f>
        <v>0.00005494507449</v>
      </c>
      <c r="AF134" s="352"/>
      <c r="AG134" s="358"/>
      <c r="AH134" s="604">
        <v>634.0</v>
      </c>
      <c r="AI134" s="355">
        <f>AH134/AH$32</f>
        <v>0.00006887867534</v>
      </c>
      <c r="AJ134" s="357">
        <v>500.0</v>
      </c>
      <c r="AK134" s="355">
        <f>AJ134/AJ$32</f>
        <v>0.00005536084706</v>
      </c>
      <c r="AL134" s="352"/>
      <c r="AM134" s="358"/>
      <c r="AN134" s="604">
        <v>573.0</v>
      </c>
      <c r="AO134" s="355">
        <f>AN134/AN$32</f>
        <v>0.00006804678378</v>
      </c>
      <c r="AP134" s="357">
        <v>500.0</v>
      </c>
      <c r="AQ134" s="355">
        <f>AP134/AP$32</f>
        <v>0.00005084066201</v>
      </c>
      <c r="AR134" s="352"/>
      <c r="AS134" s="358"/>
      <c r="AT134" s="604">
        <v>597.0</v>
      </c>
      <c r="AU134" s="355">
        <f>AT134/AT$32</f>
        <v>0.00006378925074</v>
      </c>
      <c r="AV134" s="357">
        <v>500.0</v>
      </c>
      <c r="AW134" s="355">
        <f>AV134/AV$32</f>
        <v>0.00005159483437</v>
      </c>
      <c r="AX134" s="352"/>
      <c r="AY134" s="358"/>
      <c r="AZ134" s="604">
        <v>200.0</v>
      </c>
      <c r="BA134" s="355">
        <f>AZ134/AZ$32</f>
        <v>0.00001983020276</v>
      </c>
      <c r="BB134" s="357">
        <v>500.0</v>
      </c>
      <c r="BC134" s="355">
        <f>BB134/BB$32</f>
        <v>0.00004777524987</v>
      </c>
      <c r="BD134" s="352"/>
      <c r="BE134" s="358"/>
      <c r="BF134" s="604">
        <v>621.0</v>
      </c>
      <c r="BG134" s="355">
        <f>BF134/BF$32</f>
        <v>0.00006412351379</v>
      </c>
      <c r="BH134" s="357">
        <v>500.0</v>
      </c>
      <c r="BI134" s="355">
        <f>BH134/BH$32</f>
        <v>0.00004899087966</v>
      </c>
      <c r="BJ134" s="352"/>
      <c r="BK134" s="358"/>
      <c r="BL134" s="604">
        <v>754.0</v>
      </c>
      <c r="BM134" s="355">
        <f>BL134/BL$32</f>
        <v>0.00008854900092</v>
      </c>
      <c r="BN134" s="357">
        <v>500.0</v>
      </c>
      <c r="BO134" s="355">
        <f>BN134/BN$32</f>
        <v>0.00005309719086</v>
      </c>
      <c r="BP134" s="352"/>
      <c r="BQ134" s="358"/>
      <c r="BR134" s="351">
        <v>383.0</v>
      </c>
      <c r="BS134" s="355">
        <f>BR134/BR$32</f>
        <v>0.00003783021478</v>
      </c>
      <c r="BT134" s="357">
        <v>500.0</v>
      </c>
      <c r="BU134" s="355">
        <f>BT134/BT$32</f>
        <v>0.00004934467908</v>
      </c>
      <c r="BV134" s="352"/>
      <c r="BW134" s="358"/>
      <c r="BX134" s="213"/>
      <c r="BY134" s="213"/>
      <c r="BZ134" s="213"/>
      <c r="CA134" s="213"/>
      <c r="CB134" s="213"/>
      <c r="CC134" s="213"/>
      <c r="CD134" s="213"/>
      <c r="CE134" s="213"/>
      <c r="CF134" s="213"/>
      <c r="CG134" s="213"/>
      <c r="CH134" s="213"/>
      <c r="CI134" s="213"/>
      <c r="CJ134" s="213"/>
      <c r="CK134" s="213"/>
      <c r="CL134" s="213"/>
      <c r="CM134" s="213"/>
      <c r="CN134" s="213"/>
      <c r="CO134" s="213"/>
      <c r="CP134" s="213"/>
      <c r="CQ134" s="213"/>
    </row>
    <row r="135" ht="15.75" customHeight="1">
      <c r="A135" s="213"/>
      <c r="B135" s="492"/>
      <c r="C135" s="492" t="s">
        <v>280</v>
      </c>
      <c r="D135" s="604">
        <f>16347/12</f>
        <v>1362.25</v>
      </c>
      <c r="E135" s="355">
        <f t="shared" si="242"/>
        <v>0.000158634415</v>
      </c>
      <c r="F135" s="357"/>
      <c r="G135" s="355">
        <f t="shared" si="243"/>
        <v>0</v>
      </c>
      <c r="H135" s="357">
        <f t="shared" si="247"/>
        <v>1362.25</v>
      </c>
      <c r="I135" s="395" t="str">
        <f t="shared" si="248"/>
        <v>#DIV/0!</v>
      </c>
      <c r="J135" s="604">
        <f>16347/12</f>
        <v>1362.25</v>
      </c>
      <c r="K135" s="355">
        <f t="shared" si="244"/>
        <v>0.0001409635331</v>
      </c>
      <c r="L135" s="357"/>
      <c r="M135" s="352"/>
      <c r="N135" s="352"/>
      <c r="O135" s="358"/>
      <c r="P135" s="604">
        <f>16347/12</f>
        <v>1362.25</v>
      </c>
      <c r="Q135" s="352"/>
      <c r="R135" s="357"/>
      <c r="S135" s="352"/>
      <c r="T135" s="352"/>
      <c r="U135" s="358"/>
      <c r="V135" s="604">
        <v>1362.0</v>
      </c>
      <c r="W135" s="355">
        <f t="shared" si="245"/>
        <v>0.0001431852193</v>
      </c>
      <c r="X135" s="357"/>
      <c r="Y135" s="352"/>
      <c r="Z135" s="352"/>
      <c r="AA135" s="358"/>
      <c r="AB135" s="604">
        <f>16347/12</f>
        <v>1362.25</v>
      </c>
      <c r="AC135" s="355">
        <f t="shared" si="246"/>
        <v>0.0001453718243</v>
      </c>
      <c r="AD135" s="357"/>
      <c r="AE135" s="352"/>
      <c r="AF135" s="352"/>
      <c r="AG135" s="358"/>
      <c r="AH135" s="604">
        <f>16347/12</f>
        <v>1362.25</v>
      </c>
      <c r="AI135" s="352"/>
      <c r="AJ135" s="357"/>
      <c r="AK135" s="352"/>
      <c r="AL135" s="352"/>
      <c r="AM135" s="358"/>
      <c r="AN135" s="604">
        <f>16347/12</f>
        <v>1362.25</v>
      </c>
      <c r="AO135" s="352"/>
      <c r="AP135" s="357"/>
      <c r="AQ135" s="352"/>
      <c r="AR135" s="352"/>
      <c r="AS135" s="358"/>
      <c r="AT135" s="604">
        <f>16347/12</f>
        <v>1362.25</v>
      </c>
      <c r="AU135" s="352"/>
      <c r="AV135" s="357"/>
      <c r="AW135" s="352"/>
      <c r="AX135" s="352"/>
      <c r="AY135" s="358"/>
      <c r="AZ135" s="604">
        <f>16347/12</f>
        <v>1362.25</v>
      </c>
      <c r="BA135" s="352"/>
      <c r="BB135" s="357"/>
      <c r="BC135" s="352"/>
      <c r="BD135" s="352"/>
      <c r="BE135" s="358"/>
      <c r="BF135" s="604"/>
      <c r="BG135" s="352"/>
      <c r="BH135" s="357"/>
      <c r="BI135" s="352"/>
      <c r="BJ135" s="352"/>
      <c r="BK135" s="358"/>
      <c r="BL135" s="604"/>
      <c r="BM135" s="352"/>
      <c r="BN135" s="357"/>
      <c r="BO135" s="352"/>
      <c r="BP135" s="352"/>
      <c r="BQ135" s="358"/>
      <c r="BR135" s="351"/>
      <c r="BS135" s="352"/>
      <c r="BT135" s="357"/>
      <c r="BU135" s="352"/>
      <c r="BV135" s="352"/>
      <c r="BW135" s="358"/>
      <c r="BX135" s="213"/>
      <c r="BY135" s="213"/>
      <c r="BZ135" s="213"/>
      <c r="CA135" s="213"/>
      <c r="CB135" s="213"/>
      <c r="CC135" s="213"/>
      <c r="CD135" s="213"/>
      <c r="CE135" s="213"/>
      <c r="CF135" s="213"/>
      <c r="CG135" s="213"/>
      <c r="CH135" s="213"/>
      <c r="CI135" s="213"/>
      <c r="CJ135" s="213"/>
      <c r="CK135" s="213"/>
      <c r="CL135" s="213"/>
      <c r="CM135" s="213"/>
      <c r="CN135" s="213"/>
      <c r="CO135" s="213"/>
      <c r="CP135" s="213"/>
      <c r="CQ135" s="213"/>
    </row>
    <row r="136" ht="15.75" customHeight="1">
      <c r="A136" s="213"/>
      <c r="B136" s="492"/>
      <c r="C136" s="492" t="s">
        <v>334</v>
      </c>
      <c r="D136" s="604"/>
      <c r="E136" s="355">
        <f t="shared" si="242"/>
        <v>0</v>
      </c>
      <c r="F136" s="357"/>
      <c r="G136" s="355">
        <f t="shared" si="243"/>
        <v>0</v>
      </c>
      <c r="H136" s="357">
        <f t="shared" si="247"/>
        <v>0</v>
      </c>
      <c r="I136" s="395" t="str">
        <f t="shared" si="248"/>
        <v>#DIV/0!</v>
      </c>
      <c r="J136" s="665"/>
      <c r="K136" s="355">
        <f t="shared" si="244"/>
        <v>0</v>
      </c>
      <c r="L136" s="357"/>
      <c r="M136" s="352"/>
      <c r="N136" s="352"/>
      <c r="O136" s="358"/>
      <c r="P136" s="665"/>
      <c r="Q136" s="352"/>
      <c r="R136" s="357"/>
      <c r="S136" s="352"/>
      <c r="T136" s="352"/>
      <c r="U136" s="358"/>
      <c r="V136" s="665"/>
      <c r="W136" s="355">
        <f t="shared" si="245"/>
        <v>0</v>
      </c>
      <c r="X136" s="357"/>
      <c r="Y136" s="352"/>
      <c r="Z136" s="352"/>
      <c r="AA136" s="358"/>
      <c r="AB136" s="604"/>
      <c r="AC136" s="355">
        <f t="shared" si="246"/>
        <v>0</v>
      </c>
      <c r="AD136" s="357"/>
      <c r="AE136" s="352"/>
      <c r="AF136" s="352"/>
      <c r="AG136" s="358"/>
      <c r="AH136" s="604"/>
      <c r="AI136" s="352"/>
      <c r="AJ136" s="357"/>
      <c r="AK136" s="352"/>
      <c r="AL136" s="352"/>
      <c r="AM136" s="358"/>
      <c r="AN136" s="604"/>
      <c r="AO136" s="352"/>
      <c r="AP136" s="357"/>
      <c r="AQ136" s="352"/>
      <c r="AR136" s="352"/>
      <c r="AS136" s="358"/>
      <c r="AT136" s="604"/>
      <c r="AU136" s="352"/>
      <c r="AV136" s="357"/>
      <c r="AW136" s="352"/>
      <c r="AX136" s="352"/>
      <c r="AY136" s="358"/>
      <c r="AZ136" s="604"/>
      <c r="BA136" s="352"/>
      <c r="BB136" s="357"/>
      <c r="BC136" s="352"/>
      <c r="BD136" s="352"/>
      <c r="BE136" s="358"/>
      <c r="BF136" s="604"/>
      <c r="BG136" s="352"/>
      <c r="BH136" s="357"/>
      <c r="BI136" s="352"/>
      <c r="BJ136" s="352"/>
      <c r="BK136" s="358"/>
      <c r="BL136" s="604"/>
      <c r="BM136" s="352"/>
      <c r="BN136" s="357"/>
      <c r="BO136" s="352"/>
      <c r="BP136" s="352"/>
      <c r="BQ136" s="358"/>
      <c r="BR136" s="351"/>
      <c r="BS136" s="352"/>
      <c r="BT136" s="357"/>
      <c r="BU136" s="352"/>
      <c r="BV136" s="352"/>
      <c r="BW136" s="358"/>
      <c r="BX136" s="213"/>
      <c r="BY136" s="213"/>
      <c r="BZ136" s="213"/>
      <c r="CA136" s="213"/>
      <c r="CB136" s="213"/>
      <c r="CC136" s="213"/>
      <c r="CD136" s="213"/>
      <c r="CE136" s="213"/>
      <c r="CF136" s="213"/>
      <c r="CG136" s="213"/>
      <c r="CH136" s="213"/>
      <c r="CI136" s="213"/>
      <c r="CJ136" s="213"/>
      <c r="CK136" s="213"/>
      <c r="CL136" s="213"/>
      <c r="CM136" s="213"/>
      <c r="CN136" s="213"/>
      <c r="CO136" s="213"/>
      <c r="CP136" s="213"/>
      <c r="CQ136" s="213"/>
    </row>
    <row r="137" ht="15.75" customHeight="1">
      <c r="A137" s="213"/>
      <c r="B137" s="492"/>
      <c r="C137" s="492" t="s">
        <v>335</v>
      </c>
      <c r="D137" s="604"/>
      <c r="E137" s="355">
        <f t="shared" si="242"/>
        <v>0</v>
      </c>
      <c r="F137" s="357">
        <v>2000.0</v>
      </c>
      <c r="G137" s="355">
        <f t="shared" si="243"/>
        <v>0.0002372313553</v>
      </c>
      <c r="H137" s="357">
        <f t="shared" si="247"/>
        <v>-2000</v>
      </c>
      <c r="I137" s="395">
        <f t="shared" si="248"/>
        <v>-1</v>
      </c>
      <c r="J137" s="665"/>
      <c r="K137" s="355">
        <f t="shared" si="244"/>
        <v>0</v>
      </c>
      <c r="L137" s="357">
        <v>2000.0</v>
      </c>
      <c r="M137" s="355">
        <f t="shared" ref="M137:M142" si="249">L137/L$32</f>
        <v>0.00024004649</v>
      </c>
      <c r="N137" s="352"/>
      <c r="O137" s="358"/>
      <c r="P137" s="665"/>
      <c r="Q137" s="355">
        <f t="shared" ref="Q137:Q142" si="250">P137/P$32</f>
        <v>0</v>
      </c>
      <c r="R137" s="357">
        <v>2000.0</v>
      </c>
      <c r="S137" s="355">
        <f t="shared" ref="S137:S142" si="251">R137/R$32</f>
        <v>0.0002439684712</v>
      </c>
      <c r="T137" s="352"/>
      <c r="U137" s="358"/>
      <c r="V137" s="665"/>
      <c r="W137" s="355">
        <f t="shared" si="245"/>
        <v>0</v>
      </c>
      <c r="X137" s="357">
        <v>2000.0</v>
      </c>
      <c r="Y137" s="355">
        <f t="shared" ref="Y137:Y142" si="252">X137/X$32</f>
        <v>0.0002222118347</v>
      </c>
      <c r="Z137" s="352"/>
      <c r="AA137" s="358"/>
      <c r="AB137" s="604"/>
      <c r="AC137" s="355">
        <f t="shared" si="246"/>
        <v>0</v>
      </c>
      <c r="AD137" s="357">
        <v>2000.0</v>
      </c>
      <c r="AE137" s="355">
        <f t="shared" ref="AE137:AE138" si="253">AD137/AD$32</f>
        <v>0.000219780298</v>
      </c>
      <c r="AF137" s="352"/>
      <c r="AG137" s="358"/>
      <c r="AH137" s="604"/>
      <c r="AI137" s="355">
        <f t="shared" ref="AI137:AI142" si="254">AH137/AH$32</f>
        <v>0</v>
      </c>
      <c r="AJ137" s="357">
        <v>2000.0</v>
      </c>
      <c r="AK137" s="355">
        <f t="shared" ref="AK137:AK138" si="255">AJ137/AJ$32</f>
        <v>0.0002214433882</v>
      </c>
      <c r="AL137" s="352"/>
      <c r="AM137" s="358"/>
      <c r="AN137" s="604"/>
      <c r="AO137" s="355">
        <f t="shared" ref="AO137:AO138" si="256">AN137/AN$32</f>
        <v>0</v>
      </c>
      <c r="AP137" s="357">
        <v>2000.0</v>
      </c>
      <c r="AQ137" s="355">
        <f t="shared" ref="AQ137:AQ138" si="257">AP137/AP$32</f>
        <v>0.000203362648</v>
      </c>
      <c r="AR137" s="352"/>
      <c r="AS137" s="358"/>
      <c r="AT137" s="604"/>
      <c r="AU137" s="355">
        <f t="shared" ref="AU137:AU138" si="258">AT137/AT$32</f>
        <v>0</v>
      </c>
      <c r="AV137" s="357">
        <v>2000.0</v>
      </c>
      <c r="AW137" s="355">
        <f t="shared" ref="AW137:AW138" si="259">AV137/AV$32</f>
        <v>0.0002063793375</v>
      </c>
      <c r="AX137" s="352"/>
      <c r="AY137" s="358"/>
      <c r="AZ137" s="604"/>
      <c r="BA137" s="355">
        <f t="shared" ref="BA137:BA138" si="260">AZ137/AZ$32</f>
        <v>0</v>
      </c>
      <c r="BB137" s="357">
        <v>2000.0</v>
      </c>
      <c r="BC137" s="355">
        <f t="shared" ref="BC137:BC138" si="261">BB137/BB$32</f>
        <v>0.0001911009995</v>
      </c>
      <c r="BD137" s="352"/>
      <c r="BE137" s="358"/>
      <c r="BF137" s="604"/>
      <c r="BG137" s="355">
        <f t="shared" ref="BG137:BG143" si="262">BF137/BF$32</f>
        <v>0</v>
      </c>
      <c r="BH137" s="357">
        <v>2000.0</v>
      </c>
      <c r="BI137" s="355">
        <f t="shared" ref="BI137:BI138" si="263">BH137/BH$32</f>
        <v>0.0001959635186</v>
      </c>
      <c r="BJ137" s="352"/>
      <c r="BK137" s="358"/>
      <c r="BL137" s="604"/>
      <c r="BM137" s="355">
        <f t="shared" ref="BM137:BM143" si="264">BL137/BL$32</f>
        <v>0</v>
      </c>
      <c r="BN137" s="357">
        <v>2000.0</v>
      </c>
      <c r="BO137" s="355">
        <f t="shared" ref="BO137:BO138" si="265">BN137/BN$32</f>
        <v>0.0002123887634</v>
      </c>
      <c r="BP137" s="352"/>
      <c r="BQ137" s="358"/>
      <c r="BR137" s="351"/>
      <c r="BS137" s="355">
        <f t="shared" ref="BS137:BS143" si="266">BR137/BR$32</f>
        <v>0</v>
      </c>
      <c r="BT137" s="357">
        <v>2000.0</v>
      </c>
      <c r="BU137" s="355">
        <f t="shared" ref="BU137:BU138" si="267">BT137/BT$32</f>
        <v>0.0001973787163</v>
      </c>
      <c r="BV137" s="352"/>
      <c r="BW137" s="358"/>
      <c r="BX137" s="213"/>
      <c r="BY137" s="213"/>
      <c r="BZ137" s="213"/>
      <c r="CA137" s="213"/>
      <c r="CB137" s="213"/>
      <c r="CC137" s="213"/>
      <c r="CD137" s="213"/>
      <c r="CE137" s="213"/>
      <c r="CF137" s="213"/>
      <c r="CG137" s="213"/>
      <c r="CH137" s="213"/>
      <c r="CI137" s="213"/>
      <c r="CJ137" s="213"/>
      <c r="CK137" s="213"/>
      <c r="CL137" s="213"/>
      <c r="CM137" s="213"/>
      <c r="CN137" s="213"/>
      <c r="CO137" s="213"/>
      <c r="CP137" s="213"/>
      <c r="CQ137" s="213"/>
    </row>
    <row r="138" ht="15.75" customHeight="1">
      <c r="A138" s="213"/>
      <c r="B138" s="492"/>
      <c r="C138" s="492" t="s">
        <v>282</v>
      </c>
      <c r="D138" s="604">
        <f>54370+49930</f>
        <v>104300</v>
      </c>
      <c r="E138" s="355">
        <f t="shared" si="242"/>
        <v>0.01214576581</v>
      </c>
      <c r="F138" s="357">
        <v>25000.0</v>
      </c>
      <c r="G138" s="355">
        <f t="shared" si="243"/>
        <v>0.002965391941</v>
      </c>
      <c r="H138" s="357">
        <f t="shared" si="247"/>
        <v>79300</v>
      </c>
      <c r="I138" s="395">
        <f t="shared" si="248"/>
        <v>3.172</v>
      </c>
      <c r="J138" s="604">
        <f>29770+41550</f>
        <v>71320</v>
      </c>
      <c r="K138" s="355">
        <f t="shared" si="244"/>
        <v>0.00738008382</v>
      </c>
      <c r="L138" s="357">
        <v>25000.0</v>
      </c>
      <c r="M138" s="355">
        <f t="shared" si="249"/>
        <v>0.003000581125</v>
      </c>
      <c r="N138" s="352"/>
      <c r="O138" s="358"/>
      <c r="P138" s="604">
        <f>1205+26970+11332</f>
        <v>39507</v>
      </c>
      <c r="Q138" s="355">
        <f t="shared" si="250"/>
        <v>0.00527985419</v>
      </c>
      <c r="R138" s="357">
        <v>25000.0</v>
      </c>
      <c r="S138" s="355">
        <f t="shared" si="251"/>
        <v>0.003049605891</v>
      </c>
      <c r="T138" s="352"/>
      <c r="U138" s="358"/>
      <c r="V138" s="604">
        <v>41618.0</v>
      </c>
      <c r="W138" s="355">
        <f t="shared" si="245"/>
        <v>0.004375244096</v>
      </c>
      <c r="X138" s="357">
        <v>25000.0</v>
      </c>
      <c r="Y138" s="355">
        <f t="shared" si="252"/>
        <v>0.002777647934</v>
      </c>
      <c r="Z138" s="352"/>
      <c r="AA138" s="358"/>
      <c r="AB138" s="604">
        <f>12680+48430</f>
        <v>61110</v>
      </c>
      <c r="AC138" s="355">
        <f t="shared" si="246"/>
        <v>0.006521322944</v>
      </c>
      <c r="AD138" s="357">
        <v>25000.0</v>
      </c>
      <c r="AE138" s="355">
        <f t="shared" si="253"/>
        <v>0.002747253724</v>
      </c>
      <c r="AF138" s="352"/>
      <c r="AG138" s="358"/>
      <c r="AH138" s="604">
        <v>49762.0</v>
      </c>
      <c r="AI138" s="355">
        <f t="shared" si="254"/>
        <v>0.005406215524</v>
      </c>
      <c r="AJ138" s="357">
        <v>25000.0</v>
      </c>
      <c r="AK138" s="355">
        <f t="shared" si="255"/>
        <v>0.002768042353</v>
      </c>
      <c r="AL138" s="352"/>
      <c r="AM138" s="358"/>
      <c r="AN138" s="604">
        <f>56663+43465</f>
        <v>100128</v>
      </c>
      <c r="AO138" s="355">
        <f t="shared" si="256"/>
        <v>0.01189073013</v>
      </c>
      <c r="AP138" s="357">
        <v>25000.0</v>
      </c>
      <c r="AQ138" s="355">
        <f t="shared" si="257"/>
        <v>0.0025420331</v>
      </c>
      <c r="AR138" s="352"/>
      <c r="AS138" s="358"/>
      <c r="AT138" s="604">
        <f>2912+7490</f>
        <v>10402</v>
      </c>
      <c r="AU138" s="355">
        <f t="shared" si="258"/>
        <v>0.001111450228</v>
      </c>
      <c r="AV138" s="357">
        <v>25000.0</v>
      </c>
      <c r="AW138" s="355">
        <f t="shared" si="259"/>
        <v>0.002579741719</v>
      </c>
      <c r="AX138" s="352"/>
      <c r="AY138" s="358"/>
      <c r="AZ138" s="604">
        <f>37550+13103</f>
        <v>50653</v>
      </c>
      <c r="BA138" s="355">
        <f t="shared" si="260"/>
        <v>0.005022296302</v>
      </c>
      <c r="BB138" s="357">
        <v>25000.0</v>
      </c>
      <c r="BC138" s="355">
        <f t="shared" si="261"/>
        <v>0.002388762494</v>
      </c>
      <c r="BD138" s="352"/>
      <c r="BE138" s="358"/>
      <c r="BF138" s="604">
        <f>624+14000+40962</f>
        <v>55586</v>
      </c>
      <c r="BG138" s="355">
        <f t="shared" si="262"/>
        <v>0.005739725664</v>
      </c>
      <c r="BH138" s="357">
        <v>25000.0</v>
      </c>
      <c r="BI138" s="355">
        <f t="shared" si="263"/>
        <v>0.002449543983</v>
      </c>
      <c r="BJ138" s="352"/>
      <c r="BK138" s="358"/>
      <c r="BL138" s="604">
        <f>1750+2890</f>
        <v>4640</v>
      </c>
      <c r="BM138" s="355">
        <f t="shared" si="264"/>
        <v>0.0005449169287</v>
      </c>
      <c r="BN138" s="357">
        <v>25000.0</v>
      </c>
      <c r="BO138" s="355">
        <f t="shared" si="265"/>
        <v>0.002654859543</v>
      </c>
      <c r="BP138" s="352"/>
      <c r="BQ138" s="358"/>
      <c r="BR138" s="351">
        <f>64598*1.18+45810</f>
        <v>122035.64</v>
      </c>
      <c r="BS138" s="355">
        <f t="shared" si="266"/>
        <v>0.01205387591</v>
      </c>
      <c r="BT138" s="357">
        <v>25000.0</v>
      </c>
      <c r="BU138" s="355">
        <f t="shared" si="267"/>
        <v>0.002467233954</v>
      </c>
      <c r="BV138" s="352"/>
      <c r="BW138" s="358"/>
      <c r="BX138" s="213"/>
      <c r="BY138" s="213"/>
      <c r="BZ138" s="213"/>
      <c r="CA138" s="213"/>
      <c r="CB138" s="213"/>
      <c r="CC138" s="213"/>
      <c r="CD138" s="213"/>
      <c r="CE138" s="213"/>
      <c r="CF138" s="213"/>
      <c r="CG138" s="213"/>
      <c r="CH138" s="213"/>
      <c r="CI138" s="213"/>
      <c r="CJ138" s="213"/>
      <c r="CK138" s="213"/>
      <c r="CL138" s="213"/>
      <c r="CM138" s="213"/>
      <c r="CN138" s="213"/>
      <c r="CO138" s="213"/>
      <c r="CP138" s="213"/>
      <c r="CQ138" s="213"/>
    </row>
    <row r="139" ht="15.75" customHeight="1">
      <c r="A139" s="213"/>
      <c r="B139" s="492"/>
      <c r="C139" s="492" t="s">
        <v>283</v>
      </c>
      <c r="D139" s="604">
        <f>(27140/12)+(51920/12)+(20650/12)+(47200/12)</f>
        <v>12242.5</v>
      </c>
      <c r="E139" s="355">
        <f t="shared" si="242"/>
        <v>0.001425642742</v>
      </c>
      <c r="F139" s="357">
        <f>D139</f>
        <v>12242.5</v>
      </c>
      <c r="G139" s="355">
        <f t="shared" si="243"/>
        <v>0.001452152434</v>
      </c>
      <c r="H139" s="352"/>
      <c r="I139" s="395"/>
      <c r="J139" s="604">
        <f>(27140/12)+(51920/12)+(20650/12)+(47200/12)</f>
        <v>12242.5</v>
      </c>
      <c r="K139" s="355">
        <f t="shared" si="244"/>
        <v>0.001266835056</v>
      </c>
      <c r="L139" s="357">
        <f>$F$139</f>
        <v>12242.5</v>
      </c>
      <c r="M139" s="355">
        <f t="shared" si="249"/>
        <v>0.001469384577</v>
      </c>
      <c r="N139" s="352"/>
      <c r="O139" s="358"/>
      <c r="P139" s="604">
        <f>(27140/12)+(51920/12)+(20650/12)+(47200/12)</f>
        <v>12242.5</v>
      </c>
      <c r="Q139" s="355">
        <f t="shared" si="250"/>
        <v>0.001636130684</v>
      </c>
      <c r="R139" s="357">
        <f>$F$139</f>
        <v>12242.5</v>
      </c>
      <c r="S139" s="355">
        <f t="shared" si="251"/>
        <v>0.001493392005</v>
      </c>
      <c r="T139" s="352"/>
      <c r="U139" s="358"/>
      <c r="V139" s="604">
        <f>(27140/12)+(51920/12)+(20650/12)+(47200/12)</f>
        <v>12242.5</v>
      </c>
      <c r="W139" s="355">
        <f t="shared" si="245"/>
        <v>0.00128703748</v>
      </c>
      <c r="X139" s="357">
        <f>$F$139</f>
        <v>12242.5</v>
      </c>
      <c r="Y139" s="355">
        <f t="shared" si="252"/>
        <v>0.001360214193</v>
      </c>
      <c r="Z139" s="352"/>
      <c r="AA139" s="358"/>
      <c r="AB139" s="604">
        <f>(27140/12)+(20650/12)+(47200/12)+(55460/12)</f>
        <v>12537.5</v>
      </c>
      <c r="AC139" s="355">
        <f t="shared" si="246"/>
        <v>0.001337933013</v>
      </c>
      <c r="AD139" s="357">
        <v>12538.0</v>
      </c>
      <c r="AE139" s="355"/>
      <c r="AF139" s="352"/>
      <c r="AG139" s="358"/>
      <c r="AH139" s="604">
        <f>(27140/12)+(20650/12)+(47200/12)+(55460/12)</f>
        <v>12537.5</v>
      </c>
      <c r="AI139" s="355">
        <f t="shared" si="254"/>
        <v>0.001362092101</v>
      </c>
      <c r="AJ139" s="357">
        <f>$AD$139</f>
        <v>12538</v>
      </c>
      <c r="AK139" s="355"/>
      <c r="AL139" s="352"/>
      <c r="AM139" s="358"/>
      <c r="AN139" s="604">
        <f>(27140/12)+(20650/12)+(47200/12)</f>
        <v>7915.833333</v>
      </c>
      <c r="AO139" s="355"/>
      <c r="AP139" s="357"/>
      <c r="AQ139" s="355"/>
      <c r="AR139" s="352"/>
      <c r="AS139" s="358"/>
      <c r="AT139" s="604">
        <f>(27140/12)+(20650/12)+(47200/12)</f>
        <v>7915.833333</v>
      </c>
      <c r="AU139" s="355"/>
      <c r="AV139" s="357"/>
      <c r="AW139" s="355"/>
      <c r="AX139" s="352"/>
      <c r="AY139" s="358"/>
      <c r="AZ139" s="604">
        <f>(27140/12)+(20650/12)+(47200/12)</f>
        <v>7915.833333</v>
      </c>
      <c r="BA139" s="355"/>
      <c r="BB139" s="357"/>
      <c r="BC139" s="355"/>
      <c r="BD139" s="352"/>
      <c r="BE139" s="358"/>
      <c r="BF139" s="604">
        <f>(27140/12)+(20650/12)+(47200/12)</f>
        <v>7915.833333</v>
      </c>
      <c r="BG139" s="355">
        <f t="shared" si="262"/>
        <v>0.0008173768888</v>
      </c>
      <c r="BH139" s="357"/>
      <c r="BI139" s="355"/>
      <c r="BJ139" s="352"/>
      <c r="BK139" s="358"/>
      <c r="BL139" s="604">
        <f>(27140/12)+(47200/12)</f>
        <v>6195</v>
      </c>
      <c r="BM139" s="355">
        <f t="shared" si="264"/>
        <v>0.0007275345633</v>
      </c>
      <c r="BN139" s="357"/>
      <c r="BO139" s="355"/>
      <c r="BP139" s="352"/>
      <c r="BQ139" s="358"/>
      <c r="BR139" s="351">
        <f>(27140/12)+(47200/12)</f>
        <v>6195</v>
      </c>
      <c r="BS139" s="355">
        <f t="shared" si="266"/>
        <v>0.0006119012548</v>
      </c>
      <c r="BT139" s="357"/>
      <c r="BU139" s="355"/>
      <c r="BV139" s="352"/>
      <c r="BW139" s="358"/>
      <c r="BX139" s="213"/>
      <c r="BY139" s="213"/>
      <c r="BZ139" s="213"/>
      <c r="CA139" s="213"/>
      <c r="CB139" s="213"/>
      <c r="CC139" s="213"/>
      <c r="CD139" s="213"/>
      <c r="CE139" s="213"/>
      <c r="CF139" s="213"/>
      <c r="CG139" s="213"/>
      <c r="CH139" s="213"/>
      <c r="CI139" s="213"/>
      <c r="CJ139" s="213"/>
      <c r="CK139" s="213"/>
      <c r="CL139" s="213"/>
      <c r="CM139" s="213"/>
      <c r="CN139" s="213"/>
      <c r="CO139" s="213"/>
      <c r="CP139" s="213"/>
      <c r="CQ139" s="213"/>
    </row>
    <row r="140" ht="15.75" customHeight="1">
      <c r="A140" s="213"/>
      <c r="B140" s="492"/>
      <c r="C140" s="492" t="s">
        <v>285</v>
      </c>
      <c r="D140" s="604">
        <v>20250.0</v>
      </c>
      <c r="E140" s="355">
        <f t="shared" si="242"/>
        <v>0.002358118483</v>
      </c>
      <c r="F140" s="357">
        <v>2000.0</v>
      </c>
      <c r="G140" s="355">
        <f t="shared" si="243"/>
        <v>0.0002372313553</v>
      </c>
      <c r="H140" s="357">
        <f t="shared" ref="H140:H145" si="268">D140-F140</f>
        <v>18250</v>
      </c>
      <c r="I140" s="395">
        <f t="shared" ref="I140:I145" si="269">H140/F140</f>
        <v>9.125</v>
      </c>
      <c r="J140" s="604"/>
      <c r="K140" s="355">
        <f t="shared" si="244"/>
        <v>0</v>
      </c>
      <c r="L140" s="357">
        <v>2000.0</v>
      </c>
      <c r="M140" s="355">
        <f t="shared" si="249"/>
        <v>0.00024004649</v>
      </c>
      <c r="N140" s="352"/>
      <c r="O140" s="358"/>
      <c r="P140" s="604"/>
      <c r="Q140" s="355">
        <f t="shared" si="250"/>
        <v>0</v>
      </c>
      <c r="R140" s="357">
        <v>2000.0</v>
      </c>
      <c r="S140" s="355">
        <f t="shared" si="251"/>
        <v>0.0002439684712</v>
      </c>
      <c r="T140" s="352"/>
      <c r="U140" s="358"/>
      <c r="V140" s="604"/>
      <c r="W140" s="355">
        <f t="shared" si="245"/>
        <v>0</v>
      </c>
      <c r="X140" s="357">
        <v>2000.0</v>
      </c>
      <c r="Y140" s="355">
        <f t="shared" si="252"/>
        <v>0.0002222118347</v>
      </c>
      <c r="Z140" s="352"/>
      <c r="AA140" s="358"/>
      <c r="AB140" s="604"/>
      <c r="AC140" s="355">
        <f t="shared" si="246"/>
        <v>0</v>
      </c>
      <c r="AD140" s="357">
        <v>2000.0</v>
      </c>
      <c r="AE140" s="355">
        <f t="shared" ref="AE140:AE142" si="270">AD140/AD$32</f>
        <v>0.000219780298</v>
      </c>
      <c r="AF140" s="352"/>
      <c r="AG140" s="358"/>
      <c r="AH140" s="604"/>
      <c r="AI140" s="355">
        <f t="shared" si="254"/>
        <v>0</v>
      </c>
      <c r="AJ140" s="357">
        <v>2000.0</v>
      </c>
      <c r="AK140" s="355">
        <f t="shared" ref="AK140:AK142" si="271">AJ140/AJ$32</f>
        <v>0.0002214433882</v>
      </c>
      <c r="AL140" s="352"/>
      <c r="AM140" s="358"/>
      <c r="AN140" s="604"/>
      <c r="AO140" s="355">
        <f t="shared" ref="AO140:AO142" si="272">AN140/AN$32</f>
        <v>0</v>
      </c>
      <c r="AP140" s="357">
        <v>2000.0</v>
      </c>
      <c r="AQ140" s="355">
        <f t="shared" ref="AQ140:AQ142" si="273">AP140/AP$32</f>
        <v>0.000203362648</v>
      </c>
      <c r="AR140" s="352"/>
      <c r="AS140" s="358"/>
      <c r="AT140" s="604"/>
      <c r="AU140" s="355">
        <f t="shared" ref="AU140:AU142" si="274">AT140/AT$32</f>
        <v>0</v>
      </c>
      <c r="AV140" s="357">
        <v>2000.0</v>
      </c>
      <c r="AW140" s="355">
        <f t="shared" ref="AW140:AW142" si="275">AV140/AV$32</f>
        <v>0.0002063793375</v>
      </c>
      <c r="AX140" s="352"/>
      <c r="AY140" s="358"/>
      <c r="AZ140" s="604"/>
      <c r="BA140" s="355">
        <f t="shared" ref="BA140:BA142" si="276">AZ140/AZ$32</f>
        <v>0</v>
      </c>
      <c r="BB140" s="357">
        <v>2000.0</v>
      </c>
      <c r="BC140" s="355">
        <f t="shared" ref="BC140:BC142" si="277">BB140/BB$32</f>
        <v>0.0001911009995</v>
      </c>
      <c r="BD140" s="352"/>
      <c r="BE140" s="358"/>
      <c r="BF140" s="604"/>
      <c r="BG140" s="355">
        <f t="shared" si="262"/>
        <v>0</v>
      </c>
      <c r="BH140" s="357">
        <v>2000.0</v>
      </c>
      <c r="BI140" s="355">
        <f t="shared" ref="BI140:BI142" si="278">BH140/BH$32</f>
        <v>0.0001959635186</v>
      </c>
      <c r="BJ140" s="352"/>
      <c r="BK140" s="358"/>
      <c r="BL140" s="604"/>
      <c r="BM140" s="355">
        <f t="shared" si="264"/>
        <v>0</v>
      </c>
      <c r="BN140" s="357">
        <v>2000.0</v>
      </c>
      <c r="BO140" s="355">
        <f t="shared" ref="BO140:BO142" si="279">BN140/BN$32</f>
        <v>0.0002123887634</v>
      </c>
      <c r="BP140" s="352"/>
      <c r="BQ140" s="358"/>
      <c r="BR140" s="351"/>
      <c r="BS140" s="355">
        <f t="shared" si="266"/>
        <v>0</v>
      </c>
      <c r="BT140" s="357">
        <v>2000.0</v>
      </c>
      <c r="BU140" s="355">
        <f t="shared" ref="BU140:BU142" si="280">BT140/BT$32</f>
        <v>0.0001973787163</v>
      </c>
      <c r="BV140" s="352"/>
      <c r="BW140" s="358"/>
      <c r="BX140" s="213"/>
      <c r="BY140" s="213"/>
      <c r="BZ140" s="213"/>
      <c r="CA140" s="213"/>
      <c r="CB140" s="213"/>
      <c r="CC140" s="213"/>
      <c r="CD140" s="213"/>
      <c r="CE140" s="213"/>
      <c r="CF140" s="213"/>
      <c r="CG140" s="213"/>
      <c r="CH140" s="213"/>
      <c r="CI140" s="213"/>
      <c r="CJ140" s="213"/>
      <c r="CK140" s="213"/>
      <c r="CL140" s="213"/>
      <c r="CM140" s="213"/>
      <c r="CN140" s="213"/>
      <c r="CO140" s="213"/>
      <c r="CP140" s="213"/>
      <c r="CQ140" s="213"/>
    </row>
    <row r="141" ht="15.75" customHeight="1">
      <c r="A141" s="213"/>
      <c r="B141" s="492"/>
      <c r="C141" s="492" t="s">
        <v>286</v>
      </c>
      <c r="D141" s="604">
        <v>17051.0</v>
      </c>
      <c r="E141" s="355">
        <f t="shared" si="242"/>
        <v>0.001985593988</v>
      </c>
      <c r="F141" s="357">
        <v>12500.0</v>
      </c>
      <c r="G141" s="355">
        <f t="shared" si="243"/>
        <v>0.001482695971</v>
      </c>
      <c r="H141" s="357">
        <f t="shared" si="268"/>
        <v>4551</v>
      </c>
      <c r="I141" s="395">
        <f t="shared" si="269"/>
        <v>0.36408</v>
      </c>
      <c r="J141" s="604">
        <v>17770.0</v>
      </c>
      <c r="K141" s="355">
        <f t="shared" si="244"/>
        <v>0.001838812247</v>
      </c>
      <c r="L141" s="357">
        <v>12500.0</v>
      </c>
      <c r="M141" s="355">
        <f t="shared" si="249"/>
        <v>0.001500290563</v>
      </c>
      <c r="N141" s="352"/>
      <c r="O141" s="358"/>
      <c r="P141" s="604">
        <v>15711.0</v>
      </c>
      <c r="Q141" s="355">
        <f t="shared" si="250"/>
        <v>0.002099673202</v>
      </c>
      <c r="R141" s="357">
        <v>12500.0</v>
      </c>
      <c r="S141" s="355">
        <f t="shared" si="251"/>
        <v>0.001524802945</v>
      </c>
      <c r="T141" s="352"/>
      <c r="U141" s="358"/>
      <c r="V141" s="604">
        <v>15362.0</v>
      </c>
      <c r="W141" s="355">
        <f t="shared" si="245"/>
        <v>0.001614986299</v>
      </c>
      <c r="X141" s="357">
        <v>12500.0</v>
      </c>
      <c r="Y141" s="355">
        <f t="shared" si="252"/>
        <v>0.001388823967</v>
      </c>
      <c r="Z141" s="352"/>
      <c r="AA141" s="358"/>
      <c r="AB141" s="604">
        <v>16800.0</v>
      </c>
      <c r="AC141" s="355">
        <f t="shared" si="246"/>
        <v>0.001792803558</v>
      </c>
      <c r="AD141" s="357">
        <v>12500.0</v>
      </c>
      <c r="AE141" s="355">
        <f t="shared" si="270"/>
        <v>0.001373626862</v>
      </c>
      <c r="AF141" s="352"/>
      <c r="AG141" s="358"/>
      <c r="AH141" s="604">
        <v>15907.0</v>
      </c>
      <c r="AI141" s="355">
        <f t="shared" si="254"/>
        <v>0.001728159446</v>
      </c>
      <c r="AJ141" s="357">
        <v>12500.0</v>
      </c>
      <c r="AK141" s="355">
        <f t="shared" si="271"/>
        <v>0.001384021176</v>
      </c>
      <c r="AL141" s="352"/>
      <c r="AM141" s="358"/>
      <c r="AN141" s="604">
        <v>16260.0</v>
      </c>
      <c r="AO141" s="355">
        <f t="shared" si="272"/>
        <v>0.001930961089</v>
      </c>
      <c r="AP141" s="357">
        <v>12500.0</v>
      </c>
      <c r="AQ141" s="355">
        <f t="shared" si="273"/>
        <v>0.00127101655</v>
      </c>
      <c r="AR141" s="352"/>
      <c r="AS141" s="358"/>
      <c r="AT141" s="604">
        <v>16055.0</v>
      </c>
      <c r="AU141" s="355">
        <f t="shared" si="274"/>
        <v>0.001715471391</v>
      </c>
      <c r="AV141" s="357">
        <v>12500.0</v>
      </c>
      <c r="AW141" s="355">
        <f t="shared" si="275"/>
        <v>0.001289870859</v>
      </c>
      <c r="AX141" s="352"/>
      <c r="AY141" s="358"/>
      <c r="AZ141" s="604">
        <v>16287.0</v>
      </c>
      <c r="BA141" s="355">
        <f t="shared" si="276"/>
        <v>0.001614872562</v>
      </c>
      <c r="BB141" s="357">
        <v>12500.0</v>
      </c>
      <c r="BC141" s="355">
        <f t="shared" si="277"/>
        <v>0.001194381247</v>
      </c>
      <c r="BD141" s="352"/>
      <c r="BE141" s="358"/>
      <c r="BF141" s="604">
        <v>16375.0</v>
      </c>
      <c r="BG141" s="355">
        <f t="shared" si="262"/>
        <v>0.00169085755</v>
      </c>
      <c r="BH141" s="357">
        <v>12500.0</v>
      </c>
      <c r="BI141" s="355">
        <f t="shared" si="278"/>
        <v>0.001224771991</v>
      </c>
      <c r="BJ141" s="352"/>
      <c r="BK141" s="358"/>
      <c r="BL141" s="604">
        <v>15514.0</v>
      </c>
      <c r="BM141" s="355">
        <f t="shared" si="264"/>
        <v>0.001821948542</v>
      </c>
      <c r="BN141" s="357">
        <v>12500.0</v>
      </c>
      <c r="BO141" s="355">
        <f t="shared" si="279"/>
        <v>0.001327429771</v>
      </c>
      <c r="BP141" s="352"/>
      <c r="BQ141" s="358"/>
      <c r="BR141" s="351">
        <v>15912.0</v>
      </c>
      <c r="BS141" s="355">
        <f t="shared" si="266"/>
        <v>0.001571682448</v>
      </c>
      <c r="BT141" s="357">
        <v>12500.0</v>
      </c>
      <c r="BU141" s="355">
        <f t="shared" si="280"/>
        <v>0.001233616977</v>
      </c>
      <c r="BV141" s="352"/>
      <c r="BW141" s="358"/>
      <c r="BX141" s="213"/>
      <c r="BY141" s="213"/>
      <c r="BZ141" s="213"/>
      <c r="CA141" s="213"/>
      <c r="CB141" s="213"/>
      <c r="CC141" s="213"/>
      <c r="CD141" s="213"/>
      <c r="CE141" s="213"/>
      <c r="CF141" s="213"/>
      <c r="CG141" s="213"/>
      <c r="CH141" s="213"/>
      <c r="CI141" s="213"/>
      <c r="CJ141" s="213"/>
      <c r="CK141" s="213"/>
      <c r="CL141" s="213"/>
      <c r="CM141" s="213"/>
      <c r="CN141" s="213"/>
      <c r="CO141" s="213"/>
      <c r="CP141" s="213"/>
      <c r="CQ141" s="213"/>
    </row>
    <row r="142" ht="15.75" customHeight="1">
      <c r="A142" s="213"/>
      <c r="B142" s="492"/>
      <c r="C142" s="492" t="s">
        <v>279</v>
      </c>
      <c r="D142" s="604"/>
      <c r="E142" s="355">
        <f t="shared" si="242"/>
        <v>0</v>
      </c>
      <c r="F142" s="357">
        <v>5000.0</v>
      </c>
      <c r="G142" s="355">
        <f t="shared" si="243"/>
        <v>0.0005930783882</v>
      </c>
      <c r="H142" s="357">
        <f t="shared" si="268"/>
        <v>-5000</v>
      </c>
      <c r="I142" s="395">
        <f t="shared" si="269"/>
        <v>-1</v>
      </c>
      <c r="J142" s="665"/>
      <c r="K142" s="355">
        <f t="shared" si="244"/>
        <v>0</v>
      </c>
      <c r="L142" s="357">
        <v>5000.0</v>
      </c>
      <c r="M142" s="355">
        <f t="shared" si="249"/>
        <v>0.0006001162251</v>
      </c>
      <c r="N142" s="352"/>
      <c r="O142" s="358"/>
      <c r="P142" s="665">
        <v>306.0</v>
      </c>
      <c r="Q142" s="355">
        <f t="shared" si="250"/>
        <v>0.00004089491437</v>
      </c>
      <c r="R142" s="357">
        <v>5000.0</v>
      </c>
      <c r="S142" s="355">
        <f t="shared" si="251"/>
        <v>0.0006099211781</v>
      </c>
      <c r="T142" s="352"/>
      <c r="U142" s="358"/>
      <c r="V142" s="665"/>
      <c r="W142" s="355">
        <f t="shared" si="245"/>
        <v>0</v>
      </c>
      <c r="X142" s="357">
        <v>5000.0</v>
      </c>
      <c r="Y142" s="355">
        <f t="shared" si="252"/>
        <v>0.0005555295867</v>
      </c>
      <c r="Z142" s="352"/>
      <c r="AA142" s="358"/>
      <c r="AB142" s="604"/>
      <c r="AC142" s="355">
        <f t="shared" si="246"/>
        <v>0</v>
      </c>
      <c r="AD142" s="357">
        <v>5000.0</v>
      </c>
      <c r="AE142" s="355">
        <f t="shared" si="270"/>
        <v>0.0005494507449</v>
      </c>
      <c r="AF142" s="352"/>
      <c r="AG142" s="358"/>
      <c r="AH142" s="604"/>
      <c r="AI142" s="355">
        <f t="shared" si="254"/>
        <v>0</v>
      </c>
      <c r="AJ142" s="357">
        <v>5000.0</v>
      </c>
      <c r="AK142" s="355">
        <f t="shared" si="271"/>
        <v>0.0005536084706</v>
      </c>
      <c r="AL142" s="352"/>
      <c r="AM142" s="358"/>
      <c r="AN142" s="604"/>
      <c r="AO142" s="355">
        <f t="shared" si="272"/>
        <v>0</v>
      </c>
      <c r="AP142" s="357">
        <v>5000.0</v>
      </c>
      <c r="AQ142" s="355">
        <f t="shared" si="273"/>
        <v>0.0005084066201</v>
      </c>
      <c r="AR142" s="352"/>
      <c r="AS142" s="358"/>
      <c r="AT142" s="604"/>
      <c r="AU142" s="355">
        <f t="shared" si="274"/>
        <v>0</v>
      </c>
      <c r="AV142" s="357">
        <v>5000.0</v>
      </c>
      <c r="AW142" s="355">
        <f t="shared" si="275"/>
        <v>0.0005159483437</v>
      </c>
      <c r="AX142" s="352"/>
      <c r="AY142" s="358"/>
      <c r="AZ142" s="604"/>
      <c r="BA142" s="355">
        <f t="shared" si="276"/>
        <v>0</v>
      </c>
      <c r="BB142" s="357">
        <v>5000.0</v>
      </c>
      <c r="BC142" s="355">
        <f t="shared" si="277"/>
        <v>0.0004777524987</v>
      </c>
      <c r="BD142" s="352"/>
      <c r="BE142" s="358"/>
      <c r="BF142" s="604"/>
      <c r="BG142" s="355">
        <f t="shared" si="262"/>
        <v>0</v>
      </c>
      <c r="BH142" s="357">
        <v>5000.0</v>
      </c>
      <c r="BI142" s="355">
        <f t="shared" si="278"/>
        <v>0.0004899087966</v>
      </c>
      <c r="BJ142" s="352"/>
      <c r="BK142" s="358"/>
      <c r="BL142" s="628">
        <v>27995.2</v>
      </c>
      <c r="BM142" s="355">
        <f t="shared" si="264"/>
        <v>0.003287728104</v>
      </c>
      <c r="BN142" s="357">
        <v>5000.0</v>
      </c>
      <c r="BO142" s="355">
        <f t="shared" si="279"/>
        <v>0.0005309719086</v>
      </c>
      <c r="BP142" s="352"/>
      <c r="BQ142" s="358"/>
      <c r="BR142" s="351">
        <v>15200.0</v>
      </c>
      <c r="BS142" s="355">
        <f t="shared" si="266"/>
        <v>0.001501355783</v>
      </c>
      <c r="BT142" s="357">
        <v>5000.0</v>
      </c>
      <c r="BU142" s="355">
        <f t="shared" si="280"/>
        <v>0.0004934467908</v>
      </c>
      <c r="BV142" s="352"/>
      <c r="BW142" s="358"/>
      <c r="BX142" s="213"/>
      <c r="BY142" s="213"/>
      <c r="BZ142" s="213"/>
      <c r="CA142" s="213"/>
      <c r="CB142" s="213"/>
      <c r="CC142" s="213"/>
      <c r="CD142" s="213"/>
      <c r="CE142" s="213"/>
      <c r="CF142" s="213"/>
      <c r="CG142" s="213"/>
      <c r="CH142" s="213"/>
      <c r="CI142" s="213"/>
      <c r="CJ142" s="213"/>
      <c r="CK142" s="213"/>
      <c r="CL142" s="213"/>
      <c r="CM142" s="213"/>
      <c r="CN142" s="213"/>
      <c r="CO142" s="213"/>
      <c r="CP142" s="213"/>
      <c r="CQ142" s="213"/>
    </row>
    <row r="143" ht="15.75" customHeight="1">
      <c r="A143" s="213"/>
      <c r="B143" s="492"/>
      <c r="C143" s="492" t="s">
        <v>410</v>
      </c>
      <c r="D143" s="604"/>
      <c r="E143" s="355">
        <f t="shared" si="242"/>
        <v>0</v>
      </c>
      <c r="F143" s="357"/>
      <c r="G143" s="355">
        <f t="shared" si="243"/>
        <v>0</v>
      </c>
      <c r="H143" s="357">
        <f t="shared" si="268"/>
        <v>0</v>
      </c>
      <c r="I143" s="395" t="str">
        <f t="shared" si="269"/>
        <v>#DIV/0!</v>
      </c>
      <c r="J143" s="665"/>
      <c r="K143" s="355">
        <f t="shared" si="244"/>
        <v>0</v>
      </c>
      <c r="L143" s="357"/>
      <c r="M143" s="352"/>
      <c r="N143" s="352"/>
      <c r="O143" s="358"/>
      <c r="P143" s="665"/>
      <c r="Q143" s="352"/>
      <c r="R143" s="357"/>
      <c r="S143" s="352"/>
      <c r="T143" s="352"/>
      <c r="U143" s="358"/>
      <c r="V143" s="604">
        <v>34733.0</v>
      </c>
      <c r="W143" s="355">
        <f t="shared" si="245"/>
        <v>0.00365143335</v>
      </c>
      <c r="X143" s="357">
        <v>35000.0</v>
      </c>
      <c r="Y143" s="352"/>
      <c r="Z143" s="352"/>
      <c r="AA143" s="358"/>
      <c r="AB143" s="604">
        <v>43070.0</v>
      </c>
      <c r="AC143" s="355">
        <f t="shared" si="246"/>
        <v>0.004596193409</v>
      </c>
      <c r="AD143" s="357">
        <v>44000.0</v>
      </c>
      <c r="AE143" s="352"/>
      <c r="AF143" s="352"/>
      <c r="AG143" s="358"/>
      <c r="AH143" s="604">
        <v>43070.0</v>
      </c>
      <c r="AI143" s="352"/>
      <c r="AJ143" s="357"/>
      <c r="AK143" s="352"/>
      <c r="AL143" s="352"/>
      <c r="AM143" s="358"/>
      <c r="AN143" s="604">
        <v>1389.0</v>
      </c>
      <c r="AO143" s="352"/>
      <c r="AP143" s="357">
        <v>35000.0</v>
      </c>
      <c r="AQ143" s="352"/>
      <c r="AR143" s="352"/>
      <c r="AS143" s="358"/>
      <c r="AT143" s="604">
        <v>14160.0</v>
      </c>
      <c r="AU143" s="352"/>
      <c r="AV143" s="357">
        <v>35000.0</v>
      </c>
      <c r="AW143" s="352"/>
      <c r="AX143" s="352"/>
      <c r="AY143" s="358"/>
      <c r="AZ143" s="604">
        <v>14160.0</v>
      </c>
      <c r="BA143" s="352"/>
      <c r="BB143" s="357">
        <v>35000.0</v>
      </c>
      <c r="BC143" s="352"/>
      <c r="BD143" s="352"/>
      <c r="BE143" s="358"/>
      <c r="BF143" s="604">
        <v>14160.0</v>
      </c>
      <c r="BG143" s="355">
        <f t="shared" si="262"/>
        <v>0.001462140025</v>
      </c>
      <c r="BH143" s="357"/>
      <c r="BI143" s="352"/>
      <c r="BJ143" s="352"/>
      <c r="BK143" s="358"/>
      <c r="BL143" s="604">
        <v>14160.0</v>
      </c>
      <c r="BM143" s="355">
        <f t="shared" si="264"/>
        <v>0.001662936145</v>
      </c>
      <c r="BN143" s="357"/>
      <c r="BO143" s="352"/>
      <c r="BP143" s="352"/>
      <c r="BQ143" s="358"/>
      <c r="BR143" s="351">
        <v>12000.0</v>
      </c>
      <c r="BS143" s="355">
        <f t="shared" si="266"/>
        <v>0.001185280881</v>
      </c>
      <c r="BT143" s="357"/>
      <c r="BU143" s="352"/>
      <c r="BV143" s="352"/>
      <c r="BW143" s="358"/>
      <c r="BX143" s="213"/>
      <c r="BY143" s="213"/>
      <c r="BZ143" s="213"/>
      <c r="CA143" s="213"/>
      <c r="CB143" s="213"/>
      <c r="CC143" s="213"/>
      <c r="CD143" s="213"/>
      <c r="CE143" s="213"/>
      <c r="CF143" s="213"/>
      <c r="CG143" s="213"/>
      <c r="CH143" s="213"/>
      <c r="CI143" s="213"/>
      <c r="CJ143" s="213"/>
      <c r="CK143" s="213"/>
      <c r="CL143" s="213"/>
      <c r="CM143" s="213"/>
      <c r="CN143" s="213"/>
      <c r="CO143" s="213"/>
      <c r="CP143" s="213"/>
      <c r="CQ143" s="213"/>
    </row>
    <row r="144" ht="15.75" customHeight="1">
      <c r="A144" s="213"/>
      <c r="B144" s="492"/>
      <c r="C144" s="492" t="s">
        <v>401</v>
      </c>
      <c r="D144" s="604"/>
      <c r="E144" s="355">
        <f t="shared" si="242"/>
        <v>0</v>
      </c>
      <c r="F144" s="357"/>
      <c r="G144" s="355">
        <f t="shared" si="243"/>
        <v>0</v>
      </c>
      <c r="H144" s="357">
        <f t="shared" si="268"/>
        <v>0</v>
      </c>
      <c r="I144" s="395" t="str">
        <f t="shared" si="269"/>
        <v>#DIV/0!</v>
      </c>
      <c r="J144" s="665">
        <v>8848.0</v>
      </c>
      <c r="K144" s="355">
        <f t="shared" si="244"/>
        <v>0.0009155774207</v>
      </c>
      <c r="L144" s="357"/>
      <c r="M144" s="352"/>
      <c r="N144" s="352"/>
      <c r="O144" s="358"/>
      <c r="P144" s="665"/>
      <c r="Q144" s="352"/>
      <c r="R144" s="357"/>
      <c r="S144" s="352"/>
      <c r="T144" s="352"/>
      <c r="U144" s="358"/>
      <c r="V144" s="665"/>
      <c r="W144" s="355">
        <f t="shared" si="245"/>
        <v>0</v>
      </c>
      <c r="X144" s="357"/>
      <c r="Y144" s="352"/>
      <c r="Z144" s="352"/>
      <c r="AA144" s="358"/>
      <c r="AB144" s="604"/>
      <c r="AC144" s="355">
        <f t="shared" si="246"/>
        <v>0</v>
      </c>
      <c r="AD144" s="357"/>
      <c r="AE144" s="352"/>
      <c r="AF144" s="352"/>
      <c r="AG144" s="358"/>
      <c r="AH144" s="604"/>
      <c r="AI144" s="352"/>
      <c r="AJ144" s="357"/>
      <c r="AK144" s="352"/>
      <c r="AL144" s="352"/>
      <c r="AM144" s="358"/>
      <c r="AN144" s="604"/>
      <c r="AO144" s="352"/>
      <c r="AP144" s="357"/>
      <c r="AQ144" s="352"/>
      <c r="AR144" s="352"/>
      <c r="AS144" s="358"/>
      <c r="AT144" s="604"/>
      <c r="AU144" s="352"/>
      <c r="AV144" s="357"/>
      <c r="AW144" s="352"/>
      <c r="AX144" s="352"/>
      <c r="AY144" s="358"/>
      <c r="AZ144" s="604">
        <v>8650.0</v>
      </c>
      <c r="BA144" s="352"/>
      <c r="BB144" s="357"/>
      <c r="BC144" s="352"/>
      <c r="BD144" s="352"/>
      <c r="BE144" s="358"/>
      <c r="BF144" s="604"/>
      <c r="BG144" s="352"/>
      <c r="BH144" s="357"/>
      <c r="BI144" s="352"/>
      <c r="BJ144" s="352"/>
      <c r="BK144" s="358"/>
      <c r="BL144" s="604"/>
      <c r="BM144" s="352"/>
      <c r="BN144" s="357"/>
      <c r="BO144" s="352"/>
      <c r="BP144" s="352"/>
      <c r="BQ144" s="358"/>
      <c r="BR144" s="351"/>
      <c r="BS144" s="352"/>
      <c r="BT144" s="357"/>
      <c r="BU144" s="352"/>
      <c r="BV144" s="352"/>
      <c r="BW144" s="358"/>
      <c r="BX144" s="213"/>
      <c r="BY144" s="213"/>
      <c r="BZ144" s="213"/>
      <c r="CA144" s="213"/>
      <c r="CB144" s="213"/>
      <c r="CC144" s="213"/>
      <c r="CD144" s="213"/>
      <c r="CE144" s="213"/>
      <c r="CF144" s="213"/>
      <c r="CG144" s="213"/>
      <c r="CH144" s="213"/>
      <c r="CI144" s="213"/>
      <c r="CJ144" s="213"/>
      <c r="CK144" s="213"/>
      <c r="CL144" s="213"/>
      <c r="CM144" s="213"/>
      <c r="CN144" s="213"/>
      <c r="CO144" s="213"/>
      <c r="CP144" s="213"/>
      <c r="CQ144" s="213"/>
    </row>
    <row r="145" ht="15.75" customHeight="1">
      <c r="A145" s="213"/>
      <c r="B145" s="492"/>
      <c r="C145" s="492" t="s">
        <v>288</v>
      </c>
      <c r="D145" s="604"/>
      <c r="E145" s="355">
        <f t="shared" si="242"/>
        <v>0</v>
      </c>
      <c r="F145" s="357"/>
      <c r="G145" s="355">
        <f t="shared" si="243"/>
        <v>0</v>
      </c>
      <c r="H145" s="357">
        <f t="shared" si="268"/>
        <v>0</v>
      </c>
      <c r="I145" s="395" t="str">
        <f t="shared" si="269"/>
        <v>#DIV/0!</v>
      </c>
      <c r="J145" s="665"/>
      <c r="K145" s="355">
        <f t="shared" si="244"/>
        <v>0</v>
      </c>
      <c r="L145" s="357"/>
      <c r="M145" s="352"/>
      <c r="N145" s="352"/>
      <c r="O145" s="358"/>
      <c r="P145" s="665"/>
      <c r="Q145" s="352"/>
      <c r="R145" s="357"/>
      <c r="S145" s="352"/>
      <c r="T145" s="352"/>
      <c r="U145" s="358"/>
      <c r="V145" s="665"/>
      <c r="W145" s="355">
        <f t="shared" si="245"/>
        <v>0</v>
      </c>
      <c r="X145" s="357"/>
      <c r="Y145" s="352"/>
      <c r="Z145" s="352"/>
      <c r="AA145" s="358"/>
      <c r="AB145" s="604"/>
      <c r="AC145" s="355">
        <f t="shared" si="246"/>
        <v>0</v>
      </c>
      <c r="AD145" s="357"/>
      <c r="AE145" s="352"/>
      <c r="AF145" s="352"/>
      <c r="AG145" s="358"/>
      <c r="AH145" s="604"/>
      <c r="AI145" s="352"/>
      <c r="AJ145" s="357"/>
      <c r="AK145" s="352"/>
      <c r="AL145" s="352"/>
      <c r="AM145" s="358"/>
      <c r="AN145" s="604"/>
      <c r="AO145" s="352"/>
      <c r="AP145" s="357"/>
      <c r="AQ145" s="352"/>
      <c r="AR145" s="352"/>
      <c r="AS145" s="358"/>
      <c r="AT145" s="604"/>
      <c r="AU145" s="352"/>
      <c r="AV145" s="357"/>
      <c r="AW145" s="352"/>
      <c r="AX145" s="352"/>
      <c r="AY145" s="358"/>
      <c r="AZ145" s="604"/>
      <c r="BA145" s="352"/>
      <c r="BB145" s="357"/>
      <c r="BC145" s="352"/>
      <c r="BD145" s="352"/>
      <c r="BE145" s="358"/>
      <c r="BF145" s="604"/>
      <c r="BG145" s="352"/>
      <c r="BH145" s="357"/>
      <c r="BI145" s="352"/>
      <c r="BJ145" s="352"/>
      <c r="BK145" s="358"/>
      <c r="BL145" s="604"/>
      <c r="BM145" s="352"/>
      <c r="BN145" s="357"/>
      <c r="BO145" s="352"/>
      <c r="BP145" s="352"/>
      <c r="BQ145" s="358"/>
      <c r="BR145" s="351"/>
      <c r="BS145" s="352"/>
      <c r="BT145" s="357"/>
      <c r="BU145" s="352"/>
      <c r="BV145" s="352"/>
      <c r="BW145" s="358"/>
      <c r="BX145" s="213"/>
      <c r="BY145" s="213"/>
      <c r="BZ145" s="213"/>
      <c r="CA145" s="213"/>
      <c r="CB145" s="213"/>
      <c r="CC145" s="213"/>
      <c r="CD145" s="213"/>
      <c r="CE145" s="213"/>
      <c r="CF145" s="213"/>
      <c r="CG145" s="213"/>
      <c r="CH145" s="213"/>
      <c r="CI145" s="213"/>
      <c r="CJ145" s="213"/>
      <c r="CK145" s="213"/>
      <c r="CL145" s="213"/>
      <c r="CM145" s="213"/>
      <c r="CN145" s="213"/>
      <c r="CO145" s="213"/>
      <c r="CP145" s="213"/>
      <c r="CQ145" s="213"/>
    </row>
    <row r="146" ht="15.75" customHeight="1">
      <c r="A146" s="213"/>
      <c r="B146" s="492"/>
      <c r="C146" s="492"/>
      <c r="D146" s="604"/>
      <c r="E146" s="352"/>
      <c r="F146" s="352"/>
      <c r="G146" s="355">
        <f t="shared" si="243"/>
        <v>0</v>
      </c>
      <c r="H146" s="352"/>
      <c r="I146" s="358"/>
      <c r="J146" s="393"/>
      <c r="K146" s="352"/>
      <c r="L146" s="352"/>
      <c r="M146" s="352"/>
      <c r="N146" s="352"/>
      <c r="O146" s="358"/>
      <c r="P146" s="393"/>
      <c r="Q146" s="352"/>
      <c r="R146" s="352"/>
      <c r="S146" s="352"/>
      <c r="T146" s="352"/>
      <c r="U146" s="358"/>
      <c r="V146" s="393"/>
      <c r="W146" s="352"/>
      <c r="X146" s="352"/>
      <c r="Y146" s="352"/>
      <c r="Z146" s="352"/>
      <c r="AA146" s="358"/>
      <c r="AB146" s="604"/>
      <c r="AC146" s="352"/>
      <c r="AD146" s="352"/>
      <c r="AE146" s="352"/>
      <c r="AF146" s="352"/>
      <c r="AG146" s="358"/>
      <c r="AH146" s="604"/>
      <c r="AI146" s="352"/>
      <c r="AJ146" s="352"/>
      <c r="AK146" s="352"/>
      <c r="AL146" s="352"/>
      <c r="AM146" s="358"/>
      <c r="AN146" s="604"/>
      <c r="AO146" s="352"/>
      <c r="AP146" s="352"/>
      <c r="AQ146" s="352"/>
      <c r="AR146" s="352"/>
      <c r="AS146" s="358"/>
      <c r="AT146" s="604"/>
      <c r="AU146" s="352"/>
      <c r="AV146" s="352"/>
      <c r="AW146" s="352"/>
      <c r="AX146" s="352"/>
      <c r="AY146" s="358"/>
      <c r="AZ146" s="604"/>
      <c r="BA146" s="352"/>
      <c r="BB146" s="352"/>
      <c r="BC146" s="352"/>
      <c r="BD146" s="352"/>
      <c r="BE146" s="358"/>
      <c r="BF146" s="604"/>
      <c r="BG146" s="352"/>
      <c r="BH146" s="352"/>
      <c r="BI146" s="352"/>
      <c r="BJ146" s="352"/>
      <c r="BK146" s="358"/>
      <c r="BL146" s="604"/>
      <c r="BM146" s="352"/>
      <c r="BN146" s="352"/>
      <c r="BO146" s="352"/>
      <c r="BP146" s="352"/>
      <c r="BQ146" s="358"/>
      <c r="BR146" s="351"/>
      <c r="BS146" s="352"/>
      <c r="BT146" s="352"/>
      <c r="BU146" s="352"/>
      <c r="BV146" s="352"/>
      <c r="BW146" s="358"/>
      <c r="BX146" s="213"/>
      <c r="BY146" s="213"/>
      <c r="BZ146" s="213"/>
      <c r="CA146" s="213"/>
      <c r="CB146" s="213"/>
      <c r="CC146" s="213"/>
      <c r="CD146" s="213"/>
      <c r="CE146" s="213"/>
      <c r="CF146" s="213"/>
      <c r="CG146" s="213"/>
      <c r="CH146" s="213"/>
      <c r="CI146" s="213"/>
      <c r="CJ146" s="213"/>
      <c r="CK146" s="213"/>
      <c r="CL146" s="213"/>
      <c r="CM146" s="213"/>
      <c r="CN146" s="213"/>
      <c r="CO146" s="213"/>
      <c r="CP146" s="213"/>
      <c r="CQ146" s="213"/>
    </row>
    <row r="147" ht="15.75" customHeight="1">
      <c r="A147" s="213"/>
      <c r="B147" s="492"/>
      <c r="C147" s="539"/>
      <c r="D147" s="604"/>
      <c r="E147" s="352"/>
      <c r="F147" s="352"/>
      <c r="G147" s="355">
        <f t="shared" si="243"/>
        <v>0</v>
      </c>
      <c r="H147" s="352"/>
      <c r="I147" s="358"/>
      <c r="J147" s="393"/>
      <c r="K147" s="352"/>
      <c r="L147" s="352"/>
      <c r="M147" s="352"/>
      <c r="N147" s="352"/>
      <c r="O147" s="358"/>
      <c r="P147" s="393"/>
      <c r="Q147" s="352"/>
      <c r="R147" s="352"/>
      <c r="S147" s="352"/>
      <c r="T147" s="352"/>
      <c r="U147" s="358"/>
      <c r="V147" s="393"/>
      <c r="W147" s="352"/>
      <c r="X147" s="352"/>
      <c r="Y147" s="352"/>
      <c r="Z147" s="352"/>
      <c r="AA147" s="358"/>
      <c r="AB147" s="604"/>
      <c r="AC147" s="352"/>
      <c r="AD147" s="352"/>
      <c r="AE147" s="352"/>
      <c r="AF147" s="352"/>
      <c r="AG147" s="358"/>
      <c r="AH147" s="604"/>
      <c r="AI147" s="352"/>
      <c r="AJ147" s="352"/>
      <c r="AK147" s="352"/>
      <c r="AL147" s="352"/>
      <c r="AM147" s="358"/>
      <c r="AN147" s="604"/>
      <c r="AO147" s="352"/>
      <c r="AP147" s="352"/>
      <c r="AQ147" s="352"/>
      <c r="AR147" s="352"/>
      <c r="AS147" s="358"/>
      <c r="AT147" s="604"/>
      <c r="AU147" s="352"/>
      <c r="AV147" s="352"/>
      <c r="AW147" s="352"/>
      <c r="AX147" s="352"/>
      <c r="AY147" s="358"/>
      <c r="AZ147" s="604"/>
      <c r="BA147" s="352"/>
      <c r="BB147" s="352"/>
      <c r="BC147" s="352"/>
      <c r="BD147" s="352"/>
      <c r="BE147" s="358"/>
      <c r="BF147" s="604"/>
      <c r="BG147" s="352"/>
      <c r="BH147" s="352"/>
      <c r="BI147" s="352"/>
      <c r="BJ147" s="352"/>
      <c r="BK147" s="358"/>
      <c r="BL147" s="604"/>
      <c r="BM147" s="352"/>
      <c r="BN147" s="352"/>
      <c r="BO147" s="352"/>
      <c r="BP147" s="352"/>
      <c r="BQ147" s="358"/>
      <c r="BR147" s="351"/>
      <c r="BS147" s="352"/>
      <c r="BT147" s="352"/>
      <c r="BU147" s="352"/>
      <c r="BV147" s="352"/>
      <c r="BW147" s="358"/>
      <c r="BX147" s="213"/>
      <c r="BY147" s="213"/>
      <c r="BZ147" s="213"/>
      <c r="CA147" s="213"/>
      <c r="CB147" s="213"/>
      <c r="CC147" s="213"/>
      <c r="CD147" s="213"/>
      <c r="CE147" s="213"/>
      <c r="CF147" s="213"/>
      <c r="CG147" s="213"/>
      <c r="CH147" s="213"/>
      <c r="CI147" s="213"/>
      <c r="CJ147" s="213"/>
      <c r="CK147" s="213"/>
      <c r="CL147" s="213"/>
      <c r="CM147" s="213"/>
      <c r="CN147" s="213"/>
      <c r="CO147" s="213"/>
      <c r="CP147" s="213"/>
      <c r="CQ147" s="213"/>
    </row>
    <row r="148" ht="15.75" customHeight="1">
      <c r="A148" s="213"/>
      <c r="B148" s="492"/>
      <c r="C148" s="501" t="s">
        <v>42</v>
      </c>
      <c r="D148" s="604">
        <f>SUM(D149:D150)</f>
        <v>0</v>
      </c>
      <c r="E148" s="355">
        <f>D148/D$32</f>
        <v>0</v>
      </c>
      <c r="F148" s="352">
        <f>SUM(F149:F150)</f>
        <v>0</v>
      </c>
      <c r="G148" s="355">
        <f t="shared" si="243"/>
        <v>0</v>
      </c>
      <c r="H148" s="352">
        <f>SUM(H149)</f>
        <v>0</v>
      </c>
      <c r="I148" s="358"/>
      <c r="J148" s="604">
        <f>SUM(J149)</f>
        <v>0</v>
      </c>
      <c r="K148" s="352"/>
      <c r="L148" s="352">
        <f>SUM(L149)</f>
        <v>0</v>
      </c>
      <c r="M148" s="352"/>
      <c r="N148" s="352">
        <f>SUM(N149)</f>
        <v>0</v>
      </c>
      <c r="O148" s="358"/>
      <c r="P148" s="604">
        <f>SUM(P149)</f>
        <v>0</v>
      </c>
      <c r="Q148" s="352"/>
      <c r="R148" s="352">
        <f>SUM(R149)</f>
        <v>0</v>
      </c>
      <c r="S148" s="352"/>
      <c r="T148" s="352">
        <f>SUM(T149)</f>
        <v>0</v>
      </c>
      <c r="U148" s="358"/>
      <c r="V148" s="604">
        <f>SUM(V149)</f>
        <v>0</v>
      </c>
      <c r="W148" s="352"/>
      <c r="X148" s="352">
        <f>SUM(X149)</f>
        <v>0</v>
      </c>
      <c r="Y148" s="352"/>
      <c r="Z148" s="352">
        <f>SUM(Z149)</f>
        <v>0</v>
      </c>
      <c r="AA148" s="358"/>
      <c r="AB148" s="604">
        <f>SUM(AB149)</f>
        <v>0</v>
      </c>
      <c r="AC148" s="352"/>
      <c r="AD148" s="352">
        <f>SUM(AD149)</f>
        <v>0</v>
      </c>
      <c r="AE148" s="352"/>
      <c r="AF148" s="352">
        <f>SUM(AF149)</f>
        <v>0</v>
      </c>
      <c r="AG148" s="358"/>
      <c r="AH148" s="604">
        <f>SUM(AH149)</f>
        <v>22000</v>
      </c>
      <c r="AI148" s="352"/>
      <c r="AJ148" s="663">
        <f>SUM(AJ149)</f>
        <v>0</v>
      </c>
      <c r="AK148" s="352"/>
      <c r="AL148" s="352">
        <f>SUM(AL149)</f>
        <v>0</v>
      </c>
      <c r="AM148" s="358"/>
      <c r="AN148" s="604">
        <f>SUM(AN149)</f>
        <v>22000</v>
      </c>
      <c r="AO148" s="352"/>
      <c r="AP148" s="352">
        <f>SUM(AP149)</f>
        <v>0</v>
      </c>
      <c r="AQ148" s="352"/>
      <c r="AR148" s="352">
        <f>SUM(AR149)</f>
        <v>0</v>
      </c>
      <c r="AS148" s="358"/>
      <c r="AT148" s="604">
        <f>SUM(AT149)</f>
        <v>22000</v>
      </c>
      <c r="AU148" s="352"/>
      <c r="AV148" s="352">
        <f>SUM(AV149)</f>
        <v>0</v>
      </c>
      <c r="AW148" s="352"/>
      <c r="AX148" s="352">
        <f>SUM(AX149)</f>
        <v>0</v>
      </c>
      <c r="AY148" s="358"/>
      <c r="AZ148" s="604">
        <f>SUM(AZ149)</f>
        <v>22000</v>
      </c>
      <c r="BA148" s="352"/>
      <c r="BB148" s="352">
        <f>SUM(BB149)</f>
        <v>0</v>
      </c>
      <c r="BC148" s="352"/>
      <c r="BD148" s="352">
        <f>SUM(BD149)</f>
        <v>0</v>
      </c>
      <c r="BE148" s="358"/>
      <c r="BF148" s="604">
        <f>SUM(BF149)</f>
        <v>22000</v>
      </c>
      <c r="BG148" s="352"/>
      <c r="BH148" s="352">
        <f>SUM(BH149)</f>
        <v>0</v>
      </c>
      <c r="BI148" s="352"/>
      <c r="BJ148" s="352">
        <f>SUM(BJ149)</f>
        <v>0</v>
      </c>
      <c r="BK148" s="358"/>
      <c r="BL148" s="604">
        <f>SUM(BL149)</f>
        <v>22000</v>
      </c>
      <c r="BM148" s="352"/>
      <c r="BN148" s="352">
        <f>SUM(BN149)</f>
        <v>0</v>
      </c>
      <c r="BO148" s="352"/>
      <c r="BP148" s="352">
        <f>SUM(BP149)</f>
        <v>0</v>
      </c>
      <c r="BQ148" s="358"/>
      <c r="BR148" s="351">
        <f>SUM(BR149)</f>
        <v>0</v>
      </c>
      <c r="BS148" s="352"/>
      <c r="BT148" s="352">
        <f>SUM(BT149)</f>
        <v>0</v>
      </c>
      <c r="BU148" s="352"/>
      <c r="BV148" s="352">
        <f>SUM(BV149)</f>
        <v>0</v>
      </c>
      <c r="BW148" s="358"/>
      <c r="BX148" s="718">
        <f>D148+J148+P148+V148+AB148+AH148+AN148+AT148+AZ148+BF148+BL148+BR148</f>
        <v>132000</v>
      </c>
      <c r="BY148" s="216"/>
      <c r="BZ148" s="216"/>
      <c r="CA148" s="216"/>
      <c r="CB148" s="216"/>
      <c r="CC148" s="216"/>
      <c r="CD148" s="216"/>
      <c r="CE148" s="216"/>
      <c r="CF148" s="216"/>
      <c r="CG148" s="216"/>
      <c r="CH148" s="216"/>
      <c r="CI148" s="216"/>
      <c r="CJ148" s="216"/>
      <c r="CK148" s="216"/>
      <c r="CL148" s="216"/>
      <c r="CM148" s="216"/>
      <c r="CN148" s="216"/>
      <c r="CO148" s="216"/>
      <c r="CP148" s="216"/>
      <c r="CQ148" s="216"/>
    </row>
    <row r="149" ht="15.75" customHeight="1">
      <c r="A149" s="213"/>
      <c r="B149" s="492"/>
      <c r="C149" s="492" t="s">
        <v>340</v>
      </c>
      <c r="D149" s="604"/>
      <c r="E149" s="352"/>
      <c r="F149" s="352"/>
      <c r="G149" s="352"/>
      <c r="H149" s="352"/>
      <c r="I149" s="358"/>
      <c r="J149" s="393"/>
      <c r="K149" s="352"/>
      <c r="L149" s="352"/>
      <c r="M149" s="352"/>
      <c r="N149" s="352"/>
      <c r="O149" s="358"/>
      <c r="P149" s="393"/>
      <c r="Q149" s="352"/>
      <c r="R149" s="352"/>
      <c r="S149" s="352"/>
      <c r="T149" s="352"/>
      <c r="U149" s="358"/>
      <c r="V149" s="393"/>
      <c r="W149" s="352"/>
      <c r="X149" s="352"/>
      <c r="Y149" s="352"/>
      <c r="Z149" s="352"/>
      <c r="AA149" s="358"/>
      <c r="AB149" s="604"/>
      <c r="AC149" s="352"/>
      <c r="AD149" s="352"/>
      <c r="AE149" s="352"/>
      <c r="AF149" s="352"/>
      <c r="AG149" s="358"/>
      <c r="AH149" s="604">
        <f>132000/6</f>
        <v>22000</v>
      </c>
      <c r="AI149" s="352"/>
      <c r="AJ149" s="663"/>
      <c r="AK149" s="352"/>
      <c r="AL149" s="352"/>
      <c r="AM149" s="358"/>
      <c r="AN149" s="604">
        <f>132000/6</f>
        <v>22000</v>
      </c>
      <c r="AO149" s="352"/>
      <c r="AP149" s="352"/>
      <c r="AQ149" s="352"/>
      <c r="AR149" s="352"/>
      <c r="AS149" s="358"/>
      <c r="AT149" s="604">
        <f>132000/6</f>
        <v>22000</v>
      </c>
      <c r="AU149" s="352"/>
      <c r="AV149" s="352"/>
      <c r="AW149" s="352"/>
      <c r="AX149" s="352"/>
      <c r="AY149" s="358"/>
      <c r="AZ149" s="604">
        <f>132000/6</f>
        <v>22000</v>
      </c>
      <c r="BA149" s="352"/>
      <c r="BB149" s="352"/>
      <c r="BC149" s="352"/>
      <c r="BD149" s="352"/>
      <c r="BE149" s="358"/>
      <c r="BF149" s="604">
        <f>132000/6</f>
        <v>22000</v>
      </c>
      <c r="BG149" s="352"/>
      <c r="BH149" s="352"/>
      <c r="BI149" s="352"/>
      <c r="BJ149" s="352"/>
      <c r="BK149" s="358"/>
      <c r="BL149" s="604">
        <f>132000/6</f>
        <v>22000</v>
      </c>
      <c r="BM149" s="352"/>
      <c r="BN149" s="352"/>
      <c r="BO149" s="352"/>
      <c r="BP149" s="352"/>
      <c r="BQ149" s="358"/>
      <c r="BR149" s="351"/>
      <c r="BS149" s="352"/>
      <c r="BT149" s="352"/>
      <c r="BU149" s="352"/>
      <c r="BV149" s="352"/>
      <c r="BW149" s="358"/>
      <c r="BX149" s="213"/>
      <c r="BY149" s="213"/>
      <c r="BZ149" s="213"/>
      <c r="CA149" s="213"/>
      <c r="CB149" s="213"/>
      <c r="CC149" s="213"/>
      <c r="CD149" s="213"/>
      <c r="CE149" s="213"/>
      <c r="CF149" s="213"/>
      <c r="CG149" s="213"/>
      <c r="CH149" s="213"/>
      <c r="CI149" s="213"/>
      <c r="CJ149" s="213"/>
      <c r="CK149" s="213"/>
      <c r="CL149" s="213"/>
      <c r="CM149" s="213"/>
      <c r="CN149" s="213"/>
      <c r="CO149" s="213"/>
      <c r="CP149" s="213"/>
      <c r="CQ149" s="213"/>
    </row>
    <row r="150" ht="15.75" customHeight="1">
      <c r="A150" s="213"/>
      <c r="B150" s="492"/>
      <c r="C150" s="492" t="s">
        <v>291</v>
      </c>
      <c r="D150" s="604">
        <v>0.0</v>
      </c>
      <c r="E150" s="355">
        <f>D150/D$32</f>
        <v>0</v>
      </c>
      <c r="F150" s="352">
        <v>0.0</v>
      </c>
      <c r="G150" s="355">
        <f>F150/F$32</f>
        <v>0</v>
      </c>
      <c r="H150" s="352"/>
      <c r="I150" s="358"/>
      <c r="J150" s="349"/>
      <c r="K150" s="352"/>
      <c r="L150" s="352"/>
      <c r="M150" s="352"/>
      <c r="N150" s="352"/>
      <c r="O150" s="358"/>
      <c r="P150" s="349"/>
      <c r="Q150" s="352"/>
      <c r="R150" s="352"/>
      <c r="S150" s="352"/>
      <c r="T150" s="352"/>
      <c r="U150" s="358"/>
      <c r="V150" s="349"/>
      <c r="W150" s="352"/>
      <c r="X150" s="352"/>
      <c r="Y150" s="352"/>
      <c r="Z150" s="352"/>
      <c r="AA150" s="358"/>
      <c r="AB150" s="604"/>
      <c r="AC150" s="352"/>
      <c r="AD150" s="352"/>
      <c r="AE150" s="352"/>
      <c r="AF150" s="352"/>
      <c r="AG150" s="358"/>
      <c r="AH150" s="604"/>
      <c r="AI150" s="352"/>
      <c r="AJ150" s="663"/>
      <c r="AK150" s="352"/>
      <c r="AL150" s="352"/>
      <c r="AM150" s="358"/>
      <c r="AN150" s="604"/>
      <c r="AO150" s="352"/>
      <c r="AP150" s="352"/>
      <c r="AQ150" s="352"/>
      <c r="AR150" s="352"/>
      <c r="AS150" s="358"/>
      <c r="AT150" s="604"/>
      <c r="AU150" s="352"/>
      <c r="AV150" s="352"/>
      <c r="AW150" s="352"/>
      <c r="AX150" s="352"/>
      <c r="AY150" s="358"/>
      <c r="AZ150" s="604"/>
      <c r="BA150" s="352"/>
      <c r="BB150" s="352"/>
      <c r="BC150" s="352"/>
      <c r="BD150" s="352"/>
      <c r="BE150" s="358"/>
      <c r="BF150" s="604"/>
      <c r="BG150" s="352"/>
      <c r="BH150" s="352"/>
      <c r="BI150" s="352"/>
      <c r="BJ150" s="352"/>
      <c r="BK150" s="358"/>
      <c r="BL150" s="604"/>
      <c r="BM150" s="352"/>
      <c r="BN150" s="352"/>
      <c r="BO150" s="352"/>
      <c r="BP150" s="352"/>
      <c r="BQ150" s="358"/>
      <c r="BR150" s="351"/>
      <c r="BS150" s="352"/>
      <c r="BT150" s="352"/>
      <c r="BU150" s="352"/>
      <c r="BV150" s="352"/>
      <c r="BW150" s="358"/>
      <c r="BX150" s="213"/>
      <c r="BY150" s="213"/>
      <c r="BZ150" s="213"/>
      <c r="CA150" s="213"/>
      <c r="CB150" s="213"/>
      <c r="CC150" s="213"/>
      <c r="CD150" s="213"/>
      <c r="CE150" s="213"/>
      <c r="CF150" s="213"/>
      <c r="CG150" s="213"/>
      <c r="CH150" s="213"/>
      <c r="CI150" s="213"/>
      <c r="CJ150" s="213"/>
      <c r="CK150" s="213"/>
      <c r="CL150" s="213"/>
      <c r="CM150" s="213"/>
      <c r="CN150" s="213"/>
      <c r="CO150" s="213"/>
      <c r="CP150" s="213"/>
      <c r="CQ150" s="213"/>
    </row>
    <row r="151" ht="15.75" customHeight="1">
      <c r="A151" s="213"/>
      <c r="B151" s="492"/>
      <c r="C151" s="492"/>
      <c r="D151" s="604"/>
      <c r="E151" s="352"/>
      <c r="F151" s="352"/>
      <c r="G151" s="352"/>
      <c r="H151" s="352"/>
      <c r="I151" s="358"/>
      <c r="J151" s="393"/>
      <c r="K151" s="352"/>
      <c r="L151" s="352"/>
      <c r="M151" s="352"/>
      <c r="N151" s="352"/>
      <c r="O151" s="358"/>
      <c r="P151" s="393"/>
      <c r="Q151" s="352"/>
      <c r="R151" s="352"/>
      <c r="S151" s="352"/>
      <c r="T151" s="352"/>
      <c r="U151" s="358"/>
      <c r="V151" s="393"/>
      <c r="W151" s="352"/>
      <c r="X151" s="352"/>
      <c r="Y151" s="352"/>
      <c r="Z151" s="352"/>
      <c r="AA151" s="358"/>
      <c r="AB151" s="604"/>
      <c r="AC151" s="352"/>
      <c r="AD151" s="352"/>
      <c r="AE151" s="352"/>
      <c r="AF151" s="352"/>
      <c r="AG151" s="358"/>
      <c r="AH151" s="604"/>
      <c r="AI151" s="352"/>
      <c r="AJ151" s="663"/>
      <c r="AK151" s="352"/>
      <c r="AL151" s="352"/>
      <c r="AM151" s="358"/>
      <c r="AN151" s="604"/>
      <c r="AO151" s="352"/>
      <c r="AP151" s="352"/>
      <c r="AQ151" s="352"/>
      <c r="AR151" s="352"/>
      <c r="AS151" s="358"/>
      <c r="AT151" s="604"/>
      <c r="AU151" s="352"/>
      <c r="AV151" s="352"/>
      <c r="AW151" s="352"/>
      <c r="AX151" s="352"/>
      <c r="AY151" s="358"/>
      <c r="AZ151" s="604"/>
      <c r="BA151" s="352"/>
      <c r="BB151" s="352"/>
      <c r="BC151" s="352"/>
      <c r="BD151" s="352"/>
      <c r="BE151" s="358"/>
      <c r="BF151" s="604"/>
      <c r="BG151" s="352"/>
      <c r="BH151" s="352"/>
      <c r="BI151" s="352"/>
      <c r="BJ151" s="352"/>
      <c r="BK151" s="358"/>
      <c r="BL151" s="604"/>
      <c r="BM151" s="352"/>
      <c r="BN151" s="352"/>
      <c r="BO151" s="352"/>
      <c r="BP151" s="352"/>
      <c r="BQ151" s="358"/>
      <c r="BR151" s="351"/>
      <c r="BS151" s="352"/>
      <c r="BT151" s="352"/>
      <c r="BU151" s="352"/>
      <c r="BV151" s="352"/>
      <c r="BW151" s="358"/>
      <c r="BX151" s="213"/>
      <c r="BY151" s="213"/>
      <c r="BZ151" s="213"/>
      <c r="CA151" s="213"/>
      <c r="CB151" s="213"/>
      <c r="CC151" s="213"/>
      <c r="CD151" s="213"/>
      <c r="CE151" s="213"/>
      <c r="CF151" s="213"/>
      <c r="CG151" s="213"/>
      <c r="CH151" s="213"/>
      <c r="CI151" s="213"/>
      <c r="CJ151" s="213"/>
      <c r="CK151" s="213"/>
      <c r="CL151" s="213"/>
      <c r="CM151" s="213"/>
      <c r="CN151" s="213"/>
      <c r="CO151" s="213"/>
      <c r="CP151" s="213"/>
      <c r="CQ151" s="213"/>
    </row>
    <row r="152" ht="15.75" customHeight="1">
      <c r="A152" s="213"/>
      <c r="B152" s="492"/>
      <c r="C152" s="501" t="s">
        <v>43</v>
      </c>
      <c r="D152" s="604">
        <f>SUM(D153:D154)</f>
        <v>0</v>
      </c>
      <c r="E152" s="355">
        <f>D152/D$32</f>
        <v>0</v>
      </c>
      <c r="F152" s="357">
        <f>SUM(F153:F154)</f>
        <v>0</v>
      </c>
      <c r="G152" s="355">
        <f>F152/F$32</f>
        <v>0</v>
      </c>
      <c r="H152" s="352">
        <f>SUM(H153:H154)</f>
        <v>0</v>
      </c>
      <c r="I152" s="358"/>
      <c r="J152" s="604">
        <f>SUM(J153:J154)</f>
        <v>0</v>
      </c>
      <c r="K152" s="352"/>
      <c r="L152" s="357">
        <f>SUM(L153:L154)</f>
        <v>0</v>
      </c>
      <c r="M152" s="355">
        <f>L152/L$32</f>
        <v>0</v>
      </c>
      <c r="N152" s="352">
        <f>SUM(N153:N154)</f>
        <v>0</v>
      </c>
      <c r="O152" s="358"/>
      <c r="P152" s="604">
        <f>SUM(P153:P154)</f>
        <v>0</v>
      </c>
      <c r="Q152" s="352"/>
      <c r="R152" s="357">
        <f>SUM(R153:R154)</f>
        <v>0</v>
      </c>
      <c r="S152" s="355">
        <f>R152/R$32</f>
        <v>0</v>
      </c>
      <c r="T152" s="352">
        <f>SUM(T153:T154)</f>
        <v>0</v>
      </c>
      <c r="U152" s="358"/>
      <c r="V152" s="604">
        <f>SUM(V153:V154)</f>
        <v>0</v>
      </c>
      <c r="W152" s="352"/>
      <c r="X152" s="357">
        <f>SUM(X153:X154)</f>
        <v>0</v>
      </c>
      <c r="Y152" s="355">
        <f>X152/X$32</f>
        <v>0</v>
      </c>
      <c r="Z152" s="352">
        <f>SUM(Z153:Z154)</f>
        <v>0</v>
      </c>
      <c r="AA152" s="358"/>
      <c r="AB152" s="604">
        <f>SUM(AB153:AB154)</f>
        <v>0</v>
      </c>
      <c r="AC152" s="352"/>
      <c r="AD152" s="357">
        <f>SUM(AD153:AD154)</f>
        <v>0</v>
      </c>
      <c r="AE152" s="355">
        <f>AD152/AD$32</f>
        <v>0</v>
      </c>
      <c r="AF152" s="352">
        <f>SUM(AF153:AF154)</f>
        <v>0</v>
      </c>
      <c r="AG152" s="358"/>
      <c r="AH152" s="604">
        <f>SUM(AH153:AH154)</f>
        <v>0</v>
      </c>
      <c r="AI152" s="352"/>
      <c r="AJ152" s="663">
        <f>SUM(AJ153:AJ154)</f>
        <v>0</v>
      </c>
      <c r="AK152" s="355">
        <f>AJ152/AJ$32</f>
        <v>0</v>
      </c>
      <c r="AL152" s="352">
        <f>SUM(AL153:AL154)</f>
        <v>0</v>
      </c>
      <c r="AM152" s="358"/>
      <c r="AN152" s="604">
        <f>SUM(AN153:AN154)</f>
        <v>0</v>
      </c>
      <c r="AO152" s="355">
        <f>AN152/AN$32</f>
        <v>0</v>
      </c>
      <c r="AP152" s="357">
        <f>SUM(AP153:AP154)</f>
        <v>0</v>
      </c>
      <c r="AQ152" s="355">
        <f>AP152/AP$32</f>
        <v>0</v>
      </c>
      <c r="AR152" s="352">
        <f>SUM(AR153:AR154)</f>
        <v>0</v>
      </c>
      <c r="AS152" s="358"/>
      <c r="AT152" s="604">
        <f>SUM(AT153:AT154)</f>
        <v>0</v>
      </c>
      <c r="AU152" s="352"/>
      <c r="AV152" s="357">
        <f>SUM(AV153:AV154)</f>
        <v>0</v>
      </c>
      <c r="AW152" s="355">
        <f>AV152/AV$32</f>
        <v>0</v>
      </c>
      <c r="AX152" s="352">
        <f>SUM(AX153:AX154)</f>
        <v>0</v>
      </c>
      <c r="AY152" s="358"/>
      <c r="AZ152" s="604">
        <f>SUM(AZ153:AZ154)</f>
        <v>0</v>
      </c>
      <c r="BA152" s="352"/>
      <c r="BB152" s="357">
        <f>SUM(BB153:BB154)</f>
        <v>0</v>
      </c>
      <c r="BC152" s="355">
        <f>BB152/BB$32</f>
        <v>0</v>
      </c>
      <c r="BD152" s="352">
        <f>SUM(BD153:BD154)</f>
        <v>0</v>
      </c>
      <c r="BE152" s="358"/>
      <c r="BF152" s="604">
        <f>SUM(BF153:BF154)</f>
        <v>0</v>
      </c>
      <c r="BG152" s="352"/>
      <c r="BH152" s="357">
        <f>SUM(BH153:BH154)</f>
        <v>0</v>
      </c>
      <c r="BI152" s="355">
        <f>BH152/BH$32</f>
        <v>0</v>
      </c>
      <c r="BJ152" s="352">
        <f>SUM(BJ153:BJ154)</f>
        <v>0</v>
      </c>
      <c r="BK152" s="358"/>
      <c r="BL152" s="604">
        <f>SUM(BL153:BL154)</f>
        <v>0</v>
      </c>
      <c r="BM152" s="352"/>
      <c r="BN152" s="357">
        <f>SUM(BN153:BN154)</f>
        <v>0</v>
      </c>
      <c r="BO152" s="355">
        <f>BN152/BN$32</f>
        <v>0</v>
      </c>
      <c r="BP152" s="352">
        <f>SUM(BP153:BP154)</f>
        <v>0</v>
      </c>
      <c r="BQ152" s="358"/>
      <c r="BR152" s="351">
        <f>SUM(BR153:BR154)</f>
        <v>0</v>
      </c>
      <c r="BS152" s="352"/>
      <c r="BT152" s="357">
        <f>SUM(BT153:BT154)</f>
        <v>0</v>
      </c>
      <c r="BU152" s="355">
        <f>BT152/BT$32</f>
        <v>0</v>
      </c>
      <c r="BV152" s="352">
        <f>SUM(BV153:BV154)</f>
        <v>0</v>
      </c>
      <c r="BW152" s="358"/>
      <c r="BX152" s="718">
        <f>D152+J152+P152+V152+AB152+AH152+AN152+AT152+AZ152+BF152+BL152+BR152</f>
        <v>0</v>
      </c>
      <c r="BY152" s="216"/>
      <c r="BZ152" s="216"/>
      <c r="CA152" s="216"/>
      <c r="CB152" s="216"/>
      <c r="CC152" s="216"/>
      <c r="CD152" s="216"/>
      <c r="CE152" s="216"/>
      <c r="CF152" s="216"/>
      <c r="CG152" s="216"/>
      <c r="CH152" s="216"/>
      <c r="CI152" s="216"/>
      <c r="CJ152" s="216"/>
      <c r="CK152" s="216"/>
      <c r="CL152" s="216"/>
      <c r="CM152" s="216"/>
      <c r="CN152" s="216"/>
      <c r="CO152" s="216"/>
      <c r="CP152" s="216"/>
      <c r="CQ152" s="216"/>
    </row>
    <row r="153" ht="15.75" customHeight="1">
      <c r="A153" s="213"/>
      <c r="B153" s="492"/>
      <c r="C153" s="492" t="s">
        <v>292</v>
      </c>
      <c r="D153" s="604"/>
      <c r="E153" s="352"/>
      <c r="F153" s="352"/>
      <c r="G153" s="355"/>
      <c r="H153" s="352"/>
      <c r="I153" s="358"/>
      <c r="J153" s="393"/>
      <c r="K153" s="352"/>
      <c r="L153" s="352"/>
      <c r="M153" s="355"/>
      <c r="N153" s="352"/>
      <c r="O153" s="358"/>
      <c r="P153" s="393"/>
      <c r="Q153" s="352"/>
      <c r="R153" s="352"/>
      <c r="S153" s="355"/>
      <c r="T153" s="352"/>
      <c r="U153" s="358"/>
      <c r="V153" s="393"/>
      <c r="W153" s="352"/>
      <c r="X153" s="352"/>
      <c r="Y153" s="355"/>
      <c r="Z153" s="352"/>
      <c r="AA153" s="358"/>
      <c r="AB153" s="604"/>
      <c r="AC153" s="352"/>
      <c r="AD153" s="352"/>
      <c r="AE153" s="355"/>
      <c r="AF153" s="352"/>
      <c r="AG153" s="358"/>
      <c r="AH153" s="604"/>
      <c r="AI153" s="352"/>
      <c r="AJ153" s="352"/>
      <c r="AK153" s="355"/>
      <c r="AL153" s="352"/>
      <c r="AM153" s="358"/>
      <c r="AN153" s="604"/>
      <c r="AO153" s="355"/>
      <c r="AP153" s="352"/>
      <c r="AQ153" s="355"/>
      <c r="AR153" s="352"/>
      <c r="AS153" s="358"/>
      <c r="AT153" s="604"/>
      <c r="AU153" s="352"/>
      <c r="AV153" s="352"/>
      <c r="AW153" s="355"/>
      <c r="AX153" s="352"/>
      <c r="AY153" s="358"/>
      <c r="AZ153" s="604"/>
      <c r="BA153" s="352"/>
      <c r="BB153" s="352"/>
      <c r="BC153" s="355"/>
      <c r="BD153" s="352"/>
      <c r="BE153" s="358"/>
      <c r="BF153" s="604"/>
      <c r="BG153" s="352"/>
      <c r="BH153" s="352"/>
      <c r="BI153" s="355"/>
      <c r="BJ153" s="352"/>
      <c r="BK153" s="358"/>
      <c r="BL153" s="604"/>
      <c r="BM153" s="352"/>
      <c r="BN153" s="352"/>
      <c r="BO153" s="355"/>
      <c r="BP153" s="352"/>
      <c r="BQ153" s="358"/>
      <c r="BR153" s="351"/>
      <c r="BS153" s="352"/>
      <c r="BT153" s="352"/>
      <c r="BU153" s="355"/>
      <c r="BV153" s="352"/>
      <c r="BW153" s="358"/>
      <c r="BX153" s="213"/>
      <c r="BY153" s="213"/>
      <c r="BZ153" s="213"/>
      <c r="CA153" s="213"/>
      <c r="CB153" s="213"/>
      <c r="CC153" s="213"/>
      <c r="CD153" s="213"/>
      <c r="CE153" s="213"/>
      <c r="CF153" s="213"/>
      <c r="CG153" s="213"/>
      <c r="CH153" s="213"/>
      <c r="CI153" s="213"/>
      <c r="CJ153" s="213"/>
      <c r="CK153" s="213"/>
      <c r="CL153" s="213"/>
      <c r="CM153" s="213"/>
      <c r="CN153" s="213"/>
      <c r="CO153" s="213"/>
      <c r="CP153" s="213"/>
      <c r="CQ153" s="213"/>
    </row>
    <row r="154" ht="15.75" customHeight="1">
      <c r="A154" s="213"/>
      <c r="B154" s="492"/>
      <c r="C154" s="492" t="s">
        <v>344</v>
      </c>
      <c r="D154" s="604"/>
      <c r="E154" s="352"/>
      <c r="F154" s="357"/>
      <c r="G154" s="355"/>
      <c r="H154" s="352"/>
      <c r="I154" s="358"/>
      <c r="J154" s="393"/>
      <c r="K154" s="352"/>
      <c r="L154" s="357"/>
      <c r="M154" s="355"/>
      <c r="N154" s="352"/>
      <c r="O154" s="358"/>
      <c r="P154" s="393"/>
      <c r="Q154" s="352"/>
      <c r="R154" s="357"/>
      <c r="S154" s="355"/>
      <c r="T154" s="352"/>
      <c r="U154" s="358"/>
      <c r="V154" s="393"/>
      <c r="W154" s="352"/>
      <c r="X154" s="357"/>
      <c r="Y154" s="355"/>
      <c r="Z154" s="352"/>
      <c r="AA154" s="358"/>
      <c r="AB154" s="604"/>
      <c r="AC154" s="352"/>
      <c r="AD154" s="357"/>
      <c r="AE154" s="355"/>
      <c r="AF154" s="352"/>
      <c r="AG154" s="358"/>
      <c r="AH154" s="604"/>
      <c r="AI154" s="352"/>
      <c r="AJ154" s="357"/>
      <c r="AK154" s="355"/>
      <c r="AL154" s="352"/>
      <c r="AM154" s="358"/>
      <c r="AN154" s="604"/>
      <c r="AO154" s="355"/>
      <c r="AP154" s="357"/>
      <c r="AQ154" s="355"/>
      <c r="AR154" s="352"/>
      <c r="AS154" s="358"/>
      <c r="AT154" s="604"/>
      <c r="AU154" s="352"/>
      <c r="AV154" s="357"/>
      <c r="AW154" s="355"/>
      <c r="AX154" s="352"/>
      <c r="AY154" s="358"/>
      <c r="AZ154" s="604"/>
      <c r="BA154" s="352"/>
      <c r="BB154" s="357"/>
      <c r="BC154" s="355"/>
      <c r="BD154" s="352"/>
      <c r="BE154" s="358"/>
      <c r="BF154" s="604"/>
      <c r="BG154" s="352"/>
      <c r="BH154" s="357"/>
      <c r="BI154" s="355"/>
      <c r="BJ154" s="352"/>
      <c r="BK154" s="358"/>
      <c r="BL154" s="604"/>
      <c r="BM154" s="352"/>
      <c r="BN154" s="357"/>
      <c r="BO154" s="355"/>
      <c r="BP154" s="352"/>
      <c r="BQ154" s="358"/>
      <c r="BR154" s="351"/>
      <c r="BS154" s="352"/>
      <c r="BT154" s="357"/>
      <c r="BU154" s="355"/>
      <c r="BV154" s="352"/>
      <c r="BW154" s="358"/>
      <c r="BX154" s="213"/>
      <c r="BY154" s="213"/>
      <c r="BZ154" s="213"/>
      <c r="CA154" s="213"/>
      <c r="CB154" s="213"/>
      <c r="CC154" s="213"/>
      <c r="CD154" s="213"/>
      <c r="CE154" s="213"/>
      <c r="CF154" s="213"/>
      <c r="CG154" s="213"/>
      <c r="CH154" s="213"/>
      <c r="CI154" s="213"/>
      <c r="CJ154" s="213"/>
      <c r="CK154" s="213"/>
      <c r="CL154" s="213"/>
      <c r="CM154" s="213"/>
      <c r="CN154" s="213"/>
      <c r="CO154" s="213"/>
      <c r="CP154" s="213"/>
      <c r="CQ154" s="213"/>
    </row>
    <row r="155" ht="15.75" customHeight="1">
      <c r="A155" s="213"/>
      <c r="B155" s="492"/>
      <c r="C155" s="492"/>
      <c r="D155" s="604"/>
      <c r="E155" s="352"/>
      <c r="F155" s="352"/>
      <c r="G155" s="352"/>
      <c r="H155" s="352"/>
      <c r="I155" s="358"/>
      <c r="J155" s="393"/>
      <c r="K155" s="352"/>
      <c r="L155" s="352"/>
      <c r="M155" s="352"/>
      <c r="N155" s="352"/>
      <c r="O155" s="358"/>
      <c r="P155" s="393"/>
      <c r="Q155" s="352"/>
      <c r="R155" s="352"/>
      <c r="S155" s="352"/>
      <c r="T155" s="352"/>
      <c r="U155" s="358"/>
      <c r="V155" s="393"/>
      <c r="W155" s="352"/>
      <c r="X155" s="352"/>
      <c r="Y155" s="352"/>
      <c r="Z155" s="352"/>
      <c r="AA155" s="358"/>
      <c r="AB155" s="604"/>
      <c r="AC155" s="352"/>
      <c r="AD155" s="352"/>
      <c r="AE155" s="352"/>
      <c r="AF155" s="352"/>
      <c r="AG155" s="358"/>
      <c r="AH155" s="604"/>
      <c r="AI155" s="352"/>
      <c r="AJ155" s="352"/>
      <c r="AK155" s="352"/>
      <c r="AL155" s="352"/>
      <c r="AM155" s="358"/>
      <c r="AN155" s="604"/>
      <c r="AO155" s="352"/>
      <c r="AP155" s="352"/>
      <c r="AQ155" s="352"/>
      <c r="AR155" s="352"/>
      <c r="AS155" s="358"/>
      <c r="AT155" s="604"/>
      <c r="AU155" s="352"/>
      <c r="AV155" s="352"/>
      <c r="AW155" s="352"/>
      <c r="AX155" s="352"/>
      <c r="AY155" s="358"/>
      <c r="AZ155" s="604"/>
      <c r="BA155" s="352"/>
      <c r="BB155" s="352"/>
      <c r="BC155" s="352"/>
      <c r="BD155" s="352"/>
      <c r="BE155" s="358"/>
      <c r="BF155" s="604"/>
      <c r="BG155" s="352"/>
      <c r="BH155" s="352"/>
      <c r="BI155" s="352"/>
      <c r="BJ155" s="352"/>
      <c r="BK155" s="358"/>
      <c r="BL155" s="604"/>
      <c r="BM155" s="352"/>
      <c r="BN155" s="352"/>
      <c r="BO155" s="352"/>
      <c r="BP155" s="352"/>
      <c r="BQ155" s="358"/>
      <c r="BR155" s="351"/>
      <c r="BS155" s="352"/>
      <c r="BT155" s="352"/>
      <c r="BU155" s="352"/>
      <c r="BV155" s="352"/>
      <c r="BW155" s="358"/>
      <c r="BX155" s="213"/>
      <c r="BY155" s="213"/>
      <c r="BZ155" s="213"/>
      <c r="CA155" s="213"/>
      <c r="CB155" s="213"/>
      <c r="CC155" s="213"/>
      <c r="CD155" s="213"/>
      <c r="CE155" s="213"/>
      <c r="CF155" s="213"/>
      <c r="CG155" s="213"/>
      <c r="CH155" s="213"/>
      <c r="CI155" s="213"/>
      <c r="CJ155" s="213"/>
      <c r="CK155" s="213"/>
      <c r="CL155" s="213"/>
      <c r="CM155" s="213"/>
      <c r="CN155" s="213"/>
      <c r="CO155" s="213"/>
      <c r="CP155" s="213"/>
      <c r="CQ155" s="213"/>
    </row>
    <row r="156" ht="15.75" customHeight="1">
      <c r="A156" s="213"/>
      <c r="B156" s="492"/>
      <c r="C156" s="492"/>
      <c r="D156" s="604"/>
      <c r="E156" s="352"/>
      <c r="F156" s="352"/>
      <c r="G156" s="352"/>
      <c r="H156" s="352"/>
      <c r="I156" s="358"/>
      <c r="J156" s="393"/>
      <c r="K156" s="352"/>
      <c r="L156" s="352"/>
      <c r="M156" s="352"/>
      <c r="N156" s="352"/>
      <c r="O156" s="358"/>
      <c r="P156" s="393"/>
      <c r="Q156" s="352"/>
      <c r="R156" s="352"/>
      <c r="S156" s="352"/>
      <c r="T156" s="352"/>
      <c r="U156" s="358"/>
      <c r="V156" s="393"/>
      <c r="W156" s="352"/>
      <c r="X156" s="352"/>
      <c r="Y156" s="352"/>
      <c r="Z156" s="352"/>
      <c r="AA156" s="358"/>
      <c r="AB156" s="604"/>
      <c r="AC156" s="352"/>
      <c r="AD156" s="352"/>
      <c r="AE156" s="352"/>
      <c r="AF156" s="352"/>
      <c r="AG156" s="358"/>
      <c r="AH156" s="604"/>
      <c r="AI156" s="352"/>
      <c r="AJ156" s="352"/>
      <c r="AK156" s="352"/>
      <c r="AL156" s="352"/>
      <c r="AM156" s="358"/>
      <c r="AN156" s="604"/>
      <c r="AO156" s="352"/>
      <c r="AP156" s="352"/>
      <c r="AQ156" s="352"/>
      <c r="AR156" s="352"/>
      <c r="AS156" s="358"/>
      <c r="AT156" s="604"/>
      <c r="AU156" s="352"/>
      <c r="AV156" s="352"/>
      <c r="AW156" s="352"/>
      <c r="AX156" s="352"/>
      <c r="AY156" s="358"/>
      <c r="AZ156" s="604"/>
      <c r="BA156" s="352"/>
      <c r="BB156" s="352"/>
      <c r="BC156" s="352"/>
      <c r="BD156" s="352"/>
      <c r="BE156" s="358"/>
      <c r="BF156" s="604"/>
      <c r="BG156" s="352"/>
      <c r="BH156" s="352"/>
      <c r="BI156" s="352"/>
      <c r="BJ156" s="352"/>
      <c r="BK156" s="358"/>
      <c r="BL156" s="604"/>
      <c r="BM156" s="352"/>
      <c r="BN156" s="352"/>
      <c r="BO156" s="352"/>
      <c r="BP156" s="352"/>
      <c r="BQ156" s="358"/>
      <c r="BR156" s="351"/>
      <c r="BS156" s="352"/>
      <c r="BT156" s="352"/>
      <c r="BU156" s="352"/>
      <c r="BV156" s="352"/>
      <c r="BW156" s="358"/>
      <c r="BX156" s="213"/>
      <c r="BY156" s="213"/>
      <c r="BZ156" s="213"/>
      <c r="CA156" s="213"/>
      <c r="CB156" s="213"/>
      <c r="CC156" s="213"/>
      <c r="CD156" s="213"/>
      <c r="CE156" s="213"/>
      <c r="CF156" s="213"/>
      <c r="CG156" s="213"/>
      <c r="CH156" s="213"/>
      <c r="CI156" s="213"/>
      <c r="CJ156" s="213"/>
      <c r="CK156" s="213"/>
      <c r="CL156" s="213"/>
      <c r="CM156" s="213"/>
      <c r="CN156" s="213"/>
      <c r="CO156" s="213"/>
      <c r="CP156" s="213"/>
      <c r="CQ156" s="213"/>
    </row>
    <row r="157" ht="15.75" customHeight="1">
      <c r="A157" s="213"/>
      <c r="B157" s="500"/>
      <c r="C157" s="500" t="s">
        <v>293</v>
      </c>
      <c r="D157" s="660">
        <f>D78+D89+D101+D108+D115+D125+D128+D132+D148+D152</f>
        <v>3113046.364</v>
      </c>
      <c r="E157" s="726">
        <f>D157/D$32</f>
        <v>0.3625151688</v>
      </c>
      <c r="F157" s="655">
        <f>F78+F89+F101+F108+F115+F125+F128+F132+F148+F152</f>
        <v>2933050.615</v>
      </c>
      <c r="G157" s="726">
        <f>F157/F$32</f>
        <v>0.3479057863</v>
      </c>
      <c r="H157" s="658"/>
      <c r="I157" s="656"/>
      <c r="J157" s="660">
        <f>J78+J89+J101+J108+J115+J125+J128+J132+J148+J152</f>
        <v>3181318.487</v>
      </c>
      <c r="K157" s="726">
        <f>J157/J$32</f>
        <v>0.3291979402</v>
      </c>
      <c r="L157" s="655">
        <f>L78+L89+L101+L108+L115+L125+L128+L132+L148+L152</f>
        <v>3111081.819</v>
      </c>
      <c r="M157" s="726">
        <f>L157/L$32</f>
        <v>0.3734021354</v>
      </c>
      <c r="N157" s="658"/>
      <c r="O157" s="656"/>
      <c r="P157" s="660">
        <f>P78+P89+P101+P108+P115+P125+P128+P132+P148+P152</f>
        <v>2792353.411</v>
      </c>
      <c r="Q157" s="726">
        <f>P157/P$32</f>
        <v>0.3731799139</v>
      </c>
      <c r="R157" s="655">
        <f>R78+R89+R101+R108+R115+R125+R128+R132+R148+R152</f>
        <v>3151840.41</v>
      </c>
      <c r="S157" s="726">
        <f>R157/R$32</f>
        <v>0.3844748432</v>
      </c>
      <c r="T157" s="658"/>
      <c r="U157" s="656"/>
      <c r="V157" s="660">
        <f>V78+V89+V101+V108+V115+V125+V128+V132+V148+V152</f>
        <v>2957732.2</v>
      </c>
      <c r="W157" s="726">
        <f>V157/V$32</f>
        <v>0.310942389</v>
      </c>
      <c r="X157" s="655">
        <f>X78+X89+X101+X108+X115+X125+X128+X132+X148+X152</f>
        <v>3278112.482</v>
      </c>
      <c r="Y157" s="726">
        <f>X157/X$32</f>
        <v>0.3642176944</v>
      </c>
      <c r="Z157" s="658"/>
      <c r="AA157" s="656"/>
      <c r="AB157" s="660">
        <f>AB78+AB89+AB101+AB108+AB115+AB125+AB128+AB132+AB148+AB152</f>
        <v>3128251.527</v>
      </c>
      <c r="AC157" s="726">
        <f>AB157/AB$32</f>
        <v>0.3338297899</v>
      </c>
      <c r="AD157" s="655">
        <f>AD78+AD89+AD101+AD108+AD115+AD125+AD128+AD132+AD148+AD152</f>
        <v>2965740.767</v>
      </c>
      <c r="AE157" s="726">
        <f>AD157/AD$32</f>
        <v>0.3259056947</v>
      </c>
      <c r="AF157" s="658"/>
      <c r="AG157" s="656"/>
      <c r="AH157" s="660">
        <f>AH78+AH89+AH101+AH108+AH115+AH125+AH128+AH132+AH148+AH152</f>
        <v>2964463.796</v>
      </c>
      <c r="AI157" s="726">
        <f>AH157/AH$32</f>
        <v>0.3220636267</v>
      </c>
      <c r="AJ157" s="655">
        <f>AJ78+AJ89+AJ101+AJ108+AJ115+AJ125+AJ128+AJ132+AJ148+AJ152</f>
        <v>2801805.593</v>
      </c>
      <c r="AK157" s="726">
        <f>AJ157/AJ$32</f>
        <v>0.3102206618</v>
      </c>
      <c r="AL157" s="658"/>
      <c r="AM157" s="656"/>
      <c r="AN157" s="660">
        <f>AN78+AN89+AN101+AN108+AN115+AN125+AN128+AN132+AN148+AN152</f>
        <v>3812042.347</v>
      </c>
      <c r="AO157" s="726">
        <f>AN157/AN$32</f>
        <v>0.4527002117</v>
      </c>
      <c r="AP157" s="655">
        <f>AP78+AP89+AP101+AP108+AP115+AP125+AP128+AP132+AP148+AP152</f>
        <v>3748125.114</v>
      </c>
      <c r="AQ157" s="726">
        <f>AP157/AP$32</f>
        <v>0.3811143242</v>
      </c>
      <c r="AR157" s="658"/>
      <c r="AS157" s="656"/>
      <c r="AT157" s="660">
        <f>AT78+AT89+AT101+AT108+AT115+AT125+AT128+AT132+AT148+AT152</f>
        <v>3845590.963</v>
      </c>
      <c r="AU157" s="726">
        <f>AT157/AT$32</f>
        <v>0.4109001109</v>
      </c>
      <c r="AV157" s="655">
        <f>AV78+AV89+AV101+AV108+AV115+AV125+AV128+AV132+AV148+AV152</f>
        <v>3771452.108</v>
      </c>
      <c r="AW157" s="726">
        <f>AV157/AV$32</f>
        <v>0.3891748937</v>
      </c>
      <c r="AX157" s="658"/>
      <c r="AY157" s="656"/>
      <c r="AZ157" s="660">
        <f>AZ78+AZ89+AZ101+AZ108+AZ115+AZ125+AZ128+AZ132+AZ148+AZ152</f>
        <v>4209162.767</v>
      </c>
      <c r="BA157" s="726">
        <f>AZ157/AZ$32</f>
        <v>0.4173427555</v>
      </c>
      <c r="BB157" s="655">
        <f>BB78+BB89+BB101+BB108+BB115+BB125+BB128+BB132+BB148+BB152</f>
        <v>3872149.482</v>
      </c>
      <c r="BC157" s="726">
        <f>BB157/BB$32</f>
        <v>0.3699858181</v>
      </c>
      <c r="BD157" s="658"/>
      <c r="BE157" s="656"/>
      <c r="BF157" s="660">
        <f>BF78+BF89+BF101+BF108+BF115+BF125+BF128+BF132+BF148+BF152</f>
        <v>3508685.07</v>
      </c>
      <c r="BG157" s="726">
        <f>BF157/BF$32</f>
        <v>0.3623014742</v>
      </c>
      <c r="BH157" s="655">
        <f>BH78+BH89+BH101+BH108+BH115+BH125+BH128+BH132+BH148+BH152</f>
        <v>3895159.014</v>
      </c>
      <c r="BI157" s="726">
        <f>BH157/BH$32</f>
        <v>0.381654533</v>
      </c>
      <c r="BJ157" s="658"/>
      <c r="BK157" s="656"/>
      <c r="BL157" s="655">
        <f>BL78+BL89+BL101+BL108+BL115+BL125+BL128+BL132+BL148+BL152</f>
        <v>3764699.503</v>
      </c>
      <c r="BM157" s="726">
        <f>BL157/BL$32</f>
        <v>0.4421225196</v>
      </c>
      <c r="BN157" s="655">
        <f>BN78+BN89+BN101+BN108+BN115+BN125+BN128+BN132+BN148+BN152</f>
        <v>3758069.157</v>
      </c>
      <c r="BO157" s="726">
        <f>BN157/BN$32</f>
        <v>0.3990858306</v>
      </c>
      <c r="BP157" s="658"/>
      <c r="BQ157" s="656"/>
      <c r="BR157" s="655">
        <f>BR78+BR89+BR101+BR108+BR115+BR125+BR128+BR132+BR148+BR152</f>
        <v>4093465.929</v>
      </c>
      <c r="BS157" s="726">
        <f>BR157/BR$32</f>
        <v>0.4043255752</v>
      </c>
      <c r="BT157" s="655">
        <f>BT78+BT89+BT101+BT108+BT115+BT125+BT128+BT132+BT148+BT152</f>
        <v>3892368.158</v>
      </c>
      <c r="BU157" s="726">
        <f>BT157/BT$32</f>
        <v>0.3841353152</v>
      </c>
      <c r="BV157" s="658"/>
      <c r="BW157" s="656"/>
      <c r="BX157" s="718">
        <f>D157+J157+P157+V157+AB157+AH157+AN157+AT157+AZ157+BF157+BL157+BR157</f>
        <v>41370812.36</v>
      </c>
      <c r="BY157" s="213"/>
      <c r="BZ157" s="213"/>
      <c r="CA157" s="213"/>
      <c r="CB157" s="213"/>
      <c r="CC157" s="213"/>
      <c r="CD157" s="213"/>
      <c r="CE157" s="213"/>
      <c r="CF157" s="213"/>
      <c r="CG157" s="213"/>
      <c r="CH157" s="213"/>
      <c r="CI157" s="213"/>
      <c r="CJ157" s="213"/>
      <c r="CK157" s="213"/>
      <c r="CL157" s="213"/>
      <c r="CM157" s="213"/>
      <c r="CN157" s="213"/>
      <c r="CO157" s="213"/>
      <c r="CP157" s="213"/>
      <c r="CQ157" s="213"/>
    </row>
    <row r="158" ht="15.75" customHeight="1">
      <c r="A158" s="213"/>
      <c r="B158" s="502"/>
      <c r="C158" s="502"/>
      <c r="D158" s="619"/>
      <c r="E158" s="364"/>
      <c r="F158" s="364"/>
      <c r="G158" s="364"/>
      <c r="H158" s="364"/>
      <c r="I158" s="368"/>
      <c r="J158" s="778"/>
      <c r="K158" s="364"/>
      <c r="L158" s="364"/>
      <c r="M158" s="364"/>
      <c r="N158" s="364"/>
      <c r="O158" s="368"/>
      <c r="P158" s="778"/>
      <c r="Q158" s="364"/>
      <c r="R158" s="364"/>
      <c r="S158" s="364"/>
      <c r="T158" s="364"/>
      <c r="U158" s="368"/>
      <c r="V158" s="778"/>
      <c r="W158" s="364"/>
      <c r="X158" s="364"/>
      <c r="Y158" s="364"/>
      <c r="Z158" s="364"/>
      <c r="AA158" s="368"/>
      <c r="AB158" s="619"/>
      <c r="AC158" s="364"/>
      <c r="AD158" s="364"/>
      <c r="AE158" s="364"/>
      <c r="AF158" s="364"/>
      <c r="AG158" s="368"/>
      <c r="AH158" s="619"/>
      <c r="AI158" s="364"/>
      <c r="AJ158" s="364"/>
      <c r="AK158" s="364"/>
      <c r="AL158" s="364"/>
      <c r="AM158" s="368"/>
      <c r="AN158" s="619"/>
      <c r="AO158" s="364"/>
      <c r="AP158" s="364"/>
      <c r="AQ158" s="364"/>
      <c r="AR158" s="364"/>
      <c r="AS158" s="368"/>
      <c r="AT158" s="619"/>
      <c r="AU158" s="364"/>
      <c r="AV158" s="364"/>
      <c r="AW158" s="364"/>
      <c r="AX158" s="364"/>
      <c r="AY158" s="368"/>
      <c r="AZ158" s="619"/>
      <c r="BA158" s="364"/>
      <c r="BB158" s="364"/>
      <c r="BC158" s="364"/>
      <c r="BD158" s="364"/>
      <c r="BE158" s="368"/>
      <c r="BF158" s="619"/>
      <c r="BG158" s="364"/>
      <c r="BH158" s="364"/>
      <c r="BI158" s="364"/>
      <c r="BJ158" s="364"/>
      <c r="BK158" s="368"/>
      <c r="BL158" s="619"/>
      <c r="BM158" s="364"/>
      <c r="BN158" s="364"/>
      <c r="BO158" s="364"/>
      <c r="BP158" s="364"/>
      <c r="BQ158" s="368"/>
      <c r="BR158" s="506"/>
      <c r="BS158" s="364"/>
      <c r="BT158" s="364"/>
      <c r="BU158" s="364"/>
      <c r="BV158" s="364"/>
      <c r="BW158" s="368"/>
      <c r="BX158" s="213"/>
      <c r="BY158" s="213"/>
      <c r="BZ158" s="213"/>
      <c r="CA158" s="213"/>
      <c r="CB158" s="213"/>
      <c r="CC158" s="213"/>
      <c r="CD158" s="213"/>
      <c r="CE158" s="213"/>
      <c r="CF158" s="213"/>
      <c r="CG158" s="213"/>
      <c r="CH158" s="213"/>
      <c r="CI158" s="213"/>
      <c r="CJ158" s="213"/>
      <c r="CK158" s="213"/>
      <c r="CL158" s="213"/>
      <c r="CM158" s="213"/>
      <c r="CN158" s="213"/>
      <c r="CO158" s="213"/>
      <c r="CP158" s="213"/>
      <c r="CQ158" s="213"/>
    </row>
    <row r="159" ht="15.75" customHeight="1">
      <c r="A159" s="213"/>
      <c r="B159" s="483"/>
      <c r="C159" s="483" t="s">
        <v>294</v>
      </c>
      <c r="D159" s="600">
        <f>D69-D157</f>
        <v>2743509.172</v>
      </c>
      <c r="E159" s="374">
        <f>D159/D$32</f>
        <v>0.3194824536</v>
      </c>
      <c r="F159" s="377">
        <f>F69-F157</f>
        <v>3393957.959</v>
      </c>
      <c r="G159" s="374">
        <f>F159/F$32</f>
        <v>0.4025766232</v>
      </c>
      <c r="H159" s="408"/>
      <c r="I159" s="378"/>
      <c r="J159" s="600">
        <f>J69-J157</f>
        <v>3332495.71</v>
      </c>
      <c r="K159" s="374">
        <f>J159/J$32</f>
        <v>0.3448415265</v>
      </c>
      <c r="L159" s="377">
        <f>L69-L157</f>
        <v>3140938.586</v>
      </c>
      <c r="M159" s="374">
        <f>L159/L$32</f>
        <v>0.3769856415</v>
      </c>
      <c r="N159" s="408"/>
      <c r="O159" s="378"/>
      <c r="P159" s="600">
        <f>P69-P157</f>
        <v>2261254.761</v>
      </c>
      <c r="Q159" s="374">
        <f>P159/P$32</f>
        <v>0.3022020255</v>
      </c>
      <c r="R159" s="377">
        <f>R69-R157</f>
        <v>2994183.515</v>
      </c>
      <c r="S159" s="374">
        <f>R159/R$32</f>
        <v>0.3652431873</v>
      </c>
      <c r="T159" s="408"/>
      <c r="U159" s="378"/>
      <c r="V159" s="600">
        <f>V69-V157</f>
        <v>3736348.224</v>
      </c>
      <c r="W159" s="374">
        <f>V159/V$32</f>
        <v>0.3927972393</v>
      </c>
      <c r="X159" s="377">
        <f>X69-X157</f>
        <v>3465635.33</v>
      </c>
      <c r="Y159" s="374">
        <f>X159/X$32</f>
        <v>0.3850525925</v>
      </c>
      <c r="Z159" s="408"/>
      <c r="AA159" s="378"/>
      <c r="AB159" s="600">
        <f>AB69-AB157</f>
        <v>3389212.56</v>
      </c>
      <c r="AC159" s="374">
        <f>AB159/AB$32</f>
        <v>0.3616781154</v>
      </c>
      <c r="AD159" s="377">
        <f>AD69-AD157</f>
        <v>3859853.107</v>
      </c>
      <c r="AE159" s="374">
        <f>AD159/AD$32</f>
        <v>0.424159833</v>
      </c>
      <c r="AF159" s="408"/>
      <c r="AG159" s="378"/>
      <c r="AH159" s="600">
        <f>AH69-AH157</f>
        <v>3281237.949</v>
      </c>
      <c r="AI159" s="374">
        <f>AH159/AH$32</f>
        <v>0.3564784281</v>
      </c>
      <c r="AJ159" s="377">
        <f>AJ69-AJ157</f>
        <v>3966636.811</v>
      </c>
      <c r="AK159" s="374">
        <f>AJ159/AJ$32</f>
        <v>0.4391927476</v>
      </c>
      <c r="AL159" s="408"/>
      <c r="AM159" s="378"/>
      <c r="AN159" s="600">
        <f>AN69-AN157</f>
        <v>1745307.377</v>
      </c>
      <c r="AO159" s="374">
        <f>AN159/AN$32</f>
        <v>0.2072644917</v>
      </c>
      <c r="AP159" s="377">
        <f>AP69-AP157</f>
        <v>3625939.435</v>
      </c>
      <c r="AQ159" s="374">
        <f>AP159/AP$32</f>
        <v>0.3686903225</v>
      </c>
      <c r="AR159" s="408"/>
      <c r="AS159" s="378"/>
      <c r="AT159" s="600">
        <f>AT69-AT157</f>
        <v>2754556.625</v>
      </c>
      <c r="AU159" s="374">
        <f>AT159/AT$32</f>
        <v>0.294323456</v>
      </c>
      <c r="AV159" s="377">
        <f>AV69-AV157</f>
        <v>3491802.081</v>
      </c>
      <c r="AW159" s="374">
        <f>AV159/AV$32</f>
        <v>0.3603179</v>
      </c>
      <c r="AX159" s="408"/>
      <c r="AY159" s="378"/>
      <c r="AZ159" s="600">
        <f>AZ69-AZ157</f>
        <v>2645966.17</v>
      </c>
      <c r="BA159" s="374">
        <f>AZ159/AZ$32</f>
        <v>0.2623502282</v>
      </c>
      <c r="BB159" s="377">
        <f>BB69-BB157</f>
        <v>3970176.614</v>
      </c>
      <c r="BC159" s="374">
        <f>BB159/BB$32</f>
        <v>0.3793523596</v>
      </c>
      <c r="BD159" s="408"/>
      <c r="BE159" s="378"/>
      <c r="BF159" s="600">
        <f>BF69-BF157</f>
        <v>3666308.863</v>
      </c>
      <c r="BG159" s="374">
        <f>BF159/BF$32</f>
        <v>0.3785774669</v>
      </c>
      <c r="BH159" s="377">
        <f>BH69-BH157</f>
        <v>3750015.338</v>
      </c>
      <c r="BI159" s="374">
        <f>BH159/BH$32</f>
        <v>0.3674331003</v>
      </c>
      <c r="BJ159" s="408"/>
      <c r="BK159" s="378"/>
      <c r="BL159" s="377">
        <f>BL69-BL157</f>
        <v>2095819.173</v>
      </c>
      <c r="BM159" s="374">
        <f>BL159/BL$32</f>
        <v>0.2461308937</v>
      </c>
      <c r="BN159" s="377">
        <f>BN69-BN157</f>
        <v>3300187.449</v>
      </c>
      <c r="BO159" s="374">
        <f>BN159/BN$32</f>
        <v>0.3504613657</v>
      </c>
      <c r="BP159" s="408"/>
      <c r="BQ159" s="378"/>
      <c r="BR159" s="377">
        <f>BR69-BR157</f>
        <v>3093899.025</v>
      </c>
      <c r="BS159" s="374">
        <f>BR159/BR$32</f>
        <v>0.3055949468</v>
      </c>
      <c r="BT159" s="377">
        <f>BT69-BT157</f>
        <v>3699556.474</v>
      </c>
      <c r="BU159" s="374">
        <f>BT159/BT$32</f>
        <v>0.3651068538</v>
      </c>
      <c r="BV159" s="408"/>
      <c r="BW159" s="378"/>
      <c r="BX159" s="718">
        <f>D159+J159+P159+V159+AB159+AH159+AN159+AT159+AZ159+BF159+BL159+BR159</f>
        <v>34745915.61</v>
      </c>
      <c r="BY159" s="237">
        <f>BX159-'FY25-26'!AA30</f>
        <v>-0.000000007450580597</v>
      </c>
      <c r="BZ159" s="213"/>
      <c r="CA159" s="213"/>
      <c r="CB159" s="213"/>
      <c r="CC159" s="213"/>
      <c r="CD159" s="213"/>
      <c r="CE159" s="213"/>
      <c r="CF159" s="213"/>
      <c r="CG159" s="213"/>
      <c r="CH159" s="213"/>
      <c r="CI159" s="213"/>
      <c r="CJ159" s="213"/>
      <c r="CK159" s="213"/>
      <c r="CL159" s="213"/>
      <c r="CM159" s="213"/>
      <c r="CN159" s="213"/>
      <c r="CO159" s="213"/>
      <c r="CP159" s="213"/>
      <c r="CQ159" s="213"/>
    </row>
    <row r="160" ht="15.75" customHeight="1">
      <c r="A160" s="213"/>
      <c r="B160" s="213"/>
      <c r="C160" s="213"/>
      <c r="D160" s="238"/>
      <c r="E160" s="238"/>
      <c r="F160" s="238"/>
      <c r="G160" s="238"/>
      <c r="H160" s="238"/>
      <c r="I160" s="238"/>
      <c r="J160" s="216"/>
      <c r="K160" s="238"/>
      <c r="L160" s="238"/>
      <c r="M160" s="238"/>
      <c r="N160" s="238"/>
      <c r="O160" s="238"/>
      <c r="P160" s="216"/>
      <c r="Q160" s="238"/>
      <c r="R160" s="238"/>
      <c r="S160" s="238"/>
      <c r="T160" s="238"/>
      <c r="U160" s="238"/>
      <c r="V160" s="216"/>
      <c r="W160" s="238"/>
      <c r="X160" s="238"/>
      <c r="Y160" s="238"/>
      <c r="Z160" s="238"/>
      <c r="AA160" s="238"/>
      <c r="AB160" s="216"/>
      <c r="AC160" s="238"/>
      <c r="AD160" s="238"/>
      <c r="AE160" s="238"/>
      <c r="AF160" s="238"/>
      <c r="AG160" s="238"/>
      <c r="AH160" s="216"/>
      <c r="AI160" s="238"/>
      <c r="AJ160" s="238"/>
      <c r="AK160" s="238"/>
      <c r="AL160" s="238"/>
      <c r="AM160" s="238"/>
      <c r="AN160" s="216"/>
      <c r="AO160" s="238"/>
      <c r="AP160" s="238"/>
      <c r="AQ160" s="238"/>
      <c r="AR160" s="238"/>
      <c r="AS160" s="238"/>
      <c r="AT160" s="216"/>
      <c r="AU160" s="238"/>
      <c r="AV160" s="238"/>
      <c r="AW160" s="238"/>
      <c r="AX160" s="238"/>
      <c r="AY160" s="238"/>
      <c r="AZ160" s="216"/>
      <c r="BA160" s="238"/>
      <c r="BB160" s="238"/>
      <c r="BC160" s="238"/>
      <c r="BD160" s="238"/>
      <c r="BE160" s="238"/>
      <c r="BF160" s="216"/>
      <c r="BG160" s="238"/>
      <c r="BH160" s="238"/>
      <c r="BI160" s="238"/>
      <c r="BJ160" s="238"/>
      <c r="BK160" s="238"/>
      <c r="BL160" s="216"/>
      <c r="BM160" s="238"/>
      <c r="BN160" s="238"/>
      <c r="BO160" s="238"/>
      <c r="BP160" s="238"/>
      <c r="BQ160" s="238"/>
      <c r="BR160" s="779"/>
      <c r="BS160" s="238"/>
      <c r="BT160" s="238"/>
      <c r="BU160" s="238"/>
      <c r="BV160" s="238"/>
      <c r="BW160" s="238"/>
      <c r="BX160" s="213"/>
      <c r="BY160" s="213"/>
      <c r="BZ160" s="213"/>
      <c r="CA160" s="213"/>
      <c r="CB160" s="213"/>
      <c r="CC160" s="213"/>
      <c r="CD160" s="213"/>
      <c r="CE160" s="213"/>
      <c r="CF160" s="213"/>
      <c r="CG160" s="213"/>
      <c r="CH160" s="213"/>
      <c r="CI160" s="213"/>
      <c r="CJ160" s="213"/>
      <c r="CK160" s="213"/>
      <c r="CL160" s="213"/>
      <c r="CM160" s="213"/>
      <c r="CN160" s="213"/>
      <c r="CO160" s="213"/>
      <c r="CP160" s="213"/>
      <c r="CQ160" s="213"/>
    </row>
    <row r="161" ht="15.75" customHeight="1">
      <c r="A161" s="213"/>
      <c r="B161" s="213"/>
      <c r="C161" s="780" t="s">
        <v>411</v>
      </c>
      <c r="D161" s="238"/>
      <c r="E161" s="238"/>
      <c r="F161" s="238"/>
      <c r="G161" s="238"/>
      <c r="H161" s="238"/>
      <c r="I161" s="238"/>
      <c r="J161" s="216"/>
      <c r="K161" s="238"/>
      <c r="L161" s="238"/>
      <c r="M161" s="238"/>
      <c r="N161" s="238"/>
      <c r="O161" s="238"/>
      <c r="P161" s="216"/>
      <c r="Q161" s="238"/>
      <c r="R161" s="238"/>
      <c r="S161" s="238"/>
      <c r="T161" s="238"/>
      <c r="U161" s="238"/>
      <c r="V161" s="216"/>
      <c r="W161" s="238"/>
      <c r="X161" s="238"/>
      <c r="Y161" s="238"/>
      <c r="Z161" s="238"/>
      <c r="AA161" s="238"/>
      <c r="AB161" s="216"/>
      <c r="AC161" s="238"/>
      <c r="AD161" s="238"/>
      <c r="AE161" s="238"/>
      <c r="AF161" s="238"/>
      <c r="AG161" s="238"/>
      <c r="AH161" s="216"/>
      <c r="AI161" s="238"/>
      <c r="AJ161" s="238"/>
      <c r="AK161" s="238"/>
      <c r="AL161" s="238"/>
      <c r="AM161" s="238"/>
      <c r="AN161" s="216"/>
      <c r="AO161" s="238"/>
      <c r="AP161" s="238"/>
      <c r="AQ161" s="238"/>
      <c r="AR161" s="238"/>
      <c r="AS161" s="238"/>
      <c r="AT161" s="216"/>
      <c r="AU161" s="238"/>
      <c r="AV161" s="238"/>
      <c r="AW161" s="238"/>
      <c r="AX161" s="238"/>
      <c r="AY161" s="238"/>
      <c r="AZ161" s="216"/>
      <c r="BA161" s="238"/>
      <c r="BB161" s="238"/>
      <c r="BC161" s="238"/>
      <c r="BD161" s="238"/>
      <c r="BE161" s="238"/>
      <c r="BF161" s="328">
        <f>BF32</f>
        <v>9684434.98</v>
      </c>
      <c r="BG161" s="238"/>
      <c r="BH161" s="238"/>
      <c r="BI161" s="238"/>
      <c r="BJ161" s="238"/>
      <c r="BK161" s="238"/>
      <c r="BL161" s="328">
        <f>BL32</f>
        <v>8515059.37</v>
      </c>
      <c r="BM161" s="238"/>
      <c r="BN161" s="238"/>
      <c r="BO161" s="238"/>
      <c r="BP161" s="238"/>
      <c r="BQ161" s="238"/>
      <c r="BR161" s="328">
        <f>BR32</f>
        <v>10124182.54</v>
      </c>
      <c r="BS161" s="238"/>
      <c r="BT161" s="238"/>
      <c r="BU161" s="238"/>
      <c r="BV161" s="238"/>
      <c r="BW161" s="238"/>
      <c r="BX161" s="213"/>
      <c r="BY161" s="213"/>
      <c r="BZ161" s="213"/>
      <c r="CA161" s="213"/>
      <c r="CB161" s="213"/>
      <c r="CC161" s="213"/>
      <c r="CD161" s="213"/>
      <c r="CE161" s="213"/>
      <c r="CF161" s="213"/>
      <c r="CG161" s="213"/>
      <c r="CH161" s="213"/>
      <c r="CI161" s="213"/>
      <c r="CJ161" s="213"/>
      <c r="CK161" s="213"/>
      <c r="CL161" s="213"/>
      <c r="CM161" s="213"/>
      <c r="CN161" s="213"/>
      <c r="CO161" s="213"/>
      <c r="CP161" s="213"/>
      <c r="CQ161" s="213"/>
    </row>
    <row r="162" ht="15.75" customHeight="1">
      <c r="A162" s="213"/>
      <c r="B162" s="213"/>
      <c r="C162" s="213"/>
      <c r="D162" s="238"/>
      <c r="E162" s="238"/>
      <c r="F162" s="238"/>
      <c r="G162" s="238"/>
      <c r="H162" s="238"/>
      <c r="I162" s="238"/>
      <c r="J162" s="216"/>
      <c r="K162" s="238"/>
      <c r="L162" s="238"/>
      <c r="M162" s="238"/>
      <c r="N162" s="238"/>
      <c r="O162" s="238"/>
      <c r="P162" s="216"/>
      <c r="Q162" s="238"/>
      <c r="R162" s="238"/>
      <c r="S162" s="238"/>
      <c r="T162" s="238"/>
      <c r="U162" s="238"/>
      <c r="V162" s="216"/>
      <c r="W162" s="238"/>
      <c r="X162" s="238"/>
      <c r="Y162" s="238"/>
      <c r="Z162" s="238"/>
      <c r="AA162" s="238"/>
      <c r="AB162" s="216"/>
      <c r="AC162" s="238"/>
      <c r="AD162" s="238"/>
      <c r="AE162" s="238"/>
      <c r="AF162" s="238"/>
      <c r="AG162" s="238"/>
      <c r="AH162" s="216"/>
      <c r="AI162" s="238"/>
      <c r="AJ162" s="238"/>
      <c r="AK162" s="238"/>
      <c r="AL162" s="238"/>
      <c r="AM162" s="238"/>
      <c r="AN162" s="216"/>
      <c r="AO162" s="238"/>
      <c r="AP162" s="238"/>
      <c r="AQ162" s="238"/>
      <c r="AR162" s="238"/>
      <c r="AS162" s="238"/>
      <c r="AT162" s="216"/>
      <c r="AU162" s="238"/>
      <c r="AV162" s="238"/>
      <c r="AW162" s="238"/>
      <c r="AX162" s="238"/>
      <c r="AY162" s="238"/>
      <c r="AZ162" s="216"/>
      <c r="BA162" s="238"/>
      <c r="BB162" s="238"/>
      <c r="BC162" s="238"/>
      <c r="BD162" s="238"/>
      <c r="BE162" s="238"/>
      <c r="BF162" s="216"/>
      <c r="BG162" s="238"/>
      <c r="BH162" s="238"/>
      <c r="BI162" s="238"/>
      <c r="BJ162" s="238"/>
      <c r="BK162" s="238"/>
      <c r="BL162" s="216"/>
      <c r="BM162" s="238"/>
      <c r="BN162" s="238"/>
      <c r="BO162" s="238"/>
      <c r="BP162" s="238"/>
      <c r="BQ162" s="238"/>
      <c r="BR162" s="779"/>
      <c r="BS162" s="238"/>
      <c r="BT162" s="238"/>
      <c r="BU162" s="238"/>
      <c r="BV162" s="238"/>
      <c r="BW162" s="238"/>
      <c r="BX162" s="213"/>
      <c r="BY162" s="213"/>
      <c r="BZ162" s="213"/>
      <c r="CA162" s="213"/>
      <c r="CB162" s="213"/>
      <c r="CC162" s="213"/>
      <c r="CD162" s="213"/>
      <c r="CE162" s="213"/>
      <c r="CF162" s="213"/>
      <c r="CG162" s="213"/>
      <c r="CH162" s="213"/>
      <c r="CI162" s="213"/>
      <c r="CJ162" s="213"/>
      <c r="CK162" s="213"/>
      <c r="CL162" s="213"/>
      <c r="CM162" s="213"/>
      <c r="CN162" s="213"/>
      <c r="CO162" s="213"/>
      <c r="CP162" s="213"/>
      <c r="CQ162" s="213"/>
    </row>
    <row r="163" ht="15.75" customHeight="1">
      <c r="A163" s="213"/>
      <c r="B163" s="213"/>
      <c r="C163" s="213"/>
      <c r="D163" s="238"/>
      <c r="E163" s="238"/>
      <c r="F163" s="238"/>
      <c r="G163" s="238"/>
      <c r="H163" s="238"/>
      <c r="I163" s="238"/>
      <c r="J163" s="216"/>
      <c r="K163" s="238"/>
      <c r="L163" s="238"/>
      <c r="M163" s="238"/>
      <c r="N163" s="238"/>
      <c r="O163" s="238"/>
      <c r="P163" s="216"/>
      <c r="Q163" s="238"/>
      <c r="R163" s="238"/>
      <c r="S163" s="238"/>
      <c r="T163" s="238"/>
      <c r="U163" s="238"/>
      <c r="V163" s="216"/>
      <c r="W163" s="238"/>
      <c r="X163" s="238"/>
      <c r="Y163" s="238"/>
      <c r="Z163" s="238"/>
      <c r="AA163" s="238"/>
      <c r="AB163" s="216"/>
      <c r="AC163" s="238"/>
      <c r="AD163" s="238"/>
      <c r="AE163" s="238"/>
      <c r="AF163" s="238"/>
      <c r="AG163" s="238"/>
      <c r="AH163" s="216"/>
      <c r="AI163" s="238"/>
      <c r="AJ163" s="238"/>
      <c r="AK163" s="238"/>
      <c r="AL163" s="238"/>
      <c r="AM163" s="238"/>
      <c r="AN163" s="216"/>
      <c r="AO163" s="238"/>
      <c r="AP163" s="238"/>
      <c r="AQ163" s="238"/>
      <c r="AR163" s="238"/>
      <c r="AS163" s="238"/>
      <c r="AT163" s="216"/>
      <c r="AU163" s="238"/>
      <c r="AV163" s="238"/>
      <c r="AW163" s="238"/>
      <c r="AX163" s="238"/>
      <c r="AY163" s="238"/>
      <c r="AZ163" s="216"/>
      <c r="BA163" s="238"/>
      <c r="BB163" s="238"/>
      <c r="BC163" s="238"/>
      <c r="BD163" s="238"/>
      <c r="BE163" s="238"/>
      <c r="BF163" s="216"/>
      <c r="BG163" s="238"/>
      <c r="BH163" s="238"/>
      <c r="BI163" s="238"/>
      <c r="BJ163" s="238"/>
      <c r="BK163" s="238"/>
      <c r="BL163" s="216"/>
      <c r="BM163" s="238"/>
      <c r="BN163" s="238"/>
      <c r="BO163" s="238"/>
      <c r="BP163" s="238"/>
      <c r="BQ163" s="238"/>
      <c r="BR163" s="779"/>
      <c r="BS163" s="238"/>
      <c r="BT163" s="238"/>
      <c r="BU163" s="238"/>
      <c r="BV163" s="238"/>
      <c r="BW163" s="238"/>
      <c r="BX163" s="213"/>
      <c r="BY163" s="213"/>
      <c r="BZ163" s="213"/>
      <c r="CA163" s="213"/>
      <c r="CB163" s="213"/>
      <c r="CC163" s="213"/>
      <c r="CD163" s="213"/>
      <c r="CE163" s="213"/>
      <c r="CF163" s="213"/>
      <c r="CG163" s="213"/>
      <c r="CH163" s="213"/>
      <c r="CI163" s="213"/>
      <c r="CJ163" s="213"/>
      <c r="CK163" s="213"/>
      <c r="CL163" s="213"/>
      <c r="CM163" s="213"/>
      <c r="CN163" s="213"/>
      <c r="CO163" s="213"/>
      <c r="CP163" s="213"/>
      <c r="CQ163" s="213"/>
    </row>
    <row r="164" ht="15.75" customHeight="1">
      <c r="A164" s="213"/>
      <c r="B164" s="213"/>
      <c r="C164" s="213"/>
      <c r="D164" s="238"/>
      <c r="E164" s="238"/>
      <c r="F164" s="238"/>
      <c r="G164" s="238"/>
      <c r="H164" s="238"/>
      <c r="I164" s="238"/>
      <c r="J164" s="216"/>
      <c r="K164" s="238"/>
      <c r="L164" s="238"/>
      <c r="M164" s="238"/>
      <c r="N164" s="238"/>
      <c r="O164" s="238"/>
      <c r="P164" s="216"/>
      <c r="Q164" s="238"/>
      <c r="R164" s="238"/>
      <c r="S164" s="238"/>
      <c r="T164" s="238"/>
      <c r="U164" s="238"/>
      <c r="V164" s="216"/>
      <c r="W164" s="238"/>
      <c r="X164" s="238"/>
      <c r="Y164" s="238"/>
      <c r="Z164" s="238"/>
      <c r="AA164" s="238"/>
      <c r="AB164" s="216"/>
      <c r="AC164" s="238"/>
      <c r="AD164" s="238"/>
      <c r="AE164" s="238"/>
      <c r="AF164" s="238"/>
      <c r="AG164" s="238"/>
      <c r="AH164" s="216"/>
      <c r="AI164" s="238"/>
      <c r="AJ164" s="238"/>
      <c r="AK164" s="238"/>
      <c r="AL164" s="238"/>
      <c r="AM164" s="238"/>
      <c r="AN164" s="216"/>
      <c r="AO164" s="238"/>
      <c r="AP164" s="238"/>
      <c r="AQ164" s="238"/>
      <c r="AR164" s="238"/>
      <c r="AS164" s="238"/>
      <c r="AT164" s="216"/>
      <c r="AU164" s="238"/>
      <c r="AV164" s="238"/>
      <c r="AW164" s="238"/>
      <c r="AX164" s="238"/>
      <c r="AY164" s="238"/>
      <c r="AZ164" s="216"/>
      <c r="BA164" s="238"/>
      <c r="BB164" s="238"/>
      <c r="BC164" s="238"/>
      <c r="BD164" s="238"/>
      <c r="BE164" s="238"/>
      <c r="BF164" s="216"/>
      <c r="BG164" s="238"/>
      <c r="BH164" s="238"/>
      <c r="BI164" s="238"/>
      <c r="BJ164" s="238"/>
      <c r="BK164" s="238"/>
      <c r="BL164" s="216"/>
      <c r="BM164" s="238"/>
      <c r="BN164" s="238"/>
      <c r="BO164" s="238"/>
      <c r="BP164" s="238"/>
      <c r="BQ164" s="238"/>
      <c r="BR164" s="779"/>
      <c r="BS164" s="238"/>
      <c r="BT164" s="238"/>
      <c r="BU164" s="238"/>
      <c r="BV164" s="238"/>
      <c r="BW164" s="238"/>
      <c r="BX164" s="213"/>
      <c r="BY164" s="213"/>
      <c r="BZ164" s="213"/>
      <c r="CA164" s="213"/>
      <c r="CB164" s="213"/>
      <c r="CC164" s="213"/>
      <c r="CD164" s="213"/>
      <c r="CE164" s="213"/>
      <c r="CF164" s="213"/>
      <c r="CG164" s="213"/>
      <c r="CH164" s="213"/>
      <c r="CI164" s="213"/>
      <c r="CJ164" s="213"/>
      <c r="CK164" s="213"/>
      <c r="CL164" s="213"/>
      <c r="CM164" s="213"/>
      <c r="CN164" s="213"/>
      <c r="CO164" s="213"/>
      <c r="CP164" s="213"/>
      <c r="CQ164" s="213"/>
    </row>
    <row r="165" ht="15.75" customHeight="1">
      <c r="A165" s="213"/>
      <c r="B165" s="213"/>
      <c r="C165" s="213"/>
      <c r="D165" s="238"/>
      <c r="E165" s="238"/>
      <c r="F165" s="238"/>
      <c r="G165" s="238"/>
      <c r="H165" s="238"/>
      <c r="I165" s="238"/>
      <c r="J165" s="216"/>
      <c r="K165" s="238"/>
      <c r="L165" s="238"/>
      <c r="M165" s="238"/>
      <c r="N165" s="238"/>
      <c r="O165" s="238"/>
      <c r="P165" s="216"/>
      <c r="Q165" s="238"/>
      <c r="R165" s="238"/>
      <c r="S165" s="238"/>
      <c r="T165" s="238"/>
      <c r="U165" s="238"/>
      <c r="V165" s="216"/>
      <c r="W165" s="238"/>
      <c r="X165" s="238"/>
      <c r="Y165" s="238"/>
      <c r="Z165" s="238"/>
      <c r="AA165" s="238"/>
      <c r="AB165" s="216"/>
      <c r="AC165" s="238"/>
      <c r="AD165" s="238"/>
      <c r="AE165" s="238"/>
      <c r="AF165" s="238"/>
      <c r="AG165" s="238"/>
      <c r="AH165" s="216"/>
      <c r="AI165" s="238"/>
      <c r="AJ165" s="238"/>
      <c r="AK165" s="238"/>
      <c r="AL165" s="238"/>
      <c r="AM165" s="238"/>
      <c r="AN165" s="216"/>
      <c r="AO165" s="238"/>
      <c r="AP165" s="238"/>
      <c r="AQ165" s="238"/>
      <c r="AR165" s="238"/>
      <c r="AS165" s="238"/>
      <c r="AT165" s="216"/>
      <c r="AU165" s="238"/>
      <c r="AV165" s="238"/>
      <c r="AW165" s="238"/>
      <c r="AX165" s="238"/>
      <c r="AY165" s="238"/>
      <c r="AZ165" s="216"/>
      <c r="BA165" s="238"/>
      <c r="BB165" s="238"/>
      <c r="BC165" s="238"/>
      <c r="BD165" s="238"/>
      <c r="BE165" s="238"/>
      <c r="BF165" s="216"/>
      <c r="BG165" s="238"/>
      <c r="BH165" s="238"/>
      <c r="BI165" s="238"/>
      <c r="BJ165" s="238"/>
      <c r="BK165" s="238"/>
      <c r="BL165" s="216"/>
      <c r="BM165" s="238"/>
      <c r="BN165" s="238"/>
      <c r="BO165" s="238"/>
      <c r="BP165" s="238"/>
      <c r="BQ165" s="238"/>
      <c r="BR165" s="779"/>
      <c r="BS165" s="238"/>
      <c r="BT165" s="238"/>
      <c r="BU165" s="238"/>
      <c r="BV165" s="238"/>
      <c r="BW165" s="238"/>
      <c r="BX165" s="213"/>
      <c r="BY165" s="213"/>
      <c r="BZ165" s="213"/>
      <c r="CA165" s="213"/>
      <c r="CB165" s="213"/>
      <c r="CC165" s="213"/>
      <c r="CD165" s="213"/>
      <c r="CE165" s="213"/>
      <c r="CF165" s="213"/>
      <c r="CG165" s="213"/>
      <c r="CH165" s="213"/>
      <c r="CI165" s="213"/>
      <c r="CJ165" s="213"/>
      <c r="CK165" s="213"/>
      <c r="CL165" s="213"/>
      <c r="CM165" s="213"/>
      <c r="CN165" s="213"/>
      <c r="CO165" s="213"/>
      <c r="CP165" s="213"/>
      <c r="CQ165" s="213"/>
    </row>
    <row r="166" ht="15.75" customHeight="1">
      <c r="A166" s="213"/>
      <c r="B166" s="213"/>
      <c r="C166" s="213"/>
      <c r="D166" s="238"/>
      <c r="E166" s="238"/>
      <c r="F166" s="238"/>
      <c r="G166" s="238"/>
      <c r="H166" s="238"/>
      <c r="I166" s="238"/>
      <c r="J166" s="216"/>
      <c r="K166" s="238"/>
      <c r="L166" s="238"/>
      <c r="M166" s="238"/>
      <c r="N166" s="238"/>
      <c r="O166" s="238"/>
      <c r="P166" s="216"/>
      <c r="Q166" s="238"/>
      <c r="R166" s="238"/>
      <c r="S166" s="238"/>
      <c r="T166" s="238"/>
      <c r="U166" s="238"/>
      <c r="V166" s="216"/>
      <c r="W166" s="238"/>
      <c r="X166" s="238"/>
      <c r="Y166" s="238"/>
      <c r="Z166" s="238"/>
      <c r="AA166" s="238"/>
      <c r="AB166" s="216"/>
      <c r="AC166" s="238"/>
      <c r="AD166" s="238"/>
      <c r="AE166" s="238"/>
      <c r="AF166" s="238"/>
      <c r="AG166" s="238"/>
      <c r="AH166" s="216"/>
      <c r="AI166" s="238"/>
      <c r="AJ166" s="238"/>
      <c r="AK166" s="238"/>
      <c r="AL166" s="238"/>
      <c r="AM166" s="238"/>
      <c r="AN166" s="216"/>
      <c r="AO166" s="238"/>
      <c r="AP166" s="238"/>
      <c r="AQ166" s="238"/>
      <c r="AR166" s="238"/>
      <c r="AS166" s="238"/>
      <c r="AT166" s="216"/>
      <c r="AU166" s="238"/>
      <c r="AV166" s="238"/>
      <c r="AW166" s="238"/>
      <c r="AX166" s="238"/>
      <c r="AY166" s="238"/>
      <c r="AZ166" s="216"/>
      <c r="BA166" s="238"/>
      <c r="BB166" s="238"/>
      <c r="BC166" s="238"/>
      <c r="BD166" s="238"/>
      <c r="BE166" s="238"/>
      <c r="BF166" s="216"/>
      <c r="BG166" s="238"/>
      <c r="BH166" s="238"/>
      <c r="BI166" s="238"/>
      <c r="BJ166" s="238"/>
      <c r="BK166" s="238"/>
      <c r="BL166" s="216"/>
      <c r="BM166" s="238"/>
      <c r="BN166" s="238"/>
      <c r="BO166" s="238"/>
      <c r="BP166" s="238"/>
      <c r="BQ166" s="238"/>
      <c r="BR166" s="779"/>
      <c r="BS166" s="238"/>
      <c r="BT166" s="238"/>
      <c r="BU166" s="238"/>
      <c r="BV166" s="238"/>
      <c r="BW166" s="238"/>
      <c r="BX166" s="213"/>
      <c r="BY166" s="213"/>
      <c r="BZ166" s="213"/>
      <c r="CA166" s="213"/>
      <c r="CB166" s="213"/>
      <c r="CC166" s="213"/>
      <c r="CD166" s="213"/>
      <c r="CE166" s="213"/>
      <c r="CF166" s="213"/>
      <c r="CG166" s="213"/>
      <c r="CH166" s="213"/>
      <c r="CI166" s="213"/>
      <c r="CJ166" s="213"/>
      <c r="CK166" s="213"/>
      <c r="CL166" s="213"/>
      <c r="CM166" s="213"/>
      <c r="CN166" s="213"/>
      <c r="CO166" s="213"/>
      <c r="CP166" s="213"/>
      <c r="CQ166" s="213"/>
    </row>
    <row r="167" ht="15.75" customHeight="1">
      <c r="A167" s="213"/>
      <c r="B167" s="213"/>
      <c r="C167" s="213"/>
      <c r="D167" s="238"/>
      <c r="E167" s="238"/>
      <c r="F167" s="238"/>
      <c r="G167" s="238"/>
      <c r="H167" s="238"/>
      <c r="I167" s="238"/>
      <c r="J167" s="216"/>
      <c r="K167" s="238"/>
      <c r="L167" s="238"/>
      <c r="M167" s="238"/>
      <c r="N167" s="238"/>
      <c r="O167" s="238"/>
      <c r="P167" s="216"/>
      <c r="Q167" s="238"/>
      <c r="R167" s="238"/>
      <c r="S167" s="238"/>
      <c r="T167" s="238"/>
      <c r="U167" s="238"/>
      <c r="V167" s="216"/>
      <c r="W167" s="238"/>
      <c r="X167" s="238"/>
      <c r="Y167" s="238"/>
      <c r="Z167" s="238"/>
      <c r="AA167" s="238"/>
      <c r="AB167" s="216"/>
      <c r="AC167" s="238"/>
      <c r="AD167" s="238"/>
      <c r="AE167" s="238"/>
      <c r="AF167" s="238"/>
      <c r="AG167" s="238"/>
      <c r="AH167" s="216"/>
      <c r="AI167" s="238"/>
      <c r="AJ167" s="238"/>
      <c r="AK167" s="238"/>
      <c r="AL167" s="238"/>
      <c r="AM167" s="238"/>
      <c r="AN167" s="216"/>
      <c r="AO167" s="238"/>
      <c r="AP167" s="238"/>
      <c r="AQ167" s="238"/>
      <c r="AR167" s="238"/>
      <c r="AS167" s="238"/>
      <c r="AT167" s="216"/>
      <c r="AU167" s="238"/>
      <c r="AV167" s="238"/>
      <c r="AW167" s="238"/>
      <c r="AX167" s="238"/>
      <c r="AY167" s="238"/>
      <c r="AZ167" s="216"/>
      <c r="BA167" s="238"/>
      <c r="BB167" s="238"/>
      <c r="BC167" s="238"/>
      <c r="BD167" s="238"/>
      <c r="BE167" s="238"/>
      <c r="BF167" s="216"/>
      <c r="BG167" s="238"/>
      <c r="BH167" s="238"/>
      <c r="BI167" s="238"/>
      <c r="BJ167" s="238"/>
      <c r="BK167" s="238"/>
      <c r="BL167" s="216"/>
      <c r="BM167" s="238"/>
      <c r="BN167" s="238"/>
      <c r="BO167" s="238"/>
      <c r="BP167" s="238"/>
      <c r="BQ167" s="238"/>
      <c r="BR167" s="779"/>
      <c r="BS167" s="238"/>
      <c r="BT167" s="238"/>
      <c r="BU167" s="238"/>
      <c r="BV167" s="238"/>
      <c r="BW167" s="238"/>
      <c r="BX167" s="213"/>
      <c r="BY167" s="213"/>
      <c r="BZ167" s="213"/>
      <c r="CA167" s="213"/>
      <c r="CB167" s="213"/>
      <c r="CC167" s="213"/>
      <c r="CD167" s="213"/>
      <c r="CE167" s="213"/>
      <c r="CF167" s="213"/>
      <c r="CG167" s="213"/>
      <c r="CH167" s="213"/>
      <c r="CI167" s="213"/>
      <c r="CJ167" s="213"/>
      <c r="CK167" s="213"/>
      <c r="CL167" s="213"/>
      <c r="CM167" s="213"/>
      <c r="CN167" s="213"/>
      <c r="CO167" s="213"/>
      <c r="CP167" s="213"/>
      <c r="CQ167" s="213"/>
    </row>
    <row r="168" ht="15.75" customHeight="1">
      <c r="A168" s="213"/>
      <c r="B168" s="213"/>
      <c r="C168" s="213"/>
      <c r="D168" s="238"/>
      <c r="E168" s="238"/>
      <c r="F168" s="238"/>
      <c r="G168" s="238"/>
      <c r="H168" s="238"/>
      <c r="I168" s="238"/>
      <c r="J168" s="216"/>
      <c r="K168" s="238"/>
      <c r="L168" s="238"/>
      <c r="M168" s="238"/>
      <c r="N168" s="238"/>
      <c r="O168" s="238"/>
      <c r="P168" s="216"/>
      <c r="Q168" s="238"/>
      <c r="R168" s="238"/>
      <c r="S168" s="238"/>
      <c r="T168" s="238"/>
      <c r="U168" s="238"/>
      <c r="V168" s="216"/>
      <c r="W168" s="238"/>
      <c r="X168" s="238"/>
      <c r="Y168" s="238"/>
      <c r="Z168" s="238"/>
      <c r="AA168" s="238"/>
      <c r="AB168" s="216"/>
      <c r="AC168" s="238"/>
      <c r="AD168" s="238"/>
      <c r="AE168" s="238"/>
      <c r="AF168" s="238"/>
      <c r="AG168" s="238"/>
      <c r="AH168" s="216"/>
      <c r="AI168" s="238"/>
      <c r="AJ168" s="238"/>
      <c r="AK168" s="238"/>
      <c r="AL168" s="238"/>
      <c r="AM168" s="238"/>
      <c r="AN168" s="216"/>
      <c r="AO168" s="238"/>
      <c r="AP168" s="238"/>
      <c r="AQ168" s="238"/>
      <c r="AR168" s="238"/>
      <c r="AS168" s="238"/>
      <c r="AT168" s="216"/>
      <c r="AU168" s="238"/>
      <c r="AV168" s="238"/>
      <c r="AW168" s="238"/>
      <c r="AX168" s="238"/>
      <c r="AY168" s="238"/>
      <c r="AZ168" s="216"/>
      <c r="BA168" s="238"/>
      <c r="BB168" s="238"/>
      <c r="BC168" s="238"/>
      <c r="BD168" s="238"/>
      <c r="BE168" s="238"/>
      <c r="BF168" s="216"/>
      <c r="BG168" s="238"/>
      <c r="BH168" s="238"/>
      <c r="BI168" s="238"/>
      <c r="BJ168" s="238"/>
      <c r="BK168" s="238"/>
      <c r="BL168" s="216"/>
      <c r="BM168" s="238"/>
      <c r="BN168" s="238"/>
      <c r="BO168" s="238"/>
      <c r="BP168" s="238"/>
      <c r="BQ168" s="238"/>
      <c r="BR168" s="779"/>
      <c r="BS168" s="238"/>
      <c r="BT168" s="238"/>
      <c r="BU168" s="238"/>
      <c r="BV168" s="238"/>
      <c r="BW168" s="238"/>
      <c r="BX168" s="213"/>
      <c r="BY168" s="213"/>
      <c r="BZ168" s="213"/>
      <c r="CA168" s="213"/>
      <c r="CB168" s="213"/>
      <c r="CC168" s="213"/>
      <c r="CD168" s="213"/>
      <c r="CE168" s="213"/>
      <c r="CF168" s="213"/>
      <c r="CG168" s="213"/>
      <c r="CH168" s="213"/>
      <c r="CI168" s="213"/>
      <c r="CJ168" s="213"/>
      <c r="CK168" s="213"/>
      <c r="CL168" s="213"/>
      <c r="CM168" s="213"/>
      <c r="CN168" s="213"/>
      <c r="CO168" s="213"/>
      <c r="CP168" s="213"/>
      <c r="CQ168" s="213"/>
    </row>
    <row r="169" ht="15.75" customHeight="1">
      <c r="A169" s="213"/>
      <c r="B169" s="213"/>
      <c r="C169" s="213"/>
      <c r="D169" s="238"/>
      <c r="E169" s="238"/>
      <c r="F169" s="238"/>
      <c r="G169" s="238"/>
      <c r="H169" s="238"/>
      <c r="I169" s="238"/>
      <c r="J169" s="216"/>
      <c r="K169" s="238"/>
      <c r="L169" s="238"/>
      <c r="M169" s="238"/>
      <c r="N169" s="238"/>
      <c r="O169" s="238"/>
      <c r="P169" s="216"/>
      <c r="Q169" s="238"/>
      <c r="R169" s="238"/>
      <c r="S169" s="238"/>
      <c r="T169" s="238"/>
      <c r="U169" s="238"/>
      <c r="V169" s="216"/>
      <c r="W169" s="238"/>
      <c r="X169" s="238"/>
      <c r="Y169" s="238"/>
      <c r="Z169" s="238"/>
      <c r="AA169" s="238"/>
      <c r="AB169" s="216"/>
      <c r="AC169" s="238"/>
      <c r="AD169" s="238"/>
      <c r="AE169" s="238"/>
      <c r="AF169" s="238"/>
      <c r="AG169" s="238"/>
      <c r="AH169" s="216"/>
      <c r="AI169" s="238"/>
      <c r="AJ169" s="238"/>
      <c r="AK169" s="238"/>
      <c r="AL169" s="238"/>
      <c r="AM169" s="238"/>
      <c r="AN169" s="216"/>
      <c r="AO169" s="238"/>
      <c r="AP169" s="238"/>
      <c r="AQ169" s="238"/>
      <c r="AR169" s="238"/>
      <c r="AS169" s="238"/>
      <c r="AT169" s="216"/>
      <c r="AU169" s="238"/>
      <c r="AV169" s="238"/>
      <c r="AW169" s="238"/>
      <c r="AX169" s="238"/>
      <c r="AY169" s="238"/>
      <c r="AZ169" s="216"/>
      <c r="BA169" s="238"/>
      <c r="BB169" s="238"/>
      <c r="BC169" s="238"/>
      <c r="BD169" s="238"/>
      <c r="BE169" s="238"/>
      <c r="BF169" s="216"/>
      <c r="BG169" s="238"/>
      <c r="BH169" s="238"/>
      <c r="BI169" s="238"/>
      <c r="BJ169" s="238"/>
      <c r="BK169" s="238"/>
      <c r="BL169" s="216"/>
      <c r="BM169" s="238"/>
      <c r="BN169" s="238"/>
      <c r="BO169" s="238"/>
      <c r="BP169" s="238"/>
      <c r="BQ169" s="238"/>
      <c r="BR169" s="779"/>
      <c r="BS169" s="238"/>
      <c r="BT169" s="238"/>
      <c r="BU169" s="238"/>
      <c r="BV169" s="238"/>
      <c r="BW169" s="238"/>
      <c r="BX169" s="213"/>
      <c r="BY169" s="213"/>
      <c r="BZ169" s="213"/>
      <c r="CA169" s="213"/>
      <c r="CB169" s="213"/>
      <c r="CC169" s="213"/>
      <c r="CD169" s="213"/>
      <c r="CE169" s="213"/>
      <c r="CF169" s="213"/>
      <c r="CG169" s="213"/>
      <c r="CH169" s="213"/>
      <c r="CI169" s="213"/>
      <c r="CJ169" s="213"/>
      <c r="CK169" s="213"/>
      <c r="CL169" s="213"/>
      <c r="CM169" s="213"/>
      <c r="CN169" s="213"/>
      <c r="CO169" s="213"/>
      <c r="CP169" s="213"/>
      <c r="CQ169" s="213"/>
    </row>
    <row r="170" ht="15.75" customHeight="1">
      <c r="A170" s="213"/>
      <c r="B170" s="213"/>
      <c r="C170" s="213"/>
      <c r="D170" s="238"/>
      <c r="E170" s="238"/>
      <c r="F170" s="238"/>
      <c r="G170" s="238"/>
      <c r="H170" s="238"/>
      <c r="I170" s="238"/>
      <c r="J170" s="216"/>
      <c r="K170" s="238"/>
      <c r="L170" s="238"/>
      <c r="M170" s="238"/>
      <c r="N170" s="238"/>
      <c r="O170" s="238"/>
      <c r="P170" s="216"/>
      <c r="Q170" s="238"/>
      <c r="R170" s="238"/>
      <c r="S170" s="238"/>
      <c r="T170" s="238"/>
      <c r="U170" s="238"/>
      <c r="V170" s="216"/>
      <c r="W170" s="238"/>
      <c r="X170" s="238"/>
      <c r="Y170" s="238"/>
      <c r="Z170" s="238"/>
      <c r="AA170" s="238"/>
      <c r="AB170" s="216"/>
      <c r="AC170" s="238"/>
      <c r="AD170" s="238"/>
      <c r="AE170" s="238"/>
      <c r="AF170" s="238"/>
      <c r="AG170" s="238"/>
      <c r="AH170" s="216"/>
      <c r="AI170" s="238"/>
      <c r="AJ170" s="238"/>
      <c r="AK170" s="238"/>
      <c r="AL170" s="238"/>
      <c r="AM170" s="238"/>
      <c r="AN170" s="216"/>
      <c r="AO170" s="238"/>
      <c r="AP170" s="238"/>
      <c r="AQ170" s="238"/>
      <c r="AR170" s="238"/>
      <c r="AS170" s="238"/>
      <c r="AT170" s="216"/>
      <c r="AU170" s="238"/>
      <c r="AV170" s="238"/>
      <c r="AW170" s="238"/>
      <c r="AX170" s="238"/>
      <c r="AY170" s="238"/>
      <c r="AZ170" s="216"/>
      <c r="BA170" s="238"/>
      <c r="BB170" s="238"/>
      <c r="BC170" s="238"/>
      <c r="BD170" s="238"/>
      <c r="BE170" s="238"/>
      <c r="BF170" s="216"/>
      <c r="BG170" s="238"/>
      <c r="BH170" s="238"/>
      <c r="BI170" s="238"/>
      <c r="BJ170" s="238"/>
      <c r="BK170" s="238"/>
      <c r="BL170" s="216"/>
      <c r="BM170" s="238"/>
      <c r="BN170" s="238"/>
      <c r="BO170" s="238"/>
      <c r="BP170" s="238"/>
      <c r="BQ170" s="238"/>
      <c r="BR170" s="779"/>
      <c r="BS170" s="238"/>
      <c r="BT170" s="238"/>
      <c r="BU170" s="238"/>
      <c r="BV170" s="238"/>
      <c r="BW170" s="238"/>
      <c r="BX170" s="213"/>
      <c r="BY170" s="213"/>
      <c r="BZ170" s="213"/>
      <c r="CA170" s="213"/>
      <c r="CB170" s="213"/>
      <c r="CC170" s="213"/>
      <c r="CD170" s="213"/>
      <c r="CE170" s="213"/>
      <c r="CF170" s="213"/>
      <c r="CG170" s="213"/>
      <c r="CH170" s="213"/>
      <c r="CI170" s="213"/>
      <c r="CJ170" s="213"/>
      <c r="CK170" s="213"/>
      <c r="CL170" s="213"/>
      <c r="CM170" s="213"/>
      <c r="CN170" s="213"/>
      <c r="CO170" s="213"/>
      <c r="CP170" s="213"/>
      <c r="CQ170" s="213"/>
    </row>
    <row r="171" ht="15.75" customHeight="1">
      <c r="A171" s="213"/>
      <c r="B171" s="213"/>
      <c r="C171" s="213"/>
      <c r="D171" s="238"/>
      <c r="E171" s="238"/>
      <c r="F171" s="238"/>
      <c r="G171" s="238"/>
      <c r="H171" s="238"/>
      <c r="I171" s="238"/>
      <c r="J171" s="216"/>
      <c r="K171" s="238"/>
      <c r="L171" s="238"/>
      <c r="M171" s="238"/>
      <c r="N171" s="238"/>
      <c r="O171" s="238"/>
      <c r="P171" s="216"/>
      <c r="Q171" s="238"/>
      <c r="R171" s="238"/>
      <c r="S171" s="238"/>
      <c r="T171" s="238"/>
      <c r="U171" s="238"/>
      <c r="V171" s="216"/>
      <c r="W171" s="238"/>
      <c r="X171" s="238"/>
      <c r="Y171" s="238"/>
      <c r="Z171" s="238"/>
      <c r="AA171" s="238"/>
      <c r="AB171" s="216"/>
      <c r="AC171" s="238"/>
      <c r="AD171" s="238"/>
      <c r="AE171" s="238"/>
      <c r="AF171" s="238"/>
      <c r="AG171" s="238"/>
      <c r="AH171" s="216"/>
      <c r="AI171" s="238"/>
      <c r="AJ171" s="238"/>
      <c r="AK171" s="238"/>
      <c r="AL171" s="238"/>
      <c r="AM171" s="238"/>
      <c r="AN171" s="216"/>
      <c r="AO171" s="238"/>
      <c r="AP171" s="238"/>
      <c r="AQ171" s="238"/>
      <c r="AR171" s="238"/>
      <c r="AS171" s="238"/>
      <c r="AT171" s="216"/>
      <c r="AU171" s="238"/>
      <c r="AV171" s="238"/>
      <c r="AW171" s="238"/>
      <c r="AX171" s="238"/>
      <c r="AY171" s="238"/>
      <c r="AZ171" s="216"/>
      <c r="BA171" s="238"/>
      <c r="BB171" s="238"/>
      <c r="BC171" s="238"/>
      <c r="BD171" s="238"/>
      <c r="BE171" s="238"/>
      <c r="BF171" s="216"/>
      <c r="BG171" s="238"/>
      <c r="BH171" s="238"/>
      <c r="BI171" s="238"/>
      <c r="BJ171" s="238"/>
      <c r="BK171" s="238"/>
      <c r="BL171" s="216"/>
      <c r="BM171" s="238"/>
      <c r="BN171" s="238"/>
      <c r="BO171" s="238"/>
      <c r="BP171" s="238"/>
      <c r="BQ171" s="238"/>
      <c r="BR171" s="779"/>
      <c r="BS171" s="238"/>
      <c r="BT171" s="238"/>
      <c r="BU171" s="238"/>
      <c r="BV171" s="238"/>
      <c r="BW171" s="238"/>
      <c r="BX171" s="213"/>
      <c r="BY171" s="213"/>
      <c r="BZ171" s="213"/>
      <c r="CA171" s="213"/>
      <c r="CB171" s="213"/>
      <c r="CC171" s="213"/>
      <c r="CD171" s="213"/>
      <c r="CE171" s="213"/>
      <c r="CF171" s="213"/>
      <c r="CG171" s="213"/>
      <c r="CH171" s="213"/>
      <c r="CI171" s="213"/>
      <c r="CJ171" s="213"/>
      <c r="CK171" s="213"/>
      <c r="CL171" s="213"/>
      <c r="CM171" s="213"/>
      <c r="CN171" s="213"/>
      <c r="CO171" s="213"/>
      <c r="CP171" s="213"/>
      <c r="CQ171" s="213"/>
    </row>
    <row r="172" ht="15.75" customHeight="1">
      <c r="A172" s="213"/>
      <c r="B172" s="213"/>
      <c r="C172" s="213"/>
      <c r="D172" s="238"/>
      <c r="E172" s="238"/>
      <c r="F172" s="238"/>
      <c r="G172" s="238"/>
      <c r="H172" s="238"/>
      <c r="I172" s="238"/>
      <c r="J172" s="216"/>
      <c r="K172" s="238"/>
      <c r="L172" s="238"/>
      <c r="M172" s="238"/>
      <c r="N172" s="238"/>
      <c r="O172" s="238"/>
      <c r="P172" s="216"/>
      <c r="Q172" s="238"/>
      <c r="R172" s="238"/>
      <c r="S172" s="238"/>
      <c r="T172" s="238"/>
      <c r="U172" s="238"/>
      <c r="V172" s="216"/>
      <c r="W172" s="238"/>
      <c r="X172" s="238"/>
      <c r="Y172" s="238"/>
      <c r="Z172" s="238"/>
      <c r="AA172" s="238"/>
      <c r="AB172" s="216"/>
      <c r="AC172" s="238"/>
      <c r="AD172" s="238"/>
      <c r="AE172" s="238"/>
      <c r="AF172" s="238"/>
      <c r="AG172" s="238"/>
      <c r="AH172" s="216"/>
      <c r="AI172" s="238"/>
      <c r="AJ172" s="238"/>
      <c r="AK172" s="238"/>
      <c r="AL172" s="238"/>
      <c r="AM172" s="238"/>
      <c r="AN172" s="216"/>
      <c r="AO172" s="238"/>
      <c r="AP172" s="238"/>
      <c r="AQ172" s="238"/>
      <c r="AR172" s="238"/>
      <c r="AS172" s="238"/>
      <c r="AT172" s="216"/>
      <c r="AU172" s="238"/>
      <c r="AV172" s="238"/>
      <c r="AW172" s="238"/>
      <c r="AX172" s="238"/>
      <c r="AY172" s="238"/>
      <c r="AZ172" s="216"/>
      <c r="BA172" s="238"/>
      <c r="BB172" s="238"/>
      <c r="BC172" s="238"/>
      <c r="BD172" s="238"/>
      <c r="BE172" s="238"/>
      <c r="BF172" s="216"/>
      <c r="BG172" s="238"/>
      <c r="BH172" s="238"/>
      <c r="BI172" s="238"/>
      <c r="BJ172" s="238"/>
      <c r="BK172" s="238"/>
      <c r="BL172" s="216"/>
      <c r="BM172" s="238"/>
      <c r="BN172" s="238"/>
      <c r="BO172" s="238"/>
      <c r="BP172" s="238"/>
      <c r="BQ172" s="238"/>
      <c r="BR172" s="779"/>
      <c r="BS172" s="238"/>
      <c r="BT172" s="238"/>
      <c r="BU172" s="238"/>
      <c r="BV172" s="238"/>
      <c r="BW172" s="238"/>
      <c r="BX172" s="213"/>
      <c r="BY172" s="213"/>
      <c r="BZ172" s="213"/>
      <c r="CA172" s="213"/>
      <c r="CB172" s="213"/>
      <c r="CC172" s="213"/>
      <c r="CD172" s="213"/>
      <c r="CE172" s="213"/>
      <c r="CF172" s="213"/>
      <c r="CG172" s="213"/>
      <c r="CH172" s="213"/>
      <c r="CI172" s="213"/>
      <c r="CJ172" s="213"/>
      <c r="CK172" s="213"/>
      <c r="CL172" s="213"/>
      <c r="CM172" s="213"/>
      <c r="CN172" s="213"/>
      <c r="CO172" s="213"/>
      <c r="CP172" s="213"/>
      <c r="CQ172" s="213"/>
    </row>
    <row r="173" ht="15.75" customHeight="1">
      <c r="A173" s="213"/>
      <c r="B173" s="213"/>
      <c r="C173" s="213"/>
      <c r="D173" s="238"/>
      <c r="E173" s="238"/>
      <c r="F173" s="238"/>
      <c r="G173" s="238"/>
      <c r="H173" s="238"/>
      <c r="I173" s="238"/>
      <c r="J173" s="216"/>
      <c r="K173" s="238"/>
      <c r="L173" s="238"/>
      <c r="M173" s="238"/>
      <c r="N173" s="238"/>
      <c r="O173" s="238"/>
      <c r="P173" s="216"/>
      <c r="Q173" s="238"/>
      <c r="R173" s="238"/>
      <c r="S173" s="238"/>
      <c r="T173" s="238"/>
      <c r="U173" s="238"/>
      <c r="V173" s="216"/>
      <c r="W173" s="238"/>
      <c r="X173" s="238"/>
      <c r="Y173" s="238"/>
      <c r="Z173" s="238"/>
      <c r="AA173" s="238"/>
      <c r="AB173" s="216"/>
      <c r="AC173" s="238"/>
      <c r="AD173" s="238"/>
      <c r="AE173" s="238"/>
      <c r="AF173" s="238"/>
      <c r="AG173" s="238"/>
      <c r="AH173" s="216"/>
      <c r="AI173" s="238"/>
      <c r="AJ173" s="238"/>
      <c r="AK173" s="238"/>
      <c r="AL173" s="238"/>
      <c r="AM173" s="238"/>
      <c r="AN173" s="216"/>
      <c r="AO173" s="238"/>
      <c r="AP173" s="238"/>
      <c r="AQ173" s="238"/>
      <c r="AR173" s="238"/>
      <c r="AS173" s="238"/>
      <c r="AT173" s="216"/>
      <c r="AU173" s="238"/>
      <c r="AV173" s="238"/>
      <c r="AW173" s="238"/>
      <c r="AX173" s="238"/>
      <c r="AY173" s="238"/>
      <c r="AZ173" s="216"/>
      <c r="BA173" s="238"/>
      <c r="BB173" s="238"/>
      <c r="BC173" s="238"/>
      <c r="BD173" s="238"/>
      <c r="BE173" s="238"/>
      <c r="BF173" s="216"/>
      <c r="BG173" s="238"/>
      <c r="BH173" s="238"/>
      <c r="BI173" s="238"/>
      <c r="BJ173" s="238"/>
      <c r="BK173" s="238"/>
      <c r="BL173" s="216"/>
      <c r="BM173" s="238"/>
      <c r="BN173" s="238"/>
      <c r="BO173" s="238"/>
      <c r="BP173" s="238"/>
      <c r="BQ173" s="238"/>
      <c r="BR173" s="779"/>
      <c r="BS173" s="238"/>
      <c r="BT173" s="238"/>
      <c r="BU173" s="238"/>
      <c r="BV173" s="238"/>
      <c r="BW173" s="238"/>
      <c r="BX173" s="213"/>
      <c r="BY173" s="213"/>
      <c r="BZ173" s="213"/>
      <c r="CA173" s="213"/>
      <c r="CB173" s="213"/>
      <c r="CC173" s="213"/>
      <c r="CD173" s="213"/>
      <c r="CE173" s="213"/>
      <c r="CF173" s="213"/>
      <c r="CG173" s="213"/>
      <c r="CH173" s="213"/>
      <c r="CI173" s="213"/>
      <c r="CJ173" s="213"/>
      <c r="CK173" s="213"/>
      <c r="CL173" s="213"/>
      <c r="CM173" s="213"/>
      <c r="CN173" s="213"/>
      <c r="CO173" s="213"/>
      <c r="CP173" s="213"/>
      <c r="CQ173" s="213"/>
    </row>
    <row r="174" ht="15.75" customHeight="1">
      <c r="A174" s="213"/>
      <c r="B174" s="213"/>
      <c r="C174" s="213"/>
      <c r="D174" s="238"/>
      <c r="E174" s="238"/>
      <c r="F174" s="238"/>
      <c r="G174" s="238"/>
      <c r="H174" s="238"/>
      <c r="I174" s="238"/>
      <c r="J174" s="216"/>
      <c r="K174" s="238"/>
      <c r="L174" s="238"/>
      <c r="M174" s="238"/>
      <c r="N174" s="238"/>
      <c r="O174" s="238"/>
      <c r="P174" s="216"/>
      <c r="Q174" s="238"/>
      <c r="R174" s="238"/>
      <c r="S174" s="238"/>
      <c r="T174" s="238"/>
      <c r="U174" s="238"/>
      <c r="V174" s="216"/>
      <c r="W174" s="238"/>
      <c r="X174" s="238"/>
      <c r="Y174" s="238"/>
      <c r="Z174" s="238"/>
      <c r="AA174" s="238"/>
      <c r="AB174" s="216"/>
      <c r="AC174" s="238"/>
      <c r="AD174" s="238"/>
      <c r="AE174" s="238"/>
      <c r="AF174" s="238"/>
      <c r="AG174" s="238"/>
      <c r="AH174" s="216"/>
      <c r="AI174" s="238"/>
      <c r="AJ174" s="238"/>
      <c r="AK174" s="238"/>
      <c r="AL174" s="238"/>
      <c r="AM174" s="238"/>
      <c r="AN174" s="216"/>
      <c r="AO174" s="238"/>
      <c r="AP174" s="238"/>
      <c r="AQ174" s="238"/>
      <c r="AR174" s="238"/>
      <c r="AS174" s="238"/>
      <c r="AT174" s="216"/>
      <c r="AU174" s="238"/>
      <c r="AV174" s="238"/>
      <c r="AW174" s="238"/>
      <c r="AX174" s="238"/>
      <c r="AY174" s="238"/>
      <c r="AZ174" s="216"/>
      <c r="BA174" s="238"/>
      <c r="BB174" s="238"/>
      <c r="BC174" s="238"/>
      <c r="BD174" s="238"/>
      <c r="BE174" s="238"/>
      <c r="BF174" s="216"/>
      <c r="BG174" s="238"/>
      <c r="BH174" s="238"/>
      <c r="BI174" s="238"/>
      <c r="BJ174" s="238"/>
      <c r="BK174" s="238"/>
      <c r="BL174" s="216"/>
      <c r="BM174" s="238"/>
      <c r="BN174" s="238"/>
      <c r="BO174" s="238"/>
      <c r="BP174" s="238"/>
      <c r="BQ174" s="238"/>
      <c r="BR174" s="779"/>
      <c r="BS174" s="238"/>
      <c r="BT174" s="238"/>
      <c r="BU174" s="238"/>
      <c r="BV174" s="238"/>
      <c r="BW174" s="238"/>
      <c r="BX174" s="213"/>
      <c r="BY174" s="213"/>
      <c r="BZ174" s="213"/>
      <c r="CA174" s="213"/>
      <c r="CB174" s="213"/>
      <c r="CC174" s="213"/>
      <c r="CD174" s="213"/>
      <c r="CE174" s="213"/>
      <c r="CF174" s="213"/>
      <c r="CG174" s="213"/>
      <c r="CH174" s="213"/>
      <c r="CI174" s="213"/>
      <c r="CJ174" s="213"/>
      <c r="CK174" s="213"/>
      <c r="CL174" s="213"/>
      <c r="CM174" s="213"/>
      <c r="CN174" s="213"/>
      <c r="CO174" s="213"/>
      <c r="CP174" s="213"/>
      <c r="CQ174" s="213"/>
    </row>
    <row r="175" ht="15.75" customHeight="1">
      <c r="A175" s="213"/>
      <c r="B175" s="213"/>
      <c r="C175" s="213"/>
      <c r="D175" s="238"/>
      <c r="E175" s="238"/>
      <c r="F175" s="238"/>
      <c r="G175" s="238"/>
      <c r="H175" s="238"/>
      <c r="I175" s="238"/>
      <c r="J175" s="216"/>
      <c r="K175" s="238"/>
      <c r="L175" s="238"/>
      <c r="M175" s="238"/>
      <c r="N175" s="238"/>
      <c r="O175" s="238"/>
      <c r="P175" s="216"/>
      <c r="Q175" s="238"/>
      <c r="R175" s="238"/>
      <c r="S175" s="238"/>
      <c r="T175" s="238"/>
      <c r="U175" s="238"/>
      <c r="V175" s="216"/>
      <c r="W175" s="238"/>
      <c r="X175" s="238"/>
      <c r="Y175" s="238"/>
      <c r="Z175" s="238"/>
      <c r="AA175" s="238"/>
      <c r="AB175" s="216"/>
      <c r="AC175" s="238"/>
      <c r="AD175" s="238"/>
      <c r="AE175" s="238"/>
      <c r="AF175" s="238"/>
      <c r="AG175" s="238"/>
      <c r="AH175" s="216"/>
      <c r="AI175" s="238"/>
      <c r="AJ175" s="238"/>
      <c r="AK175" s="238"/>
      <c r="AL175" s="238"/>
      <c r="AM175" s="238"/>
      <c r="AN175" s="216"/>
      <c r="AO175" s="238"/>
      <c r="AP175" s="238"/>
      <c r="AQ175" s="238"/>
      <c r="AR175" s="238"/>
      <c r="AS175" s="238"/>
      <c r="AT175" s="216"/>
      <c r="AU175" s="238"/>
      <c r="AV175" s="238"/>
      <c r="AW175" s="238"/>
      <c r="AX175" s="238"/>
      <c r="AY175" s="238"/>
      <c r="AZ175" s="216"/>
      <c r="BA175" s="238"/>
      <c r="BB175" s="238"/>
      <c r="BC175" s="238"/>
      <c r="BD175" s="238"/>
      <c r="BE175" s="238"/>
      <c r="BF175" s="216"/>
      <c r="BG175" s="238"/>
      <c r="BH175" s="238"/>
      <c r="BI175" s="238"/>
      <c r="BJ175" s="238"/>
      <c r="BK175" s="238"/>
      <c r="BL175" s="216"/>
      <c r="BM175" s="238"/>
      <c r="BN175" s="238"/>
      <c r="BO175" s="238"/>
      <c r="BP175" s="238"/>
      <c r="BQ175" s="238"/>
      <c r="BR175" s="779"/>
      <c r="BS175" s="238"/>
      <c r="BT175" s="238"/>
      <c r="BU175" s="238"/>
      <c r="BV175" s="238"/>
      <c r="BW175" s="238"/>
      <c r="BX175" s="213"/>
      <c r="BY175" s="213"/>
      <c r="BZ175" s="213"/>
      <c r="CA175" s="213"/>
      <c r="CB175" s="213"/>
      <c r="CC175" s="213"/>
      <c r="CD175" s="213"/>
      <c r="CE175" s="213"/>
      <c r="CF175" s="213"/>
      <c r="CG175" s="213"/>
      <c r="CH175" s="213"/>
      <c r="CI175" s="213"/>
      <c r="CJ175" s="213"/>
      <c r="CK175" s="213"/>
      <c r="CL175" s="213"/>
      <c r="CM175" s="213"/>
      <c r="CN175" s="213"/>
      <c r="CO175" s="213"/>
      <c r="CP175" s="213"/>
      <c r="CQ175" s="213"/>
    </row>
    <row r="176" ht="15.75" customHeight="1">
      <c r="A176" s="213"/>
      <c r="B176" s="213"/>
      <c r="C176" s="213"/>
      <c r="D176" s="238"/>
      <c r="E176" s="238"/>
      <c r="F176" s="238"/>
      <c r="G176" s="238"/>
      <c r="H176" s="238"/>
      <c r="I176" s="238"/>
      <c r="J176" s="216"/>
      <c r="K176" s="238"/>
      <c r="L176" s="238"/>
      <c r="M176" s="238"/>
      <c r="N176" s="238"/>
      <c r="O176" s="238"/>
      <c r="P176" s="216"/>
      <c r="Q176" s="238"/>
      <c r="R176" s="238"/>
      <c r="S176" s="238"/>
      <c r="T176" s="238"/>
      <c r="U176" s="238"/>
      <c r="V176" s="216"/>
      <c r="W176" s="238"/>
      <c r="X176" s="238"/>
      <c r="Y176" s="238"/>
      <c r="Z176" s="238"/>
      <c r="AA176" s="238"/>
      <c r="AB176" s="216"/>
      <c r="AC176" s="238"/>
      <c r="AD176" s="238"/>
      <c r="AE176" s="238"/>
      <c r="AF176" s="238"/>
      <c r="AG176" s="238"/>
      <c r="AH176" s="216"/>
      <c r="AI176" s="238"/>
      <c r="AJ176" s="238"/>
      <c r="AK176" s="238"/>
      <c r="AL176" s="238"/>
      <c r="AM176" s="238"/>
      <c r="AN176" s="216"/>
      <c r="AO176" s="238"/>
      <c r="AP176" s="238"/>
      <c r="AQ176" s="238"/>
      <c r="AR176" s="238"/>
      <c r="AS176" s="238"/>
      <c r="AT176" s="216"/>
      <c r="AU176" s="238"/>
      <c r="AV176" s="238"/>
      <c r="AW176" s="238"/>
      <c r="AX176" s="238"/>
      <c r="AY176" s="238"/>
      <c r="AZ176" s="216"/>
      <c r="BA176" s="238"/>
      <c r="BB176" s="238"/>
      <c r="BC176" s="238"/>
      <c r="BD176" s="238"/>
      <c r="BE176" s="238"/>
      <c r="BF176" s="216"/>
      <c r="BG176" s="238"/>
      <c r="BH176" s="238"/>
      <c r="BI176" s="238"/>
      <c r="BJ176" s="238"/>
      <c r="BK176" s="238"/>
      <c r="BL176" s="216"/>
      <c r="BM176" s="238"/>
      <c r="BN176" s="238"/>
      <c r="BO176" s="238"/>
      <c r="BP176" s="238"/>
      <c r="BQ176" s="238"/>
      <c r="BR176" s="779"/>
      <c r="BS176" s="238"/>
      <c r="BT176" s="238"/>
      <c r="BU176" s="238"/>
      <c r="BV176" s="238"/>
      <c r="BW176" s="238"/>
      <c r="BX176" s="213"/>
      <c r="BY176" s="213"/>
      <c r="BZ176" s="213"/>
      <c r="CA176" s="213"/>
      <c r="CB176" s="213"/>
      <c r="CC176" s="213"/>
      <c r="CD176" s="213"/>
      <c r="CE176" s="213"/>
      <c r="CF176" s="213"/>
      <c r="CG176" s="213"/>
      <c r="CH176" s="213"/>
      <c r="CI176" s="213"/>
      <c r="CJ176" s="213"/>
      <c r="CK176" s="213"/>
      <c r="CL176" s="213"/>
      <c r="CM176" s="213"/>
      <c r="CN176" s="213"/>
      <c r="CO176" s="213"/>
      <c r="CP176" s="213"/>
      <c r="CQ176" s="213"/>
    </row>
    <row r="177" ht="15.75" customHeight="1">
      <c r="A177" s="213"/>
      <c r="B177" s="213"/>
      <c r="C177" s="213"/>
      <c r="D177" s="238"/>
      <c r="E177" s="238"/>
      <c r="F177" s="238"/>
      <c r="G177" s="238"/>
      <c r="H177" s="238"/>
      <c r="I177" s="238"/>
      <c r="J177" s="216"/>
      <c r="K177" s="238"/>
      <c r="L177" s="238"/>
      <c r="M177" s="238"/>
      <c r="N177" s="238"/>
      <c r="O177" s="238"/>
      <c r="P177" s="216"/>
      <c r="Q177" s="238"/>
      <c r="R177" s="238"/>
      <c r="S177" s="238"/>
      <c r="T177" s="238"/>
      <c r="U177" s="238"/>
      <c r="V177" s="216"/>
      <c r="W177" s="238"/>
      <c r="X177" s="238"/>
      <c r="Y177" s="238"/>
      <c r="Z177" s="238"/>
      <c r="AA177" s="238"/>
      <c r="AB177" s="216"/>
      <c r="AC177" s="238"/>
      <c r="AD177" s="238"/>
      <c r="AE177" s="238"/>
      <c r="AF177" s="238"/>
      <c r="AG177" s="238"/>
      <c r="AH177" s="216"/>
      <c r="AI177" s="238"/>
      <c r="AJ177" s="238"/>
      <c r="AK177" s="238"/>
      <c r="AL177" s="238"/>
      <c r="AM177" s="238"/>
      <c r="AN177" s="216"/>
      <c r="AO177" s="238"/>
      <c r="AP177" s="238"/>
      <c r="AQ177" s="238"/>
      <c r="AR177" s="238"/>
      <c r="AS177" s="238"/>
      <c r="AT177" s="216"/>
      <c r="AU177" s="238"/>
      <c r="AV177" s="238"/>
      <c r="AW177" s="238"/>
      <c r="AX177" s="238"/>
      <c r="AY177" s="238"/>
      <c r="AZ177" s="216"/>
      <c r="BA177" s="238"/>
      <c r="BB177" s="238"/>
      <c r="BC177" s="238"/>
      <c r="BD177" s="238"/>
      <c r="BE177" s="238"/>
      <c r="BF177" s="216"/>
      <c r="BG177" s="238"/>
      <c r="BH177" s="238"/>
      <c r="BI177" s="238"/>
      <c r="BJ177" s="238"/>
      <c r="BK177" s="238"/>
      <c r="BL177" s="216"/>
      <c r="BM177" s="238"/>
      <c r="BN177" s="238"/>
      <c r="BO177" s="238"/>
      <c r="BP177" s="238"/>
      <c r="BQ177" s="238"/>
      <c r="BR177" s="779"/>
      <c r="BS177" s="238"/>
      <c r="BT177" s="238"/>
      <c r="BU177" s="238"/>
      <c r="BV177" s="238"/>
      <c r="BW177" s="238"/>
      <c r="BX177" s="213"/>
      <c r="BY177" s="213"/>
      <c r="BZ177" s="213"/>
      <c r="CA177" s="213"/>
      <c r="CB177" s="213"/>
      <c r="CC177" s="213"/>
      <c r="CD177" s="213"/>
      <c r="CE177" s="213"/>
      <c r="CF177" s="213"/>
      <c r="CG177" s="213"/>
      <c r="CH177" s="213"/>
      <c r="CI177" s="213"/>
      <c r="CJ177" s="213"/>
      <c r="CK177" s="213"/>
      <c r="CL177" s="213"/>
      <c r="CM177" s="213"/>
      <c r="CN177" s="213"/>
      <c r="CO177" s="213"/>
      <c r="CP177" s="213"/>
      <c r="CQ177" s="213"/>
    </row>
    <row r="178" ht="15.75" customHeight="1">
      <c r="A178" s="213"/>
      <c r="B178" s="213"/>
      <c r="C178" s="213"/>
      <c r="D178" s="238"/>
      <c r="E178" s="238"/>
      <c r="F178" s="238"/>
      <c r="G178" s="238"/>
      <c r="H178" s="238"/>
      <c r="I178" s="238"/>
      <c r="J178" s="216"/>
      <c r="K178" s="238"/>
      <c r="L178" s="238"/>
      <c r="M178" s="238"/>
      <c r="N178" s="238"/>
      <c r="O178" s="238"/>
      <c r="P178" s="216"/>
      <c r="Q178" s="238"/>
      <c r="R178" s="238"/>
      <c r="S178" s="238"/>
      <c r="T178" s="238"/>
      <c r="U178" s="238"/>
      <c r="V178" s="216"/>
      <c r="W178" s="238"/>
      <c r="X178" s="238"/>
      <c r="Y178" s="238"/>
      <c r="Z178" s="238"/>
      <c r="AA178" s="238"/>
      <c r="AB178" s="216"/>
      <c r="AC178" s="238"/>
      <c r="AD178" s="238"/>
      <c r="AE178" s="238"/>
      <c r="AF178" s="238"/>
      <c r="AG178" s="238"/>
      <c r="AH178" s="216"/>
      <c r="AI178" s="238"/>
      <c r="AJ178" s="238"/>
      <c r="AK178" s="238"/>
      <c r="AL178" s="238"/>
      <c r="AM178" s="238"/>
      <c r="AN178" s="216"/>
      <c r="AO178" s="238"/>
      <c r="AP178" s="238"/>
      <c r="AQ178" s="238"/>
      <c r="AR178" s="238"/>
      <c r="AS178" s="238"/>
      <c r="AT178" s="216"/>
      <c r="AU178" s="238"/>
      <c r="AV178" s="238"/>
      <c r="AW178" s="238"/>
      <c r="AX178" s="238"/>
      <c r="AY178" s="238"/>
      <c r="AZ178" s="216"/>
      <c r="BA178" s="238"/>
      <c r="BB178" s="238"/>
      <c r="BC178" s="238"/>
      <c r="BD178" s="238"/>
      <c r="BE178" s="238"/>
      <c r="BF178" s="216"/>
      <c r="BG178" s="238"/>
      <c r="BH178" s="238"/>
      <c r="BI178" s="238"/>
      <c r="BJ178" s="238"/>
      <c r="BK178" s="238"/>
      <c r="BL178" s="216"/>
      <c r="BM178" s="238"/>
      <c r="BN178" s="238"/>
      <c r="BO178" s="238"/>
      <c r="BP178" s="238"/>
      <c r="BQ178" s="238"/>
      <c r="BR178" s="779"/>
      <c r="BS178" s="238"/>
      <c r="BT178" s="238"/>
      <c r="BU178" s="238"/>
      <c r="BV178" s="238"/>
      <c r="BW178" s="238"/>
      <c r="BX178" s="213"/>
      <c r="BY178" s="213"/>
      <c r="BZ178" s="213"/>
      <c r="CA178" s="213"/>
      <c r="CB178" s="213"/>
      <c r="CC178" s="213"/>
      <c r="CD178" s="213"/>
      <c r="CE178" s="213"/>
      <c r="CF178" s="213"/>
      <c r="CG178" s="213"/>
      <c r="CH178" s="213"/>
      <c r="CI178" s="213"/>
      <c r="CJ178" s="213"/>
      <c r="CK178" s="213"/>
      <c r="CL178" s="213"/>
      <c r="CM178" s="213"/>
      <c r="CN178" s="213"/>
      <c r="CO178" s="213"/>
      <c r="CP178" s="213"/>
      <c r="CQ178" s="213"/>
    </row>
    <row r="179" ht="15.75" customHeight="1">
      <c r="A179" s="213"/>
      <c r="B179" s="213"/>
      <c r="C179" s="213"/>
      <c r="D179" s="238"/>
      <c r="E179" s="238"/>
      <c r="F179" s="238"/>
      <c r="G179" s="238"/>
      <c r="H179" s="238"/>
      <c r="I179" s="238"/>
      <c r="J179" s="216"/>
      <c r="K179" s="238"/>
      <c r="L179" s="238"/>
      <c r="M179" s="238"/>
      <c r="N179" s="238"/>
      <c r="O179" s="238"/>
      <c r="P179" s="216"/>
      <c r="Q179" s="238"/>
      <c r="R179" s="238"/>
      <c r="S179" s="238"/>
      <c r="T179" s="238"/>
      <c r="U179" s="238"/>
      <c r="V179" s="216"/>
      <c r="W179" s="238"/>
      <c r="X179" s="238"/>
      <c r="Y179" s="238"/>
      <c r="Z179" s="238"/>
      <c r="AA179" s="238"/>
      <c r="AB179" s="216"/>
      <c r="AC179" s="238"/>
      <c r="AD179" s="238"/>
      <c r="AE179" s="238"/>
      <c r="AF179" s="238"/>
      <c r="AG179" s="238"/>
      <c r="AH179" s="216"/>
      <c r="AI179" s="238"/>
      <c r="AJ179" s="238"/>
      <c r="AK179" s="238"/>
      <c r="AL179" s="238"/>
      <c r="AM179" s="238"/>
      <c r="AN179" s="216"/>
      <c r="AO179" s="238"/>
      <c r="AP179" s="238"/>
      <c r="AQ179" s="238"/>
      <c r="AR179" s="238"/>
      <c r="AS179" s="238"/>
      <c r="AT179" s="216"/>
      <c r="AU179" s="238"/>
      <c r="AV179" s="238"/>
      <c r="AW179" s="238"/>
      <c r="AX179" s="238"/>
      <c r="AY179" s="238"/>
      <c r="AZ179" s="216"/>
      <c r="BA179" s="238"/>
      <c r="BB179" s="238"/>
      <c r="BC179" s="238"/>
      <c r="BD179" s="238"/>
      <c r="BE179" s="238"/>
      <c r="BF179" s="216"/>
      <c r="BG179" s="238"/>
      <c r="BH179" s="238"/>
      <c r="BI179" s="238"/>
      <c r="BJ179" s="238"/>
      <c r="BK179" s="238"/>
      <c r="BL179" s="216"/>
      <c r="BM179" s="238"/>
      <c r="BN179" s="238"/>
      <c r="BO179" s="238"/>
      <c r="BP179" s="238"/>
      <c r="BQ179" s="238"/>
      <c r="BR179" s="779"/>
      <c r="BS179" s="238"/>
      <c r="BT179" s="238"/>
      <c r="BU179" s="238"/>
      <c r="BV179" s="238"/>
      <c r="BW179" s="238"/>
      <c r="BX179" s="213"/>
      <c r="BY179" s="213"/>
      <c r="BZ179" s="213"/>
      <c r="CA179" s="213"/>
      <c r="CB179" s="213"/>
      <c r="CC179" s="213"/>
      <c r="CD179" s="213"/>
      <c r="CE179" s="213"/>
      <c r="CF179" s="213"/>
      <c r="CG179" s="213"/>
      <c r="CH179" s="213"/>
      <c r="CI179" s="213"/>
      <c r="CJ179" s="213"/>
      <c r="CK179" s="213"/>
      <c r="CL179" s="213"/>
      <c r="CM179" s="213"/>
      <c r="CN179" s="213"/>
      <c r="CO179" s="213"/>
      <c r="CP179" s="213"/>
      <c r="CQ179" s="213"/>
    </row>
    <row r="180" ht="15.75" customHeight="1">
      <c r="A180" s="213"/>
      <c r="B180" s="213"/>
      <c r="C180" s="213"/>
      <c r="D180" s="238"/>
      <c r="E180" s="238"/>
      <c r="F180" s="238"/>
      <c r="G180" s="238"/>
      <c r="H180" s="238"/>
      <c r="I180" s="238"/>
      <c r="J180" s="216"/>
      <c r="K180" s="238"/>
      <c r="L180" s="238"/>
      <c r="M180" s="238"/>
      <c r="N180" s="238"/>
      <c r="O180" s="238"/>
      <c r="P180" s="216"/>
      <c r="Q180" s="238"/>
      <c r="R180" s="238"/>
      <c r="S180" s="238"/>
      <c r="T180" s="238"/>
      <c r="U180" s="238"/>
      <c r="V180" s="216"/>
      <c r="W180" s="238"/>
      <c r="X180" s="238"/>
      <c r="Y180" s="238"/>
      <c r="Z180" s="238"/>
      <c r="AA180" s="238"/>
      <c r="AB180" s="216"/>
      <c r="AC180" s="238"/>
      <c r="AD180" s="238"/>
      <c r="AE180" s="238"/>
      <c r="AF180" s="238"/>
      <c r="AG180" s="238"/>
      <c r="AH180" s="216"/>
      <c r="AI180" s="238"/>
      <c r="AJ180" s="238"/>
      <c r="AK180" s="238"/>
      <c r="AL180" s="238"/>
      <c r="AM180" s="238"/>
      <c r="AN180" s="216"/>
      <c r="AO180" s="238"/>
      <c r="AP180" s="238"/>
      <c r="AQ180" s="238"/>
      <c r="AR180" s="238"/>
      <c r="AS180" s="238"/>
      <c r="AT180" s="216"/>
      <c r="AU180" s="238"/>
      <c r="AV180" s="238"/>
      <c r="AW180" s="238"/>
      <c r="AX180" s="238"/>
      <c r="AY180" s="238"/>
      <c r="AZ180" s="216"/>
      <c r="BA180" s="238"/>
      <c r="BB180" s="238"/>
      <c r="BC180" s="238"/>
      <c r="BD180" s="238"/>
      <c r="BE180" s="238"/>
      <c r="BF180" s="216"/>
      <c r="BG180" s="238"/>
      <c r="BH180" s="238"/>
      <c r="BI180" s="238"/>
      <c r="BJ180" s="238"/>
      <c r="BK180" s="238"/>
      <c r="BL180" s="216"/>
      <c r="BM180" s="238"/>
      <c r="BN180" s="238"/>
      <c r="BO180" s="238"/>
      <c r="BP180" s="238"/>
      <c r="BQ180" s="238"/>
      <c r="BR180" s="779"/>
      <c r="BS180" s="238"/>
      <c r="BT180" s="238"/>
      <c r="BU180" s="238"/>
      <c r="BV180" s="238"/>
      <c r="BW180" s="238"/>
      <c r="BX180" s="213"/>
      <c r="BY180" s="213"/>
      <c r="BZ180" s="213"/>
      <c r="CA180" s="213"/>
      <c r="CB180" s="213"/>
      <c r="CC180" s="213"/>
      <c r="CD180" s="213"/>
      <c r="CE180" s="213"/>
      <c r="CF180" s="213"/>
      <c r="CG180" s="213"/>
      <c r="CH180" s="213"/>
      <c r="CI180" s="213"/>
      <c r="CJ180" s="213"/>
      <c r="CK180" s="213"/>
      <c r="CL180" s="213"/>
      <c r="CM180" s="213"/>
      <c r="CN180" s="213"/>
      <c r="CO180" s="213"/>
      <c r="CP180" s="213"/>
      <c r="CQ180" s="213"/>
    </row>
    <row r="181" ht="15.75" customHeight="1">
      <c r="A181" s="213"/>
      <c r="B181" s="213"/>
      <c r="C181" s="213"/>
      <c r="D181" s="238"/>
      <c r="E181" s="238"/>
      <c r="F181" s="238"/>
      <c r="G181" s="238"/>
      <c r="H181" s="238"/>
      <c r="I181" s="238"/>
      <c r="J181" s="216"/>
      <c r="K181" s="238"/>
      <c r="L181" s="238"/>
      <c r="M181" s="238"/>
      <c r="N181" s="238"/>
      <c r="O181" s="238"/>
      <c r="P181" s="216"/>
      <c r="Q181" s="238"/>
      <c r="R181" s="238"/>
      <c r="S181" s="238"/>
      <c r="T181" s="238"/>
      <c r="U181" s="238"/>
      <c r="V181" s="216"/>
      <c r="W181" s="238"/>
      <c r="X181" s="238"/>
      <c r="Y181" s="238"/>
      <c r="Z181" s="238"/>
      <c r="AA181" s="238"/>
      <c r="AB181" s="216"/>
      <c r="AC181" s="238"/>
      <c r="AD181" s="238"/>
      <c r="AE181" s="238"/>
      <c r="AF181" s="238"/>
      <c r="AG181" s="238"/>
      <c r="AH181" s="216"/>
      <c r="AI181" s="238"/>
      <c r="AJ181" s="238"/>
      <c r="AK181" s="238"/>
      <c r="AL181" s="238"/>
      <c r="AM181" s="238"/>
      <c r="AN181" s="216"/>
      <c r="AO181" s="238"/>
      <c r="AP181" s="238"/>
      <c r="AQ181" s="238"/>
      <c r="AR181" s="238"/>
      <c r="AS181" s="238"/>
      <c r="AT181" s="216"/>
      <c r="AU181" s="238"/>
      <c r="AV181" s="238"/>
      <c r="AW181" s="238"/>
      <c r="AX181" s="238"/>
      <c r="AY181" s="238"/>
      <c r="AZ181" s="216"/>
      <c r="BA181" s="238"/>
      <c r="BB181" s="238"/>
      <c r="BC181" s="238"/>
      <c r="BD181" s="238"/>
      <c r="BE181" s="238"/>
      <c r="BF181" s="216"/>
      <c r="BG181" s="238"/>
      <c r="BH181" s="238"/>
      <c r="BI181" s="238"/>
      <c r="BJ181" s="238"/>
      <c r="BK181" s="238"/>
      <c r="BL181" s="216"/>
      <c r="BM181" s="238"/>
      <c r="BN181" s="238"/>
      <c r="BO181" s="238"/>
      <c r="BP181" s="238"/>
      <c r="BQ181" s="238"/>
      <c r="BR181" s="779"/>
      <c r="BS181" s="238"/>
      <c r="BT181" s="238"/>
      <c r="BU181" s="238"/>
      <c r="BV181" s="238"/>
      <c r="BW181" s="238"/>
      <c r="BX181" s="213"/>
      <c r="BY181" s="213"/>
      <c r="BZ181" s="213"/>
      <c r="CA181" s="213"/>
      <c r="CB181" s="213"/>
      <c r="CC181" s="213"/>
      <c r="CD181" s="213"/>
      <c r="CE181" s="213"/>
      <c r="CF181" s="213"/>
      <c r="CG181" s="213"/>
      <c r="CH181" s="213"/>
      <c r="CI181" s="213"/>
      <c r="CJ181" s="213"/>
      <c r="CK181" s="213"/>
      <c r="CL181" s="213"/>
      <c r="CM181" s="213"/>
      <c r="CN181" s="213"/>
      <c r="CO181" s="213"/>
      <c r="CP181" s="213"/>
      <c r="CQ181" s="213"/>
    </row>
    <row r="182" ht="15.75" customHeight="1">
      <c r="A182" s="213"/>
      <c r="B182" s="213"/>
      <c r="C182" s="213"/>
      <c r="D182" s="238"/>
      <c r="E182" s="238"/>
      <c r="F182" s="238"/>
      <c r="G182" s="238"/>
      <c r="H182" s="238"/>
      <c r="I182" s="238"/>
      <c r="J182" s="216"/>
      <c r="K182" s="238"/>
      <c r="L182" s="238"/>
      <c r="M182" s="238"/>
      <c r="N182" s="238"/>
      <c r="O182" s="238"/>
      <c r="P182" s="216"/>
      <c r="Q182" s="238"/>
      <c r="R182" s="238"/>
      <c r="S182" s="238"/>
      <c r="T182" s="238"/>
      <c r="U182" s="238"/>
      <c r="V182" s="216"/>
      <c r="W182" s="238"/>
      <c r="X182" s="238"/>
      <c r="Y182" s="238"/>
      <c r="Z182" s="238"/>
      <c r="AA182" s="238"/>
      <c r="AB182" s="216"/>
      <c r="AC182" s="238"/>
      <c r="AD182" s="238"/>
      <c r="AE182" s="238"/>
      <c r="AF182" s="238"/>
      <c r="AG182" s="238"/>
      <c r="AH182" s="216"/>
      <c r="AI182" s="238"/>
      <c r="AJ182" s="238"/>
      <c r="AK182" s="238"/>
      <c r="AL182" s="238"/>
      <c r="AM182" s="238"/>
      <c r="AN182" s="216"/>
      <c r="AO182" s="238"/>
      <c r="AP182" s="238"/>
      <c r="AQ182" s="238"/>
      <c r="AR182" s="238"/>
      <c r="AS182" s="238"/>
      <c r="AT182" s="216"/>
      <c r="AU182" s="238"/>
      <c r="AV182" s="238"/>
      <c r="AW182" s="238"/>
      <c r="AX182" s="238"/>
      <c r="AY182" s="238"/>
      <c r="AZ182" s="216"/>
      <c r="BA182" s="238"/>
      <c r="BB182" s="238"/>
      <c r="BC182" s="238"/>
      <c r="BD182" s="238"/>
      <c r="BE182" s="238"/>
      <c r="BF182" s="216"/>
      <c r="BG182" s="238"/>
      <c r="BH182" s="238"/>
      <c r="BI182" s="238"/>
      <c r="BJ182" s="238"/>
      <c r="BK182" s="238"/>
      <c r="BL182" s="216"/>
      <c r="BM182" s="238"/>
      <c r="BN182" s="238"/>
      <c r="BO182" s="238"/>
      <c r="BP182" s="238"/>
      <c r="BQ182" s="238"/>
      <c r="BR182" s="779"/>
      <c r="BS182" s="238"/>
      <c r="BT182" s="238"/>
      <c r="BU182" s="238"/>
      <c r="BV182" s="238"/>
      <c r="BW182" s="238"/>
      <c r="BX182" s="213"/>
      <c r="BY182" s="213"/>
      <c r="BZ182" s="213"/>
      <c r="CA182" s="213"/>
      <c r="CB182" s="213"/>
      <c r="CC182" s="213"/>
      <c r="CD182" s="213"/>
      <c r="CE182" s="213"/>
      <c r="CF182" s="213"/>
      <c r="CG182" s="213"/>
      <c r="CH182" s="213"/>
      <c r="CI182" s="213"/>
      <c r="CJ182" s="213"/>
      <c r="CK182" s="213"/>
      <c r="CL182" s="213"/>
      <c r="CM182" s="213"/>
      <c r="CN182" s="213"/>
      <c r="CO182" s="213"/>
      <c r="CP182" s="213"/>
      <c r="CQ182" s="213"/>
    </row>
    <row r="183" ht="15.75" customHeight="1">
      <c r="A183" s="213"/>
      <c r="B183" s="213"/>
      <c r="C183" s="213"/>
      <c r="D183" s="238"/>
      <c r="E183" s="238"/>
      <c r="F183" s="238"/>
      <c r="G183" s="238"/>
      <c r="H183" s="238"/>
      <c r="I183" s="238"/>
      <c r="J183" s="216"/>
      <c r="K183" s="238"/>
      <c r="L183" s="238"/>
      <c r="M183" s="238"/>
      <c r="N183" s="238"/>
      <c r="O183" s="238"/>
      <c r="P183" s="216"/>
      <c r="Q183" s="238"/>
      <c r="R183" s="238"/>
      <c r="S183" s="238"/>
      <c r="T183" s="238"/>
      <c r="U183" s="238"/>
      <c r="V183" s="216"/>
      <c r="W183" s="238"/>
      <c r="X183" s="238"/>
      <c r="Y183" s="238"/>
      <c r="Z183" s="238"/>
      <c r="AA183" s="238"/>
      <c r="AB183" s="216"/>
      <c r="AC183" s="238"/>
      <c r="AD183" s="238"/>
      <c r="AE183" s="238"/>
      <c r="AF183" s="238"/>
      <c r="AG183" s="238"/>
      <c r="AH183" s="216"/>
      <c r="AI183" s="238"/>
      <c r="AJ183" s="238"/>
      <c r="AK183" s="238"/>
      <c r="AL183" s="238"/>
      <c r="AM183" s="238"/>
      <c r="AN183" s="216"/>
      <c r="AO183" s="238"/>
      <c r="AP183" s="238"/>
      <c r="AQ183" s="238"/>
      <c r="AR183" s="238"/>
      <c r="AS183" s="238"/>
      <c r="AT183" s="216"/>
      <c r="AU183" s="238"/>
      <c r="AV183" s="238"/>
      <c r="AW183" s="238"/>
      <c r="AX183" s="238"/>
      <c r="AY183" s="238"/>
      <c r="AZ183" s="216"/>
      <c r="BA183" s="238"/>
      <c r="BB183" s="238"/>
      <c r="BC183" s="238"/>
      <c r="BD183" s="238"/>
      <c r="BE183" s="238"/>
      <c r="BF183" s="216"/>
      <c r="BG183" s="238"/>
      <c r="BH183" s="238"/>
      <c r="BI183" s="238"/>
      <c r="BJ183" s="238"/>
      <c r="BK183" s="238"/>
      <c r="BL183" s="216"/>
      <c r="BM183" s="238"/>
      <c r="BN183" s="238"/>
      <c r="BO183" s="238"/>
      <c r="BP183" s="238"/>
      <c r="BQ183" s="238"/>
      <c r="BR183" s="779"/>
      <c r="BS183" s="238"/>
      <c r="BT183" s="238"/>
      <c r="BU183" s="238"/>
      <c r="BV183" s="238"/>
      <c r="BW183" s="238"/>
      <c r="BX183" s="213"/>
      <c r="BY183" s="213"/>
      <c r="BZ183" s="213"/>
      <c r="CA183" s="213"/>
      <c r="CB183" s="213"/>
      <c r="CC183" s="213"/>
      <c r="CD183" s="213"/>
      <c r="CE183" s="213"/>
      <c r="CF183" s="213"/>
      <c r="CG183" s="213"/>
      <c r="CH183" s="213"/>
      <c r="CI183" s="213"/>
      <c r="CJ183" s="213"/>
      <c r="CK183" s="213"/>
      <c r="CL183" s="213"/>
      <c r="CM183" s="213"/>
      <c r="CN183" s="213"/>
      <c r="CO183" s="213"/>
      <c r="CP183" s="213"/>
      <c r="CQ183" s="213"/>
    </row>
    <row r="184" ht="15.75" customHeight="1">
      <c r="A184" s="213"/>
      <c r="B184" s="213"/>
      <c r="C184" s="213"/>
      <c r="D184" s="238"/>
      <c r="E184" s="238"/>
      <c r="F184" s="238"/>
      <c r="G184" s="238"/>
      <c r="H184" s="238"/>
      <c r="I184" s="238"/>
      <c r="J184" s="216"/>
      <c r="K184" s="238"/>
      <c r="L184" s="238"/>
      <c r="M184" s="238"/>
      <c r="N184" s="238"/>
      <c r="O184" s="238"/>
      <c r="P184" s="216"/>
      <c r="Q184" s="238"/>
      <c r="R184" s="238"/>
      <c r="S184" s="238"/>
      <c r="T184" s="238"/>
      <c r="U184" s="238"/>
      <c r="V184" s="216"/>
      <c r="W184" s="238"/>
      <c r="X184" s="238"/>
      <c r="Y184" s="238"/>
      <c r="Z184" s="238"/>
      <c r="AA184" s="238"/>
      <c r="AB184" s="216"/>
      <c r="AC184" s="238"/>
      <c r="AD184" s="238"/>
      <c r="AE184" s="238"/>
      <c r="AF184" s="238"/>
      <c r="AG184" s="238"/>
      <c r="AH184" s="216"/>
      <c r="AI184" s="238"/>
      <c r="AJ184" s="238"/>
      <c r="AK184" s="238"/>
      <c r="AL184" s="238"/>
      <c r="AM184" s="238"/>
      <c r="AN184" s="216"/>
      <c r="AO184" s="238"/>
      <c r="AP184" s="238"/>
      <c r="AQ184" s="238"/>
      <c r="AR184" s="238"/>
      <c r="AS184" s="238"/>
      <c r="AT184" s="216"/>
      <c r="AU184" s="238"/>
      <c r="AV184" s="238"/>
      <c r="AW184" s="238"/>
      <c r="AX184" s="238"/>
      <c r="AY184" s="238"/>
      <c r="AZ184" s="216"/>
      <c r="BA184" s="238"/>
      <c r="BB184" s="238"/>
      <c r="BC184" s="238"/>
      <c r="BD184" s="238"/>
      <c r="BE184" s="238"/>
      <c r="BF184" s="216"/>
      <c r="BG184" s="238"/>
      <c r="BH184" s="238"/>
      <c r="BI184" s="238"/>
      <c r="BJ184" s="238"/>
      <c r="BK184" s="238"/>
      <c r="BL184" s="216"/>
      <c r="BM184" s="238"/>
      <c r="BN184" s="238"/>
      <c r="BO184" s="238"/>
      <c r="BP184" s="238"/>
      <c r="BQ184" s="238"/>
      <c r="BR184" s="779"/>
      <c r="BS184" s="238"/>
      <c r="BT184" s="238"/>
      <c r="BU184" s="238"/>
      <c r="BV184" s="238"/>
      <c r="BW184" s="238"/>
      <c r="BX184" s="213"/>
      <c r="BY184" s="213"/>
      <c r="BZ184" s="213"/>
      <c r="CA184" s="213"/>
      <c r="CB184" s="213"/>
      <c r="CC184" s="213"/>
      <c r="CD184" s="213"/>
      <c r="CE184" s="213"/>
      <c r="CF184" s="213"/>
      <c r="CG184" s="213"/>
      <c r="CH184" s="213"/>
      <c r="CI184" s="213"/>
      <c r="CJ184" s="213"/>
      <c r="CK184" s="213"/>
      <c r="CL184" s="213"/>
      <c r="CM184" s="213"/>
      <c r="CN184" s="213"/>
      <c r="CO184" s="213"/>
      <c r="CP184" s="213"/>
      <c r="CQ184" s="213"/>
    </row>
    <row r="185" ht="15.75" customHeight="1">
      <c r="A185" s="213"/>
      <c r="B185" s="213"/>
      <c r="C185" s="213"/>
      <c r="D185" s="238"/>
      <c r="E185" s="238"/>
      <c r="F185" s="238"/>
      <c r="G185" s="238"/>
      <c r="H185" s="238"/>
      <c r="I185" s="238"/>
      <c r="J185" s="216"/>
      <c r="K185" s="238"/>
      <c r="L185" s="238"/>
      <c r="M185" s="238"/>
      <c r="N185" s="238"/>
      <c r="O185" s="238"/>
      <c r="P185" s="216"/>
      <c r="Q185" s="238"/>
      <c r="R185" s="238"/>
      <c r="S185" s="238"/>
      <c r="T185" s="238"/>
      <c r="U185" s="238"/>
      <c r="V185" s="216"/>
      <c r="W185" s="238"/>
      <c r="X185" s="238"/>
      <c r="Y185" s="238"/>
      <c r="Z185" s="238"/>
      <c r="AA185" s="238"/>
      <c r="AB185" s="216"/>
      <c r="AC185" s="238"/>
      <c r="AD185" s="238"/>
      <c r="AE185" s="238"/>
      <c r="AF185" s="238"/>
      <c r="AG185" s="238"/>
      <c r="AH185" s="216"/>
      <c r="AI185" s="238"/>
      <c r="AJ185" s="238"/>
      <c r="AK185" s="238"/>
      <c r="AL185" s="238"/>
      <c r="AM185" s="238"/>
      <c r="AN185" s="216"/>
      <c r="AO185" s="238"/>
      <c r="AP185" s="238"/>
      <c r="AQ185" s="238"/>
      <c r="AR185" s="238"/>
      <c r="AS185" s="238"/>
      <c r="AT185" s="216"/>
      <c r="AU185" s="238"/>
      <c r="AV185" s="238"/>
      <c r="AW185" s="238"/>
      <c r="AX185" s="238"/>
      <c r="AY185" s="238"/>
      <c r="AZ185" s="216"/>
      <c r="BA185" s="238"/>
      <c r="BB185" s="238"/>
      <c r="BC185" s="238"/>
      <c r="BD185" s="238"/>
      <c r="BE185" s="238"/>
      <c r="BF185" s="216"/>
      <c r="BG185" s="238"/>
      <c r="BH185" s="238"/>
      <c r="BI185" s="238"/>
      <c r="BJ185" s="238"/>
      <c r="BK185" s="238"/>
      <c r="BL185" s="216"/>
      <c r="BM185" s="238"/>
      <c r="BN185" s="238"/>
      <c r="BO185" s="238"/>
      <c r="BP185" s="238"/>
      <c r="BQ185" s="238"/>
      <c r="BR185" s="779"/>
      <c r="BS185" s="238"/>
      <c r="BT185" s="238"/>
      <c r="BU185" s="238"/>
      <c r="BV185" s="238"/>
      <c r="BW185" s="238"/>
      <c r="BX185" s="213"/>
      <c r="BY185" s="213"/>
      <c r="BZ185" s="213"/>
      <c r="CA185" s="213"/>
      <c r="CB185" s="213"/>
      <c r="CC185" s="213"/>
      <c r="CD185" s="213"/>
      <c r="CE185" s="213"/>
      <c r="CF185" s="213"/>
      <c r="CG185" s="213"/>
      <c r="CH185" s="213"/>
      <c r="CI185" s="213"/>
      <c r="CJ185" s="213"/>
      <c r="CK185" s="213"/>
      <c r="CL185" s="213"/>
      <c r="CM185" s="213"/>
      <c r="CN185" s="213"/>
      <c r="CO185" s="213"/>
      <c r="CP185" s="213"/>
      <c r="CQ185" s="213"/>
    </row>
    <row r="186" ht="15.75" customHeight="1">
      <c r="A186" s="213"/>
      <c r="B186" s="213"/>
      <c r="C186" s="213"/>
      <c r="D186" s="238"/>
      <c r="E186" s="238"/>
      <c r="F186" s="238"/>
      <c r="G186" s="238"/>
      <c r="H186" s="238"/>
      <c r="I186" s="238"/>
      <c r="J186" s="216"/>
      <c r="K186" s="238"/>
      <c r="L186" s="238"/>
      <c r="M186" s="238"/>
      <c r="N186" s="238"/>
      <c r="O186" s="238"/>
      <c r="P186" s="216"/>
      <c r="Q186" s="238"/>
      <c r="R186" s="238"/>
      <c r="S186" s="238"/>
      <c r="T186" s="238"/>
      <c r="U186" s="238"/>
      <c r="V186" s="216"/>
      <c r="W186" s="238"/>
      <c r="X186" s="238"/>
      <c r="Y186" s="238"/>
      <c r="Z186" s="238"/>
      <c r="AA186" s="238"/>
      <c r="AB186" s="216"/>
      <c r="AC186" s="238"/>
      <c r="AD186" s="238"/>
      <c r="AE186" s="238"/>
      <c r="AF186" s="238"/>
      <c r="AG186" s="238"/>
      <c r="AH186" s="216"/>
      <c r="AI186" s="238"/>
      <c r="AJ186" s="238"/>
      <c r="AK186" s="238"/>
      <c r="AL186" s="238"/>
      <c r="AM186" s="238"/>
      <c r="AN186" s="216"/>
      <c r="AO186" s="238"/>
      <c r="AP186" s="238"/>
      <c r="AQ186" s="238"/>
      <c r="AR186" s="238"/>
      <c r="AS186" s="238"/>
      <c r="AT186" s="216"/>
      <c r="AU186" s="238"/>
      <c r="AV186" s="238"/>
      <c r="AW186" s="238"/>
      <c r="AX186" s="238"/>
      <c r="AY186" s="238"/>
      <c r="AZ186" s="216"/>
      <c r="BA186" s="238"/>
      <c r="BB186" s="238"/>
      <c r="BC186" s="238"/>
      <c r="BD186" s="238"/>
      <c r="BE186" s="238"/>
      <c r="BF186" s="216"/>
      <c r="BG186" s="238"/>
      <c r="BH186" s="238"/>
      <c r="BI186" s="238"/>
      <c r="BJ186" s="238"/>
      <c r="BK186" s="238"/>
      <c r="BL186" s="216"/>
      <c r="BM186" s="238"/>
      <c r="BN186" s="238"/>
      <c r="BO186" s="238"/>
      <c r="BP186" s="238"/>
      <c r="BQ186" s="238"/>
      <c r="BR186" s="779"/>
      <c r="BS186" s="238"/>
      <c r="BT186" s="238"/>
      <c r="BU186" s="238"/>
      <c r="BV186" s="238"/>
      <c r="BW186" s="238"/>
      <c r="BX186" s="213"/>
      <c r="BY186" s="213"/>
      <c r="BZ186" s="213"/>
      <c r="CA186" s="213"/>
      <c r="CB186" s="213"/>
      <c r="CC186" s="213"/>
      <c r="CD186" s="213"/>
      <c r="CE186" s="213"/>
      <c r="CF186" s="213"/>
      <c r="CG186" s="213"/>
      <c r="CH186" s="213"/>
      <c r="CI186" s="213"/>
      <c r="CJ186" s="213"/>
      <c r="CK186" s="213"/>
      <c r="CL186" s="213"/>
      <c r="CM186" s="213"/>
      <c r="CN186" s="213"/>
      <c r="CO186" s="213"/>
      <c r="CP186" s="213"/>
      <c r="CQ186" s="213"/>
    </row>
    <row r="187" ht="15.75" customHeight="1">
      <c r="A187" s="213"/>
      <c r="B187" s="213"/>
      <c r="C187" s="213"/>
      <c r="D187" s="238"/>
      <c r="E187" s="238"/>
      <c r="F187" s="238"/>
      <c r="G187" s="238"/>
      <c r="H187" s="238"/>
      <c r="I187" s="238"/>
      <c r="J187" s="216"/>
      <c r="K187" s="238"/>
      <c r="L187" s="238"/>
      <c r="M187" s="238"/>
      <c r="N187" s="238"/>
      <c r="O187" s="238"/>
      <c r="P187" s="216"/>
      <c r="Q187" s="238"/>
      <c r="R187" s="238"/>
      <c r="S187" s="238"/>
      <c r="T187" s="238"/>
      <c r="U187" s="238"/>
      <c r="V187" s="216"/>
      <c r="W187" s="238"/>
      <c r="X187" s="238"/>
      <c r="Y187" s="238"/>
      <c r="Z187" s="238"/>
      <c r="AA187" s="238"/>
      <c r="AB187" s="216"/>
      <c r="AC187" s="238"/>
      <c r="AD187" s="238"/>
      <c r="AE187" s="238"/>
      <c r="AF187" s="238"/>
      <c r="AG187" s="238"/>
      <c r="AH187" s="216"/>
      <c r="AI187" s="238"/>
      <c r="AJ187" s="238"/>
      <c r="AK187" s="238"/>
      <c r="AL187" s="238"/>
      <c r="AM187" s="238"/>
      <c r="AN187" s="216"/>
      <c r="AO187" s="238"/>
      <c r="AP187" s="238"/>
      <c r="AQ187" s="238"/>
      <c r="AR187" s="238"/>
      <c r="AS187" s="238"/>
      <c r="AT187" s="216"/>
      <c r="AU187" s="238"/>
      <c r="AV187" s="238"/>
      <c r="AW187" s="238"/>
      <c r="AX187" s="238"/>
      <c r="AY187" s="238"/>
      <c r="AZ187" s="216"/>
      <c r="BA187" s="238"/>
      <c r="BB187" s="238"/>
      <c r="BC187" s="238"/>
      <c r="BD187" s="238"/>
      <c r="BE187" s="238"/>
      <c r="BF187" s="216"/>
      <c r="BG187" s="238"/>
      <c r="BH187" s="238"/>
      <c r="BI187" s="238"/>
      <c r="BJ187" s="238"/>
      <c r="BK187" s="238"/>
      <c r="BL187" s="216"/>
      <c r="BM187" s="238"/>
      <c r="BN187" s="238"/>
      <c r="BO187" s="238"/>
      <c r="BP187" s="238"/>
      <c r="BQ187" s="238"/>
      <c r="BR187" s="779"/>
      <c r="BS187" s="238"/>
      <c r="BT187" s="238"/>
      <c r="BU187" s="238"/>
      <c r="BV187" s="238"/>
      <c r="BW187" s="238"/>
      <c r="BX187" s="213"/>
      <c r="BY187" s="213"/>
      <c r="BZ187" s="213"/>
      <c r="CA187" s="213"/>
      <c r="CB187" s="213"/>
      <c r="CC187" s="213"/>
      <c r="CD187" s="213"/>
      <c r="CE187" s="213"/>
      <c r="CF187" s="213"/>
      <c r="CG187" s="213"/>
      <c r="CH187" s="213"/>
      <c r="CI187" s="213"/>
      <c r="CJ187" s="213"/>
      <c r="CK187" s="213"/>
      <c r="CL187" s="213"/>
      <c r="CM187" s="213"/>
      <c r="CN187" s="213"/>
      <c r="CO187" s="213"/>
      <c r="CP187" s="213"/>
      <c r="CQ187" s="213"/>
    </row>
    <row r="188" ht="15.75" customHeight="1">
      <c r="A188" s="213"/>
      <c r="B188" s="213"/>
      <c r="C188" s="213"/>
      <c r="D188" s="238"/>
      <c r="E188" s="238"/>
      <c r="F188" s="238"/>
      <c r="G188" s="238"/>
      <c r="H188" s="238"/>
      <c r="I188" s="238"/>
      <c r="J188" s="216"/>
      <c r="K188" s="238"/>
      <c r="L188" s="238"/>
      <c r="M188" s="238"/>
      <c r="N188" s="238"/>
      <c r="O188" s="238"/>
      <c r="P188" s="216"/>
      <c r="Q188" s="238"/>
      <c r="R188" s="238"/>
      <c r="S188" s="238"/>
      <c r="T188" s="238"/>
      <c r="U188" s="238"/>
      <c r="V188" s="216"/>
      <c r="W188" s="238"/>
      <c r="X188" s="238"/>
      <c r="Y188" s="238"/>
      <c r="Z188" s="238"/>
      <c r="AA188" s="238"/>
      <c r="AB188" s="216"/>
      <c r="AC188" s="238"/>
      <c r="AD188" s="238"/>
      <c r="AE188" s="238"/>
      <c r="AF188" s="238"/>
      <c r="AG188" s="238"/>
      <c r="AH188" s="216"/>
      <c r="AI188" s="238"/>
      <c r="AJ188" s="238"/>
      <c r="AK188" s="238"/>
      <c r="AL188" s="238"/>
      <c r="AM188" s="238"/>
      <c r="AN188" s="216"/>
      <c r="AO188" s="238"/>
      <c r="AP188" s="238"/>
      <c r="AQ188" s="238"/>
      <c r="AR188" s="238"/>
      <c r="AS188" s="238"/>
      <c r="AT188" s="216"/>
      <c r="AU188" s="238"/>
      <c r="AV188" s="238"/>
      <c r="AW188" s="238"/>
      <c r="AX188" s="238"/>
      <c r="AY188" s="238"/>
      <c r="AZ188" s="216"/>
      <c r="BA188" s="238"/>
      <c r="BB188" s="238"/>
      <c r="BC188" s="238"/>
      <c r="BD188" s="238"/>
      <c r="BE188" s="238"/>
      <c r="BF188" s="216"/>
      <c r="BG188" s="238"/>
      <c r="BH188" s="238"/>
      <c r="BI188" s="238"/>
      <c r="BJ188" s="238"/>
      <c r="BK188" s="238"/>
      <c r="BL188" s="216"/>
      <c r="BM188" s="238"/>
      <c r="BN188" s="238"/>
      <c r="BO188" s="238"/>
      <c r="BP188" s="238"/>
      <c r="BQ188" s="238"/>
      <c r="BR188" s="779"/>
      <c r="BS188" s="238"/>
      <c r="BT188" s="238"/>
      <c r="BU188" s="238"/>
      <c r="BV188" s="238"/>
      <c r="BW188" s="238"/>
      <c r="BX188" s="213"/>
      <c r="BY188" s="213"/>
      <c r="BZ188" s="213"/>
      <c r="CA188" s="213"/>
      <c r="CB188" s="213"/>
      <c r="CC188" s="213"/>
      <c r="CD188" s="213"/>
      <c r="CE188" s="213"/>
      <c r="CF188" s="213"/>
      <c r="CG188" s="213"/>
      <c r="CH188" s="213"/>
      <c r="CI188" s="213"/>
      <c r="CJ188" s="213"/>
      <c r="CK188" s="213"/>
      <c r="CL188" s="213"/>
      <c r="CM188" s="213"/>
      <c r="CN188" s="213"/>
      <c r="CO188" s="213"/>
      <c r="CP188" s="213"/>
      <c r="CQ188" s="213"/>
    </row>
    <row r="189" ht="15.75" customHeight="1">
      <c r="A189" s="213"/>
      <c r="B189" s="213"/>
      <c r="C189" s="213"/>
      <c r="D189" s="238"/>
      <c r="E189" s="238"/>
      <c r="F189" s="238"/>
      <c r="G189" s="238"/>
      <c r="H189" s="238"/>
      <c r="I189" s="238"/>
      <c r="J189" s="216"/>
      <c r="K189" s="238"/>
      <c r="L189" s="238"/>
      <c r="M189" s="238"/>
      <c r="N189" s="238"/>
      <c r="O189" s="238"/>
      <c r="P189" s="216"/>
      <c r="Q189" s="238"/>
      <c r="R189" s="238"/>
      <c r="S189" s="238"/>
      <c r="T189" s="238"/>
      <c r="U189" s="238"/>
      <c r="V189" s="216"/>
      <c r="W189" s="238"/>
      <c r="X189" s="238"/>
      <c r="Y189" s="238"/>
      <c r="Z189" s="238"/>
      <c r="AA189" s="238"/>
      <c r="AB189" s="216"/>
      <c r="AC189" s="238"/>
      <c r="AD189" s="238"/>
      <c r="AE189" s="238"/>
      <c r="AF189" s="238"/>
      <c r="AG189" s="238"/>
      <c r="AH189" s="216"/>
      <c r="AI189" s="238"/>
      <c r="AJ189" s="238"/>
      <c r="AK189" s="238"/>
      <c r="AL189" s="238"/>
      <c r="AM189" s="238"/>
      <c r="AN189" s="216"/>
      <c r="AO189" s="238"/>
      <c r="AP189" s="238"/>
      <c r="AQ189" s="238"/>
      <c r="AR189" s="238"/>
      <c r="AS189" s="238"/>
      <c r="AT189" s="216"/>
      <c r="AU189" s="238"/>
      <c r="AV189" s="238"/>
      <c r="AW189" s="238"/>
      <c r="AX189" s="238"/>
      <c r="AY189" s="238"/>
      <c r="AZ189" s="216"/>
      <c r="BA189" s="238"/>
      <c r="BB189" s="238"/>
      <c r="BC189" s="238"/>
      <c r="BD189" s="238"/>
      <c r="BE189" s="238"/>
      <c r="BF189" s="216"/>
      <c r="BG189" s="238"/>
      <c r="BH189" s="238"/>
      <c r="BI189" s="238"/>
      <c r="BJ189" s="238"/>
      <c r="BK189" s="238"/>
      <c r="BL189" s="216"/>
      <c r="BM189" s="238"/>
      <c r="BN189" s="238"/>
      <c r="BO189" s="238"/>
      <c r="BP189" s="238"/>
      <c r="BQ189" s="238"/>
      <c r="BR189" s="779"/>
      <c r="BS189" s="238"/>
      <c r="BT189" s="238"/>
      <c r="BU189" s="238"/>
      <c r="BV189" s="238"/>
      <c r="BW189" s="238"/>
      <c r="BX189" s="213"/>
      <c r="BY189" s="213"/>
      <c r="BZ189" s="213"/>
      <c r="CA189" s="213"/>
      <c r="CB189" s="213"/>
      <c r="CC189" s="213"/>
      <c r="CD189" s="213"/>
      <c r="CE189" s="213"/>
      <c r="CF189" s="213"/>
      <c r="CG189" s="213"/>
      <c r="CH189" s="213"/>
      <c r="CI189" s="213"/>
      <c r="CJ189" s="213"/>
      <c r="CK189" s="213"/>
      <c r="CL189" s="213"/>
      <c r="CM189" s="213"/>
      <c r="CN189" s="213"/>
      <c r="CO189" s="213"/>
      <c r="CP189" s="213"/>
      <c r="CQ189" s="213"/>
    </row>
    <row r="190" ht="15.75" customHeight="1">
      <c r="A190" s="213"/>
      <c r="B190" s="213"/>
      <c r="C190" s="213"/>
      <c r="D190" s="238"/>
      <c r="E190" s="238"/>
      <c r="F190" s="238"/>
      <c r="G190" s="238"/>
      <c r="H190" s="238"/>
      <c r="I190" s="238"/>
      <c r="J190" s="216"/>
      <c r="K190" s="238"/>
      <c r="L190" s="238"/>
      <c r="M190" s="238"/>
      <c r="N190" s="238"/>
      <c r="O190" s="238"/>
      <c r="P190" s="216"/>
      <c r="Q190" s="238"/>
      <c r="R190" s="238"/>
      <c r="S190" s="238"/>
      <c r="T190" s="238"/>
      <c r="U190" s="238"/>
      <c r="V190" s="216"/>
      <c r="W190" s="238"/>
      <c r="X190" s="238"/>
      <c r="Y190" s="238"/>
      <c r="Z190" s="238"/>
      <c r="AA190" s="238"/>
      <c r="AB190" s="216"/>
      <c r="AC190" s="238"/>
      <c r="AD190" s="238"/>
      <c r="AE190" s="238"/>
      <c r="AF190" s="238"/>
      <c r="AG190" s="238"/>
      <c r="AH190" s="216"/>
      <c r="AI190" s="238"/>
      <c r="AJ190" s="238"/>
      <c r="AK190" s="238"/>
      <c r="AL190" s="238"/>
      <c r="AM190" s="238"/>
      <c r="AN190" s="216"/>
      <c r="AO190" s="238"/>
      <c r="AP190" s="238"/>
      <c r="AQ190" s="238"/>
      <c r="AR190" s="238"/>
      <c r="AS190" s="238"/>
      <c r="AT190" s="216"/>
      <c r="AU190" s="238"/>
      <c r="AV190" s="238"/>
      <c r="AW190" s="238"/>
      <c r="AX190" s="238"/>
      <c r="AY190" s="238"/>
      <c r="AZ190" s="216"/>
      <c r="BA190" s="238"/>
      <c r="BB190" s="238"/>
      <c r="BC190" s="238"/>
      <c r="BD190" s="238"/>
      <c r="BE190" s="238"/>
      <c r="BF190" s="216"/>
      <c r="BG190" s="238"/>
      <c r="BH190" s="238"/>
      <c r="BI190" s="238"/>
      <c r="BJ190" s="238"/>
      <c r="BK190" s="238"/>
      <c r="BL190" s="216"/>
      <c r="BM190" s="238"/>
      <c r="BN190" s="238"/>
      <c r="BO190" s="238"/>
      <c r="BP190" s="238"/>
      <c r="BQ190" s="238"/>
      <c r="BR190" s="779"/>
      <c r="BS190" s="238"/>
      <c r="BT190" s="238"/>
      <c r="BU190" s="238"/>
      <c r="BV190" s="238"/>
      <c r="BW190" s="238"/>
      <c r="BX190" s="213"/>
      <c r="BY190" s="213"/>
      <c r="BZ190" s="213"/>
      <c r="CA190" s="213"/>
      <c r="CB190" s="213"/>
      <c r="CC190" s="213"/>
      <c r="CD190" s="213"/>
      <c r="CE190" s="213"/>
      <c r="CF190" s="213"/>
      <c r="CG190" s="213"/>
      <c r="CH190" s="213"/>
      <c r="CI190" s="213"/>
      <c r="CJ190" s="213"/>
      <c r="CK190" s="213"/>
      <c r="CL190" s="213"/>
      <c r="CM190" s="213"/>
      <c r="CN190" s="213"/>
      <c r="CO190" s="213"/>
      <c r="CP190" s="213"/>
      <c r="CQ190" s="213"/>
    </row>
    <row r="191" ht="15.75" customHeight="1">
      <c r="A191" s="213"/>
      <c r="B191" s="213"/>
      <c r="C191" s="213"/>
      <c r="D191" s="238"/>
      <c r="E191" s="238"/>
      <c r="F191" s="238"/>
      <c r="G191" s="238"/>
      <c r="H191" s="238"/>
      <c r="I191" s="238"/>
      <c r="J191" s="216"/>
      <c r="K191" s="238"/>
      <c r="L191" s="238"/>
      <c r="M191" s="238"/>
      <c r="N191" s="238"/>
      <c r="O191" s="238"/>
      <c r="P191" s="216"/>
      <c r="Q191" s="238"/>
      <c r="R191" s="238"/>
      <c r="S191" s="238"/>
      <c r="T191" s="238"/>
      <c r="U191" s="238"/>
      <c r="V191" s="216"/>
      <c r="W191" s="238"/>
      <c r="X191" s="238"/>
      <c r="Y191" s="238"/>
      <c r="Z191" s="238"/>
      <c r="AA191" s="238"/>
      <c r="AB191" s="216"/>
      <c r="AC191" s="238"/>
      <c r="AD191" s="238"/>
      <c r="AE191" s="238"/>
      <c r="AF191" s="238"/>
      <c r="AG191" s="238"/>
      <c r="AH191" s="216"/>
      <c r="AI191" s="238"/>
      <c r="AJ191" s="238"/>
      <c r="AK191" s="238"/>
      <c r="AL191" s="238"/>
      <c r="AM191" s="238"/>
      <c r="AN191" s="216"/>
      <c r="AO191" s="238"/>
      <c r="AP191" s="238"/>
      <c r="AQ191" s="238"/>
      <c r="AR191" s="238"/>
      <c r="AS191" s="238"/>
      <c r="AT191" s="216"/>
      <c r="AU191" s="238"/>
      <c r="AV191" s="238"/>
      <c r="AW191" s="238"/>
      <c r="AX191" s="238"/>
      <c r="AY191" s="238"/>
      <c r="AZ191" s="216"/>
      <c r="BA191" s="238"/>
      <c r="BB191" s="238"/>
      <c r="BC191" s="238"/>
      <c r="BD191" s="238"/>
      <c r="BE191" s="238"/>
      <c r="BF191" s="216"/>
      <c r="BG191" s="238"/>
      <c r="BH191" s="238"/>
      <c r="BI191" s="238"/>
      <c r="BJ191" s="238"/>
      <c r="BK191" s="238"/>
      <c r="BL191" s="216"/>
      <c r="BM191" s="238"/>
      <c r="BN191" s="238"/>
      <c r="BO191" s="238"/>
      <c r="BP191" s="238"/>
      <c r="BQ191" s="238"/>
      <c r="BR191" s="779"/>
      <c r="BS191" s="238"/>
      <c r="BT191" s="238"/>
      <c r="BU191" s="238"/>
      <c r="BV191" s="238"/>
      <c r="BW191" s="238"/>
      <c r="BX191" s="213"/>
      <c r="BY191" s="213"/>
      <c r="BZ191" s="213"/>
      <c r="CA191" s="213"/>
      <c r="CB191" s="213"/>
      <c r="CC191" s="213"/>
      <c r="CD191" s="213"/>
      <c r="CE191" s="213"/>
      <c r="CF191" s="213"/>
      <c r="CG191" s="213"/>
      <c r="CH191" s="213"/>
      <c r="CI191" s="213"/>
      <c r="CJ191" s="213"/>
      <c r="CK191" s="213"/>
      <c r="CL191" s="213"/>
      <c r="CM191" s="213"/>
      <c r="CN191" s="213"/>
      <c r="CO191" s="213"/>
      <c r="CP191" s="213"/>
      <c r="CQ191" s="213"/>
    </row>
    <row r="192" ht="15.75" customHeight="1">
      <c r="A192" s="213"/>
      <c r="B192" s="213"/>
      <c r="C192" s="213"/>
      <c r="D192" s="238"/>
      <c r="E192" s="238"/>
      <c r="F192" s="238"/>
      <c r="G192" s="238"/>
      <c r="H192" s="238"/>
      <c r="I192" s="238"/>
      <c r="J192" s="216"/>
      <c r="K192" s="238"/>
      <c r="L192" s="238"/>
      <c r="M192" s="238"/>
      <c r="N192" s="238"/>
      <c r="O192" s="238"/>
      <c r="P192" s="216"/>
      <c r="Q192" s="238"/>
      <c r="R192" s="238"/>
      <c r="S192" s="238"/>
      <c r="T192" s="238"/>
      <c r="U192" s="238"/>
      <c r="V192" s="216"/>
      <c r="W192" s="238"/>
      <c r="X192" s="238"/>
      <c r="Y192" s="238"/>
      <c r="Z192" s="238"/>
      <c r="AA192" s="238"/>
      <c r="AB192" s="216"/>
      <c r="AC192" s="238"/>
      <c r="AD192" s="238"/>
      <c r="AE192" s="238"/>
      <c r="AF192" s="238"/>
      <c r="AG192" s="238"/>
      <c r="AH192" s="216"/>
      <c r="AI192" s="238"/>
      <c r="AJ192" s="238"/>
      <c r="AK192" s="238"/>
      <c r="AL192" s="238"/>
      <c r="AM192" s="238"/>
      <c r="AN192" s="216"/>
      <c r="AO192" s="238"/>
      <c r="AP192" s="238"/>
      <c r="AQ192" s="238"/>
      <c r="AR192" s="238"/>
      <c r="AS192" s="238"/>
      <c r="AT192" s="216"/>
      <c r="AU192" s="238"/>
      <c r="AV192" s="238"/>
      <c r="AW192" s="238"/>
      <c r="AX192" s="238"/>
      <c r="AY192" s="238"/>
      <c r="AZ192" s="216"/>
      <c r="BA192" s="238"/>
      <c r="BB192" s="238"/>
      <c r="BC192" s="238"/>
      <c r="BD192" s="238"/>
      <c r="BE192" s="238"/>
      <c r="BF192" s="216"/>
      <c r="BG192" s="238"/>
      <c r="BH192" s="238"/>
      <c r="BI192" s="238"/>
      <c r="BJ192" s="238"/>
      <c r="BK192" s="238"/>
      <c r="BL192" s="216"/>
      <c r="BM192" s="238"/>
      <c r="BN192" s="238"/>
      <c r="BO192" s="238"/>
      <c r="BP192" s="238"/>
      <c r="BQ192" s="238"/>
      <c r="BR192" s="779"/>
      <c r="BS192" s="238"/>
      <c r="BT192" s="238"/>
      <c r="BU192" s="238"/>
      <c r="BV192" s="238"/>
      <c r="BW192" s="238"/>
      <c r="BX192" s="213"/>
      <c r="BY192" s="213"/>
      <c r="BZ192" s="213"/>
      <c r="CA192" s="213"/>
      <c r="CB192" s="213"/>
      <c r="CC192" s="213"/>
      <c r="CD192" s="213"/>
      <c r="CE192" s="213"/>
      <c r="CF192" s="213"/>
      <c r="CG192" s="213"/>
      <c r="CH192" s="213"/>
      <c r="CI192" s="213"/>
      <c r="CJ192" s="213"/>
      <c r="CK192" s="213"/>
      <c r="CL192" s="213"/>
      <c r="CM192" s="213"/>
      <c r="CN192" s="213"/>
      <c r="CO192" s="213"/>
      <c r="CP192" s="213"/>
      <c r="CQ192" s="213"/>
    </row>
    <row r="193" ht="15.75" customHeight="1">
      <c r="A193" s="213"/>
      <c r="B193" s="213"/>
      <c r="C193" s="213"/>
      <c r="D193" s="238"/>
      <c r="E193" s="238"/>
      <c r="F193" s="238"/>
      <c r="G193" s="238"/>
      <c r="H193" s="238"/>
      <c r="I193" s="238"/>
      <c r="J193" s="216"/>
      <c r="K193" s="238"/>
      <c r="L193" s="238"/>
      <c r="M193" s="238"/>
      <c r="N193" s="238"/>
      <c r="O193" s="238"/>
      <c r="P193" s="216"/>
      <c r="Q193" s="238"/>
      <c r="R193" s="238"/>
      <c r="S193" s="238"/>
      <c r="T193" s="238"/>
      <c r="U193" s="238"/>
      <c r="V193" s="216"/>
      <c r="W193" s="238"/>
      <c r="X193" s="238"/>
      <c r="Y193" s="238"/>
      <c r="Z193" s="238"/>
      <c r="AA193" s="238"/>
      <c r="AB193" s="216"/>
      <c r="AC193" s="238"/>
      <c r="AD193" s="238"/>
      <c r="AE193" s="238"/>
      <c r="AF193" s="238"/>
      <c r="AG193" s="238"/>
      <c r="AH193" s="216"/>
      <c r="AI193" s="238"/>
      <c r="AJ193" s="238"/>
      <c r="AK193" s="238"/>
      <c r="AL193" s="238"/>
      <c r="AM193" s="238"/>
      <c r="AN193" s="216"/>
      <c r="AO193" s="238"/>
      <c r="AP193" s="238"/>
      <c r="AQ193" s="238"/>
      <c r="AR193" s="238"/>
      <c r="AS193" s="238"/>
      <c r="AT193" s="216"/>
      <c r="AU193" s="238"/>
      <c r="AV193" s="238"/>
      <c r="AW193" s="238"/>
      <c r="AX193" s="238"/>
      <c r="AY193" s="238"/>
      <c r="AZ193" s="216"/>
      <c r="BA193" s="238"/>
      <c r="BB193" s="238"/>
      <c r="BC193" s="238"/>
      <c r="BD193" s="238"/>
      <c r="BE193" s="238"/>
      <c r="BF193" s="216"/>
      <c r="BG193" s="238"/>
      <c r="BH193" s="238"/>
      <c r="BI193" s="238"/>
      <c r="BJ193" s="238"/>
      <c r="BK193" s="238"/>
      <c r="BL193" s="216"/>
      <c r="BM193" s="238"/>
      <c r="BN193" s="238"/>
      <c r="BO193" s="238"/>
      <c r="BP193" s="238"/>
      <c r="BQ193" s="238"/>
      <c r="BR193" s="779"/>
      <c r="BS193" s="238"/>
      <c r="BT193" s="238"/>
      <c r="BU193" s="238"/>
      <c r="BV193" s="238"/>
      <c r="BW193" s="238"/>
      <c r="BX193" s="213"/>
      <c r="BY193" s="213"/>
      <c r="BZ193" s="213"/>
      <c r="CA193" s="213"/>
      <c r="CB193" s="213"/>
      <c r="CC193" s="213"/>
      <c r="CD193" s="213"/>
      <c r="CE193" s="213"/>
      <c r="CF193" s="213"/>
      <c r="CG193" s="213"/>
      <c r="CH193" s="213"/>
      <c r="CI193" s="213"/>
      <c r="CJ193" s="213"/>
      <c r="CK193" s="213"/>
      <c r="CL193" s="213"/>
      <c r="CM193" s="213"/>
      <c r="CN193" s="213"/>
      <c r="CO193" s="213"/>
      <c r="CP193" s="213"/>
      <c r="CQ193" s="213"/>
    </row>
    <row r="194" ht="15.75" customHeight="1">
      <c r="A194" s="213"/>
      <c r="B194" s="213"/>
      <c r="C194" s="213"/>
      <c r="D194" s="238"/>
      <c r="E194" s="238"/>
      <c r="F194" s="238"/>
      <c r="G194" s="238"/>
      <c r="H194" s="238"/>
      <c r="I194" s="238"/>
      <c r="J194" s="216"/>
      <c r="K194" s="238"/>
      <c r="L194" s="238"/>
      <c r="M194" s="238"/>
      <c r="N194" s="238"/>
      <c r="O194" s="238"/>
      <c r="P194" s="216"/>
      <c r="Q194" s="238"/>
      <c r="R194" s="238"/>
      <c r="S194" s="238"/>
      <c r="T194" s="238"/>
      <c r="U194" s="238"/>
      <c r="V194" s="216"/>
      <c r="W194" s="238"/>
      <c r="X194" s="238"/>
      <c r="Y194" s="238"/>
      <c r="Z194" s="238"/>
      <c r="AA194" s="238"/>
      <c r="AB194" s="216"/>
      <c r="AC194" s="238"/>
      <c r="AD194" s="238"/>
      <c r="AE194" s="238"/>
      <c r="AF194" s="238"/>
      <c r="AG194" s="238"/>
      <c r="AH194" s="216"/>
      <c r="AI194" s="238"/>
      <c r="AJ194" s="238"/>
      <c r="AK194" s="238"/>
      <c r="AL194" s="238"/>
      <c r="AM194" s="238"/>
      <c r="AN194" s="216"/>
      <c r="AO194" s="238"/>
      <c r="AP194" s="238"/>
      <c r="AQ194" s="238"/>
      <c r="AR194" s="238"/>
      <c r="AS194" s="238"/>
      <c r="AT194" s="216"/>
      <c r="AU194" s="238"/>
      <c r="AV194" s="238"/>
      <c r="AW194" s="238"/>
      <c r="AX194" s="238"/>
      <c r="AY194" s="238"/>
      <c r="AZ194" s="216"/>
      <c r="BA194" s="238"/>
      <c r="BB194" s="238"/>
      <c r="BC194" s="238"/>
      <c r="BD194" s="238"/>
      <c r="BE194" s="238"/>
      <c r="BF194" s="216"/>
      <c r="BG194" s="238"/>
      <c r="BH194" s="238"/>
      <c r="BI194" s="238"/>
      <c r="BJ194" s="238"/>
      <c r="BK194" s="238"/>
      <c r="BL194" s="216"/>
      <c r="BM194" s="238"/>
      <c r="BN194" s="238"/>
      <c r="BO194" s="238"/>
      <c r="BP194" s="238"/>
      <c r="BQ194" s="238"/>
      <c r="BR194" s="779"/>
      <c r="BS194" s="238"/>
      <c r="BT194" s="238"/>
      <c r="BU194" s="238"/>
      <c r="BV194" s="238"/>
      <c r="BW194" s="238"/>
      <c r="BX194" s="213"/>
      <c r="BY194" s="213"/>
      <c r="BZ194" s="213"/>
      <c r="CA194" s="213"/>
      <c r="CB194" s="213"/>
      <c r="CC194" s="213"/>
      <c r="CD194" s="213"/>
      <c r="CE194" s="213"/>
      <c r="CF194" s="213"/>
      <c r="CG194" s="213"/>
      <c r="CH194" s="213"/>
      <c r="CI194" s="213"/>
      <c r="CJ194" s="213"/>
      <c r="CK194" s="213"/>
      <c r="CL194" s="213"/>
      <c r="CM194" s="213"/>
      <c r="CN194" s="213"/>
      <c r="CO194" s="213"/>
      <c r="CP194" s="213"/>
      <c r="CQ194" s="213"/>
    </row>
    <row r="195" ht="15.75" customHeight="1">
      <c r="A195" s="213"/>
      <c r="B195" s="213"/>
      <c r="C195" s="213"/>
      <c r="D195" s="238"/>
      <c r="E195" s="238"/>
      <c r="F195" s="238"/>
      <c r="G195" s="238"/>
      <c r="H195" s="238"/>
      <c r="I195" s="238"/>
      <c r="J195" s="216"/>
      <c r="K195" s="238"/>
      <c r="L195" s="238"/>
      <c r="M195" s="238"/>
      <c r="N195" s="238"/>
      <c r="O195" s="238"/>
      <c r="P195" s="216"/>
      <c r="Q195" s="238"/>
      <c r="R195" s="238"/>
      <c r="S195" s="238"/>
      <c r="T195" s="238"/>
      <c r="U195" s="238"/>
      <c r="V195" s="216"/>
      <c r="W195" s="238"/>
      <c r="X195" s="238"/>
      <c r="Y195" s="238"/>
      <c r="Z195" s="238"/>
      <c r="AA195" s="238"/>
      <c r="AB195" s="216"/>
      <c r="AC195" s="238"/>
      <c r="AD195" s="238"/>
      <c r="AE195" s="238"/>
      <c r="AF195" s="238"/>
      <c r="AG195" s="238"/>
      <c r="AH195" s="216"/>
      <c r="AI195" s="238"/>
      <c r="AJ195" s="238"/>
      <c r="AK195" s="238"/>
      <c r="AL195" s="238"/>
      <c r="AM195" s="238"/>
      <c r="AN195" s="216"/>
      <c r="AO195" s="238"/>
      <c r="AP195" s="238"/>
      <c r="AQ195" s="238"/>
      <c r="AR195" s="238"/>
      <c r="AS195" s="238"/>
      <c r="AT195" s="216"/>
      <c r="AU195" s="238"/>
      <c r="AV195" s="238"/>
      <c r="AW195" s="238"/>
      <c r="AX195" s="238"/>
      <c r="AY195" s="238"/>
      <c r="AZ195" s="216"/>
      <c r="BA195" s="238"/>
      <c r="BB195" s="238"/>
      <c r="BC195" s="238"/>
      <c r="BD195" s="238"/>
      <c r="BE195" s="238"/>
      <c r="BF195" s="216"/>
      <c r="BG195" s="238"/>
      <c r="BH195" s="238"/>
      <c r="BI195" s="238"/>
      <c r="BJ195" s="238"/>
      <c r="BK195" s="238"/>
      <c r="BL195" s="216"/>
      <c r="BM195" s="238"/>
      <c r="BN195" s="238"/>
      <c r="BO195" s="238"/>
      <c r="BP195" s="238"/>
      <c r="BQ195" s="238"/>
      <c r="BR195" s="779"/>
      <c r="BS195" s="238"/>
      <c r="BT195" s="238"/>
      <c r="BU195" s="238"/>
      <c r="BV195" s="238"/>
      <c r="BW195" s="238"/>
      <c r="BX195" s="213"/>
      <c r="BY195" s="213"/>
      <c r="BZ195" s="213"/>
      <c r="CA195" s="213"/>
      <c r="CB195" s="213"/>
      <c r="CC195" s="213"/>
      <c r="CD195" s="213"/>
      <c r="CE195" s="213"/>
      <c r="CF195" s="213"/>
      <c r="CG195" s="213"/>
      <c r="CH195" s="213"/>
      <c r="CI195" s="213"/>
      <c r="CJ195" s="213"/>
      <c r="CK195" s="213"/>
      <c r="CL195" s="213"/>
      <c r="CM195" s="213"/>
      <c r="CN195" s="213"/>
      <c r="CO195" s="213"/>
      <c r="CP195" s="213"/>
      <c r="CQ195" s="213"/>
    </row>
    <row r="196" ht="15.75" customHeight="1">
      <c r="A196" s="213"/>
      <c r="B196" s="213"/>
      <c r="C196" s="213"/>
      <c r="D196" s="238"/>
      <c r="E196" s="238"/>
      <c r="F196" s="238"/>
      <c r="G196" s="238"/>
      <c r="H196" s="238"/>
      <c r="I196" s="238"/>
      <c r="J196" s="216"/>
      <c r="K196" s="238"/>
      <c r="L196" s="238"/>
      <c r="M196" s="238"/>
      <c r="N196" s="238"/>
      <c r="O196" s="238"/>
      <c r="P196" s="216"/>
      <c r="Q196" s="238"/>
      <c r="R196" s="238"/>
      <c r="S196" s="238"/>
      <c r="T196" s="238"/>
      <c r="U196" s="238"/>
      <c r="V196" s="216"/>
      <c r="W196" s="238"/>
      <c r="X196" s="238"/>
      <c r="Y196" s="238"/>
      <c r="Z196" s="238"/>
      <c r="AA196" s="238"/>
      <c r="AB196" s="216"/>
      <c r="AC196" s="238"/>
      <c r="AD196" s="238"/>
      <c r="AE196" s="238"/>
      <c r="AF196" s="238"/>
      <c r="AG196" s="238"/>
      <c r="AH196" s="216"/>
      <c r="AI196" s="238"/>
      <c r="AJ196" s="238"/>
      <c r="AK196" s="238"/>
      <c r="AL196" s="238"/>
      <c r="AM196" s="238"/>
      <c r="AN196" s="216"/>
      <c r="AO196" s="238"/>
      <c r="AP196" s="238"/>
      <c r="AQ196" s="238"/>
      <c r="AR196" s="238"/>
      <c r="AS196" s="238"/>
      <c r="AT196" s="216"/>
      <c r="AU196" s="238"/>
      <c r="AV196" s="238"/>
      <c r="AW196" s="238"/>
      <c r="AX196" s="238"/>
      <c r="AY196" s="238"/>
      <c r="AZ196" s="216"/>
      <c r="BA196" s="238"/>
      <c r="BB196" s="238"/>
      <c r="BC196" s="238"/>
      <c r="BD196" s="238"/>
      <c r="BE196" s="238"/>
      <c r="BF196" s="216"/>
      <c r="BG196" s="238"/>
      <c r="BH196" s="238"/>
      <c r="BI196" s="238"/>
      <c r="BJ196" s="238"/>
      <c r="BK196" s="238"/>
      <c r="BL196" s="216"/>
      <c r="BM196" s="238"/>
      <c r="BN196" s="238"/>
      <c r="BO196" s="238"/>
      <c r="BP196" s="238"/>
      <c r="BQ196" s="238"/>
      <c r="BR196" s="779"/>
      <c r="BS196" s="238"/>
      <c r="BT196" s="238"/>
      <c r="BU196" s="238"/>
      <c r="BV196" s="238"/>
      <c r="BW196" s="238"/>
      <c r="BX196" s="213"/>
      <c r="BY196" s="213"/>
      <c r="BZ196" s="213"/>
      <c r="CA196" s="213"/>
      <c r="CB196" s="213"/>
      <c r="CC196" s="213"/>
      <c r="CD196" s="213"/>
      <c r="CE196" s="213"/>
      <c r="CF196" s="213"/>
      <c r="CG196" s="213"/>
      <c r="CH196" s="213"/>
      <c r="CI196" s="213"/>
      <c r="CJ196" s="213"/>
      <c r="CK196" s="213"/>
      <c r="CL196" s="213"/>
      <c r="CM196" s="213"/>
      <c r="CN196" s="213"/>
      <c r="CO196" s="213"/>
      <c r="CP196" s="213"/>
      <c r="CQ196" s="213"/>
    </row>
    <row r="197" ht="15.75" customHeight="1">
      <c r="A197" s="213"/>
      <c r="B197" s="213"/>
      <c r="C197" s="213"/>
      <c r="D197" s="238"/>
      <c r="E197" s="238"/>
      <c r="F197" s="238"/>
      <c r="G197" s="238"/>
      <c r="H197" s="238"/>
      <c r="I197" s="238"/>
      <c r="J197" s="216"/>
      <c r="K197" s="238"/>
      <c r="L197" s="238"/>
      <c r="M197" s="238"/>
      <c r="N197" s="238"/>
      <c r="O197" s="238"/>
      <c r="P197" s="216"/>
      <c r="Q197" s="238"/>
      <c r="R197" s="238"/>
      <c r="S197" s="238"/>
      <c r="T197" s="238"/>
      <c r="U197" s="238"/>
      <c r="V197" s="216"/>
      <c r="W197" s="238"/>
      <c r="X197" s="238"/>
      <c r="Y197" s="238"/>
      <c r="Z197" s="238"/>
      <c r="AA197" s="238"/>
      <c r="AB197" s="216"/>
      <c r="AC197" s="238"/>
      <c r="AD197" s="238"/>
      <c r="AE197" s="238"/>
      <c r="AF197" s="238"/>
      <c r="AG197" s="238"/>
      <c r="AH197" s="216"/>
      <c r="AI197" s="238"/>
      <c r="AJ197" s="238"/>
      <c r="AK197" s="238"/>
      <c r="AL197" s="238"/>
      <c r="AM197" s="238"/>
      <c r="AN197" s="216"/>
      <c r="AO197" s="238"/>
      <c r="AP197" s="238"/>
      <c r="AQ197" s="238"/>
      <c r="AR197" s="238"/>
      <c r="AS197" s="238"/>
      <c r="AT197" s="216"/>
      <c r="AU197" s="238"/>
      <c r="AV197" s="238"/>
      <c r="AW197" s="238"/>
      <c r="AX197" s="238"/>
      <c r="AY197" s="238"/>
      <c r="AZ197" s="216"/>
      <c r="BA197" s="238"/>
      <c r="BB197" s="238"/>
      <c r="BC197" s="238"/>
      <c r="BD197" s="238"/>
      <c r="BE197" s="238"/>
      <c r="BF197" s="216"/>
      <c r="BG197" s="238"/>
      <c r="BH197" s="238"/>
      <c r="BI197" s="238"/>
      <c r="BJ197" s="238"/>
      <c r="BK197" s="238"/>
      <c r="BL197" s="216"/>
      <c r="BM197" s="238"/>
      <c r="BN197" s="238"/>
      <c r="BO197" s="238"/>
      <c r="BP197" s="238"/>
      <c r="BQ197" s="238"/>
      <c r="BR197" s="779"/>
      <c r="BS197" s="238"/>
      <c r="BT197" s="238"/>
      <c r="BU197" s="238"/>
      <c r="BV197" s="238"/>
      <c r="BW197" s="238"/>
      <c r="BX197" s="213"/>
      <c r="BY197" s="213"/>
      <c r="BZ197" s="213"/>
      <c r="CA197" s="213"/>
      <c r="CB197" s="213"/>
      <c r="CC197" s="213"/>
      <c r="CD197" s="213"/>
      <c r="CE197" s="213"/>
      <c r="CF197" s="213"/>
      <c r="CG197" s="213"/>
      <c r="CH197" s="213"/>
      <c r="CI197" s="213"/>
      <c r="CJ197" s="213"/>
      <c r="CK197" s="213"/>
      <c r="CL197" s="213"/>
      <c r="CM197" s="213"/>
      <c r="CN197" s="213"/>
      <c r="CO197" s="213"/>
      <c r="CP197" s="213"/>
      <c r="CQ197" s="213"/>
    </row>
    <row r="198" ht="15.75" customHeight="1">
      <c r="A198" s="213"/>
      <c r="B198" s="213"/>
      <c r="C198" s="213"/>
      <c r="D198" s="238"/>
      <c r="E198" s="238"/>
      <c r="F198" s="238"/>
      <c r="G198" s="238"/>
      <c r="H198" s="238"/>
      <c r="I198" s="238"/>
      <c r="J198" s="216"/>
      <c r="K198" s="238"/>
      <c r="L198" s="238"/>
      <c r="M198" s="238"/>
      <c r="N198" s="238"/>
      <c r="O198" s="238"/>
      <c r="P198" s="216"/>
      <c r="Q198" s="238"/>
      <c r="R198" s="238"/>
      <c r="S198" s="238"/>
      <c r="T198" s="238"/>
      <c r="U198" s="238"/>
      <c r="V198" s="216"/>
      <c r="W198" s="238"/>
      <c r="X198" s="238"/>
      <c r="Y198" s="238"/>
      <c r="Z198" s="238"/>
      <c r="AA198" s="238"/>
      <c r="AB198" s="216"/>
      <c r="AC198" s="238"/>
      <c r="AD198" s="238"/>
      <c r="AE198" s="238"/>
      <c r="AF198" s="238"/>
      <c r="AG198" s="238"/>
      <c r="AH198" s="216"/>
      <c r="AI198" s="238"/>
      <c r="AJ198" s="238"/>
      <c r="AK198" s="238"/>
      <c r="AL198" s="238"/>
      <c r="AM198" s="238"/>
      <c r="AN198" s="216"/>
      <c r="AO198" s="238"/>
      <c r="AP198" s="238"/>
      <c r="AQ198" s="238"/>
      <c r="AR198" s="238"/>
      <c r="AS198" s="238"/>
      <c r="AT198" s="216"/>
      <c r="AU198" s="238"/>
      <c r="AV198" s="238"/>
      <c r="AW198" s="238"/>
      <c r="AX198" s="238"/>
      <c r="AY198" s="238"/>
      <c r="AZ198" s="216"/>
      <c r="BA198" s="238"/>
      <c r="BB198" s="238"/>
      <c r="BC198" s="238"/>
      <c r="BD198" s="238"/>
      <c r="BE198" s="238"/>
      <c r="BF198" s="216"/>
      <c r="BG198" s="238"/>
      <c r="BH198" s="238"/>
      <c r="BI198" s="238"/>
      <c r="BJ198" s="238"/>
      <c r="BK198" s="238"/>
      <c r="BL198" s="216"/>
      <c r="BM198" s="238"/>
      <c r="BN198" s="238"/>
      <c r="BO198" s="238"/>
      <c r="BP198" s="238"/>
      <c r="BQ198" s="238"/>
      <c r="BR198" s="779"/>
      <c r="BS198" s="238"/>
      <c r="BT198" s="238"/>
      <c r="BU198" s="238"/>
      <c r="BV198" s="238"/>
      <c r="BW198" s="238"/>
      <c r="BX198" s="213"/>
      <c r="BY198" s="213"/>
      <c r="BZ198" s="213"/>
      <c r="CA198" s="213"/>
      <c r="CB198" s="213"/>
      <c r="CC198" s="213"/>
      <c r="CD198" s="213"/>
      <c r="CE198" s="213"/>
      <c r="CF198" s="213"/>
      <c r="CG198" s="213"/>
      <c r="CH198" s="213"/>
      <c r="CI198" s="213"/>
      <c r="CJ198" s="213"/>
      <c r="CK198" s="213"/>
      <c r="CL198" s="213"/>
      <c r="CM198" s="213"/>
      <c r="CN198" s="213"/>
      <c r="CO198" s="213"/>
      <c r="CP198" s="213"/>
      <c r="CQ198" s="213"/>
    </row>
    <row r="199" ht="15.75" customHeight="1">
      <c r="A199" s="213"/>
      <c r="B199" s="213"/>
      <c r="C199" s="213"/>
      <c r="D199" s="238"/>
      <c r="E199" s="238"/>
      <c r="F199" s="238"/>
      <c r="G199" s="238"/>
      <c r="H199" s="238"/>
      <c r="I199" s="238"/>
      <c r="J199" s="216"/>
      <c r="K199" s="238"/>
      <c r="L199" s="238"/>
      <c r="M199" s="238"/>
      <c r="N199" s="238"/>
      <c r="O199" s="238"/>
      <c r="P199" s="216"/>
      <c r="Q199" s="238"/>
      <c r="R199" s="238"/>
      <c r="S199" s="238"/>
      <c r="T199" s="238"/>
      <c r="U199" s="238"/>
      <c r="V199" s="216"/>
      <c r="W199" s="238"/>
      <c r="X199" s="238"/>
      <c r="Y199" s="238"/>
      <c r="Z199" s="238"/>
      <c r="AA199" s="238"/>
      <c r="AB199" s="216"/>
      <c r="AC199" s="238"/>
      <c r="AD199" s="238"/>
      <c r="AE199" s="238"/>
      <c r="AF199" s="238"/>
      <c r="AG199" s="238"/>
      <c r="AH199" s="216"/>
      <c r="AI199" s="238"/>
      <c r="AJ199" s="238"/>
      <c r="AK199" s="238"/>
      <c r="AL199" s="238"/>
      <c r="AM199" s="238"/>
      <c r="AN199" s="216"/>
      <c r="AO199" s="238"/>
      <c r="AP199" s="238"/>
      <c r="AQ199" s="238"/>
      <c r="AR199" s="238"/>
      <c r="AS199" s="238"/>
      <c r="AT199" s="216"/>
      <c r="AU199" s="238"/>
      <c r="AV199" s="238"/>
      <c r="AW199" s="238"/>
      <c r="AX199" s="238"/>
      <c r="AY199" s="238"/>
      <c r="AZ199" s="216"/>
      <c r="BA199" s="238"/>
      <c r="BB199" s="238"/>
      <c r="BC199" s="238"/>
      <c r="BD199" s="238"/>
      <c r="BE199" s="238"/>
      <c r="BF199" s="216"/>
      <c r="BG199" s="238"/>
      <c r="BH199" s="238"/>
      <c r="BI199" s="238"/>
      <c r="BJ199" s="238"/>
      <c r="BK199" s="238"/>
      <c r="BL199" s="216"/>
      <c r="BM199" s="238"/>
      <c r="BN199" s="238"/>
      <c r="BO199" s="238"/>
      <c r="BP199" s="238"/>
      <c r="BQ199" s="238"/>
      <c r="BR199" s="779"/>
      <c r="BS199" s="238"/>
      <c r="BT199" s="238"/>
      <c r="BU199" s="238"/>
      <c r="BV199" s="238"/>
      <c r="BW199" s="238"/>
      <c r="BX199" s="213"/>
      <c r="BY199" s="213"/>
      <c r="BZ199" s="213"/>
      <c r="CA199" s="213"/>
      <c r="CB199" s="213"/>
      <c r="CC199" s="213"/>
      <c r="CD199" s="213"/>
      <c r="CE199" s="213"/>
      <c r="CF199" s="213"/>
      <c r="CG199" s="213"/>
      <c r="CH199" s="213"/>
      <c r="CI199" s="213"/>
      <c r="CJ199" s="213"/>
      <c r="CK199" s="213"/>
      <c r="CL199" s="213"/>
      <c r="CM199" s="213"/>
      <c r="CN199" s="213"/>
      <c r="CO199" s="213"/>
      <c r="CP199" s="213"/>
      <c r="CQ199" s="213"/>
    </row>
    <row r="200" ht="15.75" customHeight="1">
      <c r="A200" s="213"/>
      <c r="B200" s="213"/>
      <c r="C200" s="213"/>
      <c r="D200" s="238"/>
      <c r="E200" s="238"/>
      <c r="F200" s="238"/>
      <c r="G200" s="238"/>
      <c r="H200" s="238"/>
      <c r="I200" s="238"/>
      <c r="J200" s="216"/>
      <c r="K200" s="238"/>
      <c r="L200" s="238"/>
      <c r="M200" s="238"/>
      <c r="N200" s="238"/>
      <c r="O200" s="238"/>
      <c r="P200" s="216"/>
      <c r="Q200" s="238"/>
      <c r="R200" s="238"/>
      <c r="S200" s="238"/>
      <c r="T200" s="238"/>
      <c r="U200" s="238"/>
      <c r="V200" s="216"/>
      <c r="W200" s="238"/>
      <c r="X200" s="238"/>
      <c r="Y200" s="238"/>
      <c r="Z200" s="238"/>
      <c r="AA200" s="238"/>
      <c r="AB200" s="216"/>
      <c r="AC200" s="238"/>
      <c r="AD200" s="238"/>
      <c r="AE200" s="238"/>
      <c r="AF200" s="238"/>
      <c r="AG200" s="238"/>
      <c r="AH200" s="216"/>
      <c r="AI200" s="238"/>
      <c r="AJ200" s="238"/>
      <c r="AK200" s="238"/>
      <c r="AL200" s="238"/>
      <c r="AM200" s="238"/>
      <c r="AN200" s="216"/>
      <c r="AO200" s="238"/>
      <c r="AP200" s="238"/>
      <c r="AQ200" s="238"/>
      <c r="AR200" s="238"/>
      <c r="AS200" s="238"/>
      <c r="AT200" s="216"/>
      <c r="AU200" s="238"/>
      <c r="AV200" s="238"/>
      <c r="AW200" s="238"/>
      <c r="AX200" s="238"/>
      <c r="AY200" s="238"/>
      <c r="AZ200" s="216"/>
      <c r="BA200" s="238"/>
      <c r="BB200" s="238"/>
      <c r="BC200" s="238"/>
      <c r="BD200" s="238"/>
      <c r="BE200" s="238"/>
      <c r="BF200" s="216"/>
      <c r="BG200" s="238"/>
      <c r="BH200" s="238"/>
      <c r="BI200" s="238"/>
      <c r="BJ200" s="238"/>
      <c r="BK200" s="238"/>
      <c r="BL200" s="216"/>
      <c r="BM200" s="238"/>
      <c r="BN200" s="238"/>
      <c r="BO200" s="238"/>
      <c r="BP200" s="238"/>
      <c r="BQ200" s="238"/>
      <c r="BR200" s="779"/>
      <c r="BS200" s="238"/>
      <c r="BT200" s="238"/>
      <c r="BU200" s="238"/>
      <c r="BV200" s="238"/>
      <c r="BW200" s="238"/>
      <c r="BX200" s="213"/>
      <c r="BY200" s="213"/>
      <c r="BZ200" s="213"/>
      <c r="CA200" s="213"/>
      <c r="CB200" s="213"/>
      <c r="CC200" s="213"/>
      <c r="CD200" s="213"/>
      <c r="CE200" s="213"/>
      <c r="CF200" s="213"/>
      <c r="CG200" s="213"/>
      <c r="CH200" s="213"/>
      <c r="CI200" s="213"/>
      <c r="CJ200" s="213"/>
      <c r="CK200" s="213"/>
      <c r="CL200" s="213"/>
      <c r="CM200" s="213"/>
      <c r="CN200" s="213"/>
      <c r="CO200" s="213"/>
      <c r="CP200" s="213"/>
      <c r="CQ200" s="213"/>
    </row>
    <row r="201" ht="15.75" customHeight="1">
      <c r="A201" s="213"/>
      <c r="B201" s="213"/>
      <c r="C201" s="213"/>
      <c r="D201" s="213"/>
      <c r="E201" s="213"/>
      <c r="F201" s="213"/>
      <c r="G201" s="213"/>
      <c r="H201" s="213"/>
      <c r="I201" s="213"/>
      <c r="J201" s="216"/>
      <c r="K201" s="213"/>
      <c r="L201" s="213"/>
      <c r="M201" s="213"/>
      <c r="N201" s="213"/>
      <c r="O201" s="213"/>
      <c r="P201" s="216"/>
      <c r="Q201" s="213"/>
      <c r="R201" s="213"/>
      <c r="S201" s="213"/>
      <c r="T201" s="213"/>
      <c r="U201" s="213"/>
      <c r="V201" s="216"/>
      <c r="W201" s="213"/>
      <c r="X201" s="213"/>
      <c r="Y201" s="213"/>
      <c r="Z201" s="213"/>
      <c r="AA201" s="213"/>
      <c r="AB201" s="216"/>
      <c r="AC201" s="213"/>
      <c r="AD201" s="213"/>
      <c r="AE201" s="213"/>
      <c r="AF201" s="213"/>
      <c r="AG201" s="213"/>
      <c r="AH201" s="216"/>
      <c r="AI201" s="213"/>
      <c r="AJ201" s="213"/>
      <c r="AK201" s="213"/>
      <c r="AL201" s="213"/>
      <c r="AM201" s="213"/>
      <c r="AN201" s="216"/>
      <c r="AO201" s="213"/>
      <c r="AP201" s="213"/>
      <c r="AQ201" s="213"/>
      <c r="AR201" s="213"/>
      <c r="AS201" s="213"/>
      <c r="AT201" s="216"/>
      <c r="AU201" s="213"/>
      <c r="AV201" s="213"/>
      <c r="AW201" s="213"/>
      <c r="AX201" s="213"/>
      <c r="AY201" s="213"/>
      <c r="AZ201" s="216"/>
      <c r="BA201" s="213"/>
      <c r="BB201" s="213"/>
      <c r="BC201" s="213"/>
      <c r="BD201" s="213"/>
      <c r="BE201" s="213"/>
      <c r="BF201" s="216"/>
      <c r="BG201" s="213"/>
      <c r="BH201" s="213"/>
      <c r="BI201" s="213"/>
      <c r="BJ201" s="213"/>
      <c r="BK201" s="213"/>
      <c r="BL201" s="216"/>
      <c r="BM201" s="213"/>
      <c r="BN201" s="213"/>
      <c r="BO201" s="213"/>
      <c r="BP201" s="213"/>
      <c r="BQ201" s="213"/>
      <c r="BR201" s="326"/>
      <c r="BS201" s="213"/>
      <c r="BT201" s="213"/>
      <c r="BU201" s="213"/>
      <c r="BV201" s="213"/>
      <c r="BW201" s="213"/>
      <c r="BX201" s="213"/>
      <c r="BY201" s="213"/>
      <c r="BZ201" s="213"/>
      <c r="CA201" s="213"/>
      <c r="CB201" s="213"/>
      <c r="CC201" s="213"/>
      <c r="CD201" s="213"/>
      <c r="CE201" s="213"/>
      <c r="CF201" s="213"/>
      <c r="CG201" s="213"/>
      <c r="CH201" s="213"/>
      <c r="CI201" s="213"/>
      <c r="CJ201" s="213"/>
      <c r="CK201" s="213"/>
      <c r="CL201" s="213"/>
      <c r="CM201" s="213"/>
      <c r="CN201" s="213"/>
      <c r="CO201" s="213"/>
      <c r="CP201" s="213"/>
      <c r="CQ201" s="213"/>
    </row>
    <row r="202" ht="15.75" customHeight="1">
      <c r="A202" s="213"/>
      <c r="B202" s="213"/>
      <c r="C202" s="213"/>
      <c r="D202" s="213"/>
      <c r="E202" s="213"/>
      <c r="F202" s="213"/>
      <c r="G202" s="213"/>
      <c r="H202" s="213"/>
      <c r="I202" s="213"/>
      <c r="J202" s="216"/>
      <c r="K202" s="213"/>
      <c r="L202" s="213"/>
      <c r="M202" s="213"/>
      <c r="N202" s="213"/>
      <c r="O202" s="213"/>
      <c r="P202" s="216"/>
      <c r="Q202" s="213"/>
      <c r="R202" s="213"/>
      <c r="S202" s="213"/>
      <c r="T202" s="213"/>
      <c r="U202" s="213"/>
      <c r="V202" s="216"/>
      <c r="W202" s="213"/>
      <c r="X202" s="213"/>
      <c r="Y202" s="213"/>
      <c r="Z202" s="213"/>
      <c r="AA202" s="213"/>
      <c r="AB202" s="216"/>
      <c r="AC202" s="213"/>
      <c r="AD202" s="213"/>
      <c r="AE202" s="213"/>
      <c r="AF202" s="213"/>
      <c r="AG202" s="213"/>
      <c r="AH202" s="216"/>
      <c r="AI202" s="213"/>
      <c r="AJ202" s="213"/>
      <c r="AK202" s="213"/>
      <c r="AL202" s="213"/>
      <c r="AM202" s="213"/>
      <c r="AN202" s="216"/>
      <c r="AO202" s="213"/>
      <c r="AP202" s="213"/>
      <c r="AQ202" s="213"/>
      <c r="AR202" s="213"/>
      <c r="AS202" s="213"/>
      <c r="AT202" s="216"/>
      <c r="AU202" s="213"/>
      <c r="AV202" s="213"/>
      <c r="AW202" s="213"/>
      <c r="AX202" s="213"/>
      <c r="AY202" s="213"/>
      <c r="AZ202" s="216"/>
      <c r="BA202" s="213"/>
      <c r="BB202" s="213"/>
      <c r="BC202" s="213"/>
      <c r="BD202" s="213"/>
      <c r="BE202" s="213"/>
      <c r="BF202" s="216"/>
      <c r="BG202" s="213"/>
      <c r="BH202" s="213"/>
      <c r="BI202" s="213"/>
      <c r="BJ202" s="213"/>
      <c r="BK202" s="213"/>
      <c r="BL202" s="216"/>
      <c r="BM202" s="213"/>
      <c r="BN202" s="213"/>
      <c r="BO202" s="213"/>
      <c r="BP202" s="213"/>
      <c r="BQ202" s="213"/>
      <c r="BR202" s="326"/>
      <c r="BS202" s="213"/>
      <c r="BT202" s="213"/>
      <c r="BU202" s="213"/>
      <c r="BV202" s="213"/>
      <c r="BW202" s="213"/>
      <c r="BX202" s="213"/>
      <c r="BY202" s="213"/>
      <c r="BZ202" s="213"/>
      <c r="CA202" s="213"/>
      <c r="CB202" s="213"/>
      <c r="CC202" s="213"/>
      <c r="CD202" s="213"/>
      <c r="CE202" s="213"/>
      <c r="CF202" s="213"/>
      <c r="CG202" s="213"/>
      <c r="CH202" s="213"/>
      <c r="CI202" s="213"/>
      <c r="CJ202" s="213"/>
      <c r="CK202" s="213"/>
      <c r="CL202" s="213"/>
      <c r="CM202" s="213"/>
      <c r="CN202" s="213"/>
      <c r="CO202" s="213"/>
      <c r="CP202" s="213"/>
      <c r="CQ202" s="213"/>
    </row>
    <row r="203" ht="15.75" customHeight="1">
      <c r="A203" s="213"/>
      <c r="B203" s="213"/>
      <c r="C203" s="213"/>
      <c r="D203" s="213"/>
      <c r="E203" s="213"/>
      <c r="F203" s="213"/>
      <c r="G203" s="213"/>
      <c r="H203" s="213"/>
      <c r="I203" s="213"/>
      <c r="J203" s="216"/>
      <c r="K203" s="213"/>
      <c r="L203" s="213"/>
      <c r="M203" s="213"/>
      <c r="N203" s="213"/>
      <c r="O203" s="213"/>
      <c r="P203" s="216"/>
      <c r="Q203" s="213"/>
      <c r="R203" s="213"/>
      <c r="S203" s="213"/>
      <c r="T203" s="213"/>
      <c r="U203" s="213"/>
      <c r="V203" s="216"/>
      <c r="W203" s="213"/>
      <c r="X203" s="213"/>
      <c r="Y203" s="213"/>
      <c r="Z203" s="213"/>
      <c r="AA203" s="213"/>
      <c r="AB203" s="216"/>
      <c r="AC203" s="213"/>
      <c r="AD203" s="213"/>
      <c r="AE203" s="213"/>
      <c r="AF203" s="213"/>
      <c r="AG203" s="213"/>
      <c r="AH203" s="216"/>
      <c r="AI203" s="213"/>
      <c r="AJ203" s="213"/>
      <c r="AK203" s="213"/>
      <c r="AL203" s="213"/>
      <c r="AM203" s="213"/>
      <c r="AN203" s="216"/>
      <c r="AO203" s="213"/>
      <c r="AP203" s="213"/>
      <c r="AQ203" s="213"/>
      <c r="AR203" s="213"/>
      <c r="AS203" s="213"/>
      <c r="AT203" s="216"/>
      <c r="AU203" s="213"/>
      <c r="AV203" s="213"/>
      <c r="AW203" s="213"/>
      <c r="AX203" s="213"/>
      <c r="AY203" s="213"/>
      <c r="AZ203" s="216"/>
      <c r="BA203" s="213"/>
      <c r="BB203" s="213"/>
      <c r="BC203" s="213"/>
      <c r="BD203" s="213"/>
      <c r="BE203" s="213"/>
      <c r="BF203" s="216"/>
      <c r="BG203" s="213"/>
      <c r="BH203" s="213"/>
      <c r="BI203" s="213"/>
      <c r="BJ203" s="213"/>
      <c r="BK203" s="213"/>
      <c r="BL203" s="216"/>
      <c r="BM203" s="213"/>
      <c r="BN203" s="213"/>
      <c r="BO203" s="213"/>
      <c r="BP203" s="213"/>
      <c r="BQ203" s="213"/>
      <c r="BR203" s="326"/>
      <c r="BS203" s="213"/>
      <c r="BT203" s="213"/>
      <c r="BU203" s="213"/>
      <c r="BV203" s="213"/>
      <c r="BW203" s="213"/>
      <c r="BX203" s="213"/>
      <c r="BY203" s="213"/>
      <c r="BZ203" s="213"/>
      <c r="CA203" s="213"/>
      <c r="CB203" s="213"/>
      <c r="CC203" s="213"/>
      <c r="CD203" s="213"/>
      <c r="CE203" s="213"/>
      <c r="CF203" s="213"/>
      <c r="CG203" s="213"/>
      <c r="CH203" s="213"/>
      <c r="CI203" s="213"/>
      <c r="CJ203" s="213"/>
      <c r="CK203" s="213"/>
      <c r="CL203" s="213"/>
      <c r="CM203" s="213"/>
      <c r="CN203" s="213"/>
      <c r="CO203" s="213"/>
      <c r="CP203" s="213"/>
      <c r="CQ203" s="213"/>
    </row>
    <row r="204" ht="15.75" customHeight="1">
      <c r="A204" s="213"/>
      <c r="B204" s="213"/>
      <c r="C204" s="213"/>
      <c r="D204" s="213"/>
      <c r="E204" s="213"/>
      <c r="F204" s="213"/>
      <c r="G204" s="213"/>
      <c r="H204" s="213"/>
      <c r="I204" s="213"/>
      <c r="J204" s="216"/>
      <c r="K204" s="213"/>
      <c r="L204" s="213"/>
      <c r="M204" s="213"/>
      <c r="N204" s="213"/>
      <c r="O204" s="213"/>
      <c r="P204" s="216"/>
      <c r="Q204" s="213"/>
      <c r="R204" s="213"/>
      <c r="S204" s="213"/>
      <c r="T204" s="213"/>
      <c r="U204" s="213"/>
      <c r="V204" s="216"/>
      <c r="W204" s="213"/>
      <c r="X204" s="213"/>
      <c r="Y204" s="213"/>
      <c r="Z204" s="213"/>
      <c r="AA204" s="213"/>
      <c r="AB204" s="216"/>
      <c r="AC204" s="213"/>
      <c r="AD204" s="213"/>
      <c r="AE204" s="213"/>
      <c r="AF204" s="213"/>
      <c r="AG204" s="213"/>
      <c r="AH204" s="216"/>
      <c r="AI204" s="213"/>
      <c r="AJ204" s="213"/>
      <c r="AK204" s="213"/>
      <c r="AL204" s="213"/>
      <c r="AM204" s="213"/>
      <c r="AN204" s="216"/>
      <c r="AO204" s="213"/>
      <c r="AP204" s="213"/>
      <c r="AQ204" s="213"/>
      <c r="AR204" s="213"/>
      <c r="AS204" s="213"/>
      <c r="AT204" s="216"/>
      <c r="AU204" s="213"/>
      <c r="AV204" s="213"/>
      <c r="AW204" s="213"/>
      <c r="AX204" s="213"/>
      <c r="AY204" s="213"/>
      <c r="AZ204" s="216"/>
      <c r="BA204" s="213"/>
      <c r="BB204" s="213"/>
      <c r="BC204" s="213"/>
      <c r="BD204" s="213"/>
      <c r="BE204" s="213"/>
      <c r="BF204" s="216"/>
      <c r="BG204" s="213"/>
      <c r="BH204" s="213"/>
      <c r="BI204" s="213"/>
      <c r="BJ204" s="213"/>
      <c r="BK204" s="213"/>
      <c r="BL204" s="216"/>
      <c r="BM204" s="213"/>
      <c r="BN204" s="213"/>
      <c r="BO204" s="213"/>
      <c r="BP204" s="213"/>
      <c r="BQ204" s="213"/>
      <c r="BR204" s="326"/>
      <c r="BS204" s="213"/>
      <c r="BT204" s="213"/>
      <c r="BU204" s="213"/>
      <c r="BV204" s="213"/>
      <c r="BW204" s="213"/>
      <c r="BX204" s="213"/>
      <c r="BY204" s="213"/>
      <c r="BZ204" s="213"/>
      <c r="CA204" s="213"/>
      <c r="CB204" s="213"/>
      <c r="CC204" s="213"/>
      <c r="CD204" s="213"/>
      <c r="CE204" s="213"/>
      <c r="CF204" s="213"/>
      <c r="CG204" s="213"/>
      <c r="CH204" s="213"/>
      <c r="CI204" s="213"/>
      <c r="CJ204" s="213"/>
      <c r="CK204" s="213"/>
      <c r="CL204" s="213"/>
      <c r="CM204" s="213"/>
      <c r="CN204" s="213"/>
      <c r="CO204" s="213"/>
      <c r="CP204" s="213"/>
      <c r="CQ204" s="213"/>
    </row>
    <row r="205" ht="15.75" customHeight="1">
      <c r="A205" s="213"/>
      <c r="B205" s="213"/>
      <c r="C205" s="213"/>
      <c r="D205" s="213"/>
      <c r="E205" s="213"/>
      <c r="F205" s="213"/>
      <c r="G205" s="213"/>
      <c r="H205" s="213"/>
      <c r="I205" s="213"/>
      <c r="J205" s="216"/>
      <c r="K205" s="213"/>
      <c r="L205" s="213"/>
      <c r="M205" s="213"/>
      <c r="N205" s="213"/>
      <c r="O205" s="213"/>
      <c r="P205" s="216"/>
      <c r="Q205" s="213"/>
      <c r="R205" s="213"/>
      <c r="S205" s="213"/>
      <c r="T205" s="213"/>
      <c r="U205" s="213"/>
      <c r="V205" s="216"/>
      <c r="W205" s="213"/>
      <c r="X205" s="213"/>
      <c r="Y205" s="213"/>
      <c r="Z205" s="213"/>
      <c r="AA205" s="213"/>
      <c r="AB205" s="216"/>
      <c r="AC205" s="213"/>
      <c r="AD205" s="213"/>
      <c r="AE205" s="213"/>
      <c r="AF205" s="213"/>
      <c r="AG205" s="213"/>
      <c r="AH205" s="216"/>
      <c r="AI205" s="213"/>
      <c r="AJ205" s="213"/>
      <c r="AK205" s="213"/>
      <c r="AL205" s="213"/>
      <c r="AM205" s="213"/>
      <c r="AN205" s="216"/>
      <c r="AO205" s="213"/>
      <c r="AP205" s="213"/>
      <c r="AQ205" s="213"/>
      <c r="AR205" s="213"/>
      <c r="AS205" s="213"/>
      <c r="AT205" s="216"/>
      <c r="AU205" s="213"/>
      <c r="AV205" s="213"/>
      <c r="AW205" s="213"/>
      <c r="AX205" s="213"/>
      <c r="AY205" s="213"/>
      <c r="AZ205" s="216"/>
      <c r="BA205" s="213"/>
      <c r="BB205" s="213"/>
      <c r="BC205" s="213"/>
      <c r="BD205" s="213"/>
      <c r="BE205" s="213"/>
      <c r="BF205" s="216"/>
      <c r="BG205" s="213"/>
      <c r="BH205" s="213"/>
      <c r="BI205" s="213"/>
      <c r="BJ205" s="213"/>
      <c r="BK205" s="213"/>
      <c r="BL205" s="216"/>
      <c r="BM205" s="213"/>
      <c r="BN205" s="213"/>
      <c r="BO205" s="213"/>
      <c r="BP205" s="213"/>
      <c r="BQ205" s="213"/>
      <c r="BR205" s="326"/>
      <c r="BS205" s="213"/>
      <c r="BT205" s="213"/>
      <c r="BU205" s="213"/>
      <c r="BV205" s="213"/>
      <c r="BW205" s="213"/>
      <c r="BX205" s="213"/>
      <c r="BY205" s="213"/>
      <c r="BZ205" s="213"/>
      <c r="CA205" s="213"/>
      <c r="CB205" s="213"/>
      <c r="CC205" s="213"/>
      <c r="CD205" s="213"/>
      <c r="CE205" s="213"/>
      <c r="CF205" s="213"/>
      <c r="CG205" s="213"/>
      <c r="CH205" s="213"/>
      <c r="CI205" s="213"/>
      <c r="CJ205" s="213"/>
      <c r="CK205" s="213"/>
      <c r="CL205" s="213"/>
      <c r="CM205" s="213"/>
      <c r="CN205" s="213"/>
      <c r="CO205" s="213"/>
      <c r="CP205" s="213"/>
      <c r="CQ205" s="213"/>
    </row>
    <row r="206" ht="15.75" customHeight="1">
      <c r="A206" s="213"/>
      <c r="B206" s="213"/>
      <c r="C206" s="213"/>
      <c r="D206" s="213"/>
      <c r="E206" s="213"/>
      <c r="F206" s="213"/>
      <c r="G206" s="213"/>
      <c r="H206" s="213"/>
      <c r="I206" s="213"/>
      <c r="J206" s="216"/>
      <c r="K206" s="213"/>
      <c r="L206" s="213"/>
      <c r="M206" s="213"/>
      <c r="N206" s="213"/>
      <c r="O206" s="213"/>
      <c r="P206" s="216"/>
      <c r="Q206" s="213"/>
      <c r="R206" s="213"/>
      <c r="S206" s="213"/>
      <c r="T206" s="213"/>
      <c r="U206" s="213"/>
      <c r="V206" s="216"/>
      <c r="W206" s="213"/>
      <c r="X206" s="213"/>
      <c r="Y206" s="213"/>
      <c r="Z206" s="213"/>
      <c r="AA206" s="213"/>
      <c r="AB206" s="216"/>
      <c r="AC206" s="213"/>
      <c r="AD206" s="213"/>
      <c r="AE206" s="213"/>
      <c r="AF206" s="213"/>
      <c r="AG206" s="213"/>
      <c r="AH206" s="216"/>
      <c r="AI206" s="213"/>
      <c r="AJ206" s="213"/>
      <c r="AK206" s="213"/>
      <c r="AL206" s="213"/>
      <c r="AM206" s="213"/>
      <c r="AN206" s="216"/>
      <c r="AO206" s="213"/>
      <c r="AP206" s="213"/>
      <c r="AQ206" s="213"/>
      <c r="AR206" s="213"/>
      <c r="AS206" s="213"/>
      <c r="AT206" s="216"/>
      <c r="AU206" s="213"/>
      <c r="AV206" s="213"/>
      <c r="AW206" s="213"/>
      <c r="AX206" s="213"/>
      <c r="AY206" s="213"/>
      <c r="AZ206" s="216"/>
      <c r="BA206" s="213"/>
      <c r="BB206" s="213"/>
      <c r="BC206" s="213"/>
      <c r="BD206" s="213"/>
      <c r="BE206" s="213"/>
      <c r="BF206" s="216"/>
      <c r="BG206" s="213"/>
      <c r="BH206" s="213"/>
      <c r="BI206" s="213"/>
      <c r="BJ206" s="213"/>
      <c r="BK206" s="213"/>
      <c r="BL206" s="216"/>
      <c r="BM206" s="213"/>
      <c r="BN206" s="213"/>
      <c r="BO206" s="213"/>
      <c r="BP206" s="213"/>
      <c r="BQ206" s="213"/>
      <c r="BR206" s="326"/>
      <c r="BS206" s="213"/>
      <c r="BT206" s="213"/>
      <c r="BU206" s="213"/>
      <c r="BV206" s="213"/>
      <c r="BW206" s="213"/>
      <c r="BX206" s="213"/>
      <c r="BY206" s="213"/>
      <c r="BZ206" s="213"/>
      <c r="CA206" s="213"/>
      <c r="CB206" s="213"/>
      <c r="CC206" s="213"/>
      <c r="CD206" s="213"/>
      <c r="CE206" s="213"/>
      <c r="CF206" s="213"/>
      <c r="CG206" s="213"/>
      <c r="CH206" s="213"/>
      <c r="CI206" s="213"/>
      <c r="CJ206" s="213"/>
      <c r="CK206" s="213"/>
      <c r="CL206" s="213"/>
      <c r="CM206" s="213"/>
      <c r="CN206" s="213"/>
      <c r="CO206" s="213"/>
      <c r="CP206" s="213"/>
      <c r="CQ206" s="213"/>
    </row>
    <row r="207" ht="15.75" customHeight="1">
      <c r="A207" s="213"/>
      <c r="B207" s="213"/>
      <c r="C207" s="213"/>
      <c r="D207" s="213"/>
      <c r="E207" s="213"/>
      <c r="F207" s="213"/>
      <c r="G207" s="213"/>
      <c r="H207" s="213"/>
      <c r="I207" s="213"/>
      <c r="J207" s="216"/>
      <c r="K207" s="213"/>
      <c r="L207" s="213"/>
      <c r="M207" s="213"/>
      <c r="N207" s="213"/>
      <c r="O207" s="213"/>
      <c r="P207" s="216"/>
      <c r="Q207" s="213"/>
      <c r="R207" s="213"/>
      <c r="S207" s="213"/>
      <c r="T207" s="213"/>
      <c r="U207" s="213"/>
      <c r="V207" s="216"/>
      <c r="W207" s="213"/>
      <c r="X207" s="213"/>
      <c r="Y207" s="213"/>
      <c r="Z207" s="213"/>
      <c r="AA207" s="213"/>
      <c r="AB207" s="216"/>
      <c r="AC207" s="213"/>
      <c r="AD207" s="213"/>
      <c r="AE207" s="213"/>
      <c r="AF207" s="213"/>
      <c r="AG207" s="213"/>
      <c r="AH207" s="216"/>
      <c r="AI207" s="213"/>
      <c r="AJ207" s="213"/>
      <c r="AK207" s="213"/>
      <c r="AL207" s="213"/>
      <c r="AM207" s="213"/>
      <c r="AN207" s="216"/>
      <c r="AO207" s="213"/>
      <c r="AP207" s="213"/>
      <c r="AQ207" s="213"/>
      <c r="AR207" s="213"/>
      <c r="AS207" s="213"/>
      <c r="AT207" s="216"/>
      <c r="AU207" s="213"/>
      <c r="AV207" s="213"/>
      <c r="AW207" s="213"/>
      <c r="AX207" s="213"/>
      <c r="AY207" s="213"/>
      <c r="AZ207" s="216"/>
      <c r="BA207" s="213"/>
      <c r="BB207" s="213"/>
      <c r="BC207" s="213"/>
      <c r="BD207" s="213"/>
      <c r="BE207" s="213"/>
      <c r="BF207" s="216"/>
      <c r="BG207" s="213"/>
      <c r="BH207" s="213"/>
      <c r="BI207" s="213"/>
      <c r="BJ207" s="213"/>
      <c r="BK207" s="213"/>
      <c r="BL207" s="216"/>
      <c r="BM207" s="213"/>
      <c r="BN207" s="213"/>
      <c r="BO207" s="213"/>
      <c r="BP207" s="213"/>
      <c r="BQ207" s="213"/>
      <c r="BR207" s="326"/>
      <c r="BS207" s="213"/>
      <c r="BT207" s="213"/>
      <c r="BU207" s="213"/>
      <c r="BV207" s="213"/>
      <c r="BW207" s="213"/>
      <c r="BX207" s="213"/>
      <c r="BY207" s="213"/>
      <c r="BZ207" s="213"/>
      <c r="CA207" s="213"/>
      <c r="CB207" s="213"/>
      <c r="CC207" s="213"/>
      <c r="CD207" s="213"/>
      <c r="CE207" s="213"/>
      <c r="CF207" s="213"/>
      <c r="CG207" s="213"/>
      <c r="CH207" s="213"/>
      <c r="CI207" s="213"/>
      <c r="CJ207" s="213"/>
      <c r="CK207" s="213"/>
      <c r="CL207" s="213"/>
      <c r="CM207" s="213"/>
      <c r="CN207" s="213"/>
      <c r="CO207" s="213"/>
      <c r="CP207" s="213"/>
      <c r="CQ207" s="213"/>
    </row>
    <row r="208" ht="15.75" customHeight="1">
      <c r="A208" s="213"/>
      <c r="B208" s="213"/>
      <c r="C208" s="213"/>
      <c r="D208" s="213"/>
      <c r="E208" s="213"/>
      <c r="F208" s="213"/>
      <c r="G208" s="213"/>
      <c r="H208" s="213"/>
      <c r="I208" s="213"/>
      <c r="J208" s="216"/>
      <c r="K208" s="213"/>
      <c r="L208" s="213"/>
      <c r="M208" s="213"/>
      <c r="N208" s="213"/>
      <c r="O208" s="213"/>
      <c r="P208" s="216"/>
      <c r="Q208" s="213"/>
      <c r="R208" s="213"/>
      <c r="S208" s="213"/>
      <c r="T208" s="213"/>
      <c r="U208" s="213"/>
      <c r="V208" s="216"/>
      <c r="W208" s="213"/>
      <c r="X208" s="213"/>
      <c r="Y208" s="213"/>
      <c r="Z208" s="213"/>
      <c r="AA208" s="213"/>
      <c r="AB208" s="216"/>
      <c r="AC208" s="213"/>
      <c r="AD208" s="213"/>
      <c r="AE208" s="213"/>
      <c r="AF208" s="213"/>
      <c r="AG208" s="213"/>
      <c r="AH208" s="216"/>
      <c r="AI208" s="213"/>
      <c r="AJ208" s="213"/>
      <c r="AK208" s="213"/>
      <c r="AL208" s="213"/>
      <c r="AM208" s="213"/>
      <c r="AN208" s="216"/>
      <c r="AO208" s="213"/>
      <c r="AP208" s="213"/>
      <c r="AQ208" s="213"/>
      <c r="AR208" s="213"/>
      <c r="AS208" s="213"/>
      <c r="AT208" s="216"/>
      <c r="AU208" s="213"/>
      <c r="AV208" s="213"/>
      <c r="AW208" s="213"/>
      <c r="AX208" s="213"/>
      <c r="AY208" s="213"/>
      <c r="AZ208" s="216"/>
      <c r="BA208" s="213"/>
      <c r="BB208" s="213"/>
      <c r="BC208" s="213"/>
      <c r="BD208" s="213"/>
      <c r="BE208" s="213"/>
      <c r="BF208" s="216"/>
      <c r="BG208" s="213"/>
      <c r="BH208" s="213"/>
      <c r="BI208" s="213"/>
      <c r="BJ208" s="213"/>
      <c r="BK208" s="213"/>
      <c r="BL208" s="216"/>
      <c r="BM208" s="213"/>
      <c r="BN208" s="213"/>
      <c r="BO208" s="213"/>
      <c r="BP208" s="213"/>
      <c r="BQ208" s="213"/>
      <c r="BR208" s="326"/>
      <c r="BS208" s="213"/>
      <c r="BT208" s="213"/>
      <c r="BU208" s="213"/>
      <c r="BV208" s="213"/>
      <c r="BW208" s="213"/>
      <c r="BX208" s="213"/>
      <c r="BY208" s="213"/>
      <c r="BZ208" s="213"/>
      <c r="CA208" s="213"/>
      <c r="CB208" s="213"/>
      <c r="CC208" s="213"/>
      <c r="CD208" s="213"/>
      <c r="CE208" s="213"/>
      <c r="CF208" s="213"/>
      <c r="CG208" s="213"/>
      <c r="CH208" s="213"/>
      <c r="CI208" s="213"/>
      <c r="CJ208" s="213"/>
      <c r="CK208" s="213"/>
      <c r="CL208" s="213"/>
      <c r="CM208" s="213"/>
      <c r="CN208" s="213"/>
      <c r="CO208" s="213"/>
      <c r="CP208" s="213"/>
      <c r="CQ208" s="213"/>
    </row>
    <row r="209" ht="15.75" customHeight="1">
      <c r="A209" s="213"/>
      <c r="B209" s="213"/>
      <c r="C209" s="213"/>
      <c r="D209" s="213"/>
      <c r="E209" s="213"/>
      <c r="F209" s="213"/>
      <c r="G209" s="213"/>
      <c r="H209" s="213"/>
      <c r="I209" s="213"/>
      <c r="J209" s="216"/>
      <c r="K209" s="213"/>
      <c r="L209" s="213"/>
      <c r="M209" s="213"/>
      <c r="N209" s="213"/>
      <c r="O209" s="213"/>
      <c r="P209" s="216"/>
      <c r="Q209" s="213"/>
      <c r="R209" s="213"/>
      <c r="S209" s="213"/>
      <c r="T209" s="213"/>
      <c r="U209" s="213"/>
      <c r="V209" s="216"/>
      <c r="W209" s="213"/>
      <c r="X209" s="213"/>
      <c r="Y209" s="213"/>
      <c r="Z209" s="213"/>
      <c r="AA209" s="213"/>
      <c r="AB209" s="216"/>
      <c r="AC209" s="213"/>
      <c r="AD209" s="213"/>
      <c r="AE209" s="213"/>
      <c r="AF209" s="213"/>
      <c r="AG209" s="213"/>
      <c r="AH209" s="216"/>
      <c r="AI209" s="213"/>
      <c r="AJ209" s="213"/>
      <c r="AK209" s="213"/>
      <c r="AL209" s="213"/>
      <c r="AM209" s="213"/>
      <c r="AN209" s="216"/>
      <c r="AO209" s="213"/>
      <c r="AP209" s="213"/>
      <c r="AQ209" s="213"/>
      <c r="AR209" s="213"/>
      <c r="AS209" s="213"/>
      <c r="AT209" s="216"/>
      <c r="AU209" s="213"/>
      <c r="AV209" s="213"/>
      <c r="AW209" s="213"/>
      <c r="AX209" s="213"/>
      <c r="AY209" s="213"/>
      <c r="AZ209" s="216"/>
      <c r="BA209" s="213"/>
      <c r="BB209" s="213"/>
      <c r="BC209" s="213"/>
      <c r="BD209" s="213"/>
      <c r="BE209" s="213"/>
      <c r="BF209" s="216"/>
      <c r="BG209" s="213"/>
      <c r="BH209" s="213"/>
      <c r="BI209" s="213"/>
      <c r="BJ209" s="213"/>
      <c r="BK209" s="213"/>
      <c r="BL209" s="216"/>
      <c r="BM209" s="213"/>
      <c r="BN209" s="213"/>
      <c r="BO209" s="213"/>
      <c r="BP209" s="213"/>
      <c r="BQ209" s="213"/>
      <c r="BR209" s="326"/>
      <c r="BS209" s="213"/>
      <c r="BT209" s="213"/>
      <c r="BU209" s="213"/>
      <c r="BV209" s="213"/>
      <c r="BW209" s="213"/>
      <c r="BX209" s="213"/>
      <c r="BY209" s="213"/>
      <c r="BZ209" s="213"/>
      <c r="CA209" s="213"/>
      <c r="CB209" s="213"/>
      <c r="CC209" s="213"/>
      <c r="CD209" s="213"/>
      <c r="CE209" s="213"/>
      <c r="CF209" s="213"/>
      <c r="CG209" s="213"/>
      <c r="CH209" s="213"/>
      <c r="CI209" s="213"/>
      <c r="CJ209" s="213"/>
      <c r="CK209" s="213"/>
      <c r="CL209" s="213"/>
      <c r="CM209" s="213"/>
      <c r="CN209" s="213"/>
      <c r="CO209" s="213"/>
      <c r="CP209" s="213"/>
      <c r="CQ209" s="213"/>
    </row>
    <row r="210" ht="15.75" customHeight="1">
      <c r="A210" s="213"/>
      <c r="B210" s="213"/>
      <c r="C210" s="213"/>
      <c r="D210" s="213"/>
      <c r="E210" s="213"/>
      <c r="F210" s="213"/>
      <c r="G210" s="213"/>
      <c r="H210" s="213"/>
      <c r="I210" s="213"/>
      <c r="J210" s="216"/>
      <c r="K210" s="213"/>
      <c r="L210" s="213"/>
      <c r="M210" s="213"/>
      <c r="N210" s="213"/>
      <c r="O210" s="213"/>
      <c r="P210" s="216"/>
      <c r="Q210" s="213"/>
      <c r="R210" s="213"/>
      <c r="S210" s="213"/>
      <c r="T210" s="213"/>
      <c r="U210" s="213"/>
      <c r="V210" s="216"/>
      <c r="W210" s="213"/>
      <c r="X210" s="213"/>
      <c r="Y210" s="213"/>
      <c r="Z210" s="213"/>
      <c r="AA210" s="213"/>
      <c r="AB210" s="216"/>
      <c r="AC210" s="213"/>
      <c r="AD210" s="213"/>
      <c r="AE210" s="213"/>
      <c r="AF210" s="213"/>
      <c r="AG210" s="213"/>
      <c r="AH210" s="216"/>
      <c r="AI210" s="213"/>
      <c r="AJ210" s="213"/>
      <c r="AK210" s="213"/>
      <c r="AL210" s="213"/>
      <c r="AM210" s="213"/>
      <c r="AN210" s="216"/>
      <c r="AO210" s="213"/>
      <c r="AP210" s="213"/>
      <c r="AQ210" s="213"/>
      <c r="AR210" s="213"/>
      <c r="AS210" s="213"/>
      <c r="AT210" s="216"/>
      <c r="AU210" s="213"/>
      <c r="AV210" s="213"/>
      <c r="AW210" s="213"/>
      <c r="AX210" s="213"/>
      <c r="AY210" s="213"/>
      <c r="AZ210" s="216"/>
      <c r="BA210" s="213"/>
      <c r="BB210" s="213"/>
      <c r="BC210" s="213"/>
      <c r="BD210" s="213"/>
      <c r="BE210" s="213"/>
      <c r="BF210" s="216"/>
      <c r="BG210" s="213"/>
      <c r="BH210" s="213"/>
      <c r="BI210" s="213"/>
      <c r="BJ210" s="213"/>
      <c r="BK210" s="213"/>
      <c r="BL210" s="216"/>
      <c r="BM210" s="213"/>
      <c r="BN210" s="213"/>
      <c r="BO210" s="213"/>
      <c r="BP210" s="213"/>
      <c r="BQ210" s="213"/>
      <c r="BR210" s="326"/>
      <c r="BS210" s="213"/>
      <c r="BT210" s="213"/>
      <c r="BU210" s="213"/>
      <c r="BV210" s="213"/>
      <c r="BW210" s="213"/>
      <c r="BX210" s="213"/>
      <c r="BY210" s="213"/>
      <c r="BZ210" s="213"/>
      <c r="CA210" s="213"/>
      <c r="CB210" s="213"/>
      <c r="CC210" s="213"/>
      <c r="CD210" s="213"/>
      <c r="CE210" s="213"/>
      <c r="CF210" s="213"/>
      <c r="CG210" s="213"/>
      <c r="CH210" s="213"/>
      <c r="CI210" s="213"/>
      <c r="CJ210" s="213"/>
      <c r="CK210" s="213"/>
      <c r="CL210" s="213"/>
      <c r="CM210" s="213"/>
      <c r="CN210" s="213"/>
      <c r="CO210" s="213"/>
      <c r="CP210" s="213"/>
      <c r="CQ210" s="213"/>
    </row>
    <row r="211" ht="15.75" customHeight="1">
      <c r="A211" s="213"/>
      <c r="B211" s="213"/>
      <c r="C211" s="213"/>
      <c r="D211" s="213"/>
      <c r="E211" s="213"/>
      <c r="F211" s="213"/>
      <c r="G211" s="213"/>
      <c r="H211" s="213"/>
      <c r="I211" s="213"/>
      <c r="J211" s="216"/>
      <c r="K211" s="213"/>
      <c r="L211" s="213"/>
      <c r="M211" s="213"/>
      <c r="N211" s="213"/>
      <c r="O211" s="213"/>
      <c r="P211" s="216"/>
      <c r="Q211" s="213"/>
      <c r="R211" s="213"/>
      <c r="S211" s="213"/>
      <c r="T211" s="213"/>
      <c r="U211" s="213"/>
      <c r="V211" s="216"/>
      <c r="W211" s="213"/>
      <c r="X211" s="213"/>
      <c r="Y211" s="213"/>
      <c r="Z211" s="213"/>
      <c r="AA211" s="213"/>
      <c r="AB211" s="216"/>
      <c r="AC211" s="213"/>
      <c r="AD211" s="213"/>
      <c r="AE211" s="213"/>
      <c r="AF211" s="213"/>
      <c r="AG211" s="213"/>
      <c r="AH211" s="216"/>
      <c r="AI211" s="213"/>
      <c r="AJ211" s="213"/>
      <c r="AK211" s="213"/>
      <c r="AL211" s="213"/>
      <c r="AM211" s="213"/>
      <c r="AN211" s="216"/>
      <c r="AO211" s="213"/>
      <c r="AP211" s="213"/>
      <c r="AQ211" s="213"/>
      <c r="AR211" s="213"/>
      <c r="AS211" s="213"/>
      <c r="AT211" s="216"/>
      <c r="AU211" s="213"/>
      <c r="AV211" s="213"/>
      <c r="AW211" s="213"/>
      <c r="AX211" s="213"/>
      <c r="AY211" s="213"/>
      <c r="AZ211" s="216"/>
      <c r="BA211" s="213"/>
      <c r="BB211" s="213"/>
      <c r="BC211" s="213"/>
      <c r="BD211" s="213"/>
      <c r="BE211" s="213"/>
      <c r="BF211" s="216"/>
      <c r="BG211" s="213"/>
      <c r="BH211" s="213"/>
      <c r="BI211" s="213"/>
      <c r="BJ211" s="213"/>
      <c r="BK211" s="213"/>
      <c r="BL211" s="216"/>
      <c r="BM211" s="213"/>
      <c r="BN211" s="213"/>
      <c r="BO211" s="213"/>
      <c r="BP211" s="213"/>
      <c r="BQ211" s="213"/>
      <c r="BR211" s="326"/>
      <c r="BS211" s="213"/>
      <c r="BT211" s="213"/>
      <c r="BU211" s="213"/>
      <c r="BV211" s="213"/>
      <c r="BW211" s="213"/>
      <c r="BX211" s="213"/>
      <c r="BY211" s="213"/>
      <c r="BZ211" s="213"/>
      <c r="CA211" s="213"/>
      <c r="CB211" s="213"/>
      <c r="CC211" s="213"/>
      <c r="CD211" s="213"/>
      <c r="CE211" s="213"/>
      <c r="CF211" s="213"/>
      <c r="CG211" s="213"/>
      <c r="CH211" s="213"/>
      <c r="CI211" s="213"/>
      <c r="CJ211" s="213"/>
      <c r="CK211" s="213"/>
      <c r="CL211" s="213"/>
      <c r="CM211" s="213"/>
      <c r="CN211" s="213"/>
      <c r="CO211" s="213"/>
      <c r="CP211" s="213"/>
      <c r="CQ211" s="213"/>
    </row>
    <row r="212" ht="15.75" customHeight="1">
      <c r="A212" s="213"/>
      <c r="B212" s="213"/>
      <c r="C212" s="213"/>
      <c r="D212" s="213"/>
      <c r="E212" s="213"/>
      <c r="F212" s="213"/>
      <c r="G212" s="213"/>
      <c r="H212" s="213"/>
      <c r="I212" s="213"/>
      <c r="J212" s="216"/>
      <c r="K212" s="213"/>
      <c r="L212" s="213"/>
      <c r="M212" s="213"/>
      <c r="N212" s="213"/>
      <c r="O212" s="213"/>
      <c r="P212" s="216"/>
      <c r="Q212" s="213"/>
      <c r="R212" s="213"/>
      <c r="S212" s="213"/>
      <c r="T212" s="213"/>
      <c r="U212" s="213"/>
      <c r="V212" s="216"/>
      <c r="W212" s="213"/>
      <c r="X212" s="213"/>
      <c r="Y212" s="213"/>
      <c r="Z212" s="213"/>
      <c r="AA212" s="213"/>
      <c r="AB212" s="216"/>
      <c r="AC212" s="213"/>
      <c r="AD212" s="213"/>
      <c r="AE212" s="213"/>
      <c r="AF212" s="213"/>
      <c r="AG212" s="213"/>
      <c r="AH212" s="216"/>
      <c r="AI212" s="213"/>
      <c r="AJ212" s="213"/>
      <c r="AK212" s="213"/>
      <c r="AL212" s="213"/>
      <c r="AM212" s="213"/>
      <c r="AN212" s="216"/>
      <c r="AO212" s="213"/>
      <c r="AP212" s="213"/>
      <c r="AQ212" s="213"/>
      <c r="AR212" s="213"/>
      <c r="AS212" s="213"/>
      <c r="AT212" s="216"/>
      <c r="AU212" s="213"/>
      <c r="AV212" s="213"/>
      <c r="AW212" s="213"/>
      <c r="AX212" s="213"/>
      <c r="AY212" s="213"/>
      <c r="AZ212" s="216"/>
      <c r="BA212" s="213"/>
      <c r="BB212" s="213"/>
      <c r="BC212" s="213"/>
      <c r="BD212" s="213"/>
      <c r="BE212" s="213"/>
      <c r="BF212" s="216"/>
      <c r="BG212" s="213"/>
      <c r="BH212" s="213"/>
      <c r="BI212" s="213"/>
      <c r="BJ212" s="213"/>
      <c r="BK212" s="213"/>
      <c r="BL212" s="216"/>
      <c r="BM212" s="213"/>
      <c r="BN212" s="213"/>
      <c r="BO212" s="213"/>
      <c r="BP212" s="213"/>
      <c r="BQ212" s="213"/>
      <c r="BR212" s="326"/>
      <c r="BS212" s="213"/>
      <c r="BT212" s="213"/>
      <c r="BU212" s="213"/>
      <c r="BV212" s="213"/>
      <c r="BW212" s="213"/>
      <c r="BX212" s="213"/>
      <c r="BY212" s="213"/>
      <c r="BZ212" s="213"/>
      <c r="CA212" s="213"/>
      <c r="CB212" s="213"/>
      <c r="CC212" s="213"/>
      <c r="CD212" s="213"/>
      <c r="CE212" s="213"/>
      <c r="CF212" s="213"/>
      <c r="CG212" s="213"/>
      <c r="CH212" s="213"/>
      <c r="CI212" s="213"/>
      <c r="CJ212" s="213"/>
      <c r="CK212" s="213"/>
      <c r="CL212" s="213"/>
      <c r="CM212" s="213"/>
      <c r="CN212" s="213"/>
      <c r="CO212" s="213"/>
      <c r="CP212" s="213"/>
      <c r="CQ212" s="213"/>
    </row>
    <row r="213" ht="15.75" customHeight="1">
      <c r="A213" s="213"/>
      <c r="B213" s="213"/>
      <c r="C213" s="213"/>
      <c r="D213" s="213"/>
      <c r="E213" s="213"/>
      <c r="F213" s="213"/>
      <c r="G213" s="213"/>
      <c r="H213" s="213"/>
      <c r="I213" s="213"/>
      <c r="J213" s="216"/>
      <c r="K213" s="213"/>
      <c r="L213" s="213"/>
      <c r="M213" s="213"/>
      <c r="N213" s="213"/>
      <c r="O213" s="213"/>
      <c r="P213" s="216"/>
      <c r="Q213" s="213"/>
      <c r="R213" s="213"/>
      <c r="S213" s="213"/>
      <c r="T213" s="213"/>
      <c r="U213" s="213"/>
      <c r="V213" s="216"/>
      <c r="W213" s="213"/>
      <c r="X213" s="213"/>
      <c r="Y213" s="213"/>
      <c r="Z213" s="213"/>
      <c r="AA213" s="213"/>
      <c r="AB213" s="216"/>
      <c r="AC213" s="213"/>
      <c r="AD213" s="213"/>
      <c r="AE213" s="213"/>
      <c r="AF213" s="213"/>
      <c r="AG213" s="213"/>
      <c r="AH213" s="216"/>
      <c r="AI213" s="213"/>
      <c r="AJ213" s="213"/>
      <c r="AK213" s="213"/>
      <c r="AL213" s="213"/>
      <c r="AM213" s="213"/>
      <c r="AN213" s="216"/>
      <c r="AO213" s="213"/>
      <c r="AP213" s="213"/>
      <c r="AQ213" s="213"/>
      <c r="AR213" s="213"/>
      <c r="AS213" s="213"/>
      <c r="AT213" s="216"/>
      <c r="AU213" s="213"/>
      <c r="AV213" s="213"/>
      <c r="AW213" s="213"/>
      <c r="AX213" s="213"/>
      <c r="AY213" s="213"/>
      <c r="AZ213" s="216"/>
      <c r="BA213" s="213"/>
      <c r="BB213" s="213"/>
      <c r="BC213" s="213"/>
      <c r="BD213" s="213"/>
      <c r="BE213" s="213"/>
      <c r="BF213" s="216"/>
      <c r="BG213" s="213"/>
      <c r="BH213" s="213"/>
      <c r="BI213" s="213"/>
      <c r="BJ213" s="213"/>
      <c r="BK213" s="213"/>
      <c r="BL213" s="216"/>
      <c r="BM213" s="213"/>
      <c r="BN213" s="213"/>
      <c r="BO213" s="213"/>
      <c r="BP213" s="213"/>
      <c r="BQ213" s="213"/>
      <c r="BR213" s="326"/>
      <c r="BS213" s="213"/>
      <c r="BT213" s="213"/>
      <c r="BU213" s="213"/>
      <c r="BV213" s="213"/>
      <c r="BW213" s="213"/>
      <c r="BX213" s="213"/>
      <c r="BY213" s="213"/>
      <c r="BZ213" s="213"/>
      <c r="CA213" s="213"/>
      <c r="CB213" s="213"/>
      <c r="CC213" s="213"/>
      <c r="CD213" s="213"/>
      <c r="CE213" s="213"/>
      <c r="CF213" s="213"/>
      <c r="CG213" s="213"/>
      <c r="CH213" s="213"/>
      <c r="CI213" s="213"/>
      <c r="CJ213" s="213"/>
      <c r="CK213" s="213"/>
      <c r="CL213" s="213"/>
      <c r="CM213" s="213"/>
      <c r="CN213" s="213"/>
      <c r="CO213" s="213"/>
      <c r="CP213" s="213"/>
      <c r="CQ213" s="213"/>
    </row>
    <row r="214" ht="15.75" customHeight="1">
      <c r="A214" s="213"/>
      <c r="B214" s="213"/>
      <c r="C214" s="213"/>
      <c r="D214" s="213"/>
      <c r="E214" s="213"/>
      <c r="F214" s="213"/>
      <c r="G214" s="213"/>
      <c r="H214" s="213"/>
      <c r="I214" s="213"/>
      <c r="J214" s="216"/>
      <c r="K214" s="213"/>
      <c r="L214" s="213"/>
      <c r="M214" s="213"/>
      <c r="N214" s="213"/>
      <c r="O214" s="213"/>
      <c r="P214" s="216"/>
      <c r="Q214" s="213"/>
      <c r="R214" s="213"/>
      <c r="S214" s="213"/>
      <c r="T214" s="213"/>
      <c r="U214" s="213"/>
      <c r="V214" s="216"/>
      <c r="W214" s="213"/>
      <c r="X214" s="213"/>
      <c r="Y214" s="213"/>
      <c r="Z214" s="213"/>
      <c r="AA214" s="213"/>
      <c r="AB214" s="216"/>
      <c r="AC214" s="213"/>
      <c r="AD214" s="213"/>
      <c r="AE214" s="213"/>
      <c r="AF214" s="213"/>
      <c r="AG214" s="213"/>
      <c r="AH214" s="216"/>
      <c r="AI214" s="213"/>
      <c r="AJ214" s="213"/>
      <c r="AK214" s="213"/>
      <c r="AL214" s="213"/>
      <c r="AM214" s="213"/>
      <c r="AN214" s="216"/>
      <c r="AO214" s="213"/>
      <c r="AP214" s="213"/>
      <c r="AQ214" s="213"/>
      <c r="AR214" s="213"/>
      <c r="AS214" s="213"/>
      <c r="AT214" s="216"/>
      <c r="AU214" s="213"/>
      <c r="AV214" s="213"/>
      <c r="AW214" s="213"/>
      <c r="AX214" s="213"/>
      <c r="AY214" s="213"/>
      <c r="AZ214" s="216"/>
      <c r="BA214" s="213"/>
      <c r="BB214" s="213"/>
      <c r="BC214" s="213"/>
      <c r="BD214" s="213"/>
      <c r="BE214" s="213"/>
      <c r="BF214" s="216"/>
      <c r="BG214" s="213"/>
      <c r="BH214" s="213"/>
      <c r="BI214" s="213"/>
      <c r="BJ214" s="213"/>
      <c r="BK214" s="213"/>
      <c r="BL214" s="216"/>
      <c r="BM214" s="213"/>
      <c r="BN214" s="213"/>
      <c r="BO214" s="213"/>
      <c r="BP214" s="213"/>
      <c r="BQ214" s="213"/>
      <c r="BR214" s="326"/>
      <c r="BS214" s="213"/>
      <c r="BT214" s="213"/>
      <c r="BU214" s="213"/>
      <c r="BV214" s="213"/>
      <c r="BW214" s="213"/>
      <c r="BX214" s="213"/>
      <c r="BY214" s="213"/>
      <c r="BZ214" s="213"/>
      <c r="CA214" s="213"/>
      <c r="CB214" s="213"/>
      <c r="CC214" s="213"/>
      <c r="CD214" s="213"/>
      <c r="CE214" s="213"/>
      <c r="CF214" s="213"/>
      <c r="CG214" s="213"/>
      <c r="CH214" s="213"/>
      <c r="CI214" s="213"/>
      <c r="CJ214" s="213"/>
      <c r="CK214" s="213"/>
      <c r="CL214" s="213"/>
      <c r="CM214" s="213"/>
      <c r="CN214" s="213"/>
      <c r="CO214" s="213"/>
      <c r="CP214" s="213"/>
      <c r="CQ214" s="213"/>
    </row>
    <row r="215" ht="15.75" customHeight="1">
      <c r="A215" s="213"/>
      <c r="B215" s="213"/>
      <c r="C215" s="213"/>
      <c r="D215" s="213"/>
      <c r="E215" s="213"/>
      <c r="F215" s="213"/>
      <c r="G215" s="213"/>
      <c r="H215" s="213"/>
      <c r="I215" s="213"/>
      <c r="J215" s="216"/>
      <c r="K215" s="213"/>
      <c r="L215" s="213"/>
      <c r="M215" s="213"/>
      <c r="N215" s="213"/>
      <c r="O215" s="213"/>
      <c r="P215" s="216"/>
      <c r="Q215" s="213"/>
      <c r="R215" s="213"/>
      <c r="S215" s="213"/>
      <c r="T215" s="213"/>
      <c r="U215" s="213"/>
      <c r="V215" s="216"/>
      <c r="W215" s="213"/>
      <c r="X215" s="213"/>
      <c r="Y215" s="213"/>
      <c r="Z215" s="213"/>
      <c r="AA215" s="213"/>
      <c r="AB215" s="216"/>
      <c r="AC215" s="213"/>
      <c r="AD215" s="213"/>
      <c r="AE215" s="213"/>
      <c r="AF215" s="213"/>
      <c r="AG215" s="213"/>
      <c r="AH215" s="216"/>
      <c r="AI215" s="213"/>
      <c r="AJ215" s="213"/>
      <c r="AK215" s="213"/>
      <c r="AL215" s="213"/>
      <c r="AM215" s="213"/>
      <c r="AN215" s="216"/>
      <c r="AO215" s="213"/>
      <c r="AP215" s="213"/>
      <c r="AQ215" s="213"/>
      <c r="AR215" s="213"/>
      <c r="AS215" s="213"/>
      <c r="AT215" s="216"/>
      <c r="AU215" s="213"/>
      <c r="AV215" s="213"/>
      <c r="AW215" s="213"/>
      <c r="AX215" s="213"/>
      <c r="AY215" s="213"/>
      <c r="AZ215" s="216"/>
      <c r="BA215" s="213"/>
      <c r="BB215" s="213"/>
      <c r="BC215" s="213"/>
      <c r="BD215" s="213"/>
      <c r="BE215" s="213"/>
      <c r="BF215" s="216"/>
      <c r="BG215" s="213"/>
      <c r="BH215" s="213"/>
      <c r="BI215" s="213"/>
      <c r="BJ215" s="213"/>
      <c r="BK215" s="213"/>
      <c r="BL215" s="216"/>
      <c r="BM215" s="213"/>
      <c r="BN215" s="213"/>
      <c r="BO215" s="213"/>
      <c r="BP215" s="213"/>
      <c r="BQ215" s="213"/>
      <c r="BR215" s="326"/>
      <c r="BS215" s="213"/>
      <c r="BT215" s="213"/>
      <c r="BU215" s="213"/>
      <c r="BV215" s="213"/>
      <c r="BW215" s="213"/>
      <c r="BX215" s="213"/>
      <c r="BY215" s="213"/>
      <c r="BZ215" s="213"/>
      <c r="CA215" s="213"/>
      <c r="CB215" s="213"/>
      <c r="CC215" s="213"/>
      <c r="CD215" s="213"/>
      <c r="CE215" s="213"/>
      <c r="CF215" s="213"/>
      <c r="CG215" s="213"/>
      <c r="CH215" s="213"/>
      <c r="CI215" s="213"/>
      <c r="CJ215" s="213"/>
      <c r="CK215" s="213"/>
      <c r="CL215" s="213"/>
      <c r="CM215" s="213"/>
      <c r="CN215" s="213"/>
      <c r="CO215" s="213"/>
      <c r="CP215" s="213"/>
      <c r="CQ215" s="213"/>
    </row>
    <row r="216" ht="15.75" customHeight="1">
      <c r="A216" s="213"/>
      <c r="B216" s="213"/>
      <c r="C216" s="213"/>
      <c r="D216" s="213"/>
      <c r="E216" s="213"/>
      <c r="F216" s="213"/>
      <c r="G216" s="213"/>
      <c r="H216" s="213"/>
      <c r="I216" s="213"/>
      <c r="J216" s="216"/>
      <c r="K216" s="213"/>
      <c r="L216" s="213"/>
      <c r="M216" s="213"/>
      <c r="N216" s="213"/>
      <c r="O216" s="213"/>
      <c r="P216" s="216"/>
      <c r="Q216" s="213"/>
      <c r="R216" s="213"/>
      <c r="S216" s="213"/>
      <c r="T216" s="213"/>
      <c r="U216" s="213"/>
      <c r="V216" s="216"/>
      <c r="W216" s="213"/>
      <c r="X216" s="213"/>
      <c r="Y216" s="213"/>
      <c r="Z216" s="213"/>
      <c r="AA216" s="213"/>
      <c r="AB216" s="216"/>
      <c r="AC216" s="213"/>
      <c r="AD216" s="213"/>
      <c r="AE216" s="213"/>
      <c r="AF216" s="213"/>
      <c r="AG216" s="213"/>
      <c r="AH216" s="216"/>
      <c r="AI216" s="213"/>
      <c r="AJ216" s="213"/>
      <c r="AK216" s="213"/>
      <c r="AL216" s="213"/>
      <c r="AM216" s="213"/>
      <c r="AN216" s="216"/>
      <c r="AO216" s="213"/>
      <c r="AP216" s="213"/>
      <c r="AQ216" s="213"/>
      <c r="AR216" s="213"/>
      <c r="AS216" s="213"/>
      <c r="AT216" s="216"/>
      <c r="AU216" s="213"/>
      <c r="AV216" s="213"/>
      <c r="AW216" s="213"/>
      <c r="AX216" s="213"/>
      <c r="AY216" s="213"/>
      <c r="AZ216" s="216"/>
      <c r="BA216" s="213"/>
      <c r="BB216" s="213"/>
      <c r="BC216" s="213"/>
      <c r="BD216" s="213"/>
      <c r="BE216" s="213"/>
      <c r="BF216" s="216"/>
      <c r="BG216" s="213"/>
      <c r="BH216" s="213"/>
      <c r="BI216" s="213"/>
      <c r="BJ216" s="213"/>
      <c r="BK216" s="213"/>
      <c r="BL216" s="216"/>
      <c r="BM216" s="213"/>
      <c r="BN216" s="213"/>
      <c r="BO216" s="213"/>
      <c r="BP216" s="213"/>
      <c r="BQ216" s="213"/>
      <c r="BR216" s="326"/>
      <c r="BS216" s="213"/>
      <c r="BT216" s="213"/>
      <c r="BU216" s="213"/>
      <c r="BV216" s="213"/>
      <c r="BW216" s="213"/>
      <c r="BX216" s="213"/>
      <c r="BY216" s="213"/>
      <c r="BZ216" s="213"/>
      <c r="CA216" s="213"/>
      <c r="CB216" s="213"/>
      <c r="CC216" s="213"/>
      <c r="CD216" s="213"/>
      <c r="CE216" s="213"/>
      <c r="CF216" s="213"/>
      <c r="CG216" s="213"/>
      <c r="CH216" s="213"/>
      <c r="CI216" s="213"/>
      <c r="CJ216" s="213"/>
      <c r="CK216" s="213"/>
      <c r="CL216" s="213"/>
      <c r="CM216" s="213"/>
      <c r="CN216" s="213"/>
      <c r="CO216" s="213"/>
      <c r="CP216" s="213"/>
      <c r="CQ216" s="213"/>
    </row>
    <row r="217" ht="15.75" customHeight="1">
      <c r="A217" s="213"/>
      <c r="B217" s="213"/>
      <c r="C217" s="213"/>
      <c r="D217" s="213"/>
      <c r="E217" s="213"/>
      <c r="F217" s="213"/>
      <c r="G217" s="213"/>
      <c r="H217" s="213"/>
      <c r="I217" s="213"/>
      <c r="J217" s="216"/>
      <c r="K217" s="213"/>
      <c r="L217" s="213"/>
      <c r="M217" s="213"/>
      <c r="N217" s="213"/>
      <c r="O217" s="213"/>
      <c r="P217" s="216"/>
      <c r="Q217" s="213"/>
      <c r="R217" s="213"/>
      <c r="S217" s="213"/>
      <c r="T217" s="213"/>
      <c r="U217" s="213"/>
      <c r="V217" s="216"/>
      <c r="W217" s="213"/>
      <c r="X217" s="213"/>
      <c r="Y217" s="213"/>
      <c r="Z217" s="213"/>
      <c r="AA217" s="213"/>
      <c r="AB217" s="216"/>
      <c r="AC217" s="213"/>
      <c r="AD217" s="213"/>
      <c r="AE217" s="213"/>
      <c r="AF217" s="213"/>
      <c r="AG217" s="213"/>
      <c r="AH217" s="216"/>
      <c r="AI217" s="213"/>
      <c r="AJ217" s="213"/>
      <c r="AK217" s="213"/>
      <c r="AL217" s="213"/>
      <c r="AM217" s="213"/>
      <c r="AN217" s="216"/>
      <c r="AO217" s="213"/>
      <c r="AP217" s="213"/>
      <c r="AQ217" s="213"/>
      <c r="AR217" s="213"/>
      <c r="AS217" s="213"/>
      <c r="AT217" s="216"/>
      <c r="AU217" s="213"/>
      <c r="AV217" s="213"/>
      <c r="AW217" s="213"/>
      <c r="AX217" s="213"/>
      <c r="AY217" s="213"/>
      <c r="AZ217" s="216"/>
      <c r="BA217" s="213"/>
      <c r="BB217" s="213"/>
      <c r="BC217" s="213"/>
      <c r="BD217" s="213"/>
      <c r="BE217" s="213"/>
      <c r="BF217" s="216"/>
      <c r="BG217" s="213"/>
      <c r="BH217" s="213"/>
      <c r="BI217" s="213"/>
      <c r="BJ217" s="213"/>
      <c r="BK217" s="213"/>
      <c r="BL217" s="216"/>
      <c r="BM217" s="213"/>
      <c r="BN217" s="213"/>
      <c r="BO217" s="213"/>
      <c r="BP217" s="213"/>
      <c r="BQ217" s="213"/>
      <c r="BR217" s="326"/>
      <c r="BS217" s="213"/>
      <c r="BT217" s="213"/>
      <c r="BU217" s="213"/>
      <c r="BV217" s="213"/>
      <c r="BW217" s="213"/>
      <c r="BX217" s="213"/>
      <c r="BY217" s="213"/>
      <c r="BZ217" s="213"/>
      <c r="CA217" s="213"/>
      <c r="CB217" s="213"/>
      <c r="CC217" s="213"/>
      <c r="CD217" s="213"/>
      <c r="CE217" s="213"/>
      <c r="CF217" s="213"/>
      <c r="CG217" s="213"/>
      <c r="CH217" s="213"/>
      <c r="CI217" s="213"/>
      <c r="CJ217" s="213"/>
      <c r="CK217" s="213"/>
      <c r="CL217" s="213"/>
      <c r="CM217" s="213"/>
      <c r="CN217" s="213"/>
      <c r="CO217" s="213"/>
      <c r="CP217" s="213"/>
      <c r="CQ217" s="213"/>
    </row>
    <row r="218" ht="15.75" customHeight="1">
      <c r="A218" s="213"/>
      <c r="B218" s="213"/>
      <c r="C218" s="213"/>
      <c r="D218" s="213"/>
      <c r="E218" s="213"/>
      <c r="F218" s="213"/>
      <c r="G218" s="213"/>
      <c r="H218" s="213"/>
      <c r="I218" s="213"/>
      <c r="J218" s="216"/>
      <c r="K218" s="213"/>
      <c r="L218" s="213"/>
      <c r="M218" s="213"/>
      <c r="N218" s="213"/>
      <c r="O218" s="213"/>
      <c r="P218" s="216"/>
      <c r="Q218" s="213"/>
      <c r="R218" s="213"/>
      <c r="S218" s="213"/>
      <c r="T218" s="213"/>
      <c r="U218" s="213"/>
      <c r="V218" s="216"/>
      <c r="W218" s="213"/>
      <c r="X218" s="213"/>
      <c r="Y218" s="213"/>
      <c r="Z218" s="213"/>
      <c r="AA218" s="213"/>
      <c r="AB218" s="216"/>
      <c r="AC218" s="213"/>
      <c r="AD218" s="213"/>
      <c r="AE218" s="213"/>
      <c r="AF218" s="213"/>
      <c r="AG218" s="213"/>
      <c r="AH218" s="216"/>
      <c r="AI218" s="213"/>
      <c r="AJ218" s="213"/>
      <c r="AK218" s="213"/>
      <c r="AL218" s="213"/>
      <c r="AM218" s="213"/>
      <c r="AN218" s="216"/>
      <c r="AO218" s="213"/>
      <c r="AP218" s="213"/>
      <c r="AQ218" s="213"/>
      <c r="AR218" s="213"/>
      <c r="AS218" s="213"/>
      <c r="AT218" s="216"/>
      <c r="AU218" s="213"/>
      <c r="AV218" s="213"/>
      <c r="AW218" s="213"/>
      <c r="AX218" s="213"/>
      <c r="AY218" s="213"/>
      <c r="AZ218" s="216"/>
      <c r="BA218" s="213"/>
      <c r="BB218" s="213"/>
      <c r="BC218" s="213"/>
      <c r="BD218" s="213"/>
      <c r="BE218" s="213"/>
      <c r="BF218" s="216"/>
      <c r="BG218" s="213"/>
      <c r="BH218" s="213"/>
      <c r="BI218" s="213"/>
      <c r="BJ218" s="213"/>
      <c r="BK218" s="213"/>
      <c r="BL218" s="216"/>
      <c r="BM218" s="213"/>
      <c r="BN218" s="213"/>
      <c r="BO218" s="213"/>
      <c r="BP218" s="213"/>
      <c r="BQ218" s="213"/>
      <c r="BR218" s="326"/>
      <c r="BS218" s="213"/>
      <c r="BT218" s="213"/>
      <c r="BU218" s="213"/>
      <c r="BV218" s="213"/>
      <c r="BW218" s="213"/>
      <c r="BX218" s="213"/>
      <c r="BY218" s="213"/>
      <c r="BZ218" s="213"/>
      <c r="CA218" s="213"/>
      <c r="CB218" s="213"/>
      <c r="CC218" s="213"/>
      <c r="CD218" s="213"/>
      <c r="CE218" s="213"/>
      <c r="CF218" s="213"/>
      <c r="CG218" s="213"/>
      <c r="CH218" s="213"/>
      <c r="CI218" s="213"/>
      <c r="CJ218" s="213"/>
      <c r="CK218" s="213"/>
      <c r="CL218" s="213"/>
      <c r="CM218" s="213"/>
      <c r="CN218" s="213"/>
      <c r="CO218" s="213"/>
      <c r="CP218" s="213"/>
      <c r="CQ218" s="213"/>
    </row>
    <row r="219" ht="15.75" customHeight="1">
      <c r="A219" s="213"/>
      <c r="B219" s="213"/>
      <c r="C219" s="213"/>
      <c r="D219" s="213"/>
      <c r="E219" s="213"/>
      <c r="F219" s="213"/>
      <c r="G219" s="213"/>
      <c r="H219" s="213"/>
      <c r="I219" s="213"/>
      <c r="J219" s="216"/>
      <c r="K219" s="213"/>
      <c r="L219" s="213"/>
      <c r="M219" s="213"/>
      <c r="N219" s="213"/>
      <c r="O219" s="213"/>
      <c r="P219" s="216"/>
      <c r="Q219" s="213"/>
      <c r="R219" s="213"/>
      <c r="S219" s="213"/>
      <c r="T219" s="213"/>
      <c r="U219" s="213"/>
      <c r="V219" s="216"/>
      <c r="W219" s="213"/>
      <c r="X219" s="213"/>
      <c r="Y219" s="213"/>
      <c r="Z219" s="213"/>
      <c r="AA219" s="213"/>
      <c r="AB219" s="216"/>
      <c r="AC219" s="213"/>
      <c r="AD219" s="213"/>
      <c r="AE219" s="213"/>
      <c r="AF219" s="213"/>
      <c r="AG219" s="213"/>
      <c r="AH219" s="216"/>
      <c r="AI219" s="213"/>
      <c r="AJ219" s="213"/>
      <c r="AK219" s="213"/>
      <c r="AL219" s="213"/>
      <c r="AM219" s="213"/>
      <c r="AN219" s="216"/>
      <c r="AO219" s="213"/>
      <c r="AP219" s="213"/>
      <c r="AQ219" s="213"/>
      <c r="AR219" s="213"/>
      <c r="AS219" s="213"/>
      <c r="AT219" s="216"/>
      <c r="AU219" s="213"/>
      <c r="AV219" s="213"/>
      <c r="AW219" s="213"/>
      <c r="AX219" s="213"/>
      <c r="AY219" s="213"/>
      <c r="AZ219" s="216"/>
      <c r="BA219" s="213"/>
      <c r="BB219" s="213"/>
      <c r="BC219" s="213"/>
      <c r="BD219" s="213"/>
      <c r="BE219" s="213"/>
      <c r="BF219" s="216"/>
      <c r="BG219" s="213"/>
      <c r="BH219" s="213"/>
      <c r="BI219" s="213"/>
      <c r="BJ219" s="213"/>
      <c r="BK219" s="213"/>
      <c r="BL219" s="216"/>
      <c r="BM219" s="213"/>
      <c r="BN219" s="213"/>
      <c r="BO219" s="213"/>
      <c r="BP219" s="213"/>
      <c r="BQ219" s="213"/>
      <c r="BR219" s="326"/>
      <c r="BS219" s="213"/>
      <c r="BT219" s="213"/>
      <c r="BU219" s="213"/>
      <c r="BV219" s="213"/>
      <c r="BW219" s="213"/>
      <c r="BX219" s="213"/>
      <c r="BY219" s="213"/>
      <c r="BZ219" s="213"/>
      <c r="CA219" s="213"/>
      <c r="CB219" s="213"/>
      <c r="CC219" s="213"/>
      <c r="CD219" s="213"/>
      <c r="CE219" s="213"/>
      <c r="CF219" s="213"/>
      <c r="CG219" s="213"/>
      <c r="CH219" s="213"/>
      <c r="CI219" s="213"/>
      <c r="CJ219" s="213"/>
      <c r="CK219" s="213"/>
      <c r="CL219" s="213"/>
      <c r="CM219" s="213"/>
      <c r="CN219" s="213"/>
      <c r="CO219" s="213"/>
      <c r="CP219" s="213"/>
      <c r="CQ219" s="213"/>
    </row>
    <row r="220" ht="15.75" customHeight="1">
      <c r="A220" s="213"/>
      <c r="B220" s="213"/>
      <c r="C220" s="213"/>
      <c r="D220" s="213"/>
      <c r="E220" s="213"/>
      <c r="F220" s="213"/>
      <c r="G220" s="213"/>
      <c r="H220" s="213"/>
      <c r="I220" s="213"/>
      <c r="J220" s="216"/>
      <c r="K220" s="213"/>
      <c r="L220" s="213"/>
      <c r="M220" s="213"/>
      <c r="N220" s="213"/>
      <c r="O220" s="213"/>
      <c r="P220" s="216"/>
      <c r="Q220" s="213"/>
      <c r="R220" s="213"/>
      <c r="S220" s="213"/>
      <c r="T220" s="213"/>
      <c r="U220" s="213"/>
      <c r="V220" s="216"/>
      <c r="W220" s="213"/>
      <c r="X220" s="213"/>
      <c r="Y220" s="213"/>
      <c r="Z220" s="213"/>
      <c r="AA220" s="213"/>
      <c r="AB220" s="216"/>
      <c r="AC220" s="213"/>
      <c r="AD220" s="213"/>
      <c r="AE220" s="213"/>
      <c r="AF220" s="213"/>
      <c r="AG220" s="213"/>
      <c r="AH220" s="216"/>
      <c r="AI220" s="213"/>
      <c r="AJ220" s="213"/>
      <c r="AK220" s="213"/>
      <c r="AL220" s="213"/>
      <c r="AM220" s="213"/>
      <c r="AN220" s="216"/>
      <c r="AO220" s="213"/>
      <c r="AP220" s="213"/>
      <c r="AQ220" s="213"/>
      <c r="AR220" s="213"/>
      <c r="AS220" s="213"/>
      <c r="AT220" s="216"/>
      <c r="AU220" s="213"/>
      <c r="AV220" s="213"/>
      <c r="AW220" s="213"/>
      <c r="AX220" s="213"/>
      <c r="AY220" s="213"/>
      <c r="AZ220" s="216"/>
      <c r="BA220" s="213"/>
      <c r="BB220" s="213"/>
      <c r="BC220" s="213"/>
      <c r="BD220" s="213"/>
      <c r="BE220" s="213"/>
      <c r="BF220" s="216"/>
      <c r="BG220" s="213"/>
      <c r="BH220" s="213"/>
      <c r="BI220" s="213"/>
      <c r="BJ220" s="213"/>
      <c r="BK220" s="213"/>
      <c r="BL220" s="216"/>
      <c r="BM220" s="213"/>
      <c r="BN220" s="213"/>
      <c r="BO220" s="213"/>
      <c r="BP220" s="213"/>
      <c r="BQ220" s="213"/>
      <c r="BR220" s="326"/>
      <c r="BS220" s="213"/>
      <c r="BT220" s="213"/>
      <c r="BU220" s="213"/>
      <c r="BV220" s="213"/>
      <c r="BW220" s="213"/>
      <c r="BX220" s="213"/>
      <c r="BY220" s="213"/>
      <c r="BZ220" s="213"/>
      <c r="CA220" s="213"/>
      <c r="CB220" s="213"/>
      <c r="CC220" s="213"/>
      <c r="CD220" s="213"/>
      <c r="CE220" s="213"/>
      <c r="CF220" s="213"/>
      <c r="CG220" s="213"/>
      <c r="CH220" s="213"/>
      <c r="CI220" s="213"/>
      <c r="CJ220" s="213"/>
      <c r="CK220" s="213"/>
      <c r="CL220" s="213"/>
      <c r="CM220" s="213"/>
      <c r="CN220" s="213"/>
      <c r="CO220" s="213"/>
      <c r="CP220" s="213"/>
      <c r="CQ220" s="213"/>
    </row>
    <row r="221" ht="15.75" customHeight="1">
      <c r="A221" s="213"/>
      <c r="B221" s="213"/>
      <c r="C221" s="213"/>
      <c r="D221" s="213"/>
      <c r="E221" s="213"/>
      <c r="F221" s="213"/>
      <c r="G221" s="213"/>
      <c r="H221" s="213"/>
      <c r="I221" s="213"/>
      <c r="J221" s="216"/>
      <c r="K221" s="213"/>
      <c r="L221" s="213"/>
      <c r="M221" s="213"/>
      <c r="N221" s="213"/>
      <c r="O221" s="213"/>
      <c r="P221" s="216"/>
      <c r="Q221" s="213"/>
      <c r="R221" s="213"/>
      <c r="S221" s="213"/>
      <c r="T221" s="213"/>
      <c r="U221" s="213"/>
      <c r="V221" s="216"/>
      <c r="W221" s="213"/>
      <c r="X221" s="213"/>
      <c r="Y221" s="213"/>
      <c r="Z221" s="213"/>
      <c r="AA221" s="213"/>
      <c r="AB221" s="216"/>
      <c r="AC221" s="213"/>
      <c r="AD221" s="213"/>
      <c r="AE221" s="213"/>
      <c r="AF221" s="213"/>
      <c r="AG221" s="213"/>
      <c r="AH221" s="216"/>
      <c r="AI221" s="213"/>
      <c r="AJ221" s="213"/>
      <c r="AK221" s="213"/>
      <c r="AL221" s="213"/>
      <c r="AM221" s="213"/>
      <c r="AN221" s="216"/>
      <c r="AO221" s="213"/>
      <c r="AP221" s="213"/>
      <c r="AQ221" s="213"/>
      <c r="AR221" s="213"/>
      <c r="AS221" s="213"/>
      <c r="AT221" s="216"/>
      <c r="AU221" s="213"/>
      <c r="AV221" s="213"/>
      <c r="AW221" s="213"/>
      <c r="AX221" s="213"/>
      <c r="AY221" s="213"/>
      <c r="AZ221" s="216"/>
      <c r="BA221" s="213"/>
      <c r="BB221" s="213"/>
      <c r="BC221" s="213"/>
      <c r="BD221" s="213"/>
      <c r="BE221" s="213"/>
      <c r="BF221" s="216"/>
      <c r="BG221" s="213"/>
      <c r="BH221" s="213"/>
      <c r="BI221" s="213"/>
      <c r="BJ221" s="213"/>
      <c r="BK221" s="213"/>
      <c r="BL221" s="216"/>
      <c r="BM221" s="213"/>
      <c r="BN221" s="213"/>
      <c r="BO221" s="213"/>
      <c r="BP221" s="213"/>
      <c r="BQ221" s="213"/>
      <c r="BR221" s="326"/>
      <c r="BS221" s="213"/>
      <c r="BT221" s="213"/>
      <c r="BU221" s="213"/>
      <c r="BV221" s="213"/>
      <c r="BW221" s="213"/>
      <c r="BX221" s="213"/>
      <c r="BY221" s="213"/>
      <c r="BZ221" s="213"/>
      <c r="CA221" s="213"/>
      <c r="CB221" s="213"/>
      <c r="CC221" s="213"/>
      <c r="CD221" s="213"/>
      <c r="CE221" s="213"/>
      <c r="CF221" s="213"/>
      <c r="CG221" s="213"/>
      <c r="CH221" s="213"/>
      <c r="CI221" s="213"/>
      <c r="CJ221" s="213"/>
      <c r="CK221" s="213"/>
      <c r="CL221" s="213"/>
      <c r="CM221" s="213"/>
      <c r="CN221" s="213"/>
      <c r="CO221" s="213"/>
      <c r="CP221" s="213"/>
      <c r="CQ221" s="213"/>
    </row>
    <row r="222" ht="15.75" customHeight="1">
      <c r="A222" s="213"/>
      <c r="B222" s="213"/>
      <c r="C222" s="213"/>
      <c r="D222" s="213"/>
      <c r="E222" s="213"/>
      <c r="F222" s="213"/>
      <c r="G222" s="213"/>
      <c r="H222" s="213"/>
      <c r="I222" s="213"/>
      <c r="J222" s="216"/>
      <c r="K222" s="213"/>
      <c r="L222" s="213"/>
      <c r="M222" s="213"/>
      <c r="N222" s="213"/>
      <c r="O222" s="213"/>
      <c r="P222" s="216"/>
      <c r="Q222" s="213"/>
      <c r="R222" s="213"/>
      <c r="S222" s="213"/>
      <c r="T222" s="213"/>
      <c r="U222" s="213"/>
      <c r="V222" s="216"/>
      <c r="W222" s="213"/>
      <c r="X222" s="213"/>
      <c r="Y222" s="213"/>
      <c r="Z222" s="213"/>
      <c r="AA222" s="213"/>
      <c r="AB222" s="216"/>
      <c r="AC222" s="213"/>
      <c r="AD222" s="213"/>
      <c r="AE222" s="213"/>
      <c r="AF222" s="213"/>
      <c r="AG222" s="213"/>
      <c r="AH222" s="216"/>
      <c r="AI222" s="213"/>
      <c r="AJ222" s="213"/>
      <c r="AK222" s="213"/>
      <c r="AL222" s="213"/>
      <c r="AM222" s="213"/>
      <c r="AN222" s="216"/>
      <c r="AO222" s="213"/>
      <c r="AP222" s="213"/>
      <c r="AQ222" s="213"/>
      <c r="AR222" s="213"/>
      <c r="AS222" s="213"/>
      <c r="AT222" s="216"/>
      <c r="AU222" s="213"/>
      <c r="AV222" s="213"/>
      <c r="AW222" s="213"/>
      <c r="AX222" s="213"/>
      <c r="AY222" s="213"/>
      <c r="AZ222" s="216"/>
      <c r="BA222" s="213"/>
      <c r="BB222" s="213"/>
      <c r="BC222" s="213"/>
      <c r="BD222" s="213"/>
      <c r="BE222" s="213"/>
      <c r="BF222" s="216"/>
      <c r="BG222" s="213"/>
      <c r="BH222" s="213"/>
      <c r="BI222" s="213"/>
      <c r="BJ222" s="213"/>
      <c r="BK222" s="213"/>
      <c r="BL222" s="216"/>
      <c r="BM222" s="213"/>
      <c r="BN222" s="213"/>
      <c r="BO222" s="213"/>
      <c r="BP222" s="213"/>
      <c r="BQ222" s="213"/>
      <c r="BR222" s="326"/>
      <c r="BS222" s="213"/>
      <c r="BT222" s="213"/>
      <c r="BU222" s="213"/>
      <c r="BV222" s="213"/>
      <c r="BW222" s="213"/>
      <c r="BX222" s="213"/>
      <c r="BY222" s="213"/>
      <c r="BZ222" s="213"/>
      <c r="CA222" s="213"/>
      <c r="CB222" s="213"/>
      <c r="CC222" s="213"/>
      <c r="CD222" s="213"/>
      <c r="CE222" s="213"/>
      <c r="CF222" s="213"/>
      <c r="CG222" s="213"/>
      <c r="CH222" s="213"/>
      <c r="CI222" s="213"/>
      <c r="CJ222" s="213"/>
      <c r="CK222" s="213"/>
      <c r="CL222" s="213"/>
      <c r="CM222" s="213"/>
      <c r="CN222" s="213"/>
      <c r="CO222" s="213"/>
      <c r="CP222" s="213"/>
      <c r="CQ222" s="213"/>
    </row>
    <row r="223" ht="15.75" customHeight="1">
      <c r="A223" s="213"/>
      <c r="B223" s="213"/>
      <c r="C223" s="213"/>
      <c r="D223" s="213"/>
      <c r="E223" s="213"/>
      <c r="F223" s="213"/>
      <c r="G223" s="213"/>
      <c r="H223" s="213"/>
      <c r="I223" s="213"/>
      <c r="J223" s="216"/>
      <c r="K223" s="213"/>
      <c r="L223" s="213"/>
      <c r="M223" s="213"/>
      <c r="N223" s="213"/>
      <c r="O223" s="213"/>
      <c r="P223" s="216"/>
      <c r="Q223" s="213"/>
      <c r="R223" s="213"/>
      <c r="S223" s="213"/>
      <c r="T223" s="213"/>
      <c r="U223" s="213"/>
      <c r="V223" s="216"/>
      <c r="W223" s="213"/>
      <c r="X223" s="213"/>
      <c r="Y223" s="213"/>
      <c r="Z223" s="213"/>
      <c r="AA223" s="213"/>
      <c r="AB223" s="216"/>
      <c r="AC223" s="213"/>
      <c r="AD223" s="213"/>
      <c r="AE223" s="213"/>
      <c r="AF223" s="213"/>
      <c r="AG223" s="213"/>
      <c r="AH223" s="216"/>
      <c r="AI223" s="213"/>
      <c r="AJ223" s="213"/>
      <c r="AK223" s="213"/>
      <c r="AL223" s="213"/>
      <c r="AM223" s="213"/>
      <c r="AN223" s="216"/>
      <c r="AO223" s="213"/>
      <c r="AP223" s="213"/>
      <c r="AQ223" s="213"/>
      <c r="AR223" s="213"/>
      <c r="AS223" s="213"/>
      <c r="AT223" s="216"/>
      <c r="AU223" s="213"/>
      <c r="AV223" s="213"/>
      <c r="AW223" s="213"/>
      <c r="AX223" s="213"/>
      <c r="AY223" s="213"/>
      <c r="AZ223" s="216"/>
      <c r="BA223" s="213"/>
      <c r="BB223" s="213"/>
      <c r="BC223" s="213"/>
      <c r="BD223" s="213"/>
      <c r="BE223" s="213"/>
      <c r="BF223" s="216"/>
      <c r="BG223" s="213"/>
      <c r="BH223" s="213"/>
      <c r="BI223" s="213"/>
      <c r="BJ223" s="213"/>
      <c r="BK223" s="213"/>
      <c r="BL223" s="216"/>
      <c r="BM223" s="213"/>
      <c r="BN223" s="213"/>
      <c r="BO223" s="213"/>
      <c r="BP223" s="213"/>
      <c r="BQ223" s="213"/>
      <c r="BR223" s="326"/>
      <c r="BS223" s="213"/>
      <c r="BT223" s="213"/>
      <c r="BU223" s="213"/>
      <c r="BV223" s="213"/>
      <c r="BW223" s="213"/>
      <c r="BX223" s="213"/>
      <c r="BY223" s="213"/>
      <c r="BZ223" s="213"/>
      <c r="CA223" s="213"/>
      <c r="CB223" s="213"/>
      <c r="CC223" s="213"/>
      <c r="CD223" s="213"/>
      <c r="CE223" s="213"/>
      <c r="CF223" s="213"/>
      <c r="CG223" s="213"/>
      <c r="CH223" s="213"/>
      <c r="CI223" s="213"/>
      <c r="CJ223" s="213"/>
      <c r="CK223" s="213"/>
      <c r="CL223" s="213"/>
      <c r="CM223" s="213"/>
      <c r="CN223" s="213"/>
      <c r="CO223" s="213"/>
      <c r="CP223" s="213"/>
      <c r="CQ223" s="213"/>
    </row>
    <row r="224" ht="15.75" customHeight="1">
      <c r="A224" s="213"/>
      <c r="B224" s="213"/>
      <c r="C224" s="213"/>
      <c r="D224" s="213"/>
      <c r="E224" s="213"/>
      <c r="F224" s="213"/>
      <c r="G224" s="213"/>
      <c r="H224" s="213"/>
      <c r="I224" s="213"/>
      <c r="J224" s="216"/>
      <c r="K224" s="213"/>
      <c r="L224" s="213"/>
      <c r="M224" s="213"/>
      <c r="N224" s="213"/>
      <c r="O224" s="213"/>
      <c r="P224" s="216"/>
      <c r="Q224" s="213"/>
      <c r="R224" s="213"/>
      <c r="S224" s="213"/>
      <c r="T224" s="213"/>
      <c r="U224" s="213"/>
      <c r="V224" s="216"/>
      <c r="W224" s="213"/>
      <c r="X224" s="213"/>
      <c r="Y224" s="213"/>
      <c r="Z224" s="213"/>
      <c r="AA224" s="213"/>
      <c r="AB224" s="216"/>
      <c r="AC224" s="213"/>
      <c r="AD224" s="213"/>
      <c r="AE224" s="213"/>
      <c r="AF224" s="213"/>
      <c r="AG224" s="213"/>
      <c r="AH224" s="216"/>
      <c r="AI224" s="213"/>
      <c r="AJ224" s="213"/>
      <c r="AK224" s="213"/>
      <c r="AL224" s="213"/>
      <c r="AM224" s="213"/>
      <c r="AN224" s="216"/>
      <c r="AO224" s="213"/>
      <c r="AP224" s="213"/>
      <c r="AQ224" s="213"/>
      <c r="AR224" s="213"/>
      <c r="AS224" s="213"/>
      <c r="AT224" s="216"/>
      <c r="AU224" s="213"/>
      <c r="AV224" s="213"/>
      <c r="AW224" s="213"/>
      <c r="AX224" s="213"/>
      <c r="AY224" s="213"/>
      <c r="AZ224" s="216"/>
      <c r="BA224" s="213"/>
      <c r="BB224" s="213"/>
      <c r="BC224" s="213"/>
      <c r="BD224" s="213"/>
      <c r="BE224" s="213"/>
      <c r="BF224" s="216"/>
      <c r="BG224" s="213"/>
      <c r="BH224" s="213"/>
      <c r="BI224" s="213"/>
      <c r="BJ224" s="213"/>
      <c r="BK224" s="213"/>
      <c r="BL224" s="216"/>
      <c r="BM224" s="213"/>
      <c r="BN224" s="213"/>
      <c r="BO224" s="213"/>
      <c r="BP224" s="213"/>
      <c r="BQ224" s="213"/>
      <c r="BR224" s="326"/>
      <c r="BS224" s="213"/>
      <c r="BT224" s="213"/>
      <c r="BU224" s="213"/>
      <c r="BV224" s="213"/>
      <c r="BW224" s="213"/>
      <c r="BX224" s="213"/>
      <c r="BY224" s="213"/>
      <c r="BZ224" s="213"/>
      <c r="CA224" s="213"/>
      <c r="CB224" s="213"/>
      <c r="CC224" s="213"/>
      <c r="CD224" s="213"/>
      <c r="CE224" s="213"/>
      <c r="CF224" s="213"/>
      <c r="CG224" s="213"/>
      <c r="CH224" s="213"/>
      <c r="CI224" s="213"/>
      <c r="CJ224" s="213"/>
      <c r="CK224" s="213"/>
      <c r="CL224" s="213"/>
      <c r="CM224" s="213"/>
      <c r="CN224" s="213"/>
      <c r="CO224" s="213"/>
      <c r="CP224" s="213"/>
      <c r="CQ224" s="213"/>
    </row>
    <row r="225" ht="15.75" customHeight="1">
      <c r="A225" s="213"/>
      <c r="B225" s="213"/>
      <c r="C225" s="213"/>
      <c r="D225" s="213"/>
      <c r="E225" s="213"/>
      <c r="F225" s="213"/>
      <c r="G225" s="213"/>
      <c r="H225" s="213"/>
      <c r="I225" s="213"/>
      <c r="J225" s="216"/>
      <c r="K225" s="213"/>
      <c r="L225" s="213"/>
      <c r="M225" s="213"/>
      <c r="N225" s="213"/>
      <c r="O225" s="213"/>
      <c r="P225" s="216"/>
      <c r="Q225" s="213"/>
      <c r="R225" s="213"/>
      <c r="S225" s="213"/>
      <c r="T225" s="213"/>
      <c r="U225" s="213"/>
      <c r="V225" s="216"/>
      <c r="W225" s="213"/>
      <c r="X225" s="213"/>
      <c r="Y225" s="213"/>
      <c r="Z225" s="213"/>
      <c r="AA225" s="213"/>
      <c r="AB225" s="216"/>
      <c r="AC225" s="213"/>
      <c r="AD225" s="213"/>
      <c r="AE225" s="213"/>
      <c r="AF225" s="213"/>
      <c r="AG225" s="213"/>
      <c r="AH225" s="216"/>
      <c r="AI225" s="213"/>
      <c r="AJ225" s="213"/>
      <c r="AK225" s="213"/>
      <c r="AL225" s="213"/>
      <c r="AM225" s="213"/>
      <c r="AN225" s="216"/>
      <c r="AO225" s="213"/>
      <c r="AP225" s="213"/>
      <c r="AQ225" s="213"/>
      <c r="AR225" s="213"/>
      <c r="AS225" s="213"/>
      <c r="AT225" s="216"/>
      <c r="AU225" s="213"/>
      <c r="AV225" s="213"/>
      <c r="AW225" s="213"/>
      <c r="AX225" s="213"/>
      <c r="AY225" s="213"/>
      <c r="AZ225" s="216"/>
      <c r="BA225" s="213"/>
      <c r="BB225" s="213"/>
      <c r="BC225" s="213"/>
      <c r="BD225" s="213"/>
      <c r="BE225" s="213"/>
      <c r="BF225" s="216"/>
      <c r="BG225" s="213"/>
      <c r="BH225" s="213"/>
      <c r="BI225" s="213"/>
      <c r="BJ225" s="213"/>
      <c r="BK225" s="213"/>
      <c r="BL225" s="216"/>
      <c r="BM225" s="213"/>
      <c r="BN225" s="213"/>
      <c r="BO225" s="213"/>
      <c r="BP225" s="213"/>
      <c r="BQ225" s="213"/>
      <c r="BR225" s="326"/>
      <c r="BS225" s="213"/>
      <c r="BT225" s="213"/>
      <c r="BU225" s="213"/>
      <c r="BV225" s="213"/>
      <c r="BW225" s="213"/>
      <c r="BX225" s="213"/>
      <c r="BY225" s="213"/>
      <c r="BZ225" s="213"/>
      <c r="CA225" s="213"/>
      <c r="CB225" s="213"/>
      <c r="CC225" s="213"/>
      <c r="CD225" s="213"/>
      <c r="CE225" s="213"/>
      <c r="CF225" s="213"/>
      <c r="CG225" s="213"/>
      <c r="CH225" s="213"/>
      <c r="CI225" s="213"/>
      <c r="CJ225" s="213"/>
      <c r="CK225" s="213"/>
      <c r="CL225" s="213"/>
      <c r="CM225" s="213"/>
      <c r="CN225" s="213"/>
      <c r="CO225" s="213"/>
      <c r="CP225" s="213"/>
      <c r="CQ225" s="213"/>
    </row>
    <row r="226" ht="15.75" customHeight="1">
      <c r="A226" s="213"/>
      <c r="B226" s="213"/>
      <c r="C226" s="213"/>
      <c r="D226" s="213"/>
      <c r="E226" s="213"/>
      <c r="F226" s="213"/>
      <c r="G226" s="213"/>
      <c r="H226" s="213"/>
      <c r="I226" s="213"/>
      <c r="J226" s="216"/>
      <c r="K226" s="213"/>
      <c r="L226" s="213"/>
      <c r="M226" s="213"/>
      <c r="N226" s="213"/>
      <c r="O226" s="213"/>
      <c r="P226" s="216"/>
      <c r="Q226" s="213"/>
      <c r="R226" s="213"/>
      <c r="S226" s="213"/>
      <c r="T226" s="213"/>
      <c r="U226" s="213"/>
      <c r="V226" s="216"/>
      <c r="W226" s="213"/>
      <c r="X226" s="213"/>
      <c r="Y226" s="213"/>
      <c r="Z226" s="213"/>
      <c r="AA226" s="213"/>
      <c r="AB226" s="216"/>
      <c r="AC226" s="213"/>
      <c r="AD226" s="213"/>
      <c r="AE226" s="213"/>
      <c r="AF226" s="213"/>
      <c r="AG226" s="213"/>
      <c r="AH226" s="216"/>
      <c r="AI226" s="213"/>
      <c r="AJ226" s="213"/>
      <c r="AK226" s="213"/>
      <c r="AL226" s="213"/>
      <c r="AM226" s="213"/>
      <c r="AN226" s="216"/>
      <c r="AO226" s="213"/>
      <c r="AP226" s="213"/>
      <c r="AQ226" s="213"/>
      <c r="AR226" s="213"/>
      <c r="AS226" s="213"/>
      <c r="AT226" s="216"/>
      <c r="AU226" s="213"/>
      <c r="AV226" s="213"/>
      <c r="AW226" s="213"/>
      <c r="AX226" s="213"/>
      <c r="AY226" s="213"/>
      <c r="AZ226" s="216"/>
      <c r="BA226" s="213"/>
      <c r="BB226" s="213"/>
      <c r="BC226" s="213"/>
      <c r="BD226" s="213"/>
      <c r="BE226" s="213"/>
      <c r="BF226" s="216"/>
      <c r="BG226" s="213"/>
      <c r="BH226" s="213"/>
      <c r="BI226" s="213"/>
      <c r="BJ226" s="213"/>
      <c r="BK226" s="213"/>
      <c r="BL226" s="216"/>
      <c r="BM226" s="213"/>
      <c r="BN226" s="213"/>
      <c r="BO226" s="213"/>
      <c r="BP226" s="213"/>
      <c r="BQ226" s="213"/>
      <c r="BR226" s="326"/>
      <c r="BS226" s="213"/>
      <c r="BT226" s="213"/>
      <c r="BU226" s="213"/>
      <c r="BV226" s="213"/>
      <c r="BW226" s="213"/>
      <c r="BX226" s="213"/>
      <c r="BY226" s="213"/>
      <c r="BZ226" s="213"/>
      <c r="CA226" s="213"/>
      <c r="CB226" s="213"/>
      <c r="CC226" s="213"/>
      <c r="CD226" s="213"/>
      <c r="CE226" s="213"/>
      <c r="CF226" s="213"/>
      <c r="CG226" s="213"/>
      <c r="CH226" s="213"/>
      <c r="CI226" s="213"/>
      <c r="CJ226" s="213"/>
      <c r="CK226" s="213"/>
      <c r="CL226" s="213"/>
      <c r="CM226" s="213"/>
      <c r="CN226" s="213"/>
      <c r="CO226" s="213"/>
      <c r="CP226" s="213"/>
      <c r="CQ226" s="213"/>
    </row>
    <row r="227" ht="15.75" customHeight="1">
      <c r="A227" s="213"/>
      <c r="B227" s="213"/>
      <c r="C227" s="213"/>
      <c r="D227" s="213"/>
      <c r="E227" s="213"/>
      <c r="F227" s="213"/>
      <c r="G227" s="213"/>
      <c r="H227" s="213"/>
      <c r="I227" s="213"/>
      <c r="J227" s="216"/>
      <c r="K227" s="213"/>
      <c r="L227" s="213"/>
      <c r="M227" s="213"/>
      <c r="N227" s="213"/>
      <c r="O227" s="213"/>
      <c r="P227" s="216"/>
      <c r="Q227" s="213"/>
      <c r="R227" s="213"/>
      <c r="S227" s="213"/>
      <c r="T227" s="213"/>
      <c r="U227" s="213"/>
      <c r="V227" s="216"/>
      <c r="W227" s="213"/>
      <c r="X227" s="213"/>
      <c r="Y227" s="213"/>
      <c r="Z227" s="213"/>
      <c r="AA227" s="213"/>
      <c r="AB227" s="216"/>
      <c r="AC227" s="213"/>
      <c r="AD227" s="213"/>
      <c r="AE227" s="213"/>
      <c r="AF227" s="213"/>
      <c r="AG227" s="213"/>
      <c r="AH227" s="216"/>
      <c r="AI227" s="213"/>
      <c r="AJ227" s="213"/>
      <c r="AK227" s="213"/>
      <c r="AL227" s="213"/>
      <c r="AM227" s="213"/>
      <c r="AN227" s="216"/>
      <c r="AO227" s="213"/>
      <c r="AP227" s="213"/>
      <c r="AQ227" s="213"/>
      <c r="AR227" s="213"/>
      <c r="AS227" s="213"/>
      <c r="AT227" s="216"/>
      <c r="AU227" s="213"/>
      <c r="AV227" s="213"/>
      <c r="AW227" s="213"/>
      <c r="AX227" s="213"/>
      <c r="AY227" s="213"/>
      <c r="AZ227" s="216"/>
      <c r="BA227" s="213"/>
      <c r="BB227" s="213"/>
      <c r="BC227" s="213"/>
      <c r="BD227" s="213"/>
      <c r="BE227" s="213"/>
      <c r="BF227" s="216"/>
      <c r="BG227" s="213"/>
      <c r="BH227" s="213"/>
      <c r="BI227" s="213"/>
      <c r="BJ227" s="213"/>
      <c r="BK227" s="213"/>
      <c r="BL227" s="216"/>
      <c r="BM227" s="213"/>
      <c r="BN227" s="213"/>
      <c r="BO227" s="213"/>
      <c r="BP227" s="213"/>
      <c r="BQ227" s="213"/>
      <c r="BR227" s="326"/>
      <c r="BS227" s="213"/>
      <c r="BT227" s="213"/>
      <c r="BU227" s="213"/>
      <c r="BV227" s="213"/>
      <c r="BW227" s="213"/>
      <c r="BX227" s="213"/>
      <c r="BY227" s="213"/>
      <c r="BZ227" s="213"/>
      <c r="CA227" s="213"/>
      <c r="CB227" s="213"/>
      <c r="CC227" s="213"/>
      <c r="CD227" s="213"/>
      <c r="CE227" s="213"/>
      <c r="CF227" s="213"/>
      <c r="CG227" s="213"/>
      <c r="CH227" s="213"/>
      <c r="CI227" s="213"/>
      <c r="CJ227" s="213"/>
      <c r="CK227" s="213"/>
      <c r="CL227" s="213"/>
      <c r="CM227" s="213"/>
      <c r="CN227" s="213"/>
      <c r="CO227" s="213"/>
      <c r="CP227" s="213"/>
      <c r="CQ227" s="213"/>
    </row>
    <row r="228" ht="15.75" customHeight="1">
      <c r="A228" s="213"/>
      <c r="B228" s="213"/>
      <c r="C228" s="213"/>
      <c r="D228" s="213"/>
      <c r="E228" s="213"/>
      <c r="F228" s="213"/>
      <c r="G228" s="213"/>
      <c r="H228" s="213"/>
      <c r="I228" s="213"/>
      <c r="J228" s="216"/>
      <c r="K228" s="213"/>
      <c r="L228" s="213"/>
      <c r="M228" s="213"/>
      <c r="N228" s="213"/>
      <c r="O228" s="213"/>
      <c r="P228" s="216"/>
      <c r="Q228" s="213"/>
      <c r="R228" s="213"/>
      <c r="S228" s="213"/>
      <c r="T228" s="213"/>
      <c r="U228" s="213"/>
      <c r="V228" s="216"/>
      <c r="W228" s="213"/>
      <c r="X228" s="213"/>
      <c r="Y228" s="213"/>
      <c r="Z228" s="213"/>
      <c r="AA228" s="213"/>
      <c r="AB228" s="216"/>
      <c r="AC228" s="213"/>
      <c r="AD228" s="213"/>
      <c r="AE228" s="213"/>
      <c r="AF228" s="213"/>
      <c r="AG228" s="213"/>
      <c r="AH228" s="216"/>
      <c r="AI228" s="213"/>
      <c r="AJ228" s="213"/>
      <c r="AK228" s="213"/>
      <c r="AL228" s="213"/>
      <c r="AM228" s="213"/>
      <c r="AN228" s="216"/>
      <c r="AO228" s="213"/>
      <c r="AP228" s="213"/>
      <c r="AQ228" s="213"/>
      <c r="AR228" s="213"/>
      <c r="AS228" s="213"/>
      <c r="AT228" s="216"/>
      <c r="AU228" s="213"/>
      <c r="AV228" s="213"/>
      <c r="AW228" s="213"/>
      <c r="AX228" s="213"/>
      <c r="AY228" s="213"/>
      <c r="AZ228" s="216"/>
      <c r="BA228" s="213"/>
      <c r="BB228" s="213"/>
      <c r="BC228" s="213"/>
      <c r="BD228" s="213"/>
      <c r="BE228" s="213"/>
      <c r="BF228" s="216"/>
      <c r="BG228" s="213"/>
      <c r="BH228" s="213"/>
      <c r="BI228" s="213"/>
      <c r="BJ228" s="213"/>
      <c r="BK228" s="213"/>
      <c r="BL228" s="216"/>
      <c r="BM228" s="213"/>
      <c r="BN228" s="213"/>
      <c r="BO228" s="213"/>
      <c r="BP228" s="213"/>
      <c r="BQ228" s="213"/>
      <c r="BR228" s="326"/>
      <c r="BS228" s="213"/>
      <c r="BT228" s="213"/>
      <c r="BU228" s="213"/>
      <c r="BV228" s="213"/>
      <c r="BW228" s="213"/>
      <c r="BX228" s="213"/>
      <c r="BY228" s="213"/>
      <c r="BZ228" s="213"/>
      <c r="CA228" s="213"/>
      <c r="CB228" s="213"/>
      <c r="CC228" s="213"/>
      <c r="CD228" s="213"/>
      <c r="CE228" s="213"/>
      <c r="CF228" s="213"/>
      <c r="CG228" s="213"/>
      <c r="CH228" s="213"/>
      <c r="CI228" s="213"/>
      <c r="CJ228" s="213"/>
      <c r="CK228" s="213"/>
      <c r="CL228" s="213"/>
      <c r="CM228" s="213"/>
      <c r="CN228" s="213"/>
      <c r="CO228" s="213"/>
      <c r="CP228" s="213"/>
      <c r="CQ228" s="213"/>
    </row>
    <row r="229" ht="15.75" customHeight="1">
      <c r="A229" s="213"/>
      <c r="B229" s="213"/>
      <c r="C229" s="213"/>
      <c r="D229" s="213"/>
      <c r="E229" s="213"/>
      <c r="F229" s="213"/>
      <c r="G229" s="213"/>
      <c r="H229" s="213"/>
      <c r="I229" s="213"/>
      <c r="J229" s="216"/>
      <c r="K229" s="213"/>
      <c r="L229" s="213"/>
      <c r="M229" s="213"/>
      <c r="N229" s="213"/>
      <c r="O229" s="213"/>
      <c r="P229" s="216"/>
      <c r="Q229" s="213"/>
      <c r="R229" s="213"/>
      <c r="S229" s="213"/>
      <c r="T229" s="213"/>
      <c r="U229" s="213"/>
      <c r="V229" s="216"/>
      <c r="W229" s="213"/>
      <c r="X229" s="213"/>
      <c r="Y229" s="213"/>
      <c r="Z229" s="213"/>
      <c r="AA229" s="213"/>
      <c r="AB229" s="216"/>
      <c r="AC229" s="213"/>
      <c r="AD229" s="213"/>
      <c r="AE229" s="213"/>
      <c r="AF229" s="213"/>
      <c r="AG229" s="213"/>
      <c r="AH229" s="216"/>
      <c r="AI229" s="213"/>
      <c r="AJ229" s="213"/>
      <c r="AK229" s="213"/>
      <c r="AL229" s="213"/>
      <c r="AM229" s="213"/>
      <c r="AN229" s="216"/>
      <c r="AO229" s="213"/>
      <c r="AP229" s="213"/>
      <c r="AQ229" s="213"/>
      <c r="AR229" s="213"/>
      <c r="AS229" s="213"/>
      <c r="AT229" s="216"/>
      <c r="AU229" s="213"/>
      <c r="AV229" s="213"/>
      <c r="AW229" s="213"/>
      <c r="AX229" s="213"/>
      <c r="AY229" s="213"/>
      <c r="AZ229" s="216"/>
      <c r="BA229" s="213"/>
      <c r="BB229" s="213"/>
      <c r="BC229" s="213"/>
      <c r="BD229" s="213"/>
      <c r="BE229" s="213"/>
      <c r="BF229" s="216"/>
      <c r="BG229" s="213"/>
      <c r="BH229" s="213"/>
      <c r="BI229" s="213"/>
      <c r="BJ229" s="213"/>
      <c r="BK229" s="213"/>
      <c r="BL229" s="216"/>
      <c r="BM229" s="213"/>
      <c r="BN229" s="213"/>
      <c r="BO229" s="213"/>
      <c r="BP229" s="213"/>
      <c r="BQ229" s="213"/>
      <c r="BR229" s="326"/>
      <c r="BS229" s="213"/>
      <c r="BT229" s="213"/>
      <c r="BU229" s="213"/>
      <c r="BV229" s="213"/>
      <c r="BW229" s="213"/>
      <c r="BX229" s="213"/>
      <c r="BY229" s="213"/>
      <c r="BZ229" s="213"/>
      <c r="CA229" s="213"/>
      <c r="CB229" s="213"/>
      <c r="CC229" s="213"/>
      <c r="CD229" s="213"/>
      <c r="CE229" s="213"/>
      <c r="CF229" s="213"/>
      <c r="CG229" s="213"/>
      <c r="CH229" s="213"/>
      <c r="CI229" s="213"/>
      <c r="CJ229" s="213"/>
      <c r="CK229" s="213"/>
      <c r="CL229" s="213"/>
      <c r="CM229" s="213"/>
      <c r="CN229" s="213"/>
      <c r="CO229" s="213"/>
      <c r="CP229" s="213"/>
      <c r="CQ229" s="213"/>
    </row>
    <row r="230" ht="15.75" customHeight="1">
      <c r="A230" s="213"/>
      <c r="B230" s="213"/>
      <c r="C230" s="213"/>
      <c r="D230" s="213"/>
      <c r="E230" s="213"/>
      <c r="F230" s="213"/>
      <c r="G230" s="213"/>
      <c r="H230" s="213"/>
      <c r="I230" s="213"/>
      <c r="J230" s="216"/>
      <c r="K230" s="213"/>
      <c r="L230" s="213"/>
      <c r="M230" s="213"/>
      <c r="N230" s="213"/>
      <c r="O230" s="213"/>
      <c r="P230" s="216"/>
      <c r="Q230" s="213"/>
      <c r="R230" s="213"/>
      <c r="S230" s="213"/>
      <c r="T230" s="213"/>
      <c r="U230" s="213"/>
      <c r="V230" s="216"/>
      <c r="W230" s="213"/>
      <c r="X230" s="213"/>
      <c r="Y230" s="213"/>
      <c r="Z230" s="213"/>
      <c r="AA230" s="213"/>
      <c r="AB230" s="216"/>
      <c r="AC230" s="213"/>
      <c r="AD230" s="213"/>
      <c r="AE230" s="213"/>
      <c r="AF230" s="213"/>
      <c r="AG230" s="213"/>
      <c r="AH230" s="216"/>
      <c r="AI230" s="213"/>
      <c r="AJ230" s="213"/>
      <c r="AK230" s="213"/>
      <c r="AL230" s="213"/>
      <c r="AM230" s="213"/>
      <c r="AN230" s="216"/>
      <c r="AO230" s="213"/>
      <c r="AP230" s="213"/>
      <c r="AQ230" s="213"/>
      <c r="AR230" s="213"/>
      <c r="AS230" s="213"/>
      <c r="AT230" s="216"/>
      <c r="AU230" s="213"/>
      <c r="AV230" s="213"/>
      <c r="AW230" s="213"/>
      <c r="AX230" s="213"/>
      <c r="AY230" s="213"/>
      <c r="AZ230" s="216"/>
      <c r="BA230" s="213"/>
      <c r="BB230" s="213"/>
      <c r="BC230" s="213"/>
      <c r="BD230" s="213"/>
      <c r="BE230" s="213"/>
      <c r="BF230" s="216"/>
      <c r="BG230" s="213"/>
      <c r="BH230" s="213"/>
      <c r="BI230" s="213"/>
      <c r="BJ230" s="213"/>
      <c r="BK230" s="213"/>
      <c r="BL230" s="216"/>
      <c r="BM230" s="213"/>
      <c r="BN230" s="213"/>
      <c r="BO230" s="213"/>
      <c r="BP230" s="213"/>
      <c r="BQ230" s="213"/>
      <c r="BR230" s="326"/>
      <c r="BS230" s="213"/>
      <c r="BT230" s="213"/>
      <c r="BU230" s="213"/>
      <c r="BV230" s="213"/>
      <c r="BW230" s="213"/>
      <c r="BX230" s="213"/>
      <c r="BY230" s="213"/>
      <c r="BZ230" s="213"/>
      <c r="CA230" s="213"/>
      <c r="CB230" s="213"/>
      <c r="CC230" s="213"/>
      <c r="CD230" s="213"/>
      <c r="CE230" s="213"/>
      <c r="CF230" s="213"/>
      <c r="CG230" s="213"/>
      <c r="CH230" s="213"/>
      <c r="CI230" s="213"/>
      <c r="CJ230" s="213"/>
      <c r="CK230" s="213"/>
      <c r="CL230" s="213"/>
      <c r="CM230" s="213"/>
      <c r="CN230" s="213"/>
      <c r="CO230" s="213"/>
      <c r="CP230" s="213"/>
      <c r="CQ230" s="213"/>
    </row>
    <row r="231" ht="15.75" customHeight="1">
      <c r="A231" s="213"/>
      <c r="B231" s="213"/>
      <c r="C231" s="213"/>
      <c r="D231" s="213"/>
      <c r="E231" s="213"/>
      <c r="F231" s="213"/>
      <c r="G231" s="213"/>
      <c r="H231" s="213"/>
      <c r="I231" s="213"/>
      <c r="J231" s="216"/>
      <c r="K231" s="213"/>
      <c r="L231" s="213"/>
      <c r="M231" s="213"/>
      <c r="N231" s="213"/>
      <c r="O231" s="213"/>
      <c r="P231" s="216"/>
      <c r="Q231" s="213"/>
      <c r="R231" s="213"/>
      <c r="S231" s="213"/>
      <c r="T231" s="213"/>
      <c r="U231" s="213"/>
      <c r="V231" s="216"/>
      <c r="W231" s="213"/>
      <c r="X231" s="213"/>
      <c r="Y231" s="213"/>
      <c r="Z231" s="213"/>
      <c r="AA231" s="213"/>
      <c r="AB231" s="216"/>
      <c r="AC231" s="213"/>
      <c r="AD231" s="213"/>
      <c r="AE231" s="213"/>
      <c r="AF231" s="213"/>
      <c r="AG231" s="213"/>
      <c r="AH231" s="216"/>
      <c r="AI231" s="213"/>
      <c r="AJ231" s="213"/>
      <c r="AK231" s="213"/>
      <c r="AL231" s="213"/>
      <c r="AM231" s="213"/>
      <c r="AN231" s="216"/>
      <c r="AO231" s="213"/>
      <c r="AP231" s="213"/>
      <c r="AQ231" s="213"/>
      <c r="AR231" s="213"/>
      <c r="AS231" s="213"/>
      <c r="AT231" s="216"/>
      <c r="AU231" s="213"/>
      <c r="AV231" s="213"/>
      <c r="AW231" s="213"/>
      <c r="AX231" s="213"/>
      <c r="AY231" s="213"/>
      <c r="AZ231" s="216"/>
      <c r="BA231" s="213"/>
      <c r="BB231" s="213"/>
      <c r="BC231" s="213"/>
      <c r="BD231" s="213"/>
      <c r="BE231" s="213"/>
      <c r="BF231" s="216"/>
      <c r="BG231" s="213"/>
      <c r="BH231" s="213"/>
      <c r="BI231" s="213"/>
      <c r="BJ231" s="213"/>
      <c r="BK231" s="213"/>
      <c r="BL231" s="216"/>
      <c r="BM231" s="213"/>
      <c r="BN231" s="213"/>
      <c r="BO231" s="213"/>
      <c r="BP231" s="213"/>
      <c r="BQ231" s="213"/>
      <c r="BR231" s="326"/>
      <c r="BS231" s="213"/>
      <c r="BT231" s="213"/>
      <c r="BU231" s="213"/>
      <c r="BV231" s="213"/>
      <c r="BW231" s="213"/>
      <c r="BX231" s="213"/>
      <c r="BY231" s="213"/>
      <c r="BZ231" s="213"/>
      <c r="CA231" s="213"/>
      <c r="CB231" s="213"/>
      <c r="CC231" s="213"/>
      <c r="CD231" s="213"/>
      <c r="CE231" s="213"/>
      <c r="CF231" s="213"/>
      <c r="CG231" s="213"/>
      <c r="CH231" s="213"/>
      <c r="CI231" s="213"/>
      <c r="CJ231" s="213"/>
      <c r="CK231" s="213"/>
      <c r="CL231" s="213"/>
      <c r="CM231" s="213"/>
      <c r="CN231" s="213"/>
      <c r="CO231" s="213"/>
      <c r="CP231" s="213"/>
      <c r="CQ231" s="213"/>
    </row>
    <row r="232" ht="15.75" customHeight="1">
      <c r="A232" s="213"/>
      <c r="B232" s="213"/>
      <c r="C232" s="213"/>
      <c r="D232" s="213"/>
      <c r="E232" s="213"/>
      <c r="F232" s="213"/>
      <c r="G232" s="213"/>
      <c r="H232" s="213"/>
      <c r="I232" s="213"/>
      <c r="J232" s="216"/>
      <c r="K232" s="213"/>
      <c r="L232" s="213"/>
      <c r="M232" s="213"/>
      <c r="N232" s="213"/>
      <c r="O232" s="213"/>
      <c r="P232" s="216"/>
      <c r="Q232" s="213"/>
      <c r="R232" s="213"/>
      <c r="S232" s="213"/>
      <c r="T232" s="213"/>
      <c r="U232" s="213"/>
      <c r="V232" s="216"/>
      <c r="W232" s="213"/>
      <c r="X232" s="213"/>
      <c r="Y232" s="213"/>
      <c r="Z232" s="213"/>
      <c r="AA232" s="213"/>
      <c r="AB232" s="216"/>
      <c r="AC232" s="213"/>
      <c r="AD232" s="213"/>
      <c r="AE232" s="213"/>
      <c r="AF232" s="213"/>
      <c r="AG232" s="213"/>
      <c r="AH232" s="216"/>
      <c r="AI232" s="213"/>
      <c r="AJ232" s="213"/>
      <c r="AK232" s="213"/>
      <c r="AL232" s="213"/>
      <c r="AM232" s="213"/>
      <c r="AN232" s="216"/>
      <c r="AO232" s="213"/>
      <c r="AP232" s="213"/>
      <c r="AQ232" s="213"/>
      <c r="AR232" s="213"/>
      <c r="AS232" s="213"/>
      <c r="AT232" s="216"/>
      <c r="AU232" s="213"/>
      <c r="AV232" s="213"/>
      <c r="AW232" s="213"/>
      <c r="AX232" s="213"/>
      <c r="AY232" s="213"/>
      <c r="AZ232" s="216"/>
      <c r="BA232" s="213"/>
      <c r="BB232" s="213"/>
      <c r="BC232" s="213"/>
      <c r="BD232" s="213"/>
      <c r="BE232" s="213"/>
      <c r="BF232" s="216"/>
      <c r="BG232" s="213"/>
      <c r="BH232" s="213"/>
      <c r="BI232" s="213"/>
      <c r="BJ232" s="213"/>
      <c r="BK232" s="213"/>
      <c r="BL232" s="216"/>
      <c r="BM232" s="213"/>
      <c r="BN232" s="213"/>
      <c r="BO232" s="213"/>
      <c r="BP232" s="213"/>
      <c r="BQ232" s="213"/>
      <c r="BR232" s="326"/>
      <c r="BS232" s="213"/>
      <c r="BT232" s="213"/>
      <c r="BU232" s="213"/>
      <c r="BV232" s="213"/>
      <c r="BW232" s="213"/>
      <c r="BX232" s="213"/>
      <c r="BY232" s="213"/>
      <c r="BZ232" s="213"/>
      <c r="CA232" s="213"/>
      <c r="CB232" s="213"/>
      <c r="CC232" s="213"/>
      <c r="CD232" s="213"/>
      <c r="CE232" s="213"/>
      <c r="CF232" s="213"/>
      <c r="CG232" s="213"/>
      <c r="CH232" s="213"/>
      <c r="CI232" s="213"/>
      <c r="CJ232" s="213"/>
      <c r="CK232" s="213"/>
      <c r="CL232" s="213"/>
      <c r="CM232" s="213"/>
      <c r="CN232" s="213"/>
      <c r="CO232" s="213"/>
      <c r="CP232" s="213"/>
      <c r="CQ232" s="213"/>
    </row>
    <row r="233" ht="15.75" customHeight="1">
      <c r="A233" s="213"/>
      <c r="B233" s="213"/>
      <c r="C233" s="213"/>
      <c r="D233" s="213"/>
      <c r="E233" s="213"/>
      <c r="F233" s="213"/>
      <c r="G233" s="213"/>
      <c r="H233" s="213"/>
      <c r="I233" s="213"/>
      <c r="J233" s="216"/>
      <c r="K233" s="213"/>
      <c r="L233" s="213"/>
      <c r="M233" s="213"/>
      <c r="N233" s="213"/>
      <c r="O233" s="213"/>
      <c r="P233" s="216"/>
      <c r="Q233" s="213"/>
      <c r="R233" s="213"/>
      <c r="S233" s="213"/>
      <c r="T233" s="213"/>
      <c r="U233" s="213"/>
      <c r="V233" s="216"/>
      <c r="W233" s="213"/>
      <c r="X233" s="213"/>
      <c r="Y233" s="213"/>
      <c r="Z233" s="213"/>
      <c r="AA233" s="213"/>
      <c r="AB233" s="216"/>
      <c r="AC233" s="213"/>
      <c r="AD233" s="213"/>
      <c r="AE233" s="213"/>
      <c r="AF233" s="213"/>
      <c r="AG233" s="213"/>
      <c r="AH233" s="216"/>
      <c r="AI233" s="213"/>
      <c r="AJ233" s="213"/>
      <c r="AK233" s="213"/>
      <c r="AL233" s="213"/>
      <c r="AM233" s="213"/>
      <c r="AN233" s="216"/>
      <c r="AO233" s="213"/>
      <c r="AP233" s="213"/>
      <c r="AQ233" s="213"/>
      <c r="AR233" s="213"/>
      <c r="AS233" s="213"/>
      <c r="AT233" s="216"/>
      <c r="AU233" s="213"/>
      <c r="AV233" s="213"/>
      <c r="AW233" s="213"/>
      <c r="AX233" s="213"/>
      <c r="AY233" s="213"/>
      <c r="AZ233" s="216"/>
      <c r="BA233" s="213"/>
      <c r="BB233" s="213"/>
      <c r="BC233" s="213"/>
      <c r="BD233" s="213"/>
      <c r="BE233" s="213"/>
      <c r="BF233" s="216"/>
      <c r="BG233" s="213"/>
      <c r="BH233" s="213"/>
      <c r="BI233" s="213"/>
      <c r="BJ233" s="213"/>
      <c r="BK233" s="213"/>
      <c r="BL233" s="216"/>
      <c r="BM233" s="213"/>
      <c r="BN233" s="213"/>
      <c r="BO233" s="213"/>
      <c r="BP233" s="213"/>
      <c r="BQ233" s="213"/>
      <c r="BR233" s="326"/>
      <c r="BS233" s="213"/>
      <c r="BT233" s="213"/>
      <c r="BU233" s="213"/>
      <c r="BV233" s="213"/>
      <c r="BW233" s="213"/>
      <c r="BX233" s="213"/>
      <c r="BY233" s="213"/>
      <c r="BZ233" s="213"/>
      <c r="CA233" s="213"/>
      <c r="CB233" s="213"/>
      <c r="CC233" s="213"/>
      <c r="CD233" s="213"/>
      <c r="CE233" s="213"/>
      <c r="CF233" s="213"/>
      <c r="CG233" s="213"/>
      <c r="CH233" s="213"/>
      <c r="CI233" s="213"/>
      <c r="CJ233" s="213"/>
      <c r="CK233" s="213"/>
      <c r="CL233" s="213"/>
      <c r="CM233" s="213"/>
      <c r="CN233" s="213"/>
      <c r="CO233" s="213"/>
      <c r="CP233" s="213"/>
      <c r="CQ233" s="213"/>
    </row>
    <row r="234" ht="15.75" customHeight="1">
      <c r="A234" s="213"/>
      <c r="B234" s="213"/>
      <c r="C234" s="213"/>
      <c r="D234" s="213"/>
      <c r="E234" s="213"/>
      <c r="F234" s="213"/>
      <c r="G234" s="213"/>
      <c r="H234" s="213"/>
      <c r="I234" s="213"/>
      <c r="J234" s="216"/>
      <c r="K234" s="213"/>
      <c r="L234" s="213"/>
      <c r="M234" s="213"/>
      <c r="N234" s="213"/>
      <c r="O234" s="213"/>
      <c r="P234" s="216"/>
      <c r="Q234" s="213"/>
      <c r="R234" s="213"/>
      <c r="S234" s="213"/>
      <c r="T234" s="213"/>
      <c r="U234" s="213"/>
      <c r="V234" s="216"/>
      <c r="W234" s="213"/>
      <c r="X234" s="213"/>
      <c r="Y234" s="213"/>
      <c r="Z234" s="213"/>
      <c r="AA234" s="213"/>
      <c r="AB234" s="216"/>
      <c r="AC234" s="213"/>
      <c r="AD234" s="213"/>
      <c r="AE234" s="213"/>
      <c r="AF234" s="213"/>
      <c r="AG234" s="213"/>
      <c r="AH234" s="216"/>
      <c r="AI234" s="213"/>
      <c r="AJ234" s="213"/>
      <c r="AK234" s="213"/>
      <c r="AL234" s="213"/>
      <c r="AM234" s="213"/>
      <c r="AN234" s="216"/>
      <c r="AO234" s="213"/>
      <c r="AP234" s="213"/>
      <c r="AQ234" s="213"/>
      <c r="AR234" s="213"/>
      <c r="AS234" s="213"/>
      <c r="AT234" s="216"/>
      <c r="AU234" s="213"/>
      <c r="AV234" s="213"/>
      <c r="AW234" s="213"/>
      <c r="AX234" s="213"/>
      <c r="AY234" s="213"/>
      <c r="AZ234" s="216"/>
      <c r="BA234" s="213"/>
      <c r="BB234" s="213"/>
      <c r="BC234" s="213"/>
      <c r="BD234" s="213"/>
      <c r="BE234" s="213"/>
      <c r="BF234" s="216"/>
      <c r="BG234" s="213"/>
      <c r="BH234" s="213"/>
      <c r="BI234" s="213"/>
      <c r="BJ234" s="213"/>
      <c r="BK234" s="213"/>
      <c r="BL234" s="216"/>
      <c r="BM234" s="213"/>
      <c r="BN234" s="213"/>
      <c r="BO234" s="213"/>
      <c r="BP234" s="213"/>
      <c r="BQ234" s="213"/>
      <c r="BR234" s="326"/>
      <c r="BS234" s="213"/>
      <c r="BT234" s="213"/>
      <c r="BU234" s="213"/>
      <c r="BV234" s="213"/>
      <c r="BW234" s="213"/>
      <c r="BX234" s="213"/>
      <c r="BY234" s="213"/>
      <c r="BZ234" s="213"/>
      <c r="CA234" s="213"/>
      <c r="CB234" s="213"/>
      <c r="CC234" s="213"/>
      <c r="CD234" s="213"/>
      <c r="CE234" s="213"/>
      <c r="CF234" s="213"/>
      <c r="CG234" s="213"/>
      <c r="CH234" s="213"/>
      <c r="CI234" s="213"/>
      <c r="CJ234" s="213"/>
      <c r="CK234" s="213"/>
      <c r="CL234" s="213"/>
      <c r="CM234" s="213"/>
      <c r="CN234" s="213"/>
      <c r="CO234" s="213"/>
      <c r="CP234" s="213"/>
      <c r="CQ234" s="213"/>
    </row>
    <row r="235" ht="15.75" customHeight="1">
      <c r="A235" s="213"/>
      <c r="B235" s="213"/>
      <c r="C235" s="213"/>
      <c r="D235" s="213"/>
      <c r="E235" s="213"/>
      <c r="F235" s="213"/>
      <c r="G235" s="213"/>
      <c r="H235" s="213"/>
      <c r="I235" s="213"/>
      <c r="J235" s="216"/>
      <c r="K235" s="213"/>
      <c r="L235" s="213"/>
      <c r="M235" s="213"/>
      <c r="N235" s="213"/>
      <c r="O235" s="213"/>
      <c r="P235" s="216"/>
      <c r="Q235" s="213"/>
      <c r="R235" s="213"/>
      <c r="S235" s="213"/>
      <c r="T235" s="213"/>
      <c r="U235" s="213"/>
      <c r="V235" s="216"/>
      <c r="W235" s="213"/>
      <c r="X235" s="213"/>
      <c r="Y235" s="213"/>
      <c r="Z235" s="213"/>
      <c r="AA235" s="213"/>
      <c r="AB235" s="216"/>
      <c r="AC235" s="213"/>
      <c r="AD235" s="213"/>
      <c r="AE235" s="213"/>
      <c r="AF235" s="213"/>
      <c r="AG235" s="213"/>
      <c r="AH235" s="216"/>
      <c r="AI235" s="213"/>
      <c r="AJ235" s="213"/>
      <c r="AK235" s="213"/>
      <c r="AL235" s="213"/>
      <c r="AM235" s="213"/>
      <c r="AN235" s="216"/>
      <c r="AO235" s="213"/>
      <c r="AP235" s="213"/>
      <c r="AQ235" s="213"/>
      <c r="AR235" s="213"/>
      <c r="AS235" s="213"/>
      <c r="AT235" s="216"/>
      <c r="AU235" s="213"/>
      <c r="AV235" s="213"/>
      <c r="AW235" s="213"/>
      <c r="AX235" s="213"/>
      <c r="AY235" s="213"/>
      <c r="AZ235" s="216"/>
      <c r="BA235" s="213"/>
      <c r="BB235" s="213"/>
      <c r="BC235" s="213"/>
      <c r="BD235" s="213"/>
      <c r="BE235" s="213"/>
      <c r="BF235" s="216"/>
      <c r="BG235" s="213"/>
      <c r="BH235" s="213"/>
      <c r="BI235" s="213"/>
      <c r="BJ235" s="213"/>
      <c r="BK235" s="213"/>
      <c r="BL235" s="216"/>
      <c r="BM235" s="213"/>
      <c r="BN235" s="213"/>
      <c r="BO235" s="213"/>
      <c r="BP235" s="213"/>
      <c r="BQ235" s="213"/>
      <c r="BR235" s="326"/>
      <c r="BS235" s="213"/>
      <c r="BT235" s="213"/>
      <c r="BU235" s="213"/>
      <c r="BV235" s="213"/>
      <c r="BW235" s="213"/>
      <c r="BX235" s="213"/>
      <c r="BY235" s="213"/>
      <c r="BZ235" s="213"/>
      <c r="CA235" s="213"/>
      <c r="CB235" s="213"/>
      <c r="CC235" s="213"/>
      <c r="CD235" s="213"/>
      <c r="CE235" s="213"/>
      <c r="CF235" s="213"/>
      <c r="CG235" s="213"/>
      <c r="CH235" s="213"/>
      <c r="CI235" s="213"/>
      <c r="CJ235" s="213"/>
      <c r="CK235" s="213"/>
      <c r="CL235" s="213"/>
      <c r="CM235" s="213"/>
      <c r="CN235" s="213"/>
      <c r="CO235" s="213"/>
      <c r="CP235" s="213"/>
      <c r="CQ235" s="213"/>
    </row>
    <row r="236" ht="15.75" customHeight="1">
      <c r="A236" s="213"/>
      <c r="B236" s="213"/>
      <c r="C236" s="213"/>
      <c r="D236" s="213"/>
      <c r="E236" s="213"/>
      <c r="F236" s="213"/>
      <c r="G236" s="213"/>
      <c r="H236" s="213"/>
      <c r="I236" s="213"/>
      <c r="J236" s="216"/>
      <c r="K236" s="213"/>
      <c r="L236" s="213"/>
      <c r="M236" s="213"/>
      <c r="N236" s="213"/>
      <c r="O236" s="213"/>
      <c r="P236" s="216"/>
      <c r="Q236" s="213"/>
      <c r="R236" s="213"/>
      <c r="S236" s="213"/>
      <c r="T236" s="213"/>
      <c r="U236" s="213"/>
      <c r="V236" s="216"/>
      <c r="W236" s="213"/>
      <c r="X236" s="213"/>
      <c r="Y236" s="213"/>
      <c r="Z236" s="213"/>
      <c r="AA236" s="213"/>
      <c r="AB236" s="216"/>
      <c r="AC236" s="213"/>
      <c r="AD236" s="213"/>
      <c r="AE236" s="213"/>
      <c r="AF236" s="213"/>
      <c r="AG236" s="213"/>
      <c r="AH236" s="216"/>
      <c r="AI236" s="213"/>
      <c r="AJ236" s="213"/>
      <c r="AK236" s="213"/>
      <c r="AL236" s="213"/>
      <c r="AM236" s="213"/>
      <c r="AN236" s="216"/>
      <c r="AO236" s="213"/>
      <c r="AP236" s="213"/>
      <c r="AQ236" s="213"/>
      <c r="AR236" s="213"/>
      <c r="AS236" s="213"/>
      <c r="AT236" s="216"/>
      <c r="AU236" s="213"/>
      <c r="AV236" s="213"/>
      <c r="AW236" s="213"/>
      <c r="AX236" s="213"/>
      <c r="AY236" s="213"/>
      <c r="AZ236" s="216"/>
      <c r="BA236" s="213"/>
      <c r="BB236" s="213"/>
      <c r="BC236" s="213"/>
      <c r="BD236" s="213"/>
      <c r="BE236" s="213"/>
      <c r="BF236" s="216"/>
      <c r="BG236" s="213"/>
      <c r="BH236" s="213"/>
      <c r="BI236" s="213"/>
      <c r="BJ236" s="213"/>
      <c r="BK236" s="213"/>
      <c r="BL236" s="216"/>
      <c r="BM236" s="213"/>
      <c r="BN236" s="213"/>
      <c r="BO236" s="213"/>
      <c r="BP236" s="213"/>
      <c r="BQ236" s="213"/>
      <c r="BR236" s="326"/>
      <c r="BS236" s="213"/>
      <c r="BT236" s="213"/>
      <c r="BU236" s="213"/>
      <c r="BV236" s="213"/>
      <c r="BW236" s="213"/>
      <c r="BX236" s="213"/>
      <c r="BY236" s="213"/>
      <c r="BZ236" s="213"/>
      <c r="CA236" s="213"/>
      <c r="CB236" s="213"/>
      <c r="CC236" s="213"/>
      <c r="CD236" s="213"/>
      <c r="CE236" s="213"/>
      <c r="CF236" s="213"/>
      <c r="CG236" s="213"/>
      <c r="CH236" s="213"/>
      <c r="CI236" s="213"/>
      <c r="CJ236" s="213"/>
      <c r="CK236" s="213"/>
      <c r="CL236" s="213"/>
      <c r="CM236" s="213"/>
      <c r="CN236" s="213"/>
      <c r="CO236" s="213"/>
      <c r="CP236" s="213"/>
      <c r="CQ236" s="213"/>
    </row>
    <row r="237" ht="15.75" customHeight="1">
      <c r="A237" s="213"/>
      <c r="B237" s="213"/>
      <c r="C237" s="213"/>
      <c r="D237" s="213"/>
      <c r="E237" s="213"/>
      <c r="F237" s="213"/>
      <c r="G237" s="213"/>
      <c r="H237" s="213"/>
      <c r="I237" s="213"/>
      <c r="J237" s="216"/>
      <c r="K237" s="213"/>
      <c r="L237" s="213"/>
      <c r="M237" s="213"/>
      <c r="N237" s="213"/>
      <c r="O237" s="213"/>
      <c r="P237" s="216"/>
      <c r="Q237" s="213"/>
      <c r="R237" s="213"/>
      <c r="S237" s="213"/>
      <c r="T237" s="213"/>
      <c r="U237" s="213"/>
      <c r="V237" s="216"/>
      <c r="W237" s="213"/>
      <c r="X237" s="213"/>
      <c r="Y237" s="213"/>
      <c r="Z237" s="213"/>
      <c r="AA237" s="213"/>
      <c r="AB237" s="216"/>
      <c r="AC237" s="213"/>
      <c r="AD237" s="213"/>
      <c r="AE237" s="213"/>
      <c r="AF237" s="213"/>
      <c r="AG237" s="213"/>
      <c r="AH237" s="216"/>
      <c r="AI237" s="213"/>
      <c r="AJ237" s="213"/>
      <c r="AK237" s="213"/>
      <c r="AL237" s="213"/>
      <c r="AM237" s="213"/>
      <c r="AN237" s="216"/>
      <c r="AO237" s="213"/>
      <c r="AP237" s="213"/>
      <c r="AQ237" s="213"/>
      <c r="AR237" s="213"/>
      <c r="AS237" s="213"/>
      <c r="AT237" s="216"/>
      <c r="AU237" s="213"/>
      <c r="AV237" s="213"/>
      <c r="AW237" s="213"/>
      <c r="AX237" s="213"/>
      <c r="AY237" s="213"/>
      <c r="AZ237" s="216"/>
      <c r="BA237" s="213"/>
      <c r="BB237" s="213"/>
      <c r="BC237" s="213"/>
      <c r="BD237" s="213"/>
      <c r="BE237" s="213"/>
      <c r="BF237" s="216"/>
      <c r="BG237" s="213"/>
      <c r="BH237" s="213"/>
      <c r="BI237" s="213"/>
      <c r="BJ237" s="213"/>
      <c r="BK237" s="213"/>
      <c r="BL237" s="216"/>
      <c r="BM237" s="213"/>
      <c r="BN237" s="213"/>
      <c r="BO237" s="213"/>
      <c r="BP237" s="213"/>
      <c r="BQ237" s="213"/>
      <c r="BR237" s="326"/>
      <c r="BS237" s="213"/>
      <c r="BT237" s="213"/>
      <c r="BU237" s="213"/>
      <c r="BV237" s="213"/>
      <c r="BW237" s="213"/>
      <c r="BX237" s="213"/>
      <c r="BY237" s="213"/>
      <c r="BZ237" s="213"/>
      <c r="CA237" s="213"/>
      <c r="CB237" s="213"/>
      <c r="CC237" s="213"/>
      <c r="CD237" s="213"/>
      <c r="CE237" s="213"/>
      <c r="CF237" s="213"/>
      <c r="CG237" s="213"/>
      <c r="CH237" s="213"/>
      <c r="CI237" s="213"/>
      <c r="CJ237" s="213"/>
      <c r="CK237" s="213"/>
      <c r="CL237" s="213"/>
      <c r="CM237" s="213"/>
      <c r="CN237" s="213"/>
      <c r="CO237" s="213"/>
      <c r="CP237" s="213"/>
      <c r="CQ237" s="213"/>
    </row>
    <row r="238" ht="15.75" customHeight="1">
      <c r="A238" s="213"/>
      <c r="B238" s="213"/>
      <c r="C238" s="213"/>
      <c r="D238" s="213"/>
      <c r="E238" s="213"/>
      <c r="F238" s="213"/>
      <c r="G238" s="213"/>
      <c r="H238" s="213"/>
      <c r="I238" s="213"/>
      <c r="J238" s="216"/>
      <c r="K238" s="213"/>
      <c r="L238" s="213"/>
      <c r="M238" s="213"/>
      <c r="N238" s="213"/>
      <c r="O238" s="213"/>
      <c r="P238" s="216"/>
      <c r="Q238" s="213"/>
      <c r="R238" s="213"/>
      <c r="S238" s="213"/>
      <c r="T238" s="213"/>
      <c r="U238" s="213"/>
      <c r="V238" s="216"/>
      <c r="W238" s="213"/>
      <c r="X238" s="213"/>
      <c r="Y238" s="213"/>
      <c r="Z238" s="213"/>
      <c r="AA238" s="213"/>
      <c r="AB238" s="216"/>
      <c r="AC238" s="213"/>
      <c r="AD238" s="213"/>
      <c r="AE238" s="213"/>
      <c r="AF238" s="213"/>
      <c r="AG238" s="213"/>
      <c r="AH238" s="216"/>
      <c r="AI238" s="213"/>
      <c r="AJ238" s="213"/>
      <c r="AK238" s="213"/>
      <c r="AL238" s="213"/>
      <c r="AM238" s="213"/>
      <c r="AN238" s="216"/>
      <c r="AO238" s="213"/>
      <c r="AP238" s="213"/>
      <c r="AQ238" s="213"/>
      <c r="AR238" s="213"/>
      <c r="AS238" s="213"/>
      <c r="AT238" s="216"/>
      <c r="AU238" s="213"/>
      <c r="AV238" s="213"/>
      <c r="AW238" s="213"/>
      <c r="AX238" s="213"/>
      <c r="AY238" s="213"/>
      <c r="AZ238" s="216"/>
      <c r="BA238" s="213"/>
      <c r="BB238" s="213"/>
      <c r="BC238" s="213"/>
      <c r="BD238" s="213"/>
      <c r="BE238" s="213"/>
      <c r="BF238" s="216"/>
      <c r="BG238" s="213"/>
      <c r="BH238" s="213"/>
      <c r="BI238" s="213"/>
      <c r="BJ238" s="213"/>
      <c r="BK238" s="213"/>
      <c r="BL238" s="216"/>
      <c r="BM238" s="213"/>
      <c r="BN238" s="213"/>
      <c r="BO238" s="213"/>
      <c r="BP238" s="213"/>
      <c r="BQ238" s="213"/>
      <c r="BR238" s="326"/>
      <c r="BS238" s="213"/>
      <c r="BT238" s="213"/>
      <c r="BU238" s="213"/>
      <c r="BV238" s="213"/>
      <c r="BW238" s="213"/>
      <c r="BX238" s="213"/>
      <c r="BY238" s="213"/>
      <c r="BZ238" s="213"/>
      <c r="CA238" s="213"/>
      <c r="CB238" s="213"/>
      <c r="CC238" s="213"/>
      <c r="CD238" s="213"/>
      <c r="CE238" s="213"/>
      <c r="CF238" s="213"/>
      <c r="CG238" s="213"/>
      <c r="CH238" s="213"/>
      <c r="CI238" s="213"/>
      <c r="CJ238" s="213"/>
      <c r="CK238" s="213"/>
      <c r="CL238" s="213"/>
      <c r="CM238" s="213"/>
      <c r="CN238" s="213"/>
      <c r="CO238" s="213"/>
      <c r="CP238" s="213"/>
      <c r="CQ238" s="213"/>
    </row>
    <row r="239" ht="15.75" customHeight="1">
      <c r="A239" s="213"/>
      <c r="B239" s="213"/>
      <c r="C239" s="213"/>
      <c r="D239" s="213"/>
      <c r="E239" s="213"/>
      <c r="F239" s="213"/>
      <c r="G239" s="213"/>
      <c r="H239" s="213"/>
      <c r="I239" s="213"/>
      <c r="J239" s="216"/>
      <c r="K239" s="213"/>
      <c r="L239" s="213"/>
      <c r="M239" s="213"/>
      <c r="N239" s="213"/>
      <c r="O239" s="213"/>
      <c r="P239" s="216"/>
      <c r="Q239" s="213"/>
      <c r="R239" s="213"/>
      <c r="S239" s="213"/>
      <c r="T239" s="213"/>
      <c r="U239" s="213"/>
      <c r="V239" s="216"/>
      <c r="W239" s="213"/>
      <c r="X239" s="213"/>
      <c r="Y239" s="213"/>
      <c r="Z239" s="213"/>
      <c r="AA239" s="213"/>
      <c r="AB239" s="216"/>
      <c r="AC239" s="213"/>
      <c r="AD239" s="213"/>
      <c r="AE239" s="213"/>
      <c r="AF239" s="213"/>
      <c r="AG239" s="213"/>
      <c r="AH239" s="216"/>
      <c r="AI239" s="213"/>
      <c r="AJ239" s="213"/>
      <c r="AK239" s="213"/>
      <c r="AL239" s="213"/>
      <c r="AM239" s="213"/>
      <c r="AN239" s="216"/>
      <c r="AO239" s="213"/>
      <c r="AP239" s="213"/>
      <c r="AQ239" s="213"/>
      <c r="AR239" s="213"/>
      <c r="AS239" s="213"/>
      <c r="AT239" s="216"/>
      <c r="AU239" s="213"/>
      <c r="AV239" s="213"/>
      <c r="AW239" s="213"/>
      <c r="AX239" s="213"/>
      <c r="AY239" s="213"/>
      <c r="AZ239" s="216"/>
      <c r="BA239" s="213"/>
      <c r="BB239" s="213"/>
      <c r="BC239" s="213"/>
      <c r="BD239" s="213"/>
      <c r="BE239" s="213"/>
      <c r="BF239" s="216"/>
      <c r="BG239" s="213"/>
      <c r="BH239" s="213"/>
      <c r="BI239" s="213"/>
      <c r="BJ239" s="213"/>
      <c r="BK239" s="213"/>
      <c r="BL239" s="216"/>
      <c r="BM239" s="213"/>
      <c r="BN239" s="213"/>
      <c r="BO239" s="213"/>
      <c r="BP239" s="213"/>
      <c r="BQ239" s="213"/>
      <c r="BR239" s="326"/>
      <c r="BS239" s="213"/>
      <c r="BT239" s="213"/>
      <c r="BU239" s="213"/>
      <c r="BV239" s="213"/>
      <c r="BW239" s="213"/>
      <c r="BX239" s="213"/>
      <c r="BY239" s="213"/>
      <c r="BZ239" s="213"/>
      <c r="CA239" s="213"/>
      <c r="CB239" s="213"/>
      <c r="CC239" s="213"/>
      <c r="CD239" s="213"/>
      <c r="CE239" s="213"/>
      <c r="CF239" s="213"/>
      <c r="CG239" s="213"/>
      <c r="CH239" s="213"/>
      <c r="CI239" s="213"/>
      <c r="CJ239" s="213"/>
      <c r="CK239" s="213"/>
      <c r="CL239" s="213"/>
      <c r="CM239" s="213"/>
      <c r="CN239" s="213"/>
      <c r="CO239" s="213"/>
      <c r="CP239" s="213"/>
      <c r="CQ239" s="213"/>
    </row>
    <row r="240" ht="15.75" customHeight="1">
      <c r="A240" s="213"/>
      <c r="B240" s="213"/>
      <c r="C240" s="213"/>
      <c r="D240" s="213"/>
      <c r="E240" s="213"/>
      <c r="F240" s="213"/>
      <c r="G240" s="213"/>
      <c r="H240" s="213"/>
      <c r="I240" s="213"/>
      <c r="J240" s="216"/>
      <c r="K240" s="213"/>
      <c r="L240" s="213"/>
      <c r="M240" s="213"/>
      <c r="N240" s="213"/>
      <c r="O240" s="213"/>
      <c r="P240" s="216"/>
      <c r="Q240" s="213"/>
      <c r="R240" s="213"/>
      <c r="S240" s="213"/>
      <c r="T240" s="213"/>
      <c r="U240" s="213"/>
      <c r="V240" s="216"/>
      <c r="W240" s="213"/>
      <c r="X240" s="213"/>
      <c r="Y240" s="213"/>
      <c r="Z240" s="213"/>
      <c r="AA240" s="213"/>
      <c r="AB240" s="216"/>
      <c r="AC240" s="213"/>
      <c r="AD240" s="213"/>
      <c r="AE240" s="213"/>
      <c r="AF240" s="213"/>
      <c r="AG240" s="213"/>
      <c r="AH240" s="216"/>
      <c r="AI240" s="213"/>
      <c r="AJ240" s="213"/>
      <c r="AK240" s="213"/>
      <c r="AL240" s="213"/>
      <c r="AM240" s="213"/>
      <c r="AN240" s="216"/>
      <c r="AO240" s="213"/>
      <c r="AP240" s="213"/>
      <c r="AQ240" s="213"/>
      <c r="AR240" s="213"/>
      <c r="AS240" s="213"/>
      <c r="AT240" s="216"/>
      <c r="AU240" s="213"/>
      <c r="AV240" s="213"/>
      <c r="AW240" s="213"/>
      <c r="AX240" s="213"/>
      <c r="AY240" s="213"/>
      <c r="AZ240" s="216"/>
      <c r="BA240" s="213"/>
      <c r="BB240" s="213"/>
      <c r="BC240" s="213"/>
      <c r="BD240" s="213"/>
      <c r="BE240" s="213"/>
      <c r="BF240" s="216"/>
      <c r="BG240" s="213"/>
      <c r="BH240" s="213"/>
      <c r="BI240" s="213"/>
      <c r="BJ240" s="213"/>
      <c r="BK240" s="213"/>
      <c r="BL240" s="216"/>
      <c r="BM240" s="213"/>
      <c r="BN240" s="213"/>
      <c r="BO240" s="213"/>
      <c r="BP240" s="213"/>
      <c r="BQ240" s="213"/>
      <c r="BR240" s="326"/>
      <c r="BS240" s="213"/>
      <c r="BT240" s="213"/>
      <c r="BU240" s="213"/>
      <c r="BV240" s="213"/>
      <c r="BW240" s="213"/>
      <c r="BX240" s="213"/>
      <c r="BY240" s="213"/>
      <c r="BZ240" s="213"/>
      <c r="CA240" s="213"/>
      <c r="CB240" s="213"/>
      <c r="CC240" s="213"/>
      <c r="CD240" s="213"/>
      <c r="CE240" s="213"/>
      <c r="CF240" s="213"/>
      <c r="CG240" s="213"/>
      <c r="CH240" s="213"/>
      <c r="CI240" s="213"/>
      <c r="CJ240" s="213"/>
      <c r="CK240" s="213"/>
      <c r="CL240" s="213"/>
      <c r="CM240" s="213"/>
      <c r="CN240" s="213"/>
      <c r="CO240" s="213"/>
      <c r="CP240" s="213"/>
      <c r="CQ240" s="213"/>
    </row>
    <row r="241" ht="15.75" customHeight="1">
      <c r="A241" s="213"/>
      <c r="B241" s="213"/>
      <c r="C241" s="213"/>
      <c r="D241" s="213"/>
      <c r="E241" s="213"/>
      <c r="F241" s="213"/>
      <c r="G241" s="213"/>
      <c r="H241" s="213"/>
      <c r="I241" s="213"/>
      <c r="J241" s="216"/>
      <c r="K241" s="213"/>
      <c r="L241" s="213"/>
      <c r="M241" s="213"/>
      <c r="N241" s="213"/>
      <c r="O241" s="213"/>
      <c r="P241" s="216"/>
      <c r="Q241" s="213"/>
      <c r="R241" s="213"/>
      <c r="S241" s="213"/>
      <c r="T241" s="213"/>
      <c r="U241" s="213"/>
      <c r="V241" s="216"/>
      <c r="W241" s="213"/>
      <c r="X241" s="213"/>
      <c r="Y241" s="213"/>
      <c r="Z241" s="213"/>
      <c r="AA241" s="213"/>
      <c r="AB241" s="216"/>
      <c r="AC241" s="213"/>
      <c r="AD241" s="213"/>
      <c r="AE241" s="213"/>
      <c r="AF241" s="213"/>
      <c r="AG241" s="213"/>
      <c r="AH241" s="216"/>
      <c r="AI241" s="213"/>
      <c r="AJ241" s="213"/>
      <c r="AK241" s="213"/>
      <c r="AL241" s="213"/>
      <c r="AM241" s="213"/>
      <c r="AN241" s="216"/>
      <c r="AO241" s="213"/>
      <c r="AP241" s="213"/>
      <c r="AQ241" s="213"/>
      <c r="AR241" s="213"/>
      <c r="AS241" s="213"/>
      <c r="AT241" s="216"/>
      <c r="AU241" s="213"/>
      <c r="AV241" s="213"/>
      <c r="AW241" s="213"/>
      <c r="AX241" s="213"/>
      <c r="AY241" s="213"/>
      <c r="AZ241" s="216"/>
      <c r="BA241" s="213"/>
      <c r="BB241" s="213"/>
      <c r="BC241" s="213"/>
      <c r="BD241" s="213"/>
      <c r="BE241" s="213"/>
      <c r="BF241" s="216"/>
      <c r="BG241" s="213"/>
      <c r="BH241" s="213"/>
      <c r="BI241" s="213"/>
      <c r="BJ241" s="213"/>
      <c r="BK241" s="213"/>
      <c r="BL241" s="216"/>
      <c r="BM241" s="213"/>
      <c r="BN241" s="213"/>
      <c r="BO241" s="213"/>
      <c r="BP241" s="213"/>
      <c r="BQ241" s="213"/>
      <c r="BR241" s="326"/>
      <c r="BS241" s="213"/>
      <c r="BT241" s="213"/>
      <c r="BU241" s="213"/>
      <c r="BV241" s="213"/>
      <c r="BW241" s="213"/>
      <c r="BX241" s="213"/>
      <c r="BY241" s="213"/>
      <c r="BZ241" s="213"/>
      <c r="CA241" s="213"/>
      <c r="CB241" s="213"/>
      <c r="CC241" s="213"/>
      <c r="CD241" s="213"/>
      <c r="CE241" s="213"/>
      <c r="CF241" s="213"/>
      <c r="CG241" s="213"/>
      <c r="CH241" s="213"/>
      <c r="CI241" s="213"/>
      <c r="CJ241" s="213"/>
      <c r="CK241" s="213"/>
      <c r="CL241" s="213"/>
      <c r="CM241" s="213"/>
      <c r="CN241" s="213"/>
      <c r="CO241" s="213"/>
      <c r="CP241" s="213"/>
      <c r="CQ241" s="213"/>
    </row>
    <row r="242" ht="15.75" customHeight="1">
      <c r="A242" s="213"/>
      <c r="B242" s="213"/>
      <c r="C242" s="213"/>
      <c r="D242" s="213"/>
      <c r="E242" s="213"/>
      <c r="F242" s="213"/>
      <c r="G242" s="213"/>
      <c r="H242" s="213"/>
      <c r="I242" s="213"/>
      <c r="J242" s="216"/>
      <c r="K242" s="213"/>
      <c r="L242" s="213"/>
      <c r="M242" s="213"/>
      <c r="N242" s="213"/>
      <c r="O242" s="213"/>
      <c r="P242" s="216"/>
      <c r="Q242" s="213"/>
      <c r="R242" s="213"/>
      <c r="S242" s="213"/>
      <c r="T242" s="213"/>
      <c r="U242" s="213"/>
      <c r="V242" s="216"/>
      <c r="W242" s="213"/>
      <c r="X242" s="213"/>
      <c r="Y242" s="213"/>
      <c r="Z242" s="213"/>
      <c r="AA242" s="213"/>
      <c r="AB242" s="216"/>
      <c r="AC242" s="213"/>
      <c r="AD242" s="213"/>
      <c r="AE242" s="213"/>
      <c r="AF242" s="213"/>
      <c r="AG242" s="213"/>
      <c r="AH242" s="216"/>
      <c r="AI242" s="213"/>
      <c r="AJ242" s="213"/>
      <c r="AK242" s="213"/>
      <c r="AL242" s="213"/>
      <c r="AM242" s="213"/>
      <c r="AN242" s="216"/>
      <c r="AO242" s="213"/>
      <c r="AP242" s="213"/>
      <c r="AQ242" s="213"/>
      <c r="AR242" s="213"/>
      <c r="AS242" s="213"/>
      <c r="AT242" s="216"/>
      <c r="AU242" s="213"/>
      <c r="AV242" s="213"/>
      <c r="AW242" s="213"/>
      <c r="AX242" s="213"/>
      <c r="AY242" s="213"/>
      <c r="AZ242" s="216"/>
      <c r="BA242" s="213"/>
      <c r="BB242" s="213"/>
      <c r="BC242" s="213"/>
      <c r="BD242" s="213"/>
      <c r="BE242" s="213"/>
      <c r="BF242" s="216"/>
      <c r="BG242" s="213"/>
      <c r="BH242" s="213"/>
      <c r="BI242" s="213"/>
      <c r="BJ242" s="213"/>
      <c r="BK242" s="213"/>
      <c r="BL242" s="216"/>
      <c r="BM242" s="213"/>
      <c r="BN242" s="213"/>
      <c r="BO242" s="213"/>
      <c r="BP242" s="213"/>
      <c r="BQ242" s="213"/>
      <c r="BR242" s="326"/>
      <c r="BS242" s="213"/>
      <c r="BT242" s="213"/>
      <c r="BU242" s="213"/>
      <c r="BV242" s="213"/>
      <c r="BW242" s="213"/>
      <c r="BX242" s="213"/>
      <c r="BY242" s="213"/>
      <c r="BZ242" s="213"/>
      <c r="CA242" s="213"/>
      <c r="CB242" s="213"/>
      <c r="CC242" s="213"/>
      <c r="CD242" s="213"/>
      <c r="CE242" s="213"/>
      <c r="CF242" s="213"/>
      <c r="CG242" s="213"/>
      <c r="CH242" s="213"/>
      <c r="CI242" s="213"/>
      <c r="CJ242" s="213"/>
      <c r="CK242" s="213"/>
      <c r="CL242" s="213"/>
      <c r="CM242" s="213"/>
      <c r="CN242" s="213"/>
      <c r="CO242" s="213"/>
      <c r="CP242" s="213"/>
      <c r="CQ242" s="213"/>
    </row>
    <row r="243" ht="15.75" customHeight="1">
      <c r="A243" s="213"/>
      <c r="B243" s="213"/>
      <c r="C243" s="213"/>
      <c r="D243" s="213"/>
      <c r="E243" s="213"/>
      <c r="F243" s="213"/>
      <c r="G243" s="213"/>
      <c r="H243" s="213"/>
      <c r="I243" s="213"/>
      <c r="J243" s="216"/>
      <c r="K243" s="213"/>
      <c r="L243" s="213"/>
      <c r="M243" s="213"/>
      <c r="N243" s="213"/>
      <c r="O243" s="213"/>
      <c r="P243" s="216"/>
      <c r="Q243" s="213"/>
      <c r="R243" s="213"/>
      <c r="S243" s="213"/>
      <c r="T243" s="213"/>
      <c r="U243" s="213"/>
      <c r="V243" s="216"/>
      <c r="W243" s="213"/>
      <c r="X243" s="213"/>
      <c r="Y243" s="213"/>
      <c r="Z243" s="213"/>
      <c r="AA243" s="213"/>
      <c r="AB243" s="216"/>
      <c r="AC243" s="213"/>
      <c r="AD243" s="213"/>
      <c r="AE243" s="213"/>
      <c r="AF243" s="213"/>
      <c r="AG243" s="213"/>
      <c r="AH243" s="216"/>
      <c r="AI243" s="213"/>
      <c r="AJ243" s="213"/>
      <c r="AK243" s="213"/>
      <c r="AL243" s="213"/>
      <c r="AM243" s="213"/>
      <c r="AN243" s="216"/>
      <c r="AO243" s="213"/>
      <c r="AP243" s="213"/>
      <c r="AQ243" s="213"/>
      <c r="AR243" s="213"/>
      <c r="AS243" s="213"/>
      <c r="AT243" s="216"/>
      <c r="AU243" s="213"/>
      <c r="AV243" s="213"/>
      <c r="AW243" s="213"/>
      <c r="AX243" s="213"/>
      <c r="AY243" s="213"/>
      <c r="AZ243" s="216"/>
      <c r="BA243" s="213"/>
      <c r="BB243" s="213"/>
      <c r="BC243" s="213"/>
      <c r="BD243" s="213"/>
      <c r="BE243" s="213"/>
      <c r="BF243" s="216"/>
      <c r="BG243" s="213"/>
      <c r="BH243" s="213"/>
      <c r="BI243" s="213"/>
      <c r="BJ243" s="213"/>
      <c r="BK243" s="213"/>
      <c r="BL243" s="216"/>
      <c r="BM243" s="213"/>
      <c r="BN243" s="213"/>
      <c r="BO243" s="213"/>
      <c r="BP243" s="213"/>
      <c r="BQ243" s="213"/>
      <c r="BR243" s="326"/>
      <c r="BS243" s="213"/>
      <c r="BT243" s="213"/>
      <c r="BU243" s="213"/>
      <c r="BV243" s="213"/>
      <c r="BW243" s="213"/>
      <c r="BX243" s="213"/>
      <c r="BY243" s="213"/>
      <c r="BZ243" s="213"/>
      <c r="CA243" s="213"/>
      <c r="CB243" s="213"/>
      <c r="CC243" s="213"/>
      <c r="CD243" s="213"/>
      <c r="CE243" s="213"/>
      <c r="CF243" s="213"/>
      <c r="CG243" s="213"/>
      <c r="CH243" s="213"/>
      <c r="CI243" s="213"/>
      <c r="CJ243" s="213"/>
      <c r="CK243" s="213"/>
      <c r="CL243" s="213"/>
      <c r="CM243" s="213"/>
      <c r="CN243" s="213"/>
      <c r="CO243" s="213"/>
      <c r="CP243" s="213"/>
      <c r="CQ243" s="213"/>
    </row>
    <row r="244" ht="15.75" customHeight="1">
      <c r="A244" s="213"/>
      <c r="B244" s="213"/>
      <c r="C244" s="213"/>
      <c r="D244" s="213"/>
      <c r="E244" s="213"/>
      <c r="F244" s="213"/>
      <c r="G244" s="213"/>
      <c r="H244" s="213"/>
      <c r="I244" s="213"/>
      <c r="J244" s="216"/>
      <c r="K244" s="213"/>
      <c r="L244" s="213"/>
      <c r="M244" s="213"/>
      <c r="N244" s="213"/>
      <c r="O244" s="213"/>
      <c r="P244" s="216"/>
      <c r="Q244" s="213"/>
      <c r="R244" s="213"/>
      <c r="S244" s="213"/>
      <c r="T244" s="213"/>
      <c r="U244" s="213"/>
      <c r="V244" s="216"/>
      <c r="W244" s="213"/>
      <c r="X244" s="213"/>
      <c r="Y244" s="213"/>
      <c r="Z244" s="213"/>
      <c r="AA244" s="213"/>
      <c r="AB244" s="216"/>
      <c r="AC244" s="213"/>
      <c r="AD244" s="213"/>
      <c r="AE244" s="213"/>
      <c r="AF244" s="213"/>
      <c r="AG244" s="213"/>
      <c r="AH244" s="216"/>
      <c r="AI244" s="213"/>
      <c r="AJ244" s="213"/>
      <c r="AK244" s="213"/>
      <c r="AL244" s="213"/>
      <c r="AM244" s="213"/>
      <c r="AN244" s="216"/>
      <c r="AO244" s="213"/>
      <c r="AP244" s="213"/>
      <c r="AQ244" s="213"/>
      <c r="AR244" s="213"/>
      <c r="AS244" s="213"/>
      <c r="AT244" s="216"/>
      <c r="AU244" s="213"/>
      <c r="AV244" s="213"/>
      <c r="AW244" s="213"/>
      <c r="AX244" s="213"/>
      <c r="AY244" s="213"/>
      <c r="AZ244" s="216"/>
      <c r="BA244" s="213"/>
      <c r="BB244" s="213"/>
      <c r="BC244" s="213"/>
      <c r="BD244" s="213"/>
      <c r="BE244" s="213"/>
      <c r="BF244" s="216"/>
      <c r="BG244" s="213"/>
      <c r="BH244" s="213"/>
      <c r="BI244" s="213"/>
      <c r="BJ244" s="213"/>
      <c r="BK244" s="213"/>
      <c r="BL244" s="216"/>
      <c r="BM244" s="213"/>
      <c r="BN244" s="213"/>
      <c r="BO244" s="213"/>
      <c r="BP244" s="213"/>
      <c r="BQ244" s="213"/>
      <c r="BR244" s="326"/>
      <c r="BS244" s="213"/>
      <c r="BT244" s="213"/>
      <c r="BU244" s="213"/>
      <c r="BV244" s="213"/>
      <c r="BW244" s="213"/>
      <c r="BX244" s="213"/>
      <c r="BY244" s="213"/>
      <c r="BZ244" s="213"/>
      <c r="CA244" s="213"/>
      <c r="CB244" s="213"/>
      <c r="CC244" s="213"/>
      <c r="CD244" s="213"/>
      <c r="CE244" s="213"/>
      <c r="CF244" s="213"/>
      <c r="CG244" s="213"/>
      <c r="CH244" s="213"/>
      <c r="CI244" s="213"/>
      <c r="CJ244" s="213"/>
      <c r="CK244" s="213"/>
      <c r="CL244" s="213"/>
      <c r="CM244" s="213"/>
      <c r="CN244" s="213"/>
      <c r="CO244" s="213"/>
      <c r="CP244" s="213"/>
      <c r="CQ244" s="213"/>
    </row>
    <row r="245" ht="15.75" customHeight="1">
      <c r="A245" s="213"/>
      <c r="B245" s="213"/>
      <c r="C245" s="213"/>
      <c r="D245" s="213"/>
      <c r="E245" s="213"/>
      <c r="F245" s="213"/>
      <c r="G245" s="213"/>
      <c r="H245" s="213"/>
      <c r="I245" s="213"/>
      <c r="J245" s="216"/>
      <c r="K245" s="213"/>
      <c r="L245" s="213"/>
      <c r="M245" s="213"/>
      <c r="N245" s="213"/>
      <c r="O245" s="213"/>
      <c r="P245" s="216"/>
      <c r="Q245" s="213"/>
      <c r="R245" s="213"/>
      <c r="S245" s="213"/>
      <c r="T245" s="213"/>
      <c r="U245" s="213"/>
      <c r="V245" s="216"/>
      <c r="W245" s="213"/>
      <c r="X245" s="213"/>
      <c r="Y245" s="213"/>
      <c r="Z245" s="213"/>
      <c r="AA245" s="213"/>
      <c r="AB245" s="216"/>
      <c r="AC245" s="213"/>
      <c r="AD245" s="213"/>
      <c r="AE245" s="213"/>
      <c r="AF245" s="213"/>
      <c r="AG245" s="213"/>
      <c r="AH245" s="216"/>
      <c r="AI245" s="213"/>
      <c r="AJ245" s="213"/>
      <c r="AK245" s="213"/>
      <c r="AL245" s="213"/>
      <c r="AM245" s="213"/>
      <c r="AN245" s="216"/>
      <c r="AO245" s="213"/>
      <c r="AP245" s="213"/>
      <c r="AQ245" s="213"/>
      <c r="AR245" s="213"/>
      <c r="AS245" s="213"/>
      <c r="AT245" s="216"/>
      <c r="AU245" s="213"/>
      <c r="AV245" s="213"/>
      <c r="AW245" s="213"/>
      <c r="AX245" s="213"/>
      <c r="AY245" s="213"/>
      <c r="AZ245" s="216"/>
      <c r="BA245" s="213"/>
      <c r="BB245" s="213"/>
      <c r="BC245" s="213"/>
      <c r="BD245" s="213"/>
      <c r="BE245" s="213"/>
      <c r="BF245" s="216"/>
      <c r="BG245" s="213"/>
      <c r="BH245" s="213"/>
      <c r="BI245" s="213"/>
      <c r="BJ245" s="213"/>
      <c r="BK245" s="213"/>
      <c r="BL245" s="216"/>
      <c r="BM245" s="213"/>
      <c r="BN245" s="213"/>
      <c r="BO245" s="213"/>
      <c r="BP245" s="213"/>
      <c r="BQ245" s="213"/>
      <c r="BR245" s="326"/>
      <c r="BS245" s="213"/>
      <c r="BT245" s="213"/>
      <c r="BU245" s="213"/>
      <c r="BV245" s="213"/>
      <c r="BW245" s="213"/>
      <c r="BX245" s="213"/>
      <c r="BY245" s="213"/>
      <c r="BZ245" s="213"/>
      <c r="CA245" s="213"/>
      <c r="CB245" s="213"/>
      <c r="CC245" s="213"/>
      <c r="CD245" s="213"/>
      <c r="CE245" s="213"/>
      <c r="CF245" s="213"/>
      <c r="CG245" s="213"/>
      <c r="CH245" s="213"/>
      <c r="CI245" s="213"/>
      <c r="CJ245" s="213"/>
      <c r="CK245" s="213"/>
      <c r="CL245" s="213"/>
      <c r="CM245" s="213"/>
      <c r="CN245" s="213"/>
      <c r="CO245" s="213"/>
      <c r="CP245" s="213"/>
      <c r="CQ245" s="213"/>
    </row>
    <row r="246" ht="15.75" customHeight="1">
      <c r="A246" s="213"/>
      <c r="B246" s="213"/>
      <c r="C246" s="213"/>
      <c r="D246" s="213"/>
      <c r="E246" s="213"/>
      <c r="F246" s="213"/>
      <c r="G246" s="213"/>
      <c r="H246" s="213"/>
      <c r="I246" s="213"/>
      <c r="J246" s="216"/>
      <c r="K246" s="213"/>
      <c r="L246" s="213"/>
      <c r="M246" s="213"/>
      <c r="N246" s="213"/>
      <c r="O246" s="213"/>
      <c r="P246" s="216"/>
      <c r="Q246" s="213"/>
      <c r="R246" s="213"/>
      <c r="S246" s="213"/>
      <c r="T246" s="213"/>
      <c r="U246" s="213"/>
      <c r="V246" s="216"/>
      <c r="W246" s="213"/>
      <c r="X246" s="213"/>
      <c r="Y246" s="213"/>
      <c r="Z246" s="213"/>
      <c r="AA246" s="213"/>
      <c r="AB246" s="216"/>
      <c r="AC246" s="213"/>
      <c r="AD246" s="213"/>
      <c r="AE246" s="213"/>
      <c r="AF246" s="213"/>
      <c r="AG246" s="213"/>
      <c r="AH246" s="216"/>
      <c r="AI246" s="213"/>
      <c r="AJ246" s="213"/>
      <c r="AK246" s="213"/>
      <c r="AL246" s="213"/>
      <c r="AM246" s="213"/>
      <c r="AN246" s="216"/>
      <c r="AO246" s="213"/>
      <c r="AP246" s="213"/>
      <c r="AQ246" s="213"/>
      <c r="AR246" s="213"/>
      <c r="AS246" s="213"/>
      <c r="AT246" s="216"/>
      <c r="AU246" s="213"/>
      <c r="AV246" s="213"/>
      <c r="AW246" s="213"/>
      <c r="AX246" s="213"/>
      <c r="AY246" s="213"/>
      <c r="AZ246" s="216"/>
      <c r="BA246" s="213"/>
      <c r="BB246" s="213"/>
      <c r="BC246" s="213"/>
      <c r="BD246" s="213"/>
      <c r="BE246" s="213"/>
      <c r="BF246" s="216"/>
      <c r="BG246" s="213"/>
      <c r="BH246" s="213"/>
      <c r="BI246" s="213"/>
      <c r="BJ246" s="213"/>
      <c r="BK246" s="213"/>
      <c r="BL246" s="216"/>
      <c r="BM246" s="213"/>
      <c r="BN246" s="213"/>
      <c r="BO246" s="213"/>
      <c r="BP246" s="213"/>
      <c r="BQ246" s="213"/>
      <c r="BR246" s="326"/>
      <c r="BS246" s="213"/>
      <c r="BT246" s="213"/>
      <c r="BU246" s="213"/>
      <c r="BV246" s="213"/>
      <c r="BW246" s="213"/>
      <c r="BX246" s="213"/>
      <c r="BY246" s="213"/>
      <c r="BZ246" s="213"/>
      <c r="CA246" s="213"/>
      <c r="CB246" s="213"/>
      <c r="CC246" s="213"/>
      <c r="CD246" s="213"/>
      <c r="CE246" s="213"/>
      <c r="CF246" s="213"/>
      <c r="CG246" s="213"/>
      <c r="CH246" s="213"/>
      <c r="CI246" s="213"/>
      <c r="CJ246" s="213"/>
      <c r="CK246" s="213"/>
      <c r="CL246" s="213"/>
      <c r="CM246" s="213"/>
      <c r="CN246" s="213"/>
      <c r="CO246" s="213"/>
      <c r="CP246" s="213"/>
      <c r="CQ246" s="213"/>
    </row>
    <row r="247" ht="15.75" customHeight="1">
      <c r="A247" s="213"/>
      <c r="B247" s="213"/>
      <c r="C247" s="213"/>
      <c r="D247" s="213"/>
      <c r="E247" s="213"/>
      <c r="F247" s="213"/>
      <c r="G247" s="213"/>
      <c r="H247" s="213"/>
      <c r="I247" s="213"/>
      <c r="J247" s="216"/>
      <c r="K247" s="213"/>
      <c r="L247" s="213"/>
      <c r="M247" s="213"/>
      <c r="N247" s="213"/>
      <c r="O247" s="213"/>
      <c r="P247" s="216"/>
      <c r="Q247" s="213"/>
      <c r="R247" s="213"/>
      <c r="S247" s="213"/>
      <c r="T247" s="213"/>
      <c r="U247" s="213"/>
      <c r="V247" s="216"/>
      <c r="W247" s="213"/>
      <c r="X247" s="213"/>
      <c r="Y247" s="213"/>
      <c r="Z247" s="213"/>
      <c r="AA247" s="213"/>
      <c r="AB247" s="216"/>
      <c r="AC247" s="213"/>
      <c r="AD247" s="213"/>
      <c r="AE247" s="213"/>
      <c r="AF247" s="213"/>
      <c r="AG247" s="213"/>
      <c r="AH247" s="216"/>
      <c r="AI247" s="213"/>
      <c r="AJ247" s="213"/>
      <c r="AK247" s="213"/>
      <c r="AL247" s="213"/>
      <c r="AM247" s="213"/>
      <c r="AN247" s="216"/>
      <c r="AO247" s="213"/>
      <c r="AP247" s="213"/>
      <c r="AQ247" s="213"/>
      <c r="AR247" s="213"/>
      <c r="AS247" s="213"/>
      <c r="AT247" s="216"/>
      <c r="AU247" s="213"/>
      <c r="AV247" s="213"/>
      <c r="AW247" s="213"/>
      <c r="AX247" s="213"/>
      <c r="AY247" s="213"/>
      <c r="AZ247" s="216"/>
      <c r="BA247" s="213"/>
      <c r="BB247" s="213"/>
      <c r="BC247" s="213"/>
      <c r="BD247" s="213"/>
      <c r="BE247" s="213"/>
      <c r="BF247" s="216"/>
      <c r="BG247" s="213"/>
      <c r="BH247" s="213"/>
      <c r="BI247" s="213"/>
      <c r="BJ247" s="213"/>
      <c r="BK247" s="213"/>
      <c r="BL247" s="216"/>
      <c r="BM247" s="213"/>
      <c r="BN247" s="213"/>
      <c r="BO247" s="213"/>
      <c r="BP247" s="213"/>
      <c r="BQ247" s="213"/>
      <c r="BR247" s="326"/>
      <c r="BS247" s="213"/>
      <c r="BT247" s="213"/>
      <c r="BU247" s="213"/>
      <c r="BV247" s="213"/>
      <c r="BW247" s="213"/>
      <c r="BX247" s="213"/>
      <c r="BY247" s="213"/>
      <c r="BZ247" s="213"/>
      <c r="CA247" s="213"/>
      <c r="CB247" s="213"/>
      <c r="CC247" s="213"/>
      <c r="CD247" s="213"/>
      <c r="CE247" s="213"/>
      <c r="CF247" s="213"/>
      <c r="CG247" s="213"/>
      <c r="CH247" s="213"/>
      <c r="CI247" s="213"/>
      <c r="CJ247" s="213"/>
      <c r="CK247" s="213"/>
      <c r="CL247" s="213"/>
      <c r="CM247" s="213"/>
      <c r="CN247" s="213"/>
      <c r="CO247" s="213"/>
      <c r="CP247" s="213"/>
      <c r="CQ247" s="213"/>
    </row>
    <row r="248" ht="15.75" customHeight="1">
      <c r="A248" s="213"/>
      <c r="B248" s="213"/>
      <c r="C248" s="213"/>
      <c r="D248" s="213"/>
      <c r="E248" s="213"/>
      <c r="F248" s="213"/>
      <c r="G248" s="213"/>
      <c r="H248" s="213"/>
      <c r="I248" s="213"/>
      <c r="J248" s="216"/>
      <c r="K248" s="213"/>
      <c r="L248" s="213"/>
      <c r="M248" s="213"/>
      <c r="N248" s="213"/>
      <c r="O248" s="213"/>
      <c r="P248" s="216"/>
      <c r="Q248" s="213"/>
      <c r="R248" s="213"/>
      <c r="S248" s="213"/>
      <c r="T248" s="213"/>
      <c r="U248" s="213"/>
      <c r="V248" s="216"/>
      <c r="W248" s="213"/>
      <c r="X248" s="213"/>
      <c r="Y248" s="213"/>
      <c r="Z248" s="213"/>
      <c r="AA248" s="213"/>
      <c r="AB248" s="216"/>
      <c r="AC248" s="213"/>
      <c r="AD248" s="213"/>
      <c r="AE248" s="213"/>
      <c r="AF248" s="213"/>
      <c r="AG248" s="213"/>
      <c r="AH248" s="216"/>
      <c r="AI248" s="213"/>
      <c r="AJ248" s="213"/>
      <c r="AK248" s="213"/>
      <c r="AL248" s="213"/>
      <c r="AM248" s="213"/>
      <c r="AN248" s="216"/>
      <c r="AO248" s="213"/>
      <c r="AP248" s="213"/>
      <c r="AQ248" s="213"/>
      <c r="AR248" s="213"/>
      <c r="AS248" s="213"/>
      <c r="AT248" s="216"/>
      <c r="AU248" s="213"/>
      <c r="AV248" s="213"/>
      <c r="AW248" s="213"/>
      <c r="AX248" s="213"/>
      <c r="AY248" s="213"/>
      <c r="AZ248" s="216"/>
      <c r="BA248" s="213"/>
      <c r="BB248" s="213"/>
      <c r="BC248" s="213"/>
      <c r="BD248" s="213"/>
      <c r="BE248" s="213"/>
      <c r="BF248" s="216"/>
      <c r="BG248" s="213"/>
      <c r="BH248" s="213"/>
      <c r="BI248" s="213"/>
      <c r="BJ248" s="213"/>
      <c r="BK248" s="213"/>
      <c r="BL248" s="216"/>
      <c r="BM248" s="213"/>
      <c r="BN248" s="213"/>
      <c r="BO248" s="213"/>
      <c r="BP248" s="213"/>
      <c r="BQ248" s="213"/>
      <c r="BR248" s="326"/>
      <c r="BS248" s="213"/>
      <c r="BT248" s="213"/>
      <c r="BU248" s="213"/>
      <c r="BV248" s="213"/>
      <c r="BW248" s="213"/>
      <c r="BX248" s="213"/>
      <c r="BY248" s="213"/>
      <c r="BZ248" s="213"/>
      <c r="CA248" s="213"/>
      <c r="CB248" s="213"/>
      <c r="CC248" s="213"/>
      <c r="CD248" s="213"/>
      <c r="CE248" s="213"/>
      <c r="CF248" s="213"/>
      <c r="CG248" s="213"/>
      <c r="CH248" s="213"/>
      <c r="CI248" s="213"/>
      <c r="CJ248" s="213"/>
      <c r="CK248" s="213"/>
      <c r="CL248" s="213"/>
      <c r="CM248" s="213"/>
      <c r="CN248" s="213"/>
      <c r="CO248" s="213"/>
      <c r="CP248" s="213"/>
      <c r="CQ248" s="213"/>
    </row>
    <row r="249" ht="15.75" customHeight="1">
      <c r="A249" s="213"/>
      <c r="B249" s="213"/>
      <c r="C249" s="213"/>
      <c r="D249" s="213"/>
      <c r="E249" s="213"/>
      <c r="F249" s="213"/>
      <c r="G249" s="213"/>
      <c r="H249" s="213"/>
      <c r="I249" s="213"/>
      <c r="J249" s="216"/>
      <c r="K249" s="213"/>
      <c r="L249" s="213"/>
      <c r="M249" s="213"/>
      <c r="N249" s="213"/>
      <c r="O249" s="213"/>
      <c r="P249" s="216"/>
      <c r="Q249" s="213"/>
      <c r="R249" s="213"/>
      <c r="S249" s="213"/>
      <c r="T249" s="213"/>
      <c r="U249" s="213"/>
      <c r="V249" s="216"/>
      <c r="W249" s="213"/>
      <c r="X249" s="213"/>
      <c r="Y249" s="213"/>
      <c r="Z249" s="213"/>
      <c r="AA249" s="213"/>
      <c r="AB249" s="216"/>
      <c r="AC249" s="213"/>
      <c r="AD249" s="213"/>
      <c r="AE249" s="213"/>
      <c r="AF249" s="213"/>
      <c r="AG249" s="213"/>
      <c r="AH249" s="216"/>
      <c r="AI249" s="213"/>
      <c r="AJ249" s="213"/>
      <c r="AK249" s="213"/>
      <c r="AL249" s="213"/>
      <c r="AM249" s="213"/>
      <c r="AN249" s="216"/>
      <c r="AO249" s="213"/>
      <c r="AP249" s="213"/>
      <c r="AQ249" s="213"/>
      <c r="AR249" s="213"/>
      <c r="AS249" s="213"/>
      <c r="AT249" s="216"/>
      <c r="AU249" s="213"/>
      <c r="AV249" s="213"/>
      <c r="AW249" s="213"/>
      <c r="AX249" s="213"/>
      <c r="AY249" s="213"/>
      <c r="AZ249" s="216"/>
      <c r="BA249" s="213"/>
      <c r="BB249" s="213"/>
      <c r="BC249" s="213"/>
      <c r="BD249" s="213"/>
      <c r="BE249" s="213"/>
      <c r="BF249" s="216"/>
      <c r="BG249" s="213"/>
      <c r="BH249" s="213"/>
      <c r="BI249" s="213"/>
      <c r="BJ249" s="213"/>
      <c r="BK249" s="213"/>
      <c r="BL249" s="216"/>
      <c r="BM249" s="213"/>
      <c r="BN249" s="213"/>
      <c r="BO249" s="213"/>
      <c r="BP249" s="213"/>
      <c r="BQ249" s="213"/>
      <c r="BR249" s="326"/>
      <c r="BS249" s="213"/>
      <c r="BT249" s="213"/>
      <c r="BU249" s="213"/>
      <c r="BV249" s="213"/>
      <c r="BW249" s="213"/>
      <c r="BX249" s="213"/>
      <c r="BY249" s="213"/>
      <c r="BZ249" s="213"/>
      <c r="CA249" s="213"/>
      <c r="CB249" s="213"/>
      <c r="CC249" s="213"/>
      <c r="CD249" s="213"/>
      <c r="CE249" s="213"/>
      <c r="CF249" s="213"/>
      <c r="CG249" s="213"/>
      <c r="CH249" s="213"/>
      <c r="CI249" s="213"/>
      <c r="CJ249" s="213"/>
      <c r="CK249" s="213"/>
      <c r="CL249" s="213"/>
      <c r="CM249" s="213"/>
      <c r="CN249" s="213"/>
      <c r="CO249" s="213"/>
      <c r="CP249" s="213"/>
      <c r="CQ249" s="213"/>
    </row>
    <row r="250" ht="15.75" customHeight="1">
      <c r="A250" s="213"/>
      <c r="B250" s="213"/>
      <c r="C250" s="213"/>
      <c r="D250" s="213"/>
      <c r="E250" s="213"/>
      <c r="F250" s="213"/>
      <c r="G250" s="213"/>
      <c r="H250" s="213"/>
      <c r="I250" s="213"/>
      <c r="J250" s="216"/>
      <c r="K250" s="213"/>
      <c r="L250" s="213"/>
      <c r="M250" s="213"/>
      <c r="N250" s="213"/>
      <c r="O250" s="213"/>
      <c r="P250" s="216"/>
      <c r="Q250" s="213"/>
      <c r="R250" s="213"/>
      <c r="S250" s="213"/>
      <c r="T250" s="213"/>
      <c r="U250" s="213"/>
      <c r="V250" s="216"/>
      <c r="W250" s="213"/>
      <c r="X250" s="213"/>
      <c r="Y250" s="213"/>
      <c r="Z250" s="213"/>
      <c r="AA250" s="213"/>
      <c r="AB250" s="216"/>
      <c r="AC250" s="213"/>
      <c r="AD250" s="213"/>
      <c r="AE250" s="213"/>
      <c r="AF250" s="213"/>
      <c r="AG250" s="213"/>
      <c r="AH250" s="216"/>
      <c r="AI250" s="213"/>
      <c r="AJ250" s="213"/>
      <c r="AK250" s="213"/>
      <c r="AL250" s="213"/>
      <c r="AM250" s="213"/>
      <c r="AN250" s="216"/>
      <c r="AO250" s="213"/>
      <c r="AP250" s="213"/>
      <c r="AQ250" s="213"/>
      <c r="AR250" s="213"/>
      <c r="AS250" s="213"/>
      <c r="AT250" s="216"/>
      <c r="AU250" s="213"/>
      <c r="AV250" s="213"/>
      <c r="AW250" s="213"/>
      <c r="AX250" s="213"/>
      <c r="AY250" s="213"/>
      <c r="AZ250" s="216"/>
      <c r="BA250" s="213"/>
      <c r="BB250" s="213"/>
      <c r="BC250" s="213"/>
      <c r="BD250" s="213"/>
      <c r="BE250" s="213"/>
      <c r="BF250" s="216"/>
      <c r="BG250" s="213"/>
      <c r="BH250" s="213"/>
      <c r="BI250" s="213"/>
      <c r="BJ250" s="213"/>
      <c r="BK250" s="213"/>
      <c r="BL250" s="216"/>
      <c r="BM250" s="213"/>
      <c r="BN250" s="213"/>
      <c r="BO250" s="213"/>
      <c r="BP250" s="213"/>
      <c r="BQ250" s="213"/>
      <c r="BR250" s="326"/>
      <c r="BS250" s="213"/>
      <c r="BT250" s="213"/>
      <c r="BU250" s="213"/>
      <c r="BV250" s="213"/>
      <c r="BW250" s="213"/>
      <c r="BX250" s="213"/>
      <c r="BY250" s="213"/>
      <c r="BZ250" s="213"/>
      <c r="CA250" s="213"/>
      <c r="CB250" s="213"/>
      <c r="CC250" s="213"/>
      <c r="CD250" s="213"/>
      <c r="CE250" s="213"/>
      <c r="CF250" s="213"/>
      <c r="CG250" s="213"/>
      <c r="CH250" s="213"/>
      <c r="CI250" s="213"/>
      <c r="CJ250" s="213"/>
      <c r="CK250" s="213"/>
      <c r="CL250" s="213"/>
      <c r="CM250" s="213"/>
      <c r="CN250" s="213"/>
      <c r="CO250" s="213"/>
      <c r="CP250" s="213"/>
      <c r="CQ250" s="213"/>
    </row>
    <row r="251" ht="15.75" customHeight="1">
      <c r="A251" s="213"/>
      <c r="B251" s="213"/>
      <c r="C251" s="213"/>
      <c r="D251" s="213"/>
      <c r="E251" s="213"/>
      <c r="F251" s="213"/>
      <c r="G251" s="213"/>
      <c r="H251" s="213"/>
      <c r="I251" s="213"/>
      <c r="J251" s="216"/>
      <c r="K251" s="213"/>
      <c r="L251" s="213"/>
      <c r="M251" s="213"/>
      <c r="N251" s="213"/>
      <c r="O251" s="213"/>
      <c r="P251" s="216"/>
      <c r="Q251" s="213"/>
      <c r="R251" s="213"/>
      <c r="S251" s="213"/>
      <c r="T251" s="213"/>
      <c r="U251" s="213"/>
      <c r="V251" s="216"/>
      <c r="W251" s="213"/>
      <c r="X251" s="213"/>
      <c r="Y251" s="213"/>
      <c r="Z251" s="213"/>
      <c r="AA251" s="213"/>
      <c r="AB251" s="216"/>
      <c r="AC251" s="213"/>
      <c r="AD251" s="213"/>
      <c r="AE251" s="213"/>
      <c r="AF251" s="213"/>
      <c r="AG251" s="213"/>
      <c r="AH251" s="216"/>
      <c r="AI251" s="213"/>
      <c r="AJ251" s="213"/>
      <c r="AK251" s="213"/>
      <c r="AL251" s="213"/>
      <c r="AM251" s="213"/>
      <c r="AN251" s="216"/>
      <c r="AO251" s="213"/>
      <c r="AP251" s="213"/>
      <c r="AQ251" s="213"/>
      <c r="AR251" s="213"/>
      <c r="AS251" s="213"/>
      <c r="AT251" s="216"/>
      <c r="AU251" s="213"/>
      <c r="AV251" s="213"/>
      <c r="AW251" s="213"/>
      <c r="AX251" s="213"/>
      <c r="AY251" s="213"/>
      <c r="AZ251" s="216"/>
      <c r="BA251" s="213"/>
      <c r="BB251" s="213"/>
      <c r="BC251" s="213"/>
      <c r="BD251" s="213"/>
      <c r="BE251" s="213"/>
      <c r="BF251" s="216"/>
      <c r="BG251" s="213"/>
      <c r="BH251" s="213"/>
      <c r="BI251" s="213"/>
      <c r="BJ251" s="213"/>
      <c r="BK251" s="213"/>
      <c r="BL251" s="216"/>
      <c r="BM251" s="213"/>
      <c r="BN251" s="213"/>
      <c r="BO251" s="213"/>
      <c r="BP251" s="213"/>
      <c r="BQ251" s="213"/>
      <c r="BR251" s="326"/>
      <c r="BS251" s="213"/>
      <c r="BT251" s="213"/>
      <c r="BU251" s="213"/>
      <c r="BV251" s="213"/>
      <c r="BW251" s="213"/>
      <c r="BX251" s="213"/>
      <c r="BY251" s="213"/>
      <c r="BZ251" s="213"/>
      <c r="CA251" s="213"/>
      <c r="CB251" s="213"/>
      <c r="CC251" s="213"/>
      <c r="CD251" s="213"/>
      <c r="CE251" s="213"/>
      <c r="CF251" s="213"/>
      <c r="CG251" s="213"/>
      <c r="CH251" s="213"/>
      <c r="CI251" s="213"/>
      <c r="CJ251" s="213"/>
      <c r="CK251" s="213"/>
      <c r="CL251" s="213"/>
      <c r="CM251" s="213"/>
      <c r="CN251" s="213"/>
      <c r="CO251" s="213"/>
      <c r="CP251" s="213"/>
      <c r="CQ251" s="213"/>
    </row>
    <row r="252" ht="15.75" customHeight="1">
      <c r="A252" s="213"/>
      <c r="B252" s="213"/>
      <c r="C252" s="213"/>
      <c r="D252" s="213"/>
      <c r="E252" s="213"/>
      <c r="F252" s="213"/>
      <c r="G252" s="213"/>
      <c r="H252" s="213"/>
      <c r="I252" s="213"/>
      <c r="J252" s="216"/>
      <c r="K252" s="213"/>
      <c r="L252" s="213"/>
      <c r="M252" s="213"/>
      <c r="N252" s="213"/>
      <c r="O252" s="213"/>
      <c r="P252" s="216"/>
      <c r="Q252" s="213"/>
      <c r="R252" s="213"/>
      <c r="S252" s="213"/>
      <c r="T252" s="213"/>
      <c r="U252" s="213"/>
      <c r="V252" s="216"/>
      <c r="W252" s="213"/>
      <c r="X252" s="213"/>
      <c r="Y252" s="213"/>
      <c r="Z252" s="213"/>
      <c r="AA252" s="213"/>
      <c r="AB252" s="216"/>
      <c r="AC252" s="213"/>
      <c r="AD252" s="213"/>
      <c r="AE252" s="213"/>
      <c r="AF252" s="213"/>
      <c r="AG252" s="213"/>
      <c r="AH252" s="216"/>
      <c r="AI252" s="213"/>
      <c r="AJ252" s="213"/>
      <c r="AK252" s="213"/>
      <c r="AL252" s="213"/>
      <c r="AM252" s="213"/>
      <c r="AN252" s="216"/>
      <c r="AO252" s="213"/>
      <c r="AP252" s="213"/>
      <c r="AQ252" s="213"/>
      <c r="AR252" s="213"/>
      <c r="AS252" s="213"/>
      <c r="AT252" s="216"/>
      <c r="AU252" s="213"/>
      <c r="AV252" s="213"/>
      <c r="AW252" s="213"/>
      <c r="AX252" s="213"/>
      <c r="AY252" s="213"/>
      <c r="AZ252" s="216"/>
      <c r="BA252" s="213"/>
      <c r="BB252" s="213"/>
      <c r="BC252" s="213"/>
      <c r="BD252" s="213"/>
      <c r="BE252" s="213"/>
      <c r="BF252" s="216"/>
      <c r="BG252" s="213"/>
      <c r="BH252" s="213"/>
      <c r="BI252" s="213"/>
      <c r="BJ252" s="213"/>
      <c r="BK252" s="213"/>
      <c r="BL252" s="216"/>
      <c r="BM252" s="213"/>
      <c r="BN252" s="213"/>
      <c r="BO252" s="213"/>
      <c r="BP252" s="213"/>
      <c r="BQ252" s="213"/>
      <c r="BR252" s="326"/>
      <c r="BS252" s="213"/>
      <c r="BT252" s="213"/>
      <c r="BU252" s="213"/>
      <c r="BV252" s="213"/>
      <c r="BW252" s="213"/>
      <c r="BX252" s="213"/>
      <c r="BY252" s="213"/>
      <c r="BZ252" s="213"/>
      <c r="CA252" s="213"/>
      <c r="CB252" s="213"/>
      <c r="CC252" s="213"/>
      <c r="CD252" s="213"/>
      <c r="CE252" s="213"/>
      <c r="CF252" s="213"/>
      <c r="CG252" s="213"/>
      <c r="CH252" s="213"/>
      <c r="CI252" s="213"/>
      <c r="CJ252" s="213"/>
      <c r="CK252" s="213"/>
      <c r="CL252" s="213"/>
      <c r="CM252" s="213"/>
      <c r="CN252" s="213"/>
      <c r="CO252" s="213"/>
      <c r="CP252" s="213"/>
      <c r="CQ252" s="213"/>
    </row>
    <row r="253" ht="15.75" customHeight="1">
      <c r="A253" s="213"/>
      <c r="B253" s="213"/>
      <c r="C253" s="213"/>
      <c r="D253" s="213"/>
      <c r="E253" s="213"/>
      <c r="F253" s="213"/>
      <c r="G253" s="213"/>
      <c r="H253" s="213"/>
      <c r="I253" s="213"/>
      <c r="J253" s="216"/>
      <c r="K253" s="213"/>
      <c r="L253" s="213"/>
      <c r="M253" s="213"/>
      <c r="N253" s="213"/>
      <c r="O253" s="213"/>
      <c r="P253" s="216"/>
      <c r="Q253" s="213"/>
      <c r="R253" s="213"/>
      <c r="S253" s="213"/>
      <c r="T253" s="213"/>
      <c r="U253" s="213"/>
      <c r="V253" s="216"/>
      <c r="W253" s="213"/>
      <c r="X253" s="213"/>
      <c r="Y253" s="213"/>
      <c r="Z253" s="213"/>
      <c r="AA253" s="213"/>
      <c r="AB253" s="216"/>
      <c r="AC253" s="213"/>
      <c r="AD253" s="213"/>
      <c r="AE253" s="213"/>
      <c r="AF253" s="213"/>
      <c r="AG253" s="213"/>
      <c r="AH253" s="216"/>
      <c r="AI253" s="213"/>
      <c r="AJ253" s="213"/>
      <c r="AK253" s="213"/>
      <c r="AL253" s="213"/>
      <c r="AM253" s="213"/>
      <c r="AN253" s="216"/>
      <c r="AO253" s="213"/>
      <c r="AP253" s="213"/>
      <c r="AQ253" s="213"/>
      <c r="AR253" s="213"/>
      <c r="AS253" s="213"/>
      <c r="AT253" s="216"/>
      <c r="AU253" s="213"/>
      <c r="AV253" s="213"/>
      <c r="AW253" s="213"/>
      <c r="AX253" s="213"/>
      <c r="AY253" s="213"/>
      <c r="AZ253" s="216"/>
      <c r="BA253" s="213"/>
      <c r="BB253" s="213"/>
      <c r="BC253" s="213"/>
      <c r="BD253" s="213"/>
      <c r="BE253" s="213"/>
      <c r="BF253" s="216"/>
      <c r="BG253" s="213"/>
      <c r="BH253" s="213"/>
      <c r="BI253" s="213"/>
      <c r="BJ253" s="213"/>
      <c r="BK253" s="213"/>
      <c r="BL253" s="216"/>
      <c r="BM253" s="213"/>
      <c r="BN253" s="213"/>
      <c r="BO253" s="213"/>
      <c r="BP253" s="213"/>
      <c r="BQ253" s="213"/>
      <c r="BR253" s="326"/>
      <c r="BS253" s="213"/>
      <c r="BT253" s="213"/>
      <c r="BU253" s="213"/>
      <c r="BV253" s="213"/>
      <c r="BW253" s="213"/>
      <c r="BX253" s="213"/>
      <c r="BY253" s="213"/>
      <c r="BZ253" s="213"/>
      <c r="CA253" s="213"/>
      <c r="CB253" s="213"/>
      <c r="CC253" s="213"/>
      <c r="CD253" s="213"/>
      <c r="CE253" s="213"/>
      <c r="CF253" s="213"/>
      <c r="CG253" s="213"/>
      <c r="CH253" s="213"/>
      <c r="CI253" s="213"/>
      <c r="CJ253" s="213"/>
      <c r="CK253" s="213"/>
      <c r="CL253" s="213"/>
      <c r="CM253" s="213"/>
      <c r="CN253" s="213"/>
      <c r="CO253" s="213"/>
      <c r="CP253" s="213"/>
      <c r="CQ253" s="213"/>
    </row>
    <row r="254" ht="15.75" customHeight="1">
      <c r="A254" s="213"/>
      <c r="B254" s="213"/>
      <c r="C254" s="213"/>
      <c r="D254" s="213"/>
      <c r="E254" s="213"/>
      <c r="F254" s="213"/>
      <c r="G254" s="213"/>
      <c r="H254" s="213"/>
      <c r="I254" s="213"/>
      <c r="J254" s="216"/>
      <c r="K254" s="213"/>
      <c r="L254" s="213"/>
      <c r="M254" s="213"/>
      <c r="N254" s="213"/>
      <c r="O254" s="213"/>
      <c r="P254" s="216"/>
      <c r="Q254" s="213"/>
      <c r="R254" s="213"/>
      <c r="S254" s="213"/>
      <c r="T254" s="213"/>
      <c r="U254" s="213"/>
      <c r="V254" s="216"/>
      <c r="W254" s="213"/>
      <c r="X254" s="213"/>
      <c r="Y254" s="213"/>
      <c r="Z254" s="213"/>
      <c r="AA254" s="213"/>
      <c r="AB254" s="216"/>
      <c r="AC254" s="213"/>
      <c r="AD254" s="213"/>
      <c r="AE254" s="213"/>
      <c r="AF254" s="213"/>
      <c r="AG254" s="213"/>
      <c r="AH254" s="216"/>
      <c r="AI254" s="213"/>
      <c r="AJ254" s="213"/>
      <c r="AK254" s="213"/>
      <c r="AL254" s="213"/>
      <c r="AM254" s="213"/>
      <c r="AN254" s="216"/>
      <c r="AO254" s="213"/>
      <c r="AP254" s="213"/>
      <c r="AQ254" s="213"/>
      <c r="AR254" s="213"/>
      <c r="AS254" s="213"/>
      <c r="AT254" s="216"/>
      <c r="AU254" s="213"/>
      <c r="AV254" s="213"/>
      <c r="AW254" s="213"/>
      <c r="AX254" s="213"/>
      <c r="AY254" s="213"/>
      <c r="AZ254" s="216"/>
      <c r="BA254" s="213"/>
      <c r="BB254" s="213"/>
      <c r="BC254" s="213"/>
      <c r="BD254" s="213"/>
      <c r="BE254" s="213"/>
      <c r="BF254" s="216"/>
      <c r="BG254" s="213"/>
      <c r="BH254" s="213"/>
      <c r="BI254" s="213"/>
      <c r="BJ254" s="213"/>
      <c r="BK254" s="213"/>
      <c r="BL254" s="216"/>
      <c r="BM254" s="213"/>
      <c r="BN254" s="213"/>
      <c r="BO254" s="213"/>
      <c r="BP254" s="213"/>
      <c r="BQ254" s="213"/>
      <c r="BR254" s="326"/>
      <c r="BS254" s="213"/>
      <c r="BT254" s="213"/>
      <c r="BU254" s="213"/>
      <c r="BV254" s="213"/>
      <c r="BW254" s="213"/>
      <c r="BX254" s="213"/>
      <c r="BY254" s="213"/>
      <c r="BZ254" s="213"/>
      <c r="CA254" s="213"/>
      <c r="CB254" s="213"/>
      <c r="CC254" s="213"/>
      <c r="CD254" s="213"/>
      <c r="CE254" s="213"/>
      <c r="CF254" s="213"/>
      <c r="CG254" s="213"/>
      <c r="CH254" s="213"/>
      <c r="CI254" s="213"/>
      <c r="CJ254" s="213"/>
      <c r="CK254" s="213"/>
      <c r="CL254" s="213"/>
      <c r="CM254" s="213"/>
      <c r="CN254" s="213"/>
      <c r="CO254" s="213"/>
      <c r="CP254" s="213"/>
      <c r="CQ254" s="213"/>
    </row>
    <row r="255" ht="15.75" customHeight="1">
      <c r="A255" s="213"/>
      <c r="B255" s="213"/>
      <c r="C255" s="213"/>
      <c r="D255" s="213"/>
      <c r="E255" s="213"/>
      <c r="F255" s="213"/>
      <c r="G255" s="213"/>
      <c r="H255" s="213"/>
      <c r="I255" s="213"/>
      <c r="J255" s="216"/>
      <c r="K255" s="213"/>
      <c r="L255" s="213"/>
      <c r="M255" s="213"/>
      <c r="N255" s="213"/>
      <c r="O255" s="213"/>
      <c r="P255" s="216"/>
      <c r="Q255" s="213"/>
      <c r="R255" s="213"/>
      <c r="S255" s="213"/>
      <c r="T255" s="213"/>
      <c r="U255" s="213"/>
      <c r="V255" s="216"/>
      <c r="W255" s="213"/>
      <c r="X255" s="213"/>
      <c r="Y255" s="213"/>
      <c r="Z255" s="213"/>
      <c r="AA255" s="213"/>
      <c r="AB255" s="216"/>
      <c r="AC255" s="213"/>
      <c r="AD255" s="213"/>
      <c r="AE255" s="213"/>
      <c r="AF255" s="213"/>
      <c r="AG255" s="213"/>
      <c r="AH255" s="216"/>
      <c r="AI255" s="213"/>
      <c r="AJ255" s="213"/>
      <c r="AK255" s="213"/>
      <c r="AL255" s="213"/>
      <c r="AM255" s="213"/>
      <c r="AN255" s="216"/>
      <c r="AO255" s="213"/>
      <c r="AP255" s="213"/>
      <c r="AQ255" s="213"/>
      <c r="AR255" s="213"/>
      <c r="AS255" s="213"/>
      <c r="AT255" s="216"/>
      <c r="AU255" s="213"/>
      <c r="AV255" s="213"/>
      <c r="AW255" s="213"/>
      <c r="AX255" s="213"/>
      <c r="AY255" s="213"/>
      <c r="AZ255" s="216"/>
      <c r="BA255" s="213"/>
      <c r="BB255" s="213"/>
      <c r="BC255" s="213"/>
      <c r="BD255" s="213"/>
      <c r="BE255" s="213"/>
      <c r="BF255" s="216"/>
      <c r="BG255" s="213"/>
      <c r="BH255" s="213"/>
      <c r="BI255" s="213"/>
      <c r="BJ255" s="213"/>
      <c r="BK255" s="213"/>
      <c r="BL255" s="216"/>
      <c r="BM255" s="213"/>
      <c r="BN255" s="213"/>
      <c r="BO255" s="213"/>
      <c r="BP255" s="213"/>
      <c r="BQ255" s="213"/>
      <c r="BR255" s="326"/>
      <c r="BS255" s="213"/>
      <c r="BT255" s="213"/>
      <c r="BU255" s="213"/>
      <c r="BV255" s="213"/>
      <c r="BW255" s="213"/>
      <c r="BX255" s="213"/>
      <c r="BY255" s="213"/>
      <c r="BZ255" s="213"/>
      <c r="CA255" s="213"/>
      <c r="CB255" s="213"/>
      <c r="CC255" s="213"/>
      <c r="CD255" s="213"/>
      <c r="CE255" s="213"/>
      <c r="CF255" s="213"/>
      <c r="CG255" s="213"/>
      <c r="CH255" s="213"/>
      <c r="CI255" s="213"/>
      <c r="CJ255" s="213"/>
      <c r="CK255" s="213"/>
      <c r="CL255" s="213"/>
      <c r="CM255" s="213"/>
      <c r="CN255" s="213"/>
      <c r="CO255" s="213"/>
      <c r="CP255" s="213"/>
      <c r="CQ255" s="213"/>
    </row>
    <row r="256" ht="15.75" customHeight="1">
      <c r="A256" s="213"/>
      <c r="B256" s="213"/>
      <c r="C256" s="213"/>
      <c r="D256" s="213"/>
      <c r="E256" s="213"/>
      <c r="F256" s="213"/>
      <c r="G256" s="213"/>
      <c r="H256" s="213"/>
      <c r="I256" s="213"/>
      <c r="J256" s="216"/>
      <c r="K256" s="213"/>
      <c r="L256" s="213"/>
      <c r="M256" s="213"/>
      <c r="N256" s="213"/>
      <c r="O256" s="213"/>
      <c r="P256" s="216"/>
      <c r="Q256" s="213"/>
      <c r="R256" s="213"/>
      <c r="S256" s="213"/>
      <c r="T256" s="213"/>
      <c r="U256" s="213"/>
      <c r="V256" s="216"/>
      <c r="W256" s="213"/>
      <c r="X256" s="213"/>
      <c r="Y256" s="213"/>
      <c r="Z256" s="213"/>
      <c r="AA256" s="213"/>
      <c r="AB256" s="216"/>
      <c r="AC256" s="213"/>
      <c r="AD256" s="213"/>
      <c r="AE256" s="213"/>
      <c r="AF256" s="213"/>
      <c r="AG256" s="213"/>
      <c r="AH256" s="216"/>
      <c r="AI256" s="213"/>
      <c r="AJ256" s="213"/>
      <c r="AK256" s="213"/>
      <c r="AL256" s="213"/>
      <c r="AM256" s="213"/>
      <c r="AN256" s="216"/>
      <c r="AO256" s="213"/>
      <c r="AP256" s="213"/>
      <c r="AQ256" s="213"/>
      <c r="AR256" s="213"/>
      <c r="AS256" s="213"/>
      <c r="AT256" s="216"/>
      <c r="AU256" s="213"/>
      <c r="AV256" s="213"/>
      <c r="AW256" s="213"/>
      <c r="AX256" s="213"/>
      <c r="AY256" s="213"/>
      <c r="AZ256" s="216"/>
      <c r="BA256" s="213"/>
      <c r="BB256" s="213"/>
      <c r="BC256" s="213"/>
      <c r="BD256" s="213"/>
      <c r="BE256" s="213"/>
      <c r="BF256" s="216"/>
      <c r="BG256" s="213"/>
      <c r="BH256" s="213"/>
      <c r="BI256" s="213"/>
      <c r="BJ256" s="213"/>
      <c r="BK256" s="213"/>
      <c r="BL256" s="216"/>
      <c r="BM256" s="213"/>
      <c r="BN256" s="213"/>
      <c r="BO256" s="213"/>
      <c r="BP256" s="213"/>
      <c r="BQ256" s="213"/>
      <c r="BR256" s="326"/>
      <c r="BS256" s="213"/>
      <c r="BT256" s="213"/>
      <c r="BU256" s="213"/>
      <c r="BV256" s="213"/>
      <c r="BW256" s="213"/>
      <c r="BX256" s="213"/>
      <c r="BY256" s="213"/>
      <c r="BZ256" s="213"/>
      <c r="CA256" s="213"/>
      <c r="CB256" s="213"/>
      <c r="CC256" s="213"/>
      <c r="CD256" s="213"/>
      <c r="CE256" s="213"/>
      <c r="CF256" s="213"/>
      <c r="CG256" s="213"/>
      <c r="CH256" s="213"/>
      <c r="CI256" s="213"/>
      <c r="CJ256" s="213"/>
      <c r="CK256" s="213"/>
      <c r="CL256" s="213"/>
      <c r="CM256" s="213"/>
      <c r="CN256" s="213"/>
      <c r="CO256" s="213"/>
      <c r="CP256" s="213"/>
      <c r="CQ256" s="213"/>
    </row>
    <row r="257" ht="15.75" customHeight="1">
      <c r="A257" s="213"/>
      <c r="B257" s="213"/>
      <c r="C257" s="213"/>
      <c r="D257" s="213"/>
      <c r="E257" s="213"/>
      <c r="F257" s="213"/>
      <c r="G257" s="213"/>
      <c r="H257" s="213"/>
      <c r="I257" s="213"/>
      <c r="J257" s="216"/>
      <c r="K257" s="213"/>
      <c r="L257" s="213"/>
      <c r="M257" s="213"/>
      <c r="N257" s="213"/>
      <c r="O257" s="213"/>
      <c r="P257" s="216"/>
      <c r="Q257" s="213"/>
      <c r="R257" s="213"/>
      <c r="S257" s="213"/>
      <c r="T257" s="213"/>
      <c r="U257" s="213"/>
      <c r="V257" s="216"/>
      <c r="W257" s="213"/>
      <c r="X257" s="213"/>
      <c r="Y257" s="213"/>
      <c r="Z257" s="213"/>
      <c r="AA257" s="213"/>
      <c r="AB257" s="216"/>
      <c r="AC257" s="213"/>
      <c r="AD257" s="213"/>
      <c r="AE257" s="213"/>
      <c r="AF257" s="213"/>
      <c r="AG257" s="213"/>
      <c r="AH257" s="216"/>
      <c r="AI257" s="213"/>
      <c r="AJ257" s="213"/>
      <c r="AK257" s="213"/>
      <c r="AL257" s="213"/>
      <c r="AM257" s="213"/>
      <c r="AN257" s="216"/>
      <c r="AO257" s="213"/>
      <c r="AP257" s="213"/>
      <c r="AQ257" s="213"/>
      <c r="AR257" s="213"/>
      <c r="AS257" s="213"/>
      <c r="AT257" s="216"/>
      <c r="AU257" s="213"/>
      <c r="AV257" s="213"/>
      <c r="AW257" s="213"/>
      <c r="AX257" s="213"/>
      <c r="AY257" s="213"/>
      <c r="AZ257" s="216"/>
      <c r="BA257" s="213"/>
      <c r="BB257" s="213"/>
      <c r="BC257" s="213"/>
      <c r="BD257" s="213"/>
      <c r="BE257" s="213"/>
      <c r="BF257" s="216"/>
      <c r="BG257" s="213"/>
      <c r="BH257" s="213"/>
      <c r="BI257" s="213"/>
      <c r="BJ257" s="213"/>
      <c r="BK257" s="213"/>
      <c r="BL257" s="216"/>
      <c r="BM257" s="213"/>
      <c r="BN257" s="213"/>
      <c r="BO257" s="213"/>
      <c r="BP257" s="213"/>
      <c r="BQ257" s="213"/>
      <c r="BR257" s="326"/>
      <c r="BS257" s="213"/>
      <c r="BT257" s="213"/>
      <c r="BU257" s="213"/>
      <c r="BV257" s="213"/>
      <c r="BW257" s="213"/>
      <c r="BX257" s="213"/>
      <c r="BY257" s="213"/>
      <c r="BZ257" s="213"/>
      <c r="CA257" s="213"/>
      <c r="CB257" s="213"/>
      <c r="CC257" s="213"/>
      <c r="CD257" s="213"/>
      <c r="CE257" s="213"/>
      <c r="CF257" s="213"/>
      <c r="CG257" s="213"/>
      <c r="CH257" s="213"/>
      <c r="CI257" s="213"/>
      <c r="CJ257" s="213"/>
      <c r="CK257" s="213"/>
      <c r="CL257" s="213"/>
      <c r="CM257" s="213"/>
      <c r="CN257" s="213"/>
      <c r="CO257" s="213"/>
      <c r="CP257" s="213"/>
      <c r="CQ257" s="213"/>
    </row>
    <row r="258" ht="15.75" customHeight="1">
      <c r="A258" s="213"/>
      <c r="B258" s="213"/>
      <c r="C258" s="213"/>
      <c r="D258" s="213"/>
      <c r="E258" s="213"/>
      <c r="F258" s="213"/>
      <c r="G258" s="213"/>
      <c r="H258" s="213"/>
      <c r="I258" s="213"/>
      <c r="J258" s="216"/>
      <c r="K258" s="213"/>
      <c r="L258" s="213"/>
      <c r="M258" s="213"/>
      <c r="N258" s="213"/>
      <c r="O258" s="213"/>
      <c r="P258" s="216"/>
      <c r="Q258" s="213"/>
      <c r="R258" s="213"/>
      <c r="S258" s="213"/>
      <c r="T258" s="213"/>
      <c r="U258" s="213"/>
      <c r="V258" s="216"/>
      <c r="W258" s="213"/>
      <c r="X258" s="213"/>
      <c r="Y258" s="213"/>
      <c r="Z258" s="213"/>
      <c r="AA258" s="213"/>
      <c r="AB258" s="216"/>
      <c r="AC258" s="213"/>
      <c r="AD258" s="213"/>
      <c r="AE258" s="213"/>
      <c r="AF258" s="213"/>
      <c r="AG258" s="213"/>
      <c r="AH258" s="216"/>
      <c r="AI258" s="213"/>
      <c r="AJ258" s="213"/>
      <c r="AK258" s="213"/>
      <c r="AL258" s="213"/>
      <c r="AM258" s="213"/>
      <c r="AN258" s="216"/>
      <c r="AO258" s="213"/>
      <c r="AP258" s="213"/>
      <c r="AQ258" s="213"/>
      <c r="AR258" s="213"/>
      <c r="AS258" s="213"/>
      <c r="AT258" s="216"/>
      <c r="AU258" s="213"/>
      <c r="AV258" s="213"/>
      <c r="AW258" s="213"/>
      <c r="AX258" s="213"/>
      <c r="AY258" s="213"/>
      <c r="AZ258" s="216"/>
      <c r="BA258" s="213"/>
      <c r="BB258" s="213"/>
      <c r="BC258" s="213"/>
      <c r="BD258" s="213"/>
      <c r="BE258" s="213"/>
      <c r="BF258" s="216"/>
      <c r="BG258" s="213"/>
      <c r="BH258" s="213"/>
      <c r="BI258" s="213"/>
      <c r="BJ258" s="213"/>
      <c r="BK258" s="213"/>
      <c r="BL258" s="216"/>
      <c r="BM258" s="213"/>
      <c r="BN258" s="213"/>
      <c r="BO258" s="213"/>
      <c r="BP258" s="213"/>
      <c r="BQ258" s="213"/>
      <c r="BR258" s="326"/>
      <c r="BS258" s="213"/>
      <c r="BT258" s="213"/>
      <c r="BU258" s="213"/>
      <c r="BV258" s="213"/>
      <c r="BW258" s="213"/>
      <c r="BX258" s="213"/>
      <c r="BY258" s="213"/>
      <c r="BZ258" s="213"/>
      <c r="CA258" s="213"/>
      <c r="CB258" s="213"/>
      <c r="CC258" s="213"/>
      <c r="CD258" s="213"/>
      <c r="CE258" s="213"/>
      <c r="CF258" s="213"/>
      <c r="CG258" s="213"/>
      <c r="CH258" s="213"/>
      <c r="CI258" s="213"/>
      <c r="CJ258" s="213"/>
      <c r="CK258" s="213"/>
      <c r="CL258" s="213"/>
      <c r="CM258" s="213"/>
      <c r="CN258" s="213"/>
      <c r="CO258" s="213"/>
      <c r="CP258" s="213"/>
      <c r="CQ258" s="213"/>
    </row>
    <row r="259" ht="15.75" customHeight="1">
      <c r="A259" s="213"/>
      <c r="B259" s="213"/>
      <c r="C259" s="213"/>
      <c r="D259" s="213"/>
      <c r="E259" s="213"/>
      <c r="F259" s="213"/>
      <c r="G259" s="213"/>
      <c r="H259" s="213"/>
      <c r="I259" s="213"/>
      <c r="J259" s="216"/>
      <c r="K259" s="213"/>
      <c r="L259" s="213"/>
      <c r="M259" s="213"/>
      <c r="N259" s="213"/>
      <c r="O259" s="213"/>
      <c r="P259" s="216"/>
      <c r="Q259" s="213"/>
      <c r="R259" s="213"/>
      <c r="S259" s="213"/>
      <c r="T259" s="213"/>
      <c r="U259" s="213"/>
      <c r="V259" s="216"/>
      <c r="W259" s="213"/>
      <c r="X259" s="213"/>
      <c r="Y259" s="213"/>
      <c r="Z259" s="213"/>
      <c r="AA259" s="213"/>
      <c r="AB259" s="216"/>
      <c r="AC259" s="213"/>
      <c r="AD259" s="213"/>
      <c r="AE259" s="213"/>
      <c r="AF259" s="213"/>
      <c r="AG259" s="213"/>
      <c r="AH259" s="216"/>
      <c r="AI259" s="213"/>
      <c r="AJ259" s="213"/>
      <c r="AK259" s="213"/>
      <c r="AL259" s="213"/>
      <c r="AM259" s="213"/>
      <c r="AN259" s="216"/>
      <c r="AO259" s="213"/>
      <c r="AP259" s="213"/>
      <c r="AQ259" s="213"/>
      <c r="AR259" s="213"/>
      <c r="AS259" s="213"/>
      <c r="AT259" s="216"/>
      <c r="AU259" s="213"/>
      <c r="AV259" s="213"/>
      <c r="AW259" s="213"/>
      <c r="AX259" s="213"/>
      <c r="AY259" s="213"/>
      <c r="AZ259" s="216"/>
      <c r="BA259" s="213"/>
      <c r="BB259" s="213"/>
      <c r="BC259" s="213"/>
      <c r="BD259" s="213"/>
      <c r="BE259" s="213"/>
      <c r="BF259" s="216"/>
      <c r="BG259" s="213"/>
      <c r="BH259" s="213"/>
      <c r="BI259" s="213"/>
      <c r="BJ259" s="213"/>
      <c r="BK259" s="213"/>
      <c r="BL259" s="216"/>
      <c r="BM259" s="213"/>
      <c r="BN259" s="213"/>
      <c r="BO259" s="213"/>
      <c r="BP259" s="213"/>
      <c r="BQ259" s="213"/>
      <c r="BR259" s="326"/>
      <c r="BS259" s="213"/>
      <c r="BT259" s="213"/>
      <c r="BU259" s="213"/>
      <c r="BV259" s="213"/>
      <c r="BW259" s="213"/>
      <c r="BX259" s="213"/>
      <c r="BY259" s="213"/>
      <c r="BZ259" s="213"/>
      <c r="CA259" s="213"/>
      <c r="CB259" s="213"/>
      <c r="CC259" s="213"/>
      <c r="CD259" s="213"/>
      <c r="CE259" s="213"/>
      <c r="CF259" s="213"/>
      <c r="CG259" s="213"/>
      <c r="CH259" s="213"/>
      <c r="CI259" s="213"/>
      <c r="CJ259" s="213"/>
      <c r="CK259" s="213"/>
      <c r="CL259" s="213"/>
      <c r="CM259" s="213"/>
      <c r="CN259" s="213"/>
      <c r="CO259" s="213"/>
      <c r="CP259" s="213"/>
      <c r="CQ259" s="213"/>
    </row>
    <row r="260" ht="15.75" customHeight="1">
      <c r="A260" s="213"/>
      <c r="B260" s="213"/>
      <c r="C260" s="213"/>
      <c r="D260" s="213"/>
      <c r="E260" s="213"/>
      <c r="F260" s="213"/>
      <c r="G260" s="213"/>
      <c r="H260" s="213"/>
      <c r="I260" s="213"/>
      <c r="J260" s="216"/>
      <c r="K260" s="213"/>
      <c r="L260" s="213"/>
      <c r="M260" s="213"/>
      <c r="N260" s="213"/>
      <c r="O260" s="213"/>
      <c r="P260" s="216"/>
      <c r="Q260" s="213"/>
      <c r="R260" s="213"/>
      <c r="S260" s="213"/>
      <c r="T260" s="213"/>
      <c r="U260" s="213"/>
      <c r="V260" s="216"/>
      <c r="W260" s="213"/>
      <c r="X260" s="213"/>
      <c r="Y260" s="213"/>
      <c r="Z260" s="213"/>
      <c r="AA260" s="213"/>
      <c r="AB260" s="216"/>
      <c r="AC260" s="213"/>
      <c r="AD260" s="213"/>
      <c r="AE260" s="213"/>
      <c r="AF260" s="213"/>
      <c r="AG260" s="213"/>
      <c r="AH260" s="216"/>
      <c r="AI260" s="213"/>
      <c r="AJ260" s="213"/>
      <c r="AK260" s="213"/>
      <c r="AL260" s="213"/>
      <c r="AM260" s="213"/>
      <c r="AN260" s="216"/>
      <c r="AO260" s="213"/>
      <c r="AP260" s="213"/>
      <c r="AQ260" s="213"/>
      <c r="AR260" s="213"/>
      <c r="AS260" s="213"/>
      <c r="AT260" s="216"/>
      <c r="AU260" s="213"/>
      <c r="AV260" s="213"/>
      <c r="AW260" s="213"/>
      <c r="AX260" s="213"/>
      <c r="AY260" s="213"/>
      <c r="AZ260" s="216"/>
      <c r="BA260" s="213"/>
      <c r="BB260" s="213"/>
      <c r="BC260" s="213"/>
      <c r="BD260" s="213"/>
      <c r="BE260" s="213"/>
      <c r="BF260" s="216"/>
      <c r="BG260" s="213"/>
      <c r="BH260" s="213"/>
      <c r="BI260" s="213"/>
      <c r="BJ260" s="213"/>
      <c r="BK260" s="213"/>
      <c r="BL260" s="216"/>
      <c r="BM260" s="213"/>
      <c r="BN260" s="213"/>
      <c r="BO260" s="213"/>
      <c r="BP260" s="213"/>
      <c r="BQ260" s="213"/>
      <c r="BR260" s="326"/>
      <c r="BS260" s="213"/>
      <c r="BT260" s="213"/>
      <c r="BU260" s="213"/>
      <c r="BV260" s="213"/>
      <c r="BW260" s="213"/>
      <c r="BX260" s="213"/>
      <c r="BY260" s="213"/>
      <c r="BZ260" s="213"/>
      <c r="CA260" s="213"/>
      <c r="CB260" s="213"/>
      <c r="CC260" s="213"/>
      <c r="CD260" s="213"/>
      <c r="CE260" s="213"/>
      <c r="CF260" s="213"/>
      <c r="CG260" s="213"/>
      <c r="CH260" s="213"/>
      <c r="CI260" s="213"/>
      <c r="CJ260" s="213"/>
      <c r="CK260" s="213"/>
      <c r="CL260" s="213"/>
      <c r="CM260" s="213"/>
      <c r="CN260" s="213"/>
      <c r="CO260" s="213"/>
      <c r="CP260" s="213"/>
      <c r="CQ260" s="213"/>
    </row>
    <row r="261" ht="15.75" customHeight="1">
      <c r="A261" s="213"/>
      <c r="B261" s="213"/>
      <c r="C261" s="213"/>
      <c r="D261" s="213"/>
      <c r="E261" s="213"/>
      <c r="F261" s="213"/>
      <c r="G261" s="213"/>
      <c r="H261" s="213"/>
      <c r="I261" s="213"/>
      <c r="J261" s="216"/>
      <c r="K261" s="213"/>
      <c r="L261" s="213"/>
      <c r="M261" s="213"/>
      <c r="N261" s="213"/>
      <c r="O261" s="213"/>
      <c r="P261" s="216"/>
      <c r="Q261" s="213"/>
      <c r="R261" s="213"/>
      <c r="S261" s="213"/>
      <c r="T261" s="213"/>
      <c r="U261" s="213"/>
      <c r="V261" s="216"/>
      <c r="W261" s="213"/>
      <c r="X261" s="213"/>
      <c r="Y261" s="213"/>
      <c r="Z261" s="213"/>
      <c r="AA261" s="213"/>
      <c r="AB261" s="216"/>
      <c r="AC261" s="213"/>
      <c r="AD261" s="213"/>
      <c r="AE261" s="213"/>
      <c r="AF261" s="213"/>
      <c r="AG261" s="213"/>
      <c r="AH261" s="216"/>
      <c r="AI261" s="213"/>
      <c r="AJ261" s="213"/>
      <c r="AK261" s="213"/>
      <c r="AL261" s="213"/>
      <c r="AM261" s="213"/>
      <c r="AN261" s="216"/>
      <c r="AO261" s="213"/>
      <c r="AP261" s="213"/>
      <c r="AQ261" s="213"/>
      <c r="AR261" s="213"/>
      <c r="AS261" s="213"/>
      <c r="AT261" s="216"/>
      <c r="AU261" s="213"/>
      <c r="AV261" s="213"/>
      <c r="AW261" s="213"/>
      <c r="AX261" s="213"/>
      <c r="AY261" s="213"/>
      <c r="AZ261" s="216"/>
      <c r="BA261" s="213"/>
      <c r="BB261" s="213"/>
      <c r="BC261" s="213"/>
      <c r="BD261" s="213"/>
      <c r="BE261" s="213"/>
      <c r="BF261" s="216"/>
      <c r="BG261" s="213"/>
      <c r="BH261" s="213"/>
      <c r="BI261" s="213"/>
      <c r="BJ261" s="213"/>
      <c r="BK261" s="213"/>
      <c r="BL261" s="216"/>
      <c r="BM261" s="213"/>
      <c r="BN261" s="213"/>
      <c r="BO261" s="213"/>
      <c r="BP261" s="213"/>
      <c r="BQ261" s="213"/>
      <c r="BR261" s="326"/>
      <c r="BS261" s="213"/>
      <c r="BT261" s="213"/>
      <c r="BU261" s="213"/>
      <c r="BV261" s="213"/>
      <c r="BW261" s="213"/>
      <c r="BX261" s="213"/>
      <c r="BY261" s="213"/>
      <c r="BZ261" s="213"/>
      <c r="CA261" s="213"/>
      <c r="CB261" s="213"/>
      <c r="CC261" s="213"/>
      <c r="CD261" s="213"/>
      <c r="CE261" s="213"/>
      <c r="CF261" s="213"/>
      <c r="CG261" s="213"/>
      <c r="CH261" s="213"/>
      <c r="CI261" s="213"/>
      <c r="CJ261" s="213"/>
      <c r="CK261" s="213"/>
      <c r="CL261" s="213"/>
      <c r="CM261" s="213"/>
      <c r="CN261" s="213"/>
      <c r="CO261" s="213"/>
      <c r="CP261" s="213"/>
      <c r="CQ261" s="213"/>
    </row>
    <row r="262" ht="15.75" customHeight="1">
      <c r="A262" s="213"/>
      <c r="B262" s="213"/>
      <c r="C262" s="213"/>
      <c r="D262" s="213"/>
      <c r="E262" s="213"/>
      <c r="F262" s="213"/>
      <c r="G262" s="213"/>
      <c r="H262" s="213"/>
      <c r="I262" s="213"/>
      <c r="J262" s="216"/>
      <c r="K262" s="213"/>
      <c r="L262" s="213"/>
      <c r="M262" s="213"/>
      <c r="N262" s="213"/>
      <c r="O262" s="213"/>
      <c r="P262" s="216"/>
      <c r="Q262" s="213"/>
      <c r="R262" s="213"/>
      <c r="S262" s="213"/>
      <c r="T262" s="213"/>
      <c r="U262" s="213"/>
      <c r="V262" s="216"/>
      <c r="W262" s="213"/>
      <c r="X262" s="213"/>
      <c r="Y262" s="213"/>
      <c r="Z262" s="213"/>
      <c r="AA262" s="213"/>
      <c r="AB262" s="216"/>
      <c r="AC262" s="213"/>
      <c r="AD262" s="213"/>
      <c r="AE262" s="213"/>
      <c r="AF262" s="213"/>
      <c r="AG262" s="213"/>
      <c r="AH262" s="216"/>
      <c r="AI262" s="213"/>
      <c r="AJ262" s="213"/>
      <c r="AK262" s="213"/>
      <c r="AL262" s="213"/>
      <c r="AM262" s="213"/>
      <c r="AN262" s="216"/>
      <c r="AO262" s="213"/>
      <c r="AP262" s="213"/>
      <c r="AQ262" s="213"/>
      <c r="AR262" s="213"/>
      <c r="AS262" s="213"/>
      <c r="AT262" s="216"/>
      <c r="AU262" s="213"/>
      <c r="AV262" s="213"/>
      <c r="AW262" s="213"/>
      <c r="AX262" s="213"/>
      <c r="AY262" s="213"/>
      <c r="AZ262" s="216"/>
      <c r="BA262" s="213"/>
      <c r="BB262" s="213"/>
      <c r="BC262" s="213"/>
      <c r="BD262" s="213"/>
      <c r="BE262" s="213"/>
      <c r="BF262" s="216"/>
      <c r="BG262" s="213"/>
      <c r="BH262" s="213"/>
      <c r="BI262" s="213"/>
      <c r="BJ262" s="213"/>
      <c r="BK262" s="213"/>
      <c r="BL262" s="216"/>
      <c r="BM262" s="213"/>
      <c r="BN262" s="213"/>
      <c r="BO262" s="213"/>
      <c r="BP262" s="213"/>
      <c r="BQ262" s="213"/>
      <c r="BR262" s="326"/>
      <c r="BS262" s="213"/>
      <c r="BT262" s="213"/>
      <c r="BU262" s="213"/>
      <c r="BV262" s="213"/>
      <c r="BW262" s="213"/>
      <c r="BX262" s="213"/>
      <c r="BY262" s="213"/>
      <c r="BZ262" s="213"/>
      <c r="CA262" s="213"/>
      <c r="CB262" s="213"/>
      <c r="CC262" s="213"/>
      <c r="CD262" s="213"/>
      <c r="CE262" s="213"/>
      <c r="CF262" s="213"/>
      <c r="CG262" s="213"/>
      <c r="CH262" s="213"/>
      <c r="CI262" s="213"/>
      <c r="CJ262" s="213"/>
      <c r="CK262" s="213"/>
      <c r="CL262" s="213"/>
      <c r="CM262" s="213"/>
      <c r="CN262" s="213"/>
      <c r="CO262" s="213"/>
      <c r="CP262" s="213"/>
      <c r="CQ262" s="213"/>
    </row>
    <row r="263" ht="15.75" customHeight="1">
      <c r="A263" s="213"/>
      <c r="B263" s="213"/>
      <c r="C263" s="213"/>
      <c r="D263" s="213"/>
      <c r="E263" s="213"/>
      <c r="F263" s="213"/>
      <c r="G263" s="213"/>
      <c r="H263" s="213"/>
      <c r="I263" s="213"/>
      <c r="J263" s="216"/>
      <c r="K263" s="213"/>
      <c r="L263" s="213"/>
      <c r="M263" s="213"/>
      <c r="N263" s="213"/>
      <c r="O263" s="213"/>
      <c r="P263" s="216"/>
      <c r="Q263" s="213"/>
      <c r="R263" s="213"/>
      <c r="S263" s="213"/>
      <c r="T263" s="213"/>
      <c r="U263" s="213"/>
      <c r="V263" s="216"/>
      <c r="W263" s="213"/>
      <c r="X263" s="213"/>
      <c r="Y263" s="213"/>
      <c r="Z263" s="213"/>
      <c r="AA263" s="213"/>
      <c r="AB263" s="216"/>
      <c r="AC263" s="213"/>
      <c r="AD263" s="213"/>
      <c r="AE263" s="213"/>
      <c r="AF263" s="213"/>
      <c r="AG263" s="213"/>
      <c r="AH263" s="216"/>
      <c r="AI263" s="213"/>
      <c r="AJ263" s="213"/>
      <c r="AK263" s="213"/>
      <c r="AL263" s="213"/>
      <c r="AM263" s="213"/>
      <c r="AN263" s="216"/>
      <c r="AO263" s="213"/>
      <c r="AP263" s="213"/>
      <c r="AQ263" s="213"/>
      <c r="AR263" s="213"/>
      <c r="AS263" s="213"/>
      <c r="AT263" s="216"/>
      <c r="AU263" s="213"/>
      <c r="AV263" s="213"/>
      <c r="AW263" s="213"/>
      <c r="AX263" s="213"/>
      <c r="AY263" s="213"/>
      <c r="AZ263" s="216"/>
      <c r="BA263" s="213"/>
      <c r="BB263" s="213"/>
      <c r="BC263" s="213"/>
      <c r="BD263" s="213"/>
      <c r="BE263" s="213"/>
      <c r="BF263" s="216"/>
      <c r="BG263" s="213"/>
      <c r="BH263" s="213"/>
      <c r="BI263" s="213"/>
      <c r="BJ263" s="213"/>
      <c r="BK263" s="213"/>
      <c r="BL263" s="216"/>
      <c r="BM263" s="213"/>
      <c r="BN263" s="213"/>
      <c r="BO263" s="213"/>
      <c r="BP263" s="213"/>
      <c r="BQ263" s="213"/>
      <c r="BR263" s="326"/>
      <c r="BS263" s="213"/>
      <c r="BT263" s="213"/>
      <c r="BU263" s="213"/>
      <c r="BV263" s="213"/>
      <c r="BW263" s="213"/>
      <c r="BX263" s="213"/>
      <c r="BY263" s="213"/>
      <c r="BZ263" s="213"/>
      <c r="CA263" s="213"/>
      <c r="CB263" s="213"/>
      <c r="CC263" s="213"/>
      <c r="CD263" s="213"/>
      <c r="CE263" s="213"/>
      <c r="CF263" s="213"/>
      <c r="CG263" s="213"/>
      <c r="CH263" s="213"/>
      <c r="CI263" s="213"/>
      <c r="CJ263" s="213"/>
      <c r="CK263" s="213"/>
      <c r="CL263" s="213"/>
      <c r="CM263" s="213"/>
      <c r="CN263" s="213"/>
      <c r="CO263" s="213"/>
      <c r="CP263" s="213"/>
      <c r="CQ263" s="213"/>
    </row>
    <row r="264" ht="15.75" customHeight="1">
      <c r="A264" s="213"/>
      <c r="B264" s="213"/>
      <c r="C264" s="213"/>
      <c r="D264" s="213"/>
      <c r="E264" s="213"/>
      <c r="F264" s="213"/>
      <c r="G264" s="213"/>
      <c r="H264" s="213"/>
      <c r="I264" s="213"/>
      <c r="J264" s="216"/>
      <c r="K264" s="213"/>
      <c r="L264" s="213"/>
      <c r="M264" s="213"/>
      <c r="N264" s="213"/>
      <c r="O264" s="213"/>
      <c r="P264" s="216"/>
      <c r="Q264" s="213"/>
      <c r="R264" s="213"/>
      <c r="S264" s="213"/>
      <c r="T264" s="213"/>
      <c r="U264" s="213"/>
      <c r="V264" s="216"/>
      <c r="W264" s="213"/>
      <c r="X264" s="213"/>
      <c r="Y264" s="213"/>
      <c r="Z264" s="213"/>
      <c r="AA264" s="213"/>
      <c r="AB264" s="216"/>
      <c r="AC264" s="213"/>
      <c r="AD264" s="213"/>
      <c r="AE264" s="213"/>
      <c r="AF264" s="213"/>
      <c r="AG264" s="213"/>
      <c r="AH264" s="216"/>
      <c r="AI264" s="213"/>
      <c r="AJ264" s="213"/>
      <c r="AK264" s="213"/>
      <c r="AL264" s="213"/>
      <c r="AM264" s="213"/>
      <c r="AN264" s="216"/>
      <c r="AO264" s="213"/>
      <c r="AP264" s="213"/>
      <c r="AQ264" s="213"/>
      <c r="AR264" s="213"/>
      <c r="AS264" s="213"/>
      <c r="AT264" s="216"/>
      <c r="AU264" s="213"/>
      <c r="AV264" s="213"/>
      <c r="AW264" s="213"/>
      <c r="AX264" s="213"/>
      <c r="AY264" s="213"/>
      <c r="AZ264" s="216"/>
      <c r="BA264" s="213"/>
      <c r="BB264" s="213"/>
      <c r="BC264" s="213"/>
      <c r="BD264" s="213"/>
      <c r="BE264" s="213"/>
      <c r="BF264" s="216"/>
      <c r="BG264" s="213"/>
      <c r="BH264" s="213"/>
      <c r="BI264" s="213"/>
      <c r="BJ264" s="213"/>
      <c r="BK264" s="213"/>
      <c r="BL264" s="216"/>
      <c r="BM264" s="213"/>
      <c r="BN264" s="213"/>
      <c r="BO264" s="213"/>
      <c r="BP264" s="213"/>
      <c r="BQ264" s="213"/>
      <c r="BR264" s="326"/>
      <c r="BS264" s="213"/>
      <c r="BT264" s="213"/>
      <c r="BU264" s="213"/>
      <c r="BV264" s="213"/>
      <c r="BW264" s="213"/>
      <c r="BX264" s="213"/>
      <c r="BY264" s="213"/>
      <c r="BZ264" s="213"/>
      <c r="CA264" s="213"/>
      <c r="CB264" s="213"/>
      <c r="CC264" s="213"/>
      <c r="CD264" s="213"/>
      <c r="CE264" s="213"/>
      <c r="CF264" s="213"/>
      <c r="CG264" s="213"/>
      <c r="CH264" s="213"/>
      <c r="CI264" s="213"/>
      <c r="CJ264" s="213"/>
      <c r="CK264" s="213"/>
      <c r="CL264" s="213"/>
      <c r="CM264" s="213"/>
      <c r="CN264" s="213"/>
      <c r="CO264" s="213"/>
      <c r="CP264" s="213"/>
      <c r="CQ264" s="213"/>
    </row>
    <row r="265" ht="15.75" customHeight="1">
      <c r="A265" s="213"/>
      <c r="B265" s="213"/>
      <c r="C265" s="213"/>
      <c r="D265" s="213"/>
      <c r="E265" s="213"/>
      <c r="F265" s="213"/>
      <c r="G265" s="213"/>
      <c r="H265" s="213"/>
      <c r="I265" s="213"/>
      <c r="J265" s="216"/>
      <c r="K265" s="213"/>
      <c r="L265" s="213"/>
      <c r="M265" s="213"/>
      <c r="N265" s="213"/>
      <c r="O265" s="213"/>
      <c r="P265" s="216"/>
      <c r="Q265" s="213"/>
      <c r="R265" s="213"/>
      <c r="S265" s="213"/>
      <c r="T265" s="213"/>
      <c r="U265" s="213"/>
      <c r="V265" s="216"/>
      <c r="W265" s="213"/>
      <c r="X265" s="213"/>
      <c r="Y265" s="213"/>
      <c r="Z265" s="213"/>
      <c r="AA265" s="213"/>
      <c r="AB265" s="216"/>
      <c r="AC265" s="213"/>
      <c r="AD265" s="213"/>
      <c r="AE265" s="213"/>
      <c r="AF265" s="213"/>
      <c r="AG265" s="213"/>
      <c r="AH265" s="216"/>
      <c r="AI265" s="213"/>
      <c r="AJ265" s="213"/>
      <c r="AK265" s="213"/>
      <c r="AL265" s="213"/>
      <c r="AM265" s="213"/>
      <c r="AN265" s="216"/>
      <c r="AO265" s="213"/>
      <c r="AP265" s="213"/>
      <c r="AQ265" s="213"/>
      <c r="AR265" s="213"/>
      <c r="AS265" s="213"/>
      <c r="AT265" s="216"/>
      <c r="AU265" s="213"/>
      <c r="AV265" s="213"/>
      <c r="AW265" s="213"/>
      <c r="AX265" s="213"/>
      <c r="AY265" s="213"/>
      <c r="AZ265" s="216"/>
      <c r="BA265" s="213"/>
      <c r="BB265" s="213"/>
      <c r="BC265" s="213"/>
      <c r="BD265" s="213"/>
      <c r="BE265" s="213"/>
      <c r="BF265" s="216"/>
      <c r="BG265" s="213"/>
      <c r="BH265" s="213"/>
      <c r="BI265" s="213"/>
      <c r="BJ265" s="213"/>
      <c r="BK265" s="213"/>
      <c r="BL265" s="216"/>
      <c r="BM265" s="213"/>
      <c r="BN265" s="213"/>
      <c r="BO265" s="213"/>
      <c r="BP265" s="213"/>
      <c r="BQ265" s="213"/>
      <c r="BR265" s="326"/>
      <c r="BS265" s="213"/>
      <c r="BT265" s="213"/>
      <c r="BU265" s="213"/>
      <c r="BV265" s="213"/>
      <c r="BW265" s="213"/>
      <c r="BX265" s="213"/>
      <c r="BY265" s="213"/>
      <c r="BZ265" s="213"/>
      <c r="CA265" s="213"/>
      <c r="CB265" s="213"/>
      <c r="CC265" s="213"/>
      <c r="CD265" s="213"/>
      <c r="CE265" s="213"/>
      <c r="CF265" s="213"/>
      <c r="CG265" s="213"/>
      <c r="CH265" s="213"/>
      <c r="CI265" s="213"/>
      <c r="CJ265" s="213"/>
      <c r="CK265" s="213"/>
      <c r="CL265" s="213"/>
      <c r="CM265" s="213"/>
      <c r="CN265" s="213"/>
      <c r="CO265" s="213"/>
      <c r="CP265" s="213"/>
      <c r="CQ265" s="213"/>
    </row>
    <row r="266" ht="15.75" customHeight="1">
      <c r="A266" s="213"/>
      <c r="B266" s="213"/>
      <c r="C266" s="213"/>
      <c r="D266" s="213"/>
      <c r="E266" s="213"/>
      <c r="F266" s="213"/>
      <c r="G266" s="213"/>
      <c r="H266" s="213"/>
      <c r="I266" s="213"/>
      <c r="J266" s="216"/>
      <c r="K266" s="213"/>
      <c r="L266" s="213"/>
      <c r="M266" s="213"/>
      <c r="N266" s="213"/>
      <c r="O266" s="213"/>
      <c r="P266" s="216"/>
      <c r="Q266" s="213"/>
      <c r="R266" s="213"/>
      <c r="S266" s="213"/>
      <c r="T266" s="213"/>
      <c r="U266" s="213"/>
      <c r="V266" s="216"/>
      <c r="W266" s="213"/>
      <c r="X266" s="213"/>
      <c r="Y266" s="213"/>
      <c r="Z266" s="213"/>
      <c r="AA266" s="213"/>
      <c r="AB266" s="216"/>
      <c r="AC266" s="213"/>
      <c r="AD266" s="213"/>
      <c r="AE266" s="213"/>
      <c r="AF266" s="213"/>
      <c r="AG266" s="213"/>
      <c r="AH266" s="216"/>
      <c r="AI266" s="213"/>
      <c r="AJ266" s="213"/>
      <c r="AK266" s="213"/>
      <c r="AL266" s="213"/>
      <c r="AM266" s="213"/>
      <c r="AN266" s="216"/>
      <c r="AO266" s="213"/>
      <c r="AP266" s="213"/>
      <c r="AQ266" s="213"/>
      <c r="AR266" s="213"/>
      <c r="AS266" s="213"/>
      <c r="AT266" s="216"/>
      <c r="AU266" s="213"/>
      <c r="AV266" s="213"/>
      <c r="AW266" s="213"/>
      <c r="AX266" s="213"/>
      <c r="AY266" s="213"/>
      <c r="AZ266" s="216"/>
      <c r="BA266" s="213"/>
      <c r="BB266" s="213"/>
      <c r="BC266" s="213"/>
      <c r="BD266" s="213"/>
      <c r="BE266" s="213"/>
      <c r="BF266" s="216"/>
      <c r="BG266" s="213"/>
      <c r="BH266" s="213"/>
      <c r="BI266" s="213"/>
      <c r="BJ266" s="213"/>
      <c r="BK266" s="213"/>
      <c r="BL266" s="216"/>
      <c r="BM266" s="213"/>
      <c r="BN266" s="213"/>
      <c r="BO266" s="213"/>
      <c r="BP266" s="213"/>
      <c r="BQ266" s="213"/>
      <c r="BR266" s="326"/>
      <c r="BS266" s="213"/>
      <c r="BT266" s="213"/>
      <c r="BU266" s="213"/>
      <c r="BV266" s="213"/>
      <c r="BW266" s="213"/>
      <c r="BX266" s="213"/>
      <c r="BY266" s="213"/>
      <c r="BZ266" s="213"/>
      <c r="CA266" s="213"/>
      <c r="CB266" s="213"/>
      <c r="CC266" s="213"/>
      <c r="CD266" s="213"/>
      <c r="CE266" s="213"/>
      <c r="CF266" s="213"/>
      <c r="CG266" s="213"/>
      <c r="CH266" s="213"/>
      <c r="CI266" s="213"/>
      <c r="CJ266" s="213"/>
      <c r="CK266" s="213"/>
      <c r="CL266" s="213"/>
      <c r="CM266" s="213"/>
      <c r="CN266" s="213"/>
      <c r="CO266" s="213"/>
      <c r="CP266" s="213"/>
      <c r="CQ266" s="213"/>
    </row>
    <row r="267" ht="15.75" customHeight="1">
      <c r="A267" s="213"/>
      <c r="B267" s="213"/>
      <c r="C267" s="213"/>
      <c r="D267" s="213"/>
      <c r="E267" s="213"/>
      <c r="F267" s="213"/>
      <c r="G267" s="213"/>
      <c r="H267" s="213"/>
      <c r="I267" s="213"/>
      <c r="J267" s="216"/>
      <c r="K267" s="213"/>
      <c r="L267" s="213"/>
      <c r="M267" s="213"/>
      <c r="N267" s="213"/>
      <c r="O267" s="213"/>
      <c r="P267" s="216"/>
      <c r="Q267" s="213"/>
      <c r="R267" s="213"/>
      <c r="S267" s="213"/>
      <c r="T267" s="213"/>
      <c r="U267" s="213"/>
      <c r="V267" s="216"/>
      <c r="W267" s="213"/>
      <c r="X267" s="213"/>
      <c r="Y267" s="213"/>
      <c r="Z267" s="213"/>
      <c r="AA267" s="213"/>
      <c r="AB267" s="216"/>
      <c r="AC267" s="213"/>
      <c r="AD267" s="213"/>
      <c r="AE267" s="213"/>
      <c r="AF267" s="213"/>
      <c r="AG267" s="213"/>
      <c r="AH267" s="216"/>
      <c r="AI267" s="213"/>
      <c r="AJ267" s="213"/>
      <c r="AK267" s="213"/>
      <c r="AL267" s="213"/>
      <c r="AM267" s="213"/>
      <c r="AN267" s="216"/>
      <c r="AO267" s="213"/>
      <c r="AP267" s="213"/>
      <c r="AQ267" s="213"/>
      <c r="AR267" s="213"/>
      <c r="AS267" s="213"/>
      <c r="AT267" s="216"/>
      <c r="AU267" s="213"/>
      <c r="AV267" s="213"/>
      <c r="AW267" s="213"/>
      <c r="AX267" s="213"/>
      <c r="AY267" s="213"/>
      <c r="AZ267" s="216"/>
      <c r="BA267" s="213"/>
      <c r="BB267" s="213"/>
      <c r="BC267" s="213"/>
      <c r="BD267" s="213"/>
      <c r="BE267" s="213"/>
      <c r="BF267" s="216"/>
      <c r="BG267" s="213"/>
      <c r="BH267" s="213"/>
      <c r="BI267" s="213"/>
      <c r="BJ267" s="213"/>
      <c r="BK267" s="213"/>
      <c r="BL267" s="216"/>
      <c r="BM267" s="213"/>
      <c r="BN267" s="213"/>
      <c r="BO267" s="213"/>
      <c r="BP267" s="213"/>
      <c r="BQ267" s="213"/>
      <c r="BR267" s="326"/>
      <c r="BS267" s="213"/>
      <c r="BT267" s="213"/>
      <c r="BU267" s="213"/>
      <c r="BV267" s="213"/>
      <c r="BW267" s="213"/>
      <c r="BX267" s="213"/>
      <c r="BY267" s="213"/>
      <c r="BZ267" s="213"/>
      <c r="CA267" s="213"/>
      <c r="CB267" s="213"/>
      <c r="CC267" s="213"/>
      <c r="CD267" s="213"/>
      <c r="CE267" s="213"/>
      <c r="CF267" s="213"/>
      <c r="CG267" s="213"/>
      <c r="CH267" s="213"/>
      <c r="CI267" s="213"/>
      <c r="CJ267" s="213"/>
      <c r="CK267" s="213"/>
      <c r="CL267" s="213"/>
      <c r="CM267" s="213"/>
      <c r="CN267" s="213"/>
      <c r="CO267" s="213"/>
      <c r="CP267" s="213"/>
      <c r="CQ267" s="213"/>
    </row>
    <row r="268" ht="15.75" customHeight="1">
      <c r="A268" s="213"/>
      <c r="B268" s="213"/>
      <c r="C268" s="213"/>
      <c r="D268" s="213"/>
      <c r="E268" s="213"/>
      <c r="F268" s="213"/>
      <c r="G268" s="213"/>
      <c r="H268" s="213"/>
      <c r="I268" s="213"/>
      <c r="J268" s="216"/>
      <c r="K268" s="213"/>
      <c r="L268" s="213"/>
      <c r="M268" s="213"/>
      <c r="N268" s="213"/>
      <c r="O268" s="213"/>
      <c r="P268" s="216"/>
      <c r="Q268" s="213"/>
      <c r="R268" s="213"/>
      <c r="S268" s="213"/>
      <c r="T268" s="213"/>
      <c r="U268" s="213"/>
      <c r="V268" s="216"/>
      <c r="W268" s="213"/>
      <c r="X268" s="213"/>
      <c r="Y268" s="213"/>
      <c r="Z268" s="213"/>
      <c r="AA268" s="213"/>
      <c r="AB268" s="216"/>
      <c r="AC268" s="213"/>
      <c r="AD268" s="213"/>
      <c r="AE268" s="213"/>
      <c r="AF268" s="213"/>
      <c r="AG268" s="213"/>
      <c r="AH268" s="216"/>
      <c r="AI268" s="213"/>
      <c r="AJ268" s="213"/>
      <c r="AK268" s="213"/>
      <c r="AL268" s="213"/>
      <c r="AM268" s="213"/>
      <c r="AN268" s="216"/>
      <c r="AO268" s="213"/>
      <c r="AP268" s="213"/>
      <c r="AQ268" s="213"/>
      <c r="AR268" s="213"/>
      <c r="AS268" s="213"/>
      <c r="AT268" s="216"/>
      <c r="AU268" s="213"/>
      <c r="AV268" s="213"/>
      <c r="AW268" s="213"/>
      <c r="AX268" s="213"/>
      <c r="AY268" s="213"/>
      <c r="AZ268" s="216"/>
      <c r="BA268" s="213"/>
      <c r="BB268" s="213"/>
      <c r="BC268" s="213"/>
      <c r="BD268" s="213"/>
      <c r="BE268" s="213"/>
      <c r="BF268" s="216"/>
      <c r="BG268" s="213"/>
      <c r="BH268" s="213"/>
      <c r="BI268" s="213"/>
      <c r="BJ268" s="213"/>
      <c r="BK268" s="213"/>
      <c r="BL268" s="216"/>
      <c r="BM268" s="213"/>
      <c r="BN268" s="213"/>
      <c r="BO268" s="213"/>
      <c r="BP268" s="213"/>
      <c r="BQ268" s="213"/>
      <c r="BR268" s="326"/>
      <c r="BS268" s="213"/>
      <c r="BT268" s="213"/>
      <c r="BU268" s="213"/>
      <c r="BV268" s="213"/>
      <c r="BW268" s="213"/>
      <c r="BX268" s="213"/>
      <c r="BY268" s="213"/>
      <c r="BZ268" s="213"/>
      <c r="CA268" s="213"/>
      <c r="CB268" s="213"/>
      <c r="CC268" s="213"/>
      <c r="CD268" s="213"/>
      <c r="CE268" s="213"/>
      <c r="CF268" s="213"/>
      <c r="CG268" s="213"/>
      <c r="CH268" s="213"/>
      <c r="CI268" s="213"/>
      <c r="CJ268" s="213"/>
      <c r="CK268" s="213"/>
      <c r="CL268" s="213"/>
      <c r="CM268" s="213"/>
      <c r="CN268" s="213"/>
      <c r="CO268" s="213"/>
      <c r="CP268" s="213"/>
      <c r="CQ268" s="213"/>
    </row>
    <row r="269" ht="15.75" customHeight="1">
      <c r="A269" s="213"/>
      <c r="B269" s="213"/>
      <c r="C269" s="213"/>
      <c r="D269" s="213"/>
      <c r="E269" s="213"/>
      <c r="F269" s="213"/>
      <c r="G269" s="213"/>
      <c r="H269" s="213"/>
      <c r="I269" s="213"/>
      <c r="J269" s="216"/>
      <c r="K269" s="213"/>
      <c r="L269" s="213"/>
      <c r="M269" s="213"/>
      <c r="N269" s="213"/>
      <c r="O269" s="213"/>
      <c r="P269" s="216"/>
      <c r="Q269" s="213"/>
      <c r="R269" s="213"/>
      <c r="S269" s="213"/>
      <c r="T269" s="213"/>
      <c r="U269" s="213"/>
      <c r="V269" s="216"/>
      <c r="W269" s="213"/>
      <c r="X269" s="213"/>
      <c r="Y269" s="213"/>
      <c r="Z269" s="213"/>
      <c r="AA269" s="213"/>
      <c r="AB269" s="216"/>
      <c r="AC269" s="213"/>
      <c r="AD269" s="213"/>
      <c r="AE269" s="213"/>
      <c r="AF269" s="213"/>
      <c r="AG269" s="213"/>
      <c r="AH269" s="216"/>
      <c r="AI269" s="213"/>
      <c r="AJ269" s="213"/>
      <c r="AK269" s="213"/>
      <c r="AL269" s="213"/>
      <c r="AM269" s="213"/>
      <c r="AN269" s="216"/>
      <c r="AO269" s="213"/>
      <c r="AP269" s="213"/>
      <c r="AQ269" s="213"/>
      <c r="AR269" s="213"/>
      <c r="AS269" s="213"/>
      <c r="AT269" s="216"/>
      <c r="AU269" s="213"/>
      <c r="AV269" s="213"/>
      <c r="AW269" s="213"/>
      <c r="AX269" s="213"/>
      <c r="AY269" s="213"/>
      <c r="AZ269" s="216"/>
      <c r="BA269" s="213"/>
      <c r="BB269" s="213"/>
      <c r="BC269" s="213"/>
      <c r="BD269" s="213"/>
      <c r="BE269" s="213"/>
      <c r="BF269" s="216"/>
      <c r="BG269" s="213"/>
      <c r="BH269" s="213"/>
      <c r="BI269" s="213"/>
      <c r="BJ269" s="213"/>
      <c r="BK269" s="213"/>
      <c r="BL269" s="216"/>
      <c r="BM269" s="213"/>
      <c r="BN269" s="213"/>
      <c r="BO269" s="213"/>
      <c r="BP269" s="213"/>
      <c r="BQ269" s="213"/>
      <c r="BR269" s="326"/>
      <c r="BS269" s="213"/>
      <c r="BT269" s="213"/>
      <c r="BU269" s="213"/>
      <c r="BV269" s="213"/>
      <c r="BW269" s="213"/>
      <c r="BX269" s="213"/>
      <c r="BY269" s="213"/>
      <c r="BZ269" s="213"/>
      <c r="CA269" s="213"/>
      <c r="CB269" s="213"/>
      <c r="CC269" s="213"/>
      <c r="CD269" s="213"/>
      <c r="CE269" s="213"/>
      <c r="CF269" s="213"/>
      <c r="CG269" s="213"/>
      <c r="CH269" s="213"/>
      <c r="CI269" s="213"/>
      <c r="CJ269" s="213"/>
      <c r="CK269" s="213"/>
      <c r="CL269" s="213"/>
      <c r="CM269" s="213"/>
      <c r="CN269" s="213"/>
      <c r="CO269" s="213"/>
      <c r="CP269" s="213"/>
      <c r="CQ269" s="213"/>
    </row>
    <row r="270" ht="15.75" customHeight="1">
      <c r="A270" s="213"/>
      <c r="B270" s="213"/>
      <c r="C270" s="213"/>
      <c r="D270" s="213"/>
      <c r="E270" s="213"/>
      <c r="F270" s="213"/>
      <c r="G270" s="213"/>
      <c r="H270" s="213"/>
      <c r="I270" s="213"/>
      <c r="J270" s="216"/>
      <c r="K270" s="213"/>
      <c r="L270" s="213"/>
      <c r="M270" s="213"/>
      <c r="N270" s="213"/>
      <c r="O270" s="213"/>
      <c r="P270" s="216"/>
      <c r="Q270" s="213"/>
      <c r="R270" s="213"/>
      <c r="S270" s="213"/>
      <c r="T270" s="213"/>
      <c r="U270" s="213"/>
      <c r="V270" s="216"/>
      <c r="W270" s="213"/>
      <c r="X270" s="213"/>
      <c r="Y270" s="213"/>
      <c r="Z270" s="213"/>
      <c r="AA270" s="213"/>
      <c r="AB270" s="216"/>
      <c r="AC270" s="213"/>
      <c r="AD270" s="213"/>
      <c r="AE270" s="213"/>
      <c r="AF270" s="213"/>
      <c r="AG270" s="213"/>
      <c r="AH270" s="216"/>
      <c r="AI270" s="213"/>
      <c r="AJ270" s="213"/>
      <c r="AK270" s="213"/>
      <c r="AL270" s="213"/>
      <c r="AM270" s="213"/>
      <c r="AN270" s="216"/>
      <c r="AO270" s="213"/>
      <c r="AP270" s="213"/>
      <c r="AQ270" s="213"/>
      <c r="AR270" s="213"/>
      <c r="AS270" s="213"/>
      <c r="AT270" s="216"/>
      <c r="AU270" s="213"/>
      <c r="AV270" s="213"/>
      <c r="AW270" s="213"/>
      <c r="AX270" s="213"/>
      <c r="AY270" s="213"/>
      <c r="AZ270" s="216"/>
      <c r="BA270" s="213"/>
      <c r="BB270" s="213"/>
      <c r="BC270" s="213"/>
      <c r="BD270" s="213"/>
      <c r="BE270" s="213"/>
      <c r="BF270" s="216"/>
      <c r="BG270" s="213"/>
      <c r="BH270" s="213"/>
      <c r="BI270" s="213"/>
      <c r="BJ270" s="213"/>
      <c r="BK270" s="213"/>
      <c r="BL270" s="216"/>
      <c r="BM270" s="213"/>
      <c r="BN270" s="213"/>
      <c r="BO270" s="213"/>
      <c r="BP270" s="213"/>
      <c r="BQ270" s="213"/>
      <c r="BR270" s="326"/>
      <c r="BS270" s="213"/>
      <c r="BT270" s="213"/>
      <c r="BU270" s="213"/>
      <c r="BV270" s="213"/>
      <c r="BW270" s="213"/>
      <c r="BX270" s="213"/>
      <c r="BY270" s="213"/>
      <c r="BZ270" s="213"/>
      <c r="CA270" s="213"/>
      <c r="CB270" s="213"/>
      <c r="CC270" s="213"/>
      <c r="CD270" s="213"/>
      <c r="CE270" s="213"/>
      <c r="CF270" s="213"/>
      <c r="CG270" s="213"/>
      <c r="CH270" s="213"/>
      <c r="CI270" s="213"/>
      <c r="CJ270" s="213"/>
      <c r="CK270" s="213"/>
      <c r="CL270" s="213"/>
      <c r="CM270" s="213"/>
      <c r="CN270" s="213"/>
      <c r="CO270" s="213"/>
      <c r="CP270" s="213"/>
      <c r="CQ270" s="213"/>
    </row>
    <row r="271" ht="15.75" customHeight="1">
      <c r="A271" s="213"/>
      <c r="B271" s="213"/>
      <c r="C271" s="213"/>
      <c r="D271" s="213"/>
      <c r="E271" s="213"/>
      <c r="F271" s="213"/>
      <c r="G271" s="213"/>
      <c r="H271" s="213"/>
      <c r="I271" s="213"/>
      <c r="J271" s="216"/>
      <c r="K271" s="213"/>
      <c r="L271" s="213"/>
      <c r="M271" s="213"/>
      <c r="N271" s="213"/>
      <c r="O271" s="213"/>
      <c r="P271" s="216"/>
      <c r="Q271" s="213"/>
      <c r="R271" s="213"/>
      <c r="S271" s="213"/>
      <c r="T271" s="213"/>
      <c r="U271" s="213"/>
      <c r="V271" s="216"/>
      <c r="W271" s="213"/>
      <c r="X271" s="213"/>
      <c r="Y271" s="213"/>
      <c r="Z271" s="213"/>
      <c r="AA271" s="213"/>
      <c r="AB271" s="216"/>
      <c r="AC271" s="213"/>
      <c r="AD271" s="213"/>
      <c r="AE271" s="213"/>
      <c r="AF271" s="213"/>
      <c r="AG271" s="213"/>
      <c r="AH271" s="216"/>
      <c r="AI271" s="213"/>
      <c r="AJ271" s="213"/>
      <c r="AK271" s="213"/>
      <c r="AL271" s="213"/>
      <c r="AM271" s="213"/>
      <c r="AN271" s="216"/>
      <c r="AO271" s="213"/>
      <c r="AP271" s="213"/>
      <c r="AQ271" s="213"/>
      <c r="AR271" s="213"/>
      <c r="AS271" s="213"/>
      <c r="AT271" s="216"/>
      <c r="AU271" s="213"/>
      <c r="AV271" s="213"/>
      <c r="AW271" s="213"/>
      <c r="AX271" s="213"/>
      <c r="AY271" s="213"/>
      <c r="AZ271" s="216"/>
      <c r="BA271" s="213"/>
      <c r="BB271" s="213"/>
      <c r="BC271" s="213"/>
      <c r="BD271" s="213"/>
      <c r="BE271" s="213"/>
      <c r="BF271" s="216"/>
      <c r="BG271" s="213"/>
      <c r="BH271" s="213"/>
      <c r="BI271" s="213"/>
      <c r="BJ271" s="213"/>
      <c r="BK271" s="213"/>
      <c r="BL271" s="216"/>
      <c r="BM271" s="213"/>
      <c r="BN271" s="213"/>
      <c r="BO271" s="213"/>
      <c r="BP271" s="213"/>
      <c r="BQ271" s="213"/>
      <c r="BR271" s="326"/>
      <c r="BS271" s="213"/>
      <c r="BT271" s="213"/>
      <c r="BU271" s="213"/>
      <c r="BV271" s="213"/>
      <c r="BW271" s="213"/>
      <c r="BX271" s="213"/>
      <c r="BY271" s="213"/>
      <c r="BZ271" s="213"/>
      <c r="CA271" s="213"/>
      <c r="CB271" s="213"/>
      <c r="CC271" s="213"/>
      <c r="CD271" s="213"/>
      <c r="CE271" s="213"/>
      <c r="CF271" s="213"/>
      <c r="CG271" s="213"/>
      <c r="CH271" s="213"/>
      <c r="CI271" s="213"/>
      <c r="CJ271" s="213"/>
      <c r="CK271" s="213"/>
      <c r="CL271" s="213"/>
      <c r="CM271" s="213"/>
      <c r="CN271" s="213"/>
      <c r="CO271" s="213"/>
      <c r="CP271" s="213"/>
      <c r="CQ271" s="213"/>
    </row>
    <row r="272" ht="15.75" customHeight="1">
      <c r="A272" s="213"/>
      <c r="B272" s="213"/>
      <c r="C272" s="213"/>
      <c r="D272" s="213"/>
      <c r="E272" s="213"/>
      <c r="F272" s="213"/>
      <c r="G272" s="213"/>
      <c r="H272" s="213"/>
      <c r="I272" s="213"/>
      <c r="J272" s="216"/>
      <c r="K272" s="213"/>
      <c r="L272" s="213"/>
      <c r="M272" s="213"/>
      <c r="N272" s="213"/>
      <c r="O272" s="213"/>
      <c r="P272" s="216"/>
      <c r="Q272" s="213"/>
      <c r="R272" s="213"/>
      <c r="S272" s="213"/>
      <c r="T272" s="213"/>
      <c r="U272" s="213"/>
      <c r="V272" s="216"/>
      <c r="W272" s="213"/>
      <c r="X272" s="213"/>
      <c r="Y272" s="213"/>
      <c r="Z272" s="213"/>
      <c r="AA272" s="213"/>
      <c r="AB272" s="216"/>
      <c r="AC272" s="213"/>
      <c r="AD272" s="213"/>
      <c r="AE272" s="213"/>
      <c r="AF272" s="213"/>
      <c r="AG272" s="213"/>
      <c r="AH272" s="216"/>
      <c r="AI272" s="213"/>
      <c r="AJ272" s="213"/>
      <c r="AK272" s="213"/>
      <c r="AL272" s="213"/>
      <c r="AM272" s="213"/>
      <c r="AN272" s="216"/>
      <c r="AO272" s="213"/>
      <c r="AP272" s="213"/>
      <c r="AQ272" s="213"/>
      <c r="AR272" s="213"/>
      <c r="AS272" s="213"/>
      <c r="AT272" s="216"/>
      <c r="AU272" s="213"/>
      <c r="AV272" s="213"/>
      <c r="AW272" s="213"/>
      <c r="AX272" s="213"/>
      <c r="AY272" s="213"/>
      <c r="AZ272" s="216"/>
      <c r="BA272" s="213"/>
      <c r="BB272" s="213"/>
      <c r="BC272" s="213"/>
      <c r="BD272" s="213"/>
      <c r="BE272" s="213"/>
      <c r="BF272" s="216"/>
      <c r="BG272" s="213"/>
      <c r="BH272" s="213"/>
      <c r="BI272" s="213"/>
      <c r="BJ272" s="213"/>
      <c r="BK272" s="213"/>
      <c r="BL272" s="216"/>
      <c r="BM272" s="213"/>
      <c r="BN272" s="213"/>
      <c r="BO272" s="213"/>
      <c r="BP272" s="213"/>
      <c r="BQ272" s="213"/>
      <c r="BR272" s="326"/>
      <c r="BS272" s="213"/>
      <c r="BT272" s="213"/>
      <c r="BU272" s="213"/>
      <c r="BV272" s="213"/>
      <c r="BW272" s="213"/>
      <c r="BX272" s="213"/>
      <c r="BY272" s="213"/>
      <c r="BZ272" s="213"/>
      <c r="CA272" s="213"/>
      <c r="CB272" s="213"/>
      <c r="CC272" s="213"/>
      <c r="CD272" s="213"/>
      <c r="CE272" s="213"/>
      <c r="CF272" s="213"/>
      <c r="CG272" s="213"/>
      <c r="CH272" s="213"/>
      <c r="CI272" s="213"/>
      <c r="CJ272" s="213"/>
      <c r="CK272" s="213"/>
      <c r="CL272" s="213"/>
      <c r="CM272" s="213"/>
      <c r="CN272" s="213"/>
      <c r="CO272" s="213"/>
      <c r="CP272" s="213"/>
      <c r="CQ272" s="213"/>
    </row>
    <row r="273" ht="15.75" customHeight="1">
      <c r="A273" s="213"/>
      <c r="B273" s="213"/>
      <c r="C273" s="213"/>
      <c r="D273" s="213"/>
      <c r="E273" s="213"/>
      <c r="F273" s="213"/>
      <c r="G273" s="213"/>
      <c r="H273" s="213"/>
      <c r="I273" s="213"/>
      <c r="J273" s="216"/>
      <c r="K273" s="213"/>
      <c r="L273" s="213"/>
      <c r="M273" s="213"/>
      <c r="N273" s="213"/>
      <c r="O273" s="213"/>
      <c r="P273" s="216"/>
      <c r="Q273" s="213"/>
      <c r="R273" s="213"/>
      <c r="S273" s="213"/>
      <c r="T273" s="213"/>
      <c r="U273" s="213"/>
      <c r="V273" s="216"/>
      <c r="W273" s="213"/>
      <c r="X273" s="213"/>
      <c r="Y273" s="213"/>
      <c r="Z273" s="213"/>
      <c r="AA273" s="213"/>
      <c r="AB273" s="216"/>
      <c r="AC273" s="213"/>
      <c r="AD273" s="213"/>
      <c r="AE273" s="213"/>
      <c r="AF273" s="213"/>
      <c r="AG273" s="213"/>
      <c r="AH273" s="216"/>
      <c r="AI273" s="213"/>
      <c r="AJ273" s="213"/>
      <c r="AK273" s="213"/>
      <c r="AL273" s="213"/>
      <c r="AM273" s="213"/>
      <c r="AN273" s="216"/>
      <c r="AO273" s="213"/>
      <c r="AP273" s="213"/>
      <c r="AQ273" s="213"/>
      <c r="AR273" s="213"/>
      <c r="AS273" s="213"/>
      <c r="AT273" s="216"/>
      <c r="AU273" s="213"/>
      <c r="AV273" s="213"/>
      <c r="AW273" s="213"/>
      <c r="AX273" s="213"/>
      <c r="AY273" s="213"/>
      <c r="AZ273" s="216"/>
      <c r="BA273" s="213"/>
      <c r="BB273" s="213"/>
      <c r="BC273" s="213"/>
      <c r="BD273" s="213"/>
      <c r="BE273" s="213"/>
      <c r="BF273" s="216"/>
      <c r="BG273" s="213"/>
      <c r="BH273" s="213"/>
      <c r="BI273" s="213"/>
      <c r="BJ273" s="213"/>
      <c r="BK273" s="213"/>
      <c r="BL273" s="216"/>
      <c r="BM273" s="213"/>
      <c r="BN273" s="213"/>
      <c r="BO273" s="213"/>
      <c r="BP273" s="213"/>
      <c r="BQ273" s="213"/>
      <c r="BR273" s="326"/>
      <c r="BS273" s="213"/>
      <c r="BT273" s="213"/>
      <c r="BU273" s="213"/>
      <c r="BV273" s="213"/>
      <c r="BW273" s="213"/>
      <c r="BX273" s="213"/>
      <c r="BY273" s="213"/>
      <c r="BZ273" s="213"/>
      <c r="CA273" s="213"/>
      <c r="CB273" s="213"/>
      <c r="CC273" s="213"/>
      <c r="CD273" s="213"/>
      <c r="CE273" s="213"/>
      <c r="CF273" s="213"/>
      <c r="CG273" s="213"/>
      <c r="CH273" s="213"/>
      <c r="CI273" s="213"/>
      <c r="CJ273" s="213"/>
      <c r="CK273" s="213"/>
      <c r="CL273" s="213"/>
      <c r="CM273" s="213"/>
      <c r="CN273" s="213"/>
      <c r="CO273" s="213"/>
      <c r="CP273" s="213"/>
      <c r="CQ273" s="213"/>
    </row>
    <row r="274" ht="15.75" customHeight="1">
      <c r="A274" s="213"/>
      <c r="B274" s="213"/>
      <c r="C274" s="213"/>
      <c r="D274" s="213"/>
      <c r="E274" s="213"/>
      <c r="F274" s="213"/>
      <c r="G274" s="213"/>
      <c r="H274" s="213"/>
      <c r="I274" s="213"/>
      <c r="J274" s="216"/>
      <c r="K274" s="213"/>
      <c r="L274" s="213"/>
      <c r="M274" s="213"/>
      <c r="N274" s="213"/>
      <c r="O274" s="213"/>
      <c r="P274" s="216"/>
      <c r="Q274" s="213"/>
      <c r="R274" s="213"/>
      <c r="S274" s="213"/>
      <c r="T274" s="213"/>
      <c r="U274" s="213"/>
      <c r="V274" s="216"/>
      <c r="W274" s="213"/>
      <c r="X274" s="213"/>
      <c r="Y274" s="213"/>
      <c r="Z274" s="213"/>
      <c r="AA274" s="213"/>
      <c r="AB274" s="216"/>
      <c r="AC274" s="213"/>
      <c r="AD274" s="213"/>
      <c r="AE274" s="213"/>
      <c r="AF274" s="213"/>
      <c r="AG274" s="213"/>
      <c r="AH274" s="216"/>
      <c r="AI274" s="213"/>
      <c r="AJ274" s="213"/>
      <c r="AK274" s="213"/>
      <c r="AL274" s="213"/>
      <c r="AM274" s="213"/>
      <c r="AN274" s="216"/>
      <c r="AO274" s="213"/>
      <c r="AP274" s="213"/>
      <c r="AQ274" s="213"/>
      <c r="AR274" s="213"/>
      <c r="AS274" s="213"/>
      <c r="AT274" s="216"/>
      <c r="AU274" s="213"/>
      <c r="AV274" s="213"/>
      <c r="AW274" s="213"/>
      <c r="AX274" s="213"/>
      <c r="AY274" s="213"/>
      <c r="AZ274" s="216"/>
      <c r="BA274" s="213"/>
      <c r="BB274" s="213"/>
      <c r="BC274" s="213"/>
      <c r="BD274" s="213"/>
      <c r="BE274" s="213"/>
      <c r="BF274" s="216"/>
      <c r="BG274" s="213"/>
      <c r="BH274" s="213"/>
      <c r="BI274" s="213"/>
      <c r="BJ274" s="213"/>
      <c r="BK274" s="213"/>
      <c r="BL274" s="216"/>
      <c r="BM274" s="213"/>
      <c r="BN274" s="213"/>
      <c r="BO274" s="213"/>
      <c r="BP274" s="213"/>
      <c r="BQ274" s="213"/>
      <c r="BR274" s="326"/>
      <c r="BS274" s="213"/>
      <c r="BT274" s="213"/>
      <c r="BU274" s="213"/>
      <c r="BV274" s="213"/>
      <c r="BW274" s="213"/>
      <c r="BX274" s="213"/>
      <c r="BY274" s="213"/>
      <c r="BZ274" s="213"/>
      <c r="CA274" s="213"/>
      <c r="CB274" s="213"/>
      <c r="CC274" s="213"/>
      <c r="CD274" s="213"/>
      <c r="CE274" s="213"/>
      <c r="CF274" s="213"/>
      <c r="CG274" s="213"/>
      <c r="CH274" s="213"/>
      <c r="CI274" s="213"/>
      <c r="CJ274" s="213"/>
      <c r="CK274" s="213"/>
      <c r="CL274" s="213"/>
      <c r="CM274" s="213"/>
      <c r="CN274" s="213"/>
      <c r="CO274" s="213"/>
      <c r="CP274" s="213"/>
      <c r="CQ274" s="213"/>
    </row>
    <row r="275" ht="15.75" customHeight="1">
      <c r="A275" s="213"/>
      <c r="B275" s="213"/>
      <c r="C275" s="213"/>
      <c r="D275" s="213"/>
      <c r="E275" s="213"/>
      <c r="F275" s="213"/>
      <c r="G275" s="213"/>
      <c r="H275" s="213"/>
      <c r="I275" s="213"/>
      <c r="J275" s="216"/>
      <c r="K275" s="213"/>
      <c r="L275" s="213"/>
      <c r="M275" s="213"/>
      <c r="N275" s="213"/>
      <c r="O275" s="213"/>
      <c r="P275" s="216"/>
      <c r="Q275" s="213"/>
      <c r="R275" s="213"/>
      <c r="S275" s="213"/>
      <c r="T275" s="213"/>
      <c r="U275" s="213"/>
      <c r="V275" s="216"/>
      <c r="W275" s="213"/>
      <c r="X275" s="213"/>
      <c r="Y275" s="213"/>
      <c r="Z275" s="213"/>
      <c r="AA275" s="213"/>
      <c r="AB275" s="216"/>
      <c r="AC275" s="213"/>
      <c r="AD275" s="213"/>
      <c r="AE275" s="213"/>
      <c r="AF275" s="213"/>
      <c r="AG275" s="213"/>
      <c r="AH275" s="216"/>
      <c r="AI275" s="213"/>
      <c r="AJ275" s="213"/>
      <c r="AK275" s="213"/>
      <c r="AL275" s="213"/>
      <c r="AM275" s="213"/>
      <c r="AN275" s="216"/>
      <c r="AO275" s="213"/>
      <c r="AP275" s="213"/>
      <c r="AQ275" s="213"/>
      <c r="AR275" s="213"/>
      <c r="AS275" s="213"/>
      <c r="AT275" s="216"/>
      <c r="AU275" s="213"/>
      <c r="AV275" s="213"/>
      <c r="AW275" s="213"/>
      <c r="AX275" s="213"/>
      <c r="AY275" s="213"/>
      <c r="AZ275" s="216"/>
      <c r="BA275" s="213"/>
      <c r="BB275" s="213"/>
      <c r="BC275" s="213"/>
      <c r="BD275" s="213"/>
      <c r="BE275" s="213"/>
      <c r="BF275" s="216"/>
      <c r="BG275" s="213"/>
      <c r="BH275" s="213"/>
      <c r="BI275" s="213"/>
      <c r="BJ275" s="213"/>
      <c r="BK275" s="213"/>
      <c r="BL275" s="216"/>
      <c r="BM275" s="213"/>
      <c r="BN275" s="213"/>
      <c r="BO275" s="213"/>
      <c r="BP275" s="213"/>
      <c r="BQ275" s="213"/>
      <c r="BR275" s="326"/>
      <c r="BS275" s="213"/>
      <c r="BT275" s="213"/>
      <c r="BU275" s="213"/>
      <c r="BV275" s="213"/>
      <c r="BW275" s="213"/>
      <c r="BX275" s="213"/>
      <c r="BY275" s="213"/>
      <c r="BZ275" s="213"/>
      <c r="CA275" s="213"/>
      <c r="CB275" s="213"/>
      <c r="CC275" s="213"/>
      <c r="CD275" s="213"/>
      <c r="CE275" s="213"/>
      <c r="CF275" s="213"/>
      <c r="CG275" s="213"/>
      <c r="CH275" s="213"/>
      <c r="CI275" s="213"/>
      <c r="CJ275" s="213"/>
      <c r="CK275" s="213"/>
      <c r="CL275" s="213"/>
      <c r="CM275" s="213"/>
      <c r="CN275" s="213"/>
      <c r="CO275" s="213"/>
      <c r="CP275" s="213"/>
      <c r="CQ275" s="213"/>
    </row>
    <row r="276" ht="15.75" customHeight="1">
      <c r="A276" s="213"/>
      <c r="B276" s="213"/>
      <c r="C276" s="213"/>
      <c r="D276" s="213"/>
      <c r="E276" s="213"/>
      <c r="F276" s="213"/>
      <c r="G276" s="213"/>
      <c r="H276" s="213"/>
      <c r="I276" s="213"/>
      <c r="J276" s="216"/>
      <c r="K276" s="213"/>
      <c r="L276" s="213"/>
      <c r="M276" s="213"/>
      <c r="N276" s="213"/>
      <c r="O276" s="213"/>
      <c r="P276" s="216"/>
      <c r="Q276" s="213"/>
      <c r="R276" s="213"/>
      <c r="S276" s="213"/>
      <c r="T276" s="213"/>
      <c r="U276" s="213"/>
      <c r="V276" s="216"/>
      <c r="W276" s="213"/>
      <c r="X276" s="213"/>
      <c r="Y276" s="213"/>
      <c r="Z276" s="213"/>
      <c r="AA276" s="213"/>
      <c r="AB276" s="216"/>
      <c r="AC276" s="213"/>
      <c r="AD276" s="213"/>
      <c r="AE276" s="213"/>
      <c r="AF276" s="213"/>
      <c r="AG276" s="213"/>
      <c r="AH276" s="216"/>
      <c r="AI276" s="213"/>
      <c r="AJ276" s="213"/>
      <c r="AK276" s="213"/>
      <c r="AL276" s="213"/>
      <c r="AM276" s="213"/>
      <c r="AN276" s="216"/>
      <c r="AO276" s="213"/>
      <c r="AP276" s="213"/>
      <c r="AQ276" s="213"/>
      <c r="AR276" s="213"/>
      <c r="AS276" s="213"/>
      <c r="AT276" s="216"/>
      <c r="AU276" s="213"/>
      <c r="AV276" s="213"/>
      <c r="AW276" s="213"/>
      <c r="AX276" s="213"/>
      <c r="AY276" s="213"/>
      <c r="AZ276" s="216"/>
      <c r="BA276" s="213"/>
      <c r="BB276" s="213"/>
      <c r="BC276" s="213"/>
      <c r="BD276" s="213"/>
      <c r="BE276" s="213"/>
      <c r="BF276" s="216"/>
      <c r="BG276" s="213"/>
      <c r="BH276" s="213"/>
      <c r="BI276" s="213"/>
      <c r="BJ276" s="213"/>
      <c r="BK276" s="213"/>
      <c r="BL276" s="216"/>
      <c r="BM276" s="213"/>
      <c r="BN276" s="213"/>
      <c r="BO276" s="213"/>
      <c r="BP276" s="213"/>
      <c r="BQ276" s="213"/>
      <c r="BR276" s="326"/>
      <c r="BS276" s="213"/>
      <c r="BT276" s="213"/>
      <c r="BU276" s="213"/>
      <c r="BV276" s="213"/>
      <c r="BW276" s="213"/>
      <c r="BX276" s="213"/>
      <c r="BY276" s="213"/>
      <c r="BZ276" s="213"/>
      <c r="CA276" s="213"/>
      <c r="CB276" s="213"/>
      <c r="CC276" s="213"/>
      <c r="CD276" s="213"/>
      <c r="CE276" s="213"/>
      <c r="CF276" s="213"/>
      <c r="CG276" s="213"/>
      <c r="CH276" s="213"/>
      <c r="CI276" s="213"/>
      <c r="CJ276" s="213"/>
      <c r="CK276" s="213"/>
      <c r="CL276" s="213"/>
      <c r="CM276" s="213"/>
      <c r="CN276" s="213"/>
      <c r="CO276" s="213"/>
      <c r="CP276" s="213"/>
      <c r="CQ276" s="213"/>
    </row>
    <row r="277" ht="15.75" customHeight="1">
      <c r="A277" s="213"/>
      <c r="B277" s="213"/>
      <c r="C277" s="213"/>
      <c r="D277" s="213"/>
      <c r="E277" s="213"/>
      <c r="F277" s="213"/>
      <c r="G277" s="213"/>
      <c r="H277" s="213"/>
      <c r="I277" s="213"/>
      <c r="J277" s="216"/>
      <c r="K277" s="213"/>
      <c r="L277" s="213"/>
      <c r="M277" s="213"/>
      <c r="N277" s="213"/>
      <c r="O277" s="213"/>
      <c r="P277" s="216"/>
      <c r="Q277" s="213"/>
      <c r="R277" s="213"/>
      <c r="S277" s="213"/>
      <c r="T277" s="213"/>
      <c r="U277" s="213"/>
      <c r="V277" s="216"/>
      <c r="W277" s="213"/>
      <c r="X277" s="213"/>
      <c r="Y277" s="213"/>
      <c r="Z277" s="213"/>
      <c r="AA277" s="213"/>
      <c r="AB277" s="216"/>
      <c r="AC277" s="213"/>
      <c r="AD277" s="213"/>
      <c r="AE277" s="213"/>
      <c r="AF277" s="213"/>
      <c r="AG277" s="213"/>
      <c r="AH277" s="216"/>
      <c r="AI277" s="213"/>
      <c r="AJ277" s="213"/>
      <c r="AK277" s="213"/>
      <c r="AL277" s="213"/>
      <c r="AM277" s="213"/>
      <c r="AN277" s="216"/>
      <c r="AO277" s="213"/>
      <c r="AP277" s="213"/>
      <c r="AQ277" s="213"/>
      <c r="AR277" s="213"/>
      <c r="AS277" s="213"/>
      <c r="AT277" s="216"/>
      <c r="AU277" s="213"/>
      <c r="AV277" s="213"/>
      <c r="AW277" s="213"/>
      <c r="AX277" s="213"/>
      <c r="AY277" s="213"/>
      <c r="AZ277" s="216"/>
      <c r="BA277" s="213"/>
      <c r="BB277" s="213"/>
      <c r="BC277" s="213"/>
      <c r="BD277" s="213"/>
      <c r="BE277" s="213"/>
      <c r="BF277" s="216"/>
      <c r="BG277" s="213"/>
      <c r="BH277" s="213"/>
      <c r="BI277" s="213"/>
      <c r="BJ277" s="213"/>
      <c r="BK277" s="213"/>
      <c r="BL277" s="216"/>
      <c r="BM277" s="213"/>
      <c r="BN277" s="213"/>
      <c r="BO277" s="213"/>
      <c r="BP277" s="213"/>
      <c r="BQ277" s="213"/>
      <c r="BR277" s="326"/>
      <c r="BS277" s="213"/>
      <c r="BT277" s="213"/>
      <c r="BU277" s="213"/>
      <c r="BV277" s="213"/>
      <c r="BW277" s="213"/>
      <c r="BX277" s="213"/>
      <c r="BY277" s="213"/>
      <c r="BZ277" s="213"/>
      <c r="CA277" s="213"/>
      <c r="CB277" s="213"/>
      <c r="CC277" s="213"/>
      <c r="CD277" s="213"/>
      <c r="CE277" s="213"/>
      <c r="CF277" s="213"/>
      <c r="CG277" s="213"/>
      <c r="CH277" s="213"/>
      <c r="CI277" s="213"/>
      <c r="CJ277" s="213"/>
      <c r="CK277" s="213"/>
      <c r="CL277" s="213"/>
      <c r="CM277" s="213"/>
      <c r="CN277" s="213"/>
      <c r="CO277" s="213"/>
      <c r="CP277" s="213"/>
      <c r="CQ277" s="213"/>
    </row>
    <row r="278" ht="15.75" customHeight="1">
      <c r="A278" s="213"/>
      <c r="B278" s="213"/>
      <c r="C278" s="213"/>
      <c r="D278" s="213"/>
      <c r="E278" s="213"/>
      <c r="F278" s="213"/>
      <c r="G278" s="213"/>
      <c r="H278" s="213"/>
      <c r="I278" s="213"/>
      <c r="J278" s="216"/>
      <c r="K278" s="213"/>
      <c r="L278" s="213"/>
      <c r="M278" s="213"/>
      <c r="N278" s="213"/>
      <c r="O278" s="213"/>
      <c r="P278" s="216"/>
      <c r="Q278" s="213"/>
      <c r="R278" s="213"/>
      <c r="S278" s="213"/>
      <c r="T278" s="213"/>
      <c r="U278" s="213"/>
      <c r="V278" s="216"/>
      <c r="W278" s="213"/>
      <c r="X278" s="213"/>
      <c r="Y278" s="213"/>
      <c r="Z278" s="213"/>
      <c r="AA278" s="213"/>
      <c r="AB278" s="216"/>
      <c r="AC278" s="213"/>
      <c r="AD278" s="213"/>
      <c r="AE278" s="213"/>
      <c r="AF278" s="213"/>
      <c r="AG278" s="213"/>
      <c r="AH278" s="216"/>
      <c r="AI278" s="213"/>
      <c r="AJ278" s="213"/>
      <c r="AK278" s="213"/>
      <c r="AL278" s="213"/>
      <c r="AM278" s="213"/>
      <c r="AN278" s="216"/>
      <c r="AO278" s="213"/>
      <c r="AP278" s="213"/>
      <c r="AQ278" s="213"/>
      <c r="AR278" s="213"/>
      <c r="AS278" s="213"/>
      <c r="AT278" s="216"/>
      <c r="AU278" s="213"/>
      <c r="AV278" s="213"/>
      <c r="AW278" s="213"/>
      <c r="AX278" s="213"/>
      <c r="AY278" s="213"/>
      <c r="AZ278" s="216"/>
      <c r="BA278" s="213"/>
      <c r="BB278" s="213"/>
      <c r="BC278" s="213"/>
      <c r="BD278" s="213"/>
      <c r="BE278" s="213"/>
      <c r="BF278" s="216"/>
      <c r="BG278" s="213"/>
      <c r="BH278" s="213"/>
      <c r="BI278" s="213"/>
      <c r="BJ278" s="213"/>
      <c r="BK278" s="213"/>
      <c r="BL278" s="216"/>
      <c r="BM278" s="213"/>
      <c r="BN278" s="213"/>
      <c r="BO278" s="213"/>
      <c r="BP278" s="213"/>
      <c r="BQ278" s="213"/>
      <c r="BR278" s="326"/>
      <c r="BS278" s="213"/>
      <c r="BT278" s="213"/>
      <c r="BU278" s="213"/>
      <c r="BV278" s="213"/>
      <c r="BW278" s="213"/>
      <c r="BX278" s="213"/>
      <c r="BY278" s="213"/>
      <c r="BZ278" s="213"/>
      <c r="CA278" s="213"/>
      <c r="CB278" s="213"/>
      <c r="CC278" s="213"/>
      <c r="CD278" s="213"/>
      <c r="CE278" s="213"/>
      <c r="CF278" s="213"/>
      <c r="CG278" s="213"/>
      <c r="CH278" s="213"/>
      <c r="CI278" s="213"/>
      <c r="CJ278" s="213"/>
      <c r="CK278" s="213"/>
      <c r="CL278" s="213"/>
      <c r="CM278" s="213"/>
      <c r="CN278" s="213"/>
      <c r="CO278" s="213"/>
      <c r="CP278" s="213"/>
      <c r="CQ278" s="213"/>
    </row>
    <row r="279" ht="15.75" customHeight="1">
      <c r="A279" s="213"/>
      <c r="B279" s="213"/>
      <c r="C279" s="213"/>
      <c r="D279" s="213"/>
      <c r="E279" s="213"/>
      <c r="F279" s="213"/>
      <c r="G279" s="213"/>
      <c r="H279" s="213"/>
      <c r="I279" s="213"/>
      <c r="J279" s="216"/>
      <c r="K279" s="213"/>
      <c r="L279" s="213"/>
      <c r="M279" s="213"/>
      <c r="N279" s="213"/>
      <c r="O279" s="213"/>
      <c r="P279" s="216"/>
      <c r="Q279" s="213"/>
      <c r="R279" s="213"/>
      <c r="S279" s="213"/>
      <c r="T279" s="213"/>
      <c r="U279" s="213"/>
      <c r="V279" s="216"/>
      <c r="W279" s="213"/>
      <c r="X279" s="213"/>
      <c r="Y279" s="213"/>
      <c r="Z279" s="213"/>
      <c r="AA279" s="213"/>
      <c r="AB279" s="216"/>
      <c r="AC279" s="213"/>
      <c r="AD279" s="213"/>
      <c r="AE279" s="213"/>
      <c r="AF279" s="213"/>
      <c r="AG279" s="213"/>
      <c r="AH279" s="216"/>
      <c r="AI279" s="213"/>
      <c r="AJ279" s="213"/>
      <c r="AK279" s="213"/>
      <c r="AL279" s="213"/>
      <c r="AM279" s="213"/>
      <c r="AN279" s="216"/>
      <c r="AO279" s="213"/>
      <c r="AP279" s="213"/>
      <c r="AQ279" s="213"/>
      <c r="AR279" s="213"/>
      <c r="AS279" s="213"/>
      <c r="AT279" s="216"/>
      <c r="AU279" s="213"/>
      <c r="AV279" s="213"/>
      <c r="AW279" s="213"/>
      <c r="AX279" s="213"/>
      <c r="AY279" s="213"/>
      <c r="AZ279" s="216"/>
      <c r="BA279" s="213"/>
      <c r="BB279" s="213"/>
      <c r="BC279" s="213"/>
      <c r="BD279" s="213"/>
      <c r="BE279" s="213"/>
      <c r="BF279" s="216"/>
      <c r="BG279" s="213"/>
      <c r="BH279" s="213"/>
      <c r="BI279" s="213"/>
      <c r="BJ279" s="213"/>
      <c r="BK279" s="213"/>
      <c r="BL279" s="216"/>
      <c r="BM279" s="213"/>
      <c r="BN279" s="213"/>
      <c r="BO279" s="213"/>
      <c r="BP279" s="213"/>
      <c r="BQ279" s="213"/>
      <c r="BR279" s="326"/>
      <c r="BS279" s="213"/>
      <c r="BT279" s="213"/>
      <c r="BU279" s="213"/>
      <c r="BV279" s="213"/>
      <c r="BW279" s="213"/>
      <c r="BX279" s="213"/>
      <c r="BY279" s="213"/>
      <c r="BZ279" s="213"/>
      <c r="CA279" s="213"/>
      <c r="CB279" s="213"/>
      <c r="CC279" s="213"/>
      <c r="CD279" s="213"/>
      <c r="CE279" s="213"/>
      <c r="CF279" s="213"/>
      <c r="CG279" s="213"/>
      <c r="CH279" s="213"/>
      <c r="CI279" s="213"/>
      <c r="CJ279" s="213"/>
      <c r="CK279" s="213"/>
      <c r="CL279" s="213"/>
      <c r="CM279" s="213"/>
      <c r="CN279" s="213"/>
      <c r="CO279" s="213"/>
      <c r="CP279" s="213"/>
      <c r="CQ279" s="213"/>
    </row>
    <row r="280" ht="15.75" customHeight="1">
      <c r="A280" s="213"/>
      <c r="B280" s="213"/>
      <c r="C280" s="213"/>
      <c r="D280" s="213"/>
      <c r="E280" s="213"/>
      <c r="F280" s="213"/>
      <c r="G280" s="213"/>
      <c r="H280" s="213"/>
      <c r="I280" s="213"/>
      <c r="J280" s="216"/>
      <c r="K280" s="213"/>
      <c r="L280" s="213"/>
      <c r="M280" s="213"/>
      <c r="N280" s="213"/>
      <c r="O280" s="213"/>
      <c r="P280" s="216"/>
      <c r="Q280" s="213"/>
      <c r="R280" s="213"/>
      <c r="S280" s="213"/>
      <c r="T280" s="213"/>
      <c r="U280" s="213"/>
      <c r="V280" s="216"/>
      <c r="W280" s="213"/>
      <c r="X280" s="213"/>
      <c r="Y280" s="213"/>
      <c r="Z280" s="213"/>
      <c r="AA280" s="213"/>
      <c r="AB280" s="216"/>
      <c r="AC280" s="213"/>
      <c r="AD280" s="213"/>
      <c r="AE280" s="213"/>
      <c r="AF280" s="213"/>
      <c r="AG280" s="213"/>
      <c r="AH280" s="216"/>
      <c r="AI280" s="213"/>
      <c r="AJ280" s="213"/>
      <c r="AK280" s="213"/>
      <c r="AL280" s="213"/>
      <c r="AM280" s="213"/>
      <c r="AN280" s="216"/>
      <c r="AO280" s="213"/>
      <c r="AP280" s="213"/>
      <c r="AQ280" s="213"/>
      <c r="AR280" s="213"/>
      <c r="AS280" s="213"/>
      <c r="AT280" s="216"/>
      <c r="AU280" s="213"/>
      <c r="AV280" s="213"/>
      <c r="AW280" s="213"/>
      <c r="AX280" s="213"/>
      <c r="AY280" s="213"/>
      <c r="AZ280" s="216"/>
      <c r="BA280" s="213"/>
      <c r="BB280" s="213"/>
      <c r="BC280" s="213"/>
      <c r="BD280" s="213"/>
      <c r="BE280" s="213"/>
      <c r="BF280" s="216"/>
      <c r="BG280" s="213"/>
      <c r="BH280" s="213"/>
      <c r="BI280" s="213"/>
      <c r="BJ280" s="213"/>
      <c r="BK280" s="213"/>
      <c r="BL280" s="216"/>
      <c r="BM280" s="213"/>
      <c r="BN280" s="213"/>
      <c r="BO280" s="213"/>
      <c r="BP280" s="213"/>
      <c r="BQ280" s="213"/>
      <c r="BR280" s="326"/>
      <c r="BS280" s="213"/>
      <c r="BT280" s="213"/>
      <c r="BU280" s="213"/>
      <c r="BV280" s="213"/>
      <c r="BW280" s="213"/>
      <c r="BX280" s="213"/>
      <c r="BY280" s="213"/>
      <c r="BZ280" s="213"/>
      <c r="CA280" s="213"/>
      <c r="CB280" s="213"/>
      <c r="CC280" s="213"/>
      <c r="CD280" s="213"/>
      <c r="CE280" s="213"/>
      <c r="CF280" s="213"/>
      <c r="CG280" s="213"/>
      <c r="CH280" s="213"/>
      <c r="CI280" s="213"/>
      <c r="CJ280" s="213"/>
      <c r="CK280" s="213"/>
      <c r="CL280" s="213"/>
      <c r="CM280" s="213"/>
      <c r="CN280" s="213"/>
      <c r="CO280" s="213"/>
      <c r="CP280" s="213"/>
      <c r="CQ280" s="213"/>
    </row>
    <row r="281" ht="15.75" customHeight="1">
      <c r="A281" s="213"/>
      <c r="B281" s="213"/>
      <c r="C281" s="213"/>
      <c r="D281" s="213"/>
      <c r="E281" s="213"/>
      <c r="F281" s="213"/>
      <c r="G281" s="213"/>
      <c r="H281" s="213"/>
      <c r="I281" s="213"/>
      <c r="J281" s="216"/>
      <c r="K281" s="213"/>
      <c r="L281" s="213"/>
      <c r="M281" s="213"/>
      <c r="N281" s="213"/>
      <c r="O281" s="213"/>
      <c r="P281" s="216"/>
      <c r="Q281" s="213"/>
      <c r="R281" s="213"/>
      <c r="S281" s="213"/>
      <c r="T281" s="213"/>
      <c r="U281" s="213"/>
      <c r="V281" s="216"/>
      <c r="W281" s="213"/>
      <c r="X281" s="213"/>
      <c r="Y281" s="213"/>
      <c r="Z281" s="213"/>
      <c r="AA281" s="213"/>
      <c r="AB281" s="216"/>
      <c r="AC281" s="213"/>
      <c r="AD281" s="213"/>
      <c r="AE281" s="213"/>
      <c r="AF281" s="213"/>
      <c r="AG281" s="213"/>
      <c r="AH281" s="216"/>
      <c r="AI281" s="213"/>
      <c r="AJ281" s="213"/>
      <c r="AK281" s="213"/>
      <c r="AL281" s="213"/>
      <c r="AM281" s="213"/>
      <c r="AN281" s="216"/>
      <c r="AO281" s="213"/>
      <c r="AP281" s="213"/>
      <c r="AQ281" s="213"/>
      <c r="AR281" s="213"/>
      <c r="AS281" s="213"/>
      <c r="AT281" s="216"/>
      <c r="AU281" s="213"/>
      <c r="AV281" s="213"/>
      <c r="AW281" s="213"/>
      <c r="AX281" s="213"/>
      <c r="AY281" s="213"/>
      <c r="AZ281" s="216"/>
      <c r="BA281" s="213"/>
      <c r="BB281" s="213"/>
      <c r="BC281" s="213"/>
      <c r="BD281" s="213"/>
      <c r="BE281" s="213"/>
      <c r="BF281" s="216"/>
      <c r="BG281" s="213"/>
      <c r="BH281" s="213"/>
      <c r="BI281" s="213"/>
      <c r="BJ281" s="213"/>
      <c r="BK281" s="213"/>
      <c r="BL281" s="216"/>
      <c r="BM281" s="213"/>
      <c r="BN281" s="213"/>
      <c r="BO281" s="213"/>
      <c r="BP281" s="213"/>
      <c r="BQ281" s="213"/>
      <c r="BR281" s="326"/>
      <c r="BS281" s="213"/>
      <c r="BT281" s="213"/>
      <c r="BU281" s="213"/>
      <c r="BV281" s="213"/>
      <c r="BW281" s="213"/>
      <c r="BX281" s="213"/>
      <c r="BY281" s="213"/>
      <c r="BZ281" s="213"/>
      <c r="CA281" s="213"/>
      <c r="CB281" s="213"/>
      <c r="CC281" s="213"/>
      <c r="CD281" s="213"/>
      <c r="CE281" s="213"/>
      <c r="CF281" s="213"/>
      <c r="CG281" s="213"/>
      <c r="CH281" s="213"/>
      <c r="CI281" s="213"/>
      <c r="CJ281" s="213"/>
      <c r="CK281" s="213"/>
      <c r="CL281" s="213"/>
      <c r="CM281" s="213"/>
      <c r="CN281" s="213"/>
      <c r="CO281" s="213"/>
      <c r="CP281" s="213"/>
      <c r="CQ281" s="213"/>
    </row>
    <row r="282" ht="15.75" customHeight="1">
      <c r="A282" s="213"/>
      <c r="B282" s="213"/>
      <c r="C282" s="213"/>
      <c r="D282" s="213"/>
      <c r="E282" s="213"/>
      <c r="F282" s="213"/>
      <c r="G282" s="213"/>
      <c r="H282" s="213"/>
      <c r="I282" s="213"/>
      <c r="J282" s="216"/>
      <c r="K282" s="213"/>
      <c r="L282" s="213"/>
      <c r="M282" s="213"/>
      <c r="N282" s="213"/>
      <c r="O282" s="213"/>
      <c r="P282" s="216"/>
      <c r="Q282" s="213"/>
      <c r="R282" s="213"/>
      <c r="S282" s="213"/>
      <c r="T282" s="213"/>
      <c r="U282" s="213"/>
      <c r="V282" s="216"/>
      <c r="W282" s="213"/>
      <c r="X282" s="213"/>
      <c r="Y282" s="213"/>
      <c r="Z282" s="213"/>
      <c r="AA282" s="213"/>
      <c r="AB282" s="216"/>
      <c r="AC282" s="213"/>
      <c r="AD282" s="213"/>
      <c r="AE282" s="213"/>
      <c r="AF282" s="213"/>
      <c r="AG282" s="213"/>
      <c r="AH282" s="216"/>
      <c r="AI282" s="213"/>
      <c r="AJ282" s="213"/>
      <c r="AK282" s="213"/>
      <c r="AL282" s="213"/>
      <c r="AM282" s="213"/>
      <c r="AN282" s="216"/>
      <c r="AO282" s="213"/>
      <c r="AP282" s="213"/>
      <c r="AQ282" s="213"/>
      <c r="AR282" s="213"/>
      <c r="AS282" s="213"/>
      <c r="AT282" s="216"/>
      <c r="AU282" s="213"/>
      <c r="AV282" s="213"/>
      <c r="AW282" s="213"/>
      <c r="AX282" s="213"/>
      <c r="AY282" s="213"/>
      <c r="AZ282" s="216"/>
      <c r="BA282" s="213"/>
      <c r="BB282" s="213"/>
      <c r="BC282" s="213"/>
      <c r="BD282" s="213"/>
      <c r="BE282" s="213"/>
      <c r="BF282" s="216"/>
      <c r="BG282" s="213"/>
      <c r="BH282" s="213"/>
      <c r="BI282" s="213"/>
      <c r="BJ282" s="213"/>
      <c r="BK282" s="213"/>
      <c r="BL282" s="216"/>
      <c r="BM282" s="213"/>
      <c r="BN282" s="213"/>
      <c r="BO282" s="213"/>
      <c r="BP282" s="213"/>
      <c r="BQ282" s="213"/>
      <c r="BR282" s="326"/>
      <c r="BS282" s="213"/>
      <c r="BT282" s="213"/>
      <c r="BU282" s="213"/>
      <c r="BV282" s="213"/>
      <c r="BW282" s="213"/>
      <c r="BX282" s="213"/>
      <c r="BY282" s="213"/>
      <c r="BZ282" s="213"/>
      <c r="CA282" s="213"/>
      <c r="CB282" s="213"/>
      <c r="CC282" s="213"/>
      <c r="CD282" s="213"/>
      <c r="CE282" s="213"/>
      <c r="CF282" s="213"/>
      <c r="CG282" s="213"/>
      <c r="CH282" s="213"/>
      <c r="CI282" s="213"/>
      <c r="CJ282" s="213"/>
      <c r="CK282" s="213"/>
      <c r="CL282" s="213"/>
      <c r="CM282" s="213"/>
      <c r="CN282" s="213"/>
      <c r="CO282" s="213"/>
      <c r="CP282" s="213"/>
      <c r="CQ282" s="213"/>
    </row>
    <row r="283" ht="15.75" customHeight="1">
      <c r="A283" s="213"/>
      <c r="B283" s="213"/>
      <c r="C283" s="213"/>
      <c r="D283" s="213"/>
      <c r="E283" s="213"/>
      <c r="F283" s="213"/>
      <c r="G283" s="213"/>
      <c r="H283" s="213"/>
      <c r="I283" s="213"/>
      <c r="J283" s="216"/>
      <c r="K283" s="213"/>
      <c r="L283" s="213"/>
      <c r="M283" s="213"/>
      <c r="N283" s="213"/>
      <c r="O283" s="213"/>
      <c r="P283" s="216"/>
      <c r="Q283" s="213"/>
      <c r="R283" s="213"/>
      <c r="S283" s="213"/>
      <c r="T283" s="213"/>
      <c r="U283" s="213"/>
      <c r="V283" s="216"/>
      <c r="W283" s="213"/>
      <c r="X283" s="213"/>
      <c r="Y283" s="213"/>
      <c r="Z283" s="213"/>
      <c r="AA283" s="213"/>
      <c r="AB283" s="216"/>
      <c r="AC283" s="213"/>
      <c r="AD283" s="213"/>
      <c r="AE283" s="213"/>
      <c r="AF283" s="213"/>
      <c r="AG283" s="213"/>
      <c r="AH283" s="216"/>
      <c r="AI283" s="213"/>
      <c r="AJ283" s="213"/>
      <c r="AK283" s="213"/>
      <c r="AL283" s="213"/>
      <c r="AM283" s="213"/>
      <c r="AN283" s="216"/>
      <c r="AO283" s="213"/>
      <c r="AP283" s="213"/>
      <c r="AQ283" s="213"/>
      <c r="AR283" s="213"/>
      <c r="AS283" s="213"/>
      <c r="AT283" s="216"/>
      <c r="AU283" s="213"/>
      <c r="AV283" s="213"/>
      <c r="AW283" s="213"/>
      <c r="AX283" s="213"/>
      <c r="AY283" s="213"/>
      <c r="AZ283" s="216"/>
      <c r="BA283" s="213"/>
      <c r="BB283" s="213"/>
      <c r="BC283" s="213"/>
      <c r="BD283" s="213"/>
      <c r="BE283" s="213"/>
      <c r="BF283" s="216"/>
      <c r="BG283" s="213"/>
      <c r="BH283" s="213"/>
      <c r="BI283" s="213"/>
      <c r="BJ283" s="213"/>
      <c r="BK283" s="213"/>
      <c r="BL283" s="216"/>
      <c r="BM283" s="213"/>
      <c r="BN283" s="213"/>
      <c r="BO283" s="213"/>
      <c r="BP283" s="213"/>
      <c r="BQ283" s="213"/>
      <c r="BR283" s="326"/>
      <c r="BS283" s="213"/>
      <c r="BT283" s="213"/>
      <c r="BU283" s="213"/>
      <c r="BV283" s="213"/>
      <c r="BW283" s="213"/>
      <c r="BX283" s="213"/>
      <c r="BY283" s="213"/>
      <c r="BZ283" s="213"/>
      <c r="CA283" s="213"/>
      <c r="CB283" s="213"/>
      <c r="CC283" s="213"/>
      <c r="CD283" s="213"/>
      <c r="CE283" s="213"/>
      <c r="CF283" s="213"/>
      <c r="CG283" s="213"/>
      <c r="CH283" s="213"/>
      <c r="CI283" s="213"/>
      <c r="CJ283" s="213"/>
      <c r="CK283" s="213"/>
      <c r="CL283" s="213"/>
      <c r="CM283" s="213"/>
      <c r="CN283" s="213"/>
      <c r="CO283" s="213"/>
      <c r="CP283" s="213"/>
      <c r="CQ283" s="213"/>
    </row>
    <row r="284" ht="15.75" customHeight="1">
      <c r="A284" s="213"/>
      <c r="B284" s="213"/>
      <c r="C284" s="213"/>
      <c r="D284" s="213"/>
      <c r="E284" s="213"/>
      <c r="F284" s="213"/>
      <c r="G284" s="213"/>
      <c r="H284" s="213"/>
      <c r="I284" s="213"/>
      <c r="J284" s="216"/>
      <c r="K284" s="213"/>
      <c r="L284" s="213"/>
      <c r="M284" s="213"/>
      <c r="N284" s="213"/>
      <c r="O284" s="213"/>
      <c r="P284" s="216"/>
      <c r="Q284" s="213"/>
      <c r="R284" s="213"/>
      <c r="S284" s="213"/>
      <c r="T284" s="213"/>
      <c r="U284" s="213"/>
      <c r="V284" s="216"/>
      <c r="W284" s="213"/>
      <c r="X284" s="213"/>
      <c r="Y284" s="213"/>
      <c r="Z284" s="213"/>
      <c r="AA284" s="213"/>
      <c r="AB284" s="216"/>
      <c r="AC284" s="213"/>
      <c r="AD284" s="213"/>
      <c r="AE284" s="213"/>
      <c r="AF284" s="213"/>
      <c r="AG284" s="213"/>
      <c r="AH284" s="216"/>
      <c r="AI284" s="213"/>
      <c r="AJ284" s="213"/>
      <c r="AK284" s="213"/>
      <c r="AL284" s="213"/>
      <c r="AM284" s="213"/>
      <c r="AN284" s="216"/>
      <c r="AO284" s="213"/>
      <c r="AP284" s="213"/>
      <c r="AQ284" s="213"/>
      <c r="AR284" s="213"/>
      <c r="AS284" s="213"/>
      <c r="AT284" s="216"/>
      <c r="AU284" s="213"/>
      <c r="AV284" s="213"/>
      <c r="AW284" s="213"/>
      <c r="AX284" s="213"/>
      <c r="AY284" s="213"/>
      <c r="AZ284" s="216"/>
      <c r="BA284" s="213"/>
      <c r="BB284" s="213"/>
      <c r="BC284" s="213"/>
      <c r="BD284" s="213"/>
      <c r="BE284" s="213"/>
      <c r="BF284" s="216"/>
      <c r="BG284" s="213"/>
      <c r="BH284" s="213"/>
      <c r="BI284" s="213"/>
      <c r="BJ284" s="213"/>
      <c r="BK284" s="213"/>
      <c r="BL284" s="216"/>
      <c r="BM284" s="213"/>
      <c r="BN284" s="213"/>
      <c r="BO284" s="213"/>
      <c r="BP284" s="213"/>
      <c r="BQ284" s="213"/>
      <c r="BR284" s="326"/>
      <c r="BS284" s="213"/>
      <c r="BT284" s="213"/>
      <c r="BU284" s="213"/>
      <c r="BV284" s="213"/>
      <c r="BW284" s="213"/>
      <c r="BX284" s="213"/>
      <c r="BY284" s="213"/>
      <c r="BZ284" s="213"/>
      <c r="CA284" s="213"/>
      <c r="CB284" s="213"/>
      <c r="CC284" s="213"/>
      <c r="CD284" s="213"/>
      <c r="CE284" s="213"/>
      <c r="CF284" s="213"/>
      <c r="CG284" s="213"/>
      <c r="CH284" s="213"/>
      <c r="CI284" s="213"/>
      <c r="CJ284" s="213"/>
      <c r="CK284" s="213"/>
      <c r="CL284" s="213"/>
      <c r="CM284" s="213"/>
      <c r="CN284" s="213"/>
      <c r="CO284" s="213"/>
      <c r="CP284" s="213"/>
      <c r="CQ284" s="213"/>
    </row>
    <row r="285" ht="15.75" customHeight="1">
      <c r="A285" s="213"/>
      <c r="B285" s="213"/>
      <c r="C285" s="213"/>
      <c r="D285" s="213"/>
      <c r="E285" s="213"/>
      <c r="F285" s="213"/>
      <c r="G285" s="213"/>
      <c r="H285" s="213"/>
      <c r="I285" s="213"/>
      <c r="J285" s="216"/>
      <c r="K285" s="213"/>
      <c r="L285" s="213"/>
      <c r="M285" s="213"/>
      <c r="N285" s="213"/>
      <c r="O285" s="213"/>
      <c r="P285" s="216"/>
      <c r="Q285" s="213"/>
      <c r="R285" s="213"/>
      <c r="S285" s="213"/>
      <c r="T285" s="213"/>
      <c r="U285" s="213"/>
      <c r="V285" s="216"/>
      <c r="W285" s="213"/>
      <c r="X285" s="213"/>
      <c r="Y285" s="213"/>
      <c r="Z285" s="213"/>
      <c r="AA285" s="213"/>
      <c r="AB285" s="216"/>
      <c r="AC285" s="213"/>
      <c r="AD285" s="213"/>
      <c r="AE285" s="213"/>
      <c r="AF285" s="213"/>
      <c r="AG285" s="213"/>
      <c r="AH285" s="216"/>
      <c r="AI285" s="213"/>
      <c r="AJ285" s="213"/>
      <c r="AK285" s="213"/>
      <c r="AL285" s="213"/>
      <c r="AM285" s="213"/>
      <c r="AN285" s="216"/>
      <c r="AO285" s="213"/>
      <c r="AP285" s="213"/>
      <c r="AQ285" s="213"/>
      <c r="AR285" s="213"/>
      <c r="AS285" s="213"/>
      <c r="AT285" s="216"/>
      <c r="AU285" s="213"/>
      <c r="AV285" s="213"/>
      <c r="AW285" s="213"/>
      <c r="AX285" s="213"/>
      <c r="AY285" s="213"/>
      <c r="AZ285" s="216"/>
      <c r="BA285" s="213"/>
      <c r="BB285" s="213"/>
      <c r="BC285" s="213"/>
      <c r="BD285" s="213"/>
      <c r="BE285" s="213"/>
      <c r="BF285" s="216"/>
      <c r="BG285" s="213"/>
      <c r="BH285" s="213"/>
      <c r="BI285" s="213"/>
      <c r="BJ285" s="213"/>
      <c r="BK285" s="213"/>
      <c r="BL285" s="216"/>
      <c r="BM285" s="213"/>
      <c r="BN285" s="213"/>
      <c r="BO285" s="213"/>
      <c r="BP285" s="213"/>
      <c r="BQ285" s="213"/>
      <c r="BR285" s="326"/>
      <c r="BS285" s="213"/>
      <c r="BT285" s="213"/>
      <c r="BU285" s="213"/>
      <c r="BV285" s="213"/>
      <c r="BW285" s="213"/>
      <c r="BX285" s="213"/>
      <c r="BY285" s="213"/>
      <c r="BZ285" s="213"/>
      <c r="CA285" s="213"/>
      <c r="CB285" s="213"/>
      <c r="CC285" s="213"/>
      <c r="CD285" s="213"/>
      <c r="CE285" s="213"/>
      <c r="CF285" s="213"/>
      <c r="CG285" s="213"/>
      <c r="CH285" s="213"/>
      <c r="CI285" s="213"/>
      <c r="CJ285" s="213"/>
      <c r="CK285" s="213"/>
      <c r="CL285" s="213"/>
      <c r="CM285" s="213"/>
      <c r="CN285" s="213"/>
      <c r="CO285" s="213"/>
      <c r="CP285" s="213"/>
      <c r="CQ285" s="213"/>
    </row>
    <row r="286" ht="15.75" customHeight="1">
      <c r="A286" s="213"/>
      <c r="B286" s="213"/>
      <c r="C286" s="213"/>
      <c r="D286" s="213"/>
      <c r="E286" s="213"/>
      <c r="F286" s="213"/>
      <c r="G286" s="213"/>
      <c r="H286" s="213"/>
      <c r="I286" s="213"/>
      <c r="J286" s="216"/>
      <c r="K286" s="213"/>
      <c r="L286" s="213"/>
      <c r="M286" s="213"/>
      <c r="N286" s="213"/>
      <c r="O286" s="213"/>
      <c r="P286" s="216"/>
      <c r="Q286" s="213"/>
      <c r="R286" s="213"/>
      <c r="S286" s="213"/>
      <c r="T286" s="213"/>
      <c r="U286" s="213"/>
      <c r="V286" s="216"/>
      <c r="W286" s="213"/>
      <c r="X286" s="213"/>
      <c r="Y286" s="213"/>
      <c r="Z286" s="213"/>
      <c r="AA286" s="213"/>
      <c r="AB286" s="216"/>
      <c r="AC286" s="213"/>
      <c r="AD286" s="213"/>
      <c r="AE286" s="213"/>
      <c r="AF286" s="213"/>
      <c r="AG286" s="213"/>
      <c r="AH286" s="216"/>
      <c r="AI286" s="213"/>
      <c r="AJ286" s="213"/>
      <c r="AK286" s="213"/>
      <c r="AL286" s="213"/>
      <c r="AM286" s="213"/>
      <c r="AN286" s="216"/>
      <c r="AO286" s="213"/>
      <c r="AP286" s="213"/>
      <c r="AQ286" s="213"/>
      <c r="AR286" s="213"/>
      <c r="AS286" s="213"/>
      <c r="AT286" s="216"/>
      <c r="AU286" s="213"/>
      <c r="AV286" s="213"/>
      <c r="AW286" s="213"/>
      <c r="AX286" s="213"/>
      <c r="AY286" s="213"/>
      <c r="AZ286" s="216"/>
      <c r="BA286" s="213"/>
      <c r="BB286" s="213"/>
      <c r="BC286" s="213"/>
      <c r="BD286" s="213"/>
      <c r="BE286" s="213"/>
      <c r="BF286" s="216"/>
      <c r="BG286" s="213"/>
      <c r="BH286" s="213"/>
      <c r="BI286" s="213"/>
      <c r="BJ286" s="213"/>
      <c r="BK286" s="213"/>
      <c r="BL286" s="216"/>
      <c r="BM286" s="213"/>
      <c r="BN286" s="213"/>
      <c r="BO286" s="213"/>
      <c r="BP286" s="213"/>
      <c r="BQ286" s="213"/>
      <c r="BR286" s="326"/>
      <c r="BS286" s="213"/>
      <c r="BT286" s="213"/>
      <c r="BU286" s="213"/>
      <c r="BV286" s="213"/>
      <c r="BW286" s="213"/>
      <c r="BX286" s="213"/>
      <c r="BY286" s="213"/>
      <c r="BZ286" s="213"/>
      <c r="CA286" s="213"/>
      <c r="CB286" s="213"/>
      <c r="CC286" s="213"/>
      <c r="CD286" s="213"/>
      <c r="CE286" s="213"/>
      <c r="CF286" s="213"/>
      <c r="CG286" s="213"/>
      <c r="CH286" s="213"/>
      <c r="CI286" s="213"/>
      <c r="CJ286" s="213"/>
      <c r="CK286" s="213"/>
      <c r="CL286" s="213"/>
      <c r="CM286" s="213"/>
      <c r="CN286" s="213"/>
      <c r="CO286" s="213"/>
      <c r="CP286" s="213"/>
      <c r="CQ286" s="213"/>
    </row>
    <row r="287" ht="15.75" customHeight="1">
      <c r="A287" s="213"/>
      <c r="B287" s="213"/>
      <c r="C287" s="213"/>
      <c r="D287" s="213"/>
      <c r="E287" s="213"/>
      <c r="F287" s="213"/>
      <c r="G287" s="213"/>
      <c r="H287" s="213"/>
      <c r="I287" s="213"/>
      <c r="J287" s="216"/>
      <c r="K287" s="213"/>
      <c r="L287" s="213"/>
      <c r="M287" s="213"/>
      <c r="N287" s="213"/>
      <c r="O287" s="213"/>
      <c r="P287" s="216"/>
      <c r="Q287" s="213"/>
      <c r="R287" s="213"/>
      <c r="S287" s="213"/>
      <c r="T287" s="213"/>
      <c r="U287" s="213"/>
      <c r="V287" s="216"/>
      <c r="W287" s="213"/>
      <c r="X287" s="213"/>
      <c r="Y287" s="213"/>
      <c r="Z287" s="213"/>
      <c r="AA287" s="213"/>
      <c r="AB287" s="216"/>
      <c r="AC287" s="213"/>
      <c r="AD287" s="213"/>
      <c r="AE287" s="213"/>
      <c r="AF287" s="213"/>
      <c r="AG287" s="213"/>
      <c r="AH287" s="216"/>
      <c r="AI287" s="213"/>
      <c r="AJ287" s="213"/>
      <c r="AK287" s="213"/>
      <c r="AL287" s="213"/>
      <c r="AM287" s="213"/>
      <c r="AN287" s="216"/>
      <c r="AO287" s="213"/>
      <c r="AP287" s="213"/>
      <c r="AQ287" s="213"/>
      <c r="AR287" s="213"/>
      <c r="AS287" s="213"/>
      <c r="AT287" s="216"/>
      <c r="AU287" s="213"/>
      <c r="AV287" s="213"/>
      <c r="AW287" s="213"/>
      <c r="AX287" s="213"/>
      <c r="AY287" s="213"/>
      <c r="AZ287" s="216"/>
      <c r="BA287" s="213"/>
      <c r="BB287" s="213"/>
      <c r="BC287" s="213"/>
      <c r="BD287" s="213"/>
      <c r="BE287" s="213"/>
      <c r="BF287" s="216"/>
      <c r="BG287" s="213"/>
      <c r="BH287" s="213"/>
      <c r="BI287" s="213"/>
      <c r="BJ287" s="213"/>
      <c r="BK287" s="213"/>
      <c r="BL287" s="216"/>
      <c r="BM287" s="213"/>
      <c r="BN287" s="213"/>
      <c r="BO287" s="213"/>
      <c r="BP287" s="213"/>
      <c r="BQ287" s="213"/>
      <c r="BR287" s="326"/>
      <c r="BS287" s="213"/>
      <c r="BT287" s="213"/>
      <c r="BU287" s="213"/>
      <c r="BV287" s="213"/>
      <c r="BW287" s="213"/>
      <c r="BX287" s="213"/>
      <c r="BY287" s="213"/>
      <c r="BZ287" s="213"/>
      <c r="CA287" s="213"/>
      <c r="CB287" s="213"/>
      <c r="CC287" s="213"/>
      <c r="CD287" s="213"/>
      <c r="CE287" s="213"/>
      <c r="CF287" s="213"/>
      <c r="CG287" s="213"/>
      <c r="CH287" s="213"/>
      <c r="CI287" s="213"/>
      <c r="CJ287" s="213"/>
      <c r="CK287" s="213"/>
      <c r="CL287" s="213"/>
      <c r="CM287" s="213"/>
      <c r="CN287" s="213"/>
      <c r="CO287" s="213"/>
      <c r="CP287" s="213"/>
      <c r="CQ287" s="213"/>
    </row>
    <row r="288" ht="15.75" customHeight="1">
      <c r="A288" s="213"/>
      <c r="B288" s="213"/>
      <c r="C288" s="213"/>
      <c r="D288" s="213"/>
      <c r="E288" s="213"/>
      <c r="F288" s="213"/>
      <c r="G288" s="213"/>
      <c r="H288" s="213"/>
      <c r="I288" s="213"/>
      <c r="J288" s="216"/>
      <c r="K288" s="213"/>
      <c r="L288" s="213"/>
      <c r="M288" s="213"/>
      <c r="N288" s="213"/>
      <c r="O288" s="213"/>
      <c r="P288" s="216"/>
      <c r="Q288" s="213"/>
      <c r="R288" s="213"/>
      <c r="S288" s="213"/>
      <c r="T288" s="213"/>
      <c r="U288" s="213"/>
      <c r="V288" s="216"/>
      <c r="W288" s="213"/>
      <c r="X288" s="213"/>
      <c r="Y288" s="213"/>
      <c r="Z288" s="213"/>
      <c r="AA288" s="213"/>
      <c r="AB288" s="216"/>
      <c r="AC288" s="213"/>
      <c r="AD288" s="213"/>
      <c r="AE288" s="213"/>
      <c r="AF288" s="213"/>
      <c r="AG288" s="213"/>
      <c r="AH288" s="216"/>
      <c r="AI288" s="213"/>
      <c r="AJ288" s="213"/>
      <c r="AK288" s="213"/>
      <c r="AL288" s="213"/>
      <c r="AM288" s="213"/>
      <c r="AN288" s="216"/>
      <c r="AO288" s="213"/>
      <c r="AP288" s="213"/>
      <c r="AQ288" s="213"/>
      <c r="AR288" s="213"/>
      <c r="AS288" s="213"/>
      <c r="AT288" s="216"/>
      <c r="AU288" s="213"/>
      <c r="AV288" s="213"/>
      <c r="AW288" s="213"/>
      <c r="AX288" s="213"/>
      <c r="AY288" s="213"/>
      <c r="AZ288" s="216"/>
      <c r="BA288" s="213"/>
      <c r="BB288" s="213"/>
      <c r="BC288" s="213"/>
      <c r="BD288" s="213"/>
      <c r="BE288" s="213"/>
      <c r="BF288" s="216"/>
      <c r="BG288" s="213"/>
      <c r="BH288" s="213"/>
      <c r="BI288" s="213"/>
      <c r="BJ288" s="213"/>
      <c r="BK288" s="213"/>
      <c r="BL288" s="216"/>
      <c r="BM288" s="213"/>
      <c r="BN288" s="213"/>
      <c r="BO288" s="213"/>
      <c r="BP288" s="213"/>
      <c r="BQ288" s="213"/>
      <c r="BR288" s="326"/>
      <c r="BS288" s="213"/>
      <c r="BT288" s="213"/>
      <c r="BU288" s="213"/>
      <c r="BV288" s="213"/>
      <c r="BW288" s="213"/>
      <c r="BX288" s="213"/>
      <c r="BY288" s="213"/>
      <c r="BZ288" s="213"/>
      <c r="CA288" s="213"/>
      <c r="CB288" s="213"/>
      <c r="CC288" s="213"/>
      <c r="CD288" s="213"/>
      <c r="CE288" s="213"/>
      <c r="CF288" s="213"/>
      <c r="CG288" s="213"/>
      <c r="CH288" s="213"/>
      <c r="CI288" s="213"/>
      <c r="CJ288" s="213"/>
      <c r="CK288" s="213"/>
      <c r="CL288" s="213"/>
      <c r="CM288" s="213"/>
      <c r="CN288" s="213"/>
      <c r="CO288" s="213"/>
      <c r="CP288" s="213"/>
      <c r="CQ288" s="213"/>
    </row>
    <row r="289" ht="15.75" customHeight="1">
      <c r="A289" s="213"/>
      <c r="B289" s="213"/>
      <c r="C289" s="213"/>
      <c r="D289" s="213"/>
      <c r="E289" s="213"/>
      <c r="F289" s="213"/>
      <c r="G289" s="213"/>
      <c r="H289" s="213"/>
      <c r="I289" s="213"/>
      <c r="J289" s="216"/>
      <c r="K289" s="213"/>
      <c r="L289" s="213"/>
      <c r="M289" s="213"/>
      <c r="N289" s="213"/>
      <c r="O289" s="213"/>
      <c r="P289" s="216"/>
      <c r="Q289" s="213"/>
      <c r="R289" s="213"/>
      <c r="S289" s="213"/>
      <c r="T289" s="213"/>
      <c r="U289" s="213"/>
      <c r="V289" s="216"/>
      <c r="W289" s="213"/>
      <c r="X289" s="213"/>
      <c r="Y289" s="213"/>
      <c r="Z289" s="213"/>
      <c r="AA289" s="213"/>
      <c r="AB289" s="216"/>
      <c r="AC289" s="213"/>
      <c r="AD289" s="213"/>
      <c r="AE289" s="213"/>
      <c r="AF289" s="213"/>
      <c r="AG289" s="213"/>
      <c r="AH289" s="216"/>
      <c r="AI289" s="213"/>
      <c r="AJ289" s="213"/>
      <c r="AK289" s="213"/>
      <c r="AL289" s="213"/>
      <c r="AM289" s="213"/>
      <c r="AN289" s="216"/>
      <c r="AO289" s="213"/>
      <c r="AP289" s="213"/>
      <c r="AQ289" s="213"/>
      <c r="AR289" s="213"/>
      <c r="AS289" s="213"/>
      <c r="AT289" s="216"/>
      <c r="AU289" s="213"/>
      <c r="AV289" s="213"/>
      <c r="AW289" s="213"/>
      <c r="AX289" s="213"/>
      <c r="AY289" s="213"/>
      <c r="AZ289" s="216"/>
      <c r="BA289" s="213"/>
      <c r="BB289" s="213"/>
      <c r="BC289" s="213"/>
      <c r="BD289" s="213"/>
      <c r="BE289" s="213"/>
      <c r="BF289" s="216"/>
      <c r="BG289" s="213"/>
      <c r="BH289" s="213"/>
      <c r="BI289" s="213"/>
      <c r="BJ289" s="213"/>
      <c r="BK289" s="213"/>
      <c r="BL289" s="216"/>
      <c r="BM289" s="213"/>
      <c r="BN289" s="213"/>
      <c r="BO289" s="213"/>
      <c r="BP289" s="213"/>
      <c r="BQ289" s="213"/>
      <c r="BR289" s="326"/>
      <c r="BS289" s="213"/>
      <c r="BT289" s="213"/>
      <c r="BU289" s="213"/>
      <c r="BV289" s="213"/>
      <c r="BW289" s="213"/>
      <c r="BX289" s="213"/>
      <c r="BY289" s="213"/>
      <c r="BZ289" s="213"/>
      <c r="CA289" s="213"/>
      <c r="CB289" s="213"/>
      <c r="CC289" s="213"/>
      <c r="CD289" s="213"/>
      <c r="CE289" s="213"/>
      <c r="CF289" s="213"/>
      <c r="CG289" s="213"/>
      <c r="CH289" s="213"/>
      <c r="CI289" s="213"/>
      <c r="CJ289" s="213"/>
      <c r="CK289" s="213"/>
      <c r="CL289" s="213"/>
      <c r="CM289" s="213"/>
      <c r="CN289" s="213"/>
      <c r="CO289" s="213"/>
      <c r="CP289" s="213"/>
      <c r="CQ289" s="213"/>
    </row>
    <row r="290" ht="15.75" customHeight="1">
      <c r="A290" s="213"/>
      <c r="B290" s="213"/>
      <c r="C290" s="213"/>
      <c r="D290" s="213"/>
      <c r="E290" s="213"/>
      <c r="F290" s="213"/>
      <c r="G290" s="213"/>
      <c r="H290" s="213"/>
      <c r="I290" s="213"/>
      <c r="J290" s="216"/>
      <c r="K290" s="213"/>
      <c r="L290" s="213"/>
      <c r="M290" s="213"/>
      <c r="N290" s="213"/>
      <c r="O290" s="213"/>
      <c r="P290" s="216"/>
      <c r="Q290" s="213"/>
      <c r="R290" s="213"/>
      <c r="S290" s="213"/>
      <c r="T290" s="213"/>
      <c r="U290" s="213"/>
      <c r="V290" s="216"/>
      <c r="W290" s="213"/>
      <c r="X290" s="213"/>
      <c r="Y290" s="213"/>
      <c r="Z290" s="213"/>
      <c r="AA290" s="213"/>
      <c r="AB290" s="216"/>
      <c r="AC290" s="213"/>
      <c r="AD290" s="213"/>
      <c r="AE290" s="213"/>
      <c r="AF290" s="213"/>
      <c r="AG290" s="213"/>
      <c r="AH290" s="216"/>
      <c r="AI290" s="213"/>
      <c r="AJ290" s="213"/>
      <c r="AK290" s="213"/>
      <c r="AL290" s="213"/>
      <c r="AM290" s="213"/>
      <c r="AN290" s="216"/>
      <c r="AO290" s="213"/>
      <c r="AP290" s="213"/>
      <c r="AQ290" s="213"/>
      <c r="AR290" s="213"/>
      <c r="AS290" s="213"/>
      <c r="AT290" s="216"/>
      <c r="AU290" s="213"/>
      <c r="AV290" s="213"/>
      <c r="AW290" s="213"/>
      <c r="AX290" s="213"/>
      <c r="AY290" s="213"/>
      <c r="AZ290" s="216"/>
      <c r="BA290" s="213"/>
      <c r="BB290" s="213"/>
      <c r="BC290" s="213"/>
      <c r="BD290" s="213"/>
      <c r="BE290" s="213"/>
      <c r="BF290" s="216"/>
      <c r="BG290" s="213"/>
      <c r="BH290" s="213"/>
      <c r="BI290" s="213"/>
      <c r="BJ290" s="213"/>
      <c r="BK290" s="213"/>
      <c r="BL290" s="216"/>
      <c r="BM290" s="213"/>
      <c r="BN290" s="213"/>
      <c r="BO290" s="213"/>
      <c r="BP290" s="213"/>
      <c r="BQ290" s="213"/>
      <c r="BR290" s="326"/>
      <c r="BS290" s="213"/>
      <c r="BT290" s="213"/>
      <c r="BU290" s="213"/>
      <c r="BV290" s="213"/>
      <c r="BW290" s="213"/>
      <c r="BX290" s="213"/>
      <c r="BY290" s="213"/>
      <c r="BZ290" s="213"/>
      <c r="CA290" s="213"/>
      <c r="CB290" s="213"/>
      <c r="CC290" s="213"/>
      <c r="CD290" s="213"/>
      <c r="CE290" s="213"/>
      <c r="CF290" s="213"/>
      <c r="CG290" s="213"/>
      <c r="CH290" s="213"/>
      <c r="CI290" s="213"/>
      <c r="CJ290" s="213"/>
      <c r="CK290" s="213"/>
      <c r="CL290" s="213"/>
      <c r="CM290" s="213"/>
      <c r="CN290" s="213"/>
      <c r="CO290" s="213"/>
      <c r="CP290" s="213"/>
      <c r="CQ290" s="213"/>
    </row>
    <row r="291" ht="15.75" customHeight="1">
      <c r="A291" s="213"/>
      <c r="B291" s="213"/>
      <c r="C291" s="213"/>
      <c r="D291" s="213"/>
      <c r="E291" s="213"/>
      <c r="F291" s="213"/>
      <c r="G291" s="213"/>
      <c r="H291" s="213"/>
      <c r="I291" s="213"/>
      <c r="J291" s="216"/>
      <c r="K291" s="213"/>
      <c r="L291" s="213"/>
      <c r="M291" s="213"/>
      <c r="N291" s="213"/>
      <c r="O291" s="213"/>
      <c r="P291" s="216"/>
      <c r="Q291" s="213"/>
      <c r="R291" s="213"/>
      <c r="S291" s="213"/>
      <c r="T291" s="213"/>
      <c r="U291" s="213"/>
      <c r="V291" s="216"/>
      <c r="W291" s="213"/>
      <c r="X291" s="213"/>
      <c r="Y291" s="213"/>
      <c r="Z291" s="213"/>
      <c r="AA291" s="213"/>
      <c r="AB291" s="216"/>
      <c r="AC291" s="213"/>
      <c r="AD291" s="213"/>
      <c r="AE291" s="213"/>
      <c r="AF291" s="213"/>
      <c r="AG291" s="213"/>
      <c r="AH291" s="216"/>
      <c r="AI291" s="213"/>
      <c r="AJ291" s="213"/>
      <c r="AK291" s="213"/>
      <c r="AL291" s="213"/>
      <c r="AM291" s="213"/>
      <c r="AN291" s="216"/>
      <c r="AO291" s="213"/>
      <c r="AP291" s="213"/>
      <c r="AQ291" s="213"/>
      <c r="AR291" s="213"/>
      <c r="AS291" s="213"/>
      <c r="AT291" s="216"/>
      <c r="AU291" s="213"/>
      <c r="AV291" s="213"/>
      <c r="AW291" s="213"/>
      <c r="AX291" s="213"/>
      <c r="AY291" s="213"/>
      <c r="AZ291" s="216"/>
      <c r="BA291" s="213"/>
      <c r="BB291" s="213"/>
      <c r="BC291" s="213"/>
      <c r="BD291" s="213"/>
      <c r="BE291" s="213"/>
      <c r="BF291" s="216"/>
      <c r="BG291" s="213"/>
      <c r="BH291" s="213"/>
      <c r="BI291" s="213"/>
      <c r="BJ291" s="213"/>
      <c r="BK291" s="213"/>
      <c r="BL291" s="216"/>
      <c r="BM291" s="213"/>
      <c r="BN291" s="213"/>
      <c r="BO291" s="213"/>
      <c r="BP291" s="213"/>
      <c r="BQ291" s="213"/>
      <c r="BR291" s="326"/>
      <c r="BS291" s="213"/>
      <c r="BT291" s="213"/>
      <c r="BU291" s="213"/>
      <c r="BV291" s="213"/>
      <c r="BW291" s="213"/>
      <c r="BX291" s="213"/>
      <c r="BY291" s="213"/>
      <c r="BZ291" s="213"/>
      <c r="CA291" s="213"/>
      <c r="CB291" s="213"/>
      <c r="CC291" s="213"/>
      <c r="CD291" s="213"/>
      <c r="CE291" s="213"/>
      <c r="CF291" s="213"/>
      <c r="CG291" s="213"/>
      <c r="CH291" s="213"/>
      <c r="CI291" s="213"/>
      <c r="CJ291" s="213"/>
      <c r="CK291" s="213"/>
      <c r="CL291" s="213"/>
      <c r="CM291" s="213"/>
      <c r="CN291" s="213"/>
      <c r="CO291" s="213"/>
      <c r="CP291" s="213"/>
      <c r="CQ291" s="213"/>
    </row>
    <row r="292" ht="15.75" customHeight="1">
      <c r="A292" s="213"/>
      <c r="B292" s="213"/>
      <c r="C292" s="213"/>
      <c r="D292" s="213"/>
      <c r="E292" s="213"/>
      <c r="F292" s="213"/>
      <c r="G292" s="213"/>
      <c r="H292" s="213"/>
      <c r="I292" s="213"/>
      <c r="J292" s="216"/>
      <c r="K292" s="213"/>
      <c r="L292" s="213"/>
      <c r="M292" s="213"/>
      <c r="N292" s="213"/>
      <c r="O292" s="213"/>
      <c r="P292" s="216"/>
      <c r="Q292" s="213"/>
      <c r="R292" s="213"/>
      <c r="S292" s="213"/>
      <c r="T292" s="213"/>
      <c r="U292" s="213"/>
      <c r="V292" s="216"/>
      <c r="W292" s="213"/>
      <c r="X292" s="213"/>
      <c r="Y292" s="213"/>
      <c r="Z292" s="213"/>
      <c r="AA292" s="213"/>
      <c r="AB292" s="216"/>
      <c r="AC292" s="213"/>
      <c r="AD292" s="213"/>
      <c r="AE292" s="213"/>
      <c r="AF292" s="213"/>
      <c r="AG292" s="213"/>
      <c r="AH292" s="216"/>
      <c r="AI292" s="213"/>
      <c r="AJ292" s="213"/>
      <c r="AK292" s="213"/>
      <c r="AL292" s="213"/>
      <c r="AM292" s="213"/>
      <c r="AN292" s="216"/>
      <c r="AO292" s="213"/>
      <c r="AP292" s="213"/>
      <c r="AQ292" s="213"/>
      <c r="AR292" s="213"/>
      <c r="AS292" s="213"/>
      <c r="AT292" s="216"/>
      <c r="AU292" s="213"/>
      <c r="AV292" s="213"/>
      <c r="AW292" s="213"/>
      <c r="AX292" s="213"/>
      <c r="AY292" s="213"/>
      <c r="AZ292" s="216"/>
      <c r="BA292" s="213"/>
      <c r="BB292" s="213"/>
      <c r="BC292" s="213"/>
      <c r="BD292" s="213"/>
      <c r="BE292" s="213"/>
      <c r="BF292" s="216"/>
      <c r="BG292" s="213"/>
      <c r="BH292" s="213"/>
      <c r="BI292" s="213"/>
      <c r="BJ292" s="213"/>
      <c r="BK292" s="213"/>
      <c r="BL292" s="216"/>
      <c r="BM292" s="213"/>
      <c r="BN292" s="213"/>
      <c r="BO292" s="213"/>
      <c r="BP292" s="213"/>
      <c r="BQ292" s="213"/>
      <c r="BR292" s="326"/>
      <c r="BS292" s="213"/>
      <c r="BT292" s="213"/>
      <c r="BU292" s="213"/>
      <c r="BV292" s="213"/>
      <c r="BW292" s="213"/>
      <c r="BX292" s="213"/>
      <c r="BY292" s="213"/>
      <c r="BZ292" s="213"/>
      <c r="CA292" s="213"/>
      <c r="CB292" s="213"/>
      <c r="CC292" s="213"/>
      <c r="CD292" s="213"/>
      <c r="CE292" s="213"/>
      <c r="CF292" s="213"/>
      <c r="CG292" s="213"/>
      <c r="CH292" s="213"/>
      <c r="CI292" s="213"/>
      <c r="CJ292" s="213"/>
      <c r="CK292" s="213"/>
      <c r="CL292" s="213"/>
      <c r="CM292" s="213"/>
      <c r="CN292" s="213"/>
      <c r="CO292" s="213"/>
      <c r="CP292" s="213"/>
      <c r="CQ292" s="213"/>
    </row>
    <row r="293" ht="15.75" customHeight="1">
      <c r="A293" s="213"/>
      <c r="B293" s="213"/>
      <c r="C293" s="213"/>
      <c r="D293" s="213"/>
      <c r="E293" s="213"/>
      <c r="F293" s="213"/>
      <c r="G293" s="213"/>
      <c r="H293" s="213"/>
      <c r="I293" s="213"/>
      <c r="J293" s="216"/>
      <c r="K293" s="213"/>
      <c r="L293" s="213"/>
      <c r="M293" s="213"/>
      <c r="N293" s="213"/>
      <c r="O293" s="213"/>
      <c r="P293" s="216"/>
      <c r="Q293" s="213"/>
      <c r="R293" s="213"/>
      <c r="S293" s="213"/>
      <c r="T293" s="213"/>
      <c r="U293" s="213"/>
      <c r="V293" s="216"/>
      <c r="W293" s="213"/>
      <c r="X293" s="213"/>
      <c r="Y293" s="213"/>
      <c r="Z293" s="213"/>
      <c r="AA293" s="213"/>
      <c r="AB293" s="216"/>
      <c r="AC293" s="213"/>
      <c r="AD293" s="213"/>
      <c r="AE293" s="213"/>
      <c r="AF293" s="213"/>
      <c r="AG293" s="213"/>
      <c r="AH293" s="216"/>
      <c r="AI293" s="213"/>
      <c r="AJ293" s="213"/>
      <c r="AK293" s="213"/>
      <c r="AL293" s="213"/>
      <c r="AM293" s="213"/>
      <c r="AN293" s="216"/>
      <c r="AO293" s="213"/>
      <c r="AP293" s="213"/>
      <c r="AQ293" s="213"/>
      <c r="AR293" s="213"/>
      <c r="AS293" s="213"/>
      <c r="AT293" s="216"/>
      <c r="AU293" s="213"/>
      <c r="AV293" s="213"/>
      <c r="AW293" s="213"/>
      <c r="AX293" s="213"/>
      <c r="AY293" s="213"/>
      <c r="AZ293" s="216"/>
      <c r="BA293" s="213"/>
      <c r="BB293" s="213"/>
      <c r="BC293" s="213"/>
      <c r="BD293" s="213"/>
      <c r="BE293" s="213"/>
      <c r="BF293" s="216"/>
      <c r="BG293" s="213"/>
      <c r="BH293" s="213"/>
      <c r="BI293" s="213"/>
      <c r="BJ293" s="213"/>
      <c r="BK293" s="213"/>
      <c r="BL293" s="216"/>
      <c r="BM293" s="213"/>
      <c r="BN293" s="213"/>
      <c r="BO293" s="213"/>
      <c r="BP293" s="213"/>
      <c r="BQ293" s="213"/>
      <c r="BR293" s="326"/>
      <c r="BS293" s="213"/>
      <c r="BT293" s="213"/>
      <c r="BU293" s="213"/>
      <c r="BV293" s="213"/>
      <c r="BW293" s="213"/>
      <c r="BX293" s="213"/>
      <c r="BY293" s="213"/>
      <c r="BZ293" s="213"/>
      <c r="CA293" s="213"/>
      <c r="CB293" s="213"/>
      <c r="CC293" s="213"/>
      <c r="CD293" s="213"/>
      <c r="CE293" s="213"/>
      <c r="CF293" s="213"/>
      <c r="CG293" s="213"/>
      <c r="CH293" s="213"/>
      <c r="CI293" s="213"/>
      <c r="CJ293" s="213"/>
      <c r="CK293" s="213"/>
      <c r="CL293" s="213"/>
      <c r="CM293" s="213"/>
      <c r="CN293" s="213"/>
      <c r="CO293" s="213"/>
      <c r="CP293" s="213"/>
      <c r="CQ293" s="213"/>
    </row>
    <row r="294" ht="15.75" customHeight="1">
      <c r="A294" s="213"/>
      <c r="B294" s="213"/>
      <c r="C294" s="213"/>
      <c r="D294" s="213"/>
      <c r="E294" s="213"/>
      <c r="F294" s="213"/>
      <c r="G294" s="213"/>
      <c r="H294" s="213"/>
      <c r="I294" s="213"/>
      <c r="J294" s="216"/>
      <c r="K294" s="213"/>
      <c r="L294" s="213"/>
      <c r="M294" s="213"/>
      <c r="N294" s="213"/>
      <c r="O294" s="213"/>
      <c r="P294" s="216"/>
      <c r="Q294" s="213"/>
      <c r="R294" s="213"/>
      <c r="S294" s="213"/>
      <c r="T294" s="213"/>
      <c r="U294" s="213"/>
      <c r="V294" s="216"/>
      <c r="W294" s="213"/>
      <c r="X294" s="213"/>
      <c r="Y294" s="213"/>
      <c r="Z294" s="213"/>
      <c r="AA294" s="213"/>
      <c r="AB294" s="216"/>
      <c r="AC294" s="213"/>
      <c r="AD294" s="213"/>
      <c r="AE294" s="213"/>
      <c r="AF294" s="213"/>
      <c r="AG294" s="213"/>
      <c r="AH294" s="216"/>
      <c r="AI294" s="213"/>
      <c r="AJ294" s="213"/>
      <c r="AK294" s="213"/>
      <c r="AL294" s="213"/>
      <c r="AM294" s="213"/>
      <c r="AN294" s="216"/>
      <c r="AO294" s="213"/>
      <c r="AP294" s="213"/>
      <c r="AQ294" s="213"/>
      <c r="AR294" s="213"/>
      <c r="AS294" s="213"/>
      <c r="AT294" s="216"/>
      <c r="AU294" s="213"/>
      <c r="AV294" s="213"/>
      <c r="AW294" s="213"/>
      <c r="AX294" s="213"/>
      <c r="AY294" s="213"/>
      <c r="AZ294" s="216"/>
      <c r="BA294" s="213"/>
      <c r="BB294" s="213"/>
      <c r="BC294" s="213"/>
      <c r="BD294" s="213"/>
      <c r="BE294" s="213"/>
      <c r="BF294" s="216"/>
      <c r="BG294" s="213"/>
      <c r="BH294" s="213"/>
      <c r="BI294" s="213"/>
      <c r="BJ294" s="213"/>
      <c r="BK294" s="213"/>
      <c r="BL294" s="216"/>
      <c r="BM294" s="213"/>
      <c r="BN294" s="213"/>
      <c r="BO294" s="213"/>
      <c r="BP294" s="213"/>
      <c r="BQ294" s="213"/>
      <c r="BR294" s="326"/>
      <c r="BS294" s="213"/>
      <c r="BT294" s="213"/>
      <c r="BU294" s="213"/>
      <c r="BV294" s="213"/>
      <c r="BW294" s="213"/>
      <c r="BX294" s="213"/>
      <c r="BY294" s="213"/>
      <c r="BZ294" s="213"/>
      <c r="CA294" s="213"/>
      <c r="CB294" s="213"/>
      <c r="CC294" s="213"/>
      <c r="CD294" s="213"/>
      <c r="CE294" s="213"/>
      <c r="CF294" s="213"/>
      <c r="CG294" s="213"/>
      <c r="CH294" s="213"/>
      <c r="CI294" s="213"/>
      <c r="CJ294" s="213"/>
      <c r="CK294" s="213"/>
      <c r="CL294" s="213"/>
      <c r="CM294" s="213"/>
      <c r="CN294" s="213"/>
      <c r="CO294" s="213"/>
      <c r="CP294" s="213"/>
      <c r="CQ294" s="213"/>
    </row>
    <row r="295" ht="15.75" customHeight="1">
      <c r="A295" s="213"/>
      <c r="B295" s="213"/>
      <c r="C295" s="213"/>
      <c r="D295" s="213"/>
      <c r="E295" s="213"/>
      <c r="F295" s="213"/>
      <c r="G295" s="213"/>
      <c r="H295" s="213"/>
      <c r="I295" s="213"/>
      <c r="J295" s="216"/>
      <c r="K295" s="213"/>
      <c r="L295" s="213"/>
      <c r="M295" s="213"/>
      <c r="N295" s="213"/>
      <c r="O295" s="213"/>
      <c r="P295" s="216"/>
      <c r="Q295" s="213"/>
      <c r="R295" s="213"/>
      <c r="S295" s="213"/>
      <c r="T295" s="213"/>
      <c r="U295" s="213"/>
      <c r="V295" s="216"/>
      <c r="W295" s="213"/>
      <c r="X295" s="213"/>
      <c r="Y295" s="213"/>
      <c r="Z295" s="213"/>
      <c r="AA295" s="213"/>
      <c r="AB295" s="216"/>
      <c r="AC295" s="213"/>
      <c r="AD295" s="213"/>
      <c r="AE295" s="213"/>
      <c r="AF295" s="213"/>
      <c r="AG295" s="213"/>
      <c r="AH295" s="216"/>
      <c r="AI295" s="213"/>
      <c r="AJ295" s="213"/>
      <c r="AK295" s="213"/>
      <c r="AL295" s="213"/>
      <c r="AM295" s="213"/>
      <c r="AN295" s="216"/>
      <c r="AO295" s="213"/>
      <c r="AP295" s="213"/>
      <c r="AQ295" s="213"/>
      <c r="AR295" s="213"/>
      <c r="AS295" s="213"/>
      <c r="AT295" s="216"/>
      <c r="AU295" s="213"/>
      <c r="AV295" s="213"/>
      <c r="AW295" s="213"/>
      <c r="AX295" s="213"/>
      <c r="AY295" s="213"/>
      <c r="AZ295" s="216"/>
      <c r="BA295" s="213"/>
      <c r="BB295" s="213"/>
      <c r="BC295" s="213"/>
      <c r="BD295" s="213"/>
      <c r="BE295" s="213"/>
      <c r="BF295" s="216"/>
      <c r="BG295" s="213"/>
      <c r="BH295" s="213"/>
      <c r="BI295" s="213"/>
      <c r="BJ295" s="213"/>
      <c r="BK295" s="213"/>
      <c r="BL295" s="216"/>
      <c r="BM295" s="213"/>
      <c r="BN295" s="213"/>
      <c r="BO295" s="213"/>
      <c r="BP295" s="213"/>
      <c r="BQ295" s="213"/>
      <c r="BR295" s="326"/>
      <c r="BS295" s="213"/>
      <c r="BT295" s="213"/>
      <c r="BU295" s="213"/>
      <c r="BV295" s="213"/>
      <c r="BW295" s="213"/>
      <c r="BX295" s="213"/>
      <c r="BY295" s="213"/>
      <c r="BZ295" s="213"/>
      <c r="CA295" s="213"/>
      <c r="CB295" s="213"/>
      <c r="CC295" s="213"/>
      <c r="CD295" s="213"/>
      <c r="CE295" s="213"/>
      <c r="CF295" s="213"/>
      <c r="CG295" s="213"/>
      <c r="CH295" s="213"/>
      <c r="CI295" s="213"/>
      <c r="CJ295" s="213"/>
      <c r="CK295" s="213"/>
      <c r="CL295" s="213"/>
      <c r="CM295" s="213"/>
      <c r="CN295" s="213"/>
      <c r="CO295" s="213"/>
      <c r="CP295" s="213"/>
      <c r="CQ295" s="213"/>
    </row>
    <row r="296" ht="15.75" customHeight="1">
      <c r="A296" s="213"/>
      <c r="B296" s="213"/>
      <c r="C296" s="213"/>
      <c r="D296" s="213"/>
      <c r="E296" s="213"/>
      <c r="F296" s="213"/>
      <c r="G296" s="213"/>
      <c r="H296" s="213"/>
      <c r="I296" s="213"/>
      <c r="J296" s="216"/>
      <c r="K296" s="213"/>
      <c r="L296" s="213"/>
      <c r="M296" s="213"/>
      <c r="N296" s="213"/>
      <c r="O296" s="213"/>
      <c r="P296" s="216"/>
      <c r="Q296" s="213"/>
      <c r="R296" s="213"/>
      <c r="S296" s="213"/>
      <c r="T296" s="213"/>
      <c r="U296" s="213"/>
      <c r="V296" s="216"/>
      <c r="W296" s="213"/>
      <c r="X296" s="213"/>
      <c r="Y296" s="213"/>
      <c r="Z296" s="213"/>
      <c r="AA296" s="213"/>
      <c r="AB296" s="216"/>
      <c r="AC296" s="213"/>
      <c r="AD296" s="213"/>
      <c r="AE296" s="213"/>
      <c r="AF296" s="213"/>
      <c r="AG296" s="213"/>
      <c r="AH296" s="216"/>
      <c r="AI296" s="213"/>
      <c r="AJ296" s="213"/>
      <c r="AK296" s="213"/>
      <c r="AL296" s="213"/>
      <c r="AM296" s="213"/>
      <c r="AN296" s="216"/>
      <c r="AO296" s="213"/>
      <c r="AP296" s="213"/>
      <c r="AQ296" s="213"/>
      <c r="AR296" s="213"/>
      <c r="AS296" s="213"/>
      <c r="AT296" s="216"/>
      <c r="AU296" s="213"/>
      <c r="AV296" s="213"/>
      <c r="AW296" s="213"/>
      <c r="AX296" s="213"/>
      <c r="AY296" s="213"/>
      <c r="AZ296" s="216"/>
      <c r="BA296" s="213"/>
      <c r="BB296" s="213"/>
      <c r="BC296" s="213"/>
      <c r="BD296" s="213"/>
      <c r="BE296" s="213"/>
      <c r="BF296" s="216"/>
      <c r="BG296" s="213"/>
      <c r="BH296" s="213"/>
      <c r="BI296" s="213"/>
      <c r="BJ296" s="213"/>
      <c r="BK296" s="213"/>
      <c r="BL296" s="216"/>
      <c r="BM296" s="213"/>
      <c r="BN296" s="213"/>
      <c r="BO296" s="213"/>
      <c r="BP296" s="213"/>
      <c r="BQ296" s="213"/>
      <c r="BR296" s="326"/>
      <c r="BS296" s="213"/>
      <c r="BT296" s="213"/>
      <c r="BU296" s="213"/>
      <c r="BV296" s="213"/>
      <c r="BW296" s="213"/>
      <c r="BX296" s="213"/>
      <c r="BY296" s="213"/>
      <c r="BZ296" s="213"/>
      <c r="CA296" s="213"/>
      <c r="CB296" s="213"/>
      <c r="CC296" s="213"/>
      <c r="CD296" s="213"/>
      <c r="CE296" s="213"/>
      <c r="CF296" s="213"/>
      <c r="CG296" s="213"/>
      <c r="CH296" s="213"/>
      <c r="CI296" s="213"/>
      <c r="CJ296" s="213"/>
      <c r="CK296" s="213"/>
      <c r="CL296" s="213"/>
      <c r="CM296" s="213"/>
      <c r="CN296" s="213"/>
      <c r="CO296" s="213"/>
      <c r="CP296" s="213"/>
      <c r="CQ296" s="213"/>
    </row>
    <row r="297" ht="15.75" customHeight="1">
      <c r="A297" s="213"/>
      <c r="B297" s="213"/>
      <c r="C297" s="213"/>
      <c r="D297" s="213"/>
      <c r="E297" s="213"/>
      <c r="F297" s="213"/>
      <c r="G297" s="213"/>
      <c r="H297" s="213"/>
      <c r="I297" s="213"/>
      <c r="J297" s="216"/>
      <c r="K297" s="213"/>
      <c r="L297" s="213"/>
      <c r="M297" s="213"/>
      <c r="N297" s="213"/>
      <c r="O297" s="213"/>
      <c r="P297" s="216"/>
      <c r="Q297" s="213"/>
      <c r="R297" s="213"/>
      <c r="S297" s="213"/>
      <c r="T297" s="213"/>
      <c r="U297" s="213"/>
      <c r="V297" s="216"/>
      <c r="W297" s="213"/>
      <c r="X297" s="213"/>
      <c r="Y297" s="213"/>
      <c r="Z297" s="213"/>
      <c r="AA297" s="213"/>
      <c r="AB297" s="216"/>
      <c r="AC297" s="213"/>
      <c r="AD297" s="213"/>
      <c r="AE297" s="213"/>
      <c r="AF297" s="213"/>
      <c r="AG297" s="213"/>
      <c r="AH297" s="216"/>
      <c r="AI297" s="213"/>
      <c r="AJ297" s="213"/>
      <c r="AK297" s="213"/>
      <c r="AL297" s="213"/>
      <c r="AM297" s="213"/>
      <c r="AN297" s="216"/>
      <c r="AO297" s="213"/>
      <c r="AP297" s="213"/>
      <c r="AQ297" s="213"/>
      <c r="AR297" s="213"/>
      <c r="AS297" s="213"/>
      <c r="AT297" s="216"/>
      <c r="AU297" s="213"/>
      <c r="AV297" s="213"/>
      <c r="AW297" s="213"/>
      <c r="AX297" s="213"/>
      <c r="AY297" s="213"/>
      <c r="AZ297" s="216"/>
      <c r="BA297" s="213"/>
      <c r="BB297" s="213"/>
      <c r="BC297" s="213"/>
      <c r="BD297" s="213"/>
      <c r="BE297" s="213"/>
      <c r="BF297" s="216"/>
      <c r="BG297" s="213"/>
      <c r="BH297" s="213"/>
      <c r="BI297" s="213"/>
      <c r="BJ297" s="213"/>
      <c r="BK297" s="213"/>
      <c r="BL297" s="216"/>
      <c r="BM297" s="213"/>
      <c r="BN297" s="213"/>
      <c r="BO297" s="213"/>
      <c r="BP297" s="213"/>
      <c r="BQ297" s="213"/>
      <c r="BR297" s="326"/>
      <c r="BS297" s="213"/>
      <c r="BT297" s="213"/>
      <c r="BU297" s="213"/>
      <c r="BV297" s="213"/>
      <c r="BW297" s="213"/>
      <c r="BX297" s="213"/>
      <c r="BY297" s="213"/>
      <c r="BZ297" s="213"/>
      <c r="CA297" s="213"/>
      <c r="CB297" s="213"/>
      <c r="CC297" s="213"/>
      <c r="CD297" s="213"/>
      <c r="CE297" s="213"/>
      <c r="CF297" s="213"/>
      <c r="CG297" s="213"/>
      <c r="CH297" s="213"/>
      <c r="CI297" s="213"/>
      <c r="CJ297" s="213"/>
      <c r="CK297" s="213"/>
      <c r="CL297" s="213"/>
      <c r="CM297" s="213"/>
      <c r="CN297" s="213"/>
      <c r="CO297" s="213"/>
      <c r="CP297" s="213"/>
      <c r="CQ297" s="213"/>
    </row>
    <row r="298" ht="15.75" customHeight="1">
      <c r="A298" s="213"/>
      <c r="B298" s="213"/>
      <c r="C298" s="213"/>
      <c r="D298" s="213"/>
      <c r="E298" s="213"/>
      <c r="F298" s="213"/>
      <c r="G298" s="213"/>
      <c r="H298" s="213"/>
      <c r="I298" s="213"/>
      <c r="J298" s="216"/>
      <c r="K298" s="213"/>
      <c r="L298" s="213"/>
      <c r="M298" s="213"/>
      <c r="N298" s="213"/>
      <c r="O298" s="213"/>
      <c r="P298" s="216"/>
      <c r="Q298" s="213"/>
      <c r="R298" s="213"/>
      <c r="S298" s="213"/>
      <c r="T298" s="213"/>
      <c r="U298" s="213"/>
      <c r="V298" s="216"/>
      <c r="W298" s="213"/>
      <c r="X298" s="213"/>
      <c r="Y298" s="213"/>
      <c r="Z298" s="213"/>
      <c r="AA298" s="213"/>
      <c r="AB298" s="216"/>
      <c r="AC298" s="213"/>
      <c r="AD298" s="213"/>
      <c r="AE298" s="213"/>
      <c r="AF298" s="213"/>
      <c r="AG298" s="213"/>
      <c r="AH298" s="216"/>
      <c r="AI298" s="213"/>
      <c r="AJ298" s="213"/>
      <c r="AK298" s="213"/>
      <c r="AL298" s="213"/>
      <c r="AM298" s="213"/>
      <c r="AN298" s="216"/>
      <c r="AO298" s="213"/>
      <c r="AP298" s="213"/>
      <c r="AQ298" s="213"/>
      <c r="AR298" s="213"/>
      <c r="AS298" s="213"/>
      <c r="AT298" s="216"/>
      <c r="AU298" s="213"/>
      <c r="AV298" s="213"/>
      <c r="AW298" s="213"/>
      <c r="AX298" s="213"/>
      <c r="AY298" s="213"/>
      <c r="AZ298" s="216"/>
      <c r="BA298" s="213"/>
      <c r="BB298" s="213"/>
      <c r="BC298" s="213"/>
      <c r="BD298" s="213"/>
      <c r="BE298" s="213"/>
      <c r="BF298" s="216"/>
      <c r="BG298" s="213"/>
      <c r="BH298" s="213"/>
      <c r="BI298" s="213"/>
      <c r="BJ298" s="213"/>
      <c r="BK298" s="213"/>
      <c r="BL298" s="216"/>
      <c r="BM298" s="213"/>
      <c r="BN298" s="213"/>
      <c r="BO298" s="213"/>
      <c r="BP298" s="213"/>
      <c r="BQ298" s="213"/>
      <c r="BR298" s="326"/>
      <c r="BS298" s="213"/>
      <c r="BT298" s="213"/>
      <c r="BU298" s="213"/>
      <c r="BV298" s="213"/>
      <c r="BW298" s="213"/>
      <c r="BX298" s="213"/>
      <c r="BY298" s="213"/>
      <c r="BZ298" s="213"/>
      <c r="CA298" s="213"/>
      <c r="CB298" s="213"/>
      <c r="CC298" s="213"/>
      <c r="CD298" s="213"/>
      <c r="CE298" s="213"/>
      <c r="CF298" s="213"/>
      <c r="CG298" s="213"/>
      <c r="CH298" s="213"/>
      <c r="CI298" s="213"/>
      <c r="CJ298" s="213"/>
      <c r="CK298" s="213"/>
      <c r="CL298" s="213"/>
      <c r="CM298" s="213"/>
      <c r="CN298" s="213"/>
      <c r="CO298" s="213"/>
      <c r="CP298" s="213"/>
      <c r="CQ298" s="213"/>
    </row>
    <row r="299" ht="15.75" customHeight="1">
      <c r="A299" s="213"/>
      <c r="B299" s="213"/>
      <c r="C299" s="213"/>
      <c r="D299" s="213"/>
      <c r="E299" s="213"/>
      <c r="F299" s="213"/>
      <c r="G299" s="213"/>
      <c r="H299" s="213"/>
      <c r="I299" s="213"/>
      <c r="J299" s="216"/>
      <c r="K299" s="213"/>
      <c r="L299" s="213"/>
      <c r="M299" s="213"/>
      <c r="N299" s="213"/>
      <c r="O299" s="213"/>
      <c r="P299" s="216"/>
      <c r="Q299" s="213"/>
      <c r="R299" s="213"/>
      <c r="S299" s="213"/>
      <c r="T299" s="213"/>
      <c r="U299" s="213"/>
      <c r="V299" s="216"/>
      <c r="W299" s="213"/>
      <c r="X299" s="213"/>
      <c r="Y299" s="213"/>
      <c r="Z299" s="213"/>
      <c r="AA299" s="213"/>
      <c r="AB299" s="216"/>
      <c r="AC299" s="213"/>
      <c r="AD299" s="213"/>
      <c r="AE299" s="213"/>
      <c r="AF299" s="213"/>
      <c r="AG299" s="213"/>
      <c r="AH299" s="216"/>
      <c r="AI299" s="213"/>
      <c r="AJ299" s="213"/>
      <c r="AK299" s="213"/>
      <c r="AL299" s="213"/>
      <c r="AM299" s="213"/>
      <c r="AN299" s="216"/>
      <c r="AO299" s="213"/>
      <c r="AP299" s="213"/>
      <c r="AQ299" s="213"/>
      <c r="AR299" s="213"/>
      <c r="AS299" s="213"/>
      <c r="AT299" s="216"/>
      <c r="AU299" s="213"/>
      <c r="AV299" s="213"/>
      <c r="AW299" s="213"/>
      <c r="AX299" s="213"/>
      <c r="AY299" s="213"/>
      <c r="AZ299" s="216"/>
      <c r="BA299" s="213"/>
      <c r="BB299" s="213"/>
      <c r="BC299" s="213"/>
      <c r="BD299" s="213"/>
      <c r="BE299" s="213"/>
      <c r="BF299" s="216"/>
      <c r="BG299" s="213"/>
      <c r="BH299" s="213"/>
      <c r="BI299" s="213"/>
      <c r="BJ299" s="213"/>
      <c r="BK299" s="213"/>
      <c r="BL299" s="216"/>
      <c r="BM299" s="213"/>
      <c r="BN299" s="213"/>
      <c r="BO299" s="213"/>
      <c r="BP299" s="213"/>
      <c r="BQ299" s="213"/>
      <c r="BR299" s="326"/>
      <c r="BS299" s="213"/>
      <c r="BT299" s="213"/>
      <c r="BU299" s="213"/>
      <c r="BV299" s="213"/>
      <c r="BW299" s="213"/>
      <c r="BX299" s="213"/>
      <c r="BY299" s="213"/>
      <c r="BZ299" s="213"/>
      <c r="CA299" s="213"/>
      <c r="CB299" s="213"/>
      <c r="CC299" s="213"/>
      <c r="CD299" s="213"/>
      <c r="CE299" s="213"/>
      <c r="CF299" s="213"/>
      <c r="CG299" s="213"/>
      <c r="CH299" s="213"/>
      <c r="CI299" s="213"/>
      <c r="CJ299" s="213"/>
      <c r="CK299" s="213"/>
      <c r="CL299" s="213"/>
      <c r="CM299" s="213"/>
      <c r="CN299" s="213"/>
      <c r="CO299" s="213"/>
      <c r="CP299" s="213"/>
      <c r="CQ299" s="213"/>
    </row>
    <row r="300" ht="15.75" customHeight="1">
      <c r="A300" s="213"/>
      <c r="B300" s="213"/>
      <c r="C300" s="213"/>
      <c r="D300" s="213"/>
      <c r="E300" s="213"/>
      <c r="F300" s="213"/>
      <c r="G300" s="213"/>
      <c r="H300" s="213"/>
      <c r="I300" s="213"/>
      <c r="J300" s="216"/>
      <c r="K300" s="213"/>
      <c r="L300" s="213"/>
      <c r="M300" s="213"/>
      <c r="N300" s="213"/>
      <c r="O300" s="213"/>
      <c r="P300" s="216"/>
      <c r="Q300" s="213"/>
      <c r="R300" s="213"/>
      <c r="S300" s="213"/>
      <c r="T300" s="213"/>
      <c r="U300" s="213"/>
      <c r="V300" s="216"/>
      <c r="W300" s="213"/>
      <c r="X300" s="213"/>
      <c r="Y300" s="213"/>
      <c r="Z300" s="213"/>
      <c r="AA300" s="213"/>
      <c r="AB300" s="216"/>
      <c r="AC300" s="213"/>
      <c r="AD300" s="213"/>
      <c r="AE300" s="213"/>
      <c r="AF300" s="213"/>
      <c r="AG300" s="213"/>
      <c r="AH300" s="216"/>
      <c r="AI300" s="213"/>
      <c r="AJ300" s="213"/>
      <c r="AK300" s="213"/>
      <c r="AL300" s="213"/>
      <c r="AM300" s="213"/>
      <c r="AN300" s="216"/>
      <c r="AO300" s="213"/>
      <c r="AP300" s="213"/>
      <c r="AQ300" s="213"/>
      <c r="AR300" s="213"/>
      <c r="AS300" s="213"/>
      <c r="AT300" s="216"/>
      <c r="AU300" s="213"/>
      <c r="AV300" s="213"/>
      <c r="AW300" s="213"/>
      <c r="AX300" s="213"/>
      <c r="AY300" s="213"/>
      <c r="AZ300" s="216"/>
      <c r="BA300" s="213"/>
      <c r="BB300" s="213"/>
      <c r="BC300" s="213"/>
      <c r="BD300" s="213"/>
      <c r="BE300" s="213"/>
      <c r="BF300" s="216"/>
      <c r="BG300" s="213"/>
      <c r="BH300" s="213"/>
      <c r="BI300" s="213"/>
      <c r="BJ300" s="213"/>
      <c r="BK300" s="213"/>
      <c r="BL300" s="216"/>
      <c r="BM300" s="213"/>
      <c r="BN300" s="213"/>
      <c r="BO300" s="213"/>
      <c r="BP300" s="213"/>
      <c r="BQ300" s="213"/>
      <c r="BR300" s="326"/>
      <c r="BS300" s="213"/>
      <c r="BT300" s="213"/>
      <c r="BU300" s="213"/>
      <c r="BV300" s="213"/>
      <c r="BW300" s="213"/>
      <c r="BX300" s="213"/>
      <c r="BY300" s="213"/>
      <c r="BZ300" s="213"/>
      <c r="CA300" s="213"/>
      <c r="CB300" s="213"/>
      <c r="CC300" s="213"/>
      <c r="CD300" s="213"/>
      <c r="CE300" s="213"/>
      <c r="CF300" s="213"/>
      <c r="CG300" s="213"/>
      <c r="CH300" s="213"/>
      <c r="CI300" s="213"/>
      <c r="CJ300" s="213"/>
      <c r="CK300" s="213"/>
      <c r="CL300" s="213"/>
      <c r="CM300" s="213"/>
      <c r="CN300" s="213"/>
      <c r="CO300" s="213"/>
      <c r="CP300" s="213"/>
      <c r="CQ300" s="213"/>
    </row>
    <row r="301" ht="15.75" customHeight="1">
      <c r="A301" s="213"/>
      <c r="B301" s="213"/>
      <c r="C301" s="213"/>
      <c r="D301" s="213"/>
      <c r="E301" s="213"/>
      <c r="F301" s="213"/>
      <c r="G301" s="213"/>
      <c r="H301" s="213"/>
      <c r="I301" s="213"/>
      <c r="J301" s="216"/>
      <c r="K301" s="213"/>
      <c r="L301" s="213"/>
      <c r="M301" s="213"/>
      <c r="N301" s="213"/>
      <c r="O301" s="213"/>
      <c r="P301" s="216"/>
      <c r="Q301" s="213"/>
      <c r="R301" s="213"/>
      <c r="S301" s="213"/>
      <c r="T301" s="213"/>
      <c r="U301" s="213"/>
      <c r="V301" s="216"/>
      <c r="W301" s="213"/>
      <c r="X301" s="213"/>
      <c r="Y301" s="213"/>
      <c r="Z301" s="213"/>
      <c r="AA301" s="213"/>
      <c r="AB301" s="216"/>
      <c r="AC301" s="213"/>
      <c r="AD301" s="213"/>
      <c r="AE301" s="213"/>
      <c r="AF301" s="213"/>
      <c r="AG301" s="213"/>
      <c r="AH301" s="216"/>
      <c r="AI301" s="213"/>
      <c r="AJ301" s="213"/>
      <c r="AK301" s="213"/>
      <c r="AL301" s="213"/>
      <c r="AM301" s="213"/>
      <c r="AN301" s="216"/>
      <c r="AO301" s="213"/>
      <c r="AP301" s="213"/>
      <c r="AQ301" s="213"/>
      <c r="AR301" s="213"/>
      <c r="AS301" s="213"/>
      <c r="AT301" s="216"/>
      <c r="AU301" s="213"/>
      <c r="AV301" s="213"/>
      <c r="AW301" s="213"/>
      <c r="AX301" s="213"/>
      <c r="AY301" s="213"/>
      <c r="AZ301" s="216"/>
      <c r="BA301" s="213"/>
      <c r="BB301" s="213"/>
      <c r="BC301" s="213"/>
      <c r="BD301" s="213"/>
      <c r="BE301" s="213"/>
      <c r="BF301" s="216"/>
      <c r="BG301" s="213"/>
      <c r="BH301" s="213"/>
      <c r="BI301" s="213"/>
      <c r="BJ301" s="213"/>
      <c r="BK301" s="213"/>
      <c r="BL301" s="216"/>
      <c r="BM301" s="213"/>
      <c r="BN301" s="213"/>
      <c r="BO301" s="213"/>
      <c r="BP301" s="213"/>
      <c r="BQ301" s="213"/>
      <c r="BR301" s="326"/>
      <c r="BS301" s="213"/>
      <c r="BT301" s="213"/>
      <c r="BU301" s="213"/>
      <c r="BV301" s="213"/>
      <c r="BW301" s="213"/>
      <c r="BX301" s="213"/>
      <c r="BY301" s="213"/>
      <c r="BZ301" s="213"/>
      <c r="CA301" s="213"/>
      <c r="CB301" s="213"/>
      <c r="CC301" s="213"/>
      <c r="CD301" s="213"/>
      <c r="CE301" s="213"/>
      <c r="CF301" s="213"/>
      <c r="CG301" s="213"/>
      <c r="CH301" s="213"/>
      <c r="CI301" s="213"/>
      <c r="CJ301" s="213"/>
      <c r="CK301" s="213"/>
      <c r="CL301" s="213"/>
      <c r="CM301" s="213"/>
      <c r="CN301" s="213"/>
      <c r="CO301" s="213"/>
      <c r="CP301" s="213"/>
      <c r="CQ301" s="213"/>
    </row>
    <row r="302" ht="15.75" customHeight="1">
      <c r="A302" s="213"/>
      <c r="B302" s="213"/>
      <c r="C302" s="213"/>
      <c r="D302" s="213"/>
      <c r="E302" s="213"/>
      <c r="F302" s="213"/>
      <c r="G302" s="213"/>
      <c r="H302" s="213"/>
      <c r="I302" s="213"/>
      <c r="J302" s="216"/>
      <c r="K302" s="213"/>
      <c r="L302" s="213"/>
      <c r="M302" s="213"/>
      <c r="N302" s="213"/>
      <c r="O302" s="213"/>
      <c r="P302" s="216"/>
      <c r="Q302" s="213"/>
      <c r="R302" s="213"/>
      <c r="S302" s="213"/>
      <c r="T302" s="213"/>
      <c r="U302" s="213"/>
      <c r="V302" s="216"/>
      <c r="W302" s="213"/>
      <c r="X302" s="213"/>
      <c r="Y302" s="213"/>
      <c r="Z302" s="213"/>
      <c r="AA302" s="213"/>
      <c r="AB302" s="216"/>
      <c r="AC302" s="213"/>
      <c r="AD302" s="213"/>
      <c r="AE302" s="213"/>
      <c r="AF302" s="213"/>
      <c r="AG302" s="213"/>
      <c r="AH302" s="216"/>
      <c r="AI302" s="213"/>
      <c r="AJ302" s="213"/>
      <c r="AK302" s="213"/>
      <c r="AL302" s="213"/>
      <c r="AM302" s="213"/>
      <c r="AN302" s="216"/>
      <c r="AO302" s="213"/>
      <c r="AP302" s="213"/>
      <c r="AQ302" s="213"/>
      <c r="AR302" s="213"/>
      <c r="AS302" s="213"/>
      <c r="AT302" s="216"/>
      <c r="AU302" s="213"/>
      <c r="AV302" s="213"/>
      <c r="AW302" s="213"/>
      <c r="AX302" s="213"/>
      <c r="AY302" s="213"/>
      <c r="AZ302" s="216"/>
      <c r="BA302" s="213"/>
      <c r="BB302" s="213"/>
      <c r="BC302" s="213"/>
      <c r="BD302" s="213"/>
      <c r="BE302" s="213"/>
      <c r="BF302" s="216"/>
      <c r="BG302" s="213"/>
      <c r="BH302" s="213"/>
      <c r="BI302" s="213"/>
      <c r="BJ302" s="213"/>
      <c r="BK302" s="213"/>
      <c r="BL302" s="216"/>
      <c r="BM302" s="213"/>
      <c r="BN302" s="213"/>
      <c r="BO302" s="213"/>
      <c r="BP302" s="213"/>
      <c r="BQ302" s="213"/>
      <c r="BR302" s="326"/>
      <c r="BS302" s="213"/>
      <c r="BT302" s="213"/>
      <c r="BU302" s="213"/>
      <c r="BV302" s="213"/>
      <c r="BW302" s="213"/>
      <c r="BX302" s="213"/>
      <c r="BY302" s="213"/>
      <c r="BZ302" s="213"/>
      <c r="CA302" s="213"/>
      <c r="CB302" s="213"/>
      <c r="CC302" s="213"/>
      <c r="CD302" s="213"/>
      <c r="CE302" s="213"/>
      <c r="CF302" s="213"/>
      <c r="CG302" s="213"/>
      <c r="CH302" s="213"/>
      <c r="CI302" s="213"/>
      <c r="CJ302" s="213"/>
      <c r="CK302" s="213"/>
      <c r="CL302" s="213"/>
      <c r="CM302" s="213"/>
      <c r="CN302" s="213"/>
      <c r="CO302" s="213"/>
      <c r="CP302" s="213"/>
      <c r="CQ302" s="213"/>
    </row>
    <row r="303" ht="15.75" customHeight="1">
      <c r="A303" s="213"/>
      <c r="B303" s="213"/>
      <c r="C303" s="213"/>
      <c r="D303" s="213"/>
      <c r="E303" s="213"/>
      <c r="F303" s="213"/>
      <c r="G303" s="213"/>
      <c r="H303" s="213"/>
      <c r="I303" s="213"/>
      <c r="J303" s="216"/>
      <c r="K303" s="213"/>
      <c r="L303" s="213"/>
      <c r="M303" s="213"/>
      <c r="N303" s="213"/>
      <c r="O303" s="213"/>
      <c r="P303" s="216"/>
      <c r="Q303" s="213"/>
      <c r="R303" s="213"/>
      <c r="S303" s="213"/>
      <c r="T303" s="213"/>
      <c r="U303" s="213"/>
      <c r="V303" s="216"/>
      <c r="W303" s="213"/>
      <c r="X303" s="213"/>
      <c r="Y303" s="213"/>
      <c r="Z303" s="213"/>
      <c r="AA303" s="213"/>
      <c r="AB303" s="216"/>
      <c r="AC303" s="213"/>
      <c r="AD303" s="213"/>
      <c r="AE303" s="213"/>
      <c r="AF303" s="213"/>
      <c r="AG303" s="213"/>
      <c r="AH303" s="216"/>
      <c r="AI303" s="213"/>
      <c r="AJ303" s="213"/>
      <c r="AK303" s="213"/>
      <c r="AL303" s="213"/>
      <c r="AM303" s="213"/>
      <c r="AN303" s="216"/>
      <c r="AO303" s="213"/>
      <c r="AP303" s="213"/>
      <c r="AQ303" s="213"/>
      <c r="AR303" s="213"/>
      <c r="AS303" s="213"/>
      <c r="AT303" s="216"/>
      <c r="AU303" s="213"/>
      <c r="AV303" s="213"/>
      <c r="AW303" s="213"/>
      <c r="AX303" s="213"/>
      <c r="AY303" s="213"/>
      <c r="AZ303" s="216"/>
      <c r="BA303" s="213"/>
      <c r="BB303" s="213"/>
      <c r="BC303" s="213"/>
      <c r="BD303" s="213"/>
      <c r="BE303" s="213"/>
      <c r="BF303" s="216"/>
      <c r="BG303" s="213"/>
      <c r="BH303" s="213"/>
      <c r="BI303" s="213"/>
      <c r="BJ303" s="213"/>
      <c r="BK303" s="213"/>
      <c r="BL303" s="216"/>
      <c r="BM303" s="213"/>
      <c r="BN303" s="213"/>
      <c r="BO303" s="213"/>
      <c r="BP303" s="213"/>
      <c r="BQ303" s="213"/>
      <c r="BR303" s="326"/>
      <c r="BS303" s="213"/>
      <c r="BT303" s="213"/>
      <c r="BU303" s="213"/>
      <c r="BV303" s="213"/>
      <c r="BW303" s="213"/>
      <c r="BX303" s="213"/>
      <c r="BY303" s="213"/>
      <c r="BZ303" s="213"/>
      <c r="CA303" s="213"/>
      <c r="CB303" s="213"/>
      <c r="CC303" s="213"/>
      <c r="CD303" s="213"/>
      <c r="CE303" s="213"/>
      <c r="CF303" s="213"/>
      <c r="CG303" s="213"/>
      <c r="CH303" s="213"/>
      <c r="CI303" s="213"/>
      <c r="CJ303" s="213"/>
      <c r="CK303" s="213"/>
      <c r="CL303" s="213"/>
      <c r="CM303" s="213"/>
      <c r="CN303" s="213"/>
      <c r="CO303" s="213"/>
      <c r="CP303" s="213"/>
      <c r="CQ303" s="213"/>
    </row>
    <row r="304" ht="15.75" customHeight="1">
      <c r="A304" s="213"/>
      <c r="B304" s="213"/>
      <c r="C304" s="213"/>
      <c r="D304" s="213"/>
      <c r="E304" s="213"/>
      <c r="F304" s="213"/>
      <c r="G304" s="213"/>
      <c r="H304" s="213"/>
      <c r="I304" s="213"/>
      <c r="J304" s="216"/>
      <c r="K304" s="213"/>
      <c r="L304" s="213"/>
      <c r="M304" s="213"/>
      <c r="N304" s="213"/>
      <c r="O304" s="213"/>
      <c r="P304" s="216"/>
      <c r="Q304" s="213"/>
      <c r="R304" s="213"/>
      <c r="S304" s="213"/>
      <c r="T304" s="213"/>
      <c r="U304" s="213"/>
      <c r="V304" s="216"/>
      <c r="W304" s="213"/>
      <c r="X304" s="213"/>
      <c r="Y304" s="213"/>
      <c r="Z304" s="213"/>
      <c r="AA304" s="213"/>
      <c r="AB304" s="216"/>
      <c r="AC304" s="213"/>
      <c r="AD304" s="213"/>
      <c r="AE304" s="213"/>
      <c r="AF304" s="213"/>
      <c r="AG304" s="213"/>
      <c r="AH304" s="216"/>
      <c r="AI304" s="213"/>
      <c r="AJ304" s="213"/>
      <c r="AK304" s="213"/>
      <c r="AL304" s="213"/>
      <c r="AM304" s="213"/>
      <c r="AN304" s="216"/>
      <c r="AO304" s="213"/>
      <c r="AP304" s="213"/>
      <c r="AQ304" s="213"/>
      <c r="AR304" s="213"/>
      <c r="AS304" s="213"/>
      <c r="AT304" s="216"/>
      <c r="AU304" s="213"/>
      <c r="AV304" s="213"/>
      <c r="AW304" s="213"/>
      <c r="AX304" s="213"/>
      <c r="AY304" s="213"/>
      <c r="AZ304" s="216"/>
      <c r="BA304" s="213"/>
      <c r="BB304" s="213"/>
      <c r="BC304" s="213"/>
      <c r="BD304" s="213"/>
      <c r="BE304" s="213"/>
      <c r="BF304" s="216"/>
      <c r="BG304" s="213"/>
      <c r="BH304" s="213"/>
      <c r="BI304" s="213"/>
      <c r="BJ304" s="213"/>
      <c r="BK304" s="213"/>
      <c r="BL304" s="216"/>
      <c r="BM304" s="213"/>
      <c r="BN304" s="213"/>
      <c r="BO304" s="213"/>
      <c r="BP304" s="213"/>
      <c r="BQ304" s="213"/>
      <c r="BR304" s="326"/>
      <c r="BS304" s="213"/>
      <c r="BT304" s="213"/>
      <c r="BU304" s="213"/>
      <c r="BV304" s="213"/>
      <c r="BW304" s="213"/>
      <c r="BX304" s="213"/>
      <c r="BY304" s="213"/>
      <c r="BZ304" s="213"/>
      <c r="CA304" s="213"/>
      <c r="CB304" s="213"/>
      <c r="CC304" s="213"/>
      <c r="CD304" s="213"/>
      <c r="CE304" s="213"/>
      <c r="CF304" s="213"/>
      <c r="CG304" s="213"/>
      <c r="CH304" s="213"/>
      <c r="CI304" s="213"/>
      <c r="CJ304" s="213"/>
      <c r="CK304" s="213"/>
      <c r="CL304" s="213"/>
      <c r="CM304" s="213"/>
      <c r="CN304" s="213"/>
      <c r="CO304" s="213"/>
      <c r="CP304" s="213"/>
      <c r="CQ304" s="213"/>
    </row>
    <row r="305" ht="15.75" customHeight="1">
      <c r="A305" s="213"/>
      <c r="B305" s="213"/>
      <c r="C305" s="213"/>
      <c r="D305" s="213"/>
      <c r="E305" s="213"/>
      <c r="F305" s="213"/>
      <c r="G305" s="213"/>
      <c r="H305" s="213"/>
      <c r="I305" s="213"/>
      <c r="J305" s="216"/>
      <c r="K305" s="213"/>
      <c r="L305" s="213"/>
      <c r="M305" s="213"/>
      <c r="N305" s="213"/>
      <c r="O305" s="213"/>
      <c r="P305" s="216"/>
      <c r="Q305" s="213"/>
      <c r="R305" s="213"/>
      <c r="S305" s="213"/>
      <c r="T305" s="213"/>
      <c r="U305" s="213"/>
      <c r="V305" s="216"/>
      <c r="W305" s="213"/>
      <c r="X305" s="213"/>
      <c r="Y305" s="213"/>
      <c r="Z305" s="213"/>
      <c r="AA305" s="213"/>
      <c r="AB305" s="216"/>
      <c r="AC305" s="213"/>
      <c r="AD305" s="213"/>
      <c r="AE305" s="213"/>
      <c r="AF305" s="213"/>
      <c r="AG305" s="213"/>
      <c r="AH305" s="216"/>
      <c r="AI305" s="213"/>
      <c r="AJ305" s="213"/>
      <c r="AK305" s="213"/>
      <c r="AL305" s="213"/>
      <c r="AM305" s="213"/>
      <c r="AN305" s="216"/>
      <c r="AO305" s="213"/>
      <c r="AP305" s="213"/>
      <c r="AQ305" s="213"/>
      <c r="AR305" s="213"/>
      <c r="AS305" s="213"/>
      <c r="AT305" s="216"/>
      <c r="AU305" s="213"/>
      <c r="AV305" s="213"/>
      <c r="AW305" s="213"/>
      <c r="AX305" s="213"/>
      <c r="AY305" s="213"/>
      <c r="AZ305" s="216"/>
      <c r="BA305" s="213"/>
      <c r="BB305" s="213"/>
      <c r="BC305" s="213"/>
      <c r="BD305" s="213"/>
      <c r="BE305" s="213"/>
      <c r="BF305" s="216"/>
      <c r="BG305" s="213"/>
      <c r="BH305" s="213"/>
      <c r="BI305" s="213"/>
      <c r="BJ305" s="213"/>
      <c r="BK305" s="213"/>
      <c r="BL305" s="216"/>
      <c r="BM305" s="213"/>
      <c r="BN305" s="213"/>
      <c r="BO305" s="213"/>
      <c r="BP305" s="213"/>
      <c r="BQ305" s="213"/>
      <c r="BR305" s="326"/>
      <c r="BS305" s="213"/>
      <c r="BT305" s="213"/>
      <c r="BU305" s="213"/>
      <c r="BV305" s="213"/>
      <c r="BW305" s="213"/>
      <c r="BX305" s="213"/>
      <c r="BY305" s="213"/>
      <c r="BZ305" s="213"/>
      <c r="CA305" s="213"/>
      <c r="CB305" s="213"/>
      <c r="CC305" s="213"/>
      <c r="CD305" s="213"/>
      <c r="CE305" s="213"/>
      <c r="CF305" s="213"/>
      <c r="CG305" s="213"/>
      <c r="CH305" s="213"/>
      <c r="CI305" s="213"/>
      <c r="CJ305" s="213"/>
      <c r="CK305" s="213"/>
      <c r="CL305" s="213"/>
      <c r="CM305" s="213"/>
      <c r="CN305" s="213"/>
      <c r="CO305" s="213"/>
      <c r="CP305" s="213"/>
      <c r="CQ305" s="213"/>
    </row>
    <row r="306" ht="15.75" customHeight="1">
      <c r="A306" s="213"/>
      <c r="B306" s="213"/>
      <c r="C306" s="213"/>
      <c r="D306" s="213"/>
      <c r="E306" s="213"/>
      <c r="F306" s="213"/>
      <c r="G306" s="213"/>
      <c r="H306" s="213"/>
      <c r="I306" s="213"/>
      <c r="J306" s="216"/>
      <c r="K306" s="213"/>
      <c r="L306" s="213"/>
      <c r="M306" s="213"/>
      <c r="N306" s="213"/>
      <c r="O306" s="213"/>
      <c r="P306" s="216"/>
      <c r="Q306" s="213"/>
      <c r="R306" s="213"/>
      <c r="S306" s="213"/>
      <c r="T306" s="213"/>
      <c r="U306" s="213"/>
      <c r="V306" s="216"/>
      <c r="W306" s="213"/>
      <c r="X306" s="213"/>
      <c r="Y306" s="213"/>
      <c r="Z306" s="213"/>
      <c r="AA306" s="213"/>
      <c r="AB306" s="216"/>
      <c r="AC306" s="213"/>
      <c r="AD306" s="213"/>
      <c r="AE306" s="213"/>
      <c r="AF306" s="213"/>
      <c r="AG306" s="213"/>
      <c r="AH306" s="216"/>
      <c r="AI306" s="213"/>
      <c r="AJ306" s="213"/>
      <c r="AK306" s="213"/>
      <c r="AL306" s="213"/>
      <c r="AM306" s="213"/>
      <c r="AN306" s="216"/>
      <c r="AO306" s="213"/>
      <c r="AP306" s="213"/>
      <c r="AQ306" s="213"/>
      <c r="AR306" s="213"/>
      <c r="AS306" s="213"/>
      <c r="AT306" s="216"/>
      <c r="AU306" s="213"/>
      <c r="AV306" s="213"/>
      <c r="AW306" s="213"/>
      <c r="AX306" s="213"/>
      <c r="AY306" s="213"/>
      <c r="AZ306" s="216"/>
      <c r="BA306" s="213"/>
      <c r="BB306" s="213"/>
      <c r="BC306" s="213"/>
      <c r="BD306" s="213"/>
      <c r="BE306" s="213"/>
      <c r="BF306" s="216"/>
      <c r="BG306" s="213"/>
      <c r="BH306" s="213"/>
      <c r="BI306" s="213"/>
      <c r="BJ306" s="213"/>
      <c r="BK306" s="213"/>
      <c r="BL306" s="216"/>
      <c r="BM306" s="213"/>
      <c r="BN306" s="213"/>
      <c r="BO306" s="213"/>
      <c r="BP306" s="213"/>
      <c r="BQ306" s="213"/>
      <c r="BR306" s="326"/>
      <c r="BS306" s="213"/>
      <c r="BT306" s="213"/>
      <c r="BU306" s="213"/>
      <c r="BV306" s="213"/>
      <c r="BW306" s="213"/>
      <c r="BX306" s="213"/>
      <c r="BY306" s="213"/>
      <c r="BZ306" s="213"/>
      <c r="CA306" s="213"/>
      <c r="CB306" s="213"/>
      <c r="CC306" s="213"/>
      <c r="CD306" s="213"/>
      <c r="CE306" s="213"/>
      <c r="CF306" s="213"/>
      <c r="CG306" s="213"/>
      <c r="CH306" s="213"/>
      <c r="CI306" s="213"/>
      <c r="CJ306" s="213"/>
      <c r="CK306" s="213"/>
      <c r="CL306" s="213"/>
      <c r="CM306" s="213"/>
      <c r="CN306" s="213"/>
      <c r="CO306" s="213"/>
      <c r="CP306" s="213"/>
      <c r="CQ306" s="213"/>
    </row>
    <row r="307" ht="15.75" customHeight="1">
      <c r="A307" s="213"/>
      <c r="B307" s="213"/>
      <c r="C307" s="213"/>
      <c r="D307" s="213"/>
      <c r="E307" s="213"/>
      <c r="F307" s="213"/>
      <c r="G307" s="213"/>
      <c r="H307" s="213"/>
      <c r="I307" s="213"/>
      <c r="J307" s="216"/>
      <c r="K307" s="213"/>
      <c r="L307" s="213"/>
      <c r="M307" s="213"/>
      <c r="N307" s="213"/>
      <c r="O307" s="213"/>
      <c r="P307" s="216"/>
      <c r="Q307" s="213"/>
      <c r="R307" s="213"/>
      <c r="S307" s="213"/>
      <c r="T307" s="213"/>
      <c r="U307" s="213"/>
      <c r="V307" s="216"/>
      <c r="W307" s="213"/>
      <c r="X307" s="213"/>
      <c r="Y307" s="213"/>
      <c r="Z307" s="213"/>
      <c r="AA307" s="213"/>
      <c r="AB307" s="216"/>
      <c r="AC307" s="213"/>
      <c r="AD307" s="213"/>
      <c r="AE307" s="213"/>
      <c r="AF307" s="213"/>
      <c r="AG307" s="213"/>
      <c r="AH307" s="216"/>
      <c r="AI307" s="213"/>
      <c r="AJ307" s="213"/>
      <c r="AK307" s="213"/>
      <c r="AL307" s="213"/>
      <c r="AM307" s="213"/>
      <c r="AN307" s="216"/>
      <c r="AO307" s="213"/>
      <c r="AP307" s="213"/>
      <c r="AQ307" s="213"/>
      <c r="AR307" s="213"/>
      <c r="AS307" s="213"/>
      <c r="AT307" s="216"/>
      <c r="AU307" s="213"/>
      <c r="AV307" s="213"/>
      <c r="AW307" s="213"/>
      <c r="AX307" s="213"/>
      <c r="AY307" s="213"/>
      <c r="AZ307" s="216"/>
      <c r="BA307" s="213"/>
      <c r="BB307" s="213"/>
      <c r="BC307" s="213"/>
      <c r="BD307" s="213"/>
      <c r="BE307" s="213"/>
      <c r="BF307" s="216"/>
      <c r="BG307" s="213"/>
      <c r="BH307" s="213"/>
      <c r="BI307" s="213"/>
      <c r="BJ307" s="213"/>
      <c r="BK307" s="213"/>
      <c r="BL307" s="216"/>
      <c r="BM307" s="213"/>
      <c r="BN307" s="213"/>
      <c r="BO307" s="213"/>
      <c r="BP307" s="213"/>
      <c r="BQ307" s="213"/>
      <c r="BR307" s="326"/>
      <c r="BS307" s="213"/>
      <c r="BT307" s="213"/>
      <c r="BU307" s="213"/>
      <c r="BV307" s="213"/>
      <c r="BW307" s="213"/>
      <c r="BX307" s="213"/>
      <c r="BY307" s="213"/>
      <c r="BZ307" s="213"/>
      <c r="CA307" s="213"/>
      <c r="CB307" s="213"/>
      <c r="CC307" s="213"/>
      <c r="CD307" s="213"/>
      <c r="CE307" s="213"/>
      <c r="CF307" s="213"/>
      <c r="CG307" s="213"/>
      <c r="CH307" s="213"/>
      <c r="CI307" s="213"/>
      <c r="CJ307" s="213"/>
      <c r="CK307" s="213"/>
      <c r="CL307" s="213"/>
      <c r="CM307" s="213"/>
      <c r="CN307" s="213"/>
      <c r="CO307" s="213"/>
      <c r="CP307" s="213"/>
      <c r="CQ307" s="213"/>
    </row>
    <row r="308" ht="15.75" customHeight="1">
      <c r="A308" s="213"/>
      <c r="B308" s="213"/>
      <c r="C308" s="213"/>
      <c r="D308" s="213"/>
      <c r="E308" s="213"/>
      <c r="F308" s="213"/>
      <c r="G308" s="213"/>
      <c r="H308" s="213"/>
      <c r="I308" s="213"/>
      <c r="J308" s="216"/>
      <c r="K308" s="213"/>
      <c r="L308" s="213"/>
      <c r="M308" s="213"/>
      <c r="N308" s="213"/>
      <c r="O308" s="213"/>
      <c r="P308" s="216"/>
      <c r="Q308" s="213"/>
      <c r="R308" s="213"/>
      <c r="S308" s="213"/>
      <c r="T308" s="213"/>
      <c r="U308" s="213"/>
      <c r="V308" s="216"/>
      <c r="W308" s="213"/>
      <c r="X308" s="213"/>
      <c r="Y308" s="213"/>
      <c r="Z308" s="213"/>
      <c r="AA308" s="213"/>
      <c r="AB308" s="216"/>
      <c r="AC308" s="213"/>
      <c r="AD308" s="213"/>
      <c r="AE308" s="213"/>
      <c r="AF308" s="213"/>
      <c r="AG308" s="213"/>
      <c r="AH308" s="216"/>
      <c r="AI308" s="213"/>
      <c r="AJ308" s="213"/>
      <c r="AK308" s="213"/>
      <c r="AL308" s="213"/>
      <c r="AM308" s="213"/>
      <c r="AN308" s="216"/>
      <c r="AO308" s="213"/>
      <c r="AP308" s="213"/>
      <c r="AQ308" s="213"/>
      <c r="AR308" s="213"/>
      <c r="AS308" s="213"/>
      <c r="AT308" s="216"/>
      <c r="AU308" s="213"/>
      <c r="AV308" s="213"/>
      <c r="AW308" s="213"/>
      <c r="AX308" s="213"/>
      <c r="AY308" s="213"/>
      <c r="AZ308" s="216"/>
      <c r="BA308" s="213"/>
      <c r="BB308" s="213"/>
      <c r="BC308" s="213"/>
      <c r="BD308" s="213"/>
      <c r="BE308" s="213"/>
      <c r="BF308" s="216"/>
      <c r="BG308" s="213"/>
      <c r="BH308" s="213"/>
      <c r="BI308" s="213"/>
      <c r="BJ308" s="213"/>
      <c r="BK308" s="213"/>
      <c r="BL308" s="216"/>
      <c r="BM308" s="213"/>
      <c r="BN308" s="213"/>
      <c r="BO308" s="213"/>
      <c r="BP308" s="213"/>
      <c r="BQ308" s="213"/>
      <c r="BR308" s="326"/>
      <c r="BS308" s="213"/>
      <c r="BT308" s="213"/>
      <c r="BU308" s="213"/>
      <c r="BV308" s="213"/>
      <c r="BW308" s="213"/>
      <c r="BX308" s="213"/>
      <c r="BY308" s="213"/>
      <c r="BZ308" s="213"/>
      <c r="CA308" s="213"/>
      <c r="CB308" s="213"/>
      <c r="CC308" s="213"/>
      <c r="CD308" s="213"/>
      <c r="CE308" s="213"/>
      <c r="CF308" s="213"/>
      <c r="CG308" s="213"/>
      <c r="CH308" s="213"/>
      <c r="CI308" s="213"/>
      <c r="CJ308" s="213"/>
      <c r="CK308" s="213"/>
      <c r="CL308" s="213"/>
      <c r="CM308" s="213"/>
      <c r="CN308" s="213"/>
      <c r="CO308" s="213"/>
      <c r="CP308" s="213"/>
      <c r="CQ308" s="213"/>
    </row>
    <row r="309" ht="15.75" customHeight="1">
      <c r="A309" s="213"/>
      <c r="B309" s="213"/>
      <c r="C309" s="213"/>
      <c r="D309" s="213"/>
      <c r="E309" s="213"/>
      <c r="F309" s="213"/>
      <c r="G309" s="213"/>
      <c r="H309" s="213"/>
      <c r="I309" s="213"/>
      <c r="J309" s="216"/>
      <c r="K309" s="213"/>
      <c r="L309" s="213"/>
      <c r="M309" s="213"/>
      <c r="N309" s="213"/>
      <c r="O309" s="213"/>
      <c r="P309" s="216"/>
      <c r="Q309" s="213"/>
      <c r="R309" s="213"/>
      <c r="S309" s="213"/>
      <c r="T309" s="213"/>
      <c r="U309" s="213"/>
      <c r="V309" s="216"/>
      <c r="W309" s="213"/>
      <c r="X309" s="213"/>
      <c r="Y309" s="213"/>
      <c r="Z309" s="213"/>
      <c r="AA309" s="213"/>
      <c r="AB309" s="216"/>
      <c r="AC309" s="213"/>
      <c r="AD309" s="213"/>
      <c r="AE309" s="213"/>
      <c r="AF309" s="213"/>
      <c r="AG309" s="213"/>
      <c r="AH309" s="216"/>
      <c r="AI309" s="213"/>
      <c r="AJ309" s="213"/>
      <c r="AK309" s="213"/>
      <c r="AL309" s="213"/>
      <c r="AM309" s="213"/>
      <c r="AN309" s="216"/>
      <c r="AO309" s="213"/>
      <c r="AP309" s="213"/>
      <c r="AQ309" s="213"/>
      <c r="AR309" s="213"/>
      <c r="AS309" s="213"/>
      <c r="AT309" s="216"/>
      <c r="AU309" s="213"/>
      <c r="AV309" s="213"/>
      <c r="AW309" s="213"/>
      <c r="AX309" s="213"/>
      <c r="AY309" s="213"/>
      <c r="AZ309" s="216"/>
      <c r="BA309" s="213"/>
      <c r="BB309" s="213"/>
      <c r="BC309" s="213"/>
      <c r="BD309" s="213"/>
      <c r="BE309" s="213"/>
      <c r="BF309" s="216"/>
      <c r="BG309" s="213"/>
      <c r="BH309" s="213"/>
      <c r="BI309" s="213"/>
      <c r="BJ309" s="213"/>
      <c r="BK309" s="213"/>
      <c r="BL309" s="216"/>
      <c r="BM309" s="213"/>
      <c r="BN309" s="213"/>
      <c r="BO309" s="213"/>
      <c r="BP309" s="213"/>
      <c r="BQ309" s="213"/>
      <c r="BR309" s="326"/>
      <c r="BS309" s="213"/>
      <c r="BT309" s="213"/>
      <c r="BU309" s="213"/>
      <c r="BV309" s="213"/>
      <c r="BW309" s="213"/>
      <c r="BX309" s="213"/>
      <c r="BY309" s="213"/>
      <c r="BZ309" s="213"/>
      <c r="CA309" s="213"/>
      <c r="CB309" s="213"/>
      <c r="CC309" s="213"/>
      <c r="CD309" s="213"/>
      <c r="CE309" s="213"/>
      <c r="CF309" s="213"/>
      <c r="CG309" s="213"/>
      <c r="CH309" s="213"/>
      <c r="CI309" s="213"/>
      <c r="CJ309" s="213"/>
      <c r="CK309" s="213"/>
      <c r="CL309" s="213"/>
      <c r="CM309" s="213"/>
      <c r="CN309" s="213"/>
      <c r="CO309" s="213"/>
      <c r="CP309" s="213"/>
      <c r="CQ309" s="213"/>
    </row>
    <row r="310" ht="15.75" customHeight="1">
      <c r="A310" s="213"/>
      <c r="B310" s="213"/>
      <c r="C310" s="213"/>
      <c r="D310" s="213"/>
      <c r="E310" s="213"/>
      <c r="F310" s="213"/>
      <c r="G310" s="213"/>
      <c r="H310" s="213"/>
      <c r="I310" s="213"/>
      <c r="J310" s="216"/>
      <c r="K310" s="213"/>
      <c r="L310" s="213"/>
      <c r="M310" s="213"/>
      <c r="N310" s="213"/>
      <c r="O310" s="213"/>
      <c r="P310" s="216"/>
      <c r="Q310" s="213"/>
      <c r="R310" s="213"/>
      <c r="S310" s="213"/>
      <c r="T310" s="213"/>
      <c r="U310" s="213"/>
      <c r="V310" s="216"/>
      <c r="W310" s="213"/>
      <c r="X310" s="213"/>
      <c r="Y310" s="213"/>
      <c r="Z310" s="213"/>
      <c r="AA310" s="213"/>
      <c r="AB310" s="216"/>
      <c r="AC310" s="213"/>
      <c r="AD310" s="213"/>
      <c r="AE310" s="213"/>
      <c r="AF310" s="213"/>
      <c r="AG310" s="213"/>
      <c r="AH310" s="216"/>
      <c r="AI310" s="213"/>
      <c r="AJ310" s="213"/>
      <c r="AK310" s="213"/>
      <c r="AL310" s="213"/>
      <c r="AM310" s="213"/>
      <c r="AN310" s="216"/>
      <c r="AO310" s="213"/>
      <c r="AP310" s="213"/>
      <c r="AQ310" s="213"/>
      <c r="AR310" s="213"/>
      <c r="AS310" s="213"/>
      <c r="AT310" s="216"/>
      <c r="AU310" s="213"/>
      <c r="AV310" s="213"/>
      <c r="AW310" s="213"/>
      <c r="AX310" s="213"/>
      <c r="AY310" s="213"/>
      <c r="AZ310" s="216"/>
      <c r="BA310" s="213"/>
      <c r="BB310" s="213"/>
      <c r="BC310" s="213"/>
      <c r="BD310" s="213"/>
      <c r="BE310" s="213"/>
      <c r="BF310" s="216"/>
      <c r="BG310" s="213"/>
      <c r="BH310" s="213"/>
      <c r="BI310" s="213"/>
      <c r="BJ310" s="213"/>
      <c r="BK310" s="213"/>
      <c r="BL310" s="216"/>
      <c r="BM310" s="213"/>
      <c r="BN310" s="213"/>
      <c r="BO310" s="213"/>
      <c r="BP310" s="213"/>
      <c r="BQ310" s="213"/>
      <c r="BR310" s="326"/>
      <c r="BS310" s="213"/>
      <c r="BT310" s="213"/>
      <c r="BU310" s="213"/>
      <c r="BV310" s="213"/>
      <c r="BW310" s="213"/>
      <c r="BX310" s="213"/>
      <c r="BY310" s="213"/>
      <c r="BZ310" s="213"/>
      <c r="CA310" s="213"/>
      <c r="CB310" s="213"/>
      <c r="CC310" s="213"/>
      <c r="CD310" s="213"/>
      <c r="CE310" s="213"/>
      <c r="CF310" s="213"/>
      <c r="CG310" s="213"/>
      <c r="CH310" s="213"/>
      <c r="CI310" s="213"/>
      <c r="CJ310" s="213"/>
      <c r="CK310" s="213"/>
      <c r="CL310" s="213"/>
      <c r="CM310" s="213"/>
      <c r="CN310" s="213"/>
      <c r="CO310" s="213"/>
      <c r="CP310" s="213"/>
      <c r="CQ310" s="213"/>
    </row>
    <row r="311" ht="15.75" customHeight="1">
      <c r="A311" s="213"/>
      <c r="B311" s="213"/>
      <c r="C311" s="213"/>
      <c r="D311" s="213"/>
      <c r="E311" s="213"/>
      <c r="F311" s="213"/>
      <c r="G311" s="213"/>
      <c r="H311" s="213"/>
      <c r="I311" s="213"/>
      <c r="J311" s="216"/>
      <c r="K311" s="213"/>
      <c r="L311" s="213"/>
      <c r="M311" s="213"/>
      <c r="N311" s="213"/>
      <c r="O311" s="213"/>
      <c r="P311" s="216"/>
      <c r="Q311" s="213"/>
      <c r="R311" s="213"/>
      <c r="S311" s="213"/>
      <c r="T311" s="213"/>
      <c r="U311" s="213"/>
      <c r="V311" s="216"/>
      <c r="W311" s="213"/>
      <c r="X311" s="213"/>
      <c r="Y311" s="213"/>
      <c r="Z311" s="213"/>
      <c r="AA311" s="213"/>
      <c r="AB311" s="216"/>
      <c r="AC311" s="213"/>
      <c r="AD311" s="213"/>
      <c r="AE311" s="213"/>
      <c r="AF311" s="213"/>
      <c r="AG311" s="213"/>
      <c r="AH311" s="216"/>
      <c r="AI311" s="213"/>
      <c r="AJ311" s="213"/>
      <c r="AK311" s="213"/>
      <c r="AL311" s="213"/>
      <c r="AM311" s="213"/>
      <c r="AN311" s="216"/>
      <c r="AO311" s="213"/>
      <c r="AP311" s="213"/>
      <c r="AQ311" s="213"/>
      <c r="AR311" s="213"/>
      <c r="AS311" s="213"/>
      <c r="AT311" s="216"/>
      <c r="AU311" s="213"/>
      <c r="AV311" s="213"/>
      <c r="AW311" s="213"/>
      <c r="AX311" s="213"/>
      <c r="AY311" s="213"/>
      <c r="AZ311" s="216"/>
      <c r="BA311" s="213"/>
      <c r="BB311" s="213"/>
      <c r="BC311" s="213"/>
      <c r="BD311" s="213"/>
      <c r="BE311" s="213"/>
      <c r="BF311" s="216"/>
      <c r="BG311" s="213"/>
      <c r="BH311" s="213"/>
      <c r="BI311" s="213"/>
      <c r="BJ311" s="213"/>
      <c r="BK311" s="213"/>
      <c r="BL311" s="216"/>
      <c r="BM311" s="213"/>
      <c r="BN311" s="213"/>
      <c r="BO311" s="213"/>
      <c r="BP311" s="213"/>
      <c r="BQ311" s="213"/>
      <c r="BR311" s="326"/>
      <c r="BS311" s="213"/>
      <c r="BT311" s="213"/>
      <c r="BU311" s="213"/>
      <c r="BV311" s="213"/>
      <c r="BW311" s="213"/>
      <c r="BX311" s="213"/>
      <c r="BY311" s="213"/>
      <c r="BZ311" s="213"/>
      <c r="CA311" s="213"/>
      <c r="CB311" s="213"/>
      <c r="CC311" s="213"/>
      <c r="CD311" s="213"/>
      <c r="CE311" s="213"/>
      <c r="CF311" s="213"/>
      <c r="CG311" s="213"/>
      <c r="CH311" s="213"/>
      <c r="CI311" s="213"/>
      <c r="CJ311" s="213"/>
      <c r="CK311" s="213"/>
      <c r="CL311" s="213"/>
      <c r="CM311" s="213"/>
      <c r="CN311" s="213"/>
      <c r="CO311" s="213"/>
      <c r="CP311" s="213"/>
      <c r="CQ311" s="213"/>
    </row>
    <row r="312" ht="15.75" customHeight="1">
      <c r="A312" s="213"/>
      <c r="B312" s="213"/>
      <c r="C312" s="213"/>
      <c r="D312" s="213"/>
      <c r="E312" s="213"/>
      <c r="F312" s="213"/>
      <c r="G312" s="213"/>
      <c r="H312" s="213"/>
      <c r="I312" s="213"/>
      <c r="J312" s="216"/>
      <c r="K312" s="213"/>
      <c r="L312" s="213"/>
      <c r="M312" s="213"/>
      <c r="N312" s="213"/>
      <c r="O312" s="213"/>
      <c r="P312" s="216"/>
      <c r="Q312" s="213"/>
      <c r="R312" s="213"/>
      <c r="S312" s="213"/>
      <c r="T312" s="213"/>
      <c r="U312" s="213"/>
      <c r="V312" s="216"/>
      <c r="W312" s="213"/>
      <c r="X312" s="213"/>
      <c r="Y312" s="213"/>
      <c r="Z312" s="213"/>
      <c r="AA312" s="213"/>
      <c r="AB312" s="216"/>
      <c r="AC312" s="213"/>
      <c r="AD312" s="213"/>
      <c r="AE312" s="213"/>
      <c r="AF312" s="213"/>
      <c r="AG312" s="213"/>
      <c r="AH312" s="216"/>
      <c r="AI312" s="213"/>
      <c r="AJ312" s="213"/>
      <c r="AK312" s="213"/>
      <c r="AL312" s="213"/>
      <c r="AM312" s="213"/>
      <c r="AN312" s="216"/>
      <c r="AO312" s="213"/>
      <c r="AP312" s="213"/>
      <c r="AQ312" s="213"/>
      <c r="AR312" s="213"/>
      <c r="AS312" s="213"/>
      <c r="AT312" s="216"/>
      <c r="AU312" s="213"/>
      <c r="AV312" s="213"/>
      <c r="AW312" s="213"/>
      <c r="AX312" s="213"/>
      <c r="AY312" s="213"/>
      <c r="AZ312" s="216"/>
      <c r="BA312" s="213"/>
      <c r="BB312" s="213"/>
      <c r="BC312" s="213"/>
      <c r="BD312" s="213"/>
      <c r="BE312" s="213"/>
      <c r="BF312" s="216"/>
      <c r="BG312" s="213"/>
      <c r="BH312" s="213"/>
      <c r="BI312" s="213"/>
      <c r="BJ312" s="213"/>
      <c r="BK312" s="213"/>
      <c r="BL312" s="216"/>
      <c r="BM312" s="213"/>
      <c r="BN312" s="213"/>
      <c r="BO312" s="213"/>
      <c r="BP312" s="213"/>
      <c r="BQ312" s="213"/>
      <c r="BR312" s="326"/>
      <c r="BS312" s="213"/>
      <c r="BT312" s="213"/>
      <c r="BU312" s="213"/>
      <c r="BV312" s="213"/>
      <c r="BW312" s="213"/>
      <c r="BX312" s="213"/>
      <c r="BY312" s="213"/>
      <c r="BZ312" s="213"/>
      <c r="CA312" s="213"/>
      <c r="CB312" s="213"/>
      <c r="CC312" s="213"/>
      <c r="CD312" s="213"/>
      <c r="CE312" s="213"/>
      <c r="CF312" s="213"/>
      <c r="CG312" s="213"/>
      <c r="CH312" s="213"/>
      <c r="CI312" s="213"/>
      <c r="CJ312" s="213"/>
      <c r="CK312" s="213"/>
      <c r="CL312" s="213"/>
      <c r="CM312" s="213"/>
      <c r="CN312" s="213"/>
      <c r="CO312" s="213"/>
      <c r="CP312" s="213"/>
      <c r="CQ312" s="213"/>
    </row>
    <row r="313" ht="15.75" customHeight="1">
      <c r="A313" s="213"/>
      <c r="B313" s="213"/>
      <c r="C313" s="213"/>
      <c r="D313" s="213"/>
      <c r="E313" s="213"/>
      <c r="F313" s="213"/>
      <c r="G313" s="213"/>
      <c r="H313" s="213"/>
      <c r="I313" s="213"/>
      <c r="J313" s="216"/>
      <c r="K313" s="213"/>
      <c r="L313" s="213"/>
      <c r="M313" s="213"/>
      <c r="N313" s="213"/>
      <c r="O313" s="213"/>
      <c r="P313" s="216"/>
      <c r="Q313" s="213"/>
      <c r="R313" s="213"/>
      <c r="S313" s="213"/>
      <c r="T313" s="213"/>
      <c r="U313" s="213"/>
      <c r="V313" s="216"/>
      <c r="W313" s="213"/>
      <c r="X313" s="213"/>
      <c r="Y313" s="213"/>
      <c r="Z313" s="213"/>
      <c r="AA313" s="213"/>
      <c r="AB313" s="216"/>
      <c r="AC313" s="213"/>
      <c r="AD313" s="213"/>
      <c r="AE313" s="213"/>
      <c r="AF313" s="213"/>
      <c r="AG313" s="213"/>
      <c r="AH313" s="216"/>
      <c r="AI313" s="213"/>
      <c r="AJ313" s="213"/>
      <c r="AK313" s="213"/>
      <c r="AL313" s="213"/>
      <c r="AM313" s="213"/>
      <c r="AN313" s="216"/>
      <c r="AO313" s="213"/>
      <c r="AP313" s="213"/>
      <c r="AQ313" s="213"/>
      <c r="AR313" s="213"/>
      <c r="AS313" s="213"/>
      <c r="AT313" s="216"/>
      <c r="AU313" s="213"/>
      <c r="AV313" s="213"/>
      <c r="AW313" s="213"/>
      <c r="AX313" s="213"/>
      <c r="AY313" s="213"/>
      <c r="AZ313" s="216"/>
      <c r="BA313" s="213"/>
      <c r="BB313" s="213"/>
      <c r="BC313" s="213"/>
      <c r="BD313" s="213"/>
      <c r="BE313" s="213"/>
      <c r="BF313" s="216"/>
      <c r="BG313" s="213"/>
      <c r="BH313" s="213"/>
      <c r="BI313" s="213"/>
      <c r="BJ313" s="213"/>
      <c r="BK313" s="213"/>
      <c r="BL313" s="216"/>
      <c r="BM313" s="213"/>
      <c r="BN313" s="213"/>
      <c r="BO313" s="213"/>
      <c r="BP313" s="213"/>
      <c r="BQ313" s="213"/>
      <c r="BR313" s="326"/>
      <c r="BS313" s="213"/>
      <c r="BT313" s="213"/>
      <c r="BU313" s="213"/>
      <c r="BV313" s="213"/>
      <c r="BW313" s="213"/>
      <c r="BX313" s="213"/>
      <c r="BY313" s="213"/>
      <c r="BZ313" s="213"/>
      <c r="CA313" s="213"/>
      <c r="CB313" s="213"/>
      <c r="CC313" s="213"/>
      <c r="CD313" s="213"/>
      <c r="CE313" s="213"/>
      <c r="CF313" s="213"/>
      <c r="CG313" s="213"/>
      <c r="CH313" s="213"/>
      <c r="CI313" s="213"/>
      <c r="CJ313" s="213"/>
      <c r="CK313" s="213"/>
      <c r="CL313" s="213"/>
      <c r="CM313" s="213"/>
      <c r="CN313" s="213"/>
      <c r="CO313" s="213"/>
      <c r="CP313" s="213"/>
      <c r="CQ313" s="213"/>
    </row>
    <row r="314" ht="15.75" customHeight="1">
      <c r="A314" s="213"/>
      <c r="B314" s="213"/>
      <c r="C314" s="213"/>
      <c r="D314" s="213"/>
      <c r="E314" s="213"/>
      <c r="F314" s="213"/>
      <c r="G314" s="213"/>
      <c r="H314" s="213"/>
      <c r="I314" s="213"/>
      <c r="J314" s="216"/>
      <c r="K314" s="213"/>
      <c r="L314" s="213"/>
      <c r="M314" s="213"/>
      <c r="N314" s="213"/>
      <c r="O314" s="213"/>
      <c r="P314" s="216"/>
      <c r="Q314" s="213"/>
      <c r="R314" s="213"/>
      <c r="S314" s="213"/>
      <c r="T314" s="213"/>
      <c r="U314" s="213"/>
      <c r="V314" s="216"/>
      <c r="W314" s="213"/>
      <c r="X314" s="213"/>
      <c r="Y314" s="213"/>
      <c r="Z314" s="213"/>
      <c r="AA314" s="213"/>
      <c r="AB314" s="216"/>
      <c r="AC314" s="213"/>
      <c r="AD314" s="213"/>
      <c r="AE314" s="213"/>
      <c r="AF314" s="213"/>
      <c r="AG314" s="213"/>
      <c r="AH314" s="216"/>
      <c r="AI314" s="213"/>
      <c r="AJ314" s="213"/>
      <c r="AK314" s="213"/>
      <c r="AL314" s="213"/>
      <c r="AM314" s="213"/>
      <c r="AN314" s="216"/>
      <c r="AO314" s="213"/>
      <c r="AP314" s="213"/>
      <c r="AQ314" s="213"/>
      <c r="AR314" s="213"/>
      <c r="AS314" s="213"/>
      <c r="AT314" s="216"/>
      <c r="AU314" s="213"/>
      <c r="AV314" s="213"/>
      <c r="AW314" s="213"/>
      <c r="AX314" s="213"/>
      <c r="AY314" s="213"/>
      <c r="AZ314" s="216"/>
      <c r="BA314" s="213"/>
      <c r="BB314" s="213"/>
      <c r="BC314" s="213"/>
      <c r="BD314" s="213"/>
      <c r="BE314" s="213"/>
      <c r="BF314" s="216"/>
      <c r="BG314" s="213"/>
      <c r="BH314" s="213"/>
      <c r="BI314" s="213"/>
      <c r="BJ314" s="213"/>
      <c r="BK314" s="213"/>
      <c r="BL314" s="216"/>
      <c r="BM314" s="213"/>
      <c r="BN314" s="213"/>
      <c r="BO314" s="213"/>
      <c r="BP314" s="213"/>
      <c r="BQ314" s="213"/>
      <c r="BR314" s="326"/>
      <c r="BS314" s="213"/>
      <c r="BT314" s="213"/>
      <c r="BU314" s="213"/>
      <c r="BV314" s="213"/>
      <c r="BW314" s="213"/>
      <c r="BX314" s="213"/>
      <c r="BY314" s="213"/>
      <c r="BZ314" s="213"/>
      <c r="CA314" s="213"/>
      <c r="CB314" s="213"/>
      <c r="CC314" s="213"/>
      <c r="CD314" s="213"/>
      <c r="CE314" s="213"/>
      <c r="CF314" s="213"/>
      <c r="CG314" s="213"/>
      <c r="CH314" s="213"/>
      <c r="CI314" s="213"/>
      <c r="CJ314" s="213"/>
      <c r="CK314" s="213"/>
      <c r="CL314" s="213"/>
      <c r="CM314" s="213"/>
      <c r="CN314" s="213"/>
      <c r="CO314" s="213"/>
      <c r="CP314" s="213"/>
      <c r="CQ314" s="213"/>
    </row>
    <row r="315" ht="15.75" customHeight="1">
      <c r="A315" s="213"/>
      <c r="B315" s="213"/>
      <c r="C315" s="213"/>
      <c r="D315" s="213"/>
      <c r="E315" s="213"/>
      <c r="F315" s="213"/>
      <c r="G315" s="213"/>
      <c r="H315" s="213"/>
      <c r="I315" s="213"/>
      <c r="J315" s="216"/>
      <c r="K315" s="213"/>
      <c r="L315" s="213"/>
      <c r="M315" s="213"/>
      <c r="N315" s="213"/>
      <c r="O315" s="213"/>
      <c r="P315" s="216"/>
      <c r="Q315" s="213"/>
      <c r="R315" s="213"/>
      <c r="S315" s="213"/>
      <c r="T315" s="213"/>
      <c r="U315" s="213"/>
      <c r="V315" s="216"/>
      <c r="W315" s="213"/>
      <c r="X315" s="213"/>
      <c r="Y315" s="213"/>
      <c r="Z315" s="213"/>
      <c r="AA315" s="213"/>
      <c r="AB315" s="216"/>
      <c r="AC315" s="213"/>
      <c r="AD315" s="213"/>
      <c r="AE315" s="213"/>
      <c r="AF315" s="213"/>
      <c r="AG315" s="213"/>
      <c r="AH315" s="216"/>
      <c r="AI315" s="213"/>
      <c r="AJ315" s="213"/>
      <c r="AK315" s="213"/>
      <c r="AL315" s="213"/>
      <c r="AM315" s="213"/>
      <c r="AN315" s="216"/>
      <c r="AO315" s="213"/>
      <c r="AP315" s="213"/>
      <c r="AQ315" s="213"/>
      <c r="AR315" s="213"/>
      <c r="AS315" s="213"/>
      <c r="AT315" s="216"/>
      <c r="AU315" s="213"/>
      <c r="AV315" s="213"/>
      <c r="AW315" s="213"/>
      <c r="AX315" s="213"/>
      <c r="AY315" s="213"/>
      <c r="AZ315" s="216"/>
      <c r="BA315" s="213"/>
      <c r="BB315" s="213"/>
      <c r="BC315" s="213"/>
      <c r="BD315" s="213"/>
      <c r="BE315" s="213"/>
      <c r="BF315" s="216"/>
      <c r="BG315" s="213"/>
      <c r="BH315" s="213"/>
      <c r="BI315" s="213"/>
      <c r="BJ315" s="213"/>
      <c r="BK315" s="213"/>
      <c r="BL315" s="216"/>
      <c r="BM315" s="213"/>
      <c r="BN315" s="213"/>
      <c r="BO315" s="213"/>
      <c r="BP315" s="213"/>
      <c r="BQ315" s="213"/>
      <c r="BR315" s="326"/>
      <c r="BS315" s="213"/>
      <c r="BT315" s="213"/>
      <c r="BU315" s="213"/>
      <c r="BV315" s="213"/>
      <c r="BW315" s="213"/>
      <c r="BX315" s="213"/>
      <c r="BY315" s="213"/>
      <c r="BZ315" s="213"/>
      <c r="CA315" s="213"/>
      <c r="CB315" s="213"/>
      <c r="CC315" s="213"/>
      <c r="CD315" s="213"/>
      <c r="CE315" s="213"/>
      <c r="CF315" s="213"/>
      <c r="CG315" s="213"/>
      <c r="CH315" s="213"/>
      <c r="CI315" s="213"/>
      <c r="CJ315" s="213"/>
      <c r="CK315" s="213"/>
      <c r="CL315" s="213"/>
      <c r="CM315" s="213"/>
      <c r="CN315" s="213"/>
      <c r="CO315" s="213"/>
      <c r="CP315" s="213"/>
      <c r="CQ315" s="213"/>
    </row>
    <row r="316" ht="15.75" customHeight="1">
      <c r="A316" s="213"/>
      <c r="B316" s="213"/>
      <c r="C316" s="213"/>
      <c r="D316" s="213"/>
      <c r="E316" s="213"/>
      <c r="F316" s="213"/>
      <c r="G316" s="213"/>
      <c r="H316" s="213"/>
      <c r="I316" s="213"/>
      <c r="J316" s="216"/>
      <c r="K316" s="213"/>
      <c r="L316" s="213"/>
      <c r="M316" s="213"/>
      <c r="N316" s="213"/>
      <c r="O316" s="213"/>
      <c r="P316" s="216"/>
      <c r="Q316" s="213"/>
      <c r="R316" s="213"/>
      <c r="S316" s="213"/>
      <c r="T316" s="213"/>
      <c r="U316" s="213"/>
      <c r="V316" s="216"/>
      <c r="W316" s="213"/>
      <c r="X316" s="213"/>
      <c r="Y316" s="213"/>
      <c r="Z316" s="213"/>
      <c r="AA316" s="213"/>
      <c r="AB316" s="216"/>
      <c r="AC316" s="213"/>
      <c r="AD316" s="213"/>
      <c r="AE316" s="213"/>
      <c r="AF316" s="213"/>
      <c r="AG316" s="213"/>
      <c r="AH316" s="216"/>
      <c r="AI316" s="213"/>
      <c r="AJ316" s="213"/>
      <c r="AK316" s="213"/>
      <c r="AL316" s="213"/>
      <c r="AM316" s="213"/>
      <c r="AN316" s="216"/>
      <c r="AO316" s="213"/>
      <c r="AP316" s="213"/>
      <c r="AQ316" s="213"/>
      <c r="AR316" s="213"/>
      <c r="AS316" s="213"/>
      <c r="AT316" s="216"/>
      <c r="AU316" s="213"/>
      <c r="AV316" s="213"/>
      <c r="AW316" s="213"/>
      <c r="AX316" s="213"/>
      <c r="AY316" s="213"/>
      <c r="AZ316" s="216"/>
      <c r="BA316" s="213"/>
      <c r="BB316" s="213"/>
      <c r="BC316" s="213"/>
      <c r="BD316" s="213"/>
      <c r="BE316" s="213"/>
      <c r="BF316" s="216"/>
      <c r="BG316" s="213"/>
      <c r="BH316" s="213"/>
      <c r="BI316" s="213"/>
      <c r="BJ316" s="213"/>
      <c r="BK316" s="213"/>
      <c r="BL316" s="216"/>
      <c r="BM316" s="213"/>
      <c r="BN316" s="213"/>
      <c r="BO316" s="213"/>
      <c r="BP316" s="213"/>
      <c r="BQ316" s="213"/>
      <c r="BR316" s="326"/>
      <c r="BS316" s="213"/>
      <c r="BT316" s="213"/>
      <c r="BU316" s="213"/>
      <c r="BV316" s="213"/>
      <c r="BW316" s="213"/>
      <c r="BX316" s="213"/>
      <c r="BY316" s="213"/>
      <c r="BZ316" s="213"/>
      <c r="CA316" s="213"/>
      <c r="CB316" s="213"/>
      <c r="CC316" s="213"/>
      <c r="CD316" s="213"/>
      <c r="CE316" s="213"/>
      <c r="CF316" s="213"/>
      <c r="CG316" s="213"/>
      <c r="CH316" s="213"/>
      <c r="CI316" s="213"/>
      <c r="CJ316" s="213"/>
      <c r="CK316" s="213"/>
      <c r="CL316" s="213"/>
      <c r="CM316" s="213"/>
      <c r="CN316" s="213"/>
      <c r="CO316" s="213"/>
      <c r="CP316" s="213"/>
      <c r="CQ316" s="213"/>
    </row>
    <row r="317" ht="15.75" customHeight="1">
      <c r="A317" s="213"/>
      <c r="B317" s="213"/>
      <c r="C317" s="213"/>
      <c r="D317" s="213"/>
      <c r="E317" s="213"/>
      <c r="F317" s="213"/>
      <c r="G317" s="213"/>
      <c r="H317" s="213"/>
      <c r="I317" s="213"/>
      <c r="J317" s="216"/>
      <c r="K317" s="213"/>
      <c r="L317" s="213"/>
      <c r="M317" s="213"/>
      <c r="N317" s="213"/>
      <c r="O317" s="213"/>
      <c r="P317" s="216"/>
      <c r="Q317" s="213"/>
      <c r="R317" s="213"/>
      <c r="S317" s="213"/>
      <c r="T317" s="213"/>
      <c r="U317" s="213"/>
      <c r="V317" s="216"/>
      <c r="W317" s="213"/>
      <c r="X317" s="213"/>
      <c r="Y317" s="213"/>
      <c r="Z317" s="213"/>
      <c r="AA317" s="213"/>
      <c r="AB317" s="216"/>
      <c r="AC317" s="213"/>
      <c r="AD317" s="213"/>
      <c r="AE317" s="213"/>
      <c r="AF317" s="213"/>
      <c r="AG317" s="213"/>
      <c r="AH317" s="216"/>
      <c r="AI317" s="213"/>
      <c r="AJ317" s="213"/>
      <c r="AK317" s="213"/>
      <c r="AL317" s="213"/>
      <c r="AM317" s="213"/>
      <c r="AN317" s="216"/>
      <c r="AO317" s="213"/>
      <c r="AP317" s="213"/>
      <c r="AQ317" s="213"/>
      <c r="AR317" s="213"/>
      <c r="AS317" s="213"/>
      <c r="AT317" s="216"/>
      <c r="AU317" s="213"/>
      <c r="AV317" s="213"/>
      <c r="AW317" s="213"/>
      <c r="AX317" s="213"/>
      <c r="AY317" s="213"/>
      <c r="AZ317" s="216"/>
      <c r="BA317" s="213"/>
      <c r="BB317" s="213"/>
      <c r="BC317" s="213"/>
      <c r="BD317" s="213"/>
      <c r="BE317" s="213"/>
      <c r="BF317" s="216"/>
      <c r="BG317" s="213"/>
      <c r="BH317" s="213"/>
      <c r="BI317" s="213"/>
      <c r="BJ317" s="213"/>
      <c r="BK317" s="213"/>
      <c r="BL317" s="216"/>
      <c r="BM317" s="213"/>
      <c r="BN317" s="213"/>
      <c r="BO317" s="213"/>
      <c r="BP317" s="213"/>
      <c r="BQ317" s="213"/>
      <c r="BR317" s="326"/>
      <c r="BS317" s="213"/>
      <c r="BT317" s="213"/>
      <c r="BU317" s="213"/>
      <c r="BV317" s="213"/>
      <c r="BW317" s="213"/>
      <c r="BX317" s="213"/>
      <c r="BY317" s="213"/>
      <c r="BZ317" s="213"/>
      <c r="CA317" s="213"/>
      <c r="CB317" s="213"/>
      <c r="CC317" s="213"/>
      <c r="CD317" s="213"/>
      <c r="CE317" s="213"/>
      <c r="CF317" s="213"/>
      <c r="CG317" s="213"/>
      <c r="CH317" s="213"/>
      <c r="CI317" s="213"/>
      <c r="CJ317" s="213"/>
      <c r="CK317" s="213"/>
      <c r="CL317" s="213"/>
      <c r="CM317" s="213"/>
      <c r="CN317" s="213"/>
      <c r="CO317" s="213"/>
      <c r="CP317" s="213"/>
      <c r="CQ317" s="213"/>
    </row>
    <row r="318" ht="15.75" customHeight="1">
      <c r="A318" s="213"/>
      <c r="B318" s="213"/>
      <c r="C318" s="213"/>
      <c r="D318" s="213"/>
      <c r="E318" s="213"/>
      <c r="F318" s="213"/>
      <c r="G318" s="213"/>
      <c r="H318" s="213"/>
      <c r="I318" s="213"/>
      <c r="J318" s="216"/>
      <c r="K318" s="213"/>
      <c r="L318" s="213"/>
      <c r="M318" s="213"/>
      <c r="N318" s="213"/>
      <c r="O318" s="213"/>
      <c r="P318" s="216"/>
      <c r="Q318" s="213"/>
      <c r="R318" s="213"/>
      <c r="S318" s="213"/>
      <c r="T318" s="213"/>
      <c r="U318" s="213"/>
      <c r="V318" s="216"/>
      <c r="W318" s="213"/>
      <c r="X318" s="213"/>
      <c r="Y318" s="213"/>
      <c r="Z318" s="213"/>
      <c r="AA318" s="213"/>
      <c r="AB318" s="216"/>
      <c r="AC318" s="213"/>
      <c r="AD318" s="213"/>
      <c r="AE318" s="213"/>
      <c r="AF318" s="213"/>
      <c r="AG318" s="213"/>
      <c r="AH318" s="216"/>
      <c r="AI318" s="213"/>
      <c r="AJ318" s="213"/>
      <c r="AK318" s="213"/>
      <c r="AL318" s="213"/>
      <c r="AM318" s="213"/>
      <c r="AN318" s="216"/>
      <c r="AO318" s="213"/>
      <c r="AP318" s="213"/>
      <c r="AQ318" s="213"/>
      <c r="AR318" s="213"/>
      <c r="AS318" s="213"/>
      <c r="AT318" s="216"/>
      <c r="AU318" s="213"/>
      <c r="AV318" s="213"/>
      <c r="AW318" s="213"/>
      <c r="AX318" s="213"/>
      <c r="AY318" s="213"/>
      <c r="AZ318" s="216"/>
      <c r="BA318" s="213"/>
      <c r="BB318" s="213"/>
      <c r="BC318" s="213"/>
      <c r="BD318" s="213"/>
      <c r="BE318" s="213"/>
      <c r="BF318" s="216"/>
      <c r="BG318" s="213"/>
      <c r="BH318" s="213"/>
      <c r="BI318" s="213"/>
      <c r="BJ318" s="213"/>
      <c r="BK318" s="213"/>
      <c r="BL318" s="216"/>
      <c r="BM318" s="213"/>
      <c r="BN318" s="213"/>
      <c r="BO318" s="213"/>
      <c r="BP318" s="213"/>
      <c r="BQ318" s="213"/>
      <c r="BR318" s="326"/>
      <c r="BS318" s="213"/>
      <c r="BT318" s="213"/>
      <c r="BU318" s="213"/>
      <c r="BV318" s="213"/>
      <c r="BW318" s="213"/>
      <c r="BX318" s="213"/>
      <c r="BY318" s="213"/>
      <c r="BZ318" s="213"/>
      <c r="CA318" s="213"/>
      <c r="CB318" s="213"/>
      <c r="CC318" s="213"/>
      <c r="CD318" s="213"/>
      <c r="CE318" s="213"/>
      <c r="CF318" s="213"/>
      <c r="CG318" s="213"/>
      <c r="CH318" s="213"/>
      <c r="CI318" s="213"/>
      <c r="CJ318" s="213"/>
      <c r="CK318" s="213"/>
      <c r="CL318" s="213"/>
      <c r="CM318" s="213"/>
      <c r="CN318" s="213"/>
      <c r="CO318" s="213"/>
      <c r="CP318" s="213"/>
      <c r="CQ318" s="213"/>
    </row>
    <row r="319" ht="15.75" customHeight="1">
      <c r="A319" s="213"/>
      <c r="B319" s="213"/>
      <c r="C319" s="213"/>
      <c r="D319" s="213"/>
      <c r="E319" s="213"/>
      <c r="F319" s="213"/>
      <c r="G319" s="213"/>
      <c r="H319" s="213"/>
      <c r="I319" s="213"/>
      <c r="J319" s="216"/>
      <c r="K319" s="213"/>
      <c r="L319" s="213"/>
      <c r="M319" s="213"/>
      <c r="N319" s="213"/>
      <c r="O319" s="213"/>
      <c r="P319" s="216"/>
      <c r="Q319" s="213"/>
      <c r="R319" s="213"/>
      <c r="S319" s="213"/>
      <c r="T319" s="213"/>
      <c r="U319" s="213"/>
      <c r="V319" s="216"/>
      <c r="W319" s="213"/>
      <c r="X319" s="213"/>
      <c r="Y319" s="213"/>
      <c r="Z319" s="213"/>
      <c r="AA319" s="213"/>
      <c r="AB319" s="216"/>
      <c r="AC319" s="213"/>
      <c r="AD319" s="213"/>
      <c r="AE319" s="213"/>
      <c r="AF319" s="213"/>
      <c r="AG319" s="213"/>
      <c r="AH319" s="216"/>
      <c r="AI319" s="213"/>
      <c r="AJ319" s="213"/>
      <c r="AK319" s="213"/>
      <c r="AL319" s="213"/>
      <c r="AM319" s="213"/>
      <c r="AN319" s="216"/>
      <c r="AO319" s="213"/>
      <c r="AP319" s="213"/>
      <c r="AQ319" s="213"/>
      <c r="AR319" s="213"/>
      <c r="AS319" s="213"/>
      <c r="AT319" s="216"/>
      <c r="AU319" s="213"/>
      <c r="AV319" s="213"/>
      <c r="AW319" s="213"/>
      <c r="AX319" s="213"/>
      <c r="AY319" s="213"/>
      <c r="AZ319" s="216"/>
      <c r="BA319" s="213"/>
      <c r="BB319" s="213"/>
      <c r="BC319" s="213"/>
      <c r="BD319" s="213"/>
      <c r="BE319" s="213"/>
      <c r="BF319" s="216"/>
      <c r="BG319" s="213"/>
      <c r="BH319" s="213"/>
      <c r="BI319" s="213"/>
      <c r="BJ319" s="213"/>
      <c r="BK319" s="213"/>
      <c r="BL319" s="216"/>
      <c r="BM319" s="213"/>
      <c r="BN319" s="213"/>
      <c r="BO319" s="213"/>
      <c r="BP319" s="213"/>
      <c r="BQ319" s="213"/>
      <c r="BR319" s="326"/>
      <c r="BS319" s="213"/>
      <c r="BT319" s="213"/>
      <c r="BU319" s="213"/>
      <c r="BV319" s="213"/>
      <c r="BW319" s="213"/>
      <c r="BX319" s="213"/>
      <c r="BY319" s="213"/>
      <c r="BZ319" s="213"/>
      <c r="CA319" s="213"/>
      <c r="CB319" s="213"/>
      <c r="CC319" s="213"/>
      <c r="CD319" s="213"/>
      <c r="CE319" s="213"/>
      <c r="CF319" s="213"/>
      <c r="CG319" s="213"/>
      <c r="CH319" s="213"/>
      <c r="CI319" s="213"/>
      <c r="CJ319" s="213"/>
      <c r="CK319" s="213"/>
      <c r="CL319" s="213"/>
      <c r="CM319" s="213"/>
      <c r="CN319" s="213"/>
      <c r="CO319" s="213"/>
      <c r="CP319" s="213"/>
      <c r="CQ319" s="213"/>
    </row>
    <row r="320" ht="15.75" customHeight="1">
      <c r="A320" s="213"/>
      <c r="B320" s="213"/>
      <c r="C320" s="213"/>
      <c r="D320" s="213"/>
      <c r="E320" s="213"/>
      <c r="F320" s="213"/>
      <c r="G320" s="213"/>
      <c r="H320" s="213"/>
      <c r="I320" s="213"/>
      <c r="J320" s="216"/>
      <c r="K320" s="213"/>
      <c r="L320" s="213"/>
      <c r="M320" s="213"/>
      <c r="N320" s="213"/>
      <c r="O320" s="213"/>
      <c r="P320" s="216"/>
      <c r="Q320" s="213"/>
      <c r="R320" s="213"/>
      <c r="S320" s="213"/>
      <c r="T320" s="213"/>
      <c r="U320" s="213"/>
      <c r="V320" s="216"/>
      <c r="W320" s="213"/>
      <c r="X320" s="213"/>
      <c r="Y320" s="213"/>
      <c r="Z320" s="213"/>
      <c r="AA320" s="213"/>
      <c r="AB320" s="216"/>
      <c r="AC320" s="213"/>
      <c r="AD320" s="213"/>
      <c r="AE320" s="213"/>
      <c r="AF320" s="213"/>
      <c r="AG320" s="213"/>
      <c r="AH320" s="216"/>
      <c r="AI320" s="213"/>
      <c r="AJ320" s="213"/>
      <c r="AK320" s="213"/>
      <c r="AL320" s="213"/>
      <c r="AM320" s="213"/>
      <c r="AN320" s="216"/>
      <c r="AO320" s="213"/>
      <c r="AP320" s="213"/>
      <c r="AQ320" s="213"/>
      <c r="AR320" s="213"/>
      <c r="AS320" s="213"/>
      <c r="AT320" s="216"/>
      <c r="AU320" s="213"/>
      <c r="AV320" s="213"/>
      <c r="AW320" s="213"/>
      <c r="AX320" s="213"/>
      <c r="AY320" s="213"/>
      <c r="AZ320" s="216"/>
      <c r="BA320" s="213"/>
      <c r="BB320" s="213"/>
      <c r="BC320" s="213"/>
      <c r="BD320" s="213"/>
      <c r="BE320" s="213"/>
      <c r="BF320" s="216"/>
      <c r="BG320" s="213"/>
      <c r="BH320" s="213"/>
      <c r="BI320" s="213"/>
      <c r="BJ320" s="213"/>
      <c r="BK320" s="213"/>
      <c r="BL320" s="216"/>
      <c r="BM320" s="213"/>
      <c r="BN320" s="213"/>
      <c r="BO320" s="213"/>
      <c r="BP320" s="213"/>
      <c r="BQ320" s="213"/>
      <c r="BR320" s="326"/>
      <c r="BS320" s="213"/>
      <c r="BT320" s="213"/>
      <c r="BU320" s="213"/>
      <c r="BV320" s="213"/>
      <c r="BW320" s="213"/>
      <c r="BX320" s="213"/>
      <c r="BY320" s="213"/>
      <c r="BZ320" s="213"/>
      <c r="CA320" s="213"/>
      <c r="CB320" s="213"/>
      <c r="CC320" s="213"/>
      <c r="CD320" s="213"/>
      <c r="CE320" s="213"/>
      <c r="CF320" s="213"/>
      <c r="CG320" s="213"/>
      <c r="CH320" s="213"/>
      <c r="CI320" s="213"/>
      <c r="CJ320" s="213"/>
      <c r="CK320" s="213"/>
      <c r="CL320" s="213"/>
      <c r="CM320" s="213"/>
      <c r="CN320" s="213"/>
      <c r="CO320" s="213"/>
      <c r="CP320" s="213"/>
      <c r="CQ320" s="213"/>
    </row>
    <row r="321" ht="15.75" customHeight="1">
      <c r="A321" s="213"/>
      <c r="B321" s="213"/>
      <c r="C321" s="213"/>
      <c r="D321" s="213"/>
      <c r="E321" s="213"/>
      <c r="F321" s="213"/>
      <c r="G321" s="213"/>
      <c r="H321" s="213"/>
      <c r="I321" s="213"/>
      <c r="J321" s="216"/>
      <c r="K321" s="213"/>
      <c r="L321" s="213"/>
      <c r="M321" s="213"/>
      <c r="N321" s="213"/>
      <c r="O321" s="213"/>
      <c r="P321" s="216"/>
      <c r="Q321" s="213"/>
      <c r="R321" s="213"/>
      <c r="S321" s="213"/>
      <c r="T321" s="213"/>
      <c r="U321" s="213"/>
      <c r="V321" s="216"/>
      <c r="W321" s="213"/>
      <c r="X321" s="213"/>
      <c r="Y321" s="213"/>
      <c r="Z321" s="213"/>
      <c r="AA321" s="213"/>
      <c r="AB321" s="216"/>
      <c r="AC321" s="213"/>
      <c r="AD321" s="213"/>
      <c r="AE321" s="213"/>
      <c r="AF321" s="213"/>
      <c r="AG321" s="213"/>
      <c r="AH321" s="216"/>
      <c r="AI321" s="213"/>
      <c r="AJ321" s="213"/>
      <c r="AK321" s="213"/>
      <c r="AL321" s="213"/>
      <c r="AM321" s="213"/>
      <c r="AN321" s="216"/>
      <c r="AO321" s="213"/>
      <c r="AP321" s="213"/>
      <c r="AQ321" s="213"/>
      <c r="AR321" s="213"/>
      <c r="AS321" s="213"/>
      <c r="AT321" s="216"/>
      <c r="AU321" s="213"/>
      <c r="AV321" s="213"/>
      <c r="AW321" s="213"/>
      <c r="AX321" s="213"/>
      <c r="AY321" s="213"/>
      <c r="AZ321" s="216"/>
      <c r="BA321" s="213"/>
      <c r="BB321" s="213"/>
      <c r="BC321" s="213"/>
      <c r="BD321" s="213"/>
      <c r="BE321" s="213"/>
      <c r="BF321" s="216"/>
      <c r="BG321" s="213"/>
      <c r="BH321" s="213"/>
      <c r="BI321" s="213"/>
      <c r="BJ321" s="213"/>
      <c r="BK321" s="213"/>
      <c r="BL321" s="216"/>
      <c r="BM321" s="213"/>
      <c r="BN321" s="213"/>
      <c r="BO321" s="213"/>
      <c r="BP321" s="213"/>
      <c r="BQ321" s="213"/>
      <c r="BR321" s="326"/>
      <c r="BS321" s="213"/>
      <c r="BT321" s="213"/>
      <c r="BU321" s="213"/>
      <c r="BV321" s="213"/>
      <c r="BW321" s="213"/>
      <c r="BX321" s="213"/>
      <c r="BY321" s="213"/>
      <c r="BZ321" s="213"/>
      <c r="CA321" s="213"/>
      <c r="CB321" s="213"/>
      <c r="CC321" s="213"/>
      <c r="CD321" s="213"/>
      <c r="CE321" s="213"/>
      <c r="CF321" s="213"/>
      <c r="CG321" s="213"/>
      <c r="CH321" s="213"/>
      <c r="CI321" s="213"/>
      <c r="CJ321" s="213"/>
      <c r="CK321" s="213"/>
      <c r="CL321" s="213"/>
      <c r="CM321" s="213"/>
      <c r="CN321" s="213"/>
      <c r="CO321" s="213"/>
      <c r="CP321" s="213"/>
      <c r="CQ321" s="213"/>
    </row>
    <row r="322" ht="15.75" customHeight="1">
      <c r="A322" s="213"/>
      <c r="B322" s="213"/>
      <c r="C322" s="213"/>
      <c r="D322" s="213"/>
      <c r="E322" s="213"/>
      <c r="F322" s="213"/>
      <c r="G322" s="213"/>
      <c r="H322" s="213"/>
      <c r="I322" s="213"/>
      <c r="J322" s="216"/>
      <c r="K322" s="213"/>
      <c r="L322" s="213"/>
      <c r="M322" s="213"/>
      <c r="N322" s="213"/>
      <c r="O322" s="213"/>
      <c r="P322" s="216"/>
      <c r="Q322" s="213"/>
      <c r="R322" s="213"/>
      <c r="S322" s="213"/>
      <c r="T322" s="213"/>
      <c r="U322" s="213"/>
      <c r="V322" s="216"/>
      <c r="W322" s="213"/>
      <c r="X322" s="213"/>
      <c r="Y322" s="213"/>
      <c r="Z322" s="213"/>
      <c r="AA322" s="213"/>
      <c r="AB322" s="216"/>
      <c r="AC322" s="213"/>
      <c r="AD322" s="213"/>
      <c r="AE322" s="213"/>
      <c r="AF322" s="213"/>
      <c r="AG322" s="213"/>
      <c r="AH322" s="216"/>
      <c r="AI322" s="213"/>
      <c r="AJ322" s="213"/>
      <c r="AK322" s="213"/>
      <c r="AL322" s="213"/>
      <c r="AM322" s="213"/>
      <c r="AN322" s="216"/>
      <c r="AO322" s="213"/>
      <c r="AP322" s="213"/>
      <c r="AQ322" s="213"/>
      <c r="AR322" s="213"/>
      <c r="AS322" s="213"/>
      <c r="AT322" s="216"/>
      <c r="AU322" s="213"/>
      <c r="AV322" s="213"/>
      <c r="AW322" s="213"/>
      <c r="AX322" s="213"/>
      <c r="AY322" s="213"/>
      <c r="AZ322" s="216"/>
      <c r="BA322" s="213"/>
      <c r="BB322" s="213"/>
      <c r="BC322" s="213"/>
      <c r="BD322" s="213"/>
      <c r="BE322" s="213"/>
      <c r="BF322" s="216"/>
      <c r="BG322" s="213"/>
      <c r="BH322" s="213"/>
      <c r="BI322" s="213"/>
      <c r="BJ322" s="213"/>
      <c r="BK322" s="213"/>
      <c r="BL322" s="216"/>
      <c r="BM322" s="213"/>
      <c r="BN322" s="213"/>
      <c r="BO322" s="213"/>
      <c r="BP322" s="213"/>
      <c r="BQ322" s="213"/>
      <c r="BR322" s="326"/>
      <c r="BS322" s="213"/>
      <c r="BT322" s="213"/>
      <c r="BU322" s="213"/>
      <c r="BV322" s="213"/>
      <c r="BW322" s="213"/>
      <c r="BX322" s="213"/>
      <c r="BY322" s="213"/>
      <c r="BZ322" s="213"/>
      <c r="CA322" s="213"/>
      <c r="CB322" s="213"/>
      <c r="CC322" s="213"/>
      <c r="CD322" s="213"/>
      <c r="CE322" s="213"/>
      <c r="CF322" s="213"/>
      <c r="CG322" s="213"/>
      <c r="CH322" s="213"/>
      <c r="CI322" s="213"/>
      <c r="CJ322" s="213"/>
      <c r="CK322" s="213"/>
      <c r="CL322" s="213"/>
      <c r="CM322" s="213"/>
      <c r="CN322" s="213"/>
      <c r="CO322" s="213"/>
      <c r="CP322" s="213"/>
      <c r="CQ322" s="213"/>
    </row>
    <row r="323" ht="15.75" customHeight="1">
      <c r="A323" s="213"/>
      <c r="B323" s="213"/>
      <c r="C323" s="213"/>
      <c r="D323" s="213"/>
      <c r="E323" s="213"/>
      <c r="F323" s="213"/>
      <c r="G323" s="213"/>
      <c r="H323" s="213"/>
      <c r="I323" s="213"/>
      <c r="J323" s="216"/>
      <c r="K323" s="213"/>
      <c r="L323" s="213"/>
      <c r="M323" s="213"/>
      <c r="N323" s="213"/>
      <c r="O323" s="213"/>
      <c r="P323" s="216"/>
      <c r="Q323" s="213"/>
      <c r="R323" s="213"/>
      <c r="S323" s="213"/>
      <c r="T323" s="213"/>
      <c r="U323" s="213"/>
      <c r="V323" s="216"/>
      <c r="W323" s="213"/>
      <c r="X323" s="213"/>
      <c r="Y323" s="213"/>
      <c r="Z323" s="213"/>
      <c r="AA323" s="213"/>
      <c r="AB323" s="216"/>
      <c r="AC323" s="213"/>
      <c r="AD323" s="213"/>
      <c r="AE323" s="213"/>
      <c r="AF323" s="213"/>
      <c r="AG323" s="213"/>
      <c r="AH323" s="216"/>
      <c r="AI323" s="213"/>
      <c r="AJ323" s="213"/>
      <c r="AK323" s="213"/>
      <c r="AL323" s="213"/>
      <c r="AM323" s="213"/>
      <c r="AN323" s="216"/>
      <c r="AO323" s="213"/>
      <c r="AP323" s="213"/>
      <c r="AQ323" s="213"/>
      <c r="AR323" s="213"/>
      <c r="AS323" s="213"/>
      <c r="AT323" s="216"/>
      <c r="AU323" s="213"/>
      <c r="AV323" s="213"/>
      <c r="AW323" s="213"/>
      <c r="AX323" s="213"/>
      <c r="AY323" s="213"/>
      <c r="AZ323" s="216"/>
      <c r="BA323" s="213"/>
      <c r="BB323" s="213"/>
      <c r="BC323" s="213"/>
      <c r="BD323" s="213"/>
      <c r="BE323" s="213"/>
      <c r="BF323" s="216"/>
      <c r="BG323" s="213"/>
      <c r="BH323" s="213"/>
      <c r="BI323" s="213"/>
      <c r="BJ323" s="213"/>
      <c r="BK323" s="213"/>
      <c r="BL323" s="216"/>
      <c r="BM323" s="213"/>
      <c r="BN323" s="213"/>
      <c r="BO323" s="213"/>
      <c r="BP323" s="213"/>
      <c r="BQ323" s="213"/>
      <c r="BR323" s="326"/>
      <c r="BS323" s="213"/>
      <c r="BT323" s="213"/>
      <c r="BU323" s="213"/>
      <c r="BV323" s="213"/>
      <c r="BW323" s="213"/>
      <c r="BX323" s="213"/>
      <c r="BY323" s="213"/>
      <c r="BZ323" s="213"/>
      <c r="CA323" s="213"/>
      <c r="CB323" s="213"/>
      <c r="CC323" s="213"/>
      <c r="CD323" s="213"/>
      <c r="CE323" s="213"/>
      <c r="CF323" s="213"/>
      <c r="CG323" s="213"/>
      <c r="CH323" s="213"/>
      <c r="CI323" s="213"/>
      <c r="CJ323" s="213"/>
      <c r="CK323" s="213"/>
      <c r="CL323" s="213"/>
      <c r="CM323" s="213"/>
      <c r="CN323" s="213"/>
      <c r="CO323" s="213"/>
      <c r="CP323" s="213"/>
      <c r="CQ323" s="213"/>
    </row>
    <row r="324" ht="15.75" customHeight="1">
      <c r="A324" s="213"/>
      <c r="B324" s="213"/>
      <c r="C324" s="213"/>
      <c r="D324" s="213"/>
      <c r="E324" s="213"/>
      <c r="F324" s="213"/>
      <c r="G324" s="213"/>
      <c r="H324" s="213"/>
      <c r="I324" s="213"/>
      <c r="J324" s="216"/>
      <c r="K324" s="213"/>
      <c r="L324" s="213"/>
      <c r="M324" s="213"/>
      <c r="N324" s="213"/>
      <c r="O324" s="213"/>
      <c r="P324" s="216"/>
      <c r="Q324" s="213"/>
      <c r="R324" s="213"/>
      <c r="S324" s="213"/>
      <c r="T324" s="213"/>
      <c r="U324" s="213"/>
      <c r="V324" s="216"/>
      <c r="W324" s="213"/>
      <c r="X324" s="213"/>
      <c r="Y324" s="213"/>
      <c r="Z324" s="213"/>
      <c r="AA324" s="213"/>
      <c r="AB324" s="216"/>
      <c r="AC324" s="213"/>
      <c r="AD324" s="213"/>
      <c r="AE324" s="213"/>
      <c r="AF324" s="213"/>
      <c r="AG324" s="213"/>
      <c r="AH324" s="216"/>
      <c r="AI324" s="213"/>
      <c r="AJ324" s="213"/>
      <c r="AK324" s="213"/>
      <c r="AL324" s="213"/>
      <c r="AM324" s="213"/>
      <c r="AN324" s="216"/>
      <c r="AO324" s="213"/>
      <c r="AP324" s="213"/>
      <c r="AQ324" s="213"/>
      <c r="AR324" s="213"/>
      <c r="AS324" s="213"/>
      <c r="AT324" s="216"/>
      <c r="AU324" s="213"/>
      <c r="AV324" s="213"/>
      <c r="AW324" s="213"/>
      <c r="AX324" s="213"/>
      <c r="AY324" s="213"/>
      <c r="AZ324" s="216"/>
      <c r="BA324" s="213"/>
      <c r="BB324" s="213"/>
      <c r="BC324" s="213"/>
      <c r="BD324" s="213"/>
      <c r="BE324" s="213"/>
      <c r="BF324" s="216"/>
      <c r="BG324" s="213"/>
      <c r="BH324" s="213"/>
      <c r="BI324" s="213"/>
      <c r="BJ324" s="213"/>
      <c r="BK324" s="213"/>
      <c r="BL324" s="216"/>
      <c r="BM324" s="213"/>
      <c r="BN324" s="213"/>
      <c r="BO324" s="213"/>
      <c r="BP324" s="213"/>
      <c r="BQ324" s="213"/>
      <c r="BR324" s="326"/>
      <c r="BS324" s="213"/>
      <c r="BT324" s="213"/>
      <c r="BU324" s="213"/>
      <c r="BV324" s="213"/>
      <c r="BW324" s="213"/>
      <c r="BX324" s="213"/>
      <c r="BY324" s="213"/>
      <c r="BZ324" s="213"/>
      <c r="CA324" s="213"/>
      <c r="CB324" s="213"/>
      <c r="CC324" s="213"/>
      <c r="CD324" s="213"/>
      <c r="CE324" s="213"/>
      <c r="CF324" s="213"/>
      <c r="CG324" s="213"/>
      <c r="CH324" s="213"/>
      <c r="CI324" s="213"/>
      <c r="CJ324" s="213"/>
      <c r="CK324" s="213"/>
      <c r="CL324" s="213"/>
      <c r="CM324" s="213"/>
      <c r="CN324" s="213"/>
      <c r="CO324" s="213"/>
      <c r="CP324" s="213"/>
      <c r="CQ324" s="213"/>
    </row>
    <row r="325" ht="15.75" customHeight="1">
      <c r="A325" s="213"/>
      <c r="B325" s="213"/>
      <c r="C325" s="213"/>
      <c r="D325" s="213"/>
      <c r="E325" s="213"/>
      <c r="F325" s="213"/>
      <c r="G325" s="213"/>
      <c r="H325" s="213"/>
      <c r="I325" s="213"/>
      <c r="J325" s="216"/>
      <c r="K325" s="213"/>
      <c r="L325" s="213"/>
      <c r="M325" s="213"/>
      <c r="N325" s="213"/>
      <c r="O325" s="213"/>
      <c r="P325" s="216"/>
      <c r="Q325" s="213"/>
      <c r="R325" s="213"/>
      <c r="S325" s="213"/>
      <c r="T325" s="213"/>
      <c r="U325" s="213"/>
      <c r="V325" s="216"/>
      <c r="W325" s="213"/>
      <c r="X325" s="213"/>
      <c r="Y325" s="213"/>
      <c r="Z325" s="213"/>
      <c r="AA325" s="213"/>
      <c r="AB325" s="216"/>
      <c r="AC325" s="213"/>
      <c r="AD325" s="213"/>
      <c r="AE325" s="213"/>
      <c r="AF325" s="213"/>
      <c r="AG325" s="213"/>
      <c r="AH325" s="216"/>
      <c r="AI325" s="213"/>
      <c r="AJ325" s="213"/>
      <c r="AK325" s="213"/>
      <c r="AL325" s="213"/>
      <c r="AM325" s="213"/>
      <c r="AN325" s="216"/>
      <c r="AO325" s="213"/>
      <c r="AP325" s="213"/>
      <c r="AQ325" s="213"/>
      <c r="AR325" s="213"/>
      <c r="AS325" s="213"/>
      <c r="AT325" s="216"/>
      <c r="AU325" s="213"/>
      <c r="AV325" s="213"/>
      <c r="AW325" s="213"/>
      <c r="AX325" s="213"/>
      <c r="AY325" s="213"/>
      <c r="AZ325" s="216"/>
      <c r="BA325" s="213"/>
      <c r="BB325" s="213"/>
      <c r="BC325" s="213"/>
      <c r="BD325" s="213"/>
      <c r="BE325" s="213"/>
      <c r="BF325" s="216"/>
      <c r="BG325" s="213"/>
      <c r="BH325" s="213"/>
      <c r="BI325" s="213"/>
      <c r="BJ325" s="213"/>
      <c r="BK325" s="213"/>
      <c r="BL325" s="216"/>
      <c r="BM325" s="213"/>
      <c r="BN325" s="213"/>
      <c r="BO325" s="213"/>
      <c r="BP325" s="213"/>
      <c r="BQ325" s="213"/>
      <c r="BR325" s="326"/>
      <c r="BS325" s="213"/>
      <c r="BT325" s="213"/>
      <c r="BU325" s="213"/>
      <c r="BV325" s="213"/>
      <c r="BW325" s="213"/>
      <c r="BX325" s="213"/>
      <c r="BY325" s="213"/>
      <c r="BZ325" s="213"/>
      <c r="CA325" s="213"/>
      <c r="CB325" s="213"/>
      <c r="CC325" s="213"/>
      <c r="CD325" s="213"/>
      <c r="CE325" s="213"/>
      <c r="CF325" s="213"/>
      <c r="CG325" s="213"/>
      <c r="CH325" s="213"/>
      <c r="CI325" s="213"/>
      <c r="CJ325" s="213"/>
      <c r="CK325" s="213"/>
      <c r="CL325" s="213"/>
      <c r="CM325" s="213"/>
      <c r="CN325" s="213"/>
      <c r="CO325" s="213"/>
      <c r="CP325" s="213"/>
      <c r="CQ325" s="213"/>
    </row>
    <row r="326" ht="15.75" customHeight="1">
      <c r="A326" s="213"/>
      <c r="B326" s="213"/>
      <c r="C326" s="213"/>
      <c r="D326" s="213"/>
      <c r="E326" s="213"/>
      <c r="F326" s="213"/>
      <c r="G326" s="213"/>
      <c r="H326" s="213"/>
      <c r="I326" s="213"/>
      <c r="J326" s="216"/>
      <c r="K326" s="213"/>
      <c r="L326" s="213"/>
      <c r="M326" s="213"/>
      <c r="N326" s="213"/>
      <c r="O326" s="213"/>
      <c r="P326" s="216"/>
      <c r="Q326" s="213"/>
      <c r="R326" s="213"/>
      <c r="S326" s="213"/>
      <c r="T326" s="213"/>
      <c r="U326" s="213"/>
      <c r="V326" s="216"/>
      <c r="W326" s="213"/>
      <c r="X326" s="213"/>
      <c r="Y326" s="213"/>
      <c r="Z326" s="213"/>
      <c r="AA326" s="213"/>
      <c r="AB326" s="216"/>
      <c r="AC326" s="213"/>
      <c r="AD326" s="213"/>
      <c r="AE326" s="213"/>
      <c r="AF326" s="213"/>
      <c r="AG326" s="213"/>
      <c r="AH326" s="216"/>
      <c r="AI326" s="213"/>
      <c r="AJ326" s="213"/>
      <c r="AK326" s="213"/>
      <c r="AL326" s="213"/>
      <c r="AM326" s="213"/>
      <c r="AN326" s="216"/>
      <c r="AO326" s="213"/>
      <c r="AP326" s="213"/>
      <c r="AQ326" s="213"/>
      <c r="AR326" s="213"/>
      <c r="AS326" s="213"/>
      <c r="AT326" s="216"/>
      <c r="AU326" s="213"/>
      <c r="AV326" s="213"/>
      <c r="AW326" s="213"/>
      <c r="AX326" s="213"/>
      <c r="AY326" s="213"/>
      <c r="AZ326" s="216"/>
      <c r="BA326" s="213"/>
      <c r="BB326" s="213"/>
      <c r="BC326" s="213"/>
      <c r="BD326" s="213"/>
      <c r="BE326" s="213"/>
      <c r="BF326" s="216"/>
      <c r="BG326" s="213"/>
      <c r="BH326" s="213"/>
      <c r="BI326" s="213"/>
      <c r="BJ326" s="213"/>
      <c r="BK326" s="213"/>
      <c r="BL326" s="216"/>
      <c r="BM326" s="213"/>
      <c r="BN326" s="213"/>
      <c r="BO326" s="213"/>
      <c r="BP326" s="213"/>
      <c r="BQ326" s="213"/>
      <c r="BR326" s="326"/>
      <c r="BS326" s="213"/>
      <c r="BT326" s="213"/>
      <c r="BU326" s="213"/>
      <c r="BV326" s="213"/>
      <c r="BW326" s="213"/>
      <c r="BX326" s="213"/>
      <c r="BY326" s="213"/>
      <c r="BZ326" s="213"/>
      <c r="CA326" s="213"/>
      <c r="CB326" s="213"/>
      <c r="CC326" s="213"/>
      <c r="CD326" s="213"/>
      <c r="CE326" s="213"/>
      <c r="CF326" s="213"/>
      <c r="CG326" s="213"/>
      <c r="CH326" s="213"/>
      <c r="CI326" s="213"/>
      <c r="CJ326" s="213"/>
      <c r="CK326" s="213"/>
      <c r="CL326" s="213"/>
      <c r="CM326" s="213"/>
      <c r="CN326" s="213"/>
      <c r="CO326" s="213"/>
      <c r="CP326" s="213"/>
      <c r="CQ326" s="213"/>
    </row>
    <row r="327" ht="15.75" customHeight="1">
      <c r="A327" s="213"/>
      <c r="B327" s="213"/>
      <c r="C327" s="213"/>
      <c r="D327" s="213"/>
      <c r="E327" s="213"/>
      <c r="F327" s="213"/>
      <c r="G327" s="213"/>
      <c r="H327" s="213"/>
      <c r="I327" s="213"/>
      <c r="J327" s="216"/>
      <c r="K327" s="213"/>
      <c r="L327" s="213"/>
      <c r="M327" s="213"/>
      <c r="N327" s="213"/>
      <c r="O327" s="213"/>
      <c r="P327" s="216"/>
      <c r="Q327" s="213"/>
      <c r="R327" s="213"/>
      <c r="S327" s="213"/>
      <c r="T327" s="213"/>
      <c r="U327" s="213"/>
      <c r="V327" s="216"/>
      <c r="W327" s="213"/>
      <c r="X327" s="213"/>
      <c r="Y327" s="213"/>
      <c r="Z327" s="213"/>
      <c r="AA327" s="213"/>
      <c r="AB327" s="216"/>
      <c r="AC327" s="213"/>
      <c r="AD327" s="213"/>
      <c r="AE327" s="213"/>
      <c r="AF327" s="213"/>
      <c r="AG327" s="213"/>
      <c r="AH327" s="216"/>
      <c r="AI327" s="213"/>
      <c r="AJ327" s="213"/>
      <c r="AK327" s="213"/>
      <c r="AL327" s="213"/>
      <c r="AM327" s="213"/>
      <c r="AN327" s="216"/>
      <c r="AO327" s="213"/>
      <c r="AP327" s="213"/>
      <c r="AQ327" s="213"/>
      <c r="AR327" s="213"/>
      <c r="AS327" s="213"/>
      <c r="AT327" s="216"/>
      <c r="AU327" s="213"/>
      <c r="AV327" s="213"/>
      <c r="AW327" s="213"/>
      <c r="AX327" s="213"/>
      <c r="AY327" s="213"/>
      <c r="AZ327" s="216"/>
      <c r="BA327" s="213"/>
      <c r="BB327" s="213"/>
      <c r="BC327" s="213"/>
      <c r="BD327" s="213"/>
      <c r="BE327" s="213"/>
      <c r="BF327" s="216"/>
      <c r="BG327" s="213"/>
      <c r="BH327" s="213"/>
      <c r="BI327" s="213"/>
      <c r="BJ327" s="213"/>
      <c r="BK327" s="213"/>
      <c r="BL327" s="216"/>
      <c r="BM327" s="213"/>
      <c r="BN327" s="213"/>
      <c r="BO327" s="213"/>
      <c r="BP327" s="213"/>
      <c r="BQ327" s="213"/>
      <c r="BR327" s="326"/>
      <c r="BS327" s="213"/>
      <c r="BT327" s="213"/>
      <c r="BU327" s="213"/>
      <c r="BV327" s="213"/>
      <c r="BW327" s="213"/>
      <c r="BX327" s="213"/>
      <c r="BY327" s="213"/>
      <c r="BZ327" s="213"/>
      <c r="CA327" s="213"/>
      <c r="CB327" s="213"/>
      <c r="CC327" s="213"/>
      <c r="CD327" s="213"/>
      <c r="CE327" s="213"/>
      <c r="CF327" s="213"/>
      <c r="CG327" s="213"/>
      <c r="CH327" s="213"/>
      <c r="CI327" s="213"/>
      <c r="CJ327" s="213"/>
      <c r="CK327" s="213"/>
      <c r="CL327" s="213"/>
      <c r="CM327" s="213"/>
      <c r="CN327" s="213"/>
      <c r="CO327" s="213"/>
      <c r="CP327" s="213"/>
      <c r="CQ327" s="213"/>
    </row>
    <row r="328" ht="15.75" customHeight="1">
      <c r="A328" s="213"/>
      <c r="B328" s="213"/>
      <c r="C328" s="213"/>
      <c r="D328" s="213"/>
      <c r="E328" s="213"/>
      <c r="F328" s="213"/>
      <c r="G328" s="213"/>
      <c r="H328" s="213"/>
      <c r="I328" s="213"/>
      <c r="J328" s="216"/>
      <c r="K328" s="213"/>
      <c r="L328" s="213"/>
      <c r="M328" s="213"/>
      <c r="N328" s="213"/>
      <c r="O328" s="213"/>
      <c r="P328" s="216"/>
      <c r="Q328" s="213"/>
      <c r="R328" s="213"/>
      <c r="S328" s="213"/>
      <c r="T328" s="213"/>
      <c r="U328" s="213"/>
      <c r="V328" s="216"/>
      <c r="W328" s="213"/>
      <c r="X328" s="213"/>
      <c r="Y328" s="213"/>
      <c r="Z328" s="213"/>
      <c r="AA328" s="213"/>
      <c r="AB328" s="216"/>
      <c r="AC328" s="213"/>
      <c r="AD328" s="213"/>
      <c r="AE328" s="213"/>
      <c r="AF328" s="213"/>
      <c r="AG328" s="213"/>
      <c r="AH328" s="216"/>
      <c r="AI328" s="213"/>
      <c r="AJ328" s="213"/>
      <c r="AK328" s="213"/>
      <c r="AL328" s="213"/>
      <c r="AM328" s="213"/>
      <c r="AN328" s="216"/>
      <c r="AO328" s="213"/>
      <c r="AP328" s="213"/>
      <c r="AQ328" s="213"/>
      <c r="AR328" s="213"/>
      <c r="AS328" s="213"/>
      <c r="AT328" s="216"/>
      <c r="AU328" s="213"/>
      <c r="AV328" s="213"/>
      <c r="AW328" s="213"/>
      <c r="AX328" s="213"/>
      <c r="AY328" s="213"/>
      <c r="AZ328" s="216"/>
      <c r="BA328" s="213"/>
      <c r="BB328" s="213"/>
      <c r="BC328" s="213"/>
      <c r="BD328" s="213"/>
      <c r="BE328" s="213"/>
      <c r="BF328" s="216"/>
      <c r="BG328" s="213"/>
      <c r="BH328" s="213"/>
      <c r="BI328" s="213"/>
      <c r="BJ328" s="213"/>
      <c r="BK328" s="213"/>
      <c r="BL328" s="216"/>
      <c r="BM328" s="213"/>
      <c r="BN328" s="213"/>
      <c r="BO328" s="213"/>
      <c r="BP328" s="213"/>
      <c r="BQ328" s="213"/>
      <c r="BR328" s="326"/>
      <c r="BS328" s="213"/>
      <c r="BT328" s="213"/>
      <c r="BU328" s="213"/>
      <c r="BV328" s="213"/>
      <c r="BW328" s="213"/>
      <c r="BX328" s="213"/>
      <c r="BY328" s="213"/>
      <c r="BZ328" s="213"/>
      <c r="CA328" s="213"/>
      <c r="CB328" s="213"/>
      <c r="CC328" s="213"/>
      <c r="CD328" s="213"/>
      <c r="CE328" s="213"/>
      <c r="CF328" s="213"/>
      <c r="CG328" s="213"/>
      <c r="CH328" s="213"/>
      <c r="CI328" s="213"/>
      <c r="CJ328" s="213"/>
      <c r="CK328" s="213"/>
      <c r="CL328" s="213"/>
      <c r="CM328" s="213"/>
      <c r="CN328" s="213"/>
      <c r="CO328" s="213"/>
      <c r="CP328" s="213"/>
      <c r="CQ328" s="213"/>
    </row>
    <row r="329" ht="15.75" customHeight="1">
      <c r="A329" s="213"/>
      <c r="B329" s="213"/>
      <c r="C329" s="213"/>
      <c r="D329" s="213"/>
      <c r="E329" s="213"/>
      <c r="F329" s="213"/>
      <c r="G329" s="213"/>
      <c r="H329" s="213"/>
      <c r="I329" s="213"/>
      <c r="J329" s="216"/>
      <c r="K329" s="213"/>
      <c r="L329" s="213"/>
      <c r="M329" s="213"/>
      <c r="N329" s="213"/>
      <c r="O329" s="213"/>
      <c r="P329" s="216"/>
      <c r="Q329" s="213"/>
      <c r="R329" s="213"/>
      <c r="S329" s="213"/>
      <c r="T329" s="213"/>
      <c r="U329" s="213"/>
      <c r="V329" s="216"/>
      <c r="W329" s="213"/>
      <c r="X329" s="213"/>
      <c r="Y329" s="213"/>
      <c r="Z329" s="213"/>
      <c r="AA329" s="213"/>
      <c r="AB329" s="216"/>
      <c r="AC329" s="213"/>
      <c r="AD329" s="213"/>
      <c r="AE329" s="213"/>
      <c r="AF329" s="213"/>
      <c r="AG329" s="213"/>
      <c r="AH329" s="216"/>
      <c r="AI329" s="213"/>
      <c r="AJ329" s="213"/>
      <c r="AK329" s="213"/>
      <c r="AL329" s="213"/>
      <c r="AM329" s="213"/>
      <c r="AN329" s="216"/>
      <c r="AO329" s="213"/>
      <c r="AP329" s="213"/>
      <c r="AQ329" s="213"/>
      <c r="AR329" s="213"/>
      <c r="AS329" s="213"/>
      <c r="AT329" s="216"/>
      <c r="AU329" s="213"/>
      <c r="AV329" s="213"/>
      <c r="AW329" s="213"/>
      <c r="AX329" s="213"/>
      <c r="AY329" s="213"/>
      <c r="AZ329" s="216"/>
      <c r="BA329" s="213"/>
      <c r="BB329" s="213"/>
      <c r="BC329" s="213"/>
      <c r="BD329" s="213"/>
      <c r="BE329" s="213"/>
      <c r="BF329" s="216"/>
      <c r="BG329" s="213"/>
      <c r="BH329" s="213"/>
      <c r="BI329" s="213"/>
      <c r="BJ329" s="213"/>
      <c r="BK329" s="213"/>
      <c r="BL329" s="216"/>
      <c r="BM329" s="213"/>
      <c r="BN329" s="213"/>
      <c r="BO329" s="213"/>
      <c r="BP329" s="213"/>
      <c r="BQ329" s="213"/>
      <c r="BR329" s="326"/>
      <c r="BS329" s="213"/>
      <c r="BT329" s="213"/>
      <c r="BU329" s="213"/>
      <c r="BV329" s="213"/>
      <c r="BW329" s="213"/>
      <c r="BX329" s="213"/>
      <c r="BY329" s="213"/>
      <c r="BZ329" s="213"/>
      <c r="CA329" s="213"/>
      <c r="CB329" s="213"/>
      <c r="CC329" s="213"/>
      <c r="CD329" s="213"/>
      <c r="CE329" s="213"/>
      <c r="CF329" s="213"/>
      <c r="CG329" s="213"/>
      <c r="CH329" s="213"/>
      <c r="CI329" s="213"/>
      <c r="CJ329" s="213"/>
      <c r="CK329" s="213"/>
      <c r="CL329" s="213"/>
      <c r="CM329" s="213"/>
      <c r="CN329" s="213"/>
      <c r="CO329" s="213"/>
      <c r="CP329" s="213"/>
      <c r="CQ329" s="213"/>
    </row>
    <row r="330" ht="15.75" customHeight="1">
      <c r="A330" s="213"/>
      <c r="B330" s="213"/>
      <c r="C330" s="213"/>
      <c r="D330" s="213"/>
      <c r="E330" s="213"/>
      <c r="F330" s="213"/>
      <c r="G330" s="213"/>
      <c r="H330" s="213"/>
      <c r="I330" s="213"/>
      <c r="J330" s="216"/>
      <c r="K330" s="213"/>
      <c r="L330" s="213"/>
      <c r="M330" s="213"/>
      <c r="N330" s="213"/>
      <c r="O330" s="213"/>
      <c r="P330" s="216"/>
      <c r="Q330" s="213"/>
      <c r="R330" s="213"/>
      <c r="S330" s="213"/>
      <c r="T330" s="213"/>
      <c r="U330" s="213"/>
      <c r="V330" s="216"/>
      <c r="W330" s="213"/>
      <c r="X330" s="213"/>
      <c r="Y330" s="213"/>
      <c r="Z330" s="213"/>
      <c r="AA330" s="213"/>
      <c r="AB330" s="216"/>
      <c r="AC330" s="213"/>
      <c r="AD330" s="213"/>
      <c r="AE330" s="213"/>
      <c r="AF330" s="213"/>
      <c r="AG330" s="213"/>
      <c r="AH330" s="216"/>
      <c r="AI330" s="213"/>
      <c r="AJ330" s="213"/>
      <c r="AK330" s="213"/>
      <c r="AL330" s="213"/>
      <c r="AM330" s="213"/>
      <c r="AN330" s="216"/>
      <c r="AO330" s="213"/>
      <c r="AP330" s="213"/>
      <c r="AQ330" s="213"/>
      <c r="AR330" s="213"/>
      <c r="AS330" s="213"/>
      <c r="AT330" s="216"/>
      <c r="AU330" s="213"/>
      <c r="AV330" s="213"/>
      <c r="AW330" s="213"/>
      <c r="AX330" s="213"/>
      <c r="AY330" s="213"/>
      <c r="AZ330" s="216"/>
      <c r="BA330" s="213"/>
      <c r="BB330" s="213"/>
      <c r="BC330" s="213"/>
      <c r="BD330" s="213"/>
      <c r="BE330" s="213"/>
      <c r="BF330" s="216"/>
      <c r="BG330" s="213"/>
      <c r="BH330" s="213"/>
      <c r="BI330" s="213"/>
      <c r="BJ330" s="213"/>
      <c r="BK330" s="213"/>
      <c r="BL330" s="216"/>
      <c r="BM330" s="213"/>
      <c r="BN330" s="213"/>
      <c r="BO330" s="213"/>
      <c r="BP330" s="213"/>
      <c r="BQ330" s="213"/>
      <c r="BR330" s="326"/>
      <c r="BS330" s="213"/>
      <c r="BT330" s="213"/>
      <c r="BU330" s="213"/>
      <c r="BV330" s="213"/>
      <c r="BW330" s="213"/>
      <c r="BX330" s="213"/>
      <c r="BY330" s="213"/>
      <c r="BZ330" s="213"/>
      <c r="CA330" s="213"/>
      <c r="CB330" s="213"/>
      <c r="CC330" s="213"/>
      <c r="CD330" s="213"/>
      <c r="CE330" s="213"/>
      <c r="CF330" s="213"/>
      <c r="CG330" s="213"/>
      <c r="CH330" s="213"/>
      <c r="CI330" s="213"/>
      <c r="CJ330" s="213"/>
      <c r="CK330" s="213"/>
      <c r="CL330" s="213"/>
      <c r="CM330" s="213"/>
      <c r="CN330" s="213"/>
      <c r="CO330" s="213"/>
      <c r="CP330" s="213"/>
      <c r="CQ330" s="213"/>
    </row>
    <row r="331" ht="15.75" customHeight="1">
      <c r="A331" s="213"/>
      <c r="B331" s="213"/>
      <c r="C331" s="213"/>
      <c r="D331" s="213"/>
      <c r="E331" s="213"/>
      <c r="F331" s="213"/>
      <c r="G331" s="213"/>
      <c r="H331" s="213"/>
      <c r="I331" s="213"/>
      <c r="J331" s="216"/>
      <c r="K331" s="213"/>
      <c r="L331" s="213"/>
      <c r="M331" s="213"/>
      <c r="N331" s="213"/>
      <c r="O331" s="213"/>
      <c r="P331" s="216"/>
      <c r="Q331" s="213"/>
      <c r="R331" s="213"/>
      <c r="S331" s="213"/>
      <c r="T331" s="213"/>
      <c r="U331" s="213"/>
      <c r="V331" s="216"/>
      <c r="W331" s="213"/>
      <c r="X331" s="213"/>
      <c r="Y331" s="213"/>
      <c r="Z331" s="213"/>
      <c r="AA331" s="213"/>
      <c r="AB331" s="216"/>
      <c r="AC331" s="213"/>
      <c r="AD331" s="213"/>
      <c r="AE331" s="213"/>
      <c r="AF331" s="213"/>
      <c r="AG331" s="213"/>
      <c r="AH331" s="216"/>
      <c r="AI331" s="213"/>
      <c r="AJ331" s="213"/>
      <c r="AK331" s="213"/>
      <c r="AL331" s="213"/>
      <c r="AM331" s="213"/>
      <c r="AN331" s="216"/>
      <c r="AO331" s="213"/>
      <c r="AP331" s="213"/>
      <c r="AQ331" s="213"/>
      <c r="AR331" s="213"/>
      <c r="AS331" s="213"/>
      <c r="AT331" s="216"/>
      <c r="AU331" s="213"/>
      <c r="AV331" s="213"/>
      <c r="AW331" s="213"/>
      <c r="AX331" s="213"/>
      <c r="AY331" s="213"/>
      <c r="AZ331" s="216"/>
      <c r="BA331" s="213"/>
      <c r="BB331" s="213"/>
      <c r="BC331" s="213"/>
      <c r="BD331" s="213"/>
      <c r="BE331" s="213"/>
      <c r="BF331" s="216"/>
      <c r="BG331" s="213"/>
      <c r="BH331" s="213"/>
      <c r="BI331" s="213"/>
      <c r="BJ331" s="213"/>
      <c r="BK331" s="213"/>
      <c r="BL331" s="216"/>
      <c r="BM331" s="213"/>
      <c r="BN331" s="213"/>
      <c r="BO331" s="213"/>
      <c r="BP331" s="213"/>
      <c r="BQ331" s="213"/>
      <c r="BR331" s="326"/>
      <c r="BS331" s="213"/>
      <c r="BT331" s="213"/>
      <c r="BU331" s="213"/>
      <c r="BV331" s="213"/>
      <c r="BW331" s="213"/>
      <c r="BX331" s="213"/>
      <c r="BY331" s="213"/>
      <c r="BZ331" s="213"/>
      <c r="CA331" s="213"/>
      <c r="CB331" s="213"/>
      <c r="CC331" s="213"/>
      <c r="CD331" s="213"/>
      <c r="CE331" s="213"/>
      <c r="CF331" s="213"/>
      <c r="CG331" s="213"/>
      <c r="CH331" s="213"/>
      <c r="CI331" s="213"/>
      <c r="CJ331" s="213"/>
      <c r="CK331" s="213"/>
      <c r="CL331" s="213"/>
      <c r="CM331" s="213"/>
      <c r="CN331" s="213"/>
      <c r="CO331" s="213"/>
      <c r="CP331" s="213"/>
      <c r="CQ331" s="213"/>
    </row>
    <row r="332" ht="15.75" customHeight="1">
      <c r="A332" s="213"/>
      <c r="B332" s="213"/>
      <c r="C332" s="213"/>
      <c r="D332" s="213"/>
      <c r="E332" s="213"/>
      <c r="F332" s="213"/>
      <c r="G332" s="213"/>
      <c r="H332" s="213"/>
      <c r="I332" s="213"/>
      <c r="J332" s="216"/>
      <c r="K332" s="213"/>
      <c r="L332" s="213"/>
      <c r="M332" s="213"/>
      <c r="N332" s="213"/>
      <c r="O332" s="213"/>
      <c r="P332" s="216"/>
      <c r="Q332" s="213"/>
      <c r="R332" s="213"/>
      <c r="S332" s="213"/>
      <c r="T332" s="213"/>
      <c r="U332" s="213"/>
      <c r="V332" s="216"/>
      <c r="W332" s="213"/>
      <c r="X332" s="213"/>
      <c r="Y332" s="213"/>
      <c r="Z332" s="213"/>
      <c r="AA332" s="213"/>
      <c r="AB332" s="216"/>
      <c r="AC332" s="213"/>
      <c r="AD332" s="213"/>
      <c r="AE332" s="213"/>
      <c r="AF332" s="213"/>
      <c r="AG332" s="213"/>
      <c r="AH332" s="216"/>
      <c r="AI332" s="213"/>
      <c r="AJ332" s="213"/>
      <c r="AK332" s="213"/>
      <c r="AL332" s="213"/>
      <c r="AM332" s="213"/>
      <c r="AN332" s="216"/>
      <c r="AO332" s="213"/>
      <c r="AP332" s="213"/>
      <c r="AQ332" s="213"/>
      <c r="AR332" s="213"/>
      <c r="AS332" s="213"/>
      <c r="AT332" s="216"/>
      <c r="AU332" s="213"/>
      <c r="AV332" s="213"/>
      <c r="AW332" s="213"/>
      <c r="AX332" s="213"/>
      <c r="AY332" s="213"/>
      <c r="AZ332" s="216"/>
      <c r="BA332" s="213"/>
      <c r="BB332" s="213"/>
      <c r="BC332" s="213"/>
      <c r="BD332" s="213"/>
      <c r="BE332" s="213"/>
      <c r="BF332" s="216"/>
      <c r="BG332" s="213"/>
      <c r="BH332" s="213"/>
      <c r="BI332" s="213"/>
      <c r="BJ332" s="213"/>
      <c r="BK332" s="213"/>
      <c r="BL332" s="216"/>
      <c r="BM332" s="213"/>
      <c r="BN332" s="213"/>
      <c r="BO332" s="213"/>
      <c r="BP332" s="213"/>
      <c r="BQ332" s="213"/>
      <c r="BR332" s="326"/>
      <c r="BS332" s="213"/>
      <c r="BT332" s="213"/>
      <c r="BU332" s="213"/>
      <c r="BV332" s="213"/>
      <c r="BW332" s="213"/>
      <c r="BX332" s="213"/>
      <c r="BY332" s="213"/>
      <c r="BZ332" s="213"/>
      <c r="CA332" s="213"/>
      <c r="CB332" s="213"/>
      <c r="CC332" s="213"/>
      <c r="CD332" s="213"/>
      <c r="CE332" s="213"/>
      <c r="CF332" s="213"/>
      <c r="CG332" s="213"/>
      <c r="CH332" s="213"/>
      <c r="CI332" s="213"/>
      <c r="CJ332" s="213"/>
      <c r="CK332" s="213"/>
      <c r="CL332" s="213"/>
      <c r="CM332" s="213"/>
      <c r="CN332" s="213"/>
      <c r="CO332" s="213"/>
      <c r="CP332" s="213"/>
      <c r="CQ332" s="213"/>
    </row>
    <row r="333" ht="15.75" customHeight="1">
      <c r="A333" s="213"/>
      <c r="B333" s="213"/>
      <c r="C333" s="213"/>
      <c r="D333" s="213"/>
      <c r="E333" s="213"/>
      <c r="F333" s="213"/>
      <c r="G333" s="213"/>
      <c r="H333" s="213"/>
      <c r="I333" s="213"/>
      <c r="J333" s="216"/>
      <c r="K333" s="213"/>
      <c r="L333" s="213"/>
      <c r="M333" s="213"/>
      <c r="N333" s="213"/>
      <c r="O333" s="213"/>
      <c r="P333" s="216"/>
      <c r="Q333" s="213"/>
      <c r="R333" s="213"/>
      <c r="S333" s="213"/>
      <c r="T333" s="213"/>
      <c r="U333" s="213"/>
      <c r="V333" s="216"/>
      <c r="W333" s="213"/>
      <c r="X333" s="213"/>
      <c r="Y333" s="213"/>
      <c r="Z333" s="213"/>
      <c r="AA333" s="213"/>
      <c r="AB333" s="216"/>
      <c r="AC333" s="213"/>
      <c r="AD333" s="213"/>
      <c r="AE333" s="213"/>
      <c r="AF333" s="213"/>
      <c r="AG333" s="213"/>
      <c r="AH333" s="216"/>
      <c r="AI333" s="213"/>
      <c r="AJ333" s="213"/>
      <c r="AK333" s="213"/>
      <c r="AL333" s="213"/>
      <c r="AM333" s="213"/>
      <c r="AN333" s="216"/>
      <c r="AO333" s="213"/>
      <c r="AP333" s="213"/>
      <c r="AQ333" s="213"/>
      <c r="AR333" s="213"/>
      <c r="AS333" s="213"/>
      <c r="AT333" s="216"/>
      <c r="AU333" s="213"/>
      <c r="AV333" s="213"/>
      <c r="AW333" s="213"/>
      <c r="AX333" s="213"/>
      <c r="AY333" s="213"/>
      <c r="AZ333" s="216"/>
      <c r="BA333" s="213"/>
      <c r="BB333" s="213"/>
      <c r="BC333" s="213"/>
      <c r="BD333" s="213"/>
      <c r="BE333" s="213"/>
      <c r="BF333" s="216"/>
      <c r="BG333" s="213"/>
      <c r="BH333" s="213"/>
      <c r="BI333" s="213"/>
      <c r="BJ333" s="213"/>
      <c r="BK333" s="213"/>
      <c r="BL333" s="216"/>
      <c r="BM333" s="213"/>
      <c r="BN333" s="213"/>
      <c r="BO333" s="213"/>
      <c r="BP333" s="213"/>
      <c r="BQ333" s="213"/>
      <c r="BR333" s="326"/>
      <c r="BS333" s="213"/>
      <c r="BT333" s="213"/>
      <c r="BU333" s="213"/>
      <c r="BV333" s="213"/>
      <c r="BW333" s="213"/>
      <c r="BX333" s="213"/>
      <c r="BY333" s="213"/>
      <c r="BZ333" s="213"/>
      <c r="CA333" s="213"/>
      <c r="CB333" s="213"/>
      <c r="CC333" s="213"/>
      <c r="CD333" s="213"/>
      <c r="CE333" s="213"/>
      <c r="CF333" s="213"/>
      <c r="CG333" s="213"/>
      <c r="CH333" s="213"/>
      <c r="CI333" s="213"/>
      <c r="CJ333" s="213"/>
      <c r="CK333" s="213"/>
      <c r="CL333" s="213"/>
      <c r="CM333" s="213"/>
      <c r="CN333" s="213"/>
      <c r="CO333" s="213"/>
      <c r="CP333" s="213"/>
      <c r="CQ333" s="213"/>
    </row>
    <row r="334" ht="15.75" customHeight="1">
      <c r="A334" s="213"/>
      <c r="B334" s="213"/>
      <c r="C334" s="213"/>
      <c r="D334" s="213"/>
      <c r="E334" s="213"/>
      <c r="F334" s="213"/>
      <c r="G334" s="213"/>
      <c r="H334" s="213"/>
      <c r="I334" s="213"/>
      <c r="J334" s="216"/>
      <c r="K334" s="213"/>
      <c r="L334" s="213"/>
      <c r="M334" s="213"/>
      <c r="N334" s="213"/>
      <c r="O334" s="213"/>
      <c r="P334" s="216"/>
      <c r="Q334" s="213"/>
      <c r="R334" s="213"/>
      <c r="S334" s="213"/>
      <c r="T334" s="213"/>
      <c r="U334" s="213"/>
      <c r="V334" s="216"/>
      <c r="W334" s="213"/>
      <c r="X334" s="213"/>
      <c r="Y334" s="213"/>
      <c r="Z334" s="213"/>
      <c r="AA334" s="213"/>
      <c r="AB334" s="216"/>
      <c r="AC334" s="213"/>
      <c r="AD334" s="213"/>
      <c r="AE334" s="213"/>
      <c r="AF334" s="213"/>
      <c r="AG334" s="213"/>
      <c r="AH334" s="216"/>
      <c r="AI334" s="213"/>
      <c r="AJ334" s="213"/>
      <c r="AK334" s="213"/>
      <c r="AL334" s="213"/>
      <c r="AM334" s="213"/>
      <c r="AN334" s="216"/>
      <c r="AO334" s="213"/>
      <c r="AP334" s="213"/>
      <c r="AQ334" s="213"/>
      <c r="AR334" s="213"/>
      <c r="AS334" s="213"/>
      <c r="AT334" s="216"/>
      <c r="AU334" s="213"/>
      <c r="AV334" s="213"/>
      <c r="AW334" s="213"/>
      <c r="AX334" s="213"/>
      <c r="AY334" s="213"/>
      <c r="AZ334" s="216"/>
      <c r="BA334" s="213"/>
      <c r="BB334" s="213"/>
      <c r="BC334" s="213"/>
      <c r="BD334" s="213"/>
      <c r="BE334" s="213"/>
      <c r="BF334" s="216"/>
      <c r="BG334" s="213"/>
      <c r="BH334" s="213"/>
      <c r="BI334" s="213"/>
      <c r="BJ334" s="213"/>
      <c r="BK334" s="213"/>
      <c r="BL334" s="216"/>
      <c r="BM334" s="213"/>
      <c r="BN334" s="213"/>
      <c r="BO334" s="213"/>
      <c r="BP334" s="213"/>
      <c r="BQ334" s="213"/>
      <c r="BR334" s="326"/>
      <c r="BS334" s="213"/>
      <c r="BT334" s="213"/>
      <c r="BU334" s="213"/>
      <c r="BV334" s="213"/>
      <c r="BW334" s="213"/>
      <c r="BX334" s="213"/>
      <c r="BY334" s="213"/>
      <c r="BZ334" s="213"/>
      <c r="CA334" s="213"/>
      <c r="CB334" s="213"/>
      <c r="CC334" s="213"/>
      <c r="CD334" s="213"/>
      <c r="CE334" s="213"/>
      <c r="CF334" s="213"/>
      <c r="CG334" s="213"/>
      <c r="CH334" s="213"/>
      <c r="CI334" s="213"/>
      <c r="CJ334" s="213"/>
      <c r="CK334" s="213"/>
      <c r="CL334" s="213"/>
      <c r="CM334" s="213"/>
      <c r="CN334" s="213"/>
      <c r="CO334" s="213"/>
      <c r="CP334" s="213"/>
      <c r="CQ334" s="213"/>
    </row>
    <row r="335" ht="15.75" customHeight="1">
      <c r="A335" s="213"/>
      <c r="B335" s="213"/>
      <c r="C335" s="213"/>
      <c r="D335" s="213"/>
      <c r="E335" s="213"/>
      <c r="F335" s="213"/>
      <c r="G335" s="213"/>
      <c r="H335" s="213"/>
      <c r="I335" s="213"/>
      <c r="J335" s="216"/>
      <c r="K335" s="213"/>
      <c r="L335" s="213"/>
      <c r="M335" s="213"/>
      <c r="N335" s="213"/>
      <c r="O335" s="213"/>
      <c r="P335" s="216"/>
      <c r="Q335" s="213"/>
      <c r="R335" s="213"/>
      <c r="S335" s="213"/>
      <c r="T335" s="213"/>
      <c r="U335" s="213"/>
      <c r="V335" s="216"/>
      <c r="W335" s="213"/>
      <c r="X335" s="213"/>
      <c r="Y335" s="213"/>
      <c r="Z335" s="213"/>
      <c r="AA335" s="213"/>
      <c r="AB335" s="216"/>
      <c r="AC335" s="213"/>
      <c r="AD335" s="213"/>
      <c r="AE335" s="213"/>
      <c r="AF335" s="213"/>
      <c r="AG335" s="213"/>
      <c r="AH335" s="216"/>
      <c r="AI335" s="213"/>
      <c r="AJ335" s="213"/>
      <c r="AK335" s="213"/>
      <c r="AL335" s="213"/>
      <c r="AM335" s="213"/>
      <c r="AN335" s="216"/>
      <c r="AO335" s="213"/>
      <c r="AP335" s="213"/>
      <c r="AQ335" s="213"/>
      <c r="AR335" s="213"/>
      <c r="AS335" s="213"/>
      <c r="AT335" s="216"/>
      <c r="AU335" s="213"/>
      <c r="AV335" s="213"/>
      <c r="AW335" s="213"/>
      <c r="AX335" s="213"/>
      <c r="AY335" s="213"/>
      <c r="AZ335" s="216"/>
      <c r="BA335" s="213"/>
      <c r="BB335" s="213"/>
      <c r="BC335" s="213"/>
      <c r="BD335" s="213"/>
      <c r="BE335" s="213"/>
      <c r="BF335" s="216"/>
      <c r="BG335" s="213"/>
      <c r="BH335" s="213"/>
      <c r="BI335" s="213"/>
      <c r="BJ335" s="213"/>
      <c r="BK335" s="213"/>
      <c r="BL335" s="216"/>
      <c r="BM335" s="213"/>
      <c r="BN335" s="213"/>
      <c r="BO335" s="213"/>
      <c r="BP335" s="213"/>
      <c r="BQ335" s="213"/>
      <c r="BR335" s="326"/>
      <c r="BS335" s="213"/>
      <c r="BT335" s="213"/>
      <c r="BU335" s="213"/>
      <c r="BV335" s="213"/>
      <c r="BW335" s="213"/>
      <c r="BX335" s="213"/>
      <c r="BY335" s="213"/>
      <c r="BZ335" s="213"/>
      <c r="CA335" s="213"/>
      <c r="CB335" s="213"/>
      <c r="CC335" s="213"/>
      <c r="CD335" s="213"/>
      <c r="CE335" s="213"/>
      <c r="CF335" s="213"/>
      <c r="CG335" s="213"/>
      <c r="CH335" s="213"/>
      <c r="CI335" s="213"/>
      <c r="CJ335" s="213"/>
      <c r="CK335" s="213"/>
      <c r="CL335" s="213"/>
      <c r="CM335" s="213"/>
      <c r="CN335" s="213"/>
      <c r="CO335" s="213"/>
      <c r="CP335" s="213"/>
      <c r="CQ335" s="213"/>
    </row>
    <row r="336" ht="15.75" customHeight="1">
      <c r="A336" s="213"/>
      <c r="B336" s="213"/>
      <c r="C336" s="213"/>
      <c r="D336" s="213"/>
      <c r="E336" s="213"/>
      <c r="F336" s="213"/>
      <c r="G336" s="213"/>
      <c r="H336" s="213"/>
      <c r="I336" s="213"/>
      <c r="J336" s="216"/>
      <c r="K336" s="213"/>
      <c r="L336" s="213"/>
      <c r="M336" s="213"/>
      <c r="N336" s="213"/>
      <c r="O336" s="213"/>
      <c r="P336" s="216"/>
      <c r="Q336" s="213"/>
      <c r="R336" s="213"/>
      <c r="S336" s="213"/>
      <c r="T336" s="213"/>
      <c r="U336" s="213"/>
      <c r="V336" s="216"/>
      <c r="W336" s="213"/>
      <c r="X336" s="213"/>
      <c r="Y336" s="213"/>
      <c r="Z336" s="213"/>
      <c r="AA336" s="213"/>
      <c r="AB336" s="216"/>
      <c r="AC336" s="213"/>
      <c r="AD336" s="213"/>
      <c r="AE336" s="213"/>
      <c r="AF336" s="213"/>
      <c r="AG336" s="213"/>
      <c r="AH336" s="216"/>
      <c r="AI336" s="213"/>
      <c r="AJ336" s="213"/>
      <c r="AK336" s="213"/>
      <c r="AL336" s="213"/>
      <c r="AM336" s="213"/>
      <c r="AN336" s="216"/>
      <c r="AO336" s="213"/>
      <c r="AP336" s="213"/>
      <c r="AQ336" s="213"/>
      <c r="AR336" s="213"/>
      <c r="AS336" s="213"/>
      <c r="AT336" s="216"/>
      <c r="AU336" s="213"/>
      <c r="AV336" s="213"/>
      <c r="AW336" s="213"/>
      <c r="AX336" s="213"/>
      <c r="AY336" s="213"/>
      <c r="AZ336" s="216"/>
      <c r="BA336" s="213"/>
      <c r="BB336" s="213"/>
      <c r="BC336" s="213"/>
      <c r="BD336" s="213"/>
      <c r="BE336" s="213"/>
      <c r="BF336" s="216"/>
      <c r="BG336" s="213"/>
      <c r="BH336" s="213"/>
      <c r="BI336" s="213"/>
      <c r="BJ336" s="213"/>
      <c r="BK336" s="213"/>
      <c r="BL336" s="216"/>
      <c r="BM336" s="213"/>
      <c r="BN336" s="213"/>
      <c r="BO336" s="213"/>
      <c r="BP336" s="213"/>
      <c r="BQ336" s="213"/>
      <c r="BR336" s="326"/>
      <c r="BS336" s="213"/>
      <c r="BT336" s="213"/>
      <c r="BU336" s="213"/>
      <c r="BV336" s="213"/>
      <c r="BW336" s="213"/>
      <c r="BX336" s="213"/>
      <c r="BY336" s="213"/>
      <c r="BZ336" s="213"/>
      <c r="CA336" s="213"/>
      <c r="CB336" s="213"/>
      <c r="CC336" s="213"/>
      <c r="CD336" s="213"/>
      <c r="CE336" s="213"/>
      <c r="CF336" s="213"/>
      <c r="CG336" s="213"/>
      <c r="CH336" s="213"/>
      <c r="CI336" s="213"/>
      <c r="CJ336" s="213"/>
      <c r="CK336" s="213"/>
      <c r="CL336" s="213"/>
      <c r="CM336" s="213"/>
      <c r="CN336" s="213"/>
      <c r="CO336" s="213"/>
      <c r="CP336" s="213"/>
      <c r="CQ336" s="213"/>
    </row>
    <row r="337" ht="15.75" customHeight="1">
      <c r="A337" s="213"/>
      <c r="B337" s="213"/>
      <c r="C337" s="213"/>
      <c r="D337" s="213"/>
      <c r="E337" s="213"/>
      <c r="F337" s="213"/>
      <c r="G337" s="213"/>
      <c r="H337" s="213"/>
      <c r="I337" s="213"/>
      <c r="J337" s="216"/>
      <c r="K337" s="213"/>
      <c r="L337" s="213"/>
      <c r="M337" s="213"/>
      <c r="N337" s="213"/>
      <c r="O337" s="213"/>
      <c r="P337" s="216"/>
      <c r="Q337" s="213"/>
      <c r="R337" s="213"/>
      <c r="S337" s="213"/>
      <c r="T337" s="213"/>
      <c r="U337" s="213"/>
      <c r="V337" s="216"/>
      <c r="W337" s="213"/>
      <c r="X337" s="213"/>
      <c r="Y337" s="213"/>
      <c r="Z337" s="213"/>
      <c r="AA337" s="213"/>
      <c r="AB337" s="216"/>
      <c r="AC337" s="213"/>
      <c r="AD337" s="213"/>
      <c r="AE337" s="213"/>
      <c r="AF337" s="213"/>
      <c r="AG337" s="213"/>
      <c r="AH337" s="216"/>
      <c r="AI337" s="213"/>
      <c r="AJ337" s="213"/>
      <c r="AK337" s="213"/>
      <c r="AL337" s="213"/>
      <c r="AM337" s="213"/>
      <c r="AN337" s="216"/>
      <c r="AO337" s="213"/>
      <c r="AP337" s="213"/>
      <c r="AQ337" s="213"/>
      <c r="AR337" s="213"/>
      <c r="AS337" s="213"/>
      <c r="AT337" s="216"/>
      <c r="AU337" s="213"/>
      <c r="AV337" s="213"/>
      <c r="AW337" s="213"/>
      <c r="AX337" s="213"/>
      <c r="AY337" s="213"/>
      <c r="AZ337" s="216"/>
      <c r="BA337" s="213"/>
      <c r="BB337" s="213"/>
      <c r="BC337" s="213"/>
      <c r="BD337" s="213"/>
      <c r="BE337" s="213"/>
      <c r="BF337" s="216"/>
      <c r="BG337" s="213"/>
      <c r="BH337" s="213"/>
      <c r="BI337" s="213"/>
      <c r="BJ337" s="213"/>
      <c r="BK337" s="213"/>
      <c r="BL337" s="216"/>
      <c r="BM337" s="213"/>
      <c r="BN337" s="213"/>
      <c r="BO337" s="213"/>
      <c r="BP337" s="213"/>
      <c r="BQ337" s="213"/>
      <c r="BR337" s="326"/>
      <c r="BS337" s="213"/>
      <c r="BT337" s="213"/>
      <c r="BU337" s="213"/>
      <c r="BV337" s="213"/>
      <c r="BW337" s="213"/>
      <c r="BX337" s="213"/>
      <c r="BY337" s="213"/>
      <c r="BZ337" s="213"/>
      <c r="CA337" s="213"/>
      <c r="CB337" s="213"/>
      <c r="CC337" s="213"/>
      <c r="CD337" s="213"/>
      <c r="CE337" s="213"/>
      <c r="CF337" s="213"/>
      <c r="CG337" s="213"/>
      <c r="CH337" s="213"/>
      <c r="CI337" s="213"/>
      <c r="CJ337" s="213"/>
      <c r="CK337" s="213"/>
      <c r="CL337" s="213"/>
      <c r="CM337" s="213"/>
      <c r="CN337" s="213"/>
      <c r="CO337" s="213"/>
      <c r="CP337" s="213"/>
      <c r="CQ337" s="213"/>
    </row>
    <row r="338" ht="15.75" customHeight="1">
      <c r="A338" s="213"/>
      <c r="B338" s="213"/>
      <c r="C338" s="213"/>
      <c r="D338" s="213"/>
      <c r="E338" s="213"/>
      <c r="F338" s="213"/>
      <c r="G338" s="213"/>
      <c r="H338" s="213"/>
      <c r="I338" s="213"/>
      <c r="J338" s="216"/>
      <c r="K338" s="213"/>
      <c r="L338" s="213"/>
      <c r="M338" s="213"/>
      <c r="N338" s="213"/>
      <c r="O338" s="213"/>
      <c r="P338" s="216"/>
      <c r="Q338" s="213"/>
      <c r="R338" s="213"/>
      <c r="S338" s="213"/>
      <c r="T338" s="213"/>
      <c r="U338" s="213"/>
      <c r="V338" s="216"/>
      <c r="W338" s="213"/>
      <c r="X338" s="213"/>
      <c r="Y338" s="213"/>
      <c r="Z338" s="213"/>
      <c r="AA338" s="213"/>
      <c r="AB338" s="216"/>
      <c r="AC338" s="213"/>
      <c r="AD338" s="213"/>
      <c r="AE338" s="213"/>
      <c r="AF338" s="213"/>
      <c r="AG338" s="213"/>
      <c r="AH338" s="216"/>
      <c r="AI338" s="213"/>
      <c r="AJ338" s="213"/>
      <c r="AK338" s="213"/>
      <c r="AL338" s="213"/>
      <c r="AM338" s="213"/>
      <c r="AN338" s="216"/>
      <c r="AO338" s="213"/>
      <c r="AP338" s="213"/>
      <c r="AQ338" s="213"/>
      <c r="AR338" s="213"/>
      <c r="AS338" s="213"/>
      <c r="AT338" s="216"/>
      <c r="AU338" s="213"/>
      <c r="AV338" s="213"/>
      <c r="AW338" s="213"/>
      <c r="AX338" s="213"/>
      <c r="AY338" s="213"/>
      <c r="AZ338" s="216"/>
      <c r="BA338" s="213"/>
      <c r="BB338" s="213"/>
      <c r="BC338" s="213"/>
      <c r="BD338" s="213"/>
      <c r="BE338" s="213"/>
      <c r="BF338" s="216"/>
      <c r="BG338" s="213"/>
      <c r="BH338" s="213"/>
      <c r="BI338" s="213"/>
      <c r="BJ338" s="213"/>
      <c r="BK338" s="213"/>
      <c r="BL338" s="216"/>
      <c r="BM338" s="213"/>
      <c r="BN338" s="213"/>
      <c r="BO338" s="213"/>
      <c r="BP338" s="213"/>
      <c r="BQ338" s="213"/>
      <c r="BR338" s="326"/>
      <c r="BS338" s="213"/>
      <c r="BT338" s="213"/>
      <c r="BU338" s="213"/>
      <c r="BV338" s="213"/>
      <c r="BW338" s="213"/>
      <c r="BX338" s="213"/>
      <c r="BY338" s="213"/>
      <c r="BZ338" s="213"/>
      <c r="CA338" s="213"/>
      <c r="CB338" s="213"/>
      <c r="CC338" s="213"/>
      <c r="CD338" s="213"/>
      <c r="CE338" s="213"/>
      <c r="CF338" s="213"/>
      <c r="CG338" s="213"/>
      <c r="CH338" s="213"/>
      <c r="CI338" s="213"/>
      <c r="CJ338" s="213"/>
      <c r="CK338" s="213"/>
      <c r="CL338" s="213"/>
      <c r="CM338" s="213"/>
      <c r="CN338" s="213"/>
      <c r="CO338" s="213"/>
      <c r="CP338" s="213"/>
      <c r="CQ338" s="213"/>
    </row>
    <row r="339" ht="15.75" customHeight="1">
      <c r="A339" s="213"/>
      <c r="B339" s="213"/>
      <c r="C339" s="213"/>
      <c r="D339" s="213"/>
      <c r="E339" s="213"/>
      <c r="F339" s="213"/>
      <c r="G339" s="213"/>
      <c r="H339" s="213"/>
      <c r="I339" s="213"/>
      <c r="J339" s="216"/>
      <c r="K339" s="213"/>
      <c r="L339" s="213"/>
      <c r="M339" s="213"/>
      <c r="N339" s="213"/>
      <c r="O339" s="213"/>
      <c r="P339" s="216"/>
      <c r="Q339" s="213"/>
      <c r="R339" s="213"/>
      <c r="S339" s="213"/>
      <c r="T339" s="213"/>
      <c r="U339" s="213"/>
      <c r="V339" s="216"/>
      <c r="W339" s="213"/>
      <c r="X339" s="213"/>
      <c r="Y339" s="213"/>
      <c r="Z339" s="213"/>
      <c r="AA339" s="213"/>
      <c r="AB339" s="216"/>
      <c r="AC339" s="213"/>
      <c r="AD339" s="213"/>
      <c r="AE339" s="213"/>
      <c r="AF339" s="213"/>
      <c r="AG339" s="213"/>
      <c r="AH339" s="216"/>
      <c r="AI339" s="213"/>
      <c r="AJ339" s="213"/>
      <c r="AK339" s="213"/>
      <c r="AL339" s="213"/>
      <c r="AM339" s="213"/>
      <c r="AN339" s="216"/>
      <c r="AO339" s="213"/>
      <c r="AP339" s="213"/>
      <c r="AQ339" s="213"/>
      <c r="AR339" s="213"/>
      <c r="AS339" s="213"/>
      <c r="AT339" s="216"/>
      <c r="AU339" s="213"/>
      <c r="AV339" s="213"/>
      <c r="AW339" s="213"/>
      <c r="AX339" s="213"/>
      <c r="AY339" s="213"/>
      <c r="AZ339" s="216"/>
      <c r="BA339" s="213"/>
      <c r="BB339" s="213"/>
      <c r="BC339" s="213"/>
      <c r="BD339" s="213"/>
      <c r="BE339" s="213"/>
      <c r="BF339" s="216"/>
      <c r="BG339" s="213"/>
      <c r="BH339" s="213"/>
      <c r="BI339" s="213"/>
      <c r="BJ339" s="213"/>
      <c r="BK339" s="213"/>
      <c r="BL339" s="216"/>
      <c r="BM339" s="213"/>
      <c r="BN339" s="213"/>
      <c r="BO339" s="213"/>
      <c r="BP339" s="213"/>
      <c r="BQ339" s="213"/>
      <c r="BR339" s="326"/>
      <c r="BS339" s="213"/>
      <c r="BT339" s="213"/>
      <c r="BU339" s="213"/>
      <c r="BV339" s="213"/>
      <c r="BW339" s="213"/>
      <c r="BX339" s="213"/>
      <c r="BY339" s="213"/>
      <c r="BZ339" s="213"/>
      <c r="CA339" s="213"/>
      <c r="CB339" s="213"/>
      <c r="CC339" s="213"/>
      <c r="CD339" s="213"/>
      <c r="CE339" s="213"/>
      <c r="CF339" s="213"/>
      <c r="CG339" s="213"/>
      <c r="CH339" s="213"/>
      <c r="CI339" s="213"/>
      <c r="CJ339" s="213"/>
      <c r="CK339" s="213"/>
      <c r="CL339" s="213"/>
      <c r="CM339" s="213"/>
      <c r="CN339" s="213"/>
      <c r="CO339" s="213"/>
      <c r="CP339" s="213"/>
      <c r="CQ339" s="213"/>
    </row>
    <row r="340" ht="15.75" customHeight="1">
      <c r="A340" s="213"/>
      <c r="B340" s="213"/>
      <c r="C340" s="213"/>
      <c r="D340" s="213"/>
      <c r="E340" s="213"/>
      <c r="F340" s="213"/>
      <c r="G340" s="213"/>
      <c r="H340" s="213"/>
      <c r="I340" s="213"/>
      <c r="J340" s="216"/>
      <c r="K340" s="213"/>
      <c r="L340" s="213"/>
      <c r="M340" s="213"/>
      <c r="N340" s="213"/>
      <c r="O340" s="213"/>
      <c r="P340" s="216"/>
      <c r="Q340" s="213"/>
      <c r="R340" s="213"/>
      <c r="S340" s="213"/>
      <c r="T340" s="213"/>
      <c r="U340" s="213"/>
      <c r="V340" s="216"/>
      <c r="W340" s="213"/>
      <c r="X340" s="213"/>
      <c r="Y340" s="213"/>
      <c r="Z340" s="213"/>
      <c r="AA340" s="213"/>
      <c r="AB340" s="216"/>
      <c r="AC340" s="213"/>
      <c r="AD340" s="213"/>
      <c r="AE340" s="213"/>
      <c r="AF340" s="213"/>
      <c r="AG340" s="213"/>
      <c r="AH340" s="216"/>
      <c r="AI340" s="213"/>
      <c r="AJ340" s="213"/>
      <c r="AK340" s="213"/>
      <c r="AL340" s="213"/>
      <c r="AM340" s="213"/>
      <c r="AN340" s="216"/>
      <c r="AO340" s="213"/>
      <c r="AP340" s="213"/>
      <c r="AQ340" s="213"/>
      <c r="AR340" s="213"/>
      <c r="AS340" s="213"/>
      <c r="AT340" s="216"/>
      <c r="AU340" s="213"/>
      <c r="AV340" s="213"/>
      <c r="AW340" s="213"/>
      <c r="AX340" s="213"/>
      <c r="AY340" s="213"/>
      <c r="AZ340" s="216"/>
      <c r="BA340" s="213"/>
      <c r="BB340" s="213"/>
      <c r="BC340" s="213"/>
      <c r="BD340" s="213"/>
      <c r="BE340" s="213"/>
      <c r="BF340" s="216"/>
      <c r="BG340" s="213"/>
      <c r="BH340" s="213"/>
      <c r="BI340" s="213"/>
      <c r="BJ340" s="213"/>
      <c r="BK340" s="213"/>
      <c r="BL340" s="216"/>
      <c r="BM340" s="213"/>
      <c r="BN340" s="213"/>
      <c r="BO340" s="213"/>
      <c r="BP340" s="213"/>
      <c r="BQ340" s="213"/>
      <c r="BR340" s="326"/>
      <c r="BS340" s="213"/>
      <c r="BT340" s="213"/>
      <c r="BU340" s="213"/>
      <c r="BV340" s="213"/>
      <c r="BW340" s="213"/>
      <c r="BX340" s="213"/>
      <c r="BY340" s="213"/>
      <c r="BZ340" s="213"/>
      <c r="CA340" s="213"/>
      <c r="CB340" s="213"/>
      <c r="CC340" s="213"/>
      <c r="CD340" s="213"/>
      <c r="CE340" s="213"/>
      <c r="CF340" s="213"/>
      <c r="CG340" s="213"/>
      <c r="CH340" s="213"/>
      <c r="CI340" s="213"/>
      <c r="CJ340" s="213"/>
      <c r="CK340" s="213"/>
      <c r="CL340" s="213"/>
      <c r="CM340" s="213"/>
      <c r="CN340" s="213"/>
      <c r="CO340" s="213"/>
      <c r="CP340" s="213"/>
      <c r="CQ340" s="213"/>
    </row>
    <row r="341" ht="15.75" customHeight="1">
      <c r="A341" s="213"/>
      <c r="B341" s="213"/>
      <c r="C341" s="213"/>
      <c r="D341" s="213"/>
      <c r="E341" s="213"/>
      <c r="F341" s="213"/>
      <c r="G341" s="213"/>
      <c r="H341" s="213"/>
      <c r="I341" s="213"/>
      <c r="J341" s="216"/>
      <c r="K341" s="213"/>
      <c r="L341" s="213"/>
      <c r="M341" s="213"/>
      <c r="N341" s="213"/>
      <c r="O341" s="213"/>
      <c r="P341" s="216"/>
      <c r="Q341" s="213"/>
      <c r="R341" s="213"/>
      <c r="S341" s="213"/>
      <c r="T341" s="213"/>
      <c r="U341" s="213"/>
      <c r="V341" s="216"/>
      <c r="W341" s="213"/>
      <c r="X341" s="213"/>
      <c r="Y341" s="213"/>
      <c r="Z341" s="213"/>
      <c r="AA341" s="213"/>
      <c r="AB341" s="216"/>
      <c r="AC341" s="213"/>
      <c r="AD341" s="213"/>
      <c r="AE341" s="213"/>
      <c r="AF341" s="213"/>
      <c r="AG341" s="213"/>
      <c r="AH341" s="216"/>
      <c r="AI341" s="213"/>
      <c r="AJ341" s="213"/>
      <c r="AK341" s="213"/>
      <c r="AL341" s="213"/>
      <c r="AM341" s="213"/>
      <c r="AN341" s="216"/>
      <c r="AO341" s="213"/>
      <c r="AP341" s="213"/>
      <c r="AQ341" s="213"/>
      <c r="AR341" s="213"/>
      <c r="AS341" s="213"/>
      <c r="AT341" s="216"/>
      <c r="AU341" s="213"/>
      <c r="AV341" s="213"/>
      <c r="AW341" s="213"/>
      <c r="AX341" s="213"/>
      <c r="AY341" s="213"/>
      <c r="AZ341" s="216"/>
      <c r="BA341" s="213"/>
      <c r="BB341" s="213"/>
      <c r="BC341" s="213"/>
      <c r="BD341" s="213"/>
      <c r="BE341" s="213"/>
      <c r="BF341" s="216"/>
      <c r="BG341" s="213"/>
      <c r="BH341" s="213"/>
      <c r="BI341" s="213"/>
      <c r="BJ341" s="213"/>
      <c r="BK341" s="213"/>
      <c r="BL341" s="216"/>
      <c r="BM341" s="213"/>
      <c r="BN341" s="213"/>
      <c r="BO341" s="213"/>
      <c r="BP341" s="213"/>
      <c r="BQ341" s="213"/>
      <c r="BR341" s="326"/>
      <c r="BS341" s="213"/>
      <c r="BT341" s="213"/>
      <c r="BU341" s="213"/>
      <c r="BV341" s="213"/>
      <c r="BW341" s="213"/>
      <c r="BX341" s="213"/>
      <c r="BY341" s="213"/>
      <c r="BZ341" s="213"/>
      <c r="CA341" s="213"/>
      <c r="CB341" s="213"/>
      <c r="CC341" s="213"/>
      <c r="CD341" s="213"/>
      <c r="CE341" s="213"/>
      <c r="CF341" s="213"/>
      <c r="CG341" s="213"/>
      <c r="CH341" s="213"/>
      <c r="CI341" s="213"/>
      <c r="CJ341" s="213"/>
      <c r="CK341" s="213"/>
      <c r="CL341" s="213"/>
      <c r="CM341" s="213"/>
      <c r="CN341" s="213"/>
      <c r="CO341" s="213"/>
      <c r="CP341" s="213"/>
      <c r="CQ341" s="213"/>
    </row>
    <row r="342" ht="15.75" customHeight="1">
      <c r="A342" s="213"/>
      <c r="B342" s="213"/>
      <c r="C342" s="213"/>
      <c r="D342" s="213"/>
      <c r="E342" s="213"/>
      <c r="F342" s="213"/>
      <c r="G342" s="213"/>
      <c r="H342" s="213"/>
      <c r="I342" s="213"/>
      <c r="J342" s="216"/>
      <c r="K342" s="213"/>
      <c r="L342" s="213"/>
      <c r="M342" s="213"/>
      <c r="N342" s="213"/>
      <c r="O342" s="213"/>
      <c r="P342" s="216"/>
      <c r="Q342" s="213"/>
      <c r="R342" s="213"/>
      <c r="S342" s="213"/>
      <c r="T342" s="213"/>
      <c r="U342" s="213"/>
      <c r="V342" s="216"/>
      <c r="W342" s="213"/>
      <c r="X342" s="213"/>
      <c r="Y342" s="213"/>
      <c r="Z342" s="213"/>
      <c r="AA342" s="213"/>
      <c r="AB342" s="216"/>
      <c r="AC342" s="213"/>
      <c r="AD342" s="213"/>
      <c r="AE342" s="213"/>
      <c r="AF342" s="213"/>
      <c r="AG342" s="213"/>
      <c r="AH342" s="216"/>
      <c r="AI342" s="213"/>
      <c r="AJ342" s="213"/>
      <c r="AK342" s="213"/>
      <c r="AL342" s="213"/>
      <c r="AM342" s="213"/>
      <c r="AN342" s="216"/>
      <c r="AO342" s="213"/>
      <c r="AP342" s="213"/>
      <c r="AQ342" s="213"/>
      <c r="AR342" s="213"/>
      <c r="AS342" s="213"/>
      <c r="AT342" s="216"/>
      <c r="AU342" s="213"/>
      <c r="AV342" s="213"/>
      <c r="AW342" s="213"/>
      <c r="AX342" s="213"/>
      <c r="AY342" s="213"/>
      <c r="AZ342" s="216"/>
      <c r="BA342" s="213"/>
      <c r="BB342" s="213"/>
      <c r="BC342" s="213"/>
      <c r="BD342" s="213"/>
      <c r="BE342" s="213"/>
      <c r="BF342" s="216"/>
      <c r="BG342" s="213"/>
      <c r="BH342" s="213"/>
      <c r="BI342" s="213"/>
      <c r="BJ342" s="213"/>
      <c r="BK342" s="213"/>
      <c r="BL342" s="216"/>
      <c r="BM342" s="213"/>
      <c r="BN342" s="213"/>
      <c r="BO342" s="213"/>
      <c r="BP342" s="213"/>
      <c r="BQ342" s="213"/>
      <c r="BR342" s="326"/>
      <c r="BS342" s="213"/>
      <c r="BT342" s="213"/>
      <c r="BU342" s="213"/>
      <c r="BV342" s="213"/>
      <c r="BW342" s="213"/>
      <c r="BX342" s="213"/>
      <c r="BY342" s="213"/>
      <c r="BZ342" s="213"/>
      <c r="CA342" s="213"/>
      <c r="CB342" s="213"/>
      <c r="CC342" s="213"/>
      <c r="CD342" s="213"/>
      <c r="CE342" s="213"/>
      <c r="CF342" s="213"/>
      <c r="CG342" s="213"/>
      <c r="CH342" s="213"/>
      <c r="CI342" s="213"/>
      <c r="CJ342" s="213"/>
      <c r="CK342" s="213"/>
      <c r="CL342" s="213"/>
      <c r="CM342" s="213"/>
      <c r="CN342" s="213"/>
      <c r="CO342" s="213"/>
      <c r="CP342" s="213"/>
      <c r="CQ342" s="213"/>
    </row>
    <row r="343" ht="15.75" customHeight="1">
      <c r="A343" s="213"/>
      <c r="B343" s="213"/>
      <c r="C343" s="213"/>
      <c r="D343" s="213"/>
      <c r="E343" s="213"/>
      <c r="F343" s="213"/>
      <c r="G343" s="213"/>
      <c r="H343" s="213"/>
      <c r="I343" s="213"/>
      <c r="J343" s="216"/>
      <c r="K343" s="213"/>
      <c r="L343" s="213"/>
      <c r="M343" s="213"/>
      <c r="N343" s="213"/>
      <c r="O343" s="213"/>
      <c r="P343" s="216"/>
      <c r="Q343" s="213"/>
      <c r="R343" s="213"/>
      <c r="S343" s="213"/>
      <c r="T343" s="213"/>
      <c r="U343" s="213"/>
      <c r="V343" s="216"/>
      <c r="W343" s="213"/>
      <c r="X343" s="213"/>
      <c r="Y343" s="213"/>
      <c r="Z343" s="213"/>
      <c r="AA343" s="213"/>
      <c r="AB343" s="216"/>
      <c r="AC343" s="213"/>
      <c r="AD343" s="213"/>
      <c r="AE343" s="213"/>
      <c r="AF343" s="213"/>
      <c r="AG343" s="213"/>
      <c r="AH343" s="216"/>
      <c r="AI343" s="213"/>
      <c r="AJ343" s="213"/>
      <c r="AK343" s="213"/>
      <c r="AL343" s="213"/>
      <c r="AM343" s="213"/>
      <c r="AN343" s="216"/>
      <c r="AO343" s="213"/>
      <c r="AP343" s="213"/>
      <c r="AQ343" s="213"/>
      <c r="AR343" s="213"/>
      <c r="AS343" s="213"/>
      <c r="AT343" s="216"/>
      <c r="AU343" s="213"/>
      <c r="AV343" s="213"/>
      <c r="AW343" s="213"/>
      <c r="AX343" s="213"/>
      <c r="AY343" s="213"/>
      <c r="AZ343" s="216"/>
      <c r="BA343" s="213"/>
      <c r="BB343" s="213"/>
      <c r="BC343" s="213"/>
      <c r="BD343" s="213"/>
      <c r="BE343" s="213"/>
      <c r="BF343" s="216"/>
      <c r="BG343" s="213"/>
      <c r="BH343" s="213"/>
      <c r="BI343" s="213"/>
      <c r="BJ343" s="213"/>
      <c r="BK343" s="213"/>
      <c r="BL343" s="216"/>
      <c r="BM343" s="213"/>
      <c r="BN343" s="213"/>
      <c r="BO343" s="213"/>
      <c r="BP343" s="213"/>
      <c r="BQ343" s="213"/>
      <c r="BR343" s="326"/>
      <c r="BS343" s="213"/>
      <c r="BT343" s="213"/>
      <c r="BU343" s="213"/>
      <c r="BV343" s="213"/>
      <c r="BW343" s="213"/>
      <c r="BX343" s="213"/>
      <c r="BY343" s="213"/>
      <c r="BZ343" s="213"/>
      <c r="CA343" s="213"/>
      <c r="CB343" s="213"/>
      <c r="CC343" s="213"/>
      <c r="CD343" s="213"/>
      <c r="CE343" s="213"/>
      <c r="CF343" s="213"/>
      <c r="CG343" s="213"/>
      <c r="CH343" s="213"/>
      <c r="CI343" s="213"/>
      <c r="CJ343" s="213"/>
      <c r="CK343" s="213"/>
      <c r="CL343" s="213"/>
      <c r="CM343" s="213"/>
      <c r="CN343" s="213"/>
      <c r="CO343" s="213"/>
      <c r="CP343" s="213"/>
      <c r="CQ343" s="213"/>
    </row>
    <row r="344" ht="15.75" customHeight="1">
      <c r="A344" s="213"/>
      <c r="B344" s="213"/>
      <c r="C344" s="213"/>
      <c r="D344" s="213"/>
      <c r="E344" s="213"/>
      <c r="F344" s="213"/>
      <c r="G344" s="213"/>
      <c r="H344" s="213"/>
      <c r="I344" s="213"/>
      <c r="J344" s="216"/>
      <c r="K344" s="213"/>
      <c r="L344" s="213"/>
      <c r="M344" s="213"/>
      <c r="N344" s="213"/>
      <c r="O344" s="213"/>
      <c r="P344" s="216"/>
      <c r="Q344" s="213"/>
      <c r="R344" s="213"/>
      <c r="S344" s="213"/>
      <c r="T344" s="213"/>
      <c r="U344" s="213"/>
      <c r="V344" s="216"/>
      <c r="W344" s="213"/>
      <c r="X344" s="213"/>
      <c r="Y344" s="213"/>
      <c r="Z344" s="213"/>
      <c r="AA344" s="213"/>
      <c r="AB344" s="216"/>
      <c r="AC344" s="213"/>
      <c r="AD344" s="213"/>
      <c r="AE344" s="213"/>
      <c r="AF344" s="213"/>
      <c r="AG344" s="213"/>
      <c r="AH344" s="216"/>
      <c r="AI344" s="213"/>
      <c r="AJ344" s="213"/>
      <c r="AK344" s="213"/>
      <c r="AL344" s="213"/>
      <c r="AM344" s="213"/>
      <c r="AN344" s="216"/>
      <c r="AO344" s="213"/>
      <c r="AP344" s="213"/>
      <c r="AQ344" s="213"/>
      <c r="AR344" s="213"/>
      <c r="AS344" s="213"/>
      <c r="AT344" s="216"/>
      <c r="AU344" s="213"/>
      <c r="AV344" s="213"/>
      <c r="AW344" s="213"/>
      <c r="AX344" s="213"/>
      <c r="AY344" s="213"/>
      <c r="AZ344" s="216"/>
      <c r="BA344" s="213"/>
      <c r="BB344" s="213"/>
      <c r="BC344" s="213"/>
      <c r="BD344" s="213"/>
      <c r="BE344" s="213"/>
      <c r="BF344" s="216"/>
      <c r="BG344" s="213"/>
      <c r="BH344" s="213"/>
      <c r="BI344" s="213"/>
      <c r="BJ344" s="213"/>
      <c r="BK344" s="213"/>
      <c r="BL344" s="216"/>
      <c r="BM344" s="213"/>
      <c r="BN344" s="213"/>
      <c r="BO344" s="213"/>
      <c r="BP344" s="213"/>
      <c r="BQ344" s="213"/>
      <c r="BR344" s="326"/>
      <c r="BS344" s="213"/>
      <c r="BT344" s="213"/>
      <c r="BU344" s="213"/>
      <c r="BV344" s="213"/>
      <c r="BW344" s="213"/>
      <c r="BX344" s="213"/>
      <c r="BY344" s="213"/>
      <c r="BZ344" s="213"/>
      <c r="CA344" s="213"/>
      <c r="CB344" s="213"/>
      <c r="CC344" s="213"/>
      <c r="CD344" s="213"/>
      <c r="CE344" s="213"/>
      <c r="CF344" s="213"/>
      <c r="CG344" s="213"/>
      <c r="CH344" s="213"/>
      <c r="CI344" s="213"/>
      <c r="CJ344" s="213"/>
      <c r="CK344" s="213"/>
      <c r="CL344" s="213"/>
      <c r="CM344" s="213"/>
      <c r="CN344" s="213"/>
      <c r="CO344" s="213"/>
      <c r="CP344" s="213"/>
      <c r="CQ344" s="213"/>
    </row>
    <row r="345" ht="15.75" customHeight="1">
      <c r="A345" s="213"/>
      <c r="B345" s="213"/>
      <c r="C345" s="213"/>
      <c r="D345" s="213"/>
      <c r="E345" s="213"/>
      <c r="F345" s="213"/>
      <c r="G345" s="213"/>
      <c r="H345" s="213"/>
      <c r="I345" s="213"/>
      <c r="J345" s="216"/>
      <c r="K345" s="213"/>
      <c r="L345" s="213"/>
      <c r="M345" s="213"/>
      <c r="N345" s="213"/>
      <c r="O345" s="213"/>
      <c r="P345" s="216"/>
      <c r="Q345" s="213"/>
      <c r="R345" s="213"/>
      <c r="S345" s="213"/>
      <c r="T345" s="213"/>
      <c r="U345" s="213"/>
      <c r="V345" s="216"/>
      <c r="W345" s="213"/>
      <c r="X345" s="213"/>
      <c r="Y345" s="213"/>
      <c r="Z345" s="213"/>
      <c r="AA345" s="213"/>
      <c r="AB345" s="216"/>
      <c r="AC345" s="213"/>
      <c r="AD345" s="213"/>
      <c r="AE345" s="213"/>
      <c r="AF345" s="213"/>
      <c r="AG345" s="213"/>
      <c r="AH345" s="216"/>
      <c r="AI345" s="213"/>
      <c r="AJ345" s="213"/>
      <c r="AK345" s="213"/>
      <c r="AL345" s="213"/>
      <c r="AM345" s="213"/>
      <c r="AN345" s="216"/>
      <c r="AO345" s="213"/>
      <c r="AP345" s="213"/>
      <c r="AQ345" s="213"/>
      <c r="AR345" s="213"/>
      <c r="AS345" s="213"/>
      <c r="AT345" s="216"/>
      <c r="AU345" s="213"/>
      <c r="AV345" s="213"/>
      <c r="AW345" s="213"/>
      <c r="AX345" s="213"/>
      <c r="AY345" s="213"/>
      <c r="AZ345" s="216"/>
      <c r="BA345" s="213"/>
      <c r="BB345" s="213"/>
      <c r="BC345" s="213"/>
      <c r="BD345" s="213"/>
      <c r="BE345" s="213"/>
      <c r="BF345" s="216"/>
      <c r="BG345" s="213"/>
      <c r="BH345" s="213"/>
      <c r="BI345" s="213"/>
      <c r="BJ345" s="213"/>
      <c r="BK345" s="213"/>
      <c r="BL345" s="216"/>
      <c r="BM345" s="213"/>
      <c r="BN345" s="213"/>
      <c r="BO345" s="213"/>
      <c r="BP345" s="213"/>
      <c r="BQ345" s="213"/>
      <c r="BR345" s="326"/>
      <c r="BS345" s="213"/>
      <c r="BT345" s="213"/>
      <c r="BU345" s="213"/>
      <c r="BV345" s="213"/>
      <c r="BW345" s="213"/>
      <c r="BX345" s="213"/>
      <c r="BY345" s="213"/>
      <c r="BZ345" s="213"/>
      <c r="CA345" s="213"/>
      <c r="CB345" s="213"/>
      <c r="CC345" s="213"/>
      <c r="CD345" s="213"/>
      <c r="CE345" s="213"/>
      <c r="CF345" s="213"/>
      <c r="CG345" s="213"/>
      <c r="CH345" s="213"/>
      <c r="CI345" s="213"/>
      <c r="CJ345" s="213"/>
      <c r="CK345" s="213"/>
      <c r="CL345" s="213"/>
      <c r="CM345" s="213"/>
      <c r="CN345" s="213"/>
      <c r="CO345" s="213"/>
      <c r="CP345" s="213"/>
      <c r="CQ345" s="213"/>
    </row>
    <row r="346" ht="15.75" customHeight="1">
      <c r="A346" s="213"/>
      <c r="B346" s="213"/>
      <c r="C346" s="213"/>
      <c r="D346" s="213"/>
      <c r="E346" s="213"/>
      <c r="F346" s="213"/>
      <c r="G346" s="213"/>
      <c r="H346" s="213"/>
      <c r="I346" s="213"/>
      <c r="J346" s="216"/>
      <c r="K346" s="213"/>
      <c r="L346" s="213"/>
      <c r="M346" s="213"/>
      <c r="N346" s="213"/>
      <c r="O346" s="213"/>
      <c r="P346" s="216"/>
      <c r="Q346" s="213"/>
      <c r="R346" s="213"/>
      <c r="S346" s="213"/>
      <c r="T346" s="213"/>
      <c r="U346" s="213"/>
      <c r="V346" s="216"/>
      <c r="W346" s="213"/>
      <c r="X346" s="213"/>
      <c r="Y346" s="213"/>
      <c r="Z346" s="213"/>
      <c r="AA346" s="213"/>
      <c r="AB346" s="216"/>
      <c r="AC346" s="213"/>
      <c r="AD346" s="213"/>
      <c r="AE346" s="213"/>
      <c r="AF346" s="213"/>
      <c r="AG346" s="213"/>
      <c r="AH346" s="216"/>
      <c r="AI346" s="213"/>
      <c r="AJ346" s="213"/>
      <c r="AK346" s="213"/>
      <c r="AL346" s="213"/>
      <c r="AM346" s="213"/>
      <c r="AN346" s="216"/>
      <c r="AO346" s="213"/>
      <c r="AP346" s="213"/>
      <c r="AQ346" s="213"/>
      <c r="AR346" s="213"/>
      <c r="AS346" s="213"/>
      <c r="AT346" s="216"/>
      <c r="AU346" s="213"/>
      <c r="AV346" s="213"/>
      <c r="AW346" s="213"/>
      <c r="AX346" s="213"/>
      <c r="AY346" s="213"/>
      <c r="AZ346" s="216"/>
      <c r="BA346" s="213"/>
      <c r="BB346" s="213"/>
      <c r="BC346" s="213"/>
      <c r="BD346" s="213"/>
      <c r="BE346" s="213"/>
      <c r="BF346" s="216"/>
      <c r="BG346" s="213"/>
      <c r="BH346" s="213"/>
      <c r="BI346" s="213"/>
      <c r="BJ346" s="213"/>
      <c r="BK346" s="213"/>
      <c r="BL346" s="216"/>
      <c r="BM346" s="213"/>
      <c r="BN346" s="213"/>
      <c r="BO346" s="213"/>
      <c r="BP346" s="213"/>
      <c r="BQ346" s="213"/>
      <c r="BR346" s="326"/>
      <c r="BS346" s="213"/>
      <c r="BT346" s="213"/>
      <c r="BU346" s="213"/>
      <c r="BV346" s="213"/>
      <c r="BW346" s="213"/>
      <c r="BX346" s="213"/>
      <c r="BY346" s="213"/>
      <c r="BZ346" s="213"/>
      <c r="CA346" s="213"/>
      <c r="CB346" s="213"/>
      <c r="CC346" s="213"/>
      <c r="CD346" s="213"/>
      <c r="CE346" s="213"/>
      <c r="CF346" s="213"/>
      <c r="CG346" s="213"/>
      <c r="CH346" s="213"/>
      <c r="CI346" s="213"/>
      <c r="CJ346" s="213"/>
      <c r="CK346" s="213"/>
      <c r="CL346" s="213"/>
      <c r="CM346" s="213"/>
      <c r="CN346" s="213"/>
      <c r="CO346" s="213"/>
      <c r="CP346" s="213"/>
      <c r="CQ346" s="213"/>
    </row>
    <row r="347" ht="15.75" customHeight="1">
      <c r="A347" s="213"/>
      <c r="B347" s="213"/>
      <c r="C347" s="213"/>
      <c r="D347" s="213"/>
      <c r="E347" s="213"/>
      <c r="F347" s="213"/>
      <c r="G347" s="213"/>
      <c r="H347" s="213"/>
      <c r="I347" s="213"/>
      <c r="J347" s="216"/>
      <c r="K347" s="213"/>
      <c r="L347" s="213"/>
      <c r="M347" s="213"/>
      <c r="N347" s="213"/>
      <c r="O347" s="213"/>
      <c r="P347" s="216"/>
      <c r="Q347" s="213"/>
      <c r="R347" s="213"/>
      <c r="S347" s="213"/>
      <c r="T347" s="213"/>
      <c r="U347" s="213"/>
      <c r="V347" s="216"/>
      <c r="W347" s="213"/>
      <c r="X347" s="213"/>
      <c r="Y347" s="213"/>
      <c r="Z347" s="213"/>
      <c r="AA347" s="213"/>
      <c r="AB347" s="216"/>
      <c r="AC347" s="213"/>
      <c r="AD347" s="213"/>
      <c r="AE347" s="213"/>
      <c r="AF347" s="213"/>
      <c r="AG347" s="213"/>
      <c r="AH347" s="216"/>
      <c r="AI347" s="213"/>
      <c r="AJ347" s="213"/>
      <c r="AK347" s="213"/>
      <c r="AL347" s="213"/>
      <c r="AM347" s="213"/>
      <c r="AN347" s="216"/>
      <c r="AO347" s="213"/>
      <c r="AP347" s="213"/>
      <c r="AQ347" s="213"/>
      <c r="AR347" s="213"/>
      <c r="AS347" s="213"/>
      <c r="AT347" s="216"/>
      <c r="AU347" s="213"/>
      <c r="AV347" s="213"/>
      <c r="AW347" s="213"/>
      <c r="AX347" s="213"/>
      <c r="AY347" s="213"/>
      <c r="AZ347" s="216"/>
      <c r="BA347" s="213"/>
      <c r="BB347" s="213"/>
      <c r="BC347" s="213"/>
      <c r="BD347" s="213"/>
      <c r="BE347" s="213"/>
      <c r="BF347" s="216"/>
      <c r="BG347" s="213"/>
      <c r="BH347" s="213"/>
      <c r="BI347" s="213"/>
      <c r="BJ347" s="213"/>
      <c r="BK347" s="213"/>
      <c r="BL347" s="216"/>
      <c r="BM347" s="213"/>
      <c r="BN347" s="213"/>
      <c r="BO347" s="213"/>
      <c r="BP347" s="213"/>
      <c r="BQ347" s="213"/>
      <c r="BR347" s="326"/>
      <c r="BS347" s="213"/>
      <c r="BT347" s="213"/>
      <c r="BU347" s="213"/>
      <c r="BV347" s="213"/>
      <c r="BW347" s="213"/>
      <c r="BX347" s="213"/>
      <c r="BY347" s="213"/>
      <c r="BZ347" s="213"/>
      <c r="CA347" s="213"/>
      <c r="CB347" s="213"/>
      <c r="CC347" s="213"/>
      <c r="CD347" s="213"/>
      <c r="CE347" s="213"/>
      <c r="CF347" s="213"/>
      <c r="CG347" s="213"/>
      <c r="CH347" s="213"/>
      <c r="CI347" s="213"/>
      <c r="CJ347" s="213"/>
      <c r="CK347" s="213"/>
      <c r="CL347" s="213"/>
      <c r="CM347" s="213"/>
      <c r="CN347" s="213"/>
      <c r="CO347" s="213"/>
      <c r="CP347" s="213"/>
      <c r="CQ347" s="213"/>
    </row>
    <row r="348" ht="15.75" customHeight="1">
      <c r="A348" s="213"/>
      <c r="B348" s="213"/>
      <c r="C348" s="213"/>
      <c r="D348" s="213"/>
      <c r="E348" s="213"/>
      <c r="F348" s="213"/>
      <c r="G348" s="213"/>
      <c r="H348" s="213"/>
      <c r="I348" s="213"/>
      <c r="J348" s="216"/>
      <c r="K348" s="213"/>
      <c r="L348" s="213"/>
      <c r="M348" s="213"/>
      <c r="N348" s="213"/>
      <c r="O348" s="213"/>
      <c r="P348" s="216"/>
      <c r="Q348" s="213"/>
      <c r="R348" s="213"/>
      <c r="S348" s="213"/>
      <c r="T348" s="213"/>
      <c r="U348" s="213"/>
      <c r="V348" s="216"/>
      <c r="W348" s="213"/>
      <c r="X348" s="213"/>
      <c r="Y348" s="213"/>
      <c r="Z348" s="213"/>
      <c r="AA348" s="213"/>
      <c r="AB348" s="216"/>
      <c r="AC348" s="213"/>
      <c r="AD348" s="213"/>
      <c r="AE348" s="213"/>
      <c r="AF348" s="213"/>
      <c r="AG348" s="213"/>
      <c r="AH348" s="216"/>
      <c r="AI348" s="213"/>
      <c r="AJ348" s="213"/>
      <c r="AK348" s="213"/>
      <c r="AL348" s="213"/>
      <c r="AM348" s="213"/>
      <c r="AN348" s="216"/>
      <c r="AO348" s="213"/>
      <c r="AP348" s="213"/>
      <c r="AQ348" s="213"/>
      <c r="AR348" s="213"/>
      <c r="AS348" s="213"/>
      <c r="AT348" s="216"/>
      <c r="AU348" s="213"/>
      <c r="AV348" s="213"/>
      <c r="AW348" s="213"/>
      <c r="AX348" s="213"/>
      <c r="AY348" s="213"/>
      <c r="AZ348" s="216"/>
      <c r="BA348" s="213"/>
      <c r="BB348" s="213"/>
      <c r="BC348" s="213"/>
      <c r="BD348" s="213"/>
      <c r="BE348" s="213"/>
      <c r="BF348" s="216"/>
      <c r="BG348" s="213"/>
      <c r="BH348" s="213"/>
      <c r="BI348" s="213"/>
      <c r="BJ348" s="213"/>
      <c r="BK348" s="213"/>
      <c r="BL348" s="216"/>
      <c r="BM348" s="213"/>
      <c r="BN348" s="213"/>
      <c r="BO348" s="213"/>
      <c r="BP348" s="213"/>
      <c r="BQ348" s="213"/>
      <c r="BR348" s="326"/>
      <c r="BS348" s="213"/>
      <c r="BT348" s="213"/>
      <c r="BU348" s="213"/>
      <c r="BV348" s="213"/>
      <c r="BW348" s="213"/>
      <c r="BX348" s="213"/>
      <c r="BY348" s="213"/>
      <c r="BZ348" s="213"/>
      <c r="CA348" s="213"/>
      <c r="CB348" s="213"/>
      <c r="CC348" s="213"/>
      <c r="CD348" s="213"/>
      <c r="CE348" s="213"/>
      <c r="CF348" s="213"/>
      <c r="CG348" s="213"/>
      <c r="CH348" s="213"/>
      <c r="CI348" s="213"/>
      <c r="CJ348" s="213"/>
      <c r="CK348" s="213"/>
      <c r="CL348" s="213"/>
      <c r="CM348" s="213"/>
      <c r="CN348" s="213"/>
      <c r="CO348" s="213"/>
      <c r="CP348" s="213"/>
      <c r="CQ348" s="213"/>
    </row>
    <row r="349" ht="15.75" customHeight="1">
      <c r="A349" s="213"/>
      <c r="B349" s="213"/>
      <c r="C349" s="213"/>
      <c r="D349" s="213"/>
      <c r="E349" s="213"/>
      <c r="F349" s="213"/>
      <c r="G349" s="213"/>
      <c r="H349" s="213"/>
      <c r="I349" s="213"/>
      <c r="J349" s="216"/>
      <c r="K349" s="213"/>
      <c r="L349" s="213"/>
      <c r="M349" s="213"/>
      <c r="N349" s="213"/>
      <c r="O349" s="213"/>
      <c r="P349" s="216"/>
      <c r="Q349" s="213"/>
      <c r="R349" s="213"/>
      <c r="S349" s="213"/>
      <c r="T349" s="213"/>
      <c r="U349" s="213"/>
      <c r="V349" s="216"/>
      <c r="W349" s="213"/>
      <c r="X349" s="213"/>
      <c r="Y349" s="213"/>
      <c r="Z349" s="213"/>
      <c r="AA349" s="213"/>
      <c r="AB349" s="216"/>
      <c r="AC349" s="213"/>
      <c r="AD349" s="213"/>
      <c r="AE349" s="213"/>
      <c r="AF349" s="213"/>
      <c r="AG349" s="213"/>
      <c r="AH349" s="216"/>
      <c r="AI349" s="213"/>
      <c r="AJ349" s="213"/>
      <c r="AK349" s="213"/>
      <c r="AL349" s="213"/>
      <c r="AM349" s="213"/>
      <c r="AN349" s="216"/>
      <c r="AO349" s="213"/>
      <c r="AP349" s="213"/>
      <c r="AQ349" s="213"/>
      <c r="AR349" s="213"/>
      <c r="AS349" s="213"/>
      <c r="AT349" s="216"/>
      <c r="AU349" s="213"/>
      <c r="AV349" s="213"/>
      <c r="AW349" s="213"/>
      <c r="AX349" s="213"/>
      <c r="AY349" s="213"/>
      <c r="AZ349" s="216"/>
      <c r="BA349" s="213"/>
      <c r="BB349" s="213"/>
      <c r="BC349" s="213"/>
      <c r="BD349" s="213"/>
      <c r="BE349" s="213"/>
      <c r="BF349" s="216"/>
      <c r="BG349" s="213"/>
      <c r="BH349" s="213"/>
      <c r="BI349" s="213"/>
      <c r="BJ349" s="213"/>
      <c r="BK349" s="213"/>
      <c r="BL349" s="216"/>
      <c r="BM349" s="213"/>
      <c r="BN349" s="213"/>
      <c r="BO349" s="213"/>
      <c r="BP349" s="213"/>
      <c r="BQ349" s="213"/>
      <c r="BR349" s="326"/>
      <c r="BS349" s="213"/>
      <c r="BT349" s="213"/>
      <c r="BU349" s="213"/>
      <c r="BV349" s="213"/>
      <c r="BW349" s="213"/>
      <c r="BX349" s="213"/>
      <c r="BY349" s="213"/>
      <c r="BZ349" s="213"/>
      <c r="CA349" s="213"/>
      <c r="CB349" s="213"/>
      <c r="CC349" s="213"/>
      <c r="CD349" s="213"/>
      <c r="CE349" s="213"/>
      <c r="CF349" s="213"/>
      <c r="CG349" s="213"/>
      <c r="CH349" s="213"/>
      <c r="CI349" s="213"/>
      <c r="CJ349" s="213"/>
      <c r="CK349" s="213"/>
      <c r="CL349" s="213"/>
      <c r="CM349" s="213"/>
      <c r="CN349" s="213"/>
      <c r="CO349" s="213"/>
      <c r="CP349" s="213"/>
      <c r="CQ349" s="213"/>
    </row>
    <row r="350" ht="15.75" customHeight="1">
      <c r="A350" s="213"/>
      <c r="B350" s="213"/>
      <c r="C350" s="213"/>
      <c r="D350" s="213"/>
      <c r="E350" s="213"/>
      <c r="F350" s="213"/>
      <c r="G350" s="213"/>
      <c r="H350" s="213"/>
      <c r="I350" s="213"/>
      <c r="J350" s="216"/>
      <c r="K350" s="213"/>
      <c r="L350" s="213"/>
      <c r="M350" s="213"/>
      <c r="N350" s="213"/>
      <c r="O350" s="213"/>
      <c r="P350" s="216"/>
      <c r="Q350" s="213"/>
      <c r="R350" s="213"/>
      <c r="S350" s="213"/>
      <c r="T350" s="213"/>
      <c r="U350" s="213"/>
      <c r="V350" s="216"/>
      <c r="W350" s="213"/>
      <c r="X350" s="213"/>
      <c r="Y350" s="213"/>
      <c r="Z350" s="213"/>
      <c r="AA350" s="213"/>
      <c r="AB350" s="216"/>
      <c r="AC350" s="213"/>
      <c r="AD350" s="213"/>
      <c r="AE350" s="213"/>
      <c r="AF350" s="213"/>
      <c r="AG350" s="213"/>
      <c r="AH350" s="216"/>
      <c r="AI350" s="213"/>
      <c r="AJ350" s="213"/>
      <c r="AK350" s="213"/>
      <c r="AL350" s="213"/>
      <c r="AM350" s="213"/>
      <c r="AN350" s="216"/>
      <c r="AO350" s="213"/>
      <c r="AP350" s="213"/>
      <c r="AQ350" s="213"/>
      <c r="AR350" s="213"/>
      <c r="AS350" s="213"/>
      <c r="AT350" s="216"/>
      <c r="AU350" s="213"/>
      <c r="AV350" s="213"/>
      <c r="AW350" s="213"/>
      <c r="AX350" s="213"/>
      <c r="AY350" s="213"/>
      <c r="AZ350" s="216"/>
      <c r="BA350" s="213"/>
      <c r="BB350" s="213"/>
      <c r="BC350" s="213"/>
      <c r="BD350" s="213"/>
      <c r="BE350" s="213"/>
      <c r="BF350" s="216"/>
      <c r="BG350" s="213"/>
      <c r="BH350" s="213"/>
      <c r="BI350" s="213"/>
      <c r="BJ350" s="213"/>
      <c r="BK350" s="213"/>
      <c r="BL350" s="216"/>
      <c r="BM350" s="213"/>
      <c r="BN350" s="213"/>
      <c r="BO350" s="213"/>
      <c r="BP350" s="213"/>
      <c r="BQ350" s="213"/>
      <c r="BR350" s="326"/>
      <c r="BS350" s="213"/>
      <c r="BT350" s="213"/>
      <c r="BU350" s="213"/>
      <c r="BV350" s="213"/>
      <c r="BW350" s="213"/>
      <c r="BX350" s="213"/>
      <c r="BY350" s="213"/>
      <c r="BZ350" s="213"/>
      <c r="CA350" s="213"/>
      <c r="CB350" s="213"/>
      <c r="CC350" s="213"/>
      <c r="CD350" s="213"/>
      <c r="CE350" s="213"/>
      <c r="CF350" s="213"/>
      <c r="CG350" s="213"/>
      <c r="CH350" s="213"/>
      <c r="CI350" s="213"/>
      <c r="CJ350" s="213"/>
      <c r="CK350" s="213"/>
      <c r="CL350" s="213"/>
      <c r="CM350" s="213"/>
      <c r="CN350" s="213"/>
      <c r="CO350" s="213"/>
      <c r="CP350" s="213"/>
      <c r="CQ350" s="213"/>
    </row>
    <row r="351" ht="15.75" customHeight="1">
      <c r="A351" s="213"/>
      <c r="B351" s="213"/>
      <c r="C351" s="213"/>
      <c r="D351" s="213"/>
      <c r="E351" s="213"/>
      <c r="F351" s="213"/>
      <c r="G351" s="213"/>
      <c r="H351" s="213"/>
      <c r="I351" s="213"/>
      <c r="J351" s="216"/>
      <c r="K351" s="213"/>
      <c r="L351" s="213"/>
      <c r="M351" s="213"/>
      <c r="N351" s="213"/>
      <c r="O351" s="213"/>
      <c r="P351" s="216"/>
      <c r="Q351" s="213"/>
      <c r="R351" s="213"/>
      <c r="S351" s="213"/>
      <c r="T351" s="213"/>
      <c r="U351" s="213"/>
      <c r="V351" s="216"/>
      <c r="W351" s="213"/>
      <c r="X351" s="213"/>
      <c r="Y351" s="213"/>
      <c r="Z351" s="213"/>
      <c r="AA351" s="213"/>
      <c r="AB351" s="216"/>
      <c r="AC351" s="213"/>
      <c r="AD351" s="213"/>
      <c r="AE351" s="213"/>
      <c r="AF351" s="213"/>
      <c r="AG351" s="213"/>
      <c r="AH351" s="216"/>
      <c r="AI351" s="213"/>
      <c r="AJ351" s="213"/>
      <c r="AK351" s="213"/>
      <c r="AL351" s="213"/>
      <c r="AM351" s="213"/>
      <c r="AN351" s="216"/>
      <c r="AO351" s="213"/>
      <c r="AP351" s="213"/>
      <c r="AQ351" s="213"/>
      <c r="AR351" s="213"/>
      <c r="AS351" s="213"/>
      <c r="AT351" s="216"/>
      <c r="AU351" s="213"/>
      <c r="AV351" s="213"/>
      <c r="AW351" s="213"/>
      <c r="AX351" s="213"/>
      <c r="AY351" s="213"/>
      <c r="AZ351" s="216"/>
      <c r="BA351" s="213"/>
      <c r="BB351" s="213"/>
      <c r="BC351" s="213"/>
      <c r="BD351" s="213"/>
      <c r="BE351" s="213"/>
      <c r="BF351" s="216"/>
      <c r="BG351" s="213"/>
      <c r="BH351" s="213"/>
      <c r="BI351" s="213"/>
      <c r="BJ351" s="213"/>
      <c r="BK351" s="213"/>
      <c r="BL351" s="216"/>
      <c r="BM351" s="213"/>
      <c r="BN351" s="213"/>
      <c r="BO351" s="213"/>
      <c r="BP351" s="213"/>
      <c r="BQ351" s="213"/>
      <c r="BR351" s="326"/>
      <c r="BS351" s="213"/>
      <c r="BT351" s="213"/>
      <c r="BU351" s="213"/>
      <c r="BV351" s="213"/>
      <c r="BW351" s="213"/>
      <c r="BX351" s="213"/>
      <c r="BY351" s="213"/>
      <c r="BZ351" s="213"/>
      <c r="CA351" s="213"/>
      <c r="CB351" s="213"/>
      <c r="CC351" s="213"/>
      <c r="CD351" s="213"/>
      <c r="CE351" s="213"/>
      <c r="CF351" s="213"/>
      <c r="CG351" s="213"/>
      <c r="CH351" s="213"/>
      <c r="CI351" s="213"/>
      <c r="CJ351" s="213"/>
      <c r="CK351" s="213"/>
      <c r="CL351" s="213"/>
      <c r="CM351" s="213"/>
      <c r="CN351" s="213"/>
      <c r="CO351" s="213"/>
      <c r="CP351" s="213"/>
      <c r="CQ351" s="213"/>
    </row>
    <row r="352" ht="15.75" customHeight="1">
      <c r="A352" s="213"/>
      <c r="B352" s="213"/>
      <c r="C352" s="213"/>
      <c r="D352" s="213"/>
      <c r="E352" s="213"/>
      <c r="F352" s="213"/>
      <c r="G352" s="213"/>
      <c r="H352" s="213"/>
      <c r="I352" s="213"/>
      <c r="J352" s="216"/>
      <c r="K352" s="213"/>
      <c r="L352" s="213"/>
      <c r="M352" s="213"/>
      <c r="N352" s="213"/>
      <c r="O352" s="213"/>
      <c r="P352" s="216"/>
      <c r="Q352" s="213"/>
      <c r="R352" s="213"/>
      <c r="S352" s="213"/>
      <c r="T352" s="213"/>
      <c r="U352" s="213"/>
      <c r="V352" s="216"/>
      <c r="W352" s="213"/>
      <c r="X352" s="213"/>
      <c r="Y352" s="213"/>
      <c r="Z352" s="213"/>
      <c r="AA352" s="213"/>
      <c r="AB352" s="216"/>
      <c r="AC352" s="213"/>
      <c r="AD352" s="213"/>
      <c r="AE352" s="213"/>
      <c r="AF352" s="213"/>
      <c r="AG352" s="213"/>
      <c r="AH352" s="216"/>
      <c r="AI352" s="213"/>
      <c r="AJ352" s="213"/>
      <c r="AK352" s="213"/>
      <c r="AL352" s="213"/>
      <c r="AM352" s="213"/>
      <c r="AN352" s="216"/>
      <c r="AO352" s="213"/>
      <c r="AP352" s="213"/>
      <c r="AQ352" s="213"/>
      <c r="AR352" s="213"/>
      <c r="AS352" s="213"/>
      <c r="AT352" s="216"/>
      <c r="AU352" s="213"/>
      <c r="AV352" s="213"/>
      <c r="AW352" s="213"/>
      <c r="AX352" s="213"/>
      <c r="AY352" s="213"/>
      <c r="AZ352" s="216"/>
      <c r="BA352" s="213"/>
      <c r="BB352" s="213"/>
      <c r="BC352" s="213"/>
      <c r="BD352" s="213"/>
      <c r="BE352" s="213"/>
      <c r="BF352" s="216"/>
      <c r="BG352" s="213"/>
      <c r="BH352" s="213"/>
      <c r="BI352" s="213"/>
      <c r="BJ352" s="213"/>
      <c r="BK352" s="213"/>
      <c r="BL352" s="216"/>
      <c r="BM352" s="213"/>
      <c r="BN352" s="213"/>
      <c r="BO352" s="213"/>
      <c r="BP352" s="213"/>
      <c r="BQ352" s="213"/>
      <c r="BR352" s="326"/>
      <c r="BS352" s="213"/>
      <c r="BT352" s="213"/>
      <c r="BU352" s="213"/>
      <c r="BV352" s="213"/>
      <c r="BW352" s="213"/>
      <c r="BX352" s="213"/>
      <c r="BY352" s="213"/>
      <c r="BZ352" s="213"/>
      <c r="CA352" s="213"/>
      <c r="CB352" s="213"/>
      <c r="CC352" s="213"/>
      <c r="CD352" s="213"/>
      <c r="CE352" s="213"/>
      <c r="CF352" s="213"/>
      <c r="CG352" s="213"/>
      <c r="CH352" s="213"/>
      <c r="CI352" s="213"/>
      <c r="CJ352" s="213"/>
      <c r="CK352" s="213"/>
      <c r="CL352" s="213"/>
      <c r="CM352" s="213"/>
      <c r="CN352" s="213"/>
      <c r="CO352" s="213"/>
      <c r="CP352" s="213"/>
      <c r="CQ352" s="213"/>
    </row>
    <row r="353" ht="15.75" customHeight="1">
      <c r="A353" s="213"/>
      <c r="B353" s="213"/>
      <c r="C353" s="213"/>
      <c r="D353" s="213"/>
      <c r="E353" s="213"/>
      <c r="F353" s="213"/>
      <c r="G353" s="213"/>
      <c r="H353" s="213"/>
      <c r="I353" s="213"/>
      <c r="J353" s="216"/>
      <c r="K353" s="213"/>
      <c r="L353" s="213"/>
      <c r="M353" s="213"/>
      <c r="N353" s="213"/>
      <c r="O353" s="213"/>
      <c r="P353" s="216"/>
      <c r="Q353" s="213"/>
      <c r="R353" s="213"/>
      <c r="S353" s="213"/>
      <c r="T353" s="213"/>
      <c r="U353" s="213"/>
      <c r="V353" s="216"/>
      <c r="W353" s="213"/>
      <c r="X353" s="213"/>
      <c r="Y353" s="213"/>
      <c r="Z353" s="213"/>
      <c r="AA353" s="213"/>
      <c r="AB353" s="216"/>
      <c r="AC353" s="213"/>
      <c r="AD353" s="213"/>
      <c r="AE353" s="213"/>
      <c r="AF353" s="213"/>
      <c r="AG353" s="213"/>
      <c r="AH353" s="216"/>
      <c r="AI353" s="213"/>
      <c r="AJ353" s="213"/>
      <c r="AK353" s="213"/>
      <c r="AL353" s="213"/>
      <c r="AM353" s="213"/>
      <c r="AN353" s="216"/>
      <c r="AO353" s="213"/>
      <c r="AP353" s="213"/>
      <c r="AQ353" s="213"/>
      <c r="AR353" s="213"/>
      <c r="AS353" s="213"/>
      <c r="AT353" s="216"/>
      <c r="AU353" s="213"/>
      <c r="AV353" s="213"/>
      <c r="AW353" s="213"/>
      <c r="AX353" s="213"/>
      <c r="AY353" s="213"/>
      <c r="AZ353" s="216"/>
      <c r="BA353" s="213"/>
      <c r="BB353" s="213"/>
      <c r="BC353" s="213"/>
      <c r="BD353" s="213"/>
      <c r="BE353" s="213"/>
      <c r="BF353" s="216"/>
      <c r="BG353" s="213"/>
      <c r="BH353" s="213"/>
      <c r="BI353" s="213"/>
      <c r="BJ353" s="213"/>
      <c r="BK353" s="213"/>
      <c r="BL353" s="216"/>
      <c r="BM353" s="213"/>
      <c r="BN353" s="213"/>
      <c r="BO353" s="213"/>
      <c r="BP353" s="213"/>
      <c r="BQ353" s="213"/>
      <c r="BR353" s="326"/>
      <c r="BS353" s="213"/>
      <c r="BT353" s="213"/>
      <c r="BU353" s="213"/>
      <c r="BV353" s="213"/>
      <c r="BW353" s="213"/>
      <c r="BX353" s="213"/>
      <c r="BY353" s="213"/>
      <c r="BZ353" s="213"/>
      <c r="CA353" s="213"/>
      <c r="CB353" s="213"/>
      <c r="CC353" s="213"/>
      <c r="CD353" s="213"/>
      <c r="CE353" s="213"/>
      <c r="CF353" s="213"/>
      <c r="CG353" s="213"/>
      <c r="CH353" s="213"/>
      <c r="CI353" s="213"/>
      <c r="CJ353" s="213"/>
      <c r="CK353" s="213"/>
      <c r="CL353" s="213"/>
      <c r="CM353" s="213"/>
      <c r="CN353" s="213"/>
      <c r="CO353" s="213"/>
      <c r="CP353" s="213"/>
      <c r="CQ353" s="213"/>
    </row>
    <row r="354" ht="15.75" customHeight="1">
      <c r="A354" s="213"/>
      <c r="B354" s="213"/>
      <c r="C354" s="213"/>
      <c r="D354" s="213"/>
      <c r="E354" s="213"/>
      <c r="F354" s="213"/>
      <c r="G354" s="213"/>
      <c r="H354" s="213"/>
      <c r="I354" s="213"/>
      <c r="J354" s="216"/>
      <c r="K354" s="213"/>
      <c r="L354" s="213"/>
      <c r="M354" s="213"/>
      <c r="N354" s="213"/>
      <c r="O354" s="213"/>
      <c r="P354" s="216"/>
      <c r="Q354" s="213"/>
      <c r="R354" s="213"/>
      <c r="S354" s="213"/>
      <c r="T354" s="213"/>
      <c r="U354" s="213"/>
      <c r="V354" s="216"/>
      <c r="W354" s="213"/>
      <c r="X354" s="213"/>
      <c r="Y354" s="213"/>
      <c r="Z354" s="213"/>
      <c r="AA354" s="213"/>
      <c r="AB354" s="216"/>
      <c r="AC354" s="213"/>
      <c r="AD354" s="213"/>
      <c r="AE354" s="213"/>
      <c r="AF354" s="213"/>
      <c r="AG354" s="213"/>
      <c r="AH354" s="216"/>
      <c r="AI354" s="213"/>
      <c r="AJ354" s="213"/>
      <c r="AK354" s="213"/>
      <c r="AL354" s="213"/>
      <c r="AM354" s="213"/>
      <c r="AN354" s="216"/>
      <c r="AO354" s="213"/>
      <c r="AP354" s="213"/>
      <c r="AQ354" s="213"/>
      <c r="AR354" s="213"/>
      <c r="AS354" s="213"/>
      <c r="AT354" s="216"/>
      <c r="AU354" s="213"/>
      <c r="AV354" s="213"/>
      <c r="AW354" s="213"/>
      <c r="AX354" s="213"/>
      <c r="AY354" s="213"/>
      <c r="AZ354" s="216"/>
      <c r="BA354" s="213"/>
      <c r="BB354" s="213"/>
      <c r="BC354" s="213"/>
      <c r="BD354" s="213"/>
      <c r="BE354" s="213"/>
      <c r="BF354" s="216"/>
      <c r="BG354" s="213"/>
      <c r="BH354" s="213"/>
      <c r="BI354" s="213"/>
      <c r="BJ354" s="213"/>
      <c r="BK354" s="213"/>
      <c r="BL354" s="216"/>
      <c r="BM354" s="213"/>
      <c r="BN354" s="213"/>
      <c r="BO354" s="213"/>
      <c r="BP354" s="213"/>
      <c r="BQ354" s="213"/>
      <c r="BR354" s="326"/>
      <c r="BS354" s="213"/>
      <c r="BT354" s="213"/>
      <c r="BU354" s="213"/>
      <c r="BV354" s="213"/>
      <c r="BW354" s="213"/>
      <c r="BX354" s="213"/>
      <c r="BY354" s="213"/>
      <c r="BZ354" s="213"/>
      <c r="CA354" s="213"/>
      <c r="CB354" s="213"/>
      <c r="CC354" s="213"/>
      <c r="CD354" s="213"/>
      <c r="CE354" s="213"/>
      <c r="CF354" s="213"/>
      <c r="CG354" s="213"/>
      <c r="CH354" s="213"/>
      <c r="CI354" s="213"/>
      <c r="CJ354" s="213"/>
      <c r="CK354" s="213"/>
      <c r="CL354" s="213"/>
      <c r="CM354" s="213"/>
      <c r="CN354" s="213"/>
      <c r="CO354" s="213"/>
      <c r="CP354" s="213"/>
      <c r="CQ354" s="213"/>
    </row>
    <row r="355" ht="15.75" customHeight="1">
      <c r="A355" s="213"/>
      <c r="B355" s="213"/>
      <c r="C355" s="213"/>
      <c r="D355" s="213"/>
      <c r="E355" s="213"/>
      <c r="F355" s="213"/>
      <c r="G355" s="213"/>
      <c r="H355" s="213"/>
      <c r="I355" s="213"/>
      <c r="J355" s="216"/>
      <c r="K355" s="213"/>
      <c r="L355" s="213"/>
      <c r="M355" s="213"/>
      <c r="N355" s="213"/>
      <c r="O355" s="213"/>
      <c r="P355" s="216"/>
      <c r="Q355" s="213"/>
      <c r="R355" s="213"/>
      <c r="S355" s="213"/>
      <c r="T355" s="213"/>
      <c r="U355" s="213"/>
      <c r="V355" s="216"/>
      <c r="W355" s="213"/>
      <c r="X355" s="213"/>
      <c r="Y355" s="213"/>
      <c r="Z355" s="213"/>
      <c r="AA355" s="213"/>
      <c r="AB355" s="216"/>
      <c r="AC355" s="213"/>
      <c r="AD355" s="213"/>
      <c r="AE355" s="213"/>
      <c r="AF355" s="213"/>
      <c r="AG355" s="213"/>
      <c r="AH355" s="216"/>
      <c r="AI355" s="213"/>
      <c r="AJ355" s="213"/>
      <c r="AK355" s="213"/>
      <c r="AL355" s="213"/>
      <c r="AM355" s="213"/>
      <c r="AN355" s="216"/>
      <c r="AO355" s="213"/>
      <c r="AP355" s="213"/>
      <c r="AQ355" s="213"/>
      <c r="AR355" s="213"/>
      <c r="AS355" s="213"/>
      <c r="AT355" s="216"/>
      <c r="AU355" s="213"/>
      <c r="AV355" s="213"/>
      <c r="AW355" s="213"/>
      <c r="AX355" s="213"/>
      <c r="AY355" s="213"/>
      <c r="AZ355" s="216"/>
      <c r="BA355" s="213"/>
      <c r="BB355" s="213"/>
      <c r="BC355" s="213"/>
      <c r="BD355" s="213"/>
      <c r="BE355" s="213"/>
      <c r="BF355" s="216"/>
      <c r="BG355" s="213"/>
      <c r="BH355" s="213"/>
      <c r="BI355" s="213"/>
      <c r="BJ355" s="213"/>
      <c r="BK355" s="213"/>
      <c r="BL355" s="216"/>
      <c r="BM355" s="213"/>
      <c r="BN355" s="213"/>
      <c r="BO355" s="213"/>
      <c r="BP355" s="213"/>
      <c r="BQ355" s="213"/>
      <c r="BR355" s="326"/>
      <c r="BS355" s="213"/>
      <c r="BT355" s="213"/>
      <c r="BU355" s="213"/>
      <c r="BV355" s="213"/>
      <c r="BW355" s="213"/>
      <c r="BX355" s="213"/>
      <c r="BY355" s="213"/>
      <c r="BZ355" s="213"/>
      <c r="CA355" s="213"/>
      <c r="CB355" s="213"/>
      <c r="CC355" s="213"/>
      <c r="CD355" s="213"/>
      <c r="CE355" s="213"/>
      <c r="CF355" s="213"/>
      <c r="CG355" s="213"/>
      <c r="CH355" s="213"/>
      <c r="CI355" s="213"/>
      <c r="CJ355" s="213"/>
      <c r="CK355" s="213"/>
      <c r="CL355" s="213"/>
      <c r="CM355" s="213"/>
      <c r="CN355" s="213"/>
      <c r="CO355" s="213"/>
      <c r="CP355" s="213"/>
      <c r="CQ355" s="213"/>
    </row>
    <row r="356" ht="15.75" customHeight="1">
      <c r="A356" s="213"/>
      <c r="B356" s="213"/>
      <c r="C356" s="213"/>
      <c r="D356" s="213"/>
      <c r="E356" s="213"/>
      <c r="F356" s="213"/>
      <c r="G356" s="213"/>
      <c r="H356" s="213"/>
      <c r="I356" s="213"/>
      <c r="J356" s="216"/>
      <c r="K356" s="213"/>
      <c r="L356" s="213"/>
      <c r="M356" s="213"/>
      <c r="N356" s="213"/>
      <c r="O356" s="213"/>
      <c r="P356" s="216"/>
      <c r="Q356" s="213"/>
      <c r="R356" s="213"/>
      <c r="S356" s="213"/>
      <c r="T356" s="213"/>
      <c r="U356" s="213"/>
      <c r="V356" s="216"/>
      <c r="W356" s="213"/>
      <c r="X356" s="213"/>
      <c r="Y356" s="213"/>
      <c r="Z356" s="213"/>
      <c r="AA356" s="213"/>
      <c r="AB356" s="216"/>
      <c r="AC356" s="213"/>
      <c r="AD356" s="213"/>
      <c r="AE356" s="213"/>
      <c r="AF356" s="213"/>
      <c r="AG356" s="213"/>
      <c r="AH356" s="216"/>
      <c r="AI356" s="213"/>
      <c r="AJ356" s="213"/>
      <c r="AK356" s="213"/>
      <c r="AL356" s="213"/>
      <c r="AM356" s="213"/>
      <c r="AN356" s="216"/>
      <c r="AO356" s="213"/>
      <c r="AP356" s="213"/>
      <c r="AQ356" s="213"/>
      <c r="AR356" s="213"/>
      <c r="AS356" s="213"/>
      <c r="AT356" s="216"/>
      <c r="AU356" s="213"/>
      <c r="AV356" s="213"/>
      <c r="AW356" s="213"/>
      <c r="AX356" s="213"/>
      <c r="AY356" s="213"/>
      <c r="AZ356" s="216"/>
      <c r="BA356" s="213"/>
      <c r="BB356" s="213"/>
      <c r="BC356" s="213"/>
      <c r="BD356" s="213"/>
      <c r="BE356" s="213"/>
      <c r="BF356" s="216"/>
      <c r="BG356" s="213"/>
      <c r="BH356" s="213"/>
      <c r="BI356" s="213"/>
      <c r="BJ356" s="213"/>
      <c r="BK356" s="213"/>
      <c r="BL356" s="216"/>
      <c r="BM356" s="213"/>
      <c r="BN356" s="213"/>
      <c r="BO356" s="213"/>
      <c r="BP356" s="213"/>
      <c r="BQ356" s="213"/>
      <c r="BR356" s="326"/>
      <c r="BS356" s="213"/>
      <c r="BT356" s="213"/>
      <c r="BU356" s="213"/>
      <c r="BV356" s="213"/>
      <c r="BW356" s="213"/>
      <c r="BX356" s="213"/>
      <c r="BY356" s="213"/>
      <c r="BZ356" s="213"/>
      <c r="CA356" s="213"/>
      <c r="CB356" s="213"/>
      <c r="CC356" s="213"/>
      <c r="CD356" s="213"/>
      <c r="CE356" s="213"/>
      <c r="CF356" s="213"/>
      <c r="CG356" s="213"/>
      <c r="CH356" s="213"/>
      <c r="CI356" s="213"/>
      <c r="CJ356" s="213"/>
      <c r="CK356" s="213"/>
      <c r="CL356" s="213"/>
      <c r="CM356" s="213"/>
      <c r="CN356" s="213"/>
      <c r="CO356" s="213"/>
      <c r="CP356" s="213"/>
      <c r="CQ356" s="213"/>
    </row>
    <row r="357" ht="15.75" customHeight="1">
      <c r="A357" s="213"/>
      <c r="B357" s="213"/>
      <c r="C357" s="213"/>
      <c r="D357" s="213"/>
      <c r="E357" s="213"/>
      <c r="F357" s="213"/>
      <c r="G357" s="213"/>
      <c r="H357" s="213"/>
      <c r="I357" s="213"/>
      <c r="J357" s="216"/>
      <c r="K357" s="213"/>
      <c r="L357" s="213"/>
      <c r="M357" s="213"/>
      <c r="N357" s="213"/>
      <c r="O357" s="213"/>
      <c r="P357" s="216"/>
      <c r="Q357" s="213"/>
      <c r="R357" s="213"/>
      <c r="S357" s="213"/>
      <c r="T357" s="213"/>
      <c r="U357" s="213"/>
      <c r="V357" s="216"/>
      <c r="W357" s="213"/>
      <c r="X357" s="213"/>
      <c r="Y357" s="213"/>
      <c r="Z357" s="213"/>
      <c r="AA357" s="213"/>
      <c r="AB357" s="216"/>
      <c r="AC357" s="213"/>
      <c r="AD357" s="213"/>
      <c r="AE357" s="213"/>
      <c r="AF357" s="213"/>
      <c r="AG357" s="213"/>
      <c r="AH357" s="216"/>
      <c r="AI357" s="213"/>
      <c r="AJ357" s="213"/>
      <c r="AK357" s="213"/>
      <c r="AL357" s="213"/>
      <c r="AM357" s="213"/>
      <c r="AN357" s="216"/>
      <c r="AO357" s="213"/>
      <c r="AP357" s="213"/>
      <c r="AQ357" s="213"/>
      <c r="AR357" s="213"/>
      <c r="AS357" s="213"/>
      <c r="AT357" s="216"/>
      <c r="AU357" s="213"/>
      <c r="AV357" s="213"/>
      <c r="AW357" s="213"/>
      <c r="AX357" s="213"/>
      <c r="AY357" s="213"/>
      <c r="AZ357" s="216"/>
      <c r="BA357" s="213"/>
      <c r="BB357" s="213"/>
      <c r="BC357" s="213"/>
      <c r="BD357" s="213"/>
      <c r="BE357" s="213"/>
      <c r="BF357" s="216"/>
      <c r="BG357" s="213"/>
      <c r="BH357" s="213"/>
      <c r="BI357" s="213"/>
      <c r="BJ357" s="213"/>
      <c r="BK357" s="213"/>
      <c r="BL357" s="216"/>
      <c r="BM357" s="213"/>
      <c r="BN357" s="213"/>
      <c r="BO357" s="213"/>
      <c r="BP357" s="213"/>
      <c r="BQ357" s="213"/>
      <c r="BR357" s="326"/>
      <c r="BS357" s="213"/>
      <c r="BT357" s="213"/>
      <c r="BU357" s="213"/>
      <c r="BV357" s="213"/>
      <c r="BW357" s="213"/>
      <c r="BX357" s="213"/>
      <c r="BY357" s="213"/>
      <c r="BZ357" s="213"/>
      <c r="CA357" s="213"/>
      <c r="CB357" s="213"/>
      <c r="CC357" s="213"/>
      <c r="CD357" s="213"/>
      <c r="CE357" s="213"/>
      <c r="CF357" s="213"/>
      <c r="CG357" s="213"/>
      <c r="CH357" s="213"/>
      <c r="CI357" s="213"/>
      <c r="CJ357" s="213"/>
      <c r="CK357" s="213"/>
      <c r="CL357" s="213"/>
      <c r="CM357" s="213"/>
      <c r="CN357" s="213"/>
      <c r="CO357" s="213"/>
      <c r="CP357" s="213"/>
      <c r="CQ357" s="213"/>
    </row>
    <row r="358" ht="15.75" customHeight="1">
      <c r="A358" s="213"/>
      <c r="B358" s="213"/>
      <c r="C358" s="213"/>
      <c r="D358" s="213"/>
      <c r="E358" s="213"/>
      <c r="F358" s="213"/>
      <c r="G358" s="213"/>
      <c r="H358" s="213"/>
      <c r="I358" s="213"/>
      <c r="J358" s="216"/>
      <c r="K358" s="213"/>
      <c r="L358" s="213"/>
      <c r="M358" s="213"/>
      <c r="N358" s="213"/>
      <c r="O358" s="213"/>
      <c r="P358" s="216"/>
      <c r="Q358" s="213"/>
      <c r="R358" s="213"/>
      <c r="S358" s="213"/>
      <c r="T358" s="213"/>
      <c r="U358" s="213"/>
      <c r="V358" s="216"/>
      <c r="W358" s="213"/>
      <c r="X358" s="213"/>
      <c r="Y358" s="213"/>
      <c r="Z358" s="213"/>
      <c r="AA358" s="213"/>
      <c r="AB358" s="216"/>
      <c r="AC358" s="213"/>
      <c r="AD358" s="213"/>
      <c r="AE358" s="213"/>
      <c r="AF358" s="213"/>
      <c r="AG358" s="213"/>
      <c r="AH358" s="216"/>
      <c r="AI358" s="213"/>
      <c r="AJ358" s="213"/>
      <c r="AK358" s="213"/>
      <c r="AL358" s="213"/>
      <c r="AM358" s="213"/>
      <c r="AN358" s="216"/>
      <c r="AO358" s="213"/>
      <c r="AP358" s="213"/>
      <c r="AQ358" s="213"/>
      <c r="AR358" s="213"/>
      <c r="AS358" s="213"/>
      <c r="AT358" s="216"/>
      <c r="AU358" s="213"/>
      <c r="AV358" s="213"/>
      <c r="AW358" s="213"/>
      <c r="AX358" s="213"/>
      <c r="AY358" s="213"/>
      <c r="AZ358" s="216"/>
      <c r="BA358" s="213"/>
      <c r="BB358" s="213"/>
      <c r="BC358" s="213"/>
      <c r="BD358" s="213"/>
      <c r="BE358" s="213"/>
      <c r="BF358" s="216"/>
      <c r="BG358" s="213"/>
      <c r="BH358" s="213"/>
      <c r="BI358" s="213"/>
      <c r="BJ358" s="213"/>
      <c r="BK358" s="213"/>
      <c r="BL358" s="216"/>
      <c r="BM358" s="213"/>
      <c r="BN358" s="213"/>
      <c r="BO358" s="213"/>
      <c r="BP358" s="213"/>
      <c r="BQ358" s="213"/>
      <c r="BR358" s="326"/>
      <c r="BS358" s="213"/>
      <c r="BT358" s="213"/>
      <c r="BU358" s="213"/>
      <c r="BV358" s="213"/>
      <c r="BW358" s="213"/>
      <c r="BX358" s="213"/>
      <c r="BY358" s="213"/>
      <c r="BZ358" s="213"/>
      <c r="CA358" s="213"/>
      <c r="CB358" s="213"/>
      <c r="CC358" s="213"/>
      <c r="CD358" s="213"/>
      <c r="CE358" s="213"/>
      <c r="CF358" s="213"/>
      <c r="CG358" s="213"/>
      <c r="CH358" s="213"/>
      <c r="CI358" s="213"/>
      <c r="CJ358" s="213"/>
      <c r="CK358" s="213"/>
      <c r="CL358" s="213"/>
      <c r="CM358" s="213"/>
      <c r="CN358" s="213"/>
      <c r="CO358" s="213"/>
      <c r="CP358" s="213"/>
      <c r="CQ358" s="213"/>
    </row>
    <row r="359" ht="15.75" customHeight="1">
      <c r="A359" s="213"/>
      <c r="B359" s="213"/>
      <c r="C359" s="213"/>
      <c r="D359" s="213"/>
      <c r="E359" s="213"/>
      <c r="F359" s="213"/>
      <c r="G359" s="213"/>
      <c r="H359" s="213"/>
      <c r="I359" s="213"/>
      <c r="J359" s="216"/>
      <c r="K359" s="213"/>
      <c r="L359" s="213"/>
      <c r="M359" s="213"/>
      <c r="N359" s="213"/>
      <c r="O359" s="213"/>
      <c r="P359" s="216"/>
      <c r="Q359" s="213"/>
      <c r="R359" s="213"/>
      <c r="S359" s="213"/>
      <c r="T359" s="213"/>
      <c r="U359" s="213"/>
      <c r="V359" s="216"/>
      <c r="W359" s="213"/>
      <c r="X359" s="213"/>
      <c r="Y359" s="213"/>
      <c r="Z359" s="213"/>
      <c r="AA359" s="213"/>
      <c r="AB359" s="216"/>
      <c r="AC359" s="213"/>
      <c r="AD359" s="213"/>
      <c r="AE359" s="213"/>
      <c r="AF359" s="213"/>
      <c r="AG359" s="213"/>
      <c r="AH359" s="216"/>
      <c r="AI359" s="213"/>
      <c r="AJ359" s="213"/>
      <c r="AK359" s="213"/>
      <c r="AL359" s="213"/>
      <c r="AM359" s="213"/>
      <c r="AN359" s="216"/>
      <c r="AO359" s="213"/>
      <c r="AP359" s="213"/>
      <c r="AQ359" s="213"/>
      <c r="AR359" s="213"/>
      <c r="AS359" s="213"/>
      <c r="AT359" s="216"/>
      <c r="AU359" s="213"/>
      <c r="AV359" s="213"/>
      <c r="AW359" s="213"/>
      <c r="AX359" s="213"/>
      <c r="AY359" s="213"/>
      <c r="AZ359" s="216"/>
      <c r="BA359" s="213"/>
      <c r="BB359" s="213"/>
      <c r="BC359" s="213"/>
      <c r="BD359" s="213"/>
      <c r="BE359" s="213"/>
      <c r="BF359" s="216"/>
      <c r="BG359" s="213"/>
      <c r="BH359" s="213"/>
      <c r="BI359" s="213"/>
      <c r="BJ359" s="213"/>
      <c r="BK359" s="213"/>
      <c r="BL359" s="216"/>
      <c r="BM359" s="213"/>
      <c r="BN359" s="213"/>
      <c r="BO359" s="213"/>
      <c r="BP359" s="213"/>
      <c r="BQ359" s="213"/>
      <c r="BR359" s="326"/>
      <c r="BS359" s="213"/>
      <c r="BT359" s="213"/>
      <c r="BU359" s="213"/>
      <c r="BV359" s="213"/>
      <c r="BW359" s="213"/>
      <c r="BX359" s="213"/>
      <c r="BY359" s="213"/>
      <c r="BZ359" s="213"/>
      <c r="CA359" s="213"/>
      <c r="CB359" s="213"/>
      <c r="CC359" s="213"/>
      <c r="CD359" s="213"/>
      <c r="CE359" s="213"/>
      <c r="CF359" s="213"/>
      <c r="CG359" s="213"/>
      <c r="CH359" s="213"/>
      <c r="CI359" s="213"/>
      <c r="CJ359" s="213"/>
      <c r="CK359" s="213"/>
      <c r="CL359" s="213"/>
      <c r="CM359" s="213"/>
      <c r="CN359" s="213"/>
      <c r="CO359" s="213"/>
      <c r="CP359" s="213"/>
      <c r="CQ359" s="213"/>
    </row>
    <row r="360" ht="15.75" customHeight="1">
      <c r="A360" s="213"/>
      <c r="B360" s="213"/>
      <c r="C360" s="213"/>
      <c r="D360" s="213"/>
      <c r="E360" s="213"/>
      <c r="F360" s="213"/>
      <c r="G360" s="213"/>
      <c r="H360" s="213"/>
      <c r="I360" s="213"/>
      <c r="J360" s="216"/>
      <c r="K360" s="213"/>
      <c r="L360" s="213"/>
      <c r="M360" s="213"/>
      <c r="N360" s="213"/>
      <c r="O360" s="213"/>
      <c r="P360" s="216"/>
      <c r="Q360" s="213"/>
      <c r="R360" s="213"/>
      <c r="S360" s="213"/>
      <c r="T360" s="213"/>
      <c r="U360" s="213"/>
      <c r="V360" s="216"/>
      <c r="W360" s="213"/>
      <c r="X360" s="213"/>
      <c r="Y360" s="213"/>
      <c r="Z360" s="213"/>
      <c r="AA360" s="213"/>
      <c r="AB360" s="216"/>
      <c r="AC360" s="213"/>
      <c r="AD360" s="213"/>
      <c r="AE360" s="213"/>
      <c r="AF360" s="213"/>
      <c r="AG360" s="213"/>
      <c r="AH360" s="216"/>
      <c r="AI360" s="213"/>
      <c r="AJ360" s="213"/>
      <c r="AK360" s="213"/>
      <c r="AL360" s="213"/>
      <c r="AM360" s="213"/>
      <c r="AN360" s="216"/>
      <c r="AO360" s="213"/>
      <c r="AP360" s="213"/>
      <c r="AQ360" s="213"/>
      <c r="AR360" s="213"/>
      <c r="AS360" s="213"/>
      <c r="AT360" s="216"/>
      <c r="AU360" s="213"/>
      <c r="AV360" s="213"/>
      <c r="AW360" s="213"/>
      <c r="AX360" s="213"/>
      <c r="AY360" s="213"/>
      <c r="AZ360" s="216"/>
      <c r="BA360" s="213"/>
      <c r="BB360" s="213"/>
      <c r="BC360" s="213"/>
      <c r="BD360" s="213"/>
      <c r="BE360" s="213"/>
      <c r="BF360" s="216"/>
      <c r="BG360" s="213"/>
      <c r="BH360" s="213"/>
      <c r="BI360" s="213"/>
      <c r="BJ360" s="213"/>
      <c r="BK360" s="213"/>
      <c r="BL360" s="216"/>
      <c r="BM360" s="213"/>
      <c r="BN360" s="213"/>
      <c r="BO360" s="213"/>
      <c r="BP360" s="213"/>
      <c r="BQ360" s="213"/>
      <c r="BR360" s="326"/>
      <c r="BS360" s="213"/>
      <c r="BT360" s="213"/>
      <c r="BU360" s="213"/>
      <c r="BV360" s="213"/>
      <c r="BW360" s="213"/>
      <c r="BX360" s="213"/>
      <c r="BY360" s="213"/>
      <c r="BZ360" s="213"/>
      <c r="CA360" s="213"/>
      <c r="CB360" s="213"/>
      <c r="CC360" s="213"/>
      <c r="CD360" s="213"/>
      <c r="CE360" s="213"/>
      <c r="CF360" s="213"/>
      <c r="CG360" s="213"/>
      <c r="CH360" s="213"/>
      <c r="CI360" s="213"/>
      <c r="CJ360" s="213"/>
      <c r="CK360" s="213"/>
      <c r="CL360" s="213"/>
      <c r="CM360" s="213"/>
      <c r="CN360" s="213"/>
      <c r="CO360" s="213"/>
      <c r="CP360" s="213"/>
      <c r="CQ360" s="213"/>
    </row>
    <row r="361" ht="15.75" customHeight="1">
      <c r="A361" s="213"/>
      <c r="B361" s="213"/>
      <c r="C361" s="213"/>
      <c r="D361" s="213"/>
      <c r="E361" s="213"/>
      <c r="F361" s="213"/>
      <c r="G361" s="213"/>
      <c r="H361" s="213"/>
      <c r="I361" s="213"/>
      <c r="J361" s="216"/>
      <c r="K361" s="213"/>
      <c r="L361" s="213"/>
      <c r="M361" s="213"/>
      <c r="N361" s="213"/>
      <c r="O361" s="213"/>
      <c r="P361" s="216"/>
      <c r="Q361" s="213"/>
      <c r="R361" s="213"/>
      <c r="S361" s="213"/>
      <c r="T361" s="213"/>
      <c r="U361" s="213"/>
      <c r="V361" s="216"/>
      <c r="W361" s="213"/>
      <c r="X361" s="213"/>
      <c r="Y361" s="213"/>
      <c r="Z361" s="213"/>
      <c r="AA361" s="213"/>
      <c r="AB361" s="216"/>
      <c r="AC361" s="213"/>
      <c r="AD361" s="213"/>
      <c r="AE361" s="213"/>
      <c r="AF361" s="213"/>
      <c r="AG361" s="213"/>
      <c r="AH361" s="216"/>
      <c r="AI361" s="213"/>
      <c r="AJ361" s="213"/>
      <c r="AK361" s="213"/>
      <c r="AL361" s="213"/>
      <c r="AM361" s="213"/>
      <c r="AN361" s="216"/>
      <c r="AO361" s="213"/>
      <c r="AP361" s="213"/>
      <c r="AQ361" s="213"/>
      <c r="AR361" s="213"/>
      <c r="AS361" s="213"/>
      <c r="AT361" s="216"/>
      <c r="AU361" s="213"/>
      <c r="AV361" s="213"/>
      <c r="AW361" s="213"/>
      <c r="AX361" s="213"/>
      <c r="AY361" s="213"/>
      <c r="AZ361" s="216"/>
      <c r="BA361" s="213"/>
      <c r="BB361" s="213"/>
      <c r="BC361" s="213"/>
      <c r="BD361" s="213"/>
      <c r="BE361" s="213"/>
      <c r="BF361" s="216"/>
      <c r="BG361" s="213"/>
      <c r="BH361" s="213"/>
      <c r="BI361" s="213"/>
      <c r="BJ361" s="213"/>
      <c r="BK361" s="213"/>
      <c r="BL361" s="216"/>
      <c r="BM361" s="213"/>
      <c r="BN361" s="213"/>
      <c r="BO361" s="213"/>
      <c r="BP361" s="213"/>
      <c r="BQ361" s="213"/>
      <c r="BR361" s="326"/>
      <c r="BS361" s="213"/>
      <c r="BT361" s="213"/>
      <c r="BU361" s="213"/>
      <c r="BV361" s="213"/>
      <c r="BW361" s="213"/>
      <c r="BX361" s="213"/>
      <c r="BY361" s="213"/>
      <c r="BZ361" s="213"/>
      <c r="CA361" s="213"/>
      <c r="CB361" s="213"/>
      <c r="CC361" s="213"/>
      <c r="CD361" s="213"/>
      <c r="CE361" s="213"/>
      <c r="CF361" s="213"/>
      <c r="CG361" s="213"/>
      <c r="CH361" s="213"/>
      <c r="CI361" s="213"/>
      <c r="CJ361" s="213"/>
      <c r="CK361" s="213"/>
      <c r="CL361" s="213"/>
      <c r="CM361" s="213"/>
      <c r="CN361" s="213"/>
      <c r="CO361" s="213"/>
      <c r="CP361" s="213"/>
      <c r="CQ361" s="213"/>
    </row>
  </sheetData>
  <mergeCells count="12">
    <mergeCell ref="AT4:AY4"/>
    <mergeCell ref="AZ4:BE4"/>
    <mergeCell ref="BF4:BK4"/>
    <mergeCell ref="BL4:BQ4"/>
    <mergeCell ref="BR4:BW4"/>
    <mergeCell ref="D4:I4"/>
    <mergeCell ref="J4:O4"/>
    <mergeCell ref="P4:U4"/>
    <mergeCell ref="V4:AA4"/>
    <mergeCell ref="AB4:AG4"/>
    <mergeCell ref="AH4:AM4"/>
    <mergeCell ref="AN4:AS4"/>
  </mergeCells>
  <printOptions/>
  <pageMargins bottom="0.75" footer="0.0" header="0.0" left="0.7" right="0.7" top="0.75"/>
  <pageSetup orientation="landscape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0"/>
  <cols>
    <col customWidth="1" min="1" max="1" width="11.25"/>
    <col customWidth="1" min="2" max="2" width="9.75"/>
    <col customWidth="1" min="3" max="3" width="35.88"/>
    <col customWidth="1" min="4" max="4" width="16.0"/>
    <col customWidth="1" hidden="1" min="5" max="5" width="7.75"/>
    <col customWidth="1" hidden="1" min="6" max="6" width="16.0"/>
    <col customWidth="1" hidden="1" min="7" max="7" width="7.75"/>
    <col customWidth="1" hidden="1" min="8" max="8" width="13.13"/>
    <col customWidth="1" hidden="1" min="9" max="9" width="9.63"/>
    <col customWidth="1" min="10" max="10" width="16.0"/>
    <col customWidth="1" hidden="1" min="11" max="11" width="7.75"/>
    <col customWidth="1" hidden="1" min="12" max="12" width="16.0"/>
    <col customWidth="1" hidden="1" min="13" max="13" width="8.13"/>
    <col customWidth="1" hidden="1" min="14" max="14" width="9.63"/>
    <col customWidth="1" hidden="1" min="15" max="15" width="9.38"/>
    <col customWidth="1" min="16" max="16" width="16.0"/>
    <col customWidth="1" hidden="1" min="17" max="17" width="8.88"/>
    <col customWidth="1" hidden="1" min="18" max="18" width="16.0"/>
    <col customWidth="1" hidden="1" min="19" max="19" width="8.88"/>
    <col customWidth="1" hidden="1" min="20" max="20" width="9.63"/>
    <col customWidth="1" hidden="1" min="21" max="21" width="9.38"/>
    <col customWidth="1" min="22" max="22" width="16.0"/>
    <col customWidth="1" hidden="1" min="23" max="23" width="8.88"/>
    <col customWidth="1" hidden="1" min="24" max="24" width="16.0"/>
    <col customWidth="1" hidden="1" min="25" max="25" width="8.88"/>
    <col customWidth="1" hidden="1" min="26" max="26" width="9.63"/>
    <col customWidth="1" hidden="1" min="27" max="27" width="9.38"/>
    <col customWidth="1" min="28" max="28" width="16.0"/>
    <col customWidth="1" hidden="1" min="29" max="29" width="8.88"/>
    <col customWidth="1" hidden="1" min="30" max="30" width="16.0"/>
    <col customWidth="1" hidden="1" min="31" max="31" width="8.13"/>
    <col customWidth="1" hidden="1" min="32" max="32" width="9.63"/>
    <col customWidth="1" hidden="1" min="33" max="33" width="9.38"/>
    <col customWidth="1" min="34" max="34" width="16.0"/>
    <col customWidth="1" hidden="1" min="35" max="35" width="8.88"/>
    <col customWidth="1" hidden="1" min="36" max="36" width="16.0"/>
    <col customWidth="1" hidden="1" min="37" max="37" width="8.88"/>
    <col customWidth="1" hidden="1" min="38" max="38" width="9.63"/>
    <col customWidth="1" hidden="1" min="39" max="39" width="9.38"/>
    <col customWidth="1" min="40" max="40" width="16.0"/>
    <col customWidth="1" hidden="1" min="41" max="41" width="8.88"/>
    <col customWidth="1" hidden="1" min="42" max="42" width="16.0"/>
    <col customWidth="1" hidden="1" min="43" max="43" width="8.88"/>
    <col customWidth="1" hidden="1" min="44" max="44" width="9.63"/>
    <col customWidth="1" hidden="1" min="45" max="45" width="9.38"/>
    <col customWidth="1" min="46" max="46" width="16.0"/>
    <col customWidth="1" hidden="1" min="47" max="47" width="8.88"/>
    <col customWidth="1" hidden="1" min="48" max="48" width="16.0"/>
    <col customWidth="1" hidden="1" min="49" max="49" width="7.75"/>
    <col customWidth="1" hidden="1" min="50" max="50" width="9.63"/>
    <col customWidth="1" hidden="1" min="51" max="51" width="9.38"/>
    <col customWidth="1" min="52" max="52" width="16.0"/>
    <col customWidth="1" hidden="1" min="53" max="53" width="8.88"/>
    <col customWidth="1" hidden="1" min="54" max="54" width="16.0"/>
    <col customWidth="1" hidden="1" min="55" max="55" width="8.88"/>
    <col customWidth="1" hidden="1" min="56" max="56" width="9.63"/>
    <col customWidth="1" hidden="1" min="57" max="57" width="9.38"/>
    <col customWidth="1" min="58" max="58" width="13.25"/>
    <col customWidth="1" hidden="1" min="59" max="59" width="8.88"/>
    <col customWidth="1" hidden="1" min="60" max="60" width="13.63"/>
    <col customWidth="1" hidden="1" min="61" max="61" width="8.13"/>
    <col customWidth="1" hidden="1" min="62" max="62" width="9.63"/>
    <col customWidth="1" hidden="1" min="63" max="63" width="9.38"/>
    <col customWidth="1" min="64" max="64" width="13.75"/>
    <col customWidth="1" hidden="1" min="65" max="65" width="7.75"/>
    <col customWidth="1" hidden="1" min="66" max="66" width="16.0"/>
    <col customWidth="1" hidden="1" min="67" max="67" width="8.13"/>
    <col customWidth="1" hidden="1" min="68" max="68" width="9.63"/>
    <col customWidth="1" hidden="1" min="69" max="69" width="9.38"/>
    <col customWidth="1" min="70" max="70" width="16.0"/>
    <col customWidth="1" hidden="1" min="71" max="71" width="9.0"/>
    <col customWidth="1" hidden="1" min="72" max="72" width="13.13"/>
    <col customWidth="1" hidden="1" min="73" max="73" width="8.13"/>
    <col customWidth="1" hidden="1" min="74" max="74" width="9.63"/>
    <col customWidth="1" min="75" max="94" width="12.63"/>
  </cols>
  <sheetData>
    <row r="1" ht="15.75" customHeight="1">
      <c r="A1" s="214"/>
      <c r="B1" s="214" t="s">
        <v>1</v>
      </c>
      <c r="C1" s="213"/>
      <c r="D1" s="213"/>
      <c r="E1" s="695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38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3"/>
      <c r="BG1" s="213"/>
      <c r="BH1" s="213"/>
      <c r="BI1" s="213"/>
      <c r="BJ1" s="213"/>
      <c r="BK1" s="213"/>
      <c r="BL1" s="213"/>
      <c r="BM1" s="213"/>
      <c r="BN1" s="213"/>
      <c r="BO1" s="213"/>
      <c r="BP1" s="213"/>
      <c r="BQ1" s="213"/>
      <c r="BR1" s="326"/>
      <c r="BS1" s="213"/>
      <c r="BT1" s="213"/>
      <c r="BU1" s="213"/>
      <c r="BV1" s="213"/>
      <c r="BW1" s="213"/>
      <c r="BX1" s="213"/>
      <c r="BY1" s="213"/>
      <c r="BZ1" s="213"/>
      <c r="CA1" s="213"/>
      <c r="CB1" s="213"/>
      <c r="CC1" s="213"/>
      <c r="CD1" s="213"/>
      <c r="CE1" s="213"/>
      <c r="CF1" s="213"/>
      <c r="CG1" s="213"/>
      <c r="CH1" s="213"/>
      <c r="CI1" s="213"/>
      <c r="CJ1" s="213"/>
      <c r="CK1" s="213"/>
      <c r="CL1" s="213"/>
      <c r="CM1" s="213"/>
      <c r="CN1" s="213"/>
      <c r="CO1" s="213"/>
      <c r="CP1" s="213"/>
    </row>
    <row r="2" ht="15.75" customHeight="1">
      <c r="A2" s="213"/>
      <c r="B2" s="216" t="s">
        <v>412</v>
      </c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38"/>
      <c r="X2" s="213"/>
      <c r="Y2" s="213"/>
      <c r="Z2" s="213"/>
      <c r="AA2" s="213"/>
      <c r="AB2" s="213"/>
      <c r="AC2" s="213"/>
      <c r="AD2" s="213"/>
      <c r="AE2" s="213"/>
      <c r="AF2" s="213"/>
      <c r="AG2" s="213"/>
      <c r="AH2" s="213"/>
      <c r="AI2" s="213"/>
      <c r="AJ2" s="213"/>
      <c r="AK2" s="213"/>
      <c r="AL2" s="213"/>
      <c r="AM2" s="213"/>
      <c r="AN2" s="213"/>
      <c r="AO2" s="213"/>
      <c r="AP2" s="213"/>
      <c r="AQ2" s="213"/>
      <c r="AR2" s="213"/>
      <c r="AS2" s="213"/>
      <c r="AT2" s="213"/>
      <c r="AU2" s="213"/>
      <c r="AV2" s="213"/>
      <c r="AW2" s="213"/>
      <c r="AX2" s="213"/>
      <c r="AY2" s="213"/>
      <c r="AZ2" s="213"/>
      <c r="BA2" s="213"/>
      <c r="BB2" s="213"/>
      <c r="BC2" s="213"/>
      <c r="BD2" s="213"/>
      <c r="BE2" s="213"/>
      <c r="BF2" s="213"/>
      <c r="BG2" s="213"/>
      <c r="BH2" s="213"/>
      <c r="BI2" s="213"/>
      <c r="BJ2" s="213"/>
      <c r="BK2" s="213"/>
      <c r="BL2" s="213"/>
      <c r="BM2" s="213"/>
      <c r="BN2" s="213"/>
      <c r="BO2" s="213"/>
      <c r="BP2" s="213"/>
      <c r="BQ2" s="213"/>
      <c r="BR2" s="326"/>
      <c r="BS2" s="213"/>
      <c r="BT2" s="213"/>
      <c r="BU2" s="213"/>
      <c r="BV2" s="213"/>
      <c r="BW2" s="213"/>
      <c r="BX2" s="213"/>
      <c r="BY2" s="213"/>
      <c r="BZ2" s="213"/>
      <c r="CA2" s="213"/>
      <c r="CB2" s="213"/>
      <c r="CC2" s="213"/>
      <c r="CD2" s="213"/>
      <c r="CE2" s="213"/>
      <c r="CF2" s="213"/>
      <c r="CG2" s="213"/>
      <c r="CH2" s="213"/>
      <c r="CI2" s="213"/>
      <c r="CJ2" s="213"/>
      <c r="CK2" s="213"/>
      <c r="CL2" s="213"/>
      <c r="CM2" s="213"/>
      <c r="CN2" s="213"/>
      <c r="CO2" s="213"/>
      <c r="CP2" s="213"/>
    </row>
    <row r="3" ht="15.75" customHeight="1">
      <c r="A3" s="213"/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38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  <c r="AJ3" s="213"/>
      <c r="AK3" s="213"/>
      <c r="AL3" s="213"/>
      <c r="AM3" s="213"/>
      <c r="AN3" s="213"/>
      <c r="AO3" s="213"/>
      <c r="AP3" s="213"/>
      <c r="AQ3" s="213"/>
      <c r="AR3" s="213"/>
      <c r="AS3" s="213"/>
      <c r="AT3" s="213"/>
      <c r="AU3" s="213"/>
      <c r="AV3" s="213"/>
      <c r="AW3" s="213"/>
      <c r="AX3" s="213"/>
      <c r="AY3" s="213"/>
      <c r="AZ3" s="213"/>
      <c r="BA3" s="213"/>
      <c r="BB3" s="213"/>
      <c r="BC3" s="213"/>
      <c r="BD3" s="213"/>
      <c r="BE3" s="213"/>
      <c r="BF3" s="213"/>
      <c r="BG3" s="213"/>
      <c r="BH3" s="213"/>
      <c r="BI3" s="213"/>
      <c r="BJ3" s="213"/>
      <c r="BK3" s="213"/>
      <c r="BL3" s="213"/>
      <c r="BM3" s="213"/>
      <c r="BN3" s="213"/>
      <c r="BO3" s="213"/>
      <c r="BP3" s="213"/>
      <c r="BQ3" s="213"/>
      <c r="BR3" s="326"/>
      <c r="BS3" s="213"/>
      <c r="BT3" s="213"/>
      <c r="BU3" s="213"/>
      <c r="BV3" s="213"/>
      <c r="BW3" s="213"/>
      <c r="BX3" s="213"/>
      <c r="BY3" s="213"/>
      <c r="BZ3" s="213"/>
      <c r="CA3" s="213"/>
      <c r="CB3" s="213"/>
      <c r="CC3" s="213"/>
      <c r="CD3" s="213"/>
      <c r="CE3" s="213"/>
      <c r="CF3" s="213"/>
      <c r="CG3" s="213"/>
      <c r="CH3" s="213"/>
      <c r="CI3" s="213"/>
      <c r="CJ3" s="213"/>
      <c r="CK3" s="213"/>
      <c r="CL3" s="213"/>
      <c r="CM3" s="213"/>
      <c r="CN3" s="213"/>
      <c r="CO3" s="213"/>
      <c r="CP3" s="213"/>
    </row>
    <row r="4" ht="15.75" customHeight="1">
      <c r="A4" s="213"/>
      <c r="B4" s="696" t="s">
        <v>201</v>
      </c>
      <c r="C4" s="697" t="s">
        <v>47</v>
      </c>
      <c r="D4" s="456" t="s">
        <v>202</v>
      </c>
      <c r="E4" s="11"/>
      <c r="F4" s="11"/>
      <c r="G4" s="11"/>
      <c r="H4" s="11"/>
      <c r="I4" s="14"/>
      <c r="J4" s="456" t="s">
        <v>203</v>
      </c>
      <c r="K4" s="11"/>
      <c r="L4" s="11"/>
      <c r="M4" s="11"/>
      <c r="N4" s="11"/>
      <c r="O4" s="14"/>
      <c r="P4" s="456" t="s">
        <v>204</v>
      </c>
      <c r="Q4" s="11"/>
      <c r="R4" s="11"/>
      <c r="S4" s="11"/>
      <c r="T4" s="11"/>
      <c r="U4" s="14"/>
      <c r="V4" s="456" t="s">
        <v>205</v>
      </c>
      <c r="W4" s="11"/>
      <c r="X4" s="11"/>
      <c r="Y4" s="11"/>
      <c r="Z4" s="11"/>
      <c r="AA4" s="14"/>
      <c r="AB4" s="456" t="s">
        <v>206</v>
      </c>
      <c r="AC4" s="11"/>
      <c r="AD4" s="11"/>
      <c r="AE4" s="11"/>
      <c r="AF4" s="11"/>
      <c r="AG4" s="14"/>
      <c r="AH4" s="456" t="s">
        <v>207</v>
      </c>
      <c r="AI4" s="11"/>
      <c r="AJ4" s="11"/>
      <c r="AK4" s="11"/>
      <c r="AL4" s="11"/>
      <c r="AM4" s="14"/>
      <c r="AN4" s="781" t="s">
        <v>208</v>
      </c>
      <c r="AO4" s="11"/>
      <c r="AP4" s="11"/>
      <c r="AQ4" s="11"/>
      <c r="AR4" s="11"/>
      <c r="AS4" s="298"/>
      <c r="AT4" s="782" t="s">
        <v>209</v>
      </c>
      <c r="AU4" s="11"/>
      <c r="AV4" s="11"/>
      <c r="AW4" s="11"/>
      <c r="AX4" s="11"/>
      <c r="AY4" s="298"/>
      <c r="AZ4" s="782" t="s">
        <v>210</v>
      </c>
      <c r="BA4" s="11"/>
      <c r="BB4" s="11"/>
      <c r="BC4" s="11"/>
      <c r="BD4" s="11"/>
      <c r="BE4" s="298"/>
      <c r="BF4" s="782" t="s">
        <v>211</v>
      </c>
      <c r="BG4" s="11"/>
      <c r="BH4" s="11"/>
      <c r="BI4" s="11"/>
      <c r="BJ4" s="11"/>
      <c r="BK4" s="298"/>
      <c r="BL4" s="782" t="s">
        <v>212</v>
      </c>
      <c r="BM4" s="11"/>
      <c r="BN4" s="11"/>
      <c r="BO4" s="11"/>
      <c r="BP4" s="11"/>
      <c r="BQ4" s="298"/>
      <c r="BR4" s="783" t="s">
        <v>213</v>
      </c>
      <c r="BS4" s="11"/>
      <c r="BT4" s="11"/>
      <c r="BU4" s="11"/>
      <c r="BV4" s="14"/>
      <c r="BW4" s="334"/>
      <c r="BX4" s="334"/>
      <c r="BY4" s="334"/>
      <c r="BZ4" s="334"/>
      <c r="CA4" s="334"/>
      <c r="CB4" s="334"/>
      <c r="CC4" s="334"/>
      <c r="CD4" s="334"/>
      <c r="CE4" s="334"/>
      <c r="CF4" s="334"/>
      <c r="CG4" s="334"/>
      <c r="CH4" s="334"/>
      <c r="CI4" s="334"/>
      <c r="CJ4" s="334"/>
      <c r="CK4" s="334"/>
      <c r="CL4" s="334"/>
      <c r="CM4" s="334"/>
      <c r="CN4" s="334"/>
      <c r="CO4" s="334"/>
      <c r="CP4" s="334"/>
    </row>
    <row r="5" ht="15.75" customHeight="1">
      <c r="A5" s="335"/>
      <c r="B5" s="566"/>
      <c r="C5" s="567"/>
      <c r="D5" s="464" t="s">
        <v>215</v>
      </c>
      <c r="E5" s="465" t="s">
        <v>19</v>
      </c>
      <c r="F5" s="465" t="s">
        <v>216</v>
      </c>
      <c r="G5" s="465" t="s">
        <v>19</v>
      </c>
      <c r="H5" s="465" t="s">
        <v>217</v>
      </c>
      <c r="I5" s="466" t="s">
        <v>218</v>
      </c>
      <c r="J5" s="464" t="s">
        <v>215</v>
      </c>
      <c r="K5" s="465" t="s">
        <v>19</v>
      </c>
      <c r="L5" s="465" t="s">
        <v>216</v>
      </c>
      <c r="M5" s="465" t="s">
        <v>19</v>
      </c>
      <c r="N5" s="465" t="s">
        <v>217</v>
      </c>
      <c r="O5" s="466" t="s">
        <v>218</v>
      </c>
      <c r="P5" s="464" t="s">
        <v>215</v>
      </c>
      <c r="Q5" s="465" t="s">
        <v>19</v>
      </c>
      <c r="R5" s="465" t="s">
        <v>216</v>
      </c>
      <c r="S5" s="465" t="s">
        <v>19</v>
      </c>
      <c r="T5" s="465" t="s">
        <v>217</v>
      </c>
      <c r="U5" s="466" t="s">
        <v>218</v>
      </c>
      <c r="V5" s="464" t="s">
        <v>215</v>
      </c>
      <c r="W5" s="465" t="s">
        <v>19</v>
      </c>
      <c r="X5" s="465" t="s">
        <v>216</v>
      </c>
      <c r="Y5" s="465" t="s">
        <v>19</v>
      </c>
      <c r="Z5" s="465" t="s">
        <v>217</v>
      </c>
      <c r="AA5" s="466" t="s">
        <v>218</v>
      </c>
      <c r="AB5" s="464" t="s">
        <v>215</v>
      </c>
      <c r="AC5" s="465" t="s">
        <v>19</v>
      </c>
      <c r="AD5" s="465" t="s">
        <v>216</v>
      </c>
      <c r="AE5" s="465" t="s">
        <v>19</v>
      </c>
      <c r="AF5" s="465" t="s">
        <v>217</v>
      </c>
      <c r="AG5" s="466" t="s">
        <v>218</v>
      </c>
      <c r="AH5" s="464" t="s">
        <v>215</v>
      </c>
      <c r="AI5" s="465" t="s">
        <v>19</v>
      </c>
      <c r="AJ5" s="465" t="s">
        <v>216</v>
      </c>
      <c r="AK5" s="465" t="s">
        <v>19</v>
      </c>
      <c r="AL5" s="465" t="s">
        <v>217</v>
      </c>
      <c r="AM5" s="466" t="s">
        <v>218</v>
      </c>
      <c r="AN5" s="784" t="s">
        <v>215</v>
      </c>
      <c r="AO5" s="465" t="s">
        <v>19</v>
      </c>
      <c r="AP5" s="465" t="s">
        <v>216</v>
      </c>
      <c r="AQ5" s="465" t="s">
        <v>19</v>
      </c>
      <c r="AR5" s="465" t="s">
        <v>217</v>
      </c>
      <c r="AS5" s="465" t="s">
        <v>218</v>
      </c>
      <c r="AT5" s="465" t="s">
        <v>215</v>
      </c>
      <c r="AU5" s="465" t="s">
        <v>19</v>
      </c>
      <c r="AV5" s="465" t="s">
        <v>216</v>
      </c>
      <c r="AW5" s="465" t="s">
        <v>19</v>
      </c>
      <c r="AX5" s="465" t="s">
        <v>217</v>
      </c>
      <c r="AY5" s="465" t="s">
        <v>218</v>
      </c>
      <c r="AZ5" s="465" t="s">
        <v>215</v>
      </c>
      <c r="BA5" s="465" t="s">
        <v>19</v>
      </c>
      <c r="BB5" s="465" t="s">
        <v>216</v>
      </c>
      <c r="BC5" s="465" t="s">
        <v>19</v>
      </c>
      <c r="BD5" s="465" t="s">
        <v>217</v>
      </c>
      <c r="BE5" s="465" t="s">
        <v>218</v>
      </c>
      <c r="BF5" s="465" t="s">
        <v>215</v>
      </c>
      <c r="BG5" s="465" t="s">
        <v>19</v>
      </c>
      <c r="BH5" s="465" t="s">
        <v>216</v>
      </c>
      <c r="BI5" s="465" t="s">
        <v>19</v>
      </c>
      <c r="BJ5" s="465" t="s">
        <v>217</v>
      </c>
      <c r="BK5" s="465" t="s">
        <v>218</v>
      </c>
      <c r="BL5" s="465" t="s">
        <v>215</v>
      </c>
      <c r="BM5" s="465" t="s">
        <v>19</v>
      </c>
      <c r="BN5" s="465" t="s">
        <v>216</v>
      </c>
      <c r="BO5" s="465" t="s">
        <v>19</v>
      </c>
      <c r="BP5" s="465" t="s">
        <v>217</v>
      </c>
      <c r="BQ5" s="465" t="s">
        <v>218</v>
      </c>
      <c r="BR5" s="785" t="s">
        <v>215</v>
      </c>
      <c r="BS5" s="786" t="s">
        <v>19</v>
      </c>
      <c r="BT5" s="786" t="s">
        <v>216</v>
      </c>
      <c r="BU5" s="786" t="s">
        <v>19</v>
      </c>
      <c r="BV5" s="786" t="s">
        <v>217</v>
      </c>
      <c r="BW5" s="348"/>
      <c r="BX5" s="348"/>
      <c r="BY5" s="348"/>
      <c r="BZ5" s="348"/>
      <c r="CA5" s="348"/>
      <c r="CB5" s="348"/>
      <c r="CC5" s="348"/>
      <c r="CD5" s="348"/>
      <c r="CE5" s="348"/>
      <c r="CF5" s="348"/>
      <c r="CG5" s="348"/>
      <c r="CH5" s="348"/>
      <c r="CI5" s="348"/>
      <c r="CJ5" s="348"/>
      <c r="CK5" s="348"/>
      <c r="CL5" s="348"/>
      <c r="CM5" s="348"/>
      <c r="CN5" s="348"/>
      <c r="CO5" s="348"/>
      <c r="CP5" s="348"/>
    </row>
    <row r="6" ht="15.75" hidden="1" customHeight="1">
      <c r="A6" s="213"/>
      <c r="B6" s="382"/>
      <c r="C6" s="383" t="s">
        <v>85</v>
      </c>
      <c r="D6" s="708">
        <v>7363.0</v>
      </c>
      <c r="E6" s="440"/>
      <c r="F6" s="388"/>
      <c r="G6" s="440"/>
      <c r="H6" s="388"/>
      <c r="I6" s="389"/>
      <c r="J6" s="708">
        <v>7332.0</v>
      </c>
      <c r="K6" s="385">
        <f t="shared" ref="K6:K9" si="1">(J6-D6)/D6</f>
        <v>-0.004210240391</v>
      </c>
      <c r="L6" s="709"/>
      <c r="M6" s="440"/>
      <c r="N6" s="388"/>
      <c r="O6" s="389"/>
      <c r="P6" s="708"/>
      <c r="Q6" s="440"/>
      <c r="R6" s="388"/>
      <c r="S6" s="440"/>
      <c r="T6" s="388"/>
      <c r="U6" s="389"/>
      <c r="V6" s="708"/>
      <c r="W6" s="440"/>
      <c r="X6" s="388"/>
      <c r="Y6" s="440"/>
      <c r="Z6" s="388"/>
      <c r="AA6" s="389"/>
      <c r="AB6" s="708"/>
      <c r="AC6" s="440"/>
      <c r="AD6" s="388"/>
      <c r="AE6" s="440"/>
      <c r="AF6" s="388"/>
      <c r="AG6" s="389"/>
      <c r="AH6" s="708"/>
      <c r="AI6" s="440"/>
      <c r="AJ6" s="388"/>
      <c r="AK6" s="440"/>
      <c r="AL6" s="388"/>
      <c r="AM6" s="389"/>
      <c r="AN6" s="787"/>
      <c r="AO6" s="440"/>
      <c r="AP6" s="388"/>
      <c r="AQ6" s="440"/>
      <c r="AR6" s="388"/>
      <c r="AS6" s="440"/>
      <c r="AT6" s="388"/>
      <c r="AU6" s="440"/>
      <c r="AV6" s="388"/>
      <c r="AW6" s="440"/>
      <c r="AX6" s="388"/>
      <c r="AY6" s="440"/>
      <c r="AZ6" s="388"/>
      <c r="BA6" s="440"/>
      <c r="BB6" s="388"/>
      <c r="BC6" s="440"/>
      <c r="BD6" s="388"/>
      <c r="BE6" s="440"/>
      <c r="BF6" s="388"/>
      <c r="BG6" s="440"/>
      <c r="BH6" s="388"/>
      <c r="BI6" s="440"/>
      <c r="BJ6" s="388"/>
      <c r="BK6" s="440"/>
      <c r="BL6" s="388"/>
      <c r="BM6" s="440"/>
      <c r="BN6" s="388"/>
      <c r="BO6" s="440"/>
      <c r="BP6" s="388"/>
      <c r="BQ6" s="440"/>
      <c r="BR6" s="788"/>
      <c r="BS6" s="440"/>
      <c r="BT6" s="388"/>
      <c r="BU6" s="440"/>
      <c r="BV6" s="388"/>
      <c r="BW6" s="213"/>
      <c r="BX6" s="213"/>
      <c r="BY6" s="213"/>
      <c r="BZ6" s="213"/>
      <c r="CA6" s="213"/>
      <c r="CB6" s="213"/>
      <c r="CC6" s="213"/>
      <c r="CD6" s="213"/>
      <c r="CE6" s="213"/>
      <c r="CF6" s="213"/>
      <c r="CG6" s="213"/>
      <c r="CH6" s="213"/>
      <c r="CI6" s="213"/>
      <c r="CJ6" s="213"/>
      <c r="CK6" s="213"/>
      <c r="CL6" s="213"/>
      <c r="CM6" s="213"/>
      <c r="CN6" s="213"/>
      <c r="CO6" s="213"/>
      <c r="CP6" s="213"/>
    </row>
    <row r="7" ht="15.75" hidden="1" customHeight="1">
      <c r="A7" s="213"/>
      <c r="B7" s="349"/>
      <c r="C7" s="350" t="s">
        <v>92</v>
      </c>
      <c r="D7" s="604">
        <v>2241.0</v>
      </c>
      <c r="E7" s="352"/>
      <c r="F7" s="357"/>
      <c r="G7" s="352"/>
      <c r="H7" s="357"/>
      <c r="I7" s="358"/>
      <c r="J7" s="604">
        <v>2613.0</v>
      </c>
      <c r="K7" s="355">
        <f t="shared" si="1"/>
        <v>0.1659973226</v>
      </c>
      <c r="L7" s="245"/>
      <c r="M7" s="352"/>
      <c r="N7" s="357"/>
      <c r="O7" s="358"/>
      <c r="P7" s="604"/>
      <c r="Q7" s="352"/>
      <c r="R7" s="357"/>
      <c r="S7" s="352"/>
      <c r="T7" s="357"/>
      <c r="U7" s="358"/>
      <c r="V7" s="604"/>
      <c r="W7" s="352"/>
      <c r="X7" s="357"/>
      <c r="Y7" s="352"/>
      <c r="Z7" s="357"/>
      <c r="AA7" s="358"/>
      <c r="AB7" s="604"/>
      <c r="AC7" s="352"/>
      <c r="AD7" s="357"/>
      <c r="AE7" s="352"/>
      <c r="AF7" s="357"/>
      <c r="AG7" s="358"/>
      <c r="AH7" s="604"/>
      <c r="AI7" s="352"/>
      <c r="AJ7" s="357"/>
      <c r="AK7" s="352"/>
      <c r="AL7" s="357"/>
      <c r="AM7" s="358"/>
      <c r="AN7" s="605"/>
      <c r="AO7" s="352"/>
      <c r="AP7" s="357"/>
      <c r="AQ7" s="352"/>
      <c r="AR7" s="357"/>
      <c r="AS7" s="352"/>
      <c r="AT7" s="357"/>
      <c r="AU7" s="352"/>
      <c r="AV7" s="357"/>
      <c r="AW7" s="352"/>
      <c r="AX7" s="357"/>
      <c r="AY7" s="352"/>
      <c r="AZ7" s="357"/>
      <c r="BA7" s="352"/>
      <c r="BB7" s="357"/>
      <c r="BC7" s="352"/>
      <c r="BD7" s="357"/>
      <c r="BE7" s="352"/>
      <c r="BF7" s="357"/>
      <c r="BG7" s="352"/>
      <c r="BH7" s="357"/>
      <c r="BI7" s="352"/>
      <c r="BJ7" s="357"/>
      <c r="BK7" s="352"/>
      <c r="BL7" s="357"/>
      <c r="BM7" s="352"/>
      <c r="BN7" s="357"/>
      <c r="BO7" s="352"/>
      <c r="BP7" s="357"/>
      <c r="BQ7" s="352"/>
      <c r="BR7" s="353"/>
      <c r="BS7" s="352"/>
      <c r="BT7" s="357"/>
      <c r="BU7" s="352"/>
      <c r="BV7" s="357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</row>
    <row r="8" ht="15.75" hidden="1" customHeight="1">
      <c r="A8" s="213"/>
      <c r="B8" s="349"/>
      <c r="C8" s="350" t="s">
        <v>99</v>
      </c>
      <c r="D8" s="604">
        <f>D17+D28+D29+D32</f>
        <v>12789490.1</v>
      </c>
      <c r="E8" s="352"/>
      <c r="F8" s="357"/>
      <c r="G8" s="352"/>
      <c r="H8" s="357"/>
      <c r="I8" s="358"/>
      <c r="J8" s="604">
        <f>J17+J28+J29+J32</f>
        <v>12748872</v>
      </c>
      <c r="K8" s="355">
        <f t="shared" si="1"/>
        <v>-0.003175896747</v>
      </c>
      <c r="L8" s="245"/>
      <c r="M8" s="352"/>
      <c r="N8" s="357"/>
      <c r="O8" s="358"/>
      <c r="P8" s="604"/>
      <c r="Q8" s="352"/>
      <c r="R8" s="357"/>
      <c r="S8" s="352"/>
      <c r="T8" s="357"/>
      <c r="U8" s="358"/>
      <c r="V8" s="604"/>
      <c r="W8" s="352"/>
      <c r="X8" s="357"/>
      <c r="Y8" s="352"/>
      <c r="Z8" s="357"/>
      <c r="AA8" s="358"/>
      <c r="AB8" s="604"/>
      <c r="AC8" s="352"/>
      <c r="AD8" s="357"/>
      <c r="AE8" s="352"/>
      <c r="AF8" s="357"/>
      <c r="AG8" s="358"/>
      <c r="AH8" s="604"/>
      <c r="AI8" s="352"/>
      <c r="AJ8" s="357"/>
      <c r="AK8" s="352"/>
      <c r="AL8" s="357"/>
      <c r="AM8" s="358"/>
      <c r="AN8" s="605"/>
      <c r="AO8" s="352"/>
      <c r="AP8" s="357"/>
      <c r="AQ8" s="352"/>
      <c r="AR8" s="357"/>
      <c r="AS8" s="352"/>
      <c r="AT8" s="357"/>
      <c r="AU8" s="352"/>
      <c r="AV8" s="357"/>
      <c r="AW8" s="352"/>
      <c r="AX8" s="357"/>
      <c r="AY8" s="352"/>
      <c r="AZ8" s="357"/>
      <c r="BA8" s="352"/>
      <c r="BB8" s="357"/>
      <c r="BC8" s="352"/>
      <c r="BD8" s="357"/>
      <c r="BE8" s="352"/>
      <c r="BF8" s="357"/>
      <c r="BG8" s="352"/>
      <c r="BH8" s="357"/>
      <c r="BI8" s="352"/>
      <c r="BJ8" s="357"/>
      <c r="BK8" s="352"/>
      <c r="BL8" s="357"/>
      <c r="BM8" s="352"/>
      <c r="BN8" s="357"/>
      <c r="BO8" s="352"/>
      <c r="BP8" s="357"/>
      <c r="BQ8" s="352"/>
      <c r="BR8" s="353"/>
      <c r="BS8" s="352"/>
      <c r="BT8" s="357"/>
      <c r="BU8" s="352"/>
      <c r="BV8" s="357"/>
      <c r="BW8" s="213"/>
      <c r="BX8" s="213"/>
      <c r="BY8" s="213"/>
      <c r="BZ8" s="213"/>
      <c r="CA8" s="213"/>
      <c r="CB8" s="213"/>
      <c r="CC8" s="213"/>
      <c r="CD8" s="213"/>
      <c r="CE8" s="213"/>
      <c r="CF8" s="213"/>
      <c r="CG8" s="213"/>
      <c r="CH8" s="213"/>
      <c r="CI8" s="213"/>
      <c r="CJ8" s="213"/>
      <c r="CK8" s="213"/>
      <c r="CL8" s="213"/>
      <c r="CM8" s="213"/>
      <c r="CN8" s="213"/>
      <c r="CO8" s="213"/>
      <c r="CP8" s="213"/>
    </row>
    <row r="9" ht="15.75" hidden="1" customHeight="1">
      <c r="A9" s="213"/>
      <c r="B9" s="349"/>
      <c r="C9" s="350" t="s">
        <v>106</v>
      </c>
      <c r="D9" s="604">
        <f>D18+D21+D22+D23</f>
        <v>3313668.58</v>
      </c>
      <c r="E9" s="352"/>
      <c r="F9" s="357"/>
      <c r="G9" s="352"/>
      <c r="H9" s="357"/>
      <c r="I9" s="358"/>
      <c r="J9" s="604">
        <f>J18+J21+J22+J23</f>
        <v>3767266.56</v>
      </c>
      <c r="K9" s="355">
        <f t="shared" si="1"/>
        <v>0.1368869484</v>
      </c>
      <c r="L9" s="245"/>
      <c r="M9" s="352"/>
      <c r="N9" s="357"/>
      <c r="O9" s="358"/>
      <c r="P9" s="604"/>
      <c r="Q9" s="352"/>
      <c r="R9" s="357"/>
      <c r="S9" s="352"/>
      <c r="T9" s="357"/>
      <c r="U9" s="358"/>
      <c r="V9" s="604"/>
      <c r="W9" s="352"/>
      <c r="X9" s="357"/>
      <c r="Y9" s="352"/>
      <c r="Z9" s="357"/>
      <c r="AA9" s="358"/>
      <c r="AB9" s="604"/>
      <c r="AC9" s="352"/>
      <c r="AD9" s="357"/>
      <c r="AE9" s="352"/>
      <c r="AF9" s="357"/>
      <c r="AG9" s="358"/>
      <c r="AH9" s="604"/>
      <c r="AI9" s="352"/>
      <c r="AJ9" s="357"/>
      <c r="AK9" s="352"/>
      <c r="AL9" s="357"/>
      <c r="AM9" s="358"/>
      <c r="AN9" s="605"/>
      <c r="AO9" s="352"/>
      <c r="AP9" s="357"/>
      <c r="AQ9" s="352"/>
      <c r="AR9" s="357"/>
      <c r="AS9" s="352"/>
      <c r="AT9" s="357"/>
      <c r="AU9" s="352"/>
      <c r="AV9" s="357"/>
      <c r="AW9" s="352"/>
      <c r="AX9" s="357"/>
      <c r="AY9" s="352"/>
      <c r="AZ9" s="357"/>
      <c r="BA9" s="352"/>
      <c r="BB9" s="357"/>
      <c r="BC9" s="352"/>
      <c r="BD9" s="357"/>
      <c r="BE9" s="352"/>
      <c r="BF9" s="357"/>
      <c r="BG9" s="352"/>
      <c r="BH9" s="357"/>
      <c r="BI9" s="352"/>
      <c r="BJ9" s="357"/>
      <c r="BK9" s="352"/>
      <c r="BL9" s="357"/>
      <c r="BM9" s="352"/>
      <c r="BN9" s="357"/>
      <c r="BO9" s="352"/>
      <c r="BP9" s="357"/>
      <c r="BQ9" s="352"/>
      <c r="BR9" s="353"/>
      <c r="BS9" s="352"/>
      <c r="BT9" s="357"/>
      <c r="BU9" s="352"/>
      <c r="BV9" s="357"/>
      <c r="BW9" s="213"/>
      <c r="BX9" s="213"/>
      <c r="BY9" s="213"/>
      <c r="BZ9" s="213"/>
      <c r="CA9" s="213"/>
      <c r="CB9" s="213"/>
      <c r="CC9" s="213"/>
      <c r="CD9" s="213"/>
      <c r="CE9" s="213"/>
      <c r="CF9" s="213"/>
      <c r="CG9" s="213"/>
      <c r="CH9" s="213"/>
      <c r="CI9" s="213"/>
      <c r="CJ9" s="213"/>
      <c r="CK9" s="213"/>
      <c r="CL9" s="213"/>
      <c r="CM9" s="213"/>
      <c r="CN9" s="213"/>
      <c r="CO9" s="213"/>
      <c r="CP9" s="213"/>
    </row>
    <row r="10" ht="15.75" hidden="1" customHeight="1">
      <c r="A10" s="213"/>
      <c r="B10" s="349"/>
      <c r="C10" s="350" t="s">
        <v>113</v>
      </c>
      <c r="D10" s="604">
        <f>SUM(D8:D9)-D33</f>
        <v>-30400</v>
      </c>
      <c r="E10" s="352"/>
      <c r="F10" s="357"/>
      <c r="G10" s="352"/>
      <c r="H10" s="357"/>
      <c r="I10" s="358"/>
      <c r="J10" s="604">
        <f>SUM(J8:J9)-J33</f>
        <v>-30400</v>
      </c>
      <c r="K10" s="352"/>
      <c r="L10" s="357"/>
      <c r="M10" s="352"/>
      <c r="N10" s="357"/>
      <c r="O10" s="358"/>
      <c r="P10" s="604"/>
      <c r="Q10" s="352"/>
      <c r="R10" s="357"/>
      <c r="S10" s="352"/>
      <c r="T10" s="357"/>
      <c r="U10" s="358"/>
      <c r="V10" s="604"/>
      <c r="W10" s="352"/>
      <c r="X10" s="357"/>
      <c r="Y10" s="352"/>
      <c r="Z10" s="357"/>
      <c r="AA10" s="358"/>
      <c r="AB10" s="604"/>
      <c r="AC10" s="352"/>
      <c r="AD10" s="357"/>
      <c r="AE10" s="352"/>
      <c r="AF10" s="357"/>
      <c r="AG10" s="358"/>
      <c r="AH10" s="604"/>
      <c r="AI10" s="352"/>
      <c r="AJ10" s="357"/>
      <c r="AK10" s="352"/>
      <c r="AL10" s="357"/>
      <c r="AM10" s="358"/>
      <c r="AN10" s="605"/>
      <c r="AO10" s="352"/>
      <c r="AP10" s="357"/>
      <c r="AQ10" s="352"/>
      <c r="AR10" s="357"/>
      <c r="AS10" s="352"/>
      <c r="AT10" s="357"/>
      <c r="AU10" s="352"/>
      <c r="AV10" s="357"/>
      <c r="AW10" s="352"/>
      <c r="AX10" s="357"/>
      <c r="AY10" s="352"/>
      <c r="AZ10" s="357"/>
      <c r="BA10" s="352"/>
      <c r="BB10" s="357"/>
      <c r="BC10" s="352"/>
      <c r="BD10" s="357"/>
      <c r="BE10" s="352"/>
      <c r="BF10" s="357"/>
      <c r="BG10" s="352"/>
      <c r="BH10" s="357"/>
      <c r="BI10" s="352"/>
      <c r="BJ10" s="357"/>
      <c r="BK10" s="352"/>
      <c r="BL10" s="357"/>
      <c r="BM10" s="352"/>
      <c r="BN10" s="357"/>
      <c r="BO10" s="352"/>
      <c r="BP10" s="357"/>
      <c r="BQ10" s="352"/>
      <c r="BR10" s="353"/>
      <c r="BS10" s="352"/>
      <c r="BT10" s="357"/>
      <c r="BU10" s="352"/>
      <c r="BV10" s="357"/>
      <c r="BW10" s="213"/>
      <c r="BX10" s="213"/>
      <c r="BY10" s="213"/>
      <c r="BZ10" s="213"/>
      <c r="CA10" s="213"/>
      <c r="CB10" s="213"/>
      <c r="CC10" s="213"/>
      <c r="CD10" s="213"/>
      <c r="CE10" s="213"/>
      <c r="CF10" s="213"/>
      <c r="CG10" s="213"/>
      <c r="CH10" s="213"/>
      <c r="CI10" s="213"/>
      <c r="CJ10" s="213"/>
      <c r="CK10" s="213"/>
      <c r="CL10" s="213"/>
      <c r="CM10" s="213"/>
      <c r="CN10" s="213"/>
      <c r="CO10" s="213"/>
      <c r="CP10" s="213"/>
    </row>
    <row r="11" ht="15.75" hidden="1" customHeight="1">
      <c r="A11" s="213"/>
      <c r="B11" s="349"/>
      <c r="C11" s="350" t="s">
        <v>120</v>
      </c>
      <c r="D11" s="604">
        <f t="shared" ref="D11:D12" si="2">D8/D6</f>
        <v>1736.994445</v>
      </c>
      <c r="E11" s="352"/>
      <c r="F11" s="357"/>
      <c r="G11" s="352"/>
      <c r="H11" s="357"/>
      <c r="I11" s="358"/>
      <c r="J11" s="604">
        <f t="shared" ref="J11:J12" si="3">J8/J6</f>
        <v>1738.798691</v>
      </c>
      <c r="K11" s="355">
        <f t="shared" ref="K11:K12" si="4">(J11-D11)/D11</f>
        <v>0.001038716892</v>
      </c>
      <c r="L11" s="357" t="s">
        <v>219</v>
      </c>
      <c r="M11" s="352"/>
      <c r="N11" s="357"/>
      <c r="O11" s="358"/>
      <c r="P11" s="604"/>
      <c r="Q11" s="352"/>
      <c r="R11" s="357"/>
      <c r="S11" s="352"/>
      <c r="T11" s="357"/>
      <c r="U11" s="358"/>
      <c r="V11" s="604"/>
      <c r="W11" s="352"/>
      <c r="X11" s="357"/>
      <c r="Y11" s="352"/>
      <c r="Z11" s="357"/>
      <c r="AA11" s="358"/>
      <c r="AB11" s="604"/>
      <c r="AC11" s="352"/>
      <c r="AD11" s="357"/>
      <c r="AE11" s="352"/>
      <c r="AF11" s="357"/>
      <c r="AG11" s="358"/>
      <c r="AH11" s="604"/>
      <c r="AI11" s="352"/>
      <c r="AJ11" s="357"/>
      <c r="AK11" s="352"/>
      <c r="AL11" s="357"/>
      <c r="AM11" s="358"/>
      <c r="AN11" s="605"/>
      <c r="AO11" s="352"/>
      <c r="AP11" s="357"/>
      <c r="AQ11" s="352"/>
      <c r="AR11" s="357"/>
      <c r="AS11" s="352"/>
      <c r="AT11" s="357"/>
      <c r="AU11" s="352"/>
      <c r="AV11" s="357"/>
      <c r="AW11" s="352"/>
      <c r="AX11" s="357"/>
      <c r="AY11" s="352"/>
      <c r="AZ11" s="357"/>
      <c r="BA11" s="352"/>
      <c r="BB11" s="357"/>
      <c r="BC11" s="352"/>
      <c r="BD11" s="357"/>
      <c r="BE11" s="352"/>
      <c r="BF11" s="357"/>
      <c r="BG11" s="352"/>
      <c r="BH11" s="357"/>
      <c r="BI11" s="352"/>
      <c r="BJ11" s="357"/>
      <c r="BK11" s="352"/>
      <c r="BL11" s="357"/>
      <c r="BM11" s="352"/>
      <c r="BN11" s="357"/>
      <c r="BO11" s="352"/>
      <c r="BP11" s="357"/>
      <c r="BQ11" s="352"/>
      <c r="BR11" s="353"/>
      <c r="BS11" s="352"/>
      <c r="BT11" s="357"/>
      <c r="BU11" s="352"/>
      <c r="BV11" s="357"/>
      <c r="BW11" s="213"/>
      <c r="BX11" s="213"/>
      <c r="BY11" s="213"/>
      <c r="BZ11" s="213"/>
      <c r="CA11" s="213"/>
      <c r="CB11" s="213"/>
      <c r="CC11" s="213"/>
      <c r="CD11" s="213"/>
      <c r="CE11" s="213"/>
      <c r="CF11" s="213"/>
      <c r="CG11" s="213"/>
      <c r="CH11" s="213"/>
      <c r="CI11" s="213"/>
      <c r="CJ11" s="213"/>
      <c r="CK11" s="213"/>
      <c r="CL11" s="213"/>
      <c r="CM11" s="213"/>
      <c r="CN11" s="213"/>
      <c r="CO11" s="213"/>
      <c r="CP11" s="213"/>
    </row>
    <row r="12" ht="15.75" hidden="1" customHeight="1">
      <c r="A12" s="213"/>
      <c r="B12" s="349"/>
      <c r="C12" s="350" t="s">
        <v>127</v>
      </c>
      <c r="D12" s="604">
        <f t="shared" si="2"/>
        <v>1478.656216</v>
      </c>
      <c r="E12" s="352"/>
      <c r="F12" s="357"/>
      <c r="G12" s="352"/>
      <c r="H12" s="357"/>
      <c r="I12" s="358"/>
      <c r="J12" s="604">
        <f t="shared" si="3"/>
        <v>1441.739977</v>
      </c>
      <c r="K12" s="355">
        <f t="shared" si="4"/>
        <v>-0.02496607294</v>
      </c>
      <c r="L12" s="357"/>
      <c r="M12" s="352"/>
      <c r="N12" s="357"/>
      <c r="O12" s="358"/>
      <c r="P12" s="604"/>
      <c r="Q12" s="352"/>
      <c r="R12" s="357"/>
      <c r="S12" s="352"/>
      <c r="T12" s="357"/>
      <c r="U12" s="358"/>
      <c r="V12" s="604"/>
      <c r="W12" s="352"/>
      <c r="X12" s="357"/>
      <c r="Y12" s="352"/>
      <c r="Z12" s="357"/>
      <c r="AA12" s="358"/>
      <c r="AB12" s="604"/>
      <c r="AC12" s="352"/>
      <c r="AD12" s="357"/>
      <c r="AE12" s="352"/>
      <c r="AF12" s="357"/>
      <c r="AG12" s="358"/>
      <c r="AH12" s="604"/>
      <c r="AI12" s="352"/>
      <c r="AJ12" s="357"/>
      <c r="AK12" s="352"/>
      <c r="AL12" s="357"/>
      <c r="AM12" s="358"/>
      <c r="AN12" s="605"/>
      <c r="AO12" s="352"/>
      <c r="AP12" s="357"/>
      <c r="AQ12" s="352"/>
      <c r="AR12" s="357"/>
      <c r="AS12" s="352"/>
      <c r="AT12" s="357"/>
      <c r="AU12" s="352"/>
      <c r="AV12" s="357"/>
      <c r="AW12" s="352"/>
      <c r="AX12" s="357"/>
      <c r="AY12" s="352"/>
      <c r="AZ12" s="357"/>
      <c r="BA12" s="352"/>
      <c r="BB12" s="357"/>
      <c r="BC12" s="352"/>
      <c r="BD12" s="357"/>
      <c r="BE12" s="352"/>
      <c r="BF12" s="357"/>
      <c r="BG12" s="352"/>
      <c r="BH12" s="357"/>
      <c r="BI12" s="352"/>
      <c r="BJ12" s="357"/>
      <c r="BK12" s="352"/>
      <c r="BL12" s="357"/>
      <c r="BM12" s="352"/>
      <c r="BN12" s="357"/>
      <c r="BO12" s="352"/>
      <c r="BP12" s="357"/>
      <c r="BQ12" s="352"/>
      <c r="BR12" s="353"/>
      <c r="BS12" s="352"/>
      <c r="BT12" s="357"/>
      <c r="BU12" s="352"/>
      <c r="BV12" s="357"/>
      <c r="BW12" s="213"/>
      <c r="BX12" s="213"/>
      <c r="BY12" s="213"/>
      <c r="BZ12" s="213"/>
      <c r="CA12" s="213"/>
      <c r="CB12" s="213"/>
      <c r="CC12" s="213"/>
      <c r="CD12" s="213"/>
      <c r="CE12" s="213"/>
      <c r="CF12" s="213"/>
      <c r="CG12" s="213"/>
      <c r="CH12" s="213"/>
      <c r="CI12" s="213"/>
      <c r="CJ12" s="213"/>
      <c r="CK12" s="213"/>
      <c r="CL12" s="213"/>
      <c r="CM12" s="213"/>
      <c r="CN12" s="213"/>
      <c r="CO12" s="213"/>
      <c r="CP12" s="213"/>
    </row>
    <row r="13" ht="15.75" hidden="1" customHeight="1">
      <c r="A13" s="213"/>
      <c r="B13" s="349"/>
      <c r="C13" s="350"/>
      <c r="D13" s="604"/>
      <c r="E13" s="245"/>
      <c r="F13" s="357"/>
      <c r="G13" s="355"/>
      <c r="H13" s="357"/>
      <c r="I13" s="350"/>
      <c r="J13" s="604"/>
      <c r="K13" s="245"/>
      <c r="L13" s="357"/>
      <c r="M13" s="245"/>
      <c r="N13" s="357"/>
      <c r="O13" s="350"/>
      <c r="P13" s="604"/>
      <c r="Q13" s="245"/>
      <c r="R13" s="357"/>
      <c r="S13" s="245"/>
      <c r="T13" s="357"/>
      <c r="U13" s="350"/>
      <c r="V13" s="604"/>
      <c r="W13" s="352"/>
      <c r="X13" s="357"/>
      <c r="Y13" s="245"/>
      <c r="Z13" s="357"/>
      <c r="AA13" s="350"/>
      <c r="AB13" s="604"/>
      <c r="AC13" s="245"/>
      <c r="AD13" s="357"/>
      <c r="AE13" s="245"/>
      <c r="AF13" s="357"/>
      <c r="AG13" s="350"/>
      <c r="AH13" s="604"/>
      <c r="AI13" s="245"/>
      <c r="AJ13" s="357"/>
      <c r="AK13" s="245"/>
      <c r="AL13" s="357"/>
      <c r="AM13" s="350"/>
      <c r="AN13" s="605"/>
      <c r="AO13" s="245"/>
      <c r="AP13" s="357"/>
      <c r="AQ13" s="245"/>
      <c r="AR13" s="357"/>
      <c r="AS13" s="245"/>
      <c r="AT13" s="357"/>
      <c r="AU13" s="245"/>
      <c r="AV13" s="357"/>
      <c r="AW13" s="245"/>
      <c r="AX13" s="357"/>
      <c r="AY13" s="245"/>
      <c r="AZ13" s="357"/>
      <c r="BA13" s="245"/>
      <c r="BB13" s="357"/>
      <c r="BC13" s="245"/>
      <c r="BD13" s="357"/>
      <c r="BE13" s="245"/>
      <c r="BF13" s="357"/>
      <c r="BG13" s="245"/>
      <c r="BH13" s="357"/>
      <c r="BI13" s="245"/>
      <c r="BJ13" s="357"/>
      <c r="BK13" s="245"/>
      <c r="BL13" s="357"/>
      <c r="BM13" s="245"/>
      <c r="BN13" s="357"/>
      <c r="BO13" s="245"/>
      <c r="BP13" s="357"/>
      <c r="BQ13" s="245"/>
      <c r="BR13" s="353"/>
      <c r="BS13" s="245"/>
      <c r="BT13" s="357"/>
      <c r="BU13" s="245"/>
      <c r="BV13" s="357"/>
      <c r="BW13" s="213"/>
      <c r="BX13" s="213"/>
      <c r="BY13" s="213"/>
      <c r="BZ13" s="213"/>
      <c r="CA13" s="213"/>
      <c r="CB13" s="213"/>
      <c r="CC13" s="213"/>
      <c r="CD13" s="213"/>
      <c r="CE13" s="213"/>
      <c r="CF13" s="213"/>
      <c r="CG13" s="213"/>
      <c r="CH13" s="213"/>
      <c r="CI13" s="213"/>
      <c r="CJ13" s="213"/>
      <c r="CK13" s="213"/>
      <c r="CL13" s="213"/>
      <c r="CM13" s="213"/>
      <c r="CN13" s="213"/>
      <c r="CO13" s="213"/>
      <c r="CP13" s="213"/>
    </row>
    <row r="14" ht="15.75" hidden="1" customHeight="1">
      <c r="A14" s="213"/>
      <c r="B14" s="349"/>
      <c r="C14" s="350"/>
      <c r="D14" s="604"/>
      <c r="E14" s="245"/>
      <c r="F14" s="357"/>
      <c r="G14" s="355"/>
      <c r="H14" s="357"/>
      <c r="I14" s="350"/>
      <c r="J14" s="604"/>
      <c r="K14" s="245"/>
      <c r="L14" s="357"/>
      <c r="M14" s="245"/>
      <c r="N14" s="357"/>
      <c r="O14" s="350"/>
      <c r="P14" s="604"/>
      <c r="Q14" s="245"/>
      <c r="R14" s="357"/>
      <c r="S14" s="245"/>
      <c r="T14" s="357"/>
      <c r="U14" s="350"/>
      <c r="V14" s="604"/>
      <c r="W14" s="352"/>
      <c r="X14" s="357"/>
      <c r="Y14" s="245"/>
      <c r="Z14" s="357"/>
      <c r="AA14" s="350"/>
      <c r="AB14" s="604"/>
      <c r="AC14" s="245"/>
      <c r="AD14" s="357"/>
      <c r="AE14" s="245"/>
      <c r="AF14" s="357"/>
      <c r="AG14" s="350"/>
      <c r="AH14" s="604"/>
      <c r="AI14" s="245"/>
      <c r="AJ14" s="357"/>
      <c r="AK14" s="245"/>
      <c r="AL14" s="357"/>
      <c r="AM14" s="350"/>
      <c r="AN14" s="605"/>
      <c r="AO14" s="245"/>
      <c r="AP14" s="357"/>
      <c r="AQ14" s="245"/>
      <c r="AR14" s="357"/>
      <c r="AS14" s="245"/>
      <c r="AT14" s="357"/>
      <c r="AU14" s="245"/>
      <c r="AV14" s="357"/>
      <c r="AW14" s="245"/>
      <c r="AX14" s="357"/>
      <c r="AY14" s="245"/>
      <c r="AZ14" s="357"/>
      <c r="BA14" s="245"/>
      <c r="BB14" s="357"/>
      <c r="BC14" s="245"/>
      <c r="BD14" s="357"/>
      <c r="BE14" s="245"/>
      <c r="BF14" s="357"/>
      <c r="BG14" s="245"/>
      <c r="BH14" s="357"/>
      <c r="BI14" s="245"/>
      <c r="BJ14" s="357"/>
      <c r="BK14" s="245"/>
      <c r="BL14" s="357"/>
      <c r="BM14" s="245"/>
      <c r="BN14" s="357"/>
      <c r="BO14" s="245"/>
      <c r="BP14" s="357"/>
      <c r="BQ14" s="245"/>
      <c r="BR14" s="353"/>
      <c r="BS14" s="245"/>
      <c r="BT14" s="357"/>
      <c r="BU14" s="245"/>
      <c r="BV14" s="357"/>
      <c r="BW14" s="213"/>
      <c r="BX14" s="213"/>
      <c r="BY14" s="213"/>
      <c r="BZ14" s="213"/>
      <c r="CA14" s="213"/>
      <c r="CB14" s="213"/>
      <c r="CC14" s="213"/>
      <c r="CD14" s="213"/>
      <c r="CE14" s="213"/>
      <c r="CF14" s="213"/>
      <c r="CG14" s="213"/>
      <c r="CH14" s="213"/>
      <c r="CI14" s="213"/>
      <c r="CJ14" s="213"/>
      <c r="CK14" s="213"/>
      <c r="CL14" s="213"/>
      <c r="CM14" s="213"/>
      <c r="CN14" s="213"/>
      <c r="CO14" s="213"/>
      <c r="CP14" s="213"/>
    </row>
    <row r="15" ht="15.75" customHeight="1">
      <c r="A15" s="213"/>
      <c r="B15" s="673" t="s">
        <v>220</v>
      </c>
      <c r="C15" s="350"/>
      <c r="D15" s="604"/>
      <c r="E15" s="245"/>
      <c r="F15" s="357"/>
      <c r="G15" s="355"/>
      <c r="H15" s="357"/>
      <c r="I15" s="350"/>
      <c r="J15" s="604"/>
      <c r="K15" s="245"/>
      <c r="L15" s="357"/>
      <c r="M15" s="245"/>
      <c r="N15" s="357"/>
      <c r="O15" s="350"/>
      <c r="P15" s="604"/>
      <c r="Q15" s="245"/>
      <c r="R15" s="357"/>
      <c r="S15" s="245"/>
      <c r="T15" s="357"/>
      <c r="U15" s="350"/>
      <c r="V15" s="604"/>
      <c r="W15" s="352"/>
      <c r="X15" s="357"/>
      <c r="Y15" s="245"/>
      <c r="Z15" s="357"/>
      <c r="AA15" s="350"/>
      <c r="AB15" s="604"/>
      <c r="AC15" s="245"/>
      <c r="AD15" s="357"/>
      <c r="AE15" s="245"/>
      <c r="AF15" s="357"/>
      <c r="AG15" s="350"/>
      <c r="AH15" s="604"/>
      <c r="AI15" s="245"/>
      <c r="AJ15" s="357"/>
      <c r="AK15" s="245"/>
      <c r="AL15" s="357"/>
      <c r="AM15" s="350"/>
      <c r="AN15" s="605"/>
      <c r="AO15" s="245"/>
      <c r="AP15" s="357"/>
      <c r="AQ15" s="245"/>
      <c r="AR15" s="357"/>
      <c r="AS15" s="245"/>
      <c r="AT15" s="357"/>
      <c r="AU15" s="245"/>
      <c r="AV15" s="357"/>
      <c r="AW15" s="245"/>
      <c r="AX15" s="357"/>
      <c r="AY15" s="245"/>
      <c r="AZ15" s="357"/>
      <c r="BA15" s="245"/>
      <c r="BB15" s="357"/>
      <c r="BC15" s="245"/>
      <c r="BD15" s="357"/>
      <c r="BE15" s="245"/>
      <c r="BF15" s="357"/>
      <c r="BG15" s="245"/>
      <c r="BH15" s="357"/>
      <c r="BI15" s="245"/>
      <c r="BJ15" s="357"/>
      <c r="BK15" s="245"/>
      <c r="BL15" s="357"/>
      <c r="BM15" s="245"/>
      <c r="BN15" s="357"/>
      <c r="BO15" s="245"/>
      <c r="BP15" s="357"/>
      <c r="BQ15" s="245"/>
      <c r="BR15" s="353"/>
      <c r="BS15" s="245"/>
      <c r="BT15" s="357"/>
      <c r="BU15" s="245"/>
      <c r="BV15" s="357"/>
      <c r="BW15" s="213"/>
      <c r="BX15" s="213"/>
      <c r="BY15" s="213"/>
      <c r="BZ15" s="213"/>
      <c r="CA15" s="213"/>
      <c r="CB15" s="213"/>
      <c r="CC15" s="213"/>
      <c r="CD15" s="213"/>
      <c r="CE15" s="213"/>
      <c r="CF15" s="213"/>
      <c r="CG15" s="213"/>
      <c r="CH15" s="213"/>
      <c r="CI15" s="213"/>
      <c r="CJ15" s="213"/>
      <c r="CK15" s="213"/>
      <c r="CL15" s="213"/>
      <c r="CM15" s="213"/>
      <c r="CN15" s="213"/>
      <c r="CO15" s="213"/>
      <c r="CP15" s="213"/>
    </row>
    <row r="16" ht="15.75" customHeight="1">
      <c r="A16" s="213"/>
      <c r="B16" s="349"/>
      <c r="C16" s="350"/>
      <c r="D16" s="789">
        <f>SUM(D17:D25)</f>
        <v>11126071.58</v>
      </c>
      <c r="E16" s="245"/>
      <c r="F16" s="357">
        <f>SUM(F17:F23)</f>
        <v>10581281</v>
      </c>
      <c r="G16" s="355"/>
      <c r="H16" s="357">
        <f>SUM(H17:H23)</f>
        <v>529590.58</v>
      </c>
      <c r="I16" s="350"/>
      <c r="J16" s="789">
        <f>SUM(J17:J25)</f>
        <v>11610093.56</v>
      </c>
      <c r="K16" s="245"/>
      <c r="L16" s="357">
        <f>SUM(L17:L23)</f>
        <v>11788620</v>
      </c>
      <c r="M16" s="245"/>
      <c r="N16" s="357">
        <f>SUM(N17:N23)</f>
        <v>0</v>
      </c>
      <c r="O16" s="350"/>
      <c r="P16" s="789">
        <f>SUM(P17:P25)</f>
        <v>10132270</v>
      </c>
      <c r="Q16" s="355">
        <f t="shared" ref="Q16:S16" si="5">SUM(Q17:Q24)</f>
        <v>1</v>
      </c>
      <c r="R16" s="357">
        <f t="shared" si="5"/>
        <v>11215422</v>
      </c>
      <c r="S16" s="355">
        <f t="shared" si="5"/>
        <v>1</v>
      </c>
      <c r="T16" s="357">
        <f>SUM(T17:T23)</f>
        <v>0</v>
      </c>
      <c r="U16" s="350"/>
      <c r="V16" s="789">
        <f>SUM(V17:V25)</f>
        <v>11189390</v>
      </c>
      <c r="W16" s="355">
        <f>SUM(W17:W24)</f>
        <v>1</v>
      </c>
      <c r="X16" s="357">
        <f>SUM(X17:X23)</f>
        <v>11003776</v>
      </c>
      <c r="Y16" s="355">
        <f>SUM(Y17:Y24)</f>
        <v>1</v>
      </c>
      <c r="Z16" s="357">
        <f>SUM(Z17:Z23)</f>
        <v>0</v>
      </c>
      <c r="AA16" s="350"/>
      <c r="AB16" s="789">
        <f>SUM(AB17:AB25)</f>
        <v>12128792</v>
      </c>
      <c r="AC16" s="355">
        <f>SUM(AC17:AC24)</f>
        <v>1</v>
      </c>
      <c r="AD16" s="357">
        <f>SUM(AD17:AD23)</f>
        <v>12199863</v>
      </c>
      <c r="AE16" s="245"/>
      <c r="AF16" s="357">
        <f>SUM(AF17:AF23)</f>
        <v>0</v>
      </c>
      <c r="AG16" s="350"/>
      <c r="AH16" s="789">
        <f>SUM(AH17:AH25)</f>
        <v>11128807.73</v>
      </c>
      <c r="AI16" s="790">
        <f>SUM(AI17:AI27)</f>
        <v>1</v>
      </c>
      <c r="AJ16" s="357">
        <f>SUM(AJ17:AJ23)</f>
        <v>11899247</v>
      </c>
      <c r="AK16" s="790">
        <f>SUM(AK17:AK27)</f>
        <v>1</v>
      </c>
      <c r="AL16" s="357">
        <f>SUM(AL17:AL23)</f>
        <v>0</v>
      </c>
      <c r="AM16" s="350"/>
      <c r="AN16" s="789">
        <f>SUM(AN17:AN25)</f>
        <v>11782491.75</v>
      </c>
      <c r="AO16" s="790">
        <f>SUM(AO17:AO27)</f>
        <v>1</v>
      </c>
      <c r="AP16" s="357">
        <f>SUM(AP17:AP23)</f>
        <v>12138413</v>
      </c>
      <c r="AQ16" s="790">
        <f>SUM(AQ17:AQ27)</f>
        <v>1</v>
      </c>
      <c r="AR16" s="357">
        <f>SUM(AR17:AR23)</f>
        <v>0</v>
      </c>
      <c r="AS16" s="245"/>
      <c r="AT16" s="789">
        <f>SUM(AT17:AT25)</f>
        <v>12043613.2</v>
      </c>
      <c r="AU16" s="790">
        <f>SUM(AU17:AU27)</f>
        <v>1</v>
      </c>
      <c r="AV16" s="357">
        <f>SUM(AV17:AV23)</f>
        <v>11896768</v>
      </c>
      <c r="AW16" s="245"/>
      <c r="AX16" s="357">
        <f>SUM(AX17:AX23)</f>
        <v>0</v>
      </c>
      <c r="AY16" s="245"/>
      <c r="AZ16" s="789">
        <f>SUM(AZ17:AZ25)</f>
        <v>15093746.38</v>
      </c>
      <c r="BA16" s="790">
        <f>SUM(BA17:BA27)</f>
        <v>1</v>
      </c>
      <c r="BB16" s="357">
        <f>SUM(BB17:BB23)</f>
        <v>13582605</v>
      </c>
      <c r="BC16" s="790">
        <f>SUM(BC17:BC27)</f>
        <v>1</v>
      </c>
      <c r="BD16" s="357">
        <f>SUM(BD17:BD23)</f>
        <v>0</v>
      </c>
      <c r="BE16" s="245"/>
      <c r="BF16" s="789">
        <f>SUM(BF17:BF25)</f>
        <v>14062801.72</v>
      </c>
      <c r="BG16" s="790">
        <f>SUM(BG17:BG27)</f>
        <v>1</v>
      </c>
      <c r="BH16" s="357">
        <f>SUM(BH17:BH23)</f>
        <v>12519634</v>
      </c>
      <c r="BI16" s="790">
        <f>SUM(BI17:BI27)</f>
        <v>1</v>
      </c>
      <c r="BJ16" s="357">
        <f>SUM(BJ17:BJ23)</f>
        <v>0</v>
      </c>
      <c r="BK16" s="245"/>
      <c r="BL16" s="789">
        <f>SUM(BL17:BL25)</f>
        <v>11907081.97</v>
      </c>
      <c r="BM16" s="790">
        <f>SUM(BM17:BM27)</f>
        <v>1</v>
      </c>
      <c r="BN16" s="357">
        <f>SUM(BN17:BN23)</f>
        <v>10537835</v>
      </c>
      <c r="BO16" s="790">
        <f>SUM(BO17:BO27)</f>
        <v>1</v>
      </c>
      <c r="BP16" s="357">
        <f>SUM(BP17:BP23)</f>
        <v>0</v>
      </c>
      <c r="BQ16" s="245"/>
      <c r="BR16" s="353">
        <f>SUM(BR17:BR25)</f>
        <v>13732692.67</v>
      </c>
      <c r="BS16" s="790">
        <f>SUM(BS17:BS27)</f>
        <v>1</v>
      </c>
      <c r="BT16" s="357">
        <f>SUM(BT17:BT23)</f>
        <v>11826797</v>
      </c>
      <c r="BU16" s="245"/>
      <c r="BV16" s="357">
        <f>SUM(BV17:BV23)</f>
        <v>0</v>
      </c>
      <c r="BW16" s="216"/>
      <c r="BX16" s="216"/>
      <c r="BY16" s="216"/>
      <c r="BZ16" s="216"/>
      <c r="CA16" s="216"/>
      <c r="CB16" s="216"/>
      <c r="CC16" s="216"/>
      <c r="CD16" s="216"/>
      <c r="CE16" s="216"/>
      <c r="CF16" s="216"/>
      <c r="CG16" s="216"/>
      <c r="CH16" s="216"/>
      <c r="CI16" s="216"/>
      <c r="CJ16" s="216"/>
      <c r="CK16" s="216"/>
      <c r="CL16" s="216"/>
      <c r="CM16" s="216"/>
      <c r="CN16" s="216"/>
      <c r="CO16" s="216"/>
      <c r="CP16" s="216"/>
    </row>
    <row r="17" ht="15.75" customHeight="1">
      <c r="A17" s="213"/>
      <c r="B17" s="349"/>
      <c r="C17" s="350" t="s">
        <v>221</v>
      </c>
      <c r="D17" s="604">
        <v>7797203.0</v>
      </c>
      <c r="E17" s="355">
        <f t="shared" ref="E17:E23" si="6">D17/D$16</f>
        <v>0.700804677</v>
      </c>
      <c r="F17" s="357">
        <v>7941668.0</v>
      </c>
      <c r="G17" s="355">
        <f t="shared" ref="G17:G23" si="7">F17/F$16</f>
        <v>0.7505393723</v>
      </c>
      <c r="H17" s="357">
        <f>D17-F17</f>
        <v>-144465</v>
      </c>
      <c r="I17" s="719">
        <f t="shared" ref="I17:I25" si="8">IFERROR(H17/F17,"")</f>
        <v>-0.01819076295</v>
      </c>
      <c r="J17" s="604">
        <v>7827627.0</v>
      </c>
      <c r="K17" s="245"/>
      <c r="L17" s="357">
        <v>9110815.0</v>
      </c>
      <c r="M17" s="790">
        <f t="shared" ref="M17:M23" si="9">L17/L$16</f>
        <v>0.7728483062</v>
      </c>
      <c r="N17" s="357"/>
      <c r="O17" s="350"/>
      <c r="P17" s="604">
        <v>7502648.0</v>
      </c>
      <c r="Q17" s="790">
        <f t="shared" ref="Q17:Q24" si="10">P17/P$16</f>
        <v>0.7404705954</v>
      </c>
      <c r="R17" s="357">
        <v>8455017.0</v>
      </c>
      <c r="S17" s="790">
        <f t="shared" ref="S17:S23" si="11">R17/R$16</f>
        <v>0.7538741743</v>
      </c>
      <c r="T17" s="357"/>
      <c r="U17" s="350"/>
      <c r="V17" s="604">
        <v>7708538.0</v>
      </c>
      <c r="W17" s="355">
        <f t="shared" ref="W17:W24" si="12">V17/V$16</f>
        <v>0.6889149453</v>
      </c>
      <c r="X17" s="357">
        <v>8126330.0</v>
      </c>
      <c r="Y17" s="790">
        <f t="shared" ref="Y17:Y23" si="13">X17/X$16</f>
        <v>0.7385037645</v>
      </c>
      <c r="Z17" s="357"/>
      <c r="AA17" s="350"/>
      <c r="AB17" s="604">
        <v>7772255.0</v>
      </c>
      <c r="AC17" s="355">
        <f t="shared" ref="AC17:AC24" si="14">AB17/AB$16</f>
        <v>0.6408103132</v>
      </c>
      <c r="AD17" s="357">
        <v>9233177.0</v>
      </c>
      <c r="AE17" s="790">
        <f t="shared" ref="AE17:AE23" si="15">AD17/AD$16</f>
        <v>0.7568262857</v>
      </c>
      <c r="AF17" s="357"/>
      <c r="AG17" s="350"/>
      <c r="AH17" s="604">
        <v>6857927.0</v>
      </c>
      <c r="AI17" s="790">
        <f t="shared" ref="AI17:AI24" si="16">AH17/AH$16</f>
        <v>0.61623196</v>
      </c>
      <c r="AJ17" s="357">
        <v>8858785.0</v>
      </c>
      <c r="AK17" s="790">
        <f t="shared" ref="AK17:AK23" si="17">AJ17/AJ$16</f>
        <v>0.7444828232</v>
      </c>
      <c r="AL17" s="357"/>
      <c r="AM17" s="350"/>
      <c r="AN17" s="605">
        <v>7575217.0</v>
      </c>
      <c r="AO17" s="790">
        <f t="shared" ref="AO17:AO24" si="18">AN17/AN$16</f>
        <v>0.6429214771</v>
      </c>
      <c r="AP17" s="357">
        <v>8936822.0</v>
      </c>
      <c r="AQ17" s="790">
        <f t="shared" ref="AQ17:AQ23" si="19">AP17/AP$16</f>
        <v>0.7362430328</v>
      </c>
      <c r="AR17" s="357"/>
      <c r="AS17" s="245"/>
      <c r="AT17" s="357">
        <v>7596432.0</v>
      </c>
      <c r="AU17" s="790">
        <f t="shared" ref="AU17:AU24" si="20">AT17/AT$16</f>
        <v>0.6307436044</v>
      </c>
      <c r="AV17" s="357">
        <v>8656535.0</v>
      </c>
      <c r="AW17" s="790">
        <f t="shared" ref="AW17:AW23" si="21">AV17/AV$16</f>
        <v>0.7276375399</v>
      </c>
      <c r="AX17" s="357"/>
      <c r="AY17" s="245"/>
      <c r="AZ17" s="357">
        <v>8712000.0</v>
      </c>
      <c r="BA17" s="790">
        <f t="shared" ref="BA17:BA24" si="22">AZ17/AZ$16</f>
        <v>0.577192685</v>
      </c>
      <c r="BB17" s="357">
        <v>9999252.0</v>
      </c>
      <c r="BC17" s="790">
        <f t="shared" ref="BC17:BC23" si="23">BB17/BB$16</f>
        <v>0.7361807253</v>
      </c>
      <c r="BD17" s="357"/>
      <c r="BE17" s="245"/>
      <c r="BF17" s="357">
        <f>8980302.5</f>
        <v>8980302.5</v>
      </c>
      <c r="BG17" s="790">
        <f t="shared" ref="BG17:BG24" si="24">BF17/BF$16</f>
        <v>0.6385855876</v>
      </c>
      <c r="BH17" s="357">
        <v>8988828.0</v>
      </c>
      <c r="BI17" s="790">
        <f t="shared" ref="BI17:BI23" si="25">BH17/BH$16</f>
        <v>0.7179784968</v>
      </c>
      <c r="BJ17" s="357"/>
      <c r="BK17" s="245"/>
      <c r="BL17" s="357">
        <v>7250177.5</v>
      </c>
      <c r="BM17" s="790">
        <f t="shared" ref="BM17:BM24" si="26">BL17/BL$16</f>
        <v>0.608896245</v>
      </c>
      <c r="BN17" s="357">
        <v>7381379.0</v>
      </c>
      <c r="BO17" s="790">
        <f t="shared" ref="BO17:BO23" si="27">BN17/BN$16</f>
        <v>0.7004644692</v>
      </c>
      <c r="BP17" s="357"/>
      <c r="BQ17" s="245"/>
      <c r="BR17" s="353">
        <v>8196177.5</v>
      </c>
      <c r="BS17" s="790">
        <f t="shared" ref="BS17:BS24" si="28">BR17/BR$16</f>
        <v>0.5968368838</v>
      </c>
      <c r="BT17" s="357">
        <v>8351955.0</v>
      </c>
      <c r="BU17" s="790">
        <f t="shared" ref="BU17:BU23" si="29">BT17/BT$16</f>
        <v>0.7061890891</v>
      </c>
      <c r="BV17" s="357"/>
      <c r="BW17" s="213"/>
      <c r="BX17" s="213"/>
      <c r="BY17" s="213"/>
      <c r="BZ17" s="213"/>
      <c r="CA17" s="213"/>
      <c r="CB17" s="213"/>
      <c r="CC17" s="213"/>
      <c r="CD17" s="213"/>
      <c r="CE17" s="213"/>
      <c r="CF17" s="213"/>
      <c r="CG17" s="213"/>
      <c r="CH17" s="213"/>
      <c r="CI17" s="213"/>
      <c r="CJ17" s="213"/>
      <c r="CK17" s="213"/>
      <c r="CL17" s="213"/>
      <c r="CM17" s="213"/>
      <c r="CN17" s="213"/>
      <c r="CO17" s="213"/>
      <c r="CP17" s="213"/>
    </row>
    <row r="18" ht="15.75" customHeight="1">
      <c r="A18" s="213"/>
      <c r="B18" s="393"/>
      <c r="C18" s="350" t="s">
        <v>222</v>
      </c>
      <c r="D18" s="604">
        <f>1473944+1022739+283412+151677.14+59059.5</f>
        <v>2990831.64</v>
      </c>
      <c r="E18" s="355">
        <f t="shared" si="6"/>
        <v>0.2688129066</v>
      </c>
      <c r="F18" s="357">
        <f>1925675</f>
        <v>1925675</v>
      </c>
      <c r="G18" s="355">
        <f t="shared" si="7"/>
        <v>0.1819888348</v>
      </c>
      <c r="H18" s="357">
        <f>D18-SUM(F18:F20)</f>
        <v>440831.64</v>
      </c>
      <c r="I18" s="719">
        <f t="shared" si="8"/>
        <v>0.2289231776</v>
      </c>
      <c r="J18" s="604">
        <f>1733333+1257025+181255+88691+320700</f>
        <v>3581004</v>
      </c>
      <c r="K18" s="245"/>
      <c r="L18" s="357">
        <v>2209167.0</v>
      </c>
      <c r="M18" s="790">
        <f t="shared" si="9"/>
        <v>0.1873982705</v>
      </c>
      <c r="N18" s="357"/>
      <c r="O18" s="350"/>
      <c r="P18" s="604">
        <f>233220+1582732+27755+138985+318750</f>
        <v>2301442</v>
      </c>
      <c r="Q18" s="790">
        <f t="shared" si="10"/>
        <v>0.2271398216</v>
      </c>
      <c r="R18" s="357">
        <v>2050151.0</v>
      </c>
      <c r="S18" s="790">
        <f t="shared" si="11"/>
        <v>0.1827974908</v>
      </c>
      <c r="T18" s="357"/>
      <c r="U18" s="350"/>
      <c r="V18" s="604">
        <f>3030084+236082</f>
        <v>3266166</v>
      </c>
      <c r="W18" s="355">
        <f t="shared" si="12"/>
        <v>0.291898486</v>
      </c>
      <c r="X18" s="357">
        <f>1970452+565298+250000</f>
        <v>2785750</v>
      </c>
      <c r="Y18" s="790">
        <f t="shared" si="13"/>
        <v>0.253163096</v>
      </c>
      <c r="Z18" s="357"/>
      <c r="AA18" s="350"/>
      <c r="AB18" s="604">
        <f>3727381+284482</f>
        <v>4011863</v>
      </c>
      <c r="AC18" s="355">
        <f t="shared" si="14"/>
        <v>0.3307718526</v>
      </c>
      <c r="AD18" s="357">
        <f>2238837+361163+262500</f>
        <v>2862500</v>
      </c>
      <c r="AE18" s="790">
        <f t="shared" si="15"/>
        <v>0.2346337824</v>
      </c>
      <c r="AF18" s="357"/>
      <c r="AG18" s="350"/>
      <c r="AH18" s="604">
        <f>2106807+1231804+251024+208540+60651</f>
        <v>3858826</v>
      </c>
      <c r="AI18" s="790">
        <f t="shared" si="16"/>
        <v>0.3467420854</v>
      </c>
      <c r="AJ18" s="357">
        <f>2148056+529944+262500</f>
        <v>2940500</v>
      </c>
      <c r="AK18" s="790">
        <f t="shared" si="17"/>
        <v>0.2471164772</v>
      </c>
      <c r="AL18" s="357"/>
      <c r="AM18" s="350"/>
      <c r="AN18" s="605">
        <f>2258473.68+1195938.2+206724.32+48250+288018</f>
        <v>3997404.2</v>
      </c>
      <c r="AO18" s="790">
        <f t="shared" si="18"/>
        <v>0.3392664544</v>
      </c>
      <c r="AP18" s="357">
        <f>2166978+645022+288750</f>
        <v>3100750</v>
      </c>
      <c r="AQ18" s="790">
        <f t="shared" si="19"/>
        <v>0.2554493738</v>
      </c>
      <c r="AR18" s="357"/>
      <c r="AS18" s="245"/>
      <c r="AT18" s="357">
        <f>2301401+1367350+240921+241036+50416</f>
        <v>4201124</v>
      </c>
      <c r="AU18" s="790">
        <f t="shared" si="20"/>
        <v>0.3488258823</v>
      </c>
      <c r="AV18" s="357">
        <f>2099014+769226+274313</f>
        <v>3142553</v>
      </c>
      <c r="AW18" s="790">
        <f t="shared" si="21"/>
        <v>0.2641518268</v>
      </c>
      <c r="AX18" s="357"/>
      <c r="AY18" s="245"/>
      <c r="AZ18" s="357">
        <f>334232+2544864+1725584+290824+68145</f>
        <v>4963649</v>
      </c>
      <c r="BA18" s="790">
        <f t="shared" si="22"/>
        <v>0.328854671</v>
      </c>
      <c r="BB18" s="357">
        <v>2424593.0</v>
      </c>
      <c r="BC18" s="790">
        <f t="shared" si="23"/>
        <v>0.1785072157</v>
      </c>
      <c r="BD18" s="357"/>
      <c r="BE18" s="245"/>
      <c r="BF18" s="357">
        <f>270815+2426983.84+1757676.45+260800.75+78004</f>
        <v>4794280.04</v>
      </c>
      <c r="BG18" s="790">
        <f t="shared" si="24"/>
        <v>0.340919266</v>
      </c>
      <c r="BH18" s="357">
        <f>2179588+975476+274313</f>
        <v>3429377</v>
      </c>
      <c r="BI18" s="790">
        <f t="shared" si="25"/>
        <v>0.2739199085</v>
      </c>
      <c r="BJ18" s="357"/>
      <c r="BK18" s="245"/>
      <c r="BL18" s="357">
        <f>2169498.6+1494479.1+270519.5+180646.12+83471.25</f>
        <v>4198614.57</v>
      </c>
      <c r="BM18" s="790">
        <f t="shared" si="26"/>
        <v>0.3526149044</v>
      </c>
      <c r="BN18" s="357">
        <f>1789818+1050182+233166</f>
        <v>3073166</v>
      </c>
      <c r="BO18" s="790">
        <f t="shared" si="27"/>
        <v>0.2916316302</v>
      </c>
      <c r="BP18" s="357"/>
      <c r="BQ18" s="245"/>
      <c r="BR18" s="353">
        <f>2559573+1919024+265841+214387+68917</f>
        <v>5027742</v>
      </c>
      <c r="BS18" s="790">
        <f t="shared" si="28"/>
        <v>0.3661147978</v>
      </c>
      <c r="BT18" s="357">
        <f>2025161+1098839+256600</f>
        <v>3380600</v>
      </c>
      <c r="BU18" s="790">
        <f t="shared" si="29"/>
        <v>0.2858423967</v>
      </c>
      <c r="BV18" s="357"/>
      <c r="BW18" s="213"/>
      <c r="BX18" s="213"/>
      <c r="BY18" s="213"/>
      <c r="BZ18" s="213"/>
      <c r="CA18" s="213"/>
      <c r="CB18" s="213"/>
      <c r="CC18" s="213"/>
      <c r="CD18" s="213"/>
      <c r="CE18" s="213"/>
      <c r="CF18" s="213"/>
      <c r="CG18" s="213"/>
      <c r="CH18" s="213"/>
      <c r="CI18" s="213"/>
      <c r="CJ18" s="213"/>
      <c r="CK18" s="213"/>
      <c r="CL18" s="213"/>
      <c r="CM18" s="213"/>
      <c r="CN18" s="213"/>
      <c r="CO18" s="213"/>
      <c r="CP18" s="213"/>
    </row>
    <row r="19" ht="15.75" customHeight="1">
      <c r="A19" s="213"/>
      <c r="B19" s="393"/>
      <c r="C19" s="350" t="s">
        <v>223</v>
      </c>
      <c r="D19" s="604"/>
      <c r="E19" s="355">
        <f t="shared" si="6"/>
        <v>0</v>
      </c>
      <c r="F19" s="357">
        <f>374325</f>
        <v>374325</v>
      </c>
      <c r="G19" s="355">
        <f t="shared" si="7"/>
        <v>0.03537615153</v>
      </c>
      <c r="H19" s="357"/>
      <c r="I19" s="719">
        <f t="shared" si="8"/>
        <v>0</v>
      </c>
      <c r="J19" s="604">
        <v>0.0</v>
      </c>
      <c r="K19" s="245"/>
      <c r="L19" s="357">
        <f>2300000-L18</f>
        <v>90833</v>
      </c>
      <c r="M19" s="790">
        <f t="shared" si="9"/>
        <v>0.007705142756</v>
      </c>
      <c r="N19" s="357"/>
      <c r="O19" s="350"/>
      <c r="P19" s="604">
        <v>0.0</v>
      </c>
      <c r="Q19" s="790">
        <f t="shared" si="10"/>
        <v>0</v>
      </c>
      <c r="R19" s="357">
        <f>2415000-R18</f>
        <v>364849</v>
      </c>
      <c r="S19" s="790">
        <f t="shared" si="11"/>
        <v>0.03253100953</v>
      </c>
      <c r="T19" s="357"/>
      <c r="U19" s="350"/>
      <c r="V19" s="604">
        <v>0.0</v>
      </c>
      <c r="W19" s="355">
        <f t="shared" si="12"/>
        <v>0</v>
      </c>
      <c r="X19" s="357"/>
      <c r="Y19" s="790">
        <f t="shared" si="13"/>
        <v>0</v>
      </c>
      <c r="Z19" s="357"/>
      <c r="AA19" s="350"/>
      <c r="AB19" s="604"/>
      <c r="AC19" s="355">
        <f t="shared" si="14"/>
        <v>0</v>
      </c>
      <c r="AD19" s="357"/>
      <c r="AE19" s="790">
        <f t="shared" si="15"/>
        <v>0</v>
      </c>
      <c r="AF19" s="357"/>
      <c r="AG19" s="350"/>
      <c r="AH19" s="604"/>
      <c r="AI19" s="790">
        <f t="shared" si="16"/>
        <v>0</v>
      </c>
      <c r="AJ19" s="357"/>
      <c r="AK19" s="790">
        <f t="shared" si="17"/>
        <v>0</v>
      </c>
      <c r="AL19" s="357"/>
      <c r="AM19" s="350"/>
      <c r="AN19" s="605"/>
      <c r="AO19" s="790">
        <f t="shared" si="18"/>
        <v>0</v>
      </c>
      <c r="AP19" s="357"/>
      <c r="AQ19" s="790">
        <f t="shared" si="19"/>
        <v>0</v>
      </c>
      <c r="AR19" s="357"/>
      <c r="AS19" s="245"/>
      <c r="AT19" s="357"/>
      <c r="AU19" s="790">
        <f t="shared" si="20"/>
        <v>0</v>
      </c>
      <c r="AV19" s="357"/>
      <c r="AW19" s="790">
        <f t="shared" si="21"/>
        <v>0</v>
      </c>
      <c r="AX19" s="357"/>
      <c r="AY19" s="245"/>
      <c r="AZ19" s="357"/>
      <c r="BA19" s="790">
        <f t="shared" si="22"/>
        <v>0</v>
      </c>
      <c r="BB19" s="357">
        <f>3155064-BB18</f>
        <v>730471</v>
      </c>
      <c r="BC19" s="790">
        <f t="shared" si="23"/>
        <v>0.05377988979</v>
      </c>
      <c r="BD19" s="357"/>
      <c r="BE19" s="245"/>
      <c r="BF19" s="357"/>
      <c r="BG19" s="790">
        <f t="shared" si="24"/>
        <v>0</v>
      </c>
      <c r="BH19" s="357"/>
      <c r="BI19" s="790">
        <f t="shared" si="25"/>
        <v>0</v>
      </c>
      <c r="BJ19" s="357"/>
      <c r="BK19" s="245"/>
      <c r="BL19" s="357"/>
      <c r="BM19" s="790">
        <f t="shared" si="26"/>
        <v>0</v>
      </c>
      <c r="BN19" s="357"/>
      <c r="BO19" s="790">
        <f t="shared" si="27"/>
        <v>0</v>
      </c>
      <c r="BP19" s="357"/>
      <c r="BQ19" s="245"/>
      <c r="BR19" s="353"/>
      <c r="BS19" s="790">
        <f t="shared" si="28"/>
        <v>0</v>
      </c>
      <c r="BT19" s="357"/>
      <c r="BU19" s="790">
        <f t="shared" si="29"/>
        <v>0</v>
      </c>
      <c r="BV19" s="357"/>
      <c r="BW19" s="213"/>
      <c r="BX19" s="213"/>
      <c r="BY19" s="213"/>
      <c r="BZ19" s="213"/>
      <c r="CA19" s="213"/>
      <c r="CB19" s="213"/>
      <c r="CC19" s="213"/>
      <c r="CD19" s="213"/>
      <c r="CE19" s="213"/>
      <c r="CF19" s="213"/>
      <c r="CG19" s="213"/>
      <c r="CH19" s="213"/>
      <c r="CI19" s="213"/>
      <c r="CJ19" s="213"/>
      <c r="CK19" s="213"/>
      <c r="CL19" s="213"/>
      <c r="CM19" s="213"/>
      <c r="CN19" s="213"/>
      <c r="CO19" s="213"/>
      <c r="CP19" s="213"/>
    </row>
    <row r="20" ht="15.75" customHeight="1">
      <c r="A20" s="213"/>
      <c r="B20" s="393"/>
      <c r="C20" s="350" t="s">
        <v>389</v>
      </c>
      <c r="D20" s="604"/>
      <c r="E20" s="355">
        <f t="shared" si="6"/>
        <v>0</v>
      </c>
      <c r="F20" s="357">
        <f>250000</f>
        <v>250000</v>
      </c>
      <c r="G20" s="355">
        <f t="shared" si="7"/>
        <v>0.02362662895</v>
      </c>
      <c r="H20" s="357"/>
      <c r="I20" s="719">
        <f t="shared" si="8"/>
        <v>0</v>
      </c>
      <c r="J20" s="604">
        <v>0.0</v>
      </c>
      <c r="K20" s="245"/>
      <c r="L20" s="357">
        <v>275000.0</v>
      </c>
      <c r="M20" s="790">
        <f t="shared" si="9"/>
        <v>0.02332758202</v>
      </c>
      <c r="N20" s="357"/>
      <c r="O20" s="350"/>
      <c r="P20" s="604">
        <v>0.0</v>
      </c>
      <c r="Q20" s="790">
        <f t="shared" si="10"/>
        <v>0</v>
      </c>
      <c r="R20" s="357">
        <v>250000.0</v>
      </c>
      <c r="S20" s="790">
        <f t="shared" si="11"/>
        <v>0.02229073503</v>
      </c>
      <c r="T20" s="357"/>
      <c r="U20" s="350"/>
      <c r="V20" s="604">
        <v>0.0</v>
      </c>
      <c r="W20" s="355">
        <f t="shared" si="12"/>
        <v>0</v>
      </c>
      <c r="X20" s="357"/>
      <c r="Y20" s="790">
        <f t="shared" si="13"/>
        <v>0</v>
      </c>
      <c r="Z20" s="357"/>
      <c r="AA20" s="350"/>
      <c r="AB20" s="604"/>
      <c r="AC20" s="355">
        <f t="shared" si="14"/>
        <v>0</v>
      </c>
      <c r="AD20" s="357"/>
      <c r="AE20" s="790">
        <f t="shared" si="15"/>
        <v>0</v>
      </c>
      <c r="AF20" s="357"/>
      <c r="AG20" s="350"/>
      <c r="AH20" s="604"/>
      <c r="AI20" s="790">
        <f t="shared" si="16"/>
        <v>0</v>
      </c>
      <c r="AJ20" s="357"/>
      <c r="AK20" s="790">
        <f t="shared" si="17"/>
        <v>0</v>
      </c>
      <c r="AL20" s="357"/>
      <c r="AM20" s="350"/>
      <c r="AN20" s="605"/>
      <c r="AO20" s="790">
        <f t="shared" si="18"/>
        <v>0</v>
      </c>
      <c r="AP20" s="357"/>
      <c r="AQ20" s="790">
        <f t="shared" si="19"/>
        <v>0</v>
      </c>
      <c r="AR20" s="357"/>
      <c r="AS20" s="245"/>
      <c r="AT20" s="357"/>
      <c r="AU20" s="790">
        <f t="shared" si="20"/>
        <v>0</v>
      </c>
      <c r="AV20" s="357"/>
      <c r="AW20" s="790">
        <f t="shared" si="21"/>
        <v>0</v>
      </c>
      <c r="AX20" s="357"/>
      <c r="AY20" s="245"/>
      <c r="AZ20" s="357"/>
      <c r="BA20" s="790">
        <f t="shared" si="22"/>
        <v>0</v>
      </c>
      <c r="BB20" s="357">
        <v>315459.0</v>
      </c>
      <c r="BC20" s="790">
        <f t="shared" si="23"/>
        <v>0.02322522079</v>
      </c>
      <c r="BD20" s="357"/>
      <c r="BE20" s="245"/>
      <c r="BF20" s="357"/>
      <c r="BG20" s="790">
        <f t="shared" si="24"/>
        <v>0</v>
      </c>
      <c r="BH20" s="357"/>
      <c r="BI20" s="790">
        <f t="shared" si="25"/>
        <v>0</v>
      </c>
      <c r="BJ20" s="357"/>
      <c r="BK20" s="245"/>
      <c r="BL20" s="357"/>
      <c r="BM20" s="790">
        <f t="shared" si="26"/>
        <v>0</v>
      </c>
      <c r="BN20" s="357"/>
      <c r="BO20" s="790">
        <f t="shared" si="27"/>
        <v>0</v>
      </c>
      <c r="BP20" s="357"/>
      <c r="BQ20" s="245"/>
      <c r="BR20" s="353"/>
      <c r="BS20" s="790">
        <f t="shared" si="28"/>
        <v>0</v>
      </c>
      <c r="BT20" s="357"/>
      <c r="BU20" s="790">
        <f t="shared" si="29"/>
        <v>0</v>
      </c>
      <c r="BV20" s="357"/>
      <c r="BW20" s="213"/>
      <c r="BX20" s="213"/>
      <c r="BY20" s="213"/>
      <c r="BZ20" s="213"/>
      <c r="CA20" s="213"/>
      <c r="CB20" s="213"/>
      <c r="CC20" s="213"/>
      <c r="CD20" s="213"/>
      <c r="CE20" s="213"/>
      <c r="CF20" s="213"/>
      <c r="CG20" s="213"/>
      <c r="CH20" s="213"/>
      <c r="CI20" s="213"/>
      <c r="CJ20" s="213"/>
      <c r="CK20" s="213"/>
      <c r="CL20" s="213"/>
      <c r="CM20" s="213"/>
      <c r="CN20" s="213"/>
      <c r="CO20" s="213"/>
      <c r="CP20" s="213"/>
    </row>
    <row r="21" ht="15.75" customHeight="1">
      <c r="A21" s="213"/>
      <c r="B21" s="393"/>
      <c r="C21" s="350" t="s">
        <v>297</v>
      </c>
      <c r="D21" s="604">
        <f>198173</f>
        <v>198173</v>
      </c>
      <c r="E21" s="355">
        <f t="shared" si="6"/>
        <v>0.01781158773</v>
      </c>
      <c r="F21" s="357">
        <v>0.0</v>
      </c>
      <c r="G21" s="355">
        <f t="shared" si="7"/>
        <v>0</v>
      </c>
      <c r="H21" s="357">
        <f t="shared" ref="H21:H23" si="30">D21-F21</f>
        <v>198173</v>
      </c>
      <c r="I21" s="719" t="str">
        <f t="shared" si="8"/>
        <v/>
      </c>
      <c r="J21" s="604">
        <v>35822.0</v>
      </c>
      <c r="K21" s="245"/>
      <c r="L21" s="357"/>
      <c r="M21" s="790">
        <f t="shared" si="9"/>
        <v>0</v>
      </c>
      <c r="N21" s="357"/>
      <c r="O21" s="350"/>
      <c r="P21" s="604">
        <v>201846.0</v>
      </c>
      <c r="Q21" s="790">
        <f t="shared" si="10"/>
        <v>0.01992110356</v>
      </c>
      <c r="R21" s="357">
        <v>0.0</v>
      </c>
      <c r="S21" s="790">
        <f t="shared" si="11"/>
        <v>0</v>
      </c>
      <c r="T21" s="357"/>
      <c r="U21" s="350"/>
      <c r="V21" s="604">
        <v>26334.0</v>
      </c>
      <c r="W21" s="355">
        <f t="shared" si="12"/>
        <v>0.002353479502</v>
      </c>
      <c r="X21" s="357"/>
      <c r="Y21" s="790">
        <f t="shared" si="13"/>
        <v>0</v>
      </c>
      <c r="Z21" s="357"/>
      <c r="AA21" s="350"/>
      <c r="AB21" s="604">
        <v>119048.0</v>
      </c>
      <c r="AC21" s="355">
        <f t="shared" si="14"/>
        <v>0.009815322086</v>
      </c>
      <c r="AD21" s="357"/>
      <c r="AE21" s="790">
        <f t="shared" si="15"/>
        <v>0</v>
      </c>
      <c r="AF21" s="357"/>
      <c r="AG21" s="350"/>
      <c r="AH21" s="604">
        <v>188884.0</v>
      </c>
      <c r="AI21" s="790">
        <f t="shared" si="16"/>
        <v>0.01697252793</v>
      </c>
      <c r="AJ21" s="357"/>
      <c r="AK21" s="790">
        <f t="shared" si="17"/>
        <v>0</v>
      </c>
      <c r="AL21" s="357"/>
      <c r="AM21" s="350"/>
      <c r="AN21" s="605"/>
      <c r="AO21" s="790">
        <f t="shared" si="18"/>
        <v>0</v>
      </c>
      <c r="AP21" s="357"/>
      <c r="AQ21" s="790">
        <f t="shared" si="19"/>
        <v>0</v>
      </c>
      <c r="AR21" s="357"/>
      <c r="AS21" s="245"/>
      <c r="AT21" s="357">
        <v>22110.0</v>
      </c>
      <c r="AU21" s="790">
        <f t="shared" si="20"/>
        <v>0.001835827806</v>
      </c>
      <c r="AV21" s="357"/>
      <c r="AW21" s="790">
        <f t="shared" si="21"/>
        <v>0</v>
      </c>
      <c r="AX21" s="357"/>
      <c r="AY21" s="245"/>
      <c r="AZ21" s="357">
        <v>1153527.0</v>
      </c>
      <c r="BA21" s="790">
        <f t="shared" si="22"/>
        <v>0.0764241674</v>
      </c>
      <c r="BB21" s="357"/>
      <c r="BC21" s="790">
        <f t="shared" si="23"/>
        <v>0</v>
      </c>
      <c r="BD21" s="357"/>
      <c r="BE21" s="245"/>
      <c r="BF21" s="357">
        <v>47725.0</v>
      </c>
      <c r="BG21" s="790">
        <f t="shared" si="24"/>
        <v>0.003393704964</v>
      </c>
      <c r="BH21" s="357"/>
      <c r="BI21" s="790">
        <f t="shared" si="25"/>
        <v>0</v>
      </c>
      <c r="BJ21" s="357"/>
      <c r="BK21" s="245"/>
      <c r="BL21" s="357">
        <v>246127.0</v>
      </c>
      <c r="BM21" s="790">
        <f t="shared" si="26"/>
        <v>0.02067063959</v>
      </c>
      <c r="BN21" s="357"/>
      <c r="BO21" s="790">
        <f t="shared" si="27"/>
        <v>0</v>
      </c>
      <c r="BP21" s="357"/>
      <c r="BQ21" s="245"/>
      <c r="BR21" s="353">
        <v>237714.0</v>
      </c>
      <c r="BS21" s="790">
        <f t="shared" si="28"/>
        <v>0.01731007936</v>
      </c>
      <c r="BT21" s="357"/>
      <c r="BU21" s="790">
        <f t="shared" si="29"/>
        <v>0</v>
      </c>
      <c r="BV21" s="357"/>
      <c r="BW21" s="213"/>
      <c r="BX21" s="213"/>
      <c r="BY21" s="213"/>
      <c r="BZ21" s="213"/>
      <c r="CA21" s="213"/>
      <c r="CB21" s="213"/>
      <c r="CC21" s="213"/>
      <c r="CD21" s="213"/>
      <c r="CE21" s="213"/>
      <c r="CF21" s="213"/>
      <c r="CG21" s="213"/>
      <c r="CH21" s="213"/>
      <c r="CI21" s="213"/>
      <c r="CJ21" s="213"/>
      <c r="CK21" s="213"/>
      <c r="CL21" s="213"/>
      <c r="CM21" s="213"/>
      <c r="CN21" s="213"/>
      <c r="CO21" s="213"/>
      <c r="CP21" s="213"/>
    </row>
    <row r="22" ht="15.75" customHeight="1">
      <c r="A22" s="213"/>
      <c r="B22" s="393"/>
      <c r="C22" s="350" t="s">
        <v>225</v>
      </c>
      <c r="D22" s="604">
        <v>14170.61</v>
      </c>
      <c r="E22" s="355">
        <f t="shared" si="6"/>
        <v>0.001273640017</v>
      </c>
      <c r="F22" s="357">
        <v>13940.0</v>
      </c>
      <c r="G22" s="355">
        <f t="shared" si="7"/>
        <v>0.00131742083</v>
      </c>
      <c r="H22" s="357">
        <f t="shared" si="30"/>
        <v>230.61</v>
      </c>
      <c r="I22" s="719">
        <f t="shared" si="8"/>
        <v>0.01654304161</v>
      </c>
      <c r="J22" s="604">
        <v>15990.11</v>
      </c>
      <c r="K22" s="245"/>
      <c r="L22" s="357">
        <v>15992.0</v>
      </c>
      <c r="M22" s="790">
        <f t="shared" si="9"/>
        <v>0.001356562515</v>
      </c>
      <c r="N22" s="357"/>
      <c r="O22" s="350"/>
      <c r="P22" s="604">
        <v>15930.0</v>
      </c>
      <c r="Q22" s="790">
        <f t="shared" si="10"/>
        <v>0.001572204452</v>
      </c>
      <c r="R22" s="357">
        <v>14841.0</v>
      </c>
      <c r="S22" s="790">
        <f t="shared" si="11"/>
        <v>0.001323267194</v>
      </c>
      <c r="T22" s="357"/>
      <c r="U22" s="350"/>
      <c r="V22" s="604">
        <v>14118.0</v>
      </c>
      <c r="W22" s="355">
        <f t="shared" si="12"/>
        <v>0.001261730979</v>
      </c>
      <c r="X22" s="357">
        <v>14264.0</v>
      </c>
      <c r="Y22" s="790">
        <f t="shared" si="13"/>
        <v>0.001296282294</v>
      </c>
      <c r="Z22" s="357"/>
      <c r="AA22" s="350"/>
      <c r="AB22" s="604">
        <v>14446.0</v>
      </c>
      <c r="AC22" s="355">
        <f t="shared" si="14"/>
        <v>0.001191050189</v>
      </c>
      <c r="AD22" s="357">
        <v>16207.0</v>
      </c>
      <c r="AE22" s="790">
        <f t="shared" si="15"/>
        <v>0.001328457541</v>
      </c>
      <c r="AF22" s="357"/>
      <c r="AG22" s="350"/>
      <c r="AH22" s="604">
        <v>12551.54</v>
      </c>
      <c r="AI22" s="790">
        <f t="shared" si="16"/>
        <v>0.00112784229</v>
      </c>
      <c r="AJ22" s="357">
        <v>15550.0</v>
      </c>
      <c r="AK22" s="790">
        <f t="shared" si="17"/>
        <v>0.00130680538</v>
      </c>
      <c r="AL22" s="357"/>
      <c r="AM22" s="350"/>
      <c r="AN22" s="605">
        <f>14400+11129+2412.5</f>
        <v>27941.5</v>
      </c>
      <c r="AO22" s="790">
        <f t="shared" si="18"/>
        <v>0.002371442356</v>
      </c>
      <c r="AP22" s="357">
        <v>15686.0</v>
      </c>
      <c r="AQ22" s="790">
        <f t="shared" si="19"/>
        <v>0.001292261188</v>
      </c>
      <c r="AR22" s="357"/>
      <c r="AS22" s="245"/>
      <c r="AT22" s="357">
        <v>12041.04</v>
      </c>
      <c r="AU22" s="790">
        <f t="shared" si="20"/>
        <v>0.0009997863432</v>
      </c>
      <c r="AV22" s="357">
        <v>15195.0</v>
      </c>
      <c r="AW22" s="790">
        <f t="shared" si="21"/>
        <v>0.00127723765</v>
      </c>
      <c r="AX22" s="357"/>
      <c r="AY22" s="245"/>
      <c r="AZ22" s="357">
        <v>16711.62</v>
      </c>
      <c r="BA22" s="790">
        <f t="shared" si="22"/>
        <v>0.00110718834</v>
      </c>
      <c r="BB22" s="357">
        <v>17551.0</v>
      </c>
      <c r="BC22" s="790">
        <f t="shared" si="23"/>
        <v>0.001292167445</v>
      </c>
      <c r="BD22" s="357"/>
      <c r="BE22" s="245"/>
      <c r="BF22" s="357">
        <v>13536.57</v>
      </c>
      <c r="BG22" s="790">
        <f t="shared" si="24"/>
        <v>0.0009625798806</v>
      </c>
      <c r="BH22" s="357">
        <v>15778.0</v>
      </c>
      <c r="BI22" s="790">
        <f t="shared" si="25"/>
        <v>0.001260260484</v>
      </c>
      <c r="BJ22" s="357"/>
      <c r="BK22" s="245"/>
      <c r="BL22" s="357">
        <v>13525.98</v>
      </c>
      <c r="BM22" s="790">
        <f t="shared" si="26"/>
        <v>0.001135960938</v>
      </c>
      <c r="BN22" s="357">
        <v>12956.0</v>
      </c>
      <c r="BO22" s="790">
        <f t="shared" si="27"/>
        <v>0.001229474555</v>
      </c>
      <c r="BP22" s="357"/>
      <c r="BQ22" s="245"/>
      <c r="BR22" s="353">
        <v>13292.06</v>
      </c>
      <c r="BS22" s="790">
        <f t="shared" si="28"/>
        <v>0.0009679136</v>
      </c>
      <c r="BT22" s="357">
        <v>14660.0</v>
      </c>
      <c r="BU22" s="790">
        <f t="shared" si="29"/>
        <v>0.001239557929</v>
      </c>
      <c r="BV22" s="357"/>
      <c r="BW22" s="213"/>
      <c r="BX22" s="213"/>
      <c r="BY22" s="213"/>
      <c r="BZ22" s="213"/>
      <c r="CA22" s="213"/>
      <c r="CB22" s="213"/>
      <c r="CC22" s="213"/>
      <c r="CD22" s="213"/>
      <c r="CE22" s="213"/>
      <c r="CF22" s="213"/>
      <c r="CG22" s="213"/>
      <c r="CH22" s="213"/>
      <c r="CI22" s="213"/>
      <c r="CJ22" s="213"/>
      <c r="CK22" s="213"/>
      <c r="CL22" s="213"/>
      <c r="CM22" s="213"/>
      <c r="CN22" s="213"/>
      <c r="CO22" s="213"/>
      <c r="CP22" s="213"/>
    </row>
    <row r="23" ht="15.75" customHeight="1">
      <c r="A23" s="213"/>
      <c r="B23" s="393"/>
      <c r="C23" s="350" t="s">
        <v>226</v>
      </c>
      <c r="D23" s="604">
        <f>6761.25+2952.99+51137.09+49642</f>
        <v>110493.33</v>
      </c>
      <c r="E23" s="355">
        <f t="shared" si="6"/>
        <v>0.009931028145</v>
      </c>
      <c r="F23" s="357">
        <v>75673.0</v>
      </c>
      <c r="G23" s="355">
        <f t="shared" si="7"/>
        <v>0.00715159157</v>
      </c>
      <c r="H23" s="357">
        <f t="shared" si="30"/>
        <v>34820.33</v>
      </c>
      <c r="I23" s="719">
        <f t="shared" si="8"/>
        <v>0.4601420586</v>
      </c>
      <c r="J23" s="604">
        <f>62851.52+58040+9132.25+4426.68</f>
        <v>134450.45</v>
      </c>
      <c r="K23" s="245"/>
      <c r="L23" s="357">
        <v>86813.0</v>
      </c>
      <c r="M23" s="790">
        <f t="shared" si="9"/>
        <v>0.007364135921</v>
      </c>
      <c r="N23" s="357"/>
      <c r="O23" s="350"/>
      <c r="P23" s="604">
        <f>79100+8571+1384+6949</f>
        <v>96004</v>
      </c>
      <c r="Q23" s="790">
        <f t="shared" si="10"/>
        <v>0.009475073207</v>
      </c>
      <c r="R23" s="357">
        <v>80564.0</v>
      </c>
      <c r="S23" s="790">
        <f t="shared" si="11"/>
        <v>0.007183323106</v>
      </c>
      <c r="T23" s="357"/>
      <c r="U23" s="350"/>
      <c r="V23" s="604">
        <v>158234.0</v>
      </c>
      <c r="W23" s="355">
        <f t="shared" si="12"/>
        <v>0.0141414322</v>
      </c>
      <c r="X23" s="357">
        <v>77432.0</v>
      </c>
      <c r="Y23" s="790">
        <f t="shared" si="13"/>
        <v>0.007036857166</v>
      </c>
      <c r="Z23" s="357"/>
      <c r="AA23" s="350"/>
      <c r="AB23" s="604">
        <v>198380.0</v>
      </c>
      <c r="AC23" s="355">
        <f t="shared" si="14"/>
        <v>0.01635612186</v>
      </c>
      <c r="AD23" s="357">
        <v>87979.0</v>
      </c>
      <c r="AE23" s="790">
        <f t="shared" si="15"/>
        <v>0.007211474424</v>
      </c>
      <c r="AF23" s="357"/>
      <c r="AG23" s="350"/>
      <c r="AH23" s="604">
        <f>11301.75+3032.57+118894.47+61590.4</f>
        <v>194819.19</v>
      </c>
      <c r="AI23" s="790">
        <f t="shared" si="16"/>
        <v>0.01750584561</v>
      </c>
      <c r="AJ23" s="357">
        <v>84412.0</v>
      </c>
      <c r="AK23" s="790">
        <f t="shared" si="17"/>
        <v>0.007093894261</v>
      </c>
      <c r="AL23" s="357"/>
      <c r="AM23" s="350"/>
      <c r="AN23" s="605">
        <f>110131.75+59797.3</f>
        <v>169929.05</v>
      </c>
      <c r="AO23" s="790">
        <f t="shared" si="18"/>
        <v>0.01442216584</v>
      </c>
      <c r="AP23" s="357">
        <v>85155.0</v>
      </c>
      <c r="AQ23" s="790">
        <f t="shared" si="19"/>
        <v>0.007015332235</v>
      </c>
      <c r="AR23" s="357"/>
      <c r="AS23" s="245"/>
      <c r="AT23" s="357">
        <f>13112.5+2520.81+111125.25+68347.6</f>
        <v>195106.16</v>
      </c>
      <c r="AU23" s="790">
        <f t="shared" si="20"/>
        <v>0.01619996896</v>
      </c>
      <c r="AV23" s="357">
        <v>82485.0</v>
      </c>
      <c r="AW23" s="790">
        <f t="shared" si="21"/>
        <v>0.006933395692</v>
      </c>
      <c r="AX23" s="357"/>
      <c r="AY23" s="245"/>
      <c r="AZ23" s="357">
        <v>228658.76</v>
      </c>
      <c r="BA23" s="790">
        <f t="shared" si="22"/>
        <v>0.01514923825</v>
      </c>
      <c r="BB23" s="357">
        <v>95279.0</v>
      </c>
      <c r="BC23" s="790">
        <f t="shared" si="23"/>
        <v>0.007014781038</v>
      </c>
      <c r="BD23" s="357"/>
      <c r="BE23" s="245"/>
      <c r="BF23" s="357">
        <v>226957.61</v>
      </c>
      <c r="BG23" s="790">
        <f t="shared" si="24"/>
        <v>0.01613886155</v>
      </c>
      <c r="BH23" s="357">
        <v>85651.0</v>
      </c>
      <c r="BI23" s="790">
        <f t="shared" si="25"/>
        <v>0.00684133418</v>
      </c>
      <c r="BJ23" s="357"/>
      <c r="BK23" s="245"/>
      <c r="BL23" s="357">
        <f>10845.25+4173.62+108894+74724.05</f>
        <v>198636.92</v>
      </c>
      <c r="BM23" s="790">
        <f t="shared" si="26"/>
        <v>0.01668225015</v>
      </c>
      <c r="BN23" s="357">
        <v>70334.0</v>
      </c>
      <c r="BO23" s="790">
        <f t="shared" si="27"/>
        <v>0.006674426009</v>
      </c>
      <c r="BP23" s="357"/>
      <c r="BQ23" s="245"/>
      <c r="BR23" s="353">
        <f>128433.5+95951.49+12336.25+3445.87</f>
        <v>240167.11</v>
      </c>
      <c r="BS23" s="790">
        <f t="shared" si="28"/>
        <v>0.01748871221</v>
      </c>
      <c r="BT23" s="357">
        <v>79582.0</v>
      </c>
      <c r="BU23" s="790">
        <f t="shared" si="29"/>
        <v>0.006728956285</v>
      </c>
      <c r="BV23" s="357"/>
      <c r="BW23" s="213"/>
      <c r="BX23" s="213"/>
      <c r="BY23" s="213"/>
      <c r="BZ23" s="213"/>
      <c r="CA23" s="213"/>
      <c r="CB23" s="213"/>
      <c r="CC23" s="213"/>
      <c r="CD23" s="213"/>
      <c r="CE23" s="213"/>
      <c r="CF23" s="213"/>
      <c r="CG23" s="213"/>
      <c r="CH23" s="213"/>
      <c r="CI23" s="213"/>
      <c r="CJ23" s="213"/>
      <c r="CK23" s="213"/>
      <c r="CL23" s="213"/>
      <c r="CM23" s="213"/>
      <c r="CN23" s="213"/>
      <c r="CO23" s="213"/>
      <c r="CP23" s="213"/>
    </row>
    <row r="24" ht="15.75" customHeight="1">
      <c r="A24" s="213"/>
      <c r="B24" s="393"/>
      <c r="C24" s="350" t="s">
        <v>227</v>
      </c>
      <c r="D24" s="604">
        <v>15200.0</v>
      </c>
      <c r="E24" s="355"/>
      <c r="F24" s="357"/>
      <c r="G24" s="355"/>
      <c r="H24" s="357"/>
      <c r="I24" s="719" t="str">
        <f t="shared" si="8"/>
        <v/>
      </c>
      <c r="J24" s="604">
        <v>15200.0</v>
      </c>
      <c r="K24" s="245"/>
      <c r="L24" s="357"/>
      <c r="M24" s="245"/>
      <c r="N24" s="357"/>
      <c r="O24" s="350"/>
      <c r="P24" s="604">
        <v>14400.0</v>
      </c>
      <c r="Q24" s="790">
        <f t="shared" si="10"/>
        <v>0.001421201764</v>
      </c>
      <c r="R24" s="357"/>
      <c r="S24" s="245"/>
      <c r="T24" s="357"/>
      <c r="U24" s="350"/>
      <c r="V24" s="604">
        <v>16000.0</v>
      </c>
      <c r="W24" s="355">
        <f t="shared" si="12"/>
        <v>0.001429926028</v>
      </c>
      <c r="X24" s="357"/>
      <c r="Y24" s="245"/>
      <c r="Z24" s="357"/>
      <c r="AA24" s="350"/>
      <c r="AB24" s="604">
        <v>12800.0</v>
      </c>
      <c r="AC24" s="355">
        <f t="shared" si="14"/>
        <v>0.001055340054</v>
      </c>
      <c r="AD24" s="357"/>
      <c r="AE24" s="245"/>
      <c r="AF24" s="357"/>
      <c r="AG24" s="350"/>
      <c r="AH24" s="604">
        <v>15800.0</v>
      </c>
      <c r="AI24" s="790">
        <f t="shared" si="16"/>
        <v>0.001419738788</v>
      </c>
      <c r="AJ24" s="357"/>
      <c r="AK24" s="245"/>
      <c r="AL24" s="357"/>
      <c r="AM24" s="350"/>
      <c r="AN24" s="605">
        <v>12000.0</v>
      </c>
      <c r="AO24" s="790">
        <f t="shared" si="18"/>
        <v>0.001018460293</v>
      </c>
      <c r="AP24" s="357"/>
      <c r="AQ24" s="245"/>
      <c r="AR24" s="357"/>
      <c r="AS24" s="245"/>
      <c r="AT24" s="357">
        <v>16800.0</v>
      </c>
      <c r="AU24" s="790">
        <f t="shared" si="20"/>
        <v>0.001394930219</v>
      </c>
      <c r="AV24" s="357"/>
      <c r="AW24" s="245"/>
      <c r="AX24" s="357"/>
      <c r="AY24" s="245"/>
      <c r="AZ24" s="357">
        <v>19200.0</v>
      </c>
      <c r="BA24" s="790">
        <f t="shared" si="22"/>
        <v>0.001272049995</v>
      </c>
      <c r="BB24" s="357"/>
      <c r="BC24" s="245"/>
      <c r="BD24" s="357"/>
      <c r="BE24" s="245"/>
      <c r="BF24" s="357"/>
      <c r="BG24" s="790">
        <f t="shared" si="24"/>
        <v>0</v>
      </c>
      <c r="BH24" s="357"/>
      <c r="BI24" s="245"/>
      <c r="BJ24" s="357"/>
      <c r="BK24" s="245"/>
      <c r="BL24" s="357"/>
      <c r="BM24" s="790">
        <f t="shared" si="26"/>
        <v>0</v>
      </c>
      <c r="BN24" s="357"/>
      <c r="BO24" s="245"/>
      <c r="BP24" s="357"/>
      <c r="BQ24" s="245"/>
      <c r="BR24" s="353">
        <v>17600.0</v>
      </c>
      <c r="BS24" s="790">
        <f t="shared" si="28"/>
        <v>0.001281613186</v>
      </c>
      <c r="BT24" s="357"/>
      <c r="BU24" s="245"/>
      <c r="BV24" s="357"/>
      <c r="BW24" s="213"/>
      <c r="BX24" s="213"/>
      <c r="BY24" s="213"/>
      <c r="BZ24" s="213"/>
      <c r="CA24" s="213"/>
      <c r="CB24" s="213"/>
      <c r="CC24" s="213"/>
      <c r="CD24" s="213"/>
      <c r="CE24" s="213"/>
      <c r="CF24" s="213"/>
      <c r="CG24" s="213"/>
      <c r="CH24" s="213"/>
      <c r="CI24" s="213"/>
      <c r="CJ24" s="213"/>
      <c r="CK24" s="213"/>
      <c r="CL24" s="213"/>
      <c r="CM24" s="213"/>
      <c r="CN24" s="213"/>
      <c r="CO24" s="213"/>
      <c r="CP24" s="213"/>
    </row>
    <row r="25" ht="15.75" customHeight="1">
      <c r="A25" s="213"/>
      <c r="B25" s="349"/>
      <c r="C25" s="350" t="s">
        <v>228</v>
      </c>
      <c r="D25" s="604"/>
      <c r="E25" s="355"/>
      <c r="F25" s="357"/>
      <c r="G25" s="355"/>
      <c r="H25" s="357"/>
      <c r="I25" s="719" t="str">
        <f t="shared" si="8"/>
        <v/>
      </c>
      <c r="J25" s="604"/>
      <c r="K25" s="245"/>
      <c r="L25" s="357"/>
      <c r="M25" s="245"/>
      <c r="N25" s="357"/>
      <c r="O25" s="350"/>
      <c r="P25" s="604"/>
      <c r="Q25" s="245"/>
      <c r="R25" s="357"/>
      <c r="S25" s="245"/>
      <c r="T25" s="357"/>
      <c r="U25" s="350"/>
      <c r="V25" s="604"/>
      <c r="W25" s="352"/>
      <c r="X25" s="357"/>
      <c r="Y25" s="245"/>
      <c r="Z25" s="357"/>
      <c r="AA25" s="350"/>
      <c r="AB25" s="604"/>
      <c r="AC25" s="245"/>
      <c r="AD25" s="357"/>
      <c r="AE25" s="245"/>
      <c r="AF25" s="357"/>
      <c r="AG25" s="350"/>
      <c r="AH25" s="604"/>
      <c r="AI25" s="245"/>
      <c r="AJ25" s="357"/>
      <c r="AK25" s="245"/>
      <c r="AL25" s="357"/>
      <c r="AM25" s="350"/>
      <c r="AN25" s="605"/>
      <c r="AO25" s="245"/>
      <c r="AP25" s="357"/>
      <c r="AQ25" s="245"/>
      <c r="AR25" s="357"/>
      <c r="AS25" s="245"/>
      <c r="AT25" s="357"/>
      <c r="AU25" s="245"/>
      <c r="AV25" s="357"/>
      <c r="AW25" s="245"/>
      <c r="AX25" s="357"/>
      <c r="AY25" s="245"/>
      <c r="AZ25" s="357"/>
      <c r="BA25" s="245"/>
      <c r="BB25" s="357"/>
      <c r="BC25" s="245"/>
      <c r="BD25" s="357"/>
      <c r="BE25" s="245"/>
      <c r="BF25" s="357"/>
      <c r="BG25" s="245"/>
      <c r="BH25" s="357"/>
      <c r="BI25" s="245"/>
      <c r="BJ25" s="357"/>
      <c r="BK25" s="245"/>
      <c r="BL25" s="357"/>
      <c r="BM25" s="245"/>
      <c r="BN25" s="357"/>
      <c r="BO25" s="245"/>
      <c r="BP25" s="357"/>
      <c r="BQ25" s="245"/>
      <c r="BR25" s="353"/>
      <c r="BS25" s="245"/>
      <c r="BT25" s="357"/>
      <c r="BU25" s="245"/>
      <c r="BV25" s="357"/>
      <c r="BW25" s="213"/>
      <c r="BX25" s="213"/>
      <c r="BY25" s="213"/>
      <c r="BZ25" s="213"/>
      <c r="CA25" s="213"/>
      <c r="CB25" s="213"/>
      <c r="CC25" s="213"/>
      <c r="CD25" s="213"/>
      <c r="CE25" s="213"/>
      <c r="CF25" s="213"/>
      <c r="CG25" s="213"/>
      <c r="CH25" s="213"/>
      <c r="CI25" s="213"/>
      <c r="CJ25" s="213"/>
      <c r="CK25" s="213"/>
      <c r="CL25" s="213"/>
      <c r="CM25" s="213"/>
      <c r="CN25" s="213"/>
      <c r="CO25" s="213"/>
      <c r="CP25" s="213"/>
    </row>
    <row r="26" ht="15.75" customHeight="1">
      <c r="A26" s="213"/>
      <c r="B26" s="349"/>
      <c r="C26" s="350" t="s">
        <v>229</v>
      </c>
      <c r="D26" s="604"/>
      <c r="E26" s="355"/>
      <c r="F26" s="357"/>
      <c r="G26" s="355"/>
      <c r="H26" s="357"/>
      <c r="I26" s="719"/>
      <c r="J26" s="604"/>
      <c r="K26" s="245"/>
      <c r="L26" s="357"/>
      <c r="M26" s="245"/>
      <c r="N26" s="357"/>
      <c r="O26" s="350"/>
      <c r="P26" s="604"/>
      <c r="Q26" s="245"/>
      <c r="R26" s="357"/>
      <c r="S26" s="245"/>
      <c r="T26" s="357"/>
      <c r="U26" s="350"/>
      <c r="V26" s="604"/>
      <c r="W26" s="352"/>
      <c r="X26" s="357"/>
      <c r="Y26" s="245"/>
      <c r="Z26" s="357"/>
      <c r="AA26" s="350"/>
      <c r="AB26" s="604"/>
      <c r="AC26" s="245"/>
      <c r="AD26" s="357"/>
      <c r="AE26" s="245"/>
      <c r="AF26" s="357"/>
      <c r="AG26" s="350"/>
      <c r="AH26" s="604"/>
      <c r="AI26" s="245"/>
      <c r="AJ26" s="357"/>
      <c r="AK26" s="245"/>
      <c r="AL26" s="357"/>
      <c r="AM26" s="350"/>
      <c r="AN26" s="605"/>
      <c r="AO26" s="245"/>
      <c r="AP26" s="357"/>
      <c r="AQ26" s="245"/>
      <c r="AR26" s="357"/>
      <c r="AS26" s="245"/>
      <c r="AT26" s="357"/>
      <c r="AU26" s="245"/>
      <c r="AV26" s="357"/>
      <c r="AW26" s="245"/>
      <c r="AX26" s="357"/>
      <c r="AY26" s="245"/>
      <c r="AZ26" s="357"/>
      <c r="BA26" s="245"/>
      <c r="BB26" s="357"/>
      <c r="BC26" s="245"/>
      <c r="BD26" s="357"/>
      <c r="BE26" s="245"/>
      <c r="BF26" s="357"/>
      <c r="BG26" s="245"/>
      <c r="BH26" s="357"/>
      <c r="BI26" s="245"/>
      <c r="BJ26" s="357"/>
      <c r="BK26" s="245"/>
      <c r="BL26" s="357"/>
      <c r="BM26" s="245"/>
      <c r="BN26" s="357"/>
      <c r="BO26" s="245"/>
      <c r="BP26" s="357"/>
      <c r="BQ26" s="245"/>
      <c r="BR26" s="353"/>
      <c r="BS26" s="245"/>
      <c r="BT26" s="357"/>
      <c r="BU26" s="245"/>
      <c r="BV26" s="357"/>
      <c r="BW26" s="213"/>
      <c r="BX26" s="213"/>
      <c r="BY26" s="213"/>
      <c r="BZ26" s="213"/>
      <c r="CA26" s="213"/>
      <c r="CB26" s="213"/>
      <c r="CC26" s="213"/>
      <c r="CD26" s="213"/>
      <c r="CE26" s="213"/>
      <c r="CF26" s="213"/>
      <c r="CG26" s="213"/>
      <c r="CH26" s="213"/>
      <c r="CI26" s="213"/>
      <c r="CJ26" s="213"/>
      <c r="CK26" s="213"/>
      <c r="CL26" s="213"/>
      <c r="CM26" s="213"/>
      <c r="CN26" s="213"/>
      <c r="CO26" s="213"/>
      <c r="CP26" s="213"/>
    </row>
    <row r="27" ht="15.75" customHeight="1">
      <c r="A27" s="213"/>
      <c r="B27" s="349"/>
      <c r="C27" s="350"/>
      <c r="D27" s="604"/>
      <c r="E27" s="355"/>
      <c r="F27" s="357"/>
      <c r="G27" s="355"/>
      <c r="H27" s="357"/>
      <c r="I27" s="719"/>
      <c r="J27" s="604"/>
      <c r="K27" s="245"/>
      <c r="L27" s="357"/>
      <c r="M27" s="245"/>
      <c r="N27" s="357"/>
      <c r="O27" s="350"/>
      <c r="P27" s="604"/>
      <c r="Q27" s="245"/>
      <c r="R27" s="357"/>
      <c r="S27" s="245"/>
      <c r="T27" s="357"/>
      <c r="U27" s="350"/>
      <c r="V27" s="604"/>
      <c r="W27" s="352"/>
      <c r="X27" s="357"/>
      <c r="Y27" s="245"/>
      <c r="Z27" s="357"/>
      <c r="AA27" s="350"/>
      <c r="AB27" s="604"/>
      <c r="AC27" s="245"/>
      <c r="AD27" s="357"/>
      <c r="AE27" s="245"/>
      <c r="AF27" s="357"/>
      <c r="AG27" s="350"/>
      <c r="AH27" s="604"/>
      <c r="AI27" s="245"/>
      <c r="AJ27" s="357"/>
      <c r="AK27" s="245"/>
      <c r="AL27" s="357"/>
      <c r="AM27" s="350"/>
      <c r="AN27" s="605"/>
      <c r="AO27" s="245"/>
      <c r="AP27" s="357"/>
      <c r="AQ27" s="245"/>
      <c r="AR27" s="357"/>
      <c r="AS27" s="245"/>
      <c r="AT27" s="357"/>
      <c r="AU27" s="245"/>
      <c r="AV27" s="357"/>
      <c r="AW27" s="245"/>
      <c r="AX27" s="357"/>
      <c r="AY27" s="245"/>
      <c r="AZ27" s="357"/>
      <c r="BA27" s="245"/>
      <c r="BB27" s="357"/>
      <c r="BC27" s="245"/>
      <c r="BD27" s="357"/>
      <c r="BE27" s="245"/>
      <c r="BF27" s="357"/>
      <c r="BG27" s="245"/>
      <c r="BH27" s="357"/>
      <c r="BI27" s="245"/>
      <c r="BJ27" s="357"/>
      <c r="BK27" s="245"/>
      <c r="BL27" s="357"/>
      <c r="BM27" s="245"/>
      <c r="BN27" s="357"/>
      <c r="BO27" s="245"/>
      <c r="BP27" s="357"/>
      <c r="BQ27" s="245"/>
      <c r="BR27" s="353"/>
      <c r="BS27" s="245"/>
      <c r="BT27" s="357"/>
      <c r="BU27" s="245"/>
      <c r="BV27" s="357"/>
      <c r="BW27" s="213"/>
      <c r="BX27" s="213"/>
      <c r="BY27" s="213"/>
      <c r="BZ27" s="213"/>
      <c r="CA27" s="213"/>
      <c r="CB27" s="213"/>
      <c r="CC27" s="213"/>
      <c r="CD27" s="213"/>
      <c r="CE27" s="213"/>
      <c r="CF27" s="213"/>
      <c r="CG27" s="213"/>
      <c r="CH27" s="213"/>
      <c r="CI27" s="213"/>
      <c r="CJ27" s="213"/>
      <c r="CK27" s="213"/>
      <c r="CL27" s="213"/>
      <c r="CM27" s="213"/>
      <c r="CN27" s="213"/>
      <c r="CO27" s="213"/>
      <c r="CP27" s="213"/>
    </row>
    <row r="28" ht="15.75" customHeight="1">
      <c r="A28" s="213"/>
      <c r="B28" s="349" t="s">
        <v>22</v>
      </c>
      <c r="C28" s="350" t="s">
        <v>22</v>
      </c>
      <c r="D28" s="604">
        <v>1966135.0</v>
      </c>
      <c r="E28" s="355">
        <f t="shared" ref="E28:E30" si="31">D28/D$33</f>
        <v>0.1218661697</v>
      </c>
      <c r="F28" s="357">
        <v>1536484.0</v>
      </c>
      <c r="G28" s="355">
        <f t="shared" ref="G28:G30" si="32">F28/F$33</f>
        <v>0.1003758383</v>
      </c>
      <c r="H28" s="357">
        <f t="shared" ref="H28:H30" si="33">D28-F28</f>
        <v>429651</v>
      </c>
      <c r="I28" s="719">
        <f t="shared" ref="I28:I32" si="34">IFERROR(H28/F28,"")</f>
        <v>0.2796325897</v>
      </c>
      <c r="J28" s="604">
        <v>1889650.0</v>
      </c>
      <c r="K28" s="245"/>
      <c r="L28" s="357">
        <v>1762681.0</v>
      </c>
      <c r="M28" s="790">
        <f t="shared" ref="M28:M30" si="35">L28/L$33</f>
        <v>0.1026075459</v>
      </c>
      <c r="N28" s="357">
        <v>0.0</v>
      </c>
      <c r="O28" s="350"/>
      <c r="P28" s="604">
        <v>1797007.0</v>
      </c>
      <c r="Q28" s="790">
        <f t="shared" ref="Q28:Q30" si="36">P28/P$33</f>
        <v>0.1177216746</v>
      </c>
      <c r="R28" s="357">
        <v>1635803.0</v>
      </c>
      <c r="S28" s="790">
        <f t="shared" ref="S28:S30" si="37">R28/R$33</f>
        <v>0.1007115535</v>
      </c>
      <c r="T28" s="357">
        <v>0.0</v>
      </c>
      <c r="U28" s="350"/>
      <c r="V28" s="604">
        <v>1759135.0</v>
      </c>
      <c r="W28" s="355">
        <f t="shared" ref="W28:W30" si="38">V28/V$33</f>
        <v>0.1089861037</v>
      </c>
      <c r="X28" s="357">
        <v>1572211.0</v>
      </c>
      <c r="Y28" s="790">
        <f t="shared" ref="Y28:Y30" si="39">X28/X$33</f>
        <v>0.09915823935</v>
      </c>
      <c r="Z28" s="357">
        <v>0.0</v>
      </c>
      <c r="AA28" s="350"/>
      <c r="AB28" s="604">
        <v>1838173.0</v>
      </c>
      <c r="AC28" s="355">
        <f t="shared" ref="AC28:AC30" si="40">AB28/AB$33</f>
        <v>0.1052689601</v>
      </c>
      <c r="AD28" s="357">
        <v>1786354.0</v>
      </c>
      <c r="AE28" s="790">
        <f t="shared" ref="AE28:AE30" si="41">AD28/AD$33</f>
        <v>0.101008066</v>
      </c>
      <c r="AF28" s="357">
        <v>0.0</v>
      </c>
      <c r="AG28" s="350"/>
      <c r="AH28" s="604">
        <v>1578825.0</v>
      </c>
      <c r="AI28" s="790">
        <f t="shared" ref="AI28:AI30" si="42">AH28/AH$33</f>
        <v>0.1009208354</v>
      </c>
      <c r="AJ28" s="357">
        <v>1713920.0</v>
      </c>
      <c r="AK28" s="790">
        <f t="shared" ref="AK28:AK30" si="43">AJ28/AJ$33</f>
        <v>0.1013791178</v>
      </c>
      <c r="AL28" s="357">
        <v>0.0</v>
      </c>
      <c r="AM28" s="350"/>
      <c r="AN28" s="605">
        <v>1721302.5</v>
      </c>
      <c r="AO28" s="790">
        <f t="shared" ref="AO28:AO30" si="44">AN28/AN$33</f>
        <v>0.1038628548</v>
      </c>
      <c r="AP28" s="357">
        <v>1729018.0</v>
      </c>
      <c r="AQ28" s="790">
        <f t="shared" ref="AQ28:AQ30" si="45">AP28/AP$33</f>
        <v>0.09892845441</v>
      </c>
      <c r="AR28" s="357">
        <v>0.0</v>
      </c>
      <c r="AS28" s="245"/>
      <c r="AT28" s="357">
        <v>1778975.0</v>
      </c>
      <c r="AU28" s="790">
        <f t="shared" ref="AU28:AU30" si="46">AT28/AT$33</f>
        <v>0.1049102942</v>
      </c>
      <c r="AV28" s="357">
        <v>1674791.0</v>
      </c>
      <c r="AW28" s="790">
        <f t="shared" ref="AW28:AW30" si="47">AV28/AV$33</f>
        <v>0.09805062806</v>
      </c>
      <c r="AX28" s="357">
        <v>0.0</v>
      </c>
      <c r="AY28" s="245"/>
      <c r="AZ28" s="357">
        <v>1889340.0</v>
      </c>
      <c r="BA28" s="790">
        <f t="shared" ref="BA28:BA30" si="48">AZ28/AZ$33</f>
        <v>0.09177457096</v>
      </c>
      <c r="BB28" s="357">
        <v>1934568.0</v>
      </c>
      <c r="BC28" s="790">
        <f t="shared" ref="BC28:BC30" si="49">BB28/BB$33</f>
        <v>0.09892212823</v>
      </c>
      <c r="BD28" s="357">
        <v>0.0</v>
      </c>
      <c r="BE28" s="245"/>
      <c r="BF28" s="357">
        <v>1781641.25</v>
      </c>
      <c r="BG28" s="790">
        <f t="shared" ref="BG28:BG30" si="50">BF28/BF$33</f>
        <v>0.09505436154</v>
      </c>
      <c r="BH28" s="357">
        <v>1739080.0</v>
      </c>
      <c r="BI28" s="790">
        <f t="shared" ref="BI28:BI30" si="51">BH28/BH$33</f>
        <v>0.09705931988</v>
      </c>
      <c r="BJ28" s="357">
        <v>0.0</v>
      </c>
      <c r="BK28" s="245"/>
      <c r="BL28" s="357">
        <v>1504178.75</v>
      </c>
      <c r="BM28" s="790">
        <f t="shared" ref="BM28:BM30" si="52">BL28/BL$33</f>
        <v>0.09149029823</v>
      </c>
      <c r="BN28" s="357">
        <v>1428085.0</v>
      </c>
      <c r="BO28" s="790">
        <f t="shared" ref="BO28:BO30" si="53">BN28/BN$33</f>
        <v>0.09524556649</v>
      </c>
      <c r="BP28" s="357">
        <v>0.0</v>
      </c>
      <c r="BQ28" s="245"/>
      <c r="BR28" s="353">
        <v>1703790.0</v>
      </c>
      <c r="BS28" s="790">
        <f t="shared" ref="BS28:BS30" si="54">BR28/BR$33</f>
        <v>0.09036587933</v>
      </c>
      <c r="BT28" s="357">
        <v>1615863.0</v>
      </c>
      <c r="BU28" s="790">
        <f t="shared" ref="BU28:BU30" si="55">BT28/BT$33</f>
        <v>0.09584071039</v>
      </c>
      <c r="BV28" s="357">
        <v>0.0</v>
      </c>
      <c r="BW28" s="213"/>
      <c r="BX28" s="213"/>
      <c r="BY28" s="213"/>
      <c r="BZ28" s="213"/>
      <c r="CA28" s="213"/>
      <c r="CB28" s="213"/>
      <c r="CC28" s="213"/>
      <c r="CD28" s="213"/>
      <c r="CE28" s="213"/>
      <c r="CF28" s="213"/>
      <c r="CG28" s="213"/>
      <c r="CH28" s="213"/>
      <c r="CI28" s="213"/>
      <c r="CJ28" s="213"/>
      <c r="CK28" s="213"/>
      <c r="CL28" s="213"/>
      <c r="CM28" s="213"/>
      <c r="CN28" s="213"/>
      <c r="CO28" s="213"/>
      <c r="CP28" s="213"/>
    </row>
    <row r="29" ht="15.75" customHeight="1">
      <c r="A29" s="213"/>
      <c r="B29" s="349" t="s">
        <v>23</v>
      </c>
      <c r="C29" s="350" t="s">
        <v>23</v>
      </c>
      <c r="D29" s="604">
        <v>1875585.0</v>
      </c>
      <c r="E29" s="355">
        <f t="shared" si="31"/>
        <v>0.1162536448</v>
      </c>
      <c r="F29" s="357">
        <v>1925638.0</v>
      </c>
      <c r="G29" s="355">
        <f t="shared" si="32"/>
        <v>0.125798595</v>
      </c>
      <c r="H29" s="357">
        <f t="shared" si="33"/>
        <v>-50053</v>
      </c>
      <c r="I29" s="719">
        <f t="shared" si="34"/>
        <v>-0.02599294364</v>
      </c>
      <c r="J29" s="604">
        <v>1872607.0</v>
      </c>
      <c r="K29" s="245"/>
      <c r="L29" s="357">
        <v>2209124.0</v>
      </c>
      <c r="M29" s="790">
        <f t="shared" si="35"/>
        <v>0.1285954704</v>
      </c>
      <c r="N29" s="357">
        <v>0.0</v>
      </c>
      <c r="O29" s="350"/>
      <c r="P29" s="604">
        <v>2173850.0</v>
      </c>
      <c r="Q29" s="790">
        <f t="shared" si="36"/>
        <v>0.1424086062</v>
      </c>
      <c r="R29" s="357">
        <v>2050111.0</v>
      </c>
      <c r="S29" s="790">
        <f t="shared" si="37"/>
        <v>0.1262192719</v>
      </c>
      <c r="T29" s="357">
        <v>0.0</v>
      </c>
      <c r="U29" s="350"/>
      <c r="V29" s="604">
        <v>2026926.0</v>
      </c>
      <c r="W29" s="355">
        <f t="shared" si="38"/>
        <v>0.1255769269</v>
      </c>
      <c r="X29" s="357">
        <v>1970413.0</v>
      </c>
      <c r="Y29" s="790">
        <f t="shared" si="39"/>
        <v>0.1242725588</v>
      </c>
      <c r="Z29" s="357">
        <v>0.0</v>
      </c>
      <c r="AA29" s="350"/>
      <c r="AB29" s="604">
        <v>2291703.0</v>
      </c>
      <c r="AC29" s="355">
        <f t="shared" si="40"/>
        <v>0.1312418318</v>
      </c>
      <c r="AD29" s="357">
        <v>2238793.0</v>
      </c>
      <c r="AE29" s="790">
        <f t="shared" si="41"/>
        <v>0.1265908947</v>
      </c>
      <c r="AF29" s="357">
        <v>0.0</v>
      </c>
      <c r="AG29" s="350"/>
      <c r="AH29" s="604">
        <v>1888259.0</v>
      </c>
      <c r="AI29" s="790">
        <f t="shared" si="42"/>
        <v>0.1207003156</v>
      </c>
      <c r="AJ29" s="357">
        <v>2148014.0</v>
      </c>
      <c r="AK29" s="790">
        <f t="shared" si="43"/>
        <v>0.1270559678</v>
      </c>
      <c r="AL29" s="357">
        <v>0.0</v>
      </c>
      <c r="AM29" s="350"/>
      <c r="AN29" s="605">
        <v>1944904.0</v>
      </c>
      <c r="AO29" s="790">
        <f t="shared" si="44"/>
        <v>0.1173548994</v>
      </c>
      <c r="AP29" s="357">
        <v>2166935.0</v>
      </c>
      <c r="AQ29" s="790">
        <f t="shared" si="45"/>
        <v>0.1239845568</v>
      </c>
      <c r="AR29" s="357">
        <v>0.0</v>
      </c>
      <c r="AS29" s="245"/>
      <c r="AT29" s="357">
        <v>1997252.0</v>
      </c>
      <c r="AU29" s="790">
        <f t="shared" si="46"/>
        <v>0.1177825967</v>
      </c>
      <c r="AV29" s="357">
        <v>2098973.0</v>
      </c>
      <c r="AW29" s="790">
        <f t="shared" si="47"/>
        <v>0.1228843605</v>
      </c>
      <c r="AX29" s="357">
        <v>0.0</v>
      </c>
      <c r="AY29" s="245"/>
      <c r="AZ29" s="357">
        <v>2351095.0</v>
      </c>
      <c r="BA29" s="790">
        <f t="shared" si="48"/>
        <v>0.1142042909</v>
      </c>
      <c r="BB29" s="357">
        <v>2424546.0</v>
      </c>
      <c r="BC29" s="790">
        <f t="shared" si="49"/>
        <v>0.1239766451</v>
      </c>
      <c r="BD29" s="357">
        <v>0.0</v>
      </c>
      <c r="BE29" s="245"/>
      <c r="BF29" s="357">
        <v>1720707.0</v>
      </c>
      <c r="BG29" s="790">
        <f t="shared" si="50"/>
        <v>0.09180338931</v>
      </c>
      <c r="BH29" s="357">
        <v>2179545.0</v>
      </c>
      <c r="BI29" s="790">
        <f t="shared" si="51"/>
        <v>0.1216419919</v>
      </c>
      <c r="BJ29" s="357">
        <v>0.0</v>
      </c>
      <c r="BK29" s="245"/>
      <c r="BL29" s="357">
        <v>2028944.0</v>
      </c>
      <c r="BM29" s="790">
        <f t="shared" si="52"/>
        <v>0.1234086651</v>
      </c>
      <c r="BN29" s="357">
        <v>1789783.0</v>
      </c>
      <c r="BO29" s="790">
        <f t="shared" si="53"/>
        <v>0.1193688721</v>
      </c>
      <c r="BP29" s="357">
        <v>0.0</v>
      </c>
      <c r="BQ29" s="245"/>
      <c r="BR29" s="353">
        <v>2344995.0</v>
      </c>
      <c r="BS29" s="790">
        <f t="shared" si="54"/>
        <v>0.12437421</v>
      </c>
      <c r="BT29" s="357">
        <v>2025121.0</v>
      </c>
      <c r="BU29" s="790">
        <f t="shared" si="55"/>
        <v>0.120114784</v>
      </c>
      <c r="BV29" s="357">
        <v>0.0</v>
      </c>
      <c r="BW29" s="213"/>
      <c r="BX29" s="213"/>
      <c r="BY29" s="213"/>
      <c r="BZ29" s="213"/>
      <c r="CA29" s="213"/>
      <c r="CB29" s="213"/>
      <c r="CC29" s="213"/>
      <c r="CD29" s="213"/>
      <c r="CE29" s="213"/>
      <c r="CF29" s="213"/>
      <c r="CG29" s="213"/>
      <c r="CH29" s="213"/>
      <c r="CI29" s="213"/>
      <c r="CJ29" s="213"/>
      <c r="CK29" s="213"/>
      <c r="CL29" s="213"/>
      <c r="CM29" s="213"/>
      <c r="CN29" s="213"/>
      <c r="CO29" s="213"/>
      <c r="CP29" s="213"/>
    </row>
    <row r="30" ht="15.75" customHeight="1">
      <c r="A30" s="213"/>
      <c r="B30" s="349" t="s">
        <v>24</v>
      </c>
      <c r="C30" s="350" t="s">
        <v>230</v>
      </c>
      <c r="D30" s="609">
        <f>D16</f>
        <v>11126071.58</v>
      </c>
      <c r="E30" s="355">
        <f t="shared" si="31"/>
        <v>0.6896229035</v>
      </c>
      <c r="F30" s="400">
        <f>SUM(F17:F23)</f>
        <v>10581281</v>
      </c>
      <c r="G30" s="355">
        <f t="shared" si="32"/>
        <v>0.6912567593</v>
      </c>
      <c r="H30" s="357">
        <f t="shared" si="33"/>
        <v>544790.58</v>
      </c>
      <c r="I30" s="719">
        <f t="shared" si="34"/>
        <v>0.05148625956</v>
      </c>
      <c r="J30" s="609">
        <f>J16</f>
        <v>11610093.56</v>
      </c>
      <c r="K30" s="245"/>
      <c r="L30" s="400">
        <f>SUM(L17:L23)</f>
        <v>11788620</v>
      </c>
      <c r="M30" s="790">
        <f t="shared" si="35"/>
        <v>0.6862281764</v>
      </c>
      <c r="N30" s="400">
        <f>SUM(N17:N23)</f>
        <v>0</v>
      </c>
      <c r="O30" s="350"/>
      <c r="P30" s="609">
        <f>P16</f>
        <v>10132270</v>
      </c>
      <c r="Q30" s="790">
        <f t="shared" si="36"/>
        <v>0.6637635754</v>
      </c>
      <c r="R30" s="400">
        <f>SUM(R17:R23)</f>
        <v>11215422</v>
      </c>
      <c r="S30" s="790">
        <f t="shared" si="37"/>
        <v>0.6905003673</v>
      </c>
      <c r="T30" s="400">
        <f>SUM(T17:T23)</f>
        <v>0</v>
      </c>
      <c r="U30" s="350"/>
      <c r="V30" s="609">
        <f>V16</f>
        <v>11189390</v>
      </c>
      <c r="W30" s="355">
        <f t="shared" si="38"/>
        <v>0.6932316274</v>
      </c>
      <c r="X30" s="400">
        <f>SUM(X17:X23)</f>
        <v>11003776</v>
      </c>
      <c r="Y30" s="790">
        <f t="shared" si="39"/>
        <v>0.6940003946</v>
      </c>
      <c r="Z30" s="400">
        <f>SUM(Z17:Z23)</f>
        <v>0</v>
      </c>
      <c r="AA30" s="350"/>
      <c r="AB30" s="609">
        <f>AB16</f>
        <v>12128792</v>
      </c>
      <c r="AC30" s="355">
        <f t="shared" si="40"/>
        <v>0.6945947529</v>
      </c>
      <c r="AD30" s="400">
        <f>AD16</f>
        <v>12199863</v>
      </c>
      <c r="AE30" s="790">
        <f t="shared" si="41"/>
        <v>0.689832232</v>
      </c>
      <c r="AF30" s="400">
        <f>SUM(AF17:AF23)</f>
        <v>0</v>
      </c>
      <c r="AG30" s="350"/>
      <c r="AH30" s="609">
        <f>AH16</f>
        <v>11128807.73</v>
      </c>
      <c r="AI30" s="790">
        <f t="shared" si="42"/>
        <v>0.7113698944</v>
      </c>
      <c r="AJ30" s="400">
        <f>SUM(AJ17:AJ23)</f>
        <v>11899247</v>
      </c>
      <c r="AK30" s="790">
        <f t="shared" si="43"/>
        <v>0.7038456659</v>
      </c>
      <c r="AL30" s="400">
        <f>SUM(AL17:AL23)</f>
        <v>0</v>
      </c>
      <c r="AM30" s="350"/>
      <c r="AN30" s="610">
        <f>SUM(AN17:AN23)</f>
        <v>11770491.75</v>
      </c>
      <c r="AO30" s="790">
        <f t="shared" si="44"/>
        <v>0.7102277927</v>
      </c>
      <c r="AP30" s="400">
        <f>SUM(AP17:AP23)</f>
        <v>12138413</v>
      </c>
      <c r="AQ30" s="790">
        <f t="shared" si="45"/>
        <v>0.6945181815</v>
      </c>
      <c r="AR30" s="400">
        <f>SUM(AR17:AR23)</f>
        <v>0</v>
      </c>
      <c r="AS30" s="245"/>
      <c r="AT30" s="400">
        <f>SUM(AT17:AT23)</f>
        <v>12026813.2</v>
      </c>
      <c r="AU30" s="790">
        <f t="shared" si="46"/>
        <v>0.7092491524</v>
      </c>
      <c r="AV30" s="400">
        <f>SUM(AV17:AV23)</f>
        <v>11896768</v>
      </c>
      <c r="AW30" s="790">
        <f t="shared" si="47"/>
        <v>0.6964962042</v>
      </c>
      <c r="AX30" s="400">
        <f>SUM(AX17:AX23)</f>
        <v>0</v>
      </c>
      <c r="AY30" s="245"/>
      <c r="AZ30" s="400">
        <f>SUM(AZ17:AZ23)</f>
        <v>15074546.38</v>
      </c>
      <c r="BA30" s="790">
        <f t="shared" si="48"/>
        <v>0.7322451366</v>
      </c>
      <c r="BB30" s="400">
        <f>SUM(BB17:BB23)</f>
        <v>13582605</v>
      </c>
      <c r="BC30" s="790">
        <f t="shared" si="49"/>
        <v>0.6945324194</v>
      </c>
      <c r="BD30" s="400">
        <f>SUM(BD17:BD23)</f>
        <v>0</v>
      </c>
      <c r="BE30" s="245"/>
      <c r="BF30" s="400">
        <f>SUM(BF17:BF23)</f>
        <v>14062801.72</v>
      </c>
      <c r="BG30" s="790">
        <f t="shared" si="50"/>
        <v>0.7502804726</v>
      </c>
      <c r="BH30" s="400">
        <f>SUM(BH17:BH23)</f>
        <v>12519634</v>
      </c>
      <c r="BI30" s="790">
        <f t="shared" si="51"/>
        <v>0.6987298808</v>
      </c>
      <c r="BJ30" s="400">
        <f>SUM(BJ17:BJ23)</f>
        <v>0</v>
      </c>
      <c r="BK30" s="245"/>
      <c r="BL30" s="400">
        <f>SUM(BL17:BL23)</f>
        <v>11907081.97</v>
      </c>
      <c r="BM30" s="790">
        <f t="shared" si="52"/>
        <v>0.7242373824</v>
      </c>
      <c r="BN30" s="400">
        <f>SUM(BN17:BN23)</f>
        <v>10537835</v>
      </c>
      <c r="BO30" s="790">
        <f t="shared" si="53"/>
        <v>0.702816754</v>
      </c>
      <c r="BP30" s="400">
        <f>SUM(BP17:BP23)</f>
        <v>0</v>
      </c>
      <c r="BQ30" s="245"/>
      <c r="BR30" s="399">
        <f>SUM(BR17:BR23)</f>
        <v>13715092.67</v>
      </c>
      <c r="BS30" s="790">
        <f t="shared" si="54"/>
        <v>0.7274232207</v>
      </c>
      <c r="BT30" s="400">
        <f>SUM(BT17:BT23)</f>
        <v>11826797</v>
      </c>
      <c r="BU30" s="790">
        <f t="shared" si="55"/>
        <v>0.7014756982</v>
      </c>
      <c r="BV30" s="400">
        <f>SUM(BV17:BV23)</f>
        <v>0</v>
      </c>
      <c r="BW30" s="213"/>
      <c r="BX30" s="213"/>
      <c r="BY30" s="213"/>
      <c r="BZ30" s="213"/>
      <c r="CA30" s="213"/>
      <c r="CB30" s="213"/>
      <c r="CC30" s="213"/>
      <c r="CD30" s="213"/>
      <c r="CE30" s="213"/>
      <c r="CF30" s="213"/>
      <c r="CG30" s="213"/>
      <c r="CH30" s="213"/>
      <c r="CI30" s="213"/>
      <c r="CJ30" s="213"/>
      <c r="CK30" s="213"/>
      <c r="CL30" s="213"/>
      <c r="CM30" s="213"/>
      <c r="CN30" s="213"/>
      <c r="CO30" s="213"/>
      <c r="CP30" s="213"/>
    </row>
    <row r="31" ht="15.75" customHeight="1">
      <c r="A31" s="213"/>
      <c r="B31" s="393"/>
      <c r="C31" s="350"/>
      <c r="D31" s="604"/>
      <c r="E31" s="355"/>
      <c r="F31" s="352"/>
      <c r="G31" s="355"/>
      <c r="H31" s="245"/>
      <c r="I31" s="719" t="str">
        <f t="shared" si="34"/>
        <v/>
      </c>
      <c r="J31" s="604"/>
      <c r="K31" s="245"/>
      <c r="L31" s="352"/>
      <c r="M31" s="245"/>
      <c r="N31" s="245"/>
      <c r="O31" s="350"/>
      <c r="P31" s="604"/>
      <c r="Q31" s="245"/>
      <c r="R31" s="352"/>
      <c r="S31" s="245"/>
      <c r="T31" s="245"/>
      <c r="U31" s="350"/>
      <c r="V31" s="604"/>
      <c r="W31" s="352"/>
      <c r="X31" s="357"/>
      <c r="Y31" s="245"/>
      <c r="Z31" s="245"/>
      <c r="AA31" s="350"/>
      <c r="AB31" s="604"/>
      <c r="AC31" s="245"/>
      <c r="AD31" s="352"/>
      <c r="AE31" s="245"/>
      <c r="AF31" s="245"/>
      <c r="AG31" s="350"/>
      <c r="AH31" s="604"/>
      <c r="AI31" s="245"/>
      <c r="AJ31" s="352"/>
      <c r="AK31" s="245"/>
      <c r="AL31" s="245"/>
      <c r="AM31" s="350"/>
      <c r="AN31" s="605"/>
      <c r="AO31" s="245"/>
      <c r="AP31" s="352"/>
      <c r="AQ31" s="245"/>
      <c r="AR31" s="245"/>
      <c r="AS31" s="245"/>
      <c r="AT31" s="357"/>
      <c r="AU31" s="245"/>
      <c r="AV31" s="352"/>
      <c r="AW31" s="245"/>
      <c r="AX31" s="245"/>
      <c r="AY31" s="245"/>
      <c r="AZ31" s="357"/>
      <c r="BA31" s="245"/>
      <c r="BB31" s="352"/>
      <c r="BC31" s="245"/>
      <c r="BD31" s="245"/>
      <c r="BE31" s="245"/>
      <c r="BF31" s="357"/>
      <c r="BG31" s="245"/>
      <c r="BH31" s="352"/>
      <c r="BI31" s="245"/>
      <c r="BJ31" s="245"/>
      <c r="BK31" s="245"/>
      <c r="BL31" s="357"/>
      <c r="BM31" s="245"/>
      <c r="BN31" s="352"/>
      <c r="BO31" s="245"/>
      <c r="BP31" s="245"/>
      <c r="BQ31" s="245"/>
      <c r="BR31" s="353"/>
      <c r="BS31" s="245"/>
      <c r="BT31" s="352"/>
      <c r="BU31" s="245"/>
      <c r="BV31" s="245"/>
      <c r="BW31" s="213"/>
      <c r="BX31" s="213"/>
      <c r="BY31" s="213"/>
      <c r="BZ31" s="213"/>
      <c r="CA31" s="213"/>
      <c r="CB31" s="213"/>
      <c r="CC31" s="213"/>
      <c r="CD31" s="213"/>
      <c r="CE31" s="213"/>
      <c r="CF31" s="213"/>
      <c r="CG31" s="213"/>
      <c r="CH31" s="213"/>
      <c r="CI31" s="213"/>
      <c r="CJ31" s="213"/>
      <c r="CK31" s="213"/>
      <c r="CL31" s="213"/>
      <c r="CM31" s="213"/>
      <c r="CN31" s="213"/>
      <c r="CO31" s="213"/>
      <c r="CP31" s="213"/>
    </row>
    <row r="32" ht="15.75" customHeight="1">
      <c r="A32" s="213"/>
      <c r="B32" s="403"/>
      <c r="C32" s="362" t="s">
        <v>231</v>
      </c>
      <c r="D32" s="619">
        <f>176982.35+31600.25+787402.7+154581.8</f>
        <v>1150567.1</v>
      </c>
      <c r="E32" s="404">
        <v>0.09</v>
      </c>
      <c r="F32" s="367">
        <f>G32*SUM(F28:F30)</f>
        <v>1263906.27</v>
      </c>
      <c r="G32" s="404">
        <v>0.09</v>
      </c>
      <c r="H32" s="367">
        <f t="shared" ref="H32:H33" si="56">D32-F32</f>
        <v>-113339.17</v>
      </c>
      <c r="I32" s="791">
        <f t="shared" si="34"/>
        <v>-0.08967371449</v>
      </c>
      <c r="J32" s="619">
        <f>971728+187260</f>
        <v>1158988</v>
      </c>
      <c r="K32" s="688"/>
      <c r="L32" s="367">
        <f>M32*SUM(L28:L30)</f>
        <v>1418438.25</v>
      </c>
      <c r="M32" s="792">
        <v>0.09</v>
      </c>
      <c r="N32" s="688"/>
      <c r="O32" s="362"/>
      <c r="P32" s="619">
        <f>929966+217385</f>
        <v>1147351</v>
      </c>
      <c r="Q32" s="792">
        <f>P32/P$33</f>
        <v>0.07516280183</v>
      </c>
      <c r="R32" s="367">
        <f>S32*SUM(R28:R30)</f>
        <v>1341120.24</v>
      </c>
      <c r="S32" s="792">
        <v>0.09</v>
      </c>
      <c r="T32" s="688"/>
      <c r="U32" s="362"/>
      <c r="V32" s="619">
        <v>1149460.0</v>
      </c>
      <c r="W32" s="404">
        <f>V32/V33</f>
        <v>0.07121407212</v>
      </c>
      <c r="X32" s="367">
        <f>Y32*SUM(X28:X30)</f>
        <v>1309176</v>
      </c>
      <c r="Y32" s="792">
        <v>0.09</v>
      </c>
      <c r="Z32" s="688"/>
      <c r="AA32" s="362"/>
      <c r="AB32" s="619">
        <f>961043+229170</f>
        <v>1190213</v>
      </c>
      <c r="AC32" s="404">
        <f>AB32/AB33</f>
        <v>0.06816142157</v>
      </c>
      <c r="AD32" s="367">
        <f>AE32*SUM(AD28:AD30)</f>
        <v>1460250.9</v>
      </c>
      <c r="AE32" s="792">
        <v>0.09</v>
      </c>
      <c r="AF32" s="688"/>
      <c r="AG32" s="362"/>
      <c r="AH32" s="619">
        <f>843675+188826</f>
        <v>1032501</v>
      </c>
      <c r="AI32" s="792">
        <f>AH32/AH33</f>
        <v>0.06599899514</v>
      </c>
      <c r="AJ32" s="367">
        <f>AK32*(AJ17+AJ29+AJ28)</f>
        <v>1144864.71</v>
      </c>
      <c r="AK32" s="792">
        <v>0.09</v>
      </c>
      <c r="AL32" s="688"/>
      <c r="AM32" s="362"/>
      <c r="AN32" s="793">
        <v>1124142.0</v>
      </c>
      <c r="AO32" s="792">
        <f>AN32/AN33</f>
        <v>0.06783037687</v>
      </c>
      <c r="AP32" s="367">
        <f>AQ32*SUM(AP28:AP30)</f>
        <v>1443092.94</v>
      </c>
      <c r="AQ32" s="792">
        <v>0.09</v>
      </c>
      <c r="AR32" s="688"/>
      <c r="AS32" s="688"/>
      <c r="AT32" s="367">
        <v>1137266.0</v>
      </c>
      <c r="AU32" s="792">
        <f>AT32/AT33</f>
        <v>0.06706722165</v>
      </c>
      <c r="AV32" s="367">
        <f>AW32*SUM(AV28:AV30)</f>
        <v>1410347.88</v>
      </c>
      <c r="AW32" s="792">
        <v>0.09</v>
      </c>
      <c r="AX32" s="688"/>
      <c r="AY32" s="688"/>
      <c r="AZ32" s="367">
        <f>1023425+229142</f>
        <v>1252567</v>
      </c>
      <c r="BA32" s="792">
        <f>AZ32/AZ33</f>
        <v>0.06084336277</v>
      </c>
      <c r="BB32" s="367">
        <f>BC32*SUM(BB28:BB30)</f>
        <v>1614754.71</v>
      </c>
      <c r="BC32" s="792">
        <v>0.09</v>
      </c>
      <c r="BD32" s="688"/>
      <c r="BE32" s="688"/>
      <c r="BF32" s="367">
        <f>1011448.28+166794.7</f>
        <v>1178242.98</v>
      </c>
      <c r="BG32" s="792">
        <f>BF32/BF33</f>
        <v>0.06286177658</v>
      </c>
      <c r="BH32" s="367">
        <f>BI32*SUM(BH28:BH30)</f>
        <v>1479443.31</v>
      </c>
      <c r="BI32" s="792">
        <v>0.09</v>
      </c>
      <c r="BJ32" s="688"/>
      <c r="BK32" s="688"/>
      <c r="BL32" s="367">
        <f>810427.53+190223</f>
        <v>1000650.53</v>
      </c>
      <c r="BM32" s="792">
        <f>BL32/BL33</f>
        <v>0.06086365428</v>
      </c>
      <c r="BN32" s="367">
        <f>BO32*SUM(BN28:BN30)</f>
        <v>1238013.27</v>
      </c>
      <c r="BO32" s="792">
        <v>0.09</v>
      </c>
      <c r="BP32" s="688"/>
      <c r="BQ32" s="688"/>
      <c r="BR32" s="794">
        <f>860766.95+212106.3</f>
        <v>1072873.25</v>
      </c>
      <c r="BS32" s="792">
        <f>BR32/BR33</f>
        <v>0.0569032185</v>
      </c>
      <c r="BT32" s="367">
        <f>BU32*SUM(BT28:BT30)</f>
        <v>1392100.29</v>
      </c>
      <c r="BU32" s="792">
        <v>0.09</v>
      </c>
      <c r="BV32" s="688"/>
      <c r="BW32" s="213"/>
      <c r="BX32" s="213"/>
      <c r="BY32" s="213"/>
      <c r="BZ32" s="213"/>
      <c r="CA32" s="213"/>
      <c r="CB32" s="213"/>
      <c r="CC32" s="213"/>
      <c r="CD32" s="213"/>
      <c r="CE32" s="213"/>
      <c r="CF32" s="213"/>
      <c r="CG32" s="213"/>
      <c r="CH32" s="213"/>
      <c r="CI32" s="213"/>
      <c r="CJ32" s="213"/>
      <c r="CK32" s="213"/>
      <c r="CL32" s="213"/>
      <c r="CM32" s="213"/>
      <c r="CN32" s="213"/>
      <c r="CO32" s="213"/>
      <c r="CP32" s="213"/>
    </row>
    <row r="33" ht="15.75" customHeight="1">
      <c r="A33" s="213"/>
      <c r="B33" s="693"/>
      <c r="C33" s="795" t="s">
        <v>232</v>
      </c>
      <c r="D33" s="373">
        <f>D28+D29+D30+D32+D24</f>
        <v>16133558.68</v>
      </c>
      <c r="E33" s="692"/>
      <c r="F33" s="375">
        <f>F28+F29+F30+F32</f>
        <v>15307309.27</v>
      </c>
      <c r="G33" s="375"/>
      <c r="H33" s="375">
        <f t="shared" si="56"/>
        <v>826249.41</v>
      </c>
      <c r="I33" s="795"/>
      <c r="J33" s="373">
        <f>J28+J29+J30+J32+J24</f>
        <v>16546538.56</v>
      </c>
      <c r="K33" s="692"/>
      <c r="L33" s="375">
        <f>L28+L29+L30+L32</f>
        <v>17178863.25</v>
      </c>
      <c r="M33" s="692"/>
      <c r="N33" s="375">
        <f>N28+N29+N30+N32</f>
        <v>0</v>
      </c>
      <c r="O33" s="795"/>
      <c r="P33" s="373">
        <f>P28+P29+P30+P32+P24</f>
        <v>15264878</v>
      </c>
      <c r="Q33" s="692"/>
      <c r="R33" s="375">
        <f>R28+R29+R30+R32</f>
        <v>16242456.24</v>
      </c>
      <c r="S33" s="692"/>
      <c r="T33" s="375">
        <f>T28+T29+T30+T32</f>
        <v>0</v>
      </c>
      <c r="U33" s="795"/>
      <c r="V33" s="373">
        <f>V28+V29+V30+V32+V24</f>
        <v>16140911</v>
      </c>
      <c r="W33" s="375"/>
      <c r="X33" s="375">
        <f>X28+X29+X30+X32</f>
        <v>15855576</v>
      </c>
      <c r="Y33" s="692"/>
      <c r="Z33" s="375">
        <f>Z28+Z29+Z30+Z32</f>
        <v>0</v>
      </c>
      <c r="AA33" s="795"/>
      <c r="AB33" s="373">
        <f>AB28+AB29+AB30+AB32+AB24</f>
        <v>17461681</v>
      </c>
      <c r="AC33" s="692"/>
      <c r="AD33" s="375">
        <f>AD28+AD29+AD30+AD32</f>
        <v>17685260.9</v>
      </c>
      <c r="AE33" s="692"/>
      <c r="AF33" s="375">
        <f>AF28+AF29+AF30+AF32</f>
        <v>0</v>
      </c>
      <c r="AG33" s="795"/>
      <c r="AH33" s="373">
        <f>AH28+AH29+AH30+AH32+AH24</f>
        <v>15644192.73</v>
      </c>
      <c r="AI33" s="692"/>
      <c r="AJ33" s="375">
        <f>AJ28+AJ29+AJ30+AJ32</f>
        <v>16906045.71</v>
      </c>
      <c r="AK33" s="692"/>
      <c r="AL33" s="375">
        <f>AL28+AL29+AL30+AL32</f>
        <v>0</v>
      </c>
      <c r="AM33" s="795"/>
      <c r="AN33" s="373">
        <f>AN28+AN29+AN30+AN32+AN24</f>
        <v>16572840.25</v>
      </c>
      <c r="AO33" s="692"/>
      <c r="AP33" s="796">
        <f>AP28+AP29+AP30+AP32</f>
        <v>17477458.94</v>
      </c>
      <c r="AQ33" s="692"/>
      <c r="AR33" s="375">
        <f>AR28+AR29+AR30+AR32</f>
        <v>0</v>
      </c>
      <c r="AS33" s="692"/>
      <c r="AT33" s="373">
        <f>AT28+AT29+AT30+AT32+AT24</f>
        <v>16957106.2</v>
      </c>
      <c r="AU33" s="692"/>
      <c r="AV33" s="375">
        <f>AV28+AV29+AV30+AV32</f>
        <v>17080879.88</v>
      </c>
      <c r="AW33" s="692"/>
      <c r="AX33" s="375">
        <f>AX28+AX29+AX30+AX32</f>
        <v>0</v>
      </c>
      <c r="AY33" s="692"/>
      <c r="AZ33" s="373">
        <f>AZ28+AZ29+AZ30+AZ32+AZ24</f>
        <v>20586748.38</v>
      </c>
      <c r="BA33" s="692"/>
      <c r="BB33" s="375">
        <f>BB28+BB29+BB30+BB32</f>
        <v>19556473.71</v>
      </c>
      <c r="BC33" s="692"/>
      <c r="BD33" s="375">
        <f>BD28+BD29+BD30+BD32</f>
        <v>0</v>
      </c>
      <c r="BE33" s="692"/>
      <c r="BF33" s="373">
        <f>BF28+BF29+BF30+BF32+BF24</f>
        <v>18743392.95</v>
      </c>
      <c r="BG33" s="692"/>
      <c r="BH33" s="375">
        <f>BH28+BH29+BH30+BH32</f>
        <v>17917702.31</v>
      </c>
      <c r="BI33" s="692"/>
      <c r="BJ33" s="375">
        <f>BJ28+BJ29+BJ30+BJ32</f>
        <v>0</v>
      </c>
      <c r="BK33" s="692"/>
      <c r="BL33" s="373">
        <f>BL28+BL29+BL30+BL32+BL24</f>
        <v>16440855.25</v>
      </c>
      <c r="BM33" s="692"/>
      <c r="BN33" s="375">
        <f>BN28+BN29+BN30+BN32</f>
        <v>14993716.27</v>
      </c>
      <c r="BO33" s="692"/>
      <c r="BP33" s="375">
        <f>BP28+BP29+BP30+BP32</f>
        <v>0</v>
      </c>
      <c r="BQ33" s="692"/>
      <c r="BR33" s="373">
        <f>BR28+BR29+BR30+BR32+BR24</f>
        <v>18854350.92</v>
      </c>
      <c r="BS33" s="692"/>
      <c r="BT33" s="375">
        <f>BT28+BT29+BT30+BT32</f>
        <v>16859881.29</v>
      </c>
      <c r="BU33" s="692"/>
      <c r="BV33" s="375">
        <f>BV28+BV29+BV30+BV32</f>
        <v>0</v>
      </c>
      <c r="BW33" s="216"/>
      <c r="BX33" s="216"/>
      <c r="BY33" s="216"/>
      <c r="BZ33" s="216"/>
      <c r="CA33" s="216"/>
      <c r="CB33" s="216"/>
      <c r="CC33" s="216"/>
      <c r="CD33" s="216"/>
      <c r="CE33" s="216"/>
      <c r="CF33" s="216"/>
      <c r="CG33" s="216"/>
      <c r="CH33" s="216"/>
      <c r="CI33" s="216"/>
      <c r="CJ33" s="216"/>
      <c r="CK33" s="216"/>
      <c r="CL33" s="216"/>
      <c r="CM33" s="216"/>
      <c r="CN33" s="216"/>
      <c r="CO33" s="216"/>
      <c r="CP33" s="216"/>
    </row>
    <row r="34" ht="15.75" hidden="1" customHeight="1">
      <c r="A34" s="213"/>
      <c r="B34" s="382"/>
      <c r="C34" s="383"/>
      <c r="D34" s="708"/>
      <c r="E34" s="440"/>
      <c r="F34" s="440"/>
      <c r="G34" s="440"/>
      <c r="H34" s="440"/>
      <c r="I34" s="389"/>
      <c r="J34" s="708"/>
      <c r="K34" s="440"/>
      <c r="L34" s="440"/>
      <c r="M34" s="440"/>
      <c r="N34" s="440"/>
      <c r="O34" s="389"/>
      <c r="P34" s="708"/>
      <c r="Q34" s="440"/>
      <c r="R34" s="440"/>
      <c r="S34" s="440"/>
      <c r="T34" s="440"/>
      <c r="U34" s="389"/>
      <c r="V34" s="708"/>
      <c r="W34" s="440"/>
      <c r="X34" s="388"/>
      <c r="Y34" s="440"/>
      <c r="Z34" s="440"/>
      <c r="AA34" s="389"/>
      <c r="AB34" s="708"/>
      <c r="AC34" s="440"/>
      <c r="AD34" s="440"/>
      <c r="AE34" s="440"/>
      <c r="AF34" s="440"/>
      <c r="AG34" s="389"/>
      <c r="AH34" s="708"/>
      <c r="AI34" s="440"/>
      <c r="AJ34" s="440"/>
      <c r="AK34" s="440"/>
      <c r="AL34" s="440"/>
      <c r="AM34" s="389"/>
      <c r="AN34" s="787"/>
      <c r="AO34" s="440"/>
      <c r="AP34" s="440"/>
      <c r="AQ34" s="440"/>
      <c r="AR34" s="440"/>
      <c r="AS34" s="440"/>
      <c r="AT34" s="388"/>
      <c r="AU34" s="440"/>
      <c r="AV34" s="440"/>
      <c r="AW34" s="440"/>
      <c r="AX34" s="440"/>
      <c r="AY34" s="440"/>
      <c r="AZ34" s="388"/>
      <c r="BA34" s="440"/>
      <c r="BB34" s="440"/>
      <c r="BC34" s="440"/>
      <c r="BD34" s="440"/>
      <c r="BE34" s="440"/>
      <c r="BF34" s="388"/>
      <c r="BG34" s="440"/>
      <c r="BH34" s="440"/>
      <c r="BI34" s="440"/>
      <c r="BJ34" s="440"/>
      <c r="BK34" s="440"/>
      <c r="BL34" s="388"/>
      <c r="BM34" s="440"/>
      <c r="BN34" s="440"/>
      <c r="BO34" s="440"/>
      <c r="BP34" s="440"/>
      <c r="BQ34" s="440"/>
      <c r="BR34" s="788"/>
      <c r="BS34" s="440"/>
      <c r="BT34" s="440"/>
      <c r="BU34" s="440"/>
      <c r="BV34" s="440"/>
      <c r="BW34" s="213"/>
      <c r="BX34" s="213"/>
      <c r="BY34" s="213"/>
      <c r="BZ34" s="213"/>
      <c r="CA34" s="213"/>
      <c r="CB34" s="213"/>
      <c r="CC34" s="213"/>
      <c r="CD34" s="213"/>
      <c r="CE34" s="213"/>
      <c r="CF34" s="213"/>
      <c r="CG34" s="213"/>
      <c r="CH34" s="213"/>
      <c r="CI34" s="213"/>
      <c r="CJ34" s="213"/>
      <c r="CK34" s="213"/>
      <c r="CL34" s="213"/>
      <c r="CM34" s="213"/>
      <c r="CN34" s="213"/>
      <c r="CO34" s="213"/>
      <c r="CP34" s="213"/>
    </row>
    <row r="35" ht="15.75" hidden="1" customHeight="1">
      <c r="A35" s="213"/>
      <c r="B35" s="393"/>
      <c r="C35" s="350"/>
      <c r="D35" s="604"/>
      <c r="E35" s="355"/>
      <c r="F35" s="357"/>
      <c r="G35" s="357"/>
      <c r="H35" s="357"/>
      <c r="I35" s="533"/>
      <c r="J35" s="604"/>
      <c r="K35" s="355"/>
      <c r="L35" s="352"/>
      <c r="M35" s="352"/>
      <c r="N35" s="352"/>
      <c r="O35" s="358"/>
      <c r="P35" s="604"/>
      <c r="Q35" s="352"/>
      <c r="R35" s="352"/>
      <c r="S35" s="352"/>
      <c r="T35" s="352"/>
      <c r="U35" s="358"/>
      <c r="V35" s="604"/>
      <c r="W35" s="352"/>
      <c r="X35" s="357"/>
      <c r="Y35" s="352"/>
      <c r="Z35" s="352"/>
      <c r="AA35" s="358"/>
      <c r="AB35" s="604"/>
      <c r="AC35" s="352"/>
      <c r="AD35" s="352"/>
      <c r="AE35" s="352"/>
      <c r="AF35" s="352"/>
      <c r="AG35" s="358"/>
      <c r="AH35" s="604"/>
      <c r="AI35" s="352"/>
      <c r="AJ35" s="352"/>
      <c r="AK35" s="352"/>
      <c r="AL35" s="352"/>
      <c r="AM35" s="358"/>
      <c r="AN35" s="605"/>
      <c r="AO35" s="352"/>
      <c r="AP35" s="352"/>
      <c r="AQ35" s="352"/>
      <c r="AR35" s="352"/>
      <c r="AS35" s="352"/>
      <c r="AT35" s="357"/>
      <c r="AU35" s="352"/>
      <c r="AV35" s="352"/>
      <c r="AW35" s="352"/>
      <c r="AX35" s="352"/>
      <c r="AY35" s="352"/>
      <c r="AZ35" s="357"/>
      <c r="BA35" s="352"/>
      <c r="BB35" s="352"/>
      <c r="BC35" s="352"/>
      <c r="BD35" s="352"/>
      <c r="BE35" s="352"/>
      <c r="BF35" s="357"/>
      <c r="BG35" s="352"/>
      <c r="BH35" s="352"/>
      <c r="BI35" s="352"/>
      <c r="BJ35" s="352"/>
      <c r="BK35" s="352"/>
      <c r="BL35" s="357"/>
      <c r="BM35" s="352"/>
      <c r="BN35" s="352"/>
      <c r="BO35" s="352"/>
      <c r="BP35" s="352"/>
      <c r="BQ35" s="352"/>
      <c r="BR35" s="353"/>
      <c r="BS35" s="352"/>
      <c r="BT35" s="352"/>
      <c r="BU35" s="352"/>
      <c r="BV35" s="352"/>
      <c r="BW35" s="213"/>
      <c r="BX35" s="213"/>
      <c r="BY35" s="213"/>
      <c r="BZ35" s="213"/>
      <c r="CA35" s="213"/>
      <c r="CB35" s="213"/>
      <c r="CC35" s="213"/>
      <c r="CD35" s="213"/>
      <c r="CE35" s="213"/>
      <c r="CF35" s="213"/>
      <c r="CG35" s="213"/>
      <c r="CH35" s="213"/>
      <c r="CI35" s="213"/>
      <c r="CJ35" s="213"/>
      <c r="CK35" s="213"/>
      <c r="CL35" s="213"/>
      <c r="CM35" s="213"/>
      <c r="CN35" s="213"/>
      <c r="CO35" s="213"/>
      <c r="CP35" s="213"/>
    </row>
    <row r="36" ht="15.75" hidden="1" customHeight="1">
      <c r="A36" s="213"/>
      <c r="B36" s="393"/>
      <c r="C36" s="350"/>
      <c r="D36" s="604"/>
      <c r="E36" s="355"/>
      <c r="F36" s="357"/>
      <c r="G36" s="357"/>
      <c r="H36" s="357"/>
      <c r="I36" s="533"/>
      <c r="J36" s="604"/>
      <c r="K36" s="355"/>
      <c r="L36" s="352"/>
      <c r="M36" s="352"/>
      <c r="N36" s="352"/>
      <c r="O36" s="358"/>
      <c r="P36" s="604"/>
      <c r="Q36" s="352"/>
      <c r="R36" s="352"/>
      <c r="S36" s="352"/>
      <c r="T36" s="352"/>
      <c r="U36" s="358"/>
      <c r="V36" s="604"/>
      <c r="W36" s="352"/>
      <c r="X36" s="357"/>
      <c r="Y36" s="352"/>
      <c r="Z36" s="352"/>
      <c r="AA36" s="358"/>
      <c r="AB36" s="604"/>
      <c r="AC36" s="352"/>
      <c r="AD36" s="352"/>
      <c r="AE36" s="352"/>
      <c r="AF36" s="352"/>
      <c r="AG36" s="358"/>
      <c r="AH36" s="604"/>
      <c r="AI36" s="352"/>
      <c r="AJ36" s="352"/>
      <c r="AK36" s="352"/>
      <c r="AL36" s="352"/>
      <c r="AM36" s="358"/>
      <c r="AN36" s="605"/>
      <c r="AO36" s="352"/>
      <c r="AP36" s="352"/>
      <c r="AQ36" s="352"/>
      <c r="AR36" s="352"/>
      <c r="AS36" s="352"/>
      <c r="AT36" s="357"/>
      <c r="AU36" s="352"/>
      <c r="AV36" s="352"/>
      <c r="AW36" s="352"/>
      <c r="AX36" s="352"/>
      <c r="AY36" s="352"/>
      <c r="AZ36" s="357"/>
      <c r="BA36" s="352"/>
      <c r="BB36" s="352"/>
      <c r="BC36" s="352"/>
      <c r="BD36" s="352"/>
      <c r="BE36" s="352"/>
      <c r="BF36" s="357"/>
      <c r="BG36" s="352"/>
      <c r="BH36" s="352"/>
      <c r="BI36" s="352"/>
      <c r="BJ36" s="352"/>
      <c r="BK36" s="352"/>
      <c r="BL36" s="357"/>
      <c r="BM36" s="352"/>
      <c r="BN36" s="352"/>
      <c r="BO36" s="352"/>
      <c r="BP36" s="352"/>
      <c r="BQ36" s="352"/>
      <c r="BR36" s="353"/>
      <c r="BS36" s="352"/>
      <c r="BT36" s="352"/>
      <c r="BU36" s="352"/>
      <c r="BV36" s="352"/>
      <c r="BW36" s="213"/>
      <c r="BX36" s="213"/>
      <c r="BY36" s="213"/>
      <c r="BZ36" s="213"/>
      <c r="CA36" s="213"/>
      <c r="CB36" s="213"/>
      <c r="CC36" s="213"/>
      <c r="CD36" s="213"/>
      <c r="CE36" s="213"/>
      <c r="CF36" s="213"/>
      <c r="CG36" s="213"/>
      <c r="CH36" s="213"/>
      <c r="CI36" s="213"/>
      <c r="CJ36" s="213"/>
      <c r="CK36" s="213"/>
      <c r="CL36" s="213"/>
      <c r="CM36" s="213"/>
      <c r="CN36" s="213"/>
      <c r="CO36" s="213"/>
      <c r="CP36" s="213"/>
    </row>
    <row r="37" ht="15.75" hidden="1" customHeight="1">
      <c r="A37" s="213"/>
      <c r="B37" s="393"/>
      <c r="C37" s="350"/>
      <c r="D37" s="604"/>
      <c r="E37" s="355"/>
      <c r="F37" s="357"/>
      <c r="G37" s="357"/>
      <c r="H37" s="357"/>
      <c r="I37" s="533"/>
      <c r="J37" s="604"/>
      <c r="K37" s="355"/>
      <c r="L37" s="352"/>
      <c r="M37" s="352"/>
      <c r="N37" s="352"/>
      <c r="O37" s="358"/>
      <c r="P37" s="604"/>
      <c r="Q37" s="352"/>
      <c r="R37" s="352"/>
      <c r="S37" s="352"/>
      <c r="T37" s="352"/>
      <c r="U37" s="358"/>
      <c r="V37" s="604"/>
      <c r="W37" s="352"/>
      <c r="X37" s="357"/>
      <c r="Y37" s="352"/>
      <c r="Z37" s="352"/>
      <c r="AA37" s="358"/>
      <c r="AB37" s="604"/>
      <c r="AC37" s="352"/>
      <c r="AD37" s="352"/>
      <c r="AE37" s="352"/>
      <c r="AF37" s="352"/>
      <c r="AG37" s="358"/>
      <c r="AH37" s="604"/>
      <c r="AI37" s="352"/>
      <c r="AJ37" s="352"/>
      <c r="AK37" s="352"/>
      <c r="AL37" s="352"/>
      <c r="AM37" s="358"/>
      <c r="AN37" s="605"/>
      <c r="AO37" s="352"/>
      <c r="AP37" s="352"/>
      <c r="AQ37" s="352"/>
      <c r="AR37" s="352"/>
      <c r="AS37" s="352"/>
      <c r="AT37" s="357"/>
      <c r="AU37" s="352"/>
      <c r="AV37" s="352"/>
      <c r="AW37" s="352"/>
      <c r="AX37" s="352"/>
      <c r="AY37" s="352"/>
      <c r="AZ37" s="357"/>
      <c r="BA37" s="352"/>
      <c r="BB37" s="352"/>
      <c r="BC37" s="352"/>
      <c r="BD37" s="352"/>
      <c r="BE37" s="352"/>
      <c r="BF37" s="357"/>
      <c r="BG37" s="352"/>
      <c r="BH37" s="352"/>
      <c r="BI37" s="352"/>
      <c r="BJ37" s="352"/>
      <c r="BK37" s="352"/>
      <c r="BL37" s="357"/>
      <c r="BM37" s="352"/>
      <c r="BN37" s="352"/>
      <c r="BO37" s="352"/>
      <c r="BP37" s="352"/>
      <c r="BQ37" s="352"/>
      <c r="BR37" s="353"/>
      <c r="BS37" s="352"/>
      <c r="BT37" s="352"/>
      <c r="BU37" s="352"/>
      <c r="BV37" s="352"/>
      <c r="BW37" s="213"/>
      <c r="BX37" s="213"/>
      <c r="BY37" s="213"/>
      <c r="BZ37" s="213"/>
      <c r="CA37" s="213"/>
      <c r="CB37" s="213"/>
      <c r="CC37" s="213"/>
      <c r="CD37" s="213"/>
      <c r="CE37" s="213"/>
      <c r="CF37" s="213"/>
      <c r="CG37" s="213"/>
      <c r="CH37" s="213"/>
      <c r="CI37" s="213"/>
      <c r="CJ37" s="213"/>
      <c r="CK37" s="213"/>
      <c r="CL37" s="213"/>
      <c r="CM37" s="213"/>
      <c r="CN37" s="213"/>
      <c r="CO37" s="213"/>
      <c r="CP37" s="213"/>
    </row>
    <row r="38" ht="15.75" hidden="1" customHeight="1">
      <c r="A38" s="213"/>
      <c r="B38" s="393"/>
      <c r="C38" s="350"/>
      <c r="D38" s="604"/>
      <c r="E38" s="355"/>
      <c r="F38" s="357"/>
      <c r="G38" s="357"/>
      <c r="H38" s="357"/>
      <c r="I38" s="533"/>
      <c r="J38" s="604"/>
      <c r="K38" s="355"/>
      <c r="L38" s="352"/>
      <c r="M38" s="352"/>
      <c r="N38" s="352"/>
      <c r="O38" s="358"/>
      <c r="P38" s="604"/>
      <c r="Q38" s="352"/>
      <c r="R38" s="352"/>
      <c r="S38" s="352"/>
      <c r="T38" s="352"/>
      <c r="U38" s="358"/>
      <c r="V38" s="604"/>
      <c r="W38" s="352"/>
      <c r="X38" s="357"/>
      <c r="Y38" s="352"/>
      <c r="Z38" s="352"/>
      <c r="AA38" s="358"/>
      <c r="AB38" s="604"/>
      <c r="AC38" s="352"/>
      <c r="AD38" s="352"/>
      <c r="AE38" s="352"/>
      <c r="AF38" s="352"/>
      <c r="AG38" s="358"/>
      <c r="AH38" s="604"/>
      <c r="AI38" s="352"/>
      <c r="AJ38" s="352"/>
      <c r="AK38" s="352"/>
      <c r="AL38" s="352"/>
      <c r="AM38" s="358"/>
      <c r="AN38" s="605"/>
      <c r="AO38" s="352"/>
      <c r="AP38" s="352"/>
      <c r="AQ38" s="352"/>
      <c r="AR38" s="352"/>
      <c r="AS38" s="352"/>
      <c r="AT38" s="357"/>
      <c r="AU38" s="352"/>
      <c r="AV38" s="352"/>
      <c r="AW38" s="352"/>
      <c r="AX38" s="352"/>
      <c r="AY38" s="352"/>
      <c r="AZ38" s="357"/>
      <c r="BA38" s="352"/>
      <c r="BB38" s="352"/>
      <c r="BC38" s="352"/>
      <c r="BD38" s="352"/>
      <c r="BE38" s="352"/>
      <c r="BF38" s="357"/>
      <c r="BG38" s="352"/>
      <c r="BH38" s="352"/>
      <c r="BI38" s="352"/>
      <c r="BJ38" s="352"/>
      <c r="BK38" s="352"/>
      <c r="BL38" s="357"/>
      <c r="BM38" s="352"/>
      <c r="BN38" s="352"/>
      <c r="BO38" s="352"/>
      <c r="BP38" s="352"/>
      <c r="BQ38" s="352"/>
      <c r="BR38" s="353"/>
      <c r="BS38" s="352"/>
      <c r="BT38" s="352"/>
      <c r="BU38" s="352"/>
      <c r="BV38" s="352"/>
      <c r="BW38" s="213"/>
      <c r="BX38" s="213"/>
      <c r="BY38" s="213"/>
      <c r="BZ38" s="213"/>
      <c r="CA38" s="213"/>
      <c r="CB38" s="213"/>
      <c r="CC38" s="213"/>
      <c r="CD38" s="213"/>
      <c r="CE38" s="213"/>
      <c r="CF38" s="213"/>
      <c r="CG38" s="213"/>
      <c r="CH38" s="213"/>
      <c r="CI38" s="213"/>
      <c r="CJ38" s="213"/>
      <c r="CK38" s="213"/>
      <c r="CL38" s="213"/>
      <c r="CM38" s="213"/>
      <c r="CN38" s="213"/>
      <c r="CO38" s="213"/>
      <c r="CP38" s="213"/>
    </row>
    <row r="39" ht="15.75" hidden="1" customHeight="1">
      <c r="A39" s="213"/>
      <c r="B39" s="393"/>
      <c r="C39" s="350"/>
      <c r="D39" s="604"/>
      <c r="E39" s="355"/>
      <c r="F39" s="357"/>
      <c r="G39" s="357"/>
      <c r="H39" s="357"/>
      <c r="I39" s="533"/>
      <c r="J39" s="604"/>
      <c r="K39" s="355"/>
      <c r="L39" s="352"/>
      <c r="M39" s="352"/>
      <c r="N39" s="352"/>
      <c r="O39" s="358"/>
      <c r="P39" s="604"/>
      <c r="Q39" s="352"/>
      <c r="R39" s="352"/>
      <c r="S39" s="352"/>
      <c r="T39" s="352"/>
      <c r="U39" s="358"/>
      <c r="V39" s="604"/>
      <c r="W39" s="352"/>
      <c r="X39" s="357"/>
      <c r="Y39" s="352"/>
      <c r="Z39" s="352"/>
      <c r="AA39" s="358"/>
      <c r="AB39" s="604"/>
      <c r="AC39" s="352"/>
      <c r="AD39" s="352"/>
      <c r="AE39" s="352"/>
      <c r="AF39" s="352"/>
      <c r="AG39" s="358"/>
      <c r="AH39" s="604"/>
      <c r="AI39" s="352"/>
      <c r="AJ39" s="352"/>
      <c r="AK39" s="352"/>
      <c r="AL39" s="352"/>
      <c r="AM39" s="358"/>
      <c r="AN39" s="605"/>
      <c r="AO39" s="352"/>
      <c r="AP39" s="352"/>
      <c r="AQ39" s="352"/>
      <c r="AR39" s="352"/>
      <c r="AS39" s="352"/>
      <c r="AT39" s="357"/>
      <c r="AU39" s="352"/>
      <c r="AV39" s="352"/>
      <c r="AW39" s="352"/>
      <c r="AX39" s="352"/>
      <c r="AY39" s="352"/>
      <c r="AZ39" s="357"/>
      <c r="BA39" s="352"/>
      <c r="BB39" s="352"/>
      <c r="BC39" s="352"/>
      <c r="BD39" s="352"/>
      <c r="BE39" s="352"/>
      <c r="BF39" s="357"/>
      <c r="BG39" s="352"/>
      <c r="BH39" s="352"/>
      <c r="BI39" s="352"/>
      <c r="BJ39" s="352"/>
      <c r="BK39" s="352"/>
      <c r="BL39" s="357"/>
      <c r="BM39" s="352"/>
      <c r="BN39" s="352"/>
      <c r="BO39" s="352"/>
      <c r="BP39" s="352"/>
      <c r="BQ39" s="352"/>
      <c r="BR39" s="353"/>
      <c r="BS39" s="352"/>
      <c r="BT39" s="352"/>
      <c r="BU39" s="352"/>
      <c r="BV39" s="352"/>
      <c r="BW39" s="213"/>
      <c r="BX39" s="213"/>
      <c r="BY39" s="213"/>
      <c r="BZ39" s="213"/>
      <c r="CA39" s="213"/>
      <c r="CB39" s="213"/>
      <c r="CC39" s="213"/>
      <c r="CD39" s="213"/>
      <c r="CE39" s="213"/>
      <c r="CF39" s="213"/>
      <c r="CG39" s="213"/>
      <c r="CH39" s="213"/>
      <c r="CI39" s="213"/>
      <c r="CJ39" s="213"/>
      <c r="CK39" s="213"/>
      <c r="CL39" s="213"/>
      <c r="CM39" s="213"/>
      <c r="CN39" s="213"/>
      <c r="CO39" s="213"/>
      <c r="CP39" s="213"/>
    </row>
    <row r="40" ht="15.75" hidden="1" customHeight="1">
      <c r="A40" s="213"/>
      <c r="B40" s="393"/>
      <c r="C40" s="350"/>
      <c r="D40" s="604"/>
      <c r="E40" s="355"/>
      <c r="F40" s="357"/>
      <c r="G40" s="357"/>
      <c r="H40" s="357"/>
      <c r="I40" s="533"/>
      <c r="J40" s="604"/>
      <c r="K40" s="355"/>
      <c r="L40" s="352"/>
      <c r="M40" s="352"/>
      <c r="N40" s="352"/>
      <c r="O40" s="358"/>
      <c r="P40" s="604"/>
      <c r="Q40" s="352"/>
      <c r="R40" s="352"/>
      <c r="S40" s="352"/>
      <c r="T40" s="352"/>
      <c r="U40" s="358"/>
      <c r="V40" s="604"/>
      <c r="W40" s="352"/>
      <c r="X40" s="357"/>
      <c r="Y40" s="352"/>
      <c r="Z40" s="352"/>
      <c r="AA40" s="358"/>
      <c r="AB40" s="604"/>
      <c r="AC40" s="352"/>
      <c r="AD40" s="352"/>
      <c r="AE40" s="352"/>
      <c r="AF40" s="352"/>
      <c r="AG40" s="358"/>
      <c r="AH40" s="604"/>
      <c r="AI40" s="352"/>
      <c r="AJ40" s="352"/>
      <c r="AK40" s="352"/>
      <c r="AL40" s="352"/>
      <c r="AM40" s="358"/>
      <c r="AN40" s="605"/>
      <c r="AO40" s="352"/>
      <c r="AP40" s="352"/>
      <c r="AQ40" s="352"/>
      <c r="AR40" s="352"/>
      <c r="AS40" s="352"/>
      <c r="AT40" s="357"/>
      <c r="AU40" s="352"/>
      <c r="AV40" s="352"/>
      <c r="AW40" s="352"/>
      <c r="AX40" s="352"/>
      <c r="AY40" s="352"/>
      <c r="AZ40" s="357"/>
      <c r="BA40" s="352"/>
      <c r="BB40" s="352"/>
      <c r="BC40" s="352"/>
      <c r="BD40" s="352"/>
      <c r="BE40" s="352"/>
      <c r="BF40" s="357"/>
      <c r="BG40" s="352"/>
      <c r="BH40" s="352"/>
      <c r="BI40" s="352"/>
      <c r="BJ40" s="352"/>
      <c r="BK40" s="352"/>
      <c r="BL40" s="357"/>
      <c r="BM40" s="352"/>
      <c r="BN40" s="352"/>
      <c r="BO40" s="352"/>
      <c r="BP40" s="352"/>
      <c r="BQ40" s="352"/>
      <c r="BR40" s="353"/>
      <c r="BS40" s="352"/>
      <c r="BT40" s="352"/>
      <c r="BU40" s="352"/>
      <c r="BV40" s="352"/>
      <c r="BW40" s="213"/>
      <c r="BX40" s="213"/>
      <c r="BY40" s="213"/>
      <c r="BZ40" s="213"/>
      <c r="CA40" s="213"/>
      <c r="CB40" s="213"/>
      <c r="CC40" s="213"/>
      <c r="CD40" s="213"/>
      <c r="CE40" s="213"/>
      <c r="CF40" s="213"/>
      <c r="CG40" s="213"/>
      <c r="CH40" s="213"/>
      <c r="CI40" s="213"/>
      <c r="CJ40" s="213"/>
      <c r="CK40" s="213"/>
      <c r="CL40" s="213"/>
      <c r="CM40" s="213"/>
      <c r="CN40" s="213"/>
      <c r="CO40" s="213"/>
      <c r="CP40" s="213"/>
    </row>
    <row r="41" ht="15.75" hidden="1" customHeight="1">
      <c r="A41" s="213"/>
      <c r="B41" s="393"/>
      <c r="C41" s="350" t="s">
        <v>300</v>
      </c>
      <c r="D41" s="604">
        <f>SUM(D35:D40)</f>
        <v>0</v>
      </c>
      <c r="E41" s="355">
        <f>D41/D33</f>
        <v>0</v>
      </c>
      <c r="F41" s="357">
        <f>SUM(F34:F35)</f>
        <v>0</v>
      </c>
      <c r="G41" s="357"/>
      <c r="H41" s="357">
        <f>SUM(H34:H35)</f>
        <v>0</v>
      </c>
      <c r="I41" s="533"/>
      <c r="J41" s="604">
        <f>SUM(J35:J40)</f>
        <v>0</v>
      </c>
      <c r="K41" s="355">
        <f>J41/J33</f>
        <v>0</v>
      </c>
      <c r="L41" s="352">
        <f>SUM(L34:L35)</f>
        <v>0</v>
      </c>
      <c r="M41" s="352"/>
      <c r="N41" s="352">
        <f>SUM(N34:N35)</f>
        <v>0</v>
      </c>
      <c r="O41" s="358"/>
      <c r="P41" s="604">
        <f>SUM(P34:P35)</f>
        <v>0</v>
      </c>
      <c r="Q41" s="352"/>
      <c r="R41" s="352">
        <f>SUM(R34:R35)</f>
        <v>0</v>
      </c>
      <c r="S41" s="352"/>
      <c r="T41" s="352">
        <f>SUM(T34:T35)</f>
        <v>0</v>
      </c>
      <c r="U41" s="358"/>
      <c r="V41" s="604">
        <f>SUM(V34:V35)</f>
        <v>0</v>
      </c>
      <c r="W41" s="352"/>
      <c r="X41" s="357">
        <f>SUM(X34:X35)</f>
        <v>0</v>
      </c>
      <c r="Y41" s="352"/>
      <c r="Z41" s="352">
        <f>SUM(Z34:Z35)</f>
        <v>0</v>
      </c>
      <c r="AA41" s="358"/>
      <c r="AB41" s="604">
        <f>SUM(AB34:AB35)</f>
        <v>0</v>
      </c>
      <c r="AC41" s="352"/>
      <c r="AD41" s="352">
        <f>SUM(AD34:AD35)</f>
        <v>0</v>
      </c>
      <c r="AE41" s="352"/>
      <c r="AF41" s="352">
        <f>SUM(AF34:AF35)</f>
        <v>0</v>
      </c>
      <c r="AG41" s="358"/>
      <c r="AH41" s="604">
        <f>SUM(AH34:AH35)</f>
        <v>0</v>
      </c>
      <c r="AI41" s="352"/>
      <c r="AJ41" s="352">
        <f>SUM(AJ34:AJ35)</f>
        <v>0</v>
      </c>
      <c r="AK41" s="352"/>
      <c r="AL41" s="352">
        <f>SUM(AL34:AL35)</f>
        <v>0</v>
      </c>
      <c r="AM41" s="358"/>
      <c r="AN41" s="605">
        <f>SUM(AN34:AN35)</f>
        <v>0</v>
      </c>
      <c r="AO41" s="352"/>
      <c r="AP41" s="352">
        <f>SUM(AP34:AP35)</f>
        <v>0</v>
      </c>
      <c r="AQ41" s="352"/>
      <c r="AR41" s="352">
        <f>SUM(AR34:AR35)</f>
        <v>0</v>
      </c>
      <c r="AS41" s="352"/>
      <c r="AT41" s="357">
        <f>SUM(AT34:AT35)</f>
        <v>0</v>
      </c>
      <c r="AU41" s="352"/>
      <c r="AV41" s="352">
        <f>SUM(AV34:AV35)</f>
        <v>0</v>
      </c>
      <c r="AW41" s="352"/>
      <c r="AX41" s="352">
        <f>SUM(AX34:AX35)</f>
        <v>0</v>
      </c>
      <c r="AY41" s="352"/>
      <c r="AZ41" s="357">
        <f>SUM(AZ34:AZ35)</f>
        <v>0</v>
      </c>
      <c r="BA41" s="352"/>
      <c r="BB41" s="352">
        <f>SUM(BB34:BB35)</f>
        <v>0</v>
      </c>
      <c r="BC41" s="352"/>
      <c r="BD41" s="352">
        <f>SUM(BD34:BD35)</f>
        <v>0</v>
      </c>
      <c r="BE41" s="352"/>
      <c r="BF41" s="357">
        <f>SUM(BF34:BF35)</f>
        <v>0</v>
      </c>
      <c r="BG41" s="352"/>
      <c r="BH41" s="352">
        <f>SUM(BH34:BH35)</f>
        <v>0</v>
      </c>
      <c r="BI41" s="352"/>
      <c r="BJ41" s="352">
        <f>SUM(BJ34:BJ35)</f>
        <v>0</v>
      </c>
      <c r="BK41" s="352"/>
      <c r="BL41" s="357">
        <f>SUM(BL34:BL35)</f>
        <v>0</v>
      </c>
      <c r="BM41" s="352"/>
      <c r="BN41" s="352">
        <f>SUM(BN34:BN35)</f>
        <v>0</v>
      </c>
      <c r="BO41" s="352"/>
      <c r="BP41" s="352">
        <f>SUM(BP34:BP35)</f>
        <v>0</v>
      </c>
      <c r="BQ41" s="352"/>
      <c r="BR41" s="353">
        <f>SUM(BR34:BR35)</f>
        <v>0</v>
      </c>
      <c r="BS41" s="352"/>
      <c r="BT41" s="352">
        <f>SUM(BT34:BT35)</f>
        <v>0</v>
      </c>
      <c r="BU41" s="352"/>
      <c r="BV41" s="352">
        <f>SUM(BV34:BV35)</f>
        <v>0</v>
      </c>
      <c r="BW41" s="216"/>
      <c r="BX41" s="216"/>
      <c r="BY41" s="216"/>
      <c r="BZ41" s="216"/>
      <c r="CA41" s="216"/>
      <c r="CB41" s="216"/>
      <c r="CC41" s="216"/>
      <c r="CD41" s="216"/>
      <c r="CE41" s="216"/>
      <c r="CF41" s="216"/>
      <c r="CG41" s="216"/>
      <c r="CH41" s="216"/>
      <c r="CI41" s="216"/>
      <c r="CJ41" s="216"/>
      <c r="CK41" s="216"/>
      <c r="CL41" s="216"/>
      <c r="CM41" s="216"/>
      <c r="CN41" s="216"/>
      <c r="CO41" s="216"/>
      <c r="CP41" s="216"/>
    </row>
    <row r="42" ht="15.75" hidden="1" customHeight="1">
      <c r="A42" s="213"/>
      <c r="B42" s="349"/>
      <c r="C42" s="358"/>
      <c r="D42" s="604"/>
      <c r="E42" s="245"/>
      <c r="F42" s="245"/>
      <c r="G42" s="355"/>
      <c r="H42" s="245"/>
      <c r="I42" s="350"/>
      <c r="J42" s="604"/>
      <c r="K42" s="245"/>
      <c r="L42" s="245"/>
      <c r="M42" s="245"/>
      <c r="N42" s="245"/>
      <c r="O42" s="350"/>
      <c r="P42" s="604"/>
      <c r="Q42" s="245"/>
      <c r="R42" s="352"/>
      <c r="S42" s="245"/>
      <c r="T42" s="245"/>
      <c r="U42" s="350"/>
      <c r="V42" s="604"/>
      <c r="W42" s="352"/>
      <c r="X42" s="676"/>
      <c r="Y42" s="245"/>
      <c r="Z42" s="245"/>
      <c r="AA42" s="350"/>
      <c r="AB42" s="604"/>
      <c r="AC42" s="245"/>
      <c r="AD42" s="245"/>
      <c r="AE42" s="245"/>
      <c r="AF42" s="245"/>
      <c r="AG42" s="350"/>
      <c r="AH42" s="604"/>
      <c r="AI42" s="245"/>
      <c r="AJ42" s="245"/>
      <c r="AK42" s="245"/>
      <c r="AL42" s="245"/>
      <c r="AM42" s="350"/>
      <c r="AN42" s="605"/>
      <c r="AO42" s="245"/>
      <c r="AP42" s="245"/>
      <c r="AQ42" s="245"/>
      <c r="AR42" s="245"/>
      <c r="AS42" s="245"/>
      <c r="AT42" s="357"/>
      <c r="AU42" s="245"/>
      <c r="AV42" s="245"/>
      <c r="AW42" s="245"/>
      <c r="AX42" s="245"/>
      <c r="AY42" s="245"/>
      <c r="AZ42" s="357"/>
      <c r="BA42" s="245"/>
      <c r="BB42" s="245"/>
      <c r="BC42" s="245"/>
      <c r="BD42" s="245"/>
      <c r="BE42" s="245"/>
      <c r="BF42" s="357"/>
      <c r="BG42" s="245"/>
      <c r="BH42" s="245"/>
      <c r="BI42" s="245"/>
      <c r="BJ42" s="245"/>
      <c r="BK42" s="245"/>
      <c r="BL42" s="357"/>
      <c r="BM42" s="245"/>
      <c r="BN42" s="245"/>
      <c r="BO42" s="245"/>
      <c r="BP42" s="245"/>
      <c r="BQ42" s="245"/>
      <c r="BR42" s="356"/>
      <c r="BS42" s="245"/>
      <c r="BT42" s="245"/>
      <c r="BU42" s="245"/>
      <c r="BV42" s="245"/>
      <c r="BW42" s="213"/>
      <c r="BX42" s="213"/>
      <c r="BY42" s="213"/>
      <c r="BZ42" s="213"/>
      <c r="CA42" s="213"/>
      <c r="CB42" s="213"/>
      <c r="CC42" s="213"/>
      <c r="CD42" s="213"/>
      <c r="CE42" s="213"/>
      <c r="CF42" s="213"/>
      <c r="CG42" s="213"/>
      <c r="CH42" s="213"/>
      <c r="CI42" s="213"/>
      <c r="CJ42" s="213"/>
      <c r="CK42" s="213"/>
      <c r="CL42" s="213"/>
      <c r="CM42" s="213"/>
      <c r="CN42" s="213"/>
      <c r="CO42" s="213"/>
      <c r="CP42" s="213"/>
    </row>
    <row r="43" ht="15.75" customHeight="1">
      <c r="A43" s="213"/>
      <c r="B43" s="722" t="s">
        <v>413</v>
      </c>
      <c r="C43" s="616"/>
      <c r="D43" s="604"/>
      <c r="E43" s="245"/>
      <c r="F43" s="245"/>
      <c r="G43" s="355"/>
      <c r="H43" s="245"/>
      <c r="I43" s="350"/>
      <c r="J43" s="604"/>
      <c r="K43" s="245"/>
      <c r="L43" s="245"/>
      <c r="M43" s="245"/>
      <c r="N43" s="245"/>
      <c r="O43" s="350"/>
      <c r="P43" s="604"/>
      <c r="Q43" s="245"/>
      <c r="R43" s="352"/>
      <c r="S43" s="245"/>
      <c r="T43" s="245"/>
      <c r="U43" s="350"/>
      <c r="V43" s="604"/>
      <c r="W43" s="352"/>
      <c r="X43" s="676"/>
      <c r="Y43" s="245"/>
      <c r="Z43" s="245"/>
      <c r="AA43" s="350"/>
      <c r="AB43" s="604"/>
      <c r="AC43" s="245"/>
      <c r="AD43" s="245"/>
      <c r="AE43" s="245"/>
      <c r="AF43" s="245"/>
      <c r="AG43" s="350"/>
      <c r="AH43" s="604"/>
      <c r="AI43" s="245"/>
      <c r="AJ43" s="245"/>
      <c r="AK43" s="245"/>
      <c r="AL43" s="245"/>
      <c r="AM43" s="350"/>
      <c r="AN43" s="605"/>
      <c r="AO43" s="245"/>
      <c r="AP43" s="245"/>
      <c r="AQ43" s="245"/>
      <c r="AR43" s="245"/>
      <c r="AS43" s="245"/>
      <c r="AT43" s="357"/>
      <c r="AU43" s="245"/>
      <c r="AV43" s="245"/>
      <c r="AW43" s="245"/>
      <c r="AX43" s="245"/>
      <c r="AY43" s="245"/>
      <c r="AZ43" s="357"/>
      <c r="BA43" s="245"/>
      <c r="BB43" s="245"/>
      <c r="BC43" s="245"/>
      <c r="BD43" s="245"/>
      <c r="BE43" s="245"/>
      <c r="BF43" s="357"/>
      <c r="BG43" s="245"/>
      <c r="BH43" s="245"/>
      <c r="BI43" s="245"/>
      <c r="BJ43" s="245"/>
      <c r="BK43" s="245"/>
      <c r="BL43" s="357"/>
      <c r="BM43" s="245"/>
      <c r="BN43" s="245"/>
      <c r="BO43" s="245"/>
      <c r="BP43" s="245"/>
      <c r="BQ43" s="245"/>
      <c r="BR43" s="356"/>
      <c r="BS43" s="245"/>
      <c r="BT43" s="245"/>
      <c r="BU43" s="245"/>
      <c r="BV43" s="245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</row>
    <row r="44" ht="15.75" customHeight="1">
      <c r="A44" s="213"/>
      <c r="B44" s="349" t="s">
        <v>29</v>
      </c>
      <c r="C44" s="350"/>
      <c r="D44" s="604"/>
      <c r="E44" s="245"/>
      <c r="F44" s="245"/>
      <c r="G44" s="355"/>
      <c r="H44" s="245"/>
      <c r="I44" s="350"/>
      <c r="J44" s="604"/>
      <c r="K44" s="245"/>
      <c r="L44" s="245"/>
      <c r="M44" s="245"/>
      <c r="N44" s="245"/>
      <c r="O44" s="350"/>
      <c r="P44" s="604"/>
      <c r="Q44" s="245"/>
      <c r="R44" s="352"/>
      <c r="S44" s="245"/>
      <c r="T44" s="245"/>
      <c r="U44" s="350"/>
      <c r="V44" s="604"/>
      <c r="W44" s="352"/>
      <c r="X44" s="676"/>
      <c r="Y44" s="245"/>
      <c r="Z44" s="245"/>
      <c r="AA44" s="350"/>
      <c r="AB44" s="604"/>
      <c r="AC44" s="245"/>
      <c r="AD44" s="245"/>
      <c r="AE44" s="245"/>
      <c r="AF44" s="245"/>
      <c r="AG44" s="350"/>
      <c r="AH44" s="604"/>
      <c r="AI44" s="245"/>
      <c r="AJ44" s="245"/>
      <c r="AK44" s="245"/>
      <c r="AL44" s="245"/>
      <c r="AM44" s="350"/>
      <c r="AN44" s="605"/>
      <c r="AO44" s="245"/>
      <c r="AP44" s="245"/>
      <c r="AQ44" s="245"/>
      <c r="AR44" s="245"/>
      <c r="AS44" s="245"/>
      <c r="AT44" s="357"/>
      <c r="AU44" s="245"/>
      <c r="AV44" s="245"/>
      <c r="AW44" s="245"/>
      <c r="AX44" s="245"/>
      <c r="AY44" s="245"/>
      <c r="AZ44" s="357"/>
      <c r="BA44" s="245"/>
      <c r="BB44" s="245"/>
      <c r="BC44" s="245"/>
      <c r="BD44" s="245"/>
      <c r="BE44" s="245"/>
      <c r="BF44" s="357"/>
      <c r="BG44" s="245"/>
      <c r="BH44" s="245"/>
      <c r="BI44" s="245"/>
      <c r="BJ44" s="245"/>
      <c r="BK44" s="245"/>
      <c r="BL44" s="357"/>
      <c r="BM44" s="245"/>
      <c r="BN44" s="245"/>
      <c r="BO44" s="245"/>
      <c r="BP44" s="245"/>
      <c r="BQ44" s="245"/>
      <c r="BR44" s="356"/>
      <c r="BS44" s="245"/>
      <c r="BT44" s="245"/>
      <c r="BU44" s="245"/>
      <c r="BV44" s="245"/>
      <c r="BW44" s="213"/>
      <c r="BX44" s="213"/>
      <c r="BY44" s="213"/>
      <c r="BZ44" s="213"/>
      <c r="CA44" s="213"/>
      <c r="CB44" s="213"/>
      <c r="CC44" s="213"/>
      <c r="CD44" s="213"/>
      <c r="CE44" s="213"/>
      <c r="CF44" s="213"/>
      <c r="CG44" s="213"/>
      <c r="CH44" s="213"/>
      <c r="CI44" s="213"/>
      <c r="CJ44" s="213"/>
      <c r="CK44" s="213"/>
      <c r="CL44" s="213"/>
      <c r="CM44" s="213"/>
      <c r="CN44" s="213"/>
      <c r="CO44" s="213"/>
      <c r="CP44" s="213"/>
    </row>
    <row r="45" ht="15.75" customHeight="1">
      <c r="A45" s="213"/>
      <c r="B45" s="393"/>
      <c r="C45" s="411" t="s">
        <v>234</v>
      </c>
      <c r="D45" s="604"/>
      <c r="E45" s="245"/>
      <c r="F45" s="245"/>
      <c r="G45" s="355"/>
      <c r="H45" s="245"/>
      <c r="I45" s="350"/>
      <c r="J45" s="604"/>
      <c r="K45" s="245"/>
      <c r="L45" s="245"/>
      <c r="M45" s="245"/>
      <c r="N45" s="245"/>
      <c r="O45" s="350"/>
      <c r="P45" s="604"/>
      <c r="Q45" s="245"/>
      <c r="R45" s="352"/>
      <c r="S45" s="245"/>
      <c r="T45" s="245"/>
      <c r="U45" s="350"/>
      <c r="V45" s="604"/>
      <c r="W45" s="352"/>
      <c r="X45" s="676"/>
      <c r="Y45" s="245"/>
      <c r="Z45" s="245"/>
      <c r="AA45" s="350"/>
      <c r="AB45" s="604"/>
      <c r="AC45" s="245"/>
      <c r="AD45" s="245"/>
      <c r="AE45" s="245"/>
      <c r="AF45" s="245"/>
      <c r="AG45" s="350"/>
      <c r="AH45" s="604"/>
      <c r="AI45" s="245"/>
      <c r="AJ45" s="245"/>
      <c r="AK45" s="245"/>
      <c r="AL45" s="245"/>
      <c r="AM45" s="350"/>
      <c r="AN45" s="605"/>
      <c r="AO45" s="245"/>
      <c r="AP45" s="245"/>
      <c r="AQ45" s="245"/>
      <c r="AR45" s="245"/>
      <c r="AS45" s="245"/>
      <c r="AT45" s="357"/>
      <c r="AU45" s="245"/>
      <c r="AV45" s="245"/>
      <c r="AW45" s="245"/>
      <c r="AX45" s="245"/>
      <c r="AY45" s="245"/>
      <c r="AZ45" s="357"/>
      <c r="BA45" s="245"/>
      <c r="BB45" s="245"/>
      <c r="BC45" s="245"/>
      <c r="BD45" s="245"/>
      <c r="BE45" s="245"/>
      <c r="BF45" s="357"/>
      <c r="BG45" s="245"/>
      <c r="BH45" s="245"/>
      <c r="BI45" s="245"/>
      <c r="BJ45" s="245"/>
      <c r="BK45" s="245"/>
      <c r="BL45" s="357"/>
      <c r="BM45" s="245"/>
      <c r="BN45" s="245"/>
      <c r="BO45" s="245"/>
      <c r="BP45" s="245"/>
      <c r="BQ45" s="245"/>
      <c r="BR45" s="356"/>
      <c r="BS45" s="245"/>
      <c r="BT45" s="245"/>
      <c r="BU45" s="245"/>
      <c r="BV45" s="245"/>
      <c r="BW45" s="213"/>
      <c r="BX45" s="213"/>
      <c r="BY45" s="213"/>
      <c r="BZ45" s="213"/>
      <c r="CA45" s="213"/>
      <c r="CB45" s="213"/>
      <c r="CC45" s="213"/>
      <c r="CD45" s="213"/>
      <c r="CE45" s="213"/>
      <c r="CF45" s="213"/>
      <c r="CG45" s="213"/>
      <c r="CH45" s="213"/>
      <c r="CI45" s="213"/>
      <c r="CJ45" s="213"/>
      <c r="CK45" s="213"/>
      <c r="CL45" s="213"/>
      <c r="CM45" s="213"/>
      <c r="CN45" s="213"/>
      <c r="CO45" s="213"/>
      <c r="CP45" s="213"/>
    </row>
    <row r="46" ht="15.75" customHeight="1">
      <c r="A46" s="213"/>
      <c r="B46" s="393"/>
      <c r="C46" s="350" t="s">
        <v>235</v>
      </c>
      <c r="D46" s="604">
        <f>'MSBC CK Allocation'!C23</f>
        <v>595900.3015</v>
      </c>
      <c r="E46" s="355">
        <f>D46/D30</f>
        <v>0.05355891315</v>
      </c>
      <c r="F46" s="357">
        <f>G46*F30</f>
        <v>211625.62</v>
      </c>
      <c r="G46" s="355">
        <v>0.02</v>
      </c>
      <c r="H46" s="357">
        <f t="shared" ref="H46:H50" si="57">D46-F46</f>
        <v>384274.6815</v>
      </c>
      <c r="I46" s="719">
        <f t="shared" ref="I46:I50" si="58">IFERROR(H46/F46,"")</f>
        <v>1.815823063</v>
      </c>
      <c r="J46" s="604">
        <f>'MSBC CK Allocation'!D23</f>
        <v>320722.7923</v>
      </c>
      <c r="K46" s="355">
        <f>J46/J30</f>
        <v>0.02762447956</v>
      </c>
      <c r="L46" s="357">
        <f>M46*L30</f>
        <v>235772.4</v>
      </c>
      <c r="M46" s="355">
        <v>0.02</v>
      </c>
      <c r="N46" s="245"/>
      <c r="O46" s="350"/>
      <c r="P46" s="604">
        <f>'MSBC CK Allocation'!E23</f>
        <v>262870.7999</v>
      </c>
      <c r="Q46" s="355">
        <f>P46/P30</f>
        <v>0.02594391976</v>
      </c>
      <c r="R46" s="357">
        <f>S46*R30</f>
        <v>224308.44</v>
      </c>
      <c r="S46" s="355">
        <v>0.02</v>
      </c>
      <c r="T46" s="245"/>
      <c r="U46" s="350"/>
      <c r="V46" s="604">
        <f>'MSBC CK Allocation'!F23</f>
        <v>180444.4315</v>
      </c>
      <c r="W46" s="355">
        <f>V46/V30</f>
        <v>0.01612638682</v>
      </c>
      <c r="X46" s="357">
        <f>Y46*X30</f>
        <v>220075.52</v>
      </c>
      <c r="Y46" s="355">
        <v>0.02</v>
      </c>
      <c r="Z46" s="245"/>
      <c r="AA46" s="350"/>
      <c r="AB46" s="604">
        <f>'MSBC CK Allocation'!G23</f>
        <v>319191.4396</v>
      </c>
      <c r="AC46" s="355">
        <f>AB46/AB30</f>
        <v>0.0263168368</v>
      </c>
      <c r="AD46" s="357">
        <f>AE46*AD30</f>
        <v>243997.26</v>
      </c>
      <c r="AE46" s="355">
        <v>0.02</v>
      </c>
      <c r="AF46" s="245"/>
      <c r="AG46" s="350"/>
      <c r="AH46" s="604">
        <f>'MSBC CK Allocation'!H23</f>
        <v>270716.5503</v>
      </c>
      <c r="AI46" s="355">
        <f>AH46/AH30</f>
        <v>0.02432574601</v>
      </c>
      <c r="AJ46" s="357">
        <f>AK46*AJ30</f>
        <v>237984.94</v>
      </c>
      <c r="AK46" s="355">
        <v>0.02</v>
      </c>
      <c r="AL46" s="245"/>
      <c r="AM46" s="350"/>
      <c r="AN46" s="605">
        <f>'MSBC CK Allocation'!I34</f>
        <v>653421.5451</v>
      </c>
      <c r="AO46" s="355">
        <f>AN46/AN30</f>
        <v>0.05551352985</v>
      </c>
      <c r="AP46" s="357">
        <f>AQ46*AP30</f>
        <v>242768.26</v>
      </c>
      <c r="AQ46" s="355">
        <v>0.02</v>
      </c>
      <c r="AR46" s="245"/>
      <c r="AS46" s="245"/>
      <c r="AT46" s="357">
        <f>'MSBC CK Allocation'!J23</f>
        <v>206577.3644</v>
      </c>
      <c r="AU46" s="355">
        <f>AT46/AT30</f>
        <v>0.01717640084</v>
      </c>
      <c r="AV46" s="357">
        <f>AW46*AV30</f>
        <v>237935.36</v>
      </c>
      <c r="AW46" s="355">
        <v>0.02</v>
      </c>
      <c r="AX46" s="245"/>
      <c r="AY46" s="245"/>
      <c r="AZ46" s="357">
        <f>'MSBC CK Allocation'!K34</f>
        <v>625665.135</v>
      </c>
      <c r="BA46" s="355">
        <f>AZ46/AZ30</f>
        <v>0.04150474045</v>
      </c>
      <c r="BB46" s="357">
        <f>BC46*BB30</f>
        <v>271652.1</v>
      </c>
      <c r="BC46" s="355">
        <v>0.02</v>
      </c>
      <c r="BD46" s="245"/>
      <c r="BE46" s="245"/>
      <c r="BF46" s="737">
        <v>481747.0</v>
      </c>
      <c r="BG46" s="355">
        <f>BF46/BF30</f>
        <v>0.03425682944</v>
      </c>
      <c r="BH46" s="357">
        <f>BI46*BH30</f>
        <v>250392.68</v>
      </c>
      <c r="BI46" s="355">
        <v>0.02</v>
      </c>
      <c r="BJ46" s="245"/>
      <c r="BK46" s="245"/>
      <c r="BL46" s="737">
        <v>413817.0</v>
      </c>
      <c r="BM46" s="355">
        <f>BL46/BL30</f>
        <v>0.03475385498</v>
      </c>
      <c r="BN46" s="357">
        <f>BO46*BN30</f>
        <v>210756.7</v>
      </c>
      <c r="BO46" s="355">
        <v>0.02</v>
      </c>
      <c r="BP46" s="245"/>
      <c r="BQ46" s="245"/>
      <c r="BR46" s="797">
        <v>500404.0</v>
      </c>
      <c r="BS46" s="355">
        <f>BR46/BR30</f>
        <v>0.03648564483</v>
      </c>
      <c r="BT46" s="357">
        <f>BU46*BT30</f>
        <v>236535.94</v>
      </c>
      <c r="BU46" s="355">
        <v>0.02</v>
      </c>
      <c r="BV46" s="245"/>
      <c r="BW46" s="213"/>
      <c r="BX46" s="213"/>
      <c r="BY46" s="213"/>
      <c r="BZ46" s="213"/>
      <c r="CA46" s="213"/>
      <c r="CB46" s="213"/>
      <c r="CC46" s="213"/>
      <c r="CD46" s="213"/>
      <c r="CE46" s="213"/>
      <c r="CF46" s="213"/>
      <c r="CG46" s="213"/>
      <c r="CH46" s="213"/>
      <c r="CI46" s="213"/>
      <c r="CJ46" s="213"/>
      <c r="CK46" s="213"/>
      <c r="CL46" s="213"/>
      <c r="CM46" s="213"/>
      <c r="CN46" s="213"/>
      <c r="CO46" s="213"/>
      <c r="CP46" s="213"/>
    </row>
    <row r="47" ht="15.75" customHeight="1">
      <c r="A47" s="213"/>
      <c r="B47" s="393"/>
      <c r="C47" s="350" t="s">
        <v>301</v>
      </c>
      <c r="D47" s="604">
        <f>E47*D30</f>
        <v>2947296.362</v>
      </c>
      <c r="E47" s="355">
        <v>0.2649</v>
      </c>
      <c r="F47" s="357">
        <f>G47*F30</f>
        <v>3098199.077</v>
      </c>
      <c r="G47" s="355">
        <v>0.2928</v>
      </c>
      <c r="H47" s="357">
        <f t="shared" si="57"/>
        <v>-150902.7153</v>
      </c>
      <c r="I47" s="719">
        <f t="shared" si="58"/>
        <v>-0.048706591</v>
      </c>
      <c r="J47" s="604">
        <f>K47*J30</f>
        <v>3135886.271</v>
      </c>
      <c r="K47" s="790">
        <v>0.2701</v>
      </c>
      <c r="L47" s="357">
        <f>M47*L30</f>
        <v>3451707.936</v>
      </c>
      <c r="M47" s="355">
        <v>0.2928</v>
      </c>
      <c r="N47" s="245"/>
      <c r="O47" s="350"/>
      <c r="P47" s="604">
        <v>2626056.19527396</v>
      </c>
      <c r="Q47" s="790">
        <f>P47/$P$30</f>
        <v>0.259177479</v>
      </c>
      <c r="R47" s="357">
        <f>S47*R30</f>
        <v>3283875.562</v>
      </c>
      <c r="S47" s="355">
        <v>0.2928</v>
      </c>
      <c r="T47" s="245"/>
      <c r="U47" s="350"/>
      <c r="V47" s="604">
        <v>2930869.28841148</v>
      </c>
      <c r="W47" s="355">
        <f>V47/$V$30</f>
        <v>0.2619328925</v>
      </c>
      <c r="X47" s="357">
        <f>Y47*X30</f>
        <v>3221905.613</v>
      </c>
      <c r="Y47" s="355">
        <v>0.2928</v>
      </c>
      <c r="Z47" s="245"/>
      <c r="AA47" s="350"/>
      <c r="AB47" s="604">
        <v>3091069.58</v>
      </c>
      <c r="AC47" s="355">
        <f>AB47/$V$30</f>
        <v>0.276250053</v>
      </c>
      <c r="AD47" s="357">
        <f>AE47*AD30</f>
        <v>3572119.886</v>
      </c>
      <c r="AE47" s="355">
        <v>0.2928</v>
      </c>
      <c r="AF47" s="245"/>
      <c r="AG47" s="350"/>
      <c r="AH47" s="604">
        <v>3046189.96</v>
      </c>
      <c r="AI47" s="355">
        <f>AH47/AH30</f>
        <v>0.2737211419</v>
      </c>
      <c r="AJ47" s="357">
        <f>AK47*AJ30</f>
        <v>3484099.522</v>
      </c>
      <c r="AK47" s="355">
        <v>0.2928</v>
      </c>
      <c r="AL47" s="245"/>
      <c r="AM47" s="350"/>
      <c r="AN47" s="605">
        <v>3050409.63</v>
      </c>
      <c r="AO47" s="355">
        <f>AN47/AN30</f>
        <v>0.2591573653</v>
      </c>
      <c r="AP47" s="357">
        <f>AQ47*AP30</f>
        <v>3554127.326</v>
      </c>
      <c r="AQ47" s="355">
        <v>0.2928</v>
      </c>
      <c r="AR47" s="245"/>
      <c r="AS47" s="245"/>
      <c r="AT47" s="357">
        <v>3264176.77</v>
      </c>
      <c r="AU47" s="355">
        <f>AT47/AT30</f>
        <v>0.2714082871</v>
      </c>
      <c r="AV47" s="357">
        <f>AW47*AV30</f>
        <v>3483373.67</v>
      </c>
      <c r="AW47" s="355">
        <v>0.2928</v>
      </c>
      <c r="AX47" s="245"/>
      <c r="AY47" s="245"/>
      <c r="AZ47" s="357">
        <v>3838067.43</v>
      </c>
      <c r="BA47" s="355">
        <f>AZ47/AZ30</f>
        <v>0.2546058325</v>
      </c>
      <c r="BB47" s="357">
        <f>BC47*BB30</f>
        <v>3976986.744</v>
      </c>
      <c r="BC47" s="355">
        <v>0.2928</v>
      </c>
      <c r="BD47" s="245"/>
      <c r="BE47" s="245"/>
      <c r="BF47" s="357">
        <v>3588270.61</v>
      </c>
      <c r="BG47" s="355">
        <f>BF47/BF30</f>
        <v>0.2551604354</v>
      </c>
      <c r="BH47" s="357">
        <f>BI47*BH30</f>
        <v>3665748.835</v>
      </c>
      <c r="BI47" s="355">
        <v>0.2928</v>
      </c>
      <c r="BJ47" s="245"/>
      <c r="BK47" s="245"/>
      <c r="BL47" s="737">
        <v>3063385.74</v>
      </c>
      <c r="BM47" s="355">
        <f>BL47/BL30</f>
        <v>0.2572742631</v>
      </c>
      <c r="BN47" s="357">
        <f>BO47*BN30</f>
        <v>3085478.088</v>
      </c>
      <c r="BO47" s="355">
        <v>0.2928</v>
      </c>
      <c r="BP47" s="245"/>
      <c r="BQ47" s="245"/>
      <c r="BR47" s="356">
        <f>(3434413.56442334)</f>
        <v>3434413.564</v>
      </c>
      <c r="BS47" s="355">
        <f>BR47/BR30</f>
        <v>0.2504112547</v>
      </c>
      <c r="BT47" s="357">
        <f>BU47*BT30</f>
        <v>3462886.162</v>
      </c>
      <c r="BU47" s="355">
        <v>0.2928</v>
      </c>
      <c r="BV47" s="245"/>
      <c r="BW47" s="213"/>
      <c r="BX47" s="213"/>
      <c r="BY47" s="213"/>
      <c r="BZ47" s="213"/>
      <c r="CA47" s="213"/>
      <c r="CB47" s="213"/>
      <c r="CC47" s="213"/>
      <c r="CD47" s="213"/>
      <c r="CE47" s="213"/>
      <c r="CF47" s="213"/>
      <c r="CG47" s="213"/>
      <c r="CH47" s="213"/>
      <c r="CI47" s="213"/>
      <c r="CJ47" s="213"/>
      <c r="CK47" s="213"/>
      <c r="CL47" s="213"/>
      <c r="CM47" s="213"/>
      <c r="CN47" s="213"/>
      <c r="CO47" s="213"/>
      <c r="CP47" s="213"/>
    </row>
    <row r="48" ht="15.75" customHeight="1">
      <c r="A48" s="213"/>
      <c r="B48" s="393"/>
      <c r="C48" s="350" t="s">
        <v>22</v>
      </c>
      <c r="D48" s="604">
        <f t="shared" ref="D48:D49" si="59">E48*D28</f>
        <v>422129.1845</v>
      </c>
      <c r="E48" s="355">
        <v>0.2147</v>
      </c>
      <c r="F48" s="357">
        <f t="shared" ref="F48:F49" si="60">G48*F28</f>
        <v>299153.4348</v>
      </c>
      <c r="G48" s="355">
        <v>0.1947</v>
      </c>
      <c r="H48" s="357">
        <f t="shared" si="57"/>
        <v>122975.7497</v>
      </c>
      <c r="I48" s="719">
        <f t="shared" si="58"/>
        <v>0.4110791834</v>
      </c>
      <c r="J48" s="604">
        <f t="shared" ref="J48:J49" si="61">K48*J28</f>
        <v>404007.17</v>
      </c>
      <c r="K48" s="790">
        <v>0.2138</v>
      </c>
      <c r="L48" s="357">
        <f t="shared" ref="L48:L49" si="62">M48*L28</f>
        <v>343193.9907</v>
      </c>
      <c r="M48" s="355">
        <v>0.1947</v>
      </c>
      <c r="N48" s="245"/>
      <c r="O48" s="350"/>
      <c r="P48" s="604">
        <v>269936.0</v>
      </c>
      <c r="Q48" s="790">
        <f t="shared" ref="Q48:Q49" si="63">P48/P28</f>
        <v>0.1502142173</v>
      </c>
      <c r="R48" s="357">
        <f t="shared" ref="R48:R49" si="64">S48*R28</f>
        <v>318490.8441</v>
      </c>
      <c r="S48" s="355">
        <v>0.1947</v>
      </c>
      <c r="T48" s="245"/>
      <c r="U48" s="350"/>
      <c r="V48" s="604">
        <v>329253.0</v>
      </c>
      <c r="W48" s="355">
        <f>V48/$V$28</f>
        <v>0.1871675568</v>
      </c>
      <c r="X48" s="357">
        <f t="shared" ref="X48:X49" si="65">Y48*X28</f>
        <v>306109.4817</v>
      </c>
      <c r="Y48" s="355">
        <v>0.1947</v>
      </c>
      <c r="Z48" s="245"/>
      <c r="AA48" s="350"/>
      <c r="AB48" s="604">
        <f>98077.66+253909.02</f>
        <v>351986.68</v>
      </c>
      <c r="AC48" s="355">
        <f>AB48/$V$28</f>
        <v>0.2000907719</v>
      </c>
      <c r="AD48" s="357">
        <f t="shared" ref="AD48:AD49" si="66">AE48*AD28</f>
        <v>347803.1238</v>
      </c>
      <c r="AE48" s="355">
        <v>0.1947</v>
      </c>
      <c r="AF48" s="245"/>
      <c r="AG48" s="350"/>
      <c r="AH48" s="604">
        <f>247054.69+104693.99</f>
        <v>351748.68</v>
      </c>
      <c r="AI48" s="355">
        <f t="shared" ref="AI48:AI49" si="67">AH48/AH28</f>
        <v>0.2227914303</v>
      </c>
      <c r="AJ48" s="357">
        <f t="shared" ref="AJ48:AJ49" si="68">AK48*AJ28</f>
        <v>333700.224</v>
      </c>
      <c r="AK48" s="355">
        <v>0.1947</v>
      </c>
      <c r="AL48" s="245"/>
      <c r="AM48" s="350"/>
      <c r="AN48" s="605">
        <v>295432.98</v>
      </c>
      <c r="AO48" s="355">
        <f t="shared" ref="AO48:AO49" si="69">AN48/AN28</f>
        <v>0.1716333881</v>
      </c>
      <c r="AP48" s="357">
        <f t="shared" ref="AP48:AP49" si="70">AQ48*AP28</f>
        <v>336639.8046</v>
      </c>
      <c r="AQ48" s="355">
        <v>0.1947</v>
      </c>
      <c r="AR48" s="245"/>
      <c r="AS48" s="245"/>
      <c r="AT48" s="357">
        <v>327566.45</v>
      </c>
      <c r="AU48" s="355">
        <f t="shared" ref="AU48:AU49" si="71">AT48/AT28</f>
        <v>0.1841321266</v>
      </c>
      <c r="AV48" s="357">
        <f t="shared" ref="AV48:AV49" si="72">AW48*AV28</f>
        <v>326081.8077</v>
      </c>
      <c r="AW48" s="355">
        <v>0.1947</v>
      </c>
      <c r="AX48" s="245"/>
      <c r="AY48" s="245"/>
      <c r="AZ48" s="357">
        <v>308554.11</v>
      </c>
      <c r="BA48" s="355">
        <f t="shared" ref="BA48:BA49" si="73">AZ48/AZ28</f>
        <v>0.1633131729</v>
      </c>
      <c r="BB48" s="357">
        <f t="shared" ref="BB48:BB49" si="74">BC48*BB28</f>
        <v>376660.3896</v>
      </c>
      <c r="BC48" s="355">
        <v>0.1947</v>
      </c>
      <c r="BD48" s="245"/>
      <c r="BE48" s="245"/>
      <c r="BF48" s="357">
        <f>182682.03+ 105027.53</f>
        <v>287709.56</v>
      </c>
      <c r="BG48" s="355">
        <f t="shared" ref="BG48:BG49" si="75">BF48/BF28</f>
        <v>0.1614856863</v>
      </c>
      <c r="BH48" s="357">
        <f t="shared" ref="BH48:BH49" si="76">BI48*BH28</f>
        <v>338598.876</v>
      </c>
      <c r="BI48" s="355">
        <v>0.1947</v>
      </c>
      <c r="BJ48" s="245"/>
      <c r="BK48" s="245"/>
      <c r="BL48" s="737">
        <v>175121.29</v>
      </c>
      <c r="BM48" s="355">
        <f t="shared" ref="BM48:BM49" si="77">BL48/BL28</f>
        <v>0.1164231911</v>
      </c>
      <c r="BN48" s="357">
        <f t="shared" ref="BN48:BN49" si="78">BO48*BN28</f>
        <v>278048.1495</v>
      </c>
      <c r="BO48" s="355">
        <v>0.1947</v>
      </c>
      <c r="BP48" s="245"/>
      <c r="BQ48" s="245"/>
      <c r="BR48" s="356">
        <f>(213659.09573052)</f>
        <v>213659.0957</v>
      </c>
      <c r="BS48" s="355">
        <f t="shared" ref="BS48:BS49" si="79">BR48/BR28</f>
        <v>0.1254022478</v>
      </c>
      <c r="BT48" s="357">
        <f t="shared" ref="BT48:BT49" si="80">BU48*BT28</f>
        <v>314608.5261</v>
      </c>
      <c r="BU48" s="355">
        <v>0.1947</v>
      </c>
      <c r="BV48" s="245"/>
      <c r="BW48" s="213"/>
      <c r="BX48" s="213"/>
      <c r="BY48" s="213"/>
      <c r="BZ48" s="213"/>
      <c r="CA48" s="213"/>
      <c r="CB48" s="213"/>
      <c r="CC48" s="213"/>
      <c r="CD48" s="213"/>
      <c r="CE48" s="213"/>
      <c r="CF48" s="213"/>
      <c r="CG48" s="213"/>
      <c r="CH48" s="213"/>
      <c r="CI48" s="213"/>
      <c r="CJ48" s="213"/>
      <c r="CK48" s="213"/>
      <c r="CL48" s="213"/>
      <c r="CM48" s="213"/>
      <c r="CN48" s="213"/>
      <c r="CO48" s="213"/>
      <c r="CP48" s="213"/>
    </row>
    <row r="49" ht="15.75" customHeight="1">
      <c r="A49" s="213"/>
      <c r="B49" s="393"/>
      <c r="C49" s="350" t="s">
        <v>23</v>
      </c>
      <c r="D49" s="604">
        <f t="shared" si="59"/>
        <v>401750.307</v>
      </c>
      <c r="E49" s="355">
        <v>0.2142</v>
      </c>
      <c r="F49" s="357">
        <f t="shared" si="60"/>
        <v>479868.9896</v>
      </c>
      <c r="G49" s="355">
        <v>0.2492</v>
      </c>
      <c r="H49" s="357">
        <f t="shared" si="57"/>
        <v>-78118.6826</v>
      </c>
      <c r="I49" s="719">
        <f t="shared" si="58"/>
        <v>-0.1627916875</v>
      </c>
      <c r="J49" s="604">
        <f t="shared" si="61"/>
        <v>471147.9212</v>
      </c>
      <c r="K49" s="790">
        <v>0.2516</v>
      </c>
      <c r="L49" s="357">
        <f t="shared" si="62"/>
        <v>550513.7008</v>
      </c>
      <c r="M49" s="355">
        <v>0.2492</v>
      </c>
      <c r="N49" s="245"/>
      <c r="O49" s="350"/>
      <c r="P49" s="604">
        <v>496042.0</v>
      </c>
      <c r="Q49" s="790">
        <f t="shared" si="63"/>
        <v>0.2281859374</v>
      </c>
      <c r="R49" s="357">
        <f t="shared" si="64"/>
        <v>510887.6612</v>
      </c>
      <c r="S49" s="355">
        <v>0.2492</v>
      </c>
      <c r="T49" s="245"/>
      <c r="U49" s="350"/>
      <c r="V49" s="604">
        <v>557660.39</v>
      </c>
      <c r="W49" s="355">
        <f>V49/$V$29</f>
        <v>0.2751261714</v>
      </c>
      <c r="X49" s="357">
        <f t="shared" si="65"/>
        <v>491026.9196</v>
      </c>
      <c r="Y49" s="355">
        <v>0.2492</v>
      </c>
      <c r="Z49" s="245"/>
      <c r="AA49" s="350"/>
      <c r="AB49" s="604">
        <v>674170.95</v>
      </c>
      <c r="AC49" s="355">
        <f>AB49/$V$29</f>
        <v>0.3326075792</v>
      </c>
      <c r="AD49" s="357">
        <f t="shared" si="66"/>
        <v>557907.2156</v>
      </c>
      <c r="AE49" s="355">
        <v>0.2492</v>
      </c>
      <c r="AF49" s="245"/>
      <c r="AG49" s="350"/>
      <c r="AH49" s="604">
        <v>541029.1</v>
      </c>
      <c r="AI49" s="355">
        <f t="shared" si="67"/>
        <v>0.2865227175</v>
      </c>
      <c r="AJ49" s="357">
        <f t="shared" si="68"/>
        <v>535285.0888</v>
      </c>
      <c r="AK49" s="355">
        <v>0.2492</v>
      </c>
      <c r="AL49" s="245"/>
      <c r="AM49" s="350"/>
      <c r="AN49" s="605">
        <v>611675.25</v>
      </c>
      <c r="AO49" s="355">
        <f t="shared" si="69"/>
        <v>0.3145015127</v>
      </c>
      <c r="AP49" s="357">
        <f t="shared" si="70"/>
        <v>540000.202</v>
      </c>
      <c r="AQ49" s="355">
        <v>0.2492</v>
      </c>
      <c r="AR49" s="245"/>
      <c r="AS49" s="245"/>
      <c r="AT49" s="357">
        <v>663723.41</v>
      </c>
      <c r="AU49" s="355">
        <f t="shared" si="71"/>
        <v>0.3323183104</v>
      </c>
      <c r="AV49" s="357">
        <f t="shared" si="72"/>
        <v>523064.0716</v>
      </c>
      <c r="AW49" s="355">
        <v>0.2492</v>
      </c>
      <c r="AX49" s="245"/>
      <c r="AY49" s="245"/>
      <c r="AZ49" s="357">
        <v>613730.76</v>
      </c>
      <c r="BA49" s="355">
        <f t="shared" si="73"/>
        <v>0.2610403918</v>
      </c>
      <c r="BB49" s="357">
        <f t="shared" si="74"/>
        <v>604196.8632</v>
      </c>
      <c r="BC49" s="355">
        <v>0.2492</v>
      </c>
      <c r="BD49" s="245"/>
      <c r="BE49" s="245"/>
      <c r="BF49" s="357">
        <v>568586.84</v>
      </c>
      <c r="BG49" s="355">
        <f t="shared" si="75"/>
        <v>0.3304379188</v>
      </c>
      <c r="BH49" s="357">
        <f t="shared" si="76"/>
        <v>543142.614</v>
      </c>
      <c r="BI49" s="355">
        <v>0.2492</v>
      </c>
      <c r="BJ49" s="245"/>
      <c r="BK49" s="245"/>
      <c r="BL49" s="737">
        <v>666473.23</v>
      </c>
      <c r="BM49" s="355">
        <f t="shared" si="77"/>
        <v>0.3284828117</v>
      </c>
      <c r="BN49" s="357">
        <f t="shared" si="78"/>
        <v>446013.9236</v>
      </c>
      <c r="BO49" s="355">
        <v>0.2492</v>
      </c>
      <c r="BP49" s="245"/>
      <c r="BQ49" s="245"/>
      <c r="BR49" s="356">
        <v>779172.2985962657</v>
      </c>
      <c r="BS49" s="355">
        <f t="shared" si="79"/>
        <v>0.3322703454</v>
      </c>
      <c r="BT49" s="357">
        <f t="shared" si="80"/>
        <v>504660.1532</v>
      </c>
      <c r="BU49" s="355">
        <v>0.2492</v>
      </c>
      <c r="BV49" s="245"/>
      <c r="BW49" s="213"/>
      <c r="BX49" s="213"/>
      <c r="BY49" s="213"/>
      <c r="BZ49" s="213"/>
      <c r="CA49" s="213"/>
      <c r="CB49" s="213"/>
      <c r="CC49" s="213"/>
      <c r="CD49" s="213"/>
      <c r="CE49" s="213"/>
      <c r="CF49" s="213"/>
      <c r="CG49" s="213"/>
      <c r="CH49" s="213"/>
      <c r="CI49" s="213"/>
      <c r="CJ49" s="213"/>
      <c r="CK49" s="213"/>
      <c r="CL49" s="213"/>
      <c r="CM49" s="213"/>
      <c r="CN49" s="213"/>
      <c r="CO49" s="213"/>
      <c r="CP49" s="213"/>
    </row>
    <row r="50" ht="15.75" customHeight="1">
      <c r="A50" s="695">
        <f>(SUM(D47:D50)/(D33-D32))</f>
        <v>0.2789801777</v>
      </c>
      <c r="B50" s="393"/>
      <c r="C50" s="350" t="s">
        <v>302</v>
      </c>
      <c r="D50" s="604">
        <f>(1303885+58721)*30%</f>
        <v>408781.8</v>
      </c>
      <c r="E50" s="355">
        <f t="shared" ref="E50:E53" si="81">D50/D$33</f>
        <v>0.02533736097</v>
      </c>
      <c r="F50" s="357">
        <f>SUM(F46:F49)*G50</f>
        <v>378218.3587</v>
      </c>
      <c r="G50" s="355">
        <v>0.0925</v>
      </c>
      <c r="H50" s="357">
        <f t="shared" si="57"/>
        <v>30563.44129</v>
      </c>
      <c r="I50" s="719">
        <f t="shared" si="58"/>
        <v>0.08080898398</v>
      </c>
      <c r="J50" s="604">
        <v>435200.4862890443</v>
      </c>
      <c r="K50" s="355">
        <f>J50/J$33</f>
        <v>0.02630160288</v>
      </c>
      <c r="L50" s="357">
        <f>SUM(L46:L49)*M50</f>
        <v>423759.8925</v>
      </c>
      <c r="M50" s="355">
        <v>0.0925</v>
      </c>
      <c r="N50" s="245"/>
      <c r="O50" s="350"/>
      <c r="P50" s="604"/>
      <c r="Q50" s="355">
        <f t="shared" ref="Q50:Q53" si="82">P50/P$33</f>
        <v>0</v>
      </c>
      <c r="R50" s="357">
        <f>SUM(R46:R49)*S50</f>
        <v>401224.5319</v>
      </c>
      <c r="S50" s="355">
        <v>0.0925</v>
      </c>
      <c r="T50" s="245"/>
      <c r="U50" s="350"/>
      <c r="V50" s="604"/>
      <c r="W50" s="355">
        <f t="shared" ref="W50:W53" si="83">V50/V$33</f>
        <v>0</v>
      </c>
      <c r="X50" s="357">
        <f>SUM(X46:X49)*Y50</f>
        <v>392118.3719</v>
      </c>
      <c r="Y50" s="355">
        <v>0.0925</v>
      </c>
      <c r="Z50" s="245"/>
      <c r="AA50" s="350"/>
      <c r="AB50" s="604">
        <f>'Calculation Sheet for GST on Pu'!G25</f>
        <v>385500.6333</v>
      </c>
      <c r="AC50" s="355">
        <f t="shared" ref="AC50:AC51" si="84">AB50/AB$33</f>
        <v>0.02207694857</v>
      </c>
      <c r="AD50" s="357">
        <f>SUM(AD46:AD49)*AE50</f>
        <v>436769.0424</v>
      </c>
      <c r="AE50" s="355">
        <v>0.0925</v>
      </c>
      <c r="AF50" s="245"/>
      <c r="AG50" s="350"/>
      <c r="AH50" s="604">
        <f>'Calculation Sheet for GST on Pu'!H25</f>
        <v>345404.8167</v>
      </c>
      <c r="AI50" s="355">
        <f t="shared" ref="AI50:AI53" si="85">AH50/AH$33</f>
        <v>0.02207878812</v>
      </c>
      <c r="AJ50" s="357">
        <f>SUM(AJ46:AJ49)*AK50</f>
        <v>424673.9541</v>
      </c>
      <c r="AK50" s="355">
        <v>0.0925</v>
      </c>
      <c r="AL50" s="245"/>
      <c r="AM50" s="350"/>
      <c r="AN50" s="605">
        <f>'Calculation Sheet for GST on Pu'!I25</f>
        <v>246618.5884</v>
      </c>
      <c r="AO50" s="355">
        <f t="shared" ref="AO50:AO53" si="86">AN50/AN$33</f>
        <v>0.01488088853</v>
      </c>
      <c r="AP50" s="357">
        <f>SUM(AP46:AP49)*AQ50</f>
        <v>432302.0424</v>
      </c>
      <c r="AQ50" s="355">
        <v>0.0925</v>
      </c>
      <c r="AR50" s="245"/>
      <c r="AS50" s="245"/>
      <c r="AT50" s="357">
        <f>'Calculation Sheet for GST on Pu'!J25</f>
        <v>274303.6093</v>
      </c>
      <c r="AU50" s="355">
        <f t="shared" ref="AU50:AU53" si="87">AT50/AT$33</f>
        <v>0.01617632195</v>
      </c>
      <c r="AV50" s="357">
        <f>SUM(AV46:AV49)*AW50</f>
        <v>422767.0791</v>
      </c>
      <c r="AW50" s="355">
        <v>0.0925</v>
      </c>
      <c r="AX50" s="245"/>
      <c r="AY50" s="245"/>
      <c r="AZ50" s="357">
        <f>'Calculation Sheet for GST on Pu'!K25</f>
        <v>291562.8415</v>
      </c>
      <c r="BA50" s="355">
        <f t="shared" ref="BA50:BA53" si="88">AZ50/AZ$33</f>
        <v>0.01416264658</v>
      </c>
      <c r="BB50" s="357">
        <f>SUM(BB46:BB49)*BC50</f>
        <v>483728.389</v>
      </c>
      <c r="BC50" s="355">
        <v>0.0925</v>
      </c>
      <c r="BD50" s="245"/>
      <c r="BE50" s="245"/>
      <c r="BF50" s="357">
        <f>'Calculation Sheet for GST on Pu'!L25</f>
        <v>236732.2855</v>
      </c>
      <c r="BG50" s="355">
        <f t="shared" ref="BG50:BG53" si="89">BF50/BF$33</f>
        <v>0.01263017246</v>
      </c>
      <c r="BH50" s="357">
        <f>SUM(BH46:BH49)*BI50</f>
        <v>443804.178</v>
      </c>
      <c r="BI50" s="355">
        <v>0.0925</v>
      </c>
      <c r="BJ50" s="245"/>
      <c r="BK50" s="245"/>
      <c r="BL50" s="357">
        <f>'Calculation Sheet for GST on Pu'!M25</f>
        <v>255182.7761</v>
      </c>
      <c r="BM50" s="355">
        <f t="shared" ref="BM50:BM53" si="90">BL50/BL$33</f>
        <v>0.01552125922</v>
      </c>
      <c r="BN50" s="357">
        <f>SUM(BN46:BN49)*BO50</f>
        <v>371877.4597</v>
      </c>
      <c r="BO50" s="355">
        <v>0.0925</v>
      </c>
      <c r="BP50" s="245"/>
      <c r="BQ50" s="245"/>
      <c r="BR50" s="356">
        <f>'Calculation Sheet for GST on Pu'!N25</f>
        <v>222675.5905</v>
      </c>
      <c r="BS50" s="355">
        <f t="shared" ref="BS50:BS53" si="91">BR50/BR$33</f>
        <v>0.01181030264</v>
      </c>
      <c r="BT50" s="357">
        <f>SUM(BT46:BT49)*BU50</f>
        <v>417978.8972</v>
      </c>
      <c r="BU50" s="355">
        <v>0.0925</v>
      </c>
      <c r="BV50" s="245"/>
      <c r="BW50" s="213"/>
      <c r="BX50" s="213"/>
      <c r="BY50" s="213"/>
      <c r="BZ50" s="213"/>
      <c r="CA50" s="213"/>
      <c r="CB50" s="213"/>
      <c r="CC50" s="213"/>
      <c r="CD50" s="213"/>
      <c r="CE50" s="213"/>
      <c r="CF50" s="213"/>
      <c r="CG50" s="213"/>
      <c r="CH50" s="213"/>
      <c r="CI50" s="213"/>
      <c r="CJ50" s="213"/>
      <c r="CK50" s="213"/>
      <c r="CL50" s="213"/>
      <c r="CM50" s="213"/>
      <c r="CN50" s="213"/>
      <c r="CO50" s="213"/>
      <c r="CP50" s="213"/>
    </row>
    <row r="51" ht="15.75" customHeight="1">
      <c r="A51" s="213"/>
      <c r="B51" s="393"/>
      <c r="C51" s="668" t="s">
        <v>238</v>
      </c>
      <c r="D51" s="660">
        <f>SUM(D46:D50)</f>
        <v>4775857.955</v>
      </c>
      <c r="E51" s="726">
        <f t="shared" si="81"/>
        <v>0.2960201186</v>
      </c>
      <c r="F51" s="655">
        <f>SUM(F46:F50)</f>
        <v>4467065.48</v>
      </c>
      <c r="G51" s="726">
        <f>F51/F$33</f>
        <v>0.2918256502</v>
      </c>
      <c r="H51" s="671">
        <f>SUM(H46:H50)</f>
        <v>308792.4746</v>
      </c>
      <c r="I51" s="668"/>
      <c r="J51" s="660">
        <f>SUM(J46:J50)</f>
        <v>4766964.64</v>
      </c>
      <c r="K51" s="667"/>
      <c r="L51" s="655">
        <f>SUM(L46:L50)</f>
        <v>5004947.92</v>
      </c>
      <c r="M51" s="726">
        <f>L51/L$33</f>
        <v>0.2913433705</v>
      </c>
      <c r="N51" s="667">
        <f>SUM(N46:N50)</f>
        <v>0</v>
      </c>
      <c r="O51" s="668"/>
      <c r="P51" s="660">
        <f>SUM(P46:P50)</f>
        <v>3654904.995</v>
      </c>
      <c r="Q51" s="726">
        <f t="shared" si="82"/>
        <v>0.2394323096</v>
      </c>
      <c r="R51" s="655">
        <f>SUM(R46:R50)</f>
        <v>4738787.039</v>
      </c>
      <c r="S51" s="726">
        <f>R51/R$33</f>
        <v>0.2917531049</v>
      </c>
      <c r="T51" s="667">
        <f>SUM(T46:T50)</f>
        <v>0</v>
      </c>
      <c r="U51" s="668"/>
      <c r="V51" s="660">
        <f>SUM(V46:V50)</f>
        <v>3998227.11</v>
      </c>
      <c r="W51" s="726">
        <f t="shared" si="83"/>
        <v>0.2477076486</v>
      </c>
      <c r="X51" s="655">
        <f>SUM(X46:X50)</f>
        <v>4631235.906</v>
      </c>
      <c r="Y51" s="726">
        <f>X51/X$33</f>
        <v>0.2920887835</v>
      </c>
      <c r="Z51" s="667">
        <f>SUM(Z46:Z50)</f>
        <v>0</v>
      </c>
      <c r="AA51" s="668"/>
      <c r="AB51" s="660">
        <f>SUM(AB46:AB50)</f>
        <v>4821919.283</v>
      </c>
      <c r="AC51" s="726">
        <f t="shared" si="84"/>
        <v>0.276142903</v>
      </c>
      <c r="AD51" s="655">
        <f>SUM(AD46:AD50)</f>
        <v>5158596.528</v>
      </c>
      <c r="AE51" s="726">
        <f>AD51/AD$33</f>
        <v>0.2916890261</v>
      </c>
      <c r="AF51" s="667">
        <f>SUM(AF46:AF50)</f>
        <v>0</v>
      </c>
      <c r="AG51" s="668"/>
      <c r="AH51" s="660">
        <f>SUM(AH46:AH50)</f>
        <v>4555089.107</v>
      </c>
      <c r="AI51" s="726">
        <f t="shared" si="85"/>
        <v>0.291168051</v>
      </c>
      <c r="AJ51" s="655">
        <f>SUM(AJ46:AJ50)</f>
        <v>5015743.729</v>
      </c>
      <c r="AK51" s="726">
        <f>AJ51/AJ$33</f>
        <v>0.2966834359</v>
      </c>
      <c r="AL51" s="667">
        <f>SUM(AL46:AL50)</f>
        <v>0</v>
      </c>
      <c r="AM51" s="668"/>
      <c r="AN51" s="687">
        <f>SUM(AN46:AN50)</f>
        <v>4857557.993</v>
      </c>
      <c r="AO51" s="726">
        <f t="shared" si="86"/>
        <v>0.2931035308</v>
      </c>
      <c r="AP51" s="655">
        <f>SUM(AP46:AP50)</f>
        <v>5105837.635</v>
      </c>
      <c r="AQ51" s="726">
        <f>AP51/AP$33</f>
        <v>0.2921384426</v>
      </c>
      <c r="AR51" s="667">
        <f>SUM(AR46:AR50)</f>
        <v>0</v>
      </c>
      <c r="AS51" s="667"/>
      <c r="AT51" s="655">
        <f>SUM(AT46:AT50)</f>
        <v>4736347.604</v>
      </c>
      <c r="AU51" s="726">
        <f t="shared" si="87"/>
        <v>0.2793134364</v>
      </c>
      <c r="AV51" s="655">
        <f>SUM(AV46:AV50)</f>
        <v>4993221.989</v>
      </c>
      <c r="AW51" s="726">
        <f>AV51/AV$33</f>
        <v>0.2923281484</v>
      </c>
      <c r="AX51" s="667">
        <f>SUM(AX46:AX50)</f>
        <v>0</v>
      </c>
      <c r="AY51" s="667"/>
      <c r="AZ51" s="655">
        <f>SUM(AZ46:AZ50)</f>
        <v>5677580.276</v>
      </c>
      <c r="BA51" s="726">
        <f t="shared" si="88"/>
        <v>0.2757881027</v>
      </c>
      <c r="BB51" s="655">
        <f>SUM(BB46:BB50)</f>
        <v>5713224.486</v>
      </c>
      <c r="BC51" s="726">
        <f>BB51/BB$33</f>
        <v>0.2921398086</v>
      </c>
      <c r="BD51" s="667">
        <f>SUM(BD46:BD50)</f>
        <v>0</v>
      </c>
      <c r="BE51" s="667"/>
      <c r="BF51" s="655">
        <f>SUM(BF46:BF50)</f>
        <v>5163046.295</v>
      </c>
      <c r="BG51" s="726">
        <f t="shared" si="89"/>
        <v>0.2754595344</v>
      </c>
      <c r="BH51" s="655">
        <f>SUM(BH46:BH50)</f>
        <v>5241687.183</v>
      </c>
      <c r="BI51" s="726">
        <f>BH51/BH$33</f>
        <v>0.2925423747</v>
      </c>
      <c r="BJ51" s="667">
        <f>SUM(BJ46:BJ50)</f>
        <v>0</v>
      </c>
      <c r="BK51" s="667"/>
      <c r="BL51" s="655">
        <f>SUM(BL46:BL50)</f>
        <v>4573980.036</v>
      </c>
      <c r="BM51" s="726">
        <f t="shared" si="90"/>
        <v>0.2782081569</v>
      </c>
      <c r="BN51" s="655">
        <f>SUM(BN46:BN50)</f>
        <v>4392174.321</v>
      </c>
      <c r="BO51" s="726">
        <f>BN51/BN$33</f>
        <v>0.2929343361</v>
      </c>
      <c r="BP51" s="667">
        <f>SUM(BP46:BP50)</f>
        <v>0</v>
      </c>
      <c r="BQ51" s="667"/>
      <c r="BR51" s="669">
        <f>SUM(BR46:BR50)</f>
        <v>5150324.549</v>
      </c>
      <c r="BS51" s="726">
        <f t="shared" si="91"/>
        <v>0.2731637154</v>
      </c>
      <c r="BT51" s="655">
        <f>SUM(BT46:BT50)</f>
        <v>4936669.678</v>
      </c>
      <c r="BU51" s="726">
        <f>BT51/BT$33</f>
        <v>0.2928057199</v>
      </c>
      <c r="BV51" s="667">
        <f>SUM(BV46:BV50)</f>
        <v>0</v>
      </c>
      <c r="BW51" s="216"/>
      <c r="BX51" s="216"/>
      <c r="BY51" s="216"/>
      <c r="BZ51" s="216"/>
      <c r="CA51" s="216"/>
      <c r="CB51" s="216"/>
      <c r="CC51" s="216"/>
      <c r="CD51" s="216"/>
      <c r="CE51" s="216"/>
      <c r="CF51" s="216"/>
      <c r="CG51" s="216"/>
      <c r="CH51" s="216"/>
      <c r="CI51" s="216"/>
      <c r="CJ51" s="216"/>
      <c r="CK51" s="216"/>
      <c r="CL51" s="216"/>
      <c r="CM51" s="216"/>
      <c r="CN51" s="216"/>
      <c r="CO51" s="216"/>
      <c r="CP51" s="216"/>
    </row>
    <row r="52" ht="15.75" customHeight="1">
      <c r="A52" s="213"/>
      <c r="B52" s="403"/>
      <c r="C52" s="362" t="s">
        <v>239</v>
      </c>
      <c r="D52" s="619">
        <v>139258.7</v>
      </c>
      <c r="E52" s="404">
        <f t="shared" si="81"/>
        <v>0.008631617039</v>
      </c>
      <c r="F52" s="367">
        <f>G52*F33</f>
        <v>84190.20099</v>
      </c>
      <c r="G52" s="404">
        <v>0.0055</v>
      </c>
      <c r="H52" s="367">
        <f>D52-F52</f>
        <v>55068.49902</v>
      </c>
      <c r="I52" s="791">
        <f>IFERROR(H52/F52,"")</f>
        <v>0.6540963006</v>
      </c>
      <c r="J52" s="619">
        <v>132135.0</v>
      </c>
      <c r="K52" s="688"/>
      <c r="L52" s="367">
        <f>M52*L33</f>
        <v>94483.74788</v>
      </c>
      <c r="M52" s="404">
        <v>0.0055</v>
      </c>
      <c r="N52" s="688"/>
      <c r="O52" s="362"/>
      <c r="P52" s="619">
        <v>179326.0</v>
      </c>
      <c r="Q52" s="404">
        <f t="shared" si="82"/>
        <v>0.01174762091</v>
      </c>
      <c r="R52" s="367">
        <f>S52*R33</f>
        <v>89333.50932</v>
      </c>
      <c r="S52" s="404">
        <v>0.0055</v>
      </c>
      <c r="T52" s="688"/>
      <c r="U52" s="362"/>
      <c r="V52" s="619">
        <v>145621.0</v>
      </c>
      <c r="W52" s="404">
        <f t="shared" si="83"/>
        <v>0.009021857564</v>
      </c>
      <c r="X52" s="367">
        <f>Y52*X33</f>
        <v>87205.668</v>
      </c>
      <c r="Y52" s="404">
        <v>0.0055</v>
      </c>
      <c r="Z52" s="688"/>
      <c r="AA52" s="362"/>
      <c r="AB52" s="619">
        <v>133041.0</v>
      </c>
      <c r="AC52" s="404"/>
      <c r="AD52" s="367">
        <f>AE52*AD33</f>
        <v>97268.93495</v>
      </c>
      <c r="AE52" s="404">
        <v>0.0055</v>
      </c>
      <c r="AF52" s="688"/>
      <c r="AG52" s="362"/>
      <c r="AH52" s="619">
        <v>188348.0</v>
      </c>
      <c r="AI52" s="404">
        <f t="shared" si="85"/>
        <v>0.01203948348</v>
      </c>
      <c r="AJ52" s="367">
        <f>AK52*AJ33</f>
        <v>92983.25141</v>
      </c>
      <c r="AK52" s="404">
        <v>0.0055</v>
      </c>
      <c r="AL52" s="688"/>
      <c r="AM52" s="362"/>
      <c r="AN52" s="793">
        <v>174569.0</v>
      </c>
      <c r="AO52" s="404">
        <f t="shared" si="86"/>
        <v>0.01053343889</v>
      </c>
      <c r="AP52" s="367">
        <f>AQ52*AP33</f>
        <v>96126.02417</v>
      </c>
      <c r="AQ52" s="404">
        <v>0.0055</v>
      </c>
      <c r="AR52" s="688"/>
      <c r="AS52" s="688"/>
      <c r="AT52" s="367">
        <v>159319.0</v>
      </c>
      <c r="AU52" s="404">
        <f t="shared" si="87"/>
        <v>0.009395412054</v>
      </c>
      <c r="AV52" s="367">
        <f>AW52*AV33</f>
        <v>93944.83934</v>
      </c>
      <c r="AW52" s="404">
        <v>0.0055</v>
      </c>
      <c r="AX52" s="688"/>
      <c r="AY52" s="688"/>
      <c r="AZ52" s="367">
        <v>210257.0</v>
      </c>
      <c r="BA52" s="404">
        <f t="shared" si="88"/>
        <v>0.01021322047</v>
      </c>
      <c r="BB52" s="367">
        <f>BC52*BB33</f>
        <v>107560.6054</v>
      </c>
      <c r="BC52" s="404">
        <v>0.0055</v>
      </c>
      <c r="BD52" s="688"/>
      <c r="BE52" s="688"/>
      <c r="BF52" s="367">
        <v>192303.5</v>
      </c>
      <c r="BG52" s="404">
        <f t="shared" si="89"/>
        <v>0.01025980197</v>
      </c>
      <c r="BH52" s="367">
        <f>BI52*BH33</f>
        <v>98547.36271</v>
      </c>
      <c r="BI52" s="404">
        <v>0.0055</v>
      </c>
      <c r="BJ52" s="688"/>
      <c r="BK52" s="688"/>
      <c r="BL52" s="798">
        <v>211266.5</v>
      </c>
      <c r="BM52" s="404">
        <f t="shared" si="90"/>
        <v>0.01285009185</v>
      </c>
      <c r="BN52" s="367">
        <f>BO52*BN33</f>
        <v>82465.43949</v>
      </c>
      <c r="BO52" s="404">
        <v>0.0055</v>
      </c>
      <c r="BP52" s="688"/>
      <c r="BQ52" s="688"/>
      <c r="BR52" s="799">
        <v>180509.5</v>
      </c>
      <c r="BS52" s="404">
        <f t="shared" si="91"/>
        <v>0.009573890969</v>
      </c>
      <c r="BT52" s="367">
        <f>BU52*BT33</f>
        <v>92729.3471</v>
      </c>
      <c r="BU52" s="404">
        <v>0.0055</v>
      </c>
      <c r="BV52" s="688"/>
      <c r="BW52" s="213"/>
      <c r="BX52" s="213"/>
      <c r="BY52" s="213"/>
      <c r="BZ52" s="213"/>
      <c r="CA52" s="213"/>
      <c r="CB52" s="213"/>
      <c r="CC52" s="213"/>
      <c r="CD52" s="213"/>
      <c r="CE52" s="213"/>
      <c r="CF52" s="213"/>
      <c r="CG52" s="213"/>
      <c r="CH52" s="213"/>
      <c r="CI52" s="213"/>
      <c r="CJ52" s="213"/>
      <c r="CK52" s="213"/>
      <c r="CL52" s="213"/>
      <c r="CM52" s="213"/>
      <c r="CN52" s="213"/>
      <c r="CO52" s="213"/>
      <c r="CP52" s="213"/>
    </row>
    <row r="53" ht="15.75" customHeight="1">
      <c r="A53" s="213"/>
      <c r="B53" s="407"/>
      <c r="C53" s="372" t="s">
        <v>240</v>
      </c>
      <c r="D53" s="600">
        <f>D51+D52</f>
        <v>4915116.655</v>
      </c>
      <c r="E53" s="374">
        <f t="shared" si="81"/>
        <v>0.3046517357</v>
      </c>
      <c r="F53" s="377">
        <f>F51+F52</f>
        <v>4551255.681</v>
      </c>
      <c r="G53" s="374">
        <f>F53/F$33</f>
        <v>0.2973256502</v>
      </c>
      <c r="H53" s="800">
        <f>H51+H52</f>
        <v>363860.9736</v>
      </c>
      <c r="I53" s="372"/>
      <c r="J53" s="600">
        <f>J51+J52</f>
        <v>4899099.64</v>
      </c>
      <c r="K53" s="437"/>
      <c r="L53" s="377">
        <f>L51+L52</f>
        <v>5099431.668</v>
      </c>
      <c r="M53" s="374">
        <f>L53/L$33</f>
        <v>0.2968433705</v>
      </c>
      <c r="N53" s="437">
        <f>N51+N52</f>
        <v>0</v>
      </c>
      <c r="O53" s="372"/>
      <c r="P53" s="600">
        <f>P51+P52</f>
        <v>3834230.995</v>
      </c>
      <c r="Q53" s="374">
        <f t="shared" si="82"/>
        <v>0.2511799305</v>
      </c>
      <c r="R53" s="377">
        <f>R51+R52</f>
        <v>4828120.548</v>
      </c>
      <c r="S53" s="374">
        <f>R53/R$33</f>
        <v>0.2972531049</v>
      </c>
      <c r="T53" s="437">
        <f>T51+T52</f>
        <v>0</v>
      </c>
      <c r="U53" s="372"/>
      <c r="V53" s="600">
        <f>V51+V52</f>
        <v>4143848.11</v>
      </c>
      <c r="W53" s="374">
        <f t="shared" si="83"/>
        <v>0.2567295062</v>
      </c>
      <c r="X53" s="377">
        <f>X51+X52</f>
        <v>4718441.574</v>
      </c>
      <c r="Y53" s="374">
        <f>X53/X$33</f>
        <v>0.2975887835</v>
      </c>
      <c r="Z53" s="437">
        <f>Z51+Z52</f>
        <v>0</v>
      </c>
      <c r="AA53" s="372"/>
      <c r="AB53" s="600">
        <f>AB51+AB52</f>
        <v>4954960.283</v>
      </c>
      <c r="AC53" s="374">
        <f>AB53/AB$33</f>
        <v>0.2837619289</v>
      </c>
      <c r="AD53" s="377">
        <f>AD51+AD52</f>
        <v>5255865.463</v>
      </c>
      <c r="AE53" s="374">
        <f>AD53/AD$33</f>
        <v>0.2971890261</v>
      </c>
      <c r="AF53" s="437">
        <f>AF51+AF52</f>
        <v>0</v>
      </c>
      <c r="AG53" s="372"/>
      <c r="AH53" s="600">
        <f>AH51+AH52</f>
        <v>4743437.107</v>
      </c>
      <c r="AI53" s="374">
        <f t="shared" si="85"/>
        <v>0.3032075345</v>
      </c>
      <c r="AJ53" s="377">
        <f>AJ51+AJ52</f>
        <v>5108726.98</v>
      </c>
      <c r="AK53" s="374">
        <f>AJ53/AJ$33</f>
        <v>0.3021834359</v>
      </c>
      <c r="AL53" s="437">
        <f>AL51+AL52</f>
        <v>0</v>
      </c>
      <c r="AM53" s="372"/>
      <c r="AN53" s="601">
        <f>AN51+AN52</f>
        <v>5032126.993</v>
      </c>
      <c r="AO53" s="374">
        <f t="shared" si="86"/>
        <v>0.3036369697</v>
      </c>
      <c r="AP53" s="377">
        <f>AP51+AP52</f>
        <v>5201963.66</v>
      </c>
      <c r="AQ53" s="374">
        <f>AP53/AP$33</f>
        <v>0.2976384426</v>
      </c>
      <c r="AR53" s="437">
        <f>AR51+AR52</f>
        <v>0</v>
      </c>
      <c r="AS53" s="437"/>
      <c r="AT53" s="377">
        <f>AT51+AT52</f>
        <v>4895666.604</v>
      </c>
      <c r="AU53" s="374">
        <f t="shared" si="87"/>
        <v>0.2887088484</v>
      </c>
      <c r="AV53" s="377">
        <f>AV51+AV52</f>
        <v>5087166.828</v>
      </c>
      <c r="AW53" s="374">
        <f>AV53/AV$33</f>
        <v>0.2978281484</v>
      </c>
      <c r="AX53" s="437">
        <f>AX51+AX52</f>
        <v>0</v>
      </c>
      <c r="AY53" s="437"/>
      <c r="AZ53" s="377">
        <f>AZ51+AZ52</f>
        <v>5887837.276</v>
      </c>
      <c r="BA53" s="374">
        <f t="shared" si="88"/>
        <v>0.2860013232</v>
      </c>
      <c r="BB53" s="377">
        <f>BB51+BB52</f>
        <v>5820785.091</v>
      </c>
      <c r="BC53" s="374">
        <f>BB53/BB$33</f>
        <v>0.2976398086</v>
      </c>
      <c r="BD53" s="437">
        <f>BD51+BD52</f>
        <v>0</v>
      </c>
      <c r="BE53" s="437"/>
      <c r="BF53" s="377">
        <f>BF51+BF52</f>
        <v>5355349.795</v>
      </c>
      <c r="BG53" s="374">
        <f t="shared" si="89"/>
        <v>0.2857193364</v>
      </c>
      <c r="BH53" s="377">
        <f>BH51+BH52</f>
        <v>5340234.546</v>
      </c>
      <c r="BI53" s="374">
        <f>BH53/BH$33</f>
        <v>0.2980423747</v>
      </c>
      <c r="BJ53" s="437">
        <f>BJ51+BJ52</f>
        <v>0</v>
      </c>
      <c r="BK53" s="437"/>
      <c r="BL53" s="377">
        <f>BL51+BL52</f>
        <v>4785246.536</v>
      </c>
      <c r="BM53" s="374">
        <f t="shared" si="90"/>
        <v>0.2910582487</v>
      </c>
      <c r="BN53" s="377">
        <f>BN51+BN52</f>
        <v>4474639.76</v>
      </c>
      <c r="BO53" s="374">
        <f>BN53/BN$33</f>
        <v>0.2984343361</v>
      </c>
      <c r="BP53" s="437">
        <f>BP51+BP52</f>
        <v>0</v>
      </c>
      <c r="BQ53" s="437"/>
      <c r="BR53" s="692">
        <f>BR51+BR52</f>
        <v>5330834.049</v>
      </c>
      <c r="BS53" s="374">
        <f t="shared" si="91"/>
        <v>0.2827376064</v>
      </c>
      <c r="BT53" s="377">
        <f>BT51+BT52</f>
        <v>5029399.025</v>
      </c>
      <c r="BU53" s="374">
        <f>BT53/BT$33</f>
        <v>0.2983057199</v>
      </c>
      <c r="BV53" s="437">
        <f>BV51+BV52</f>
        <v>0</v>
      </c>
      <c r="BW53" s="216"/>
      <c r="BX53" s="216"/>
      <c r="BY53" s="216"/>
      <c r="BZ53" s="216"/>
      <c r="CA53" s="216"/>
      <c r="CB53" s="216"/>
      <c r="CC53" s="216"/>
      <c r="CD53" s="216"/>
      <c r="CE53" s="216"/>
      <c r="CF53" s="216"/>
      <c r="CG53" s="216"/>
      <c r="CH53" s="216"/>
      <c r="CI53" s="216"/>
      <c r="CJ53" s="216"/>
      <c r="CK53" s="216"/>
      <c r="CL53" s="216"/>
      <c r="CM53" s="216"/>
      <c r="CN53" s="216"/>
      <c r="CO53" s="216"/>
      <c r="CP53" s="216"/>
    </row>
    <row r="54" ht="15.75" hidden="1" customHeight="1">
      <c r="A54" s="213"/>
      <c r="B54" s="444"/>
      <c r="C54" s="383"/>
      <c r="D54" s="708"/>
      <c r="E54" s="709"/>
      <c r="F54" s="709"/>
      <c r="G54" s="385"/>
      <c r="H54" s="709"/>
      <c r="I54" s="383"/>
      <c r="J54" s="708"/>
      <c r="K54" s="709"/>
      <c r="L54" s="709"/>
      <c r="M54" s="709"/>
      <c r="N54" s="709"/>
      <c r="O54" s="383"/>
      <c r="P54" s="708"/>
      <c r="Q54" s="709"/>
      <c r="R54" s="440"/>
      <c r="S54" s="709"/>
      <c r="T54" s="709"/>
      <c r="U54" s="383"/>
      <c r="V54" s="708"/>
      <c r="W54" s="440"/>
      <c r="X54" s="801"/>
      <c r="Y54" s="709"/>
      <c r="Z54" s="709"/>
      <c r="AA54" s="383"/>
      <c r="AB54" s="708"/>
      <c r="AC54" s="709"/>
      <c r="AD54" s="709"/>
      <c r="AE54" s="709"/>
      <c r="AF54" s="709"/>
      <c r="AG54" s="383"/>
      <c r="AH54" s="708"/>
      <c r="AI54" s="709"/>
      <c r="AJ54" s="709"/>
      <c r="AK54" s="709"/>
      <c r="AL54" s="709"/>
      <c r="AM54" s="383"/>
      <c r="AN54" s="787"/>
      <c r="AO54" s="709"/>
      <c r="AP54" s="709"/>
      <c r="AQ54" s="709"/>
      <c r="AR54" s="709"/>
      <c r="AS54" s="709"/>
      <c r="AT54" s="388"/>
      <c r="AU54" s="709"/>
      <c r="AV54" s="709"/>
      <c r="AW54" s="709"/>
      <c r="AX54" s="709"/>
      <c r="AY54" s="709"/>
      <c r="AZ54" s="388"/>
      <c r="BA54" s="709"/>
      <c r="BB54" s="709"/>
      <c r="BC54" s="709"/>
      <c r="BD54" s="709"/>
      <c r="BE54" s="709"/>
      <c r="BF54" s="388"/>
      <c r="BG54" s="709"/>
      <c r="BH54" s="709"/>
      <c r="BI54" s="709"/>
      <c r="BJ54" s="709"/>
      <c r="BK54" s="709"/>
      <c r="BL54" s="388"/>
      <c r="BM54" s="709"/>
      <c r="BN54" s="709"/>
      <c r="BO54" s="709"/>
      <c r="BP54" s="709"/>
      <c r="BQ54" s="709"/>
      <c r="BR54" s="802"/>
      <c r="BS54" s="709"/>
      <c r="BT54" s="709"/>
      <c r="BU54" s="709"/>
      <c r="BV54" s="709"/>
      <c r="BW54" s="213"/>
      <c r="BX54" s="213"/>
      <c r="BY54" s="213"/>
      <c r="BZ54" s="213"/>
      <c r="CA54" s="213"/>
      <c r="CB54" s="213"/>
      <c r="CC54" s="213"/>
      <c r="CD54" s="213"/>
      <c r="CE54" s="213"/>
      <c r="CF54" s="213"/>
      <c r="CG54" s="213"/>
      <c r="CH54" s="213"/>
      <c r="CI54" s="213"/>
      <c r="CJ54" s="213"/>
      <c r="CK54" s="213"/>
      <c r="CL54" s="213"/>
      <c r="CM54" s="213"/>
      <c r="CN54" s="213"/>
      <c r="CO54" s="213"/>
      <c r="CP54" s="213"/>
    </row>
    <row r="55" ht="15.75" hidden="1" customHeight="1">
      <c r="A55" s="213"/>
      <c r="B55" s="393"/>
      <c r="C55" s="350"/>
      <c r="D55" s="604"/>
      <c r="E55" s="355"/>
      <c r="F55" s="352"/>
      <c r="G55" s="352"/>
      <c r="H55" s="352"/>
      <c r="I55" s="358"/>
      <c r="J55" s="604"/>
      <c r="K55" s="355"/>
      <c r="L55" s="352"/>
      <c r="M55" s="352"/>
      <c r="N55" s="352"/>
      <c r="O55" s="358"/>
      <c r="P55" s="604"/>
      <c r="Q55" s="352"/>
      <c r="R55" s="352"/>
      <c r="S55" s="352"/>
      <c r="T55" s="352"/>
      <c r="U55" s="358"/>
      <c r="V55" s="604"/>
      <c r="W55" s="355"/>
      <c r="X55" s="357"/>
      <c r="Y55" s="352"/>
      <c r="Z55" s="352"/>
      <c r="AA55" s="358"/>
      <c r="AB55" s="604"/>
      <c r="AC55" s="355"/>
      <c r="AD55" s="352"/>
      <c r="AE55" s="352"/>
      <c r="AF55" s="352"/>
      <c r="AG55" s="358"/>
      <c r="AH55" s="604"/>
      <c r="AI55" s="352"/>
      <c r="AJ55" s="352"/>
      <c r="AK55" s="352"/>
      <c r="AL55" s="352"/>
      <c r="AM55" s="358"/>
      <c r="AN55" s="605"/>
      <c r="AO55" s="352"/>
      <c r="AP55" s="352"/>
      <c r="AQ55" s="352"/>
      <c r="AR55" s="352"/>
      <c r="AS55" s="352"/>
      <c r="AT55" s="357"/>
      <c r="AU55" s="352"/>
      <c r="AV55" s="352"/>
      <c r="AW55" s="352"/>
      <c r="AX55" s="352"/>
      <c r="AY55" s="352"/>
      <c r="AZ55" s="357"/>
      <c r="BA55" s="352"/>
      <c r="BB55" s="352"/>
      <c r="BC55" s="352"/>
      <c r="BD55" s="352"/>
      <c r="BE55" s="352"/>
      <c r="BF55" s="357"/>
      <c r="BG55" s="352"/>
      <c r="BH55" s="352"/>
      <c r="BI55" s="352"/>
      <c r="BJ55" s="352"/>
      <c r="BK55" s="352"/>
      <c r="BL55" s="357"/>
      <c r="BM55" s="352"/>
      <c r="BN55" s="352"/>
      <c r="BO55" s="352"/>
      <c r="BP55" s="352"/>
      <c r="BQ55" s="352"/>
      <c r="BR55" s="353"/>
      <c r="BS55" s="352"/>
      <c r="BT55" s="352"/>
      <c r="BU55" s="352"/>
      <c r="BV55" s="352"/>
      <c r="BW55" s="213"/>
      <c r="BX55" s="213"/>
      <c r="BY55" s="213"/>
      <c r="BZ55" s="213"/>
      <c r="CA55" s="213"/>
      <c r="CB55" s="213"/>
      <c r="CC55" s="213"/>
      <c r="CD55" s="213"/>
      <c r="CE55" s="213"/>
      <c r="CF55" s="213"/>
      <c r="CG55" s="213"/>
      <c r="CH55" s="213"/>
      <c r="CI55" s="213"/>
      <c r="CJ55" s="213"/>
      <c r="CK55" s="213"/>
      <c r="CL55" s="213"/>
      <c r="CM55" s="213"/>
      <c r="CN55" s="213"/>
      <c r="CO55" s="213"/>
      <c r="CP55" s="213"/>
    </row>
    <row r="56" ht="15.75" hidden="1" customHeight="1">
      <c r="A56" s="213"/>
      <c r="B56" s="393"/>
      <c r="C56" s="350"/>
      <c r="D56" s="604"/>
      <c r="E56" s="355"/>
      <c r="F56" s="352"/>
      <c r="G56" s="352"/>
      <c r="H56" s="352"/>
      <c r="I56" s="358"/>
      <c r="J56" s="604"/>
      <c r="K56" s="355"/>
      <c r="L56" s="352"/>
      <c r="M56" s="352"/>
      <c r="N56" s="352"/>
      <c r="O56" s="358"/>
      <c r="P56" s="604"/>
      <c r="Q56" s="352"/>
      <c r="R56" s="352"/>
      <c r="S56" s="352"/>
      <c r="T56" s="352"/>
      <c r="U56" s="358"/>
      <c r="V56" s="604"/>
      <c r="W56" s="355"/>
      <c r="X56" s="357"/>
      <c r="Y56" s="352"/>
      <c r="Z56" s="352"/>
      <c r="AA56" s="358"/>
      <c r="AB56" s="604"/>
      <c r="AC56" s="355"/>
      <c r="AD56" s="352"/>
      <c r="AE56" s="352"/>
      <c r="AF56" s="352"/>
      <c r="AG56" s="358"/>
      <c r="AH56" s="604"/>
      <c r="AI56" s="352"/>
      <c r="AJ56" s="352"/>
      <c r="AK56" s="352"/>
      <c r="AL56" s="352"/>
      <c r="AM56" s="358"/>
      <c r="AN56" s="605"/>
      <c r="AO56" s="352"/>
      <c r="AP56" s="352"/>
      <c r="AQ56" s="352"/>
      <c r="AR56" s="352"/>
      <c r="AS56" s="352"/>
      <c r="AT56" s="357"/>
      <c r="AU56" s="352"/>
      <c r="AV56" s="352"/>
      <c r="AW56" s="352"/>
      <c r="AX56" s="352"/>
      <c r="AY56" s="352"/>
      <c r="AZ56" s="357"/>
      <c r="BA56" s="352"/>
      <c r="BB56" s="352"/>
      <c r="BC56" s="352"/>
      <c r="BD56" s="352"/>
      <c r="BE56" s="352"/>
      <c r="BF56" s="357"/>
      <c r="BG56" s="352"/>
      <c r="BH56" s="352"/>
      <c r="BI56" s="352"/>
      <c r="BJ56" s="352"/>
      <c r="BK56" s="352"/>
      <c r="BL56" s="357"/>
      <c r="BM56" s="352"/>
      <c r="BN56" s="352"/>
      <c r="BO56" s="352"/>
      <c r="BP56" s="352"/>
      <c r="BQ56" s="352"/>
      <c r="BR56" s="353"/>
      <c r="BS56" s="352"/>
      <c r="BT56" s="352"/>
      <c r="BU56" s="352"/>
      <c r="BV56" s="352"/>
      <c r="BW56" s="213"/>
      <c r="BX56" s="213"/>
      <c r="BY56" s="213"/>
      <c r="BZ56" s="213"/>
      <c r="CA56" s="213"/>
      <c r="CB56" s="213"/>
      <c r="CC56" s="213"/>
      <c r="CD56" s="213"/>
      <c r="CE56" s="213"/>
      <c r="CF56" s="213"/>
      <c r="CG56" s="213"/>
      <c r="CH56" s="213"/>
      <c r="CI56" s="213"/>
      <c r="CJ56" s="213"/>
      <c r="CK56" s="213"/>
      <c r="CL56" s="213"/>
      <c r="CM56" s="213"/>
      <c r="CN56" s="213"/>
      <c r="CO56" s="213"/>
      <c r="CP56" s="213"/>
    </row>
    <row r="57" ht="15.75" hidden="1" customHeight="1">
      <c r="A57" s="213"/>
      <c r="B57" s="393"/>
      <c r="C57" s="350"/>
      <c r="D57" s="604"/>
      <c r="E57" s="355"/>
      <c r="F57" s="352"/>
      <c r="G57" s="352"/>
      <c r="H57" s="352"/>
      <c r="I57" s="358"/>
      <c r="J57" s="604"/>
      <c r="K57" s="355"/>
      <c r="L57" s="352"/>
      <c r="M57" s="352"/>
      <c r="N57" s="352"/>
      <c r="O57" s="358"/>
      <c r="P57" s="604"/>
      <c r="Q57" s="352"/>
      <c r="R57" s="352"/>
      <c r="S57" s="352"/>
      <c r="T57" s="352"/>
      <c r="U57" s="358"/>
      <c r="V57" s="604"/>
      <c r="W57" s="355"/>
      <c r="X57" s="357"/>
      <c r="Y57" s="352"/>
      <c r="Z57" s="352"/>
      <c r="AA57" s="358"/>
      <c r="AB57" s="604"/>
      <c r="AC57" s="355"/>
      <c r="AD57" s="352"/>
      <c r="AE57" s="352"/>
      <c r="AF57" s="352"/>
      <c r="AG57" s="358"/>
      <c r="AH57" s="604"/>
      <c r="AI57" s="352"/>
      <c r="AJ57" s="352"/>
      <c r="AK57" s="352"/>
      <c r="AL57" s="352"/>
      <c r="AM57" s="358"/>
      <c r="AN57" s="605"/>
      <c r="AO57" s="352"/>
      <c r="AP57" s="352"/>
      <c r="AQ57" s="352"/>
      <c r="AR57" s="352"/>
      <c r="AS57" s="352"/>
      <c r="AT57" s="357"/>
      <c r="AU57" s="352"/>
      <c r="AV57" s="352"/>
      <c r="AW57" s="352"/>
      <c r="AX57" s="352"/>
      <c r="AY57" s="352"/>
      <c r="AZ57" s="357"/>
      <c r="BA57" s="352"/>
      <c r="BB57" s="352"/>
      <c r="BC57" s="352"/>
      <c r="BD57" s="352"/>
      <c r="BE57" s="352"/>
      <c r="BF57" s="357"/>
      <c r="BG57" s="352"/>
      <c r="BH57" s="352"/>
      <c r="BI57" s="352"/>
      <c r="BJ57" s="352"/>
      <c r="BK57" s="352"/>
      <c r="BL57" s="357"/>
      <c r="BM57" s="352"/>
      <c r="BN57" s="352"/>
      <c r="BO57" s="352"/>
      <c r="BP57" s="352"/>
      <c r="BQ57" s="352"/>
      <c r="BR57" s="353"/>
      <c r="BS57" s="352"/>
      <c r="BT57" s="352"/>
      <c r="BU57" s="352"/>
      <c r="BV57" s="352"/>
      <c r="BW57" s="213"/>
      <c r="BX57" s="213"/>
      <c r="BY57" s="213"/>
      <c r="BZ57" s="213"/>
      <c r="CA57" s="213"/>
      <c r="CB57" s="213"/>
      <c r="CC57" s="213"/>
      <c r="CD57" s="213"/>
      <c r="CE57" s="213"/>
      <c r="CF57" s="213"/>
      <c r="CG57" s="213"/>
      <c r="CH57" s="213"/>
      <c r="CI57" s="213"/>
      <c r="CJ57" s="213"/>
      <c r="CK57" s="213"/>
      <c r="CL57" s="213"/>
      <c r="CM57" s="213"/>
      <c r="CN57" s="213"/>
      <c r="CO57" s="213"/>
      <c r="CP57" s="213"/>
    </row>
    <row r="58" ht="15.75" hidden="1" customHeight="1">
      <c r="A58" s="213"/>
      <c r="B58" s="393"/>
      <c r="C58" s="350"/>
      <c r="D58" s="604"/>
      <c r="E58" s="355"/>
      <c r="F58" s="352"/>
      <c r="G58" s="352"/>
      <c r="H58" s="352"/>
      <c r="I58" s="358"/>
      <c r="J58" s="604"/>
      <c r="K58" s="355"/>
      <c r="L58" s="352"/>
      <c r="M58" s="352"/>
      <c r="N58" s="352"/>
      <c r="O58" s="358"/>
      <c r="P58" s="604"/>
      <c r="Q58" s="352"/>
      <c r="R58" s="352"/>
      <c r="S58" s="352"/>
      <c r="T58" s="352"/>
      <c r="U58" s="358"/>
      <c r="V58" s="604"/>
      <c r="W58" s="355"/>
      <c r="X58" s="357"/>
      <c r="Y58" s="352"/>
      <c r="Z58" s="352"/>
      <c r="AA58" s="358"/>
      <c r="AB58" s="604"/>
      <c r="AC58" s="355"/>
      <c r="AD58" s="352"/>
      <c r="AE58" s="352"/>
      <c r="AF58" s="352"/>
      <c r="AG58" s="358"/>
      <c r="AH58" s="604"/>
      <c r="AI58" s="352"/>
      <c r="AJ58" s="352"/>
      <c r="AK58" s="352"/>
      <c r="AL58" s="352"/>
      <c r="AM58" s="358"/>
      <c r="AN58" s="605"/>
      <c r="AO58" s="352"/>
      <c r="AP58" s="352"/>
      <c r="AQ58" s="352"/>
      <c r="AR58" s="352"/>
      <c r="AS58" s="352"/>
      <c r="AT58" s="357"/>
      <c r="AU58" s="352"/>
      <c r="AV58" s="352"/>
      <c r="AW58" s="352"/>
      <c r="AX58" s="352"/>
      <c r="AY58" s="352"/>
      <c r="AZ58" s="357"/>
      <c r="BA58" s="352"/>
      <c r="BB58" s="352"/>
      <c r="BC58" s="352"/>
      <c r="BD58" s="352"/>
      <c r="BE58" s="352"/>
      <c r="BF58" s="357"/>
      <c r="BG58" s="352"/>
      <c r="BH58" s="352"/>
      <c r="BI58" s="352"/>
      <c r="BJ58" s="352"/>
      <c r="BK58" s="352"/>
      <c r="BL58" s="357"/>
      <c r="BM58" s="352"/>
      <c r="BN58" s="352"/>
      <c r="BO58" s="352"/>
      <c r="BP58" s="352"/>
      <c r="BQ58" s="352"/>
      <c r="BR58" s="353"/>
      <c r="BS58" s="352"/>
      <c r="BT58" s="352"/>
      <c r="BU58" s="352"/>
      <c r="BV58" s="352"/>
      <c r="BW58" s="213"/>
      <c r="BX58" s="213"/>
      <c r="BY58" s="213"/>
      <c r="BZ58" s="213"/>
      <c r="CA58" s="213"/>
      <c r="CB58" s="213"/>
      <c r="CC58" s="213"/>
      <c r="CD58" s="213"/>
      <c r="CE58" s="213"/>
      <c r="CF58" s="213"/>
      <c r="CG58" s="213"/>
      <c r="CH58" s="213"/>
      <c r="CI58" s="213"/>
      <c r="CJ58" s="213"/>
      <c r="CK58" s="213"/>
      <c r="CL58" s="213"/>
      <c r="CM58" s="213"/>
      <c r="CN58" s="213"/>
      <c r="CO58" s="213"/>
      <c r="CP58" s="213"/>
    </row>
    <row r="59" ht="15.75" hidden="1" customHeight="1">
      <c r="A59" s="213"/>
      <c r="B59" s="393"/>
      <c r="C59" s="350"/>
      <c r="D59" s="604"/>
      <c r="E59" s="355"/>
      <c r="F59" s="352"/>
      <c r="G59" s="352"/>
      <c r="H59" s="352"/>
      <c r="I59" s="358"/>
      <c r="J59" s="604"/>
      <c r="K59" s="355"/>
      <c r="L59" s="352"/>
      <c r="M59" s="352"/>
      <c r="N59" s="352"/>
      <c r="O59" s="358"/>
      <c r="P59" s="604"/>
      <c r="Q59" s="352"/>
      <c r="R59" s="352"/>
      <c r="S59" s="352"/>
      <c r="T59" s="352"/>
      <c r="U59" s="358"/>
      <c r="V59" s="604"/>
      <c r="W59" s="355"/>
      <c r="X59" s="357"/>
      <c r="Y59" s="352"/>
      <c r="Z59" s="352"/>
      <c r="AA59" s="358"/>
      <c r="AB59" s="604"/>
      <c r="AC59" s="355"/>
      <c r="AD59" s="352"/>
      <c r="AE59" s="352"/>
      <c r="AF59" s="352"/>
      <c r="AG59" s="358"/>
      <c r="AH59" s="604"/>
      <c r="AI59" s="352"/>
      <c r="AJ59" s="352"/>
      <c r="AK59" s="352"/>
      <c r="AL59" s="352"/>
      <c r="AM59" s="358"/>
      <c r="AN59" s="605"/>
      <c r="AO59" s="352"/>
      <c r="AP59" s="352"/>
      <c r="AQ59" s="352"/>
      <c r="AR59" s="352"/>
      <c r="AS59" s="352"/>
      <c r="AT59" s="357"/>
      <c r="AU59" s="352"/>
      <c r="AV59" s="352"/>
      <c r="AW59" s="352"/>
      <c r="AX59" s="352"/>
      <c r="AY59" s="352"/>
      <c r="AZ59" s="357"/>
      <c r="BA59" s="352"/>
      <c r="BB59" s="352"/>
      <c r="BC59" s="352"/>
      <c r="BD59" s="352"/>
      <c r="BE59" s="352"/>
      <c r="BF59" s="357"/>
      <c r="BG59" s="352"/>
      <c r="BH59" s="352"/>
      <c r="BI59" s="352"/>
      <c r="BJ59" s="352"/>
      <c r="BK59" s="352"/>
      <c r="BL59" s="357"/>
      <c r="BM59" s="352"/>
      <c r="BN59" s="352"/>
      <c r="BO59" s="352"/>
      <c r="BP59" s="352"/>
      <c r="BQ59" s="352"/>
      <c r="BR59" s="353"/>
      <c r="BS59" s="352"/>
      <c r="BT59" s="352"/>
      <c r="BU59" s="352"/>
      <c r="BV59" s="352"/>
      <c r="BW59" s="213"/>
      <c r="BX59" s="213"/>
      <c r="BY59" s="213"/>
      <c r="BZ59" s="213"/>
      <c r="CA59" s="213"/>
      <c r="CB59" s="213"/>
      <c r="CC59" s="213"/>
      <c r="CD59" s="213"/>
      <c r="CE59" s="213"/>
      <c r="CF59" s="213"/>
      <c r="CG59" s="213"/>
      <c r="CH59" s="213"/>
      <c r="CI59" s="213"/>
      <c r="CJ59" s="213"/>
      <c r="CK59" s="213"/>
      <c r="CL59" s="213"/>
      <c r="CM59" s="213"/>
      <c r="CN59" s="213"/>
      <c r="CO59" s="213"/>
      <c r="CP59" s="213"/>
    </row>
    <row r="60" ht="15.75" hidden="1" customHeight="1">
      <c r="A60" s="213"/>
      <c r="B60" s="393"/>
      <c r="C60" s="350"/>
      <c r="D60" s="604"/>
      <c r="E60" s="355"/>
      <c r="F60" s="352"/>
      <c r="G60" s="352"/>
      <c r="H60" s="352"/>
      <c r="I60" s="358"/>
      <c r="J60" s="604"/>
      <c r="K60" s="355"/>
      <c r="L60" s="352"/>
      <c r="M60" s="352"/>
      <c r="N60" s="352"/>
      <c r="O60" s="358"/>
      <c r="P60" s="604"/>
      <c r="Q60" s="352"/>
      <c r="R60" s="352"/>
      <c r="S60" s="352"/>
      <c r="T60" s="352"/>
      <c r="U60" s="358"/>
      <c r="V60" s="604"/>
      <c r="W60" s="355"/>
      <c r="X60" s="357"/>
      <c r="Y60" s="352"/>
      <c r="Z60" s="352"/>
      <c r="AA60" s="358"/>
      <c r="AB60" s="604"/>
      <c r="AC60" s="355"/>
      <c r="AD60" s="352"/>
      <c r="AE60" s="352"/>
      <c r="AF60" s="352"/>
      <c r="AG60" s="358"/>
      <c r="AH60" s="604"/>
      <c r="AI60" s="352"/>
      <c r="AJ60" s="352"/>
      <c r="AK60" s="352"/>
      <c r="AL60" s="352"/>
      <c r="AM60" s="358"/>
      <c r="AN60" s="605"/>
      <c r="AO60" s="352"/>
      <c r="AP60" s="352"/>
      <c r="AQ60" s="352"/>
      <c r="AR60" s="352"/>
      <c r="AS60" s="352"/>
      <c r="AT60" s="357"/>
      <c r="AU60" s="352"/>
      <c r="AV60" s="352"/>
      <c r="AW60" s="352"/>
      <c r="AX60" s="352"/>
      <c r="AY60" s="352"/>
      <c r="AZ60" s="357"/>
      <c r="BA60" s="352"/>
      <c r="BB60" s="352"/>
      <c r="BC60" s="352"/>
      <c r="BD60" s="352"/>
      <c r="BE60" s="352"/>
      <c r="BF60" s="357"/>
      <c r="BG60" s="352"/>
      <c r="BH60" s="352"/>
      <c r="BI60" s="352"/>
      <c r="BJ60" s="352"/>
      <c r="BK60" s="352"/>
      <c r="BL60" s="357"/>
      <c r="BM60" s="352"/>
      <c r="BN60" s="352"/>
      <c r="BO60" s="352"/>
      <c r="BP60" s="352"/>
      <c r="BQ60" s="352"/>
      <c r="BR60" s="353"/>
      <c r="BS60" s="352"/>
      <c r="BT60" s="352"/>
      <c r="BU60" s="352"/>
      <c r="BV60" s="352"/>
      <c r="BW60" s="213"/>
      <c r="BX60" s="213"/>
      <c r="BY60" s="213"/>
      <c r="BZ60" s="213"/>
      <c r="CA60" s="213"/>
      <c r="CB60" s="213"/>
      <c r="CC60" s="213"/>
      <c r="CD60" s="213"/>
      <c r="CE60" s="213"/>
      <c r="CF60" s="213"/>
      <c r="CG60" s="213"/>
      <c r="CH60" s="213"/>
      <c r="CI60" s="213"/>
      <c r="CJ60" s="213"/>
      <c r="CK60" s="213"/>
      <c r="CL60" s="213"/>
      <c r="CM60" s="213"/>
      <c r="CN60" s="213"/>
      <c r="CO60" s="213"/>
      <c r="CP60" s="213"/>
    </row>
    <row r="61" ht="15.75" hidden="1" customHeight="1">
      <c r="A61" s="213"/>
      <c r="B61" s="393"/>
      <c r="C61" s="350"/>
      <c r="D61" s="604"/>
      <c r="E61" s="352"/>
      <c r="F61" s="352"/>
      <c r="G61" s="352"/>
      <c r="H61" s="352"/>
      <c r="I61" s="358"/>
      <c r="J61" s="604"/>
      <c r="K61" s="352"/>
      <c r="L61" s="352"/>
      <c r="M61" s="352"/>
      <c r="N61" s="352"/>
      <c r="O61" s="358"/>
      <c r="P61" s="604"/>
      <c r="Q61" s="352"/>
      <c r="R61" s="352"/>
      <c r="S61" s="352"/>
      <c r="T61" s="352"/>
      <c r="U61" s="358"/>
      <c r="V61" s="604"/>
      <c r="W61" s="352"/>
      <c r="X61" s="357"/>
      <c r="Y61" s="352"/>
      <c r="Z61" s="352"/>
      <c r="AA61" s="358"/>
      <c r="AB61" s="604"/>
      <c r="AC61" s="352"/>
      <c r="AD61" s="352"/>
      <c r="AE61" s="352"/>
      <c r="AF61" s="352"/>
      <c r="AG61" s="358"/>
      <c r="AH61" s="604"/>
      <c r="AI61" s="352"/>
      <c r="AJ61" s="352"/>
      <c r="AK61" s="352"/>
      <c r="AL61" s="352"/>
      <c r="AM61" s="358"/>
      <c r="AN61" s="605"/>
      <c r="AO61" s="352"/>
      <c r="AP61" s="352"/>
      <c r="AQ61" s="352"/>
      <c r="AR61" s="352"/>
      <c r="AS61" s="352"/>
      <c r="AT61" s="357"/>
      <c r="AU61" s="352"/>
      <c r="AV61" s="352"/>
      <c r="AW61" s="352"/>
      <c r="AX61" s="352"/>
      <c r="AY61" s="352"/>
      <c r="AZ61" s="357"/>
      <c r="BA61" s="352"/>
      <c r="BB61" s="352"/>
      <c r="BC61" s="352"/>
      <c r="BD61" s="352"/>
      <c r="BE61" s="352"/>
      <c r="BF61" s="357"/>
      <c r="BG61" s="352"/>
      <c r="BH61" s="352"/>
      <c r="BI61" s="352"/>
      <c r="BJ61" s="352"/>
      <c r="BK61" s="352"/>
      <c r="BL61" s="357"/>
      <c r="BM61" s="352"/>
      <c r="BN61" s="352"/>
      <c r="BO61" s="352"/>
      <c r="BP61" s="352"/>
      <c r="BQ61" s="352"/>
      <c r="BR61" s="353"/>
      <c r="BS61" s="352"/>
      <c r="BT61" s="352"/>
      <c r="BU61" s="352"/>
      <c r="BV61" s="245"/>
      <c r="BW61" s="213"/>
      <c r="BX61" s="213"/>
      <c r="BY61" s="213"/>
      <c r="BZ61" s="213"/>
      <c r="CA61" s="213"/>
      <c r="CB61" s="213"/>
      <c r="CC61" s="213"/>
      <c r="CD61" s="213"/>
      <c r="CE61" s="213"/>
      <c r="CF61" s="213"/>
      <c r="CG61" s="213"/>
      <c r="CH61" s="213"/>
      <c r="CI61" s="213"/>
      <c r="CJ61" s="213"/>
      <c r="CK61" s="213"/>
      <c r="CL61" s="213"/>
      <c r="CM61" s="213"/>
      <c r="CN61" s="213"/>
      <c r="CO61" s="213"/>
      <c r="CP61" s="213"/>
    </row>
    <row r="62" ht="15.75" hidden="1" customHeight="1">
      <c r="A62" s="213"/>
      <c r="B62" s="393"/>
      <c r="C62" s="350" t="s">
        <v>248</v>
      </c>
      <c r="D62" s="604">
        <f>SUM(D55:D61)</f>
        <v>0</v>
      </c>
      <c r="E62" s="355">
        <f>D62/D$33</f>
        <v>0</v>
      </c>
      <c r="F62" s="352">
        <f>SUM(F56:F61)</f>
        <v>0</v>
      </c>
      <c r="G62" s="355"/>
      <c r="H62" s="352">
        <f>SUM(H56:H61)</f>
        <v>0</v>
      </c>
      <c r="I62" s="395"/>
      <c r="J62" s="604">
        <f>SUM(J55:J61)</f>
        <v>0</v>
      </c>
      <c r="K62" s="355">
        <f>J62/J$33</f>
        <v>0</v>
      </c>
      <c r="L62" s="352">
        <f>SUM(L56:L61)</f>
        <v>0</v>
      </c>
      <c r="M62" s="355" t="str">
        <f>L62/L15</f>
        <v>#DIV/0!</v>
      </c>
      <c r="N62" s="352">
        <f>SUM(N56:N61)</f>
        <v>0</v>
      </c>
      <c r="O62" s="358"/>
      <c r="P62" s="604">
        <f>SUM(P55:P61)</f>
        <v>0</v>
      </c>
      <c r="Q62" s="355">
        <f>P62/P33</f>
        <v>0</v>
      </c>
      <c r="R62" s="352">
        <f>SUM(R56:R61)</f>
        <v>0</v>
      </c>
      <c r="S62" s="355"/>
      <c r="T62" s="352">
        <f>SUM(T56:T61)</f>
        <v>0</v>
      </c>
      <c r="U62" s="358"/>
      <c r="V62" s="604">
        <f>SUM(V55:V61)</f>
        <v>0</v>
      </c>
      <c r="W62" s="355">
        <f>V62/V$33</f>
        <v>0</v>
      </c>
      <c r="X62" s="357"/>
      <c r="Y62" s="355"/>
      <c r="Z62" s="352"/>
      <c r="AA62" s="358"/>
      <c r="AB62" s="604">
        <f>SUM(AB55:AB61)</f>
        <v>0</v>
      </c>
      <c r="AC62" s="355">
        <f>AB62/AB$33</f>
        <v>0</v>
      </c>
      <c r="AD62" s="352">
        <f>SUM(AD56:AD61)</f>
        <v>0</v>
      </c>
      <c r="AE62" s="355" t="str">
        <f>AD62/AD15</f>
        <v>#DIV/0!</v>
      </c>
      <c r="AF62" s="352">
        <f>SUM(AF56:AF61)</f>
        <v>0</v>
      </c>
      <c r="AG62" s="358"/>
      <c r="AH62" s="604">
        <f>SUM(AH55:AH61)</f>
        <v>0</v>
      </c>
      <c r="AI62" s="352"/>
      <c r="AJ62" s="352"/>
      <c r="AK62" s="355"/>
      <c r="AL62" s="352">
        <f>SUM(AL56:AL61)</f>
        <v>0</v>
      </c>
      <c r="AM62" s="358"/>
      <c r="AN62" s="605">
        <f>SUM(AN55:AN61)</f>
        <v>0</v>
      </c>
      <c r="AO62" s="352"/>
      <c r="AP62" s="352"/>
      <c r="AQ62" s="355"/>
      <c r="AR62" s="352"/>
      <c r="AS62" s="352"/>
      <c r="AT62" s="357">
        <f>SUM(AT56:AT61)</f>
        <v>0</v>
      </c>
      <c r="AU62" s="352"/>
      <c r="AV62" s="352">
        <f>SUM(AV56:AV61)</f>
        <v>0</v>
      </c>
      <c r="AW62" s="355"/>
      <c r="AX62" s="352">
        <f>SUM(AX56:AX61)</f>
        <v>0</v>
      </c>
      <c r="AY62" s="352"/>
      <c r="AZ62" s="357">
        <f>SUM(AZ56:AZ61)</f>
        <v>0</v>
      </c>
      <c r="BA62" s="352"/>
      <c r="BB62" s="352">
        <f>SUM(BB56:BB61)</f>
        <v>0</v>
      </c>
      <c r="BC62" s="355" t="str">
        <f>BB62/BB15</f>
        <v>#DIV/0!</v>
      </c>
      <c r="BD62" s="352">
        <f>SUM(BD56:BD61)</f>
        <v>0</v>
      </c>
      <c r="BE62" s="352"/>
      <c r="BF62" s="357">
        <f>SUM(BF56:BF61)</f>
        <v>0</v>
      </c>
      <c r="BG62" s="352"/>
      <c r="BH62" s="352">
        <f>SUM(BH56:BH61)</f>
        <v>0</v>
      </c>
      <c r="BI62" s="355" t="str">
        <f>BH62/BH15</f>
        <v>#DIV/0!</v>
      </c>
      <c r="BJ62" s="352">
        <f>SUM(BJ56:BJ61)</f>
        <v>0</v>
      </c>
      <c r="BK62" s="352"/>
      <c r="BL62" s="357">
        <f>SUM(BL56:BL61)</f>
        <v>0</v>
      </c>
      <c r="BM62" s="352"/>
      <c r="BN62" s="352">
        <f>SUM(BN56:BN61)</f>
        <v>0</v>
      </c>
      <c r="BO62" s="355" t="str">
        <f>BN62/BN15</f>
        <v>#DIV/0!</v>
      </c>
      <c r="BP62" s="352">
        <f>SUM(BP56:BP61)</f>
        <v>0</v>
      </c>
      <c r="BQ62" s="352"/>
      <c r="BR62" s="353">
        <f>SUM(BR56:BR61)</f>
        <v>0</v>
      </c>
      <c r="BS62" s="352"/>
      <c r="BT62" s="352">
        <f>SUM(BT56:BT61)</f>
        <v>0</v>
      </c>
      <c r="BU62" s="355" t="str">
        <f>BT62/BT15</f>
        <v>#DIV/0!</v>
      </c>
      <c r="BV62" s="352">
        <f>SUM(BV56:BV61)</f>
        <v>0</v>
      </c>
      <c r="BW62" s="213"/>
      <c r="BX62" s="213"/>
      <c r="BY62" s="213"/>
      <c r="BZ62" s="213"/>
      <c r="CA62" s="213"/>
      <c r="CB62" s="213"/>
      <c r="CC62" s="213"/>
      <c r="CD62" s="213"/>
      <c r="CE62" s="213"/>
      <c r="CF62" s="213"/>
      <c r="CG62" s="213"/>
      <c r="CH62" s="213"/>
      <c r="CI62" s="213"/>
      <c r="CJ62" s="213"/>
      <c r="CK62" s="213"/>
      <c r="CL62" s="213"/>
      <c r="CM62" s="213"/>
      <c r="CN62" s="213"/>
      <c r="CO62" s="213"/>
      <c r="CP62" s="213"/>
    </row>
    <row r="63" ht="15.75" hidden="1" customHeight="1">
      <c r="A63" s="213"/>
      <c r="B63" s="393"/>
      <c r="C63" s="350"/>
      <c r="D63" s="604"/>
      <c r="E63" s="245"/>
      <c r="F63" s="245"/>
      <c r="G63" s="355"/>
      <c r="H63" s="245"/>
      <c r="I63" s="350"/>
      <c r="J63" s="604"/>
      <c r="K63" s="245"/>
      <c r="L63" s="245"/>
      <c r="M63" s="245"/>
      <c r="N63" s="245"/>
      <c r="O63" s="350"/>
      <c r="P63" s="604"/>
      <c r="Q63" s="355"/>
      <c r="R63" s="352"/>
      <c r="S63" s="245"/>
      <c r="T63" s="245"/>
      <c r="U63" s="350"/>
      <c r="V63" s="604"/>
      <c r="W63" s="352"/>
      <c r="X63" s="676"/>
      <c r="Y63" s="245"/>
      <c r="Z63" s="245"/>
      <c r="AA63" s="350"/>
      <c r="AB63" s="604"/>
      <c r="AC63" s="245"/>
      <c r="AD63" s="245"/>
      <c r="AE63" s="245"/>
      <c r="AF63" s="245"/>
      <c r="AG63" s="350"/>
      <c r="AH63" s="604"/>
      <c r="AI63" s="245"/>
      <c r="AJ63" s="245"/>
      <c r="AK63" s="245"/>
      <c r="AL63" s="245"/>
      <c r="AM63" s="350"/>
      <c r="AN63" s="605"/>
      <c r="AO63" s="245"/>
      <c r="AP63" s="245"/>
      <c r="AQ63" s="245"/>
      <c r="AR63" s="245"/>
      <c r="AS63" s="245"/>
      <c r="AT63" s="357"/>
      <c r="AU63" s="245"/>
      <c r="AV63" s="245"/>
      <c r="AW63" s="245"/>
      <c r="AX63" s="245"/>
      <c r="AY63" s="245"/>
      <c r="AZ63" s="357"/>
      <c r="BA63" s="245"/>
      <c r="BB63" s="245"/>
      <c r="BC63" s="245"/>
      <c r="BD63" s="245"/>
      <c r="BE63" s="245"/>
      <c r="BF63" s="357"/>
      <c r="BG63" s="245"/>
      <c r="BH63" s="245"/>
      <c r="BI63" s="245"/>
      <c r="BJ63" s="245"/>
      <c r="BK63" s="245"/>
      <c r="BL63" s="357"/>
      <c r="BM63" s="245"/>
      <c r="BN63" s="245"/>
      <c r="BO63" s="245"/>
      <c r="BP63" s="245"/>
      <c r="BQ63" s="245"/>
      <c r="BR63" s="356"/>
      <c r="BS63" s="245"/>
      <c r="BT63" s="245"/>
      <c r="BU63" s="245"/>
      <c r="BV63" s="245"/>
      <c r="BW63" s="213"/>
      <c r="BX63" s="213"/>
      <c r="BY63" s="213"/>
      <c r="BZ63" s="213"/>
      <c r="CA63" s="213"/>
      <c r="CB63" s="213"/>
      <c r="CC63" s="213"/>
      <c r="CD63" s="213"/>
      <c r="CE63" s="213"/>
      <c r="CF63" s="213"/>
      <c r="CG63" s="213"/>
      <c r="CH63" s="213"/>
      <c r="CI63" s="213"/>
      <c r="CJ63" s="213"/>
      <c r="CK63" s="213"/>
      <c r="CL63" s="213"/>
      <c r="CM63" s="213"/>
      <c r="CN63" s="213"/>
      <c r="CO63" s="213"/>
      <c r="CP63" s="213"/>
    </row>
    <row r="64" ht="15.75" hidden="1" customHeight="1">
      <c r="A64" s="213"/>
      <c r="B64" s="393"/>
      <c r="C64" s="350"/>
      <c r="D64" s="604"/>
      <c r="E64" s="245"/>
      <c r="F64" s="245"/>
      <c r="G64" s="355"/>
      <c r="H64" s="245"/>
      <c r="I64" s="350"/>
      <c r="J64" s="604"/>
      <c r="K64" s="245"/>
      <c r="L64" s="245"/>
      <c r="M64" s="245"/>
      <c r="N64" s="245"/>
      <c r="O64" s="350"/>
      <c r="P64" s="604"/>
      <c r="Q64" s="355"/>
      <c r="R64" s="352"/>
      <c r="S64" s="245"/>
      <c r="T64" s="245"/>
      <c r="U64" s="350"/>
      <c r="V64" s="604"/>
      <c r="W64" s="352"/>
      <c r="X64" s="676"/>
      <c r="Y64" s="245"/>
      <c r="Z64" s="245"/>
      <c r="AA64" s="350"/>
      <c r="AB64" s="604"/>
      <c r="AC64" s="245"/>
      <c r="AD64" s="245"/>
      <c r="AE64" s="245"/>
      <c r="AF64" s="245"/>
      <c r="AG64" s="350"/>
      <c r="AH64" s="604"/>
      <c r="AI64" s="245"/>
      <c r="AJ64" s="245"/>
      <c r="AK64" s="245"/>
      <c r="AL64" s="245"/>
      <c r="AM64" s="350"/>
      <c r="AN64" s="605"/>
      <c r="AO64" s="245"/>
      <c r="AP64" s="245"/>
      <c r="AQ64" s="245"/>
      <c r="AR64" s="245"/>
      <c r="AS64" s="245"/>
      <c r="AT64" s="357"/>
      <c r="AU64" s="245"/>
      <c r="AV64" s="245"/>
      <c r="AW64" s="245"/>
      <c r="AX64" s="245"/>
      <c r="AY64" s="245"/>
      <c r="AZ64" s="357"/>
      <c r="BA64" s="245"/>
      <c r="BB64" s="245"/>
      <c r="BC64" s="245"/>
      <c r="BD64" s="245"/>
      <c r="BE64" s="245"/>
      <c r="BF64" s="357"/>
      <c r="BG64" s="245"/>
      <c r="BH64" s="245"/>
      <c r="BI64" s="245"/>
      <c r="BJ64" s="245"/>
      <c r="BK64" s="245"/>
      <c r="BL64" s="357"/>
      <c r="BM64" s="245"/>
      <c r="BN64" s="245"/>
      <c r="BO64" s="245"/>
      <c r="BP64" s="245"/>
      <c r="BQ64" s="245"/>
      <c r="BR64" s="356"/>
      <c r="BS64" s="245"/>
      <c r="BT64" s="245"/>
      <c r="BU64" s="245"/>
      <c r="BV64" s="245"/>
      <c r="BW64" s="213"/>
      <c r="BX64" s="213"/>
      <c r="BY64" s="213"/>
      <c r="BZ64" s="213"/>
      <c r="CA64" s="213"/>
      <c r="CB64" s="213"/>
      <c r="CC64" s="213"/>
      <c r="CD64" s="213"/>
      <c r="CE64" s="213"/>
      <c r="CF64" s="213"/>
      <c r="CG64" s="213"/>
      <c r="CH64" s="213"/>
      <c r="CI64" s="213"/>
      <c r="CJ64" s="213"/>
      <c r="CK64" s="213"/>
      <c r="CL64" s="213"/>
      <c r="CM64" s="213"/>
      <c r="CN64" s="213"/>
      <c r="CO64" s="213"/>
      <c r="CP64" s="213"/>
    </row>
    <row r="65" ht="15.75" hidden="1" customHeight="1">
      <c r="A65" s="213"/>
      <c r="B65" s="393"/>
      <c r="C65" s="350"/>
      <c r="D65" s="604"/>
      <c r="E65" s="245"/>
      <c r="F65" s="245"/>
      <c r="G65" s="355"/>
      <c r="H65" s="245"/>
      <c r="I65" s="350"/>
      <c r="J65" s="604"/>
      <c r="K65" s="245"/>
      <c r="L65" s="245"/>
      <c r="M65" s="245"/>
      <c r="N65" s="245"/>
      <c r="O65" s="350"/>
      <c r="P65" s="604"/>
      <c r="Q65" s="355"/>
      <c r="R65" s="352"/>
      <c r="S65" s="245"/>
      <c r="T65" s="245"/>
      <c r="U65" s="350"/>
      <c r="V65" s="604"/>
      <c r="W65" s="352"/>
      <c r="X65" s="676"/>
      <c r="Y65" s="245"/>
      <c r="Z65" s="245"/>
      <c r="AA65" s="350"/>
      <c r="AB65" s="604"/>
      <c r="AC65" s="245"/>
      <c r="AD65" s="245"/>
      <c r="AE65" s="245"/>
      <c r="AF65" s="245"/>
      <c r="AG65" s="350"/>
      <c r="AH65" s="604"/>
      <c r="AI65" s="245"/>
      <c r="AJ65" s="245"/>
      <c r="AK65" s="245"/>
      <c r="AL65" s="245"/>
      <c r="AM65" s="350"/>
      <c r="AN65" s="605"/>
      <c r="AO65" s="245"/>
      <c r="AP65" s="245"/>
      <c r="AQ65" s="245"/>
      <c r="AR65" s="245"/>
      <c r="AS65" s="245"/>
      <c r="AT65" s="357"/>
      <c r="AU65" s="245"/>
      <c r="AV65" s="245"/>
      <c r="AW65" s="245"/>
      <c r="AX65" s="245"/>
      <c r="AY65" s="245"/>
      <c r="AZ65" s="357"/>
      <c r="BA65" s="245"/>
      <c r="BB65" s="245"/>
      <c r="BC65" s="245"/>
      <c r="BD65" s="245"/>
      <c r="BE65" s="245"/>
      <c r="BF65" s="357"/>
      <c r="BG65" s="245"/>
      <c r="BH65" s="245"/>
      <c r="BI65" s="245"/>
      <c r="BJ65" s="245"/>
      <c r="BK65" s="245"/>
      <c r="BL65" s="357"/>
      <c r="BM65" s="245"/>
      <c r="BN65" s="245"/>
      <c r="BO65" s="245"/>
      <c r="BP65" s="245"/>
      <c r="BQ65" s="245"/>
      <c r="BR65" s="356"/>
      <c r="BS65" s="245"/>
      <c r="BT65" s="245"/>
      <c r="BU65" s="245"/>
      <c r="BV65" s="245"/>
      <c r="BW65" s="213"/>
      <c r="BX65" s="213"/>
      <c r="BY65" s="213"/>
      <c r="BZ65" s="213"/>
      <c r="CA65" s="213"/>
      <c r="CB65" s="213"/>
      <c r="CC65" s="213"/>
      <c r="CD65" s="213"/>
      <c r="CE65" s="213"/>
      <c r="CF65" s="213"/>
      <c r="CG65" s="213"/>
      <c r="CH65" s="213"/>
      <c r="CI65" s="213"/>
      <c r="CJ65" s="213"/>
      <c r="CK65" s="213"/>
      <c r="CL65" s="213"/>
      <c r="CM65" s="213"/>
      <c r="CN65" s="213"/>
      <c r="CO65" s="213"/>
      <c r="CP65" s="213"/>
    </row>
    <row r="66" ht="15.75" hidden="1" customHeight="1">
      <c r="A66" s="213"/>
      <c r="B66" s="403"/>
      <c r="C66" s="362"/>
      <c r="D66" s="619"/>
      <c r="E66" s="688"/>
      <c r="F66" s="688"/>
      <c r="G66" s="404"/>
      <c r="H66" s="688"/>
      <c r="I66" s="362"/>
      <c r="J66" s="619"/>
      <c r="K66" s="688"/>
      <c r="L66" s="688"/>
      <c r="M66" s="688"/>
      <c r="N66" s="688"/>
      <c r="O66" s="362"/>
      <c r="P66" s="619"/>
      <c r="Q66" s="404"/>
      <c r="R66" s="364"/>
      <c r="S66" s="688"/>
      <c r="T66" s="688"/>
      <c r="U66" s="362"/>
      <c r="V66" s="619"/>
      <c r="W66" s="364"/>
      <c r="X66" s="803"/>
      <c r="Y66" s="688"/>
      <c r="Z66" s="688"/>
      <c r="AA66" s="362"/>
      <c r="AB66" s="619"/>
      <c r="AC66" s="688"/>
      <c r="AD66" s="688"/>
      <c r="AE66" s="688"/>
      <c r="AF66" s="688"/>
      <c r="AG66" s="362"/>
      <c r="AH66" s="619"/>
      <c r="AI66" s="688"/>
      <c r="AJ66" s="688"/>
      <c r="AK66" s="688"/>
      <c r="AL66" s="688"/>
      <c r="AM66" s="362"/>
      <c r="AN66" s="793"/>
      <c r="AO66" s="688"/>
      <c r="AP66" s="688"/>
      <c r="AQ66" s="688"/>
      <c r="AR66" s="688"/>
      <c r="AS66" s="688"/>
      <c r="AT66" s="367"/>
      <c r="AU66" s="688"/>
      <c r="AV66" s="688"/>
      <c r="AW66" s="688"/>
      <c r="AX66" s="688"/>
      <c r="AY66" s="688"/>
      <c r="AZ66" s="367"/>
      <c r="BA66" s="688"/>
      <c r="BB66" s="688"/>
      <c r="BC66" s="688"/>
      <c r="BD66" s="688"/>
      <c r="BE66" s="688"/>
      <c r="BF66" s="367"/>
      <c r="BG66" s="688"/>
      <c r="BH66" s="688"/>
      <c r="BI66" s="688"/>
      <c r="BJ66" s="688"/>
      <c r="BK66" s="688"/>
      <c r="BL66" s="367"/>
      <c r="BM66" s="688"/>
      <c r="BN66" s="688"/>
      <c r="BO66" s="688"/>
      <c r="BP66" s="688"/>
      <c r="BQ66" s="688"/>
      <c r="BR66" s="804"/>
      <c r="BS66" s="688"/>
      <c r="BT66" s="688"/>
      <c r="BU66" s="688"/>
      <c r="BV66" s="688"/>
      <c r="BW66" s="213"/>
      <c r="BX66" s="213"/>
      <c r="BY66" s="213"/>
      <c r="BZ66" s="213"/>
      <c r="CA66" s="213"/>
      <c r="CB66" s="213"/>
      <c r="CC66" s="213"/>
      <c r="CD66" s="213"/>
      <c r="CE66" s="213"/>
      <c r="CF66" s="213"/>
      <c r="CG66" s="213"/>
      <c r="CH66" s="213"/>
      <c r="CI66" s="213"/>
      <c r="CJ66" s="213"/>
      <c r="CK66" s="213"/>
      <c r="CL66" s="213"/>
      <c r="CM66" s="213"/>
      <c r="CN66" s="213"/>
      <c r="CO66" s="213"/>
      <c r="CP66" s="213"/>
    </row>
    <row r="67" ht="15.75" customHeight="1">
      <c r="A67" s="213"/>
      <c r="B67" s="805" t="s">
        <v>33</v>
      </c>
      <c r="C67" s="694" t="s">
        <v>33</v>
      </c>
      <c r="D67" s="600">
        <f>D33-D53-D62</f>
        <v>11218442.03</v>
      </c>
      <c r="E67" s="374">
        <f>D67/D$33</f>
        <v>0.6953482643</v>
      </c>
      <c r="F67" s="377">
        <f>F33-F53-F62</f>
        <v>10756053.59</v>
      </c>
      <c r="G67" s="374">
        <f>F67/F$33</f>
        <v>0.7026743498</v>
      </c>
      <c r="H67" s="377">
        <f>H33-H53-H62</f>
        <v>462388.4364</v>
      </c>
      <c r="I67" s="379">
        <f>H67/H$33</f>
        <v>0.5596233181</v>
      </c>
      <c r="J67" s="600">
        <f>J33-J53-J62</f>
        <v>11647438.92</v>
      </c>
      <c r="K67" s="374">
        <f>J67/J$33</f>
        <v>0.7039199696</v>
      </c>
      <c r="L67" s="377">
        <f>L33-L53-L62</f>
        <v>12079431.58</v>
      </c>
      <c r="M67" s="374">
        <f>L67/L$33</f>
        <v>0.7031566295</v>
      </c>
      <c r="N67" s="800">
        <f>N33-N53</f>
        <v>0</v>
      </c>
      <c r="O67" s="372"/>
      <c r="P67" s="600">
        <f>P33-P53-P62</f>
        <v>11430647</v>
      </c>
      <c r="Q67" s="374">
        <f>P67/P$33</f>
        <v>0.7488200695</v>
      </c>
      <c r="R67" s="377">
        <f>R33-R53</f>
        <v>11414335.69</v>
      </c>
      <c r="S67" s="806">
        <f>R67/R$33</f>
        <v>0.7027468951</v>
      </c>
      <c r="T67" s="800">
        <f>T33-T53</f>
        <v>0</v>
      </c>
      <c r="U67" s="372"/>
      <c r="V67" s="600">
        <f>V33-V53-V62</f>
        <v>11997062.89</v>
      </c>
      <c r="W67" s="374">
        <f>V67/V$33</f>
        <v>0.7432704938</v>
      </c>
      <c r="X67" s="800">
        <f>X33-X53</f>
        <v>11137134.43</v>
      </c>
      <c r="Y67" s="806">
        <f>X67/X$33</f>
        <v>0.7024112165</v>
      </c>
      <c r="Z67" s="800">
        <f>Z33-Z53</f>
        <v>0</v>
      </c>
      <c r="AA67" s="372"/>
      <c r="AB67" s="600">
        <f>AB33-AB53</f>
        <v>12506720.72</v>
      </c>
      <c r="AC67" s="806">
        <f>AB67/AB$33</f>
        <v>0.7162380711</v>
      </c>
      <c r="AD67" s="800">
        <f>AD33-AD53</f>
        <v>12429395.44</v>
      </c>
      <c r="AE67" s="806">
        <f>AD67/AD$33</f>
        <v>0.7028109739</v>
      </c>
      <c r="AF67" s="800">
        <f>AF33-AF53</f>
        <v>0</v>
      </c>
      <c r="AG67" s="372"/>
      <c r="AH67" s="600">
        <f>AH33-AH53</f>
        <v>10900755.62</v>
      </c>
      <c r="AI67" s="806">
        <f>AH67/AH$33</f>
        <v>0.6967924655</v>
      </c>
      <c r="AJ67" s="800">
        <f>AJ33-AJ53</f>
        <v>11797318.73</v>
      </c>
      <c r="AK67" s="806">
        <f>AJ67/AJ$33</f>
        <v>0.6978165641</v>
      </c>
      <c r="AL67" s="800">
        <f>AL33-AL53</f>
        <v>0</v>
      </c>
      <c r="AM67" s="372"/>
      <c r="AN67" s="601">
        <f>AN33-AN53</f>
        <v>11540713.26</v>
      </c>
      <c r="AO67" s="806">
        <f>AN67/AN$33</f>
        <v>0.6963630303</v>
      </c>
      <c r="AP67" s="800">
        <f>AP33-AP53</f>
        <v>12275495.28</v>
      </c>
      <c r="AQ67" s="806">
        <f>AP67/AP$33</f>
        <v>0.7023615574</v>
      </c>
      <c r="AR67" s="800">
        <f>AR33-AR53</f>
        <v>0</v>
      </c>
      <c r="AS67" s="437"/>
      <c r="AT67" s="377">
        <f>AT33-AT53</f>
        <v>12061439.6</v>
      </c>
      <c r="AU67" s="806">
        <f>AT67/AT$33</f>
        <v>0.7112911516</v>
      </c>
      <c r="AV67" s="800">
        <f>AV33-AV53</f>
        <v>11993713.05</v>
      </c>
      <c r="AW67" s="806">
        <f>AV67/AV$33</f>
        <v>0.7021718516</v>
      </c>
      <c r="AX67" s="800">
        <f>AX33-AX53</f>
        <v>0</v>
      </c>
      <c r="AY67" s="437"/>
      <c r="AZ67" s="377">
        <f>AZ33-AZ53</f>
        <v>14698911.1</v>
      </c>
      <c r="BA67" s="806">
        <f>AZ67/AZ$33</f>
        <v>0.7139986768</v>
      </c>
      <c r="BB67" s="800">
        <f>BB33-BB53</f>
        <v>13735688.62</v>
      </c>
      <c r="BC67" s="806">
        <f>BB67/BB$33</f>
        <v>0.7023601914</v>
      </c>
      <c r="BD67" s="800">
        <f>BD33-BD53</f>
        <v>0</v>
      </c>
      <c r="BE67" s="437"/>
      <c r="BF67" s="377">
        <f>BF33-BF53</f>
        <v>13388043.15</v>
      </c>
      <c r="BG67" s="806">
        <f>BF67/BF$33</f>
        <v>0.7142806636</v>
      </c>
      <c r="BH67" s="800">
        <f>BH33-BH53</f>
        <v>12577467.76</v>
      </c>
      <c r="BI67" s="437"/>
      <c r="BJ67" s="800">
        <f>BJ33-BJ53</f>
        <v>0</v>
      </c>
      <c r="BK67" s="437"/>
      <c r="BL67" s="377">
        <f>BL33-BL53</f>
        <v>11655608.71</v>
      </c>
      <c r="BM67" s="806">
        <f>BL67/BL$33</f>
        <v>0.7089417513</v>
      </c>
      <c r="BN67" s="800">
        <f>BN33-BN53</f>
        <v>10519076.51</v>
      </c>
      <c r="BO67" s="437"/>
      <c r="BP67" s="800">
        <f>BP33-BP53</f>
        <v>0</v>
      </c>
      <c r="BQ67" s="437"/>
      <c r="BR67" s="692">
        <f>BR33-BR53</f>
        <v>13523516.87</v>
      </c>
      <c r="BS67" s="806">
        <f>BR67/BR$33</f>
        <v>0.7172623936</v>
      </c>
      <c r="BT67" s="800">
        <f>BT33-BT53</f>
        <v>11830482.26</v>
      </c>
      <c r="BU67" s="806">
        <f>BT67/BT$33</f>
        <v>0.7016942801</v>
      </c>
      <c r="BV67" s="800">
        <f>BV33-BV53</f>
        <v>0</v>
      </c>
      <c r="BW67" s="213"/>
      <c r="BX67" s="213"/>
      <c r="BY67" s="213"/>
      <c r="BZ67" s="213"/>
      <c r="CA67" s="213"/>
      <c r="CB67" s="213"/>
      <c r="CC67" s="213"/>
      <c r="CD67" s="213"/>
      <c r="CE67" s="213"/>
      <c r="CF67" s="213"/>
      <c r="CG67" s="213"/>
      <c r="CH67" s="213"/>
      <c r="CI67" s="213"/>
      <c r="CJ67" s="213"/>
      <c r="CK67" s="213"/>
      <c r="CL67" s="213"/>
      <c r="CM67" s="213"/>
      <c r="CN67" s="213"/>
      <c r="CO67" s="213"/>
      <c r="CP67" s="213"/>
    </row>
    <row r="68" ht="15.75" customHeight="1">
      <c r="A68" s="213"/>
      <c r="B68" s="444"/>
      <c r="C68" s="383"/>
      <c r="D68" s="708"/>
      <c r="E68" s="709"/>
      <c r="F68" s="709"/>
      <c r="G68" s="385"/>
      <c r="H68" s="709"/>
      <c r="I68" s="383"/>
      <c r="J68" s="708"/>
      <c r="K68" s="709"/>
      <c r="L68" s="709"/>
      <c r="M68" s="709"/>
      <c r="N68" s="709"/>
      <c r="O68" s="383"/>
      <c r="P68" s="708"/>
      <c r="Q68" s="385"/>
      <c r="R68" s="440"/>
      <c r="S68" s="709"/>
      <c r="T68" s="709"/>
      <c r="U68" s="383"/>
      <c r="V68" s="708"/>
      <c r="W68" s="440"/>
      <c r="X68" s="801"/>
      <c r="Y68" s="709"/>
      <c r="Z68" s="709"/>
      <c r="AA68" s="383"/>
      <c r="AB68" s="708"/>
      <c r="AC68" s="709"/>
      <c r="AD68" s="709"/>
      <c r="AE68" s="709"/>
      <c r="AF68" s="709"/>
      <c r="AG68" s="383"/>
      <c r="AH68" s="708"/>
      <c r="AI68" s="709"/>
      <c r="AJ68" s="709"/>
      <c r="AK68" s="709"/>
      <c r="AL68" s="709"/>
      <c r="AM68" s="383"/>
      <c r="AN68" s="787"/>
      <c r="AO68" s="709"/>
      <c r="AP68" s="709"/>
      <c r="AQ68" s="709"/>
      <c r="AR68" s="709"/>
      <c r="AS68" s="709"/>
      <c r="AT68" s="388"/>
      <c r="AU68" s="709"/>
      <c r="AV68" s="709"/>
      <c r="AW68" s="709"/>
      <c r="AX68" s="709"/>
      <c r="AY68" s="709"/>
      <c r="AZ68" s="388"/>
      <c r="BA68" s="709"/>
      <c r="BB68" s="709"/>
      <c r="BC68" s="709"/>
      <c r="BD68" s="709"/>
      <c r="BE68" s="709"/>
      <c r="BF68" s="388"/>
      <c r="BG68" s="709"/>
      <c r="BH68" s="709"/>
      <c r="BI68" s="709"/>
      <c r="BJ68" s="709"/>
      <c r="BK68" s="709"/>
      <c r="BL68" s="388"/>
      <c r="BM68" s="709"/>
      <c r="BN68" s="709"/>
      <c r="BO68" s="709"/>
      <c r="BP68" s="709"/>
      <c r="BQ68" s="709"/>
      <c r="BR68" s="802"/>
      <c r="BS68" s="709"/>
      <c r="BT68" s="709"/>
      <c r="BU68" s="709"/>
      <c r="BV68" s="709"/>
      <c r="BW68" s="213"/>
      <c r="BX68" s="213"/>
      <c r="BY68" s="213"/>
      <c r="BZ68" s="213"/>
      <c r="CA68" s="213"/>
      <c r="CB68" s="213"/>
      <c r="CC68" s="213"/>
      <c r="CD68" s="213"/>
      <c r="CE68" s="213"/>
      <c r="CF68" s="213"/>
      <c r="CG68" s="213"/>
      <c r="CH68" s="213"/>
      <c r="CI68" s="213"/>
      <c r="CJ68" s="213"/>
      <c r="CK68" s="213"/>
      <c r="CL68" s="213"/>
      <c r="CM68" s="213"/>
      <c r="CN68" s="213"/>
      <c r="CO68" s="213"/>
      <c r="CP68" s="213"/>
    </row>
    <row r="69" ht="15.75" customHeight="1">
      <c r="A69" s="213"/>
      <c r="B69" s="393"/>
      <c r="C69" s="627" t="s">
        <v>241</v>
      </c>
      <c r="D69" s="604"/>
      <c r="E69" s="245"/>
      <c r="F69" s="245"/>
      <c r="G69" s="355"/>
      <c r="H69" s="245"/>
      <c r="I69" s="350"/>
      <c r="J69" s="604"/>
      <c r="K69" s="245"/>
      <c r="L69" s="245"/>
      <c r="M69" s="245"/>
      <c r="N69" s="245"/>
      <c r="O69" s="350"/>
      <c r="P69" s="604"/>
      <c r="Q69" s="355"/>
      <c r="R69" s="352"/>
      <c r="S69" s="245"/>
      <c r="T69" s="245"/>
      <c r="U69" s="350"/>
      <c r="V69" s="604"/>
      <c r="W69" s="352"/>
      <c r="X69" s="676"/>
      <c r="Y69" s="245"/>
      <c r="Z69" s="245"/>
      <c r="AA69" s="350"/>
      <c r="AB69" s="604"/>
      <c r="AC69" s="245"/>
      <c r="AD69" s="245"/>
      <c r="AE69" s="245"/>
      <c r="AF69" s="245"/>
      <c r="AG69" s="350"/>
      <c r="AH69" s="604"/>
      <c r="AI69" s="245"/>
      <c r="AJ69" s="245"/>
      <c r="AK69" s="245"/>
      <c r="AL69" s="245"/>
      <c r="AM69" s="350"/>
      <c r="AN69" s="605"/>
      <c r="AO69" s="245"/>
      <c r="AP69" s="245"/>
      <c r="AQ69" s="245"/>
      <c r="AR69" s="245"/>
      <c r="AS69" s="245"/>
      <c r="AT69" s="357"/>
      <c r="AU69" s="245"/>
      <c r="AV69" s="245"/>
      <c r="AW69" s="245"/>
      <c r="AX69" s="245"/>
      <c r="AY69" s="245"/>
      <c r="AZ69" s="357"/>
      <c r="BA69" s="245"/>
      <c r="BB69" s="245"/>
      <c r="BC69" s="245"/>
      <c r="BD69" s="245"/>
      <c r="BE69" s="245"/>
      <c r="BF69" s="357"/>
      <c r="BG69" s="245"/>
      <c r="BH69" s="245"/>
      <c r="BI69" s="245"/>
      <c r="BJ69" s="245"/>
      <c r="BK69" s="245"/>
      <c r="BL69" s="357"/>
      <c r="BM69" s="245"/>
      <c r="BN69" s="245"/>
      <c r="BO69" s="245"/>
      <c r="BP69" s="245"/>
      <c r="BQ69" s="245"/>
      <c r="BR69" s="356"/>
      <c r="BS69" s="245"/>
      <c r="BT69" s="245"/>
      <c r="BU69" s="245"/>
      <c r="BV69" s="245"/>
      <c r="BW69" s="213"/>
      <c r="BX69" s="213"/>
      <c r="BY69" s="213"/>
      <c r="BZ69" s="213"/>
      <c r="CA69" s="213"/>
      <c r="CB69" s="213"/>
      <c r="CC69" s="213"/>
      <c r="CD69" s="213"/>
      <c r="CE69" s="213"/>
      <c r="CF69" s="213"/>
      <c r="CG69" s="213"/>
      <c r="CH69" s="213"/>
      <c r="CI69" s="213"/>
      <c r="CJ69" s="213"/>
      <c r="CK69" s="213"/>
      <c r="CL69" s="213"/>
      <c r="CM69" s="213"/>
      <c r="CN69" s="213"/>
      <c r="CO69" s="213"/>
      <c r="CP69" s="213"/>
    </row>
    <row r="70" ht="15.75" customHeight="1">
      <c r="A70" s="213"/>
      <c r="B70" s="393"/>
      <c r="C70" s="350" t="s">
        <v>242</v>
      </c>
      <c r="D70" s="604">
        <v>33030.0</v>
      </c>
      <c r="E70" s="355">
        <f t="shared" ref="E70:E75" si="92">D70/D$33</f>
        <v>0.002047285454</v>
      </c>
      <c r="F70" s="357">
        <f t="shared" ref="F70:F71" si="93">G70*F$33</f>
        <v>64290.69893</v>
      </c>
      <c r="G70" s="355">
        <v>0.0042</v>
      </c>
      <c r="H70" s="357">
        <f t="shared" ref="H70:H74" si="94">D70-F70</f>
        <v>-31260.69893</v>
      </c>
      <c r="I70" s="719">
        <f t="shared" ref="I70:I74" si="95">IFERROR(H70/F70,"")</f>
        <v>-0.4862398364</v>
      </c>
      <c r="J70" s="604">
        <v>55503.0</v>
      </c>
      <c r="K70" s="355">
        <f t="shared" ref="K70:K75" si="96">J70/J$33</f>
        <v>0.003354357154</v>
      </c>
      <c r="L70" s="357">
        <f t="shared" ref="L70:L71" si="97">M70*L$33</f>
        <v>72151.22565</v>
      </c>
      <c r="M70" s="355">
        <v>0.0042</v>
      </c>
      <c r="N70" s="245"/>
      <c r="O70" s="350"/>
      <c r="P70" s="604">
        <v>56540.0</v>
      </c>
      <c r="Q70" s="355">
        <f t="shared" ref="Q70:Q74" si="98">IFERROR(P70/P$33,)</f>
        <v>0.003703927408</v>
      </c>
      <c r="R70" s="357">
        <f t="shared" ref="R70:R71" si="99">S70*R$33</f>
        <v>68218.31621</v>
      </c>
      <c r="S70" s="355">
        <v>0.0042</v>
      </c>
      <c r="T70" s="245"/>
      <c r="U70" s="350"/>
      <c r="V70" s="604">
        <v>62502.0</v>
      </c>
      <c r="W70" s="355">
        <f t="shared" ref="W70:W75" si="100">V70/V$33</f>
        <v>0.003872272141</v>
      </c>
      <c r="X70" s="357">
        <f t="shared" ref="X70:X71" si="101">Y70*X$33</f>
        <v>66593.4192</v>
      </c>
      <c r="Y70" s="355">
        <v>0.0042</v>
      </c>
      <c r="Z70" s="245"/>
      <c r="AA70" s="350"/>
      <c r="AB70" s="604">
        <v>70200.0</v>
      </c>
      <c r="AC70" s="355">
        <f t="shared" ref="AC70:AC75" si="102">AB70/AB$33</f>
        <v>0.0040202315</v>
      </c>
      <c r="AD70" s="357">
        <f t="shared" ref="AD70:AD71" si="103">AE70*AD$33</f>
        <v>74278.09578</v>
      </c>
      <c r="AE70" s="355">
        <v>0.0042</v>
      </c>
      <c r="AF70" s="245"/>
      <c r="AG70" s="350"/>
      <c r="AH70" s="604">
        <v>55507.0</v>
      </c>
      <c r="AI70" s="790">
        <f t="shared" ref="AI70:AI75" si="104">AH70/AH$33</f>
        <v>0.003548089758</v>
      </c>
      <c r="AJ70" s="357">
        <f t="shared" ref="AJ70:AJ71" si="105">AK70*AJ$33</f>
        <v>71005.39198</v>
      </c>
      <c r="AK70" s="355">
        <v>0.0042</v>
      </c>
      <c r="AL70" s="245"/>
      <c r="AM70" s="350"/>
      <c r="AN70" s="605">
        <v>60118.0</v>
      </c>
      <c r="AO70" s="790">
        <f t="shared" ref="AO70:AO75" si="106">AN70/AN$33</f>
        <v>0.003627501327</v>
      </c>
      <c r="AP70" s="357">
        <f t="shared" ref="AP70:AP74" si="107">AQ70*AP$33</f>
        <v>73405.32755</v>
      </c>
      <c r="AQ70" s="355">
        <v>0.0042</v>
      </c>
      <c r="AR70" s="245"/>
      <c r="AS70" s="245"/>
      <c r="AT70" s="357">
        <v>57466.0</v>
      </c>
      <c r="AU70" s="790">
        <f t="shared" ref="AU70:AU75" si="108">AT70/AT$33</f>
        <v>0.003388903703</v>
      </c>
      <c r="AV70" s="357">
        <f t="shared" ref="AV70:AV74" si="109">AW70*AV$33</f>
        <v>71739.6955</v>
      </c>
      <c r="AW70" s="355">
        <v>0.0042</v>
      </c>
      <c r="AX70" s="245"/>
      <c r="AY70" s="245"/>
      <c r="AZ70" s="357">
        <v>67478.0</v>
      </c>
      <c r="BA70" s="790">
        <f t="shared" ref="BA70:BA75" si="110">AZ70/AZ$33</f>
        <v>0.003277739581</v>
      </c>
      <c r="BB70" s="357">
        <f t="shared" ref="BB70:BB74" si="111">BC70*BB$33</f>
        <v>82137.18958</v>
      </c>
      <c r="BC70" s="355">
        <v>0.0042</v>
      </c>
      <c r="BD70" s="245"/>
      <c r="BE70" s="245"/>
      <c r="BF70" s="357">
        <v>61056.0</v>
      </c>
      <c r="BG70" s="790">
        <f t="shared" ref="BG70:BG75" si="112">BF70/BF$33</f>
        <v>0.003257467853</v>
      </c>
      <c r="BH70" s="357">
        <f t="shared" ref="BH70:BH74" si="113">BI70*BH$33</f>
        <v>75254.3497</v>
      </c>
      <c r="BI70" s="355">
        <v>0.0042</v>
      </c>
      <c r="BJ70" s="245"/>
      <c r="BK70" s="245"/>
      <c r="BL70" s="737">
        <v>58619.0</v>
      </c>
      <c r="BM70" s="790">
        <f t="shared" ref="BM70:BM75" si="114">BL70/BL$33</f>
        <v>0.00356544712</v>
      </c>
      <c r="BN70" s="357">
        <f t="shared" ref="BN70:BN74" si="115">BO70*BN$33</f>
        <v>62973.60833</v>
      </c>
      <c r="BO70" s="355">
        <v>0.0042</v>
      </c>
      <c r="BP70" s="245"/>
      <c r="BQ70" s="245"/>
      <c r="BR70" s="797">
        <v>53629.0</v>
      </c>
      <c r="BS70" s="790">
        <f t="shared" ref="BS70:BS75" si="116">BR70/BR$33</f>
        <v>0.002844383253</v>
      </c>
      <c r="BT70" s="357">
        <f t="shared" ref="BT70:BT74" si="117">BU70*BT$33</f>
        <v>70811.50142</v>
      </c>
      <c r="BU70" s="355">
        <v>0.0042</v>
      </c>
      <c r="BV70" s="245"/>
      <c r="BW70" s="213"/>
      <c r="BX70" s="213"/>
      <c r="BY70" s="213"/>
      <c r="BZ70" s="213"/>
      <c r="CA70" s="213"/>
      <c r="CB70" s="213"/>
      <c r="CC70" s="213"/>
      <c r="CD70" s="213"/>
      <c r="CE70" s="213"/>
      <c r="CF70" s="213"/>
      <c r="CG70" s="213"/>
      <c r="CH70" s="213"/>
      <c r="CI70" s="213"/>
      <c r="CJ70" s="213"/>
      <c r="CK70" s="213"/>
      <c r="CL70" s="213"/>
      <c r="CM70" s="213"/>
      <c r="CN70" s="213"/>
      <c r="CO70" s="213"/>
      <c r="CP70" s="213"/>
    </row>
    <row r="71" ht="15.75" customHeight="1">
      <c r="A71" s="213"/>
      <c r="B71" s="393"/>
      <c r="C71" s="350" t="s">
        <v>243</v>
      </c>
      <c r="D71" s="604">
        <v>160376.4</v>
      </c>
      <c r="E71" s="355">
        <f t="shared" si="92"/>
        <v>0.009940547103</v>
      </c>
      <c r="F71" s="357">
        <f t="shared" si="93"/>
        <v>163788.2092</v>
      </c>
      <c r="G71" s="355">
        <v>0.0107</v>
      </c>
      <c r="H71" s="357">
        <f t="shared" si="94"/>
        <v>-3411.809189</v>
      </c>
      <c r="I71" s="719">
        <f t="shared" si="95"/>
        <v>-0.02083061538</v>
      </c>
      <c r="J71" s="604">
        <v>167448.0</v>
      </c>
      <c r="K71" s="355">
        <f t="shared" si="96"/>
        <v>0.01011982049</v>
      </c>
      <c r="L71" s="357">
        <f t="shared" si="97"/>
        <v>183813.8368</v>
      </c>
      <c r="M71" s="355">
        <v>0.0107</v>
      </c>
      <c r="N71" s="245"/>
      <c r="O71" s="350"/>
      <c r="P71" s="604">
        <v>156270.0</v>
      </c>
      <c r="Q71" s="355">
        <f t="shared" si="98"/>
        <v>0.01023722561</v>
      </c>
      <c r="R71" s="357">
        <f t="shared" si="99"/>
        <v>173794.2818</v>
      </c>
      <c r="S71" s="355">
        <v>0.0107</v>
      </c>
      <c r="T71" s="245"/>
      <c r="U71" s="350"/>
      <c r="V71" s="604">
        <v>155100.0</v>
      </c>
      <c r="W71" s="355">
        <f t="shared" si="100"/>
        <v>0.009609123054</v>
      </c>
      <c r="X71" s="357">
        <f t="shared" si="101"/>
        <v>169654.6632</v>
      </c>
      <c r="Y71" s="355">
        <v>0.0107</v>
      </c>
      <c r="Z71" s="245"/>
      <c r="AA71" s="350"/>
      <c r="AB71" s="604">
        <v>163667.0</v>
      </c>
      <c r="AC71" s="355">
        <f t="shared" si="102"/>
        <v>0.009372923489</v>
      </c>
      <c r="AD71" s="357">
        <f t="shared" si="103"/>
        <v>189232.2916</v>
      </c>
      <c r="AE71" s="355">
        <v>0.0107</v>
      </c>
      <c r="AF71" s="245"/>
      <c r="AG71" s="350"/>
      <c r="AH71" s="604">
        <v>161430.44</v>
      </c>
      <c r="AI71" s="790">
        <f t="shared" si="104"/>
        <v>0.01031887313</v>
      </c>
      <c r="AJ71" s="357">
        <f t="shared" si="105"/>
        <v>180894.6891</v>
      </c>
      <c r="AK71" s="355">
        <v>0.0107</v>
      </c>
      <c r="AL71" s="245"/>
      <c r="AM71" s="350"/>
      <c r="AN71" s="605">
        <v>174580.0</v>
      </c>
      <c r="AO71" s="790">
        <f t="shared" si="106"/>
        <v>0.01053410263</v>
      </c>
      <c r="AP71" s="357">
        <f t="shared" si="107"/>
        <v>187008.8107</v>
      </c>
      <c r="AQ71" s="355">
        <v>0.0107</v>
      </c>
      <c r="AR71" s="245"/>
      <c r="AS71" s="245"/>
      <c r="AT71" s="357">
        <v>156814.0</v>
      </c>
      <c r="AU71" s="790">
        <f t="shared" si="108"/>
        <v>0.009247686377</v>
      </c>
      <c r="AV71" s="357">
        <f t="shared" si="109"/>
        <v>182765.4147</v>
      </c>
      <c r="AW71" s="355">
        <v>0.0107</v>
      </c>
      <c r="AX71" s="245"/>
      <c r="AY71" s="245"/>
      <c r="AZ71" s="357">
        <v>168193.0</v>
      </c>
      <c r="BA71" s="790">
        <f t="shared" si="110"/>
        <v>0.008169964333</v>
      </c>
      <c r="BB71" s="357">
        <f t="shared" si="111"/>
        <v>209254.2687</v>
      </c>
      <c r="BC71" s="355">
        <v>0.0107</v>
      </c>
      <c r="BD71" s="245"/>
      <c r="BE71" s="245"/>
      <c r="BF71" s="357">
        <v>61390.28</v>
      </c>
      <c r="BG71" s="790">
        <f t="shared" si="112"/>
        <v>0.003275302405</v>
      </c>
      <c r="BH71" s="357">
        <f t="shared" si="113"/>
        <v>191719.4147</v>
      </c>
      <c r="BI71" s="355">
        <v>0.0107</v>
      </c>
      <c r="BJ71" s="245"/>
      <c r="BK71" s="245"/>
      <c r="BL71" s="737">
        <v>126.0</v>
      </c>
      <c r="BM71" s="790">
        <f t="shared" si="114"/>
        <v>0.000007663834885</v>
      </c>
      <c r="BN71" s="357">
        <f t="shared" si="115"/>
        <v>160432.7641</v>
      </c>
      <c r="BO71" s="355">
        <v>0.0107</v>
      </c>
      <c r="BP71" s="245"/>
      <c r="BQ71" s="245"/>
      <c r="BR71" s="356">
        <f>137501+6465.96</f>
        <v>143966.96</v>
      </c>
      <c r="BS71" s="790">
        <f t="shared" si="116"/>
        <v>0.007635742042</v>
      </c>
      <c r="BT71" s="357">
        <f t="shared" si="117"/>
        <v>180400.7298</v>
      </c>
      <c r="BU71" s="355">
        <v>0.0107</v>
      </c>
      <c r="BV71" s="245"/>
      <c r="BW71" s="213"/>
      <c r="BX71" s="213"/>
      <c r="BY71" s="213"/>
      <c r="BZ71" s="213"/>
      <c r="CA71" s="213"/>
      <c r="CB71" s="213"/>
      <c r="CC71" s="213"/>
      <c r="CD71" s="213"/>
      <c r="CE71" s="213"/>
      <c r="CF71" s="213"/>
      <c r="CG71" s="213"/>
      <c r="CH71" s="213"/>
      <c r="CI71" s="213"/>
      <c r="CJ71" s="213"/>
      <c r="CK71" s="213"/>
      <c r="CL71" s="213"/>
      <c r="CM71" s="213"/>
      <c r="CN71" s="213"/>
      <c r="CO71" s="213"/>
      <c r="CP71" s="213"/>
    </row>
    <row r="72" ht="15.75" customHeight="1">
      <c r="A72" s="213"/>
      <c r="B72" s="393"/>
      <c r="C72" s="350" t="s">
        <v>244</v>
      </c>
      <c r="D72" s="604">
        <f>80250+35070+124997</f>
        <v>240317</v>
      </c>
      <c r="E72" s="355">
        <f t="shared" si="92"/>
        <v>0.01489547376</v>
      </c>
      <c r="F72" s="357">
        <f>G72*F$33+99498</f>
        <v>150012.1206</v>
      </c>
      <c r="G72" s="355">
        <v>0.0033</v>
      </c>
      <c r="H72" s="357">
        <f t="shared" si="94"/>
        <v>90304.87941</v>
      </c>
      <c r="I72" s="719">
        <f t="shared" si="95"/>
        <v>0.6019838867</v>
      </c>
      <c r="J72" s="604">
        <v>164960.0</v>
      </c>
      <c r="K72" s="355">
        <f t="shared" si="96"/>
        <v>0.009969456718</v>
      </c>
      <c r="L72" s="357">
        <f>M72*L$33+111663</f>
        <v>168353.2487</v>
      </c>
      <c r="M72" s="355">
        <v>0.0033</v>
      </c>
      <c r="N72" s="245"/>
      <c r="O72" s="350"/>
      <c r="P72" s="604">
        <v>77954.0</v>
      </c>
      <c r="Q72" s="355">
        <f t="shared" si="98"/>
        <v>0.005106755521</v>
      </c>
      <c r="R72" s="357">
        <f>S72*R$33+105576</f>
        <v>159176.1056</v>
      </c>
      <c r="S72" s="355">
        <v>0.0033</v>
      </c>
      <c r="T72" s="245"/>
      <c r="U72" s="350"/>
      <c r="V72" s="604">
        <v>120532.0</v>
      </c>
      <c r="W72" s="355">
        <f t="shared" si="100"/>
        <v>0.007467484332</v>
      </c>
      <c r="X72" s="357">
        <f>Y72*X$33+(103061)</f>
        <v>155384.4008</v>
      </c>
      <c r="Y72" s="355">
        <v>0.0033</v>
      </c>
      <c r="Z72" s="245"/>
      <c r="AA72" s="350"/>
      <c r="AB72" s="604">
        <v>302051.0</v>
      </c>
      <c r="AC72" s="355">
        <f t="shared" si="102"/>
        <v>0.01729793369</v>
      </c>
      <c r="AD72" s="357">
        <f>AE72*AD$33+114954</f>
        <v>173315.361</v>
      </c>
      <c r="AE72" s="355">
        <v>0.0033</v>
      </c>
      <c r="AF72" s="245"/>
      <c r="AG72" s="350"/>
      <c r="AH72" s="604">
        <v>101265.0</v>
      </c>
      <c r="AI72" s="790">
        <f t="shared" si="104"/>
        <v>0.006473008978</v>
      </c>
      <c r="AJ72" s="357">
        <f>AK72*AJ$33+(109889)</f>
        <v>165678.9508</v>
      </c>
      <c r="AK72" s="355">
        <v>0.0033</v>
      </c>
      <c r="AL72" s="245"/>
      <c r="AM72" s="350"/>
      <c r="AN72" s="605">
        <v>73112.0</v>
      </c>
      <c r="AO72" s="790">
        <f t="shared" si="106"/>
        <v>0.004411555225</v>
      </c>
      <c r="AP72" s="357">
        <f t="shared" si="107"/>
        <v>57675.6145</v>
      </c>
      <c r="AQ72" s="355">
        <v>0.0033</v>
      </c>
      <c r="AR72" s="245"/>
      <c r="AS72" s="245"/>
      <c r="AT72" s="357">
        <v>69738.0</v>
      </c>
      <c r="AU72" s="790">
        <f t="shared" si="108"/>
        <v>0.004112612092</v>
      </c>
      <c r="AV72" s="357">
        <f t="shared" si="109"/>
        <v>56366.9036</v>
      </c>
      <c r="AW72" s="355">
        <v>0.0033</v>
      </c>
      <c r="AX72" s="245"/>
      <c r="AY72" s="245"/>
      <c r="AZ72" s="357">
        <v>79335.0</v>
      </c>
      <c r="BA72" s="790">
        <f t="shared" si="110"/>
        <v>0.003853692605</v>
      </c>
      <c r="BB72" s="357">
        <f t="shared" si="111"/>
        <v>64536.36324</v>
      </c>
      <c r="BC72" s="355">
        <v>0.0033</v>
      </c>
      <c r="BD72" s="245"/>
      <c r="BE72" s="245"/>
      <c r="BF72" s="357">
        <v>62594.5</v>
      </c>
      <c r="BG72" s="790">
        <f t="shared" si="112"/>
        <v>0.003339550111</v>
      </c>
      <c r="BH72" s="357">
        <f t="shared" si="113"/>
        <v>59128.41762</v>
      </c>
      <c r="BI72" s="355">
        <v>0.0033</v>
      </c>
      <c r="BJ72" s="245"/>
      <c r="BK72" s="245"/>
      <c r="BL72" s="737">
        <v>62537.0</v>
      </c>
      <c r="BM72" s="790">
        <f t="shared" si="114"/>
        <v>0.00380375589</v>
      </c>
      <c r="BN72" s="357">
        <f t="shared" si="115"/>
        <v>49479.26369</v>
      </c>
      <c r="BO72" s="355">
        <v>0.0033</v>
      </c>
      <c r="BP72" s="245"/>
      <c r="BQ72" s="245"/>
      <c r="BR72" s="797">
        <v>56411.5</v>
      </c>
      <c r="BS72" s="790">
        <f t="shared" si="116"/>
        <v>0.002991961921</v>
      </c>
      <c r="BT72" s="357">
        <f t="shared" si="117"/>
        <v>55637.60826</v>
      </c>
      <c r="BU72" s="355">
        <v>0.0033</v>
      </c>
      <c r="BV72" s="245"/>
      <c r="BW72" s="213"/>
      <c r="BX72" s="213"/>
      <c r="BY72" s="213"/>
      <c r="BZ72" s="213"/>
      <c r="CA72" s="213"/>
      <c r="CB72" s="213"/>
      <c r="CC72" s="213"/>
      <c r="CD72" s="213"/>
      <c r="CE72" s="213"/>
      <c r="CF72" s="213"/>
      <c r="CG72" s="213"/>
      <c r="CH72" s="213"/>
      <c r="CI72" s="213"/>
      <c r="CJ72" s="213"/>
      <c r="CK72" s="213"/>
      <c r="CL72" s="213"/>
      <c r="CM72" s="213"/>
      <c r="CN72" s="213"/>
      <c r="CO72" s="213"/>
      <c r="CP72" s="213"/>
    </row>
    <row r="73" ht="15.75" customHeight="1">
      <c r="A73" s="213"/>
      <c r="B73" s="393"/>
      <c r="C73" s="350" t="s">
        <v>303</v>
      </c>
      <c r="D73" s="604">
        <v>71419.0</v>
      </c>
      <c r="E73" s="355">
        <f t="shared" si="92"/>
        <v>0.004426735689</v>
      </c>
      <c r="F73" s="357">
        <f t="shared" ref="F73:F74" si="118">G73*F$33</f>
        <v>39799.0041</v>
      </c>
      <c r="G73" s="355">
        <v>0.0026</v>
      </c>
      <c r="H73" s="357">
        <f t="shared" si="94"/>
        <v>31619.9959</v>
      </c>
      <c r="I73" s="719">
        <f t="shared" si="95"/>
        <v>0.794492139</v>
      </c>
      <c r="J73" s="604">
        <v>5191.0</v>
      </c>
      <c r="K73" s="355">
        <f t="shared" si="96"/>
        <v>0.0003137212041</v>
      </c>
      <c r="L73" s="357">
        <f t="shared" ref="L73:L74" si="119">M73*L$33</f>
        <v>44665.04445</v>
      </c>
      <c r="M73" s="355">
        <v>0.0026</v>
      </c>
      <c r="N73" s="245"/>
      <c r="O73" s="350"/>
      <c r="P73" s="604">
        <v>13948.0</v>
      </c>
      <c r="Q73" s="355">
        <f t="shared" si="98"/>
        <v>0.0009137315084</v>
      </c>
      <c r="R73" s="357">
        <f t="shared" ref="R73:R74" si="120">S73*R$33</f>
        <v>42230.38622</v>
      </c>
      <c r="S73" s="355">
        <v>0.0026</v>
      </c>
      <c r="T73" s="245"/>
      <c r="U73" s="350"/>
      <c r="V73" s="604">
        <v>22726.0</v>
      </c>
      <c r="W73" s="355">
        <f t="shared" si="100"/>
        <v>0.001407975052</v>
      </c>
      <c r="X73" s="357">
        <f t="shared" ref="X73:X74" si="121">Y73*X$33</f>
        <v>41224.4976</v>
      </c>
      <c r="Y73" s="355">
        <v>0.0026</v>
      </c>
      <c r="Z73" s="245"/>
      <c r="AA73" s="350"/>
      <c r="AB73" s="604">
        <v>25495.0</v>
      </c>
      <c r="AC73" s="355">
        <f t="shared" si="102"/>
        <v>0.001460054161</v>
      </c>
      <c r="AD73" s="357">
        <f t="shared" ref="AD73:AD74" si="122">AE73*AD$33</f>
        <v>45981.67834</v>
      </c>
      <c r="AE73" s="355">
        <v>0.0026</v>
      </c>
      <c r="AF73" s="245"/>
      <c r="AG73" s="350"/>
      <c r="AH73" s="604">
        <v>15577.0</v>
      </c>
      <c r="AI73" s="790">
        <f t="shared" si="104"/>
        <v>0.0009957049411</v>
      </c>
      <c r="AJ73" s="357">
        <f t="shared" ref="AJ73:AJ74" si="123">AK73*AJ$33</f>
        <v>43955.71885</v>
      </c>
      <c r="AK73" s="355">
        <v>0.0026</v>
      </c>
      <c r="AL73" s="245"/>
      <c r="AM73" s="350"/>
      <c r="AN73" s="605">
        <v>17092.0</v>
      </c>
      <c r="AO73" s="790">
        <f t="shared" si="106"/>
        <v>0.001031325937</v>
      </c>
      <c r="AP73" s="357">
        <f t="shared" si="107"/>
        <v>45441.39324</v>
      </c>
      <c r="AQ73" s="355">
        <v>0.0026</v>
      </c>
      <c r="AR73" s="245"/>
      <c r="AS73" s="245"/>
      <c r="AT73" s="357">
        <v>57366.0</v>
      </c>
      <c r="AU73" s="790">
        <f t="shared" si="108"/>
        <v>0.003383006471</v>
      </c>
      <c r="AV73" s="357">
        <f t="shared" si="109"/>
        <v>44410.28769</v>
      </c>
      <c r="AW73" s="355">
        <v>0.0026</v>
      </c>
      <c r="AX73" s="245"/>
      <c r="AY73" s="245"/>
      <c r="AZ73" s="357">
        <v>22390.0</v>
      </c>
      <c r="BA73" s="790">
        <f t="shared" si="110"/>
        <v>0.001087592833</v>
      </c>
      <c r="BB73" s="357">
        <f t="shared" si="111"/>
        <v>50846.83165</v>
      </c>
      <c r="BC73" s="355">
        <v>0.0026</v>
      </c>
      <c r="BD73" s="245"/>
      <c r="BE73" s="245"/>
      <c r="BF73" s="357">
        <v>13082.0</v>
      </c>
      <c r="BG73" s="790">
        <f t="shared" si="112"/>
        <v>0.0006979526084</v>
      </c>
      <c r="BH73" s="357">
        <f t="shared" si="113"/>
        <v>46586.02601</v>
      </c>
      <c r="BI73" s="355">
        <v>0.0026</v>
      </c>
      <c r="BJ73" s="245"/>
      <c r="BK73" s="245"/>
      <c r="BL73" s="737">
        <v>22383.0</v>
      </c>
      <c r="BM73" s="790">
        <f t="shared" si="114"/>
        <v>0.001361425526</v>
      </c>
      <c r="BN73" s="357">
        <f t="shared" si="115"/>
        <v>38983.6623</v>
      </c>
      <c r="BO73" s="355">
        <v>0.0026</v>
      </c>
      <c r="BP73" s="245"/>
      <c r="BQ73" s="245"/>
      <c r="BR73" s="356">
        <f>1999+47710
</f>
        <v>49709</v>
      </c>
      <c r="BS73" s="790">
        <f t="shared" si="116"/>
        <v>0.002636473682</v>
      </c>
      <c r="BT73" s="357">
        <f t="shared" si="117"/>
        <v>43835.69135</v>
      </c>
      <c r="BU73" s="355">
        <v>0.0026</v>
      </c>
      <c r="BV73" s="245"/>
      <c r="BW73" s="213"/>
      <c r="BX73" s="213"/>
      <c r="BY73" s="213"/>
      <c r="BZ73" s="213"/>
      <c r="CA73" s="213"/>
      <c r="CB73" s="213"/>
      <c r="CC73" s="213"/>
      <c r="CD73" s="213"/>
      <c r="CE73" s="213"/>
      <c r="CF73" s="213"/>
      <c r="CG73" s="213"/>
      <c r="CH73" s="213"/>
      <c r="CI73" s="213"/>
      <c r="CJ73" s="213"/>
      <c r="CK73" s="213"/>
      <c r="CL73" s="213"/>
      <c r="CM73" s="213"/>
      <c r="CN73" s="213"/>
      <c r="CO73" s="213"/>
      <c r="CP73" s="213"/>
    </row>
    <row r="74" ht="15.75" customHeight="1">
      <c r="A74" s="213"/>
      <c r="B74" s="403"/>
      <c r="C74" s="362" t="s">
        <v>247</v>
      </c>
      <c r="D74" s="619">
        <v>2678.0</v>
      </c>
      <c r="E74" s="404">
        <f t="shared" si="92"/>
        <v>0.000165989417</v>
      </c>
      <c r="F74" s="367">
        <f t="shared" si="118"/>
        <v>4592.192781</v>
      </c>
      <c r="G74" s="404">
        <v>3.0E-4</v>
      </c>
      <c r="H74" s="367">
        <f t="shared" si="94"/>
        <v>-1914.192781</v>
      </c>
      <c r="I74" s="791">
        <f t="shared" si="95"/>
        <v>-0.416836329</v>
      </c>
      <c r="J74" s="619">
        <v>4897.0</v>
      </c>
      <c r="K74" s="404">
        <f t="shared" si="96"/>
        <v>0.0002959531374</v>
      </c>
      <c r="L74" s="367">
        <f t="shared" si="119"/>
        <v>5153.658975</v>
      </c>
      <c r="M74" s="404">
        <v>3.0E-4</v>
      </c>
      <c r="N74" s="688"/>
      <c r="O74" s="362"/>
      <c r="P74" s="619">
        <v>0.0</v>
      </c>
      <c r="Q74" s="404">
        <f t="shared" si="98"/>
        <v>0</v>
      </c>
      <c r="R74" s="367">
        <f t="shared" si="120"/>
        <v>4872.736872</v>
      </c>
      <c r="S74" s="404">
        <v>3.0E-4</v>
      </c>
      <c r="T74" s="688"/>
      <c r="U74" s="362"/>
      <c r="V74" s="619">
        <v>0.0</v>
      </c>
      <c r="W74" s="404">
        <f t="shared" si="100"/>
        <v>0</v>
      </c>
      <c r="X74" s="367">
        <f t="shared" si="121"/>
        <v>4756.6728</v>
      </c>
      <c r="Y74" s="404">
        <v>3.0E-4</v>
      </c>
      <c r="Z74" s="688"/>
      <c r="AA74" s="362"/>
      <c r="AB74" s="619"/>
      <c r="AC74" s="404">
        <f t="shared" si="102"/>
        <v>0</v>
      </c>
      <c r="AD74" s="367">
        <f t="shared" si="122"/>
        <v>5305.57827</v>
      </c>
      <c r="AE74" s="404">
        <v>3.0E-4</v>
      </c>
      <c r="AF74" s="688"/>
      <c r="AG74" s="362"/>
      <c r="AH74" s="619"/>
      <c r="AI74" s="792">
        <f t="shared" si="104"/>
        <v>0</v>
      </c>
      <c r="AJ74" s="367">
        <f t="shared" si="123"/>
        <v>5071.813713</v>
      </c>
      <c r="AK74" s="404">
        <v>3.0E-4</v>
      </c>
      <c r="AL74" s="688"/>
      <c r="AM74" s="362"/>
      <c r="AN74" s="793">
        <v>14.0</v>
      </c>
      <c r="AO74" s="792">
        <f t="shared" si="106"/>
        <v>0.0000008447556236</v>
      </c>
      <c r="AP74" s="367">
        <f t="shared" si="107"/>
        <v>5243.237682</v>
      </c>
      <c r="AQ74" s="404">
        <v>3.0E-4</v>
      </c>
      <c r="AR74" s="688"/>
      <c r="AS74" s="688"/>
      <c r="AT74" s="367">
        <v>2458.0</v>
      </c>
      <c r="AU74" s="792">
        <f t="shared" si="108"/>
        <v>0.0001449539781</v>
      </c>
      <c r="AV74" s="367">
        <f t="shared" si="109"/>
        <v>5124.263964</v>
      </c>
      <c r="AW74" s="404">
        <v>3.0E-4</v>
      </c>
      <c r="AX74" s="688"/>
      <c r="AY74" s="688"/>
      <c r="AZ74" s="367"/>
      <c r="BA74" s="792">
        <f t="shared" si="110"/>
        <v>0</v>
      </c>
      <c r="BB74" s="367">
        <f t="shared" si="111"/>
        <v>5866.942113</v>
      </c>
      <c r="BC74" s="404">
        <v>3.0E-4</v>
      </c>
      <c r="BD74" s="688"/>
      <c r="BE74" s="688"/>
      <c r="BF74" s="367">
        <v>1299.0</v>
      </c>
      <c r="BG74" s="792">
        <f t="shared" si="112"/>
        <v>0.00006930442121</v>
      </c>
      <c r="BH74" s="367">
        <f t="shared" si="113"/>
        <v>5375.310693</v>
      </c>
      <c r="BI74" s="404">
        <v>3.0E-4</v>
      </c>
      <c r="BJ74" s="688"/>
      <c r="BK74" s="688"/>
      <c r="BL74" s="798">
        <v>206.0</v>
      </c>
      <c r="BM74" s="792">
        <f t="shared" si="114"/>
        <v>0.0000125297618</v>
      </c>
      <c r="BN74" s="367">
        <f t="shared" si="115"/>
        <v>4498.114881</v>
      </c>
      <c r="BO74" s="404">
        <v>3.0E-4</v>
      </c>
      <c r="BP74" s="688"/>
      <c r="BQ74" s="688"/>
      <c r="BR74" s="804">
        <f>922+888
</f>
        <v>1810</v>
      </c>
      <c r="BS74" s="792">
        <f t="shared" si="116"/>
        <v>0.00009599906184</v>
      </c>
      <c r="BT74" s="367">
        <f t="shared" si="117"/>
        <v>5057.964387</v>
      </c>
      <c r="BU74" s="404">
        <v>3.0E-4</v>
      </c>
      <c r="BV74" s="688"/>
      <c r="BW74" s="213"/>
      <c r="BX74" s="213"/>
      <c r="BY74" s="213"/>
      <c r="BZ74" s="213"/>
      <c r="CA74" s="213"/>
      <c r="CB74" s="213"/>
      <c r="CC74" s="213"/>
      <c r="CD74" s="213"/>
      <c r="CE74" s="213"/>
      <c r="CF74" s="213"/>
      <c r="CG74" s="213"/>
      <c r="CH74" s="213"/>
      <c r="CI74" s="213"/>
      <c r="CJ74" s="213"/>
      <c r="CK74" s="213"/>
      <c r="CL74" s="213"/>
      <c r="CM74" s="213"/>
      <c r="CN74" s="213"/>
      <c r="CO74" s="213"/>
      <c r="CP74" s="213"/>
    </row>
    <row r="75" ht="15.75" customHeight="1">
      <c r="A75" s="213"/>
      <c r="B75" s="735"/>
      <c r="C75" s="372" t="s">
        <v>248</v>
      </c>
      <c r="D75" s="600">
        <f>SUM(D70:D74)</f>
        <v>507820.4</v>
      </c>
      <c r="E75" s="374">
        <f t="shared" si="92"/>
        <v>0.03147603142</v>
      </c>
      <c r="F75" s="377">
        <f>SUM(F70:F74)</f>
        <v>422482.2256</v>
      </c>
      <c r="G75" s="374">
        <f>F75/F$33</f>
        <v>0.02760003199</v>
      </c>
      <c r="H75" s="377">
        <f>SUM(H70:H74)</f>
        <v>85338.1744</v>
      </c>
      <c r="I75" s="379"/>
      <c r="J75" s="600">
        <f>SUM(J70:J74)</f>
        <v>397999</v>
      </c>
      <c r="K75" s="374">
        <f t="shared" si="96"/>
        <v>0.02405330871</v>
      </c>
      <c r="L75" s="377">
        <f>SUM(L70:L74)</f>
        <v>474137.0146</v>
      </c>
      <c r="M75" s="374">
        <f>L75/L$33</f>
        <v>0.02760002264</v>
      </c>
      <c r="N75" s="437">
        <f>SUM(N70:N74)</f>
        <v>0</v>
      </c>
      <c r="O75" s="372"/>
      <c r="P75" s="600">
        <f>SUM(P70:P74)</f>
        <v>304712</v>
      </c>
      <c r="Q75" s="374">
        <f>P75/P$33</f>
        <v>0.01996164005</v>
      </c>
      <c r="R75" s="377">
        <f>SUM(R70:R74)</f>
        <v>448291.8267</v>
      </c>
      <c r="S75" s="374">
        <f>R75/R$33</f>
        <v>0.02760000212</v>
      </c>
      <c r="T75" s="437">
        <f>SUM(T70:T74)</f>
        <v>0</v>
      </c>
      <c r="U75" s="372"/>
      <c r="V75" s="600">
        <f>SUM(V70:V74)</f>
        <v>360860</v>
      </c>
      <c r="W75" s="374">
        <f t="shared" si="100"/>
        <v>0.02235685458</v>
      </c>
      <c r="X75" s="377">
        <f>SUM(X70:X74)</f>
        <v>437613.6536</v>
      </c>
      <c r="Y75" s="374">
        <f>X75/X$33</f>
        <v>0.02759998461</v>
      </c>
      <c r="Z75" s="437">
        <f>SUM(Z70:Z74)</f>
        <v>0</v>
      </c>
      <c r="AA75" s="372"/>
      <c r="AB75" s="600">
        <f>SUM(AB70:AB74)</f>
        <v>561413</v>
      </c>
      <c r="AC75" s="374">
        <f t="shared" si="102"/>
        <v>0.03215114284</v>
      </c>
      <c r="AD75" s="377">
        <f>SUM(AD70:AD74)</f>
        <v>488113.005</v>
      </c>
      <c r="AE75" s="374">
        <f>AD75/AD$33</f>
        <v>0.02759998893</v>
      </c>
      <c r="AF75" s="437">
        <f>SUM(AF70:AF74)</f>
        <v>0</v>
      </c>
      <c r="AG75" s="372"/>
      <c r="AH75" s="600">
        <f>SUM(AH70:AH74)</f>
        <v>333779.44</v>
      </c>
      <c r="AI75" s="374">
        <f t="shared" si="104"/>
        <v>0.02133567681</v>
      </c>
      <c r="AJ75" s="377">
        <f>SUM(AJ70:AJ74)</f>
        <v>466606.5645</v>
      </c>
      <c r="AK75" s="374">
        <f>AJ75/AJ$33</f>
        <v>0.02759998243</v>
      </c>
      <c r="AL75" s="437">
        <f>SUM(AL70:AL74)</f>
        <v>0</v>
      </c>
      <c r="AM75" s="372"/>
      <c r="AN75" s="601">
        <f>SUM(AN70:AN74)</f>
        <v>324916</v>
      </c>
      <c r="AO75" s="374">
        <f t="shared" si="106"/>
        <v>0.01960532987</v>
      </c>
      <c r="AP75" s="377">
        <f>SUM(AP70:AP74)</f>
        <v>368774.3836</v>
      </c>
      <c r="AQ75" s="374">
        <f>AP75/AP$33</f>
        <v>0.0211</v>
      </c>
      <c r="AR75" s="437">
        <f>SUM(AR70:AR74)</f>
        <v>0</v>
      </c>
      <c r="AS75" s="437"/>
      <c r="AT75" s="377">
        <f>SUM(AT70:AT74)</f>
        <v>343842</v>
      </c>
      <c r="AU75" s="374">
        <f t="shared" si="108"/>
        <v>0.02027716262</v>
      </c>
      <c r="AV75" s="377">
        <f>SUM(AV70:AV74)</f>
        <v>360406.5655</v>
      </c>
      <c r="AW75" s="374">
        <f>AV75/AV$33</f>
        <v>0.0211</v>
      </c>
      <c r="AX75" s="437">
        <f>SUM(AX70:AX74)</f>
        <v>0</v>
      </c>
      <c r="AY75" s="437"/>
      <c r="AZ75" s="377">
        <f>SUM(AZ70:AZ74)</f>
        <v>337396</v>
      </c>
      <c r="BA75" s="374">
        <f t="shared" si="110"/>
        <v>0.01638898935</v>
      </c>
      <c r="BB75" s="377">
        <f>SUM(BB70:BB74)</f>
        <v>412641.5953</v>
      </c>
      <c r="BC75" s="374">
        <f>BB75/BB$33</f>
        <v>0.0211</v>
      </c>
      <c r="BD75" s="437">
        <f>SUM(BD70:BD74)</f>
        <v>0</v>
      </c>
      <c r="BE75" s="437"/>
      <c r="BF75" s="377">
        <f>SUM(BF70:BF74)</f>
        <v>199421.78</v>
      </c>
      <c r="BG75" s="374">
        <f t="shared" si="112"/>
        <v>0.0106395774</v>
      </c>
      <c r="BH75" s="377">
        <f>SUM(BH70:BH74)</f>
        <v>378063.5187</v>
      </c>
      <c r="BI75" s="374">
        <f>BH75/BH$33</f>
        <v>0.0211</v>
      </c>
      <c r="BJ75" s="437">
        <f>SUM(BJ70:BJ74)</f>
        <v>0</v>
      </c>
      <c r="BK75" s="437"/>
      <c r="BL75" s="377">
        <f>SUM(BL70:BL74)</f>
        <v>143871</v>
      </c>
      <c r="BM75" s="374">
        <f t="shared" si="114"/>
        <v>0.008750822133</v>
      </c>
      <c r="BN75" s="377">
        <f>SUM(BN70:BN74)</f>
        <v>316367.4133</v>
      </c>
      <c r="BO75" s="374">
        <f>BN75/BN$33</f>
        <v>0.0211</v>
      </c>
      <c r="BP75" s="437">
        <f>SUM(BP70:BP74)</f>
        <v>0</v>
      </c>
      <c r="BQ75" s="437"/>
      <c r="BR75" s="692">
        <f>SUM(BR70:BR74)</f>
        <v>305526.46</v>
      </c>
      <c r="BS75" s="374">
        <f t="shared" si="116"/>
        <v>0.01620455996</v>
      </c>
      <c r="BT75" s="377">
        <f>SUM(BT70:BT74)</f>
        <v>355743.4952</v>
      </c>
      <c r="BU75" s="374">
        <f>BT75/BT$33</f>
        <v>0.0211</v>
      </c>
      <c r="BV75" s="437">
        <f>SUM(BV70:BV74)</f>
        <v>0</v>
      </c>
      <c r="BW75" s="216"/>
      <c r="BX75" s="216"/>
      <c r="BY75" s="216"/>
      <c r="BZ75" s="216"/>
      <c r="CA75" s="216"/>
      <c r="CB75" s="216"/>
      <c r="CC75" s="216"/>
      <c r="CD75" s="216"/>
      <c r="CE75" s="216"/>
      <c r="CF75" s="216"/>
      <c r="CG75" s="216"/>
      <c r="CH75" s="216"/>
      <c r="CI75" s="216"/>
      <c r="CJ75" s="216"/>
      <c r="CK75" s="216"/>
      <c r="CL75" s="216"/>
      <c r="CM75" s="216"/>
      <c r="CN75" s="216"/>
      <c r="CO75" s="216"/>
      <c r="CP75" s="216"/>
    </row>
    <row r="76" ht="15.75" hidden="1" customHeight="1">
      <c r="A76" s="213"/>
      <c r="B76" s="444"/>
      <c r="C76" s="383"/>
      <c r="D76" s="708"/>
      <c r="E76" s="709"/>
      <c r="F76" s="709"/>
      <c r="G76" s="385"/>
      <c r="H76" s="709"/>
      <c r="I76" s="383"/>
      <c r="J76" s="708"/>
      <c r="K76" s="709"/>
      <c r="L76" s="709"/>
      <c r="M76" s="709"/>
      <c r="N76" s="709"/>
      <c r="O76" s="383"/>
      <c r="P76" s="708"/>
      <c r="Q76" s="709"/>
      <c r="R76" s="440"/>
      <c r="S76" s="709"/>
      <c r="T76" s="709"/>
      <c r="U76" s="383"/>
      <c r="V76" s="708"/>
      <c r="W76" s="440"/>
      <c r="X76" s="801"/>
      <c r="Y76" s="709"/>
      <c r="Z76" s="709"/>
      <c r="AA76" s="383"/>
      <c r="AB76" s="708"/>
      <c r="AC76" s="709"/>
      <c r="AD76" s="709"/>
      <c r="AE76" s="709"/>
      <c r="AF76" s="709"/>
      <c r="AG76" s="383"/>
      <c r="AH76" s="708"/>
      <c r="AI76" s="709"/>
      <c r="AJ76" s="709"/>
      <c r="AK76" s="709"/>
      <c r="AL76" s="709"/>
      <c r="AM76" s="383"/>
      <c r="AN76" s="787"/>
      <c r="AO76" s="709"/>
      <c r="AP76" s="709"/>
      <c r="AQ76" s="709"/>
      <c r="AR76" s="709"/>
      <c r="AS76" s="709"/>
      <c r="AT76" s="388"/>
      <c r="AU76" s="709"/>
      <c r="AV76" s="709"/>
      <c r="AW76" s="709"/>
      <c r="AX76" s="709"/>
      <c r="AY76" s="709"/>
      <c r="AZ76" s="388"/>
      <c r="BA76" s="709"/>
      <c r="BB76" s="709"/>
      <c r="BC76" s="709"/>
      <c r="BD76" s="709"/>
      <c r="BE76" s="709"/>
      <c r="BF76" s="388"/>
      <c r="BG76" s="709"/>
      <c r="BH76" s="709"/>
      <c r="BI76" s="709"/>
      <c r="BJ76" s="709"/>
      <c r="BK76" s="709"/>
      <c r="BL76" s="388"/>
      <c r="BM76" s="709"/>
      <c r="BN76" s="709"/>
      <c r="BO76" s="709"/>
      <c r="BP76" s="709"/>
      <c r="BQ76" s="709"/>
      <c r="BR76" s="802"/>
      <c r="BS76" s="709"/>
      <c r="BT76" s="709"/>
      <c r="BU76" s="709"/>
      <c r="BV76" s="709"/>
      <c r="BW76" s="213"/>
      <c r="BX76" s="213"/>
      <c r="BY76" s="213"/>
      <c r="BZ76" s="213"/>
      <c r="CA76" s="213"/>
      <c r="CB76" s="213"/>
      <c r="CC76" s="213"/>
      <c r="CD76" s="213"/>
      <c r="CE76" s="213"/>
      <c r="CF76" s="213"/>
      <c r="CG76" s="213"/>
      <c r="CH76" s="213"/>
      <c r="CI76" s="213"/>
      <c r="CJ76" s="213"/>
      <c r="CK76" s="213"/>
      <c r="CL76" s="213"/>
      <c r="CM76" s="213"/>
      <c r="CN76" s="213"/>
      <c r="CO76" s="213"/>
      <c r="CP76" s="213"/>
    </row>
    <row r="77" ht="15.75" hidden="1" customHeight="1">
      <c r="A77" s="213"/>
      <c r="B77" s="393"/>
      <c r="C77" s="350"/>
      <c r="D77" s="604"/>
      <c r="E77" s="355"/>
      <c r="F77" s="352"/>
      <c r="G77" s="352"/>
      <c r="H77" s="352"/>
      <c r="I77" s="358"/>
      <c r="J77" s="604"/>
      <c r="K77" s="355"/>
      <c r="L77" s="352"/>
      <c r="M77" s="352"/>
      <c r="N77" s="352"/>
      <c r="O77" s="358"/>
      <c r="P77" s="604"/>
      <c r="Q77" s="352"/>
      <c r="R77" s="352"/>
      <c r="S77" s="352"/>
      <c r="T77" s="352"/>
      <c r="U77" s="358"/>
      <c r="V77" s="604"/>
      <c r="W77" s="352"/>
      <c r="X77" s="357"/>
      <c r="Y77" s="352"/>
      <c r="Z77" s="352"/>
      <c r="AA77" s="358"/>
      <c r="AB77" s="604"/>
      <c r="AC77" s="352"/>
      <c r="AD77" s="352"/>
      <c r="AE77" s="352"/>
      <c r="AF77" s="352"/>
      <c r="AG77" s="358"/>
      <c r="AH77" s="604"/>
      <c r="AI77" s="352"/>
      <c r="AJ77" s="352"/>
      <c r="AK77" s="352"/>
      <c r="AL77" s="352"/>
      <c r="AM77" s="358"/>
      <c r="AN77" s="605"/>
      <c r="AO77" s="352"/>
      <c r="AP77" s="352"/>
      <c r="AQ77" s="352"/>
      <c r="AR77" s="352"/>
      <c r="AS77" s="352"/>
      <c r="AT77" s="357"/>
      <c r="AU77" s="352"/>
      <c r="AV77" s="352"/>
      <c r="AW77" s="352"/>
      <c r="AX77" s="352"/>
      <c r="AY77" s="352"/>
      <c r="AZ77" s="357"/>
      <c r="BA77" s="352"/>
      <c r="BB77" s="352"/>
      <c r="BC77" s="352"/>
      <c r="BD77" s="352"/>
      <c r="BE77" s="352"/>
      <c r="BF77" s="357"/>
      <c r="BG77" s="352"/>
      <c r="BH77" s="352"/>
      <c r="BI77" s="352"/>
      <c r="BJ77" s="352"/>
      <c r="BK77" s="352"/>
      <c r="BL77" s="357"/>
      <c r="BM77" s="352"/>
      <c r="BN77" s="352"/>
      <c r="BO77" s="352"/>
      <c r="BP77" s="352"/>
      <c r="BQ77" s="352"/>
      <c r="BR77" s="353"/>
      <c r="BS77" s="352"/>
      <c r="BT77" s="352"/>
      <c r="BU77" s="352"/>
      <c r="BV77" s="352"/>
      <c r="BW77" s="213"/>
      <c r="BX77" s="213"/>
      <c r="BY77" s="213"/>
      <c r="BZ77" s="213"/>
      <c r="CA77" s="213"/>
      <c r="CB77" s="213"/>
      <c r="CC77" s="213"/>
      <c r="CD77" s="213"/>
      <c r="CE77" s="213"/>
      <c r="CF77" s="213"/>
      <c r="CG77" s="213"/>
      <c r="CH77" s="213"/>
      <c r="CI77" s="213"/>
      <c r="CJ77" s="213"/>
      <c r="CK77" s="213"/>
      <c r="CL77" s="213"/>
      <c r="CM77" s="213"/>
      <c r="CN77" s="213"/>
      <c r="CO77" s="213"/>
      <c r="CP77" s="213"/>
    </row>
    <row r="78" ht="15.75" hidden="1" customHeight="1">
      <c r="A78" s="213"/>
      <c r="B78" s="393"/>
      <c r="C78" s="350"/>
      <c r="D78" s="604"/>
      <c r="E78" s="355"/>
      <c r="F78" s="352"/>
      <c r="G78" s="352"/>
      <c r="H78" s="352"/>
      <c r="I78" s="358"/>
      <c r="J78" s="604"/>
      <c r="K78" s="355"/>
      <c r="L78" s="352"/>
      <c r="M78" s="352"/>
      <c r="N78" s="352"/>
      <c r="O78" s="358"/>
      <c r="P78" s="604"/>
      <c r="Q78" s="352"/>
      <c r="R78" s="352"/>
      <c r="S78" s="352"/>
      <c r="T78" s="352"/>
      <c r="U78" s="358"/>
      <c r="V78" s="604"/>
      <c r="W78" s="352"/>
      <c r="X78" s="357"/>
      <c r="Y78" s="352"/>
      <c r="Z78" s="352"/>
      <c r="AA78" s="358"/>
      <c r="AB78" s="604"/>
      <c r="AC78" s="352"/>
      <c r="AD78" s="352"/>
      <c r="AE78" s="352"/>
      <c r="AF78" s="352"/>
      <c r="AG78" s="358"/>
      <c r="AH78" s="604"/>
      <c r="AI78" s="352"/>
      <c r="AJ78" s="352"/>
      <c r="AK78" s="352"/>
      <c r="AL78" s="352"/>
      <c r="AM78" s="358"/>
      <c r="AN78" s="605"/>
      <c r="AO78" s="352"/>
      <c r="AP78" s="352"/>
      <c r="AQ78" s="352"/>
      <c r="AR78" s="352"/>
      <c r="AS78" s="352"/>
      <c r="AT78" s="357"/>
      <c r="AU78" s="352"/>
      <c r="AV78" s="352"/>
      <c r="AW78" s="352"/>
      <c r="AX78" s="352"/>
      <c r="AY78" s="352"/>
      <c r="AZ78" s="357"/>
      <c r="BA78" s="352"/>
      <c r="BB78" s="352"/>
      <c r="BC78" s="352"/>
      <c r="BD78" s="352"/>
      <c r="BE78" s="352"/>
      <c r="BF78" s="357"/>
      <c r="BG78" s="352"/>
      <c r="BH78" s="352"/>
      <c r="BI78" s="352"/>
      <c r="BJ78" s="352"/>
      <c r="BK78" s="352"/>
      <c r="BL78" s="357"/>
      <c r="BM78" s="352"/>
      <c r="BN78" s="352"/>
      <c r="BO78" s="352"/>
      <c r="BP78" s="352"/>
      <c r="BQ78" s="352"/>
      <c r="BR78" s="353"/>
      <c r="BS78" s="352"/>
      <c r="BT78" s="352"/>
      <c r="BU78" s="352"/>
      <c r="BV78" s="352"/>
      <c r="BW78" s="213"/>
      <c r="BX78" s="213"/>
      <c r="BY78" s="213"/>
      <c r="BZ78" s="213"/>
      <c r="CA78" s="213"/>
      <c r="CB78" s="213"/>
      <c r="CC78" s="213"/>
      <c r="CD78" s="213"/>
      <c r="CE78" s="213"/>
      <c r="CF78" s="213"/>
      <c r="CG78" s="213"/>
      <c r="CH78" s="213"/>
      <c r="CI78" s="213"/>
      <c r="CJ78" s="213"/>
      <c r="CK78" s="213"/>
      <c r="CL78" s="213"/>
      <c r="CM78" s="213"/>
      <c r="CN78" s="213"/>
      <c r="CO78" s="213"/>
      <c r="CP78" s="213"/>
    </row>
    <row r="79" ht="15.75" hidden="1" customHeight="1">
      <c r="A79" s="213"/>
      <c r="B79" s="393"/>
      <c r="C79" s="350"/>
      <c r="D79" s="604"/>
      <c r="E79" s="355"/>
      <c r="F79" s="352"/>
      <c r="G79" s="352"/>
      <c r="H79" s="352"/>
      <c r="I79" s="358"/>
      <c r="J79" s="604"/>
      <c r="K79" s="355"/>
      <c r="L79" s="352"/>
      <c r="M79" s="352"/>
      <c r="N79" s="352"/>
      <c r="O79" s="358"/>
      <c r="P79" s="604"/>
      <c r="Q79" s="352"/>
      <c r="R79" s="352"/>
      <c r="S79" s="352"/>
      <c r="T79" s="352"/>
      <c r="U79" s="358"/>
      <c r="V79" s="604"/>
      <c r="W79" s="352"/>
      <c r="X79" s="357"/>
      <c r="Y79" s="352"/>
      <c r="Z79" s="352"/>
      <c r="AA79" s="358"/>
      <c r="AB79" s="604"/>
      <c r="AC79" s="352"/>
      <c r="AD79" s="352"/>
      <c r="AE79" s="352"/>
      <c r="AF79" s="352"/>
      <c r="AG79" s="358"/>
      <c r="AH79" s="604"/>
      <c r="AI79" s="352"/>
      <c r="AJ79" s="352"/>
      <c r="AK79" s="352"/>
      <c r="AL79" s="352"/>
      <c r="AM79" s="358"/>
      <c r="AN79" s="605"/>
      <c r="AO79" s="352"/>
      <c r="AP79" s="352"/>
      <c r="AQ79" s="352"/>
      <c r="AR79" s="352"/>
      <c r="AS79" s="352"/>
      <c r="AT79" s="357"/>
      <c r="AU79" s="352"/>
      <c r="AV79" s="352"/>
      <c r="AW79" s="352"/>
      <c r="AX79" s="352"/>
      <c r="AY79" s="352"/>
      <c r="AZ79" s="357"/>
      <c r="BA79" s="352"/>
      <c r="BB79" s="352"/>
      <c r="BC79" s="352"/>
      <c r="BD79" s="352"/>
      <c r="BE79" s="352"/>
      <c r="BF79" s="357"/>
      <c r="BG79" s="352"/>
      <c r="BH79" s="352"/>
      <c r="BI79" s="352"/>
      <c r="BJ79" s="352"/>
      <c r="BK79" s="352"/>
      <c r="BL79" s="357"/>
      <c r="BM79" s="352"/>
      <c r="BN79" s="352"/>
      <c r="BO79" s="352"/>
      <c r="BP79" s="352"/>
      <c r="BQ79" s="352"/>
      <c r="BR79" s="353"/>
      <c r="BS79" s="352"/>
      <c r="BT79" s="352"/>
      <c r="BU79" s="352"/>
      <c r="BV79" s="352"/>
      <c r="BW79" s="213"/>
      <c r="BX79" s="213"/>
      <c r="BY79" s="213"/>
      <c r="BZ79" s="213"/>
      <c r="CA79" s="213"/>
      <c r="CB79" s="213"/>
      <c r="CC79" s="213"/>
      <c r="CD79" s="213"/>
      <c r="CE79" s="213"/>
      <c r="CF79" s="213"/>
      <c r="CG79" s="213"/>
      <c r="CH79" s="213"/>
      <c r="CI79" s="213"/>
      <c r="CJ79" s="213"/>
      <c r="CK79" s="213"/>
      <c r="CL79" s="213"/>
      <c r="CM79" s="213"/>
      <c r="CN79" s="213"/>
      <c r="CO79" s="213"/>
      <c r="CP79" s="213"/>
    </row>
    <row r="80" ht="15.75" hidden="1" customHeight="1">
      <c r="A80" s="213"/>
      <c r="B80" s="393"/>
      <c r="C80" s="350"/>
      <c r="D80" s="604"/>
      <c r="E80" s="355"/>
      <c r="F80" s="352"/>
      <c r="G80" s="352"/>
      <c r="H80" s="352"/>
      <c r="I80" s="358"/>
      <c r="J80" s="604"/>
      <c r="K80" s="355"/>
      <c r="L80" s="352"/>
      <c r="M80" s="352"/>
      <c r="N80" s="352"/>
      <c r="O80" s="358"/>
      <c r="P80" s="604"/>
      <c r="Q80" s="352"/>
      <c r="R80" s="352"/>
      <c r="S80" s="352"/>
      <c r="T80" s="352"/>
      <c r="U80" s="358"/>
      <c r="V80" s="604"/>
      <c r="W80" s="352"/>
      <c r="X80" s="357"/>
      <c r="Y80" s="352"/>
      <c r="Z80" s="352"/>
      <c r="AA80" s="358"/>
      <c r="AB80" s="604"/>
      <c r="AC80" s="352"/>
      <c r="AD80" s="352"/>
      <c r="AE80" s="352"/>
      <c r="AF80" s="352"/>
      <c r="AG80" s="358"/>
      <c r="AH80" s="604"/>
      <c r="AI80" s="352"/>
      <c r="AJ80" s="352"/>
      <c r="AK80" s="352"/>
      <c r="AL80" s="352"/>
      <c r="AM80" s="358"/>
      <c r="AN80" s="605"/>
      <c r="AO80" s="352"/>
      <c r="AP80" s="352"/>
      <c r="AQ80" s="352"/>
      <c r="AR80" s="352"/>
      <c r="AS80" s="352"/>
      <c r="AT80" s="357"/>
      <c r="AU80" s="352"/>
      <c r="AV80" s="352"/>
      <c r="AW80" s="352"/>
      <c r="AX80" s="352"/>
      <c r="AY80" s="352"/>
      <c r="AZ80" s="357"/>
      <c r="BA80" s="352"/>
      <c r="BB80" s="352"/>
      <c r="BC80" s="352"/>
      <c r="BD80" s="352"/>
      <c r="BE80" s="352"/>
      <c r="BF80" s="357"/>
      <c r="BG80" s="352"/>
      <c r="BH80" s="352"/>
      <c r="BI80" s="352"/>
      <c r="BJ80" s="352"/>
      <c r="BK80" s="352"/>
      <c r="BL80" s="357"/>
      <c r="BM80" s="352"/>
      <c r="BN80" s="352"/>
      <c r="BO80" s="352"/>
      <c r="BP80" s="352"/>
      <c r="BQ80" s="352"/>
      <c r="BR80" s="353"/>
      <c r="BS80" s="352"/>
      <c r="BT80" s="352"/>
      <c r="BU80" s="352"/>
      <c r="BV80" s="352"/>
      <c r="BW80" s="213"/>
      <c r="BX80" s="213"/>
      <c r="BY80" s="213"/>
      <c r="BZ80" s="213"/>
      <c r="CA80" s="213"/>
      <c r="CB80" s="213"/>
      <c r="CC80" s="213"/>
      <c r="CD80" s="213"/>
      <c r="CE80" s="213"/>
      <c r="CF80" s="213"/>
      <c r="CG80" s="213"/>
      <c r="CH80" s="213"/>
      <c r="CI80" s="213"/>
      <c r="CJ80" s="213"/>
      <c r="CK80" s="213"/>
      <c r="CL80" s="213"/>
      <c r="CM80" s="213"/>
      <c r="CN80" s="213"/>
      <c r="CO80" s="213"/>
      <c r="CP80" s="213"/>
    </row>
    <row r="81" ht="15.75" hidden="1" customHeight="1">
      <c r="A81" s="213"/>
      <c r="B81" s="393"/>
      <c r="C81" s="350"/>
      <c r="D81" s="604"/>
      <c r="E81" s="355"/>
      <c r="F81" s="352"/>
      <c r="G81" s="352"/>
      <c r="H81" s="352"/>
      <c r="I81" s="358"/>
      <c r="J81" s="604"/>
      <c r="K81" s="355"/>
      <c r="L81" s="352"/>
      <c r="M81" s="352"/>
      <c r="N81" s="352"/>
      <c r="O81" s="358"/>
      <c r="P81" s="604"/>
      <c r="Q81" s="352"/>
      <c r="R81" s="352"/>
      <c r="S81" s="352"/>
      <c r="T81" s="352"/>
      <c r="U81" s="358"/>
      <c r="V81" s="604"/>
      <c r="W81" s="352"/>
      <c r="X81" s="357"/>
      <c r="Y81" s="352"/>
      <c r="Z81" s="352"/>
      <c r="AA81" s="358"/>
      <c r="AB81" s="604"/>
      <c r="AC81" s="352"/>
      <c r="AD81" s="352"/>
      <c r="AE81" s="352"/>
      <c r="AF81" s="352"/>
      <c r="AG81" s="358"/>
      <c r="AH81" s="604"/>
      <c r="AI81" s="352"/>
      <c r="AJ81" s="352"/>
      <c r="AK81" s="352"/>
      <c r="AL81" s="352"/>
      <c r="AM81" s="358"/>
      <c r="AN81" s="605"/>
      <c r="AO81" s="352"/>
      <c r="AP81" s="352"/>
      <c r="AQ81" s="352"/>
      <c r="AR81" s="352"/>
      <c r="AS81" s="352"/>
      <c r="AT81" s="357"/>
      <c r="AU81" s="352"/>
      <c r="AV81" s="352"/>
      <c r="AW81" s="352"/>
      <c r="AX81" s="352"/>
      <c r="AY81" s="352"/>
      <c r="AZ81" s="357"/>
      <c r="BA81" s="352"/>
      <c r="BB81" s="352"/>
      <c r="BC81" s="352"/>
      <c r="BD81" s="352"/>
      <c r="BE81" s="352"/>
      <c r="BF81" s="357"/>
      <c r="BG81" s="352"/>
      <c r="BH81" s="352"/>
      <c r="BI81" s="352"/>
      <c r="BJ81" s="352"/>
      <c r="BK81" s="352"/>
      <c r="BL81" s="357"/>
      <c r="BM81" s="352"/>
      <c r="BN81" s="352"/>
      <c r="BO81" s="352"/>
      <c r="BP81" s="352"/>
      <c r="BQ81" s="352"/>
      <c r="BR81" s="353"/>
      <c r="BS81" s="352"/>
      <c r="BT81" s="352"/>
      <c r="BU81" s="352"/>
      <c r="BV81" s="352"/>
      <c r="BW81" s="213"/>
      <c r="BX81" s="213"/>
      <c r="BY81" s="213"/>
      <c r="BZ81" s="213"/>
      <c r="CA81" s="213"/>
      <c r="CB81" s="213"/>
      <c r="CC81" s="213"/>
      <c r="CD81" s="213"/>
      <c r="CE81" s="213"/>
      <c r="CF81" s="213"/>
      <c r="CG81" s="213"/>
      <c r="CH81" s="213"/>
      <c r="CI81" s="213"/>
      <c r="CJ81" s="213"/>
      <c r="CK81" s="213"/>
      <c r="CL81" s="213"/>
      <c r="CM81" s="213"/>
      <c r="CN81" s="213"/>
      <c r="CO81" s="213"/>
      <c r="CP81" s="213"/>
    </row>
    <row r="82" ht="15.75" hidden="1" customHeight="1">
      <c r="A82" s="213"/>
      <c r="B82" s="393"/>
      <c r="C82" s="350"/>
      <c r="D82" s="604"/>
      <c r="E82" s="355"/>
      <c r="F82" s="352"/>
      <c r="G82" s="352"/>
      <c r="H82" s="352"/>
      <c r="I82" s="358"/>
      <c r="J82" s="604"/>
      <c r="K82" s="355"/>
      <c r="L82" s="352"/>
      <c r="M82" s="352"/>
      <c r="N82" s="352"/>
      <c r="O82" s="358"/>
      <c r="P82" s="604"/>
      <c r="Q82" s="352"/>
      <c r="R82" s="352"/>
      <c r="S82" s="352"/>
      <c r="T82" s="352"/>
      <c r="U82" s="358"/>
      <c r="V82" s="604"/>
      <c r="W82" s="352"/>
      <c r="X82" s="357"/>
      <c r="Y82" s="352"/>
      <c r="Z82" s="352"/>
      <c r="AA82" s="358"/>
      <c r="AB82" s="604"/>
      <c r="AC82" s="352"/>
      <c r="AD82" s="352"/>
      <c r="AE82" s="352"/>
      <c r="AF82" s="352"/>
      <c r="AG82" s="358"/>
      <c r="AH82" s="604"/>
      <c r="AI82" s="352"/>
      <c r="AJ82" s="352"/>
      <c r="AK82" s="352"/>
      <c r="AL82" s="352"/>
      <c r="AM82" s="358"/>
      <c r="AN82" s="605"/>
      <c r="AO82" s="352"/>
      <c r="AP82" s="352"/>
      <c r="AQ82" s="352"/>
      <c r="AR82" s="352"/>
      <c r="AS82" s="352"/>
      <c r="AT82" s="357"/>
      <c r="AU82" s="352"/>
      <c r="AV82" s="352"/>
      <c r="AW82" s="352"/>
      <c r="AX82" s="352"/>
      <c r="AY82" s="352"/>
      <c r="AZ82" s="357"/>
      <c r="BA82" s="352"/>
      <c r="BB82" s="352"/>
      <c r="BC82" s="352"/>
      <c r="BD82" s="352"/>
      <c r="BE82" s="352"/>
      <c r="BF82" s="357"/>
      <c r="BG82" s="352"/>
      <c r="BH82" s="352"/>
      <c r="BI82" s="352"/>
      <c r="BJ82" s="352"/>
      <c r="BK82" s="352"/>
      <c r="BL82" s="357"/>
      <c r="BM82" s="352"/>
      <c r="BN82" s="352"/>
      <c r="BO82" s="352"/>
      <c r="BP82" s="352"/>
      <c r="BQ82" s="352"/>
      <c r="BR82" s="353"/>
      <c r="BS82" s="352"/>
      <c r="BT82" s="352"/>
      <c r="BU82" s="352"/>
      <c r="BV82" s="352"/>
      <c r="BW82" s="213"/>
      <c r="BX82" s="213"/>
      <c r="BY82" s="213"/>
      <c r="BZ82" s="213"/>
      <c r="CA82" s="213"/>
      <c r="CB82" s="213"/>
      <c r="CC82" s="213"/>
      <c r="CD82" s="213"/>
      <c r="CE82" s="213"/>
      <c r="CF82" s="213"/>
      <c r="CG82" s="213"/>
      <c r="CH82" s="213"/>
      <c r="CI82" s="213"/>
      <c r="CJ82" s="213"/>
      <c r="CK82" s="213"/>
      <c r="CL82" s="213"/>
      <c r="CM82" s="213"/>
      <c r="CN82" s="213"/>
      <c r="CO82" s="213"/>
      <c r="CP82" s="213"/>
    </row>
    <row r="83" ht="15.75" hidden="1" customHeight="1">
      <c r="A83" s="213"/>
      <c r="B83" s="393"/>
      <c r="C83" s="350"/>
      <c r="D83" s="604"/>
      <c r="E83" s="352"/>
      <c r="F83" s="352"/>
      <c r="G83" s="352"/>
      <c r="H83" s="352"/>
      <c r="I83" s="358"/>
      <c r="J83" s="604"/>
      <c r="K83" s="352"/>
      <c r="L83" s="352"/>
      <c r="M83" s="352"/>
      <c r="N83" s="352"/>
      <c r="O83" s="358"/>
      <c r="P83" s="604"/>
      <c r="Q83" s="352"/>
      <c r="R83" s="352"/>
      <c r="S83" s="352"/>
      <c r="T83" s="352"/>
      <c r="U83" s="358"/>
      <c r="V83" s="604"/>
      <c r="W83" s="352"/>
      <c r="X83" s="357"/>
      <c r="Y83" s="352"/>
      <c r="Z83" s="352"/>
      <c r="AA83" s="358"/>
      <c r="AB83" s="604"/>
      <c r="AC83" s="352"/>
      <c r="AD83" s="352"/>
      <c r="AE83" s="352"/>
      <c r="AF83" s="352"/>
      <c r="AG83" s="358"/>
      <c r="AH83" s="604"/>
      <c r="AI83" s="352"/>
      <c r="AJ83" s="352"/>
      <c r="AK83" s="352"/>
      <c r="AL83" s="352"/>
      <c r="AM83" s="358"/>
      <c r="AN83" s="605"/>
      <c r="AO83" s="352"/>
      <c r="AP83" s="352"/>
      <c r="AQ83" s="352"/>
      <c r="AR83" s="352"/>
      <c r="AS83" s="352"/>
      <c r="AT83" s="357"/>
      <c r="AU83" s="352"/>
      <c r="AV83" s="352"/>
      <c r="AW83" s="352"/>
      <c r="AX83" s="352"/>
      <c r="AY83" s="352"/>
      <c r="AZ83" s="357"/>
      <c r="BA83" s="352"/>
      <c r="BB83" s="352"/>
      <c r="BC83" s="352"/>
      <c r="BD83" s="352"/>
      <c r="BE83" s="352"/>
      <c r="BF83" s="357"/>
      <c r="BG83" s="352"/>
      <c r="BH83" s="352"/>
      <c r="BI83" s="352"/>
      <c r="BJ83" s="352"/>
      <c r="BK83" s="352"/>
      <c r="BL83" s="357"/>
      <c r="BM83" s="352"/>
      <c r="BN83" s="352"/>
      <c r="BO83" s="352"/>
      <c r="BP83" s="352"/>
      <c r="BQ83" s="352"/>
      <c r="BR83" s="353"/>
      <c r="BS83" s="352"/>
      <c r="BT83" s="352"/>
      <c r="BU83" s="352"/>
      <c r="BV83" s="245"/>
      <c r="BW83" s="213"/>
      <c r="BX83" s="213"/>
      <c r="BY83" s="213"/>
      <c r="BZ83" s="213"/>
      <c r="CA83" s="213"/>
      <c r="CB83" s="213"/>
      <c r="CC83" s="213"/>
      <c r="CD83" s="213"/>
      <c r="CE83" s="213"/>
      <c r="CF83" s="213"/>
      <c r="CG83" s="213"/>
      <c r="CH83" s="213"/>
      <c r="CI83" s="213"/>
      <c r="CJ83" s="213"/>
      <c r="CK83" s="213"/>
      <c r="CL83" s="213"/>
      <c r="CM83" s="213"/>
      <c r="CN83" s="213"/>
      <c r="CO83" s="213"/>
      <c r="CP83" s="213"/>
    </row>
    <row r="84" ht="15.75" hidden="1" customHeight="1">
      <c r="A84" s="213"/>
      <c r="B84" s="393"/>
      <c r="C84" s="350"/>
      <c r="D84" s="604"/>
      <c r="E84" s="355"/>
      <c r="F84" s="352"/>
      <c r="G84" s="355"/>
      <c r="H84" s="352"/>
      <c r="I84" s="395"/>
      <c r="J84" s="604"/>
      <c r="K84" s="355"/>
      <c r="L84" s="352"/>
      <c r="M84" s="355"/>
      <c r="N84" s="352"/>
      <c r="O84" s="358"/>
      <c r="P84" s="604"/>
      <c r="Q84" s="352"/>
      <c r="R84" s="352"/>
      <c r="S84" s="355"/>
      <c r="T84" s="352"/>
      <c r="U84" s="358"/>
      <c r="V84" s="604"/>
      <c r="W84" s="352"/>
      <c r="X84" s="357"/>
      <c r="Y84" s="355"/>
      <c r="Z84" s="352"/>
      <c r="AA84" s="358"/>
      <c r="AB84" s="604"/>
      <c r="AC84" s="352"/>
      <c r="AD84" s="352"/>
      <c r="AE84" s="355"/>
      <c r="AF84" s="352"/>
      <c r="AG84" s="358"/>
      <c r="AH84" s="604"/>
      <c r="AI84" s="352"/>
      <c r="AJ84" s="352"/>
      <c r="AK84" s="355"/>
      <c r="AL84" s="352"/>
      <c r="AM84" s="358"/>
      <c r="AN84" s="605"/>
      <c r="AO84" s="352"/>
      <c r="AP84" s="352"/>
      <c r="AQ84" s="355"/>
      <c r="AR84" s="352"/>
      <c r="AS84" s="352"/>
      <c r="AT84" s="357"/>
      <c r="AU84" s="352"/>
      <c r="AV84" s="352"/>
      <c r="AW84" s="355"/>
      <c r="AX84" s="352"/>
      <c r="AY84" s="352"/>
      <c r="AZ84" s="357"/>
      <c r="BA84" s="352"/>
      <c r="BB84" s="352"/>
      <c r="BC84" s="355"/>
      <c r="BD84" s="352"/>
      <c r="BE84" s="352"/>
      <c r="BF84" s="357"/>
      <c r="BG84" s="352"/>
      <c r="BH84" s="352"/>
      <c r="BI84" s="355"/>
      <c r="BJ84" s="352"/>
      <c r="BK84" s="352"/>
      <c r="BL84" s="357"/>
      <c r="BM84" s="352"/>
      <c r="BN84" s="352"/>
      <c r="BO84" s="355"/>
      <c r="BP84" s="352"/>
      <c r="BQ84" s="352"/>
      <c r="BR84" s="353"/>
      <c r="BS84" s="352"/>
      <c r="BT84" s="352"/>
      <c r="BU84" s="355"/>
      <c r="BV84" s="352"/>
      <c r="BW84" s="213"/>
      <c r="BX84" s="213"/>
      <c r="BY84" s="213"/>
      <c r="BZ84" s="213"/>
      <c r="CA84" s="213"/>
      <c r="CB84" s="213"/>
      <c r="CC84" s="213"/>
      <c r="CD84" s="213"/>
      <c r="CE84" s="213"/>
      <c r="CF84" s="213"/>
      <c r="CG84" s="213"/>
      <c r="CH84" s="213"/>
      <c r="CI84" s="213"/>
      <c r="CJ84" s="213"/>
      <c r="CK84" s="213"/>
      <c r="CL84" s="213"/>
      <c r="CM84" s="213"/>
      <c r="CN84" s="213"/>
      <c r="CO84" s="213"/>
      <c r="CP84" s="213"/>
    </row>
    <row r="85" ht="15.75" hidden="1" customHeight="1">
      <c r="A85" s="213"/>
      <c r="B85" s="393"/>
      <c r="C85" s="350"/>
      <c r="D85" s="604"/>
      <c r="E85" s="245"/>
      <c r="F85" s="245"/>
      <c r="G85" s="355"/>
      <c r="H85" s="245"/>
      <c r="I85" s="350"/>
      <c r="J85" s="604"/>
      <c r="K85" s="245"/>
      <c r="L85" s="245"/>
      <c r="M85" s="245"/>
      <c r="N85" s="245"/>
      <c r="O85" s="350"/>
      <c r="P85" s="604"/>
      <c r="Q85" s="245"/>
      <c r="R85" s="352"/>
      <c r="S85" s="245"/>
      <c r="T85" s="245"/>
      <c r="U85" s="350"/>
      <c r="V85" s="604"/>
      <c r="W85" s="352"/>
      <c r="X85" s="676"/>
      <c r="Y85" s="245"/>
      <c r="Z85" s="245"/>
      <c r="AA85" s="350"/>
      <c r="AB85" s="604"/>
      <c r="AC85" s="245"/>
      <c r="AD85" s="245"/>
      <c r="AE85" s="245"/>
      <c r="AF85" s="245"/>
      <c r="AG85" s="350"/>
      <c r="AH85" s="604"/>
      <c r="AI85" s="245"/>
      <c r="AJ85" s="245"/>
      <c r="AK85" s="245"/>
      <c r="AL85" s="245"/>
      <c r="AM85" s="350"/>
      <c r="AN85" s="605"/>
      <c r="AO85" s="245"/>
      <c r="AP85" s="245"/>
      <c r="AQ85" s="245"/>
      <c r="AR85" s="245"/>
      <c r="AS85" s="245"/>
      <c r="AT85" s="357"/>
      <c r="AU85" s="245"/>
      <c r="AV85" s="245"/>
      <c r="AW85" s="245"/>
      <c r="AX85" s="245"/>
      <c r="AY85" s="245"/>
      <c r="AZ85" s="357"/>
      <c r="BA85" s="245"/>
      <c r="BB85" s="245"/>
      <c r="BC85" s="245"/>
      <c r="BD85" s="245"/>
      <c r="BE85" s="245"/>
      <c r="BF85" s="357"/>
      <c r="BG85" s="245"/>
      <c r="BH85" s="245"/>
      <c r="BI85" s="245"/>
      <c r="BJ85" s="245"/>
      <c r="BK85" s="245"/>
      <c r="BL85" s="357"/>
      <c r="BM85" s="245"/>
      <c r="BN85" s="245"/>
      <c r="BO85" s="245"/>
      <c r="BP85" s="245"/>
      <c r="BQ85" s="245"/>
      <c r="BR85" s="356"/>
      <c r="BS85" s="245"/>
      <c r="BT85" s="245"/>
      <c r="BU85" s="245"/>
      <c r="BV85" s="245"/>
      <c r="BW85" s="213"/>
      <c r="BX85" s="213"/>
      <c r="BY85" s="213"/>
      <c r="BZ85" s="213"/>
      <c r="CA85" s="213"/>
      <c r="CB85" s="213"/>
      <c r="CC85" s="213"/>
      <c r="CD85" s="213"/>
      <c r="CE85" s="213"/>
      <c r="CF85" s="213"/>
      <c r="CG85" s="213"/>
      <c r="CH85" s="213"/>
      <c r="CI85" s="213"/>
      <c r="CJ85" s="213"/>
      <c r="CK85" s="213"/>
      <c r="CL85" s="213"/>
      <c r="CM85" s="213"/>
      <c r="CN85" s="213"/>
      <c r="CO85" s="213"/>
      <c r="CP85" s="213"/>
    </row>
    <row r="86" ht="15.75" customHeight="1">
      <c r="A86" s="213"/>
      <c r="B86" s="733" t="s">
        <v>249</v>
      </c>
      <c r="C86" s="734"/>
      <c r="D86" s="619"/>
      <c r="E86" s="688"/>
      <c r="F86" s="688"/>
      <c r="G86" s="404"/>
      <c r="H86" s="688"/>
      <c r="I86" s="362"/>
      <c r="J86" s="619"/>
      <c r="K86" s="688"/>
      <c r="L86" s="688"/>
      <c r="M86" s="688"/>
      <c r="N86" s="688"/>
      <c r="O86" s="362"/>
      <c r="P86" s="619"/>
      <c r="Q86" s="688"/>
      <c r="R86" s="364"/>
      <c r="S86" s="688"/>
      <c r="T86" s="688"/>
      <c r="U86" s="362"/>
      <c r="V86" s="619"/>
      <c r="W86" s="364"/>
      <c r="X86" s="803"/>
      <c r="Y86" s="688"/>
      <c r="Z86" s="688"/>
      <c r="AA86" s="362"/>
      <c r="AB86" s="619"/>
      <c r="AC86" s="688"/>
      <c r="AD86" s="688"/>
      <c r="AE86" s="688"/>
      <c r="AF86" s="688"/>
      <c r="AG86" s="362"/>
      <c r="AH86" s="619"/>
      <c r="AI86" s="688"/>
      <c r="AJ86" s="688"/>
      <c r="AK86" s="688"/>
      <c r="AL86" s="688"/>
      <c r="AM86" s="362"/>
      <c r="AN86" s="793"/>
      <c r="AO86" s="688"/>
      <c r="AP86" s="688"/>
      <c r="AQ86" s="688"/>
      <c r="AR86" s="688"/>
      <c r="AS86" s="688"/>
      <c r="AT86" s="367"/>
      <c r="AU86" s="688"/>
      <c r="AV86" s="688"/>
      <c r="AW86" s="688"/>
      <c r="AX86" s="688"/>
      <c r="AY86" s="688"/>
      <c r="AZ86" s="367"/>
      <c r="BA86" s="688"/>
      <c r="BB86" s="688"/>
      <c r="BC86" s="688"/>
      <c r="BD86" s="688"/>
      <c r="BE86" s="688"/>
      <c r="BF86" s="367"/>
      <c r="BG86" s="688"/>
      <c r="BH86" s="688"/>
      <c r="BI86" s="688"/>
      <c r="BJ86" s="688"/>
      <c r="BK86" s="688"/>
      <c r="BL86" s="367"/>
      <c r="BM86" s="688"/>
      <c r="BN86" s="688"/>
      <c r="BO86" s="688"/>
      <c r="BP86" s="688"/>
      <c r="BQ86" s="688"/>
      <c r="BR86" s="804"/>
      <c r="BS86" s="688"/>
      <c r="BT86" s="688"/>
      <c r="BU86" s="688"/>
      <c r="BV86" s="688"/>
      <c r="BW86" s="213"/>
      <c r="BX86" s="213"/>
      <c r="BY86" s="213"/>
      <c r="BZ86" s="213"/>
      <c r="CA86" s="213"/>
      <c r="CB86" s="213"/>
      <c r="CC86" s="213"/>
      <c r="CD86" s="213"/>
      <c r="CE86" s="213"/>
      <c r="CF86" s="213"/>
      <c r="CG86" s="213"/>
      <c r="CH86" s="213"/>
      <c r="CI86" s="213"/>
      <c r="CJ86" s="213"/>
      <c r="CK86" s="213"/>
      <c r="CL86" s="213"/>
      <c r="CM86" s="213"/>
      <c r="CN86" s="213"/>
      <c r="CO86" s="213"/>
      <c r="CP86" s="213"/>
    </row>
    <row r="87" ht="15.75" customHeight="1">
      <c r="A87" s="213"/>
      <c r="B87" s="407"/>
      <c r="C87" s="447" t="s">
        <v>250</v>
      </c>
      <c r="D87" s="600">
        <f>SUM(D88:D96)</f>
        <v>90913.06667</v>
      </c>
      <c r="E87" s="374">
        <f t="shared" ref="E87:E94" si="124">D87/D$33</f>
        <v>0.005635028729</v>
      </c>
      <c r="F87" s="377">
        <f>SUM(F88:F96)</f>
        <v>72729</v>
      </c>
      <c r="G87" s="374">
        <f t="shared" ref="G87:G94" si="125">F87/F$33</f>
        <v>0.004751259592</v>
      </c>
      <c r="H87" s="377">
        <f>SUM(H88:H96)</f>
        <v>15037.4</v>
      </c>
      <c r="I87" s="379">
        <f>H87/H$33</f>
        <v>0.0181995894</v>
      </c>
      <c r="J87" s="600">
        <f>SUM(J88:J96)</f>
        <v>101620.2667</v>
      </c>
      <c r="K87" s="374">
        <f t="shared" ref="K87:K94" si="126">J87/J$33</f>
        <v>0.006141481875</v>
      </c>
      <c r="L87" s="377">
        <f>SUM(L88:L97)</f>
        <v>63718</v>
      </c>
      <c r="M87" s="374">
        <f t="shared" ref="M87:M90" si="127">L87/L$33</f>
        <v>0.003709092917</v>
      </c>
      <c r="N87" s="437">
        <f>SUM(N88:N90)</f>
        <v>0</v>
      </c>
      <c r="O87" s="372"/>
      <c r="P87" s="600">
        <f>SUM(P88:P96)</f>
        <v>106223.4667</v>
      </c>
      <c r="Q87" s="374">
        <f t="shared" ref="Q87:Q96" si="128">P87/P$33</f>
        <v>0.006958684286</v>
      </c>
      <c r="R87" s="377">
        <f>SUM(R88:R97)</f>
        <v>118978</v>
      </c>
      <c r="S87" s="374">
        <f t="shared" ref="S87:S90" si="129">R87/R$33</f>
        <v>0.007325123629</v>
      </c>
      <c r="T87" s="437">
        <f>SUM(T88:T90)</f>
        <v>0</v>
      </c>
      <c r="U87" s="372"/>
      <c r="V87" s="600">
        <f>SUM(V88:V97)</f>
        <v>100798.6667</v>
      </c>
      <c r="W87" s="374">
        <f t="shared" ref="W87:W96" si="130">V87/V$33</f>
        <v>0.006244918064</v>
      </c>
      <c r="X87" s="377">
        <f>SUM(X88:X97)</f>
        <v>140778</v>
      </c>
      <c r="Y87" s="374">
        <f t="shared" ref="Y87:Y90" si="131">X87/X$33</f>
        <v>0.00887876921</v>
      </c>
      <c r="Z87" s="437">
        <f>SUM(Z88:Z90)</f>
        <v>0</v>
      </c>
      <c r="AA87" s="372"/>
      <c r="AB87" s="600">
        <f>SUM(AB88:AB97)</f>
        <v>116535.5238</v>
      </c>
      <c r="AC87" s="374">
        <f t="shared" ref="AC87:AC90" si="132">AB87/AB$33</f>
        <v>0.006673786093</v>
      </c>
      <c r="AD87" s="377">
        <f>SUM(AD88:AD97)</f>
        <v>162578</v>
      </c>
      <c r="AE87" s="374">
        <f t="shared" ref="AE87:AE90" si="133">AD87/AD$33</f>
        <v>0.00919285279</v>
      </c>
      <c r="AF87" s="437">
        <f>SUM(AF88:AF90)</f>
        <v>0</v>
      </c>
      <c r="AG87" s="372"/>
      <c r="AH87" s="600">
        <f>SUM(AH88:AH97)</f>
        <v>205359.9524</v>
      </c>
      <c r="AI87" s="374">
        <f t="shared" ref="AI87:AI90" si="134">AH87/AH$33</f>
        <v>0.01312691271</v>
      </c>
      <c r="AJ87" s="377">
        <f>SUM(AJ88:AJ97)</f>
        <v>184378</v>
      </c>
      <c r="AK87" s="374">
        <f t="shared" ref="AK87:AK90" si="135">AJ87/AJ$33</f>
        <v>0.01090603936</v>
      </c>
      <c r="AL87" s="437">
        <f>SUM(AL88:AL90)</f>
        <v>0</v>
      </c>
      <c r="AM87" s="372"/>
      <c r="AN87" s="601">
        <f>SUM(AN88:AN97)</f>
        <v>157705.6667</v>
      </c>
      <c r="AO87" s="374">
        <f t="shared" ref="AO87:AO90" si="136">AN87/AN$33</f>
        <v>0.009515910628</v>
      </c>
      <c r="AP87" s="377">
        <f>SUM(AP88:AP97)</f>
        <v>217871</v>
      </c>
      <c r="AQ87" s="374">
        <f t="shared" ref="AQ87:AQ90" si="137">AP87/AP$33</f>
        <v>0.01246582817</v>
      </c>
      <c r="AR87" s="437">
        <f>SUM(AR88:AR90)</f>
        <v>0</v>
      </c>
      <c r="AS87" s="437"/>
      <c r="AT87" s="377">
        <f>SUM(AT88:AT97)</f>
        <v>183509.8095</v>
      </c>
      <c r="AU87" s="374">
        <f t="shared" ref="AU87:AU96" si="138">AT87/AT$33</f>
        <v>0.01082200037</v>
      </c>
      <c r="AV87" s="377">
        <f>SUM(AV88:AV97)</f>
        <v>228657.6667</v>
      </c>
      <c r="AW87" s="374">
        <f t="shared" ref="AW87:AW96" si="139">AV87/AV$33</f>
        <v>0.01338676159</v>
      </c>
      <c r="AX87" s="437">
        <f>SUM(AX88:AX90)</f>
        <v>0</v>
      </c>
      <c r="AY87" s="437"/>
      <c r="AZ87" s="377">
        <f>SUM(AZ88:AZ97)</f>
        <v>283493</v>
      </c>
      <c r="BA87" s="374">
        <f t="shared" ref="BA87:BA96" si="140">AZ87/AZ$33</f>
        <v>0.01377065454</v>
      </c>
      <c r="BB87" s="377">
        <f>SUM(BB88:BB97)</f>
        <v>393471</v>
      </c>
      <c r="BC87" s="374">
        <f t="shared" ref="BC87:BC90" si="141">BB87/BB$33</f>
        <v>0.02011973149</v>
      </c>
      <c r="BD87" s="437">
        <f>SUM(BD88:BD90)</f>
        <v>0</v>
      </c>
      <c r="BE87" s="437"/>
      <c r="BF87" s="377">
        <f>SUM(BF88:BF97)</f>
        <v>226310.0952</v>
      </c>
      <c r="BG87" s="374">
        <f t="shared" ref="BG87:BG96" si="142">BF87/BF$33</f>
        <v>0.01207412638</v>
      </c>
      <c r="BH87" s="377">
        <f>SUM(BH88:BH97)</f>
        <v>193471</v>
      </c>
      <c r="BI87" s="374">
        <f t="shared" ref="BI87:BI90" si="143">BH87/BH$33</f>
        <v>0.01079775725</v>
      </c>
      <c r="BJ87" s="437">
        <f>SUM(BJ88:BJ90)</f>
        <v>0</v>
      </c>
      <c r="BK87" s="437"/>
      <c r="BL87" s="377">
        <f>SUM(BL88:BL96)</f>
        <v>230325.4762</v>
      </c>
      <c r="BM87" s="374">
        <f t="shared" ref="BM87:BM96" si="144">BL87/BL$33</f>
        <v>0.01400933666</v>
      </c>
      <c r="BN87" s="377">
        <f>SUM(BN88:BN96)</f>
        <v>193471</v>
      </c>
      <c r="BO87" s="374">
        <f t="shared" ref="BO87:BO90" si="145">BN87/BN$33</f>
        <v>0.01290347213</v>
      </c>
      <c r="BP87" s="437">
        <f>SUM(BP88:BP90)</f>
        <v>0</v>
      </c>
      <c r="BQ87" s="437"/>
      <c r="BR87" s="692">
        <f>SUM(BR88:BR96)</f>
        <v>372471.9124</v>
      </c>
      <c r="BS87" s="374">
        <f t="shared" ref="BS87:BS96" si="146">BR87/BR$33</f>
        <v>0.01975522329</v>
      </c>
      <c r="BT87" s="377">
        <f>SUM(BT88:BT97)</f>
        <v>203471</v>
      </c>
      <c r="BU87" s="374">
        <f t="shared" ref="BU87:BU90" si="147">BT87/BT$33</f>
        <v>0.01206835306</v>
      </c>
      <c r="BV87" s="437">
        <f>SUM(BV88:BV90)</f>
        <v>0</v>
      </c>
      <c r="BW87" s="216"/>
      <c r="BX87" s="216"/>
      <c r="BY87" s="216"/>
      <c r="BZ87" s="216"/>
      <c r="CA87" s="216"/>
      <c r="CB87" s="216"/>
      <c r="CC87" s="216"/>
      <c r="CD87" s="216"/>
      <c r="CE87" s="216"/>
      <c r="CF87" s="216"/>
      <c r="CG87" s="216"/>
      <c r="CH87" s="216"/>
      <c r="CI87" s="216"/>
      <c r="CJ87" s="216"/>
      <c r="CK87" s="216"/>
      <c r="CL87" s="216"/>
      <c r="CM87" s="216"/>
      <c r="CN87" s="216"/>
      <c r="CO87" s="216"/>
      <c r="CP87" s="216"/>
    </row>
    <row r="88" ht="15.75" customHeight="1">
      <c r="A88" s="213"/>
      <c r="B88" s="444"/>
      <c r="C88" s="383" t="s">
        <v>251</v>
      </c>
      <c r="D88" s="708"/>
      <c r="E88" s="385">
        <f t="shared" si="124"/>
        <v>0</v>
      </c>
      <c r="F88" s="388">
        <v>0.0</v>
      </c>
      <c r="G88" s="385">
        <f t="shared" si="125"/>
        <v>0</v>
      </c>
      <c r="H88" s="388">
        <f t="shared" ref="H88:H94" si="148">D88-F88</f>
        <v>0</v>
      </c>
      <c r="I88" s="807" t="str">
        <f t="shared" ref="I88:I94" si="149">IFERROR(H88/F88,"")</f>
        <v/>
      </c>
      <c r="J88" s="708">
        <v>813.0</v>
      </c>
      <c r="K88" s="385">
        <f t="shared" si="126"/>
        <v>0.0000491341435</v>
      </c>
      <c r="L88" s="388"/>
      <c r="M88" s="385">
        <f t="shared" si="127"/>
        <v>0</v>
      </c>
      <c r="N88" s="709"/>
      <c r="O88" s="383"/>
      <c r="P88" s="708"/>
      <c r="Q88" s="385">
        <f t="shared" si="128"/>
        <v>0</v>
      </c>
      <c r="R88" s="388"/>
      <c r="S88" s="385">
        <f t="shared" si="129"/>
        <v>0</v>
      </c>
      <c r="T88" s="709"/>
      <c r="U88" s="383"/>
      <c r="V88" s="708"/>
      <c r="W88" s="385">
        <f t="shared" si="130"/>
        <v>0</v>
      </c>
      <c r="X88" s="388"/>
      <c r="Y88" s="385">
        <f t="shared" si="131"/>
        <v>0</v>
      </c>
      <c r="Z88" s="709"/>
      <c r="AA88" s="383"/>
      <c r="AB88" s="708"/>
      <c r="AC88" s="385">
        <f t="shared" si="132"/>
        <v>0</v>
      </c>
      <c r="AD88" s="388"/>
      <c r="AE88" s="385">
        <f t="shared" si="133"/>
        <v>0</v>
      </c>
      <c r="AF88" s="709"/>
      <c r="AG88" s="383"/>
      <c r="AH88" s="708">
        <f>48579+12511</f>
        <v>61090</v>
      </c>
      <c r="AI88" s="385">
        <f t="shared" si="134"/>
        <v>0.003904963398</v>
      </c>
      <c r="AJ88" s="388"/>
      <c r="AK88" s="385">
        <f t="shared" si="135"/>
        <v>0</v>
      </c>
      <c r="AL88" s="709"/>
      <c r="AM88" s="383"/>
      <c r="AN88" s="787"/>
      <c r="AO88" s="385">
        <f t="shared" si="136"/>
        <v>0</v>
      </c>
      <c r="AP88" s="388"/>
      <c r="AQ88" s="385">
        <f t="shared" si="137"/>
        <v>0</v>
      </c>
      <c r="AR88" s="709"/>
      <c r="AS88" s="709"/>
      <c r="AT88" s="388"/>
      <c r="AU88" s="385">
        <f t="shared" si="138"/>
        <v>0</v>
      </c>
      <c r="AV88" s="388"/>
      <c r="AW88" s="385">
        <f t="shared" si="139"/>
        <v>0</v>
      </c>
      <c r="AX88" s="709"/>
      <c r="AY88" s="709"/>
      <c r="AZ88" s="388"/>
      <c r="BA88" s="385">
        <f t="shared" si="140"/>
        <v>0</v>
      </c>
      <c r="BB88" s="388">
        <v>200000.0</v>
      </c>
      <c r="BC88" s="385">
        <f t="shared" si="141"/>
        <v>0.01022679257</v>
      </c>
      <c r="BD88" s="709"/>
      <c r="BE88" s="709"/>
      <c r="BF88" s="388"/>
      <c r="BG88" s="385">
        <f t="shared" si="142"/>
        <v>0</v>
      </c>
      <c r="BH88" s="388"/>
      <c r="BI88" s="385">
        <f t="shared" si="143"/>
        <v>0</v>
      </c>
      <c r="BJ88" s="709"/>
      <c r="BK88" s="709"/>
      <c r="BL88" s="388"/>
      <c r="BM88" s="385">
        <f t="shared" si="144"/>
        <v>0</v>
      </c>
      <c r="BN88" s="388"/>
      <c r="BO88" s="385">
        <f t="shared" si="145"/>
        <v>0</v>
      </c>
      <c r="BP88" s="709"/>
      <c r="BQ88" s="709"/>
      <c r="BR88" s="808">
        <f>(75284*1.18)+(14838*1.18)</f>
        <v>106343.96</v>
      </c>
      <c r="BS88" s="385">
        <f t="shared" si="146"/>
        <v>0.00564028751</v>
      </c>
      <c r="BT88" s="388"/>
      <c r="BU88" s="385">
        <f t="shared" si="147"/>
        <v>0</v>
      </c>
      <c r="BV88" s="709"/>
      <c r="BW88" s="213"/>
      <c r="BX88" s="213"/>
      <c r="BY88" s="213"/>
      <c r="BZ88" s="213"/>
      <c r="CA88" s="213"/>
      <c r="CB88" s="213"/>
      <c r="CC88" s="213"/>
      <c r="CD88" s="213"/>
      <c r="CE88" s="213"/>
      <c r="CF88" s="213"/>
      <c r="CG88" s="213"/>
      <c r="CH88" s="213"/>
      <c r="CI88" s="213"/>
      <c r="CJ88" s="213"/>
      <c r="CK88" s="213"/>
      <c r="CL88" s="213"/>
      <c r="CM88" s="213"/>
      <c r="CN88" s="213"/>
      <c r="CO88" s="213"/>
      <c r="CP88" s="213"/>
    </row>
    <row r="89" ht="15.75" customHeight="1">
      <c r="A89" s="213"/>
      <c r="B89" s="393"/>
      <c r="C89" s="350" t="s">
        <v>254</v>
      </c>
      <c r="D89" s="604"/>
      <c r="E89" s="355">
        <f t="shared" si="124"/>
        <v>0</v>
      </c>
      <c r="F89" s="357">
        <v>4000.0</v>
      </c>
      <c r="G89" s="355">
        <f t="shared" si="125"/>
        <v>0.0002613130714</v>
      </c>
      <c r="H89" s="357">
        <f t="shared" si="148"/>
        <v>-4000</v>
      </c>
      <c r="I89" s="719">
        <f t="shared" si="149"/>
        <v>-1</v>
      </c>
      <c r="J89" s="604"/>
      <c r="K89" s="355">
        <f t="shared" si="126"/>
        <v>0</v>
      </c>
      <c r="L89" s="357">
        <v>4000.0</v>
      </c>
      <c r="M89" s="355">
        <f t="shared" si="127"/>
        <v>0.0002328442774</v>
      </c>
      <c r="N89" s="245"/>
      <c r="O89" s="350"/>
      <c r="P89" s="604"/>
      <c r="Q89" s="355">
        <f t="shared" si="128"/>
        <v>0</v>
      </c>
      <c r="R89" s="357">
        <v>4000.0</v>
      </c>
      <c r="S89" s="355">
        <f t="shared" si="129"/>
        <v>0.0002462681716</v>
      </c>
      <c r="T89" s="245"/>
      <c r="U89" s="350"/>
      <c r="V89" s="604"/>
      <c r="W89" s="355">
        <f t="shared" si="130"/>
        <v>0</v>
      </c>
      <c r="X89" s="357">
        <v>4000.0</v>
      </c>
      <c r="Y89" s="355">
        <f t="shared" si="131"/>
        <v>0.00025227718</v>
      </c>
      <c r="Z89" s="245"/>
      <c r="AA89" s="350"/>
      <c r="AB89" s="604"/>
      <c r="AC89" s="355">
        <f t="shared" si="132"/>
        <v>0</v>
      </c>
      <c r="AD89" s="357">
        <v>4000.0</v>
      </c>
      <c r="AE89" s="355">
        <f t="shared" si="133"/>
        <v>0.0002261770421</v>
      </c>
      <c r="AF89" s="245"/>
      <c r="AG89" s="350"/>
      <c r="AH89" s="604"/>
      <c r="AI89" s="355">
        <f t="shared" si="134"/>
        <v>0</v>
      </c>
      <c r="AJ89" s="357">
        <v>4000.0</v>
      </c>
      <c r="AK89" s="355">
        <f t="shared" si="135"/>
        <v>0.00023660175</v>
      </c>
      <c r="AL89" s="245"/>
      <c r="AM89" s="350"/>
      <c r="AN89" s="605">
        <v>398.0</v>
      </c>
      <c r="AO89" s="355">
        <f t="shared" si="136"/>
        <v>0.00002401519558</v>
      </c>
      <c r="AP89" s="357">
        <v>4000.0</v>
      </c>
      <c r="AQ89" s="355">
        <f t="shared" si="137"/>
        <v>0.0002288662221</v>
      </c>
      <c r="AR89" s="245"/>
      <c r="AS89" s="245"/>
      <c r="AT89" s="357">
        <v>362.0</v>
      </c>
      <c r="AU89" s="355">
        <f t="shared" si="138"/>
        <v>0.00002134798212</v>
      </c>
      <c r="AV89" s="357">
        <v>4000.0</v>
      </c>
      <c r="AW89" s="355">
        <f t="shared" si="139"/>
        <v>0.0002341799736</v>
      </c>
      <c r="AX89" s="245"/>
      <c r="AY89" s="245"/>
      <c r="AZ89" s="357">
        <v>2027.0</v>
      </c>
      <c r="BA89" s="355">
        <f t="shared" si="140"/>
        <v>0.00009846139675</v>
      </c>
      <c r="BB89" s="357">
        <v>4000.0</v>
      </c>
      <c r="BC89" s="355">
        <f t="shared" si="141"/>
        <v>0.0002045358514</v>
      </c>
      <c r="BD89" s="245"/>
      <c r="BE89" s="245"/>
      <c r="BF89" s="357">
        <v>815.0</v>
      </c>
      <c r="BG89" s="355">
        <f t="shared" si="142"/>
        <v>0.00004348198868</v>
      </c>
      <c r="BH89" s="357">
        <v>4000.0</v>
      </c>
      <c r="BI89" s="355">
        <f t="shared" si="143"/>
        <v>0.0002232429098</v>
      </c>
      <c r="BJ89" s="245"/>
      <c r="BK89" s="245"/>
      <c r="BL89" s="357">
        <v>2900.0</v>
      </c>
      <c r="BM89" s="355">
        <f t="shared" si="144"/>
        <v>0.0001763898505</v>
      </c>
      <c r="BN89" s="357">
        <v>4000.0</v>
      </c>
      <c r="BO89" s="355">
        <f t="shared" si="145"/>
        <v>0.0002667784242</v>
      </c>
      <c r="BP89" s="245"/>
      <c r="BQ89" s="245"/>
      <c r="BR89" s="356"/>
      <c r="BS89" s="355">
        <f t="shared" si="146"/>
        <v>0</v>
      </c>
      <c r="BT89" s="357">
        <v>4000.0</v>
      </c>
      <c r="BU89" s="355">
        <f t="shared" si="147"/>
        <v>0.0002372495945</v>
      </c>
      <c r="BV89" s="245"/>
      <c r="BW89" s="213"/>
      <c r="BX89" s="213"/>
      <c r="BY89" s="213"/>
      <c r="BZ89" s="213"/>
      <c r="CA89" s="213"/>
      <c r="CB89" s="213"/>
      <c r="CC89" s="213"/>
      <c r="CD89" s="213"/>
      <c r="CE89" s="213"/>
      <c r="CF89" s="213"/>
      <c r="CG89" s="213"/>
      <c r="CH89" s="213"/>
      <c r="CI89" s="213"/>
      <c r="CJ89" s="213"/>
      <c r="CK89" s="213"/>
      <c r="CL89" s="213"/>
      <c r="CM89" s="213"/>
      <c r="CN89" s="213"/>
      <c r="CO89" s="213"/>
      <c r="CP89" s="213"/>
    </row>
    <row r="90" ht="15.75" customHeight="1">
      <c r="A90" s="213"/>
      <c r="B90" s="393"/>
      <c r="C90" s="350" t="s">
        <v>253</v>
      </c>
      <c r="D90" s="604"/>
      <c r="E90" s="355">
        <f t="shared" si="124"/>
        <v>0</v>
      </c>
      <c r="F90" s="357">
        <v>2778.0</v>
      </c>
      <c r="G90" s="355">
        <f t="shared" si="125"/>
        <v>0.0001814819281</v>
      </c>
      <c r="H90" s="357">
        <f t="shared" si="148"/>
        <v>-2778</v>
      </c>
      <c r="I90" s="719">
        <f t="shared" si="149"/>
        <v>-1</v>
      </c>
      <c r="J90" s="604"/>
      <c r="K90" s="355">
        <f t="shared" si="126"/>
        <v>0</v>
      </c>
      <c r="L90" s="357">
        <v>2778.0</v>
      </c>
      <c r="M90" s="355">
        <f t="shared" si="127"/>
        <v>0.0001617103507</v>
      </c>
      <c r="N90" s="245"/>
      <c r="O90" s="350"/>
      <c r="P90" s="604"/>
      <c r="Q90" s="355">
        <f t="shared" si="128"/>
        <v>0</v>
      </c>
      <c r="R90" s="357">
        <v>2778.0</v>
      </c>
      <c r="S90" s="355">
        <f t="shared" si="129"/>
        <v>0.0001710332452</v>
      </c>
      <c r="T90" s="245"/>
      <c r="U90" s="350"/>
      <c r="V90" s="604"/>
      <c r="W90" s="355">
        <f t="shared" si="130"/>
        <v>0</v>
      </c>
      <c r="X90" s="357">
        <v>2778.0</v>
      </c>
      <c r="Y90" s="355">
        <f t="shared" si="131"/>
        <v>0.0001752065015</v>
      </c>
      <c r="Z90" s="245"/>
      <c r="AA90" s="350"/>
      <c r="AB90" s="604"/>
      <c r="AC90" s="355">
        <f t="shared" si="132"/>
        <v>0</v>
      </c>
      <c r="AD90" s="357">
        <v>2778.0</v>
      </c>
      <c r="AE90" s="355">
        <f t="shared" si="133"/>
        <v>0.0001570799558</v>
      </c>
      <c r="AF90" s="245"/>
      <c r="AG90" s="350"/>
      <c r="AH90" s="604"/>
      <c r="AI90" s="355">
        <f t="shared" si="134"/>
        <v>0</v>
      </c>
      <c r="AJ90" s="357">
        <v>2778.0</v>
      </c>
      <c r="AK90" s="355">
        <f t="shared" si="135"/>
        <v>0.0001643199154</v>
      </c>
      <c r="AL90" s="245"/>
      <c r="AM90" s="350"/>
      <c r="AN90" s="605"/>
      <c r="AO90" s="355">
        <f t="shared" si="136"/>
        <v>0</v>
      </c>
      <c r="AP90" s="357">
        <v>2778.0</v>
      </c>
      <c r="AQ90" s="355">
        <f t="shared" si="137"/>
        <v>0.0001589475913</v>
      </c>
      <c r="AR90" s="245"/>
      <c r="AS90" s="245"/>
      <c r="AT90" s="357"/>
      <c r="AU90" s="355">
        <f t="shared" si="138"/>
        <v>0</v>
      </c>
      <c r="AV90" s="357">
        <v>2778.0</v>
      </c>
      <c r="AW90" s="355">
        <f t="shared" si="139"/>
        <v>0.0001626379917</v>
      </c>
      <c r="AX90" s="245"/>
      <c r="AY90" s="245"/>
      <c r="AZ90" s="357"/>
      <c r="BA90" s="355">
        <f t="shared" si="140"/>
        <v>0</v>
      </c>
      <c r="BB90" s="357">
        <v>2778.0</v>
      </c>
      <c r="BC90" s="355">
        <f t="shared" si="141"/>
        <v>0.0001420501488</v>
      </c>
      <c r="BD90" s="245"/>
      <c r="BE90" s="245"/>
      <c r="BF90" s="357"/>
      <c r="BG90" s="355">
        <f t="shared" si="142"/>
        <v>0</v>
      </c>
      <c r="BH90" s="357">
        <v>2778.0</v>
      </c>
      <c r="BI90" s="355">
        <f t="shared" si="143"/>
        <v>0.0001550422008</v>
      </c>
      <c r="BJ90" s="245"/>
      <c r="BK90" s="245"/>
      <c r="BL90" s="357"/>
      <c r="BM90" s="355">
        <f t="shared" si="144"/>
        <v>0</v>
      </c>
      <c r="BN90" s="357">
        <v>2778.0</v>
      </c>
      <c r="BO90" s="355">
        <f t="shared" si="145"/>
        <v>0.0001852776156</v>
      </c>
      <c r="BP90" s="245"/>
      <c r="BQ90" s="245"/>
      <c r="BR90" s="356"/>
      <c r="BS90" s="355">
        <f t="shared" si="146"/>
        <v>0</v>
      </c>
      <c r="BT90" s="357">
        <v>2778.0</v>
      </c>
      <c r="BU90" s="355">
        <f t="shared" si="147"/>
        <v>0.0001647698434</v>
      </c>
      <c r="BV90" s="245"/>
      <c r="BW90" s="213"/>
      <c r="BX90" s="213"/>
      <c r="BY90" s="213"/>
      <c r="BZ90" s="213"/>
      <c r="CA90" s="213"/>
      <c r="CB90" s="213"/>
      <c r="CC90" s="213"/>
      <c r="CD90" s="213"/>
      <c r="CE90" s="213"/>
      <c r="CF90" s="213"/>
      <c r="CG90" s="213"/>
      <c r="CH90" s="213"/>
      <c r="CI90" s="213"/>
      <c r="CJ90" s="213"/>
      <c r="CK90" s="213"/>
      <c r="CL90" s="213"/>
      <c r="CM90" s="213"/>
      <c r="CN90" s="213"/>
      <c r="CO90" s="213"/>
      <c r="CP90" s="213"/>
    </row>
    <row r="91" ht="15.75" customHeight="1">
      <c r="A91" s="213"/>
      <c r="B91" s="393"/>
      <c r="C91" s="661" t="s">
        <v>414</v>
      </c>
      <c r="D91" s="604">
        <f>(67303+7669)/5</f>
        <v>14994.4</v>
      </c>
      <c r="E91" s="355">
        <f t="shared" si="124"/>
        <v>0.0009293919771</v>
      </c>
      <c r="F91" s="357">
        <v>20018.0</v>
      </c>
      <c r="G91" s="355">
        <f t="shared" si="125"/>
        <v>0.001307741266</v>
      </c>
      <c r="H91" s="357">
        <f t="shared" si="148"/>
        <v>-5023.6</v>
      </c>
      <c r="I91" s="719">
        <f t="shared" si="149"/>
        <v>-0.2509541413</v>
      </c>
      <c r="J91" s="604">
        <f>(12808+1700)/5</f>
        <v>2901.6</v>
      </c>
      <c r="K91" s="355">
        <f t="shared" si="126"/>
        <v>0.0001753599395</v>
      </c>
      <c r="L91" s="357"/>
      <c r="M91" s="355"/>
      <c r="N91" s="245"/>
      <c r="O91" s="350"/>
      <c r="P91" s="604">
        <f>(4798+10946)/5</f>
        <v>3148.8</v>
      </c>
      <c r="Q91" s="355">
        <f t="shared" si="128"/>
        <v>0.0002062774429</v>
      </c>
      <c r="R91" s="357"/>
      <c r="S91" s="355"/>
      <c r="T91" s="245"/>
      <c r="U91" s="350"/>
      <c r="V91" s="604">
        <f>(15444+4807)/7</f>
        <v>2893</v>
      </c>
      <c r="W91" s="355">
        <f t="shared" si="130"/>
        <v>0.0001792339974</v>
      </c>
      <c r="X91" s="357"/>
      <c r="Y91" s="355"/>
      <c r="Z91" s="245"/>
      <c r="AA91" s="350"/>
      <c r="AB91" s="604">
        <f>(35489+26768)/7</f>
        <v>8893.857143</v>
      </c>
      <c r="AC91" s="355"/>
      <c r="AD91" s="357"/>
      <c r="AE91" s="355"/>
      <c r="AF91" s="245"/>
      <c r="AG91" s="350"/>
      <c r="AH91" s="604">
        <f>38089/7</f>
        <v>5441.285714</v>
      </c>
      <c r="AI91" s="355"/>
      <c r="AJ91" s="357"/>
      <c r="AK91" s="355"/>
      <c r="AL91" s="245"/>
      <c r="AM91" s="350"/>
      <c r="AN91" s="618">
        <v>0.0</v>
      </c>
      <c r="AO91" s="355"/>
      <c r="AP91" s="357"/>
      <c r="AQ91" s="355"/>
      <c r="AR91" s="245"/>
      <c r="AS91" s="245"/>
      <c r="AT91" s="604">
        <f>(34288+7979)/7</f>
        <v>6038.142857</v>
      </c>
      <c r="AU91" s="355">
        <f t="shared" si="138"/>
        <v>0.0003560833308</v>
      </c>
      <c r="AV91" s="357"/>
      <c r="AW91" s="355">
        <f t="shared" si="139"/>
        <v>0</v>
      </c>
      <c r="AX91" s="245"/>
      <c r="AY91" s="245"/>
      <c r="AZ91" s="605">
        <f>((17941+4788)/7)</f>
        <v>3247</v>
      </c>
      <c r="BA91" s="355">
        <f t="shared" si="140"/>
        <v>0.0001577228196</v>
      </c>
      <c r="BB91" s="357"/>
      <c r="BC91" s="355"/>
      <c r="BD91" s="245"/>
      <c r="BE91" s="245"/>
      <c r="BF91" s="604">
        <f>24538/7</f>
        <v>3505.428571</v>
      </c>
      <c r="BG91" s="355">
        <f t="shared" si="142"/>
        <v>0.0001870220926</v>
      </c>
      <c r="BH91" s="357"/>
      <c r="BI91" s="355"/>
      <c r="BJ91" s="245"/>
      <c r="BK91" s="245"/>
      <c r="BL91" s="357">
        <f>12174/7</f>
        <v>1739.142857</v>
      </c>
      <c r="BM91" s="355">
        <f t="shared" si="144"/>
        <v>0.0001057817754</v>
      </c>
      <c r="BN91" s="357"/>
      <c r="BO91" s="355"/>
      <c r="BP91" s="245"/>
      <c r="BQ91" s="245"/>
      <c r="BR91" s="604">
        <f>11888/7</f>
        <v>1698.285714</v>
      </c>
      <c r="BS91" s="355">
        <f t="shared" si="146"/>
        <v>0.00009007394216</v>
      </c>
      <c r="BT91" s="357"/>
      <c r="BU91" s="355"/>
      <c r="BV91" s="245"/>
      <c r="BW91" s="213"/>
      <c r="BX91" s="213"/>
      <c r="BY91" s="213"/>
      <c r="BZ91" s="213"/>
      <c r="CA91" s="213"/>
      <c r="CB91" s="213"/>
      <c r="CC91" s="213"/>
      <c r="CD91" s="213"/>
      <c r="CE91" s="213"/>
      <c r="CF91" s="213"/>
      <c r="CG91" s="213"/>
      <c r="CH91" s="213"/>
      <c r="CI91" s="213"/>
      <c r="CJ91" s="213"/>
      <c r="CK91" s="213"/>
      <c r="CL91" s="213"/>
      <c r="CM91" s="213"/>
      <c r="CN91" s="213"/>
      <c r="CO91" s="213"/>
      <c r="CP91" s="213"/>
    </row>
    <row r="92" ht="15.75" customHeight="1">
      <c r="A92" s="213"/>
      <c r="B92" s="393"/>
      <c r="C92" s="661" t="s">
        <v>392</v>
      </c>
      <c r="D92" s="604">
        <v>0.0</v>
      </c>
      <c r="E92" s="355">
        <f t="shared" si="124"/>
        <v>0</v>
      </c>
      <c r="F92" s="357">
        <v>21240.0</v>
      </c>
      <c r="G92" s="355">
        <f t="shared" si="125"/>
        <v>0.001387572409</v>
      </c>
      <c r="H92" s="357">
        <f t="shared" si="148"/>
        <v>-21240</v>
      </c>
      <c r="I92" s="719">
        <f t="shared" si="149"/>
        <v>-1</v>
      </c>
      <c r="J92" s="604">
        <v>6269.0</v>
      </c>
      <c r="K92" s="355">
        <f t="shared" si="126"/>
        <v>0.0003788707818</v>
      </c>
      <c r="L92" s="357">
        <v>21240.0</v>
      </c>
      <c r="M92" s="355">
        <f t="shared" ref="M92:M94" si="150">L92/L$33</f>
        <v>0.001236403113</v>
      </c>
      <c r="N92" s="245"/>
      <c r="O92" s="350"/>
      <c r="P92" s="604">
        <v>6608.0</v>
      </c>
      <c r="Q92" s="355">
        <f t="shared" si="128"/>
        <v>0.0004328891459</v>
      </c>
      <c r="R92" s="357">
        <v>47200.0</v>
      </c>
      <c r="S92" s="355"/>
      <c r="T92" s="245"/>
      <c r="U92" s="350"/>
      <c r="V92" s="604">
        <v>13280.0</v>
      </c>
      <c r="W92" s="355">
        <f t="shared" si="130"/>
        <v>0.0008227540564</v>
      </c>
      <c r="X92" s="357">
        <v>59000.0</v>
      </c>
      <c r="Y92" s="355"/>
      <c r="Z92" s="245"/>
      <c r="AA92" s="350"/>
      <c r="AB92" s="604">
        <v>18815.0</v>
      </c>
      <c r="AC92" s="355"/>
      <c r="AD92" s="357">
        <v>70800.0</v>
      </c>
      <c r="AE92" s="355"/>
      <c r="AF92" s="245"/>
      <c r="AG92" s="350"/>
      <c r="AH92" s="604">
        <v>28931.0</v>
      </c>
      <c r="AI92" s="355"/>
      <c r="AJ92" s="357">
        <v>82600.0</v>
      </c>
      <c r="AK92" s="355"/>
      <c r="AL92" s="245"/>
      <c r="AM92" s="350"/>
      <c r="AN92" s="605">
        <v>50434.0</v>
      </c>
      <c r="AO92" s="355"/>
      <c r="AP92" s="357">
        <v>94400.0</v>
      </c>
      <c r="AQ92" s="355"/>
      <c r="AR92" s="245"/>
      <c r="AS92" s="245"/>
      <c r="AT92" s="357">
        <v>71667.0</v>
      </c>
      <c r="AU92" s="355">
        <f t="shared" si="138"/>
        <v>0.004226369709</v>
      </c>
      <c r="AV92" s="357">
        <v>94400.0</v>
      </c>
      <c r="AW92" s="355">
        <f t="shared" si="139"/>
        <v>0.005526647378</v>
      </c>
      <c r="AX92" s="245"/>
      <c r="AY92" s="245"/>
      <c r="AZ92" s="737">
        <v>143658.0</v>
      </c>
      <c r="BA92" s="355">
        <f t="shared" si="140"/>
        <v>0.006978178261</v>
      </c>
      <c r="BB92" s="357"/>
      <c r="BC92" s="355"/>
      <c r="BD92" s="245"/>
      <c r="BE92" s="245"/>
      <c r="BF92" s="737">
        <v>118125.0</v>
      </c>
      <c r="BG92" s="355">
        <f t="shared" si="142"/>
        <v>0.006302220751</v>
      </c>
      <c r="BH92" s="357"/>
      <c r="BI92" s="355"/>
      <c r="BJ92" s="245"/>
      <c r="BK92" s="245"/>
      <c r="BL92" s="737">
        <v>115589.0</v>
      </c>
      <c r="BM92" s="355">
        <f t="shared" si="144"/>
        <v>0.007030595321</v>
      </c>
      <c r="BN92" s="357"/>
      <c r="BO92" s="355"/>
      <c r="BP92" s="245"/>
      <c r="BQ92" s="245"/>
      <c r="BR92" s="797">
        <v>162198.0</v>
      </c>
      <c r="BS92" s="355">
        <f t="shared" si="146"/>
        <v>0.008602682781</v>
      </c>
      <c r="BT92" s="357"/>
      <c r="BU92" s="355"/>
      <c r="BV92" s="245"/>
      <c r="BW92" s="213"/>
      <c r="BX92" s="213"/>
      <c r="BY92" s="213"/>
      <c r="BZ92" s="213"/>
      <c r="CA92" s="213"/>
      <c r="CB92" s="213"/>
      <c r="CC92" s="213"/>
      <c r="CD92" s="213"/>
      <c r="CE92" s="213"/>
      <c r="CF92" s="213"/>
      <c r="CG92" s="213"/>
      <c r="CH92" s="213"/>
      <c r="CI92" s="213"/>
      <c r="CJ92" s="213"/>
      <c r="CK92" s="213"/>
      <c r="CL92" s="213"/>
      <c r="CM92" s="213"/>
      <c r="CN92" s="213"/>
      <c r="CO92" s="213"/>
      <c r="CP92" s="213"/>
    </row>
    <row r="93" ht="15.75" customHeight="1">
      <c r="A93" s="213"/>
      <c r="B93" s="393"/>
      <c r="C93" s="661" t="s">
        <v>405</v>
      </c>
      <c r="D93" s="604">
        <f>(5408+29500)*2</f>
        <v>69816</v>
      </c>
      <c r="E93" s="355">
        <f t="shared" si="124"/>
        <v>0.004327377573</v>
      </c>
      <c r="F93" s="357">
        <v>18000.0</v>
      </c>
      <c r="G93" s="355">
        <f t="shared" si="125"/>
        <v>0.001175908821</v>
      </c>
      <c r="H93" s="357">
        <f t="shared" si="148"/>
        <v>51816</v>
      </c>
      <c r="I93" s="719">
        <f t="shared" si="149"/>
        <v>2.878666667</v>
      </c>
      <c r="J93" s="604">
        <f>(5408+29500)*2</f>
        <v>69816</v>
      </c>
      <c r="K93" s="355">
        <f t="shared" si="126"/>
        <v>0.00421937191</v>
      </c>
      <c r="L93" s="357">
        <v>18000.0</v>
      </c>
      <c r="M93" s="355">
        <f t="shared" si="150"/>
        <v>0.001047799248</v>
      </c>
      <c r="N93" s="245"/>
      <c r="O93" s="350"/>
      <c r="P93" s="604">
        <f>(5408+29500)*2</f>
        <v>69816</v>
      </c>
      <c r="Q93" s="355">
        <f t="shared" si="128"/>
        <v>0.004573636291</v>
      </c>
      <c r="R93" s="357">
        <v>40000.0</v>
      </c>
      <c r="S93" s="355">
        <f t="shared" ref="S93:S94" si="151">R93/R$33</f>
        <v>0.002462681716</v>
      </c>
      <c r="T93" s="245"/>
      <c r="U93" s="350"/>
      <c r="V93" s="604">
        <f>(5408+29500)*2</f>
        <v>69816</v>
      </c>
      <c r="W93" s="355">
        <f t="shared" si="130"/>
        <v>0.004325406416</v>
      </c>
      <c r="X93" s="357">
        <v>50000.0</v>
      </c>
      <c r="Y93" s="355">
        <f t="shared" ref="Y93:Y94" si="152">X93/X$33</f>
        <v>0.00315346475</v>
      </c>
      <c r="Z93" s="245"/>
      <c r="AA93" s="350"/>
      <c r="AB93" s="604">
        <f>(5408+29500)*2</f>
        <v>69816</v>
      </c>
      <c r="AC93" s="355">
        <f t="shared" ref="AC93:AC94" si="153">AB93/AB$33</f>
        <v>0.00399824049</v>
      </c>
      <c r="AD93" s="357">
        <v>60000.0</v>
      </c>
      <c r="AE93" s="355">
        <f t="shared" ref="AE93:AE94" si="154">AD93/AD$33</f>
        <v>0.003392655632</v>
      </c>
      <c r="AF93" s="245"/>
      <c r="AG93" s="350"/>
      <c r="AH93" s="604">
        <f>(5408+29500)*2</f>
        <v>69816</v>
      </c>
      <c r="AI93" s="355">
        <f t="shared" ref="AI93:AI94" si="155">AH93/AH$33</f>
        <v>0.004462742259</v>
      </c>
      <c r="AJ93" s="357">
        <v>70000.0</v>
      </c>
      <c r="AK93" s="355">
        <f t="shared" ref="AK93:AK94" si="156">AJ93/AJ$33</f>
        <v>0.004140530624</v>
      </c>
      <c r="AL93" s="245"/>
      <c r="AM93" s="350"/>
      <c r="AN93" s="604">
        <f>(5408+29500)*2</f>
        <v>69816</v>
      </c>
      <c r="AO93" s="355">
        <f t="shared" ref="AO93:AO94" si="157">AN93/AN$33</f>
        <v>0.004212675615</v>
      </c>
      <c r="AP93" s="357">
        <v>80000.0</v>
      </c>
      <c r="AQ93" s="355">
        <f t="shared" ref="AQ93:AQ94" si="158">AP93/AP$33</f>
        <v>0.004577324443</v>
      </c>
      <c r="AR93" s="245"/>
      <c r="AS93" s="245"/>
      <c r="AT93" s="604">
        <f>(5408+29500)*2</f>
        <v>69816</v>
      </c>
      <c r="AU93" s="355">
        <f t="shared" si="138"/>
        <v>0.004117211933</v>
      </c>
      <c r="AV93" s="357">
        <v>90000.0</v>
      </c>
      <c r="AW93" s="355">
        <f t="shared" si="139"/>
        <v>0.005269049407</v>
      </c>
      <c r="AX93" s="245"/>
      <c r="AY93" s="245"/>
      <c r="AZ93" s="604">
        <f>(5408+29500)*2</f>
        <v>69816</v>
      </c>
      <c r="BA93" s="355">
        <f t="shared" si="140"/>
        <v>0.003391307783</v>
      </c>
      <c r="BB93" s="357">
        <v>140000.0</v>
      </c>
      <c r="BC93" s="355">
        <f t="shared" ref="BC93:BC94" si="159">BB93/BB$33</f>
        <v>0.007158754798</v>
      </c>
      <c r="BD93" s="245"/>
      <c r="BE93" s="245"/>
      <c r="BF93" s="604">
        <f>(5408+29500)*2</f>
        <v>69816</v>
      </c>
      <c r="BG93" s="355">
        <f t="shared" si="142"/>
        <v>0.003724832542</v>
      </c>
      <c r="BH93" s="357">
        <v>140000.0</v>
      </c>
      <c r="BI93" s="355">
        <f t="shared" ref="BI93:BI94" si="160">BH93/BH$33</f>
        <v>0.007813501842</v>
      </c>
      <c r="BJ93" s="245"/>
      <c r="BK93" s="245"/>
      <c r="BL93" s="604">
        <f>(5408+29500)*2</f>
        <v>69816</v>
      </c>
      <c r="BM93" s="355">
        <f t="shared" si="144"/>
        <v>0.004246494415</v>
      </c>
      <c r="BN93" s="357">
        <v>140000.0</v>
      </c>
      <c r="BO93" s="355">
        <f t="shared" ref="BO93:BO94" si="161">BN93/BN$33</f>
        <v>0.009337244848</v>
      </c>
      <c r="BP93" s="245"/>
      <c r="BQ93" s="245"/>
      <c r="BR93" s="604">
        <f>(5408+29500)*2</f>
        <v>69816</v>
      </c>
      <c r="BS93" s="355">
        <f t="shared" si="146"/>
        <v>0.003702911879</v>
      </c>
      <c r="BT93" s="357">
        <v>150000.0</v>
      </c>
      <c r="BU93" s="355">
        <f t="shared" ref="BU93:BU94" si="162">BT93/BT$33</f>
        <v>0.008896859795</v>
      </c>
      <c r="BV93" s="245"/>
      <c r="BW93" s="213"/>
      <c r="BX93" s="213"/>
      <c r="BY93" s="213"/>
      <c r="BZ93" s="213"/>
      <c r="CA93" s="213"/>
      <c r="CB93" s="213"/>
      <c r="CC93" s="213"/>
      <c r="CD93" s="213"/>
      <c r="CE93" s="213"/>
      <c r="CF93" s="213"/>
      <c r="CG93" s="213"/>
      <c r="CH93" s="213"/>
      <c r="CI93" s="213"/>
      <c r="CJ93" s="213"/>
      <c r="CK93" s="213"/>
      <c r="CL93" s="213"/>
      <c r="CM93" s="213"/>
      <c r="CN93" s="213"/>
      <c r="CO93" s="213"/>
      <c r="CP93" s="213"/>
    </row>
    <row r="94" ht="15.75" customHeight="1">
      <c r="A94" s="213"/>
      <c r="B94" s="393"/>
      <c r="C94" s="350" t="s">
        <v>394</v>
      </c>
      <c r="D94" s="604">
        <v>0.0</v>
      </c>
      <c r="E94" s="355">
        <f t="shared" si="124"/>
        <v>0</v>
      </c>
      <c r="F94" s="357">
        <v>0.0</v>
      </c>
      <c r="G94" s="355">
        <f t="shared" si="125"/>
        <v>0</v>
      </c>
      <c r="H94" s="357">
        <f t="shared" si="148"/>
        <v>0</v>
      </c>
      <c r="I94" s="719" t="str">
        <f t="shared" si="149"/>
        <v/>
      </c>
      <c r="J94" s="604">
        <v>15056.0</v>
      </c>
      <c r="K94" s="355">
        <f t="shared" si="126"/>
        <v>0.0009099184065</v>
      </c>
      <c r="L94" s="357">
        <v>17700.0</v>
      </c>
      <c r="M94" s="355">
        <f t="shared" si="150"/>
        <v>0.001030335927</v>
      </c>
      <c r="N94" s="245"/>
      <c r="O94" s="350"/>
      <c r="P94" s="604">
        <v>14892.0</v>
      </c>
      <c r="Q94" s="355">
        <f t="shared" si="128"/>
        <v>0.0009755728149</v>
      </c>
      <c r="R94" s="357">
        <v>25000.0</v>
      </c>
      <c r="S94" s="355">
        <f t="shared" si="151"/>
        <v>0.001539176072</v>
      </c>
      <c r="T94" s="245"/>
      <c r="U94" s="350"/>
      <c r="V94" s="604">
        <v>14023.0</v>
      </c>
      <c r="W94" s="355">
        <f t="shared" si="130"/>
        <v>0.0008687861546</v>
      </c>
      <c r="X94" s="357">
        <v>25000.0</v>
      </c>
      <c r="Y94" s="355">
        <f t="shared" si="152"/>
        <v>0.001576732375</v>
      </c>
      <c r="Z94" s="245"/>
      <c r="AA94" s="350"/>
      <c r="AB94" s="604">
        <v>18174.0</v>
      </c>
      <c r="AC94" s="355">
        <f t="shared" si="153"/>
        <v>0.001040793266</v>
      </c>
      <c r="AD94" s="357">
        <v>25000.0</v>
      </c>
      <c r="AE94" s="355">
        <f t="shared" si="154"/>
        <v>0.001413606513</v>
      </c>
      <c r="AF94" s="245"/>
      <c r="AG94" s="350"/>
      <c r="AH94" s="604">
        <v>39227.0</v>
      </c>
      <c r="AI94" s="355">
        <f t="shared" si="155"/>
        <v>0.002507448015</v>
      </c>
      <c r="AJ94" s="357">
        <v>25000.0</v>
      </c>
      <c r="AK94" s="355">
        <f t="shared" si="156"/>
        <v>0.001478760937</v>
      </c>
      <c r="AL94" s="245"/>
      <c r="AM94" s="350"/>
      <c r="AN94" s="605">
        <v>36152.0</v>
      </c>
      <c r="AO94" s="355">
        <f t="shared" si="157"/>
        <v>0.002181400379</v>
      </c>
      <c r="AP94" s="357">
        <v>30000.0</v>
      </c>
      <c r="AQ94" s="355">
        <f t="shared" si="158"/>
        <v>0.001716496666</v>
      </c>
      <c r="AR94" s="245"/>
      <c r="AS94" s="245"/>
      <c r="AT94" s="737">
        <v>34701.0</v>
      </c>
      <c r="AU94" s="355">
        <f t="shared" si="138"/>
        <v>0.002046398695</v>
      </c>
      <c r="AV94" s="357">
        <v>30000.0</v>
      </c>
      <c r="AW94" s="355">
        <f t="shared" si="139"/>
        <v>0.001756349802</v>
      </c>
      <c r="AX94" s="245"/>
      <c r="AY94" s="245"/>
      <c r="AZ94" s="737">
        <v>56644.0</v>
      </c>
      <c r="BA94" s="355">
        <f t="shared" si="140"/>
        <v>0.002751478716</v>
      </c>
      <c r="BB94" s="357">
        <v>40000.0</v>
      </c>
      <c r="BC94" s="355">
        <f t="shared" si="159"/>
        <v>0.002045358514</v>
      </c>
      <c r="BD94" s="245"/>
      <c r="BE94" s="245"/>
      <c r="BF94" s="737">
        <v>33262.0</v>
      </c>
      <c r="BG94" s="355">
        <f t="shared" si="142"/>
        <v>0.001774598659</v>
      </c>
      <c r="BH94" s="357">
        <v>40000.0</v>
      </c>
      <c r="BI94" s="355">
        <f t="shared" si="160"/>
        <v>0.002232429098</v>
      </c>
      <c r="BJ94" s="245"/>
      <c r="BK94" s="245"/>
      <c r="BL94" s="737">
        <v>36395.0</v>
      </c>
      <c r="BM94" s="355">
        <f t="shared" si="144"/>
        <v>0.002213692624</v>
      </c>
      <c r="BN94" s="357">
        <v>40000.0</v>
      </c>
      <c r="BO94" s="355">
        <f t="shared" si="161"/>
        <v>0.002667784242</v>
      </c>
      <c r="BP94" s="245"/>
      <c r="BQ94" s="245"/>
      <c r="BR94" s="797">
        <v>31394.0</v>
      </c>
      <c r="BS94" s="355">
        <f t="shared" si="146"/>
        <v>0.001665079861</v>
      </c>
      <c r="BT94" s="357">
        <v>40000.0</v>
      </c>
      <c r="BU94" s="355">
        <f t="shared" si="162"/>
        <v>0.002372495945</v>
      </c>
      <c r="BV94" s="245"/>
      <c r="BW94" s="213"/>
      <c r="BX94" s="213"/>
      <c r="BY94" s="213"/>
      <c r="BZ94" s="213"/>
      <c r="CA94" s="213"/>
      <c r="CB94" s="213"/>
      <c r="CC94" s="213"/>
      <c r="CD94" s="213"/>
      <c r="CE94" s="213"/>
      <c r="CF94" s="213"/>
      <c r="CG94" s="213"/>
      <c r="CH94" s="213"/>
      <c r="CI94" s="213"/>
      <c r="CJ94" s="213"/>
      <c r="CK94" s="213"/>
      <c r="CL94" s="213"/>
      <c r="CM94" s="213"/>
      <c r="CN94" s="213"/>
      <c r="CO94" s="213"/>
      <c r="CP94" s="213"/>
    </row>
    <row r="95" ht="15.75" customHeight="1">
      <c r="A95" s="213"/>
      <c r="B95" s="393"/>
      <c r="C95" s="350" t="s">
        <v>256</v>
      </c>
      <c r="D95" s="604">
        <f>(113280/3)/12</f>
        <v>3146.666667</v>
      </c>
      <c r="E95" s="355"/>
      <c r="F95" s="357"/>
      <c r="G95" s="355"/>
      <c r="H95" s="357"/>
      <c r="I95" s="719"/>
      <c r="J95" s="604">
        <f>(113280/3)/12</f>
        <v>3146.666667</v>
      </c>
      <c r="K95" s="355"/>
      <c r="L95" s="357"/>
      <c r="M95" s="355"/>
      <c r="N95" s="245"/>
      <c r="O95" s="350"/>
      <c r="P95" s="604">
        <f>(28320/3)/12</f>
        <v>786.6666667</v>
      </c>
      <c r="Q95" s="355">
        <f t="shared" si="128"/>
        <v>0.00005153442213</v>
      </c>
      <c r="R95" s="357"/>
      <c r="S95" s="355"/>
      <c r="T95" s="245"/>
      <c r="U95" s="350"/>
      <c r="V95" s="604">
        <f>(28320/3)/12</f>
        <v>786.6666667</v>
      </c>
      <c r="W95" s="355">
        <f t="shared" si="130"/>
        <v>0.00004873743909</v>
      </c>
      <c r="X95" s="357"/>
      <c r="Y95" s="355"/>
      <c r="Z95" s="245"/>
      <c r="AA95" s="350"/>
      <c r="AB95" s="604">
        <f>(28320/3)/12</f>
        <v>786.6666667</v>
      </c>
      <c r="AC95" s="355"/>
      <c r="AD95" s="357"/>
      <c r="AE95" s="355"/>
      <c r="AF95" s="245"/>
      <c r="AG95" s="350"/>
      <c r="AH95" s="604">
        <f>(28320/3)/12</f>
        <v>786.6666667</v>
      </c>
      <c r="AI95" s="355"/>
      <c r="AJ95" s="357"/>
      <c r="AK95" s="355"/>
      <c r="AL95" s="245"/>
      <c r="AM95" s="350"/>
      <c r="AN95" s="605">
        <f>(28320/3)/12</f>
        <v>786.6666667</v>
      </c>
      <c r="AO95" s="355"/>
      <c r="AP95" s="357"/>
      <c r="AQ95" s="355"/>
      <c r="AR95" s="245"/>
      <c r="AS95" s="245"/>
      <c r="AT95" s="357">
        <f>(28320/3)/12</f>
        <v>786.6666667</v>
      </c>
      <c r="AU95" s="355">
        <f t="shared" si="138"/>
        <v>0.00004639156336</v>
      </c>
      <c r="AV95" s="357">
        <f>AT95</f>
        <v>786.6666667</v>
      </c>
      <c r="AW95" s="355">
        <f t="shared" si="139"/>
        <v>0.00004605539482</v>
      </c>
      <c r="AX95" s="245"/>
      <c r="AY95" s="245"/>
      <c r="AZ95" s="357">
        <f>(28320/3)/12</f>
        <v>786.6666667</v>
      </c>
      <c r="BA95" s="355">
        <f t="shared" si="140"/>
        <v>0.00003821228356</v>
      </c>
      <c r="BB95" s="357"/>
      <c r="BC95" s="355"/>
      <c r="BD95" s="245"/>
      <c r="BE95" s="245"/>
      <c r="BF95" s="357">
        <f>(28320/3)/12</f>
        <v>786.6666667</v>
      </c>
      <c r="BG95" s="355">
        <f t="shared" si="142"/>
        <v>0.0000419703449</v>
      </c>
      <c r="BH95" s="357"/>
      <c r="BI95" s="355"/>
      <c r="BJ95" s="245"/>
      <c r="BK95" s="245"/>
      <c r="BL95" s="357">
        <f>(28320/3)/12</f>
        <v>786.6666667</v>
      </c>
      <c r="BM95" s="355">
        <f t="shared" si="144"/>
        <v>0.00004784828129</v>
      </c>
      <c r="BN95" s="357"/>
      <c r="BO95" s="355"/>
      <c r="BP95" s="245"/>
      <c r="BQ95" s="245"/>
      <c r="BR95" s="353">
        <f>(28320/3)/12</f>
        <v>786.6666667</v>
      </c>
      <c r="BS95" s="355">
        <f t="shared" si="146"/>
        <v>0.00004172334916</v>
      </c>
      <c r="BT95" s="357"/>
      <c r="BU95" s="355"/>
      <c r="BV95" s="245"/>
      <c r="BW95" s="213"/>
      <c r="BX95" s="213"/>
      <c r="BY95" s="213"/>
      <c r="BZ95" s="213"/>
      <c r="CA95" s="213"/>
      <c r="CB95" s="213"/>
      <c r="CC95" s="213"/>
      <c r="CD95" s="213"/>
      <c r="CE95" s="213"/>
      <c r="CF95" s="213"/>
      <c r="CG95" s="213"/>
      <c r="CH95" s="213"/>
      <c r="CI95" s="213"/>
      <c r="CJ95" s="213"/>
      <c r="CK95" s="213"/>
      <c r="CL95" s="213"/>
      <c r="CM95" s="213"/>
      <c r="CN95" s="213"/>
      <c r="CO95" s="213"/>
      <c r="CP95" s="213"/>
    </row>
    <row r="96" ht="15.75" customHeight="1">
      <c r="A96" s="213"/>
      <c r="B96" s="393"/>
      <c r="C96" s="661" t="s">
        <v>395</v>
      </c>
      <c r="D96" s="604">
        <f>8868/3</f>
        <v>2956</v>
      </c>
      <c r="E96" s="355">
        <f>D96/D$33</f>
        <v>0.0001832205813</v>
      </c>
      <c r="F96" s="352">
        <v>6693.0</v>
      </c>
      <c r="G96" s="355">
        <f>F96/F$33</f>
        <v>0.0004372420967</v>
      </c>
      <c r="H96" s="357">
        <f>D96-F96</f>
        <v>-3737</v>
      </c>
      <c r="I96" s="395">
        <f>H96/F96</f>
        <v>-0.5583445391</v>
      </c>
      <c r="J96" s="604">
        <f>(8262+2592)/3</f>
        <v>3618</v>
      </c>
      <c r="K96" s="355">
        <f>J96/J$33</f>
        <v>0.0002186560039</v>
      </c>
      <c r="L96" s="357">
        <v>0.0</v>
      </c>
      <c r="M96" s="355">
        <f>L96/L$33</f>
        <v>0</v>
      </c>
      <c r="N96" s="245"/>
      <c r="O96" s="350"/>
      <c r="P96" s="604">
        <f>8511/3+8135</f>
        <v>10972</v>
      </c>
      <c r="Q96" s="355">
        <f t="shared" si="128"/>
        <v>0.000718774169</v>
      </c>
      <c r="R96" s="357">
        <v>0.0</v>
      </c>
      <c r="S96" s="355">
        <f>R96/R$33</f>
        <v>0</v>
      </c>
      <c r="T96" s="245"/>
      <c r="U96" s="350"/>
      <c r="V96" s="604">
        <v>0.0</v>
      </c>
      <c r="W96" s="355">
        <f t="shared" si="130"/>
        <v>0</v>
      </c>
      <c r="X96" s="357">
        <v>0.0</v>
      </c>
      <c r="Y96" s="355">
        <f>X96/X$33</f>
        <v>0</v>
      </c>
      <c r="Z96" s="245"/>
      <c r="AA96" s="350"/>
      <c r="AB96" s="628">
        <v>50.0</v>
      </c>
      <c r="AC96" s="355">
        <f>AB96/AB$33</f>
        <v>0.000002863412749</v>
      </c>
      <c r="AD96" s="357">
        <v>0.0</v>
      </c>
      <c r="AE96" s="355">
        <f>AD96/AD$33</f>
        <v>0</v>
      </c>
      <c r="AF96" s="245"/>
      <c r="AG96" s="350"/>
      <c r="AH96" s="628">
        <v>68.0</v>
      </c>
      <c r="AI96" s="355">
        <f>AH96/AH$33</f>
        <v>0.000004346660846</v>
      </c>
      <c r="AJ96" s="357">
        <v>0.0</v>
      </c>
      <c r="AK96" s="355">
        <f>AJ96/AJ$33</f>
        <v>0</v>
      </c>
      <c r="AL96" s="245"/>
      <c r="AM96" s="350"/>
      <c r="AN96" s="618">
        <v>119.0</v>
      </c>
      <c r="AO96" s="355">
        <f>AN96/AN$33</f>
        <v>0.0000071804228</v>
      </c>
      <c r="AP96" s="357">
        <v>6693.0</v>
      </c>
      <c r="AQ96" s="355">
        <f>AP96/AP$33</f>
        <v>0.0003829504062</v>
      </c>
      <c r="AR96" s="245"/>
      <c r="AS96" s="245"/>
      <c r="AT96" s="737">
        <v>139.0</v>
      </c>
      <c r="AU96" s="355">
        <f t="shared" si="138"/>
        <v>0.000008197153356</v>
      </c>
      <c r="AV96" s="357">
        <v>6693.0</v>
      </c>
      <c r="AW96" s="355">
        <f t="shared" si="139"/>
        <v>0.0003918416409</v>
      </c>
      <c r="AX96" s="245"/>
      <c r="AY96" s="245"/>
      <c r="AZ96" s="357">
        <f>21526/3+139</f>
        <v>7314.333333</v>
      </c>
      <c r="BA96" s="355">
        <f t="shared" si="140"/>
        <v>0.0003552932789</v>
      </c>
      <c r="BB96" s="357">
        <v>6693.0</v>
      </c>
      <c r="BC96" s="355">
        <f>BB96/BB$33</f>
        <v>0.0003422396133</v>
      </c>
      <c r="BD96" s="245"/>
      <c r="BE96" s="245"/>
      <c r="BF96" s="737">
        <v>0.0</v>
      </c>
      <c r="BG96" s="355">
        <f t="shared" si="142"/>
        <v>0</v>
      </c>
      <c r="BH96" s="357">
        <v>6693.0</v>
      </c>
      <c r="BI96" s="355">
        <f>BH96/BH$33</f>
        <v>0.0003735411988</v>
      </c>
      <c r="BJ96" s="245"/>
      <c r="BK96" s="245"/>
      <c r="BL96" s="737">
        <f>8915/3+128</f>
        <v>3099.666667</v>
      </c>
      <c r="BM96" s="355">
        <f t="shared" si="144"/>
        <v>0.0001885343931</v>
      </c>
      <c r="BN96" s="357">
        <v>6693.0</v>
      </c>
      <c r="BO96" s="355">
        <f>BN96/BN$33</f>
        <v>0.0004463869984</v>
      </c>
      <c r="BP96" s="245"/>
      <c r="BQ96" s="245"/>
      <c r="BR96" s="797">
        <v>235.0</v>
      </c>
      <c r="BS96" s="355">
        <f t="shared" si="146"/>
        <v>0.00001246396659</v>
      </c>
      <c r="BT96" s="357">
        <v>6693.0</v>
      </c>
      <c r="BU96" s="355">
        <f>BT96/BT$33</f>
        <v>0.0003969778841</v>
      </c>
      <c r="BV96" s="245"/>
      <c r="BW96" s="213"/>
      <c r="BX96" s="213"/>
      <c r="BY96" s="213"/>
      <c r="BZ96" s="213"/>
      <c r="CA96" s="213"/>
      <c r="CB96" s="213"/>
      <c r="CC96" s="213"/>
      <c r="CD96" s="213"/>
      <c r="CE96" s="213"/>
      <c r="CF96" s="213"/>
      <c r="CG96" s="213"/>
      <c r="CH96" s="213"/>
      <c r="CI96" s="213"/>
      <c r="CJ96" s="213"/>
      <c r="CK96" s="213"/>
      <c r="CL96" s="213"/>
      <c r="CM96" s="213"/>
      <c r="CN96" s="213"/>
      <c r="CO96" s="213"/>
      <c r="CP96" s="213"/>
    </row>
    <row r="97" ht="15.75" customHeight="1">
      <c r="A97" s="213"/>
      <c r="B97" s="403"/>
      <c r="C97" s="448"/>
      <c r="D97" s="619"/>
      <c r="E97" s="688"/>
      <c r="F97" s="688"/>
      <c r="G97" s="404"/>
      <c r="H97" s="688"/>
      <c r="I97" s="362"/>
      <c r="J97" s="619"/>
      <c r="K97" s="688"/>
      <c r="L97" s="688"/>
      <c r="M97" s="688"/>
      <c r="N97" s="688"/>
      <c r="O97" s="362"/>
      <c r="P97" s="619"/>
      <c r="Q97" s="688"/>
      <c r="R97" s="364"/>
      <c r="S97" s="688"/>
      <c r="T97" s="688"/>
      <c r="U97" s="362"/>
      <c r="V97" s="619"/>
      <c r="W97" s="364"/>
      <c r="X97" s="803"/>
      <c r="Y97" s="688"/>
      <c r="Z97" s="688"/>
      <c r="AA97" s="362"/>
      <c r="AB97" s="619"/>
      <c r="AC97" s="688"/>
      <c r="AD97" s="688"/>
      <c r="AE97" s="688"/>
      <c r="AF97" s="688"/>
      <c r="AG97" s="362"/>
      <c r="AH97" s="619"/>
      <c r="AI97" s="688"/>
      <c r="AJ97" s="688"/>
      <c r="AK97" s="688"/>
      <c r="AL97" s="688"/>
      <c r="AM97" s="362"/>
      <c r="AN97" s="793"/>
      <c r="AO97" s="688"/>
      <c r="AP97" s="688"/>
      <c r="AQ97" s="688"/>
      <c r="AR97" s="688"/>
      <c r="AS97" s="688"/>
      <c r="AT97" s="367"/>
      <c r="AU97" s="688"/>
      <c r="AV97" s="688"/>
      <c r="AW97" s="688"/>
      <c r="AX97" s="688"/>
      <c r="AY97" s="688"/>
      <c r="AZ97" s="367"/>
      <c r="BA97" s="688"/>
      <c r="BB97" s="688"/>
      <c r="BC97" s="688"/>
      <c r="BD97" s="688"/>
      <c r="BE97" s="688"/>
      <c r="BF97" s="367"/>
      <c r="BG97" s="688"/>
      <c r="BH97" s="688"/>
      <c r="BI97" s="688"/>
      <c r="BJ97" s="688"/>
      <c r="BK97" s="688"/>
      <c r="BL97" s="367"/>
      <c r="BM97" s="688"/>
      <c r="BN97" s="688"/>
      <c r="BO97" s="688"/>
      <c r="BP97" s="688"/>
      <c r="BQ97" s="688"/>
      <c r="BR97" s="804"/>
      <c r="BS97" s="688"/>
      <c r="BT97" s="688"/>
      <c r="BU97" s="688"/>
      <c r="BV97" s="688"/>
      <c r="BW97" s="213"/>
      <c r="BX97" s="213"/>
      <c r="BY97" s="213"/>
      <c r="BZ97" s="213"/>
      <c r="CA97" s="213"/>
      <c r="CB97" s="213"/>
      <c r="CC97" s="213"/>
      <c r="CD97" s="213"/>
      <c r="CE97" s="213"/>
      <c r="CF97" s="213"/>
      <c r="CG97" s="213"/>
      <c r="CH97" s="213"/>
      <c r="CI97" s="213"/>
      <c r="CJ97" s="213"/>
      <c r="CK97" s="213"/>
      <c r="CL97" s="213"/>
      <c r="CM97" s="213"/>
      <c r="CN97" s="213"/>
      <c r="CO97" s="213"/>
      <c r="CP97" s="213"/>
    </row>
    <row r="98" ht="15.75" customHeight="1">
      <c r="A98" s="213"/>
      <c r="B98" s="407"/>
      <c r="C98" s="447" t="s">
        <v>36</v>
      </c>
      <c r="D98" s="600">
        <f>SUM(D99:D102)</f>
        <v>414118.7042</v>
      </c>
      <c r="E98" s="374">
        <f t="shared" ref="E98:E102" si="163">D98/D$33</f>
        <v>0.0256681562</v>
      </c>
      <c r="F98" s="377">
        <f>SUM(F99:F102)</f>
        <v>387550</v>
      </c>
      <c r="G98" s="374">
        <f t="shared" ref="G98:G102" si="164">F98/F$33</f>
        <v>0.0253179702</v>
      </c>
      <c r="H98" s="377">
        <f>SUM(H99:H102)</f>
        <v>26568.7042</v>
      </c>
      <c r="I98" s="379">
        <f>H98/H$33</f>
        <v>0.03215579204</v>
      </c>
      <c r="J98" s="600">
        <f>SUM(J99:J102)</f>
        <v>500176.1168</v>
      </c>
      <c r="K98" s="374">
        <f t="shared" ref="K98:K102" si="165">J98/J$33</f>
        <v>0.03022844415</v>
      </c>
      <c r="L98" s="377">
        <f>SUM(L99:L102)</f>
        <v>387550</v>
      </c>
      <c r="M98" s="374">
        <f t="shared" ref="M98:M102" si="166">L98/L$33</f>
        <v>0.02255969993</v>
      </c>
      <c r="N98" s="437">
        <f>SUM(N99:N102)</f>
        <v>0</v>
      </c>
      <c r="O98" s="372"/>
      <c r="P98" s="600">
        <f>SUM(P99:P102)</f>
        <v>312620.1066</v>
      </c>
      <c r="Q98" s="374">
        <f t="shared" ref="Q98:Q102" si="167">P98/P$33</f>
        <v>0.02047969899</v>
      </c>
      <c r="R98" s="377">
        <f>SUM(R99:R102)</f>
        <v>406927.5</v>
      </c>
      <c r="S98" s="374">
        <f t="shared" ref="S98:S102" si="168">R98/R$33</f>
        <v>0.02505332285</v>
      </c>
      <c r="T98" s="437">
        <f>SUM(T99:T102)</f>
        <v>0</v>
      </c>
      <c r="U98" s="372"/>
      <c r="V98" s="600">
        <f>SUM(V99:V102)</f>
        <v>455832.57</v>
      </c>
      <c r="W98" s="374">
        <f t="shared" ref="W98:W102" si="169">V98/V$33</f>
        <v>0.02824082048</v>
      </c>
      <c r="X98" s="377">
        <f>SUM(X99:X102)</f>
        <v>469398.875</v>
      </c>
      <c r="Y98" s="374">
        <f t="shared" ref="Y98:Y102" si="170">X98/X$33</f>
        <v>0.02960465612</v>
      </c>
      <c r="Z98" s="437">
        <f>SUM(Z99:Z102)</f>
        <v>0</v>
      </c>
      <c r="AA98" s="372"/>
      <c r="AB98" s="600">
        <f>SUM(AB99:AB102)</f>
        <v>556420.65</v>
      </c>
      <c r="AC98" s="374">
        <f t="shared" ref="AC98:AC102" si="171">AB98/AB$33</f>
        <v>0.03186523966</v>
      </c>
      <c r="AD98" s="377">
        <f>SUM(AD99:AD102)</f>
        <v>482331.25</v>
      </c>
      <c r="AE98" s="374">
        <f t="shared" ref="AE98:AE102" si="172">AD98/AD$33</f>
        <v>0.02727306387</v>
      </c>
      <c r="AF98" s="437">
        <f>SUM(AF99:AF102)</f>
        <v>0</v>
      </c>
      <c r="AG98" s="372"/>
      <c r="AH98" s="600">
        <f>SUM(AH99:AH102)</f>
        <v>547012.03</v>
      </c>
      <c r="AI98" s="374">
        <f t="shared" ref="AI98:AI102" si="173">AH98/AH$33</f>
        <v>0.03496582019</v>
      </c>
      <c r="AJ98" s="377">
        <f>SUM(AJ99:AJ102)</f>
        <v>495474.25</v>
      </c>
      <c r="AK98" s="374">
        <f t="shared" ref="AK98:AK102" si="174">AJ98/AJ$33</f>
        <v>0.02930751865</v>
      </c>
      <c r="AL98" s="437">
        <f>SUM(AL99:AL102)</f>
        <v>0</v>
      </c>
      <c r="AM98" s="372"/>
      <c r="AN98" s="601">
        <f>SUM(AN99:AN102)</f>
        <v>571960.08</v>
      </c>
      <c r="AO98" s="374">
        <f t="shared" ref="AO98:AO102" si="175">AN98/AN$33</f>
        <v>0.03451189243</v>
      </c>
      <c r="AP98" s="377">
        <f>SUM(AP99:AP102)</f>
        <v>522476.375</v>
      </c>
      <c r="AQ98" s="374">
        <f t="shared" ref="AQ98:AQ102" si="176">AP98/AP$33</f>
        <v>0.02989429852</v>
      </c>
      <c r="AR98" s="437">
        <f>SUM(AR99:AR102)</f>
        <v>0</v>
      </c>
      <c r="AS98" s="437"/>
      <c r="AT98" s="377">
        <f>SUM(AT99:AT102)</f>
        <v>589505.57</v>
      </c>
      <c r="AU98" s="374">
        <f t="shared" ref="AU98:AU102" si="177">AT98/AT$33</f>
        <v>0.03476451483</v>
      </c>
      <c r="AV98" s="377">
        <f>SUM(AV99:AV102)</f>
        <v>529520.1805</v>
      </c>
      <c r="AW98" s="374">
        <f t="shared" ref="AW98:AW102" si="178">AV98/AV$33</f>
        <v>0.03100075548</v>
      </c>
      <c r="AX98" s="437">
        <f>SUM(AX99:AX102)</f>
        <v>0</v>
      </c>
      <c r="AY98" s="437"/>
      <c r="AZ98" s="377">
        <f>SUM(AZ99:AZ102)</f>
        <v>705255.55</v>
      </c>
      <c r="BA98" s="374">
        <f t="shared" ref="BA98:BA102" si="179">AZ98/AZ$33</f>
        <v>0.03425774372</v>
      </c>
      <c r="BB98" s="377">
        <f>SUM(BB99:BB102)</f>
        <v>531628.284</v>
      </c>
      <c r="BC98" s="374">
        <f t="shared" ref="BC98:BC102" si="180">BB98/BB$33</f>
        <v>0.02718426092</v>
      </c>
      <c r="BD98" s="437">
        <f>SUM(BD99:BD102)</f>
        <v>0</v>
      </c>
      <c r="BE98" s="437"/>
      <c r="BF98" s="377">
        <f>SUM(BF99:BF102)</f>
        <v>686012.42</v>
      </c>
      <c r="BG98" s="374">
        <f t="shared" ref="BG98:BG102" si="181">BF98/BF$33</f>
        <v>0.03660022611</v>
      </c>
      <c r="BH98" s="377">
        <f>SUM(BH99:BH102)</f>
        <v>577850.0245</v>
      </c>
      <c r="BI98" s="374">
        <f t="shared" ref="BI98:BI102" si="182">BH98/BH$33</f>
        <v>0.03225023022</v>
      </c>
      <c r="BJ98" s="437">
        <f>SUM(BJ99:BJ102)</f>
        <v>0</v>
      </c>
      <c r="BK98" s="437"/>
      <c r="BL98" s="377">
        <f>SUM(BL99:BL102)</f>
        <v>544902.58</v>
      </c>
      <c r="BM98" s="374">
        <f t="shared" ref="BM98:BM102" si="183">BL98/BL$33</f>
        <v>0.0331432016</v>
      </c>
      <c r="BN98" s="377">
        <f>SUM(BN99:BN102)</f>
        <v>517828.471</v>
      </c>
      <c r="BO98" s="374">
        <f t="shared" ref="BO98:BO102" si="184">BN98/BN$33</f>
        <v>0.03453636588</v>
      </c>
      <c r="BP98" s="437">
        <f>SUM(BP99:BP102)</f>
        <v>0</v>
      </c>
      <c r="BQ98" s="437"/>
      <c r="BR98" s="692">
        <f>SUM(BR99:BR102)</f>
        <v>708220</v>
      </c>
      <c r="BS98" s="374">
        <f t="shared" ref="BS98:BS102" si="185">BR98/BR$33</f>
        <v>0.03756268264</v>
      </c>
      <c r="BT98" s="377">
        <f>SUM(BT99:BT102)</f>
        <v>569631.1</v>
      </c>
      <c r="BU98" s="374">
        <f t="shared" ref="BU98:BU102" si="186">BT98/BT$33</f>
        <v>0.03378618688</v>
      </c>
      <c r="BV98" s="437">
        <f>SUM(BV99:BV102)</f>
        <v>0</v>
      </c>
      <c r="BW98" s="216"/>
      <c r="BX98" s="216"/>
      <c r="BY98" s="216"/>
      <c r="BZ98" s="216"/>
      <c r="CA98" s="216"/>
      <c r="CB98" s="216"/>
      <c r="CC98" s="216"/>
      <c r="CD98" s="216"/>
      <c r="CE98" s="216"/>
      <c r="CF98" s="216"/>
      <c r="CG98" s="216"/>
      <c r="CH98" s="216"/>
      <c r="CI98" s="216"/>
      <c r="CJ98" s="216"/>
      <c r="CK98" s="216"/>
      <c r="CL98" s="216"/>
      <c r="CM98" s="216"/>
      <c r="CN98" s="216"/>
      <c r="CO98" s="216"/>
      <c r="CP98" s="216"/>
    </row>
    <row r="99" ht="15.75" customHeight="1">
      <c r="A99" s="213"/>
      <c r="B99" s="444"/>
      <c r="C99" s="383" t="s">
        <v>257</v>
      </c>
      <c r="D99" s="708">
        <f>(2100+(2100*18/100))</f>
        <v>2478</v>
      </c>
      <c r="E99" s="385">
        <f t="shared" si="163"/>
        <v>0.000153592896</v>
      </c>
      <c r="F99" s="388">
        <v>0.0</v>
      </c>
      <c r="G99" s="385">
        <f t="shared" si="164"/>
        <v>0</v>
      </c>
      <c r="H99" s="388">
        <f t="shared" ref="H99:H102" si="187">D99-F99</f>
        <v>2478</v>
      </c>
      <c r="I99" s="807" t="str">
        <f t="shared" ref="I99:I102" si="188">IFERROR(H99/F99,"")</f>
        <v/>
      </c>
      <c r="J99" s="708">
        <v>9115.0</v>
      </c>
      <c r="K99" s="385">
        <f t="shared" si="165"/>
        <v>0.0005508705018</v>
      </c>
      <c r="L99" s="388"/>
      <c r="M99" s="385">
        <f t="shared" si="166"/>
        <v>0</v>
      </c>
      <c r="N99" s="709"/>
      <c r="O99" s="383"/>
      <c r="P99" s="708">
        <v>10089.0</v>
      </c>
      <c r="Q99" s="385">
        <f t="shared" si="167"/>
        <v>0.0006609289639</v>
      </c>
      <c r="R99" s="388"/>
      <c r="S99" s="385">
        <f t="shared" si="168"/>
        <v>0</v>
      </c>
      <c r="T99" s="709"/>
      <c r="U99" s="383"/>
      <c r="V99" s="708">
        <v>11594.0</v>
      </c>
      <c r="W99" s="385">
        <f t="shared" si="169"/>
        <v>0.0007182989857</v>
      </c>
      <c r="X99" s="388"/>
      <c r="Y99" s="385">
        <f t="shared" si="170"/>
        <v>0</v>
      </c>
      <c r="Z99" s="709"/>
      <c r="AA99" s="383"/>
      <c r="AB99" s="708">
        <v>9293.0</v>
      </c>
      <c r="AC99" s="385">
        <f t="shared" si="171"/>
        <v>0.0005321938936</v>
      </c>
      <c r="AD99" s="388"/>
      <c r="AE99" s="385">
        <f t="shared" si="172"/>
        <v>0</v>
      </c>
      <c r="AF99" s="709"/>
      <c r="AG99" s="383"/>
      <c r="AH99" s="708">
        <v>7965.0</v>
      </c>
      <c r="AI99" s="385">
        <f t="shared" si="173"/>
        <v>0.0005091346123</v>
      </c>
      <c r="AJ99" s="388"/>
      <c r="AK99" s="385">
        <f t="shared" si="174"/>
        <v>0</v>
      </c>
      <c r="AL99" s="709"/>
      <c r="AM99" s="383"/>
      <c r="AN99" s="787"/>
      <c r="AO99" s="385">
        <f t="shared" si="175"/>
        <v>0</v>
      </c>
      <c r="AP99" s="388"/>
      <c r="AQ99" s="385">
        <f t="shared" si="176"/>
        <v>0</v>
      </c>
      <c r="AR99" s="709"/>
      <c r="AS99" s="709"/>
      <c r="AT99" s="388"/>
      <c r="AU99" s="385">
        <f t="shared" si="177"/>
        <v>0</v>
      </c>
      <c r="AV99" s="388"/>
      <c r="AW99" s="385">
        <f t="shared" si="178"/>
        <v>0</v>
      </c>
      <c r="AX99" s="709"/>
      <c r="AY99" s="709"/>
      <c r="AZ99" s="388">
        <f>3009+12479</f>
        <v>15488</v>
      </c>
      <c r="BA99" s="385">
        <f t="shared" si="179"/>
        <v>0.00075232862</v>
      </c>
      <c r="BB99" s="388"/>
      <c r="BC99" s="385">
        <f t="shared" si="180"/>
        <v>0</v>
      </c>
      <c r="BD99" s="709"/>
      <c r="BE99" s="709"/>
      <c r="BF99" s="388">
        <v>13629.0</v>
      </c>
      <c r="BG99" s="385">
        <f t="shared" si="181"/>
        <v>0.0007271362254</v>
      </c>
      <c r="BH99" s="388"/>
      <c r="BI99" s="385">
        <f t="shared" si="182"/>
        <v>0</v>
      </c>
      <c r="BJ99" s="709"/>
      <c r="BK99" s="709"/>
      <c r="BL99" s="388">
        <v>12036.0</v>
      </c>
      <c r="BM99" s="385">
        <f t="shared" si="183"/>
        <v>0.0007320787038</v>
      </c>
      <c r="BN99" s="388"/>
      <c r="BO99" s="385">
        <f t="shared" si="184"/>
        <v>0</v>
      </c>
      <c r="BP99" s="709"/>
      <c r="BQ99" s="709"/>
      <c r="BR99" s="802"/>
      <c r="BS99" s="385">
        <f t="shared" si="185"/>
        <v>0</v>
      </c>
      <c r="BT99" s="388"/>
      <c r="BU99" s="385">
        <f t="shared" si="186"/>
        <v>0</v>
      </c>
      <c r="BV99" s="709"/>
      <c r="BW99" s="213"/>
      <c r="BX99" s="213"/>
      <c r="BY99" s="213"/>
      <c r="BZ99" s="213"/>
      <c r="CA99" s="213"/>
      <c r="CB99" s="213"/>
      <c r="CC99" s="213"/>
      <c r="CD99" s="213"/>
      <c r="CE99" s="213"/>
      <c r="CF99" s="213"/>
      <c r="CG99" s="213"/>
      <c r="CH99" s="213"/>
      <c r="CI99" s="213"/>
      <c r="CJ99" s="213"/>
      <c r="CK99" s="213"/>
      <c r="CL99" s="213"/>
      <c r="CM99" s="213"/>
      <c r="CN99" s="213"/>
      <c r="CO99" s="213"/>
      <c r="CP99" s="213"/>
    </row>
    <row r="100" ht="15.75" customHeight="1">
      <c r="A100" s="213"/>
      <c r="B100" s="393"/>
      <c r="C100" s="350" t="s">
        <v>258</v>
      </c>
      <c r="D100" s="604">
        <v>6744.0</v>
      </c>
      <c r="E100" s="355">
        <f t="shared" si="163"/>
        <v>0.0004180106902</v>
      </c>
      <c r="F100" s="357">
        <v>0.0</v>
      </c>
      <c r="G100" s="355">
        <f t="shared" si="164"/>
        <v>0</v>
      </c>
      <c r="H100" s="357">
        <f t="shared" si="187"/>
        <v>6744</v>
      </c>
      <c r="I100" s="719" t="str">
        <f t="shared" si="188"/>
        <v/>
      </c>
      <c r="J100" s="604">
        <v>5666.0</v>
      </c>
      <c r="K100" s="355">
        <f t="shared" si="165"/>
        <v>0.0003424281145</v>
      </c>
      <c r="L100" s="357"/>
      <c r="M100" s="355">
        <f t="shared" si="166"/>
        <v>0</v>
      </c>
      <c r="N100" s="245"/>
      <c r="O100" s="350"/>
      <c r="P100" s="604">
        <v>7257.0</v>
      </c>
      <c r="Q100" s="355">
        <f t="shared" si="167"/>
        <v>0.0004754050442</v>
      </c>
      <c r="R100" s="357"/>
      <c r="S100" s="355">
        <f t="shared" si="168"/>
        <v>0</v>
      </c>
      <c r="T100" s="245"/>
      <c r="U100" s="350"/>
      <c r="V100" s="604">
        <v>2002.7</v>
      </c>
      <c r="W100" s="355">
        <f t="shared" si="169"/>
        <v>0.0001240760202</v>
      </c>
      <c r="X100" s="357"/>
      <c r="Y100" s="355">
        <f t="shared" si="170"/>
        <v>0</v>
      </c>
      <c r="Z100" s="245"/>
      <c r="AA100" s="350"/>
      <c r="AB100" s="604">
        <v>159.3</v>
      </c>
      <c r="AC100" s="355">
        <f t="shared" si="171"/>
        <v>0.000009122833019</v>
      </c>
      <c r="AD100" s="357"/>
      <c r="AE100" s="355">
        <f t="shared" si="172"/>
        <v>0</v>
      </c>
      <c r="AF100" s="245"/>
      <c r="AG100" s="350"/>
      <c r="AH100" s="604">
        <v>513.3</v>
      </c>
      <c r="AI100" s="355">
        <f t="shared" si="173"/>
        <v>0.00003281089724</v>
      </c>
      <c r="AJ100" s="357"/>
      <c r="AK100" s="355">
        <f t="shared" si="174"/>
        <v>0</v>
      </c>
      <c r="AL100" s="245"/>
      <c r="AM100" s="350"/>
      <c r="AN100" s="605">
        <v>180.0</v>
      </c>
      <c r="AO100" s="355">
        <f t="shared" si="175"/>
        <v>0.00001086114373</v>
      </c>
      <c r="AP100" s="357"/>
      <c r="AQ100" s="355">
        <f t="shared" si="176"/>
        <v>0</v>
      </c>
      <c r="AR100" s="245"/>
      <c r="AS100" s="245"/>
      <c r="AT100" s="357"/>
      <c r="AU100" s="355">
        <f t="shared" si="177"/>
        <v>0</v>
      </c>
      <c r="AV100" s="357"/>
      <c r="AW100" s="355">
        <f t="shared" si="178"/>
        <v>0</v>
      </c>
      <c r="AX100" s="245"/>
      <c r="AY100" s="245"/>
      <c r="AZ100" s="357"/>
      <c r="BA100" s="355">
        <f t="shared" si="179"/>
        <v>0</v>
      </c>
      <c r="BB100" s="357"/>
      <c r="BC100" s="355">
        <f t="shared" si="180"/>
        <v>0</v>
      </c>
      <c r="BD100" s="245"/>
      <c r="BE100" s="245"/>
      <c r="BF100" s="357"/>
      <c r="BG100" s="355">
        <f t="shared" si="181"/>
        <v>0</v>
      </c>
      <c r="BH100" s="357"/>
      <c r="BI100" s="355">
        <f t="shared" si="182"/>
        <v>0</v>
      </c>
      <c r="BJ100" s="245"/>
      <c r="BK100" s="245"/>
      <c r="BL100" s="357"/>
      <c r="BM100" s="355">
        <f t="shared" si="183"/>
        <v>0</v>
      </c>
      <c r="BN100" s="357"/>
      <c r="BO100" s="355">
        <f t="shared" si="184"/>
        <v>0</v>
      </c>
      <c r="BP100" s="245"/>
      <c r="BQ100" s="245"/>
      <c r="BR100" s="356"/>
      <c r="BS100" s="355">
        <f t="shared" si="185"/>
        <v>0</v>
      </c>
      <c r="BT100" s="357"/>
      <c r="BU100" s="355">
        <f t="shared" si="186"/>
        <v>0</v>
      </c>
      <c r="BV100" s="245"/>
      <c r="BW100" s="213"/>
      <c r="BX100" s="213"/>
      <c r="BY100" s="213"/>
      <c r="BZ100" s="213"/>
      <c r="CA100" s="213"/>
      <c r="CB100" s="213"/>
      <c r="CC100" s="213"/>
      <c r="CD100" s="213"/>
      <c r="CE100" s="213"/>
      <c r="CF100" s="213"/>
      <c r="CG100" s="213"/>
      <c r="CH100" s="213"/>
      <c r="CI100" s="213"/>
      <c r="CJ100" s="213"/>
      <c r="CK100" s="213"/>
      <c r="CL100" s="213"/>
      <c r="CM100" s="213"/>
      <c r="CN100" s="213"/>
      <c r="CO100" s="213"/>
      <c r="CP100" s="213"/>
    </row>
    <row r="101" ht="15.75" customHeight="1">
      <c r="A101" s="213"/>
      <c r="B101" s="393"/>
      <c r="C101" s="350" t="s">
        <v>259</v>
      </c>
      <c r="D101" s="604">
        <f>(182786.42+(182786.42*18/100))+(24591.77+(24591.77*18/100))</f>
        <v>244706.2642</v>
      </c>
      <c r="E101" s="355">
        <f t="shared" si="163"/>
        <v>0.01516753179</v>
      </c>
      <c r="F101" s="357">
        <f>75%*(F$18+F$19)*17.8%</f>
        <v>307050</v>
      </c>
      <c r="G101" s="355">
        <f t="shared" si="164"/>
        <v>0.02005904464</v>
      </c>
      <c r="H101" s="357">
        <f t="shared" si="187"/>
        <v>-62343.7358</v>
      </c>
      <c r="I101" s="719">
        <f t="shared" si="188"/>
        <v>-0.2030409894</v>
      </c>
      <c r="J101" s="604">
        <f>(213770.58+(213770.58*18/100))+(28659.18+(28659.18*18/100))</f>
        <v>286067.1168</v>
      </c>
      <c r="K101" s="355">
        <f t="shared" si="165"/>
        <v>0.01728863809</v>
      </c>
      <c r="L101" s="357">
        <f>75%*(L$18+L$19)*17.8%</f>
        <v>307050</v>
      </c>
      <c r="M101" s="355">
        <f t="shared" si="166"/>
        <v>0.01787370884</v>
      </c>
      <c r="N101" s="245"/>
      <c r="O101" s="350"/>
      <c r="P101" s="604">
        <f>(29533.34+(29533.34*18/100))+(4361.03+(4361.03*18/100))</f>
        <v>39995.3566</v>
      </c>
      <c r="Q101" s="355">
        <f t="shared" si="167"/>
        <v>0.002620090157</v>
      </c>
      <c r="R101" s="357">
        <f>75%*(R$18+R$19)*17.8%</f>
        <v>322402.5</v>
      </c>
      <c r="S101" s="355">
        <f t="shared" si="168"/>
        <v>0.01984936855</v>
      </c>
      <c r="T101" s="245"/>
      <c r="U101" s="350"/>
      <c r="V101" s="604">
        <f>250056+33409.76-6536</f>
        <v>276929.76</v>
      </c>
      <c r="W101" s="355">
        <f t="shared" si="169"/>
        <v>0.01715700929</v>
      </c>
      <c r="X101" s="357">
        <f>75%*(X$18+X$19)*17.8%</f>
        <v>371897.625</v>
      </c>
      <c r="Y101" s="355">
        <f t="shared" si="170"/>
        <v>0.02345532102</v>
      </c>
      <c r="Z101" s="245"/>
      <c r="AA101" s="350"/>
      <c r="AB101" s="604">
        <f>(41301.32+313856.76)-8197</f>
        <v>346961.08</v>
      </c>
      <c r="AC101" s="355">
        <f t="shared" si="171"/>
        <v>0.0198698556</v>
      </c>
      <c r="AD101" s="357">
        <f>75%*(AD$18+AD$19)*17.8%</f>
        <v>382143.75</v>
      </c>
      <c r="AE101" s="355">
        <f t="shared" si="172"/>
        <v>0.02160803576</v>
      </c>
      <c r="AF101" s="245"/>
      <c r="AG101" s="350"/>
      <c r="AH101" s="604">
        <f>(315736.99+34181.7)-2458</f>
        <v>347460.69</v>
      </c>
      <c r="AI101" s="355">
        <f t="shared" si="173"/>
        <v>0.0222102026</v>
      </c>
      <c r="AJ101" s="357">
        <f>75%*(AJ$18+AJ$19)*17.8%</f>
        <v>392556.75</v>
      </c>
      <c r="AK101" s="355">
        <f t="shared" si="174"/>
        <v>0.0232199035</v>
      </c>
      <c r="AL101" s="245"/>
      <c r="AM101" s="350"/>
      <c r="AN101" s="605">
        <f>349290.06+38720.73</f>
        <v>388010.79</v>
      </c>
      <c r="AO101" s="355">
        <f t="shared" si="175"/>
        <v>0.02341244978</v>
      </c>
      <c r="AP101" s="357">
        <f>75%*(AP$18+AP$19)*17.8%</f>
        <v>413950.125</v>
      </c>
      <c r="AQ101" s="355">
        <f t="shared" si="176"/>
        <v>0.02368480031</v>
      </c>
      <c r="AR101" s="245"/>
      <c r="AS101" s="245"/>
      <c r="AT101" s="357">
        <f>36778.89+342823.84</f>
        <v>379602.73</v>
      </c>
      <c r="AU101" s="355">
        <f t="shared" si="177"/>
        <v>0.02238605606</v>
      </c>
      <c r="AV101" s="357">
        <f>75%*(AV$18+AV$19)*17.8%</f>
        <v>419530.8255</v>
      </c>
      <c r="AW101" s="355">
        <f t="shared" si="178"/>
        <v>0.02456142941</v>
      </c>
      <c r="AX101" s="245"/>
      <c r="AY101" s="245"/>
      <c r="AZ101" s="357">
        <f>43950.15+380318.54</f>
        <v>424268.69</v>
      </c>
      <c r="BA101" s="355">
        <f t="shared" si="179"/>
        <v>0.02060882477</v>
      </c>
      <c r="BB101" s="357">
        <f>75%*(BB$18+BB$19)*17.8%</f>
        <v>421201.044</v>
      </c>
      <c r="BC101" s="355">
        <f t="shared" si="180"/>
        <v>0.02153767853</v>
      </c>
      <c r="BD101" s="245"/>
      <c r="BE101" s="245"/>
      <c r="BF101" s="357">
        <f>39155.95+361511.17</f>
        <v>400667.12</v>
      </c>
      <c r="BG101" s="355">
        <f t="shared" si="181"/>
        <v>0.02137644561</v>
      </c>
      <c r="BH101" s="357">
        <f>75%*(BH$18+BH$19)*17.8%</f>
        <v>457821.8295</v>
      </c>
      <c r="BI101" s="355">
        <f t="shared" si="182"/>
        <v>0.02555136934</v>
      </c>
      <c r="BJ101" s="245"/>
      <c r="BK101" s="245"/>
      <c r="BL101" s="357">
        <f>27658.25+272394.7</f>
        <v>300052.95</v>
      </c>
      <c r="BM101" s="355">
        <f t="shared" si="183"/>
        <v>0.01825044655</v>
      </c>
      <c r="BN101" s="357">
        <f>75%*(BN$18+BN$19)*17.8%</f>
        <v>410267.661</v>
      </c>
      <c r="BO101" s="355">
        <f t="shared" si="184"/>
        <v>0.02736264003</v>
      </c>
      <c r="BP101" s="245"/>
      <c r="BQ101" s="245"/>
      <c r="BR101" s="356">
        <v>413714.0</v>
      </c>
      <c r="BS101" s="355">
        <f t="shared" si="185"/>
        <v>0.02194262755</v>
      </c>
      <c r="BT101" s="357">
        <f>75%*(BT$18+BT$19)*17.8%</f>
        <v>451310.1</v>
      </c>
      <c r="BU101" s="355">
        <f t="shared" si="186"/>
        <v>0.02676828456</v>
      </c>
      <c r="BV101" s="245"/>
      <c r="BW101" s="213"/>
      <c r="BX101" s="213"/>
      <c r="BY101" s="213"/>
      <c r="BZ101" s="213"/>
      <c r="CA101" s="213"/>
      <c r="CB101" s="213"/>
      <c r="CC101" s="213"/>
      <c r="CD101" s="213"/>
      <c r="CE101" s="213"/>
      <c r="CF101" s="213"/>
      <c r="CG101" s="213"/>
      <c r="CH101" s="213"/>
      <c r="CI101" s="213"/>
      <c r="CJ101" s="213"/>
      <c r="CK101" s="213"/>
      <c r="CL101" s="213"/>
      <c r="CM101" s="213"/>
      <c r="CN101" s="213"/>
      <c r="CO101" s="213"/>
      <c r="CP101" s="213"/>
    </row>
    <row r="102" ht="15.75" customHeight="1">
      <c r="A102" s="213"/>
      <c r="B102" s="393"/>
      <c r="C102" s="350" t="s">
        <v>260</v>
      </c>
      <c r="D102" s="604">
        <f>(135754.72+(135754*18/100))</f>
        <v>160190.44</v>
      </c>
      <c r="E102" s="355">
        <f t="shared" si="163"/>
        <v>0.009929020818</v>
      </c>
      <c r="F102" s="357">
        <f>25%*(F$18+F$19)*14%</f>
        <v>80500</v>
      </c>
      <c r="G102" s="355">
        <f t="shared" si="164"/>
        <v>0.005258925562</v>
      </c>
      <c r="H102" s="357">
        <f t="shared" si="187"/>
        <v>79690.44</v>
      </c>
      <c r="I102" s="719">
        <f t="shared" si="188"/>
        <v>0.989943354</v>
      </c>
      <c r="J102" s="604">
        <v>199328.0</v>
      </c>
      <c r="K102" s="355">
        <f t="shared" si="165"/>
        <v>0.01204650745</v>
      </c>
      <c r="L102" s="357">
        <f>25%*(L$18+L$19)*14%</f>
        <v>80500</v>
      </c>
      <c r="M102" s="355">
        <f t="shared" si="166"/>
        <v>0.004685991083</v>
      </c>
      <c r="N102" s="245"/>
      <c r="O102" s="350"/>
      <c r="P102" s="604">
        <f>234535+196.88+20546.87</f>
        <v>255278.75</v>
      </c>
      <c r="Q102" s="355">
        <f t="shared" si="167"/>
        <v>0.01672327483</v>
      </c>
      <c r="R102" s="357">
        <f>25%*(R$18+R$19)*14%</f>
        <v>84525</v>
      </c>
      <c r="S102" s="355">
        <f t="shared" si="168"/>
        <v>0.0052039543</v>
      </c>
      <c r="T102" s="245"/>
      <c r="U102" s="350"/>
      <c r="V102" s="604">
        <f>156404.7+8901.41</f>
        <v>165306.11</v>
      </c>
      <c r="W102" s="355">
        <f t="shared" si="169"/>
        <v>0.01024143619</v>
      </c>
      <c r="X102" s="357">
        <f>25%*(X$18+X$19)*14%</f>
        <v>97501.25</v>
      </c>
      <c r="Y102" s="355">
        <f t="shared" si="170"/>
        <v>0.006149335098</v>
      </c>
      <c r="Z102" s="245"/>
      <c r="AA102" s="350"/>
      <c r="AB102" s="604">
        <f>190553.06+9454.21</f>
        <v>200007.27</v>
      </c>
      <c r="AC102" s="355">
        <f t="shared" si="171"/>
        <v>0.01145406734</v>
      </c>
      <c r="AD102" s="357">
        <f>25%*(AD$18+AD$19)*14%</f>
        <v>100187.5</v>
      </c>
      <c r="AE102" s="355">
        <f t="shared" si="172"/>
        <v>0.005665028103</v>
      </c>
      <c r="AF102" s="245"/>
      <c r="AG102" s="350"/>
      <c r="AH102" s="604">
        <f>182106.71+8966.33</f>
        <v>191073.04</v>
      </c>
      <c r="AI102" s="355">
        <f t="shared" si="173"/>
        <v>0.01221367208</v>
      </c>
      <c r="AJ102" s="357">
        <f>25%*(AJ$18+AJ$19)*14%</f>
        <v>102917.5</v>
      </c>
      <c r="AK102" s="355">
        <f t="shared" si="174"/>
        <v>0.006087615151</v>
      </c>
      <c r="AL102" s="245"/>
      <c r="AM102" s="350"/>
      <c r="AN102" s="605">
        <f>176636.19+7133.1</f>
        <v>183769.29</v>
      </c>
      <c r="AO102" s="355">
        <f t="shared" si="175"/>
        <v>0.01108858151</v>
      </c>
      <c r="AP102" s="357">
        <f>25%*(AP$18+AP$19)*14%</f>
        <v>108526.25</v>
      </c>
      <c r="AQ102" s="355">
        <f t="shared" si="176"/>
        <v>0.00620949821</v>
      </c>
      <c r="AR102" s="245"/>
      <c r="AS102" s="245"/>
      <c r="AT102" s="357">
        <f>7453.14+202449.7</f>
        <v>209902.84</v>
      </c>
      <c r="AU102" s="355">
        <f t="shared" si="177"/>
        <v>0.01237845877</v>
      </c>
      <c r="AV102" s="357">
        <f>25%*(AV$18+AV$19)*14%</f>
        <v>109989.355</v>
      </c>
      <c r="AW102" s="355">
        <f t="shared" si="178"/>
        <v>0.006439326064</v>
      </c>
      <c r="AX102" s="245"/>
      <c r="AY102" s="245"/>
      <c r="AZ102" s="357">
        <f>10074.37+255424.49</f>
        <v>265498.86</v>
      </c>
      <c r="BA102" s="355">
        <f t="shared" si="179"/>
        <v>0.01289659033</v>
      </c>
      <c r="BB102" s="357">
        <f>25%*(BB$18+BB$19)*14%</f>
        <v>110427.24</v>
      </c>
      <c r="BC102" s="355">
        <f t="shared" si="180"/>
        <v>0.005646582387</v>
      </c>
      <c r="BD102" s="245"/>
      <c r="BE102" s="245"/>
      <c r="BF102" s="357">
        <f>11531.69+260184.61</f>
        <v>271716.3</v>
      </c>
      <c r="BG102" s="355">
        <f t="shared" si="181"/>
        <v>0.01449664427</v>
      </c>
      <c r="BH102" s="357">
        <f>25%*(BH$18+BH$19)*14%</f>
        <v>120028.195</v>
      </c>
      <c r="BI102" s="355">
        <f t="shared" si="182"/>
        <v>0.006698860876</v>
      </c>
      <c r="BJ102" s="245"/>
      <c r="BK102" s="245"/>
      <c r="BL102" s="357">
        <f>12339.9+220473.73</f>
        <v>232813.63</v>
      </c>
      <c r="BM102" s="355">
        <f t="shared" si="183"/>
        <v>0.01416067634</v>
      </c>
      <c r="BN102" s="357">
        <f>25%*(BN$18+BN$19)*14%</f>
        <v>107560.81</v>
      </c>
      <c r="BO102" s="355">
        <f t="shared" si="184"/>
        <v>0.00717372585</v>
      </c>
      <c r="BP102" s="245"/>
      <c r="BQ102" s="245"/>
      <c r="BR102" s="356">
        <v>294506.0</v>
      </c>
      <c r="BS102" s="355">
        <f t="shared" si="185"/>
        <v>0.01562005509</v>
      </c>
      <c r="BT102" s="357">
        <f>25%*(BT$18+BT$19)*14%</f>
        <v>118321</v>
      </c>
      <c r="BU102" s="355">
        <f t="shared" si="186"/>
        <v>0.007017902319</v>
      </c>
      <c r="BV102" s="245"/>
      <c r="BW102" s="213"/>
      <c r="BX102" s="213"/>
      <c r="BY102" s="213"/>
      <c r="BZ102" s="213"/>
      <c r="CA102" s="213"/>
      <c r="CB102" s="213"/>
      <c r="CC102" s="213"/>
      <c r="CD102" s="213"/>
      <c r="CE102" s="213"/>
      <c r="CF102" s="213"/>
      <c r="CG102" s="213"/>
      <c r="CH102" s="213"/>
      <c r="CI102" s="213"/>
      <c r="CJ102" s="213"/>
      <c r="CK102" s="213"/>
      <c r="CL102" s="213"/>
      <c r="CM102" s="213"/>
      <c r="CN102" s="213"/>
      <c r="CO102" s="213"/>
      <c r="CP102" s="213"/>
    </row>
    <row r="103" ht="15.75" customHeight="1">
      <c r="A103" s="213"/>
      <c r="B103" s="393"/>
      <c r="C103" s="350"/>
      <c r="D103" s="604"/>
      <c r="E103" s="245"/>
      <c r="F103" s="245"/>
      <c r="G103" s="355"/>
      <c r="H103" s="245"/>
      <c r="I103" s="350"/>
      <c r="J103" s="604"/>
      <c r="K103" s="245"/>
      <c r="L103" s="245"/>
      <c r="M103" s="245"/>
      <c r="N103" s="245"/>
      <c r="O103" s="350"/>
      <c r="P103" s="604"/>
      <c r="Q103" s="245"/>
      <c r="R103" s="352"/>
      <c r="S103" s="245"/>
      <c r="T103" s="245"/>
      <c r="U103" s="350"/>
      <c r="V103" s="604"/>
      <c r="W103" s="352"/>
      <c r="X103" s="676"/>
      <c r="Y103" s="245"/>
      <c r="Z103" s="245"/>
      <c r="AA103" s="350"/>
      <c r="AB103" s="604"/>
      <c r="AC103" s="245"/>
      <c r="AD103" s="245"/>
      <c r="AE103" s="245"/>
      <c r="AF103" s="245"/>
      <c r="AG103" s="350"/>
      <c r="AH103" s="604"/>
      <c r="AI103" s="245"/>
      <c r="AJ103" s="245"/>
      <c r="AK103" s="245"/>
      <c r="AL103" s="245"/>
      <c r="AM103" s="350"/>
      <c r="AN103" s="605"/>
      <c r="AO103" s="245"/>
      <c r="AP103" s="245"/>
      <c r="AQ103" s="245"/>
      <c r="AR103" s="245"/>
      <c r="AS103" s="245"/>
      <c r="AT103" s="357"/>
      <c r="AU103" s="245"/>
      <c r="AV103" s="245"/>
      <c r="AW103" s="245"/>
      <c r="AX103" s="245"/>
      <c r="AY103" s="245"/>
      <c r="AZ103" s="357"/>
      <c r="BA103" s="245"/>
      <c r="BB103" s="245"/>
      <c r="BC103" s="245"/>
      <c r="BD103" s="245"/>
      <c r="BE103" s="245"/>
      <c r="BF103" s="357"/>
      <c r="BG103" s="245"/>
      <c r="BH103" s="245"/>
      <c r="BI103" s="245"/>
      <c r="BJ103" s="245"/>
      <c r="BK103" s="245"/>
      <c r="BL103" s="357"/>
      <c r="BM103" s="245"/>
      <c r="BN103" s="245"/>
      <c r="BO103" s="245"/>
      <c r="BP103" s="245"/>
      <c r="BQ103" s="245"/>
      <c r="BR103" s="356"/>
      <c r="BS103" s="245"/>
      <c r="BT103" s="245"/>
      <c r="BU103" s="245"/>
      <c r="BV103" s="245"/>
      <c r="BW103" s="213"/>
      <c r="BX103" s="213"/>
      <c r="BY103" s="213"/>
      <c r="BZ103" s="213"/>
      <c r="CA103" s="213"/>
      <c r="CB103" s="213"/>
      <c r="CC103" s="213"/>
      <c r="CD103" s="213"/>
      <c r="CE103" s="213"/>
      <c r="CF103" s="213"/>
      <c r="CG103" s="213"/>
      <c r="CH103" s="213"/>
      <c r="CI103" s="213"/>
      <c r="CJ103" s="213"/>
      <c r="CK103" s="213"/>
      <c r="CL103" s="213"/>
      <c r="CM103" s="213"/>
      <c r="CN103" s="213"/>
      <c r="CO103" s="213"/>
      <c r="CP103" s="213"/>
    </row>
    <row r="104" ht="15.75" customHeight="1">
      <c r="A104" s="213"/>
      <c r="B104" s="403"/>
      <c r="C104" s="362"/>
      <c r="D104" s="619"/>
      <c r="E104" s="688"/>
      <c r="F104" s="688"/>
      <c r="G104" s="404"/>
      <c r="H104" s="688"/>
      <c r="I104" s="362"/>
      <c r="J104" s="619"/>
      <c r="K104" s="688"/>
      <c r="L104" s="688"/>
      <c r="M104" s="688"/>
      <c r="N104" s="688"/>
      <c r="O104" s="362"/>
      <c r="P104" s="619"/>
      <c r="Q104" s="688"/>
      <c r="R104" s="364"/>
      <c r="S104" s="688"/>
      <c r="T104" s="688"/>
      <c r="U104" s="362"/>
      <c r="V104" s="619"/>
      <c r="W104" s="364"/>
      <c r="X104" s="803"/>
      <c r="Y104" s="688"/>
      <c r="Z104" s="688"/>
      <c r="AA104" s="362"/>
      <c r="AB104" s="619"/>
      <c r="AC104" s="688"/>
      <c r="AD104" s="688"/>
      <c r="AE104" s="688"/>
      <c r="AF104" s="688"/>
      <c r="AG104" s="362"/>
      <c r="AH104" s="619"/>
      <c r="AI104" s="688"/>
      <c r="AJ104" s="688"/>
      <c r="AK104" s="688"/>
      <c r="AL104" s="688"/>
      <c r="AM104" s="362"/>
      <c r="AN104" s="793"/>
      <c r="AO104" s="688"/>
      <c r="AP104" s="688"/>
      <c r="AQ104" s="688"/>
      <c r="AR104" s="688"/>
      <c r="AS104" s="688"/>
      <c r="AT104" s="367"/>
      <c r="AU104" s="688"/>
      <c r="AV104" s="688"/>
      <c r="AW104" s="688"/>
      <c r="AX104" s="688"/>
      <c r="AY104" s="688"/>
      <c r="AZ104" s="367"/>
      <c r="BA104" s="688"/>
      <c r="BB104" s="688"/>
      <c r="BC104" s="688"/>
      <c r="BD104" s="688"/>
      <c r="BE104" s="688"/>
      <c r="BF104" s="367"/>
      <c r="BG104" s="688"/>
      <c r="BH104" s="688"/>
      <c r="BI104" s="688"/>
      <c r="BJ104" s="688"/>
      <c r="BK104" s="688"/>
      <c r="BL104" s="367"/>
      <c r="BM104" s="688"/>
      <c r="BN104" s="688"/>
      <c r="BO104" s="688"/>
      <c r="BP104" s="688"/>
      <c r="BQ104" s="688"/>
      <c r="BR104" s="804"/>
      <c r="BS104" s="688"/>
      <c r="BT104" s="688"/>
      <c r="BU104" s="688"/>
      <c r="BV104" s="688"/>
      <c r="BW104" s="213"/>
      <c r="BX104" s="213"/>
      <c r="BY104" s="213"/>
      <c r="BZ104" s="213"/>
      <c r="CA104" s="213"/>
      <c r="CB104" s="213"/>
      <c r="CC104" s="213"/>
      <c r="CD104" s="213"/>
      <c r="CE104" s="213"/>
      <c r="CF104" s="213"/>
      <c r="CG104" s="213"/>
      <c r="CH104" s="213"/>
      <c r="CI104" s="213"/>
      <c r="CJ104" s="213"/>
      <c r="CK104" s="213"/>
      <c r="CL104" s="213"/>
      <c r="CM104" s="213"/>
      <c r="CN104" s="213"/>
      <c r="CO104" s="213"/>
      <c r="CP104" s="213"/>
    </row>
    <row r="105" ht="15.75" customHeight="1">
      <c r="A105" s="213"/>
      <c r="B105" s="407"/>
      <c r="C105" s="447" t="s">
        <v>37</v>
      </c>
      <c r="D105" s="600">
        <f>SUM(D106:D112)</f>
        <v>1594911</v>
      </c>
      <c r="E105" s="374">
        <f t="shared" ref="E105:E110" si="189">D105/D$33</f>
        <v>0.09885673903</v>
      </c>
      <c r="F105" s="377">
        <f>SUM(F106:F112)</f>
        <v>1660460</v>
      </c>
      <c r="G105" s="374">
        <f t="shared" ref="G105:G106" si="190">F105/F$33</f>
        <v>0.1084749756</v>
      </c>
      <c r="H105" s="377">
        <f>SUM(H106:H112)</f>
        <v>-18349</v>
      </c>
      <c r="I105" s="379">
        <f t="shared" ref="I105:I109" si="191">H105/H$33</f>
        <v>-0.02220758015</v>
      </c>
      <c r="J105" s="600">
        <f>SUM(J106:J112)</f>
        <v>1629201</v>
      </c>
      <c r="K105" s="374">
        <f t="shared" ref="K105:K110" si="192">J105/J$33</f>
        <v>0.09846174135</v>
      </c>
      <c r="L105" s="377">
        <f>SUM(L106:L112)</f>
        <v>1716590</v>
      </c>
      <c r="M105" s="374">
        <f t="shared" ref="M105:M110" si="193">L105/L$33</f>
        <v>0.09992453954</v>
      </c>
      <c r="N105" s="437">
        <f>SUM(N106:N112)</f>
        <v>0</v>
      </c>
      <c r="O105" s="372"/>
      <c r="P105" s="600">
        <f>SUM(P106:P112)</f>
        <v>1490586</v>
      </c>
      <c r="Q105" s="374">
        <f t="shared" ref="Q105:Q110" si="194">P105/P$33</f>
        <v>0.09764807816</v>
      </c>
      <c r="R105" s="377">
        <f>SUM(R106:R112)</f>
        <v>1642470</v>
      </c>
      <c r="S105" s="374">
        <f t="shared" ref="S105:S106" si="195">R105/R$33</f>
        <v>0.1011220209</v>
      </c>
      <c r="T105" s="437">
        <f>SUM(T106:T112)</f>
        <v>0</v>
      </c>
      <c r="U105" s="372"/>
      <c r="V105" s="600">
        <f>SUM(V106:V112)</f>
        <v>1475958</v>
      </c>
      <c r="W105" s="374">
        <f t="shared" ref="W105:W107" si="196">V105/V$33</f>
        <v>0.09144205058</v>
      </c>
      <c r="X105" s="377">
        <f>SUM(X106:X112)</f>
        <v>1610520</v>
      </c>
      <c r="Y105" s="374">
        <f t="shared" ref="Y105:Y106" si="197">X105/X$33</f>
        <v>0.101574361</v>
      </c>
      <c r="Z105" s="437">
        <f>SUM(Z106:Z112)</f>
        <v>0</v>
      </c>
      <c r="AA105" s="372"/>
      <c r="AB105" s="600">
        <f>SUM(AB106:AB112)</f>
        <v>1572300</v>
      </c>
      <c r="AC105" s="374">
        <f t="shared" ref="AC105:AC107" si="198">AB105/AB$33</f>
        <v>0.09004287732</v>
      </c>
      <c r="AD105" s="800">
        <f>SUM(AD106:AD112)</f>
        <v>1618760</v>
      </c>
      <c r="AE105" s="374">
        <f t="shared" ref="AE105:AE106" si="199">AD105/AD$33</f>
        <v>0.09153158719</v>
      </c>
      <c r="AF105" s="437">
        <f>SUM(AF106:AF112)</f>
        <v>0</v>
      </c>
      <c r="AG105" s="372"/>
      <c r="AH105" s="600">
        <f>SUM(AH106:AH112)</f>
        <v>1572830</v>
      </c>
      <c r="AI105" s="374">
        <f t="shared" ref="AI105:AI107" si="200">AH105/AH$33</f>
        <v>0.1005376261</v>
      </c>
      <c r="AJ105" s="800">
        <f>SUM(AJ106:AJ112)</f>
        <v>1597600</v>
      </c>
      <c r="AK105" s="374">
        <f t="shared" ref="AK105:AK106" si="201">AJ105/AJ$33</f>
        <v>0.09449873894</v>
      </c>
      <c r="AL105" s="437">
        <f>SUM(AL106:AL112)</f>
        <v>0</v>
      </c>
      <c r="AM105" s="372"/>
      <c r="AN105" s="601">
        <f>SUM(AN106:AN112)</f>
        <v>1521760</v>
      </c>
      <c r="AO105" s="374">
        <f t="shared" ref="AO105:AO107" si="202">AN105/AN$33</f>
        <v>0.0918225227</v>
      </c>
      <c r="AP105" s="377">
        <f>SUM(AP106:AP112)</f>
        <v>1507910</v>
      </c>
      <c r="AQ105" s="374">
        <f t="shared" ref="AQ105:AQ106" si="203">AP105/AP$33</f>
        <v>0.08627741625</v>
      </c>
      <c r="AR105" s="437">
        <f>SUM(AR106:AR112)</f>
        <v>0</v>
      </c>
      <c r="AS105" s="437"/>
      <c r="AT105" s="377">
        <f>SUM(AT106:AT112)</f>
        <v>1575020</v>
      </c>
      <c r="AU105" s="374">
        <f t="shared" ref="AU105:AU107" si="204">AT105/AT$33</f>
        <v>0.09288259338</v>
      </c>
      <c r="AV105" s="800">
        <f>SUM(AV106:AV112)</f>
        <v>1499900</v>
      </c>
      <c r="AW105" s="374">
        <f t="shared" ref="AW105:AW106" si="205">AV105/AV$33</f>
        <v>0.08781163561</v>
      </c>
      <c r="AX105" s="437">
        <f>SUM(AX106:AX112)</f>
        <v>0</v>
      </c>
      <c r="AY105" s="437"/>
      <c r="AZ105" s="377">
        <f>SUM(AZ106:AZ112)</f>
        <v>1573800</v>
      </c>
      <c r="BA105" s="374">
        <f t="shared" ref="BA105:BA107" si="206">AZ105/AZ$33</f>
        <v>0.07644723542</v>
      </c>
      <c r="BB105" s="800">
        <f>SUM(BB106:BB112)</f>
        <v>1500900</v>
      </c>
      <c r="BC105" s="374">
        <f t="shared" ref="BC105:BC106" si="207">BB105/BB$33</f>
        <v>0.07674696483</v>
      </c>
      <c r="BD105" s="809"/>
      <c r="BE105" s="437"/>
      <c r="BF105" s="377">
        <f>SUM(BF106:BF112)</f>
        <v>1449821</v>
      </c>
      <c r="BG105" s="374">
        <f t="shared" ref="BG105:BG107" si="208">BF105/BF$33</f>
        <v>0.07735104332</v>
      </c>
      <c r="BH105" s="377">
        <f>SUM(BH106:BH112)</f>
        <v>1475700</v>
      </c>
      <c r="BI105" s="374">
        <f t="shared" ref="BI105:BI106" si="209">BH105/BH$33</f>
        <v>0.08235989049</v>
      </c>
      <c r="BJ105" s="437">
        <f>SUM(BJ106:BJ112)</f>
        <v>0</v>
      </c>
      <c r="BK105" s="437"/>
      <c r="BL105" s="377">
        <f>SUM(BL106:BL112)</f>
        <v>1779311</v>
      </c>
      <c r="BM105" s="374">
        <f t="shared" ref="BM105:BM107" si="210">BL105/BL$33</f>
        <v>0.108224966</v>
      </c>
      <c r="BN105" s="377">
        <f>SUM(BN106:BN112)</f>
        <v>1475700</v>
      </c>
      <c r="BO105" s="374">
        <f t="shared" ref="BO105:BO106" si="211">BN105/BN$33</f>
        <v>0.09842123016</v>
      </c>
      <c r="BP105" s="437">
        <f>SUM(BP106:BP112)</f>
        <v>0</v>
      </c>
      <c r="BQ105" s="437"/>
      <c r="BR105" s="692">
        <f>SUM(BR106:BR112)</f>
        <v>1652571</v>
      </c>
      <c r="BS105" s="374">
        <f t="shared" ref="BS105:BS107" si="212">BR105/BR$33</f>
        <v>0.08764931803</v>
      </c>
      <c r="BT105" s="800">
        <f>SUM(BT106:BT112)</f>
        <v>1475700</v>
      </c>
      <c r="BU105" s="374">
        <f t="shared" ref="BU105:BU106" si="213">BT105/BT$33</f>
        <v>0.08752730666</v>
      </c>
      <c r="BV105" s="437">
        <f>SUM(BV106:BV112)</f>
        <v>0</v>
      </c>
      <c r="BW105" s="216"/>
      <c r="BX105" s="216"/>
      <c r="BY105" s="216"/>
      <c r="BZ105" s="216"/>
      <c r="CA105" s="216"/>
      <c r="CB105" s="216"/>
      <c r="CC105" s="216"/>
      <c r="CD105" s="216"/>
      <c r="CE105" s="216"/>
      <c r="CF105" s="216"/>
      <c r="CG105" s="216"/>
      <c r="CH105" s="216"/>
      <c r="CI105" s="216"/>
      <c r="CJ105" s="216"/>
      <c r="CK105" s="216"/>
      <c r="CL105" s="216"/>
      <c r="CM105" s="216"/>
      <c r="CN105" s="216"/>
      <c r="CO105" s="216"/>
      <c r="CP105" s="216"/>
    </row>
    <row r="106" ht="15.75" customHeight="1">
      <c r="A106" s="213"/>
      <c r="B106" s="444"/>
      <c r="C106" s="383" t="s">
        <v>261</v>
      </c>
      <c r="D106" s="708">
        <v>991200.0</v>
      </c>
      <c r="E106" s="385">
        <f t="shared" si="189"/>
        <v>0.06143715839</v>
      </c>
      <c r="F106" s="388">
        <v>991200.0</v>
      </c>
      <c r="G106" s="385">
        <f t="shared" si="190"/>
        <v>0.06475337909</v>
      </c>
      <c r="H106" s="388">
        <f>D106-F106</f>
        <v>0</v>
      </c>
      <c r="I106" s="390">
        <f t="shared" si="191"/>
        <v>0</v>
      </c>
      <c r="J106" s="708">
        <v>991200.0</v>
      </c>
      <c r="K106" s="385">
        <f t="shared" si="192"/>
        <v>0.05990376757</v>
      </c>
      <c r="L106" s="388">
        <v>991200.0</v>
      </c>
      <c r="M106" s="385">
        <f t="shared" si="193"/>
        <v>0.05769881194</v>
      </c>
      <c r="N106" s="709"/>
      <c r="O106" s="383"/>
      <c r="P106" s="708">
        <v>991200.0</v>
      </c>
      <c r="Q106" s="385">
        <f t="shared" si="194"/>
        <v>0.06493337189</v>
      </c>
      <c r="R106" s="388">
        <v>991200.0</v>
      </c>
      <c r="S106" s="385">
        <f t="shared" si="195"/>
        <v>0.06102525291</v>
      </c>
      <c r="T106" s="709"/>
      <c r="U106" s="383"/>
      <c r="V106" s="708">
        <v>991200.0</v>
      </c>
      <c r="W106" s="385">
        <f t="shared" si="196"/>
        <v>0.06140917325</v>
      </c>
      <c r="X106" s="388">
        <v>991200.0</v>
      </c>
      <c r="Y106" s="385">
        <f t="shared" si="197"/>
        <v>0.0625142852</v>
      </c>
      <c r="Z106" s="709"/>
      <c r="AA106" s="383"/>
      <c r="AB106" s="708">
        <v>991200.0</v>
      </c>
      <c r="AC106" s="385">
        <f t="shared" si="198"/>
        <v>0.05676429434</v>
      </c>
      <c r="AD106" s="388">
        <v>991200.0</v>
      </c>
      <c r="AE106" s="385">
        <f t="shared" si="199"/>
        <v>0.05604667104</v>
      </c>
      <c r="AF106" s="709"/>
      <c r="AG106" s="383"/>
      <c r="AH106" s="708">
        <v>991200.0</v>
      </c>
      <c r="AI106" s="385">
        <f t="shared" si="200"/>
        <v>0.06335897397</v>
      </c>
      <c r="AJ106" s="388">
        <v>991200.0</v>
      </c>
      <c r="AK106" s="385">
        <f t="shared" si="201"/>
        <v>0.05862991364</v>
      </c>
      <c r="AL106" s="709"/>
      <c r="AM106" s="383"/>
      <c r="AN106" s="787">
        <v>991200.0</v>
      </c>
      <c r="AO106" s="385">
        <f t="shared" si="202"/>
        <v>0.05980869815</v>
      </c>
      <c r="AP106" s="388">
        <v>991200.0</v>
      </c>
      <c r="AQ106" s="385">
        <f t="shared" si="203"/>
        <v>0.05671304984</v>
      </c>
      <c r="AR106" s="709"/>
      <c r="AS106" s="709"/>
      <c r="AT106" s="388">
        <v>991200.0</v>
      </c>
      <c r="AU106" s="385">
        <f t="shared" si="204"/>
        <v>0.05845336983</v>
      </c>
      <c r="AV106" s="388">
        <v>991200.0</v>
      </c>
      <c r="AW106" s="385">
        <f t="shared" si="205"/>
        <v>0.05802979747</v>
      </c>
      <c r="AX106" s="709"/>
      <c r="AY106" s="709"/>
      <c r="AZ106" s="388">
        <v>991200.0</v>
      </c>
      <c r="BA106" s="385">
        <f t="shared" si="206"/>
        <v>0.04814747729</v>
      </c>
      <c r="BB106" s="388">
        <v>991200.0</v>
      </c>
      <c r="BC106" s="385">
        <f t="shared" si="207"/>
        <v>0.05068398397</v>
      </c>
      <c r="BD106" s="709"/>
      <c r="BE106" s="709"/>
      <c r="BF106" s="388">
        <v>991200.0</v>
      </c>
      <c r="BG106" s="385">
        <f t="shared" si="208"/>
        <v>0.05288263457</v>
      </c>
      <c r="BH106" s="388">
        <v>991200.0</v>
      </c>
      <c r="BI106" s="385">
        <f t="shared" si="209"/>
        <v>0.05531959304</v>
      </c>
      <c r="BJ106" s="709"/>
      <c r="BK106" s="709"/>
      <c r="BL106" s="388">
        <v>991200.0</v>
      </c>
      <c r="BM106" s="385">
        <f t="shared" si="210"/>
        <v>0.06028883443</v>
      </c>
      <c r="BN106" s="388">
        <v>991200.0</v>
      </c>
      <c r="BO106" s="385">
        <f t="shared" si="211"/>
        <v>0.06610769353</v>
      </c>
      <c r="BP106" s="709"/>
      <c r="BQ106" s="709"/>
      <c r="BR106" s="802">
        <f>907200+113400</f>
        <v>1020600</v>
      </c>
      <c r="BS106" s="385">
        <f t="shared" si="212"/>
        <v>0.05413074172</v>
      </c>
      <c r="BT106" s="388">
        <v>991200.0</v>
      </c>
      <c r="BU106" s="385">
        <f t="shared" si="213"/>
        <v>0.05879044953</v>
      </c>
      <c r="BV106" s="709"/>
      <c r="BW106" s="213"/>
      <c r="BX106" s="237"/>
      <c r="BY106" s="213"/>
      <c r="BZ106" s="213"/>
      <c r="CA106" s="213"/>
      <c r="CB106" s="213"/>
      <c r="CC106" s="213"/>
      <c r="CD106" s="213"/>
      <c r="CE106" s="213"/>
      <c r="CF106" s="213"/>
      <c r="CG106" s="213"/>
      <c r="CH106" s="213"/>
      <c r="CI106" s="213"/>
      <c r="CJ106" s="213"/>
      <c r="CK106" s="213"/>
      <c r="CL106" s="213"/>
      <c r="CM106" s="213"/>
      <c r="CN106" s="213"/>
      <c r="CO106" s="213"/>
      <c r="CP106" s="213"/>
    </row>
    <row r="107" ht="15.75" customHeight="1">
      <c r="A107" s="213"/>
      <c r="B107" s="393"/>
      <c r="C107" s="350" t="s">
        <v>415</v>
      </c>
      <c r="D107" s="604">
        <f>118000+2950</f>
        <v>120950</v>
      </c>
      <c r="E107" s="355">
        <f t="shared" si="189"/>
        <v>0.007496796113</v>
      </c>
      <c r="F107" s="357">
        <f>118000+2950</f>
        <v>120950</v>
      </c>
      <c r="G107" s="355"/>
      <c r="H107" s="357"/>
      <c r="I107" s="395">
        <f t="shared" si="191"/>
        <v>0</v>
      </c>
      <c r="J107" s="604">
        <v>123900.0</v>
      </c>
      <c r="K107" s="355">
        <f t="shared" si="192"/>
        <v>0.007487970946</v>
      </c>
      <c r="L107" s="357">
        <f>118000+2950</f>
        <v>120950</v>
      </c>
      <c r="M107" s="355">
        <f t="shared" si="193"/>
        <v>0.007040628838</v>
      </c>
      <c r="N107" s="245"/>
      <c r="O107" s="350"/>
      <c r="P107" s="604">
        <f>118000+2950</f>
        <v>120950</v>
      </c>
      <c r="Q107" s="355">
        <f t="shared" si="194"/>
        <v>0.007923417403</v>
      </c>
      <c r="R107" s="357">
        <f>118000+2950</f>
        <v>120950</v>
      </c>
      <c r="S107" s="355"/>
      <c r="T107" s="245"/>
      <c r="U107" s="350"/>
      <c r="V107" s="604">
        <v>123900.0</v>
      </c>
      <c r="W107" s="355">
        <f t="shared" si="196"/>
        <v>0.007676146656</v>
      </c>
      <c r="X107" s="357">
        <v>123900.0</v>
      </c>
      <c r="Y107" s="355"/>
      <c r="Z107" s="245"/>
      <c r="AA107" s="350"/>
      <c r="AB107" s="604">
        <v>123900.0</v>
      </c>
      <c r="AC107" s="355">
        <f t="shared" si="198"/>
        <v>0.007095536793</v>
      </c>
      <c r="AD107" s="357">
        <v>123900.0</v>
      </c>
      <c r="AE107" s="355"/>
      <c r="AF107" s="245"/>
      <c r="AG107" s="350"/>
      <c r="AH107" s="604">
        <v>123900.0</v>
      </c>
      <c r="AI107" s="355">
        <f t="shared" si="200"/>
        <v>0.007919871747</v>
      </c>
      <c r="AJ107" s="357">
        <v>123900.0</v>
      </c>
      <c r="AK107" s="355"/>
      <c r="AL107" s="245"/>
      <c r="AM107" s="350"/>
      <c r="AN107" s="605">
        <v>123900.0</v>
      </c>
      <c r="AO107" s="355">
        <f t="shared" si="202"/>
        <v>0.007476087269</v>
      </c>
      <c r="AP107" s="357">
        <v>123900.0</v>
      </c>
      <c r="AQ107" s="355"/>
      <c r="AR107" s="245"/>
      <c r="AS107" s="245"/>
      <c r="AT107" s="357">
        <v>123900.0</v>
      </c>
      <c r="AU107" s="355">
        <f t="shared" si="204"/>
        <v>0.007306671229</v>
      </c>
      <c r="AV107" s="357">
        <v>123900.0</v>
      </c>
      <c r="AW107" s="355"/>
      <c r="AX107" s="245"/>
      <c r="AY107" s="245"/>
      <c r="AZ107" s="357">
        <v>123900.0</v>
      </c>
      <c r="BA107" s="355">
        <f t="shared" si="206"/>
        <v>0.006018434661</v>
      </c>
      <c r="BB107" s="357">
        <v>123900.0</v>
      </c>
      <c r="BC107" s="355"/>
      <c r="BD107" s="245"/>
      <c r="BE107" s="245"/>
      <c r="BF107" s="357">
        <v>123900.0</v>
      </c>
      <c r="BG107" s="355">
        <f t="shared" si="208"/>
        <v>0.006610329321</v>
      </c>
      <c r="BH107" s="357">
        <v>123900.0</v>
      </c>
      <c r="BI107" s="355"/>
      <c r="BJ107" s="245"/>
      <c r="BK107" s="245"/>
      <c r="BL107" s="357">
        <v>123900.0</v>
      </c>
      <c r="BM107" s="355">
        <f t="shared" si="210"/>
        <v>0.007536104303</v>
      </c>
      <c r="BN107" s="357">
        <v>123900.0</v>
      </c>
      <c r="BO107" s="355"/>
      <c r="BP107" s="245"/>
      <c r="BQ107" s="245"/>
      <c r="BR107" s="356">
        <v>123900.0</v>
      </c>
      <c r="BS107" s="355">
        <f t="shared" si="212"/>
        <v>0.006571427493</v>
      </c>
      <c r="BT107" s="357">
        <v>123900.0</v>
      </c>
      <c r="BU107" s="355"/>
      <c r="BV107" s="245"/>
      <c r="BW107" s="213"/>
      <c r="BX107" s="213"/>
      <c r="BY107" s="213"/>
      <c r="BZ107" s="213"/>
      <c r="CA107" s="213"/>
      <c r="CB107" s="213"/>
      <c r="CC107" s="213"/>
      <c r="CD107" s="213"/>
      <c r="CE107" s="213"/>
      <c r="CF107" s="213"/>
      <c r="CG107" s="213"/>
      <c r="CH107" s="213"/>
      <c r="CI107" s="213"/>
      <c r="CJ107" s="213"/>
      <c r="CK107" s="213"/>
      <c r="CL107" s="213"/>
      <c r="CM107" s="213"/>
      <c r="CN107" s="213"/>
      <c r="CO107" s="213"/>
      <c r="CP107" s="213"/>
    </row>
    <row r="108" ht="15.75" customHeight="1">
      <c r="A108" s="213"/>
      <c r="B108" s="393"/>
      <c r="C108" s="350" t="s">
        <v>416</v>
      </c>
      <c r="D108" s="604">
        <v>0.0</v>
      </c>
      <c r="E108" s="355">
        <f t="shared" si="189"/>
        <v>0</v>
      </c>
      <c r="F108" s="357">
        <f>40000*1.18</f>
        <v>47200</v>
      </c>
      <c r="G108" s="355"/>
      <c r="H108" s="357"/>
      <c r="I108" s="395">
        <f t="shared" si="191"/>
        <v>0</v>
      </c>
      <c r="J108" s="604">
        <v>0.0</v>
      </c>
      <c r="K108" s="355">
        <f t="shared" si="192"/>
        <v>0</v>
      </c>
      <c r="L108" s="357">
        <f>40000*1.18</f>
        <v>47200</v>
      </c>
      <c r="M108" s="355">
        <f t="shared" si="193"/>
        <v>0.002747562473</v>
      </c>
      <c r="N108" s="245"/>
      <c r="O108" s="350"/>
      <c r="P108" s="604">
        <v>3325.0</v>
      </c>
      <c r="Q108" s="355">
        <f t="shared" si="194"/>
        <v>0.00021782028</v>
      </c>
      <c r="R108" s="352"/>
      <c r="S108" s="355"/>
      <c r="T108" s="245"/>
      <c r="U108" s="350"/>
      <c r="V108" s="604">
        <v>1587.0</v>
      </c>
      <c r="W108" s="355"/>
      <c r="X108" s="357"/>
      <c r="Y108" s="355"/>
      <c r="Z108" s="245"/>
      <c r="AA108" s="350"/>
      <c r="AB108" s="604"/>
      <c r="AC108" s="355"/>
      <c r="AD108" s="245"/>
      <c r="AE108" s="355"/>
      <c r="AF108" s="245"/>
      <c r="AG108" s="350"/>
      <c r="AH108" s="604"/>
      <c r="AI108" s="355"/>
      <c r="AJ108" s="245"/>
      <c r="AK108" s="355"/>
      <c r="AL108" s="245"/>
      <c r="AM108" s="350"/>
      <c r="AN108" s="605">
        <v>26460.0</v>
      </c>
      <c r="AO108" s="355"/>
      <c r="AP108" s="357"/>
      <c r="AQ108" s="355"/>
      <c r="AR108" s="245"/>
      <c r="AS108" s="245"/>
      <c r="AT108" s="357"/>
      <c r="AU108" s="355"/>
      <c r="AV108" s="245"/>
      <c r="AW108" s="355"/>
      <c r="AX108" s="245"/>
      <c r="AY108" s="245"/>
      <c r="AZ108" s="357">
        <v>13300.0</v>
      </c>
      <c r="BA108" s="355"/>
      <c r="BB108" s="245"/>
      <c r="BC108" s="355"/>
      <c r="BD108" s="245"/>
      <c r="BE108" s="245"/>
      <c r="BF108" s="357"/>
      <c r="BG108" s="355"/>
      <c r="BH108" s="357"/>
      <c r="BI108" s="355"/>
      <c r="BJ108" s="245"/>
      <c r="BK108" s="245"/>
      <c r="BL108" s="357"/>
      <c r="BM108" s="355"/>
      <c r="BN108" s="357"/>
      <c r="BO108" s="355"/>
      <c r="BP108" s="245"/>
      <c r="BQ108" s="245"/>
      <c r="BR108" s="356">
        <v>27725.0</v>
      </c>
      <c r="BS108" s="355"/>
      <c r="BT108" s="357">
        <v>0.0</v>
      </c>
      <c r="BU108" s="355"/>
      <c r="BV108" s="245"/>
      <c r="BW108" s="213"/>
      <c r="BX108" s="213"/>
      <c r="BY108" s="213"/>
      <c r="BZ108" s="213"/>
      <c r="CA108" s="213"/>
      <c r="CB108" s="213"/>
      <c r="CC108" s="213"/>
      <c r="CD108" s="213"/>
      <c r="CE108" s="213"/>
      <c r="CF108" s="213"/>
      <c r="CG108" s="213"/>
      <c r="CH108" s="213"/>
      <c r="CI108" s="213"/>
      <c r="CJ108" s="213"/>
      <c r="CK108" s="213"/>
      <c r="CL108" s="213"/>
      <c r="CM108" s="213"/>
      <c r="CN108" s="213"/>
      <c r="CO108" s="213"/>
      <c r="CP108" s="213"/>
    </row>
    <row r="109" ht="15.75" customHeight="1">
      <c r="A109" s="216"/>
      <c r="B109" s="393"/>
      <c r="C109" s="350" t="s">
        <v>262</v>
      </c>
      <c r="D109" s="604">
        <v>360150.0</v>
      </c>
      <c r="E109" s="355">
        <f t="shared" si="189"/>
        <v>0.0223230353</v>
      </c>
      <c r="F109" s="357">
        <v>375110.0</v>
      </c>
      <c r="G109" s="355">
        <f t="shared" ref="G109:G110" si="214">F109/F$33</f>
        <v>0.02450528655</v>
      </c>
      <c r="H109" s="357">
        <f t="shared" ref="H109:H110" si="215">D109-F109</f>
        <v>-14960</v>
      </c>
      <c r="I109" s="395">
        <f t="shared" si="191"/>
        <v>-0.01810591308</v>
      </c>
      <c r="J109" s="604">
        <v>368090.0</v>
      </c>
      <c r="K109" s="355">
        <f t="shared" si="192"/>
        <v>0.02224574032</v>
      </c>
      <c r="L109" s="357">
        <v>431240.0</v>
      </c>
      <c r="M109" s="355">
        <f t="shared" si="193"/>
        <v>0.02510294155</v>
      </c>
      <c r="N109" s="245"/>
      <c r="O109" s="350"/>
      <c r="P109" s="604">
        <v>357700.0</v>
      </c>
      <c r="Q109" s="355">
        <f t="shared" si="194"/>
        <v>0.02343287644</v>
      </c>
      <c r="R109" s="352">
        <v>405320.0</v>
      </c>
      <c r="S109" s="355">
        <f t="shared" ref="S109:S110" si="216">R109/R$33</f>
        <v>0.02495435382</v>
      </c>
      <c r="T109" s="245"/>
      <c r="U109" s="350"/>
      <c r="V109" s="604">
        <v>343040.0</v>
      </c>
      <c r="W109" s="355">
        <f t="shared" ref="W109:W110" si="217">V109/V$33</f>
        <v>0.02125282767</v>
      </c>
      <c r="X109" s="357">
        <v>370420.0</v>
      </c>
      <c r="Y109" s="355">
        <f t="shared" ref="Y109:Y110" si="218">X109/X$33</f>
        <v>0.02336212825</v>
      </c>
      <c r="Z109" s="245"/>
      <c r="AA109" s="350"/>
      <c r="AB109" s="604">
        <v>343200.0</v>
      </c>
      <c r="AC109" s="355">
        <f t="shared" ref="AC109:AC110" si="219">AB109/AB$33</f>
        <v>0.01965446511</v>
      </c>
      <c r="AD109" s="245">
        <v>378660.0</v>
      </c>
      <c r="AE109" s="355">
        <f t="shared" ref="AE109:AE110" si="220">AD109/AD$33</f>
        <v>0.0214110497</v>
      </c>
      <c r="AF109" s="245"/>
      <c r="AG109" s="350"/>
      <c r="AH109" s="604">
        <v>355130.0</v>
      </c>
      <c r="AI109" s="355">
        <f t="shared" ref="AI109:AI110" si="221">AH109/AH$33</f>
        <v>0.02270043627</v>
      </c>
      <c r="AJ109" s="245">
        <v>357500.0</v>
      </c>
      <c r="AK109" s="355">
        <f t="shared" ref="AK109:AK110" si="222">AJ109/AJ$33</f>
        <v>0.0211462814</v>
      </c>
      <c r="AL109" s="245"/>
      <c r="AM109" s="350"/>
      <c r="AN109" s="605">
        <v>379020.0</v>
      </c>
      <c r="AO109" s="355">
        <f t="shared" ref="AO109:AO110" si="223">AN109/AN$33</f>
        <v>0.02286994832</v>
      </c>
      <c r="AP109" s="357">
        <v>383210.0</v>
      </c>
      <c r="AQ109" s="355">
        <f t="shared" ref="AQ109:AQ110" si="224">AP109/AP$33</f>
        <v>0.02192595625</v>
      </c>
      <c r="AR109" s="245"/>
      <c r="AS109" s="245"/>
      <c r="AT109" s="357">
        <v>342720.0</v>
      </c>
      <c r="AU109" s="355">
        <f t="shared" ref="AU109:AU110" si="225">AT109/AT$33</f>
        <v>0.02021099567</v>
      </c>
      <c r="AV109" s="245">
        <v>375200.0</v>
      </c>
      <c r="AW109" s="355">
        <f t="shared" ref="AW109:AW110" si="226">AV109/AV$33</f>
        <v>0.02196608153</v>
      </c>
      <c r="AX109" s="245"/>
      <c r="AY109" s="245"/>
      <c r="AZ109" s="357">
        <v>335800.0</v>
      </c>
      <c r="BA109" s="355">
        <f t="shared" ref="BA109:BA110" si="227">AZ109/AZ$33</f>
        <v>0.01631146375</v>
      </c>
      <c r="BB109" s="245">
        <v>376200.0</v>
      </c>
      <c r="BC109" s="355">
        <f t="shared" ref="BC109:BC110" si="228">BB109/BB$33</f>
        <v>0.01923659682</v>
      </c>
      <c r="BD109" s="245"/>
      <c r="BE109" s="245"/>
      <c r="BF109" s="357">
        <v>332420.0</v>
      </c>
      <c r="BG109" s="355">
        <f t="shared" ref="BG109:BG110" si="229">BF109/BF$33</f>
        <v>0.01773531617</v>
      </c>
      <c r="BH109" s="737">
        <v>350000.0</v>
      </c>
      <c r="BI109" s="355">
        <f t="shared" ref="BI109:BI110" si="230">BH109/BH$33</f>
        <v>0.0195337546</v>
      </c>
      <c r="BJ109" s="245"/>
      <c r="BK109" s="245"/>
      <c r="BL109" s="357">
        <v>346110.0</v>
      </c>
      <c r="BM109" s="355">
        <f t="shared" ref="BM109:BM110" si="231">BL109/BL$33</f>
        <v>0.02105182454</v>
      </c>
      <c r="BN109" s="357">
        <f>350000</f>
        <v>350000</v>
      </c>
      <c r="BO109" s="355">
        <f t="shared" ref="BO109:BO110" si="232">BN109/BN$33</f>
        <v>0.02334311212</v>
      </c>
      <c r="BP109" s="245"/>
      <c r="BQ109" s="245"/>
      <c r="BR109" s="356">
        <f>366570+10950</f>
        <v>377520</v>
      </c>
      <c r="BS109" s="355">
        <f t="shared" ref="BS109:BS110" si="233">BR109/BR$33</f>
        <v>0.02002296455</v>
      </c>
      <c r="BT109" s="357">
        <v>350000.0</v>
      </c>
      <c r="BU109" s="355">
        <f t="shared" ref="BU109:BU110" si="234">BT109/BT$33</f>
        <v>0.02075933952</v>
      </c>
      <c r="BV109" s="245"/>
      <c r="BW109" s="213"/>
      <c r="BX109" s="213"/>
      <c r="BY109" s="213"/>
      <c r="BZ109" s="213"/>
      <c r="CA109" s="213"/>
      <c r="CB109" s="213"/>
      <c r="CC109" s="213"/>
      <c r="CD109" s="213"/>
      <c r="CE109" s="213"/>
      <c r="CF109" s="213"/>
      <c r="CG109" s="213"/>
      <c r="CH109" s="213"/>
      <c r="CI109" s="213"/>
      <c r="CJ109" s="213"/>
      <c r="CK109" s="213"/>
      <c r="CL109" s="213"/>
      <c r="CM109" s="213"/>
      <c r="CN109" s="213"/>
      <c r="CO109" s="213"/>
      <c r="CP109" s="213"/>
    </row>
    <row r="110" ht="15.75" customHeight="1">
      <c r="A110" s="213"/>
      <c r="B110" s="393"/>
      <c r="C110" s="350" t="s">
        <v>263</v>
      </c>
      <c r="D110" s="604">
        <f>16231+105200</f>
        <v>121431</v>
      </c>
      <c r="E110" s="355">
        <f t="shared" si="189"/>
        <v>0.007526609746</v>
      </c>
      <c r="F110" s="357">
        <v>125000.0</v>
      </c>
      <c r="G110" s="355">
        <f t="shared" si="214"/>
        <v>0.008166033481</v>
      </c>
      <c r="H110" s="357">
        <f t="shared" si="215"/>
        <v>-3569</v>
      </c>
      <c r="I110" s="395">
        <f>IFERROR(H110/F110,"")</f>
        <v>-0.028552</v>
      </c>
      <c r="J110" s="604">
        <f>16231+128600</f>
        <v>144831</v>
      </c>
      <c r="K110" s="355">
        <f t="shared" si="192"/>
        <v>0.008752948508</v>
      </c>
      <c r="L110" s="357">
        <v>125000.0</v>
      </c>
      <c r="M110" s="355">
        <f t="shared" si="193"/>
        <v>0.007276383669</v>
      </c>
      <c r="N110" s="245"/>
      <c r="O110" s="350"/>
      <c r="P110" s="604">
        <v>16231.0</v>
      </c>
      <c r="Q110" s="355">
        <f t="shared" si="194"/>
        <v>0.001063290516</v>
      </c>
      <c r="R110" s="352">
        <v>125000.0</v>
      </c>
      <c r="S110" s="355">
        <f t="shared" si="216"/>
        <v>0.007695880362</v>
      </c>
      <c r="T110" s="245"/>
      <c r="U110" s="350"/>
      <c r="V110" s="604">
        <v>16231.0</v>
      </c>
      <c r="W110" s="355">
        <f t="shared" si="217"/>
        <v>0.001005581407</v>
      </c>
      <c r="X110" s="352">
        <v>125000.0</v>
      </c>
      <c r="Y110" s="355">
        <f t="shared" si="218"/>
        <v>0.007883661874</v>
      </c>
      <c r="Z110" s="245"/>
      <c r="AA110" s="350"/>
      <c r="AB110" s="604">
        <v>114000.0</v>
      </c>
      <c r="AC110" s="355">
        <f t="shared" si="219"/>
        <v>0.006528581068</v>
      </c>
      <c r="AD110" s="352">
        <v>125000.0</v>
      </c>
      <c r="AE110" s="355">
        <f t="shared" si="220"/>
        <v>0.007068032567</v>
      </c>
      <c r="AF110" s="245"/>
      <c r="AG110" s="350"/>
      <c r="AH110" s="604">
        <v>102600.0</v>
      </c>
      <c r="AI110" s="355">
        <f t="shared" si="221"/>
        <v>0.006558344158</v>
      </c>
      <c r="AJ110" s="352">
        <v>125000.0</v>
      </c>
      <c r="AK110" s="355">
        <f t="shared" si="222"/>
        <v>0.007393804686</v>
      </c>
      <c r="AL110" s="245"/>
      <c r="AM110" s="350"/>
      <c r="AN110" s="605"/>
      <c r="AO110" s="355">
        <f t="shared" si="223"/>
        <v>0</v>
      </c>
      <c r="AP110" s="357">
        <v>9600.0</v>
      </c>
      <c r="AQ110" s="355">
        <f t="shared" si="224"/>
        <v>0.0005492789331</v>
      </c>
      <c r="AR110" s="245"/>
      <c r="AS110" s="245"/>
      <c r="AT110" s="357">
        <v>115900.0</v>
      </c>
      <c r="AU110" s="355">
        <f t="shared" si="225"/>
        <v>0.006834892619</v>
      </c>
      <c r="AV110" s="352">
        <v>9600.0</v>
      </c>
      <c r="AW110" s="355">
        <f t="shared" si="226"/>
        <v>0.0005620319367</v>
      </c>
      <c r="AX110" s="245"/>
      <c r="AY110" s="245"/>
      <c r="AZ110" s="357">
        <v>108300.0</v>
      </c>
      <c r="BA110" s="355">
        <f t="shared" si="227"/>
        <v>0.005260665648</v>
      </c>
      <c r="BB110" s="352">
        <v>9600.0</v>
      </c>
      <c r="BC110" s="355">
        <f t="shared" si="228"/>
        <v>0.0004908860433</v>
      </c>
      <c r="BD110" s="245"/>
      <c r="BE110" s="245"/>
      <c r="BF110" s="357"/>
      <c r="BG110" s="355">
        <f t="shared" si="229"/>
        <v>0</v>
      </c>
      <c r="BH110" s="357">
        <v>9600.0</v>
      </c>
      <c r="BI110" s="355">
        <f t="shared" si="230"/>
        <v>0.0005357829834</v>
      </c>
      <c r="BJ110" s="245"/>
      <c r="BK110" s="245"/>
      <c r="BL110" s="357">
        <v>91200.0</v>
      </c>
      <c r="BM110" s="355">
        <f t="shared" si="231"/>
        <v>0.005547156678</v>
      </c>
      <c r="BN110" s="357">
        <v>9600.0</v>
      </c>
      <c r="BO110" s="355">
        <f t="shared" si="232"/>
        <v>0.0006402682182</v>
      </c>
      <c r="BP110" s="245"/>
      <c r="BQ110" s="245"/>
      <c r="BR110" s="797">
        <v>100700.0</v>
      </c>
      <c r="BS110" s="355">
        <f t="shared" si="233"/>
        <v>0.00534094228</v>
      </c>
      <c r="BT110" s="357">
        <v>9600.0</v>
      </c>
      <c r="BU110" s="355">
        <f t="shared" si="234"/>
        <v>0.0005693990269</v>
      </c>
      <c r="BV110" s="245"/>
      <c r="BW110" s="213"/>
      <c r="BX110" s="213"/>
      <c r="BY110" s="213"/>
      <c r="BZ110" s="213"/>
      <c r="CA110" s="213"/>
      <c r="CB110" s="213"/>
      <c r="CC110" s="213"/>
      <c r="CD110" s="213"/>
      <c r="CE110" s="213"/>
      <c r="CF110" s="213"/>
      <c r="CG110" s="213"/>
      <c r="CH110" s="213"/>
      <c r="CI110" s="213"/>
      <c r="CJ110" s="213"/>
      <c r="CK110" s="213"/>
      <c r="CL110" s="213"/>
      <c r="CM110" s="213"/>
      <c r="CN110" s="213"/>
      <c r="CO110" s="213"/>
      <c r="CP110" s="213"/>
    </row>
    <row r="111" ht="15.75" customHeight="1">
      <c r="A111" s="213"/>
      <c r="B111" s="393"/>
      <c r="C111" s="350" t="s">
        <v>417</v>
      </c>
      <c r="D111" s="604"/>
      <c r="E111" s="355"/>
      <c r="F111" s="357"/>
      <c r="G111" s="355"/>
      <c r="H111" s="357"/>
      <c r="I111" s="395"/>
      <c r="J111" s="604"/>
      <c r="K111" s="355"/>
      <c r="L111" s="357"/>
      <c r="M111" s="355"/>
      <c r="N111" s="245"/>
      <c r="O111" s="350"/>
      <c r="P111" s="604"/>
      <c r="Q111" s="355"/>
      <c r="R111" s="352"/>
      <c r="S111" s="355"/>
      <c r="T111" s="245"/>
      <c r="U111" s="350"/>
      <c r="V111" s="604"/>
      <c r="W111" s="355"/>
      <c r="X111" s="357"/>
      <c r="Y111" s="355"/>
      <c r="Z111" s="245"/>
      <c r="AA111" s="350"/>
      <c r="AB111" s="604"/>
      <c r="AC111" s="355"/>
      <c r="AD111" s="245"/>
      <c r="AE111" s="355"/>
      <c r="AF111" s="245"/>
      <c r="AG111" s="350"/>
      <c r="AH111" s="604"/>
      <c r="AI111" s="355"/>
      <c r="AJ111" s="245"/>
      <c r="AK111" s="355"/>
      <c r="AL111" s="245"/>
      <c r="AM111" s="350"/>
      <c r="AN111" s="605"/>
      <c r="AO111" s="355"/>
      <c r="AP111" s="357"/>
      <c r="AQ111" s="355"/>
      <c r="AR111" s="245"/>
      <c r="AS111" s="245"/>
      <c r="AT111" s="357"/>
      <c r="AU111" s="355"/>
      <c r="AV111" s="245"/>
      <c r="AW111" s="355"/>
      <c r="AX111" s="245"/>
      <c r="AY111" s="245"/>
      <c r="AZ111" s="357"/>
      <c r="BA111" s="355"/>
      <c r="BB111" s="245"/>
      <c r="BC111" s="355"/>
      <c r="BD111" s="245"/>
      <c r="BE111" s="245"/>
      <c r="BF111" s="357">
        <v>295.0</v>
      </c>
      <c r="BG111" s="355"/>
      <c r="BH111" s="357"/>
      <c r="BI111" s="355"/>
      <c r="BJ111" s="245"/>
      <c r="BK111" s="245"/>
      <c r="BL111" s="357">
        <v>224895.0</v>
      </c>
      <c r="BM111" s="355"/>
      <c r="BN111" s="357"/>
      <c r="BO111" s="355"/>
      <c r="BP111" s="245"/>
      <c r="BQ111" s="245"/>
      <c r="BR111" s="356"/>
      <c r="BS111" s="355"/>
      <c r="BT111" s="357"/>
      <c r="BU111" s="355"/>
      <c r="BV111" s="245"/>
      <c r="BW111" s="213"/>
      <c r="BX111" s="213"/>
      <c r="BY111" s="213"/>
      <c r="BZ111" s="213"/>
      <c r="CA111" s="213"/>
      <c r="CB111" s="213"/>
      <c r="CC111" s="213"/>
      <c r="CD111" s="213"/>
      <c r="CE111" s="213"/>
      <c r="CF111" s="213"/>
      <c r="CG111" s="213"/>
      <c r="CH111" s="213"/>
      <c r="CI111" s="213"/>
      <c r="CJ111" s="213"/>
      <c r="CK111" s="213"/>
      <c r="CL111" s="213"/>
      <c r="CM111" s="213"/>
      <c r="CN111" s="213"/>
      <c r="CO111" s="213"/>
      <c r="CP111" s="213"/>
    </row>
    <row r="112" ht="15.75" customHeight="1">
      <c r="A112" s="213"/>
      <c r="B112" s="393"/>
      <c r="C112" s="350" t="s">
        <v>264</v>
      </c>
      <c r="D112" s="604">
        <f>3540/3</f>
        <v>1180</v>
      </c>
      <c r="E112" s="355">
        <f>D112/D$33</f>
        <v>0.00007313947427</v>
      </c>
      <c r="F112" s="357">
        <v>1000.0</v>
      </c>
      <c r="G112" s="355">
        <f>F112/F$33</f>
        <v>0.00006532826785</v>
      </c>
      <c r="H112" s="357">
        <f>D112-F112</f>
        <v>180</v>
      </c>
      <c r="I112" s="395">
        <f>IFERROR(H112/F112,"")</f>
        <v>0.18</v>
      </c>
      <c r="J112" s="604">
        <f>3540/3</f>
        <v>1180</v>
      </c>
      <c r="K112" s="355">
        <f>J112/J$33</f>
        <v>0.00007131400901</v>
      </c>
      <c r="L112" s="357">
        <v>1000.0</v>
      </c>
      <c r="M112" s="355">
        <f>L112/L$33</f>
        <v>0.00005821106935</v>
      </c>
      <c r="N112" s="245"/>
      <c r="O112" s="350"/>
      <c r="P112" s="604">
        <f>3540/3</f>
        <v>1180</v>
      </c>
      <c r="Q112" s="355">
        <f>P112/P$33</f>
        <v>0.0000773016332</v>
      </c>
      <c r="R112" s="352"/>
      <c r="S112" s="355">
        <f>R112/R$33</f>
        <v>0</v>
      </c>
      <c r="T112" s="245"/>
      <c r="U112" s="350"/>
      <c r="V112" s="604"/>
      <c r="W112" s="355">
        <f>V112/V$33</f>
        <v>0</v>
      </c>
      <c r="X112" s="357"/>
      <c r="Y112" s="355">
        <f>X112/X$33</f>
        <v>0</v>
      </c>
      <c r="Z112" s="245"/>
      <c r="AA112" s="350"/>
      <c r="AB112" s="604"/>
      <c r="AC112" s="355">
        <f>AB112/AB$33</f>
        <v>0</v>
      </c>
      <c r="AD112" s="245"/>
      <c r="AE112" s="355">
        <f>AD112/AD$33</f>
        <v>0</v>
      </c>
      <c r="AF112" s="245"/>
      <c r="AG112" s="350"/>
      <c r="AH112" s="604"/>
      <c r="AI112" s="355">
        <f>AH112/AH$33</f>
        <v>0</v>
      </c>
      <c r="AJ112" s="245"/>
      <c r="AK112" s="355">
        <f>AJ112/AJ$33</f>
        <v>0</v>
      </c>
      <c r="AL112" s="245"/>
      <c r="AM112" s="350"/>
      <c r="AN112" s="605">
        <f>3540/3</f>
        <v>1180</v>
      </c>
      <c r="AO112" s="355">
        <f>AN112/AN$33</f>
        <v>0.00007120083113</v>
      </c>
      <c r="AP112" s="357"/>
      <c r="AQ112" s="355">
        <f>AP112/AP$33</f>
        <v>0</v>
      </c>
      <c r="AR112" s="245"/>
      <c r="AS112" s="245"/>
      <c r="AT112" s="357">
        <f>3540/3+120</f>
        <v>1300</v>
      </c>
      <c r="AU112" s="355">
        <f>AT112/AT$33</f>
        <v>0.0000766640242</v>
      </c>
      <c r="AV112" s="245"/>
      <c r="AW112" s="355">
        <f>AV112/AV$33</f>
        <v>0</v>
      </c>
      <c r="AX112" s="245"/>
      <c r="AY112" s="245"/>
      <c r="AZ112" s="357">
        <f>3540/3+120</f>
        <v>1300</v>
      </c>
      <c r="BA112" s="355">
        <f>AZ112/AZ$33</f>
        <v>0.00006314741775</v>
      </c>
      <c r="BB112" s="245"/>
      <c r="BC112" s="355">
        <f>BB112/BB$33</f>
        <v>0</v>
      </c>
      <c r="BD112" s="245"/>
      <c r="BE112" s="245"/>
      <c r="BF112" s="357">
        <f>6018/3</f>
        <v>2006</v>
      </c>
      <c r="BG112" s="355">
        <f>BF112/BF$33</f>
        <v>0.0001070243795</v>
      </c>
      <c r="BH112" s="357">
        <v>1000.0</v>
      </c>
      <c r="BI112" s="355">
        <f>BH112/BH$33</f>
        <v>0.00005581072744</v>
      </c>
      <c r="BJ112" s="245"/>
      <c r="BK112" s="245"/>
      <c r="BL112" s="357">
        <f>6018/3</f>
        <v>2006</v>
      </c>
      <c r="BM112" s="355">
        <f>BL112/BL$33</f>
        <v>0.0001220131173</v>
      </c>
      <c r="BN112" s="357">
        <v>1000.0</v>
      </c>
      <c r="BO112" s="355">
        <f>BN112/BN$33</f>
        <v>0.00006669460606</v>
      </c>
      <c r="BP112" s="245"/>
      <c r="BQ112" s="245"/>
      <c r="BR112" s="353">
        <f>6018/3+120</f>
        <v>2126</v>
      </c>
      <c r="BS112" s="355">
        <f>BR112/BR$33</f>
        <v>0.0001127591191</v>
      </c>
      <c r="BT112" s="357">
        <v>1000.0</v>
      </c>
      <c r="BU112" s="355">
        <f>BT112/BT$33</f>
        <v>0.00005931239863</v>
      </c>
      <c r="BV112" s="245"/>
      <c r="BW112" s="213"/>
      <c r="BX112" s="213"/>
      <c r="BY112" s="213"/>
      <c r="BZ112" s="213"/>
      <c r="CA112" s="213"/>
      <c r="CB112" s="213"/>
      <c r="CC112" s="213"/>
      <c r="CD112" s="213"/>
      <c r="CE112" s="213"/>
      <c r="CF112" s="213"/>
      <c r="CG112" s="213"/>
      <c r="CH112" s="213"/>
      <c r="CI112" s="213"/>
      <c r="CJ112" s="213"/>
      <c r="CK112" s="213"/>
      <c r="CL112" s="213"/>
      <c r="CM112" s="213"/>
      <c r="CN112" s="213"/>
      <c r="CO112" s="213"/>
      <c r="CP112" s="213"/>
    </row>
    <row r="113" ht="15.75" customHeight="1">
      <c r="A113" s="213"/>
      <c r="B113" s="403"/>
      <c r="C113" s="448"/>
      <c r="D113" s="619"/>
      <c r="E113" s="404"/>
      <c r="F113" s="364"/>
      <c r="G113" s="404"/>
      <c r="H113" s="688"/>
      <c r="I113" s="362"/>
      <c r="J113" s="619"/>
      <c r="K113" s="688"/>
      <c r="L113" s="688"/>
      <c r="M113" s="688"/>
      <c r="N113" s="688"/>
      <c r="O113" s="362"/>
      <c r="P113" s="619"/>
      <c r="Q113" s="688"/>
      <c r="R113" s="364"/>
      <c r="S113" s="688"/>
      <c r="T113" s="688"/>
      <c r="U113" s="362"/>
      <c r="V113" s="619"/>
      <c r="W113" s="364"/>
      <c r="X113" s="803"/>
      <c r="Y113" s="688"/>
      <c r="Z113" s="688"/>
      <c r="AA113" s="362"/>
      <c r="AB113" s="619"/>
      <c r="AC113" s="688"/>
      <c r="AD113" s="688"/>
      <c r="AE113" s="688"/>
      <c r="AF113" s="688"/>
      <c r="AG113" s="362"/>
      <c r="AH113" s="619"/>
      <c r="AI113" s="688"/>
      <c r="AJ113" s="688"/>
      <c r="AK113" s="688"/>
      <c r="AL113" s="688"/>
      <c r="AM113" s="362"/>
      <c r="AN113" s="793"/>
      <c r="AO113" s="688"/>
      <c r="AP113" s="688"/>
      <c r="AQ113" s="688"/>
      <c r="AR113" s="688"/>
      <c r="AS113" s="688"/>
      <c r="AT113" s="367"/>
      <c r="AU113" s="688"/>
      <c r="AV113" s="688"/>
      <c r="AW113" s="688"/>
      <c r="AX113" s="688"/>
      <c r="AY113" s="688"/>
      <c r="AZ113" s="367"/>
      <c r="BA113" s="688"/>
      <c r="BB113" s="688"/>
      <c r="BC113" s="688"/>
      <c r="BD113" s="688"/>
      <c r="BE113" s="688"/>
      <c r="BF113" s="367"/>
      <c r="BG113" s="688"/>
      <c r="BH113" s="688"/>
      <c r="BI113" s="688"/>
      <c r="BJ113" s="688"/>
      <c r="BK113" s="688"/>
      <c r="BL113" s="367"/>
      <c r="BM113" s="688"/>
      <c r="BN113" s="688"/>
      <c r="BO113" s="688"/>
      <c r="BP113" s="688"/>
      <c r="BQ113" s="688"/>
      <c r="BR113" s="804"/>
      <c r="BS113" s="688"/>
      <c r="BT113" s="688"/>
      <c r="BU113" s="688"/>
      <c r="BV113" s="688"/>
      <c r="BW113" s="213"/>
      <c r="BX113" s="213"/>
      <c r="BY113" s="213"/>
      <c r="BZ113" s="213"/>
      <c r="CA113" s="213"/>
      <c r="CB113" s="213"/>
      <c r="CC113" s="213"/>
      <c r="CD113" s="213"/>
      <c r="CE113" s="213"/>
      <c r="CF113" s="213"/>
      <c r="CG113" s="213"/>
      <c r="CH113" s="213"/>
      <c r="CI113" s="213"/>
      <c r="CJ113" s="213"/>
      <c r="CK113" s="213"/>
      <c r="CL113" s="213"/>
      <c r="CM113" s="213"/>
      <c r="CN113" s="213"/>
      <c r="CO113" s="213"/>
      <c r="CP113" s="213"/>
    </row>
    <row r="114" ht="15.75" customHeight="1">
      <c r="A114" s="213"/>
      <c r="B114" s="407"/>
      <c r="C114" s="447" t="s">
        <v>38</v>
      </c>
      <c r="D114" s="600">
        <f>SUM(D115:D123)</f>
        <v>3809069.75</v>
      </c>
      <c r="E114" s="374">
        <f t="shared" ref="E114:E121" si="235">D114/D$33</f>
        <v>0.2360960669</v>
      </c>
      <c r="F114" s="377">
        <f>SUM(F115:F123)</f>
        <v>3806083.75</v>
      </c>
      <c r="G114" s="374">
        <f>F114/F$33</f>
        <v>0.2486448587</v>
      </c>
      <c r="H114" s="800">
        <f>SUM(H115:H122)</f>
        <v>2986</v>
      </c>
      <c r="I114" s="372"/>
      <c r="J114" s="600">
        <f>SUM(J115:J123)</f>
        <v>3803269.75</v>
      </c>
      <c r="K114" s="374">
        <f t="shared" ref="K114:K121" si="236">J114/J$33</f>
        <v>0.2298528926</v>
      </c>
      <c r="L114" s="377">
        <f>SUM(L115:L123)</f>
        <v>3806083.75</v>
      </c>
      <c r="M114" s="374">
        <f t="shared" ref="M114:M123" si="237">L114/L$33</f>
        <v>0.2215562051</v>
      </c>
      <c r="N114" s="437">
        <f>SUM(N115:N122)</f>
        <v>0</v>
      </c>
      <c r="O114" s="372"/>
      <c r="P114" s="600">
        <f>SUM(P115:P123)</f>
        <v>3805426.11</v>
      </c>
      <c r="Q114" s="374">
        <f t="shared" ref="Q114:Q123" si="238">P114/P$33</f>
        <v>0.2492929265</v>
      </c>
      <c r="R114" s="377">
        <f>SUM(R115:R123)</f>
        <v>3806083.75</v>
      </c>
      <c r="S114" s="437"/>
      <c r="T114" s="437">
        <f>SUM(T115:T122)</f>
        <v>0</v>
      </c>
      <c r="U114" s="372"/>
      <c r="V114" s="600">
        <f>SUM(V115:V123)</f>
        <v>3761246.67</v>
      </c>
      <c r="W114" s="374">
        <f t="shared" ref="W114:W123" si="239">V114/V$33</f>
        <v>0.2330256743</v>
      </c>
      <c r="X114" s="377">
        <f>SUM(X115:X123)</f>
        <v>3806083.75</v>
      </c>
      <c r="Y114" s="374">
        <f t="shared" ref="Y114:Y123" si="240">X114/X$33</f>
        <v>0.2400470188</v>
      </c>
      <c r="Z114" s="437">
        <f>SUM(Z115:Z122)</f>
        <v>0</v>
      </c>
      <c r="AA114" s="372"/>
      <c r="AB114" s="600">
        <f>SUM(AB115:AB123)</f>
        <v>3823289.02</v>
      </c>
      <c r="AC114" s="374">
        <f t="shared" ref="AC114:AC123" si="241">AB114/AB$33</f>
        <v>0.2189530905</v>
      </c>
      <c r="AD114" s="377">
        <f>SUM(AD115:AD123)</f>
        <v>3806083.75</v>
      </c>
      <c r="AE114" s="374">
        <f t="shared" ref="AE114:AE123" si="242">AD114/AD$33</f>
        <v>0.2152121912</v>
      </c>
      <c r="AF114" s="437">
        <f>SUM(AF115:AF122)</f>
        <v>0</v>
      </c>
      <c r="AG114" s="372"/>
      <c r="AH114" s="600">
        <f>SUM(AH115:AH123)</f>
        <v>3711246.65</v>
      </c>
      <c r="AI114" s="374">
        <f t="shared" ref="AI114:AI123" si="243">AH114/AH$33</f>
        <v>0.2372283897</v>
      </c>
      <c r="AJ114" s="377">
        <f>SUM(AJ115:AJ123)</f>
        <v>3806083.75</v>
      </c>
      <c r="AK114" s="374">
        <f t="shared" ref="AK114:AK123" si="244">AJ114/AJ$33</f>
        <v>0.2251315189</v>
      </c>
      <c r="AL114" s="437">
        <f>SUM(AL115:AL122)</f>
        <v>0</v>
      </c>
      <c r="AM114" s="372"/>
      <c r="AN114" s="601">
        <f>SUM(AN115:AN123)</f>
        <v>3692617.43</v>
      </c>
      <c r="AO114" s="374">
        <f t="shared" ref="AO114:AO123" si="245">AN114/AN$33</f>
        <v>0.2228113814</v>
      </c>
      <c r="AP114" s="377">
        <f>SUM(AP115:AP123)</f>
        <v>3806083.75</v>
      </c>
      <c r="AQ114" s="374">
        <f t="shared" ref="AQ114:AQ123" si="246">AP114/AP$33</f>
        <v>0.2177710022</v>
      </c>
      <c r="AR114" s="437">
        <f>SUM(AR115:AR122)</f>
        <v>0</v>
      </c>
      <c r="AS114" s="437"/>
      <c r="AT114" s="377">
        <f>SUM(AT115:AT123)</f>
        <v>3701541.09</v>
      </c>
      <c r="AU114" s="374">
        <f t="shared" ref="AU114:AU123" si="247">AT114/AT$33</f>
        <v>0.218288489</v>
      </c>
      <c r="AV114" s="377">
        <f>SUM(AV115:AV123)</f>
        <v>3806083.75</v>
      </c>
      <c r="AW114" s="374">
        <f t="shared" ref="AW114:AW123" si="248">AV114/AV$33</f>
        <v>0.2228271481</v>
      </c>
      <c r="AX114" s="437">
        <f>SUM(AX115:AX122)</f>
        <v>0</v>
      </c>
      <c r="AY114" s="437"/>
      <c r="AZ114" s="377">
        <f>SUM(AZ115:AZ123)</f>
        <v>3828276</v>
      </c>
      <c r="BA114" s="374">
        <f t="shared" ref="BA114:BA123" si="249">AZ114/AZ$33</f>
        <v>0.1859582645</v>
      </c>
      <c r="BB114" s="377">
        <f>SUM(BB115:BB122)</f>
        <v>3629647</v>
      </c>
      <c r="BC114" s="374">
        <f t="shared" ref="BC114:BC123" si="250">BB114/BB$33</f>
        <v>0.1855982348</v>
      </c>
      <c r="BD114" s="437">
        <f>SUM(BD115:BD122)</f>
        <v>0</v>
      </c>
      <c r="BE114" s="437"/>
      <c r="BF114" s="800">
        <f>SUM(BF115:BF123)</f>
        <v>3676580.22</v>
      </c>
      <c r="BG114" s="374">
        <f t="shared" ref="BG114:BG123" si="251">BF114/BF$33</f>
        <v>0.1961533981</v>
      </c>
      <c r="BH114" s="800">
        <f>SUM(BH115:BH123)</f>
        <v>3806083.75</v>
      </c>
      <c r="BI114" s="374">
        <f t="shared" ref="BI114:BI123" si="252">BH114/BH$33</f>
        <v>0.2124203028</v>
      </c>
      <c r="BJ114" s="437">
        <f>SUM(BJ115:BJ122)</f>
        <v>0</v>
      </c>
      <c r="BK114" s="437"/>
      <c r="BL114" s="800">
        <f>SUM(BL115:BL123)</f>
        <v>3528122.69</v>
      </c>
      <c r="BM114" s="374">
        <f t="shared" ref="BM114:BM123" si="253">BL114/BL$33</f>
        <v>0.2145948393</v>
      </c>
      <c r="BN114" s="800">
        <f>SUM(BN115:BN123)</f>
        <v>3806083.75</v>
      </c>
      <c r="BO114" s="374">
        <f t="shared" ref="BO114:BO123" si="254">BN114/BN$33</f>
        <v>0.2538452563</v>
      </c>
      <c r="BP114" s="437">
        <f>SUM(BP115:BP122)</f>
        <v>0</v>
      </c>
      <c r="BQ114" s="437"/>
      <c r="BR114" s="692">
        <f>SUM(BR115:BR123)</f>
        <v>3921354.32</v>
      </c>
      <c r="BS114" s="374">
        <f t="shared" ref="BS114:BS123" si="255">BR114/BR$33</f>
        <v>0.207981401</v>
      </c>
      <c r="BT114" s="800">
        <f>SUM(BT115:BT123)</f>
        <v>3806083.75</v>
      </c>
      <c r="BU114" s="374">
        <f t="shared" ref="BU114:BU123" si="256">BT114/BT$33</f>
        <v>0.2257479566</v>
      </c>
      <c r="BV114" s="437">
        <f>SUM(BV115:BV122)</f>
        <v>0</v>
      </c>
      <c r="BW114" s="216"/>
      <c r="BX114" s="216"/>
      <c r="BY114" s="216"/>
      <c r="BZ114" s="216"/>
      <c r="CA114" s="216"/>
      <c r="CB114" s="216"/>
      <c r="CC114" s="216"/>
      <c r="CD114" s="216"/>
      <c r="CE114" s="216"/>
      <c r="CF114" s="216"/>
      <c r="CG114" s="216"/>
      <c r="CH114" s="216"/>
      <c r="CI114" s="216"/>
      <c r="CJ114" s="216"/>
      <c r="CK114" s="216"/>
      <c r="CL114" s="216"/>
      <c r="CM114" s="216"/>
      <c r="CN114" s="216"/>
      <c r="CO114" s="216"/>
      <c r="CP114" s="216"/>
    </row>
    <row r="115" ht="15.75" customHeight="1">
      <c r="A115" s="213"/>
      <c r="B115" s="444"/>
      <c r="C115" s="383" t="s">
        <v>318</v>
      </c>
      <c r="D115" s="708"/>
      <c r="E115" s="385">
        <f t="shared" si="235"/>
        <v>0</v>
      </c>
      <c r="F115" s="388"/>
      <c r="G115" s="385"/>
      <c r="H115" s="388">
        <f t="shared" ref="H115:H121" si="257">D115-F115</f>
        <v>0</v>
      </c>
      <c r="I115" s="807" t="str">
        <f t="shared" ref="I115:I121" si="258">IFERROR(H115/F115,"")</f>
        <v/>
      </c>
      <c r="J115" s="708"/>
      <c r="K115" s="385">
        <f t="shared" si="236"/>
        <v>0</v>
      </c>
      <c r="L115" s="388" t="str">
        <f t="shared" ref="L115:L117" si="259">$F115</f>
        <v/>
      </c>
      <c r="M115" s="385">
        <f t="shared" si="237"/>
        <v>0</v>
      </c>
      <c r="N115" s="709"/>
      <c r="O115" s="383"/>
      <c r="P115" s="708"/>
      <c r="Q115" s="385">
        <f t="shared" si="238"/>
        <v>0</v>
      </c>
      <c r="R115" s="388" t="str">
        <f t="shared" ref="R115:R117" si="260">$F115</f>
        <v/>
      </c>
      <c r="S115" s="385">
        <f t="shared" ref="S115:S123" si="261">R115/R$33</f>
        <v>0</v>
      </c>
      <c r="T115" s="709"/>
      <c r="U115" s="383"/>
      <c r="V115" s="708"/>
      <c r="W115" s="385">
        <f t="shared" si="239"/>
        <v>0</v>
      </c>
      <c r="X115" s="388" t="str">
        <f t="shared" ref="X115:X117" si="262">$F115</f>
        <v/>
      </c>
      <c r="Y115" s="385">
        <f t="shared" si="240"/>
        <v>0</v>
      </c>
      <c r="Z115" s="709"/>
      <c r="AA115" s="383"/>
      <c r="AB115" s="708"/>
      <c r="AC115" s="385">
        <f t="shared" si="241"/>
        <v>0</v>
      </c>
      <c r="AD115" s="388" t="str">
        <f t="shared" ref="AD115:AD122" si="263">$F115</f>
        <v/>
      </c>
      <c r="AE115" s="385">
        <f t="shared" si="242"/>
        <v>0</v>
      </c>
      <c r="AF115" s="709"/>
      <c r="AG115" s="383"/>
      <c r="AH115" s="708"/>
      <c r="AI115" s="385">
        <f t="shared" si="243"/>
        <v>0</v>
      </c>
      <c r="AJ115" s="388" t="str">
        <f t="shared" ref="AJ115:AJ122" si="264">$F115</f>
        <v/>
      </c>
      <c r="AK115" s="385">
        <f t="shared" si="244"/>
        <v>0</v>
      </c>
      <c r="AL115" s="709"/>
      <c r="AM115" s="383"/>
      <c r="AN115" s="787"/>
      <c r="AO115" s="385">
        <f t="shared" si="245"/>
        <v>0</v>
      </c>
      <c r="AP115" s="388" t="str">
        <f t="shared" ref="AP115:AP122" si="265">$F115</f>
        <v/>
      </c>
      <c r="AQ115" s="385">
        <f t="shared" si="246"/>
        <v>0</v>
      </c>
      <c r="AR115" s="709"/>
      <c r="AS115" s="709"/>
      <c r="AT115" s="388"/>
      <c r="AU115" s="385">
        <f t="shared" si="247"/>
        <v>0</v>
      </c>
      <c r="AV115" s="388" t="str">
        <f t="shared" ref="AV115:AV122" si="266">$F115</f>
        <v/>
      </c>
      <c r="AW115" s="385">
        <f t="shared" si="248"/>
        <v>0</v>
      </c>
      <c r="AX115" s="709"/>
      <c r="AY115" s="709"/>
      <c r="AZ115" s="388"/>
      <c r="BA115" s="385">
        <f t="shared" si="249"/>
        <v>0</v>
      </c>
      <c r="BB115" s="388" t="str">
        <f t="shared" ref="BB115:BB122" si="267">$F115</f>
        <v/>
      </c>
      <c r="BC115" s="385">
        <f t="shared" si="250"/>
        <v>0</v>
      </c>
      <c r="BD115" s="709"/>
      <c r="BE115" s="709"/>
      <c r="BF115" s="388"/>
      <c r="BG115" s="385">
        <f t="shared" si="251"/>
        <v>0</v>
      </c>
      <c r="BH115" s="388" t="str">
        <f t="shared" ref="BH115:BH122" si="268">$F115</f>
        <v/>
      </c>
      <c r="BI115" s="385">
        <f t="shared" si="252"/>
        <v>0</v>
      </c>
      <c r="BJ115" s="709"/>
      <c r="BK115" s="709"/>
      <c r="BL115" s="388"/>
      <c r="BM115" s="385">
        <f t="shared" si="253"/>
        <v>0</v>
      </c>
      <c r="BN115" s="388" t="str">
        <f t="shared" ref="BN115:BN122" si="269">$F115</f>
        <v/>
      </c>
      <c r="BO115" s="385">
        <f t="shared" si="254"/>
        <v>0</v>
      </c>
      <c r="BP115" s="709"/>
      <c r="BQ115" s="709"/>
      <c r="BR115" s="802"/>
      <c r="BS115" s="385">
        <f t="shared" si="255"/>
        <v>0</v>
      </c>
      <c r="BT115" s="386" t="str">
        <f t="shared" ref="BT115:BT122" si="270">$F115</f>
        <v/>
      </c>
      <c r="BU115" s="385">
        <f t="shared" si="256"/>
        <v>0</v>
      </c>
      <c r="BV115" s="709"/>
      <c r="BW115" s="213"/>
      <c r="BX115" s="213"/>
      <c r="BY115" s="213"/>
      <c r="BZ115" s="213"/>
      <c r="CA115" s="213"/>
      <c r="CB115" s="213"/>
      <c r="CC115" s="213"/>
      <c r="CD115" s="213"/>
      <c r="CE115" s="213"/>
      <c r="CF115" s="213"/>
      <c r="CG115" s="213"/>
      <c r="CH115" s="213"/>
      <c r="CI115" s="213"/>
      <c r="CJ115" s="213"/>
      <c r="CK115" s="213"/>
      <c r="CL115" s="213"/>
      <c r="CM115" s="213"/>
      <c r="CN115" s="213"/>
      <c r="CO115" s="213"/>
      <c r="CP115" s="213"/>
    </row>
    <row r="116" ht="15.75" customHeight="1">
      <c r="A116" s="213"/>
      <c r="B116" s="393"/>
      <c r="C116" s="350" t="s">
        <v>265</v>
      </c>
      <c r="D116" s="604">
        <v>3514896.0</v>
      </c>
      <c r="E116" s="355">
        <f t="shared" si="235"/>
        <v>0.2178624115</v>
      </c>
      <c r="F116" s="357">
        <v>3514896.0</v>
      </c>
      <c r="G116" s="355">
        <f>F116/F$33</f>
        <v>0.2296220673</v>
      </c>
      <c r="H116" s="357">
        <f t="shared" si="257"/>
        <v>0</v>
      </c>
      <c r="I116" s="719">
        <f t="shared" si="258"/>
        <v>0</v>
      </c>
      <c r="J116" s="604">
        <v>3499112.0</v>
      </c>
      <c r="K116" s="355">
        <f t="shared" si="236"/>
        <v>0.2114709362</v>
      </c>
      <c r="L116" s="357">
        <f t="shared" si="259"/>
        <v>3514896</v>
      </c>
      <c r="M116" s="355">
        <f t="shared" si="237"/>
        <v>0.2046058548</v>
      </c>
      <c r="N116" s="245"/>
      <c r="O116" s="350"/>
      <c r="P116" s="604">
        <v>3498590.0</v>
      </c>
      <c r="Q116" s="355">
        <f t="shared" si="238"/>
        <v>0.2291921364</v>
      </c>
      <c r="R116" s="357">
        <f t="shared" si="260"/>
        <v>3514896</v>
      </c>
      <c r="S116" s="355">
        <f t="shared" si="261"/>
        <v>0.2164017528</v>
      </c>
      <c r="T116" s="245"/>
      <c r="U116" s="350"/>
      <c r="V116" s="604">
        <v>3456277.0</v>
      </c>
      <c r="W116" s="355">
        <f t="shared" si="239"/>
        <v>0.21413147</v>
      </c>
      <c r="X116" s="357">
        <f t="shared" si="262"/>
        <v>3514896</v>
      </c>
      <c r="Y116" s="355">
        <f t="shared" si="240"/>
        <v>0.2216820127</v>
      </c>
      <c r="Z116" s="245"/>
      <c r="AA116" s="350"/>
      <c r="AB116" s="604">
        <v>3529287.0</v>
      </c>
      <c r="AC116" s="355">
        <f t="shared" si="241"/>
        <v>0.2021161078</v>
      </c>
      <c r="AD116" s="357">
        <f t="shared" si="263"/>
        <v>3514896</v>
      </c>
      <c r="AE116" s="355">
        <f t="shared" si="242"/>
        <v>0.1987471952</v>
      </c>
      <c r="AF116" s="245"/>
      <c r="AG116" s="350"/>
      <c r="AH116" s="604">
        <v>3413011.0</v>
      </c>
      <c r="AI116" s="355">
        <f t="shared" si="243"/>
        <v>0.2181647247</v>
      </c>
      <c r="AJ116" s="357">
        <f t="shared" si="264"/>
        <v>3514896</v>
      </c>
      <c r="AK116" s="355">
        <f t="shared" si="244"/>
        <v>0.2079076361</v>
      </c>
      <c r="AL116" s="245"/>
      <c r="AM116" s="350"/>
      <c r="AN116" s="605">
        <v>3391856.0</v>
      </c>
      <c r="AO116" s="355">
        <f t="shared" si="245"/>
        <v>0.2046635307</v>
      </c>
      <c r="AP116" s="357">
        <f t="shared" si="265"/>
        <v>3514896</v>
      </c>
      <c r="AQ116" s="355">
        <f t="shared" si="246"/>
        <v>0.2011102422</v>
      </c>
      <c r="AR116" s="245"/>
      <c r="AS116" s="245"/>
      <c r="AT116" s="357">
        <v>3341575.0</v>
      </c>
      <c r="AU116" s="355">
        <f t="shared" si="247"/>
        <v>0.1970604513</v>
      </c>
      <c r="AV116" s="357">
        <f t="shared" si="266"/>
        <v>3514896</v>
      </c>
      <c r="AW116" s="355">
        <f t="shared" si="248"/>
        <v>0.2057795632</v>
      </c>
      <c r="AX116" s="245"/>
      <c r="AY116" s="245"/>
      <c r="AZ116" s="357">
        <v>3500189.0</v>
      </c>
      <c r="BA116" s="355">
        <f t="shared" si="249"/>
        <v>0.1700214592</v>
      </c>
      <c r="BB116" s="357">
        <f t="shared" si="267"/>
        <v>3514896</v>
      </c>
      <c r="BC116" s="355">
        <f t="shared" si="250"/>
        <v>0.1797305615</v>
      </c>
      <c r="BD116" s="245"/>
      <c r="BE116" s="245"/>
      <c r="BF116" s="357">
        <v>3355996.0</v>
      </c>
      <c r="BG116" s="355">
        <f t="shared" si="251"/>
        <v>0.1790495461</v>
      </c>
      <c r="BH116" s="357">
        <f t="shared" si="268"/>
        <v>3514896</v>
      </c>
      <c r="BI116" s="355">
        <f t="shared" si="252"/>
        <v>0.1961689026</v>
      </c>
      <c r="BJ116" s="245"/>
      <c r="BK116" s="245"/>
      <c r="BL116" s="357">
        <v>3235913.0</v>
      </c>
      <c r="BM116" s="355">
        <f t="shared" si="253"/>
        <v>0.1968214519</v>
      </c>
      <c r="BN116" s="357">
        <f t="shared" si="269"/>
        <v>3514896</v>
      </c>
      <c r="BO116" s="355">
        <f t="shared" si="254"/>
        <v>0.2344246041</v>
      </c>
      <c r="BP116" s="245"/>
      <c r="BQ116" s="245"/>
      <c r="BR116" s="356">
        <v>3583070.0</v>
      </c>
      <c r="BS116" s="355">
        <f t="shared" si="255"/>
        <v>0.1900394246</v>
      </c>
      <c r="BT116" s="353">
        <f t="shared" si="270"/>
        <v>3514896</v>
      </c>
      <c r="BU116" s="355">
        <f t="shared" si="256"/>
        <v>0.2084769127</v>
      </c>
      <c r="BV116" s="245"/>
      <c r="BW116" s="213"/>
      <c r="BX116" s="213"/>
      <c r="BY116" s="213"/>
      <c r="BZ116" s="213"/>
      <c r="CA116" s="213"/>
      <c r="CB116" s="213"/>
      <c r="CC116" s="213"/>
      <c r="CD116" s="213"/>
      <c r="CE116" s="213"/>
      <c r="CF116" s="213"/>
      <c r="CG116" s="213"/>
      <c r="CH116" s="213"/>
      <c r="CI116" s="213"/>
      <c r="CJ116" s="213"/>
      <c r="CK116" s="213"/>
      <c r="CL116" s="213"/>
      <c r="CM116" s="213"/>
      <c r="CN116" s="213"/>
      <c r="CO116" s="213"/>
      <c r="CP116" s="213"/>
    </row>
    <row r="117" ht="15.75" customHeight="1">
      <c r="A117" s="213"/>
      <c r="B117" s="393"/>
      <c r="C117" s="350" t="s">
        <v>266</v>
      </c>
      <c r="D117" s="604">
        <f>3254+786</f>
        <v>4040</v>
      </c>
      <c r="E117" s="355">
        <f t="shared" si="235"/>
        <v>0.0002504097255</v>
      </c>
      <c r="F117" s="357"/>
      <c r="G117" s="355"/>
      <c r="H117" s="357">
        <f t="shared" si="257"/>
        <v>4040</v>
      </c>
      <c r="I117" s="719" t="str">
        <f t="shared" si="258"/>
        <v/>
      </c>
      <c r="J117" s="604">
        <v>3630.0</v>
      </c>
      <c r="K117" s="355">
        <f t="shared" si="236"/>
        <v>0.0002193812311</v>
      </c>
      <c r="L117" s="357" t="str">
        <f t="shared" si="259"/>
        <v/>
      </c>
      <c r="M117" s="355">
        <f t="shared" si="237"/>
        <v>0</v>
      </c>
      <c r="N117" s="245"/>
      <c r="O117" s="350"/>
      <c r="P117" s="604">
        <v>4700.0</v>
      </c>
      <c r="Q117" s="355">
        <f t="shared" si="238"/>
        <v>0.0003078963356</v>
      </c>
      <c r="R117" s="357" t="str">
        <f t="shared" si="260"/>
        <v/>
      </c>
      <c r="S117" s="355">
        <f t="shared" si="261"/>
        <v>0</v>
      </c>
      <c r="T117" s="245"/>
      <c r="U117" s="350"/>
      <c r="V117" s="604">
        <v>2600.0</v>
      </c>
      <c r="W117" s="355">
        <f t="shared" si="239"/>
        <v>0.0001610813665</v>
      </c>
      <c r="X117" s="357" t="str">
        <f t="shared" si="262"/>
        <v/>
      </c>
      <c r="Y117" s="355">
        <f t="shared" si="240"/>
        <v>0</v>
      </c>
      <c r="Z117" s="245"/>
      <c r="AA117" s="350"/>
      <c r="AB117" s="604">
        <v>2512.0</v>
      </c>
      <c r="AC117" s="355">
        <f t="shared" si="241"/>
        <v>0.0001438578565</v>
      </c>
      <c r="AD117" s="357" t="str">
        <f t="shared" si="263"/>
        <v/>
      </c>
      <c r="AE117" s="355">
        <f t="shared" si="242"/>
        <v>0</v>
      </c>
      <c r="AF117" s="245"/>
      <c r="AG117" s="350"/>
      <c r="AH117" s="604">
        <v>1780.0</v>
      </c>
      <c r="AI117" s="355">
        <f t="shared" si="243"/>
        <v>0.0001137802398</v>
      </c>
      <c r="AJ117" s="357" t="str">
        <f t="shared" si="264"/>
        <v/>
      </c>
      <c r="AK117" s="355">
        <f t="shared" si="244"/>
        <v>0</v>
      </c>
      <c r="AL117" s="245"/>
      <c r="AM117" s="350"/>
      <c r="AN117" s="605">
        <v>2664.0</v>
      </c>
      <c r="AO117" s="355">
        <f t="shared" si="245"/>
        <v>0.0001607449272</v>
      </c>
      <c r="AP117" s="357" t="str">
        <f t="shared" si="265"/>
        <v/>
      </c>
      <c r="AQ117" s="355">
        <f t="shared" si="246"/>
        <v>0</v>
      </c>
      <c r="AR117" s="245"/>
      <c r="AS117" s="245"/>
      <c r="AT117" s="357">
        <v>1700.0</v>
      </c>
      <c r="AU117" s="355">
        <f t="shared" si="247"/>
        <v>0.0001002529547</v>
      </c>
      <c r="AV117" s="357" t="str">
        <f t="shared" si="266"/>
        <v/>
      </c>
      <c r="AW117" s="355">
        <f t="shared" si="248"/>
        <v>0</v>
      </c>
      <c r="AX117" s="245"/>
      <c r="AY117" s="245"/>
      <c r="AZ117" s="357">
        <v>6977.0</v>
      </c>
      <c r="BA117" s="355">
        <f t="shared" si="249"/>
        <v>0.0003389073336</v>
      </c>
      <c r="BB117" s="357" t="str">
        <f t="shared" si="267"/>
        <v/>
      </c>
      <c r="BC117" s="355">
        <f t="shared" si="250"/>
        <v>0</v>
      </c>
      <c r="BD117" s="245"/>
      <c r="BE117" s="245"/>
      <c r="BF117" s="357">
        <v>21085.0</v>
      </c>
      <c r="BG117" s="355">
        <f t="shared" si="251"/>
        <v>0.001124929732</v>
      </c>
      <c r="BH117" s="357" t="str">
        <f t="shared" si="268"/>
        <v/>
      </c>
      <c r="BI117" s="355">
        <f t="shared" si="252"/>
        <v>0</v>
      </c>
      <c r="BJ117" s="245"/>
      <c r="BK117" s="245"/>
      <c r="BL117" s="357">
        <v>3589.0</v>
      </c>
      <c r="BM117" s="355">
        <f t="shared" si="253"/>
        <v>0.000218297646</v>
      </c>
      <c r="BN117" s="357" t="str">
        <f t="shared" si="269"/>
        <v/>
      </c>
      <c r="BO117" s="355">
        <f t="shared" si="254"/>
        <v>0</v>
      </c>
      <c r="BP117" s="245"/>
      <c r="BQ117" s="245"/>
      <c r="BR117" s="356">
        <v>4730.0</v>
      </c>
      <c r="BS117" s="355">
        <f t="shared" si="255"/>
        <v>0.0002508704765</v>
      </c>
      <c r="BT117" s="353" t="str">
        <f t="shared" si="270"/>
        <v/>
      </c>
      <c r="BU117" s="355">
        <f t="shared" si="256"/>
        <v>0</v>
      </c>
      <c r="BV117" s="245"/>
      <c r="BW117" s="213"/>
      <c r="BX117" s="213"/>
      <c r="BY117" s="213"/>
      <c r="BZ117" s="213"/>
      <c r="CA117" s="213"/>
      <c r="CB117" s="213"/>
      <c r="CC117" s="213"/>
      <c r="CD117" s="213"/>
      <c r="CE117" s="213"/>
      <c r="CF117" s="213"/>
      <c r="CG117" s="213"/>
      <c r="CH117" s="213"/>
      <c r="CI117" s="213"/>
      <c r="CJ117" s="213"/>
      <c r="CK117" s="213"/>
      <c r="CL117" s="213"/>
      <c r="CM117" s="213"/>
      <c r="CN117" s="213"/>
      <c r="CO117" s="213"/>
      <c r="CP117" s="213"/>
    </row>
    <row r="118" ht="15.75" customHeight="1">
      <c r="A118" s="213"/>
      <c r="B118" s="393"/>
      <c r="C118" s="350" t="s">
        <v>267</v>
      </c>
      <c r="D118" s="604">
        <v>101499.0</v>
      </c>
      <c r="E118" s="355">
        <f t="shared" si="235"/>
        <v>0.006291172457</v>
      </c>
      <c r="F118" s="357">
        <v>105000.0</v>
      </c>
      <c r="G118" s="355"/>
      <c r="H118" s="357">
        <f t="shared" si="257"/>
        <v>-3501</v>
      </c>
      <c r="I118" s="719">
        <f t="shared" si="258"/>
        <v>-0.03334285714</v>
      </c>
      <c r="J118" s="604">
        <v>103053.0</v>
      </c>
      <c r="K118" s="355">
        <f t="shared" si="236"/>
        <v>0.006228069975</v>
      </c>
      <c r="L118" s="357">
        <v>105000.0</v>
      </c>
      <c r="M118" s="355">
        <f t="shared" si="237"/>
        <v>0.006112162282</v>
      </c>
      <c r="N118" s="245"/>
      <c r="O118" s="350"/>
      <c r="P118" s="604">
        <v>105004.36</v>
      </c>
      <c r="Q118" s="355">
        <f t="shared" si="238"/>
        <v>0.006878820781</v>
      </c>
      <c r="R118" s="357">
        <v>105000.0</v>
      </c>
      <c r="S118" s="355">
        <f t="shared" si="261"/>
        <v>0.006464539504</v>
      </c>
      <c r="T118" s="245"/>
      <c r="U118" s="350"/>
      <c r="V118" s="604">
        <v>114727.92</v>
      </c>
      <c r="W118" s="355">
        <f t="shared" si="239"/>
        <v>0.007107896202</v>
      </c>
      <c r="X118" s="357">
        <v>105000.0</v>
      </c>
      <c r="Y118" s="355">
        <f t="shared" si="240"/>
        <v>0.006622275974</v>
      </c>
      <c r="Z118" s="245"/>
      <c r="AA118" s="350"/>
      <c r="AB118" s="604">
        <v>104148.27</v>
      </c>
      <c r="AC118" s="355">
        <f t="shared" si="241"/>
        <v>0.005964389683</v>
      </c>
      <c r="AD118" s="357">
        <f t="shared" si="263"/>
        <v>105000</v>
      </c>
      <c r="AE118" s="355">
        <f t="shared" si="242"/>
        <v>0.005937147356</v>
      </c>
      <c r="AF118" s="245"/>
      <c r="AG118" s="350"/>
      <c r="AH118" s="604">
        <v>104857.9</v>
      </c>
      <c r="AI118" s="355">
        <f t="shared" si="243"/>
        <v>0.006702672475</v>
      </c>
      <c r="AJ118" s="357">
        <f t="shared" si="264"/>
        <v>105000</v>
      </c>
      <c r="AK118" s="355">
        <f t="shared" si="244"/>
        <v>0.006210795937</v>
      </c>
      <c r="AL118" s="245"/>
      <c r="AM118" s="350"/>
      <c r="AN118" s="605">
        <v>106420.68</v>
      </c>
      <c r="AO118" s="355">
        <f t="shared" si="245"/>
        <v>0.006421390564</v>
      </c>
      <c r="AP118" s="357">
        <f t="shared" si="265"/>
        <v>105000</v>
      </c>
      <c r="AQ118" s="355">
        <f t="shared" si="246"/>
        <v>0.006007738331</v>
      </c>
      <c r="AR118" s="245"/>
      <c r="AS118" s="245"/>
      <c r="AT118" s="357">
        <v>128468.09</v>
      </c>
      <c r="AU118" s="355">
        <f t="shared" si="247"/>
        <v>0.007576062123</v>
      </c>
      <c r="AV118" s="357">
        <f t="shared" si="266"/>
        <v>105000</v>
      </c>
      <c r="AW118" s="355">
        <f t="shared" si="248"/>
        <v>0.006147224308</v>
      </c>
      <c r="AX118" s="245"/>
      <c r="AY118" s="245"/>
      <c r="AZ118" s="357">
        <v>115253.0</v>
      </c>
      <c r="BA118" s="355">
        <f t="shared" si="249"/>
        <v>0.005598407183</v>
      </c>
      <c r="BB118" s="357">
        <f t="shared" si="267"/>
        <v>105000</v>
      </c>
      <c r="BC118" s="355">
        <f t="shared" si="250"/>
        <v>0.005369066098</v>
      </c>
      <c r="BD118" s="245"/>
      <c r="BE118" s="245"/>
      <c r="BF118" s="357">
        <v>111230.22</v>
      </c>
      <c r="BG118" s="355">
        <f t="shared" si="251"/>
        <v>0.005934369529</v>
      </c>
      <c r="BH118" s="357">
        <f t="shared" si="268"/>
        <v>105000</v>
      </c>
      <c r="BI118" s="355">
        <f t="shared" si="252"/>
        <v>0.005860126381</v>
      </c>
      <c r="BJ118" s="245"/>
      <c r="BK118" s="245"/>
      <c r="BL118" s="737">
        <v>105972.69</v>
      </c>
      <c r="BM118" s="355">
        <f t="shared" si="253"/>
        <v>0.006445692051</v>
      </c>
      <c r="BN118" s="357">
        <f t="shared" si="269"/>
        <v>105000</v>
      </c>
      <c r="BO118" s="355">
        <f t="shared" si="254"/>
        <v>0.007002933636</v>
      </c>
      <c r="BP118" s="245"/>
      <c r="BQ118" s="245"/>
      <c r="BR118" s="797">
        <v>116187.57</v>
      </c>
      <c r="BS118" s="355">
        <f t="shared" si="255"/>
        <v>0.00616237443</v>
      </c>
      <c r="BT118" s="353">
        <f t="shared" si="270"/>
        <v>105000</v>
      </c>
      <c r="BU118" s="355">
        <f t="shared" si="256"/>
        <v>0.006227801857</v>
      </c>
      <c r="BV118" s="245"/>
      <c r="BW118" s="213"/>
      <c r="BX118" s="213"/>
      <c r="BY118" s="213"/>
      <c r="BZ118" s="213"/>
      <c r="CA118" s="213"/>
      <c r="CB118" s="213"/>
      <c r="CC118" s="213"/>
      <c r="CD118" s="213"/>
      <c r="CE118" s="213"/>
      <c r="CF118" s="213"/>
      <c r="CG118" s="213"/>
      <c r="CH118" s="213"/>
      <c r="CI118" s="213"/>
      <c r="CJ118" s="213"/>
      <c r="CK118" s="213"/>
      <c r="CL118" s="213"/>
      <c r="CM118" s="213"/>
      <c r="CN118" s="213"/>
      <c r="CO118" s="213"/>
      <c r="CP118" s="213"/>
    </row>
    <row r="119" ht="15.75" customHeight="1">
      <c r="A119" s="213"/>
      <c r="B119" s="393"/>
      <c r="C119" s="350" t="s">
        <v>268</v>
      </c>
      <c r="D119" s="604"/>
      <c r="E119" s="355">
        <f t="shared" si="235"/>
        <v>0</v>
      </c>
      <c r="F119" s="357"/>
      <c r="G119" s="355"/>
      <c r="H119" s="357">
        <f t="shared" si="257"/>
        <v>0</v>
      </c>
      <c r="I119" s="719" t="str">
        <f t="shared" si="258"/>
        <v/>
      </c>
      <c r="J119" s="604"/>
      <c r="K119" s="355">
        <f t="shared" si="236"/>
        <v>0</v>
      </c>
      <c r="L119" s="357" t="str">
        <f t="shared" ref="L119:L122" si="271">$F119</f>
        <v/>
      </c>
      <c r="M119" s="355">
        <f t="shared" si="237"/>
        <v>0</v>
      </c>
      <c r="N119" s="245"/>
      <c r="O119" s="350"/>
      <c r="P119" s="604"/>
      <c r="Q119" s="355">
        <f t="shared" si="238"/>
        <v>0</v>
      </c>
      <c r="R119" s="357" t="str">
        <f t="shared" ref="R119:R122" si="272">$F119</f>
        <v/>
      </c>
      <c r="S119" s="355">
        <f t="shared" si="261"/>
        <v>0</v>
      </c>
      <c r="T119" s="245"/>
      <c r="U119" s="350"/>
      <c r="V119" s="604"/>
      <c r="W119" s="355">
        <f t="shared" si="239"/>
        <v>0</v>
      </c>
      <c r="X119" s="357" t="str">
        <f t="shared" ref="X119:X122" si="273">$F119</f>
        <v/>
      </c>
      <c r="Y119" s="355">
        <f t="shared" si="240"/>
        <v>0</v>
      </c>
      <c r="Z119" s="245"/>
      <c r="AA119" s="350"/>
      <c r="AB119" s="604"/>
      <c r="AC119" s="355">
        <f t="shared" si="241"/>
        <v>0</v>
      </c>
      <c r="AD119" s="357" t="str">
        <f t="shared" si="263"/>
        <v/>
      </c>
      <c r="AE119" s="355">
        <f t="shared" si="242"/>
        <v>0</v>
      </c>
      <c r="AF119" s="245"/>
      <c r="AG119" s="350"/>
      <c r="AH119" s="604"/>
      <c r="AI119" s="355">
        <f t="shared" si="243"/>
        <v>0</v>
      </c>
      <c r="AJ119" s="357" t="str">
        <f t="shared" si="264"/>
        <v/>
      </c>
      <c r="AK119" s="355">
        <f t="shared" si="244"/>
        <v>0</v>
      </c>
      <c r="AL119" s="245"/>
      <c r="AM119" s="350"/>
      <c r="AN119" s="605"/>
      <c r="AO119" s="355">
        <f t="shared" si="245"/>
        <v>0</v>
      </c>
      <c r="AP119" s="357" t="str">
        <f t="shared" si="265"/>
        <v/>
      </c>
      <c r="AQ119" s="355">
        <f t="shared" si="246"/>
        <v>0</v>
      </c>
      <c r="AR119" s="245"/>
      <c r="AS119" s="245"/>
      <c r="AT119" s="357"/>
      <c r="AU119" s="355">
        <f t="shared" si="247"/>
        <v>0</v>
      </c>
      <c r="AV119" s="357" t="str">
        <f t="shared" si="266"/>
        <v/>
      </c>
      <c r="AW119" s="355">
        <f t="shared" si="248"/>
        <v>0</v>
      </c>
      <c r="AX119" s="245"/>
      <c r="AY119" s="245"/>
      <c r="AZ119" s="357"/>
      <c r="BA119" s="355">
        <f t="shared" si="249"/>
        <v>0</v>
      </c>
      <c r="BB119" s="357" t="str">
        <f t="shared" si="267"/>
        <v/>
      </c>
      <c r="BC119" s="355">
        <f t="shared" si="250"/>
        <v>0</v>
      </c>
      <c r="BD119" s="245"/>
      <c r="BE119" s="245"/>
      <c r="BF119" s="357"/>
      <c r="BG119" s="355">
        <f t="shared" si="251"/>
        <v>0</v>
      </c>
      <c r="BH119" s="357" t="str">
        <f t="shared" si="268"/>
        <v/>
      </c>
      <c r="BI119" s="355">
        <f t="shared" si="252"/>
        <v>0</v>
      </c>
      <c r="BJ119" s="245"/>
      <c r="BK119" s="245"/>
      <c r="BL119" s="357"/>
      <c r="BM119" s="355">
        <f t="shared" si="253"/>
        <v>0</v>
      </c>
      <c r="BN119" s="357" t="str">
        <f t="shared" si="269"/>
        <v/>
      </c>
      <c r="BO119" s="355">
        <f t="shared" si="254"/>
        <v>0</v>
      </c>
      <c r="BP119" s="245"/>
      <c r="BQ119" s="245"/>
      <c r="BR119" s="356"/>
      <c r="BS119" s="355">
        <f t="shared" si="255"/>
        <v>0</v>
      </c>
      <c r="BT119" s="353" t="str">
        <f t="shared" si="270"/>
        <v/>
      </c>
      <c r="BU119" s="355">
        <f t="shared" si="256"/>
        <v>0</v>
      </c>
      <c r="BV119" s="245"/>
      <c r="BW119" s="213"/>
      <c r="BX119" s="213"/>
      <c r="BY119" s="213"/>
      <c r="BZ119" s="213"/>
      <c r="CA119" s="213"/>
      <c r="CB119" s="213"/>
      <c r="CC119" s="213"/>
      <c r="CD119" s="213"/>
      <c r="CE119" s="213"/>
      <c r="CF119" s="213"/>
      <c r="CG119" s="213"/>
      <c r="CH119" s="213"/>
      <c r="CI119" s="213"/>
      <c r="CJ119" s="213"/>
      <c r="CK119" s="213"/>
      <c r="CL119" s="213"/>
      <c r="CM119" s="213"/>
      <c r="CN119" s="213"/>
      <c r="CO119" s="213"/>
      <c r="CP119" s="213"/>
    </row>
    <row r="120" ht="15.75" customHeight="1">
      <c r="A120" s="213"/>
      <c r="B120" s="393"/>
      <c r="C120" s="350" t="s">
        <v>396</v>
      </c>
      <c r="D120" s="604"/>
      <c r="E120" s="355">
        <f t="shared" si="235"/>
        <v>0</v>
      </c>
      <c r="F120" s="357"/>
      <c r="G120" s="355"/>
      <c r="H120" s="357">
        <f t="shared" si="257"/>
        <v>0</v>
      </c>
      <c r="I120" s="719" t="str">
        <f t="shared" si="258"/>
        <v/>
      </c>
      <c r="J120" s="604"/>
      <c r="K120" s="355">
        <f t="shared" si="236"/>
        <v>0</v>
      </c>
      <c r="L120" s="357" t="str">
        <f t="shared" si="271"/>
        <v/>
      </c>
      <c r="M120" s="355">
        <f t="shared" si="237"/>
        <v>0</v>
      </c>
      <c r="N120" s="245"/>
      <c r="O120" s="350"/>
      <c r="P120" s="604"/>
      <c r="Q120" s="355">
        <f t="shared" si="238"/>
        <v>0</v>
      </c>
      <c r="R120" s="357" t="str">
        <f t="shared" si="272"/>
        <v/>
      </c>
      <c r="S120" s="355">
        <f t="shared" si="261"/>
        <v>0</v>
      </c>
      <c r="T120" s="245"/>
      <c r="U120" s="350"/>
      <c r="V120" s="604"/>
      <c r="W120" s="355">
        <f t="shared" si="239"/>
        <v>0</v>
      </c>
      <c r="X120" s="357" t="str">
        <f t="shared" si="273"/>
        <v/>
      </c>
      <c r="Y120" s="355">
        <f t="shared" si="240"/>
        <v>0</v>
      </c>
      <c r="Z120" s="245"/>
      <c r="AA120" s="350"/>
      <c r="AB120" s="604"/>
      <c r="AC120" s="355">
        <f t="shared" si="241"/>
        <v>0</v>
      </c>
      <c r="AD120" s="357" t="str">
        <f t="shared" si="263"/>
        <v/>
      </c>
      <c r="AE120" s="355">
        <f t="shared" si="242"/>
        <v>0</v>
      </c>
      <c r="AF120" s="245"/>
      <c r="AG120" s="350"/>
      <c r="AH120" s="604"/>
      <c r="AI120" s="355">
        <f t="shared" si="243"/>
        <v>0</v>
      </c>
      <c r="AJ120" s="357" t="str">
        <f t="shared" si="264"/>
        <v/>
      </c>
      <c r="AK120" s="355">
        <f t="shared" si="244"/>
        <v>0</v>
      </c>
      <c r="AL120" s="245"/>
      <c r="AM120" s="350"/>
      <c r="AN120" s="605"/>
      <c r="AO120" s="355">
        <f t="shared" si="245"/>
        <v>0</v>
      </c>
      <c r="AP120" s="357" t="str">
        <f t="shared" si="265"/>
        <v/>
      </c>
      <c r="AQ120" s="355">
        <f t="shared" si="246"/>
        <v>0</v>
      </c>
      <c r="AR120" s="245"/>
      <c r="AS120" s="245"/>
      <c r="AT120" s="357"/>
      <c r="AU120" s="355">
        <f t="shared" si="247"/>
        <v>0</v>
      </c>
      <c r="AV120" s="357" t="str">
        <f t="shared" si="266"/>
        <v/>
      </c>
      <c r="AW120" s="355">
        <f t="shared" si="248"/>
        <v>0</v>
      </c>
      <c r="AX120" s="245"/>
      <c r="AY120" s="245"/>
      <c r="AZ120" s="357"/>
      <c r="BA120" s="355">
        <f t="shared" si="249"/>
        <v>0</v>
      </c>
      <c r="BB120" s="357" t="str">
        <f t="shared" si="267"/>
        <v/>
      </c>
      <c r="BC120" s="355">
        <f t="shared" si="250"/>
        <v>0</v>
      </c>
      <c r="BD120" s="245"/>
      <c r="BE120" s="245"/>
      <c r="BF120" s="357"/>
      <c r="BG120" s="355">
        <f t="shared" si="251"/>
        <v>0</v>
      </c>
      <c r="BH120" s="357" t="str">
        <f t="shared" si="268"/>
        <v/>
      </c>
      <c r="BI120" s="355">
        <f t="shared" si="252"/>
        <v>0</v>
      </c>
      <c r="BJ120" s="245"/>
      <c r="BK120" s="245"/>
      <c r="BL120" s="357"/>
      <c r="BM120" s="355">
        <f t="shared" si="253"/>
        <v>0</v>
      </c>
      <c r="BN120" s="357" t="str">
        <f t="shared" si="269"/>
        <v/>
      </c>
      <c r="BO120" s="355">
        <f t="shared" si="254"/>
        <v>0</v>
      </c>
      <c r="BP120" s="245"/>
      <c r="BQ120" s="245"/>
      <c r="BR120" s="356"/>
      <c r="BS120" s="355">
        <f t="shared" si="255"/>
        <v>0</v>
      </c>
      <c r="BT120" s="353" t="str">
        <f t="shared" si="270"/>
        <v/>
      </c>
      <c r="BU120" s="355">
        <f t="shared" si="256"/>
        <v>0</v>
      </c>
      <c r="BV120" s="245"/>
      <c r="BW120" s="213"/>
      <c r="BX120" s="213"/>
      <c r="BY120" s="213"/>
      <c r="BZ120" s="213"/>
      <c r="CA120" s="213"/>
      <c r="CB120" s="213"/>
      <c r="CC120" s="213"/>
      <c r="CD120" s="213"/>
      <c r="CE120" s="213"/>
      <c r="CF120" s="213"/>
      <c r="CG120" s="213"/>
      <c r="CH120" s="213"/>
      <c r="CI120" s="213"/>
      <c r="CJ120" s="213"/>
      <c r="CK120" s="213"/>
      <c r="CL120" s="213"/>
      <c r="CM120" s="213"/>
      <c r="CN120" s="213"/>
      <c r="CO120" s="213"/>
      <c r="CP120" s="213"/>
    </row>
    <row r="121" ht="15.75" customHeight="1">
      <c r="A121" s="213"/>
      <c r="B121" s="393"/>
      <c r="C121" s="350" t="s">
        <v>269</v>
      </c>
      <c r="D121" s="604">
        <v>12198.0</v>
      </c>
      <c r="E121" s="355">
        <f t="shared" si="235"/>
        <v>0.0007560638196</v>
      </c>
      <c r="F121" s="357">
        <v>9751.0</v>
      </c>
      <c r="G121" s="355">
        <f>F121/F$33</f>
        <v>0.0006370159398</v>
      </c>
      <c r="H121" s="357">
        <f t="shared" si="257"/>
        <v>2447</v>
      </c>
      <c r="I121" s="719">
        <f t="shared" si="258"/>
        <v>0.2509486207</v>
      </c>
      <c r="J121" s="604">
        <v>21038.0</v>
      </c>
      <c r="K121" s="355">
        <f t="shared" si="236"/>
        <v>0.001271444171</v>
      </c>
      <c r="L121" s="357">
        <f t="shared" si="271"/>
        <v>9751</v>
      </c>
      <c r="M121" s="355">
        <f t="shared" si="237"/>
        <v>0.0005676161372</v>
      </c>
      <c r="N121" s="245"/>
      <c r="O121" s="350"/>
      <c r="P121" s="604">
        <v>20695.0</v>
      </c>
      <c r="Q121" s="355">
        <f t="shared" si="238"/>
        <v>0.001355726525</v>
      </c>
      <c r="R121" s="357">
        <f t="shared" si="272"/>
        <v>9751</v>
      </c>
      <c r="S121" s="355">
        <f t="shared" si="261"/>
        <v>0.0006003402352</v>
      </c>
      <c r="T121" s="245"/>
      <c r="U121" s="350"/>
      <c r="V121" s="604">
        <v>11205.0</v>
      </c>
      <c r="W121" s="355">
        <f t="shared" si="239"/>
        <v>0.0006941987351</v>
      </c>
      <c r="X121" s="357">
        <f t="shared" si="273"/>
        <v>9751</v>
      </c>
      <c r="Y121" s="355">
        <f t="shared" si="240"/>
        <v>0.0006149886955</v>
      </c>
      <c r="Z121" s="245"/>
      <c r="AA121" s="350"/>
      <c r="AB121" s="604">
        <v>10905.0</v>
      </c>
      <c r="AC121" s="355">
        <f t="shared" si="241"/>
        <v>0.0006245103206</v>
      </c>
      <c r="AD121" s="357">
        <f t="shared" si="263"/>
        <v>9751</v>
      </c>
      <c r="AE121" s="355">
        <f t="shared" si="242"/>
        <v>0.0005513630845</v>
      </c>
      <c r="AF121" s="245"/>
      <c r="AG121" s="350"/>
      <c r="AH121" s="604">
        <v>15161.0</v>
      </c>
      <c r="AI121" s="355">
        <f t="shared" si="243"/>
        <v>0.0009691136041</v>
      </c>
      <c r="AJ121" s="357">
        <f t="shared" si="264"/>
        <v>9751</v>
      </c>
      <c r="AK121" s="355">
        <f t="shared" si="244"/>
        <v>0.000576775916</v>
      </c>
      <c r="AL121" s="245"/>
      <c r="AM121" s="350"/>
      <c r="AN121" s="605">
        <v>15240.0</v>
      </c>
      <c r="AO121" s="355">
        <f t="shared" si="245"/>
        <v>0.000919576836</v>
      </c>
      <c r="AP121" s="357">
        <f t="shared" si="265"/>
        <v>9751</v>
      </c>
      <c r="AQ121" s="355">
        <f t="shared" si="246"/>
        <v>0.000557918633</v>
      </c>
      <c r="AR121" s="245"/>
      <c r="AS121" s="245"/>
      <c r="AT121" s="357">
        <v>8262.0</v>
      </c>
      <c r="AU121" s="355">
        <f t="shared" si="247"/>
        <v>0.0004872293599</v>
      </c>
      <c r="AV121" s="357">
        <f t="shared" si="266"/>
        <v>9751</v>
      </c>
      <c r="AW121" s="355">
        <f t="shared" si="248"/>
        <v>0.0005708722307</v>
      </c>
      <c r="AX121" s="245"/>
      <c r="AY121" s="245"/>
      <c r="AZ121" s="357">
        <v>29420.0</v>
      </c>
      <c r="BA121" s="355">
        <f t="shared" si="249"/>
        <v>0.001429074639</v>
      </c>
      <c r="BB121" s="357">
        <f t="shared" si="267"/>
        <v>9751</v>
      </c>
      <c r="BC121" s="355">
        <f t="shared" si="250"/>
        <v>0.0004986072717</v>
      </c>
      <c r="BD121" s="245"/>
      <c r="BE121" s="245"/>
      <c r="BF121" s="357">
        <v>11832.0</v>
      </c>
      <c r="BG121" s="355">
        <f t="shared" si="251"/>
        <v>0.0006312624417</v>
      </c>
      <c r="BH121" s="357">
        <f t="shared" si="268"/>
        <v>9751</v>
      </c>
      <c r="BI121" s="355">
        <f t="shared" si="252"/>
        <v>0.0005442104033</v>
      </c>
      <c r="BJ121" s="245"/>
      <c r="BK121" s="245"/>
      <c r="BL121" s="357">
        <v>6211.0</v>
      </c>
      <c r="BM121" s="355">
        <f t="shared" si="253"/>
        <v>0.0003777784005</v>
      </c>
      <c r="BN121" s="357">
        <f t="shared" si="269"/>
        <v>9751</v>
      </c>
      <c r="BO121" s="355">
        <f t="shared" si="254"/>
        <v>0.0006503391037</v>
      </c>
      <c r="BP121" s="245"/>
      <c r="BQ121" s="245"/>
      <c r="BR121" s="797">
        <v>13630.0</v>
      </c>
      <c r="BS121" s="355">
        <f t="shared" si="255"/>
        <v>0.0007229100624</v>
      </c>
      <c r="BT121" s="353">
        <f t="shared" si="270"/>
        <v>9751</v>
      </c>
      <c r="BU121" s="355">
        <f t="shared" si="256"/>
        <v>0.0005783551991</v>
      </c>
      <c r="BV121" s="245"/>
      <c r="BW121" s="213"/>
      <c r="BX121" s="213"/>
      <c r="BY121" s="213"/>
      <c r="BZ121" s="213"/>
      <c r="CA121" s="213"/>
      <c r="CB121" s="213"/>
      <c r="CC121" s="213"/>
      <c r="CD121" s="213"/>
      <c r="CE121" s="213"/>
      <c r="CF121" s="213"/>
      <c r="CG121" s="213"/>
      <c r="CH121" s="213"/>
      <c r="CI121" s="213"/>
      <c r="CJ121" s="213"/>
      <c r="CK121" s="213"/>
      <c r="CL121" s="213"/>
      <c r="CM121" s="213"/>
      <c r="CN121" s="213"/>
      <c r="CO121" s="213"/>
      <c r="CP121" s="213"/>
    </row>
    <row r="122" ht="15.75" customHeight="1">
      <c r="A122" s="213"/>
      <c r="B122" s="393"/>
      <c r="C122" s="350" t="s">
        <v>270</v>
      </c>
      <c r="D122" s="604"/>
      <c r="E122" s="245"/>
      <c r="F122" s="357"/>
      <c r="G122" s="355"/>
      <c r="H122" s="245"/>
      <c r="I122" s="350"/>
      <c r="J122" s="604"/>
      <c r="K122" s="245"/>
      <c r="L122" s="357" t="str">
        <f t="shared" si="271"/>
        <v/>
      </c>
      <c r="M122" s="355">
        <f t="shared" si="237"/>
        <v>0</v>
      </c>
      <c r="N122" s="245"/>
      <c r="O122" s="350"/>
      <c r="P122" s="604"/>
      <c r="Q122" s="355">
        <f t="shared" si="238"/>
        <v>0</v>
      </c>
      <c r="R122" s="357" t="str">
        <f t="shared" si="272"/>
        <v/>
      </c>
      <c r="S122" s="355">
        <f t="shared" si="261"/>
        <v>0</v>
      </c>
      <c r="T122" s="245"/>
      <c r="U122" s="350"/>
      <c r="V122" s="604"/>
      <c r="W122" s="355">
        <f t="shared" si="239"/>
        <v>0</v>
      </c>
      <c r="X122" s="357" t="str">
        <f t="shared" si="273"/>
        <v/>
      </c>
      <c r="Y122" s="355">
        <f t="shared" si="240"/>
        <v>0</v>
      </c>
      <c r="Z122" s="245"/>
      <c r="AA122" s="350"/>
      <c r="AB122" s="604"/>
      <c r="AC122" s="355">
        <f t="shared" si="241"/>
        <v>0</v>
      </c>
      <c r="AD122" s="357" t="str">
        <f t="shared" si="263"/>
        <v/>
      </c>
      <c r="AE122" s="355">
        <f t="shared" si="242"/>
        <v>0</v>
      </c>
      <c r="AF122" s="245"/>
      <c r="AG122" s="350"/>
      <c r="AH122" s="604"/>
      <c r="AI122" s="355">
        <f t="shared" si="243"/>
        <v>0</v>
      </c>
      <c r="AJ122" s="357" t="str">
        <f t="shared" si="264"/>
        <v/>
      </c>
      <c r="AK122" s="355">
        <f t="shared" si="244"/>
        <v>0</v>
      </c>
      <c r="AL122" s="245"/>
      <c r="AM122" s="350"/>
      <c r="AN122" s="605"/>
      <c r="AO122" s="355">
        <f t="shared" si="245"/>
        <v>0</v>
      </c>
      <c r="AP122" s="357" t="str">
        <f t="shared" si="265"/>
        <v/>
      </c>
      <c r="AQ122" s="355">
        <f t="shared" si="246"/>
        <v>0</v>
      </c>
      <c r="AR122" s="245"/>
      <c r="AS122" s="245"/>
      <c r="AT122" s="357">
        <f>40374+4725</f>
        <v>45099</v>
      </c>
      <c r="AU122" s="355">
        <f t="shared" si="247"/>
        <v>0.002659592944</v>
      </c>
      <c r="AV122" s="357" t="str">
        <f t="shared" si="266"/>
        <v/>
      </c>
      <c r="AW122" s="355">
        <f t="shared" si="248"/>
        <v>0</v>
      </c>
      <c r="AX122" s="245"/>
      <c r="AY122" s="245"/>
      <c r="AZ122" s="357"/>
      <c r="BA122" s="355">
        <f t="shared" si="249"/>
        <v>0</v>
      </c>
      <c r="BB122" s="357" t="str">
        <f t="shared" si="267"/>
        <v/>
      </c>
      <c r="BC122" s="355">
        <f t="shared" si="250"/>
        <v>0</v>
      </c>
      <c r="BD122" s="245"/>
      <c r="BE122" s="245"/>
      <c r="BF122" s="357"/>
      <c r="BG122" s="355">
        <f t="shared" si="251"/>
        <v>0</v>
      </c>
      <c r="BH122" s="357" t="str">
        <f t="shared" si="268"/>
        <v/>
      </c>
      <c r="BI122" s="355">
        <f t="shared" si="252"/>
        <v>0</v>
      </c>
      <c r="BJ122" s="245"/>
      <c r="BK122" s="245"/>
      <c r="BL122" s="357"/>
      <c r="BM122" s="355">
        <f t="shared" si="253"/>
        <v>0</v>
      </c>
      <c r="BN122" s="357" t="str">
        <f t="shared" si="269"/>
        <v/>
      </c>
      <c r="BO122" s="355">
        <f t="shared" si="254"/>
        <v>0</v>
      </c>
      <c r="BP122" s="245"/>
      <c r="BQ122" s="245"/>
      <c r="BR122" s="356">
        <v>27300.0</v>
      </c>
      <c r="BS122" s="355">
        <f t="shared" si="255"/>
        <v>0.001447941651</v>
      </c>
      <c r="BT122" s="353" t="str">
        <f t="shared" si="270"/>
        <v/>
      </c>
      <c r="BU122" s="355">
        <f t="shared" si="256"/>
        <v>0</v>
      </c>
      <c r="BV122" s="245"/>
      <c r="BW122" s="213"/>
      <c r="BX122" s="213"/>
      <c r="BY122" s="213"/>
      <c r="BZ122" s="213"/>
      <c r="CA122" s="213"/>
      <c r="CB122" s="213"/>
      <c r="CC122" s="213"/>
      <c r="CD122" s="213"/>
      <c r="CE122" s="213"/>
      <c r="CF122" s="213"/>
      <c r="CG122" s="213"/>
      <c r="CH122" s="213"/>
      <c r="CI122" s="213"/>
      <c r="CJ122" s="213"/>
      <c r="CK122" s="213"/>
      <c r="CL122" s="213"/>
      <c r="CM122" s="213"/>
      <c r="CN122" s="213"/>
      <c r="CO122" s="213"/>
      <c r="CP122" s="213"/>
    </row>
    <row r="123" ht="15.75" customHeight="1">
      <c r="A123" s="213"/>
      <c r="B123" s="393"/>
      <c r="C123" s="350" t="s">
        <v>271</v>
      </c>
      <c r="D123" s="604">
        <f>2117241/12</f>
        <v>176436.75</v>
      </c>
      <c r="E123" s="355">
        <f>D123/D$33</f>
        <v>0.01093600944</v>
      </c>
      <c r="F123" s="357">
        <f>2117241/12</f>
        <v>176436.75</v>
      </c>
      <c r="G123" s="355">
        <f>F123/F$33</f>
        <v>0.01152630726</v>
      </c>
      <c r="H123" s="245"/>
      <c r="I123" s="350"/>
      <c r="J123" s="604">
        <f>2117241/12</f>
        <v>176436.75</v>
      </c>
      <c r="K123" s="355">
        <f>J123/J$33</f>
        <v>0.010663061</v>
      </c>
      <c r="L123" s="357">
        <f>2117241/12</f>
        <v>176436.75</v>
      </c>
      <c r="M123" s="355">
        <f t="shared" si="237"/>
        <v>0.01027057189</v>
      </c>
      <c r="N123" s="245"/>
      <c r="O123" s="350"/>
      <c r="P123" s="604">
        <f>2117241/12</f>
        <v>176436.75</v>
      </c>
      <c r="Q123" s="355">
        <f t="shared" si="238"/>
        <v>0.01155834655</v>
      </c>
      <c r="R123" s="357">
        <f>2117241/12</f>
        <v>176436.75</v>
      </c>
      <c r="S123" s="355">
        <f t="shared" si="261"/>
        <v>0.01086268895</v>
      </c>
      <c r="T123" s="245"/>
      <c r="U123" s="350"/>
      <c r="V123" s="604">
        <f>2117241/12</f>
        <v>176436.75</v>
      </c>
      <c r="W123" s="355">
        <f t="shared" si="239"/>
        <v>0.01093102799</v>
      </c>
      <c r="X123" s="357">
        <f>2117241/12</f>
        <v>176436.75</v>
      </c>
      <c r="Y123" s="355">
        <f t="shared" si="240"/>
        <v>0.01112774143</v>
      </c>
      <c r="Z123" s="245"/>
      <c r="AA123" s="350"/>
      <c r="AB123" s="604">
        <f>2117241/12</f>
        <v>176436.75</v>
      </c>
      <c r="AC123" s="355">
        <f t="shared" si="241"/>
        <v>0.01010422479</v>
      </c>
      <c r="AD123" s="357">
        <f>2117241/12</f>
        <v>176436.75</v>
      </c>
      <c r="AE123" s="355">
        <f t="shared" si="242"/>
        <v>0.00997648556</v>
      </c>
      <c r="AF123" s="245"/>
      <c r="AG123" s="350"/>
      <c r="AH123" s="604">
        <f>2117241/12</f>
        <v>176436.75</v>
      </c>
      <c r="AI123" s="355">
        <f t="shared" si="243"/>
        <v>0.01127809872</v>
      </c>
      <c r="AJ123" s="357">
        <f>2117241/12</f>
        <v>176436.75</v>
      </c>
      <c r="AK123" s="355">
        <f t="shared" si="244"/>
        <v>0.01043631095</v>
      </c>
      <c r="AL123" s="245"/>
      <c r="AM123" s="350"/>
      <c r="AN123" s="605">
        <f>2117241/12</f>
        <v>176436.75</v>
      </c>
      <c r="AO123" s="355">
        <f t="shared" si="245"/>
        <v>0.01064613834</v>
      </c>
      <c r="AP123" s="357">
        <f>AN123</f>
        <v>176436.75</v>
      </c>
      <c r="AQ123" s="355">
        <f t="shared" si="246"/>
        <v>0.0100951031</v>
      </c>
      <c r="AR123" s="245"/>
      <c r="AS123" s="245"/>
      <c r="AT123" s="357">
        <v>176437.0</v>
      </c>
      <c r="AU123" s="355">
        <f t="shared" si="247"/>
        <v>0.01040490034</v>
      </c>
      <c r="AV123" s="357">
        <f>AP123</f>
        <v>176436.75</v>
      </c>
      <c r="AW123" s="355">
        <f t="shared" si="248"/>
        <v>0.01032948837</v>
      </c>
      <c r="AX123" s="245"/>
      <c r="AY123" s="245"/>
      <c r="AZ123" s="357">
        <f>AT123</f>
        <v>176437</v>
      </c>
      <c r="BA123" s="355">
        <f t="shared" si="249"/>
        <v>0.008570416112</v>
      </c>
      <c r="BB123" s="357">
        <f>AV123</f>
        <v>176436.75</v>
      </c>
      <c r="BC123" s="355">
        <f t="shared" si="250"/>
        <v>0.009021910218</v>
      </c>
      <c r="BD123" s="245"/>
      <c r="BE123" s="245"/>
      <c r="BF123" s="357">
        <f>AZ123</f>
        <v>176437</v>
      </c>
      <c r="BG123" s="355">
        <f t="shared" si="251"/>
        <v>0.009413290351</v>
      </c>
      <c r="BH123" s="357">
        <f>BB123</f>
        <v>176436.75</v>
      </c>
      <c r="BI123" s="355">
        <f t="shared" si="252"/>
        <v>0.009847063365</v>
      </c>
      <c r="BJ123" s="245"/>
      <c r="BK123" s="245"/>
      <c r="BL123" s="357">
        <f>BF123</f>
        <v>176437</v>
      </c>
      <c r="BM123" s="355">
        <f t="shared" si="253"/>
        <v>0.01073161933</v>
      </c>
      <c r="BN123" s="357">
        <f>BH123</f>
        <v>176436.75</v>
      </c>
      <c r="BO123" s="355">
        <f t="shared" si="254"/>
        <v>0.01176737954</v>
      </c>
      <c r="BP123" s="245"/>
      <c r="BQ123" s="245"/>
      <c r="BR123" s="356">
        <f>BN123</f>
        <v>176436.75</v>
      </c>
      <c r="BS123" s="355">
        <f t="shared" si="255"/>
        <v>0.00935787982</v>
      </c>
      <c r="BT123" s="356">
        <f>BR123</f>
        <v>176436.75</v>
      </c>
      <c r="BU123" s="355">
        <f t="shared" si="256"/>
        <v>0.01046488685</v>
      </c>
      <c r="BV123" s="245"/>
      <c r="BW123" s="213"/>
      <c r="BX123" s="213"/>
      <c r="BY123" s="213"/>
      <c r="BZ123" s="213"/>
      <c r="CA123" s="213"/>
      <c r="CB123" s="213"/>
      <c r="CC123" s="213"/>
      <c r="CD123" s="213"/>
      <c r="CE123" s="213"/>
      <c r="CF123" s="213"/>
      <c r="CG123" s="213"/>
      <c r="CH123" s="213"/>
      <c r="CI123" s="213"/>
      <c r="CJ123" s="213"/>
      <c r="CK123" s="213"/>
      <c r="CL123" s="213"/>
      <c r="CM123" s="213"/>
      <c r="CN123" s="213"/>
      <c r="CO123" s="213"/>
      <c r="CP123" s="213"/>
    </row>
    <row r="124" ht="15.75" customHeight="1">
      <c r="A124" s="213"/>
      <c r="B124" s="403"/>
      <c r="C124" s="448"/>
      <c r="D124" s="619"/>
      <c r="E124" s="688"/>
      <c r="F124" s="688"/>
      <c r="G124" s="404"/>
      <c r="H124" s="688"/>
      <c r="I124" s="362"/>
      <c r="J124" s="619"/>
      <c r="K124" s="688"/>
      <c r="L124" s="688"/>
      <c r="M124" s="688"/>
      <c r="N124" s="688"/>
      <c r="O124" s="362"/>
      <c r="P124" s="619"/>
      <c r="Q124" s="688"/>
      <c r="R124" s="364"/>
      <c r="S124" s="688"/>
      <c r="T124" s="688"/>
      <c r="U124" s="362"/>
      <c r="V124" s="619"/>
      <c r="W124" s="364"/>
      <c r="X124" s="803"/>
      <c r="Y124" s="688"/>
      <c r="Z124" s="688"/>
      <c r="AA124" s="362"/>
      <c r="AB124" s="619"/>
      <c r="AC124" s="688"/>
      <c r="AD124" s="688"/>
      <c r="AE124" s="688"/>
      <c r="AF124" s="688"/>
      <c r="AG124" s="362"/>
      <c r="AH124" s="619"/>
      <c r="AI124" s="688"/>
      <c r="AJ124" s="688"/>
      <c r="AK124" s="688"/>
      <c r="AL124" s="688"/>
      <c r="AM124" s="362"/>
      <c r="AN124" s="793"/>
      <c r="AO124" s="688"/>
      <c r="AP124" s="688"/>
      <c r="AQ124" s="688"/>
      <c r="AR124" s="688"/>
      <c r="AS124" s="688"/>
      <c r="AT124" s="367"/>
      <c r="AU124" s="688"/>
      <c r="AV124" s="688"/>
      <c r="AW124" s="688"/>
      <c r="AX124" s="688"/>
      <c r="AY124" s="688"/>
      <c r="AZ124" s="367"/>
      <c r="BA124" s="688"/>
      <c r="BB124" s="688"/>
      <c r="BC124" s="688"/>
      <c r="BD124" s="688"/>
      <c r="BE124" s="688"/>
      <c r="BF124" s="367"/>
      <c r="BG124" s="688"/>
      <c r="BH124" s="688"/>
      <c r="BI124" s="688"/>
      <c r="BJ124" s="688"/>
      <c r="BK124" s="688"/>
      <c r="BL124" s="367"/>
      <c r="BM124" s="688"/>
      <c r="BN124" s="688"/>
      <c r="BO124" s="688"/>
      <c r="BP124" s="688"/>
      <c r="BQ124" s="688"/>
      <c r="BR124" s="804"/>
      <c r="BS124" s="688"/>
      <c r="BT124" s="688"/>
      <c r="BU124" s="688"/>
      <c r="BV124" s="688"/>
      <c r="BW124" s="213"/>
      <c r="BX124" s="213"/>
      <c r="BY124" s="213"/>
      <c r="BZ124" s="213"/>
      <c r="CA124" s="213"/>
      <c r="CB124" s="213"/>
      <c r="CC124" s="213"/>
      <c r="CD124" s="213"/>
      <c r="CE124" s="213"/>
      <c r="CF124" s="213"/>
      <c r="CG124" s="213"/>
      <c r="CH124" s="213"/>
      <c r="CI124" s="213"/>
      <c r="CJ124" s="213"/>
      <c r="CK124" s="213"/>
      <c r="CL124" s="213"/>
      <c r="CM124" s="213"/>
      <c r="CN124" s="213"/>
      <c r="CO124" s="213"/>
      <c r="CP124" s="213"/>
    </row>
    <row r="125" ht="15.75" customHeight="1">
      <c r="A125" s="213"/>
      <c r="B125" s="407"/>
      <c r="C125" s="447" t="s">
        <v>39</v>
      </c>
      <c r="D125" s="600">
        <f>SUM(D126)</f>
        <v>147300.83</v>
      </c>
      <c r="E125" s="374">
        <f t="shared" ref="E125:E126" si="274">D125/D$33</f>
        <v>0.009130089209</v>
      </c>
      <c r="F125" s="377">
        <f>SUM(F126)</f>
        <v>119125.02</v>
      </c>
      <c r="G125" s="374">
        <f>F125/F$33</f>
        <v>0.007782231214</v>
      </c>
      <c r="H125" s="800">
        <f>SUM(H126)</f>
        <v>28175.81</v>
      </c>
      <c r="I125" s="372"/>
      <c r="J125" s="600">
        <f>SUM(J126)</f>
        <v>134566.45</v>
      </c>
      <c r="K125" s="374">
        <f>J125/J$33</f>
        <v>0.008132604261</v>
      </c>
      <c r="L125" s="377">
        <f>SUM(L126)</f>
        <v>136662.225</v>
      </c>
      <c r="M125" s="374">
        <f>L125/L$33</f>
        <v>0.007955254257</v>
      </c>
      <c r="N125" s="437">
        <f>SUM(N126)</f>
        <v>0</v>
      </c>
      <c r="O125" s="372"/>
      <c r="P125" s="600">
        <f>SUM(P126)</f>
        <v>140697.29</v>
      </c>
      <c r="Q125" s="374">
        <f t="shared" ref="Q125:Q126" si="275">P125/P$33</f>
        <v>0.00921705958</v>
      </c>
      <c r="R125" s="377">
        <f>SUM(R126)</f>
        <v>126825.255</v>
      </c>
      <c r="S125" s="374">
        <f>R125/R$33</f>
        <v>0.007808255914</v>
      </c>
      <c r="T125" s="437">
        <f>SUM(T126)</f>
        <v>0</v>
      </c>
      <c r="U125" s="372"/>
      <c r="V125" s="600">
        <f>SUM(V126)</f>
        <v>149245.16</v>
      </c>
      <c r="W125" s="374">
        <f t="shared" ref="W125:W126" si="276">V125/V$33</f>
        <v>0.00924639012</v>
      </c>
      <c r="X125" s="377">
        <f>SUM(X126)</f>
        <v>121894.95</v>
      </c>
      <c r="Y125" s="374">
        <f>X125/X$33</f>
        <v>0.007687828559</v>
      </c>
      <c r="Z125" s="437">
        <f>SUM(Z126)</f>
        <v>0</v>
      </c>
      <c r="AA125" s="372"/>
      <c r="AB125" s="600">
        <f>SUM(AB126)</f>
        <v>136164.12</v>
      </c>
      <c r="AC125" s="374">
        <f t="shared" ref="AC125:AC126" si="277">AB125/AB$33</f>
        <v>0.007797881544</v>
      </c>
      <c r="AD125" s="377">
        <f>SUM(AD126)</f>
        <v>138497.655</v>
      </c>
      <c r="AE125" s="374">
        <f>AD125/AD$33</f>
        <v>0.007831247488</v>
      </c>
      <c r="AF125" s="437">
        <f>SUM(AF126)</f>
        <v>0</v>
      </c>
      <c r="AG125" s="372"/>
      <c r="AH125" s="600">
        <f>SUM(AH126)</f>
        <v>130407.59</v>
      </c>
      <c r="AI125" s="374">
        <f t="shared" ref="AI125:AI126" si="278">AH125/AH$33</f>
        <v>0.00833584655</v>
      </c>
      <c r="AJ125" s="377">
        <f>SUM(AJ126)</f>
        <v>132881.775</v>
      </c>
      <c r="AK125" s="374">
        <f>AJ125/AJ$33</f>
        <v>0.007860015126</v>
      </c>
      <c r="AL125" s="437">
        <f>SUM(AL126)</f>
        <v>0</v>
      </c>
      <c r="AM125" s="372"/>
      <c r="AN125" s="601">
        <f>SUM(AN126)</f>
        <v>130187.37</v>
      </c>
      <c r="AO125" s="374">
        <f t="shared" ref="AO125:AO126" si="279">AN125/AN$33</f>
        <v>0.007855465209</v>
      </c>
      <c r="AP125" s="377">
        <f>SUM(AP126)</f>
        <v>134052.33</v>
      </c>
      <c r="AQ125" s="374">
        <f>AP125/AP$33</f>
        <v>0.007670012584</v>
      </c>
      <c r="AR125" s="437">
        <f>SUM(AR126)</f>
        <v>0</v>
      </c>
      <c r="AS125" s="437"/>
      <c r="AT125" s="377">
        <f>SUM(AT126)</f>
        <v>138642.34</v>
      </c>
      <c r="AU125" s="374">
        <f>AT125/AT$33</f>
        <v>0.008176061314</v>
      </c>
      <c r="AV125" s="377">
        <f>SUM(AV126)</f>
        <v>129848.025</v>
      </c>
      <c r="AW125" s="374">
        <f>AV125/AV$33</f>
        <v>0.007601951768</v>
      </c>
      <c r="AX125" s="437">
        <f>SUM(AX126)</f>
        <v>0</v>
      </c>
      <c r="AY125" s="437"/>
      <c r="AZ125" s="377">
        <f>SUM(AZ126)</f>
        <v>180324.8</v>
      </c>
      <c r="BA125" s="374">
        <f>AZ125/AZ$33</f>
        <v>0.008759265751</v>
      </c>
      <c r="BB125" s="377">
        <f>SUM(BB126)</f>
        <v>149988.78</v>
      </c>
      <c r="BC125" s="374">
        <f>BB125/BB$33</f>
        <v>0.007669520703</v>
      </c>
      <c r="BD125" s="437">
        <f>SUM(BD126)</f>
        <v>0</v>
      </c>
      <c r="BE125" s="437"/>
      <c r="BF125" s="377">
        <f>SUM(BF126)</f>
        <v>166165.03</v>
      </c>
      <c r="BG125" s="374">
        <f>BF125/BF$33</f>
        <v>0.008865258838</v>
      </c>
      <c r="BH125" s="377">
        <f>SUM(BH126)</f>
        <v>134832.42</v>
      </c>
      <c r="BI125" s="374">
        <f>BH125/BH$33</f>
        <v>0.007525095443</v>
      </c>
      <c r="BJ125" s="437">
        <f>SUM(BJ126)</f>
        <v>0</v>
      </c>
      <c r="BK125" s="437"/>
      <c r="BL125" s="377">
        <f>SUM(BL126)</f>
        <v>0</v>
      </c>
      <c r="BM125" s="374">
        <f>BL125/BL$33</f>
        <v>0</v>
      </c>
      <c r="BN125" s="377">
        <f>SUM(BN126)</f>
        <v>110720.685</v>
      </c>
      <c r="BO125" s="374">
        <f>BN125/BN$33</f>
        <v>0.007384472469</v>
      </c>
      <c r="BP125" s="437">
        <f>SUM(BP126)</f>
        <v>0</v>
      </c>
      <c r="BQ125" s="437"/>
      <c r="BR125" s="692">
        <f>SUM(BR126)</f>
        <v>22633.47</v>
      </c>
      <c r="BS125" s="374">
        <f>BR125/BR$33</f>
        <v>0.001200437506</v>
      </c>
      <c r="BT125" s="377">
        <f>SUM(BT126)</f>
        <v>125279.325</v>
      </c>
      <c r="BU125" s="374">
        <f>BT125/BT$33</f>
        <v>0.007430617265</v>
      </c>
      <c r="BV125" s="437">
        <f>SUM(BV126)</f>
        <v>0</v>
      </c>
      <c r="BW125" s="216"/>
      <c r="BX125" s="216"/>
      <c r="BY125" s="216"/>
      <c r="BZ125" s="216"/>
      <c r="CA125" s="216"/>
      <c r="CB125" s="216"/>
      <c r="CC125" s="216"/>
      <c r="CD125" s="216"/>
      <c r="CE125" s="216"/>
      <c r="CF125" s="216"/>
      <c r="CG125" s="216"/>
      <c r="CH125" s="216"/>
      <c r="CI125" s="216"/>
      <c r="CJ125" s="216"/>
      <c r="CK125" s="216"/>
      <c r="CL125" s="216"/>
      <c r="CM125" s="216"/>
      <c r="CN125" s="216"/>
      <c r="CO125" s="216"/>
      <c r="CP125" s="216"/>
    </row>
    <row r="126" ht="15.75" customHeight="1">
      <c r="A126" s="213"/>
      <c r="B126" s="444"/>
      <c r="C126" s="383" t="s">
        <v>272</v>
      </c>
      <c r="D126" s="708">
        <f>320.1+146980.73</f>
        <v>147300.83</v>
      </c>
      <c r="E126" s="385">
        <f t="shared" si="274"/>
        <v>0.009130089209</v>
      </c>
      <c r="F126" s="388">
        <f>G126*F$17</f>
        <v>119125.02</v>
      </c>
      <c r="G126" s="385">
        <v>0.015</v>
      </c>
      <c r="H126" s="388">
        <f>D126-F126</f>
        <v>28175.81</v>
      </c>
      <c r="I126" s="807">
        <f>IFERROR(H126/F126,"")</f>
        <v>0.2365230243</v>
      </c>
      <c r="J126" s="708">
        <v>134566.45</v>
      </c>
      <c r="K126" s="385">
        <v>0.015</v>
      </c>
      <c r="L126" s="388">
        <f>M126*L$17</f>
        <v>136662.225</v>
      </c>
      <c r="M126" s="385">
        <v>0.015</v>
      </c>
      <c r="N126" s="709"/>
      <c r="O126" s="383"/>
      <c r="P126" s="708">
        <v>140697.29</v>
      </c>
      <c r="Q126" s="385">
        <f t="shared" si="275"/>
        <v>0.00921705958</v>
      </c>
      <c r="R126" s="388">
        <f>S126*R$17</f>
        <v>126825.255</v>
      </c>
      <c r="S126" s="385">
        <v>0.015</v>
      </c>
      <c r="T126" s="709"/>
      <c r="U126" s="383"/>
      <c r="V126" s="708">
        <f>3088.79+146156.37</f>
        <v>149245.16</v>
      </c>
      <c r="W126" s="385">
        <f t="shared" si="276"/>
        <v>0.00924639012</v>
      </c>
      <c r="X126" s="388">
        <f>Y126*X$17</f>
        <v>121894.95</v>
      </c>
      <c r="Y126" s="385">
        <v>0.015</v>
      </c>
      <c r="Z126" s="709"/>
      <c r="AA126" s="383"/>
      <c r="AB126" s="708">
        <f>135603+561.12</f>
        <v>136164.12</v>
      </c>
      <c r="AC126" s="385">
        <f t="shared" si="277"/>
        <v>0.007797881544</v>
      </c>
      <c r="AD126" s="388">
        <f>AE126*AD$17</f>
        <v>138497.655</v>
      </c>
      <c r="AE126" s="385">
        <v>0.015</v>
      </c>
      <c r="AF126" s="709"/>
      <c r="AG126" s="383"/>
      <c r="AH126" s="708">
        <f>130031.25+376.34</f>
        <v>130407.59</v>
      </c>
      <c r="AI126" s="385">
        <f t="shared" si="278"/>
        <v>0.00833584655</v>
      </c>
      <c r="AJ126" s="388">
        <f>AK126*AJ$17</f>
        <v>132881.775</v>
      </c>
      <c r="AK126" s="385">
        <v>0.015</v>
      </c>
      <c r="AL126" s="709"/>
      <c r="AM126" s="383"/>
      <c r="AN126" s="787">
        <f>97.87+130089.5</f>
        <v>130187.37</v>
      </c>
      <c r="AO126" s="385">
        <f t="shared" si="279"/>
        <v>0.007855465209</v>
      </c>
      <c r="AP126" s="388">
        <f>AQ126*AP$17</f>
        <v>134052.33</v>
      </c>
      <c r="AQ126" s="385">
        <v>0.015</v>
      </c>
      <c r="AR126" s="709"/>
      <c r="AS126" s="709"/>
      <c r="AT126" s="388">
        <f>37.21+138605.13</f>
        <v>138642.34</v>
      </c>
      <c r="AU126" s="385">
        <v>0.015</v>
      </c>
      <c r="AV126" s="388">
        <f>AW126*AV$17</f>
        <v>129848.025</v>
      </c>
      <c r="AW126" s="385">
        <v>0.015</v>
      </c>
      <c r="AX126" s="709"/>
      <c r="AY126" s="709"/>
      <c r="AZ126" s="388">
        <f>19052.85+161271.95</f>
        <v>180324.8</v>
      </c>
      <c r="BA126" s="385">
        <v>0.015</v>
      </c>
      <c r="BB126" s="388">
        <f>BC126*BB$17</f>
        <v>149988.78</v>
      </c>
      <c r="BC126" s="385">
        <v>0.015</v>
      </c>
      <c r="BD126" s="709"/>
      <c r="BE126" s="709"/>
      <c r="BF126" s="388">
        <f>308.01+165685.02+172</f>
        <v>166165.03</v>
      </c>
      <c r="BG126" s="385">
        <v>0.015</v>
      </c>
      <c r="BH126" s="388">
        <f>BI126*BH$17</f>
        <v>134832.42</v>
      </c>
      <c r="BI126" s="385">
        <v>0.015</v>
      </c>
      <c r="BJ126" s="709"/>
      <c r="BK126" s="709"/>
      <c r="BL126" s="388"/>
      <c r="BM126" s="385">
        <v>0.015</v>
      </c>
      <c r="BN126" s="388">
        <f>BO126*BN$17</f>
        <v>110720.685</v>
      </c>
      <c r="BO126" s="385">
        <v>0.015</v>
      </c>
      <c r="BP126" s="709"/>
      <c r="BQ126" s="709"/>
      <c r="BR126" s="802">
        <v>22633.47</v>
      </c>
      <c r="BS126" s="385">
        <v>0.015</v>
      </c>
      <c r="BT126" s="388">
        <f>BU126*BT$17</f>
        <v>125279.325</v>
      </c>
      <c r="BU126" s="385">
        <v>0.015</v>
      </c>
      <c r="BV126" s="709"/>
      <c r="BW126" s="213"/>
      <c r="BX126" s="213"/>
      <c r="BY126" s="213"/>
      <c r="BZ126" s="213"/>
      <c r="CA126" s="213"/>
      <c r="CB126" s="213"/>
      <c r="CC126" s="213"/>
      <c r="CD126" s="213"/>
      <c r="CE126" s="213"/>
      <c r="CF126" s="213"/>
      <c r="CG126" s="213"/>
      <c r="CH126" s="213"/>
      <c r="CI126" s="213"/>
      <c r="CJ126" s="213"/>
      <c r="CK126" s="213"/>
      <c r="CL126" s="213"/>
      <c r="CM126" s="213"/>
      <c r="CN126" s="213"/>
      <c r="CO126" s="213"/>
      <c r="CP126" s="213"/>
    </row>
    <row r="127" ht="15.75" customHeight="1">
      <c r="A127" s="213"/>
      <c r="B127" s="403"/>
      <c r="C127" s="362"/>
      <c r="D127" s="619"/>
      <c r="E127" s="688"/>
      <c r="F127" s="688"/>
      <c r="G127" s="404"/>
      <c r="H127" s="688"/>
      <c r="I127" s="362"/>
      <c r="J127" s="619"/>
      <c r="K127" s="688"/>
      <c r="L127" s="688"/>
      <c r="M127" s="688"/>
      <c r="N127" s="688"/>
      <c r="O127" s="362"/>
      <c r="P127" s="619"/>
      <c r="Q127" s="688"/>
      <c r="R127" s="364"/>
      <c r="S127" s="688"/>
      <c r="T127" s="688"/>
      <c r="U127" s="362"/>
      <c r="V127" s="619"/>
      <c r="W127" s="364"/>
      <c r="X127" s="803"/>
      <c r="Y127" s="688"/>
      <c r="Z127" s="688"/>
      <c r="AA127" s="362"/>
      <c r="AB127" s="619"/>
      <c r="AC127" s="688"/>
      <c r="AD127" s="688"/>
      <c r="AE127" s="688"/>
      <c r="AF127" s="688"/>
      <c r="AG127" s="362"/>
      <c r="AH127" s="619"/>
      <c r="AI127" s="688"/>
      <c r="AJ127" s="688"/>
      <c r="AK127" s="688"/>
      <c r="AL127" s="688"/>
      <c r="AM127" s="362"/>
      <c r="AN127" s="793"/>
      <c r="AO127" s="688"/>
      <c r="AP127" s="688"/>
      <c r="AQ127" s="688"/>
      <c r="AR127" s="688"/>
      <c r="AS127" s="688"/>
      <c r="AT127" s="367"/>
      <c r="AU127" s="688"/>
      <c r="AV127" s="688"/>
      <c r="AW127" s="688"/>
      <c r="AX127" s="688"/>
      <c r="AY127" s="688"/>
      <c r="AZ127" s="367"/>
      <c r="BA127" s="688"/>
      <c r="BB127" s="688"/>
      <c r="BC127" s="688"/>
      <c r="BD127" s="688"/>
      <c r="BE127" s="688"/>
      <c r="BF127" s="367"/>
      <c r="BG127" s="688"/>
      <c r="BH127" s="688"/>
      <c r="BI127" s="688"/>
      <c r="BJ127" s="688"/>
      <c r="BK127" s="688"/>
      <c r="BL127" s="367"/>
      <c r="BM127" s="688"/>
      <c r="BN127" s="688"/>
      <c r="BO127" s="688"/>
      <c r="BP127" s="688"/>
      <c r="BQ127" s="688"/>
      <c r="BR127" s="804"/>
      <c r="BS127" s="688"/>
      <c r="BT127" s="688"/>
      <c r="BU127" s="688"/>
      <c r="BV127" s="688"/>
      <c r="BW127" s="213"/>
      <c r="BX127" s="213"/>
      <c r="BY127" s="213"/>
      <c r="BZ127" s="213"/>
      <c r="CA127" s="213"/>
      <c r="CB127" s="213"/>
      <c r="CC127" s="213"/>
      <c r="CD127" s="213"/>
      <c r="CE127" s="213"/>
      <c r="CF127" s="213"/>
      <c r="CG127" s="213"/>
      <c r="CH127" s="213"/>
      <c r="CI127" s="213"/>
      <c r="CJ127" s="213"/>
      <c r="CK127" s="213"/>
      <c r="CL127" s="213"/>
      <c r="CM127" s="213"/>
      <c r="CN127" s="213"/>
      <c r="CO127" s="213"/>
      <c r="CP127" s="213"/>
    </row>
    <row r="128" ht="15.75" customHeight="1">
      <c r="A128" s="213"/>
      <c r="B128" s="735"/>
      <c r="C128" s="447" t="s">
        <v>273</v>
      </c>
      <c r="D128" s="771">
        <f>SUM(D129:D130)</f>
        <v>43404.33333</v>
      </c>
      <c r="E128" s="772">
        <f t="shared" ref="E128:E130" si="280">D128/D$33</f>
        <v>0.002690313662</v>
      </c>
      <c r="F128" s="773">
        <f>SUM(F129:F130)</f>
        <v>23000</v>
      </c>
      <c r="G128" s="772">
        <f t="shared" ref="G128:G130" si="281">F128/F$33</f>
        <v>0.00150255016</v>
      </c>
      <c r="H128" s="810">
        <f>SUM(H129:H130)</f>
        <v>20404.33333</v>
      </c>
      <c r="I128" s="811"/>
      <c r="J128" s="771">
        <f>SUM(J129:J130)</f>
        <v>31663.33333</v>
      </c>
      <c r="K128" s="772">
        <f t="shared" ref="K128:K130" si="282">J128/J$33</f>
        <v>0.001913592575</v>
      </c>
      <c r="L128" s="773">
        <f>SUM(L129:L130)</f>
        <v>23000</v>
      </c>
      <c r="M128" s="772">
        <f t="shared" ref="M128:M130" si="283">L128/L$33</f>
        <v>0.001338854595</v>
      </c>
      <c r="N128" s="812">
        <f>SUM(N129:N130)</f>
        <v>0</v>
      </c>
      <c r="O128" s="811"/>
      <c r="P128" s="771">
        <f>SUM(P129:P130)</f>
        <v>31663.33333</v>
      </c>
      <c r="Q128" s="772">
        <f t="shared" ref="Q128:Q130" si="284">P128/P$33</f>
        <v>0.002074260491</v>
      </c>
      <c r="R128" s="773">
        <f>SUM(R129:R130)</f>
        <v>23000</v>
      </c>
      <c r="S128" s="772">
        <f t="shared" ref="S128:S130" si="285">R128/R$33</f>
        <v>0.001416041987</v>
      </c>
      <c r="T128" s="812">
        <f>SUM(T129:T130)</f>
        <v>0</v>
      </c>
      <c r="U128" s="811"/>
      <c r="V128" s="771">
        <f>SUM(V129:V130)</f>
        <v>48035.33333</v>
      </c>
      <c r="W128" s="772">
        <f t="shared" ref="W128:W130" si="286">V128/V$33</f>
        <v>0.002975998897</v>
      </c>
      <c r="X128" s="810">
        <f>SUM(X129:X130)</f>
        <v>23000</v>
      </c>
      <c r="Y128" s="772">
        <f t="shared" ref="Y128:Y130" si="287">X128/X$33</f>
        <v>0.001450593785</v>
      </c>
      <c r="Z128" s="812">
        <f>SUM(Z129:Z130)</f>
        <v>0</v>
      </c>
      <c r="AA128" s="811"/>
      <c r="AB128" s="771">
        <f>SUM(AB129:AB130)</f>
        <v>37563.33333</v>
      </c>
      <c r="AC128" s="772">
        <f>AB128/AB$33</f>
        <v>0.002151186551</v>
      </c>
      <c r="AD128" s="810">
        <f>SUM(AD129:AD130)</f>
        <v>23000</v>
      </c>
      <c r="AE128" s="772">
        <f t="shared" ref="AE128:AE130" si="288">AD128/AD$33</f>
        <v>0.001300517992</v>
      </c>
      <c r="AF128" s="812">
        <f>SUM(AF129:AF130)</f>
        <v>0</v>
      </c>
      <c r="AG128" s="811"/>
      <c r="AH128" s="771">
        <f>SUM(AH129:AH130)</f>
        <v>31663.33333</v>
      </c>
      <c r="AI128" s="772">
        <f>AH128/AH$33</f>
        <v>0.002023967224</v>
      </c>
      <c r="AJ128" s="810">
        <f>SUM(AJ129:AJ130)</f>
        <v>23000</v>
      </c>
      <c r="AK128" s="772">
        <f t="shared" ref="AK128:AK130" si="289">AJ128/AJ$33</f>
        <v>0.001360460062</v>
      </c>
      <c r="AL128" s="812">
        <f>SUM(AL129:AL130)</f>
        <v>0</v>
      </c>
      <c r="AM128" s="811"/>
      <c r="AN128" s="813">
        <f>SUM(AN129:AN130)</f>
        <v>31663.33333</v>
      </c>
      <c r="AO128" s="772">
        <f>AN128/AN$33</f>
        <v>0.001910555635</v>
      </c>
      <c r="AP128" s="810">
        <f>SUM(AP129:AP130)</f>
        <v>23000</v>
      </c>
      <c r="AQ128" s="772">
        <f t="shared" ref="AQ128:AQ130" si="290">AP128/AP$33</f>
        <v>0.001315980777</v>
      </c>
      <c r="AR128" s="812">
        <f>SUM(AR129:AR130)</f>
        <v>0</v>
      </c>
      <c r="AS128" s="812"/>
      <c r="AT128" s="773">
        <f>SUM(AT129:AT130)</f>
        <v>31663.33333</v>
      </c>
      <c r="AU128" s="772">
        <f t="shared" ref="AU128:AU130" si="291">AT128/AT$33</f>
        <v>0.001867260425</v>
      </c>
      <c r="AV128" s="810">
        <f>SUM(AV129:AV130)</f>
        <v>23000</v>
      </c>
      <c r="AW128" s="772">
        <f t="shared" ref="AW128:AW130" si="292">AV128/AV$33</f>
        <v>0.001346534848</v>
      </c>
      <c r="AX128" s="812">
        <f>SUM(AX129:AX130)</f>
        <v>0</v>
      </c>
      <c r="AY128" s="812"/>
      <c r="AZ128" s="773">
        <f>SUM(AZ129:AZ130)</f>
        <v>31663.33333</v>
      </c>
      <c r="BA128" s="772">
        <f t="shared" ref="BA128:BA130" si="293">AZ128/AZ$33</f>
        <v>0.001538044413</v>
      </c>
      <c r="BB128" s="810">
        <f>SUM(BB129:BB130)</f>
        <v>23000</v>
      </c>
      <c r="BC128" s="772">
        <f t="shared" ref="BC128:BC130" si="294">BB128/BB$33</f>
        <v>0.001176081145</v>
      </c>
      <c r="BD128" s="812">
        <f>SUM(BD129:BD130)</f>
        <v>0</v>
      </c>
      <c r="BE128" s="812"/>
      <c r="BF128" s="773">
        <f>SUM(BF129:BF130)</f>
        <v>36088.33333</v>
      </c>
      <c r="BG128" s="772">
        <f t="shared" ref="BG128:BG130" si="295">BF128/BF$33</f>
        <v>0.001925389572</v>
      </c>
      <c r="BH128" s="810">
        <f>SUM(BH129:BH130)</f>
        <v>23000</v>
      </c>
      <c r="BI128" s="772">
        <f t="shared" ref="BI128:BI130" si="296">BH128/BH$33</f>
        <v>0.001283646731</v>
      </c>
      <c r="BJ128" s="812">
        <f>SUM(BJ129:BJ130)</f>
        <v>0</v>
      </c>
      <c r="BK128" s="812"/>
      <c r="BL128" s="773">
        <f>SUM(BL129:BL130)</f>
        <v>31663.33333</v>
      </c>
      <c r="BM128" s="772">
        <f t="shared" ref="BM128:BM130" si="297">BL128/BL$33</f>
        <v>0.001925893322</v>
      </c>
      <c r="BN128" s="810">
        <f>SUM(BN129:BN130)</f>
        <v>23000</v>
      </c>
      <c r="BO128" s="772">
        <f t="shared" ref="BO128:BO130" si="298">BN128/BN$33</f>
        <v>0.001533975939</v>
      </c>
      <c r="BP128" s="812">
        <f>SUM(BP129:BP130)</f>
        <v>0</v>
      </c>
      <c r="BQ128" s="812"/>
      <c r="BR128" s="814">
        <f>SUM(BR129:BR130)</f>
        <v>2612.583333</v>
      </c>
      <c r="BS128" s="772">
        <f t="shared" ref="BS128:BS130" si="299">BR128/BR$33</f>
        <v>0.0001385666017</v>
      </c>
      <c r="BT128" s="773">
        <f>SUM(BT129:BT130)</f>
        <v>23000</v>
      </c>
      <c r="BU128" s="772">
        <f t="shared" ref="BU128:BU130" si="300">BT128/BT$33</f>
        <v>0.001364185169</v>
      </c>
      <c r="BV128" s="812">
        <f>SUM(BV129:BV130)</f>
        <v>0</v>
      </c>
      <c r="BW128" s="216"/>
      <c r="BX128" s="216"/>
      <c r="BY128" s="216"/>
      <c r="BZ128" s="216"/>
      <c r="CA128" s="216"/>
      <c r="CB128" s="216"/>
      <c r="CC128" s="216"/>
      <c r="CD128" s="216"/>
      <c r="CE128" s="216"/>
      <c r="CF128" s="216"/>
      <c r="CG128" s="216"/>
      <c r="CH128" s="216"/>
      <c r="CI128" s="216"/>
      <c r="CJ128" s="216"/>
      <c r="CK128" s="216"/>
      <c r="CL128" s="216"/>
      <c r="CM128" s="216"/>
      <c r="CN128" s="216"/>
      <c r="CO128" s="216"/>
      <c r="CP128" s="216"/>
    </row>
    <row r="129" ht="15.75" customHeight="1">
      <c r="A129" s="213"/>
      <c r="B129" s="444"/>
      <c r="C129" s="383" t="s">
        <v>274</v>
      </c>
      <c r="D129" s="708">
        <v>11741.0</v>
      </c>
      <c r="E129" s="385">
        <f t="shared" si="280"/>
        <v>0.000727737769</v>
      </c>
      <c r="F129" s="388">
        <v>2000.0</v>
      </c>
      <c r="G129" s="385">
        <f t="shared" si="281"/>
        <v>0.0001306565357</v>
      </c>
      <c r="H129" s="388">
        <f t="shared" ref="H129:H130" si="301">D129-F129</f>
        <v>9741</v>
      </c>
      <c r="I129" s="807">
        <f t="shared" ref="I129:I130" si="302">IFERROR(H129/F129,"")</f>
        <v>4.8705</v>
      </c>
      <c r="J129" s="708"/>
      <c r="K129" s="385">
        <f t="shared" si="282"/>
        <v>0</v>
      </c>
      <c r="L129" s="388">
        <f t="shared" ref="L129:L130" si="303">$F129</f>
        <v>2000</v>
      </c>
      <c r="M129" s="385">
        <f t="shared" si="283"/>
        <v>0.0001164221387</v>
      </c>
      <c r="N129" s="709"/>
      <c r="O129" s="383"/>
      <c r="P129" s="708"/>
      <c r="Q129" s="385">
        <f t="shared" si="284"/>
        <v>0</v>
      </c>
      <c r="R129" s="388">
        <f t="shared" ref="R129:R130" si="304">$F129</f>
        <v>2000</v>
      </c>
      <c r="S129" s="385">
        <f t="shared" si="285"/>
        <v>0.0001231340858</v>
      </c>
      <c r="T129" s="709"/>
      <c r="U129" s="383"/>
      <c r="V129" s="708">
        <v>16372.0</v>
      </c>
      <c r="W129" s="385">
        <f t="shared" si="286"/>
        <v>0.001014316974</v>
      </c>
      <c r="X129" s="388">
        <f t="shared" ref="X129:X130" si="305">$F129</f>
        <v>2000</v>
      </c>
      <c r="Y129" s="385">
        <f t="shared" si="287"/>
        <v>0.00012613859</v>
      </c>
      <c r="Z129" s="709"/>
      <c r="AA129" s="383"/>
      <c r="AB129" s="708"/>
      <c r="AC129" s="709"/>
      <c r="AD129" s="388">
        <f t="shared" ref="AD129:AD130" si="306">$F129</f>
        <v>2000</v>
      </c>
      <c r="AE129" s="385">
        <f t="shared" si="288"/>
        <v>0.0001130885211</v>
      </c>
      <c r="AF129" s="709"/>
      <c r="AG129" s="383"/>
      <c r="AH129" s="708"/>
      <c r="AI129" s="709"/>
      <c r="AJ129" s="388">
        <f t="shared" ref="AJ129:AJ130" si="307">$F129</f>
        <v>2000</v>
      </c>
      <c r="AK129" s="385">
        <f t="shared" si="289"/>
        <v>0.000118300875</v>
      </c>
      <c r="AL129" s="709"/>
      <c r="AM129" s="383"/>
      <c r="AN129" s="787"/>
      <c r="AO129" s="709"/>
      <c r="AP129" s="388">
        <f t="shared" ref="AP129:AP130" si="308">$F129</f>
        <v>2000</v>
      </c>
      <c r="AQ129" s="385">
        <f t="shared" si="290"/>
        <v>0.0001144331111</v>
      </c>
      <c r="AR129" s="709"/>
      <c r="AS129" s="709"/>
      <c r="AT129" s="388"/>
      <c r="AU129" s="385">
        <f t="shared" si="291"/>
        <v>0</v>
      </c>
      <c r="AV129" s="388">
        <f t="shared" ref="AV129:AV130" si="309">$F129</f>
        <v>2000</v>
      </c>
      <c r="AW129" s="385">
        <f t="shared" si="292"/>
        <v>0.0001170899868</v>
      </c>
      <c r="AX129" s="709"/>
      <c r="AY129" s="709"/>
      <c r="AZ129" s="388"/>
      <c r="BA129" s="385">
        <f t="shared" si="293"/>
        <v>0</v>
      </c>
      <c r="BB129" s="388">
        <f t="shared" ref="BB129:BB130" si="310">$F129</f>
        <v>2000</v>
      </c>
      <c r="BC129" s="385">
        <f t="shared" si="294"/>
        <v>0.0001022679257</v>
      </c>
      <c r="BD129" s="709"/>
      <c r="BE129" s="709"/>
      <c r="BF129" s="388">
        <v>4425.0</v>
      </c>
      <c r="BG129" s="385">
        <f t="shared" si="295"/>
        <v>0.0002360831901</v>
      </c>
      <c r="BH129" s="388">
        <f t="shared" ref="BH129:BH130" si="311">$F129</f>
        <v>2000</v>
      </c>
      <c r="BI129" s="385">
        <f t="shared" si="296"/>
        <v>0.0001116214549</v>
      </c>
      <c r="BJ129" s="709"/>
      <c r="BK129" s="709"/>
      <c r="BL129" s="388"/>
      <c r="BM129" s="385">
        <f t="shared" si="297"/>
        <v>0</v>
      </c>
      <c r="BN129" s="388">
        <f t="shared" ref="BN129:BN130" si="312">$F129</f>
        <v>2000</v>
      </c>
      <c r="BO129" s="385">
        <f t="shared" si="298"/>
        <v>0.0001333892121</v>
      </c>
      <c r="BP129" s="709"/>
      <c r="BQ129" s="709"/>
      <c r="BR129" s="802"/>
      <c r="BS129" s="385">
        <f t="shared" si="299"/>
        <v>0</v>
      </c>
      <c r="BT129" s="388">
        <f t="shared" ref="BT129:BT130" si="313">$F129</f>
        <v>2000</v>
      </c>
      <c r="BU129" s="385">
        <f t="shared" si="300"/>
        <v>0.0001186247973</v>
      </c>
      <c r="BV129" s="709"/>
      <c r="BW129" s="213"/>
      <c r="BX129" s="213"/>
      <c r="BY129" s="213"/>
      <c r="BZ129" s="213"/>
      <c r="CA129" s="213"/>
      <c r="CB129" s="213"/>
      <c r="CC129" s="213"/>
      <c r="CD129" s="213"/>
      <c r="CE129" s="213"/>
      <c r="CF129" s="213"/>
      <c r="CG129" s="213"/>
      <c r="CH129" s="213"/>
      <c r="CI129" s="213"/>
      <c r="CJ129" s="213"/>
      <c r="CK129" s="213"/>
      <c r="CL129" s="213"/>
      <c r="CM129" s="213"/>
      <c r="CN129" s="213"/>
      <c r="CO129" s="213"/>
      <c r="CP129" s="213"/>
    </row>
    <row r="130" ht="15.75" customHeight="1">
      <c r="A130" s="213"/>
      <c r="B130" s="393"/>
      <c r="C130" s="350" t="s">
        <v>397</v>
      </c>
      <c r="D130" s="604">
        <f>14750+2950+2950+2065+8260+(8260/12)</f>
        <v>31663.33333</v>
      </c>
      <c r="E130" s="355">
        <f t="shared" si="280"/>
        <v>0.001962575893</v>
      </c>
      <c r="F130" s="357">
        <v>21000.0</v>
      </c>
      <c r="G130" s="355">
        <f t="shared" si="281"/>
        <v>0.001371893625</v>
      </c>
      <c r="H130" s="357">
        <f t="shared" si="301"/>
        <v>10663.33333</v>
      </c>
      <c r="I130" s="719">
        <f t="shared" si="302"/>
        <v>0.5077777778</v>
      </c>
      <c r="J130" s="604">
        <f>14750+2950+2950+2065+8260+(8260/12)</f>
        <v>31663.33333</v>
      </c>
      <c r="K130" s="355">
        <f t="shared" si="282"/>
        <v>0.001913592575</v>
      </c>
      <c r="L130" s="357">
        <f t="shared" si="303"/>
        <v>21000</v>
      </c>
      <c r="M130" s="355">
        <f t="shared" si="283"/>
        <v>0.001222432456</v>
      </c>
      <c r="N130" s="245"/>
      <c r="O130" s="350"/>
      <c r="P130" s="604">
        <f>14750+2950+2950+2065+8260+(8260/12)</f>
        <v>31663.33333</v>
      </c>
      <c r="Q130" s="355">
        <f t="shared" si="284"/>
        <v>0.002074260491</v>
      </c>
      <c r="R130" s="357">
        <f t="shared" si="304"/>
        <v>21000</v>
      </c>
      <c r="S130" s="355">
        <f t="shared" si="285"/>
        <v>0.001292907901</v>
      </c>
      <c r="T130" s="245"/>
      <c r="U130" s="350"/>
      <c r="V130" s="604">
        <f>14750+2950+2950+2065+8260+(8260/12)</f>
        <v>31663.33333</v>
      </c>
      <c r="W130" s="355">
        <f t="shared" si="286"/>
        <v>0.001961681923</v>
      </c>
      <c r="X130" s="357">
        <f t="shared" si="305"/>
        <v>21000</v>
      </c>
      <c r="Y130" s="355">
        <f t="shared" si="287"/>
        <v>0.001324455195</v>
      </c>
      <c r="Z130" s="245"/>
      <c r="AA130" s="350"/>
      <c r="AB130" s="604">
        <f>14750+2950+2950+2065+8260+(8260/12)+5900</f>
        <v>37563.33333</v>
      </c>
      <c r="AC130" s="355">
        <f>AB130/AB$33</f>
        <v>0.002151186551</v>
      </c>
      <c r="AD130" s="357">
        <f t="shared" si="306"/>
        <v>21000</v>
      </c>
      <c r="AE130" s="355">
        <f t="shared" si="288"/>
        <v>0.001187429471</v>
      </c>
      <c r="AF130" s="245"/>
      <c r="AG130" s="350"/>
      <c r="AH130" s="604">
        <f>14750+2950+2950+2065+8260+(8260/12)</f>
        <v>31663.33333</v>
      </c>
      <c r="AI130" s="355">
        <f>AH130/AH$33</f>
        <v>0.002023967224</v>
      </c>
      <c r="AJ130" s="357">
        <f t="shared" si="307"/>
        <v>21000</v>
      </c>
      <c r="AK130" s="355">
        <f t="shared" si="289"/>
        <v>0.001242159187</v>
      </c>
      <c r="AL130" s="245"/>
      <c r="AM130" s="350"/>
      <c r="AN130" s="605">
        <f>14750+2950+2950+2065+8260+(8260/12)</f>
        <v>31663.33333</v>
      </c>
      <c r="AO130" s="355">
        <f>AN130/AN$33</f>
        <v>0.001910555635</v>
      </c>
      <c r="AP130" s="357">
        <f t="shared" si="308"/>
        <v>21000</v>
      </c>
      <c r="AQ130" s="355">
        <f t="shared" si="290"/>
        <v>0.001201547666</v>
      </c>
      <c r="AR130" s="245"/>
      <c r="AS130" s="245"/>
      <c r="AT130" s="357">
        <f>14750+2950+2950+2065+8260+(8260/12)</f>
        <v>31663.33333</v>
      </c>
      <c r="AU130" s="355">
        <f t="shared" si="291"/>
        <v>0.001867260425</v>
      </c>
      <c r="AV130" s="357">
        <f t="shared" si="309"/>
        <v>21000</v>
      </c>
      <c r="AW130" s="355">
        <f t="shared" si="292"/>
        <v>0.001229444862</v>
      </c>
      <c r="AX130" s="245"/>
      <c r="AY130" s="245"/>
      <c r="AZ130" s="357">
        <f>14750+2950+2950+2065+8260+(8260/12)</f>
        <v>31663.33333</v>
      </c>
      <c r="BA130" s="355">
        <f t="shared" si="293"/>
        <v>0.001538044413</v>
      </c>
      <c r="BB130" s="357">
        <f t="shared" si="310"/>
        <v>21000</v>
      </c>
      <c r="BC130" s="355">
        <f t="shared" si="294"/>
        <v>0.00107381322</v>
      </c>
      <c r="BD130" s="245"/>
      <c r="BE130" s="245"/>
      <c r="BF130" s="357">
        <f>14750+2950+2950+2065+8260+(8260/12)</f>
        <v>31663.33333</v>
      </c>
      <c r="BG130" s="355">
        <f t="shared" si="295"/>
        <v>0.001689306382</v>
      </c>
      <c r="BH130" s="357">
        <f t="shared" si="311"/>
        <v>21000</v>
      </c>
      <c r="BI130" s="355">
        <f t="shared" si="296"/>
        <v>0.001172025276</v>
      </c>
      <c r="BJ130" s="245"/>
      <c r="BK130" s="245"/>
      <c r="BL130" s="357">
        <f>14750+2950+2950+2065+8260+(8260/12)</f>
        <v>31663.33333</v>
      </c>
      <c r="BM130" s="355">
        <f t="shared" si="297"/>
        <v>0.001925893322</v>
      </c>
      <c r="BN130" s="357">
        <f t="shared" si="312"/>
        <v>21000</v>
      </c>
      <c r="BO130" s="355">
        <f t="shared" si="298"/>
        <v>0.001400586727</v>
      </c>
      <c r="BP130" s="245"/>
      <c r="BQ130" s="245"/>
      <c r="BR130" s="356">
        <f>(8260/12)+(23091/12)</f>
        <v>2612.583333</v>
      </c>
      <c r="BS130" s="355">
        <f t="shared" si="299"/>
        <v>0.0001385666017</v>
      </c>
      <c r="BT130" s="357">
        <f t="shared" si="313"/>
        <v>21000</v>
      </c>
      <c r="BU130" s="355">
        <f t="shared" si="300"/>
        <v>0.001245560371</v>
      </c>
      <c r="BV130" s="245"/>
      <c r="BW130" s="213"/>
      <c r="BX130" s="213"/>
      <c r="BY130" s="213"/>
      <c r="BZ130" s="213"/>
      <c r="CA130" s="213"/>
      <c r="CB130" s="213"/>
      <c r="CC130" s="213"/>
      <c r="CD130" s="213"/>
      <c r="CE130" s="213"/>
      <c r="CF130" s="213"/>
      <c r="CG130" s="213"/>
      <c r="CH130" s="213"/>
      <c r="CI130" s="213"/>
      <c r="CJ130" s="213"/>
      <c r="CK130" s="213"/>
      <c r="CL130" s="213"/>
      <c r="CM130" s="213"/>
      <c r="CN130" s="213"/>
      <c r="CO130" s="213"/>
      <c r="CP130" s="213"/>
    </row>
    <row r="131" ht="15.75" customHeight="1">
      <c r="A131" s="213"/>
      <c r="B131" s="403"/>
      <c r="C131" s="362"/>
      <c r="D131" s="619"/>
      <c r="E131" s="688"/>
      <c r="F131" s="688"/>
      <c r="G131" s="404"/>
      <c r="H131" s="688"/>
      <c r="I131" s="362"/>
      <c r="J131" s="619"/>
      <c r="K131" s="688"/>
      <c r="L131" s="688"/>
      <c r="M131" s="688"/>
      <c r="N131" s="688"/>
      <c r="O131" s="362"/>
      <c r="P131" s="619"/>
      <c r="Q131" s="688"/>
      <c r="R131" s="364"/>
      <c r="S131" s="688"/>
      <c r="T131" s="688"/>
      <c r="U131" s="362"/>
      <c r="V131" s="619"/>
      <c r="W131" s="364"/>
      <c r="X131" s="803"/>
      <c r="Y131" s="688"/>
      <c r="Z131" s="688"/>
      <c r="AA131" s="362"/>
      <c r="AB131" s="619"/>
      <c r="AC131" s="688"/>
      <c r="AD131" s="688"/>
      <c r="AE131" s="688"/>
      <c r="AF131" s="688"/>
      <c r="AG131" s="362"/>
      <c r="AH131" s="619"/>
      <c r="AI131" s="688"/>
      <c r="AJ131" s="688"/>
      <c r="AK131" s="688"/>
      <c r="AL131" s="688"/>
      <c r="AM131" s="362"/>
      <c r="AN131" s="793"/>
      <c r="AO131" s="688"/>
      <c r="AP131" s="688"/>
      <c r="AQ131" s="688"/>
      <c r="AR131" s="688"/>
      <c r="AS131" s="688"/>
      <c r="AT131" s="367"/>
      <c r="AU131" s="688"/>
      <c r="AV131" s="688"/>
      <c r="AW131" s="688"/>
      <c r="AX131" s="688"/>
      <c r="AY131" s="688"/>
      <c r="AZ131" s="367"/>
      <c r="BA131" s="688"/>
      <c r="BB131" s="688"/>
      <c r="BC131" s="688"/>
      <c r="BD131" s="688"/>
      <c r="BE131" s="688"/>
      <c r="BF131" s="367"/>
      <c r="BG131" s="688"/>
      <c r="BH131" s="688"/>
      <c r="BI131" s="688"/>
      <c r="BJ131" s="688"/>
      <c r="BK131" s="688"/>
      <c r="BL131" s="367"/>
      <c r="BM131" s="688"/>
      <c r="BN131" s="688"/>
      <c r="BO131" s="688"/>
      <c r="BP131" s="688"/>
      <c r="BQ131" s="688"/>
      <c r="BR131" s="804"/>
      <c r="BS131" s="688"/>
      <c r="BT131" s="688"/>
      <c r="BU131" s="688"/>
      <c r="BV131" s="688"/>
      <c r="BW131" s="213"/>
      <c r="BX131" s="213"/>
      <c r="BY131" s="213"/>
      <c r="BZ131" s="213"/>
      <c r="CA131" s="213"/>
      <c r="CB131" s="213"/>
      <c r="CC131" s="213"/>
      <c r="CD131" s="213"/>
      <c r="CE131" s="213"/>
      <c r="CF131" s="213"/>
      <c r="CG131" s="213"/>
      <c r="CH131" s="213"/>
      <c r="CI131" s="213"/>
      <c r="CJ131" s="213"/>
      <c r="CK131" s="213"/>
      <c r="CL131" s="213"/>
      <c r="CM131" s="213"/>
      <c r="CN131" s="213"/>
      <c r="CO131" s="213"/>
      <c r="CP131" s="213"/>
    </row>
    <row r="132" ht="15.75" customHeight="1">
      <c r="A132" s="213"/>
      <c r="B132" s="407"/>
      <c r="C132" s="447" t="s">
        <v>41</v>
      </c>
      <c r="D132" s="600">
        <f>SUM(D133:D146)</f>
        <v>300576.3333</v>
      </c>
      <c r="E132" s="374">
        <f t="shared" ref="E132:E138" si="314">D132/D$33</f>
        <v>0.01863050424</v>
      </c>
      <c r="F132" s="600">
        <f>SUM(F133:F146)</f>
        <v>438458.3333</v>
      </c>
      <c r="G132" s="374">
        <f>F132/F$33</f>
        <v>0.02864372344</v>
      </c>
      <c r="H132" s="437">
        <f>SUM(H133:H144)</f>
        <v>-146732</v>
      </c>
      <c r="I132" s="372"/>
      <c r="J132" s="600">
        <f>SUM(J133:J146)</f>
        <v>374476.3333</v>
      </c>
      <c r="K132" s="374">
        <f t="shared" ref="K132:K138" si="315">J132/J$33</f>
        <v>0.02263170221</v>
      </c>
      <c r="L132" s="600">
        <f>SUM(L133:L146)</f>
        <v>438458.3333</v>
      </c>
      <c r="M132" s="374">
        <f>L132/L$33</f>
        <v>0.02552312845</v>
      </c>
      <c r="N132" s="437">
        <f>SUM(N133:N144)</f>
        <v>0</v>
      </c>
      <c r="O132" s="372"/>
      <c r="P132" s="600">
        <f>SUM(P133:P146)</f>
        <v>574569.3333</v>
      </c>
      <c r="Q132" s="374">
        <f t="shared" ref="Q132:Q145" si="316">P132/P$33</f>
        <v>0.03763995581</v>
      </c>
      <c r="R132" s="600">
        <f>SUM(R133:R146)</f>
        <v>455458.3333</v>
      </c>
      <c r="S132" s="374">
        <f>R132/R$33</f>
        <v>0.02804122274</v>
      </c>
      <c r="T132" s="437">
        <f>SUM(T133:T144)</f>
        <v>0</v>
      </c>
      <c r="U132" s="372"/>
      <c r="V132" s="600">
        <f>SUM(V133:V146)</f>
        <v>402798.6667</v>
      </c>
      <c r="W132" s="374">
        <f t="shared" ref="W132:W146" si="317">V132/V$33</f>
        <v>0.02495513832</v>
      </c>
      <c r="X132" s="600">
        <f>SUM(X133:X146)</f>
        <v>455458.3333</v>
      </c>
      <c r="Y132" s="374">
        <f>X132/X$33</f>
        <v>0.02872543598</v>
      </c>
      <c r="Z132" s="437">
        <f>SUM(Z133:Z144)</f>
        <v>0</v>
      </c>
      <c r="AA132" s="372"/>
      <c r="AB132" s="600">
        <f>SUM(AB133:AB146)</f>
        <v>607212.6667</v>
      </c>
      <c r="AC132" s="374">
        <f>AB132/AB$33</f>
        <v>0.03477400983</v>
      </c>
      <c r="AD132" s="600">
        <f>SUM(AD133:AD146)</f>
        <v>455458.3333</v>
      </c>
      <c r="AE132" s="374">
        <f>AD132/AD$33</f>
        <v>0.02575355466</v>
      </c>
      <c r="AF132" s="437">
        <f>SUM(AF133:AF144)</f>
        <v>0</v>
      </c>
      <c r="AG132" s="372"/>
      <c r="AH132" s="600">
        <f>SUM(AH133:AH146)</f>
        <v>1034030.667</v>
      </c>
      <c r="AI132" s="374">
        <f>AH132/AH$33</f>
        <v>0.0660967737</v>
      </c>
      <c r="AJ132" s="600">
        <f>SUM(AJ133:AJ146)</f>
        <v>423797</v>
      </c>
      <c r="AK132" s="374">
        <f>AJ132/AJ$33</f>
        <v>0.02506777796</v>
      </c>
      <c r="AL132" s="437">
        <f>SUM(AL133:AL144)</f>
        <v>0</v>
      </c>
      <c r="AM132" s="372"/>
      <c r="AN132" s="600">
        <f>SUM(AN133:AN146)</f>
        <v>465383.3333</v>
      </c>
      <c r="AO132" s="374">
        <f>AN132/AN$33</f>
        <v>0.02808108485</v>
      </c>
      <c r="AP132" s="600">
        <f>SUM(AP133:AP146)</f>
        <v>443797</v>
      </c>
      <c r="AQ132" s="374">
        <f>AP132/AP$33</f>
        <v>0.0253925357</v>
      </c>
      <c r="AR132" s="437">
        <f>SUM(AR133:AR144)</f>
        <v>0</v>
      </c>
      <c r="AS132" s="437"/>
      <c r="AT132" s="600">
        <f>SUM(AT133:AT146)</f>
        <v>460148.3333</v>
      </c>
      <c r="AU132" s="374">
        <f>AT132/AT$33</f>
        <v>0.02713601766</v>
      </c>
      <c r="AV132" s="600">
        <f>SUM(AV133:AV146)</f>
        <v>443797</v>
      </c>
      <c r="AW132" s="374">
        <f>AV132/AV$33</f>
        <v>0.02598209244</v>
      </c>
      <c r="AX132" s="437">
        <f>SUM(AX133:AX144)</f>
        <v>0</v>
      </c>
      <c r="AY132" s="437"/>
      <c r="AZ132" s="600">
        <f>SUM(AZ133:AZ146)</f>
        <v>1037130.333</v>
      </c>
      <c r="BA132" s="374">
        <f>AZ132/AZ$33</f>
        <v>0.05037854032</v>
      </c>
      <c r="BB132" s="600">
        <f>SUM(BB133:BB146)</f>
        <v>423797</v>
      </c>
      <c r="BC132" s="374">
        <f>BB132/BB$33</f>
        <v>0.02167042005</v>
      </c>
      <c r="BD132" s="437">
        <f>SUM(BD133:BD144)</f>
        <v>0</v>
      </c>
      <c r="BE132" s="437"/>
      <c r="BF132" s="600">
        <f>SUM(BF133:BF146)</f>
        <v>692046.3333</v>
      </c>
      <c r="BG132" s="374">
        <f>BF132/BF$33</f>
        <v>0.03692214826</v>
      </c>
      <c r="BH132" s="600">
        <f>SUM(BH133:BH146)</f>
        <v>423797</v>
      </c>
      <c r="BI132" s="374">
        <f>BH132/BH$33</f>
        <v>0.02365241886</v>
      </c>
      <c r="BJ132" s="437">
        <f>SUM(BJ133:BJ144)</f>
        <v>0</v>
      </c>
      <c r="BK132" s="437"/>
      <c r="BL132" s="600">
        <f>SUM(BL133:BL146)</f>
        <v>581824.5333</v>
      </c>
      <c r="BM132" s="374">
        <f>BL132/BL$33</f>
        <v>0.03538894568</v>
      </c>
      <c r="BN132" s="600">
        <f>SUM(BN133:BN146)</f>
        <v>423797</v>
      </c>
      <c r="BO132" s="374">
        <f>BN132/BN$33</f>
        <v>0.02826497396</v>
      </c>
      <c r="BP132" s="437">
        <f>SUM(BP133:BP144)</f>
        <v>0</v>
      </c>
      <c r="BQ132" s="437"/>
      <c r="BR132" s="692">
        <f>SUM(BR133:BR146)</f>
        <v>648239.7933</v>
      </c>
      <c r="BS132" s="374">
        <f>BR132/BR$33</f>
        <v>0.0343814431</v>
      </c>
      <c r="BT132" s="600">
        <f>SUM(BT133:BT146)</f>
        <v>423797</v>
      </c>
      <c r="BU132" s="374">
        <f>BT132/BT$33</f>
        <v>0.0251364166</v>
      </c>
      <c r="BV132" s="437">
        <f>SUM(BV133:BV144)</f>
        <v>0</v>
      </c>
      <c r="BW132" s="216"/>
      <c r="BX132" s="216"/>
      <c r="BY132" s="216"/>
      <c r="BZ132" s="216"/>
      <c r="CA132" s="216"/>
      <c r="CB132" s="216"/>
      <c r="CC132" s="216"/>
      <c r="CD132" s="216"/>
      <c r="CE132" s="216"/>
      <c r="CF132" s="216"/>
      <c r="CG132" s="216"/>
      <c r="CH132" s="216"/>
      <c r="CI132" s="216"/>
      <c r="CJ132" s="216"/>
      <c r="CK132" s="216"/>
      <c r="CL132" s="216"/>
      <c r="CM132" s="216"/>
      <c r="CN132" s="216"/>
      <c r="CO132" s="216"/>
      <c r="CP132" s="216"/>
    </row>
    <row r="133" ht="15.75" customHeight="1">
      <c r="A133" s="213"/>
      <c r="B133" s="444"/>
      <c r="C133" s="383" t="s">
        <v>277</v>
      </c>
      <c r="D133" s="708"/>
      <c r="E133" s="385">
        <f t="shared" si="314"/>
        <v>0</v>
      </c>
      <c r="F133" s="388"/>
      <c r="G133" s="385"/>
      <c r="H133" s="709"/>
      <c r="I133" s="383"/>
      <c r="J133" s="708"/>
      <c r="K133" s="385">
        <f t="shared" si="315"/>
        <v>0</v>
      </c>
      <c r="L133" s="388"/>
      <c r="M133" s="385"/>
      <c r="N133" s="709"/>
      <c r="O133" s="383"/>
      <c r="P133" s="708"/>
      <c r="Q133" s="385">
        <f t="shared" si="316"/>
        <v>0</v>
      </c>
      <c r="R133" s="388"/>
      <c r="S133" s="385"/>
      <c r="T133" s="709"/>
      <c r="U133" s="383"/>
      <c r="V133" s="708"/>
      <c r="W133" s="385">
        <f t="shared" si="317"/>
        <v>0</v>
      </c>
      <c r="X133" s="388"/>
      <c r="Y133" s="385"/>
      <c r="Z133" s="709"/>
      <c r="AA133" s="383"/>
      <c r="AB133" s="708"/>
      <c r="AC133" s="709"/>
      <c r="AD133" s="388"/>
      <c r="AE133" s="385"/>
      <c r="AF133" s="709"/>
      <c r="AG133" s="383"/>
      <c r="AH133" s="708"/>
      <c r="AI133" s="709"/>
      <c r="AJ133" s="388"/>
      <c r="AK133" s="385"/>
      <c r="AL133" s="709"/>
      <c r="AM133" s="383"/>
      <c r="AN133" s="787"/>
      <c r="AO133" s="709"/>
      <c r="AP133" s="388"/>
      <c r="AQ133" s="385"/>
      <c r="AR133" s="709"/>
      <c r="AS133" s="709"/>
      <c r="AT133" s="388"/>
      <c r="AU133" s="385"/>
      <c r="AV133" s="388"/>
      <c r="AW133" s="385"/>
      <c r="AX133" s="709"/>
      <c r="AY133" s="709"/>
      <c r="AZ133" s="388"/>
      <c r="BA133" s="385"/>
      <c r="BB133" s="388"/>
      <c r="BC133" s="385"/>
      <c r="BD133" s="709"/>
      <c r="BE133" s="709"/>
      <c r="BF133" s="388"/>
      <c r="BG133" s="385"/>
      <c r="BH133" s="388"/>
      <c r="BI133" s="385"/>
      <c r="BJ133" s="709"/>
      <c r="BK133" s="709"/>
      <c r="BL133" s="388"/>
      <c r="BM133" s="385"/>
      <c r="BN133" s="388"/>
      <c r="BO133" s="385"/>
      <c r="BP133" s="709"/>
      <c r="BQ133" s="709"/>
      <c r="BR133" s="802">
        <v>5040.0</v>
      </c>
      <c r="BS133" s="385"/>
      <c r="BT133" s="388"/>
      <c r="BU133" s="385"/>
      <c r="BV133" s="709"/>
      <c r="BW133" s="213"/>
      <c r="BX133" s="213"/>
      <c r="BY133" s="213"/>
      <c r="BZ133" s="213"/>
      <c r="CA133" s="213"/>
      <c r="CB133" s="213"/>
      <c r="CC133" s="213"/>
      <c r="CD133" s="213"/>
      <c r="CE133" s="213"/>
      <c r="CF133" s="213"/>
      <c r="CG133" s="213"/>
      <c r="CH133" s="213"/>
      <c r="CI133" s="213"/>
      <c r="CJ133" s="213"/>
      <c r="CK133" s="213"/>
      <c r="CL133" s="213"/>
      <c r="CM133" s="213"/>
      <c r="CN133" s="213"/>
      <c r="CO133" s="213"/>
      <c r="CP133" s="213"/>
    </row>
    <row r="134" ht="15.75" customHeight="1">
      <c r="A134" s="213"/>
      <c r="B134" s="393"/>
      <c r="C134" s="350" t="s">
        <v>278</v>
      </c>
      <c r="D134" s="604"/>
      <c r="E134" s="355">
        <f t="shared" si="314"/>
        <v>0</v>
      </c>
      <c r="F134" s="357">
        <v>500.0</v>
      </c>
      <c r="G134" s="355">
        <f t="shared" ref="G134:G138" si="318">F134/F$33</f>
        <v>0.00003266413392</v>
      </c>
      <c r="H134" s="357">
        <f t="shared" ref="H134:H138" si="319">D134-F134</f>
        <v>-500</v>
      </c>
      <c r="I134" s="719">
        <f t="shared" ref="I134:I138" si="320">IFERROR(H134/F134,"")</f>
        <v>-1</v>
      </c>
      <c r="J134" s="604"/>
      <c r="K134" s="355">
        <f t="shared" si="315"/>
        <v>0</v>
      </c>
      <c r="L134" s="357">
        <v>500.0</v>
      </c>
      <c r="M134" s="355">
        <f t="shared" ref="M134:M138" si="321">L134/L$33</f>
        <v>0.00002910553468</v>
      </c>
      <c r="N134" s="245"/>
      <c r="O134" s="350"/>
      <c r="P134" s="604"/>
      <c r="Q134" s="355">
        <f t="shared" si="316"/>
        <v>0</v>
      </c>
      <c r="R134" s="357">
        <v>500.0</v>
      </c>
      <c r="S134" s="355">
        <f t="shared" ref="S134:S138" si="322">R134/R$33</f>
        <v>0.00003078352145</v>
      </c>
      <c r="T134" s="245"/>
      <c r="U134" s="350"/>
      <c r="V134" s="604"/>
      <c r="W134" s="355">
        <f t="shared" si="317"/>
        <v>0</v>
      </c>
      <c r="X134" s="357">
        <v>500.0</v>
      </c>
      <c r="Y134" s="355">
        <f t="shared" ref="Y134:Y138" si="323">X134/X$33</f>
        <v>0.0000315346475</v>
      </c>
      <c r="Z134" s="245"/>
      <c r="AA134" s="350"/>
      <c r="AB134" s="604"/>
      <c r="AC134" s="355">
        <f t="shared" ref="AC134:AC146" si="324">AB134/AB$33</f>
        <v>0</v>
      </c>
      <c r="AD134" s="357">
        <v>500.0</v>
      </c>
      <c r="AE134" s="355">
        <f t="shared" ref="AE134:AE138" si="325">AD134/AD$33</f>
        <v>0.00002827213027</v>
      </c>
      <c r="AF134" s="245"/>
      <c r="AG134" s="350"/>
      <c r="AH134" s="604"/>
      <c r="AI134" s="355">
        <f t="shared" ref="AI134:AI146" si="326">AH134/AH$33</f>
        <v>0</v>
      </c>
      <c r="AJ134" s="357">
        <v>500.0</v>
      </c>
      <c r="AK134" s="355">
        <f t="shared" ref="AK134:AK138" si="327">AJ134/AJ$33</f>
        <v>0.00002957521875</v>
      </c>
      <c r="AL134" s="245"/>
      <c r="AM134" s="350"/>
      <c r="AN134" s="605"/>
      <c r="AO134" s="355">
        <f t="shared" ref="AO134:AO146" si="328">AN134/AN$33</f>
        <v>0</v>
      </c>
      <c r="AP134" s="357">
        <v>500.0</v>
      </c>
      <c r="AQ134" s="355">
        <f t="shared" ref="AQ134:AQ138" si="329">AP134/AP$33</f>
        <v>0.00002860827777</v>
      </c>
      <c r="AR134" s="245"/>
      <c r="AS134" s="245"/>
      <c r="AT134" s="357">
        <v>80.0</v>
      </c>
      <c r="AU134" s="355">
        <f t="shared" ref="AU134:AU138" si="330">AT134/AT$33</f>
        <v>0.000004717786104</v>
      </c>
      <c r="AV134" s="357">
        <v>500.0</v>
      </c>
      <c r="AW134" s="355">
        <f t="shared" ref="AW134:AW138" si="331">AV134/AV$33</f>
        <v>0.0000292724967</v>
      </c>
      <c r="AX134" s="245"/>
      <c r="AY134" s="245"/>
      <c r="AZ134" s="357"/>
      <c r="BA134" s="355">
        <f t="shared" ref="BA134:BA138" si="332">AZ134/AZ$33</f>
        <v>0</v>
      </c>
      <c r="BB134" s="357">
        <v>500.0</v>
      </c>
      <c r="BC134" s="355">
        <f t="shared" ref="BC134:BC138" si="333">BB134/BB$33</f>
        <v>0.00002556698142</v>
      </c>
      <c r="BD134" s="245"/>
      <c r="BE134" s="245"/>
      <c r="BF134" s="357"/>
      <c r="BG134" s="355">
        <f t="shared" ref="BG134:BG138" si="334">BF134/BF$33</f>
        <v>0</v>
      </c>
      <c r="BH134" s="357">
        <v>500.0</v>
      </c>
      <c r="BI134" s="355">
        <f t="shared" ref="BI134:BI138" si="335">BH134/BH$33</f>
        <v>0.00002790536372</v>
      </c>
      <c r="BJ134" s="245"/>
      <c r="BK134" s="245"/>
      <c r="BL134" s="357"/>
      <c r="BM134" s="355">
        <f t="shared" ref="BM134:BM138" si="336">BL134/BL$33</f>
        <v>0</v>
      </c>
      <c r="BN134" s="357">
        <v>500.0</v>
      </c>
      <c r="BO134" s="355">
        <f t="shared" ref="BO134:BO138" si="337">BN134/BN$33</f>
        <v>0.00003334730303</v>
      </c>
      <c r="BP134" s="245"/>
      <c r="BQ134" s="245"/>
      <c r="BR134" s="356"/>
      <c r="BS134" s="355">
        <f t="shared" ref="BS134:BS138" si="338">BR134/BR$33</f>
        <v>0</v>
      </c>
      <c r="BT134" s="357">
        <v>500.0</v>
      </c>
      <c r="BU134" s="355">
        <f t="shared" ref="BU134:BU138" si="339">BT134/BT$33</f>
        <v>0.00002965619932</v>
      </c>
      <c r="BV134" s="245"/>
      <c r="BW134" s="213"/>
      <c r="BX134" s="213"/>
      <c r="BY134" s="213"/>
      <c r="BZ134" s="213"/>
      <c r="CA134" s="213"/>
      <c r="CB134" s="213"/>
      <c r="CC134" s="213"/>
      <c r="CD134" s="213"/>
      <c r="CE134" s="213"/>
      <c r="CF134" s="213"/>
      <c r="CG134" s="213"/>
      <c r="CH134" s="213"/>
      <c r="CI134" s="213"/>
      <c r="CJ134" s="213"/>
      <c r="CK134" s="213"/>
      <c r="CL134" s="213"/>
      <c r="CM134" s="213"/>
      <c r="CN134" s="213"/>
      <c r="CO134" s="213"/>
      <c r="CP134" s="213"/>
    </row>
    <row r="135" ht="15.75" customHeight="1">
      <c r="A135" s="213"/>
      <c r="B135" s="393"/>
      <c r="C135" s="350" t="s">
        <v>280</v>
      </c>
      <c r="D135" s="604">
        <f>(40440/12)+86402+3000</f>
        <v>92772</v>
      </c>
      <c r="E135" s="355">
        <f t="shared" si="314"/>
        <v>0.00575025026</v>
      </c>
      <c r="F135" s="357">
        <f>82000+(40440/12)</f>
        <v>85370</v>
      </c>
      <c r="G135" s="355">
        <f t="shared" si="318"/>
        <v>0.005577074226</v>
      </c>
      <c r="H135" s="357">
        <f t="shared" si="319"/>
        <v>7402</v>
      </c>
      <c r="I135" s="719">
        <f t="shared" si="320"/>
        <v>0.08670493147</v>
      </c>
      <c r="J135" s="604">
        <f>86402+(40440/12)</f>
        <v>89772</v>
      </c>
      <c r="K135" s="355">
        <f t="shared" si="315"/>
        <v>0.00542542476</v>
      </c>
      <c r="L135" s="357">
        <f>$F$135</f>
        <v>85370</v>
      </c>
      <c r="M135" s="355">
        <f t="shared" si="321"/>
        <v>0.00496947899</v>
      </c>
      <c r="N135" s="245"/>
      <c r="O135" s="350"/>
      <c r="P135" s="604">
        <f>86402+(40440/12)</f>
        <v>89772</v>
      </c>
      <c r="Q135" s="355">
        <f t="shared" si="316"/>
        <v>0.00588095103</v>
      </c>
      <c r="R135" s="357">
        <f>$F$135</f>
        <v>85370</v>
      </c>
      <c r="S135" s="355">
        <f t="shared" si="322"/>
        <v>0.005255978452</v>
      </c>
      <c r="T135" s="245"/>
      <c r="U135" s="350"/>
      <c r="V135" s="604">
        <f>86402+(40440/12)</f>
        <v>89772</v>
      </c>
      <c r="W135" s="355">
        <f t="shared" si="317"/>
        <v>0.005561767858</v>
      </c>
      <c r="X135" s="357">
        <f>$F$135</f>
        <v>85370</v>
      </c>
      <c r="Y135" s="355">
        <f t="shared" si="323"/>
        <v>0.005384225713</v>
      </c>
      <c r="Z135" s="245"/>
      <c r="AA135" s="350"/>
      <c r="AB135" s="604">
        <f>86402+(40440/12)</f>
        <v>89772</v>
      </c>
      <c r="AC135" s="355">
        <f t="shared" si="324"/>
        <v>0.005141085787</v>
      </c>
      <c r="AD135" s="357">
        <f>$F$135</f>
        <v>85370</v>
      </c>
      <c r="AE135" s="355">
        <f t="shared" si="325"/>
        <v>0.004827183522</v>
      </c>
      <c r="AF135" s="245"/>
      <c r="AG135" s="350"/>
      <c r="AH135" s="604">
        <f>86402+(40440/12)</f>
        <v>89772</v>
      </c>
      <c r="AI135" s="355">
        <f t="shared" si="326"/>
        <v>0.005738359374</v>
      </c>
      <c r="AJ135" s="357">
        <f>$F$135</f>
        <v>85370</v>
      </c>
      <c r="AK135" s="355">
        <f t="shared" si="327"/>
        <v>0.005049672849</v>
      </c>
      <c r="AL135" s="245"/>
      <c r="AM135" s="350"/>
      <c r="AN135" s="605">
        <f>86402+(40440/12)</f>
        <v>89772</v>
      </c>
      <c r="AO135" s="355">
        <f t="shared" si="328"/>
        <v>0.005416814417</v>
      </c>
      <c r="AP135" s="357">
        <f>$F$135</f>
        <v>85370</v>
      </c>
      <c r="AQ135" s="355">
        <f t="shared" si="329"/>
        <v>0.004884577346</v>
      </c>
      <c r="AR135" s="245"/>
      <c r="AS135" s="245"/>
      <c r="AT135" s="357">
        <f>86402+(40440/12)</f>
        <v>89772</v>
      </c>
      <c r="AU135" s="355">
        <f t="shared" si="330"/>
        <v>0.005294063677</v>
      </c>
      <c r="AV135" s="357">
        <f>$F$135</f>
        <v>85370</v>
      </c>
      <c r="AW135" s="355">
        <f t="shared" si="331"/>
        <v>0.004997986087</v>
      </c>
      <c r="AX135" s="245"/>
      <c r="AY135" s="245"/>
      <c r="AZ135" s="357">
        <f>86402+(40440/12)</f>
        <v>89772</v>
      </c>
      <c r="BA135" s="355">
        <f t="shared" si="332"/>
        <v>0.00436066922</v>
      </c>
      <c r="BB135" s="357">
        <f>$F$135</f>
        <v>85370</v>
      </c>
      <c r="BC135" s="355">
        <f t="shared" si="333"/>
        <v>0.004365306408</v>
      </c>
      <c r="BD135" s="245"/>
      <c r="BE135" s="245"/>
      <c r="BF135" s="357">
        <f>86402+(40440/12)</f>
        <v>89772</v>
      </c>
      <c r="BG135" s="355">
        <f t="shared" si="334"/>
        <v>0.004789527715</v>
      </c>
      <c r="BH135" s="357">
        <f>$F$135</f>
        <v>85370</v>
      </c>
      <c r="BI135" s="355">
        <f t="shared" si="335"/>
        <v>0.004764561802</v>
      </c>
      <c r="BJ135" s="245"/>
      <c r="BK135" s="245"/>
      <c r="BL135" s="357">
        <f>86402+(40440/12)</f>
        <v>89772</v>
      </c>
      <c r="BM135" s="355">
        <f t="shared" si="336"/>
        <v>0.005460299883</v>
      </c>
      <c r="BN135" s="357">
        <f>$F$135</f>
        <v>85370</v>
      </c>
      <c r="BO135" s="355">
        <f t="shared" si="337"/>
        <v>0.005693718519</v>
      </c>
      <c r="BP135" s="245"/>
      <c r="BQ135" s="245"/>
      <c r="BR135" s="353">
        <f>(89402)+(40440/12)+(3000/12)</f>
        <v>93022</v>
      </c>
      <c r="BS135" s="355">
        <f t="shared" si="338"/>
        <v>0.004933715321</v>
      </c>
      <c r="BT135" s="357">
        <f>$F$135</f>
        <v>85370</v>
      </c>
      <c r="BU135" s="355">
        <f t="shared" si="339"/>
        <v>0.005063499471</v>
      </c>
      <c r="BV135" s="245"/>
      <c r="BW135" s="213"/>
      <c r="BX135" s="213"/>
      <c r="BY135" s="213"/>
      <c r="BZ135" s="213"/>
      <c r="CA135" s="213"/>
      <c r="CB135" s="213"/>
      <c r="CC135" s="213"/>
      <c r="CD135" s="213"/>
      <c r="CE135" s="213"/>
      <c r="CF135" s="213"/>
      <c r="CG135" s="213"/>
      <c r="CH135" s="213"/>
      <c r="CI135" s="213"/>
      <c r="CJ135" s="213"/>
      <c r="CK135" s="213"/>
      <c r="CL135" s="213"/>
      <c r="CM135" s="213"/>
      <c r="CN135" s="213"/>
      <c r="CO135" s="213"/>
      <c r="CP135" s="213"/>
    </row>
    <row r="136" ht="15.75" customHeight="1">
      <c r="A136" s="213"/>
      <c r="B136" s="393"/>
      <c r="C136" s="350" t="s">
        <v>418</v>
      </c>
      <c r="D136" s="604">
        <f>22000</f>
        <v>22000</v>
      </c>
      <c r="E136" s="355">
        <f t="shared" si="314"/>
        <v>0.001363617317</v>
      </c>
      <c r="F136" s="357">
        <v>22000.0</v>
      </c>
      <c r="G136" s="355">
        <f t="shared" si="318"/>
        <v>0.001437221893</v>
      </c>
      <c r="H136" s="357">
        <f t="shared" si="319"/>
        <v>0</v>
      </c>
      <c r="I136" s="719">
        <f t="shared" si="320"/>
        <v>0</v>
      </c>
      <c r="J136" s="604">
        <v>22000.0</v>
      </c>
      <c r="K136" s="355">
        <f t="shared" si="315"/>
        <v>0.001329583219</v>
      </c>
      <c r="L136" s="357">
        <v>22000.0</v>
      </c>
      <c r="M136" s="355">
        <f t="shared" si="321"/>
        <v>0.001280643526</v>
      </c>
      <c r="N136" s="245"/>
      <c r="O136" s="350"/>
      <c r="P136" s="604">
        <f>22000</f>
        <v>22000</v>
      </c>
      <c r="Q136" s="355">
        <f t="shared" si="316"/>
        <v>0.00144121689</v>
      </c>
      <c r="R136" s="357">
        <v>22000.0</v>
      </c>
      <c r="S136" s="355">
        <f t="shared" si="322"/>
        <v>0.001354474944</v>
      </c>
      <c r="T136" s="245"/>
      <c r="U136" s="350"/>
      <c r="V136" s="604">
        <v>22000.0</v>
      </c>
      <c r="W136" s="355">
        <f t="shared" si="317"/>
        <v>0.001362996178</v>
      </c>
      <c r="X136" s="357">
        <v>22000.0</v>
      </c>
      <c r="Y136" s="355">
        <f t="shared" si="323"/>
        <v>0.00138752449</v>
      </c>
      <c r="Z136" s="245"/>
      <c r="AA136" s="350"/>
      <c r="AB136" s="604">
        <v>22000.0</v>
      </c>
      <c r="AC136" s="355">
        <f t="shared" si="324"/>
        <v>0.00125990161</v>
      </c>
      <c r="AD136" s="357">
        <v>22000.0</v>
      </c>
      <c r="AE136" s="355">
        <f t="shared" si="325"/>
        <v>0.001243973732</v>
      </c>
      <c r="AF136" s="245"/>
      <c r="AG136" s="350"/>
      <c r="AH136" s="604">
        <v>29000.0</v>
      </c>
      <c r="AI136" s="355">
        <f t="shared" si="326"/>
        <v>0.001853723008</v>
      </c>
      <c r="AJ136" s="357">
        <v>22000.0</v>
      </c>
      <c r="AK136" s="355">
        <f t="shared" si="327"/>
        <v>0.001301309625</v>
      </c>
      <c r="AL136" s="245"/>
      <c r="AM136" s="350"/>
      <c r="AN136" s="605">
        <v>30000.0</v>
      </c>
      <c r="AO136" s="355">
        <f t="shared" si="328"/>
        <v>0.001810190622</v>
      </c>
      <c r="AP136" s="357">
        <v>22000.0</v>
      </c>
      <c r="AQ136" s="355">
        <f t="shared" si="329"/>
        <v>0.001258764222</v>
      </c>
      <c r="AR136" s="245"/>
      <c r="AS136" s="245"/>
      <c r="AT136" s="357">
        <v>30000.0</v>
      </c>
      <c r="AU136" s="355">
        <f t="shared" si="330"/>
        <v>0.001769169789</v>
      </c>
      <c r="AV136" s="357">
        <v>22000.0</v>
      </c>
      <c r="AW136" s="355">
        <f t="shared" si="331"/>
        <v>0.001287989855</v>
      </c>
      <c r="AX136" s="245"/>
      <c r="AY136" s="245"/>
      <c r="AZ136" s="357">
        <v>30000.0</v>
      </c>
      <c r="BA136" s="355">
        <f t="shared" si="332"/>
        <v>0.001457248102</v>
      </c>
      <c r="BB136" s="357">
        <v>22000.0</v>
      </c>
      <c r="BC136" s="355">
        <f t="shared" si="333"/>
        <v>0.001124947183</v>
      </c>
      <c r="BD136" s="245"/>
      <c r="BE136" s="245"/>
      <c r="BF136" s="357">
        <v>30000.0</v>
      </c>
      <c r="BG136" s="355">
        <f t="shared" si="334"/>
        <v>0.001600564</v>
      </c>
      <c r="BH136" s="357">
        <v>22000.0</v>
      </c>
      <c r="BI136" s="355">
        <f t="shared" si="335"/>
        <v>0.001227836004</v>
      </c>
      <c r="BJ136" s="245"/>
      <c r="BK136" s="245"/>
      <c r="BL136" s="737">
        <v>30000.0</v>
      </c>
      <c r="BM136" s="355">
        <f t="shared" si="336"/>
        <v>0.001824722592</v>
      </c>
      <c r="BN136" s="357">
        <v>22000.0</v>
      </c>
      <c r="BO136" s="355">
        <f t="shared" si="337"/>
        <v>0.001467281333</v>
      </c>
      <c r="BP136" s="245"/>
      <c r="BQ136" s="245"/>
      <c r="BR136" s="797">
        <v>30000.0</v>
      </c>
      <c r="BS136" s="355">
        <f t="shared" si="338"/>
        <v>0.001591144671</v>
      </c>
      <c r="BT136" s="357">
        <v>22000.0</v>
      </c>
      <c r="BU136" s="355">
        <f t="shared" si="339"/>
        <v>0.00130487277</v>
      </c>
      <c r="BV136" s="245"/>
      <c r="BW136" s="213"/>
      <c r="BX136" s="213"/>
      <c r="BY136" s="213"/>
      <c r="BZ136" s="213"/>
      <c r="CA136" s="213"/>
      <c r="CB136" s="213"/>
      <c r="CC136" s="213"/>
      <c r="CD136" s="213"/>
      <c r="CE136" s="213"/>
      <c r="CF136" s="213"/>
      <c r="CG136" s="213"/>
      <c r="CH136" s="213"/>
      <c r="CI136" s="213"/>
      <c r="CJ136" s="213"/>
      <c r="CK136" s="213"/>
      <c r="CL136" s="213"/>
      <c r="CM136" s="213"/>
      <c r="CN136" s="213"/>
      <c r="CO136" s="213"/>
      <c r="CP136" s="213"/>
    </row>
    <row r="137" ht="15.75" customHeight="1">
      <c r="A137" s="213"/>
      <c r="B137" s="393"/>
      <c r="C137" s="350" t="s">
        <v>335</v>
      </c>
      <c r="D137" s="604"/>
      <c r="E137" s="355">
        <f t="shared" si="314"/>
        <v>0</v>
      </c>
      <c r="F137" s="357">
        <v>5000.0</v>
      </c>
      <c r="G137" s="355">
        <f t="shared" si="318"/>
        <v>0.0003266413392</v>
      </c>
      <c r="H137" s="357">
        <f t="shared" si="319"/>
        <v>-5000</v>
      </c>
      <c r="I137" s="719">
        <f t="shared" si="320"/>
        <v>-1</v>
      </c>
      <c r="J137" s="604"/>
      <c r="K137" s="355">
        <f t="shared" si="315"/>
        <v>0</v>
      </c>
      <c r="L137" s="357">
        <v>5000.0</v>
      </c>
      <c r="M137" s="355">
        <f t="shared" si="321"/>
        <v>0.0002910553468</v>
      </c>
      <c r="N137" s="245"/>
      <c r="O137" s="350"/>
      <c r="P137" s="604"/>
      <c r="Q137" s="355">
        <f t="shared" si="316"/>
        <v>0</v>
      </c>
      <c r="R137" s="357">
        <v>5000.0</v>
      </c>
      <c r="S137" s="355">
        <f t="shared" si="322"/>
        <v>0.0003078352145</v>
      </c>
      <c r="T137" s="245"/>
      <c r="U137" s="350"/>
      <c r="V137" s="604"/>
      <c r="W137" s="355">
        <f t="shared" si="317"/>
        <v>0</v>
      </c>
      <c r="X137" s="357">
        <v>5000.0</v>
      </c>
      <c r="Y137" s="355">
        <f t="shared" si="323"/>
        <v>0.000315346475</v>
      </c>
      <c r="Z137" s="245"/>
      <c r="AA137" s="350"/>
      <c r="AB137" s="604"/>
      <c r="AC137" s="355">
        <f t="shared" si="324"/>
        <v>0</v>
      </c>
      <c r="AD137" s="357">
        <v>5000.0</v>
      </c>
      <c r="AE137" s="355">
        <f t="shared" si="325"/>
        <v>0.0002827213027</v>
      </c>
      <c r="AF137" s="245"/>
      <c r="AG137" s="350"/>
      <c r="AH137" s="604"/>
      <c r="AI137" s="355">
        <f t="shared" si="326"/>
        <v>0</v>
      </c>
      <c r="AJ137" s="357">
        <v>5000.0</v>
      </c>
      <c r="AK137" s="355">
        <f t="shared" si="327"/>
        <v>0.0002957521875</v>
      </c>
      <c r="AL137" s="245"/>
      <c r="AM137" s="350"/>
      <c r="AN137" s="605"/>
      <c r="AO137" s="355">
        <f t="shared" si="328"/>
        <v>0</v>
      </c>
      <c r="AP137" s="357">
        <v>5000.0</v>
      </c>
      <c r="AQ137" s="355">
        <f t="shared" si="329"/>
        <v>0.0002860827777</v>
      </c>
      <c r="AR137" s="245"/>
      <c r="AS137" s="245"/>
      <c r="AT137" s="357"/>
      <c r="AU137" s="355">
        <f t="shared" si="330"/>
        <v>0</v>
      </c>
      <c r="AV137" s="357">
        <v>5000.0</v>
      </c>
      <c r="AW137" s="355">
        <f t="shared" si="331"/>
        <v>0.000292724967</v>
      </c>
      <c r="AX137" s="245"/>
      <c r="AY137" s="245"/>
      <c r="AZ137" s="357"/>
      <c r="BA137" s="355">
        <f t="shared" si="332"/>
        <v>0</v>
      </c>
      <c r="BB137" s="357">
        <v>5000.0</v>
      </c>
      <c r="BC137" s="355">
        <f t="shared" si="333"/>
        <v>0.0002556698142</v>
      </c>
      <c r="BD137" s="245"/>
      <c r="BE137" s="245"/>
      <c r="BF137" s="357"/>
      <c r="BG137" s="355">
        <f t="shared" si="334"/>
        <v>0</v>
      </c>
      <c r="BH137" s="357">
        <v>5000.0</v>
      </c>
      <c r="BI137" s="355">
        <f t="shared" si="335"/>
        <v>0.0002790536372</v>
      </c>
      <c r="BJ137" s="245"/>
      <c r="BK137" s="245"/>
      <c r="BL137" s="357">
        <v>6500.0</v>
      </c>
      <c r="BM137" s="355">
        <f t="shared" si="336"/>
        <v>0.0003953565615</v>
      </c>
      <c r="BN137" s="357">
        <v>5000.0</v>
      </c>
      <c r="BO137" s="355">
        <f t="shared" si="337"/>
        <v>0.0003334730303</v>
      </c>
      <c r="BP137" s="245"/>
      <c r="BQ137" s="245"/>
      <c r="BR137" s="356"/>
      <c r="BS137" s="355">
        <f t="shared" si="338"/>
        <v>0</v>
      </c>
      <c r="BT137" s="357">
        <v>5000.0</v>
      </c>
      <c r="BU137" s="355">
        <f t="shared" si="339"/>
        <v>0.0002965619932</v>
      </c>
      <c r="BV137" s="245"/>
      <c r="BW137" s="213"/>
      <c r="BX137" s="213"/>
      <c r="BY137" s="213"/>
      <c r="BZ137" s="213"/>
      <c r="CA137" s="213"/>
      <c r="CB137" s="213"/>
      <c r="CC137" s="213"/>
      <c r="CD137" s="213"/>
      <c r="CE137" s="213"/>
      <c r="CF137" s="213"/>
      <c r="CG137" s="213"/>
      <c r="CH137" s="213"/>
      <c r="CI137" s="213"/>
      <c r="CJ137" s="213"/>
      <c r="CK137" s="213"/>
      <c r="CL137" s="213"/>
      <c r="CM137" s="213"/>
      <c r="CN137" s="213"/>
      <c r="CO137" s="213"/>
      <c r="CP137" s="213"/>
    </row>
    <row r="138" ht="15.75" customHeight="1">
      <c r="A138" s="213"/>
      <c r="B138" s="393"/>
      <c r="C138" s="350" t="s">
        <v>282</v>
      </c>
      <c r="D138" s="604">
        <f>61203+12598</f>
        <v>73801</v>
      </c>
      <c r="E138" s="355">
        <f t="shared" si="314"/>
        <v>0.004574378255</v>
      </c>
      <c r="F138" s="357">
        <v>180000.0</v>
      </c>
      <c r="G138" s="355">
        <f t="shared" si="318"/>
        <v>0.01175908821</v>
      </c>
      <c r="H138" s="357">
        <f t="shared" si="319"/>
        <v>-106199</v>
      </c>
      <c r="I138" s="719">
        <f t="shared" si="320"/>
        <v>-0.5899944444</v>
      </c>
      <c r="J138" s="604">
        <f>82277+58459+813</f>
        <v>141549</v>
      </c>
      <c r="K138" s="355">
        <f t="shared" si="315"/>
        <v>0.008554598866</v>
      </c>
      <c r="L138" s="357">
        <v>180000.0</v>
      </c>
      <c r="M138" s="355">
        <f t="shared" si="321"/>
        <v>0.01047799248</v>
      </c>
      <c r="N138" s="245"/>
      <c r="O138" s="350"/>
      <c r="P138" s="604">
        <f>76580+105280</f>
        <v>181860</v>
      </c>
      <c r="Q138" s="355">
        <f t="shared" si="316"/>
        <v>0.01191362289</v>
      </c>
      <c r="R138" s="357">
        <v>180000.0</v>
      </c>
      <c r="S138" s="355">
        <f t="shared" si="322"/>
        <v>0.01108206772</v>
      </c>
      <c r="T138" s="245"/>
      <c r="U138" s="350"/>
      <c r="V138" s="604">
        <f>45632+23246+831</f>
        <v>69709</v>
      </c>
      <c r="W138" s="355">
        <f t="shared" si="317"/>
        <v>0.004318777298</v>
      </c>
      <c r="X138" s="357">
        <v>180000.0</v>
      </c>
      <c r="Y138" s="355">
        <f t="shared" si="323"/>
        <v>0.0113524731</v>
      </c>
      <c r="Z138" s="245"/>
      <c r="AA138" s="350"/>
      <c r="AB138" s="604">
        <f>836+32934+215514</f>
        <v>249284</v>
      </c>
      <c r="AC138" s="355">
        <f t="shared" si="324"/>
        <v>0.01427605968</v>
      </c>
      <c r="AD138" s="357">
        <v>180000.0</v>
      </c>
      <c r="AE138" s="355">
        <f t="shared" si="325"/>
        <v>0.0101779669</v>
      </c>
      <c r="AF138" s="245"/>
      <c r="AG138" s="350"/>
      <c r="AH138" s="604">
        <f>835+822+606368+527+527</f>
        <v>609079</v>
      </c>
      <c r="AI138" s="355">
        <f t="shared" si="326"/>
        <v>0.03893323296</v>
      </c>
      <c r="AJ138" s="357">
        <v>180000.0</v>
      </c>
      <c r="AK138" s="355">
        <f t="shared" si="327"/>
        <v>0.01064707875</v>
      </c>
      <c r="AL138" s="245"/>
      <c r="AM138" s="350"/>
      <c r="AN138" s="605">
        <f>828+28223+13853</f>
        <v>42904</v>
      </c>
      <c r="AO138" s="355">
        <f t="shared" si="328"/>
        <v>0.002588813948</v>
      </c>
      <c r="AP138" s="357">
        <v>180000.0</v>
      </c>
      <c r="AQ138" s="355">
        <f t="shared" si="329"/>
        <v>0.01029898</v>
      </c>
      <c r="AR138" s="245"/>
      <c r="AS138" s="245"/>
      <c r="AT138" s="357">
        <f>837+53466+1991</f>
        <v>56294</v>
      </c>
      <c r="AU138" s="355">
        <f t="shared" si="330"/>
        <v>0.003319788137</v>
      </c>
      <c r="AV138" s="357">
        <v>180000.0</v>
      </c>
      <c r="AW138" s="355">
        <f t="shared" si="331"/>
        <v>0.01053809881</v>
      </c>
      <c r="AX138" s="245"/>
      <c r="AY138" s="245"/>
      <c r="AZ138" s="357">
        <f>877+284812+304179</f>
        <v>589868</v>
      </c>
      <c r="BA138" s="355">
        <f t="shared" si="332"/>
        <v>0.02865280078</v>
      </c>
      <c r="BB138" s="357">
        <v>180000.0</v>
      </c>
      <c r="BC138" s="355">
        <f t="shared" si="333"/>
        <v>0.009204113311</v>
      </c>
      <c r="BD138" s="245"/>
      <c r="BE138" s="245"/>
      <c r="BF138" s="357">
        <f>885+46299+378221</f>
        <v>425405</v>
      </c>
      <c r="BG138" s="355">
        <f t="shared" si="334"/>
        <v>0.02269626429</v>
      </c>
      <c r="BH138" s="357">
        <v>180000.0</v>
      </c>
      <c r="BI138" s="355">
        <f t="shared" si="335"/>
        <v>0.01004593094</v>
      </c>
      <c r="BJ138" s="245"/>
      <c r="BK138" s="245"/>
      <c r="BL138" s="357">
        <f>764+4490+12171</f>
        <v>17425</v>
      </c>
      <c r="BM138" s="355">
        <f t="shared" si="336"/>
        <v>0.001059859705</v>
      </c>
      <c r="BN138" s="357">
        <v>180000.0</v>
      </c>
      <c r="BO138" s="355">
        <f t="shared" si="337"/>
        <v>0.01200502909</v>
      </c>
      <c r="BP138" s="245"/>
      <c r="BQ138" s="245"/>
      <c r="BR138" s="356">
        <v>120782.46</v>
      </c>
      <c r="BS138" s="355">
        <f t="shared" si="338"/>
        <v>0.006406078921</v>
      </c>
      <c r="BT138" s="357">
        <v>180000.0</v>
      </c>
      <c r="BU138" s="355">
        <f t="shared" si="339"/>
        <v>0.01067623175</v>
      </c>
      <c r="BV138" s="245"/>
      <c r="BW138" s="213"/>
      <c r="BX138" s="215"/>
      <c r="BY138" s="215"/>
      <c r="BZ138" s="213"/>
      <c r="CA138" s="213"/>
      <c r="CB138" s="213"/>
      <c r="CC138" s="213"/>
      <c r="CD138" s="213"/>
      <c r="CE138" s="213"/>
      <c r="CF138" s="213"/>
      <c r="CG138" s="213"/>
      <c r="CH138" s="213"/>
      <c r="CI138" s="213"/>
      <c r="CJ138" s="213"/>
      <c r="CK138" s="213"/>
      <c r="CL138" s="213"/>
      <c r="CM138" s="213"/>
      <c r="CN138" s="213"/>
      <c r="CO138" s="213"/>
      <c r="CP138" s="213"/>
    </row>
    <row r="139" ht="15.75" customHeight="1">
      <c r="A139" s="213"/>
      <c r="B139" s="393"/>
      <c r="C139" s="350" t="s">
        <v>283</v>
      </c>
      <c r="D139" s="604">
        <f>(9499/12)+(65171/12)+(27140/12)+(132396/12)+(75520/12)+(20650/12)+(49560/12)</f>
        <v>31661.33333</v>
      </c>
      <c r="E139" s="355"/>
      <c r="F139" s="357">
        <f>D139</f>
        <v>31661.33333</v>
      </c>
      <c r="G139" s="355"/>
      <c r="H139" s="357"/>
      <c r="I139" s="719"/>
      <c r="J139" s="604">
        <f>(9499/12)+(65171/12)+(27140/12)+(132396/12)+(75520/12)+(20650/12)+(49560/12)</f>
        <v>31661.33333</v>
      </c>
      <c r="K139" s="355"/>
      <c r="L139" s="357">
        <f>$F$139</f>
        <v>31661.33333</v>
      </c>
      <c r="M139" s="355"/>
      <c r="N139" s="245"/>
      <c r="O139" s="350"/>
      <c r="P139" s="604">
        <f>(9499/12)+(65171/12)+(27140/12)+(132396/12)+(75520/12)+(20650/12)+(49560/12)</f>
        <v>31661.33333</v>
      </c>
      <c r="Q139" s="355">
        <f t="shared" si="316"/>
        <v>0.002074129471</v>
      </c>
      <c r="R139" s="357">
        <f>$F$139</f>
        <v>31661.33333</v>
      </c>
      <c r="S139" s="355"/>
      <c r="T139" s="245"/>
      <c r="U139" s="350"/>
      <c r="V139" s="604">
        <f>(9499/12)+(65171/12)+(27140/12)+(132396/12)+(75520/12)+(20650/12)+(49560/12)+(18880/3)</f>
        <v>37954.66667</v>
      </c>
      <c r="W139" s="355">
        <f t="shared" si="317"/>
        <v>0.002351457527</v>
      </c>
      <c r="X139" s="357">
        <f>$F$139</f>
        <v>31661.33333</v>
      </c>
      <c r="Y139" s="355"/>
      <c r="Z139" s="245"/>
      <c r="AA139" s="350"/>
      <c r="AB139" s="604">
        <f>(9499/12)+(65171/12)+(27140/12)+(132396/12)+(75520/12)+(20650/12)+(49560/12)+(18880/3)</f>
        <v>37954.66667</v>
      </c>
      <c r="AC139" s="355">
        <f t="shared" si="324"/>
        <v>0.002173597529</v>
      </c>
      <c r="AD139" s="357">
        <f>$F$139</f>
        <v>31661.33333</v>
      </c>
      <c r="AE139" s="355"/>
      <c r="AF139" s="245"/>
      <c r="AG139" s="350"/>
      <c r="AH139" s="604">
        <f>(9499/12)+(65171/12)+(27140/12)+(132396/12)+(75520/12)+(20650/12)+(49560/12)+(18880/3)</f>
        <v>37954.66667</v>
      </c>
      <c r="AI139" s="355">
        <f t="shared" si="326"/>
        <v>0.002426118581</v>
      </c>
      <c r="AJ139" s="357"/>
      <c r="AK139" s="355"/>
      <c r="AL139" s="245"/>
      <c r="AM139" s="350"/>
      <c r="AN139" s="605">
        <f>(9499/12)+(65171/12)+(27140/12)+(132396/12)+(75520/12)+(20650/12)+(49560/12)</f>
        <v>31661.33333</v>
      </c>
      <c r="AO139" s="355">
        <f t="shared" si="328"/>
        <v>0.001910434956</v>
      </c>
      <c r="AP139" s="357"/>
      <c r="AQ139" s="355"/>
      <c r="AR139" s="245"/>
      <c r="AS139" s="245"/>
      <c r="AT139" s="357">
        <f>(9499/12)+(65171/12)+(27140/12)+(132396/12)+(75520/12)+(20650/12)</f>
        <v>27531.33333</v>
      </c>
      <c r="AU139" s="355"/>
      <c r="AV139" s="357"/>
      <c r="AW139" s="355"/>
      <c r="AX139" s="245"/>
      <c r="AY139" s="245"/>
      <c r="AZ139" s="357">
        <f>(9499/12)+(65171/12)+(27140/12)+(132396/12)+(75520/12)+(20650/12)</f>
        <v>27531.33333</v>
      </c>
      <c r="BA139" s="355"/>
      <c r="BB139" s="357"/>
      <c r="BC139" s="355"/>
      <c r="BD139" s="245"/>
      <c r="BE139" s="245"/>
      <c r="BF139" s="357">
        <f>(9499/12)+(65171/12)+(27140/12)+(132396/12)+(75520/12)+(20650/12)</f>
        <v>27531.33333</v>
      </c>
      <c r="BG139" s="355"/>
      <c r="BH139" s="357"/>
      <c r="BI139" s="355"/>
      <c r="BJ139" s="245"/>
      <c r="BK139" s="245"/>
      <c r="BL139" s="357">
        <f>(9499/12)+(65171/12)+(27140/12)+(132396/12)+(75520/12)+(20650/12)</f>
        <v>27531.33333</v>
      </c>
      <c r="BM139" s="355"/>
      <c r="BN139" s="357"/>
      <c r="BO139" s="355"/>
      <c r="BP139" s="245"/>
      <c r="BQ139" s="245"/>
      <c r="BR139" s="353">
        <f>(9499/12)+(65171/12)+(27140/12)+(132396/12)+(75520/12)+(20650/12)</f>
        <v>27531.33333</v>
      </c>
      <c r="BS139" s="355"/>
      <c r="BT139" s="357"/>
      <c r="BU139" s="355"/>
      <c r="BV139" s="245"/>
      <c r="BW139" s="213"/>
      <c r="BX139" s="213"/>
      <c r="BY139" s="213"/>
      <c r="BZ139" s="213"/>
      <c r="CA139" s="213"/>
      <c r="CB139" s="213"/>
      <c r="CC139" s="213"/>
      <c r="CD139" s="213"/>
      <c r="CE139" s="213"/>
      <c r="CF139" s="213"/>
      <c r="CG139" s="213"/>
      <c r="CH139" s="213"/>
      <c r="CI139" s="213"/>
      <c r="CJ139" s="213"/>
      <c r="CK139" s="213"/>
      <c r="CL139" s="213"/>
      <c r="CM139" s="213"/>
      <c r="CN139" s="213"/>
      <c r="CO139" s="213"/>
      <c r="CP139" s="213"/>
    </row>
    <row r="140" ht="15.75" customHeight="1">
      <c r="A140" s="213"/>
      <c r="B140" s="393"/>
      <c r="C140" s="350" t="s">
        <v>285</v>
      </c>
      <c r="D140" s="604"/>
      <c r="E140" s="355">
        <f t="shared" ref="E140:E145" si="340">D140/D$33</f>
        <v>0</v>
      </c>
      <c r="F140" s="357">
        <v>20000.0</v>
      </c>
      <c r="G140" s="355">
        <f t="shared" ref="G140:G145" si="341">F140/F$33</f>
        <v>0.001306565357</v>
      </c>
      <c r="H140" s="357">
        <f t="shared" ref="H140:H145" si="342">D140-F140</f>
        <v>-20000</v>
      </c>
      <c r="I140" s="719">
        <f t="shared" ref="I140:I145" si="343">IFERROR(H140/F140,"")</f>
        <v>-1</v>
      </c>
      <c r="J140" s="604"/>
      <c r="K140" s="355">
        <f t="shared" ref="K140:K145" si="344">J140/J$33</f>
        <v>0</v>
      </c>
      <c r="L140" s="357">
        <v>20000.0</v>
      </c>
      <c r="M140" s="355">
        <f t="shared" ref="M140:M145" si="345">L140/L$33</f>
        <v>0.001164221387</v>
      </c>
      <c r="N140" s="245"/>
      <c r="O140" s="350"/>
      <c r="P140" s="604"/>
      <c r="Q140" s="355">
        <f t="shared" si="316"/>
        <v>0</v>
      </c>
      <c r="R140" s="357">
        <v>20000.0</v>
      </c>
      <c r="S140" s="355">
        <f t="shared" ref="S140:S145" si="346">R140/R$33</f>
        <v>0.001231340858</v>
      </c>
      <c r="T140" s="245"/>
      <c r="U140" s="350"/>
      <c r="V140" s="604"/>
      <c r="W140" s="355">
        <f t="shared" si="317"/>
        <v>0</v>
      </c>
      <c r="X140" s="357">
        <v>20000.0</v>
      </c>
      <c r="Y140" s="355">
        <f t="shared" ref="Y140:Y145" si="347">X140/X$33</f>
        <v>0.0012613859</v>
      </c>
      <c r="Z140" s="245"/>
      <c r="AA140" s="350"/>
      <c r="AB140" s="604"/>
      <c r="AC140" s="355">
        <f t="shared" si="324"/>
        <v>0</v>
      </c>
      <c r="AD140" s="357">
        <v>20000.0</v>
      </c>
      <c r="AE140" s="355">
        <f t="shared" ref="AE140:AE145" si="348">AD140/AD$33</f>
        <v>0.001130885211</v>
      </c>
      <c r="AF140" s="245"/>
      <c r="AG140" s="350"/>
      <c r="AH140" s="604"/>
      <c r="AI140" s="355">
        <f t="shared" si="326"/>
        <v>0</v>
      </c>
      <c r="AJ140" s="357">
        <v>20000.0</v>
      </c>
      <c r="AK140" s="355">
        <f t="shared" ref="AK140:AK145" si="349">AJ140/AJ$33</f>
        <v>0.00118300875</v>
      </c>
      <c r="AL140" s="245"/>
      <c r="AM140" s="350"/>
      <c r="AN140" s="605"/>
      <c r="AO140" s="355">
        <f t="shared" si="328"/>
        <v>0</v>
      </c>
      <c r="AP140" s="357">
        <v>20000.0</v>
      </c>
      <c r="AQ140" s="355">
        <f t="shared" ref="AQ140:AQ145" si="350">AP140/AP$33</f>
        <v>0.001144331111</v>
      </c>
      <c r="AR140" s="245"/>
      <c r="AS140" s="245"/>
      <c r="AT140" s="357"/>
      <c r="AU140" s="355">
        <f t="shared" ref="AU140:AU146" si="351">AT140/AT$33</f>
        <v>0</v>
      </c>
      <c r="AV140" s="357">
        <v>20000.0</v>
      </c>
      <c r="AW140" s="355">
        <f t="shared" ref="AW140:AW145" si="352">AV140/AV$33</f>
        <v>0.001170899868</v>
      </c>
      <c r="AX140" s="245"/>
      <c r="AY140" s="245"/>
      <c r="AZ140" s="357"/>
      <c r="BA140" s="355">
        <f t="shared" ref="BA140:BA146" si="353">AZ140/AZ$33</f>
        <v>0</v>
      </c>
      <c r="BB140" s="357">
        <v>20000.0</v>
      </c>
      <c r="BC140" s="355">
        <f t="shared" ref="BC140:BC145" si="354">BB140/BB$33</f>
        <v>0.001022679257</v>
      </c>
      <c r="BD140" s="245"/>
      <c r="BE140" s="245"/>
      <c r="BF140" s="357"/>
      <c r="BG140" s="355">
        <f t="shared" ref="BG140:BG146" si="355">BF140/BF$33</f>
        <v>0</v>
      </c>
      <c r="BH140" s="357">
        <v>20000.0</v>
      </c>
      <c r="BI140" s="355">
        <f t="shared" ref="BI140:BI145" si="356">BH140/BH$33</f>
        <v>0.001116214549</v>
      </c>
      <c r="BJ140" s="245"/>
      <c r="BK140" s="245"/>
      <c r="BL140" s="357"/>
      <c r="BM140" s="355">
        <f t="shared" ref="BM140:BM146" si="357">BL140/BL$33</f>
        <v>0</v>
      </c>
      <c r="BN140" s="357">
        <v>20000.0</v>
      </c>
      <c r="BO140" s="355">
        <f t="shared" ref="BO140:BO145" si="358">BN140/BN$33</f>
        <v>0.001333892121</v>
      </c>
      <c r="BP140" s="245"/>
      <c r="BQ140" s="245"/>
      <c r="BR140" s="356"/>
      <c r="BS140" s="355">
        <f t="shared" ref="BS140:BS146" si="359">BR140/BR$33</f>
        <v>0</v>
      </c>
      <c r="BT140" s="357">
        <v>20000.0</v>
      </c>
      <c r="BU140" s="355">
        <f t="shared" ref="BU140:BU145" si="360">BT140/BT$33</f>
        <v>0.001186247973</v>
      </c>
      <c r="BV140" s="245"/>
      <c r="BW140" s="213"/>
      <c r="BX140" s="213"/>
      <c r="BY140" s="213"/>
      <c r="BZ140" s="213"/>
      <c r="CA140" s="213"/>
      <c r="CB140" s="213"/>
      <c r="CC140" s="213"/>
      <c r="CD140" s="213"/>
      <c r="CE140" s="213"/>
      <c r="CF140" s="213"/>
      <c r="CG140" s="213"/>
      <c r="CH140" s="213"/>
      <c r="CI140" s="213"/>
      <c r="CJ140" s="213"/>
      <c r="CK140" s="213"/>
      <c r="CL140" s="213"/>
      <c r="CM140" s="213"/>
      <c r="CN140" s="213"/>
      <c r="CO140" s="213"/>
      <c r="CP140" s="213"/>
    </row>
    <row r="141" ht="15.75" customHeight="1">
      <c r="A141" s="213"/>
      <c r="B141" s="393"/>
      <c r="C141" s="350" t="s">
        <v>286</v>
      </c>
      <c r="D141" s="604">
        <v>28092.0</v>
      </c>
      <c r="E141" s="355">
        <f t="shared" si="340"/>
        <v>0.001741215349</v>
      </c>
      <c r="F141" s="357">
        <v>40000.0</v>
      </c>
      <c r="G141" s="355">
        <f t="shared" si="341"/>
        <v>0.002613130714</v>
      </c>
      <c r="H141" s="357">
        <f t="shared" si="342"/>
        <v>-11908</v>
      </c>
      <c r="I141" s="719">
        <f t="shared" si="343"/>
        <v>-0.2977</v>
      </c>
      <c r="J141" s="604">
        <v>28696.0</v>
      </c>
      <c r="K141" s="355">
        <f t="shared" si="344"/>
        <v>0.001734260002</v>
      </c>
      <c r="L141" s="357">
        <v>40000.0</v>
      </c>
      <c r="M141" s="355">
        <f t="shared" si="345"/>
        <v>0.002328442774</v>
      </c>
      <c r="N141" s="245"/>
      <c r="O141" s="350"/>
      <c r="P141" s="604">
        <v>29631.0</v>
      </c>
      <c r="Q141" s="355">
        <f t="shared" si="316"/>
        <v>0.001941122621</v>
      </c>
      <c r="R141" s="357">
        <v>40000.0</v>
      </c>
      <c r="S141" s="355">
        <f t="shared" si="346"/>
        <v>0.002462681716</v>
      </c>
      <c r="T141" s="245"/>
      <c r="U141" s="350"/>
      <c r="V141" s="604">
        <v>34353.0</v>
      </c>
      <c r="W141" s="355">
        <f t="shared" si="317"/>
        <v>0.002128318532</v>
      </c>
      <c r="X141" s="357">
        <v>40000.0</v>
      </c>
      <c r="Y141" s="355">
        <f t="shared" si="347"/>
        <v>0.0025227718</v>
      </c>
      <c r="Z141" s="245"/>
      <c r="AA141" s="350"/>
      <c r="AB141" s="604">
        <v>29752.0</v>
      </c>
      <c r="AC141" s="355">
        <f t="shared" si="324"/>
        <v>0.001703845122</v>
      </c>
      <c r="AD141" s="357">
        <v>40000.0</v>
      </c>
      <c r="AE141" s="355">
        <f t="shared" si="348"/>
        <v>0.002261770421</v>
      </c>
      <c r="AF141" s="245"/>
      <c r="AG141" s="350"/>
      <c r="AH141" s="604">
        <v>30555.0</v>
      </c>
      <c r="AI141" s="355">
        <f t="shared" si="326"/>
        <v>0.001953120914</v>
      </c>
      <c r="AJ141" s="357">
        <v>40000.0</v>
      </c>
      <c r="AK141" s="355">
        <f t="shared" si="349"/>
        <v>0.0023660175</v>
      </c>
      <c r="AL141" s="245"/>
      <c r="AM141" s="350"/>
      <c r="AN141" s="605">
        <v>27266.0</v>
      </c>
      <c r="AO141" s="355">
        <f t="shared" si="328"/>
        <v>0.001645221917</v>
      </c>
      <c r="AP141" s="357">
        <v>40000.0</v>
      </c>
      <c r="AQ141" s="355">
        <f t="shared" si="350"/>
        <v>0.002288662221</v>
      </c>
      <c r="AR141" s="245"/>
      <c r="AS141" s="245"/>
      <c r="AT141" s="357">
        <v>27501.0</v>
      </c>
      <c r="AU141" s="355">
        <f t="shared" si="351"/>
        <v>0.001621797946</v>
      </c>
      <c r="AV141" s="357">
        <v>40000.0</v>
      </c>
      <c r="AW141" s="355">
        <f t="shared" si="352"/>
        <v>0.002341799736</v>
      </c>
      <c r="AX141" s="245"/>
      <c r="AY141" s="245"/>
      <c r="AZ141" s="357">
        <v>28934.0</v>
      </c>
      <c r="BA141" s="355">
        <f t="shared" si="353"/>
        <v>0.001405467219</v>
      </c>
      <c r="BB141" s="357">
        <v>40000.0</v>
      </c>
      <c r="BC141" s="355">
        <f t="shared" si="354"/>
        <v>0.002045358514</v>
      </c>
      <c r="BD141" s="245"/>
      <c r="BE141" s="245"/>
      <c r="BF141" s="357">
        <v>28318.0</v>
      </c>
      <c r="BG141" s="355">
        <f t="shared" si="355"/>
        <v>0.001510825712</v>
      </c>
      <c r="BH141" s="357">
        <v>40000.0</v>
      </c>
      <c r="BI141" s="355">
        <f t="shared" si="356"/>
        <v>0.002232429098</v>
      </c>
      <c r="BJ141" s="245"/>
      <c r="BK141" s="245"/>
      <c r="BL141" s="357">
        <v>23580.0</v>
      </c>
      <c r="BM141" s="355">
        <f t="shared" si="357"/>
        <v>0.001434231957</v>
      </c>
      <c r="BN141" s="357">
        <v>40000.0</v>
      </c>
      <c r="BO141" s="355">
        <f t="shared" si="358"/>
        <v>0.002667784242</v>
      </c>
      <c r="BP141" s="245"/>
      <c r="BQ141" s="245"/>
      <c r="BR141" s="356">
        <v>25312.0</v>
      </c>
      <c r="BS141" s="355">
        <f t="shared" si="359"/>
        <v>0.001342501797</v>
      </c>
      <c r="BT141" s="357">
        <v>40000.0</v>
      </c>
      <c r="BU141" s="355">
        <f t="shared" si="360"/>
        <v>0.002372495945</v>
      </c>
      <c r="BV141" s="245"/>
      <c r="BW141" s="213"/>
      <c r="BX141" s="213"/>
      <c r="BY141" s="213"/>
      <c r="BZ141" s="213"/>
      <c r="CA141" s="213"/>
      <c r="CB141" s="213"/>
      <c r="CC141" s="213"/>
      <c r="CD141" s="213"/>
      <c r="CE141" s="213"/>
      <c r="CF141" s="213"/>
      <c r="CG141" s="213"/>
      <c r="CH141" s="213"/>
      <c r="CI141" s="213"/>
      <c r="CJ141" s="213"/>
      <c r="CK141" s="213"/>
      <c r="CL141" s="213"/>
      <c r="CM141" s="213"/>
      <c r="CN141" s="213"/>
      <c r="CO141" s="213"/>
      <c r="CP141" s="213"/>
    </row>
    <row r="142" ht="15.75" customHeight="1">
      <c r="A142" s="213"/>
      <c r="B142" s="393"/>
      <c r="C142" s="350" t="s">
        <v>279</v>
      </c>
      <c r="D142" s="604"/>
      <c r="E142" s="355">
        <f t="shared" si="340"/>
        <v>0</v>
      </c>
      <c r="F142" s="357">
        <v>10527.0</v>
      </c>
      <c r="G142" s="355">
        <f t="shared" si="341"/>
        <v>0.0006877106756</v>
      </c>
      <c r="H142" s="357">
        <f t="shared" si="342"/>
        <v>-10527</v>
      </c>
      <c r="I142" s="719">
        <f t="shared" si="343"/>
        <v>-1</v>
      </c>
      <c r="J142" s="604"/>
      <c r="K142" s="355">
        <f t="shared" si="344"/>
        <v>0</v>
      </c>
      <c r="L142" s="357">
        <v>10527.0</v>
      </c>
      <c r="M142" s="355">
        <f t="shared" si="345"/>
        <v>0.000612787927</v>
      </c>
      <c r="N142" s="245"/>
      <c r="O142" s="350"/>
      <c r="P142" s="604"/>
      <c r="Q142" s="355">
        <f t="shared" si="316"/>
        <v>0</v>
      </c>
      <c r="R142" s="357">
        <v>10527.0</v>
      </c>
      <c r="S142" s="355">
        <f t="shared" si="346"/>
        <v>0.0006481162605</v>
      </c>
      <c r="T142" s="245"/>
      <c r="U142" s="350"/>
      <c r="V142" s="604"/>
      <c r="W142" s="355">
        <f t="shared" si="317"/>
        <v>0</v>
      </c>
      <c r="X142" s="357">
        <v>10527.0</v>
      </c>
      <c r="Y142" s="355">
        <f t="shared" si="347"/>
        <v>0.0006639304684</v>
      </c>
      <c r="Z142" s="245"/>
      <c r="AA142" s="350"/>
      <c r="AB142" s="604"/>
      <c r="AC142" s="355">
        <f t="shared" si="324"/>
        <v>0</v>
      </c>
      <c r="AD142" s="357">
        <v>10527.0</v>
      </c>
      <c r="AE142" s="355">
        <f t="shared" si="348"/>
        <v>0.0005952414307</v>
      </c>
      <c r="AF142" s="245"/>
      <c r="AG142" s="350"/>
      <c r="AH142" s="604"/>
      <c r="AI142" s="355">
        <f t="shared" si="326"/>
        <v>0</v>
      </c>
      <c r="AJ142" s="357">
        <v>10527.0</v>
      </c>
      <c r="AK142" s="355">
        <f t="shared" si="349"/>
        <v>0.0006226766555</v>
      </c>
      <c r="AL142" s="245"/>
      <c r="AM142" s="350"/>
      <c r="AN142" s="605"/>
      <c r="AO142" s="355">
        <f t="shared" si="328"/>
        <v>0</v>
      </c>
      <c r="AP142" s="357">
        <v>10527.0</v>
      </c>
      <c r="AQ142" s="355">
        <f t="shared" si="350"/>
        <v>0.0006023186801</v>
      </c>
      <c r="AR142" s="245"/>
      <c r="AS142" s="245"/>
      <c r="AT142" s="357"/>
      <c r="AU142" s="355">
        <f t="shared" si="351"/>
        <v>0</v>
      </c>
      <c r="AV142" s="357">
        <v>10527.0</v>
      </c>
      <c r="AW142" s="355">
        <f t="shared" si="352"/>
        <v>0.0006163031456</v>
      </c>
      <c r="AX142" s="245"/>
      <c r="AY142" s="245"/>
      <c r="AZ142" s="357"/>
      <c r="BA142" s="355">
        <f t="shared" si="353"/>
        <v>0</v>
      </c>
      <c r="BB142" s="357">
        <v>10527.0</v>
      </c>
      <c r="BC142" s="355">
        <f t="shared" si="354"/>
        <v>0.0005382872268</v>
      </c>
      <c r="BD142" s="245"/>
      <c r="BE142" s="245"/>
      <c r="BF142" s="357"/>
      <c r="BG142" s="355">
        <f t="shared" si="355"/>
        <v>0</v>
      </c>
      <c r="BH142" s="357">
        <v>10527.0</v>
      </c>
      <c r="BI142" s="355">
        <f t="shared" si="356"/>
        <v>0.0005875195278</v>
      </c>
      <c r="BJ142" s="245"/>
      <c r="BK142" s="245"/>
      <c r="BL142" s="737">
        <v>45405.2</v>
      </c>
      <c r="BM142" s="355">
        <f t="shared" si="357"/>
        <v>0.002761729807</v>
      </c>
      <c r="BN142" s="357">
        <v>10527.0</v>
      </c>
      <c r="BO142" s="355">
        <f t="shared" si="358"/>
        <v>0.000702094118</v>
      </c>
      <c r="BP142" s="245"/>
      <c r="BQ142" s="245"/>
      <c r="BR142" s="356"/>
      <c r="BS142" s="355">
        <f t="shared" si="359"/>
        <v>0</v>
      </c>
      <c r="BT142" s="357">
        <v>10527.0</v>
      </c>
      <c r="BU142" s="355">
        <f t="shared" si="360"/>
        <v>0.0006243816204</v>
      </c>
      <c r="BV142" s="245"/>
      <c r="BW142" s="213"/>
      <c r="BX142" s="213"/>
      <c r="BY142" s="213"/>
      <c r="BZ142" s="213"/>
      <c r="CA142" s="213"/>
      <c r="CB142" s="213"/>
      <c r="CC142" s="213"/>
      <c r="CD142" s="213"/>
      <c r="CE142" s="213"/>
      <c r="CF142" s="213"/>
      <c r="CG142" s="213"/>
      <c r="CH142" s="213"/>
      <c r="CI142" s="213"/>
      <c r="CJ142" s="213"/>
      <c r="CK142" s="213"/>
      <c r="CL142" s="213"/>
      <c r="CM142" s="213"/>
      <c r="CN142" s="213"/>
      <c r="CO142" s="213"/>
      <c r="CP142" s="213"/>
    </row>
    <row r="143" ht="15.75" customHeight="1">
      <c r="A143" s="213"/>
      <c r="B143" s="393"/>
      <c r="C143" s="350" t="s">
        <v>287</v>
      </c>
      <c r="D143" s="604">
        <v>8000.0</v>
      </c>
      <c r="E143" s="355">
        <f t="shared" si="340"/>
        <v>0.0004958608425</v>
      </c>
      <c r="F143" s="357">
        <v>8000.0</v>
      </c>
      <c r="G143" s="355">
        <f t="shared" si="341"/>
        <v>0.0005226261428</v>
      </c>
      <c r="H143" s="357">
        <f t="shared" si="342"/>
        <v>0</v>
      </c>
      <c r="I143" s="719">
        <f t="shared" si="343"/>
        <v>0</v>
      </c>
      <c r="J143" s="604">
        <v>8000.0</v>
      </c>
      <c r="K143" s="355">
        <f t="shared" si="344"/>
        <v>0.0004834848069</v>
      </c>
      <c r="L143" s="357">
        <v>8000.0</v>
      </c>
      <c r="M143" s="355">
        <f t="shared" si="345"/>
        <v>0.0004656885548</v>
      </c>
      <c r="N143" s="245"/>
      <c r="O143" s="350"/>
      <c r="P143" s="604">
        <v>8000.0</v>
      </c>
      <c r="Q143" s="355">
        <f t="shared" si="316"/>
        <v>0.0005240788692</v>
      </c>
      <c r="R143" s="357">
        <v>25000.0</v>
      </c>
      <c r="S143" s="355">
        <f t="shared" si="346"/>
        <v>0.001539176072</v>
      </c>
      <c r="T143" s="245"/>
      <c r="U143" s="350"/>
      <c r="V143" s="604">
        <v>8000.0</v>
      </c>
      <c r="W143" s="355">
        <f t="shared" si="317"/>
        <v>0.0004956349738</v>
      </c>
      <c r="X143" s="357">
        <v>25000.0</v>
      </c>
      <c r="Y143" s="355">
        <f t="shared" si="347"/>
        <v>0.001576732375</v>
      </c>
      <c r="Z143" s="245"/>
      <c r="AA143" s="350"/>
      <c r="AB143" s="604">
        <v>8000.0</v>
      </c>
      <c r="AC143" s="355">
        <f t="shared" si="324"/>
        <v>0.0004581460399</v>
      </c>
      <c r="AD143" s="357">
        <v>25000.0</v>
      </c>
      <c r="AE143" s="355">
        <f t="shared" si="348"/>
        <v>0.001413606513</v>
      </c>
      <c r="AF143" s="245"/>
      <c r="AG143" s="350"/>
      <c r="AH143" s="604">
        <f>8000+20000</f>
        <v>28000</v>
      </c>
      <c r="AI143" s="355">
        <f t="shared" si="326"/>
        <v>0.001789801525</v>
      </c>
      <c r="AJ143" s="357">
        <v>25000.0</v>
      </c>
      <c r="AK143" s="355">
        <f t="shared" si="349"/>
        <v>0.001478760937</v>
      </c>
      <c r="AL143" s="245"/>
      <c r="AM143" s="350"/>
      <c r="AN143" s="605">
        <f>20000+8000+22500</f>
        <v>50500</v>
      </c>
      <c r="AO143" s="355">
        <f t="shared" si="328"/>
        <v>0.003047154214</v>
      </c>
      <c r="AP143" s="357">
        <v>45000.0</v>
      </c>
      <c r="AQ143" s="355">
        <f t="shared" si="350"/>
        <v>0.002574744999</v>
      </c>
      <c r="AR143" s="245"/>
      <c r="AS143" s="245"/>
      <c r="AT143" s="357">
        <v>45000.0</v>
      </c>
      <c r="AU143" s="355">
        <f t="shared" si="351"/>
        <v>0.002653754684</v>
      </c>
      <c r="AV143" s="357">
        <v>45000.0</v>
      </c>
      <c r="AW143" s="355">
        <f t="shared" si="352"/>
        <v>0.002634524703</v>
      </c>
      <c r="AX143" s="245"/>
      <c r="AY143" s="245"/>
      <c r="AZ143" s="357">
        <v>45000.0</v>
      </c>
      <c r="BA143" s="355">
        <f t="shared" si="353"/>
        <v>0.002185872153</v>
      </c>
      <c r="BB143" s="357">
        <v>25000.0</v>
      </c>
      <c r="BC143" s="355">
        <f t="shared" si="354"/>
        <v>0.001278349071</v>
      </c>
      <c r="BD143" s="245"/>
      <c r="BE143" s="245"/>
      <c r="BF143" s="357">
        <v>45000.0</v>
      </c>
      <c r="BG143" s="355">
        <f t="shared" si="355"/>
        <v>0.002400846001</v>
      </c>
      <c r="BH143" s="357">
        <v>25000.0</v>
      </c>
      <c r="BI143" s="355">
        <f t="shared" si="356"/>
        <v>0.001395268186</v>
      </c>
      <c r="BJ143" s="245"/>
      <c r="BK143" s="245"/>
      <c r="BL143" s="357">
        <f>45000+5000</f>
        <v>50000</v>
      </c>
      <c r="BM143" s="355">
        <f t="shared" si="357"/>
        <v>0.003041204319</v>
      </c>
      <c r="BN143" s="357">
        <v>25000.0</v>
      </c>
      <c r="BO143" s="355">
        <f t="shared" si="358"/>
        <v>0.001667365151</v>
      </c>
      <c r="BP143" s="245"/>
      <c r="BQ143" s="245"/>
      <c r="BR143" s="356">
        <v>8000.0</v>
      </c>
      <c r="BS143" s="355">
        <f t="shared" si="359"/>
        <v>0.0004243052457</v>
      </c>
      <c r="BT143" s="357">
        <v>25000.0</v>
      </c>
      <c r="BU143" s="355">
        <f t="shared" si="360"/>
        <v>0.001482809966</v>
      </c>
      <c r="BV143" s="245"/>
      <c r="BW143" s="213"/>
      <c r="BX143" s="213"/>
      <c r="BY143" s="213"/>
      <c r="BZ143" s="213"/>
      <c r="CA143" s="213"/>
      <c r="CB143" s="213"/>
      <c r="CC143" s="213"/>
      <c r="CD143" s="213"/>
      <c r="CE143" s="213"/>
      <c r="CF143" s="213"/>
      <c r="CG143" s="213"/>
      <c r="CH143" s="213"/>
      <c r="CI143" s="213"/>
      <c r="CJ143" s="213"/>
      <c r="CK143" s="213"/>
      <c r="CL143" s="213"/>
      <c r="CM143" s="213"/>
      <c r="CN143" s="213"/>
      <c r="CO143" s="213"/>
      <c r="CP143" s="213"/>
    </row>
    <row r="144" ht="15.75" customHeight="1">
      <c r="A144" s="213"/>
      <c r="B144" s="393"/>
      <c r="C144" s="350" t="s">
        <v>401</v>
      </c>
      <c r="D144" s="604"/>
      <c r="E144" s="355">
        <f t="shared" si="340"/>
        <v>0</v>
      </c>
      <c r="F144" s="357"/>
      <c r="G144" s="355">
        <f t="shared" si="341"/>
        <v>0</v>
      </c>
      <c r="H144" s="357">
        <f t="shared" si="342"/>
        <v>0</v>
      </c>
      <c r="I144" s="719" t="str">
        <f t="shared" si="343"/>
        <v/>
      </c>
      <c r="J144" s="604">
        <v>17398.0</v>
      </c>
      <c r="K144" s="355">
        <f t="shared" si="344"/>
        <v>0.001051458584</v>
      </c>
      <c r="L144" s="357"/>
      <c r="M144" s="355">
        <f t="shared" si="345"/>
        <v>0</v>
      </c>
      <c r="N144" s="245"/>
      <c r="O144" s="350"/>
      <c r="P144" s="604">
        <v>176245.0</v>
      </c>
      <c r="Q144" s="355">
        <f t="shared" si="316"/>
        <v>0.01154578504</v>
      </c>
      <c r="R144" s="357"/>
      <c r="S144" s="355">
        <f t="shared" si="346"/>
        <v>0</v>
      </c>
      <c r="T144" s="245"/>
      <c r="U144" s="350"/>
      <c r="V144" s="604"/>
      <c r="W144" s="355">
        <f t="shared" si="317"/>
        <v>0</v>
      </c>
      <c r="X144" s="357"/>
      <c r="Y144" s="355">
        <f t="shared" si="347"/>
        <v>0</v>
      </c>
      <c r="Z144" s="245"/>
      <c r="AA144" s="350"/>
      <c r="AB144" s="604"/>
      <c r="AC144" s="355">
        <f t="shared" si="324"/>
        <v>0</v>
      </c>
      <c r="AD144" s="357"/>
      <c r="AE144" s="355">
        <f t="shared" si="348"/>
        <v>0</v>
      </c>
      <c r="AF144" s="245"/>
      <c r="AG144" s="350"/>
      <c r="AH144" s="604"/>
      <c r="AI144" s="355">
        <f t="shared" si="326"/>
        <v>0</v>
      </c>
      <c r="AJ144" s="357"/>
      <c r="AK144" s="355">
        <f t="shared" si="349"/>
        <v>0</v>
      </c>
      <c r="AL144" s="245"/>
      <c r="AM144" s="350"/>
      <c r="AN144" s="605"/>
      <c r="AO144" s="355">
        <f t="shared" si="328"/>
        <v>0</v>
      </c>
      <c r="AP144" s="357"/>
      <c r="AQ144" s="355">
        <f t="shared" si="350"/>
        <v>0</v>
      </c>
      <c r="AR144" s="245"/>
      <c r="AS144" s="245"/>
      <c r="AT144" s="357"/>
      <c r="AU144" s="355">
        <f t="shared" si="351"/>
        <v>0</v>
      </c>
      <c r="AV144" s="357"/>
      <c r="AW144" s="355">
        <f t="shared" si="352"/>
        <v>0</v>
      </c>
      <c r="AX144" s="245"/>
      <c r="AY144" s="245"/>
      <c r="AZ144" s="357"/>
      <c r="BA144" s="355">
        <f t="shared" si="353"/>
        <v>0</v>
      </c>
      <c r="BB144" s="357"/>
      <c r="BC144" s="355">
        <f t="shared" si="354"/>
        <v>0</v>
      </c>
      <c r="BD144" s="245"/>
      <c r="BE144" s="245"/>
      <c r="BF144" s="357"/>
      <c r="BG144" s="355">
        <f t="shared" si="355"/>
        <v>0</v>
      </c>
      <c r="BH144" s="357"/>
      <c r="BI144" s="355">
        <f t="shared" si="356"/>
        <v>0</v>
      </c>
      <c r="BJ144" s="245"/>
      <c r="BK144" s="245"/>
      <c r="BL144" s="357"/>
      <c r="BM144" s="355">
        <f t="shared" si="357"/>
        <v>0</v>
      </c>
      <c r="BN144" s="357"/>
      <c r="BO144" s="355">
        <f t="shared" si="358"/>
        <v>0</v>
      </c>
      <c r="BP144" s="245"/>
      <c r="BQ144" s="245"/>
      <c r="BR144" s="356"/>
      <c r="BS144" s="355">
        <f t="shared" si="359"/>
        <v>0</v>
      </c>
      <c r="BT144" s="357"/>
      <c r="BU144" s="355">
        <f t="shared" si="360"/>
        <v>0</v>
      </c>
      <c r="BV144" s="245"/>
      <c r="BW144" s="213"/>
      <c r="BX144" s="213"/>
      <c r="BY144" s="213"/>
      <c r="BZ144" s="213"/>
      <c r="CA144" s="213"/>
      <c r="CB144" s="213"/>
      <c r="CC144" s="213"/>
      <c r="CD144" s="213"/>
      <c r="CE144" s="213"/>
      <c r="CF144" s="213"/>
      <c r="CG144" s="213"/>
      <c r="CH144" s="213"/>
      <c r="CI144" s="213"/>
      <c r="CJ144" s="213"/>
      <c r="CK144" s="213"/>
      <c r="CL144" s="213"/>
      <c r="CM144" s="213"/>
      <c r="CN144" s="213"/>
      <c r="CO144" s="213"/>
      <c r="CP144" s="213"/>
    </row>
    <row r="145" ht="15.75" customHeight="1">
      <c r="A145" s="213"/>
      <c r="B145" s="393"/>
      <c r="C145" s="350" t="s">
        <v>288</v>
      </c>
      <c r="D145" s="604">
        <v>44250.0</v>
      </c>
      <c r="E145" s="355">
        <f t="shared" si="340"/>
        <v>0.002742730285</v>
      </c>
      <c r="F145" s="357">
        <v>35400.0</v>
      </c>
      <c r="G145" s="355">
        <f t="shared" si="341"/>
        <v>0.002312620682</v>
      </c>
      <c r="H145" s="357">
        <f t="shared" si="342"/>
        <v>8850</v>
      </c>
      <c r="I145" s="719">
        <f t="shared" si="343"/>
        <v>0.25</v>
      </c>
      <c r="J145" s="604">
        <v>35400.0</v>
      </c>
      <c r="K145" s="355">
        <f t="shared" si="344"/>
        <v>0.00213942027</v>
      </c>
      <c r="L145" s="357">
        <f>$F$145</f>
        <v>35400</v>
      </c>
      <c r="M145" s="355">
        <f t="shared" si="345"/>
        <v>0.002060671855</v>
      </c>
      <c r="N145" s="245"/>
      <c r="O145" s="350"/>
      <c r="P145" s="604">
        <v>35400.0</v>
      </c>
      <c r="Q145" s="355">
        <f t="shared" si="316"/>
        <v>0.002319048996</v>
      </c>
      <c r="R145" s="357">
        <f>$F$145</f>
        <v>35400</v>
      </c>
      <c r="S145" s="355">
        <f t="shared" si="346"/>
        <v>0.002179473318</v>
      </c>
      <c r="T145" s="245"/>
      <c r="U145" s="350"/>
      <c r="V145" s="604">
        <v>44250.0</v>
      </c>
      <c r="W145" s="355">
        <f t="shared" si="317"/>
        <v>0.002741480949</v>
      </c>
      <c r="X145" s="357">
        <f>$F$145</f>
        <v>35400</v>
      </c>
      <c r="Y145" s="355">
        <f t="shared" si="347"/>
        <v>0.002232653043</v>
      </c>
      <c r="Z145" s="245"/>
      <c r="AA145" s="350"/>
      <c r="AB145" s="604">
        <v>35400.0</v>
      </c>
      <c r="AC145" s="355">
        <f t="shared" si="324"/>
        <v>0.002027296227</v>
      </c>
      <c r="AD145" s="357">
        <f>$F$145</f>
        <v>35400</v>
      </c>
      <c r="AE145" s="355">
        <f t="shared" si="348"/>
        <v>0.002001666823</v>
      </c>
      <c r="AF145" s="245"/>
      <c r="AG145" s="350"/>
      <c r="AH145" s="604">
        <v>35400.0</v>
      </c>
      <c r="AI145" s="355">
        <f t="shared" si="326"/>
        <v>0.002262820499</v>
      </c>
      <c r="AJ145" s="357">
        <f>$F$145</f>
        <v>35400</v>
      </c>
      <c r="AK145" s="355">
        <f t="shared" si="349"/>
        <v>0.002093925487</v>
      </c>
      <c r="AL145" s="245"/>
      <c r="AM145" s="350"/>
      <c r="AN145" s="605">
        <f>1950+44250</f>
        <v>46200</v>
      </c>
      <c r="AO145" s="355">
        <f t="shared" si="328"/>
        <v>0.002787693558</v>
      </c>
      <c r="AP145" s="357">
        <f>$F$145</f>
        <v>35400</v>
      </c>
      <c r="AQ145" s="355">
        <f t="shared" si="350"/>
        <v>0.002025466066</v>
      </c>
      <c r="AR145" s="245"/>
      <c r="AS145" s="245"/>
      <c r="AT145" s="357">
        <v>35400.0</v>
      </c>
      <c r="AU145" s="355">
        <f t="shared" si="351"/>
        <v>0.002087620351</v>
      </c>
      <c r="AV145" s="357">
        <f>$F$145</f>
        <v>35400</v>
      </c>
      <c r="AW145" s="355">
        <f t="shared" si="352"/>
        <v>0.002072492767</v>
      </c>
      <c r="AX145" s="245"/>
      <c r="AY145" s="245"/>
      <c r="AZ145" s="357">
        <v>52510.0</v>
      </c>
      <c r="BA145" s="355">
        <f t="shared" si="353"/>
        <v>0.002550669928</v>
      </c>
      <c r="BB145" s="357">
        <f>$F$145</f>
        <v>35400</v>
      </c>
      <c r="BC145" s="355">
        <f t="shared" si="354"/>
        <v>0.001810142285</v>
      </c>
      <c r="BD145" s="245"/>
      <c r="BE145" s="245"/>
      <c r="BF145" s="357">
        <v>35400.0</v>
      </c>
      <c r="BG145" s="355">
        <f t="shared" si="355"/>
        <v>0.00188866552</v>
      </c>
      <c r="BH145" s="357">
        <f>$F$145</f>
        <v>35400</v>
      </c>
      <c r="BI145" s="355">
        <f t="shared" si="356"/>
        <v>0.001975699751</v>
      </c>
      <c r="BJ145" s="245"/>
      <c r="BK145" s="245"/>
      <c r="BL145" s="357">
        <v>35400.0</v>
      </c>
      <c r="BM145" s="355">
        <f t="shared" si="357"/>
        <v>0.002153172658</v>
      </c>
      <c r="BN145" s="357">
        <f>$F$145</f>
        <v>35400</v>
      </c>
      <c r="BO145" s="355">
        <f t="shared" si="358"/>
        <v>0.002360989055</v>
      </c>
      <c r="BP145" s="245"/>
      <c r="BQ145" s="245"/>
      <c r="BR145" s="356">
        <v>30000.0</v>
      </c>
      <c r="BS145" s="355">
        <f t="shared" si="359"/>
        <v>0.001591144671</v>
      </c>
      <c r="BT145" s="357">
        <f>$F$145</f>
        <v>35400</v>
      </c>
      <c r="BU145" s="355">
        <f t="shared" si="360"/>
        <v>0.002099658912</v>
      </c>
      <c r="BV145" s="245"/>
      <c r="BW145" s="213"/>
      <c r="BX145" s="213"/>
      <c r="BY145" s="213"/>
      <c r="BZ145" s="213"/>
      <c r="CA145" s="213"/>
      <c r="CB145" s="213"/>
      <c r="CC145" s="213"/>
      <c r="CD145" s="213"/>
      <c r="CE145" s="213"/>
      <c r="CF145" s="213"/>
      <c r="CG145" s="213"/>
      <c r="CH145" s="213"/>
      <c r="CI145" s="213"/>
      <c r="CJ145" s="213"/>
      <c r="CK145" s="213"/>
      <c r="CL145" s="213"/>
      <c r="CM145" s="213"/>
      <c r="CN145" s="213"/>
      <c r="CO145" s="213"/>
      <c r="CP145" s="213"/>
    </row>
    <row r="146" ht="15.75" customHeight="1">
      <c r="A146" s="213"/>
      <c r="B146" s="393"/>
      <c r="C146" s="350" t="s">
        <v>386</v>
      </c>
      <c r="D146" s="604"/>
      <c r="E146" s="355"/>
      <c r="F146" s="245"/>
      <c r="G146" s="355"/>
      <c r="H146" s="245"/>
      <c r="I146" s="350"/>
      <c r="J146" s="604"/>
      <c r="K146" s="355"/>
      <c r="L146" s="245"/>
      <c r="M146" s="245"/>
      <c r="N146" s="245"/>
      <c r="O146" s="350"/>
      <c r="P146" s="604"/>
      <c r="Q146" s="245"/>
      <c r="R146" s="352"/>
      <c r="S146" s="245"/>
      <c r="T146" s="245"/>
      <c r="U146" s="350"/>
      <c r="V146" s="604">
        <f>82000*1.18</f>
        <v>96760</v>
      </c>
      <c r="W146" s="355">
        <f t="shared" si="317"/>
        <v>0.005994705008</v>
      </c>
      <c r="X146" s="676"/>
      <c r="Y146" s="245"/>
      <c r="Z146" s="245"/>
      <c r="AA146" s="350"/>
      <c r="AB146" s="604">
        <f>6840+58000+23010+47200</f>
        <v>135050</v>
      </c>
      <c r="AC146" s="355">
        <f t="shared" si="324"/>
        <v>0.007734077836</v>
      </c>
      <c r="AD146" s="245"/>
      <c r="AE146" s="245"/>
      <c r="AF146" s="245"/>
      <c r="AG146" s="350"/>
      <c r="AH146" s="604">
        <f>60770+113500</f>
        <v>174270</v>
      </c>
      <c r="AI146" s="355">
        <f t="shared" si="326"/>
        <v>0.01113959685</v>
      </c>
      <c r="AJ146" s="245"/>
      <c r="AK146" s="245"/>
      <c r="AL146" s="245"/>
      <c r="AM146" s="350"/>
      <c r="AN146" s="605">
        <f>37930+67850+41300</f>
        <v>147080</v>
      </c>
      <c r="AO146" s="355">
        <f t="shared" si="328"/>
        <v>0.008874761223</v>
      </c>
      <c r="AP146" s="245"/>
      <c r="AQ146" s="245"/>
      <c r="AR146" s="245"/>
      <c r="AS146" s="245"/>
      <c r="AT146" s="357">
        <f>139300+9270</f>
        <v>148570</v>
      </c>
      <c r="AU146" s="355">
        <f t="shared" si="351"/>
        <v>0.008761518519</v>
      </c>
      <c r="AV146" s="245"/>
      <c r="AW146" s="245"/>
      <c r="AX146" s="245"/>
      <c r="AY146" s="245"/>
      <c r="AZ146" s="357">
        <f>46905+21000+23010+35400+47200</f>
        <v>173515</v>
      </c>
      <c r="BA146" s="355">
        <f t="shared" si="353"/>
        <v>0.008428480146</v>
      </c>
      <c r="BB146" s="245"/>
      <c r="BC146" s="245"/>
      <c r="BD146" s="245"/>
      <c r="BE146" s="245"/>
      <c r="BF146" s="357">
        <v>10620.0</v>
      </c>
      <c r="BG146" s="355">
        <f t="shared" si="355"/>
        <v>0.0005665996561</v>
      </c>
      <c r="BH146" s="245"/>
      <c r="BI146" s="245"/>
      <c r="BJ146" s="245"/>
      <c r="BK146" s="245"/>
      <c r="BL146" s="357">
        <f>30000+49801+176410</f>
        <v>256211</v>
      </c>
      <c r="BM146" s="355">
        <f t="shared" si="357"/>
        <v>0.0155838</v>
      </c>
      <c r="BN146" s="245"/>
      <c r="BO146" s="245"/>
      <c r="BP146" s="245"/>
      <c r="BQ146" s="245"/>
      <c r="BR146" s="356">
        <v>308552.0</v>
      </c>
      <c r="BS146" s="355">
        <f t="shared" si="359"/>
        <v>0.01636502902</v>
      </c>
      <c r="BT146" s="245"/>
      <c r="BU146" s="245"/>
      <c r="BV146" s="245"/>
      <c r="BW146" s="213"/>
      <c r="BX146" s="213"/>
      <c r="BY146" s="213"/>
      <c r="BZ146" s="213"/>
      <c r="CA146" s="213"/>
      <c r="CB146" s="213"/>
      <c r="CC146" s="213"/>
      <c r="CD146" s="213"/>
      <c r="CE146" s="213"/>
      <c r="CF146" s="213"/>
      <c r="CG146" s="213"/>
      <c r="CH146" s="213"/>
      <c r="CI146" s="213"/>
      <c r="CJ146" s="213"/>
      <c r="CK146" s="213"/>
      <c r="CL146" s="213"/>
      <c r="CM146" s="213"/>
      <c r="CN146" s="213"/>
      <c r="CO146" s="213"/>
      <c r="CP146" s="213"/>
    </row>
    <row r="147" ht="15.75" customHeight="1">
      <c r="A147" s="213"/>
      <c r="B147" s="393"/>
      <c r="C147" s="350"/>
      <c r="D147" s="604"/>
      <c r="E147" s="355"/>
      <c r="F147" s="245"/>
      <c r="G147" s="355"/>
      <c r="H147" s="245"/>
      <c r="I147" s="350"/>
      <c r="J147" s="604"/>
      <c r="K147" s="355"/>
      <c r="L147" s="245"/>
      <c r="M147" s="245"/>
      <c r="N147" s="245"/>
      <c r="O147" s="350"/>
      <c r="P147" s="604"/>
      <c r="Q147" s="245"/>
      <c r="R147" s="352"/>
      <c r="S147" s="245"/>
      <c r="T147" s="245"/>
      <c r="U147" s="350"/>
      <c r="V147" s="604"/>
      <c r="W147" s="352"/>
      <c r="X147" s="676"/>
      <c r="Y147" s="245"/>
      <c r="Z147" s="245"/>
      <c r="AA147" s="350"/>
      <c r="AB147" s="604"/>
      <c r="AC147" s="245"/>
      <c r="AD147" s="245"/>
      <c r="AE147" s="245"/>
      <c r="AF147" s="245"/>
      <c r="AG147" s="350"/>
      <c r="AH147" s="604"/>
      <c r="AI147" s="245"/>
      <c r="AJ147" s="245"/>
      <c r="AK147" s="245"/>
      <c r="AL147" s="245"/>
      <c r="AM147" s="350"/>
      <c r="AN147" s="605"/>
      <c r="AO147" s="245"/>
      <c r="AP147" s="245"/>
      <c r="AQ147" s="245"/>
      <c r="AR147" s="245"/>
      <c r="AS147" s="245"/>
      <c r="AT147" s="357"/>
      <c r="AU147" s="245"/>
      <c r="AV147" s="245"/>
      <c r="AW147" s="245"/>
      <c r="AX147" s="245"/>
      <c r="AY147" s="245"/>
      <c r="AZ147" s="357"/>
      <c r="BA147" s="245"/>
      <c r="BB147" s="245"/>
      <c r="BC147" s="245"/>
      <c r="BD147" s="245"/>
      <c r="BE147" s="245"/>
      <c r="BF147" s="357"/>
      <c r="BG147" s="245"/>
      <c r="BH147" s="245"/>
      <c r="BI147" s="245"/>
      <c r="BJ147" s="245"/>
      <c r="BK147" s="245"/>
      <c r="BL147" s="357"/>
      <c r="BM147" s="245"/>
      <c r="BN147" s="245"/>
      <c r="BO147" s="245"/>
      <c r="BP147" s="245"/>
      <c r="BQ147" s="245"/>
      <c r="BR147" s="356"/>
      <c r="BS147" s="245"/>
      <c r="BT147" s="245"/>
      <c r="BU147" s="245"/>
      <c r="BV147" s="245"/>
      <c r="BW147" s="213"/>
      <c r="BX147" s="213"/>
      <c r="BY147" s="213"/>
      <c r="BZ147" s="213"/>
      <c r="CA147" s="213"/>
      <c r="CB147" s="213"/>
      <c r="CC147" s="213"/>
      <c r="CD147" s="213"/>
      <c r="CE147" s="213"/>
      <c r="CF147" s="213"/>
      <c r="CG147" s="213"/>
      <c r="CH147" s="213"/>
      <c r="CI147" s="213"/>
      <c r="CJ147" s="213"/>
      <c r="CK147" s="213"/>
      <c r="CL147" s="213"/>
      <c r="CM147" s="213"/>
      <c r="CN147" s="213"/>
      <c r="CO147" s="213"/>
      <c r="CP147" s="213"/>
    </row>
    <row r="148" ht="15.75" customHeight="1">
      <c r="A148" s="213"/>
      <c r="B148" s="403"/>
      <c r="C148" s="686"/>
      <c r="D148" s="619"/>
      <c r="E148" s="404"/>
      <c r="F148" s="688"/>
      <c r="G148" s="404"/>
      <c r="H148" s="688"/>
      <c r="I148" s="362"/>
      <c r="J148" s="619"/>
      <c r="K148" s="404"/>
      <c r="L148" s="688"/>
      <c r="M148" s="688"/>
      <c r="N148" s="688"/>
      <c r="O148" s="362"/>
      <c r="P148" s="619"/>
      <c r="Q148" s="688"/>
      <c r="R148" s="364"/>
      <c r="S148" s="688"/>
      <c r="T148" s="688"/>
      <c r="U148" s="362"/>
      <c r="V148" s="619"/>
      <c r="W148" s="364"/>
      <c r="X148" s="803"/>
      <c r="Y148" s="688"/>
      <c r="Z148" s="688"/>
      <c r="AA148" s="362"/>
      <c r="AB148" s="619"/>
      <c r="AC148" s="688"/>
      <c r="AD148" s="688"/>
      <c r="AE148" s="688"/>
      <c r="AF148" s="688"/>
      <c r="AG148" s="362"/>
      <c r="AH148" s="619"/>
      <c r="AI148" s="688"/>
      <c r="AJ148" s="688"/>
      <c r="AK148" s="688"/>
      <c r="AL148" s="688"/>
      <c r="AM148" s="362"/>
      <c r="AN148" s="793"/>
      <c r="AO148" s="688"/>
      <c r="AP148" s="688"/>
      <c r="AQ148" s="688"/>
      <c r="AR148" s="688"/>
      <c r="AS148" s="688"/>
      <c r="AT148" s="367"/>
      <c r="AU148" s="688"/>
      <c r="AV148" s="688"/>
      <c r="AW148" s="688"/>
      <c r="AX148" s="688"/>
      <c r="AY148" s="688"/>
      <c r="AZ148" s="367"/>
      <c r="BA148" s="688"/>
      <c r="BB148" s="688"/>
      <c r="BC148" s="688"/>
      <c r="BD148" s="688"/>
      <c r="BE148" s="688"/>
      <c r="BF148" s="367"/>
      <c r="BG148" s="688"/>
      <c r="BH148" s="688"/>
      <c r="BI148" s="688"/>
      <c r="BJ148" s="688"/>
      <c r="BK148" s="688"/>
      <c r="BL148" s="367"/>
      <c r="BM148" s="688"/>
      <c r="BN148" s="688"/>
      <c r="BO148" s="688"/>
      <c r="BP148" s="688"/>
      <c r="BQ148" s="688"/>
      <c r="BR148" s="804"/>
      <c r="BS148" s="688"/>
      <c r="BT148" s="688"/>
      <c r="BU148" s="688"/>
      <c r="BV148" s="688"/>
      <c r="BW148" s="213"/>
      <c r="BX148" s="213"/>
      <c r="BY148" s="213"/>
      <c r="BZ148" s="213"/>
      <c r="CA148" s="213"/>
      <c r="CB148" s="213"/>
      <c r="CC148" s="213"/>
      <c r="CD148" s="213"/>
      <c r="CE148" s="213"/>
      <c r="CF148" s="213"/>
      <c r="CG148" s="213"/>
      <c r="CH148" s="213"/>
      <c r="CI148" s="213"/>
      <c r="CJ148" s="213"/>
      <c r="CK148" s="213"/>
      <c r="CL148" s="213"/>
      <c r="CM148" s="213"/>
      <c r="CN148" s="213"/>
      <c r="CO148" s="213"/>
      <c r="CP148" s="213"/>
    </row>
    <row r="149" ht="15.75" customHeight="1">
      <c r="A149" s="213"/>
      <c r="B149" s="407"/>
      <c r="C149" s="447" t="s">
        <v>42</v>
      </c>
      <c r="D149" s="600">
        <f>SUM(D150:D151)</f>
        <v>0</v>
      </c>
      <c r="E149" s="374">
        <f>D149/D$33</f>
        <v>0</v>
      </c>
      <c r="F149" s="377">
        <f>SUM(F151)</f>
        <v>0</v>
      </c>
      <c r="G149" s="374">
        <f>F149/F$33</f>
        <v>0</v>
      </c>
      <c r="H149" s="437">
        <f>SUM(H150)</f>
        <v>0</v>
      </c>
      <c r="I149" s="372"/>
      <c r="J149" s="600">
        <f>SUM(J150)</f>
        <v>0</v>
      </c>
      <c r="K149" s="374"/>
      <c r="L149" s="815">
        <f>SUM(L151)</f>
        <v>0</v>
      </c>
      <c r="M149" s="374">
        <f>L149/L$33</f>
        <v>0</v>
      </c>
      <c r="N149" s="437">
        <f>SUM(N150)</f>
        <v>0</v>
      </c>
      <c r="O149" s="372"/>
      <c r="P149" s="600">
        <f>SUM(P150)</f>
        <v>0</v>
      </c>
      <c r="Q149" s="437"/>
      <c r="R149" s="815">
        <f>SUM(R151)</f>
        <v>0</v>
      </c>
      <c r="S149" s="374">
        <f>R149/R$33</f>
        <v>0</v>
      </c>
      <c r="T149" s="437">
        <f>SUM(T150)</f>
        <v>0</v>
      </c>
      <c r="U149" s="372"/>
      <c r="V149" s="600">
        <f>SUM(V150)</f>
        <v>0</v>
      </c>
      <c r="W149" s="408"/>
      <c r="X149" s="377">
        <f>SUM(X151)</f>
        <v>0</v>
      </c>
      <c r="Y149" s="374">
        <f>X149/X$33</f>
        <v>0</v>
      </c>
      <c r="Z149" s="437">
        <f>SUM(Z150)</f>
        <v>0</v>
      </c>
      <c r="AA149" s="372"/>
      <c r="AB149" s="600">
        <f>SUM(AB150)</f>
        <v>0</v>
      </c>
      <c r="AC149" s="437"/>
      <c r="AD149" s="815">
        <f>SUM(AD151)</f>
        <v>0</v>
      </c>
      <c r="AE149" s="374">
        <f>AD149/AD$33</f>
        <v>0</v>
      </c>
      <c r="AF149" s="437">
        <f>SUM(AF150)</f>
        <v>0</v>
      </c>
      <c r="AG149" s="372"/>
      <c r="AH149" s="600">
        <f>SUM(AH150)</f>
        <v>0</v>
      </c>
      <c r="AI149" s="437"/>
      <c r="AJ149" s="815">
        <f>SUM(AJ151)</f>
        <v>0</v>
      </c>
      <c r="AK149" s="374">
        <f>AJ149/AJ$33</f>
        <v>0</v>
      </c>
      <c r="AL149" s="437">
        <f>SUM(AL150)</f>
        <v>0</v>
      </c>
      <c r="AM149" s="372"/>
      <c r="AN149" s="601">
        <f>SUM(AN150)</f>
        <v>0</v>
      </c>
      <c r="AO149" s="437"/>
      <c r="AP149" s="815">
        <f>SUM(AP151)</f>
        <v>0</v>
      </c>
      <c r="AQ149" s="374">
        <f>AP149/AP$33</f>
        <v>0</v>
      </c>
      <c r="AR149" s="437">
        <f>SUM(AR150)</f>
        <v>0</v>
      </c>
      <c r="AS149" s="437"/>
      <c r="AT149" s="377">
        <f>SUM(AT150)</f>
        <v>2452</v>
      </c>
      <c r="AU149" s="437"/>
      <c r="AV149" s="815">
        <f>SUM(AV151)</f>
        <v>0</v>
      </c>
      <c r="AW149" s="374">
        <f>AV149/AV$33</f>
        <v>0</v>
      </c>
      <c r="AX149" s="437">
        <f>SUM(AX150)</f>
        <v>0</v>
      </c>
      <c r="AY149" s="437"/>
      <c r="AZ149" s="377">
        <f>SUM(AZ150)</f>
        <v>0</v>
      </c>
      <c r="BA149" s="437"/>
      <c r="BB149" s="815">
        <f>SUM(BB151)</f>
        <v>0</v>
      </c>
      <c r="BC149" s="374">
        <f>BB149/BB$33</f>
        <v>0</v>
      </c>
      <c r="BD149" s="437">
        <f>SUM(BD150)</f>
        <v>0</v>
      </c>
      <c r="BE149" s="437"/>
      <c r="BF149" s="377">
        <f>SUM(BF150)</f>
        <v>0</v>
      </c>
      <c r="BG149" s="437"/>
      <c r="BH149" s="815">
        <f>SUM(BH151)</f>
        <v>0</v>
      </c>
      <c r="BI149" s="374">
        <f>BH149/BH$33</f>
        <v>0</v>
      </c>
      <c r="BJ149" s="437">
        <f>SUM(BJ150)</f>
        <v>0</v>
      </c>
      <c r="BK149" s="437"/>
      <c r="BL149" s="377">
        <f>SUM(BL150)</f>
        <v>0</v>
      </c>
      <c r="BM149" s="437"/>
      <c r="BN149" s="815">
        <f>SUM(BN151)</f>
        <v>0</v>
      </c>
      <c r="BO149" s="374">
        <f>BN149/BN$33</f>
        <v>0</v>
      </c>
      <c r="BP149" s="437">
        <f>SUM(BP150)</f>
        <v>0</v>
      </c>
      <c r="BQ149" s="437"/>
      <c r="BR149" s="692">
        <f>SUM(BR150)</f>
        <v>11750</v>
      </c>
      <c r="BS149" s="437"/>
      <c r="BT149" s="815">
        <f>SUM(BT151)</f>
        <v>0</v>
      </c>
      <c r="BU149" s="374">
        <f>BT149/BT$33</f>
        <v>0</v>
      </c>
      <c r="BV149" s="437">
        <f>SUM(BV150)</f>
        <v>0</v>
      </c>
      <c r="BW149" s="216"/>
      <c r="BX149" s="216"/>
      <c r="BY149" s="216"/>
      <c r="BZ149" s="216"/>
      <c r="CA149" s="216"/>
      <c r="CB149" s="216"/>
      <c r="CC149" s="216"/>
      <c r="CD149" s="216"/>
      <c r="CE149" s="216"/>
      <c r="CF149" s="216"/>
      <c r="CG149" s="216"/>
      <c r="CH149" s="216"/>
      <c r="CI149" s="216"/>
      <c r="CJ149" s="216"/>
      <c r="CK149" s="216"/>
      <c r="CL149" s="216"/>
      <c r="CM149" s="216"/>
      <c r="CN149" s="216"/>
      <c r="CO149" s="216"/>
      <c r="CP149" s="216"/>
    </row>
    <row r="150" ht="15.75" customHeight="1">
      <c r="A150" s="213"/>
      <c r="B150" s="444"/>
      <c r="C150" s="383" t="s">
        <v>340</v>
      </c>
      <c r="D150" s="708"/>
      <c r="E150" s="385"/>
      <c r="F150" s="388"/>
      <c r="G150" s="385"/>
      <c r="H150" s="709"/>
      <c r="I150" s="383"/>
      <c r="J150" s="708"/>
      <c r="K150" s="385"/>
      <c r="L150" s="816"/>
      <c r="M150" s="385"/>
      <c r="N150" s="709"/>
      <c r="O150" s="383"/>
      <c r="P150" s="708"/>
      <c r="Q150" s="709"/>
      <c r="R150" s="816"/>
      <c r="S150" s="385"/>
      <c r="T150" s="709"/>
      <c r="U150" s="383"/>
      <c r="V150" s="708"/>
      <c r="W150" s="440"/>
      <c r="X150" s="388"/>
      <c r="Y150" s="385"/>
      <c r="Z150" s="709"/>
      <c r="AA150" s="383"/>
      <c r="AB150" s="708"/>
      <c r="AC150" s="709"/>
      <c r="AD150" s="816"/>
      <c r="AE150" s="385"/>
      <c r="AF150" s="709"/>
      <c r="AG150" s="383"/>
      <c r="AH150" s="708"/>
      <c r="AI150" s="709"/>
      <c r="AJ150" s="816"/>
      <c r="AK150" s="385"/>
      <c r="AL150" s="709"/>
      <c r="AM150" s="383"/>
      <c r="AN150" s="787"/>
      <c r="AO150" s="709"/>
      <c r="AP150" s="816"/>
      <c r="AQ150" s="385"/>
      <c r="AR150" s="709"/>
      <c r="AS150" s="709"/>
      <c r="AT150" s="388">
        <v>2452.0</v>
      </c>
      <c r="AU150" s="709"/>
      <c r="AV150" s="816"/>
      <c r="AW150" s="385"/>
      <c r="AX150" s="709"/>
      <c r="AY150" s="709"/>
      <c r="AZ150" s="388"/>
      <c r="BA150" s="709"/>
      <c r="BB150" s="816"/>
      <c r="BC150" s="385"/>
      <c r="BD150" s="709"/>
      <c r="BE150" s="709"/>
      <c r="BF150" s="388"/>
      <c r="BG150" s="709"/>
      <c r="BH150" s="816"/>
      <c r="BI150" s="385"/>
      <c r="BJ150" s="709"/>
      <c r="BK150" s="709"/>
      <c r="BL150" s="388"/>
      <c r="BM150" s="709"/>
      <c r="BN150" s="816"/>
      <c r="BO150" s="385"/>
      <c r="BP150" s="709"/>
      <c r="BQ150" s="709"/>
      <c r="BR150" s="802">
        <v>11750.0</v>
      </c>
      <c r="BS150" s="709"/>
      <c r="BT150" s="816"/>
      <c r="BU150" s="385"/>
      <c r="BV150" s="709"/>
      <c r="BW150" s="213"/>
      <c r="BX150" s="213"/>
      <c r="BY150" s="213"/>
      <c r="BZ150" s="213"/>
      <c r="CA150" s="213"/>
      <c r="CB150" s="213"/>
      <c r="CC150" s="213"/>
      <c r="CD150" s="213"/>
      <c r="CE150" s="213"/>
      <c r="CF150" s="213"/>
      <c r="CG150" s="213"/>
      <c r="CH150" s="213"/>
      <c r="CI150" s="213"/>
      <c r="CJ150" s="213"/>
      <c r="CK150" s="213"/>
      <c r="CL150" s="213"/>
      <c r="CM150" s="213"/>
      <c r="CN150" s="213"/>
      <c r="CO150" s="213"/>
      <c r="CP150" s="213"/>
    </row>
    <row r="151" ht="15.75" customHeight="1">
      <c r="A151" s="213"/>
      <c r="B151" s="393"/>
      <c r="C151" s="350" t="s">
        <v>291</v>
      </c>
      <c r="D151" s="604">
        <v>0.0</v>
      </c>
      <c r="E151" s="355">
        <f>D151/D$33</f>
        <v>0</v>
      </c>
      <c r="F151" s="357"/>
      <c r="G151" s="355">
        <f>F151/F$33</f>
        <v>0</v>
      </c>
      <c r="H151" s="357">
        <f>D151-F151</f>
        <v>0</v>
      </c>
      <c r="I151" s="719" t="str">
        <f>IFERROR(H151/F151,"")</f>
        <v/>
      </c>
      <c r="J151" s="604"/>
      <c r="K151" s="355"/>
      <c r="L151" s="663">
        <v>0.0</v>
      </c>
      <c r="M151" s="355">
        <f>L151/L$33</f>
        <v>0</v>
      </c>
      <c r="N151" s="245"/>
      <c r="O151" s="350"/>
      <c r="P151" s="604"/>
      <c r="Q151" s="355">
        <f>P151/P$33</f>
        <v>0</v>
      </c>
      <c r="R151" s="663">
        <v>0.0</v>
      </c>
      <c r="S151" s="355">
        <f>R151/R$33</f>
        <v>0</v>
      </c>
      <c r="T151" s="245"/>
      <c r="U151" s="350"/>
      <c r="V151" s="604"/>
      <c r="W151" s="352"/>
      <c r="X151" s="357">
        <v>0.0</v>
      </c>
      <c r="Y151" s="355">
        <f>X151/X$33</f>
        <v>0</v>
      </c>
      <c r="Z151" s="245"/>
      <c r="AA151" s="350"/>
      <c r="AB151" s="604"/>
      <c r="AC151" s="245"/>
      <c r="AD151" s="663">
        <v>0.0</v>
      </c>
      <c r="AE151" s="355">
        <f>AD151/AD$33</f>
        <v>0</v>
      </c>
      <c r="AF151" s="245"/>
      <c r="AG151" s="350"/>
      <c r="AH151" s="604"/>
      <c r="AI151" s="245"/>
      <c r="AJ151" s="663">
        <v>0.0</v>
      </c>
      <c r="AK151" s="355">
        <f>AJ151/AJ$33</f>
        <v>0</v>
      </c>
      <c r="AL151" s="245"/>
      <c r="AM151" s="350"/>
      <c r="AN151" s="605"/>
      <c r="AO151" s="245"/>
      <c r="AP151" s="663">
        <v>0.0</v>
      </c>
      <c r="AQ151" s="355">
        <f>AP151/AP$33</f>
        <v>0</v>
      </c>
      <c r="AR151" s="245"/>
      <c r="AS151" s="245"/>
      <c r="AT151" s="357"/>
      <c r="AU151" s="245"/>
      <c r="AV151" s="663">
        <v>0.0</v>
      </c>
      <c r="AW151" s="355">
        <f>AV151/AV$33</f>
        <v>0</v>
      </c>
      <c r="AX151" s="245"/>
      <c r="AY151" s="245"/>
      <c r="AZ151" s="357"/>
      <c r="BA151" s="245"/>
      <c r="BB151" s="663">
        <v>0.0</v>
      </c>
      <c r="BC151" s="355">
        <f>BB151/BB$33</f>
        <v>0</v>
      </c>
      <c r="BD151" s="245"/>
      <c r="BE151" s="245"/>
      <c r="BF151" s="357"/>
      <c r="BG151" s="245"/>
      <c r="BH151" s="663">
        <v>0.0</v>
      </c>
      <c r="BI151" s="355">
        <f>BH151/BH$33</f>
        <v>0</v>
      </c>
      <c r="BJ151" s="245"/>
      <c r="BK151" s="245"/>
      <c r="BL151" s="357"/>
      <c r="BM151" s="245"/>
      <c r="BN151" s="663">
        <v>0.0</v>
      </c>
      <c r="BO151" s="355">
        <f>BN151/BN$33</f>
        <v>0</v>
      </c>
      <c r="BP151" s="245"/>
      <c r="BQ151" s="245"/>
      <c r="BR151" s="356"/>
      <c r="BS151" s="245"/>
      <c r="BT151" s="663">
        <v>0.0</v>
      </c>
      <c r="BU151" s="355">
        <f>BT151/BT$33</f>
        <v>0</v>
      </c>
      <c r="BV151" s="245"/>
      <c r="BW151" s="213"/>
      <c r="BX151" s="213"/>
      <c r="BY151" s="213"/>
      <c r="BZ151" s="213"/>
      <c r="CA151" s="213"/>
      <c r="CB151" s="213"/>
      <c r="CC151" s="213"/>
      <c r="CD151" s="213"/>
      <c r="CE151" s="213"/>
      <c r="CF151" s="213"/>
      <c r="CG151" s="213"/>
      <c r="CH151" s="213"/>
      <c r="CI151" s="213"/>
      <c r="CJ151" s="213"/>
      <c r="CK151" s="213"/>
      <c r="CL151" s="213"/>
      <c r="CM151" s="213"/>
      <c r="CN151" s="213"/>
      <c r="CO151" s="213"/>
      <c r="CP151" s="213"/>
    </row>
    <row r="152" ht="15.75" customHeight="1">
      <c r="A152" s="213"/>
      <c r="B152" s="403"/>
      <c r="C152" s="362"/>
      <c r="D152" s="619"/>
      <c r="E152" s="404"/>
      <c r="F152" s="367"/>
      <c r="G152" s="404"/>
      <c r="H152" s="688"/>
      <c r="I152" s="362"/>
      <c r="J152" s="619"/>
      <c r="K152" s="404"/>
      <c r="L152" s="688"/>
      <c r="M152" s="688"/>
      <c r="N152" s="688"/>
      <c r="O152" s="362"/>
      <c r="P152" s="619"/>
      <c r="Q152" s="688"/>
      <c r="R152" s="364"/>
      <c r="S152" s="688"/>
      <c r="T152" s="688"/>
      <c r="U152" s="362"/>
      <c r="V152" s="619"/>
      <c r="W152" s="364"/>
      <c r="X152" s="803"/>
      <c r="Y152" s="688"/>
      <c r="Z152" s="688"/>
      <c r="AA152" s="362"/>
      <c r="AB152" s="619"/>
      <c r="AC152" s="688"/>
      <c r="AD152" s="688"/>
      <c r="AE152" s="688"/>
      <c r="AF152" s="688"/>
      <c r="AG152" s="362"/>
      <c r="AH152" s="619"/>
      <c r="AI152" s="688"/>
      <c r="AJ152" s="688"/>
      <c r="AK152" s="688"/>
      <c r="AL152" s="688"/>
      <c r="AM152" s="362"/>
      <c r="AN152" s="793"/>
      <c r="AO152" s="688"/>
      <c r="AP152" s="688"/>
      <c r="AQ152" s="688"/>
      <c r="AR152" s="688"/>
      <c r="AS152" s="688"/>
      <c r="AT152" s="367"/>
      <c r="AU152" s="688"/>
      <c r="AV152" s="688"/>
      <c r="AW152" s="688"/>
      <c r="AX152" s="688"/>
      <c r="AY152" s="688"/>
      <c r="AZ152" s="367"/>
      <c r="BA152" s="688"/>
      <c r="BB152" s="688"/>
      <c r="BC152" s="688"/>
      <c r="BD152" s="688"/>
      <c r="BE152" s="688"/>
      <c r="BF152" s="367"/>
      <c r="BG152" s="688"/>
      <c r="BH152" s="688"/>
      <c r="BI152" s="688"/>
      <c r="BJ152" s="688"/>
      <c r="BK152" s="688"/>
      <c r="BL152" s="367"/>
      <c r="BM152" s="688"/>
      <c r="BN152" s="688"/>
      <c r="BO152" s="688"/>
      <c r="BP152" s="688"/>
      <c r="BQ152" s="688"/>
      <c r="BR152" s="804"/>
      <c r="BS152" s="688"/>
      <c r="BT152" s="688"/>
      <c r="BU152" s="688"/>
      <c r="BV152" s="688"/>
      <c r="BW152" s="213"/>
      <c r="BX152" s="213"/>
      <c r="BY152" s="213"/>
      <c r="BZ152" s="213"/>
      <c r="CA152" s="213"/>
      <c r="CB152" s="213"/>
      <c r="CC152" s="213"/>
      <c r="CD152" s="213"/>
      <c r="CE152" s="213"/>
      <c r="CF152" s="213"/>
      <c r="CG152" s="213"/>
      <c r="CH152" s="213"/>
      <c r="CI152" s="213"/>
      <c r="CJ152" s="213"/>
      <c r="CK152" s="213"/>
      <c r="CL152" s="213"/>
      <c r="CM152" s="213"/>
      <c r="CN152" s="213"/>
      <c r="CO152" s="213"/>
      <c r="CP152" s="213"/>
    </row>
    <row r="153" ht="15.75" customHeight="1">
      <c r="A153" s="213"/>
      <c r="B153" s="735"/>
      <c r="C153" s="447" t="s">
        <v>43</v>
      </c>
      <c r="D153" s="771">
        <f>SUM(D154:D155)</f>
        <v>0</v>
      </c>
      <c r="E153" s="772">
        <f>D153/D$33</f>
        <v>0</v>
      </c>
      <c r="F153" s="773">
        <f>SUM(F154:F155)</f>
        <v>0</v>
      </c>
      <c r="G153" s="772">
        <f>F153/F$33</f>
        <v>0</v>
      </c>
      <c r="H153" s="812">
        <f>SUM(H154:H155)</f>
        <v>0</v>
      </c>
      <c r="I153" s="811"/>
      <c r="J153" s="771">
        <f>SUM(J154:J155)</f>
        <v>0</v>
      </c>
      <c r="K153" s="772"/>
      <c r="L153" s="773">
        <f>SUM(L154:L155)</f>
        <v>0</v>
      </c>
      <c r="M153" s="772">
        <f>L153/L$33</f>
        <v>0</v>
      </c>
      <c r="N153" s="812">
        <f>SUM(N154:N155)</f>
        <v>0</v>
      </c>
      <c r="O153" s="811"/>
      <c r="P153" s="771">
        <f>SUM(P154:P155)</f>
        <v>0</v>
      </c>
      <c r="Q153" s="812"/>
      <c r="R153" s="773">
        <f>SUM(R154:R155)</f>
        <v>0</v>
      </c>
      <c r="S153" s="772">
        <f>R153/R$33</f>
        <v>0</v>
      </c>
      <c r="T153" s="812">
        <f>SUM(T154:T155)</f>
        <v>0</v>
      </c>
      <c r="U153" s="811"/>
      <c r="V153" s="771">
        <f>SUM(V154:V155)</f>
        <v>0</v>
      </c>
      <c r="W153" s="774"/>
      <c r="X153" s="773">
        <f>SUM(X154:X155)</f>
        <v>0</v>
      </c>
      <c r="Y153" s="772">
        <f>X153/X$33</f>
        <v>0</v>
      </c>
      <c r="Z153" s="812">
        <f>SUM(Z154:Z155)</f>
        <v>0</v>
      </c>
      <c r="AA153" s="811"/>
      <c r="AB153" s="771">
        <f>SUM(AB154:AB155)</f>
        <v>0</v>
      </c>
      <c r="AC153" s="812"/>
      <c r="AD153" s="773">
        <f>SUM(AD154:AD155)</f>
        <v>0</v>
      </c>
      <c r="AE153" s="772">
        <f>AD153/AD$33</f>
        <v>0</v>
      </c>
      <c r="AF153" s="812">
        <f>SUM(AF154:AF155)</f>
        <v>0</v>
      </c>
      <c r="AG153" s="811"/>
      <c r="AH153" s="771">
        <f>SUM(AH154:AH155)</f>
        <v>0</v>
      </c>
      <c r="AI153" s="812"/>
      <c r="AJ153" s="773">
        <f>SUM(AJ154:AJ155)</f>
        <v>0</v>
      </c>
      <c r="AK153" s="772">
        <f>AJ153/AJ$33</f>
        <v>0</v>
      </c>
      <c r="AL153" s="812">
        <f>SUM(AL154:AL155)</f>
        <v>0</v>
      </c>
      <c r="AM153" s="811"/>
      <c r="AN153" s="813">
        <f>SUM(AN154:AN155)</f>
        <v>0</v>
      </c>
      <c r="AO153" s="812"/>
      <c r="AP153" s="773">
        <f>SUM(AP154:AP155)</f>
        <v>0</v>
      </c>
      <c r="AQ153" s="772">
        <f>AP153/AP$33</f>
        <v>0</v>
      </c>
      <c r="AR153" s="812">
        <f>SUM(AR154:AR155)</f>
        <v>0</v>
      </c>
      <c r="AS153" s="812"/>
      <c r="AT153" s="773">
        <f>SUM(AT154:AT155)</f>
        <v>0</v>
      </c>
      <c r="AU153" s="812"/>
      <c r="AV153" s="773">
        <f>SUM(AV154:AV155)</f>
        <v>0</v>
      </c>
      <c r="AW153" s="772">
        <f>AV153/AV$33</f>
        <v>0</v>
      </c>
      <c r="AX153" s="812">
        <f>SUM(AX154:AX155)</f>
        <v>0</v>
      </c>
      <c r="AY153" s="812"/>
      <c r="AZ153" s="773">
        <f>SUM(AZ154:AZ155)</f>
        <v>0</v>
      </c>
      <c r="BA153" s="812"/>
      <c r="BB153" s="773">
        <f>SUM(BB154:BB155)</f>
        <v>0</v>
      </c>
      <c r="BC153" s="772">
        <f>BB153/BB$33</f>
        <v>0</v>
      </c>
      <c r="BD153" s="812">
        <f>SUM(BD154:BD155)</f>
        <v>0</v>
      </c>
      <c r="BE153" s="812"/>
      <c r="BF153" s="773">
        <f>SUM(BF154:BF155)</f>
        <v>0</v>
      </c>
      <c r="BG153" s="812"/>
      <c r="BH153" s="773">
        <f>SUM(BH154:BH155)</f>
        <v>0</v>
      </c>
      <c r="BI153" s="772">
        <f>BH153/BH$33</f>
        <v>0</v>
      </c>
      <c r="BJ153" s="812">
        <f>SUM(BJ154:BJ155)</f>
        <v>0</v>
      </c>
      <c r="BK153" s="812"/>
      <c r="BL153" s="773">
        <f>SUM(BL154:BL155)</f>
        <v>0</v>
      </c>
      <c r="BM153" s="812"/>
      <c r="BN153" s="773">
        <f>SUM(BN154:BN155)</f>
        <v>0</v>
      </c>
      <c r="BO153" s="772">
        <f>BN153/BN$33</f>
        <v>0</v>
      </c>
      <c r="BP153" s="812">
        <f>SUM(BP154:BP155)</f>
        <v>0</v>
      </c>
      <c r="BQ153" s="812"/>
      <c r="BR153" s="814">
        <f>SUM(BR154:BR155)</f>
        <v>0</v>
      </c>
      <c r="BS153" s="812"/>
      <c r="BT153" s="773">
        <f>SUM(BT154:BT155)</f>
        <v>0</v>
      </c>
      <c r="BU153" s="772">
        <f>BT153/BT$33</f>
        <v>0</v>
      </c>
      <c r="BV153" s="812">
        <f>SUM(BV154:BV155)</f>
        <v>0</v>
      </c>
      <c r="BW153" s="216"/>
      <c r="BX153" s="216"/>
      <c r="BY153" s="216"/>
      <c r="BZ153" s="216"/>
      <c r="CA153" s="216"/>
      <c r="CB153" s="216"/>
      <c r="CC153" s="216"/>
      <c r="CD153" s="216"/>
      <c r="CE153" s="216"/>
      <c r="CF153" s="216"/>
      <c r="CG153" s="216"/>
      <c r="CH153" s="216"/>
      <c r="CI153" s="216"/>
      <c r="CJ153" s="216"/>
      <c r="CK153" s="216"/>
      <c r="CL153" s="216"/>
      <c r="CM153" s="216"/>
      <c r="CN153" s="216"/>
      <c r="CO153" s="216"/>
      <c r="CP153" s="216"/>
    </row>
    <row r="154" ht="15.75" customHeight="1">
      <c r="A154" s="213"/>
      <c r="B154" s="444"/>
      <c r="C154" s="383" t="s">
        <v>292</v>
      </c>
      <c r="D154" s="708"/>
      <c r="E154" s="709"/>
      <c r="F154" s="440"/>
      <c r="G154" s="385"/>
      <c r="H154" s="709"/>
      <c r="I154" s="383"/>
      <c r="J154" s="708"/>
      <c r="K154" s="709"/>
      <c r="L154" s="440"/>
      <c r="M154" s="385"/>
      <c r="N154" s="709"/>
      <c r="O154" s="383"/>
      <c r="P154" s="708"/>
      <c r="Q154" s="385">
        <f>P154/P$33</f>
        <v>0</v>
      </c>
      <c r="R154" s="440"/>
      <c r="S154" s="385"/>
      <c r="T154" s="709"/>
      <c r="U154" s="383"/>
      <c r="V154" s="708"/>
      <c r="W154" s="440"/>
      <c r="X154" s="388"/>
      <c r="Y154" s="385"/>
      <c r="Z154" s="709"/>
      <c r="AA154" s="383"/>
      <c r="AB154" s="708"/>
      <c r="AC154" s="709"/>
      <c r="AD154" s="440"/>
      <c r="AE154" s="385"/>
      <c r="AF154" s="709"/>
      <c r="AG154" s="383"/>
      <c r="AH154" s="708"/>
      <c r="AI154" s="709"/>
      <c r="AJ154" s="440"/>
      <c r="AK154" s="385"/>
      <c r="AL154" s="709"/>
      <c r="AM154" s="383"/>
      <c r="AN154" s="787"/>
      <c r="AO154" s="709"/>
      <c r="AP154" s="440"/>
      <c r="AQ154" s="385"/>
      <c r="AR154" s="709"/>
      <c r="AS154" s="709"/>
      <c r="AT154" s="388"/>
      <c r="AU154" s="709"/>
      <c r="AV154" s="440"/>
      <c r="AW154" s="385"/>
      <c r="AX154" s="709"/>
      <c r="AY154" s="709"/>
      <c r="AZ154" s="388"/>
      <c r="BA154" s="709"/>
      <c r="BB154" s="440"/>
      <c r="BC154" s="385"/>
      <c r="BD154" s="709"/>
      <c r="BE154" s="709"/>
      <c r="BF154" s="388"/>
      <c r="BG154" s="709"/>
      <c r="BH154" s="440"/>
      <c r="BI154" s="385"/>
      <c r="BJ154" s="709"/>
      <c r="BK154" s="709"/>
      <c r="BL154" s="388"/>
      <c r="BM154" s="709"/>
      <c r="BN154" s="440"/>
      <c r="BO154" s="385"/>
      <c r="BP154" s="709"/>
      <c r="BQ154" s="709"/>
      <c r="BR154" s="802"/>
      <c r="BS154" s="709"/>
      <c r="BT154" s="440"/>
      <c r="BU154" s="385"/>
      <c r="BV154" s="709"/>
      <c r="BW154" s="213"/>
      <c r="BX154" s="213"/>
      <c r="BY154" s="213"/>
      <c r="BZ154" s="213"/>
      <c r="CA154" s="213"/>
      <c r="CB154" s="213"/>
      <c r="CC154" s="213"/>
      <c r="CD154" s="213"/>
      <c r="CE154" s="213"/>
      <c r="CF154" s="213"/>
      <c r="CG154" s="213"/>
      <c r="CH154" s="213"/>
      <c r="CI154" s="213"/>
      <c r="CJ154" s="213"/>
      <c r="CK154" s="213"/>
      <c r="CL154" s="213"/>
      <c r="CM154" s="213"/>
      <c r="CN154" s="213"/>
      <c r="CO154" s="213"/>
      <c r="CP154" s="213"/>
    </row>
    <row r="155" ht="15.75" customHeight="1">
      <c r="A155" s="213"/>
      <c r="B155" s="393"/>
      <c r="C155" s="350"/>
      <c r="D155" s="604"/>
      <c r="E155" s="245"/>
      <c r="F155" s="357"/>
      <c r="G155" s="355"/>
      <c r="H155" s="357"/>
      <c r="I155" s="719"/>
      <c r="J155" s="604"/>
      <c r="K155" s="245"/>
      <c r="L155" s="357"/>
      <c r="M155" s="355"/>
      <c r="N155" s="245"/>
      <c r="O155" s="350"/>
      <c r="P155" s="604"/>
      <c r="Q155" s="355"/>
      <c r="R155" s="357"/>
      <c r="S155" s="355"/>
      <c r="T155" s="245"/>
      <c r="U155" s="350"/>
      <c r="V155" s="604"/>
      <c r="W155" s="352"/>
      <c r="X155" s="357"/>
      <c r="Y155" s="355"/>
      <c r="Z155" s="245"/>
      <c r="AA155" s="350"/>
      <c r="AB155" s="604"/>
      <c r="AC155" s="245"/>
      <c r="AD155" s="357"/>
      <c r="AE155" s="355"/>
      <c r="AF155" s="245"/>
      <c r="AG155" s="350"/>
      <c r="AH155" s="604"/>
      <c r="AI155" s="245"/>
      <c r="AJ155" s="357"/>
      <c r="AK155" s="355"/>
      <c r="AL155" s="245"/>
      <c r="AM155" s="350"/>
      <c r="AN155" s="605"/>
      <c r="AO155" s="245"/>
      <c r="AP155" s="357"/>
      <c r="AQ155" s="355"/>
      <c r="AR155" s="245"/>
      <c r="AS155" s="245"/>
      <c r="AT155" s="357"/>
      <c r="AU155" s="245"/>
      <c r="AV155" s="357"/>
      <c r="AW155" s="355"/>
      <c r="AX155" s="245"/>
      <c r="AY155" s="245"/>
      <c r="AZ155" s="357"/>
      <c r="BA155" s="245"/>
      <c r="BB155" s="357"/>
      <c r="BC155" s="355"/>
      <c r="BD155" s="245"/>
      <c r="BE155" s="245"/>
      <c r="BF155" s="357"/>
      <c r="BG155" s="245"/>
      <c r="BH155" s="357"/>
      <c r="BI155" s="355"/>
      <c r="BJ155" s="245"/>
      <c r="BK155" s="245"/>
      <c r="BL155" s="357"/>
      <c r="BM155" s="245"/>
      <c r="BN155" s="357"/>
      <c r="BO155" s="355"/>
      <c r="BP155" s="245"/>
      <c r="BQ155" s="245"/>
      <c r="BR155" s="356"/>
      <c r="BS155" s="245"/>
      <c r="BT155" s="357"/>
      <c r="BU155" s="355"/>
      <c r="BV155" s="245"/>
      <c r="BW155" s="213"/>
      <c r="BX155" s="213"/>
      <c r="BY155" s="213"/>
      <c r="BZ155" s="213"/>
      <c r="CA155" s="213"/>
      <c r="CB155" s="213"/>
      <c r="CC155" s="213"/>
      <c r="CD155" s="213"/>
      <c r="CE155" s="213"/>
      <c r="CF155" s="213"/>
      <c r="CG155" s="213"/>
      <c r="CH155" s="213"/>
      <c r="CI155" s="213"/>
      <c r="CJ155" s="213"/>
      <c r="CK155" s="213"/>
      <c r="CL155" s="213"/>
      <c r="CM155" s="213"/>
      <c r="CN155" s="213"/>
      <c r="CO155" s="213"/>
      <c r="CP155" s="213"/>
    </row>
    <row r="156" ht="15.75" customHeight="1">
      <c r="A156" s="213"/>
      <c r="B156" s="393"/>
      <c r="C156" s="350"/>
      <c r="D156" s="604"/>
      <c r="E156" s="245"/>
      <c r="F156" s="245"/>
      <c r="G156" s="355"/>
      <c r="H156" s="245"/>
      <c r="I156" s="350"/>
      <c r="J156" s="604"/>
      <c r="K156" s="245"/>
      <c r="L156" s="245"/>
      <c r="M156" s="245"/>
      <c r="N156" s="245"/>
      <c r="O156" s="350"/>
      <c r="P156" s="604"/>
      <c r="Q156" s="245"/>
      <c r="R156" s="352"/>
      <c r="S156" s="245"/>
      <c r="T156" s="245"/>
      <c r="U156" s="350"/>
      <c r="V156" s="604"/>
      <c r="W156" s="352"/>
      <c r="X156" s="676"/>
      <c r="Y156" s="245"/>
      <c r="Z156" s="245"/>
      <c r="AA156" s="350"/>
      <c r="AB156" s="604"/>
      <c r="AC156" s="245"/>
      <c r="AD156" s="245"/>
      <c r="AE156" s="245"/>
      <c r="AF156" s="245"/>
      <c r="AG156" s="350"/>
      <c r="AH156" s="604"/>
      <c r="AI156" s="245"/>
      <c r="AJ156" s="245"/>
      <c r="AK156" s="245"/>
      <c r="AL156" s="245"/>
      <c r="AM156" s="350"/>
      <c r="AN156" s="605"/>
      <c r="AO156" s="245"/>
      <c r="AP156" s="245"/>
      <c r="AQ156" s="245"/>
      <c r="AR156" s="245"/>
      <c r="AS156" s="245"/>
      <c r="AT156" s="357"/>
      <c r="AU156" s="245"/>
      <c r="AV156" s="245"/>
      <c r="AW156" s="245"/>
      <c r="AX156" s="245"/>
      <c r="AY156" s="245"/>
      <c r="AZ156" s="357"/>
      <c r="BA156" s="245"/>
      <c r="BB156" s="245"/>
      <c r="BC156" s="245"/>
      <c r="BD156" s="245"/>
      <c r="BE156" s="245"/>
      <c r="BF156" s="357"/>
      <c r="BG156" s="245"/>
      <c r="BH156" s="245"/>
      <c r="BI156" s="245"/>
      <c r="BJ156" s="245"/>
      <c r="BK156" s="245"/>
      <c r="BL156" s="357"/>
      <c r="BM156" s="245"/>
      <c r="BN156" s="245"/>
      <c r="BO156" s="245"/>
      <c r="BP156" s="245"/>
      <c r="BQ156" s="245"/>
      <c r="BR156" s="356"/>
      <c r="BS156" s="245"/>
      <c r="BT156" s="245"/>
      <c r="BU156" s="245"/>
      <c r="BV156" s="245"/>
      <c r="BW156" s="213"/>
      <c r="BX156" s="213"/>
      <c r="BY156" s="213"/>
      <c r="BZ156" s="213"/>
      <c r="CA156" s="213"/>
      <c r="CB156" s="213"/>
      <c r="CC156" s="213"/>
      <c r="CD156" s="213"/>
      <c r="CE156" s="213"/>
      <c r="CF156" s="213"/>
      <c r="CG156" s="213"/>
      <c r="CH156" s="213"/>
      <c r="CI156" s="213"/>
      <c r="CJ156" s="213"/>
      <c r="CK156" s="213"/>
      <c r="CL156" s="213"/>
      <c r="CM156" s="213"/>
      <c r="CN156" s="213"/>
      <c r="CO156" s="213"/>
      <c r="CP156" s="213"/>
    </row>
    <row r="157" ht="15.75" customHeight="1">
      <c r="A157" s="213"/>
      <c r="B157" s="403"/>
      <c r="C157" s="362"/>
      <c r="D157" s="619"/>
      <c r="E157" s="688"/>
      <c r="F157" s="688"/>
      <c r="G157" s="404"/>
      <c r="H157" s="688"/>
      <c r="I157" s="362"/>
      <c r="J157" s="619"/>
      <c r="K157" s="688"/>
      <c r="L157" s="688"/>
      <c r="M157" s="688"/>
      <c r="N157" s="688"/>
      <c r="O157" s="362"/>
      <c r="P157" s="619"/>
      <c r="Q157" s="688"/>
      <c r="R157" s="364"/>
      <c r="S157" s="688"/>
      <c r="T157" s="688"/>
      <c r="U157" s="362"/>
      <c r="V157" s="619"/>
      <c r="W157" s="364"/>
      <c r="X157" s="803"/>
      <c r="Y157" s="688"/>
      <c r="Z157" s="688"/>
      <c r="AA157" s="362"/>
      <c r="AB157" s="619"/>
      <c r="AC157" s="688"/>
      <c r="AD157" s="688"/>
      <c r="AE157" s="688"/>
      <c r="AF157" s="688"/>
      <c r="AG157" s="362"/>
      <c r="AH157" s="619"/>
      <c r="AI157" s="688"/>
      <c r="AJ157" s="688"/>
      <c r="AK157" s="688"/>
      <c r="AL157" s="688"/>
      <c r="AM157" s="362"/>
      <c r="AN157" s="793"/>
      <c r="AO157" s="688"/>
      <c r="AP157" s="688"/>
      <c r="AQ157" s="688"/>
      <c r="AR157" s="688"/>
      <c r="AS157" s="688"/>
      <c r="AT157" s="367"/>
      <c r="AU157" s="688"/>
      <c r="AV157" s="688"/>
      <c r="AW157" s="688"/>
      <c r="AX157" s="688"/>
      <c r="AY157" s="688"/>
      <c r="AZ157" s="367"/>
      <c r="BA157" s="688"/>
      <c r="BB157" s="688"/>
      <c r="BC157" s="688"/>
      <c r="BD157" s="688"/>
      <c r="BE157" s="688"/>
      <c r="BF157" s="367"/>
      <c r="BG157" s="688"/>
      <c r="BH157" s="688"/>
      <c r="BI157" s="688"/>
      <c r="BJ157" s="688"/>
      <c r="BK157" s="688"/>
      <c r="BL157" s="367"/>
      <c r="BM157" s="688"/>
      <c r="BN157" s="688"/>
      <c r="BO157" s="688"/>
      <c r="BP157" s="688"/>
      <c r="BQ157" s="688"/>
      <c r="BR157" s="804"/>
      <c r="BS157" s="688"/>
      <c r="BT157" s="688"/>
      <c r="BU157" s="688"/>
      <c r="BV157" s="688"/>
      <c r="BW157" s="213"/>
      <c r="BX157" s="213"/>
      <c r="BY157" s="213"/>
      <c r="BZ157" s="213"/>
      <c r="CA157" s="213"/>
      <c r="CB157" s="213"/>
      <c r="CC157" s="213"/>
      <c r="CD157" s="213"/>
      <c r="CE157" s="213"/>
      <c r="CF157" s="213"/>
      <c r="CG157" s="213"/>
      <c r="CH157" s="213"/>
      <c r="CI157" s="213"/>
      <c r="CJ157" s="213"/>
      <c r="CK157" s="213"/>
      <c r="CL157" s="213"/>
      <c r="CM157" s="213"/>
      <c r="CN157" s="213"/>
      <c r="CO157" s="213"/>
      <c r="CP157" s="213"/>
    </row>
    <row r="158" ht="15.75" customHeight="1">
      <c r="A158" s="213"/>
      <c r="B158" s="735"/>
      <c r="C158" s="811" t="s">
        <v>293</v>
      </c>
      <c r="D158" s="771">
        <f>D75+D87+D98+D105+D114+D125+D128+D132+D149+D153</f>
        <v>6908114.418</v>
      </c>
      <c r="E158" s="772">
        <f>D158/D$33</f>
        <v>0.4281829294</v>
      </c>
      <c r="F158" s="773">
        <f>F75+F87+F98+F105+F114+F125+F128+F132+F149+F153</f>
        <v>6929888.329</v>
      </c>
      <c r="G158" s="772">
        <f>F158/F$33</f>
        <v>0.4527176009</v>
      </c>
      <c r="H158" s="773">
        <f>D158-F158</f>
        <v>-21773.9114</v>
      </c>
      <c r="I158" s="817">
        <f>IFERROR(H158/F158,"")</f>
        <v>-0.003142029188</v>
      </c>
      <c r="J158" s="771">
        <f>J75+J87+J98+J105+J114+J125+J128+J132+J149+J153</f>
        <v>6972972.25</v>
      </c>
      <c r="K158" s="772">
        <f>J158/J$33</f>
        <v>0.4214157677</v>
      </c>
      <c r="L158" s="773">
        <f>L75+L87+L98+L105+L114+L125+L128+L132+L149+L153</f>
        <v>7046199.323</v>
      </c>
      <c r="M158" s="772">
        <f>L158/L$33</f>
        <v>0.4101667974</v>
      </c>
      <c r="N158" s="812"/>
      <c r="O158" s="811"/>
      <c r="P158" s="771">
        <f>P75+P87+P98+P105+P114+P125+P128+P132+P149+P153</f>
        <v>6766497.64</v>
      </c>
      <c r="Q158" s="772">
        <f>P158/P$33</f>
        <v>0.4432723039</v>
      </c>
      <c r="R158" s="773">
        <f>R75+R87+R98+R105+R114+R125+R128+R132+R149+R153</f>
        <v>7028034.665</v>
      </c>
      <c r="S158" s="772">
        <f>R158/R$33</f>
        <v>0.4326953117</v>
      </c>
      <c r="T158" s="812"/>
      <c r="U158" s="811"/>
      <c r="V158" s="771">
        <f>V75+V87+V98+V105+V114+V125+V128+V132+V149+V153</f>
        <v>6754775.067</v>
      </c>
      <c r="W158" s="772">
        <f>V158/V$33</f>
        <v>0.4184878454</v>
      </c>
      <c r="X158" s="773">
        <f>X75+X87+X98+X105+X114+X125+X128+X132+X149+X153</f>
        <v>7064747.562</v>
      </c>
      <c r="Y158" s="772">
        <f>X158/X$33</f>
        <v>0.445568648</v>
      </c>
      <c r="Z158" s="812"/>
      <c r="AA158" s="811"/>
      <c r="AB158" s="771">
        <f>AB75+AB87+AB98+AB105+AB114+AB125+AB128+AB132+AB149+AB153</f>
        <v>7410898.314</v>
      </c>
      <c r="AC158" s="772">
        <f>AB158/AB$33</f>
        <v>0.4244092143</v>
      </c>
      <c r="AD158" s="773">
        <f>AD75+AD87+AD98+AD105+AD114+AD125+AD128+AD132+AD149+AD153</f>
        <v>7174821.993</v>
      </c>
      <c r="AE158" s="772">
        <f>AD158/AD$33</f>
        <v>0.4056950041</v>
      </c>
      <c r="AF158" s="812"/>
      <c r="AG158" s="811"/>
      <c r="AH158" s="771">
        <f>AH75+AH87+AH98+AH105+AH114+AH125+AH128+AH132+AH149+AH153</f>
        <v>7566329.662</v>
      </c>
      <c r="AI158" s="772">
        <f>AH158/AH$33</f>
        <v>0.4836510131</v>
      </c>
      <c r="AJ158" s="773">
        <f>AJ75+AJ87+AJ98+AJ105+AJ114+AJ125+AJ128+AJ132+AJ149+AJ153</f>
        <v>7129821.339</v>
      </c>
      <c r="AK158" s="772">
        <f>AJ158/AJ$33</f>
        <v>0.4217320515</v>
      </c>
      <c r="AL158" s="812"/>
      <c r="AM158" s="811"/>
      <c r="AN158" s="813">
        <f>AN75+AN87+AN98+AN105+AN114+AN125+AN128+AN132+AN149+AN153</f>
        <v>6896193.213</v>
      </c>
      <c r="AO158" s="772">
        <f>AN158/AN$33</f>
        <v>0.4161141427</v>
      </c>
      <c r="AP158" s="773">
        <f>AP75+AP87+AP98+AP105+AP114+AP125+AP128+AP132+AP149+AP153</f>
        <v>7023964.839</v>
      </c>
      <c r="AQ158" s="772">
        <f>AP158/AP$33</f>
        <v>0.4018870742</v>
      </c>
      <c r="AR158" s="812"/>
      <c r="AS158" s="812"/>
      <c r="AT158" s="773">
        <f>AT75+AT87+AT98+AT105+AT114+AT125+AT128+AT132+AT149+AT153</f>
        <v>7026324.476</v>
      </c>
      <c r="AU158" s="772">
        <f>AT158/AT$33</f>
        <v>0.4143586997</v>
      </c>
      <c r="AV158" s="773">
        <f>AV75+AV87+AV98+AV105+AV114+AV125+AV128+AV132+AV149+AV153</f>
        <v>7021213.188</v>
      </c>
      <c r="AW158" s="772">
        <f>AV158/AV$33</f>
        <v>0.4110568798</v>
      </c>
      <c r="AX158" s="812"/>
      <c r="AY158" s="812"/>
      <c r="AZ158" s="773">
        <f>AZ75+AZ87+AZ98+AZ105+AZ114+AZ125+AZ128+AZ132+AZ149+AZ153</f>
        <v>7977339.017</v>
      </c>
      <c r="BA158" s="772">
        <f>AZ158/AZ$33</f>
        <v>0.387498738</v>
      </c>
      <c r="BB158" s="773">
        <f>BB75+BB87+BB98+BB105+BB114+BB125+BB128+BB132+BB149+BB153</f>
        <v>7065073.659</v>
      </c>
      <c r="BC158" s="772">
        <f>BB158/BB$33</f>
        <v>0.361265214</v>
      </c>
      <c r="BD158" s="812"/>
      <c r="BE158" s="812"/>
      <c r="BF158" s="773">
        <f>BF75+BF87+BF98+BF105+BF114+BF125+BF128+BF132+BF149+BF153</f>
        <v>7132445.212</v>
      </c>
      <c r="BG158" s="772">
        <f>BF158/BF$33</f>
        <v>0.380531168</v>
      </c>
      <c r="BH158" s="773">
        <f>BH75+BH87+BH98+BH105+BH114+BH125+BH128+BH132+BH149+BH153</f>
        <v>7012797.713</v>
      </c>
      <c r="BI158" s="772">
        <f>BH158/BH$33</f>
        <v>0.3913893418</v>
      </c>
      <c r="BJ158" s="812"/>
      <c r="BK158" s="812"/>
      <c r="BL158" s="773">
        <f>BL75+BL87+BL98+BL105+BL114+BL125+BL128+BL132+BL149+BL153</f>
        <v>6840020.613</v>
      </c>
      <c r="BM158" s="772">
        <f>BL158/BL$33</f>
        <v>0.4160380046</v>
      </c>
      <c r="BN158" s="773">
        <f>BN75+BN87+BN98+BN105+BN114+BN125+BN128+BN132+BN149+BN153</f>
        <v>6866968.319</v>
      </c>
      <c r="BO158" s="772">
        <f>BN158/BN$33</f>
        <v>0.4579897469</v>
      </c>
      <c r="BP158" s="812"/>
      <c r="BQ158" s="812"/>
      <c r="BR158" s="375">
        <f>BR75+BR87+BR98+BR105+BR114+BR125+BR128+BR132+BR149+BR153</f>
        <v>7645379.539</v>
      </c>
      <c r="BS158" s="772">
        <f>BR158/BR$33</f>
        <v>0.4054968305</v>
      </c>
      <c r="BT158" s="377">
        <f>BT75+BT87+BT98+BT105+BT114+BT125+BT128+BT132+BT149+BT153</f>
        <v>6982705.67</v>
      </c>
      <c r="BU158" s="374">
        <f>BT158/BT$33</f>
        <v>0.4141610223</v>
      </c>
      <c r="BV158" s="812"/>
      <c r="BW158" s="213"/>
      <c r="BX158" s="213"/>
      <c r="BY158" s="213"/>
      <c r="BZ158" s="213"/>
      <c r="CA158" s="213"/>
      <c r="CB158" s="213"/>
      <c r="CC158" s="213"/>
      <c r="CD158" s="213"/>
      <c r="CE158" s="213"/>
      <c r="CF158" s="213"/>
      <c r="CG158" s="213"/>
      <c r="CH158" s="213"/>
      <c r="CI158" s="213"/>
      <c r="CJ158" s="213"/>
      <c r="CK158" s="213"/>
      <c r="CL158" s="213"/>
      <c r="CM158" s="213"/>
      <c r="CN158" s="213"/>
      <c r="CO158" s="213"/>
      <c r="CP158" s="213"/>
    </row>
    <row r="159" ht="15.75" customHeight="1">
      <c r="A159" s="213"/>
      <c r="B159" s="415"/>
      <c r="C159" s="416"/>
      <c r="D159" s="477"/>
      <c r="E159" s="818"/>
      <c r="F159" s="421"/>
      <c r="G159" s="418"/>
      <c r="H159" s="818"/>
      <c r="I159" s="416"/>
      <c r="J159" s="477"/>
      <c r="K159" s="818"/>
      <c r="L159" s="421"/>
      <c r="M159" s="421"/>
      <c r="N159" s="818"/>
      <c r="O159" s="416"/>
      <c r="P159" s="477"/>
      <c r="Q159" s="421"/>
      <c r="R159" s="421"/>
      <c r="S159" s="421"/>
      <c r="T159" s="818"/>
      <c r="U159" s="416"/>
      <c r="V159" s="477"/>
      <c r="W159" s="421"/>
      <c r="X159" s="478"/>
      <c r="Y159" s="421"/>
      <c r="Z159" s="818"/>
      <c r="AA159" s="416"/>
      <c r="AB159" s="819"/>
      <c r="AC159" s="421"/>
      <c r="AD159" s="421"/>
      <c r="AE159" s="421"/>
      <c r="AF159" s="818"/>
      <c r="AG159" s="416"/>
      <c r="AH159" s="819"/>
      <c r="AI159" s="421"/>
      <c r="AJ159" s="421"/>
      <c r="AK159" s="421"/>
      <c r="AL159" s="818"/>
      <c r="AM159" s="416"/>
      <c r="AN159" s="820"/>
      <c r="AO159" s="421"/>
      <c r="AP159" s="421"/>
      <c r="AQ159" s="421"/>
      <c r="AR159" s="818"/>
      <c r="AS159" s="818"/>
      <c r="AT159" s="421"/>
      <c r="AU159" s="421"/>
      <c r="AV159" s="421"/>
      <c r="AW159" s="421"/>
      <c r="AX159" s="818"/>
      <c r="AY159" s="818"/>
      <c r="AZ159" s="421"/>
      <c r="BA159" s="421"/>
      <c r="BB159" s="421"/>
      <c r="BC159" s="421"/>
      <c r="BD159" s="818"/>
      <c r="BE159" s="818"/>
      <c r="BF159" s="421"/>
      <c r="BG159" s="421"/>
      <c r="BH159" s="421"/>
      <c r="BI159" s="421"/>
      <c r="BJ159" s="818"/>
      <c r="BK159" s="818"/>
      <c r="BL159" s="421"/>
      <c r="BM159" s="421"/>
      <c r="BN159" s="421"/>
      <c r="BO159" s="421"/>
      <c r="BP159" s="818"/>
      <c r="BQ159" s="818"/>
      <c r="BR159" s="545"/>
      <c r="BS159" s="421"/>
      <c r="BT159" s="421"/>
      <c r="BU159" s="421"/>
      <c r="BV159" s="818"/>
      <c r="BW159" s="213"/>
      <c r="BX159" s="213"/>
      <c r="BY159" s="213"/>
      <c r="BZ159" s="213"/>
      <c r="CA159" s="213"/>
      <c r="CB159" s="213"/>
      <c r="CC159" s="213"/>
      <c r="CD159" s="213"/>
      <c r="CE159" s="213"/>
      <c r="CF159" s="213"/>
      <c r="CG159" s="213"/>
      <c r="CH159" s="213"/>
      <c r="CI159" s="213"/>
      <c r="CJ159" s="213"/>
      <c r="CK159" s="213"/>
      <c r="CL159" s="213"/>
      <c r="CM159" s="213"/>
      <c r="CN159" s="213"/>
      <c r="CO159" s="213"/>
      <c r="CP159" s="213"/>
    </row>
    <row r="160" ht="15.75" customHeight="1">
      <c r="A160" s="213"/>
      <c r="B160" s="407"/>
      <c r="C160" s="372" t="s">
        <v>294</v>
      </c>
      <c r="D160" s="600">
        <f>D67-D158</f>
        <v>4310327.608</v>
      </c>
      <c r="E160" s="374">
        <f>D160/D$33</f>
        <v>0.2671653349</v>
      </c>
      <c r="F160" s="377">
        <f>F67-F158</f>
        <v>3826165.26</v>
      </c>
      <c r="G160" s="374">
        <f>F160/F$33</f>
        <v>0.2499567489</v>
      </c>
      <c r="H160" s="377">
        <f>D160-F160</f>
        <v>484162.3478</v>
      </c>
      <c r="I160" s="821">
        <f>IFERROR(H160/F160,"")</f>
        <v>0.1265398421</v>
      </c>
      <c r="J160" s="600">
        <f>J67-J158</f>
        <v>4674466.67</v>
      </c>
      <c r="K160" s="374">
        <f>J160/J$33</f>
        <v>0.2825042019</v>
      </c>
      <c r="L160" s="377">
        <f>L67-L158</f>
        <v>5033232.259</v>
      </c>
      <c r="M160" s="374">
        <f>L160/L$33</f>
        <v>0.2929898321</v>
      </c>
      <c r="N160" s="437"/>
      <c r="O160" s="372"/>
      <c r="P160" s="600">
        <f>P67-P158</f>
        <v>4664149.365</v>
      </c>
      <c r="Q160" s="374">
        <f>P160/P$33</f>
        <v>0.3055477656</v>
      </c>
      <c r="R160" s="377">
        <f>R67-R158</f>
        <v>4386301.027</v>
      </c>
      <c r="S160" s="374">
        <f>R160/R$33</f>
        <v>0.2700515835</v>
      </c>
      <c r="T160" s="437"/>
      <c r="U160" s="372"/>
      <c r="V160" s="600">
        <f>V67-V158</f>
        <v>5242287.823</v>
      </c>
      <c r="W160" s="374">
        <f>V160/V$33</f>
        <v>0.3247826485</v>
      </c>
      <c r="X160" s="377">
        <f>X67-X158</f>
        <v>4072386.864</v>
      </c>
      <c r="Y160" s="374">
        <f>X160/X$33</f>
        <v>0.2568425684</v>
      </c>
      <c r="Z160" s="437"/>
      <c r="AA160" s="372"/>
      <c r="AB160" s="600">
        <f>AB67-AB158</f>
        <v>5095822.403</v>
      </c>
      <c r="AC160" s="374">
        <f>AB160/AB$33</f>
        <v>0.2918288568</v>
      </c>
      <c r="AD160" s="377">
        <f>AD67-AD158</f>
        <v>5254573.443</v>
      </c>
      <c r="AE160" s="374">
        <f>AD160/AD$33</f>
        <v>0.2971159698</v>
      </c>
      <c r="AF160" s="437"/>
      <c r="AG160" s="372"/>
      <c r="AH160" s="600">
        <f>AH67-AH158</f>
        <v>3334425.961</v>
      </c>
      <c r="AI160" s="374">
        <f>AH160/AH$33</f>
        <v>0.2131414524</v>
      </c>
      <c r="AJ160" s="377">
        <f>AJ67-AJ158</f>
        <v>4667497.391</v>
      </c>
      <c r="AK160" s="374">
        <f>AJ160/AJ$33</f>
        <v>0.2760845126</v>
      </c>
      <c r="AL160" s="437"/>
      <c r="AM160" s="372"/>
      <c r="AN160" s="601">
        <f>AN67-AN158</f>
        <v>4644520.043</v>
      </c>
      <c r="AO160" s="374">
        <f>AN160/AN$33</f>
        <v>0.2802488875</v>
      </c>
      <c r="AP160" s="377">
        <f>AP67-AP158</f>
        <v>5251530.442</v>
      </c>
      <c r="AQ160" s="374">
        <f>AP160/AP$33</f>
        <v>0.3004744832</v>
      </c>
      <c r="AR160" s="437"/>
      <c r="AS160" s="437"/>
      <c r="AT160" s="377">
        <f>AT67-AT158</f>
        <v>5035115.12</v>
      </c>
      <c r="AU160" s="374">
        <f>AT160/AT$33</f>
        <v>0.2969324518</v>
      </c>
      <c r="AV160" s="377">
        <f>AV67-AV158</f>
        <v>4972499.864</v>
      </c>
      <c r="AW160" s="374">
        <f>AV160/AV$33</f>
        <v>0.2911149718</v>
      </c>
      <c r="AX160" s="437"/>
      <c r="AY160" s="437"/>
      <c r="AZ160" s="377">
        <f>AZ67-AZ158</f>
        <v>6721572.087</v>
      </c>
      <c r="BA160" s="374">
        <f>AZ160/AZ$33</f>
        <v>0.3264999388</v>
      </c>
      <c r="BB160" s="377">
        <f>BB67-BB158</f>
        <v>6670614.96</v>
      </c>
      <c r="BC160" s="374">
        <f>BB160/BB$33</f>
        <v>0.3410949775</v>
      </c>
      <c r="BD160" s="437"/>
      <c r="BE160" s="437"/>
      <c r="BF160" s="377">
        <f>BF67-BF158</f>
        <v>6255597.943</v>
      </c>
      <c r="BG160" s="374">
        <f>BF160/BF$33</f>
        <v>0.3337494956</v>
      </c>
      <c r="BH160" s="377">
        <f>BH67-BH158</f>
        <v>5564670.051</v>
      </c>
      <c r="BI160" s="374">
        <f>BH160/BH$33</f>
        <v>0.3105682835</v>
      </c>
      <c r="BJ160" s="437"/>
      <c r="BK160" s="437"/>
      <c r="BL160" s="377">
        <f>BL67-BL158</f>
        <v>4815588.101</v>
      </c>
      <c r="BM160" s="374">
        <f>BL160/BL$33</f>
        <v>0.2929037467</v>
      </c>
      <c r="BN160" s="377">
        <f>BN67-BN158</f>
        <v>3652108.19</v>
      </c>
      <c r="BO160" s="374">
        <f>BN160/BN$33</f>
        <v>0.2435759171</v>
      </c>
      <c r="BP160" s="437"/>
      <c r="BQ160" s="437"/>
      <c r="BR160" s="375">
        <f>BR67-BR158</f>
        <v>5878137.332</v>
      </c>
      <c r="BS160" s="374">
        <f>BR160/BR$33</f>
        <v>0.3117655631</v>
      </c>
      <c r="BT160" s="377">
        <f>BT67-BT158</f>
        <v>4847776.595</v>
      </c>
      <c r="BU160" s="374">
        <f>BT160/BT$33</f>
        <v>0.2875332579</v>
      </c>
      <c r="BV160" s="437"/>
      <c r="BW160" s="237">
        <f>D160+J160+P160+V160+AB160+AH160+AN160+AT160+AZ160+BF160+BL160+BR160</f>
        <v>60672010.46</v>
      </c>
      <c r="BX160" s="237">
        <f>BW160-'FY25-26'!AE30</f>
        <v>-0.00000002980232239</v>
      </c>
      <c r="BY160" s="213"/>
      <c r="BZ160" s="213"/>
      <c r="CA160" s="213"/>
      <c r="CB160" s="213"/>
      <c r="CC160" s="213"/>
      <c r="CD160" s="213"/>
      <c r="CE160" s="213"/>
      <c r="CF160" s="213"/>
      <c r="CG160" s="213"/>
      <c r="CH160" s="213"/>
      <c r="CI160" s="213"/>
      <c r="CJ160" s="213"/>
      <c r="CK160" s="213"/>
      <c r="CL160" s="213"/>
      <c r="CM160" s="213"/>
      <c r="CN160" s="213"/>
      <c r="CO160" s="213"/>
      <c r="CP160" s="213"/>
    </row>
    <row r="161" ht="15.75" customHeight="1">
      <c r="A161" s="213"/>
      <c r="B161" s="213"/>
      <c r="C161" s="213"/>
      <c r="D161" s="213"/>
      <c r="E161" s="213"/>
      <c r="F161" s="213"/>
      <c r="G161" s="213"/>
      <c r="H161" s="213"/>
      <c r="I161" s="213"/>
      <c r="J161" s="213"/>
      <c r="K161" s="213"/>
      <c r="L161" s="213"/>
      <c r="M161" s="213"/>
      <c r="N161" s="213"/>
      <c r="O161" s="213"/>
      <c r="P161" s="213"/>
      <c r="Q161" s="213"/>
      <c r="R161" s="213"/>
      <c r="S161" s="213"/>
      <c r="T161" s="213"/>
      <c r="U161" s="213"/>
      <c r="V161" s="213"/>
      <c r="W161" s="238"/>
      <c r="X161" s="213"/>
      <c r="Y161" s="213"/>
      <c r="Z161" s="213"/>
      <c r="AA161" s="213"/>
      <c r="AB161" s="213"/>
      <c r="AC161" s="213"/>
      <c r="AD161" s="213"/>
      <c r="AE161" s="213"/>
      <c r="AF161" s="213"/>
      <c r="AG161" s="213"/>
      <c r="AH161" s="213"/>
      <c r="AI161" s="213"/>
      <c r="AJ161" s="213"/>
      <c r="AK161" s="213"/>
      <c r="AL161" s="213"/>
      <c r="AM161" s="213"/>
      <c r="AN161" s="213"/>
      <c r="AO161" s="213"/>
      <c r="AP161" s="213"/>
      <c r="AQ161" s="213"/>
      <c r="AR161" s="213"/>
      <c r="AS161" s="213"/>
      <c r="AT161" s="213"/>
      <c r="AU161" s="213"/>
      <c r="AV161" s="213"/>
      <c r="AW161" s="213"/>
      <c r="AX161" s="213"/>
      <c r="AY161" s="213"/>
      <c r="AZ161" s="213"/>
      <c r="BA161" s="213"/>
      <c r="BB161" s="213"/>
      <c r="BC161" s="213"/>
      <c r="BD161" s="213"/>
      <c r="BE161" s="213"/>
      <c r="BF161" s="213"/>
      <c r="BG161" s="213"/>
      <c r="BH161" s="213"/>
      <c r="BI161" s="213"/>
      <c r="BJ161" s="213"/>
      <c r="BK161" s="213"/>
      <c r="BL161" s="213"/>
      <c r="BM161" s="213"/>
      <c r="BN161" s="213"/>
      <c r="BO161" s="213"/>
      <c r="BP161" s="213"/>
      <c r="BQ161" s="213"/>
      <c r="BR161" s="326"/>
      <c r="BS161" s="213"/>
      <c r="BT161" s="213"/>
      <c r="BU161" s="213"/>
      <c r="BV161" s="213"/>
      <c r="BW161" s="213"/>
      <c r="BX161" s="213"/>
      <c r="BY161" s="213"/>
      <c r="BZ161" s="213"/>
      <c r="CA161" s="213"/>
      <c r="CB161" s="213"/>
      <c r="CC161" s="213"/>
      <c r="CD161" s="213"/>
      <c r="CE161" s="213"/>
      <c r="CF161" s="213"/>
      <c r="CG161" s="213"/>
      <c r="CH161" s="213"/>
      <c r="CI161" s="213"/>
      <c r="CJ161" s="213"/>
      <c r="CK161" s="213"/>
      <c r="CL161" s="213"/>
      <c r="CM161" s="213"/>
      <c r="CN161" s="213"/>
      <c r="CO161" s="213"/>
      <c r="CP161" s="213"/>
    </row>
    <row r="162" ht="15.75" customHeight="1">
      <c r="A162" s="213"/>
      <c r="B162" s="213"/>
      <c r="C162" s="213"/>
      <c r="D162" s="213"/>
      <c r="E162" s="213"/>
      <c r="F162" s="213"/>
      <c r="G162" s="213"/>
      <c r="H162" s="213"/>
      <c r="I162" s="213"/>
      <c r="J162" s="213"/>
      <c r="K162" s="213"/>
      <c r="L162" s="213"/>
      <c r="M162" s="213"/>
      <c r="N162" s="213"/>
      <c r="O162" s="213"/>
      <c r="P162" s="213"/>
      <c r="Q162" s="213"/>
      <c r="R162" s="213"/>
      <c r="S162" s="213"/>
      <c r="T162" s="213"/>
      <c r="U162" s="213"/>
      <c r="V162" s="213"/>
      <c r="W162" s="238"/>
      <c r="X162" s="213"/>
      <c r="Y162" s="213"/>
      <c r="Z162" s="213"/>
      <c r="AA162" s="213"/>
      <c r="AB162" s="213"/>
      <c r="AC162" s="213"/>
      <c r="AD162" s="213"/>
      <c r="AE162" s="213"/>
      <c r="AF162" s="213"/>
      <c r="AG162" s="213"/>
      <c r="AH162" s="213"/>
      <c r="AI162" s="213"/>
      <c r="AJ162" s="213"/>
      <c r="AK162" s="213"/>
      <c r="AL162" s="213"/>
      <c r="AM162" s="213"/>
      <c r="AN162" s="213"/>
      <c r="AO162" s="213"/>
      <c r="AP162" s="213"/>
      <c r="AQ162" s="213"/>
      <c r="AR162" s="213"/>
      <c r="AS162" s="213"/>
      <c r="AT162" s="213"/>
      <c r="AU162" s="213"/>
      <c r="AV162" s="213"/>
      <c r="AW162" s="213"/>
      <c r="AX162" s="213"/>
      <c r="AY162" s="213"/>
      <c r="AZ162" s="213"/>
      <c r="BA162" s="213"/>
      <c r="BB162" s="213"/>
      <c r="BC162" s="213"/>
      <c r="BD162" s="213"/>
      <c r="BE162" s="213"/>
      <c r="BF162" s="213"/>
      <c r="BG162" s="213"/>
      <c r="BH162" s="213"/>
      <c r="BI162" s="213"/>
      <c r="BJ162" s="213"/>
      <c r="BK162" s="213"/>
      <c r="BL162" s="213"/>
      <c r="BM162" s="213"/>
      <c r="BN162" s="213"/>
      <c r="BO162" s="213"/>
      <c r="BP162" s="213"/>
      <c r="BQ162" s="213"/>
      <c r="BR162" s="326"/>
      <c r="BS162" s="213"/>
      <c r="BT162" s="213"/>
      <c r="BU162" s="213"/>
      <c r="BV162" s="213"/>
      <c r="BW162" s="213"/>
      <c r="BX162" s="213"/>
      <c r="BY162" s="213"/>
      <c r="BZ162" s="213"/>
      <c r="CA162" s="213"/>
      <c r="CB162" s="213"/>
      <c r="CC162" s="213"/>
      <c r="CD162" s="213"/>
      <c r="CE162" s="213"/>
      <c r="CF162" s="213"/>
      <c r="CG162" s="213"/>
      <c r="CH162" s="213"/>
      <c r="CI162" s="213"/>
      <c r="CJ162" s="213"/>
      <c r="CK162" s="213"/>
      <c r="CL162" s="213"/>
      <c r="CM162" s="213"/>
      <c r="CN162" s="213"/>
      <c r="CO162" s="213"/>
      <c r="CP162" s="213"/>
    </row>
    <row r="163" ht="15.75" customHeight="1">
      <c r="A163" s="213"/>
      <c r="B163" s="213"/>
      <c r="C163" s="213"/>
      <c r="D163" s="213"/>
      <c r="E163" s="213"/>
      <c r="F163" s="213"/>
      <c r="G163" s="213"/>
      <c r="H163" s="213"/>
      <c r="I163" s="213"/>
      <c r="J163" s="213"/>
      <c r="K163" s="213"/>
      <c r="L163" s="213"/>
      <c r="M163" s="213"/>
      <c r="N163" s="213"/>
      <c r="O163" s="213"/>
      <c r="P163" s="213"/>
      <c r="Q163" s="213"/>
      <c r="R163" s="213"/>
      <c r="S163" s="213"/>
      <c r="T163" s="213"/>
      <c r="U163" s="213"/>
      <c r="V163" s="213"/>
      <c r="W163" s="238"/>
      <c r="X163" s="213"/>
      <c r="Y163" s="213"/>
      <c r="Z163" s="213"/>
      <c r="AA163" s="213"/>
      <c r="AB163" s="213"/>
      <c r="AC163" s="213"/>
      <c r="AD163" s="213"/>
      <c r="AE163" s="213"/>
      <c r="AF163" s="213"/>
      <c r="AG163" s="213"/>
      <c r="AH163" s="213"/>
      <c r="AI163" s="213"/>
      <c r="AJ163" s="213"/>
      <c r="AK163" s="213"/>
      <c r="AL163" s="213"/>
      <c r="AM163" s="213"/>
      <c r="AN163" s="213"/>
      <c r="AO163" s="213"/>
      <c r="AP163" s="213"/>
      <c r="AQ163" s="213"/>
      <c r="AR163" s="213"/>
      <c r="AS163" s="213"/>
      <c r="AT163" s="213"/>
      <c r="AU163" s="213"/>
      <c r="AV163" s="213"/>
      <c r="AW163" s="213"/>
      <c r="AX163" s="213"/>
      <c r="AY163" s="213"/>
      <c r="AZ163" s="213"/>
      <c r="BA163" s="213"/>
      <c r="BB163" s="213"/>
      <c r="BC163" s="213"/>
      <c r="BD163" s="213"/>
      <c r="BE163" s="213"/>
      <c r="BF163" s="213"/>
      <c r="BG163" s="213"/>
      <c r="BH163" s="213"/>
      <c r="BI163" s="213"/>
      <c r="BJ163" s="213"/>
      <c r="BK163" s="213"/>
      <c r="BL163" s="213"/>
      <c r="BM163" s="213"/>
      <c r="BN163" s="213"/>
      <c r="BO163" s="213"/>
      <c r="BP163" s="213"/>
      <c r="BQ163" s="213"/>
      <c r="BR163" s="326"/>
      <c r="BS163" s="213"/>
      <c r="BT163" s="213"/>
      <c r="BU163" s="213"/>
      <c r="BV163" s="213"/>
      <c r="BW163" s="213"/>
      <c r="BX163" s="213"/>
      <c r="BY163" s="213"/>
      <c r="BZ163" s="213"/>
      <c r="CA163" s="213"/>
      <c r="CB163" s="213"/>
      <c r="CC163" s="213"/>
      <c r="CD163" s="213"/>
      <c r="CE163" s="213"/>
      <c r="CF163" s="213"/>
      <c r="CG163" s="213"/>
      <c r="CH163" s="213"/>
      <c r="CI163" s="213"/>
      <c r="CJ163" s="213"/>
      <c r="CK163" s="213"/>
      <c r="CL163" s="213"/>
      <c r="CM163" s="213"/>
      <c r="CN163" s="213"/>
      <c r="CO163" s="213"/>
      <c r="CP163" s="213"/>
    </row>
    <row r="164" ht="15.75" customHeight="1">
      <c r="A164" s="213"/>
      <c r="B164" s="213"/>
      <c r="C164" s="213"/>
      <c r="D164" s="213"/>
      <c r="E164" s="213"/>
      <c r="F164" s="213"/>
      <c r="G164" s="213"/>
      <c r="H164" s="213"/>
      <c r="I164" s="213"/>
      <c r="J164" s="213"/>
      <c r="K164" s="213"/>
      <c r="L164" s="213"/>
      <c r="M164" s="213"/>
      <c r="N164" s="213"/>
      <c r="O164" s="213"/>
      <c r="P164" s="213"/>
      <c r="Q164" s="213"/>
      <c r="R164" s="213"/>
      <c r="S164" s="213"/>
      <c r="T164" s="213"/>
      <c r="U164" s="213"/>
      <c r="V164" s="213"/>
      <c r="W164" s="238"/>
      <c r="X164" s="213"/>
      <c r="Y164" s="213"/>
      <c r="Z164" s="213"/>
      <c r="AA164" s="213"/>
      <c r="AB164" s="213"/>
      <c r="AC164" s="213"/>
      <c r="AD164" s="213"/>
      <c r="AE164" s="213"/>
      <c r="AF164" s="213"/>
      <c r="AG164" s="213"/>
      <c r="AH164" s="213"/>
      <c r="AI164" s="213"/>
      <c r="AJ164" s="213"/>
      <c r="AK164" s="213"/>
      <c r="AL164" s="213"/>
      <c r="AM164" s="213"/>
      <c r="AN164" s="213"/>
      <c r="AO164" s="213"/>
      <c r="AP164" s="213"/>
      <c r="AQ164" s="213"/>
      <c r="AR164" s="213"/>
      <c r="AS164" s="213"/>
      <c r="AT164" s="213"/>
      <c r="AU164" s="213"/>
      <c r="AV164" s="213"/>
      <c r="AW164" s="213"/>
      <c r="AX164" s="213"/>
      <c r="AY164" s="213"/>
      <c r="AZ164" s="213"/>
      <c r="BA164" s="213"/>
      <c r="BB164" s="213"/>
      <c r="BC164" s="213"/>
      <c r="BD164" s="213"/>
      <c r="BE164" s="213"/>
      <c r="BF164" s="213"/>
      <c r="BG164" s="213"/>
      <c r="BH164" s="213"/>
      <c r="BI164" s="213"/>
      <c r="BJ164" s="213"/>
      <c r="BK164" s="213"/>
      <c r="BL164" s="213"/>
      <c r="BM164" s="213"/>
      <c r="BN164" s="213"/>
      <c r="BO164" s="213"/>
      <c r="BP164" s="213"/>
      <c r="BQ164" s="213"/>
      <c r="BR164" s="326"/>
      <c r="BS164" s="213"/>
      <c r="BT164" s="213"/>
      <c r="BU164" s="213"/>
      <c r="BV164" s="213"/>
      <c r="BW164" s="213"/>
      <c r="BX164" s="213"/>
      <c r="BY164" s="213"/>
      <c r="BZ164" s="213"/>
      <c r="CA164" s="213"/>
      <c r="CB164" s="213"/>
      <c r="CC164" s="213"/>
      <c r="CD164" s="213"/>
      <c r="CE164" s="213"/>
      <c r="CF164" s="213"/>
      <c r="CG164" s="213"/>
      <c r="CH164" s="213"/>
      <c r="CI164" s="213"/>
      <c r="CJ164" s="213"/>
      <c r="CK164" s="213"/>
      <c r="CL164" s="213"/>
      <c r="CM164" s="213"/>
      <c r="CN164" s="213"/>
      <c r="CO164" s="213"/>
      <c r="CP164" s="213"/>
    </row>
    <row r="165" ht="15.75" customHeight="1">
      <c r="A165" s="213"/>
      <c r="B165" s="213"/>
      <c r="C165" s="213"/>
      <c r="D165" s="213"/>
      <c r="E165" s="213"/>
      <c r="F165" s="213"/>
      <c r="G165" s="213"/>
      <c r="H165" s="213"/>
      <c r="I165" s="213"/>
      <c r="J165" s="213"/>
      <c r="K165" s="213"/>
      <c r="L165" s="213"/>
      <c r="M165" s="213"/>
      <c r="N165" s="213"/>
      <c r="O165" s="213"/>
      <c r="P165" s="213"/>
      <c r="Q165" s="213"/>
      <c r="R165" s="213"/>
      <c r="S165" s="213"/>
      <c r="T165" s="213"/>
      <c r="U165" s="213"/>
      <c r="V165" s="213"/>
      <c r="W165" s="238"/>
      <c r="X165" s="213"/>
      <c r="Y165" s="213"/>
      <c r="Z165" s="213"/>
      <c r="AA165" s="213"/>
      <c r="AB165" s="213"/>
      <c r="AC165" s="213"/>
      <c r="AD165" s="213"/>
      <c r="AE165" s="213"/>
      <c r="AF165" s="213"/>
      <c r="AG165" s="213"/>
      <c r="AH165" s="213"/>
      <c r="AI165" s="213"/>
      <c r="AJ165" s="213"/>
      <c r="AK165" s="213"/>
      <c r="AL165" s="213"/>
      <c r="AM165" s="213"/>
      <c r="AN165" s="213"/>
      <c r="AO165" s="213"/>
      <c r="AP165" s="213"/>
      <c r="AQ165" s="213"/>
      <c r="AR165" s="213"/>
      <c r="AS165" s="213"/>
      <c r="AT165" s="213"/>
      <c r="AU165" s="213"/>
      <c r="AV165" s="213"/>
      <c r="AW165" s="213"/>
      <c r="AX165" s="213"/>
      <c r="AY165" s="213"/>
      <c r="AZ165" s="213"/>
      <c r="BA165" s="213"/>
      <c r="BB165" s="213"/>
      <c r="BC165" s="213"/>
      <c r="BD165" s="213"/>
      <c r="BE165" s="213"/>
      <c r="BF165" s="213"/>
      <c r="BG165" s="213"/>
      <c r="BH165" s="213"/>
      <c r="BI165" s="213"/>
      <c r="BJ165" s="213"/>
      <c r="BK165" s="213"/>
      <c r="BL165" s="213"/>
      <c r="BM165" s="213"/>
      <c r="BN165" s="213"/>
      <c r="BO165" s="213"/>
      <c r="BP165" s="213"/>
      <c r="BQ165" s="213"/>
      <c r="BR165" s="326"/>
      <c r="BS165" s="213"/>
      <c r="BT165" s="213"/>
      <c r="BU165" s="213"/>
      <c r="BV165" s="213"/>
      <c r="BW165" s="213"/>
      <c r="BX165" s="213"/>
      <c r="BY165" s="213"/>
      <c r="BZ165" s="213"/>
      <c r="CA165" s="213"/>
      <c r="CB165" s="213"/>
      <c r="CC165" s="213"/>
      <c r="CD165" s="213"/>
      <c r="CE165" s="213"/>
      <c r="CF165" s="213"/>
      <c r="CG165" s="213"/>
      <c r="CH165" s="213"/>
      <c r="CI165" s="213"/>
      <c r="CJ165" s="213"/>
      <c r="CK165" s="213"/>
      <c r="CL165" s="213"/>
      <c r="CM165" s="213"/>
      <c r="CN165" s="213"/>
      <c r="CO165" s="213"/>
      <c r="CP165" s="213"/>
    </row>
    <row r="166" ht="15.75" customHeight="1">
      <c r="A166" s="213"/>
      <c r="B166" s="213"/>
      <c r="C166" s="213"/>
      <c r="D166" s="213"/>
      <c r="E166" s="213"/>
      <c r="F166" s="213"/>
      <c r="G166" s="213"/>
      <c r="H166" s="213"/>
      <c r="I166" s="213"/>
      <c r="J166" s="213"/>
      <c r="K166" s="213"/>
      <c r="L166" s="213"/>
      <c r="M166" s="213"/>
      <c r="N166" s="213"/>
      <c r="O166" s="213"/>
      <c r="P166" s="213"/>
      <c r="Q166" s="213"/>
      <c r="R166" s="213"/>
      <c r="S166" s="213"/>
      <c r="T166" s="213"/>
      <c r="U166" s="213"/>
      <c r="V166" s="213"/>
      <c r="W166" s="238"/>
      <c r="X166" s="213"/>
      <c r="Y166" s="213"/>
      <c r="Z166" s="213"/>
      <c r="AA166" s="213"/>
      <c r="AB166" s="213"/>
      <c r="AC166" s="213"/>
      <c r="AD166" s="213"/>
      <c r="AE166" s="213"/>
      <c r="AF166" s="213"/>
      <c r="AG166" s="213"/>
      <c r="AH166" s="213"/>
      <c r="AI166" s="213"/>
      <c r="AJ166" s="213"/>
      <c r="AK166" s="213"/>
      <c r="AL166" s="213"/>
      <c r="AM166" s="213"/>
      <c r="AN166" s="213"/>
      <c r="AO166" s="213"/>
      <c r="AP166" s="213"/>
      <c r="AQ166" s="213"/>
      <c r="AR166" s="213"/>
      <c r="AS166" s="213"/>
      <c r="AT166" s="213"/>
      <c r="AU166" s="213"/>
      <c r="AV166" s="213"/>
      <c r="AW166" s="213"/>
      <c r="AX166" s="213"/>
      <c r="AY166" s="213"/>
      <c r="AZ166" s="213"/>
      <c r="BA166" s="213"/>
      <c r="BB166" s="213"/>
      <c r="BC166" s="213"/>
      <c r="BD166" s="213"/>
      <c r="BE166" s="213"/>
      <c r="BF166" s="213"/>
      <c r="BG166" s="213"/>
      <c r="BH166" s="213"/>
      <c r="BI166" s="213"/>
      <c r="BJ166" s="213"/>
      <c r="BK166" s="213"/>
      <c r="BL166" s="213"/>
      <c r="BM166" s="213"/>
      <c r="BN166" s="213"/>
      <c r="BO166" s="213"/>
      <c r="BP166" s="213"/>
      <c r="BQ166" s="213"/>
      <c r="BR166" s="326"/>
      <c r="BS166" s="213"/>
      <c r="BT166" s="213"/>
      <c r="BU166" s="213"/>
      <c r="BV166" s="213"/>
      <c r="BW166" s="213"/>
      <c r="BX166" s="213"/>
      <c r="BY166" s="213"/>
      <c r="BZ166" s="213"/>
      <c r="CA166" s="213"/>
      <c r="CB166" s="213"/>
      <c r="CC166" s="213"/>
      <c r="CD166" s="213"/>
      <c r="CE166" s="213"/>
      <c r="CF166" s="213"/>
      <c r="CG166" s="213"/>
      <c r="CH166" s="213"/>
      <c r="CI166" s="213"/>
      <c r="CJ166" s="213"/>
      <c r="CK166" s="213"/>
      <c r="CL166" s="213"/>
      <c r="CM166" s="213"/>
      <c r="CN166" s="213"/>
      <c r="CO166" s="213"/>
      <c r="CP166" s="213"/>
    </row>
    <row r="167" ht="15.75" customHeight="1">
      <c r="A167" s="213"/>
      <c r="B167" s="213"/>
      <c r="C167" s="213"/>
      <c r="D167" s="213"/>
      <c r="E167" s="213"/>
      <c r="F167" s="213"/>
      <c r="G167" s="213"/>
      <c r="H167" s="213"/>
      <c r="I167" s="213"/>
      <c r="J167" s="213"/>
      <c r="K167" s="213"/>
      <c r="L167" s="213"/>
      <c r="M167" s="213"/>
      <c r="N167" s="213"/>
      <c r="O167" s="213"/>
      <c r="P167" s="213"/>
      <c r="Q167" s="213"/>
      <c r="R167" s="213"/>
      <c r="S167" s="213"/>
      <c r="T167" s="213"/>
      <c r="U167" s="213"/>
      <c r="V167" s="213"/>
      <c r="W167" s="238"/>
      <c r="X167" s="213"/>
      <c r="Y167" s="213"/>
      <c r="Z167" s="213"/>
      <c r="AA167" s="213"/>
      <c r="AB167" s="213"/>
      <c r="AC167" s="213"/>
      <c r="AD167" s="213"/>
      <c r="AE167" s="213"/>
      <c r="AF167" s="213"/>
      <c r="AG167" s="213"/>
      <c r="AH167" s="213"/>
      <c r="AI167" s="213"/>
      <c r="AJ167" s="213"/>
      <c r="AK167" s="213"/>
      <c r="AL167" s="213"/>
      <c r="AM167" s="213"/>
      <c r="AN167" s="213"/>
      <c r="AO167" s="213"/>
      <c r="AP167" s="213"/>
      <c r="AQ167" s="213"/>
      <c r="AR167" s="213"/>
      <c r="AS167" s="213"/>
      <c r="AT167" s="213"/>
      <c r="AU167" s="213"/>
      <c r="AV167" s="213"/>
      <c r="AW167" s="213"/>
      <c r="AX167" s="213"/>
      <c r="AY167" s="213"/>
      <c r="AZ167" s="213"/>
      <c r="BA167" s="213"/>
      <c r="BB167" s="213"/>
      <c r="BC167" s="213"/>
      <c r="BD167" s="213"/>
      <c r="BE167" s="213"/>
      <c r="BF167" s="213"/>
      <c r="BG167" s="213"/>
      <c r="BH167" s="213"/>
      <c r="BI167" s="213"/>
      <c r="BJ167" s="213"/>
      <c r="BK167" s="213"/>
      <c r="BL167" s="213"/>
      <c r="BM167" s="213"/>
      <c r="BN167" s="213"/>
      <c r="BO167" s="213"/>
      <c r="BP167" s="213"/>
      <c r="BQ167" s="213"/>
      <c r="BR167" s="326"/>
      <c r="BS167" s="213"/>
      <c r="BT167" s="213"/>
      <c r="BU167" s="213"/>
      <c r="BV167" s="213"/>
      <c r="BW167" s="213"/>
      <c r="BX167" s="213"/>
      <c r="BY167" s="213"/>
      <c r="BZ167" s="213"/>
      <c r="CA167" s="213"/>
      <c r="CB167" s="213"/>
      <c r="CC167" s="213"/>
      <c r="CD167" s="213"/>
      <c r="CE167" s="213"/>
      <c r="CF167" s="213"/>
      <c r="CG167" s="213"/>
      <c r="CH167" s="213"/>
      <c r="CI167" s="213"/>
      <c r="CJ167" s="213"/>
      <c r="CK167" s="213"/>
      <c r="CL167" s="213"/>
      <c r="CM167" s="213"/>
      <c r="CN167" s="213"/>
      <c r="CO167" s="213"/>
      <c r="CP167" s="213"/>
    </row>
    <row r="168" ht="15.75" customHeight="1">
      <c r="A168" s="213"/>
      <c r="B168" s="213"/>
      <c r="C168" s="213"/>
      <c r="D168" s="213"/>
      <c r="E168" s="213"/>
      <c r="F168" s="213"/>
      <c r="G168" s="213"/>
      <c r="H168" s="213"/>
      <c r="I168" s="213"/>
      <c r="J168" s="213"/>
      <c r="K168" s="213"/>
      <c r="L168" s="213"/>
      <c r="M168" s="213"/>
      <c r="N168" s="213"/>
      <c r="O168" s="213"/>
      <c r="P168" s="213"/>
      <c r="Q168" s="213"/>
      <c r="R168" s="213"/>
      <c r="S168" s="213"/>
      <c r="T168" s="213"/>
      <c r="U168" s="213"/>
      <c r="V168" s="213"/>
      <c r="W168" s="238"/>
      <c r="X168" s="213"/>
      <c r="Y168" s="213"/>
      <c r="Z168" s="213"/>
      <c r="AA168" s="213"/>
      <c r="AB168" s="213"/>
      <c r="AC168" s="213"/>
      <c r="AD168" s="213"/>
      <c r="AE168" s="213"/>
      <c r="AF168" s="213"/>
      <c r="AG168" s="213"/>
      <c r="AH168" s="213"/>
      <c r="AI168" s="213"/>
      <c r="AJ168" s="213"/>
      <c r="AK168" s="213"/>
      <c r="AL168" s="213"/>
      <c r="AM168" s="213"/>
      <c r="AN168" s="213"/>
      <c r="AO168" s="213"/>
      <c r="AP168" s="213"/>
      <c r="AQ168" s="213"/>
      <c r="AR168" s="213"/>
      <c r="AS168" s="213"/>
      <c r="AT168" s="213"/>
      <c r="AU168" s="213"/>
      <c r="AV168" s="213"/>
      <c r="AW168" s="213"/>
      <c r="AX168" s="213"/>
      <c r="AY168" s="213"/>
      <c r="AZ168" s="213"/>
      <c r="BA168" s="213"/>
      <c r="BB168" s="213"/>
      <c r="BC168" s="213"/>
      <c r="BD168" s="213"/>
      <c r="BE168" s="213"/>
      <c r="BF168" s="213"/>
      <c r="BG168" s="213"/>
      <c r="BH168" s="213"/>
      <c r="BI168" s="213"/>
      <c r="BJ168" s="213"/>
      <c r="BK168" s="213"/>
      <c r="BL168" s="213"/>
      <c r="BM168" s="213"/>
      <c r="BN168" s="213"/>
      <c r="BO168" s="213"/>
      <c r="BP168" s="213"/>
      <c r="BQ168" s="213"/>
      <c r="BR168" s="326"/>
      <c r="BS168" s="213"/>
      <c r="BT168" s="213"/>
      <c r="BU168" s="213"/>
      <c r="BV168" s="213"/>
      <c r="BW168" s="213"/>
      <c r="BX168" s="213"/>
      <c r="BY168" s="213"/>
      <c r="BZ168" s="213"/>
      <c r="CA168" s="213"/>
      <c r="CB168" s="213"/>
      <c r="CC168" s="213"/>
      <c r="CD168" s="213"/>
      <c r="CE168" s="213"/>
      <c r="CF168" s="213"/>
      <c r="CG168" s="213"/>
      <c r="CH168" s="213"/>
      <c r="CI168" s="213"/>
      <c r="CJ168" s="213"/>
      <c r="CK168" s="213"/>
      <c r="CL168" s="213"/>
      <c r="CM168" s="213"/>
      <c r="CN168" s="213"/>
      <c r="CO168" s="213"/>
      <c r="CP168" s="213"/>
    </row>
    <row r="169" ht="15.75" customHeight="1">
      <c r="A169" s="213"/>
      <c r="B169" s="213"/>
      <c r="C169" s="213"/>
      <c r="D169" s="213"/>
      <c r="E169" s="213"/>
      <c r="F169" s="213"/>
      <c r="G169" s="213"/>
      <c r="H169" s="213"/>
      <c r="I169" s="213"/>
      <c r="J169" s="213"/>
      <c r="K169" s="213"/>
      <c r="L169" s="213"/>
      <c r="M169" s="213"/>
      <c r="N169" s="213"/>
      <c r="O169" s="213"/>
      <c r="P169" s="213"/>
      <c r="Q169" s="213"/>
      <c r="R169" s="213"/>
      <c r="S169" s="213"/>
      <c r="T169" s="213"/>
      <c r="U169" s="213"/>
      <c r="V169" s="213"/>
      <c r="W169" s="238"/>
      <c r="X169" s="213"/>
      <c r="Y169" s="213"/>
      <c r="Z169" s="213"/>
      <c r="AA169" s="213"/>
      <c r="AB169" s="213"/>
      <c r="AC169" s="213"/>
      <c r="AD169" s="213"/>
      <c r="AE169" s="213"/>
      <c r="AF169" s="213"/>
      <c r="AG169" s="213"/>
      <c r="AH169" s="213"/>
      <c r="AI169" s="213"/>
      <c r="AJ169" s="213"/>
      <c r="AK169" s="213"/>
      <c r="AL169" s="213"/>
      <c r="AM169" s="213"/>
      <c r="AN169" s="213"/>
      <c r="AO169" s="213"/>
      <c r="AP169" s="213"/>
      <c r="AQ169" s="213"/>
      <c r="AR169" s="213"/>
      <c r="AS169" s="213"/>
      <c r="AT169" s="213"/>
      <c r="AU169" s="213"/>
      <c r="AV169" s="213"/>
      <c r="AW169" s="213"/>
      <c r="AX169" s="213"/>
      <c r="AY169" s="213"/>
      <c r="AZ169" s="213"/>
      <c r="BA169" s="213"/>
      <c r="BB169" s="213"/>
      <c r="BC169" s="213"/>
      <c r="BD169" s="213"/>
      <c r="BE169" s="213"/>
      <c r="BF169" s="213"/>
      <c r="BG169" s="213"/>
      <c r="BH169" s="213"/>
      <c r="BI169" s="213"/>
      <c r="BJ169" s="213"/>
      <c r="BK169" s="213"/>
      <c r="BL169" s="213"/>
      <c r="BM169" s="213"/>
      <c r="BN169" s="213"/>
      <c r="BO169" s="213"/>
      <c r="BP169" s="213"/>
      <c r="BQ169" s="213"/>
      <c r="BR169" s="326"/>
      <c r="BS169" s="213"/>
      <c r="BT169" s="213"/>
      <c r="BU169" s="213"/>
      <c r="BV169" s="213"/>
      <c r="BW169" s="213"/>
      <c r="BX169" s="213"/>
      <c r="BY169" s="213"/>
      <c r="BZ169" s="213"/>
      <c r="CA169" s="213"/>
      <c r="CB169" s="213"/>
      <c r="CC169" s="213"/>
      <c r="CD169" s="213"/>
      <c r="CE169" s="213"/>
      <c r="CF169" s="213"/>
      <c r="CG169" s="213"/>
      <c r="CH169" s="213"/>
      <c r="CI169" s="213"/>
      <c r="CJ169" s="213"/>
      <c r="CK169" s="213"/>
      <c r="CL169" s="213"/>
      <c r="CM169" s="213"/>
      <c r="CN169" s="213"/>
      <c r="CO169" s="213"/>
      <c r="CP169" s="213"/>
    </row>
    <row r="170" ht="15.75" customHeight="1">
      <c r="A170" s="213"/>
      <c r="B170" s="213"/>
      <c r="C170" s="213"/>
      <c r="D170" s="213"/>
      <c r="E170" s="213"/>
      <c r="F170" s="213"/>
      <c r="G170" s="213"/>
      <c r="H170" s="213"/>
      <c r="I170" s="213"/>
      <c r="J170" s="213"/>
      <c r="K170" s="213"/>
      <c r="L170" s="213"/>
      <c r="M170" s="213"/>
      <c r="N170" s="213"/>
      <c r="O170" s="213"/>
      <c r="P170" s="213"/>
      <c r="Q170" s="213"/>
      <c r="R170" s="213"/>
      <c r="S170" s="213"/>
      <c r="T170" s="213"/>
      <c r="U170" s="213"/>
      <c r="V170" s="213"/>
      <c r="W170" s="238"/>
      <c r="X170" s="213"/>
      <c r="Y170" s="213"/>
      <c r="Z170" s="213"/>
      <c r="AA170" s="213"/>
      <c r="AB170" s="213"/>
      <c r="AC170" s="213"/>
      <c r="AD170" s="213"/>
      <c r="AE170" s="213"/>
      <c r="AF170" s="213"/>
      <c r="AG170" s="213"/>
      <c r="AH170" s="213"/>
      <c r="AI170" s="213"/>
      <c r="AJ170" s="213"/>
      <c r="AK170" s="213"/>
      <c r="AL170" s="213"/>
      <c r="AM170" s="213"/>
      <c r="AN170" s="213"/>
      <c r="AO170" s="213"/>
      <c r="AP170" s="213"/>
      <c r="AQ170" s="213"/>
      <c r="AR170" s="213"/>
      <c r="AS170" s="213"/>
      <c r="AT170" s="213"/>
      <c r="AU170" s="213"/>
      <c r="AV170" s="213"/>
      <c r="AW170" s="213"/>
      <c r="AX170" s="213"/>
      <c r="AY170" s="213"/>
      <c r="AZ170" s="213"/>
      <c r="BA170" s="213"/>
      <c r="BB170" s="213"/>
      <c r="BC170" s="213"/>
      <c r="BD170" s="213"/>
      <c r="BE170" s="213"/>
      <c r="BF170" s="213"/>
      <c r="BG170" s="213"/>
      <c r="BH170" s="213"/>
      <c r="BI170" s="213"/>
      <c r="BJ170" s="213"/>
      <c r="BK170" s="213"/>
      <c r="BL170" s="213"/>
      <c r="BM170" s="213"/>
      <c r="BN170" s="213"/>
      <c r="BO170" s="213"/>
      <c r="BP170" s="213"/>
      <c r="BQ170" s="213"/>
      <c r="BR170" s="326"/>
      <c r="BS170" s="213"/>
      <c r="BT170" s="213"/>
      <c r="BU170" s="213"/>
      <c r="BV170" s="213"/>
      <c r="BW170" s="213"/>
      <c r="BX170" s="213"/>
      <c r="BY170" s="213"/>
      <c r="BZ170" s="213"/>
      <c r="CA170" s="213"/>
      <c r="CB170" s="213"/>
      <c r="CC170" s="213"/>
      <c r="CD170" s="213"/>
      <c r="CE170" s="213"/>
      <c r="CF170" s="213"/>
      <c r="CG170" s="213"/>
      <c r="CH170" s="213"/>
      <c r="CI170" s="213"/>
      <c r="CJ170" s="213"/>
      <c r="CK170" s="213"/>
      <c r="CL170" s="213"/>
      <c r="CM170" s="213"/>
      <c r="CN170" s="213"/>
      <c r="CO170" s="213"/>
      <c r="CP170" s="213"/>
    </row>
    <row r="171" ht="15.75" customHeight="1">
      <c r="A171" s="213"/>
      <c r="B171" s="213"/>
      <c r="C171" s="213"/>
      <c r="D171" s="213"/>
      <c r="E171" s="213"/>
      <c r="F171" s="213"/>
      <c r="G171" s="213"/>
      <c r="H171" s="213"/>
      <c r="I171" s="213"/>
      <c r="J171" s="213"/>
      <c r="K171" s="213"/>
      <c r="L171" s="213"/>
      <c r="M171" s="213"/>
      <c r="N171" s="213"/>
      <c r="O171" s="213"/>
      <c r="P171" s="213"/>
      <c r="Q171" s="213"/>
      <c r="R171" s="213"/>
      <c r="S171" s="213"/>
      <c r="T171" s="213"/>
      <c r="U171" s="213"/>
      <c r="V171" s="213"/>
      <c r="W171" s="238"/>
      <c r="X171" s="213"/>
      <c r="Y171" s="213"/>
      <c r="Z171" s="213"/>
      <c r="AA171" s="213"/>
      <c r="AB171" s="213"/>
      <c r="AC171" s="213"/>
      <c r="AD171" s="213"/>
      <c r="AE171" s="213"/>
      <c r="AF171" s="213"/>
      <c r="AG171" s="213"/>
      <c r="AH171" s="213"/>
      <c r="AI171" s="213"/>
      <c r="AJ171" s="213"/>
      <c r="AK171" s="213"/>
      <c r="AL171" s="213"/>
      <c r="AM171" s="213"/>
      <c r="AN171" s="213"/>
      <c r="AO171" s="213"/>
      <c r="AP171" s="213"/>
      <c r="AQ171" s="213"/>
      <c r="AR171" s="213"/>
      <c r="AS171" s="213"/>
      <c r="AT171" s="213"/>
      <c r="AU171" s="213"/>
      <c r="AV171" s="213"/>
      <c r="AW171" s="213"/>
      <c r="AX171" s="213"/>
      <c r="AY171" s="213"/>
      <c r="AZ171" s="213"/>
      <c r="BA171" s="213"/>
      <c r="BB171" s="213"/>
      <c r="BC171" s="213"/>
      <c r="BD171" s="213"/>
      <c r="BE171" s="213"/>
      <c r="BF171" s="213"/>
      <c r="BG171" s="213"/>
      <c r="BH171" s="213"/>
      <c r="BI171" s="213"/>
      <c r="BJ171" s="213"/>
      <c r="BK171" s="213"/>
      <c r="BL171" s="213"/>
      <c r="BM171" s="213"/>
      <c r="BN171" s="213"/>
      <c r="BO171" s="213"/>
      <c r="BP171" s="213"/>
      <c r="BQ171" s="213"/>
      <c r="BR171" s="326"/>
      <c r="BS171" s="213"/>
      <c r="BT171" s="213"/>
      <c r="BU171" s="213"/>
      <c r="BV171" s="213"/>
      <c r="BW171" s="213"/>
      <c r="BX171" s="213"/>
      <c r="BY171" s="213"/>
      <c r="BZ171" s="213"/>
      <c r="CA171" s="213"/>
      <c r="CB171" s="213"/>
      <c r="CC171" s="213"/>
      <c r="CD171" s="213"/>
      <c r="CE171" s="213"/>
      <c r="CF171" s="213"/>
      <c r="CG171" s="213"/>
      <c r="CH171" s="213"/>
      <c r="CI171" s="213"/>
      <c r="CJ171" s="213"/>
      <c r="CK171" s="213"/>
      <c r="CL171" s="213"/>
      <c r="CM171" s="213"/>
      <c r="CN171" s="213"/>
      <c r="CO171" s="213"/>
      <c r="CP171" s="213"/>
    </row>
    <row r="172" ht="15.75" customHeight="1">
      <c r="A172" s="213"/>
      <c r="B172" s="213"/>
      <c r="C172" s="213"/>
      <c r="D172" s="213"/>
      <c r="E172" s="213"/>
      <c r="F172" s="213"/>
      <c r="G172" s="213"/>
      <c r="H172" s="213"/>
      <c r="I172" s="213"/>
      <c r="J172" s="213"/>
      <c r="K172" s="213"/>
      <c r="L172" s="213"/>
      <c r="M172" s="213"/>
      <c r="N172" s="213"/>
      <c r="O172" s="213"/>
      <c r="P172" s="213"/>
      <c r="Q172" s="213"/>
      <c r="R172" s="213"/>
      <c r="S172" s="213"/>
      <c r="T172" s="213"/>
      <c r="U172" s="213"/>
      <c r="V172" s="213"/>
      <c r="W172" s="238"/>
      <c r="X172" s="213"/>
      <c r="Y172" s="213"/>
      <c r="Z172" s="213"/>
      <c r="AA172" s="213"/>
      <c r="AB172" s="213"/>
      <c r="AC172" s="213"/>
      <c r="AD172" s="213"/>
      <c r="AE172" s="213"/>
      <c r="AF172" s="213"/>
      <c r="AG172" s="213"/>
      <c r="AH172" s="213"/>
      <c r="AI172" s="213"/>
      <c r="AJ172" s="213"/>
      <c r="AK172" s="213"/>
      <c r="AL172" s="213"/>
      <c r="AM172" s="213"/>
      <c r="AN172" s="213"/>
      <c r="AO172" s="213"/>
      <c r="AP172" s="213"/>
      <c r="AQ172" s="213"/>
      <c r="AR172" s="213"/>
      <c r="AS172" s="213"/>
      <c r="AT172" s="213"/>
      <c r="AU172" s="213"/>
      <c r="AV172" s="213"/>
      <c r="AW172" s="213"/>
      <c r="AX172" s="213"/>
      <c r="AY172" s="213"/>
      <c r="AZ172" s="213"/>
      <c r="BA172" s="213"/>
      <c r="BB172" s="213"/>
      <c r="BC172" s="213"/>
      <c r="BD172" s="213"/>
      <c r="BE172" s="213"/>
      <c r="BF172" s="213"/>
      <c r="BG172" s="213"/>
      <c r="BH172" s="213"/>
      <c r="BI172" s="213"/>
      <c r="BJ172" s="213"/>
      <c r="BK172" s="213"/>
      <c r="BL172" s="213"/>
      <c r="BM172" s="213"/>
      <c r="BN172" s="213"/>
      <c r="BO172" s="213"/>
      <c r="BP172" s="213"/>
      <c r="BQ172" s="213"/>
      <c r="BR172" s="326"/>
      <c r="BS172" s="213"/>
      <c r="BT172" s="213"/>
      <c r="BU172" s="213"/>
      <c r="BV172" s="213"/>
      <c r="BW172" s="213"/>
      <c r="BX172" s="213"/>
      <c r="BY172" s="213"/>
      <c r="BZ172" s="213"/>
      <c r="CA172" s="213"/>
      <c r="CB172" s="213"/>
      <c r="CC172" s="213"/>
      <c r="CD172" s="213"/>
      <c r="CE172" s="213"/>
      <c r="CF172" s="213"/>
      <c r="CG172" s="213"/>
      <c r="CH172" s="213"/>
      <c r="CI172" s="213"/>
      <c r="CJ172" s="213"/>
      <c r="CK172" s="213"/>
      <c r="CL172" s="213"/>
      <c r="CM172" s="213"/>
      <c r="CN172" s="213"/>
      <c r="CO172" s="213"/>
      <c r="CP172" s="213"/>
    </row>
    <row r="173" ht="15.75" customHeight="1">
      <c r="A173" s="213"/>
      <c r="B173" s="213"/>
      <c r="C173" s="213"/>
      <c r="D173" s="213"/>
      <c r="E173" s="213"/>
      <c r="F173" s="213"/>
      <c r="G173" s="213"/>
      <c r="H173" s="213"/>
      <c r="I173" s="213"/>
      <c r="J173" s="213"/>
      <c r="K173" s="213"/>
      <c r="L173" s="213"/>
      <c r="M173" s="213"/>
      <c r="N173" s="213"/>
      <c r="O173" s="213"/>
      <c r="P173" s="213"/>
      <c r="Q173" s="213"/>
      <c r="R173" s="213"/>
      <c r="S173" s="213"/>
      <c r="T173" s="213"/>
      <c r="U173" s="213"/>
      <c r="V173" s="213"/>
      <c r="W173" s="238"/>
      <c r="X173" s="213"/>
      <c r="Y173" s="213"/>
      <c r="Z173" s="213"/>
      <c r="AA173" s="213"/>
      <c r="AB173" s="213"/>
      <c r="AC173" s="213"/>
      <c r="AD173" s="213"/>
      <c r="AE173" s="213"/>
      <c r="AF173" s="213"/>
      <c r="AG173" s="213"/>
      <c r="AH173" s="213"/>
      <c r="AI173" s="213"/>
      <c r="AJ173" s="213"/>
      <c r="AK173" s="213"/>
      <c r="AL173" s="213"/>
      <c r="AM173" s="213"/>
      <c r="AN173" s="213"/>
      <c r="AO173" s="213"/>
      <c r="AP173" s="213"/>
      <c r="AQ173" s="213"/>
      <c r="AR173" s="213"/>
      <c r="AS173" s="213"/>
      <c r="AT173" s="213"/>
      <c r="AU173" s="213"/>
      <c r="AV173" s="213"/>
      <c r="AW173" s="213"/>
      <c r="AX173" s="213"/>
      <c r="AY173" s="213"/>
      <c r="AZ173" s="213"/>
      <c r="BA173" s="213"/>
      <c r="BB173" s="213"/>
      <c r="BC173" s="213"/>
      <c r="BD173" s="213"/>
      <c r="BE173" s="213"/>
      <c r="BF173" s="213"/>
      <c r="BG173" s="213"/>
      <c r="BH173" s="213"/>
      <c r="BI173" s="213"/>
      <c r="BJ173" s="213"/>
      <c r="BK173" s="213"/>
      <c r="BL173" s="213"/>
      <c r="BM173" s="213"/>
      <c r="BN173" s="213"/>
      <c r="BO173" s="213"/>
      <c r="BP173" s="213"/>
      <c r="BQ173" s="213"/>
      <c r="BR173" s="326"/>
      <c r="BS173" s="213"/>
      <c r="BT173" s="213"/>
      <c r="BU173" s="213"/>
      <c r="BV173" s="213"/>
      <c r="BW173" s="213"/>
      <c r="BX173" s="213"/>
      <c r="BY173" s="213"/>
      <c r="BZ173" s="213"/>
      <c r="CA173" s="213"/>
      <c r="CB173" s="213"/>
      <c r="CC173" s="213"/>
      <c r="CD173" s="213"/>
      <c r="CE173" s="213"/>
      <c r="CF173" s="213"/>
      <c r="CG173" s="213"/>
      <c r="CH173" s="213"/>
      <c r="CI173" s="213"/>
      <c r="CJ173" s="213"/>
      <c r="CK173" s="213"/>
      <c r="CL173" s="213"/>
      <c r="CM173" s="213"/>
      <c r="CN173" s="213"/>
      <c r="CO173" s="213"/>
      <c r="CP173" s="213"/>
    </row>
    <row r="174" ht="15.75" customHeight="1">
      <c r="A174" s="213"/>
      <c r="B174" s="213"/>
      <c r="C174" s="213"/>
      <c r="D174" s="213"/>
      <c r="E174" s="213"/>
      <c r="F174" s="213"/>
      <c r="G174" s="213"/>
      <c r="H174" s="213"/>
      <c r="I174" s="213"/>
      <c r="J174" s="213"/>
      <c r="K174" s="213"/>
      <c r="L174" s="213"/>
      <c r="M174" s="213"/>
      <c r="N174" s="213"/>
      <c r="O174" s="213"/>
      <c r="P174" s="213"/>
      <c r="Q174" s="213"/>
      <c r="R174" s="213"/>
      <c r="S174" s="213"/>
      <c r="T174" s="213"/>
      <c r="U174" s="213"/>
      <c r="V174" s="213"/>
      <c r="W174" s="238"/>
      <c r="X174" s="213"/>
      <c r="Y174" s="213"/>
      <c r="Z174" s="213"/>
      <c r="AA174" s="213"/>
      <c r="AB174" s="213"/>
      <c r="AC174" s="213"/>
      <c r="AD174" s="213"/>
      <c r="AE174" s="213"/>
      <c r="AF174" s="213"/>
      <c r="AG174" s="213"/>
      <c r="AH174" s="213"/>
      <c r="AI174" s="213"/>
      <c r="AJ174" s="213"/>
      <c r="AK174" s="213"/>
      <c r="AL174" s="213"/>
      <c r="AM174" s="213"/>
      <c r="AN174" s="213"/>
      <c r="AO174" s="213"/>
      <c r="AP174" s="213"/>
      <c r="AQ174" s="213"/>
      <c r="AR174" s="213"/>
      <c r="AS174" s="213"/>
      <c r="AT174" s="213"/>
      <c r="AU174" s="213"/>
      <c r="AV174" s="213"/>
      <c r="AW174" s="213"/>
      <c r="AX174" s="213"/>
      <c r="AY174" s="213"/>
      <c r="AZ174" s="213"/>
      <c r="BA174" s="213"/>
      <c r="BB174" s="213"/>
      <c r="BC174" s="213"/>
      <c r="BD174" s="213"/>
      <c r="BE174" s="213"/>
      <c r="BF174" s="213"/>
      <c r="BG174" s="213"/>
      <c r="BH174" s="213"/>
      <c r="BI174" s="213"/>
      <c r="BJ174" s="213"/>
      <c r="BK174" s="213"/>
      <c r="BL174" s="213"/>
      <c r="BM174" s="213"/>
      <c r="BN174" s="213"/>
      <c r="BO174" s="213"/>
      <c r="BP174" s="213"/>
      <c r="BQ174" s="213"/>
      <c r="BR174" s="326"/>
      <c r="BS174" s="213"/>
      <c r="BT174" s="213"/>
      <c r="BU174" s="213"/>
      <c r="BV174" s="213"/>
      <c r="BW174" s="213"/>
      <c r="BX174" s="213"/>
      <c r="BY174" s="213"/>
      <c r="BZ174" s="213"/>
      <c r="CA174" s="213"/>
      <c r="CB174" s="213"/>
      <c r="CC174" s="213"/>
      <c r="CD174" s="213"/>
      <c r="CE174" s="213"/>
      <c r="CF174" s="213"/>
      <c r="CG174" s="213"/>
      <c r="CH174" s="213"/>
      <c r="CI174" s="213"/>
      <c r="CJ174" s="213"/>
      <c r="CK174" s="213"/>
      <c r="CL174" s="213"/>
      <c r="CM174" s="213"/>
      <c r="CN174" s="213"/>
      <c r="CO174" s="213"/>
      <c r="CP174" s="213"/>
    </row>
    <row r="175" ht="15.75" customHeight="1">
      <c r="A175" s="213"/>
      <c r="B175" s="213"/>
      <c r="C175" s="213"/>
      <c r="D175" s="213"/>
      <c r="E175" s="213"/>
      <c r="F175" s="213"/>
      <c r="G175" s="213"/>
      <c r="H175" s="213"/>
      <c r="I175" s="213"/>
      <c r="J175" s="213"/>
      <c r="K175" s="213"/>
      <c r="L175" s="213"/>
      <c r="M175" s="213"/>
      <c r="N175" s="213"/>
      <c r="O175" s="213"/>
      <c r="P175" s="213"/>
      <c r="Q175" s="213"/>
      <c r="R175" s="213"/>
      <c r="S175" s="213"/>
      <c r="T175" s="213"/>
      <c r="U175" s="213"/>
      <c r="V175" s="213"/>
      <c r="W175" s="238"/>
      <c r="X175" s="213"/>
      <c r="Y175" s="213"/>
      <c r="Z175" s="213"/>
      <c r="AA175" s="213"/>
      <c r="AB175" s="213"/>
      <c r="AC175" s="213"/>
      <c r="AD175" s="213"/>
      <c r="AE175" s="213"/>
      <c r="AF175" s="213"/>
      <c r="AG175" s="213"/>
      <c r="AH175" s="213"/>
      <c r="AI175" s="213"/>
      <c r="AJ175" s="213"/>
      <c r="AK175" s="213"/>
      <c r="AL175" s="213"/>
      <c r="AM175" s="213"/>
      <c r="AN175" s="213"/>
      <c r="AO175" s="213"/>
      <c r="AP175" s="213"/>
      <c r="AQ175" s="213"/>
      <c r="AR175" s="213"/>
      <c r="AS175" s="213"/>
      <c r="AT175" s="213"/>
      <c r="AU175" s="213"/>
      <c r="AV175" s="213"/>
      <c r="AW175" s="213"/>
      <c r="AX175" s="213"/>
      <c r="AY175" s="213"/>
      <c r="AZ175" s="213"/>
      <c r="BA175" s="213"/>
      <c r="BB175" s="213"/>
      <c r="BC175" s="213"/>
      <c r="BD175" s="213"/>
      <c r="BE175" s="213"/>
      <c r="BF175" s="213"/>
      <c r="BG175" s="213"/>
      <c r="BH175" s="213"/>
      <c r="BI175" s="213"/>
      <c r="BJ175" s="213"/>
      <c r="BK175" s="213"/>
      <c r="BL175" s="213"/>
      <c r="BM175" s="213"/>
      <c r="BN175" s="213"/>
      <c r="BO175" s="213"/>
      <c r="BP175" s="213"/>
      <c r="BQ175" s="213"/>
      <c r="BR175" s="326"/>
      <c r="BS175" s="213"/>
      <c r="BT175" s="213"/>
      <c r="BU175" s="213"/>
      <c r="BV175" s="213"/>
      <c r="BW175" s="213"/>
      <c r="BX175" s="213"/>
      <c r="BY175" s="213"/>
      <c r="BZ175" s="213"/>
      <c r="CA175" s="213"/>
      <c r="CB175" s="213"/>
      <c r="CC175" s="213"/>
      <c r="CD175" s="213"/>
      <c r="CE175" s="213"/>
      <c r="CF175" s="213"/>
      <c r="CG175" s="213"/>
      <c r="CH175" s="213"/>
      <c r="CI175" s="213"/>
      <c r="CJ175" s="213"/>
      <c r="CK175" s="213"/>
      <c r="CL175" s="213"/>
      <c r="CM175" s="213"/>
      <c r="CN175" s="213"/>
      <c r="CO175" s="213"/>
      <c r="CP175" s="213"/>
    </row>
    <row r="176" ht="15.75" customHeight="1">
      <c r="A176" s="213"/>
      <c r="B176" s="213"/>
      <c r="C176" s="213"/>
      <c r="D176" s="213"/>
      <c r="E176" s="213"/>
      <c r="F176" s="213"/>
      <c r="G176" s="213"/>
      <c r="H176" s="213"/>
      <c r="I176" s="213"/>
      <c r="J176" s="213"/>
      <c r="K176" s="213"/>
      <c r="L176" s="213"/>
      <c r="M176" s="213"/>
      <c r="N176" s="213"/>
      <c r="O176" s="213"/>
      <c r="P176" s="213"/>
      <c r="Q176" s="213"/>
      <c r="R176" s="213"/>
      <c r="S176" s="213"/>
      <c r="T176" s="213"/>
      <c r="U176" s="213"/>
      <c r="V176" s="213"/>
      <c r="W176" s="238"/>
      <c r="X176" s="213"/>
      <c r="Y176" s="213"/>
      <c r="Z176" s="213"/>
      <c r="AA176" s="213"/>
      <c r="AB176" s="213"/>
      <c r="AC176" s="213"/>
      <c r="AD176" s="213"/>
      <c r="AE176" s="213"/>
      <c r="AF176" s="213"/>
      <c r="AG176" s="213"/>
      <c r="AH176" s="213"/>
      <c r="AI176" s="213"/>
      <c r="AJ176" s="213"/>
      <c r="AK176" s="213"/>
      <c r="AL176" s="213"/>
      <c r="AM176" s="213"/>
      <c r="AN176" s="213"/>
      <c r="AO176" s="213"/>
      <c r="AP176" s="213"/>
      <c r="AQ176" s="213"/>
      <c r="AR176" s="213"/>
      <c r="AS176" s="213"/>
      <c r="AT176" s="213"/>
      <c r="AU176" s="213"/>
      <c r="AV176" s="213"/>
      <c r="AW176" s="213"/>
      <c r="AX176" s="213"/>
      <c r="AY176" s="213"/>
      <c r="AZ176" s="213"/>
      <c r="BA176" s="213"/>
      <c r="BB176" s="213"/>
      <c r="BC176" s="213"/>
      <c r="BD176" s="213"/>
      <c r="BE176" s="213"/>
      <c r="BF176" s="213"/>
      <c r="BG176" s="213"/>
      <c r="BH176" s="213"/>
      <c r="BI176" s="213"/>
      <c r="BJ176" s="213"/>
      <c r="BK176" s="213"/>
      <c r="BL176" s="213"/>
      <c r="BM176" s="213"/>
      <c r="BN176" s="213"/>
      <c r="BO176" s="213"/>
      <c r="BP176" s="213"/>
      <c r="BQ176" s="213"/>
      <c r="BR176" s="326"/>
      <c r="BS176" s="213"/>
      <c r="BT176" s="213"/>
      <c r="BU176" s="213"/>
      <c r="BV176" s="213"/>
      <c r="BW176" s="213"/>
      <c r="BX176" s="213"/>
      <c r="BY176" s="213"/>
      <c r="BZ176" s="213"/>
      <c r="CA176" s="213"/>
      <c r="CB176" s="213"/>
      <c r="CC176" s="213"/>
      <c r="CD176" s="213"/>
      <c r="CE176" s="213"/>
      <c r="CF176" s="213"/>
      <c r="CG176" s="213"/>
      <c r="CH176" s="213"/>
      <c r="CI176" s="213"/>
      <c r="CJ176" s="213"/>
      <c r="CK176" s="213"/>
      <c r="CL176" s="213"/>
      <c r="CM176" s="213"/>
      <c r="CN176" s="213"/>
      <c r="CO176" s="213"/>
      <c r="CP176" s="213"/>
    </row>
    <row r="177" ht="15.75" customHeight="1">
      <c r="A177" s="213"/>
      <c r="B177" s="213"/>
      <c r="C177" s="213"/>
      <c r="D177" s="213"/>
      <c r="E177" s="213"/>
      <c r="F177" s="213"/>
      <c r="G177" s="213"/>
      <c r="H177" s="213"/>
      <c r="I177" s="213"/>
      <c r="J177" s="213"/>
      <c r="K177" s="213"/>
      <c r="L177" s="213"/>
      <c r="M177" s="213"/>
      <c r="N177" s="213"/>
      <c r="O177" s="213"/>
      <c r="P177" s="213"/>
      <c r="Q177" s="213"/>
      <c r="R177" s="213"/>
      <c r="S177" s="213"/>
      <c r="T177" s="213"/>
      <c r="U177" s="213"/>
      <c r="V177" s="213"/>
      <c r="W177" s="238"/>
      <c r="X177" s="213"/>
      <c r="Y177" s="213"/>
      <c r="Z177" s="213"/>
      <c r="AA177" s="213"/>
      <c r="AB177" s="213"/>
      <c r="AC177" s="213"/>
      <c r="AD177" s="213"/>
      <c r="AE177" s="213"/>
      <c r="AF177" s="213"/>
      <c r="AG177" s="213"/>
      <c r="AH177" s="213"/>
      <c r="AI177" s="213"/>
      <c r="AJ177" s="213"/>
      <c r="AK177" s="213"/>
      <c r="AL177" s="213"/>
      <c r="AM177" s="213"/>
      <c r="AN177" s="213"/>
      <c r="AO177" s="213"/>
      <c r="AP177" s="213"/>
      <c r="AQ177" s="213"/>
      <c r="AR177" s="213"/>
      <c r="AS177" s="213"/>
      <c r="AT177" s="213"/>
      <c r="AU177" s="213"/>
      <c r="AV177" s="213"/>
      <c r="AW177" s="213"/>
      <c r="AX177" s="213"/>
      <c r="AY177" s="213"/>
      <c r="AZ177" s="213"/>
      <c r="BA177" s="213"/>
      <c r="BB177" s="213"/>
      <c r="BC177" s="213"/>
      <c r="BD177" s="213"/>
      <c r="BE177" s="213"/>
      <c r="BF177" s="213"/>
      <c r="BG177" s="213"/>
      <c r="BH177" s="213"/>
      <c r="BI177" s="213"/>
      <c r="BJ177" s="213"/>
      <c r="BK177" s="213"/>
      <c r="BL177" s="213"/>
      <c r="BM177" s="213"/>
      <c r="BN177" s="213"/>
      <c r="BO177" s="213"/>
      <c r="BP177" s="213"/>
      <c r="BQ177" s="213"/>
      <c r="BR177" s="326"/>
      <c r="BS177" s="213"/>
      <c r="BT177" s="213"/>
      <c r="BU177" s="213"/>
      <c r="BV177" s="213"/>
      <c r="BW177" s="213"/>
      <c r="BX177" s="213"/>
      <c r="BY177" s="213"/>
      <c r="BZ177" s="213"/>
      <c r="CA177" s="213"/>
      <c r="CB177" s="213"/>
      <c r="CC177" s="213"/>
      <c r="CD177" s="213"/>
      <c r="CE177" s="213"/>
      <c r="CF177" s="213"/>
      <c r="CG177" s="213"/>
      <c r="CH177" s="213"/>
      <c r="CI177" s="213"/>
      <c r="CJ177" s="213"/>
      <c r="CK177" s="213"/>
      <c r="CL177" s="213"/>
      <c r="CM177" s="213"/>
      <c r="CN177" s="213"/>
      <c r="CO177" s="213"/>
      <c r="CP177" s="213"/>
    </row>
    <row r="178" ht="15.75" customHeight="1">
      <c r="A178" s="213"/>
      <c r="B178" s="213"/>
      <c r="C178" s="213"/>
      <c r="D178" s="213"/>
      <c r="E178" s="213"/>
      <c r="F178" s="213"/>
      <c r="G178" s="213"/>
      <c r="H178" s="213"/>
      <c r="I178" s="213"/>
      <c r="J178" s="213"/>
      <c r="K178" s="213"/>
      <c r="L178" s="213"/>
      <c r="M178" s="213"/>
      <c r="N178" s="213"/>
      <c r="O178" s="213"/>
      <c r="P178" s="213"/>
      <c r="Q178" s="213"/>
      <c r="R178" s="213"/>
      <c r="S178" s="213"/>
      <c r="T178" s="213"/>
      <c r="U178" s="213"/>
      <c r="V178" s="213"/>
      <c r="W178" s="238"/>
      <c r="X178" s="213"/>
      <c r="Y178" s="213"/>
      <c r="Z178" s="213"/>
      <c r="AA178" s="213"/>
      <c r="AB178" s="213"/>
      <c r="AC178" s="213"/>
      <c r="AD178" s="213"/>
      <c r="AE178" s="213"/>
      <c r="AF178" s="213"/>
      <c r="AG178" s="213"/>
      <c r="AH178" s="213"/>
      <c r="AI178" s="213"/>
      <c r="AJ178" s="213"/>
      <c r="AK178" s="213"/>
      <c r="AL178" s="213"/>
      <c r="AM178" s="213"/>
      <c r="AN178" s="213"/>
      <c r="AO178" s="213"/>
      <c r="AP178" s="213"/>
      <c r="AQ178" s="213"/>
      <c r="AR178" s="213"/>
      <c r="AS178" s="213"/>
      <c r="AT178" s="213"/>
      <c r="AU178" s="213"/>
      <c r="AV178" s="213"/>
      <c r="AW178" s="213"/>
      <c r="AX178" s="213"/>
      <c r="AY178" s="213"/>
      <c r="AZ178" s="213"/>
      <c r="BA178" s="213"/>
      <c r="BB178" s="213"/>
      <c r="BC178" s="213"/>
      <c r="BD178" s="213"/>
      <c r="BE178" s="213"/>
      <c r="BF178" s="213"/>
      <c r="BG178" s="213"/>
      <c r="BH178" s="213"/>
      <c r="BI178" s="213"/>
      <c r="BJ178" s="213"/>
      <c r="BK178" s="213"/>
      <c r="BL178" s="213"/>
      <c r="BM178" s="213"/>
      <c r="BN178" s="213"/>
      <c r="BO178" s="213"/>
      <c r="BP178" s="213"/>
      <c r="BQ178" s="213"/>
      <c r="BR178" s="326"/>
      <c r="BS178" s="213"/>
      <c r="BT178" s="213"/>
      <c r="BU178" s="213"/>
      <c r="BV178" s="213"/>
      <c r="BW178" s="213"/>
      <c r="BX178" s="213"/>
      <c r="BY178" s="213"/>
      <c r="BZ178" s="213"/>
      <c r="CA178" s="213"/>
      <c r="CB178" s="213"/>
      <c r="CC178" s="213"/>
      <c r="CD178" s="213"/>
      <c r="CE178" s="213"/>
      <c r="CF178" s="213"/>
      <c r="CG178" s="213"/>
      <c r="CH178" s="213"/>
      <c r="CI178" s="213"/>
      <c r="CJ178" s="213"/>
      <c r="CK178" s="213"/>
      <c r="CL178" s="213"/>
      <c r="CM178" s="213"/>
      <c r="CN178" s="213"/>
      <c r="CO178" s="213"/>
      <c r="CP178" s="213"/>
    </row>
    <row r="179" ht="15.75" customHeight="1">
      <c r="A179" s="213"/>
      <c r="B179" s="213"/>
      <c r="C179" s="213"/>
      <c r="D179" s="213"/>
      <c r="E179" s="213"/>
      <c r="F179" s="213"/>
      <c r="G179" s="213"/>
      <c r="H179" s="213"/>
      <c r="I179" s="213"/>
      <c r="J179" s="213"/>
      <c r="K179" s="213"/>
      <c r="L179" s="213"/>
      <c r="M179" s="213"/>
      <c r="N179" s="213"/>
      <c r="O179" s="213"/>
      <c r="P179" s="213"/>
      <c r="Q179" s="213"/>
      <c r="R179" s="213"/>
      <c r="S179" s="213"/>
      <c r="T179" s="213"/>
      <c r="U179" s="213"/>
      <c r="V179" s="213"/>
      <c r="W179" s="238"/>
      <c r="X179" s="213"/>
      <c r="Y179" s="213"/>
      <c r="Z179" s="213"/>
      <c r="AA179" s="213"/>
      <c r="AB179" s="213"/>
      <c r="AC179" s="213"/>
      <c r="AD179" s="213"/>
      <c r="AE179" s="213"/>
      <c r="AF179" s="213"/>
      <c r="AG179" s="213"/>
      <c r="AH179" s="213"/>
      <c r="AI179" s="213"/>
      <c r="AJ179" s="213"/>
      <c r="AK179" s="213"/>
      <c r="AL179" s="213"/>
      <c r="AM179" s="213"/>
      <c r="AN179" s="213"/>
      <c r="AO179" s="213"/>
      <c r="AP179" s="213"/>
      <c r="AQ179" s="213"/>
      <c r="AR179" s="213"/>
      <c r="AS179" s="213"/>
      <c r="AT179" s="213"/>
      <c r="AU179" s="213"/>
      <c r="AV179" s="213"/>
      <c r="AW179" s="213"/>
      <c r="AX179" s="213"/>
      <c r="AY179" s="213"/>
      <c r="AZ179" s="213"/>
      <c r="BA179" s="213"/>
      <c r="BB179" s="213"/>
      <c r="BC179" s="213"/>
      <c r="BD179" s="213"/>
      <c r="BE179" s="213"/>
      <c r="BF179" s="213"/>
      <c r="BG179" s="213"/>
      <c r="BH179" s="213"/>
      <c r="BI179" s="213"/>
      <c r="BJ179" s="213"/>
      <c r="BK179" s="213"/>
      <c r="BL179" s="213"/>
      <c r="BM179" s="213"/>
      <c r="BN179" s="213"/>
      <c r="BO179" s="213"/>
      <c r="BP179" s="213"/>
      <c r="BQ179" s="213"/>
      <c r="BR179" s="326"/>
      <c r="BS179" s="213"/>
      <c r="BT179" s="213"/>
      <c r="BU179" s="213"/>
      <c r="BV179" s="213"/>
      <c r="BW179" s="213"/>
      <c r="BX179" s="213"/>
      <c r="BY179" s="213"/>
      <c r="BZ179" s="213"/>
      <c r="CA179" s="213"/>
      <c r="CB179" s="213"/>
      <c r="CC179" s="213"/>
      <c r="CD179" s="213"/>
      <c r="CE179" s="213"/>
      <c r="CF179" s="213"/>
      <c r="CG179" s="213"/>
      <c r="CH179" s="213"/>
      <c r="CI179" s="213"/>
      <c r="CJ179" s="213"/>
      <c r="CK179" s="213"/>
      <c r="CL179" s="213"/>
      <c r="CM179" s="213"/>
      <c r="CN179" s="213"/>
      <c r="CO179" s="213"/>
      <c r="CP179" s="213"/>
    </row>
    <row r="180" ht="15.75" customHeight="1">
      <c r="A180" s="213"/>
      <c r="B180" s="213"/>
      <c r="C180" s="213"/>
      <c r="D180" s="213"/>
      <c r="E180" s="213"/>
      <c r="F180" s="213"/>
      <c r="G180" s="213"/>
      <c r="H180" s="213"/>
      <c r="I180" s="213"/>
      <c r="J180" s="213"/>
      <c r="K180" s="213"/>
      <c r="L180" s="213"/>
      <c r="M180" s="213"/>
      <c r="N180" s="213"/>
      <c r="O180" s="213"/>
      <c r="P180" s="213"/>
      <c r="Q180" s="213"/>
      <c r="R180" s="213"/>
      <c r="S180" s="213"/>
      <c r="T180" s="213"/>
      <c r="U180" s="213"/>
      <c r="V180" s="213"/>
      <c r="W180" s="238"/>
      <c r="X180" s="213"/>
      <c r="Y180" s="213"/>
      <c r="Z180" s="213"/>
      <c r="AA180" s="213"/>
      <c r="AB180" s="213"/>
      <c r="AC180" s="213"/>
      <c r="AD180" s="213"/>
      <c r="AE180" s="213"/>
      <c r="AF180" s="213"/>
      <c r="AG180" s="213"/>
      <c r="AH180" s="213"/>
      <c r="AI180" s="213"/>
      <c r="AJ180" s="213"/>
      <c r="AK180" s="213"/>
      <c r="AL180" s="213"/>
      <c r="AM180" s="213"/>
      <c r="AN180" s="213"/>
      <c r="AO180" s="213"/>
      <c r="AP180" s="213"/>
      <c r="AQ180" s="213"/>
      <c r="AR180" s="213"/>
      <c r="AS180" s="213"/>
      <c r="AT180" s="213"/>
      <c r="AU180" s="213"/>
      <c r="AV180" s="213"/>
      <c r="AW180" s="213"/>
      <c r="AX180" s="213"/>
      <c r="AY180" s="213"/>
      <c r="AZ180" s="213"/>
      <c r="BA180" s="213"/>
      <c r="BB180" s="213"/>
      <c r="BC180" s="213"/>
      <c r="BD180" s="213"/>
      <c r="BE180" s="213"/>
      <c r="BF180" s="213"/>
      <c r="BG180" s="213"/>
      <c r="BH180" s="213"/>
      <c r="BI180" s="213"/>
      <c r="BJ180" s="213"/>
      <c r="BK180" s="213"/>
      <c r="BL180" s="213"/>
      <c r="BM180" s="213"/>
      <c r="BN180" s="213"/>
      <c r="BO180" s="213"/>
      <c r="BP180" s="213"/>
      <c r="BQ180" s="213"/>
      <c r="BR180" s="326"/>
      <c r="BS180" s="213"/>
      <c r="BT180" s="213"/>
      <c r="BU180" s="213"/>
      <c r="BV180" s="213"/>
      <c r="BW180" s="213"/>
      <c r="BX180" s="213"/>
      <c r="BY180" s="213"/>
      <c r="BZ180" s="213"/>
      <c r="CA180" s="213"/>
      <c r="CB180" s="213"/>
      <c r="CC180" s="213"/>
      <c r="CD180" s="213"/>
      <c r="CE180" s="213"/>
      <c r="CF180" s="213"/>
      <c r="CG180" s="213"/>
      <c r="CH180" s="213"/>
      <c r="CI180" s="213"/>
      <c r="CJ180" s="213"/>
      <c r="CK180" s="213"/>
      <c r="CL180" s="213"/>
      <c r="CM180" s="213"/>
      <c r="CN180" s="213"/>
      <c r="CO180" s="213"/>
      <c r="CP180" s="213"/>
    </row>
    <row r="181" ht="15.75" customHeight="1">
      <c r="A181" s="213"/>
      <c r="B181" s="213"/>
      <c r="C181" s="213"/>
      <c r="D181" s="213"/>
      <c r="E181" s="213"/>
      <c r="F181" s="213"/>
      <c r="G181" s="213"/>
      <c r="H181" s="213"/>
      <c r="I181" s="213"/>
      <c r="J181" s="213"/>
      <c r="K181" s="213"/>
      <c r="L181" s="213"/>
      <c r="M181" s="213"/>
      <c r="N181" s="213"/>
      <c r="O181" s="213"/>
      <c r="P181" s="213"/>
      <c r="Q181" s="213"/>
      <c r="R181" s="213"/>
      <c r="S181" s="213"/>
      <c r="T181" s="213"/>
      <c r="U181" s="213"/>
      <c r="V181" s="213"/>
      <c r="W181" s="238"/>
      <c r="X181" s="213"/>
      <c r="Y181" s="213"/>
      <c r="Z181" s="213"/>
      <c r="AA181" s="213"/>
      <c r="AB181" s="213"/>
      <c r="AC181" s="213"/>
      <c r="AD181" s="213"/>
      <c r="AE181" s="213"/>
      <c r="AF181" s="213"/>
      <c r="AG181" s="213"/>
      <c r="AH181" s="213"/>
      <c r="AI181" s="213"/>
      <c r="AJ181" s="213"/>
      <c r="AK181" s="213"/>
      <c r="AL181" s="213"/>
      <c r="AM181" s="213"/>
      <c r="AN181" s="213"/>
      <c r="AO181" s="213"/>
      <c r="AP181" s="213"/>
      <c r="AQ181" s="213"/>
      <c r="AR181" s="213"/>
      <c r="AS181" s="213"/>
      <c r="AT181" s="213"/>
      <c r="AU181" s="213"/>
      <c r="AV181" s="213"/>
      <c r="AW181" s="213"/>
      <c r="AX181" s="213"/>
      <c r="AY181" s="213"/>
      <c r="AZ181" s="213"/>
      <c r="BA181" s="213"/>
      <c r="BB181" s="213"/>
      <c r="BC181" s="213"/>
      <c r="BD181" s="213"/>
      <c r="BE181" s="213"/>
      <c r="BF181" s="213"/>
      <c r="BG181" s="213"/>
      <c r="BH181" s="213"/>
      <c r="BI181" s="213"/>
      <c r="BJ181" s="213"/>
      <c r="BK181" s="213"/>
      <c r="BL181" s="213"/>
      <c r="BM181" s="213"/>
      <c r="BN181" s="213"/>
      <c r="BO181" s="213"/>
      <c r="BP181" s="213"/>
      <c r="BQ181" s="213"/>
      <c r="BR181" s="326"/>
      <c r="BS181" s="213"/>
      <c r="BT181" s="213"/>
      <c r="BU181" s="213"/>
      <c r="BV181" s="213"/>
      <c r="BW181" s="213"/>
      <c r="BX181" s="213"/>
      <c r="BY181" s="213"/>
      <c r="BZ181" s="213"/>
      <c r="CA181" s="213"/>
      <c r="CB181" s="213"/>
      <c r="CC181" s="213"/>
      <c r="CD181" s="213"/>
      <c r="CE181" s="213"/>
      <c r="CF181" s="213"/>
      <c r="CG181" s="213"/>
      <c r="CH181" s="213"/>
      <c r="CI181" s="213"/>
      <c r="CJ181" s="213"/>
      <c r="CK181" s="213"/>
      <c r="CL181" s="213"/>
      <c r="CM181" s="213"/>
      <c r="CN181" s="213"/>
      <c r="CO181" s="213"/>
      <c r="CP181" s="213"/>
    </row>
    <row r="182" ht="15.75" customHeight="1">
      <c r="A182" s="213"/>
      <c r="B182" s="213"/>
      <c r="C182" s="213"/>
      <c r="D182" s="213"/>
      <c r="E182" s="213"/>
      <c r="F182" s="213"/>
      <c r="G182" s="213"/>
      <c r="H182" s="213"/>
      <c r="I182" s="213"/>
      <c r="J182" s="213"/>
      <c r="K182" s="213"/>
      <c r="L182" s="213"/>
      <c r="M182" s="213"/>
      <c r="N182" s="213"/>
      <c r="O182" s="213"/>
      <c r="P182" s="213"/>
      <c r="Q182" s="213"/>
      <c r="R182" s="213"/>
      <c r="S182" s="213"/>
      <c r="T182" s="213"/>
      <c r="U182" s="213"/>
      <c r="V182" s="213"/>
      <c r="W182" s="238"/>
      <c r="X182" s="213"/>
      <c r="Y182" s="213"/>
      <c r="Z182" s="213"/>
      <c r="AA182" s="213"/>
      <c r="AB182" s="213"/>
      <c r="AC182" s="213"/>
      <c r="AD182" s="213"/>
      <c r="AE182" s="213"/>
      <c r="AF182" s="213"/>
      <c r="AG182" s="213"/>
      <c r="AH182" s="213"/>
      <c r="AI182" s="213"/>
      <c r="AJ182" s="213"/>
      <c r="AK182" s="213"/>
      <c r="AL182" s="213"/>
      <c r="AM182" s="213"/>
      <c r="AN182" s="213"/>
      <c r="AO182" s="213"/>
      <c r="AP182" s="213"/>
      <c r="AQ182" s="213"/>
      <c r="AR182" s="213"/>
      <c r="AS182" s="213"/>
      <c r="AT182" s="213"/>
      <c r="AU182" s="213"/>
      <c r="AV182" s="213"/>
      <c r="AW182" s="213"/>
      <c r="AX182" s="213"/>
      <c r="AY182" s="213"/>
      <c r="AZ182" s="213"/>
      <c r="BA182" s="213"/>
      <c r="BB182" s="213"/>
      <c r="BC182" s="213"/>
      <c r="BD182" s="213"/>
      <c r="BE182" s="213"/>
      <c r="BF182" s="213"/>
      <c r="BG182" s="213"/>
      <c r="BH182" s="213"/>
      <c r="BI182" s="213"/>
      <c r="BJ182" s="213"/>
      <c r="BK182" s="213"/>
      <c r="BL182" s="213"/>
      <c r="BM182" s="213"/>
      <c r="BN182" s="213"/>
      <c r="BO182" s="213"/>
      <c r="BP182" s="213"/>
      <c r="BQ182" s="213"/>
      <c r="BR182" s="326"/>
      <c r="BS182" s="213"/>
      <c r="BT182" s="213"/>
      <c r="BU182" s="213"/>
      <c r="BV182" s="213"/>
      <c r="BW182" s="213"/>
      <c r="BX182" s="213"/>
      <c r="BY182" s="213"/>
      <c r="BZ182" s="213"/>
      <c r="CA182" s="213"/>
      <c r="CB182" s="213"/>
      <c r="CC182" s="213"/>
      <c r="CD182" s="213"/>
      <c r="CE182" s="213"/>
      <c r="CF182" s="213"/>
      <c r="CG182" s="213"/>
      <c r="CH182" s="213"/>
      <c r="CI182" s="213"/>
      <c r="CJ182" s="213"/>
      <c r="CK182" s="213"/>
      <c r="CL182" s="213"/>
      <c r="CM182" s="213"/>
      <c r="CN182" s="213"/>
      <c r="CO182" s="213"/>
      <c r="CP182" s="213"/>
    </row>
    <row r="183" ht="15.75" customHeight="1">
      <c r="A183" s="213"/>
      <c r="B183" s="213"/>
      <c r="C183" s="213"/>
      <c r="D183" s="213"/>
      <c r="E183" s="213"/>
      <c r="F183" s="213"/>
      <c r="G183" s="213"/>
      <c r="H183" s="213"/>
      <c r="I183" s="213"/>
      <c r="J183" s="213"/>
      <c r="K183" s="213"/>
      <c r="L183" s="213"/>
      <c r="M183" s="213"/>
      <c r="N183" s="213"/>
      <c r="O183" s="213"/>
      <c r="P183" s="213"/>
      <c r="Q183" s="213"/>
      <c r="R183" s="213"/>
      <c r="S183" s="213"/>
      <c r="T183" s="213"/>
      <c r="U183" s="213"/>
      <c r="V183" s="213"/>
      <c r="W183" s="238"/>
      <c r="X183" s="213"/>
      <c r="Y183" s="213"/>
      <c r="Z183" s="213"/>
      <c r="AA183" s="213"/>
      <c r="AB183" s="213"/>
      <c r="AC183" s="213"/>
      <c r="AD183" s="213"/>
      <c r="AE183" s="213"/>
      <c r="AF183" s="213"/>
      <c r="AG183" s="213"/>
      <c r="AH183" s="213"/>
      <c r="AI183" s="213"/>
      <c r="AJ183" s="213"/>
      <c r="AK183" s="213"/>
      <c r="AL183" s="213"/>
      <c r="AM183" s="213"/>
      <c r="AN183" s="213"/>
      <c r="AO183" s="213"/>
      <c r="AP183" s="213"/>
      <c r="AQ183" s="213"/>
      <c r="AR183" s="213"/>
      <c r="AS183" s="213"/>
      <c r="AT183" s="213"/>
      <c r="AU183" s="213"/>
      <c r="AV183" s="213"/>
      <c r="AW183" s="213"/>
      <c r="AX183" s="213"/>
      <c r="AY183" s="213"/>
      <c r="AZ183" s="213"/>
      <c r="BA183" s="213"/>
      <c r="BB183" s="213"/>
      <c r="BC183" s="213"/>
      <c r="BD183" s="213"/>
      <c r="BE183" s="213"/>
      <c r="BF183" s="213"/>
      <c r="BG183" s="213"/>
      <c r="BH183" s="213"/>
      <c r="BI183" s="213"/>
      <c r="BJ183" s="213"/>
      <c r="BK183" s="213"/>
      <c r="BL183" s="213"/>
      <c r="BM183" s="213"/>
      <c r="BN183" s="213"/>
      <c r="BO183" s="213"/>
      <c r="BP183" s="213"/>
      <c r="BQ183" s="213"/>
      <c r="BR183" s="326"/>
      <c r="BS183" s="213"/>
      <c r="BT183" s="213"/>
      <c r="BU183" s="213"/>
      <c r="BV183" s="213"/>
      <c r="BW183" s="213"/>
      <c r="BX183" s="213"/>
      <c r="BY183" s="213"/>
      <c r="BZ183" s="213"/>
      <c r="CA183" s="213"/>
      <c r="CB183" s="213"/>
      <c r="CC183" s="213"/>
      <c r="CD183" s="213"/>
      <c r="CE183" s="213"/>
      <c r="CF183" s="213"/>
      <c r="CG183" s="213"/>
      <c r="CH183" s="213"/>
      <c r="CI183" s="213"/>
      <c r="CJ183" s="213"/>
      <c r="CK183" s="213"/>
      <c r="CL183" s="213"/>
      <c r="CM183" s="213"/>
      <c r="CN183" s="213"/>
      <c r="CO183" s="213"/>
      <c r="CP183" s="213"/>
    </row>
    <row r="184" ht="15.75" customHeight="1">
      <c r="A184" s="213"/>
      <c r="B184" s="213"/>
      <c r="C184" s="213"/>
      <c r="D184" s="213"/>
      <c r="E184" s="213"/>
      <c r="F184" s="213"/>
      <c r="G184" s="213"/>
      <c r="H184" s="213"/>
      <c r="I184" s="213"/>
      <c r="J184" s="213"/>
      <c r="K184" s="213"/>
      <c r="L184" s="213"/>
      <c r="M184" s="213"/>
      <c r="N184" s="213"/>
      <c r="O184" s="213"/>
      <c r="P184" s="213"/>
      <c r="Q184" s="213"/>
      <c r="R184" s="213"/>
      <c r="S184" s="213"/>
      <c r="T184" s="213"/>
      <c r="U184" s="213"/>
      <c r="V184" s="213"/>
      <c r="W184" s="238"/>
      <c r="X184" s="213"/>
      <c r="Y184" s="213"/>
      <c r="Z184" s="213"/>
      <c r="AA184" s="213"/>
      <c r="AB184" s="213"/>
      <c r="AC184" s="213"/>
      <c r="AD184" s="213"/>
      <c r="AE184" s="213"/>
      <c r="AF184" s="213"/>
      <c r="AG184" s="213"/>
      <c r="AH184" s="213"/>
      <c r="AI184" s="213"/>
      <c r="AJ184" s="213"/>
      <c r="AK184" s="213"/>
      <c r="AL184" s="213"/>
      <c r="AM184" s="213"/>
      <c r="AN184" s="213"/>
      <c r="AO184" s="213"/>
      <c r="AP184" s="213"/>
      <c r="AQ184" s="213"/>
      <c r="AR184" s="213"/>
      <c r="AS184" s="213"/>
      <c r="AT184" s="213"/>
      <c r="AU184" s="213"/>
      <c r="AV184" s="213"/>
      <c r="AW184" s="213"/>
      <c r="AX184" s="213"/>
      <c r="AY184" s="213"/>
      <c r="AZ184" s="213"/>
      <c r="BA184" s="213"/>
      <c r="BB184" s="213"/>
      <c r="BC184" s="213"/>
      <c r="BD184" s="213"/>
      <c r="BE184" s="213"/>
      <c r="BF184" s="213"/>
      <c r="BG184" s="213"/>
      <c r="BH184" s="213"/>
      <c r="BI184" s="213"/>
      <c r="BJ184" s="213"/>
      <c r="BK184" s="213"/>
      <c r="BL184" s="213"/>
      <c r="BM184" s="213"/>
      <c r="BN184" s="213"/>
      <c r="BO184" s="213"/>
      <c r="BP184" s="213"/>
      <c r="BQ184" s="213"/>
      <c r="BR184" s="326"/>
      <c r="BS184" s="213"/>
      <c r="BT184" s="213"/>
      <c r="BU184" s="213"/>
      <c r="BV184" s="213"/>
      <c r="BW184" s="213"/>
      <c r="BX184" s="213"/>
      <c r="BY184" s="213"/>
      <c r="BZ184" s="213"/>
      <c r="CA184" s="213"/>
      <c r="CB184" s="213"/>
      <c r="CC184" s="213"/>
      <c r="CD184" s="213"/>
      <c r="CE184" s="213"/>
      <c r="CF184" s="213"/>
      <c r="CG184" s="213"/>
      <c r="CH184" s="213"/>
      <c r="CI184" s="213"/>
      <c r="CJ184" s="213"/>
      <c r="CK184" s="213"/>
      <c r="CL184" s="213"/>
      <c r="CM184" s="213"/>
      <c r="CN184" s="213"/>
      <c r="CO184" s="213"/>
      <c r="CP184" s="213"/>
    </row>
    <row r="185" ht="15.75" customHeight="1">
      <c r="A185" s="213"/>
      <c r="B185" s="213"/>
      <c r="C185" s="213"/>
      <c r="D185" s="213"/>
      <c r="E185" s="213"/>
      <c r="F185" s="213"/>
      <c r="G185" s="213"/>
      <c r="H185" s="213"/>
      <c r="I185" s="213"/>
      <c r="J185" s="213"/>
      <c r="K185" s="213"/>
      <c r="L185" s="213"/>
      <c r="M185" s="213"/>
      <c r="N185" s="213"/>
      <c r="O185" s="213"/>
      <c r="P185" s="213"/>
      <c r="Q185" s="213"/>
      <c r="R185" s="213"/>
      <c r="S185" s="213"/>
      <c r="T185" s="213"/>
      <c r="U185" s="213"/>
      <c r="V185" s="213"/>
      <c r="W185" s="238"/>
      <c r="X185" s="213"/>
      <c r="Y185" s="213"/>
      <c r="Z185" s="213"/>
      <c r="AA185" s="213"/>
      <c r="AB185" s="213"/>
      <c r="AC185" s="213"/>
      <c r="AD185" s="213"/>
      <c r="AE185" s="213"/>
      <c r="AF185" s="213"/>
      <c r="AG185" s="213"/>
      <c r="AH185" s="213"/>
      <c r="AI185" s="213"/>
      <c r="AJ185" s="213"/>
      <c r="AK185" s="213"/>
      <c r="AL185" s="213"/>
      <c r="AM185" s="213"/>
      <c r="AN185" s="213"/>
      <c r="AO185" s="213"/>
      <c r="AP185" s="213"/>
      <c r="AQ185" s="213"/>
      <c r="AR185" s="213"/>
      <c r="AS185" s="213"/>
      <c r="AT185" s="213"/>
      <c r="AU185" s="213"/>
      <c r="AV185" s="213"/>
      <c r="AW185" s="213"/>
      <c r="AX185" s="213"/>
      <c r="AY185" s="213"/>
      <c r="AZ185" s="213"/>
      <c r="BA185" s="213"/>
      <c r="BB185" s="213"/>
      <c r="BC185" s="213"/>
      <c r="BD185" s="213"/>
      <c r="BE185" s="213"/>
      <c r="BF185" s="213"/>
      <c r="BG185" s="213"/>
      <c r="BH185" s="213"/>
      <c r="BI185" s="213"/>
      <c r="BJ185" s="213"/>
      <c r="BK185" s="213"/>
      <c r="BL185" s="213"/>
      <c r="BM185" s="213"/>
      <c r="BN185" s="213"/>
      <c r="BO185" s="213"/>
      <c r="BP185" s="213"/>
      <c r="BQ185" s="213"/>
      <c r="BR185" s="326"/>
      <c r="BS185" s="213"/>
      <c r="BT185" s="213"/>
      <c r="BU185" s="213"/>
      <c r="BV185" s="213"/>
      <c r="BW185" s="213"/>
      <c r="BX185" s="213"/>
      <c r="BY185" s="213"/>
      <c r="BZ185" s="213"/>
      <c r="CA185" s="213"/>
      <c r="CB185" s="213"/>
      <c r="CC185" s="213"/>
      <c r="CD185" s="213"/>
      <c r="CE185" s="213"/>
      <c r="CF185" s="213"/>
      <c r="CG185" s="213"/>
      <c r="CH185" s="213"/>
      <c r="CI185" s="213"/>
      <c r="CJ185" s="213"/>
      <c r="CK185" s="213"/>
      <c r="CL185" s="213"/>
      <c r="CM185" s="213"/>
      <c r="CN185" s="213"/>
      <c r="CO185" s="213"/>
      <c r="CP185" s="213"/>
    </row>
    <row r="186" ht="15.75" customHeight="1">
      <c r="A186" s="213"/>
      <c r="B186" s="213"/>
      <c r="C186" s="213"/>
      <c r="D186" s="213"/>
      <c r="E186" s="213"/>
      <c r="F186" s="213"/>
      <c r="G186" s="213"/>
      <c r="H186" s="213"/>
      <c r="I186" s="213"/>
      <c r="J186" s="213"/>
      <c r="K186" s="213"/>
      <c r="L186" s="213"/>
      <c r="M186" s="213"/>
      <c r="N186" s="213"/>
      <c r="O186" s="213"/>
      <c r="P186" s="213"/>
      <c r="Q186" s="213"/>
      <c r="R186" s="213"/>
      <c r="S186" s="213"/>
      <c r="T186" s="213"/>
      <c r="U186" s="213"/>
      <c r="V186" s="213"/>
      <c r="W186" s="238"/>
      <c r="X186" s="213"/>
      <c r="Y186" s="213"/>
      <c r="Z186" s="213"/>
      <c r="AA186" s="213"/>
      <c r="AB186" s="213"/>
      <c r="AC186" s="213"/>
      <c r="AD186" s="213"/>
      <c r="AE186" s="213"/>
      <c r="AF186" s="213"/>
      <c r="AG186" s="213"/>
      <c r="AH186" s="213"/>
      <c r="AI186" s="213"/>
      <c r="AJ186" s="213"/>
      <c r="AK186" s="213"/>
      <c r="AL186" s="213"/>
      <c r="AM186" s="213"/>
      <c r="AN186" s="213"/>
      <c r="AO186" s="213"/>
      <c r="AP186" s="213"/>
      <c r="AQ186" s="213"/>
      <c r="AR186" s="213"/>
      <c r="AS186" s="213"/>
      <c r="AT186" s="213"/>
      <c r="AU186" s="213"/>
      <c r="AV186" s="213"/>
      <c r="AW186" s="213"/>
      <c r="AX186" s="213"/>
      <c r="AY186" s="213"/>
      <c r="AZ186" s="213"/>
      <c r="BA186" s="213"/>
      <c r="BB186" s="213"/>
      <c r="BC186" s="213"/>
      <c r="BD186" s="213"/>
      <c r="BE186" s="213"/>
      <c r="BF186" s="213"/>
      <c r="BG186" s="213"/>
      <c r="BH186" s="213"/>
      <c r="BI186" s="213"/>
      <c r="BJ186" s="213"/>
      <c r="BK186" s="213"/>
      <c r="BL186" s="213"/>
      <c r="BM186" s="213"/>
      <c r="BN186" s="213"/>
      <c r="BO186" s="213"/>
      <c r="BP186" s="213"/>
      <c r="BQ186" s="213"/>
      <c r="BR186" s="326"/>
      <c r="BS186" s="213"/>
      <c r="BT186" s="213"/>
      <c r="BU186" s="213"/>
      <c r="BV186" s="213"/>
      <c r="BW186" s="213"/>
      <c r="BX186" s="213"/>
      <c r="BY186" s="213"/>
      <c r="BZ186" s="213"/>
      <c r="CA186" s="213"/>
      <c r="CB186" s="213"/>
      <c r="CC186" s="213"/>
      <c r="CD186" s="213"/>
      <c r="CE186" s="213"/>
      <c r="CF186" s="213"/>
      <c r="CG186" s="213"/>
      <c r="CH186" s="213"/>
      <c r="CI186" s="213"/>
      <c r="CJ186" s="213"/>
      <c r="CK186" s="213"/>
      <c r="CL186" s="213"/>
      <c r="CM186" s="213"/>
      <c r="CN186" s="213"/>
      <c r="CO186" s="213"/>
      <c r="CP186" s="213"/>
    </row>
    <row r="187" ht="15.75" customHeight="1">
      <c r="A187" s="213"/>
      <c r="B187" s="213"/>
      <c r="C187" s="213"/>
      <c r="D187" s="213"/>
      <c r="E187" s="213"/>
      <c r="F187" s="213"/>
      <c r="G187" s="213"/>
      <c r="H187" s="213"/>
      <c r="I187" s="213"/>
      <c r="J187" s="213"/>
      <c r="K187" s="213"/>
      <c r="L187" s="213"/>
      <c r="M187" s="213"/>
      <c r="N187" s="213"/>
      <c r="O187" s="213"/>
      <c r="P187" s="213"/>
      <c r="Q187" s="213"/>
      <c r="R187" s="213"/>
      <c r="S187" s="213"/>
      <c r="T187" s="213"/>
      <c r="U187" s="213"/>
      <c r="V187" s="213"/>
      <c r="W187" s="238"/>
      <c r="X187" s="213"/>
      <c r="Y187" s="213"/>
      <c r="Z187" s="213"/>
      <c r="AA187" s="213"/>
      <c r="AB187" s="213"/>
      <c r="AC187" s="213"/>
      <c r="AD187" s="213"/>
      <c r="AE187" s="213"/>
      <c r="AF187" s="213"/>
      <c r="AG187" s="213"/>
      <c r="AH187" s="213"/>
      <c r="AI187" s="213"/>
      <c r="AJ187" s="213"/>
      <c r="AK187" s="213"/>
      <c r="AL187" s="213"/>
      <c r="AM187" s="213"/>
      <c r="AN187" s="213"/>
      <c r="AO187" s="213"/>
      <c r="AP187" s="213"/>
      <c r="AQ187" s="213"/>
      <c r="AR187" s="213"/>
      <c r="AS187" s="213"/>
      <c r="AT187" s="213"/>
      <c r="AU187" s="213"/>
      <c r="AV187" s="213"/>
      <c r="AW187" s="213"/>
      <c r="AX187" s="213"/>
      <c r="AY187" s="213"/>
      <c r="AZ187" s="213"/>
      <c r="BA187" s="213"/>
      <c r="BB187" s="213"/>
      <c r="BC187" s="213"/>
      <c r="BD187" s="213"/>
      <c r="BE187" s="213"/>
      <c r="BF187" s="213"/>
      <c r="BG187" s="213"/>
      <c r="BH187" s="213"/>
      <c r="BI187" s="213"/>
      <c r="BJ187" s="213"/>
      <c r="BK187" s="213"/>
      <c r="BL187" s="213"/>
      <c r="BM187" s="213"/>
      <c r="BN187" s="213"/>
      <c r="BO187" s="213"/>
      <c r="BP187" s="213"/>
      <c r="BQ187" s="213"/>
      <c r="BR187" s="326"/>
      <c r="BS187" s="213"/>
      <c r="BT187" s="213"/>
      <c r="BU187" s="213"/>
      <c r="BV187" s="213"/>
      <c r="BW187" s="213"/>
      <c r="BX187" s="213"/>
      <c r="BY187" s="213"/>
      <c r="BZ187" s="213"/>
      <c r="CA187" s="213"/>
      <c r="CB187" s="213"/>
      <c r="CC187" s="213"/>
      <c r="CD187" s="213"/>
      <c r="CE187" s="213"/>
      <c r="CF187" s="213"/>
      <c r="CG187" s="213"/>
      <c r="CH187" s="213"/>
      <c r="CI187" s="213"/>
      <c r="CJ187" s="213"/>
      <c r="CK187" s="213"/>
      <c r="CL187" s="213"/>
      <c r="CM187" s="213"/>
      <c r="CN187" s="213"/>
      <c r="CO187" s="213"/>
      <c r="CP187" s="213"/>
    </row>
    <row r="188" ht="15.75" customHeight="1">
      <c r="A188" s="213"/>
      <c r="B188" s="213"/>
      <c r="C188" s="213"/>
      <c r="D188" s="213"/>
      <c r="E188" s="213"/>
      <c r="F188" s="213"/>
      <c r="G188" s="213"/>
      <c r="H188" s="213"/>
      <c r="I188" s="213"/>
      <c r="J188" s="213"/>
      <c r="K188" s="213"/>
      <c r="L188" s="213"/>
      <c r="M188" s="213"/>
      <c r="N188" s="213"/>
      <c r="O188" s="213"/>
      <c r="P188" s="213"/>
      <c r="Q188" s="213"/>
      <c r="R188" s="213"/>
      <c r="S188" s="213"/>
      <c r="T188" s="213"/>
      <c r="U188" s="213"/>
      <c r="V188" s="213"/>
      <c r="W188" s="238"/>
      <c r="X188" s="213"/>
      <c r="Y188" s="213"/>
      <c r="Z188" s="213"/>
      <c r="AA188" s="213"/>
      <c r="AB188" s="213"/>
      <c r="AC188" s="213"/>
      <c r="AD188" s="213"/>
      <c r="AE188" s="213"/>
      <c r="AF188" s="213"/>
      <c r="AG188" s="213"/>
      <c r="AH188" s="213"/>
      <c r="AI188" s="213"/>
      <c r="AJ188" s="213"/>
      <c r="AK188" s="213"/>
      <c r="AL188" s="213"/>
      <c r="AM188" s="213"/>
      <c r="AN188" s="213"/>
      <c r="AO188" s="213"/>
      <c r="AP188" s="213"/>
      <c r="AQ188" s="213"/>
      <c r="AR188" s="213"/>
      <c r="AS188" s="213"/>
      <c r="AT188" s="213"/>
      <c r="AU188" s="213"/>
      <c r="AV188" s="213"/>
      <c r="AW188" s="213"/>
      <c r="AX188" s="213"/>
      <c r="AY188" s="213"/>
      <c r="AZ188" s="213"/>
      <c r="BA188" s="213"/>
      <c r="BB188" s="213"/>
      <c r="BC188" s="213"/>
      <c r="BD188" s="213"/>
      <c r="BE188" s="213"/>
      <c r="BF188" s="213"/>
      <c r="BG188" s="213"/>
      <c r="BH188" s="213"/>
      <c r="BI188" s="213"/>
      <c r="BJ188" s="213"/>
      <c r="BK188" s="213"/>
      <c r="BL188" s="213"/>
      <c r="BM188" s="213"/>
      <c r="BN188" s="213"/>
      <c r="BO188" s="213"/>
      <c r="BP188" s="213"/>
      <c r="BQ188" s="213"/>
      <c r="BR188" s="326"/>
      <c r="BS188" s="213"/>
      <c r="BT188" s="213"/>
      <c r="BU188" s="213"/>
      <c r="BV188" s="213"/>
      <c r="BW188" s="213"/>
      <c r="BX188" s="213"/>
      <c r="BY188" s="213"/>
      <c r="BZ188" s="213"/>
      <c r="CA188" s="213"/>
      <c r="CB188" s="213"/>
      <c r="CC188" s="213"/>
      <c r="CD188" s="213"/>
      <c r="CE188" s="213"/>
      <c r="CF188" s="213"/>
      <c r="CG188" s="213"/>
      <c r="CH188" s="213"/>
      <c r="CI188" s="213"/>
      <c r="CJ188" s="213"/>
      <c r="CK188" s="213"/>
      <c r="CL188" s="213"/>
      <c r="CM188" s="213"/>
      <c r="CN188" s="213"/>
      <c r="CO188" s="213"/>
      <c r="CP188" s="213"/>
    </row>
    <row r="189" ht="15.75" customHeight="1">
      <c r="A189" s="213"/>
      <c r="B189" s="213"/>
      <c r="C189" s="213"/>
      <c r="D189" s="213"/>
      <c r="E189" s="213"/>
      <c r="F189" s="213"/>
      <c r="G189" s="213"/>
      <c r="H189" s="213"/>
      <c r="I189" s="213"/>
      <c r="J189" s="213"/>
      <c r="K189" s="213"/>
      <c r="L189" s="213"/>
      <c r="M189" s="213"/>
      <c r="N189" s="213"/>
      <c r="O189" s="213"/>
      <c r="P189" s="213"/>
      <c r="Q189" s="213"/>
      <c r="R189" s="213"/>
      <c r="S189" s="213"/>
      <c r="T189" s="213"/>
      <c r="U189" s="213"/>
      <c r="V189" s="213"/>
      <c r="W189" s="238"/>
      <c r="X189" s="213"/>
      <c r="Y189" s="213"/>
      <c r="Z189" s="213"/>
      <c r="AA189" s="213"/>
      <c r="AB189" s="213"/>
      <c r="AC189" s="213"/>
      <c r="AD189" s="213"/>
      <c r="AE189" s="213"/>
      <c r="AF189" s="213"/>
      <c r="AG189" s="213"/>
      <c r="AH189" s="213"/>
      <c r="AI189" s="213"/>
      <c r="AJ189" s="213"/>
      <c r="AK189" s="213"/>
      <c r="AL189" s="213"/>
      <c r="AM189" s="213"/>
      <c r="AN189" s="213"/>
      <c r="AO189" s="213"/>
      <c r="AP189" s="213"/>
      <c r="AQ189" s="213"/>
      <c r="AR189" s="213"/>
      <c r="AS189" s="213"/>
      <c r="AT189" s="213"/>
      <c r="AU189" s="213"/>
      <c r="AV189" s="213"/>
      <c r="AW189" s="213"/>
      <c r="AX189" s="213"/>
      <c r="AY189" s="213"/>
      <c r="AZ189" s="213"/>
      <c r="BA189" s="213"/>
      <c r="BB189" s="213"/>
      <c r="BC189" s="213"/>
      <c r="BD189" s="213"/>
      <c r="BE189" s="213"/>
      <c r="BF189" s="213"/>
      <c r="BG189" s="213"/>
      <c r="BH189" s="213"/>
      <c r="BI189" s="213"/>
      <c r="BJ189" s="213"/>
      <c r="BK189" s="213"/>
      <c r="BL189" s="213"/>
      <c r="BM189" s="213"/>
      <c r="BN189" s="213"/>
      <c r="BO189" s="213"/>
      <c r="BP189" s="213"/>
      <c r="BQ189" s="213"/>
      <c r="BR189" s="326"/>
      <c r="BS189" s="213"/>
      <c r="BT189" s="213"/>
      <c r="BU189" s="213"/>
      <c r="BV189" s="213"/>
      <c r="BW189" s="213"/>
      <c r="BX189" s="213"/>
      <c r="BY189" s="213"/>
      <c r="BZ189" s="213"/>
      <c r="CA189" s="213"/>
      <c r="CB189" s="213"/>
      <c r="CC189" s="213"/>
      <c r="CD189" s="213"/>
      <c r="CE189" s="213"/>
      <c r="CF189" s="213"/>
      <c r="CG189" s="213"/>
      <c r="CH189" s="213"/>
      <c r="CI189" s="213"/>
      <c r="CJ189" s="213"/>
      <c r="CK189" s="213"/>
      <c r="CL189" s="213"/>
      <c r="CM189" s="213"/>
      <c r="CN189" s="213"/>
      <c r="CO189" s="213"/>
      <c r="CP189" s="213"/>
    </row>
    <row r="190" ht="15.75" customHeight="1">
      <c r="A190" s="213"/>
      <c r="B190" s="213"/>
      <c r="C190" s="213"/>
      <c r="D190" s="213"/>
      <c r="E190" s="213"/>
      <c r="F190" s="213"/>
      <c r="G190" s="213"/>
      <c r="H190" s="213"/>
      <c r="I190" s="213"/>
      <c r="J190" s="213"/>
      <c r="K190" s="213"/>
      <c r="L190" s="213"/>
      <c r="M190" s="213"/>
      <c r="N190" s="213"/>
      <c r="O190" s="213"/>
      <c r="P190" s="213"/>
      <c r="Q190" s="213"/>
      <c r="R190" s="213"/>
      <c r="S190" s="213"/>
      <c r="T190" s="213"/>
      <c r="U190" s="213"/>
      <c r="V190" s="213"/>
      <c r="W190" s="238"/>
      <c r="X190" s="213"/>
      <c r="Y190" s="213"/>
      <c r="Z190" s="213"/>
      <c r="AA190" s="213"/>
      <c r="AB190" s="213"/>
      <c r="AC190" s="213"/>
      <c r="AD190" s="213"/>
      <c r="AE190" s="213"/>
      <c r="AF190" s="213"/>
      <c r="AG190" s="213"/>
      <c r="AH190" s="213"/>
      <c r="AI190" s="213"/>
      <c r="AJ190" s="213"/>
      <c r="AK190" s="213"/>
      <c r="AL190" s="213"/>
      <c r="AM190" s="213"/>
      <c r="AN190" s="213"/>
      <c r="AO190" s="213"/>
      <c r="AP190" s="213"/>
      <c r="AQ190" s="213"/>
      <c r="AR190" s="213"/>
      <c r="AS190" s="213"/>
      <c r="AT190" s="213"/>
      <c r="AU190" s="213"/>
      <c r="AV190" s="213"/>
      <c r="AW190" s="213"/>
      <c r="AX190" s="213"/>
      <c r="AY190" s="213"/>
      <c r="AZ190" s="213"/>
      <c r="BA190" s="213"/>
      <c r="BB190" s="213"/>
      <c r="BC190" s="213"/>
      <c r="BD190" s="213"/>
      <c r="BE190" s="213"/>
      <c r="BF190" s="213"/>
      <c r="BG190" s="213"/>
      <c r="BH190" s="213"/>
      <c r="BI190" s="213"/>
      <c r="BJ190" s="213"/>
      <c r="BK190" s="213"/>
      <c r="BL190" s="213"/>
      <c r="BM190" s="213"/>
      <c r="BN190" s="213"/>
      <c r="BO190" s="213"/>
      <c r="BP190" s="213"/>
      <c r="BQ190" s="213"/>
      <c r="BR190" s="326"/>
      <c r="BS190" s="213"/>
      <c r="BT190" s="213"/>
      <c r="BU190" s="213"/>
      <c r="BV190" s="213"/>
      <c r="BW190" s="213"/>
      <c r="BX190" s="213"/>
      <c r="BY190" s="213"/>
      <c r="BZ190" s="213"/>
      <c r="CA190" s="213"/>
      <c r="CB190" s="213"/>
      <c r="CC190" s="213"/>
      <c r="CD190" s="213"/>
      <c r="CE190" s="213"/>
      <c r="CF190" s="213"/>
      <c r="CG190" s="213"/>
      <c r="CH190" s="213"/>
      <c r="CI190" s="213"/>
      <c r="CJ190" s="213"/>
      <c r="CK190" s="213"/>
      <c r="CL190" s="213"/>
      <c r="CM190" s="213"/>
      <c r="CN190" s="213"/>
      <c r="CO190" s="213"/>
      <c r="CP190" s="213"/>
    </row>
    <row r="191" ht="15.75" customHeight="1">
      <c r="A191" s="213"/>
      <c r="B191" s="213"/>
      <c r="C191" s="213"/>
      <c r="D191" s="213"/>
      <c r="E191" s="213"/>
      <c r="F191" s="213"/>
      <c r="G191" s="213"/>
      <c r="H191" s="213"/>
      <c r="I191" s="213"/>
      <c r="J191" s="213"/>
      <c r="K191" s="213"/>
      <c r="L191" s="213"/>
      <c r="M191" s="213"/>
      <c r="N191" s="213"/>
      <c r="O191" s="213"/>
      <c r="P191" s="213"/>
      <c r="Q191" s="213"/>
      <c r="R191" s="213"/>
      <c r="S191" s="213"/>
      <c r="T191" s="213"/>
      <c r="U191" s="213"/>
      <c r="V191" s="213"/>
      <c r="W191" s="238"/>
      <c r="X191" s="213"/>
      <c r="Y191" s="213"/>
      <c r="Z191" s="213"/>
      <c r="AA191" s="213"/>
      <c r="AB191" s="213"/>
      <c r="AC191" s="213"/>
      <c r="AD191" s="213"/>
      <c r="AE191" s="213"/>
      <c r="AF191" s="213"/>
      <c r="AG191" s="213"/>
      <c r="AH191" s="213"/>
      <c r="AI191" s="213"/>
      <c r="AJ191" s="213"/>
      <c r="AK191" s="213"/>
      <c r="AL191" s="213"/>
      <c r="AM191" s="213"/>
      <c r="AN191" s="213"/>
      <c r="AO191" s="213"/>
      <c r="AP191" s="213"/>
      <c r="AQ191" s="213"/>
      <c r="AR191" s="213"/>
      <c r="AS191" s="213"/>
      <c r="AT191" s="213"/>
      <c r="AU191" s="213"/>
      <c r="AV191" s="213"/>
      <c r="AW191" s="213"/>
      <c r="AX191" s="213"/>
      <c r="AY191" s="213"/>
      <c r="AZ191" s="213"/>
      <c r="BA191" s="213"/>
      <c r="BB191" s="213"/>
      <c r="BC191" s="213"/>
      <c r="BD191" s="213"/>
      <c r="BE191" s="213"/>
      <c r="BF191" s="213"/>
      <c r="BG191" s="213"/>
      <c r="BH191" s="213"/>
      <c r="BI191" s="213"/>
      <c r="BJ191" s="213"/>
      <c r="BK191" s="213"/>
      <c r="BL191" s="213"/>
      <c r="BM191" s="213"/>
      <c r="BN191" s="213"/>
      <c r="BO191" s="213"/>
      <c r="BP191" s="213"/>
      <c r="BQ191" s="213"/>
      <c r="BR191" s="326"/>
      <c r="BS191" s="213"/>
      <c r="BT191" s="213"/>
      <c r="BU191" s="213"/>
      <c r="BV191" s="213"/>
      <c r="BW191" s="213"/>
      <c r="BX191" s="213"/>
      <c r="BY191" s="213"/>
      <c r="BZ191" s="213"/>
      <c r="CA191" s="213"/>
      <c r="CB191" s="213"/>
      <c r="CC191" s="213"/>
      <c r="CD191" s="213"/>
      <c r="CE191" s="213"/>
      <c r="CF191" s="213"/>
      <c r="CG191" s="213"/>
      <c r="CH191" s="213"/>
      <c r="CI191" s="213"/>
      <c r="CJ191" s="213"/>
      <c r="CK191" s="213"/>
      <c r="CL191" s="213"/>
      <c r="CM191" s="213"/>
      <c r="CN191" s="213"/>
      <c r="CO191" s="213"/>
      <c r="CP191" s="213"/>
    </row>
    <row r="192" ht="15.75" customHeight="1">
      <c r="A192" s="213"/>
      <c r="B192" s="213"/>
      <c r="C192" s="213"/>
      <c r="D192" s="213"/>
      <c r="E192" s="213"/>
      <c r="F192" s="213"/>
      <c r="G192" s="213"/>
      <c r="H192" s="213"/>
      <c r="I192" s="213"/>
      <c r="J192" s="213"/>
      <c r="K192" s="213"/>
      <c r="L192" s="213"/>
      <c r="M192" s="213"/>
      <c r="N192" s="213"/>
      <c r="O192" s="213"/>
      <c r="P192" s="213"/>
      <c r="Q192" s="213"/>
      <c r="R192" s="213"/>
      <c r="S192" s="213"/>
      <c r="T192" s="213"/>
      <c r="U192" s="213"/>
      <c r="V192" s="213"/>
      <c r="W192" s="238"/>
      <c r="X192" s="213"/>
      <c r="Y192" s="213"/>
      <c r="Z192" s="213"/>
      <c r="AA192" s="213"/>
      <c r="AB192" s="213"/>
      <c r="AC192" s="213"/>
      <c r="AD192" s="213"/>
      <c r="AE192" s="213"/>
      <c r="AF192" s="213"/>
      <c r="AG192" s="213"/>
      <c r="AH192" s="213"/>
      <c r="AI192" s="213"/>
      <c r="AJ192" s="213"/>
      <c r="AK192" s="213"/>
      <c r="AL192" s="213"/>
      <c r="AM192" s="213"/>
      <c r="AN192" s="213"/>
      <c r="AO192" s="213"/>
      <c r="AP192" s="213"/>
      <c r="AQ192" s="213"/>
      <c r="AR192" s="213"/>
      <c r="AS192" s="213"/>
      <c r="AT192" s="213"/>
      <c r="AU192" s="213"/>
      <c r="AV192" s="213"/>
      <c r="AW192" s="213"/>
      <c r="AX192" s="213"/>
      <c r="AY192" s="213"/>
      <c r="AZ192" s="213"/>
      <c r="BA192" s="213"/>
      <c r="BB192" s="213"/>
      <c r="BC192" s="213"/>
      <c r="BD192" s="213"/>
      <c r="BE192" s="213"/>
      <c r="BF192" s="213"/>
      <c r="BG192" s="213"/>
      <c r="BH192" s="213"/>
      <c r="BI192" s="213"/>
      <c r="BJ192" s="213"/>
      <c r="BK192" s="213"/>
      <c r="BL192" s="213"/>
      <c r="BM192" s="213"/>
      <c r="BN192" s="213"/>
      <c r="BO192" s="213"/>
      <c r="BP192" s="213"/>
      <c r="BQ192" s="213"/>
      <c r="BR192" s="326"/>
      <c r="BS192" s="213"/>
      <c r="BT192" s="213"/>
      <c r="BU192" s="213"/>
      <c r="BV192" s="213"/>
      <c r="BW192" s="213"/>
      <c r="BX192" s="213"/>
      <c r="BY192" s="213"/>
      <c r="BZ192" s="213"/>
      <c r="CA192" s="213"/>
      <c r="CB192" s="213"/>
      <c r="CC192" s="213"/>
      <c r="CD192" s="213"/>
      <c r="CE192" s="213"/>
      <c r="CF192" s="213"/>
      <c r="CG192" s="213"/>
      <c r="CH192" s="213"/>
      <c r="CI192" s="213"/>
      <c r="CJ192" s="213"/>
      <c r="CK192" s="213"/>
      <c r="CL192" s="213"/>
      <c r="CM192" s="213"/>
      <c r="CN192" s="213"/>
      <c r="CO192" s="213"/>
      <c r="CP192" s="213"/>
    </row>
    <row r="193" ht="15.75" customHeight="1">
      <c r="A193" s="213"/>
      <c r="B193" s="213"/>
      <c r="C193" s="213"/>
      <c r="D193" s="213"/>
      <c r="E193" s="213"/>
      <c r="F193" s="213"/>
      <c r="G193" s="213"/>
      <c r="H193" s="213"/>
      <c r="I193" s="213"/>
      <c r="J193" s="213"/>
      <c r="K193" s="213"/>
      <c r="L193" s="213"/>
      <c r="M193" s="213"/>
      <c r="N193" s="213"/>
      <c r="O193" s="213"/>
      <c r="P193" s="213"/>
      <c r="Q193" s="213"/>
      <c r="R193" s="213"/>
      <c r="S193" s="213"/>
      <c r="T193" s="213"/>
      <c r="U193" s="213"/>
      <c r="V193" s="213"/>
      <c r="W193" s="238"/>
      <c r="X193" s="213"/>
      <c r="Y193" s="213"/>
      <c r="Z193" s="213"/>
      <c r="AA193" s="213"/>
      <c r="AB193" s="213"/>
      <c r="AC193" s="213"/>
      <c r="AD193" s="213"/>
      <c r="AE193" s="213"/>
      <c r="AF193" s="213"/>
      <c r="AG193" s="213"/>
      <c r="AH193" s="213"/>
      <c r="AI193" s="213"/>
      <c r="AJ193" s="213"/>
      <c r="AK193" s="213"/>
      <c r="AL193" s="213"/>
      <c r="AM193" s="213"/>
      <c r="AN193" s="213"/>
      <c r="AO193" s="213"/>
      <c r="AP193" s="213"/>
      <c r="AQ193" s="213"/>
      <c r="AR193" s="213"/>
      <c r="AS193" s="213"/>
      <c r="AT193" s="213"/>
      <c r="AU193" s="213"/>
      <c r="AV193" s="213"/>
      <c r="AW193" s="213"/>
      <c r="AX193" s="213"/>
      <c r="AY193" s="213"/>
      <c r="AZ193" s="213"/>
      <c r="BA193" s="213"/>
      <c r="BB193" s="213"/>
      <c r="BC193" s="213"/>
      <c r="BD193" s="213"/>
      <c r="BE193" s="213"/>
      <c r="BF193" s="213"/>
      <c r="BG193" s="213"/>
      <c r="BH193" s="213"/>
      <c r="BI193" s="213"/>
      <c r="BJ193" s="213"/>
      <c r="BK193" s="213"/>
      <c r="BL193" s="213"/>
      <c r="BM193" s="213"/>
      <c r="BN193" s="213"/>
      <c r="BO193" s="213"/>
      <c r="BP193" s="213"/>
      <c r="BQ193" s="213"/>
      <c r="BR193" s="326"/>
      <c r="BS193" s="213"/>
      <c r="BT193" s="213"/>
      <c r="BU193" s="213"/>
      <c r="BV193" s="213"/>
      <c r="BW193" s="213"/>
      <c r="BX193" s="213"/>
      <c r="BY193" s="213"/>
      <c r="BZ193" s="213"/>
      <c r="CA193" s="213"/>
      <c r="CB193" s="213"/>
      <c r="CC193" s="213"/>
      <c r="CD193" s="213"/>
      <c r="CE193" s="213"/>
      <c r="CF193" s="213"/>
      <c r="CG193" s="213"/>
      <c r="CH193" s="213"/>
      <c r="CI193" s="213"/>
      <c r="CJ193" s="213"/>
      <c r="CK193" s="213"/>
      <c r="CL193" s="213"/>
      <c r="CM193" s="213"/>
      <c r="CN193" s="213"/>
      <c r="CO193" s="213"/>
      <c r="CP193" s="213"/>
    </row>
    <row r="194" ht="15.75" customHeight="1">
      <c r="A194" s="213"/>
      <c r="B194" s="213"/>
      <c r="C194" s="213"/>
      <c r="D194" s="213"/>
      <c r="E194" s="213"/>
      <c r="F194" s="213"/>
      <c r="G194" s="213"/>
      <c r="H194" s="213"/>
      <c r="I194" s="213"/>
      <c r="J194" s="213"/>
      <c r="K194" s="213"/>
      <c r="L194" s="213"/>
      <c r="M194" s="213"/>
      <c r="N194" s="213"/>
      <c r="O194" s="213"/>
      <c r="P194" s="213"/>
      <c r="Q194" s="213"/>
      <c r="R194" s="213"/>
      <c r="S194" s="213"/>
      <c r="T194" s="213"/>
      <c r="U194" s="213"/>
      <c r="V194" s="213"/>
      <c r="W194" s="238"/>
      <c r="X194" s="213"/>
      <c r="Y194" s="213"/>
      <c r="Z194" s="213"/>
      <c r="AA194" s="213"/>
      <c r="AB194" s="213"/>
      <c r="AC194" s="213"/>
      <c r="AD194" s="213"/>
      <c r="AE194" s="213"/>
      <c r="AF194" s="213"/>
      <c r="AG194" s="213"/>
      <c r="AH194" s="213"/>
      <c r="AI194" s="213"/>
      <c r="AJ194" s="213"/>
      <c r="AK194" s="213"/>
      <c r="AL194" s="213"/>
      <c r="AM194" s="213"/>
      <c r="AN194" s="213"/>
      <c r="AO194" s="213"/>
      <c r="AP194" s="213"/>
      <c r="AQ194" s="213"/>
      <c r="AR194" s="213"/>
      <c r="AS194" s="213"/>
      <c r="AT194" s="213"/>
      <c r="AU194" s="213"/>
      <c r="AV194" s="213"/>
      <c r="AW194" s="213"/>
      <c r="AX194" s="213"/>
      <c r="AY194" s="213"/>
      <c r="AZ194" s="213"/>
      <c r="BA194" s="213"/>
      <c r="BB194" s="213"/>
      <c r="BC194" s="213"/>
      <c r="BD194" s="213"/>
      <c r="BE194" s="213"/>
      <c r="BF194" s="213"/>
      <c r="BG194" s="213"/>
      <c r="BH194" s="213"/>
      <c r="BI194" s="213"/>
      <c r="BJ194" s="213"/>
      <c r="BK194" s="213"/>
      <c r="BL194" s="213"/>
      <c r="BM194" s="213"/>
      <c r="BN194" s="213"/>
      <c r="BO194" s="213"/>
      <c r="BP194" s="213"/>
      <c r="BQ194" s="213"/>
      <c r="BR194" s="326"/>
      <c r="BS194" s="213"/>
      <c r="BT194" s="213"/>
      <c r="BU194" s="213"/>
      <c r="BV194" s="213"/>
      <c r="BW194" s="213"/>
      <c r="BX194" s="213"/>
      <c r="BY194" s="213"/>
      <c r="BZ194" s="213"/>
      <c r="CA194" s="213"/>
      <c r="CB194" s="213"/>
      <c r="CC194" s="213"/>
      <c r="CD194" s="213"/>
      <c r="CE194" s="213"/>
      <c r="CF194" s="213"/>
      <c r="CG194" s="213"/>
      <c r="CH194" s="213"/>
      <c r="CI194" s="213"/>
      <c r="CJ194" s="213"/>
      <c r="CK194" s="213"/>
      <c r="CL194" s="213"/>
      <c r="CM194" s="213"/>
      <c r="CN194" s="213"/>
      <c r="CO194" s="213"/>
      <c r="CP194" s="213"/>
    </row>
    <row r="195" ht="15.75" customHeight="1">
      <c r="A195" s="213"/>
      <c r="B195" s="213"/>
      <c r="C195" s="213"/>
      <c r="D195" s="213"/>
      <c r="E195" s="213"/>
      <c r="F195" s="213"/>
      <c r="G195" s="213"/>
      <c r="H195" s="213"/>
      <c r="I195" s="213"/>
      <c r="J195" s="213"/>
      <c r="K195" s="213"/>
      <c r="L195" s="213"/>
      <c r="M195" s="213"/>
      <c r="N195" s="213"/>
      <c r="O195" s="213"/>
      <c r="P195" s="213"/>
      <c r="Q195" s="213"/>
      <c r="R195" s="213"/>
      <c r="S195" s="213"/>
      <c r="T195" s="213"/>
      <c r="U195" s="213"/>
      <c r="V195" s="213"/>
      <c r="W195" s="238"/>
      <c r="X195" s="213"/>
      <c r="Y195" s="213"/>
      <c r="Z195" s="213"/>
      <c r="AA195" s="213"/>
      <c r="AB195" s="213"/>
      <c r="AC195" s="213"/>
      <c r="AD195" s="213"/>
      <c r="AE195" s="213"/>
      <c r="AF195" s="213"/>
      <c r="AG195" s="213"/>
      <c r="AH195" s="213"/>
      <c r="AI195" s="213"/>
      <c r="AJ195" s="213"/>
      <c r="AK195" s="213"/>
      <c r="AL195" s="213"/>
      <c r="AM195" s="213"/>
      <c r="AN195" s="213"/>
      <c r="AO195" s="213"/>
      <c r="AP195" s="213"/>
      <c r="AQ195" s="213"/>
      <c r="AR195" s="213"/>
      <c r="AS195" s="213"/>
      <c r="AT195" s="213"/>
      <c r="AU195" s="213"/>
      <c r="AV195" s="213"/>
      <c r="AW195" s="213"/>
      <c r="AX195" s="213"/>
      <c r="AY195" s="213"/>
      <c r="AZ195" s="213"/>
      <c r="BA195" s="213"/>
      <c r="BB195" s="213"/>
      <c r="BC195" s="213"/>
      <c r="BD195" s="213"/>
      <c r="BE195" s="213"/>
      <c r="BF195" s="213"/>
      <c r="BG195" s="213"/>
      <c r="BH195" s="213"/>
      <c r="BI195" s="213"/>
      <c r="BJ195" s="213"/>
      <c r="BK195" s="213"/>
      <c r="BL195" s="213"/>
      <c r="BM195" s="213"/>
      <c r="BN195" s="213"/>
      <c r="BO195" s="213"/>
      <c r="BP195" s="213"/>
      <c r="BQ195" s="213"/>
      <c r="BR195" s="326"/>
      <c r="BS195" s="213"/>
      <c r="BT195" s="213"/>
      <c r="BU195" s="213"/>
      <c r="BV195" s="213"/>
      <c r="BW195" s="213"/>
      <c r="BX195" s="213"/>
      <c r="BY195" s="213"/>
      <c r="BZ195" s="213"/>
      <c r="CA195" s="213"/>
      <c r="CB195" s="213"/>
      <c r="CC195" s="213"/>
      <c r="CD195" s="213"/>
      <c r="CE195" s="213"/>
      <c r="CF195" s="213"/>
      <c r="CG195" s="213"/>
      <c r="CH195" s="213"/>
      <c r="CI195" s="213"/>
      <c r="CJ195" s="213"/>
      <c r="CK195" s="213"/>
      <c r="CL195" s="213"/>
      <c r="CM195" s="213"/>
      <c r="CN195" s="213"/>
      <c r="CO195" s="213"/>
      <c r="CP195" s="213"/>
    </row>
    <row r="196" ht="15.75" customHeight="1">
      <c r="A196" s="213"/>
      <c r="B196" s="213"/>
      <c r="C196" s="213"/>
      <c r="D196" s="213"/>
      <c r="E196" s="213"/>
      <c r="F196" s="213"/>
      <c r="G196" s="213"/>
      <c r="H196" s="213"/>
      <c r="I196" s="213"/>
      <c r="J196" s="213"/>
      <c r="K196" s="213"/>
      <c r="L196" s="213"/>
      <c r="M196" s="213"/>
      <c r="N196" s="213"/>
      <c r="O196" s="213"/>
      <c r="P196" s="213"/>
      <c r="Q196" s="213"/>
      <c r="R196" s="213"/>
      <c r="S196" s="213"/>
      <c r="T196" s="213"/>
      <c r="U196" s="213"/>
      <c r="V196" s="213"/>
      <c r="W196" s="238"/>
      <c r="X196" s="213"/>
      <c r="Y196" s="213"/>
      <c r="Z196" s="213"/>
      <c r="AA196" s="213"/>
      <c r="AB196" s="213"/>
      <c r="AC196" s="213"/>
      <c r="AD196" s="213"/>
      <c r="AE196" s="213"/>
      <c r="AF196" s="213"/>
      <c r="AG196" s="213"/>
      <c r="AH196" s="213"/>
      <c r="AI196" s="213"/>
      <c r="AJ196" s="213"/>
      <c r="AK196" s="213"/>
      <c r="AL196" s="213"/>
      <c r="AM196" s="213"/>
      <c r="AN196" s="213"/>
      <c r="AO196" s="213"/>
      <c r="AP196" s="213"/>
      <c r="AQ196" s="213"/>
      <c r="AR196" s="213"/>
      <c r="AS196" s="213"/>
      <c r="AT196" s="213"/>
      <c r="AU196" s="213"/>
      <c r="AV196" s="213"/>
      <c r="AW196" s="213"/>
      <c r="AX196" s="213"/>
      <c r="AY196" s="213"/>
      <c r="AZ196" s="213"/>
      <c r="BA196" s="213"/>
      <c r="BB196" s="213"/>
      <c r="BC196" s="213"/>
      <c r="BD196" s="213"/>
      <c r="BE196" s="213"/>
      <c r="BF196" s="213"/>
      <c r="BG196" s="213"/>
      <c r="BH196" s="213"/>
      <c r="BI196" s="213"/>
      <c r="BJ196" s="213"/>
      <c r="BK196" s="213"/>
      <c r="BL196" s="213"/>
      <c r="BM196" s="213"/>
      <c r="BN196" s="213"/>
      <c r="BO196" s="213"/>
      <c r="BP196" s="213"/>
      <c r="BQ196" s="213"/>
      <c r="BR196" s="326"/>
      <c r="BS196" s="213"/>
      <c r="BT196" s="213"/>
      <c r="BU196" s="213"/>
      <c r="BV196" s="213"/>
      <c r="BW196" s="213"/>
      <c r="BX196" s="213"/>
      <c r="BY196" s="213"/>
      <c r="BZ196" s="213"/>
      <c r="CA196" s="213"/>
      <c r="CB196" s="213"/>
      <c r="CC196" s="213"/>
      <c r="CD196" s="213"/>
      <c r="CE196" s="213"/>
      <c r="CF196" s="213"/>
      <c r="CG196" s="213"/>
      <c r="CH196" s="213"/>
      <c r="CI196" s="213"/>
      <c r="CJ196" s="213"/>
      <c r="CK196" s="213"/>
      <c r="CL196" s="213"/>
      <c r="CM196" s="213"/>
      <c r="CN196" s="213"/>
      <c r="CO196" s="213"/>
      <c r="CP196" s="213"/>
    </row>
    <row r="197" ht="15.75" customHeight="1">
      <c r="A197" s="213"/>
      <c r="B197" s="213"/>
      <c r="C197" s="213"/>
      <c r="D197" s="213"/>
      <c r="E197" s="213"/>
      <c r="F197" s="213"/>
      <c r="G197" s="213"/>
      <c r="H197" s="213"/>
      <c r="I197" s="213"/>
      <c r="J197" s="213"/>
      <c r="K197" s="213"/>
      <c r="L197" s="213"/>
      <c r="M197" s="213"/>
      <c r="N197" s="213"/>
      <c r="O197" s="213"/>
      <c r="P197" s="213"/>
      <c r="Q197" s="213"/>
      <c r="R197" s="213"/>
      <c r="S197" s="213"/>
      <c r="T197" s="213"/>
      <c r="U197" s="213"/>
      <c r="V197" s="213"/>
      <c r="W197" s="238"/>
      <c r="X197" s="213"/>
      <c r="Y197" s="213"/>
      <c r="Z197" s="213"/>
      <c r="AA197" s="213"/>
      <c r="AB197" s="213"/>
      <c r="AC197" s="213"/>
      <c r="AD197" s="213"/>
      <c r="AE197" s="213"/>
      <c r="AF197" s="213"/>
      <c r="AG197" s="213"/>
      <c r="AH197" s="213"/>
      <c r="AI197" s="213"/>
      <c r="AJ197" s="213"/>
      <c r="AK197" s="213"/>
      <c r="AL197" s="213"/>
      <c r="AM197" s="213"/>
      <c r="AN197" s="213"/>
      <c r="AO197" s="213"/>
      <c r="AP197" s="213"/>
      <c r="AQ197" s="213"/>
      <c r="AR197" s="213"/>
      <c r="AS197" s="213"/>
      <c r="AT197" s="213"/>
      <c r="AU197" s="213"/>
      <c r="AV197" s="213"/>
      <c r="AW197" s="213"/>
      <c r="AX197" s="213"/>
      <c r="AY197" s="213"/>
      <c r="AZ197" s="213"/>
      <c r="BA197" s="213"/>
      <c r="BB197" s="213"/>
      <c r="BC197" s="213"/>
      <c r="BD197" s="213"/>
      <c r="BE197" s="213"/>
      <c r="BF197" s="213"/>
      <c r="BG197" s="213"/>
      <c r="BH197" s="213"/>
      <c r="BI197" s="213"/>
      <c r="BJ197" s="213"/>
      <c r="BK197" s="213"/>
      <c r="BL197" s="213"/>
      <c r="BM197" s="213"/>
      <c r="BN197" s="213"/>
      <c r="BO197" s="213"/>
      <c r="BP197" s="213"/>
      <c r="BQ197" s="213"/>
      <c r="BR197" s="326"/>
      <c r="BS197" s="213"/>
      <c r="BT197" s="213"/>
      <c r="BU197" s="213"/>
      <c r="BV197" s="213"/>
      <c r="BW197" s="213"/>
      <c r="BX197" s="213"/>
      <c r="BY197" s="213"/>
      <c r="BZ197" s="213"/>
      <c r="CA197" s="213"/>
      <c r="CB197" s="213"/>
      <c r="CC197" s="213"/>
      <c r="CD197" s="213"/>
      <c r="CE197" s="213"/>
      <c r="CF197" s="213"/>
      <c r="CG197" s="213"/>
      <c r="CH197" s="213"/>
      <c r="CI197" s="213"/>
      <c r="CJ197" s="213"/>
      <c r="CK197" s="213"/>
      <c r="CL197" s="213"/>
      <c r="CM197" s="213"/>
      <c r="CN197" s="213"/>
      <c r="CO197" s="213"/>
      <c r="CP197" s="213"/>
    </row>
    <row r="198" ht="15.75" customHeight="1">
      <c r="A198" s="213"/>
      <c r="B198" s="213"/>
      <c r="C198" s="213"/>
      <c r="D198" s="213"/>
      <c r="E198" s="213"/>
      <c r="F198" s="213"/>
      <c r="G198" s="213"/>
      <c r="H198" s="213"/>
      <c r="I198" s="213"/>
      <c r="J198" s="213"/>
      <c r="K198" s="213"/>
      <c r="L198" s="213"/>
      <c r="M198" s="213"/>
      <c r="N198" s="213"/>
      <c r="O198" s="213"/>
      <c r="P198" s="213"/>
      <c r="Q198" s="213"/>
      <c r="R198" s="213"/>
      <c r="S198" s="213"/>
      <c r="T198" s="213"/>
      <c r="U198" s="213"/>
      <c r="V198" s="213"/>
      <c r="W198" s="238"/>
      <c r="X198" s="213"/>
      <c r="Y198" s="213"/>
      <c r="Z198" s="213"/>
      <c r="AA198" s="213"/>
      <c r="AB198" s="213"/>
      <c r="AC198" s="213"/>
      <c r="AD198" s="213"/>
      <c r="AE198" s="213"/>
      <c r="AF198" s="213"/>
      <c r="AG198" s="213"/>
      <c r="AH198" s="213"/>
      <c r="AI198" s="213"/>
      <c r="AJ198" s="213"/>
      <c r="AK198" s="213"/>
      <c r="AL198" s="213"/>
      <c r="AM198" s="213"/>
      <c r="AN198" s="213"/>
      <c r="AO198" s="213"/>
      <c r="AP198" s="213"/>
      <c r="AQ198" s="213"/>
      <c r="AR198" s="213"/>
      <c r="AS198" s="213"/>
      <c r="AT198" s="213"/>
      <c r="AU198" s="213"/>
      <c r="AV198" s="213"/>
      <c r="AW198" s="213"/>
      <c r="AX198" s="213"/>
      <c r="AY198" s="213"/>
      <c r="AZ198" s="213"/>
      <c r="BA198" s="213"/>
      <c r="BB198" s="213"/>
      <c r="BC198" s="213"/>
      <c r="BD198" s="213"/>
      <c r="BE198" s="213"/>
      <c r="BF198" s="213"/>
      <c r="BG198" s="213"/>
      <c r="BH198" s="213"/>
      <c r="BI198" s="213"/>
      <c r="BJ198" s="213"/>
      <c r="BK198" s="213"/>
      <c r="BL198" s="213"/>
      <c r="BM198" s="213"/>
      <c r="BN198" s="213"/>
      <c r="BO198" s="213"/>
      <c r="BP198" s="213"/>
      <c r="BQ198" s="213"/>
      <c r="BR198" s="326"/>
      <c r="BS198" s="213"/>
      <c r="BT198" s="213"/>
      <c r="BU198" s="213"/>
      <c r="BV198" s="213"/>
      <c r="BW198" s="213"/>
      <c r="BX198" s="213"/>
      <c r="BY198" s="213"/>
      <c r="BZ198" s="213"/>
      <c r="CA198" s="213"/>
      <c r="CB198" s="213"/>
      <c r="CC198" s="213"/>
      <c r="CD198" s="213"/>
      <c r="CE198" s="213"/>
      <c r="CF198" s="213"/>
      <c r="CG198" s="213"/>
      <c r="CH198" s="213"/>
      <c r="CI198" s="213"/>
      <c r="CJ198" s="213"/>
      <c r="CK198" s="213"/>
      <c r="CL198" s="213"/>
      <c r="CM198" s="213"/>
      <c r="CN198" s="213"/>
      <c r="CO198" s="213"/>
      <c r="CP198" s="213"/>
    </row>
    <row r="199" ht="15.75" customHeight="1">
      <c r="A199" s="213"/>
      <c r="B199" s="213"/>
      <c r="C199" s="213"/>
      <c r="D199" s="213"/>
      <c r="E199" s="213"/>
      <c r="F199" s="213"/>
      <c r="G199" s="213"/>
      <c r="H199" s="213"/>
      <c r="I199" s="213"/>
      <c r="J199" s="213"/>
      <c r="K199" s="213"/>
      <c r="L199" s="213"/>
      <c r="M199" s="213"/>
      <c r="N199" s="213"/>
      <c r="O199" s="213"/>
      <c r="P199" s="213"/>
      <c r="Q199" s="213"/>
      <c r="R199" s="213"/>
      <c r="S199" s="213"/>
      <c r="T199" s="213"/>
      <c r="U199" s="213"/>
      <c r="V199" s="213"/>
      <c r="W199" s="238"/>
      <c r="X199" s="213"/>
      <c r="Y199" s="213"/>
      <c r="Z199" s="213"/>
      <c r="AA199" s="213"/>
      <c r="AB199" s="213"/>
      <c r="AC199" s="213"/>
      <c r="AD199" s="213"/>
      <c r="AE199" s="213"/>
      <c r="AF199" s="213"/>
      <c r="AG199" s="213"/>
      <c r="AH199" s="213"/>
      <c r="AI199" s="213"/>
      <c r="AJ199" s="213"/>
      <c r="AK199" s="213"/>
      <c r="AL199" s="213"/>
      <c r="AM199" s="213"/>
      <c r="AN199" s="213"/>
      <c r="AO199" s="213"/>
      <c r="AP199" s="213"/>
      <c r="AQ199" s="213"/>
      <c r="AR199" s="213"/>
      <c r="AS199" s="213"/>
      <c r="AT199" s="213"/>
      <c r="AU199" s="213"/>
      <c r="AV199" s="213"/>
      <c r="AW199" s="213"/>
      <c r="AX199" s="213"/>
      <c r="AY199" s="213"/>
      <c r="AZ199" s="213"/>
      <c r="BA199" s="213"/>
      <c r="BB199" s="213"/>
      <c r="BC199" s="213"/>
      <c r="BD199" s="213"/>
      <c r="BE199" s="213"/>
      <c r="BF199" s="213"/>
      <c r="BG199" s="213"/>
      <c r="BH199" s="213"/>
      <c r="BI199" s="213"/>
      <c r="BJ199" s="213"/>
      <c r="BK199" s="213"/>
      <c r="BL199" s="213"/>
      <c r="BM199" s="213"/>
      <c r="BN199" s="213"/>
      <c r="BO199" s="213"/>
      <c r="BP199" s="213"/>
      <c r="BQ199" s="213"/>
      <c r="BR199" s="326"/>
      <c r="BS199" s="213"/>
      <c r="BT199" s="213"/>
      <c r="BU199" s="213"/>
      <c r="BV199" s="213"/>
      <c r="BW199" s="213"/>
      <c r="BX199" s="213"/>
      <c r="BY199" s="213"/>
      <c r="BZ199" s="213"/>
      <c r="CA199" s="213"/>
      <c r="CB199" s="213"/>
      <c r="CC199" s="213"/>
      <c r="CD199" s="213"/>
      <c r="CE199" s="213"/>
      <c r="CF199" s="213"/>
      <c r="CG199" s="213"/>
      <c r="CH199" s="213"/>
      <c r="CI199" s="213"/>
      <c r="CJ199" s="213"/>
      <c r="CK199" s="213"/>
      <c r="CL199" s="213"/>
      <c r="CM199" s="213"/>
      <c r="CN199" s="213"/>
      <c r="CO199" s="213"/>
      <c r="CP199" s="213"/>
    </row>
    <row r="200" ht="15.75" customHeight="1">
      <c r="A200" s="213"/>
      <c r="B200" s="213"/>
      <c r="C200" s="213"/>
      <c r="D200" s="213"/>
      <c r="E200" s="213"/>
      <c r="F200" s="213"/>
      <c r="G200" s="213"/>
      <c r="H200" s="213"/>
      <c r="I200" s="213"/>
      <c r="J200" s="213"/>
      <c r="K200" s="213"/>
      <c r="L200" s="213"/>
      <c r="M200" s="213"/>
      <c r="N200" s="213"/>
      <c r="O200" s="213"/>
      <c r="P200" s="213"/>
      <c r="Q200" s="213"/>
      <c r="R200" s="213"/>
      <c r="S200" s="213"/>
      <c r="T200" s="213"/>
      <c r="U200" s="213"/>
      <c r="V200" s="213"/>
      <c r="W200" s="238"/>
      <c r="X200" s="213"/>
      <c r="Y200" s="213"/>
      <c r="Z200" s="213"/>
      <c r="AA200" s="213"/>
      <c r="AB200" s="213"/>
      <c r="AC200" s="213"/>
      <c r="AD200" s="213"/>
      <c r="AE200" s="213"/>
      <c r="AF200" s="213"/>
      <c r="AG200" s="213"/>
      <c r="AH200" s="213"/>
      <c r="AI200" s="213"/>
      <c r="AJ200" s="213"/>
      <c r="AK200" s="213"/>
      <c r="AL200" s="213"/>
      <c r="AM200" s="213"/>
      <c r="AN200" s="213"/>
      <c r="AO200" s="213"/>
      <c r="AP200" s="213"/>
      <c r="AQ200" s="213"/>
      <c r="AR200" s="213"/>
      <c r="AS200" s="213"/>
      <c r="AT200" s="213"/>
      <c r="AU200" s="213"/>
      <c r="AV200" s="213"/>
      <c r="AW200" s="213"/>
      <c r="AX200" s="213"/>
      <c r="AY200" s="213"/>
      <c r="AZ200" s="213"/>
      <c r="BA200" s="213"/>
      <c r="BB200" s="213"/>
      <c r="BC200" s="213"/>
      <c r="BD200" s="213"/>
      <c r="BE200" s="213"/>
      <c r="BF200" s="213"/>
      <c r="BG200" s="213"/>
      <c r="BH200" s="213"/>
      <c r="BI200" s="213"/>
      <c r="BJ200" s="213"/>
      <c r="BK200" s="213"/>
      <c r="BL200" s="213"/>
      <c r="BM200" s="213"/>
      <c r="BN200" s="213"/>
      <c r="BO200" s="213"/>
      <c r="BP200" s="213"/>
      <c r="BQ200" s="213"/>
      <c r="BR200" s="326"/>
      <c r="BS200" s="213"/>
      <c r="BT200" s="213"/>
      <c r="BU200" s="213"/>
      <c r="BV200" s="213"/>
      <c r="BW200" s="213"/>
      <c r="BX200" s="213"/>
      <c r="BY200" s="213"/>
      <c r="BZ200" s="213"/>
      <c r="CA200" s="213"/>
      <c r="CB200" s="213"/>
      <c r="CC200" s="213"/>
      <c r="CD200" s="213"/>
      <c r="CE200" s="213"/>
      <c r="CF200" s="213"/>
      <c r="CG200" s="213"/>
      <c r="CH200" s="213"/>
      <c r="CI200" s="213"/>
      <c r="CJ200" s="213"/>
      <c r="CK200" s="213"/>
      <c r="CL200" s="213"/>
      <c r="CM200" s="213"/>
      <c r="CN200" s="213"/>
      <c r="CO200" s="213"/>
      <c r="CP200" s="213"/>
    </row>
    <row r="201" ht="15.75" customHeight="1">
      <c r="A201" s="213"/>
      <c r="B201" s="213"/>
      <c r="C201" s="213"/>
      <c r="D201" s="213"/>
      <c r="E201" s="213"/>
      <c r="F201" s="213"/>
      <c r="G201" s="213"/>
      <c r="H201" s="213"/>
      <c r="I201" s="213"/>
      <c r="J201" s="213"/>
      <c r="K201" s="213"/>
      <c r="L201" s="213"/>
      <c r="M201" s="213"/>
      <c r="N201" s="213"/>
      <c r="O201" s="213"/>
      <c r="P201" s="213"/>
      <c r="Q201" s="213"/>
      <c r="R201" s="213"/>
      <c r="S201" s="213"/>
      <c r="T201" s="213"/>
      <c r="U201" s="213"/>
      <c r="V201" s="213"/>
      <c r="W201" s="238"/>
      <c r="X201" s="213"/>
      <c r="Y201" s="213"/>
      <c r="Z201" s="213"/>
      <c r="AA201" s="213"/>
      <c r="AB201" s="213"/>
      <c r="AC201" s="213"/>
      <c r="AD201" s="213"/>
      <c r="AE201" s="213"/>
      <c r="AF201" s="213"/>
      <c r="AG201" s="213"/>
      <c r="AH201" s="213"/>
      <c r="AI201" s="213"/>
      <c r="AJ201" s="213"/>
      <c r="AK201" s="213"/>
      <c r="AL201" s="213"/>
      <c r="AM201" s="213"/>
      <c r="AN201" s="213"/>
      <c r="AO201" s="213"/>
      <c r="AP201" s="213"/>
      <c r="AQ201" s="213"/>
      <c r="AR201" s="213"/>
      <c r="AS201" s="213"/>
      <c r="AT201" s="213"/>
      <c r="AU201" s="213"/>
      <c r="AV201" s="213"/>
      <c r="AW201" s="213"/>
      <c r="AX201" s="213"/>
      <c r="AY201" s="213"/>
      <c r="AZ201" s="213"/>
      <c r="BA201" s="213"/>
      <c r="BB201" s="213"/>
      <c r="BC201" s="213"/>
      <c r="BD201" s="213"/>
      <c r="BE201" s="213"/>
      <c r="BF201" s="213"/>
      <c r="BG201" s="213"/>
      <c r="BH201" s="213"/>
      <c r="BI201" s="213"/>
      <c r="BJ201" s="213"/>
      <c r="BK201" s="213"/>
      <c r="BL201" s="213"/>
      <c r="BM201" s="213"/>
      <c r="BN201" s="213"/>
      <c r="BO201" s="213"/>
      <c r="BP201" s="213"/>
      <c r="BQ201" s="213"/>
      <c r="BR201" s="326"/>
      <c r="BS201" s="213"/>
      <c r="BT201" s="213"/>
      <c r="BU201" s="213"/>
      <c r="BV201" s="213"/>
      <c r="BW201" s="213"/>
      <c r="BX201" s="213"/>
      <c r="BY201" s="213"/>
      <c r="BZ201" s="213"/>
      <c r="CA201" s="213"/>
      <c r="CB201" s="213"/>
      <c r="CC201" s="213"/>
      <c r="CD201" s="213"/>
      <c r="CE201" s="213"/>
      <c r="CF201" s="213"/>
      <c r="CG201" s="213"/>
      <c r="CH201" s="213"/>
      <c r="CI201" s="213"/>
      <c r="CJ201" s="213"/>
      <c r="CK201" s="213"/>
      <c r="CL201" s="213"/>
      <c r="CM201" s="213"/>
      <c r="CN201" s="213"/>
      <c r="CO201" s="213"/>
      <c r="CP201" s="213"/>
    </row>
    <row r="202" ht="15.75" customHeight="1">
      <c r="A202" s="213"/>
      <c r="B202" s="213"/>
      <c r="C202" s="213"/>
      <c r="D202" s="213"/>
      <c r="E202" s="213"/>
      <c r="F202" s="213"/>
      <c r="G202" s="213"/>
      <c r="H202" s="213"/>
      <c r="I202" s="213"/>
      <c r="J202" s="213"/>
      <c r="K202" s="213"/>
      <c r="L202" s="213"/>
      <c r="M202" s="213"/>
      <c r="N202" s="213"/>
      <c r="O202" s="213"/>
      <c r="P202" s="213"/>
      <c r="Q202" s="213"/>
      <c r="R202" s="213"/>
      <c r="S202" s="213"/>
      <c r="T202" s="213"/>
      <c r="U202" s="213"/>
      <c r="V202" s="213"/>
      <c r="W202" s="238"/>
      <c r="X202" s="213"/>
      <c r="Y202" s="213"/>
      <c r="Z202" s="213"/>
      <c r="AA202" s="213"/>
      <c r="AB202" s="213"/>
      <c r="AC202" s="213"/>
      <c r="AD202" s="213"/>
      <c r="AE202" s="213"/>
      <c r="AF202" s="213"/>
      <c r="AG202" s="213"/>
      <c r="AH202" s="213"/>
      <c r="AI202" s="213"/>
      <c r="AJ202" s="213"/>
      <c r="AK202" s="213"/>
      <c r="AL202" s="213"/>
      <c r="AM202" s="213"/>
      <c r="AN202" s="213"/>
      <c r="AO202" s="213"/>
      <c r="AP202" s="213"/>
      <c r="AQ202" s="213"/>
      <c r="AR202" s="213"/>
      <c r="AS202" s="213"/>
      <c r="AT202" s="213"/>
      <c r="AU202" s="213"/>
      <c r="AV202" s="213"/>
      <c r="AW202" s="213"/>
      <c r="AX202" s="213"/>
      <c r="AY202" s="213"/>
      <c r="AZ202" s="213"/>
      <c r="BA202" s="213"/>
      <c r="BB202" s="213"/>
      <c r="BC202" s="213"/>
      <c r="BD202" s="213"/>
      <c r="BE202" s="213"/>
      <c r="BF202" s="213"/>
      <c r="BG202" s="213"/>
      <c r="BH202" s="213"/>
      <c r="BI202" s="213"/>
      <c r="BJ202" s="213"/>
      <c r="BK202" s="213"/>
      <c r="BL202" s="213"/>
      <c r="BM202" s="213"/>
      <c r="BN202" s="213"/>
      <c r="BO202" s="213"/>
      <c r="BP202" s="213"/>
      <c r="BQ202" s="213"/>
      <c r="BR202" s="326"/>
      <c r="BS202" s="213"/>
      <c r="BT202" s="213"/>
      <c r="BU202" s="213"/>
      <c r="BV202" s="213"/>
      <c r="BW202" s="213"/>
      <c r="BX202" s="213"/>
      <c r="BY202" s="213"/>
      <c r="BZ202" s="213"/>
      <c r="CA202" s="213"/>
      <c r="CB202" s="213"/>
      <c r="CC202" s="213"/>
      <c r="CD202" s="213"/>
      <c r="CE202" s="213"/>
      <c r="CF202" s="213"/>
      <c r="CG202" s="213"/>
      <c r="CH202" s="213"/>
      <c r="CI202" s="213"/>
      <c r="CJ202" s="213"/>
      <c r="CK202" s="213"/>
      <c r="CL202" s="213"/>
      <c r="CM202" s="213"/>
      <c r="CN202" s="213"/>
      <c r="CO202" s="213"/>
      <c r="CP202" s="213"/>
    </row>
    <row r="203" ht="15.75" customHeight="1">
      <c r="A203" s="213"/>
      <c r="B203" s="213"/>
      <c r="C203" s="213"/>
      <c r="D203" s="213"/>
      <c r="E203" s="213"/>
      <c r="F203" s="213"/>
      <c r="G203" s="213"/>
      <c r="H203" s="213"/>
      <c r="I203" s="213"/>
      <c r="J203" s="213"/>
      <c r="K203" s="213"/>
      <c r="L203" s="213"/>
      <c r="M203" s="213"/>
      <c r="N203" s="213"/>
      <c r="O203" s="213"/>
      <c r="P203" s="213"/>
      <c r="Q203" s="213"/>
      <c r="R203" s="213"/>
      <c r="S203" s="213"/>
      <c r="T203" s="213"/>
      <c r="U203" s="213"/>
      <c r="V203" s="213"/>
      <c r="W203" s="238"/>
      <c r="X203" s="213"/>
      <c r="Y203" s="213"/>
      <c r="Z203" s="213"/>
      <c r="AA203" s="213"/>
      <c r="AB203" s="213"/>
      <c r="AC203" s="213"/>
      <c r="AD203" s="213"/>
      <c r="AE203" s="213"/>
      <c r="AF203" s="213"/>
      <c r="AG203" s="213"/>
      <c r="AH203" s="213"/>
      <c r="AI203" s="213"/>
      <c r="AJ203" s="213"/>
      <c r="AK203" s="213"/>
      <c r="AL203" s="213"/>
      <c r="AM203" s="213"/>
      <c r="AN203" s="213"/>
      <c r="AO203" s="213"/>
      <c r="AP203" s="213"/>
      <c r="AQ203" s="213"/>
      <c r="AR203" s="213"/>
      <c r="AS203" s="213"/>
      <c r="AT203" s="213"/>
      <c r="AU203" s="213"/>
      <c r="AV203" s="213"/>
      <c r="AW203" s="213"/>
      <c r="AX203" s="213"/>
      <c r="AY203" s="213"/>
      <c r="AZ203" s="213"/>
      <c r="BA203" s="213"/>
      <c r="BB203" s="213"/>
      <c r="BC203" s="213"/>
      <c r="BD203" s="213"/>
      <c r="BE203" s="213"/>
      <c r="BF203" s="213"/>
      <c r="BG203" s="213"/>
      <c r="BH203" s="213"/>
      <c r="BI203" s="213"/>
      <c r="BJ203" s="213"/>
      <c r="BK203" s="213"/>
      <c r="BL203" s="213"/>
      <c r="BM203" s="213"/>
      <c r="BN203" s="213"/>
      <c r="BO203" s="213"/>
      <c r="BP203" s="213"/>
      <c r="BQ203" s="213"/>
      <c r="BR203" s="326"/>
      <c r="BS203" s="213"/>
      <c r="BT203" s="213"/>
      <c r="BU203" s="213"/>
      <c r="BV203" s="213"/>
      <c r="BW203" s="213"/>
      <c r="BX203" s="213"/>
      <c r="BY203" s="213"/>
      <c r="BZ203" s="213"/>
      <c r="CA203" s="213"/>
      <c r="CB203" s="213"/>
      <c r="CC203" s="213"/>
      <c r="CD203" s="213"/>
      <c r="CE203" s="213"/>
      <c r="CF203" s="213"/>
      <c r="CG203" s="213"/>
      <c r="CH203" s="213"/>
      <c r="CI203" s="213"/>
      <c r="CJ203" s="213"/>
      <c r="CK203" s="213"/>
      <c r="CL203" s="213"/>
      <c r="CM203" s="213"/>
      <c r="CN203" s="213"/>
      <c r="CO203" s="213"/>
      <c r="CP203" s="213"/>
    </row>
    <row r="204" ht="15.75" customHeight="1">
      <c r="A204" s="213"/>
      <c r="B204" s="213"/>
      <c r="C204" s="213"/>
      <c r="D204" s="213"/>
      <c r="E204" s="213"/>
      <c r="F204" s="213"/>
      <c r="G204" s="213"/>
      <c r="H204" s="213"/>
      <c r="I204" s="213"/>
      <c r="J204" s="213"/>
      <c r="K204" s="213"/>
      <c r="L204" s="213"/>
      <c r="M204" s="213"/>
      <c r="N204" s="213"/>
      <c r="O204" s="213"/>
      <c r="P204" s="213"/>
      <c r="Q204" s="213"/>
      <c r="R204" s="213"/>
      <c r="S204" s="213"/>
      <c r="T204" s="213"/>
      <c r="U204" s="213"/>
      <c r="V204" s="213"/>
      <c r="W204" s="238"/>
      <c r="X204" s="213"/>
      <c r="Y204" s="213"/>
      <c r="Z204" s="213"/>
      <c r="AA204" s="213"/>
      <c r="AB204" s="213"/>
      <c r="AC204" s="213"/>
      <c r="AD204" s="213"/>
      <c r="AE204" s="213"/>
      <c r="AF204" s="213"/>
      <c r="AG204" s="213"/>
      <c r="AH204" s="213"/>
      <c r="AI204" s="213"/>
      <c r="AJ204" s="213"/>
      <c r="AK204" s="213"/>
      <c r="AL204" s="213"/>
      <c r="AM204" s="213"/>
      <c r="AN204" s="213"/>
      <c r="AO204" s="213"/>
      <c r="AP204" s="213"/>
      <c r="AQ204" s="213"/>
      <c r="AR204" s="213"/>
      <c r="AS204" s="213"/>
      <c r="AT204" s="213"/>
      <c r="AU204" s="213"/>
      <c r="AV204" s="213"/>
      <c r="AW204" s="213"/>
      <c r="AX204" s="213"/>
      <c r="AY204" s="213"/>
      <c r="AZ204" s="213"/>
      <c r="BA204" s="213"/>
      <c r="BB204" s="213"/>
      <c r="BC204" s="213"/>
      <c r="BD204" s="213"/>
      <c r="BE204" s="213"/>
      <c r="BF204" s="213"/>
      <c r="BG204" s="213"/>
      <c r="BH204" s="213"/>
      <c r="BI204" s="213"/>
      <c r="BJ204" s="213"/>
      <c r="BK204" s="213"/>
      <c r="BL204" s="213"/>
      <c r="BM204" s="213"/>
      <c r="BN204" s="213"/>
      <c r="BO204" s="213"/>
      <c r="BP204" s="213"/>
      <c r="BQ204" s="213"/>
      <c r="BR204" s="326"/>
      <c r="BS204" s="213"/>
      <c r="BT204" s="213"/>
      <c r="BU204" s="213"/>
      <c r="BV204" s="213"/>
      <c r="BW204" s="213"/>
      <c r="BX204" s="213"/>
      <c r="BY204" s="213"/>
      <c r="BZ204" s="213"/>
      <c r="CA204" s="213"/>
      <c r="CB204" s="213"/>
      <c r="CC204" s="213"/>
      <c r="CD204" s="213"/>
      <c r="CE204" s="213"/>
      <c r="CF204" s="213"/>
      <c r="CG204" s="213"/>
      <c r="CH204" s="213"/>
      <c r="CI204" s="213"/>
      <c r="CJ204" s="213"/>
      <c r="CK204" s="213"/>
      <c r="CL204" s="213"/>
      <c r="CM204" s="213"/>
      <c r="CN204" s="213"/>
      <c r="CO204" s="213"/>
      <c r="CP204" s="213"/>
    </row>
    <row r="205" ht="15.75" customHeight="1">
      <c r="A205" s="213"/>
      <c r="B205" s="213"/>
      <c r="C205" s="213"/>
      <c r="D205" s="213"/>
      <c r="E205" s="213"/>
      <c r="F205" s="213"/>
      <c r="G205" s="213"/>
      <c r="H205" s="213"/>
      <c r="I205" s="213"/>
      <c r="J205" s="213"/>
      <c r="K205" s="213"/>
      <c r="L205" s="213"/>
      <c r="M205" s="213"/>
      <c r="N205" s="213"/>
      <c r="O205" s="213"/>
      <c r="P205" s="213"/>
      <c r="Q205" s="213"/>
      <c r="R205" s="213"/>
      <c r="S205" s="213"/>
      <c r="T205" s="213"/>
      <c r="U205" s="213"/>
      <c r="V205" s="213"/>
      <c r="W205" s="238"/>
      <c r="X205" s="213"/>
      <c r="Y205" s="213"/>
      <c r="Z205" s="213"/>
      <c r="AA205" s="213"/>
      <c r="AB205" s="213"/>
      <c r="AC205" s="213"/>
      <c r="AD205" s="213"/>
      <c r="AE205" s="213"/>
      <c r="AF205" s="213"/>
      <c r="AG205" s="213"/>
      <c r="AH205" s="213"/>
      <c r="AI205" s="213"/>
      <c r="AJ205" s="213"/>
      <c r="AK205" s="213"/>
      <c r="AL205" s="213"/>
      <c r="AM205" s="213"/>
      <c r="AN205" s="213"/>
      <c r="AO205" s="213"/>
      <c r="AP205" s="213"/>
      <c r="AQ205" s="213"/>
      <c r="AR205" s="213"/>
      <c r="AS205" s="213"/>
      <c r="AT205" s="213"/>
      <c r="AU205" s="213"/>
      <c r="AV205" s="213"/>
      <c r="AW205" s="213"/>
      <c r="AX205" s="213"/>
      <c r="AY205" s="213"/>
      <c r="AZ205" s="213"/>
      <c r="BA205" s="213"/>
      <c r="BB205" s="213"/>
      <c r="BC205" s="213"/>
      <c r="BD205" s="213"/>
      <c r="BE205" s="213"/>
      <c r="BF205" s="213"/>
      <c r="BG205" s="213"/>
      <c r="BH205" s="213"/>
      <c r="BI205" s="213"/>
      <c r="BJ205" s="213"/>
      <c r="BK205" s="213"/>
      <c r="BL205" s="213"/>
      <c r="BM205" s="213"/>
      <c r="BN205" s="213"/>
      <c r="BO205" s="213"/>
      <c r="BP205" s="213"/>
      <c r="BQ205" s="213"/>
      <c r="BR205" s="326"/>
      <c r="BS205" s="213"/>
      <c r="BT205" s="213"/>
      <c r="BU205" s="213"/>
      <c r="BV205" s="213"/>
      <c r="BW205" s="213"/>
      <c r="BX205" s="213"/>
      <c r="BY205" s="213"/>
      <c r="BZ205" s="213"/>
      <c r="CA205" s="213"/>
      <c r="CB205" s="213"/>
      <c r="CC205" s="213"/>
      <c r="CD205" s="213"/>
      <c r="CE205" s="213"/>
      <c r="CF205" s="213"/>
      <c r="CG205" s="213"/>
      <c r="CH205" s="213"/>
      <c r="CI205" s="213"/>
      <c r="CJ205" s="213"/>
      <c r="CK205" s="213"/>
      <c r="CL205" s="213"/>
      <c r="CM205" s="213"/>
      <c r="CN205" s="213"/>
      <c r="CO205" s="213"/>
      <c r="CP205" s="213"/>
    </row>
    <row r="206" ht="15.75" customHeight="1">
      <c r="A206" s="213"/>
      <c r="B206" s="213"/>
      <c r="C206" s="213"/>
      <c r="D206" s="213"/>
      <c r="E206" s="213"/>
      <c r="F206" s="213"/>
      <c r="G206" s="213"/>
      <c r="H206" s="213"/>
      <c r="I206" s="213"/>
      <c r="J206" s="213"/>
      <c r="K206" s="213"/>
      <c r="L206" s="213"/>
      <c r="M206" s="213"/>
      <c r="N206" s="213"/>
      <c r="O206" s="213"/>
      <c r="P206" s="213"/>
      <c r="Q206" s="213"/>
      <c r="R206" s="213"/>
      <c r="S206" s="213"/>
      <c r="T206" s="213"/>
      <c r="U206" s="213"/>
      <c r="V206" s="213"/>
      <c r="W206" s="238"/>
      <c r="X206" s="213"/>
      <c r="Y206" s="213"/>
      <c r="Z206" s="213"/>
      <c r="AA206" s="213"/>
      <c r="AB206" s="213"/>
      <c r="AC206" s="213"/>
      <c r="AD206" s="213"/>
      <c r="AE206" s="213"/>
      <c r="AF206" s="213"/>
      <c r="AG206" s="213"/>
      <c r="AH206" s="213"/>
      <c r="AI206" s="213"/>
      <c r="AJ206" s="213"/>
      <c r="AK206" s="213"/>
      <c r="AL206" s="213"/>
      <c r="AM206" s="213"/>
      <c r="AN206" s="213"/>
      <c r="AO206" s="213"/>
      <c r="AP206" s="213"/>
      <c r="AQ206" s="213"/>
      <c r="AR206" s="213"/>
      <c r="AS206" s="213"/>
      <c r="AT206" s="213"/>
      <c r="AU206" s="213"/>
      <c r="AV206" s="213"/>
      <c r="AW206" s="213"/>
      <c r="AX206" s="213"/>
      <c r="AY206" s="213"/>
      <c r="AZ206" s="213"/>
      <c r="BA206" s="213"/>
      <c r="BB206" s="213"/>
      <c r="BC206" s="213"/>
      <c r="BD206" s="213"/>
      <c r="BE206" s="213"/>
      <c r="BF206" s="213"/>
      <c r="BG206" s="213"/>
      <c r="BH206" s="213"/>
      <c r="BI206" s="213"/>
      <c r="BJ206" s="213"/>
      <c r="BK206" s="213"/>
      <c r="BL206" s="213"/>
      <c r="BM206" s="213"/>
      <c r="BN206" s="213"/>
      <c r="BO206" s="213"/>
      <c r="BP206" s="213"/>
      <c r="BQ206" s="213"/>
      <c r="BR206" s="326"/>
      <c r="BS206" s="213"/>
      <c r="BT206" s="213"/>
      <c r="BU206" s="213"/>
      <c r="BV206" s="213"/>
      <c r="BW206" s="213"/>
      <c r="BX206" s="213"/>
      <c r="BY206" s="213"/>
      <c r="BZ206" s="213"/>
      <c r="CA206" s="213"/>
      <c r="CB206" s="213"/>
      <c r="CC206" s="213"/>
      <c r="CD206" s="213"/>
      <c r="CE206" s="213"/>
      <c r="CF206" s="213"/>
      <c r="CG206" s="213"/>
      <c r="CH206" s="213"/>
      <c r="CI206" s="213"/>
      <c r="CJ206" s="213"/>
      <c r="CK206" s="213"/>
      <c r="CL206" s="213"/>
      <c r="CM206" s="213"/>
      <c r="CN206" s="213"/>
      <c r="CO206" s="213"/>
      <c r="CP206" s="213"/>
    </row>
    <row r="207" ht="15.75" customHeight="1">
      <c r="A207" s="213"/>
      <c r="B207" s="213"/>
      <c r="C207" s="213"/>
      <c r="D207" s="213"/>
      <c r="E207" s="213"/>
      <c r="F207" s="213"/>
      <c r="G207" s="213"/>
      <c r="H207" s="213"/>
      <c r="I207" s="213"/>
      <c r="J207" s="213"/>
      <c r="K207" s="213"/>
      <c r="L207" s="213"/>
      <c r="M207" s="213"/>
      <c r="N207" s="213"/>
      <c r="O207" s="213"/>
      <c r="P207" s="213"/>
      <c r="Q207" s="213"/>
      <c r="R207" s="213"/>
      <c r="S207" s="213"/>
      <c r="T207" s="213"/>
      <c r="U207" s="213"/>
      <c r="V207" s="213"/>
      <c r="W207" s="238"/>
      <c r="X207" s="213"/>
      <c r="Y207" s="213"/>
      <c r="Z207" s="213"/>
      <c r="AA207" s="213"/>
      <c r="AB207" s="213"/>
      <c r="AC207" s="213"/>
      <c r="AD207" s="213"/>
      <c r="AE207" s="213"/>
      <c r="AF207" s="213"/>
      <c r="AG207" s="213"/>
      <c r="AH207" s="213"/>
      <c r="AI207" s="213"/>
      <c r="AJ207" s="213"/>
      <c r="AK207" s="213"/>
      <c r="AL207" s="213"/>
      <c r="AM207" s="213"/>
      <c r="AN207" s="213"/>
      <c r="AO207" s="213"/>
      <c r="AP207" s="213"/>
      <c r="AQ207" s="213"/>
      <c r="AR207" s="213"/>
      <c r="AS207" s="213"/>
      <c r="AT207" s="213"/>
      <c r="AU207" s="213"/>
      <c r="AV207" s="213"/>
      <c r="AW207" s="213"/>
      <c r="AX207" s="213"/>
      <c r="AY207" s="213"/>
      <c r="AZ207" s="213"/>
      <c r="BA207" s="213"/>
      <c r="BB207" s="213"/>
      <c r="BC207" s="213"/>
      <c r="BD207" s="213"/>
      <c r="BE207" s="213"/>
      <c r="BF207" s="213"/>
      <c r="BG207" s="213"/>
      <c r="BH207" s="213"/>
      <c r="BI207" s="213"/>
      <c r="BJ207" s="213"/>
      <c r="BK207" s="213"/>
      <c r="BL207" s="213"/>
      <c r="BM207" s="213"/>
      <c r="BN207" s="213"/>
      <c r="BO207" s="213"/>
      <c r="BP207" s="213"/>
      <c r="BQ207" s="213"/>
      <c r="BR207" s="326"/>
      <c r="BS207" s="213"/>
      <c r="BT207" s="213"/>
      <c r="BU207" s="213"/>
      <c r="BV207" s="213"/>
      <c r="BW207" s="213"/>
      <c r="BX207" s="213"/>
      <c r="BY207" s="213"/>
      <c r="BZ207" s="213"/>
      <c r="CA207" s="213"/>
      <c r="CB207" s="213"/>
      <c r="CC207" s="213"/>
      <c r="CD207" s="213"/>
      <c r="CE207" s="213"/>
      <c r="CF207" s="213"/>
      <c r="CG207" s="213"/>
      <c r="CH207" s="213"/>
      <c r="CI207" s="213"/>
      <c r="CJ207" s="213"/>
      <c r="CK207" s="213"/>
      <c r="CL207" s="213"/>
      <c r="CM207" s="213"/>
      <c r="CN207" s="213"/>
      <c r="CO207" s="213"/>
      <c r="CP207" s="213"/>
    </row>
    <row r="208" ht="15.75" customHeight="1">
      <c r="A208" s="213"/>
      <c r="B208" s="213"/>
      <c r="C208" s="213"/>
      <c r="D208" s="213"/>
      <c r="E208" s="213"/>
      <c r="F208" s="213"/>
      <c r="G208" s="213"/>
      <c r="H208" s="213"/>
      <c r="I208" s="213"/>
      <c r="J208" s="213"/>
      <c r="K208" s="213"/>
      <c r="L208" s="213"/>
      <c r="M208" s="213"/>
      <c r="N208" s="213"/>
      <c r="O208" s="213"/>
      <c r="P208" s="213"/>
      <c r="Q208" s="213"/>
      <c r="R208" s="213"/>
      <c r="S208" s="213"/>
      <c r="T208" s="213"/>
      <c r="U208" s="213"/>
      <c r="V208" s="213"/>
      <c r="W208" s="238"/>
      <c r="X208" s="213"/>
      <c r="Y208" s="213"/>
      <c r="Z208" s="213"/>
      <c r="AA208" s="213"/>
      <c r="AB208" s="213"/>
      <c r="AC208" s="213"/>
      <c r="AD208" s="213"/>
      <c r="AE208" s="213"/>
      <c r="AF208" s="213"/>
      <c r="AG208" s="213"/>
      <c r="AH208" s="213"/>
      <c r="AI208" s="213"/>
      <c r="AJ208" s="213"/>
      <c r="AK208" s="213"/>
      <c r="AL208" s="213"/>
      <c r="AM208" s="213"/>
      <c r="AN208" s="213"/>
      <c r="AO208" s="213"/>
      <c r="AP208" s="213"/>
      <c r="AQ208" s="213"/>
      <c r="AR208" s="213"/>
      <c r="AS208" s="213"/>
      <c r="AT208" s="213"/>
      <c r="AU208" s="213"/>
      <c r="AV208" s="213"/>
      <c r="AW208" s="213"/>
      <c r="AX208" s="213"/>
      <c r="AY208" s="213"/>
      <c r="AZ208" s="213"/>
      <c r="BA208" s="213"/>
      <c r="BB208" s="213"/>
      <c r="BC208" s="213"/>
      <c r="BD208" s="213"/>
      <c r="BE208" s="213"/>
      <c r="BF208" s="213"/>
      <c r="BG208" s="213"/>
      <c r="BH208" s="213"/>
      <c r="BI208" s="213"/>
      <c r="BJ208" s="213"/>
      <c r="BK208" s="213"/>
      <c r="BL208" s="213"/>
      <c r="BM208" s="213"/>
      <c r="BN208" s="213"/>
      <c r="BO208" s="213"/>
      <c r="BP208" s="213"/>
      <c r="BQ208" s="213"/>
      <c r="BR208" s="326"/>
      <c r="BS208" s="213"/>
      <c r="BT208" s="213"/>
      <c r="BU208" s="213"/>
      <c r="BV208" s="213"/>
      <c r="BW208" s="213"/>
      <c r="BX208" s="213"/>
      <c r="BY208" s="213"/>
      <c r="BZ208" s="213"/>
      <c r="CA208" s="213"/>
      <c r="CB208" s="213"/>
      <c r="CC208" s="213"/>
      <c r="CD208" s="213"/>
      <c r="CE208" s="213"/>
      <c r="CF208" s="213"/>
      <c r="CG208" s="213"/>
      <c r="CH208" s="213"/>
      <c r="CI208" s="213"/>
      <c r="CJ208" s="213"/>
      <c r="CK208" s="213"/>
      <c r="CL208" s="213"/>
      <c r="CM208" s="213"/>
      <c r="CN208" s="213"/>
      <c r="CO208" s="213"/>
      <c r="CP208" s="213"/>
    </row>
    <row r="209" ht="15.75" customHeight="1">
      <c r="A209" s="213"/>
      <c r="B209" s="213"/>
      <c r="C209" s="213"/>
      <c r="D209" s="213"/>
      <c r="E209" s="213"/>
      <c r="F209" s="213"/>
      <c r="G209" s="213"/>
      <c r="H209" s="213"/>
      <c r="I209" s="213"/>
      <c r="J209" s="213"/>
      <c r="K209" s="213"/>
      <c r="L209" s="213"/>
      <c r="M209" s="213"/>
      <c r="N209" s="213"/>
      <c r="O209" s="213"/>
      <c r="P209" s="213"/>
      <c r="Q209" s="213"/>
      <c r="R209" s="213"/>
      <c r="S209" s="213"/>
      <c r="T209" s="213"/>
      <c r="U209" s="213"/>
      <c r="V209" s="213"/>
      <c r="W209" s="238"/>
      <c r="X209" s="213"/>
      <c r="Y209" s="213"/>
      <c r="Z209" s="213"/>
      <c r="AA209" s="213"/>
      <c r="AB209" s="213"/>
      <c r="AC209" s="213"/>
      <c r="AD209" s="213"/>
      <c r="AE209" s="213"/>
      <c r="AF209" s="213"/>
      <c r="AG209" s="213"/>
      <c r="AH209" s="213"/>
      <c r="AI209" s="213"/>
      <c r="AJ209" s="213"/>
      <c r="AK209" s="213"/>
      <c r="AL209" s="213"/>
      <c r="AM209" s="213"/>
      <c r="AN209" s="213"/>
      <c r="AO209" s="213"/>
      <c r="AP209" s="213"/>
      <c r="AQ209" s="213"/>
      <c r="AR209" s="213"/>
      <c r="AS209" s="213"/>
      <c r="AT209" s="213"/>
      <c r="AU209" s="213"/>
      <c r="AV209" s="213"/>
      <c r="AW209" s="213"/>
      <c r="AX209" s="213"/>
      <c r="AY209" s="213"/>
      <c r="AZ209" s="213"/>
      <c r="BA209" s="213"/>
      <c r="BB209" s="213"/>
      <c r="BC209" s="213"/>
      <c r="BD209" s="213"/>
      <c r="BE209" s="213"/>
      <c r="BF209" s="213"/>
      <c r="BG209" s="213"/>
      <c r="BH209" s="213"/>
      <c r="BI209" s="213"/>
      <c r="BJ209" s="213"/>
      <c r="BK209" s="213"/>
      <c r="BL209" s="213"/>
      <c r="BM209" s="213"/>
      <c r="BN209" s="213"/>
      <c r="BO209" s="213"/>
      <c r="BP209" s="213"/>
      <c r="BQ209" s="213"/>
      <c r="BR209" s="326"/>
      <c r="BS209" s="213"/>
      <c r="BT209" s="213"/>
      <c r="BU209" s="213"/>
      <c r="BV209" s="213"/>
      <c r="BW209" s="213"/>
      <c r="BX209" s="213"/>
      <c r="BY209" s="213"/>
      <c r="BZ209" s="213"/>
      <c r="CA209" s="213"/>
      <c r="CB209" s="213"/>
      <c r="CC209" s="213"/>
      <c r="CD209" s="213"/>
      <c r="CE209" s="213"/>
      <c r="CF209" s="213"/>
      <c r="CG209" s="213"/>
      <c r="CH209" s="213"/>
      <c r="CI209" s="213"/>
      <c r="CJ209" s="213"/>
      <c r="CK209" s="213"/>
      <c r="CL209" s="213"/>
      <c r="CM209" s="213"/>
      <c r="CN209" s="213"/>
      <c r="CO209" s="213"/>
      <c r="CP209" s="213"/>
    </row>
    <row r="210" ht="15.75" customHeight="1">
      <c r="A210" s="213"/>
      <c r="B210" s="213"/>
      <c r="C210" s="213"/>
      <c r="D210" s="213"/>
      <c r="E210" s="213"/>
      <c r="F210" s="213"/>
      <c r="G210" s="213"/>
      <c r="H210" s="213"/>
      <c r="I210" s="213"/>
      <c r="J210" s="213"/>
      <c r="K210" s="213"/>
      <c r="L210" s="213"/>
      <c r="M210" s="213"/>
      <c r="N210" s="213"/>
      <c r="O210" s="213"/>
      <c r="P210" s="213"/>
      <c r="Q210" s="213"/>
      <c r="R210" s="213"/>
      <c r="S210" s="213"/>
      <c r="T210" s="213"/>
      <c r="U210" s="213"/>
      <c r="V210" s="213"/>
      <c r="W210" s="238"/>
      <c r="X210" s="213"/>
      <c r="Y210" s="213"/>
      <c r="Z210" s="213"/>
      <c r="AA210" s="213"/>
      <c r="AB210" s="213"/>
      <c r="AC210" s="213"/>
      <c r="AD210" s="213"/>
      <c r="AE210" s="213"/>
      <c r="AF210" s="213"/>
      <c r="AG210" s="213"/>
      <c r="AH210" s="213"/>
      <c r="AI210" s="213"/>
      <c r="AJ210" s="213"/>
      <c r="AK210" s="213"/>
      <c r="AL210" s="213"/>
      <c r="AM210" s="213"/>
      <c r="AN210" s="213"/>
      <c r="AO210" s="213"/>
      <c r="AP210" s="213"/>
      <c r="AQ210" s="213"/>
      <c r="AR210" s="213"/>
      <c r="AS210" s="213"/>
      <c r="AT210" s="213"/>
      <c r="AU210" s="213"/>
      <c r="AV210" s="213"/>
      <c r="AW210" s="213"/>
      <c r="AX210" s="213"/>
      <c r="AY210" s="213"/>
      <c r="AZ210" s="213"/>
      <c r="BA210" s="213"/>
      <c r="BB210" s="213"/>
      <c r="BC210" s="213"/>
      <c r="BD210" s="213"/>
      <c r="BE210" s="213"/>
      <c r="BF210" s="213"/>
      <c r="BG210" s="213"/>
      <c r="BH210" s="213"/>
      <c r="BI210" s="213"/>
      <c r="BJ210" s="213"/>
      <c r="BK210" s="213"/>
      <c r="BL210" s="213"/>
      <c r="BM210" s="213"/>
      <c r="BN210" s="213"/>
      <c r="BO210" s="213"/>
      <c r="BP210" s="213"/>
      <c r="BQ210" s="213"/>
      <c r="BR210" s="326"/>
      <c r="BS210" s="213"/>
      <c r="BT210" s="213"/>
      <c r="BU210" s="213"/>
      <c r="BV210" s="213"/>
      <c r="BW210" s="213"/>
      <c r="BX210" s="213"/>
      <c r="BY210" s="213"/>
      <c r="BZ210" s="213"/>
      <c r="CA210" s="213"/>
      <c r="CB210" s="213"/>
      <c r="CC210" s="213"/>
      <c r="CD210" s="213"/>
      <c r="CE210" s="213"/>
      <c r="CF210" s="213"/>
      <c r="CG210" s="213"/>
      <c r="CH210" s="213"/>
      <c r="CI210" s="213"/>
      <c r="CJ210" s="213"/>
      <c r="CK210" s="213"/>
      <c r="CL210" s="213"/>
      <c r="CM210" s="213"/>
      <c r="CN210" s="213"/>
      <c r="CO210" s="213"/>
      <c r="CP210" s="213"/>
    </row>
    <row r="211" ht="15.75" customHeight="1">
      <c r="A211" s="213"/>
      <c r="B211" s="213"/>
      <c r="C211" s="213"/>
      <c r="D211" s="213"/>
      <c r="E211" s="213"/>
      <c r="F211" s="213"/>
      <c r="G211" s="213"/>
      <c r="H211" s="213"/>
      <c r="I211" s="213"/>
      <c r="J211" s="213"/>
      <c r="K211" s="213"/>
      <c r="L211" s="213"/>
      <c r="M211" s="213"/>
      <c r="N211" s="213"/>
      <c r="O211" s="213"/>
      <c r="P211" s="213"/>
      <c r="Q211" s="213"/>
      <c r="R211" s="213"/>
      <c r="S211" s="213"/>
      <c r="T211" s="213"/>
      <c r="U211" s="213"/>
      <c r="V211" s="213"/>
      <c r="W211" s="238"/>
      <c r="X211" s="213"/>
      <c r="Y211" s="213"/>
      <c r="Z211" s="213"/>
      <c r="AA211" s="213"/>
      <c r="AB211" s="213"/>
      <c r="AC211" s="213"/>
      <c r="AD211" s="213"/>
      <c r="AE211" s="213"/>
      <c r="AF211" s="213"/>
      <c r="AG211" s="213"/>
      <c r="AH211" s="213"/>
      <c r="AI211" s="213"/>
      <c r="AJ211" s="213"/>
      <c r="AK211" s="213"/>
      <c r="AL211" s="213"/>
      <c r="AM211" s="213"/>
      <c r="AN211" s="213"/>
      <c r="AO211" s="213"/>
      <c r="AP211" s="213"/>
      <c r="AQ211" s="213"/>
      <c r="AR211" s="213"/>
      <c r="AS211" s="213"/>
      <c r="AT211" s="213"/>
      <c r="AU211" s="213"/>
      <c r="AV211" s="213"/>
      <c r="AW211" s="213"/>
      <c r="AX211" s="213"/>
      <c r="AY211" s="213"/>
      <c r="AZ211" s="213"/>
      <c r="BA211" s="213"/>
      <c r="BB211" s="213"/>
      <c r="BC211" s="213"/>
      <c r="BD211" s="213"/>
      <c r="BE211" s="213"/>
      <c r="BF211" s="213"/>
      <c r="BG211" s="213"/>
      <c r="BH211" s="213"/>
      <c r="BI211" s="213"/>
      <c r="BJ211" s="213"/>
      <c r="BK211" s="213"/>
      <c r="BL211" s="213"/>
      <c r="BM211" s="213"/>
      <c r="BN211" s="213"/>
      <c r="BO211" s="213"/>
      <c r="BP211" s="213"/>
      <c r="BQ211" s="213"/>
      <c r="BR211" s="326"/>
      <c r="BS211" s="213"/>
      <c r="BT211" s="213"/>
      <c r="BU211" s="213"/>
      <c r="BV211" s="213"/>
      <c r="BW211" s="213"/>
      <c r="BX211" s="213"/>
      <c r="BY211" s="213"/>
      <c r="BZ211" s="213"/>
      <c r="CA211" s="213"/>
      <c r="CB211" s="213"/>
      <c r="CC211" s="213"/>
      <c r="CD211" s="213"/>
      <c r="CE211" s="213"/>
      <c r="CF211" s="213"/>
      <c r="CG211" s="213"/>
      <c r="CH211" s="213"/>
      <c r="CI211" s="213"/>
      <c r="CJ211" s="213"/>
      <c r="CK211" s="213"/>
      <c r="CL211" s="213"/>
      <c r="CM211" s="213"/>
      <c r="CN211" s="213"/>
      <c r="CO211" s="213"/>
      <c r="CP211" s="213"/>
    </row>
    <row r="212" ht="15.75" customHeight="1">
      <c r="A212" s="213"/>
      <c r="B212" s="213"/>
      <c r="C212" s="213"/>
      <c r="D212" s="213"/>
      <c r="E212" s="213"/>
      <c r="F212" s="213"/>
      <c r="G212" s="213"/>
      <c r="H212" s="213"/>
      <c r="I212" s="213"/>
      <c r="J212" s="213"/>
      <c r="K212" s="213"/>
      <c r="L212" s="213"/>
      <c r="M212" s="213"/>
      <c r="N212" s="213"/>
      <c r="O212" s="213"/>
      <c r="P212" s="213"/>
      <c r="Q212" s="213"/>
      <c r="R212" s="213"/>
      <c r="S212" s="213"/>
      <c r="T212" s="213"/>
      <c r="U212" s="213"/>
      <c r="V212" s="213"/>
      <c r="W212" s="238"/>
      <c r="X212" s="213"/>
      <c r="Y212" s="213"/>
      <c r="Z212" s="213"/>
      <c r="AA212" s="213"/>
      <c r="AB212" s="213"/>
      <c r="AC212" s="213"/>
      <c r="AD212" s="213"/>
      <c r="AE212" s="213"/>
      <c r="AF212" s="213"/>
      <c r="AG212" s="213"/>
      <c r="AH212" s="213"/>
      <c r="AI212" s="213"/>
      <c r="AJ212" s="213"/>
      <c r="AK212" s="213"/>
      <c r="AL212" s="213"/>
      <c r="AM212" s="213"/>
      <c r="AN212" s="213"/>
      <c r="AO212" s="213"/>
      <c r="AP212" s="213"/>
      <c r="AQ212" s="213"/>
      <c r="AR212" s="213"/>
      <c r="AS212" s="213"/>
      <c r="AT212" s="213"/>
      <c r="AU212" s="213"/>
      <c r="AV212" s="213"/>
      <c r="AW212" s="213"/>
      <c r="AX212" s="213"/>
      <c r="AY212" s="213"/>
      <c r="AZ212" s="213"/>
      <c r="BA212" s="213"/>
      <c r="BB212" s="213"/>
      <c r="BC212" s="213"/>
      <c r="BD212" s="213"/>
      <c r="BE212" s="213"/>
      <c r="BF212" s="213"/>
      <c r="BG212" s="213"/>
      <c r="BH212" s="213"/>
      <c r="BI212" s="213"/>
      <c r="BJ212" s="213"/>
      <c r="BK212" s="213"/>
      <c r="BL212" s="213"/>
      <c r="BM212" s="213"/>
      <c r="BN212" s="213"/>
      <c r="BO212" s="213"/>
      <c r="BP212" s="213"/>
      <c r="BQ212" s="213"/>
      <c r="BR212" s="326"/>
      <c r="BS212" s="213"/>
      <c r="BT212" s="213"/>
      <c r="BU212" s="213"/>
      <c r="BV212" s="213"/>
      <c r="BW212" s="213"/>
      <c r="BX212" s="213"/>
      <c r="BY212" s="213"/>
      <c r="BZ212" s="213"/>
      <c r="CA212" s="213"/>
      <c r="CB212" s="213"/>
      <c r="CC212" s="213"/>
      <c r="CD212" s="213"/>
      <c r="CE212" s="213"/>
      <c r="CF212" s="213"/>
      <c r="CG212" s="213"/>
      <c r="CH212" s="213"/>
      <c r="CI212" s="213"/>
      <c r="CJ212" s="213"/>
      <c r="CK212" s="213"/>
      <c r="CL212" s="213"/>
      <c r="CM212" s="213"/>
      <c r="CN212" s="213"/>
      <c r="CO212" s="213"/>
      <c r="CP212" s="213"/>
    </row>
    <row r="213" ht="15.75" customHeight="1">
      <c r="A213" s="213"/>
      <c r="B213" s="213"/>
      <c r="C213" s="213"/>
      <c r="D213" s="213"/>
      <c r="E213" s="213"/>
      <c r="F213" s="213"/>
      <c r="G213" s="213"/>
      <c r="H213" s="213"/>
      <c r="I213" s="213"/>
      <c r="J213" s="213"/>
      <c r="K213" s="213"/>
      <c r="L213" s="213"/>
      <c r="M213" s="213"/>
      <c r="N213" s="213"/>
      <c r="O213" s="213"/>
      <c r="P213" s="213"/>
      <c r="Q213" s="213"/>
      <c r="R213" s="213"/>
      <c r="S213" s="213"/>
      <c r="T213" s="213"/>
      <c r="U213" s="213"/>
      <c r="V213" s="213"/>
      <c r="W213" s="238"/>
      <c r="X213" s="213"/>
      <c r="Y213" s="213"/>
      <c r="Z213" s="213"/>
      <c r="AA213" s="213"/>
      <c r="AB213" s="213"/>
      <c r="AC213" s="213"/>
      <c r="AD213" s="213"/>
      <c r="AE213" s="213"/>
      <c r="AF213" s="213"/>
      <c r="AG213" s="213"/>
      <c r="AH213" s="213"/>
      <c r="AI213" s="213"/>
      <c r="AJ213" s="213"/>
      <c r="AK213" s="213"/>
      <c r="AL213" s="213"/>
      <c r="AM213" s="213"/>
      <c r="AN213" s="213"/>
      <c r="AO213" s="213"/>
      <c r="AP213" s="213"/>
      <c r="AQ213" s="213"/>
      <c r="AR213" s="213"/>
      <c r="AS213" s="213"/>
      <c r="AT213" s="213"/>
      <c r="AU213" s="213"/>
      <c r="AV213" s="213"/>
      <c r="AW213" s="213"/>
      <c r="AX213" s="213"/>
      <c r="AY213" s="213"/>
      <c r="AZ213" s="213"/>
      <c r="BA213" s="213"/>
      <c r="BB213" s="213"/>
      <c r="BC213" s="213"/>
      <c r="BD213" s="213"/>
      <c r="BE213" s="213"/>
      <c r="BF213" s="213"/>
      <c r="BG213" s="213"/>
      <c r="BH213" s="213"/>
      <c r="BI213" s="213"/>
      <c r="BJ213" s="213"/>
      <c r="BK213" s="213"/>
      <c r="BL213" s="213"/>
      <c r="BM213" s="213"/>
      <c r="BN213" s="213"/>
      <c r="BO213" s="213"/>
      <c r="BP213" s="213"/>
      <c r="BQ213" s="213"/>
      <c r="BR213" s="326"/>
      <c r="BS213" s="213"/>
      <c r="BT213" s="213"/>
      <c r="BU213" s="213"/>
      <c r="BV213" s="213"/>
      <c r="BW213" s="213"/>
      <c r="BX213" s="213"/>
      <c r="BY213" s="213"/>
      <c r="BZ213" s="213"/>
      <c r="CA213" s="213"/>
      <c r="CB213" s="213"/>
      <c r="CC213" s="213"/>
      <c r="CD213" s="213"/>
      <c r="CE213" s="213"/>
      <c r="CF213" s="213"/>
      <c r="CG213" s="213"/>
      <c r="CH213" s="213"/>
      <c r="CI213" s="213"/>
      <c r="CJ213" s="213"/>
      <c r="CK213" s="213"/>
      <c r="CL213" s="213"/>
      <c r="CM213" s="213"/>
      <c r="CN213" s="213"/>
      <c r="CO213" s="213"/>
      <c r="CP213" s="213"/>
    </row>
    <row r="214" ht="15.75" customHeight="1">
      <c r="A214" s="213"/>
      <c r="B214" s="213"/>
      <c r="C214" s="213"/>
      <c r="D214" s="213"/>
      <c r="E214" s="213"/>
      <c r="F214" s="213"/>
      <c r="G214" s="213"/>
      <c r="H214" s="213"/>
      <c r="I214" s="213"/>
      <c r="J214" s="213"/>
      <c r="K214" s="213"/>
      <c r="L214" s="213"/>
      <c r="M214" s="213"/>
      <c r="N214" s="213"/>
      <c r="O214" s="213"/>
      <c r="P214" s="213"/>
      <c r="Q214" s="213"/>
      <c r="R214" s="213"/>
      <c r="S214" s="213"/>
      <c r="T214" s="213"/>
      <c r="U214" s="213"/>
      <c r="V214" s="213"/>
      <c r="W214" s="238"/>
      <c r="X214" s="213"/>
      <c r="Y214" s="213"/>
      <c r="Z214" s="213"/>
      <c r="AA214" s="213"/>
      <c r="AB214" s="213"/>
      <c r="AC214" s="213"/>
      <c r="AD214" s="213"/>
      <c r="AE214" s="213"/>
      <c r="AF214" s="213"/>
      <c r="AG214" s="213"/>
      <c r="AH214" s="213"/>
      <c r="AI214" s="213"/>
      <c r="AJ214" s="213"/>
      <c r="AK214" s="213"/>
      <c r="AL214" s="213"/>
      <c r="AM214" s="213"/>
      <c r="AN214" s="213"/>
      <c r="AO214" s="213"/>
      <c r="AP214" s="213"/>
      <c r="AQ214" s="213"/>
      <c r="AR214" s="213"/>
      <c r="AS214" s="213"/>
      <c r="AT214" s="213"/>
      <c r="AU214" s="213"/>
      <c r="AV214" s="213"/>
      <c r="AW214" s="213"/>
      <c r="AX214" s="213"/>
      <c r="AY214" s="213"/>
      <c r="AZ214" s="213"/>
      <c r="BA214" s="213"/>
      <c r="BB214" s="213"/>
      <c r="BC214" s="213"/>
      <c r="BD214" s="213"/>
      <c r="BE214" s="213"/>
      <c r="BF214" s="213"/>
      <c r="BG214" s="213"/>
      <c r="BH214" s="213"/>
      <c r="BI214" s="213"/>
      <c r="BJ214" s="213"/>
      <c r="BK214" s="213"/>
      <c r="BL214" s="213"/>
      <c r="BM214" s="213"/>
      <c r="BN214" s="213"/>
      <c r="BO214" s="213"/>
      <c r="BP214" s="213"/>
      <c r="BQ214" s="213"/>
      <c r="BR214" s="326"/>
      <c r="BS214" s="213"/>
      <c r="BT214" s="213"/>
      <c r="BU214" s="213"/>
      <c r="BV214" s="213"/>
      <c r="BW214" s="213"/>
      <c r="BX214" s="213"/>
      <c r="BY214" s="213"/>
      <c r="BZ214" s="213"/>
      <c r="CA214" s="213"/>
      <c r="CB214" s="213"/>
      <c r="CC214" s="213"/>
      <c r="CD214" s="213"/>
      <c r="CE214" s="213"/>
      <c r="CF214" s="213"/>
      <c r="CG214" s="213"/>
      <c r="CH214" s="213"/>
      <c r="CI214" s="213"/>
      <c r="CJ214" s="213"/>
      <c r="CK214" s="213"/>
      <c r="CL214" s="213"/>
      <c r="CM214" s="213"/>
      <c r="CN214" s="213"/>
      <c r="CO214" s="213"/>
      <c r="CP214" s="213"/>
    </row>
    <row r="215" ht="15.75" customHeight="1">
      <c r="A215" s="213"/>
      <c r="B215" s="213"/>
      <c r="C215" s="213"/>
      <c r="D215" s="213"/>
      <c r="E215" s="213"/>
      <c r="F215" s="213"/>
      <c r="G215" s="213"/>
      <c r="H215" s="213"/>
      <c r="I215" s="213"/>
      <c r="J215" s="213"/>
      <c r="K215" s="213"/>
      <c r="L215" s="213"/>
      <c r="M215" s="213"/>
      <c r="N215" s="213"/>
      <c r="O215" s="213"/>
      <c r="P215" s="213"/>
      <c r="Q215" s="213"/>
      <c r="R215" s="213"/>
      <c r="S215" s="213"/>
      <c r="T215" s="213"/>
      <c r="U215" s="213"/>
      <c r="V215" s="213"/>
      <c r="W215" s="238"/>
      <c r="X215" s="213"/>
      <c r="Y215" s="213"/>
      <c r="Z215" s="213"/>
      <c r="AA215" s="213"/>
      <c r="AB215" s="213"/>
      <c r="AC215" s="213"/>
      <c r="AD215" s="213"/>
      <c r="AE215" s="213"/>
      <c r="AF215" s="213"/>
      <c r="AG215" s="213"/>
      <c r="AH215" s="213"/>
      <c r="AI215" s="213"/>
      <c r="AJ215" s="213"/>
      <c r="AK215" s="213"/>
      <c r="AL215" s="213"/>
      <c r="AM215" s="213"/>
      <c r="AN215" s="213"/>
      <c r="AO215" s="213"/>
      <c r="AP215" s="213"/>
      <c r="AQ215" s="213"/>
      <c r="AR215" s="213"/>
      <c r="AS215" s="213"/>
      <c r="AT215" s="213"/>
      <c r="AU215" s="213"/>
      <c r="AV215" s="213"/>
      <c r="AW215" s="213"/>
      <c r="AX215" s="213"/>
      <c r="AY215" s="213"/>
      <c r="AZ215" s="213"/>
      <c r="BA215" s="213"/>
      <c r="BB215" s="213"/>
      <c r="BC215" s="213"/>
      <c r="BD215" s="213"/>
      <c r="BE215" s="213"/>
      <c r="BF215" s="213"/>
      <c r="BG215" s="213"/>
      <c r="BH215" s="213"/>
      <c r="BI215" s="213"/>
      <c r="BJ215" s="213"/>
      <c r="BK215" s="213"/>
      <c r="BL215" s="213"/>
      <c r="BM215" s="213"/>
      <c r="BN215" s="213"/>
      <c r="BO215" s="213"/>
      <c r="BP215" s="213"/>
      <c r="BQ215" s="213"/>
      <c r="BR215" s="326"/>
      <c r="BS215" s="213"/>
      <c r="BT215" s="213"/>
      <c r="BU215" s="213"/>
      <c r="BV215" s="213"/>
      <c r="BW215" s="213"/>
      <c r="BX215" s="213"/>
      <c r="BY215" s="213"/>
      <c r="BZ215" s="213"/>
      <c r="CA215" s="213"/>
      <c r="CB215" s="213"/>
      <c r="CC215" s="213"/>
      <c r="CD215" s="213"/>
      <c r="CE215" s="213"/>
      <c r="CF215" s="213"/>
      <c r="CG215" s="213"/>
      <c r="CH215" s="213"/>
      <c r="CI215" s="213"/>
      <c r="CJ215" s="213"/>
      <c r="CK215" s="213"/>
      <c r="CL215" s="213"/>
      <c r="CM215" s="213"/>
      <c r="CN215" s="213"/>
      <c r="CO215" s="213"/>
      <c r="CP215" s="213"/>
    </row>
    <row r="216" ht="15.75" customHeight="1">
      <c r="A216" s="213"/>
      <c r="B216" s="213"/>
      <c r="C216" s="213"/>
      <c r="D216" s="213"/>
      <c r="E216" s="213"/>
      <c r="F216" s="213"/>
      <c r="G216" s="213"/>
      <c r="H216" s="213"/>
      <c r="I216" s="213"/>
      <c r="J216" s="213"/>
      <c r="K216" s="213"/>
      <c r="L216" s="213"/>
      <c r="M216" s="213"/>
      <c r="N216" s="213"/>
      <c r="O216" s="213"/>
      <c r="P216" s="213"/>
      <c r="Q216" s="213"/>
      <c r="R216" s="213"/>
      <c r="S216" s="213"/>
      <c r="T216" s="213"/>
      <c r="U216" s="213"/>
      <c r="V216" s="213"/>
      <c r="W216" s="238"/>
      <c r="X216" s="213"/>
      <c r="Y216" s="213"/>
      <c r="Z216" s="213"/>
      <c r="AA216" s="213"/>
      <c r="AB216" s="213"/>
      <c r="AC216" s="213"/>
      <c r="AD216" s="213"/>
      <c r="AE216" s="213"/>
      <c r="AF216" s="213"/>
      <c r="AG216" s="213"/>
      <c r="AH216" s="213"/>
      <c r="AI216" s="213"/>
      <c r="AJ216" s="213"/>
      <c r="AK216" s="213"/>
      <c r="AL216" s="213"/>
      <c r="AM216" s="213"/>
      <c r="AN216" s="213"/>
      <c r="AO216" s="213"/>
      <c r="AP216" s="213"/>
      <c r="AQ216" s="213"/>
      <c r="AR216" s="213"/>
      <c r="AS216" s="213"/>
      <c r="AT216" s="213"/>
      <c r="AU216" s="213"/>
      <c r="AV216" s="213"/>
      <c r="AW216" s="213"/>
      <c r="AX216" s="213"/>
      <c r="AY216" s="213"/>
      <c r="AZ216" s="213"/>
      <c r="BA216" s="213"/>
      <c r="BB216" s="213"/>
      <c r="BC216" s="213"/>
      <c r="BD216" s="213"/>
      <c r="BE216" s="213"/>
      <c r="BF216" s="213"/>
      <c r="BG216" s="213"/>
      <c r="BH216" s="213"/>
      <c r="BI216" s="213"/>
      <c r="BJ216" s="213"/>
      <c r="BK216" s="213"/>
      <c r="BL216" s="213"/>
      <c r="BM216" s="213"/>
      <c r="BN216" s="213"/>
      <c r="BO216" s="213"/>
      <c r="BP216" s="213"/>
      <c r="BQ216" s="213"/>
      <c r="BR216" s="326"/>
      <c r="BS216" s="213"/>
      <c r="BT216" s="213"/>
      <c r="BU216" s="213"/>
      <c r="BV216" s="213"/>
      <c r="BW216" s="213"/>
      <c r="BX216" s="213"/>
      <c r="BY216" s="213"/>
      <c r="BZ216" s="213"/>
      <c r="CA216" s="213"/>
      <c r="CB216" s="213"/>
      <c r="CC216" s="213"/>
      <c r="CD216" s="213"/>
      <c r="CE216" s="213"/>
      <c r="CF216" s="213"/>
      <c r="CG216" s="213"/>
      <c r="CH216" s="213"/>
      <c r="CI216" s="213"/>
      <c r="CJ216" s="213"/>
      <c r="CK216" s="213"/>
      <c r="CL216" s="213"/>
      <c r="CM216" s="213"/>
      <c r="CN216" s="213"/>
      <c r="CO216" s="213"/>
      <c r="CP216" s="213"/>
    </row>
    <row r="217" ht="15.75" customHeight="1">
      <c r="A217" s="213"/>
      <c r="B217" s="213"/>
      <c r="C217" s="213"/>
      <c r="D217" s="213"/>
      <c r="E217" s="213"/>
      <c r="F217" s="213"/>
      <c r="G217" s="213"/>
      <c r="H217" s="213"/>
      <c r="I217" s="213"/>
      <c r="J217" s="213"/>
      <c r="K217" s="213"/>
      <c r="L217" s="213"/>
      <c r="M217" s="213"/>
      <c r="N217" s="213"/>
      <c r="O217" s="213"/>
      <c r="P217" s="213"/>
      <c r="Q217" s="213"/>
      <c r="R217" s="213"/>
      <c r="S217" s="213"/>
      <c r="T217" s="213"/>
      <c r="U217" s="213"/>
      <c r="V217" s="213"/>
      <c r="W217" s="238"/>
      <c r="X217" s="213"/>
      <c r="Y217" s="213"/>
      <c r="Z217" s="213"/>
      <c r="AA217" s="213"/>
      <c r="AB217" s="213"/>
      <c r="AC217" s="213"/>
      <c r="AD217" s="213"/>
      <c r="AE217" s="213"/>
      <c r="AF217" s="213"/>
      <c r="AG217" s="213"/>
      <c r="AH217" s="213"/>
      <c r="AI217" s="213"/>
      <c r="AJ217" s="213"/>
      <c r="AK217" s="213"/>
      <c r="AL217" s="213"/>
      <c r="AM217" s="213"/>
      <c r="AN217" s="213"/>
      <c r="AO217" s="213"/>
      <c r="AP217" s="213"/>
      <c r="AQ217" s="213"/>
      <c r="AR217" s="213"/>
      <c r="AS217" s="213"/>
      <c r="AT217" s="213"/>
      <c r="AU217" s="213"/>
      <c r="AV217" s="213"/>
      <c r="AW217" s="213"/>
      <c r="AX217" s="213"/>
      <c r="AY217" s="213"/>
      <c r="AZ217" s="213"/>
      <c r="BA217" s="213"/>
      <c r="BB217" s="213"/>
      <c r="BC217" s="213"/>
      <c r="BD217" s="213"/>
      <c r="BE217" s="213"/>
      <c r="BF217" s="213"/>
      <c r="BG217" s="213"/>
      <c r="BH217" s="213"/>
      <c r="BI217" s="213"/>
      <c r="BJ217" s="213"/>
      <c r="BK217" s="213"/>
      <c r="BL217" s="213"/>
      <c r="BM217" s="213"/>
      <c r="BN217" s="213"/>
      <c r="BO217" s="213"/>
      <c r="BP217" s="213"/>
      <c r="BQ217" s="213"/>
      <c r="BR217" s="326"/>
      <c r="BS217" s="213"/>
      <c r="BT217" s="213"/>
      <c r="BU217" s="213"/>
      <c r="BV217" s="213"/>
      <c r="BW217" s="213"/>
      <c r="BX217" s="213"/>
      <c r="BY217" s="213"/>
      <c r="BZ217" s="213"/>
      <c r="CA217" s="213"/>
      <c r="CB217" s="213"/>
      <c r="CC217" s="213"/>
      <c r="CD217" s="213"/>
      <c r="CE217" s="213"/>
      <c r="CF217" s="213"/>
      <c r="CG217" s="213"/>
      <c r="CH217" s="213"/>
      <c r="CI217" s="213"/>
      <c r="CJ217" s="213"/>
      <c r="CK217" s="213"/>
      <c r="CL217" s="213"/>
      <c r="CM217" s="213"/>
      <c r="CN217" s="213"/>
      <c r="CO217" s="213"/>
      <c r="CP217" s="213"/>
    </row>
    <row r="218" ht="15.75" customHeight="1">
      <c r="A218" s="213"/>
      <c r="B218" s="213"/>
      <c r="C218" s="213"/>
      <c r="D218" s="213"/>
      <c r="E218" s="213"/>
      <c r="F218" s="213"/>
      <c r="G218" s="213"/>
      <c r="H218" s="213"/>
      <c r="I218" s="213"/>
      <c r="J218" s="213"/>
      <c r="K218" s="213"/>
      <c r="L218" s="213"/>
      <c r="M218" s="213"/>
      <c r="N218" s="213"/>
      <c r="O218" s="213"/>
      <c r="P218" s="213"/>
      <c r="Q218" s="213"/>
      <c r="R218" s="213"/>
      <c r="S218" s="213"/>
      <c r="T218" s="213"/>
      <c r="U218" s="213"/>
      <c r="V218" s="213"/>
      <c r="W218" s="238"/>
      <c r="X218" s="213"/>
      <c r="Y218" s="213"/>
      <c r="Z218" s="213"/>
      <c r="AA218" s="213"/>
      <c r="AB218" s="213"/>
      <c r="AC218" s="213"/>
      <c r="AD218" s="213"/>
      <c r="AE218" s="213"/>
      <c r="AF218" s="213"/>
      <c r="AG218" s="213"/>
      <c r="AH218" s="213"/>
      <c r="AI218" s="213"/>
      <c r="AJ218" s="213"/>
      <c r="AK218" s="213"/>
      <c r="AL218" s="213"/>
      <c r="AM218" s="213"/>
      <c r="AN218" s="213"/>
      <c r="AO218" s="213"/>
      <c r="AP218" s="213"/>
      <c r="AQ218" s="213"/>
      <c r="AR218" s="213"/>
      <c r="AS218" s="213"/>
      <c r="AT218" s="213"/>
      <c r="AU218" s="213"/>
      <c r="AV218" s="213"/>
      <c r="AW218" s="213"/>
      <c r="AX218" s="213"/>
      <c r="AY218" s="213"/>
      <c r="AZ218" s="213"/>
      <c r="BA218" s="213"/>
      <c r="BB218" s="213"/>
      <c r="BC218" s="213"/>
      <c r="BD218" s="213"/>
      <c r="BE218" s="213"/>
      <c r="BF218" s="213"/>
      <c r="BG218" s="213"/>
      <c r="BH218" s="213"/>
      <c r="BI218" s="213"/>
      <c r="BJ218" s="213"/>
      <c r="BK218" s="213"/>
      <c r="BL218" s="213"/>
      <c r="BM218" s="213"/>
      <c r="BN218" s="213"/>
      <c r="BO218" s="213"/>
      <c r="BP218" s="213"/>
      <c r="BQ218" s="213"/>
      <c r="BR218" s="326"/>
      <c r="BS218" s="213"/>
      <c r="BT218" s="213"/>
      <c r="BU218" s="213"/>
      <c r="BV218" s="213"/>
      <c r="BW218" s="213"/>
      <c r="BX218" s="213"/>
      <c r="BY218" s="213"/>
      <c r="BZ218" s="213"/>
      <c r="CA218" s="213"/>
      <c r="CB218" s="213"/>
      <c r="CC218" s="213"/>
      <c r="CD218" s="213"/>
      <c r="CE218" s="213"/>
      <c r="CF218" s="213"/>
      <c r="CG218" s="213"/>
      <c r="CH218" s="213"/>
      <c r="CI218" s="213"/>
      <c r="CJ218" s="213"/>
      <c r="CK218" s="213"/>
      <c r="CL218" s="213"/>
      <c r="CM218" s="213"/>
      <c r="CN218" s="213"/>
      <c r="CO218" s="213"/>
      <c r="CP218" s="213"/>
    </row>
    <row r="219" ht="15.75" customHeight="1">
      <c r="A219" s="213"/>
      <c r="B219" s="213"/>
      <c r="C219" s="213"/>
      <c r="D219" s="213"/>
      <c r="E219" s="213"/>
      <c r="F219" s="213"/>
      <c r="G219" s="213"/>
      <c r="H219" s="213"/>
      <c r="I219" s="213"/>
      <c r="J219" s="213"/>
      <c r="K219" s="213"/>
      <c r="L219" s="213"/>
      <c r="M219" s="213"/>
      <c r="N219" s="213"/>
      <c r="O219" s="213"/>
      <c r="P219" s="213"/>
      <c r="Q219" s="213"/>
      <c r="R219" s="213"/>
      <c r="S219" s="213"/>
      <c r="T219" s="213"/>
      <c r="U219" s="213"/>
      <c r="V219" s="213"/>
      <c r="W219" s="238"/>
      <c r="X219" s="213"/>
      <c r="Y219" s="213"/>
      <c r="Z219" s="213"/>
      <c r="AA219" s="213"/>
      <c r="AB219" s="213"/>
      <c r="AC219" s="213"/>
      <c r="AD219" s="213"/>
      <c r="AE219" s="213"/>
      <c r="AF219" s="213"/>
      <c r="AG219" s="213"/>
      <c r="AH219" s="213"/>
      <c r="AI219" s="213"/>
      <c r="AJ219" s="213"/>
      <c r="AK219" s="213"/>
      <c r="AL219" s="213"/>
      <c r="AM219" s="213"/>
      <c r="AN219" s="213"/>
      <c r="AO219" s="213"/>
      <c r="AP219" s="213"/>
      <c r="AQ219" s="213"/>
      <c r="AR219" s="213"/>
      <c r="AS219" s="213"/>
      <c r="AT219" s="213"/>
      <c r="AU219" s="213"/>
      <c r="AV219" s="213"/>
      <c r="AW219" s="213"/>
      <c r="AX219" s="213"/>
      <c r="AY219" s="213"/>
      <c r="AZ219" s="213"/>
      <c r="BA219" s="213"/>
      <c r="BB219" s="213"/>
      <c r="BC219" s="213"/>
      <c r="BD219" s="213"/>
      <c r="BE219" s="213"/>
      <c r="BF219" s="213"/>
      <c r="BG219" s="213"/>
      <c r="BH219" s="213"/>
      <c r="BI219" s="213"/>
      <c r="BJ219" s="213"/>
      <c r="BK219" s="213"/>
      <c r="BL219" s="213"/>
      <c r="BM219" s="213"/>
      <c r="BN219" s="213"/>
      <c r="BO219" s="213"/>
      <c r="BP219" s="213"/>
      <c r="BQ219" s="213"/>
      <c r="BR219" s="326"/>
      <c r="BS219" s="213"/>
      <c r="BT219" s="213"/>
      <c r="BU219" s="213"/>
      <c r="BV219" s="213"/>
      <c r="BW219" s="213"/>
      <c r="BX219" s="213"/>
      <c r="BY219" s="213"/>
      <c r="BZ219" s="213"/>
      <c r="CA219" s="213"/>
      <c r="CB219" s="213"/>
      <c r="CC219" s="213"/>
      <c r="CD219" s="213"/>
      <c r="CE219" s="213"/>
      <c r="CF219" s="213"/>
      <c r="CG219" s="213"/>
      <c r="CH219" s="213"/>
      <c r="CI219" s="213"/>
      <c r="CJ219" s="213"/>
      <c r="CK219" s="213"/>
      <c r="CL219" s="213"/>
      <c r="CM219" s="213"/>
      <c r="CN219" s="213"/>
      <c r="CO219" s="213"/>
      <c r="CP219" s="213"/>
    </row>
    <row r="220" ht="15.75" customHeight="1">
      <c r="A220" s="213"/>
      <c r="B220" s="213"/>
      <c r="C220" s="213"/>
      <c r="D220" s="213"/>
      <c r="E220" s="213"/>
      <c r="F220" s="213"/>
      <c r="G220" s="213"/>
      <c r="H220" s="213"/>
      <c r="I220" s="213"/>
      <c r="J220" s="213"/>
      <c r="K220" s="213"/>
      <c r="L220" s="213"/>
      <c r="M220" s="213"/>
      <c r="N220" s="213"/>
      <c r="O220" s="213"/>
      <c r="P220" s="213"/>
      <c r="Q220" s="213"/>
      <c r="R220" s="213"/>
      <c r="S220" s="213"/>
      <c r="T220" s="213"/>
      <c r="U220" s="213"/>
      <c r="V220" s="213"/>
      <c r="W220" s="238"/>
      <c r="X220" s="213"/>
      <c r="Y220" s="213"/>
      <c r="Z220" s="213"/>
      <c r="AA220" s="213"/>
      <c r="AB220" s="213"/>
      <c r="AC220" s="213"/>
      <c r="AD220" s="213"/>
      <c r="AE220" s="213"/>
      <c r="AF220" s="213"/>
      <c r="AG220" s="213"/>
      <c r="AH220" s="213"/>
      <c r="AI220" s="213"/>
      <c r="AJ220" s="213"/>
      <c r="AK220" s="213"/>
      <c r="AL220" s="213"/>
      <c r="AM220" s="213"/>
      <c r="AN220" s="213"/>
      <c r="AO220" s="213"/>
      <c r="AP220" s="213"/>
      <c r="AQ220" s="213"/>
      <c r="AR220" s="213"/>
      <c r="AS220" s="213"/>
      <c r="AT220" s="213"/>
      <c r="AU220" s="213"/>
      <c r="AV220" s="213"/>
      <c r="AW220" s="213"/>
      <c r="AX220" s="213"/>
      <c r="AY220" s="213"/>
      <c r="AZ220" s="213"/>
      <c r="BA220" s="213"/>
      <c r="BB220" s="213"/>
      <c r="BC220" s="213"/>
      <c r="BD220" s="213"/>
      <c r="BE220" s="213"/>
      <c r="BF220" s="213"/>
      <c r="BG220" s="213"/>
      <c r="BH220" s="213"/>
      <c r="BI220" s="213"/>
      <c r="BJ220" s="213"/>
      <c r="BK220" s="213"/>
      <c r="BL220" s="213"/>
      <c r="BM220" s="213"/>
      <c r="BN220" s="213"/>
      <c r="BO220" s="213"/>
      <c r="BP220" s="213"/>
      <c r="BQ220" s="213"/>
      <c r="BR220" s="326"/>
      <c r="BS220" s="213"/>
      <c r="BT220" s="213"/>
      <c r="BU220" s="213"/>
      <c r="BV220" s="213"/>
      <c r="BW220" s="213"/>
      <c r="BX220" s="213"/>
      <c r="BY220" s="213"/>
      <c r="BZ220" s="213"/>
      <c r="CA220" s="213"/>
      <c r="CB220" s="213"/>
      <c r="CC220" s="213"/>
      <c r="CD220" s="213"/>
      <c r="CE220" s="213"/>
      <c r="CF220" s="213"/>
      <c r="CG220" s="213"/>
      <c r="CH220" s="213"/>
      <c r="CI220" s="213"/>
      <c r="CJ220" s="213"/>
      <c r="CK220" s="213"/>
      <c r="CL220" s="213"/>
      <c r="CM220" s="213"/>
      <c r="CN220" s="213"/>
      <c r="CO220" s="213"/>
      <c r="CP220" s="213"/>
    </row>
    <row r="221" ht="15.75" customHeight="1">
      <c r="A221" s="213"/>
      <c r="B221" s="213"/>
      <c r="C221" s="213"/>
      <c r="D221" s="213"/>
      <c r="E221" s="213"/>
      <c r="F221" s="213"/>
      <c r="G221" s="213"/>
      <c r="H221" s="213"/>
      <c r="I221" s="213"/>
      <c r="J221" s="213"/>
      <c r="K221" s="213"/>
      <c r="L221" s="213"/>
      <c r="M221" s="213"/>
      <c r="N221" s="213"/>
      <c r="O221" s="213"/>
      <c r="P221" s="213"/>
      <c r="Q221" s="213"/>
      <c r="R221" s="213"/>
      <c r="S221" s="213"/>
      <c r="T221" s="213"/>
      <c r="U221" s="213"/>
      <c r="V221" s="213"/>
      <c r="W221" s="238"/>
      <c r="X221" s="213"/>
      <c r="Y221" s="213"/>
      <c r="Z221" s="213"/>
      <c r="AA221" s="213"/>
      <c r="AB221" s="213"/>
      <c r="AC221" s="213"/>
      <c r="AD221" s="213"/>
      <c r="AE221" s="213"/>
      <c r="AF221" s="213"/>
      <c r="AG221" s="213"/>
      <c r="AH221" s="213"/>
      <c r="AI221" s="213"/>
      <c r="AJ221" s="213"/>
      <c r="AK221" s="213"/>
      <c r="AL221" s="213"/>
      <c r="AM221" s="213"/>
      <c r="AN221" s="213"/>
      <c r="AO221" s="213"/>
      <c r="AP221" s="213"/>
      <c r="AQ221" s="213"/>
      <c r="AR221" s="213"/>
      <c r="AS221" s="213"/>
      <c r="AT221" s="213"/>
      <c r="AU221" s="213"/>
      <c r="AV221" s="213"/>
      <c r="AW221" s="213"/>
      <c r="AX221" s="213"/>
      <c r="AY221" s="213"/>
      <c r="AZ221" s="213"/>
      <c r="BA221" s="213"/>
      <c r="BB221" s="213"/>
      <c r="BC221" s="213"/>
      <c r="BD221" s="213"/>
      <c r="BE221" s="213"/>
      <c r="BF221" s="213"/>
      <c r="BG221" s="213"/>
      <c r="BH221" s="213"/>
      <c r="BI221" s="213"/>
      <c r="BJ221" s="213"/>
      <c r="BK221" s="213"/>
      <c r="BL221" s="213"/>
      <c r="BM221" s="213"/>
      <c r="BN221" s="213"/>
      <c r="BO221" s="213"/>
      <c r="BP221" s="213"/>
      <c r="BQ221" s="213"/>
      <c r="BR221" s="326"/>
      <c r="BS221" s="213"/>
      <c r="BT221" s="213"/>
      <c r="BU221" s="213"/>
      <c r="BV221" s="213"/>
      <c r="BW221" s="213"/>
      <c r="BX221" s="213"/>
      <c r="BY221" s="213"/>
      <c r="BZ221" s="213"/>
      <c r="CA221" s="213"/>
      <c r="CB221" s="213"/>
      <c r="CC221" s="213"/>
      <c r="CD221" s="213"/>
      <c r="CE221" s="213"/>
      <c r="CF221" s="213"/>
      <c r="CG221" s="213"/>
      <c r="CH221" s="213"/>
      <c r="CI221" s="213"/>
      <c r="CJ221" s="213"/>
      <c r="CK221" s="213"/>
      <c r="CL221" s="213"/>
      <c r="CM221" s="213"/>
      <c r="CN221" s="213"/>
      <c r="CO221" s="213"/>
      <c r="CP221" s="213"/>
    </row>
    <row r="222" ht="15.75" customHeight="1">
      <c r="A222" s="213"/>
      <c r="B222" s="213"/>
      <c r="C222" s="213"/>
      <c r="D222" s="213"/>
      <c r="E222" s="213"/>
      <c r="F222" s="213"/>
      <c r="G222" s="213"/>
      <c r="H222" s="213"/>
      <c r="I222" s="213"/>
      <c r="J222" s="213"/>
      <c r="K222" s="213"/>
      <c r="L222" s="213"/>
      <c r="M222" s="213"/>
      <c r="N222" s="213"/>
      <c r="O222" s="213"/>
      <c r="P222" s="213"/>
      <c r="Q222" s="213"/>
      <c r="R222" s="213"/>
      <c r="S222" s="213"/>
      <c r="T222" s="213"/>
      <c r="U222" s="213"/>
      <c r="V222" s="213"/>
      <c r="W222" s="238"/>
      <c r="X222" s="213"/>
      <c r="Y222" s="213"/>
      <c r="Z222" s="213"/>
      <c r="AA222" s="213"/>
      <c r="AB222" s="213"/>
      <c r="AC222" s="213"/>
      <c r="AD222" s="213"/>
      <c r="AE222" s="213"/>
      <c r="AF222" s="213"/>
      <c r="AG222" s="213"/>
      <c r="AH222" s="213"/>
      <c r="AI222" s="213"/>
      <c r="AJ222" s="213"/>
      <c r="AK222" s="213"/>
      <c r="AL222" s="213"/>
      <c r="AM222" s="213"/>
      <c r="AN222" s="213"/>
      <c r="AO222" s="213"/>
      <c r="AP222" s="213"/>
      <c r="AQ222" s="213"/>
      <c r="AR222" s="213"/>
      <c r="AS222" s="213"/>
      <c r="AT222" s="213"/>
      <c r="AU222" s="213"/>
      <c r="AV222" s="213"/>
      <c r="AW222" s="213"/>
      <c r="AX222" s="213"/>
      <c r="AY222" s="213"/>
      <c r="AZ222" s="213"/>
      <c r="BA222" s="213"/>
      <c r="BB222" s="213"/>
      <c r="BC222" s="213"/>
      <c r="BD222" s="213"/>
      <c r="BE222" s="213"/>
      <c r="BF222" s="213"/>
      <c r="BG222" s="213"/>
      <c r="BH222" s="213"/>
      <c r="BI222" s="213"/>
      <c r="BJ222" s="213"/>
      <c r="BK222" s="213"/>
      <c r="BL222" s="213"/>
      <c r="BM222" s="213"/>
      <c r="BN222" s="213"/>
      <c r="BO222" s="213"/>
      <c r="BP222" s="213"/>
      <c r="BQ222" s="213"/>
      <c r="BR222" s="326"/>
      <c r="BS222" s="213"/>
      <c r="BT222" s="213"/>
      <c r="BU222" s="213"/>
      <c r="BV222" s="213"/>
      <c r="BW222" s="213"/>
      <c r="BX222" s="213"/>
      <c r="BY222" s="213"/>
      <c r="BZ222" s="213"/>
      <c r="CA222" s="213"/>
      <c r="CB222" s="213"/>
      <c r="CC222" s="213"/>
      <c r="CD222" s="213"/>
      <c r="CE222" s="213"/>
      <c r="CF222" s="213"/>
      <c r="CG222" s="213"/>
      <c r="CH222" s="213"/>
      <c r="CI222" s="213"/>
      <c r="CJ222" s="213"/>
      <c r="CK222" s="213"/>
      <c r="CL222" s="213"/>
      <c r="CM222" s="213"/>
      <c r="CN222" s="213"/>
      <c r="CO222" s="213"/>
      <c r="CP222" s="213"/>
    </row>
    <row r="223" ht="15.75" customHeight="1">
      <c r="A223" s="213"/>
      <c r="B223" s="213"/>
      <c r="C223" s="213"/>
      <c r="D223" s="213"/>
      <c r="E223" s="213"/>
      <c r="F223" s="213"/>
      <c r="G223" s="213"/>
      <c r="H223" s="213"/>
      <c r="I223" s="213"/>
      <c r="J223" s="213"/>
      <c r="K223" s="213"/>
      <c r="L223" s="213"/>
      <c r="M223" s="213"/>
      <c r="N223" s="213"/>
      <c r="O223" s="213"/>
      <c r="P223" s="213"/>
      <c r="Q223" s="213"/>
      <c r="R223" s="213"/>
      <c r="S223" s="213"/>
      <c r="T223" s="213"/>
      <c r="U223" s="213"/>
      <c r="V223" s="213"/>
      <c r="W223" s="238"/>
      <c r="X223" s="213"/>
      <c r="Y223" s="213"/>
      <c r="Z223" s="213"/>
      <c r="AA223" s="213"/>
      <c r="AB223" s="213"/>
      <c r="AC223" s="213"/>
      <c r="AD223" s="213"/>
      <c r="AE223" s="213"/>
      <c r="AF223" s="213"/>
      <c r="AG223" s="213"/>
      <c r="AH223" s="213"/>
      <c r="AI223" s="213"/>
      <c r="AJ223" s="213"/>
      <c r="AK223" s="213"/>
      <c r="AL223" s="213"/>
      <c r="AM223" s="213"/>
      <c r="AN223" s="213"/>
      <c r="AO223" s="213"/>
      <c r="AP223" s="213"/>
      <c r="AQ223" s="213"/>
      <c r="AR223" s="213"/>
      <c r="AS223" s="213"/>
      <c r="AT223" s="213"/>
      <c r="AU223" s="213"/>
      <c r="AV223" s="213"/>
      <c r="AW223" s="213"/>
      <c r="AX223" s="213"/>
      <c r="AY223" s="213"/>
      <c r="AZ223" s="213"/>
      <c r="BA223" s="213"/>
      <c r="BB223" s="213"/>
      <c r="BC223" s="213"/>
      <c r="BD223" s="213"/>
      <c r="BE223" s="213"/>
      <c r="BF223" s="213"/>
      <c r="BG223" s="213"/>
      <c r="BH223" s="213"/>
      <c r="BI223" s="213"/>
      <c r="BJ223" s="213"/>
      <c r="BK223" s="213"/>
      <c r="BL223" s="213"/>
      <c r="BM223" s="213"/>
      <c r="BN223" s="213"/>
      <c r="BO223" s="213"/>
      <c r="BP223" s="213"/>
      <c r="BQ223" s="213"/>
      <c r="BR223" s="326"/>
      <c r="BS223" s="213"/>
      <c r="BT223" s="213"/>
      <c r="BU223" s="213"/>
      <c r="BV223" s="213"/>
      <c r="BW223" s="213"/>
      <c r="BX223" s="213"/>
      <c r="BY223" s="213"/>
      <c r="BZ223" s="213"/>
      <c r="CA223" s="213"/>
      <c r="CB223" s="213"/>
      <c r="CC223" s="213"/>
      <c r="CD223" s="213"/>
      <c r="CE223" s="213"/>
      <c r="CF223" s="213"/>
      <c r="CG223" s="213"/>
      <c r="CH223" s="213"/>
      <c r="CI223" s="213"/>
      <c r="CJ223" s="213"/>
      <c r="CK223" s="213"/>
      <c r="CL223" s="213"/>
      <c r="CM223" s="213"/>
      <c r="CN223" s="213"/>
      <c r="CO223" s="213"/>
      <c r="CP223" s="213"/>
    </row>
    <row r="224" ht="15.75" customHeight="1">
      <c r="A224" s="213"/>
      <c r="B224" s="213"/>
      <c r="C224" s="213"/>
      <c r="D224" s="213"/>
      <c r="E224" s="213"/>
      <c r="F224" s="213"/>
      <c r="G224" s="213"/>
      <c r="H224" s="213"/>
      <c r="I224" s="213"/>
      <c r="J224" s="213"/>
      <c r="K224" s="213"/>
      <c r="L224" s="213"/>
      <c r="M224" s="213"/>
      <c r="N224" s="213"/>
      <c r="O224" s="213"/>
      <c r="P224" s="213"/>
      <c r="Q224" s="213"/>
      <c r="R224" s="213"/>
      <c r="S224" s="213"/>
      <c r="T224" s="213"/>
      <c r="U224" s="213"/>
      <c r="V224" s="213"/>
      <c r="W224" s="238"/>
      <c r="X224" s="213"/>
      <c r="Y224" s="213"/>
      <c r="Z224" s="213"/>
      <c r="AA224" s="213"/>
      <c r="AB224" s="213"/>
      <c r="AC224" s="213"/>
      <c r="AD224" s="213"/>
      <c r="AE224" s="213"/>
      <c r="AF224" s="213"/>
      <c r="AG224" s="213"/>
      <c r="AH224" s="213"/>
      <c r="AI224" s="213"/>
      <c r="AJ224" s="213"/>
      <c r="AK224" s="213"/>
      <c r="AL224" s="213"/>
      <c r="AM224" s="213"/>
      <c r="AN224" s="213"/>
      <c r="AO224" s="213"/>
      <c r="AP224" s="213"/>
      <c r="AQ224" s="213"/>
      <c r="AR224" s="213"/>
      <c r="AS224" s="213"/>
      <c r="AT224" s="213"/>
      <c r="AU224" s="213"/>
      <c r="AV224" s="213"/>
      <c r="AW224" s="213"/>
      <c r="AX224" s="213"/>
      <c r="AY224" s="213"/>
      <c r="AZ224" s="213"/>
      <c r="BA224" s="213"/>
      <c r="BB224" s="213"/>
      <c r="BC224" s="213"/>
      <c r="BD224" s="213"/>
      <c r="BE224" s="213"/>
      <c r="BF224" s="213"/>
      <c r="BG224" s="213"/>
      <c r="BH224" s="213"/>
      <c r="BI224" s="213"/>
      <c r="BJ224" s="213"/>
      <c r="BK224" s="213"/>
      <c r="BL224" s="213"/>
      <c r="BM224" s="213"/>
      <c r="BN224" s="213"/>
      <c r="BO224" s="213"/>
      <c r="BP224" s="213"/>
      <c r="BQ224" s="213"/>
      <c r="BR224" s="326"/>
      <c r="BS224" s="213"/>
      <c r="BT224" s="213"/>
      <c r="BU224" s="213"/>
      <c r="BV224" s="213"/>
      <c r="BW224" s="213"/>
      <c r="BX224" s="213"/>
      <c r="BY224" s="213"/>
      <c r="BZ224" s="213"/>
      <c r="CA224" s="213"/>
      <c r="CB224" s="213"/>
      <c r="CC224" s="213"/>
      <c r="CD224" s="213"/>
      <c r="CE224" s="213"/>
      <c r="CF224" s="213"/>
      <c r="CG224" s="213"/>
      <c r="CH224" s="213"/>
      <c r="CI224" s="213"/>
      <c r="CJ224" s="213"/>
      <c r="CK224" s="213"/>
      <c r="CL224" s="213"/>
      <c r="CM224" s="213"/>
      <c r="CN224" s="213"/>
      <c r="CO224" s="213"/>
      <c r="CP224" s="213"/>
    </row>
    <row r="225" ht="15.75" customHeight="1">
      <c r="A225" s="213"/>
      <c r="B225" s="213"/>
      <c r="C225" s="213"/>
      <c r="D225" s="213"/>
      <c r="E225" s="213"/>
      <c r="F225" s="213"/>
      <c r="G225" s="213"/>
      <c r="H225" s="213"/>
      <c r="I225" s="213"/>
      <c r="J225" s="213"/>
      <c r="K225" s="213"/>
      <c r="L225" s="213"/>
      <c r="M225" s="213"/>
      <c r="N225" s="213"/>
      <c r="O225" s="213"/>
      <c r="P225" s="213"/>
      <c r="Q225" s="213"/>
      <c r="R225" s="213"/>
      <c r="S225" s="213"/>
      <c r="T225" s="213"/>
      <c r="U225" s="213"/>
      <c r="V225" s="213"/>
      <c r="W225" s="238"/>
      <c r="X225" s="213"/>
      <c r="Y225" s="213"/>
      <c r="Z225" s="213"/>
      <c r="AA225" s="213"/>
      <c r="AB225" s="213"/>
      <c r="AC225" s="213"/>
      <c r="AD225" s="213"/>
      <c r="AE225" s="213"/>
      <c r="AF225" s="213"/>
      <c r="AG225" s="213"/>
      <c r="AH225" s="213"/>
      <c r="AI225" s="213"/>
      <c r="AJ225" s="213"/>
      <c r="AK225" s="213"/>
      <c r="AL225" s="213"/>
      <c r="AM225" s="213"/>
      <c r="AN225" s="213"/>
      <c r="AO225" s="213"/>
      <c r="AP225" s="213"/>
      <c r="AQ225" s="213"/>
      <c r="AR225" s="213"/>
      <c r="AS225" s="213"/>
      <c r="AT225" s="213"/>
      <c r="AU225" s="213"/>
      <c r="AV225" s="213"/>
      <c r="AW225" s="213"/>
      <c r="AX225" s="213"/>
      <c r="AY225" s="213"/>
      <c r="AZ225" s="213"/>
      <c r="BA225" s="213"/>
      <c r="BB225" s="213"/>
      <c r="BC225" s="213"/>
      <c r="BD225" s="213"/>
      <c r="BE225" s="213"/>
      <c r="BF225" s="213"/>
      <c r="BG225" s="213"/>
      <c r="BH225" s="213"/>
      <c r="BI225" s="213"/>
      <c r="BJ225" s="213"/>
      <c r="BK225" s="213"/>
      <c r="BL225" s="213"/>
      <c r="BM225" s="213"/>
      <c r="BN225" s="213"/>
      <c r="BO225" s="213"/>
      <c r="BP225" s="213"/>
      <c r="BQ225" s="213"/>
      <c r="BR225" s="326"/>
      <c r="BS225" s="213"/>
      <c r="BT225" s="213"/>
      <c r="BU225" s="213"/>
      <c r="BV225" s="213"/>
      <c r="BW225" s="213"/>
      <c r="BX225" s="213"/>
      <c r="BY225" s="213"/>
      <c r="BZ225" s="213"/>
      <c r="CA225" s="213"/>
      <c r="CB225" s="213"/>
      <c r="CC225" s="213"/>
      <c r="CD225" s="213"/>
      <c r="CE225" s="213"/>
      <c r="CF225" s="213"/>
      <c r="CG225" s="213"/>
      <c r="CH225" s="213"/>
      <c r="CI225" s="213"/>
      <c r="CJ225" s="213"/>
      <c r="CK225" s="213"/>
      <c r="CL225" s="213"/>
      <c r="CM225" s="213"/>
      <c r="CN225" s="213"/>
      <c r="CO225" s="213"/>
      <c r="CP225" s="213"/>
    </row>
    <row r="226" ht="15.75" customHeight="1">
      <c r="A226" s="213"/>
      <c r="B226" s="213"/>
      <c r="C226" s="213"/>
      <c r="D226" s="213"/>
      <c r="E226" s="213"/>
      <c r="F226" s="213"/>
      <c r="G226" s="213"/>
      <c r="H226" s="213"/>
      <c r="I226" s="213"/>
      <c r="J226" s="213"/>
      <c r="K226" s="213"/>
      <c r="L226" s="213"/>
      <c r="M226" s="213"/>
      <c r="N226" s="213"/>
      <c r="O226" s="213"/>
      <c r="P226" s="213"/>
      <c r="Q226" s="213"/>
      <c r="R226" s="213"/>
      <c r="S226" s="213"/>
      <c r="T226" s="213"/>
      <c r="U226" s="213"/>
      <c r="V226" s="213"/>
      <c r="W226" s="238"/>
      <c r="X226" s="213"/>
      <c r="Y226" s="213"/>
      <c r="Z226" s="213"/>
      <c r="AA226" s="213"/>
      <c r="AB226" s="213"/>
      <c r="AC226" s="213"/>
      <c r="AD226" s="213"/>
      <c r="AE226" s="213"/>
      <c r="AF226" s="213"/>
      <c r="AG226" s="213"/>
      <c r="AH226" s="213"/>
      <c r="AI226" s="213"/>
      <c r="AJ226" s="213"/>
      <c r="AK226" s="213"/>
      <c r="AL226" s="213"/>
      <c r="AM226" s="213"/>
      <c r="AN226" s="213"/>
      <c r="AO226" s="213"/>
      <c r="AP226" s="213"/>
      <c r="AQ226" s="213"/>
      <c r="AR226" s="213"/>
      <c r="AS226" s="213"/>
      <c r="AT226" s="213"/>
      <c r="AU226" s="213"/>
      <c r="AV226" s="213"/>
      <c r="AW226" s="213"/>
      <c r="AX226" s="213"/>
      <c r="AY226" s="213"/>
      <c r="AZ226" s="213"/>
      <c r="BA226" s="213"/>
      <c r="BB226" s="213"/>
      <c r="BC226" s="213"/>
      <c r="BD226" s="213"/>
      <c r="BE226" s="213"/>
      <c r="BF226" s="213"/>
      <c r="BG226" s="213"/>
      <c r="BH226" s="213"/>
      <c r="BI226" s="213"/>
      <c r="BJ226" s="213"/>
      <c r="BK226" s="213"/>
      <c r="BL226" s="213"/>
      <c r="BM226" s="213"/>
      <c r="BN226" s="213"/>
      <c r="BO226" s="213"/>
      <c r="BP226" s="213"/>
      <c r="BQ226" s="213"/>
      <c r="BR226" s="326"/>
      <c r="BS226" s="213"/>
      <c r="BT226" s="213"/>
      <c r="BU226" s="213"/>
      <c r="BV226" s="213"/>
      <c r="BW226" s="213"/>
      <c r="BX226" s="213"/>
      <c r="BY226" s="213"/>
      <c r="BZ226" s="213"/>
      <c r="CA226" s="213"/>
      <c r="CB226" s="213"/>
      <c r="CC226" s="213"/>
      <c r="CD226" s="213"/>
      <c r="CE226" s="213"/>
      <c r="CF226" s="213"/>
      <c r="CG226" s="213"/>
      <c r="CH226" s="213"/>
      <c r="CI226" s="213"/>
      <c r="CJ226" s="213"/>
      <c r="CK226" s="213"/>
      <c r="CL226" s="213"/>
      <c r="CM226" s="213"/>
      <c r="CN226" s="213"/>
      <c r="CO226" s="213"/>
      <c r="CP226" s="213"/>
    </row>
    <row r="227" ht="15.75" customHeight="1">
      <c r="A227" s="213"/>
      <c r="B227" s="213"/>
      <c r="C227" s="213"/>
      <c r="D227" s="213"/>
      <c r="E227" s="213"/>
      <c r="F227" s="213"/>
      <c r="G227" s="213"/>
      <c r="H227" s="213"/>
      <c r="I227" s="213"/>
      <c r="J227" s="213"/>
      <c r="K227" s="213"/>
      <c r="L227" s="213"/>
      <c r="M227" s="213"/>
      <c r="N227" s="213"/>
      <c r="O227" s="213"/>
      <c r="P227" s="213"/>
      <c r="Q227" s="213"/>
      <c r="R227" s="213"/>
      <c r="S227" s="213"/>
      <c r="T227" s="213"/>
      <c r="U227" s="213"/>
      <c r="V227" s="213"/>
      <c r="W227" s="238"/>
      <c r="X227" s="213"/>
      <c r="Y227" s="213"/>
      <c r="Z227" s="213"/>
      <c r="AA227" s="213"/>
      <c r="AB227" s="213"/>
      <c r="AC227" s="213"/>
      <c r="AD227" s="213"/>
      <c r="AE227" s="213"/>
      <c r="AF227" s="213"/>
      <c r="AG227" s="213"/>
      <c r="AH227" s="213"/>
      <c r="AI227" s="213"/>
      <c r="AJ227" s="213"/>
      <c r="AK227" s="213"/>
      <c r="AL227" s="213"/>
      <c r="AM227" s="213"/>
      <c r="AN227" s="213"/>
      <c r="AO227" s="213"/>
      <c r="AP227" s="213"/>
      <c r="AQ227" s="213"/>
      <c r="AR227" s="213"/>
      <c r="AS227" s="213"/>
      <c r="AT227" s="213"/>
      <c r="AU227" s="213"/>
      <c r="AV227" s="213"/>
      <c r="AW227" s="213"/>
      <c r="AX227" s="213"/>
      <c r="AY227" s="213"/>
      <c r="AZ227" s="213"/>
      <c r="BA227" s="213"/>
      <c r="BB227" s="213"/>
      <c r="BC227" s="213"/>
      <c r="BD227" s="213"/>
      <c r="BE227" s="213"/>
      <c r="BF227" s="213"/>
      <c r="BG227" s="213"/>
      <c r="BH227" s="213"/>
      <c r="BI227" s="213"/>
      <c r="BJ227" s="213"/>
      <c r="BK227" s="213"/>
      <c r="BL227" s="213"/>
      <c r="BM227" s="213"/>
      <c r="BN227" s="213"/>
      <c r="BO227" s="213"/>
      <c r="BP227" s="213"/>
      <c r="BQ227" s="213"/>
      <c r="BR227" s="326"/>
      <c r="BS227" s="213"/>
      <c r="BT227" s="213"/>
      <c r="BU227" s="213"/>
      <c r="BV227" s="213"/>
      <c r="BW227" s="213"/>
      <c r="BX227" s="213"/>
      <c r="BY227" s="213"/>
      <c r="BZ227" s="213"/>
      <c r="CA227" s="213"/>
      <c r="CB227" s="213"/>
      <c r="CC227" s="213"/>
      <c r="CD227" s="213"/>
      <c r="CE227" s="213"/>
      <c r="CF227" s="213"/>
      <c r="CG227" s="213"/>
      <c r="CH227" s="213"/>
      <c r="CI227" s="213"/>
      <c r="CJ227" s="213"/>
      <c r="CK227" s="213"/>
      <c r="CL227" s="213"/>
      <c r="CM227" s="213"/>
      <c r="CN227" s="213"/>
      <c r="CO227" s="213"/>
      <c r="CP227" s="213"/>
    </row>
    <row r="228" ht="15.75" customHeight="1">
      <c r="A228" s="213"/>
      <c r="B228" s="213"/>
      <c r="C228" s="213"/>
      <c r="D228" s="213"/>
      <c r="E228" s="213"/>
      <c r="F228" s="213"/>
      <c r="G228" s="213"/>
      <c r="H228" s="213"/>
      <c r="I228" s="213"/>
      <c r="J228" s="213"/>
      <c r="K228" s="213"/>
      <c r="L228" s="213"/>
      <c r="M228" s="213"/>
      <c r="N228" s="213"/>
      <c r="O228" s="213"/>
      <c r="P228" s="213"/>
      <c r="Q228" s="213"/>
      <c r="R228" s="213"/>
      <c r="S228" s="213"/>
      <c r="T228" s="213"/>
      <c r="U228" s="213"/>
      <c r="V228" s="213"/>
      <c r="W228" s="238"/>
      <c r="X228" s="213"/>
      <c r="Y228" s="213"/>
      <c r="Z228" s="213"/>
      <c r="AA228" s="213"/>
      <c r="AB228" s="213"/>
      <c r="AC228" s="213"/>
      <c r="AD228" s="213"/>
      <c r="AE228" s="213"/>
      <c r="AF228" s="213"/>
      <c r="AG228" s="213"/>
      <c r="AH228" s="213"/>
      <c r="AI228" s="213"/>
      <c r="AJ228" s="213"/>
      <c r="AK228" s="213"/>
      <c r="AL228" s="213"/>
      <c r="AM228" s="213"/>
      <c r="AN228" s="213"/>
      <c r="AO228" s="213"/>
      <c r="AP228" s="213"/>
      <c r="AQ228" s="213"/>
      <c r="AR228" s="213"/>
      <c r="AS228" s="213"/>
      <c r="AT228" s="213"/>
      <c r="AU228" s="213"/>
      <c r="AV228" s="213"/>
      <c r="AW228" s="213"/>
      <c r="AX228" s="213"/>
      <c r="AY228" s="213"/>
      <c r="AZ228" s="213"/>
      <c r="BA228" s="213"/>
      <c r="BB228" s="213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326"/>
      <c r="BS228" s="213"/>
      <c r="BT228" s="213"/>
      <c r="BU228" s="213"/>
      <c r="BV228" s="213"/>
      <c r="BW228" s="213"/>
      <c r="BX228" s="213"/>
      <c r="BY228" s="213"/>
      <c r="BZ228" s="213"/>
      <c r="CA228" s="213"/>
      <c r="CB228" s="213"/>
      <c r="CC228" s="213"/>
      <c r="CD228" s="213"/>
      <c r="CE228" s="213"/>
      <c r="CF228" s="213"/>
      <c r="CG228" s="213"/>
      <c r="CH228" s="213"/>
      <c r="CI228" s="213"/>
      <c r="CJ228" s="213"/>
      <c r="CK228" s="213"/>
      <c r="CL228" s="213"/>
      <c r="CM228" s="213"/>
      <c r="CN228" s="213"/>
      <c r="CO228" s="213"/>
      <c r="CP228" s="213"/>
    </row>
    <row r="229" ht="15.75" customHeight="1">
      <c r="A229" s="213"/>
      <c r="B229" s="213"/>
      <c r="C229" s="213"/>
      <c r="D229" s="213"/>
      <c r="E229" s="213"/>
      <c r="F229" s="213"/>
      <c r="G229" s="213"/>
      <c r="H229" s="213"/>
      <c r="I229" s="213"/>
      <c r="J229" s="213"/>
      <c r="K229" s="213"/>
      <c r="L229" s="213"/>
      <c r="M229" s="213"/>
      <c r="N229" s="213"/>
      <c r="O229" s="213"/>
      <c r="P229" s="213"/>
      <c r="Q229" s="213"/>
      <c r="R229" s="213"/>
      <c r="S229" s="213"/>
      <c r="T229" s="213"/>
      <c r="U229" s="213"/>
      <c r="V229" s="213"/>
      <c r="W229" s="238"/>
      <c r="X229" s="213"/>
      <c r="Y229" s="213"/>
      <c r="Z229" s="213"/>
      <c r="AA229" s="213"/>
      <c r="AB229" s="213"/>
      <c r="AC229" s="213"/>
      <c r="AD229" s="213"/>
      <c r="AE229" s="213"/>
      <c r="AF229" s="213"/>
      <c r="AG229" s="213"/>
      <c r="AH229" s="213"/>
      <c r="AI229" s="213"/>
      <c r="AJ229" s="213"/>
      <c r="AK229" s="213"/>
      <c r="AL229" s="213"/>
      <c r="AM229" s="213"/>
      <c r="AN229" s="213"/>
      <c r="AO229" s="213"/>
      <c r="AP229" s="213"/>
      <c r="AQ229" s="213"/>
      <c r="AR229" s="213"/>
      <c r="AS229" s="213"/>
      <c r="AT229" s="213"/>
      <c r="AU229" s="213"/>
      <c r="AV229" s="213"/>
      <c r="AW229" s="213"/>
      <c r="AX229" s="213"/>
      <c r="AY229" s="213"/>
      <c r="AZ229" s="213"/>
      <c r="BA229" s="213"/>
      <c r="BB229" s="213"/>
      <c r="BC229" s="213"/>
      <c r="BD229" s="213"/>
      <c r="BE229" s="213"/>
      <c r="BF229" s="213"/>
      <c r="BG229" s="213"/>
      <c r="BH229" s="213"/>
      <c r="BI229" s="213"/>
      <c r="BJ229" s="213"/>
      <c r="BK229" s="213"/>
      <c r="BL229" s="213"/>
      <c r="BM229" s="213"/>
      <c r="BN229" s="213"/>
      <c r="BO229" s="213"/>
      <c r="BP229" s="213"/>
      <c r="BQ229" s="213"/>
      <c r="BR229" s="326"/>
      <c r="BS229" s="213"/>
      <c r="BT229" s="213"/>
      <c r="BU229" s="213"/>
      <c r="BV229" s="213"/>
      <c r="BW229" s="213"/>
      <c r="BX229" s="213"/>
      <c r="BY229" s="213"/>
      <c r="BZ229" s="213"/>
      <c r="CA229" s="213"/>
      <c r="CB229" s="213"/>
      <c r="CC229" s="213"/>
      <c r="CD229" s="213"/>
      <c r="CE229" s="213"/>
      <c r="CF229" s="213"/>
      <c r="CG229" s="213"/>
      <c r="CH229" s="213"/>
      <c r="CI229" s="213"/>
      <c r="CJ229" s="213"/>
      <c r="CK229" s="213"/>
      <c r="CL229" s="213"/>
      <c r="CM229" s="213"/>
      <c r="CN229" s="213"/>
      <c r="CO229" s="213"/>
      <c r="CP229" s="213"/>
    </row>
    <row r="230" ht="15.75" customHeight="1">
      <c r="A230" s="213"/>
      <c r="B230" s="213"/>
      <c r="C230" s="213"/>
      <c r="D230" s="213"/>
      <c r="E230" s="213"/>
      <c r="F230" s="213"/>
      <c r="G230" s="213"/>
      <c r="H230" s="213"/>
      <c r="I230" s="213"/>
      <c r="J230" s="213"/>
      <c r="K230" s="213"/>
      <c r="L230" s="213"/>
      <c r="M230" s="213"/>
      <c r="N230" s="213"/>
      <c r="O230" s="213"/>
      <c r="P230" s="213"/>
      <c r="Q230" s="213"/>
      <c r="R230" s="213"/>
      <c r="S230" s="213"/>
      <c r="T230" s="213"/>
      <c r="U230" s="213"/>
      <c r="V230" s="213"/>
      <c r="W230" s="238"/>
      <c r="X230" s="213"/>
      <c r="Y230" s="213"/>
      <c r="Z230" s="213"/>
      <c r="AA230" s="213"/>
      <c r="AB230" s="213"/>
      <c r="AC230" s="213"/>
      <c r="AD230" s="213"/>
      <c r="AE230" s="213"/>
      <c r="AF230" s="213"/>
      <c r="AG230" s="213"/>
      <c r="AH230" s="213"/>
      <c r="AI230" s="213"/>
      <c r="AJ230" s="213"/>
      <c r="AK230" s="213"/>
      <c r="AL230" s="213"/>
      <c r="AM230" s="213"/>
      <c r="AN230" s="213"/>
      <c r="AO230" s="213"/>
      <c r="AP230" s="213"/>
      <c r="AQ230" s="213"/>
      <c r="AR230" s="213"/>
      <c r="AS230" s="213"/>
      <c r="AT230" s="213"/>
      <c r="AU230" s="213"/>
      <c r="AV230" s="213"/>
      <c r="AW230" s="213"/>
      <c r="AX230" s="213"/>
      <c r="AY230" s="213"/>
      <c r="AZ230" s="213"/>
      <c r="BA230" s="213"/>
      <c r="BB230" s="213"/>
      <c r="BC230" s="213"/>
      <c r="BD230" s="213"/>
      <c r="BE230" s="213"/>
      <c r="BF230" s="213"/>
      <c r="BG230" s="213"/>
      <c r="BH230" s="213"/>
      <c r="BI230" s="213"/>
      <c r="BJ230" s="213"/>
      <c r="BK230" s="213"/>
      <c r="BL230" s="213"/>
      <c r="BM230" s="213"/>
      <c r="BN230" s="213"/>
      <c r="BO230" s="213"/>
      <c r="BP230" s="213"/>
      <c r="BQ230" s="213"/>
      <c r="BR230" s="326"/>
      <c r="BS230" s="213"/>
      <c r="BT230" s="213"/>
      <c r="BU230" s="213"/>
      <c r="BV230" s="213"/>
      <c r="BW230" s="213"/>
      <c r="BX230" s="213"/>
      <c r="BY230" s="213"/>
      <c r="BZ230" s="213"/>
      <c r="CA230" s="213"/>
      <c r="CB230" s="213"/>
      <c r="CC230" s="213"/>
      <c r="CD230" s="213"/>
      <c r="CE230" s="213"/>
      <c r="CF230" s="213"/>
      <c r="CG230" s="213"/>
      <c r="CH230" s="213"/>
      <c r="CI230" s="213"/>
      <c r="CJ230" s="213"/>
      <c r="CK230" s="213"/>
      <c r="CL230" s="213"/>
      <c r="CM230" s="213"/>
      <c r="CN230" s="213"/>
      <c r="CO230" s="213"/>
      <c r="CP230" s="213"/>
    </row>
    <row r="231" ht="15.75" customHeight="1">
      <c r="A231" s="213"/>
      <c r="B231" s="213"/>
      <c r="C231" s="213"/>
      <c r="D231" s="213"/>
      <c r="E231" s="213"/>
      <c r="F231" s="213"/>
      <c r="G231" s="213"/>
      <c r="H231" s="213"/>
      <c r="I231" s="213"/>
      <c r="J231" s="213"/>
      <c r="K231" s="213"/>
      <c r="L231" s="213"/>
      <c r="M231" s="213"/>
      <c r="N231" s="213"/>
      <c r="O231" s="213"/>
      <c r="P231" s="213"/>
      <c r="Q231" s="213"/>
      <c r="R231" s="213"/>
      <c r="S231" s="213"/>
      <c r="T231" s="213"/>
      <c r="U231" s="213"/>
      <c r="V231" s="213"/>
      <c r="W231" s="238"/>
      <c r="X231" s="213"/>
      <c r="Y231" s="213"/>
      <c r="Z231" s="213"/>
      <c r="AA231" s="213"/>
      <c r="AB231" s="213"/>
      <c r="AC231" s="213"/>
      <c r="AD231" s="213"/>
      <c r="AE231" s="213"/>
      <c r="AF231" s="213"/>
      <c r="AG231" s="213"/>
      <c r="AH231" s="213"/>
      <c r="AI231" s="213"/>
      <c r="AJ231" s="213"/>
      <c r="AK231" s="213"/>
      <c r="AL231" s="213"/>
      <c r="AM231" s="213"/>
      <c r="AN231" s="213"/>
      <c r="AO231" s="213"/>
      <c r="AP231" s="213"/>
      <c r="AQ231" s="213"/>
      <c r="AR231" s="213"/>
      <c r="AS231" s="213"/>
      <c r="AT231" s="213"/>
      <c r="AU231" s="213"/>
      <c r="AV231" s="213"/>
      <c r="AW231" s="213"/>
      <c r="AX231" s="213"/>
      <c r="AY231" s="213"/>
      <c r="AZ231" s="213"/>
      <c r="BA231" s="213"/>
      <c r="BB231" s="213"/>
      <c r="BC231" s="213"/>
      <c r="BD231" s="213"/>
      <c r="BE231" s="213"/>
      <c r="BF231" s="213"/>
      <c r="BG231" s="213"/>
      <c r="BH231" s="213"/>
      <c r="BI231" s="213"/>
      <c r="BJ231" s="213"/>
      <c r="BK231" s="213"/>
      <c r="BL231" s="213"/>
      <c r="BM231" s="213"/>
      <c r="BN231" s="213"/>
      <c r="BO231" s="213"/>
      <c r="BP231" s="213"/>
      <c r="BQ231" s="213"/>
      <c r="BR231" s="326"/>
      <c r="BS231" s="213"/>
      <c r="BT231" s="213"/>
      <c r="BU231" s="213"/>
      <c r="BV231" s="213"/>
      <c r="BW231" s="213"/>
      <c r="BX231" s="213"/>
      <c r="BY231" s="213"/>
      <c r="BZ231" s="213"/>
      <c r="CA231" s="213"/>
      <c r="CB231" s="213"/>
      <c r="CC231" s="213"/>
      <c r="CD231" s="213"/>
      <c r="CE231" s="213"/>
      <c r="CF231" s="213"/>
      <c r="CG231" s="213"/>
      <c r="CH231" s="213"/>
      <c r="CI231" s="213"/>
      <c r="CJ231" s="213"/>
      <c r="CK231" s="213"/>
      <c r="CL231" s="213"/>
      <c r="CM231" s="213"/>
      <c r="CN231" s="213"/>
      <c r="CO231" s="213"/>
      <c r="CP231" s="213"/>
    </row>
    <row r="232" ht="15.75" customHeight="1">
      <c r="A232" s="213"/>
      <c r="B232" s="213"/>
      <c r="C232" s="213"/>
      <c r="D232" s="213"/>
      <c r="E232" s="213"/>
      <c r="F232" s="213"/>
      <c r="G232" s="213"/>
      <c r="H232" s="213"/>
      <c r="I232" s="213"/>
      <c r="J232" s="213"/>
      <c r="K232" s="213"/>
      <c r="L232" s="213"/>
      <c r="M232" s="213"/>
      <c r="N232" s="213"/>
      <c r="O232" s="213"/>
      <c r="P232" s="213"/>
      <c r="Q232" s="213"/>
      <c r="R232" s="213"/>
      <c r="S232" s="213"/>
      <c r="T232" s="213"/>
      <c r="U232" s="213"/>
      <c r="V232" s="213"/>
      <c r="W232" s="238"/>
      <c r="X232" s="213"/>
      <c r="Y232" s="213"/>
      <c r="Z232" s="213"/>
      <c r="AA232" s="213"/>
      <c r="AB232" s="213"/>
      <c r="AC232" s="213"/>
      <c r="AD232" s="213"/>
      <c r="AE232" s="213"/>
      <c r="AF232" s="213"/>
      <c r="AG232" s="213"/>
      <c r="AH232" s="213"/>
      <c r="AI232" s="213"/>
      <c r="AJ232" s="213"/>
      <c r="AK232" s="213"/>
      <c r="AL232" s="213"/>
      <c r="AM232" s="213"/>
      <c r="AN232" s="213"/>
      <c r="AO232" s="213"/>
      <c r="AP232" s="213"/>
      <c r="AQ232" s="213"/>
      <c r="AR232" s="213"/>
      <c r="AS232" s="213"/>
      <c r="AT232" s="213"/>
      <c r="AU232" s="213"/>
      <c r="AV232" s="213"/>
      <c r="AW232" s="213"/>
      <c r="AX232" s="213"/>
      <c r="AY232" s="213"/>
      <c r="AZ232" s="213"/>
      <c r="BA232" s="213"/>
      <c r="BB232" s="213"/>
      <c r="BC232" s="213"/>
      <c r="BD232" s="213"/>
      <c r="BE232" s="213"/>
      <c r="BF232" s="213"/>
      <c r="BG232" s="213"/>
      <c r="BH232" s="213"/>
      <c r="BI232" s="213"/>
      <c r="BJ232" s="213"/>
      <c r="BK232" s="213"/>
      <c r="BL232" s="213"/>
      <c r="BM232" s="213"/>
      <c r="BN232" s="213"/>
      <c r="BO232" s="213"/>
      <c r="BP232" s="213"/>
      <c r="BQ232" s="213"/>
      <c r="BR232" s="326"/>
      <c r="BS232" s="213"/>
      <c r="BT232" s="213"/>
      <c r="BU232" s="213"/>
      <c r="BV232" s="213"/>
      <c r="BW232" s="213"/>
      <c r="BX232" s="213"/>
      <c r="BY232" s="213"/>
      <c r="BZ232" s="213"/>
      <c r="CA232" s="213"/>
      <c r="CB232" s="213"/>
      <c r="CC232" s="213"/>
      <c r="CD232" s="213"/>
      <c r="CE232" s="213"/>
      <c r="CF232" s="213"/>
      <c r="CG232" s="213"/>
      <c r="CH232" s="213"/>
      <c r="CI232" s="213"/>
      <c r="CJ232" s="213"/>
      <c r="CK232" s="213"/>
      <c r="CL232" s="213"/>
      <c r="CM232" s="213"/>
      <c r="CN232" s="213"/>
      <c r="CO232" s="213"/>
      <c r="CP232" s="213"/>
    </row>
    <row r="233" ht="15.75" customHeight="1">
      <c r="A233" s="213"/>
      <c r="B233" s="213"/>
      <c r="C233" s="213"/>
      <c r="D233" s="213"/>
      <c r="E233" s="213"/>
      <c r="F233" s="213"/>
      <c r="G233" s="213"/>
      <c r="H233" s="213"/>
      <c r="I233" s="213"/>
      <c r="J233" s="213"/>
      <c r="K233" s="213"/>
      <c r="L233" s="213"/>
      <c r="M233" s="213"/>
      <c r="N233" s="213"/>
      <c r="O233" s="213"/>
      <c r="P233" s="213"/>
      <c r="Q233" s="213"/>
      <c r="R233" s="213"/>
      <c r="S233" s="213"/>
      <c r="T233" s="213"/>
      <c r="U233" s="213"/>
      <c r="V233" s="213"/>
      <c r="W233" s="238"/>
      <c r="X233" s="213"/>
      <c r="Y233" s="213"/>
      <c r="Z233" s="213"/>
      <c r="AA233" s="213"/>
      <c r="AB233" s="213"/>
      <c r="AC233" s="213"/>
      <c r="AD233" s="213"/>
      <c r="AE233" s="213"/>
      <c r="AF233" s="213"/>
      <c r="AG233" s="213"/>
      <c r="AH233" s="213"/>
      <c r="AI233" s="213"/>
      <c r="AJ233" s="213"/>
      <c r="AK233" s="213"/>
      <c r="AL233" s="213"/>
      <c r="AM233" s="213"/>
      <c r="AN233" s="213"/>
      <c r="AO233" s="213"/>
      <c r="AP233" s="213"/>
      <c r="AQ233" s="213"/>
      <c r="AR233" s="213"/>
      <c r="AS233" s="213"/>
      <c r="AT233" s="213"/>
      <c r="AU233" s="213"/>
      <c r="AV233" s="213"/>
      <c r="AW233" s="213"/>
      <c r="AX233" s="213"/>
      <c r="AY233" s="213"/>
      <c r="AZ233" s="213"/>
      <c r="BA233" s="213"/>
      <c r="BB233" s="213"/>
      <c r="BC233" s="213"/>
      <c r="BD233" s="213"/>
      <c r="BE233" s="213"/>
      <c r="BF233" s="213"/>
      <c r="BG233" s="213"/>
      <c r="BH233" s="213"/>
      <c r="BI233" s="213"/>
      <c r="BJ233" s="213"/>
      <c r="BK233" s="213"/>
      <c r="BL233" s="213"/>
      <c r="BM233" s="213"/>
      <c r="BN233" s="213"/>
      <c r="BO233" s="213"/>
      <c r="BP233" s="213"/>
      <c r="BQ233" s="213"/>
      <c r="BR233" s="326"/>
      <c r="BS233" s="213"/>
      <c r="BT233" s="213"/>
      <c r="BU233" s="213"/>
      <c r="BV233" s="213"/>
      <c r="BW233" s="213"/>
      <c r="BX233" s="213"/>
      <c r="BY233" s="213"/>
      <c r="BZ233" s="213"/>
      <c r="CA233" s="213"/>
      <c r="CB233" s="213"/>
      <c r="CC233" s="213"/>
      <c r="CD233" s="213"/>
      <c r="CE233" s="213"/>
      <c r="CF233" s="213"/>
      <c r="CG233" s="213"/>
      <c r="CH233" s="213"/>
      <c r="CI233" s="213"/>
      <c r="CJ233" s="213"/>
      <c r="CK233" s="213"/>
      <c r="CL233" s="213"/>
      <c r="CM233" s="213"/>
      <c r="CN233" s="213"/>
      <c r="CO233" s="213"/>
      <c r="CP233" s="213"/>
    </row>
    <row r="234" ht="15.75" customHeight="1">
      <c r="A234" s="213"/>
      <c r="B234" s="213"/>
      <c r="C234" s="213"/>
      <c r="D234" s="213"/>
      <c r="E234" s="213"/>
      <c r="F234" s="213"/>
      <c r="G234" s="213"/>
      <c r="H234" s="213"/>
      <c r="I234" s="213"/>
      <c r="J234" s="213"/>
      <c r="K234" s="213"/>
      <c r="L234" s="213"/>
      <c r="M234" s="213"/>
      <c r="N234" s="213"/>
      <c r="O234" s="213"/>
      <c r="P234" s="213"/>
      <c r="Q234" s="213"/>
      <c r="R234" s="213"/>
      <c r="S234" s="213"/>
      <c r="T234" s="213"/>
      <c r="U234" s="213"/>
      <c r="V234" s="213"/>
      <c r="W234" s="238"/>
      <c r="X234" s="213"/>
      <c r="Y234" s="213"/>
      <c r="Z234" s="213"/>
      <c r="AA234" s="213"/>
      <c r="AB234" s="213"/>
      <c r="AC234" s="213"/>
      <c r="AD234" s="213"/>
      <c r="AE234" s="213"/>
      <c r="AF234" s="213"/>
      <c r="AG234" s="213"/>
      <c r="AH234" s="213"/>
      <c r="AI234" s="213"/>
      <c r="AJ234" s="213"/>
      <c r="AK234" s="213"/>
      <c r="AL234" s="213"/>
      <c r="AM234" s="213"/>
      <c r="AN234" s="213"/>
      <c r="AO234" s="213"/>
      <c r="AP234" s="213"/>
      <c r="AQ234" s="213"/>
      <c r="AR234" s="213"/>
      <c r="AS234" s="213"/>
      <c r="AT234" s="213"/>
      <c r="AU234" s="213"/>
      <c r="AV234" s="213"/>
      <c r="AW234" s="213"/>
      <c r="AX234" s="213"/>
      <c r="AY234" s="213"/>
      <c r="AZ234" s="213"/>
      <c r="BA234" s="213"/>
      <c r="BB234" s="213"/>
      <c r="BC234" s="213"/>
      <c r="BD234" s="213"/>
      <c r="BE234" s="213"/>
      <c r="BF234" s="213"/>
      <c r="BG234" s="213"/>
      <c r="BH234" s="213"/>
      <c r="BI234" s="213"/>
      <c r="BJ234" s="213"/>
      <c r="BK234" s="213"/>
      <c r="BL234" s="213"/>
      <c r="BM234" s="213"/>
      <c r="BN234" s="213"/>
      <c r="BO234" s="213"/>
      <c r="BP234" s="213"/>
      <c r="BQ234" s="213"/>
      <c r="BR234" s="326"/>
      <c r="BS234" s="213"/>
      <c r="BT234" s="213"/>
      <c r="BU234" s="213"/>
      <c r="BV234" s="213"/>
      <c r="BW234" s="213"/>
      <c r="BX234" s="213"/>
      <c r="BY234" s="213"/>
      <c r="BZ234" s="213"/>
      <c r="CA234" s="213"/>
      <c r="CB234" s="213"/>
      <c r="CC234" s="213"/>
      <c r="CD234" s="213"/>
      <c r="CE234" s="213"/>
      <c r="CF234" s="213"/>
      <c r="CG234" s="213"/>
      <c r="CH234" s="213"/>
      <c r="CI234" s="213"/>
      <c r="CJ234" s="213"/>
      <c r="CK234" s="213"/>
      <c r="CL234" s="213"/>
      <c r="CM234" s="213"/>
      <c r="CN234" s="213"/>
      <c r="CO234" s="213"/>
      <c r="CP234" s="213"/>
    </row>
    <row r="235" ht="15.75" customHeight="1">
      <c r="A235" s="213"/>
      <c r="B235" s="213"/>
      <c r="C235" s="213"/>
      <c r="D235" s="213"/>
      <c r="E235" s="213"/>
      <c r="F235" s="213"/>
      <c r="G235" s="213"/>
      <c r="H235" s="213"/>
      <c r="I235" s="213"/>
      <c r="J235" s="213"/>
      <c r="K235" s="213"/>
      <c r="L235" s="213"/>
      <c r="M235" s="213"/>
      <c r="N235" s="213"/>
      <c r="O235" s="213"/>
      <c r="P235" s="213"/>
      <c r="Q235" s="213"/>
      <c r="R235" s="213"/>
      <c r="S235" s="213"/>
      <c r="T235" s="213"/>
      <c r="U235" s="213"/>
      <c r="V235" s="213"/>
      <c r="W235" s="238"/>
      <c r="X235" s="213"/>
      <c r="Y235" s="213"/>
      <c r="Z235" s="213"/>
      <c r="AA235" s="213"/>
      <c r="AB235" s="213"/>
      <c r="AC235" s="213"/>
      <c r="AD235" s="213"/>
      <c r="AE235" s="213"/>
      <c r="AF235" s="213"/>
      <c r="AG235" s="213"/>
      <c r="AH235" s="213"/>
      <c r="AI235" s="213"/>
      <c r="AJ235" s="213"/>
      <c r="AK235" s="213"/>
      <c r="AL235" s="213"/>
      <c r="AM235" s="213"/>
      <c r="AN235" s="213"/>
      <c r="AO235" s="213"/>
      <c r="AP235" s="213"/>
      <c r="AQ235" s="213"/>
      <c r="AR235" s="213"/>
      <c r="AS235" s="213"/>
      <c r="AT235" s="213"/>
      <c r="AU235" s="213"/>
      <c r="AV235" s="213"/>
      <c r="AW235" s="213"/>
      <c r="AX235" s="213"/>
      <c r="AY235" s="213"/>
      <c r="AZ235" s="213"/>
      <c r="BA235" s="213"/>
      <c r="BB235" s="213"/>
      <c r="BC235" s="213"/>
      <c r="BD235" s="213"/>
      <c r="BE235" s="213"/>
      <c r="BF235" s="213"/>
      <c r="BG235" s="213"/>
      <c r="BH235" s="213"/>
      <c r="BI235" s="213"/>
      <c r="BJ235" s="213"/>
      <c r="BK235" s="213"/>
      <c r="BL235" s="213"/>
      <c r="BM235" s="213"/>
      <c r="BN235" s="213"/>
      <c r="BO235" s="213"/>
      <c r="BP235" s="213"/>
      <c r="BQ235" s="213"/>
      <c r="BR235" s="326"/>
      <c r="BS235" s="213"/>
      <c r="BT235" s="213"/>
      <c r="BU235" s="213"/>
      <c r="BV235" s="213"/>
      <c r="BW235" s="213"/>
      <c r="BX235" s="213"/>
      <c r="BY235" s="213"/>
      <c r="BZ235" s="213"/>
      <c r="CA235" s="213"/>
      <c r="CB235" s="213"/>
      <c r="CC235" s="213"/>
      <c r="CD235" s="213"/>
      <c r="CE235" s="213"/>
      <c r="CF235" s="213"/>
      <c r="CG235" s="213"/>
      <c r="CH235" s="213"/>
      <c r="CI235" s="213"/>
      <c r="CJ235" s="213"/>
      <c r="CK235" s="213"/>
      <c r="CL235" s="213"/>
      <c r="CM235" s="213"/>
      <c r="CN235" s="213"/>
      <c r="CO235" s="213"/>
      <c r="CP235" s="213"/>
    </row>
    <row r="236" ht="15.75" customHeight="1">
      <c r="A236" s="213"/>
      <c r="B236" s="213"/>
      <c r="C236" s="213"/>
      <c r="D236" s="213"/>
      <c r="E236" s="213"/>
      <c r="F236" s="213"/>
      <c r="G236" s="213"/>
      <c r="H236" s="213"/>
      <c r="I236" s="213"/>
      <c r="J236" s="213"/>
      <c r="K236" s="213"/>
      <c r="L236" s="213"/>
      <c r="M236" s="213"/>
      <c r="N236" s="213"/>
      <c r="O236" s="213"/>
      <c r="P236" s="213"/>
      <c r="Q236" s="213"/>
      <c r="R236" s="213"/>
      <c r="S236" s="213"/>
      <c r="T236" s="213"/>
      <c r="U236" s="213"/>
      <c r="V236" s="213"/>
      <c r="W236" s="238"/>
      <c r="X236" s="213"/>
      <c r="Y236" s="213"/>
      <c r="Z236" s="213"/>
      <c r="AA236" s="213"/>
      <c r="AB236" s="213"/>
      <c r="AC236" s="213"/>
      <c r="AD236" s="213"/>
      <c r="AE236" s="213"/>
      <c r="AF236" s="213"/>
      <c r="AG236" s="213"/>
      <c r="AH236" s="213"/>
      <c r="AI236" s="213"/>
      <c r="AJ236" s="213"/>
      <c r="AK236" s="213"/>
      <c r="AL236" s="213"/>
      <c r="AM236" s="213"/>
      <c r="AN236" s="213"/>
      <c r="AO236" s="213"/>
      <c r="AP236" s="213"/>
      <c r="AQ236" s="213"/>
      <c r="AR236" s="213"/>
      <c r="AS236" s="213"/>
      <c r="AT236" s="213"/>
      <c r="AU236" s="213"/>
      <c r="AV236" s="213"/>
      <c r="AW236" s="213"/>
      <c r="AX236" s="213"/>
      <c r="AY236" s="213"/>
      <c r="AZ236" s="213"/>
      <c r="BA236" s="213"/>
      <c r="BB236" s="213"/>
      <c r="BC236" s="213"/>
      <c r="BD236" s="213"/>
      <c r="BE236" s="213"/>
      <c r="BF236" s="213"/>
      <c r="BG236" s="213"/>
      <c r="BH236" s="213"/>
      <c r="BI236" s="213"/>
      <c r="BJ236" s="213"/>
      <c r="BK236" s="213"/>
      <c r="BL236" s="213"/>
      <c r="BM236" s="213"/>
      <c r="BN236" s="213"/>
      <c r="BO236" s="213"/>
      <c r="BP236" s="213"/>
      <c r="BQ236" s="213"/>
      <c r="BR236" s="326"/>
      <c r="BS236" s="213"/>
      <c r="BT236" s="213"/>
      <c r="BU236" s="213"/>
      <c r="BV236" s="213"/>
      <c r="BW236" s="213"/>
      <c r="BX236" s="213"/>
      <c r="BY236" s="213"/>
      <c r="BZ236" s="213"/>
      <c r="CA236" s="213"/>
      <c r="CB236" s="213"/>
      <c r="CC236" s="213"/>
      <c r="CD236" s="213"/>
      <c r="CE236" s="213"/>
      <c r="CF236" s="213"/>
      <c r="CG236" s="213"/>
      <c r="CH236" s="213"/>
      <c r="CI236" s="213"/>
      <c r="CJ236" s="213"/>
      <c r="CK236" s="213"/>
      <c r="CL236" s="213"/>
      <c r="CM236" s="213"/>
      <c r="CN236" s="213"/>
      <c r="CO236" s="213"/>
      <c r="CP236" s="213"/>
    </row>
    <row r="237" ht="15.75" customHeight="1">
      <c r="A237" s="213"/>
      <c r="B237" s="213"/>
      <c r="C237" s="213"/>
      <c r="D237" s="213"/>
      <c r="E237" s="213"/>
      <c r="F237" s="213"/>
      <c r="G237" s="213"/>
      <c r="H237" s="213"/>
      <c r="I237" s="213"/>
      <c r="J237" s="213"/>
      <c r="K237" s="213"/>
      <c r="L237" s="213"/>
      <c r="M237" s="213"/>
      <c r="N237" s="213"/>
      <c r="O237" s="213"/>
      <c r="P237" s="213"/>
      <c r="Q237" s="213"/>
      <c r="R237" s="213"/>
      <c r="S237" s="213"/>
      <c r="T237" s="213"/>
      <c r="U237" s="213"/>
      <c r="V237" s="213"/>
      <c r="W237" s="238"/>
      <c r="X237" s="213"/>
      <c r="Y237" s="213"/>
      <c r="Z237" s="213"/>
      <c r="AA237" s="213"/>
      <c r="AB237" s="213"/>
      <c r="AC237" s="213"/>
      <c r="AD237" s="213"/>
      <c r="AE237" s="213"/>
      <c r="AF237" s="213"/>
      <c r="AG237" s="213"/>
      <c r="AH237" s="213"/>
      <c r="AI237" s="213"/>
      <c r="AJ237" s="213"/>
      <c r="AK237" s="213"/>
      <c r="AL237" s="213"/>
      <c r="AM237" s="213"/>
      <c r="AN237" s="213"/>
      <c r="AO237" s="213"/>
      <c r="AP237" s="213"/>
      <c r="AQ237" s="213"/>
      <c r="AR237" s="213"/>
      <c r="AS237" s="213"/>
      <c r="AT237" s="213"/>
      <c r="AU237" s="213"/>
      <c r="AV237" s="213"/>
      <c r="AW237" s="213"/>
      <c r="AX237" s="213"/>
      <c r="AY237" s="213"/>
      <c r="AZ237" s="213"/>
      <c r="BA237" s="213"/>
      <c r="BB237" s="213"/>
      <c r="BC237" s="213"/>
      <c r="BD237" s="213"/>
      <c r="BE237" s="213"/>
      <c r="BF237" s="213"/>
      <c r="BG237" s="213"/>
      <c r="BH237" s="213"/>
      <c r="BI237" s="213"/>
      <c r="BJ237" s="213"/>
      <c r="BK237" s="213"/>
      <c r="BL237" s="213"/>
      <c r="BM237" s="213"/>
      <c r="BN237" s="213"/>
      <c r="BO237" s="213"/>
      <c r="BP237" s="213"/>
      <c r="BQ237" s="213"/>
      <c r="BR237" s="326"/>
      <c r="BS237" s="213"/>
      <c r="BT237" s="213"/>
      <c r="BU237" s="213"/>
      <c r="BV237" s="213"/>
      <c r="BW237" s="213"/>
      <c r="BX237" s="213"/>
      <c r="BY237" s="213"/>
      <c r="BZ237" s="213"/>
      <c r="CA237" s="213"/>
      <c r="CB237" s="213"/>
      <c r="CC237" s="213"/>
      <c r="CD237" s="213"/>
      <c r="CE237" s="213"/>
      <c r="CF237" s="213"/>
      <c r="CG237" s="213"/>
      <c r="CH237" s="213"/>
      <c r="CI237" s="213"/>
      <c r="CJ237" s="213"/>
      <c r="CK237" s="213"/>
      <c r="CL237" s="213"/>
      <c r="CM237" s="213"/>
      <c r="CN237" s="213"/>
      <c r="CO237" s="213"/>
      <c r="CP237" s="213"/>
    </row>
    <row r="238" ht="15.75" customHeight="1">
      <c r="A238" s="213"/>
      <c r="B238" s="213"/>
      <c r="C238" s="213"/>
      <c r="D238" s="213"/>
      <c r="E238" s="213"/>
      <c r="F238" s="213"/>
      <c r="G238" s="213"/>
      <c r="H238" s="213"/>
      <c r="I238" s="213"/>
      <c r="J238" s="213"/>
      <c r="K238" s="213"/>
      <c r="L238" s="213"/>
      <c r="M238" s="213"/>
      <c r="N238" s="213"/>
      <c r="O238" s="213"/>
      <c r="P238" s="213"/>
      <c r="Q238" s="213"/>
      <c r="R238" s="213"/>
      <c r="S238" s="213"/>
      <c r="T238" s="213"/>
      <c r="U238" s="213"/>
      <c r="V238" s="213"/>
      <c r="W238" s="238"/>
      <c r="X238" s="213"/>
      <c r="Y238" s="213"/>
      <c r="Z238" s="213"/>
      <c r="AA238" s="213"/>
      <c r="AB238" s="213"/>
      <c r="AC238" s="213"/>
      <c r="AD238" s="213"/>
      <c r="AE238" s="213"/>
      <c r="AF238" s="213"/>
      <c r="AG238" s="213"/>
      <c r="AH238" s="213"/>
      <c r="AI238" s="213"/>
      <c r="AJ238" s="213"/>
      <c r="AK238" s="213"/>
      <c r="AL238" s="213"/>
      <c r="AM238" s="213"/>
      <c r="AN238" s="213"/>
      <c r="AO238" s="213"/>
      <c r="AP238" s="213"/>
      <c r="AQ238" s="213"/>
      <c r="AR238" s="213"/>
      <c r="AS238" s="213"/>
      <c r="AT238" s="213"/>
      <c r="AU238" s="213"/>
      <c r="AV238" s="213"/>
      <c r="AW238" s="213"/>
      <c r="AX238" s="213"/>
      <c r="AY238" s="213"/>
      <c r="AZ238" s="213"/>
      <c r="BA238" s="213"/>
      <c r="BB238" s="213"/>
      <c r="BC238" s="213"/>
      <c r="BD238" s="213"/>
      <c r="BE238" s="213"/>
      <c r="BF238" s="213"/>
      <c r="BG238" s="213"/>
      <c r="BH238" s="213"/>
      <c r="BI238" s="213"/>
      <c r="BJ238" s="213"/>
      <c r="BK238" s="213"/>
      <c r="BL238" s="213"/>
      <c r="BM238" s="213"/>
      <c r="BN238" s="213"/>
      <c r="BO238" s="213"/>
      <c r="BP238" s="213"/>
      <c r="BQ238" s="213"/>
      <c r="BR238" s="326"/>
      <c r="BS238" s="213"/>
      <c r="BT238" s="213"/>
      <c r="BU238" s="213"/>
      <c r="BV238" s="213"/>
      <c r="BW238" s="213"/>
      <c r="BX238" s="213"/>
      <c r="BY238" s="213"/>
      <c r="BZ238" s="213"/>
      <c r="CA238" s="213"/>
      <c r="CB238" s="213"/>
      <c r="CC238" s="213"/>
      <c r="CD238" s="213"/>
      <c r="CE238" s="213"/>
      <c r="CF238" s="213"/>
      <c r="CG238" s="213"/>
      <c r="CH238" s="213"/>
      <c r="CI238" s="213"/>
      <c r="CJ238" s="213"/>
      <c r="CK238" s="213"/>
      <c r="CL238" s="213"/>
      <c r="CM238" s="213"/>
      <c r="CN238" s="213"/>
      <c r="CO238" s="213"/>
      <c r="CP238" s="213"/>
    </row>
    <row r="239" ht="15.75" customHeight="1">
      <c r="A239" s="213"/>
      <c r="B239" s="213"/>
      <c r="C239" s="213"/>
      <c r="D239" s="213"/>
      <c r="E239" s="213"/>
      <c r="F239" s="213"/>
      <c r="G239" s="213"/>
      <c r="H239" s="213"/>
      <c r="I239" s="213"/>
      <c r="J239" s="213"/>
      <c r="K239" s="213"/>
      <c r="L239" s="213"/>
      <c r="M239" s="213"/>
      <c r="N239" s="213"/>
      <c r="O239" s="213"/>
      <c r="P239" s="213"/>
      <c r="Q239" s="213"/>
      <c r="R239" s="213"/>
      <c r="S239" s="213"/>
      <c r="T239" s="213"/>
      <c r="U239" s="213"/>
      <c r="V239" s="213"/>
      <c r="W239" s="238"/>
      <c r="X239" s="213"/>
      <c r="Y239" s="213"/>
      <c r="Z239" s="213"/>
      <c r="AA239" s="213"/>
      <c r="AB239" s="213"/>
      <c r="AC239" s="213"/>
      <c r="AD239" s="213"/>
      <c r="AE239" s="213"/>
      <c r="AF239" s="213"/>
      <c r="AG239" s="213"/>
      <c r="AH239" s="213"/>
      <c r="AI239" s="213"/>
      <c r="AJ239" s="213"/>
      <c r="AK239" s="213"/>
      <c r="AL239" s="213"/>
      <c r="AM239" s="213"/>
      <c r="AN239" s="213"/>
      <c r="AO239" s="213"/>
      <c r="AP239" s="213"/>
      <c r="AQ239" s="213"/>
      <c r="AR239" s="213"/>
      <c r="AS239" s="213"/>
      <c r="AT239" s="213"/>
      <c r="AU239" s="213"/>
      <c r="AV239" s="213"/>
      <c r="AW239" s="213"/>
      <c r="AX239" s="213"/>
      <c r="AY239" s="213"/>
      <c r="AZ239" s="213"/>
      <c r="BA239" s="213"/>
      <c r="BB239" s="213"/>
      <c r="BC239" s="213"/>
      <c r="BD239" s="213"/>
      <c r="BE239" s="213"/>
      <c r="BF239" s="213"/>
      <c r="BG239" s="213"/>
      <c r="BH239" s="213"/>
      <c r="BI239" s="213"/>
      <c r="BJ239" s="213"/>
      <c r="BK239" s="213"/>
      <c r="BL239" s="213"/>
      <c r="BM239" s="213"/>
      <c r="BN239" s="213"/>
      <c r="BO239" s="213"/>
      <c r="BP239" s="213"/>
      <c r="BQ239" s="213"/>
      <c r="BR239" s="326"/>
      <c r="BS239" s="213"/>
      <c r="BT239" s="213"/>
      <c r="BU239" s="213"/>
      <c r="BV239" s="213"/>
      <c r="BW239" s="213"/>
      <c r="BX239" s="213"/>
      <c r="BY239" s="213"/>
      <c r="BZ239" s="213"/>
      <c r="CA239" s="213"/>
      <c r="CB239" s="213"/>
      <c r="CC239" s="213"/>
      <c r="CD239" s="213"/>
      <c r="CE239" s="213"/>
      <c r="CF239" s="213"/>
      <c r="CG239" s="213"/>
      <c r="CH239" s="213"/>
      <c r="CI239" s="213"/>
      <c r="CJ239" s="213"/>
      <c r="CK239" s="213"/>
      <c r="CL239" s="213"/>
      <c r="CM239" s="213"/>
      <c r="CN239" s="213"/>
      <c r="CO239" s="213"/>
      <c r="CP239" s="213"/>
    </row>
    <row r="240" ht="15.75" customHeight="1">
      <c r="A240" s="213"/>
      <c r="B240" s="213"/>
      <c r="C240" s="213"/>
      <c r="D240" s="213"/>
      <c r="E240" s="213"/>
      <c r="F240" s="213"/>
      <c r="G240" s="213"/>
      <c r="H240" s="213"/>
      <c r="I240" s="213"/>
      <c r="J240" s="213"/>
      <c r="K240" s="213"/>
      <c r="L240" s="213"/>
      <c r="M240" s="213"/>
      <c r="N240" s="213"/>
      <c r="O240" s="213"/>
      <c r="P240" s="213"/>
      <c r="Q240" s="213"/>
      <c r="R240" s="213"/>
      <c r="S240" s="213"/>
      <c r="T240" s="213"/>
      <c r="U240" s="213"/>
      <c r="V240" s="213"/>
      <c r="W240" s="238"/>
      <c r="X240" s="213"/>
      <c r="Y240" s="213"/>
      <c r="Z240" s="213"/>
      <c r="AA240" s="213"/>
      <c r="AB240" s="213"/>
      <c r="AC240" s="213"/>
      <c r="AD240" s="213"/>
      <c r="AE240" s="213"/>
      <c r="AF240" s="213"/>
      <c r="AG240" s="213"/>
      <c r="AH240" s="213"/>
      <c r="AI240" s="213"/>
      <c r="AJ240" s="213"/>
      <c r="AK240" s="213"/>
      <c r="AL240" s="213"/>
      <c r="AM240" s="213"/>
      <c r="AN240" s="213"/>
      <c r="AO240" s="213"/>
      <c r="AP240" s="213"/>
      <c r="AQ240" s="213"/>
      <c r="AR240" s="213"/>
      <c r="AS240" s="213"/>
      <c r="AT240" s="213"/>
      <c r="AU240" s="213"/>
      <c r="AV240" s="213"/>
      <c r="AW240" s="213"/>
      <c r="AX240" s="213"/>
      <c r="AY240" s="213"/>
      <c r="AZ240" s="213"/>
      <c r="BA240" s="213"/>
      <c r="BB240" s="213"/>
      <c r="BC240" s="213"/>
      <c r="BD240" s="213"/>
      <c r="BE240" s="213"/>
      <c r="BF240" s="213"/>
      <c r="BG240" s="213"/>
      <c r="BH240" s="213"/>
      <c r="BI240" s="213"/>
      <c r="BJ240" s="213"/>
      <c r="BK240" s="213"/>
      <c r="BL240" s="213"/>
      <c r="BM240" s="213"/>
      <c r="BN240" s="213"/>
      <c r="BO240" s="213"/>
      <c r="BP240" s="213"/>
      <c r="BQ240" s="213"/>
      <c r="BR240" s="326"/>
      <c r="BS240" s="213"/>
      <c r="BT240" s="213"/>
      <c r="BU240" s="213"/>
      <c r="BV240" s="213"/>
      <c r="BW240" s="213"/>
      <c r="BX240" s="213"/>
      <c r="BY240" s="213"/>
      <c r="BZ240" s="213"/>
      <c r="CA240" s="213"/>
      <c r="CB240" s="213"/>
      <c r="CC240" s="213"/>
      <c r="CD240" s="213"/>
      <c r="CE240" s="213"/>
      <c r="CF240" s="213"/>
      <c r="CG240" s="213"/>
      <c r="CH240" s="213"/>
      <c r="CI240" s="213"/>
      <c r="CJ240" s="213"/>
      <c r="CK240" s="213"/>
      <c r="CL240" s="213"/>
      <c r="CM240" s="213"/>
      <c r="CN240" s="213"/>
      <c r="CO240" s="213"/>
      <c r="CP240" s="213"/>
    </row>
    <row r="241" ht="15.75" customHeight="1">
      <c r="A241" s="213"/>
      <c r="B241" s="213"/>
      <c r="C241" s="213"/>
      <c r="D241" s="213"/>
      <c r="E241" s="213"/>
      <c r="F241" s="213"/>
      <c r="G241" s="213"/>
      <c r="H241" s="213"/>
      <c r="I241" s="213"/>
      <c r="J241" s="213"/>
      <c r="K241" s="213"/>
      <c r="L241" s="213"/>
      <c r="M241" s="213"/>
      <c r="N241" s="213"/>
      <c r="O241" s="213"/>
      <c r="P241" s="213"/>
      <c r="Q241" s="213"/>
      <c r="R241" s="213"/>
      <c r="S241" s="213"/>
      <c r="T241" s="213"/>
      <c r="U241" s="213"/>
      <c r="V241" s="213"/>
      <c r="W241" s="238"/>
      <c r="X241" s="213"/>
      <c r="Y241" s="213"/>
      <c r="Z241" s="213"/>
      <c r="AA241" s="213"/>
      <c r="AB241" s="213"/>
      <c r="AC241" s="213"/>
      <c r="AD241" s="213"/>
      <c r="AE241" s="213"/>
      <c r="AF241" s="213"/>
      <c r="AG241" s="213"/>
      <c r="AH241" s="213"/>
      <c r="AI241" s="213"/>
      <c r="AJ241" s="213"/>
      <c r="AK241" s="213"/>
      <c r="AL241" s="213"/>
      <c r="AM241" s="213"/>
      <c r="AN241" s="213"/>
      <c r="AO241" s="213"/>
      <c r="AP241" s="213"/>
      <c r="AQ241" s="213"/>
      <c r="AR241" s="213"/>
      <c r="AS241" s="213"/>
      <c r="AT241" s="213"/>
      <c r="AU241" s="213"/>
      <c r="AV241" s="213"/>
      <c r="AW241" s="213"/>
      <c r="AX241" s="213"/>
      <c r="AY241" s="213"/>
      <c r="AZ241" s="213"/>
      <c r="BA241" s="213"/>
      <c r="BB241" s="213"/>
      <c r="BC241" s="213"/>
      <c r="BD241" s="213"/>
      <c r="BE241" s="213"/>
      <c r="BF241" s="213"/>
      <c r="BG241" s="213"/>
      <c r="BH241" s="213"/>
      <c r="BI241" s="213"/>
      <c r="BJ241" s="213"/>
      <c r="BK241" s="213"/>
      <c r="BL241" s="213"/>
      <c r="BM241" s="213"/>
      <c r="BN241" s="213"/>
      <c r="BO241" s="213"/>
      <c r="BP241" s="213"/>
      <c r="BQ241" s="213"/>
      <c r="BR241" s="326"/>
      <c r="BS241" s="213"/>
      <c r="BT241" s="213"/>
      <c r="BU241" s="213"/>
      <c r="BV241" s="213"/>
      <c r="BW241" s="213"/>
      <c r="BX241" s="213"/>
      <c r="BY241" s="213"/>
      <c r="BZ241" s="213"/>
      <c r="CA241" s="213"/>
      <c r="CB241" s="213"/>
      <c r="CC241" s="213"/>
      <c r="CD241" s="213"/>
      <c r="CE241" s="213"/>
      <c r="CF241" s="213"/>
      <c r="CG241" s="213"/>
      <c r="CH241" s="213"/>
      <c r="CI241" s="213"/>
      <c r="CJ241" s="213"/>
      <c r="CK241" s="213"/>
      <c r="CL241" s="213"/>
      <c r="CM241" s="213"/>
      <c r="CN241" s="213"/>
      <c r="CO241" s="213"/>
      <c r="CP241" s="213"/>
    </row>
    <row r="242" ht="15.75" customHeight="1">
      <c r="A242" s="213"/>
      <c r="B242" s="213"/>
      <c r="C242" s="213"/>
      <c r="D242" s="213"/>
      <c r="E242" s="213"/>
      <c r="F242" s="213"/>
      <c r="G242" s="213"/>
      <c r="H242" s="213"/>
      <c r="I242" s="213"/>
      <c r="J242" s="213"/>
      <c r="K242" s="213"/>
      <c r="L242" s="213"/>
      <c r="M242" s="213"/>
      <c r="N242" s="213"/>
      <c r="O242" s="213"/>
      <c r="P242" s="213"/>
      <c r="Q242" s="213"/>
      <c r="R242" s="213"/>
      <c r="S242" s="213"/>
      <c r="T242" s="213"/>
      <c r="U242" s="213"/>
      <c r="V242" s="213"/>
      <c r="W242" s="238"/>
      <c r="X242" s="213"/>
      <c r="Y242" s="213"/>
      <c r="Z242" s="213"/>
      <c r="AA242" s="213"/>
      <c r="AB242" s="213"/>
      <c r="AC242" s="213"/>
      <c r="AD242" s="213"/>
      <c r="AE242" s="213"/>
      <c r="AF242" s="213"/>
      <c r="AG242" s="213"/>
      <c r="AH242" s="213"/>
      <c r="AI242" s="213"/>
      <c r="AJ242" s="213"/>
      <c r="AK242" s="213"/>
      <c r="AL242" s="213"/>
      <c r="AM242" s="213"/>
      <c r="AN242" s="213"/>
      <c r="AO242" s="213"/>
      <c r="AP242" s="213"/>
      <c r="AQ242" s="213"/>
      <c r="AR242" s="213"/>
      <c r="AS242" s="213"/>
      <c r="AT242" s="213"/>
      <c r="AU242" s="213"/>
      <c r="AV242" s="213"/>
      <c r="AW242" s="213"/>
      <c r="AX242" s="213"/>
      <c r="AY242" s="213"/>
      <c r="AZ242" s="213"/>
      <c r="BA242" s="213"/>
      <c r="BB242" s="213"/>
      <c r="BC242" s="213"/>
      <c r="BD242" s="213"/>
      <c r="BE242" s="213"/>
      <c r="BF242" s="213"/>
      <c r="BG242" s="213"/>
      <c r="BH242" s="213"/>
      <c r="BI242" s="213"/>
      <c r="BJ242" s="213"/>
      <c r="BK242" s="213"/>
      <c r="BL242" s="213"/>
      <c r="BM242" s="213"/>
      <c r="BN242" s="213"/>
      <c r="BO242" s="213"/>
      <c r="BP242" s="213"/>
      <c r="BQ242" s="213"/>
      <c r="BR242" s="326"/>
      <c r="BS242" s="213"/>
      <c r="BT242" s="213"/>
      <c r="BU242" s="213"/>
      <c r="BV242" s="213"/>
      <c r="BW242" s="213"/>
      <c r="BX242" s="213"/>
      <c r="BY242" s="213"/>
      <c r="BZ242" s="213"/>
      <c r="CA242" s="213"/>
      <c r="CB242" s="213"/>
      <c r="CC242" s="213"/>
      <c r="CD242" s="213"/>
      <c r="CE242" s="213"/>
      <c r="CF242" s="213"/>
      <c r="CG242" s="213"/>
      <c r="CH242" s="213"/>
      <c r="CI242" s="213"/>
      <c r="CJ242" s="213"/>
      <c r="CK242" s="213"/>
      <c r="CL242" s="213"/>
      <c r="CM242" s="213"/>
      <c r="CN242" s="213"/>
      <c r="CO242" s="213"/>
      <c r="CP242" s="213"/>
    </row>
    <row r="243" ht="15.75" customHeight="1">
      <c r="A243" s="213"/>
      <c r="B243" s="213"/>
      <c r="C243" s="213"/>
      <c r="D243" s="213"/>
      <c r="E243" s="213"/>
      <c r="F243" s="213"/>
      <c r="G243" s="213"/>
      <c r="H243" s="213"/>
      <c r="I243" s="213"/>
      <c r="J243" s="213"/>
      <c r="K243" s="213"/>
      <c r="L243" s="213"/>
      <c r="M243" s="213"/>
      <c r="N243" s="213"/>
      <c r="O243" s="213"/>
      <c r="P243" s="213"/>
      <c r="Q243" s="213"/>
      <c r="R243" s="213"/>
      <c r="S243" s="213"/>
      <c r="T243" s="213"/>
      <c r="U243" s="213"/>
      <c r="V243" s="213"/>
      <c r="W243" s="238"/>
      <c r="X243" s="213"/>
      <c r="Y243" s="213"/>
      <c r="Z243" s="213"/>
      <c r="AA243" s="213"/>
      <c r="AB243" s="213"/>
      <c r="AC243" s="213"/>
      <c r="AD243" s="213"/>
      <c r="AE243" s="213"/>
      <c r="AF243" s="213"/>
      <c r="AG243" s="213"/>
      <c r="AH243" s="213"/>
      <c r="AI243" s="213"/>
      <c r="AJ243" s="213"/>
      <c r="AK243" s="213"/>
      <c r="AL243" s="213"/>
      <c r="AM243" s="213"/>
      <c r="AN243" s="213"/>
      <c r="AO243" s="213"/>
      <c r="AP243" s="213"/>
      <c r="AQ243" s="213"/>
      <c r="AR243" s="213"/>
      <c r="AS243" s="213"/>
      <c r="AT243" s="213"/>
      <c r="AU243" s="213"/>
      <c r="AV243" s="213"/>
      <c r="AW243" s="213"/>
      <c r="AX243" s="213"/>
      <c r="AY243" s="213"/>
      <c r="AZ243" s="213"/>
      <c r="BA243" s="213"/>
      <c r="BB243" s="213"/>
      <c r="BC243" s="213"/>
      <c r="BD243" s="213"/>
      <c r="BE243" s="213"/>
      <c r="BF243" s="213"/>
      <c r="BG243" s="213"/>
      <c r="BH243" s="213"/>
      <c r="BI243" s="213"/>
      <c r="BJ243" s="213"/>
      <c r="BK243" s="213"/>
      <c r="BL243" s="213"/>
      <c r="BM243" s="213"/>
      <c r="BN243" s="213"/>
      <c r="BO243" s="213"/>
      <c r="BP243" s="213"/>
      <c r="BQ243" s="213"/>
      <c r="BR243" s="326"/>
      <c r="BS243" s="213"/>
      <c r="BT243" s="213"/>
      <c r="BU243" s="213"/>
      <c r="BV243" s="213"/>
      <c r="BW243" s="213"/>
      <c r="BX243" s="213"/>
      <c r="BY243" s="213"/>
      <c r="BZ243" s="213"/>
      <c r="CA243" s="213"/>
      <c r="CB243" s="213"/>
      <c r="CC243" s="213"/>
      <c r="CD243" s="213"/>
      <c r="CE243" s="213"/>
      <c r="CF243" s="213"/>
      <c r="CG243" s="213"/>
      <c r="CH243" s="213"/>
      <c r="CI243" s="213"/>
      <c r="CJ243" s="213"/>
      <c r="CK243" s="213"/>
      <c r="CL243" s="213"/>
      <c r="CM243" s="213"/>
      <c r="CN243" s="213"/>
      <c r="CO243" s="213"/>
      <c r="CP243" s="213"/>
    </row>
    <row r="244" ht="15.75" customHeight="1">
      <c r="A244" s="213"/>
      <c r="B244" s="213"/>
      <c r="C244" s="213"/>
      <c r="D244" s="213"/>
      <c r="E244" s="213"/>
      <c r="F244" s="213"/>
      <c r="G244" s="213"/>
      <c r="H244" s="213"/>
      <c r="I244" s="213"/>
      <c r="J244" s="213"/>
      <c r="K244" s="213"/>
      <c r="L244" s="213"/>
      <c r="M244" s="213"/>
      <c r="N244" s="213"/>
      <c r="O244" s="213"/>
      <c r="P244" s="213"/>
      <c r="Q244" s="213"/>
      <c r="R244" s="213"/>
      <c r="S244" s="213"/>
      <c r="T244" s="213"/>
      <c r="U244" s="213"/>
      <c r="V244" s="213"/>
      <c r="W244" s="238"/>
      <c r="X244" s="213"/>
      <c r="Y244" s="213"/>
      <c r="Z244" s="213"/>
      <c r="AA244" s="213"/>
      <c r="AB244" s="213"/>
      <c r="AC244" s="213"/>
      <c r="AD244" s="213"/>
      <c r="AE244" s="213"/>
      <c r="AF244" s="213"/>
      <c r="AG244" s="213"/>
      <c r="AH244" s="213"/>
      <c r="AI244" s="213"/>
      <c r="AJ244" s="213"/>
      <c r="AK244" s="213"/>
      <c r="AL244" s="213"/>
      <c r="AM244" s="213"/>
      <c r="AN244" s="213"/>
      <c r="AO244" s="213"/>
      <c r="AP244" s="213"/>
      <c r="AQ244" s="213"/>
      <c r="AR244" s="213"/>
      <c r="AS244" s="213"/>
      <c r="AT244" s="213"/>
      <c r="AU244" s="213"/>
      <c r="AV244" s="213"/>
      <c r="AW244" s="213"/>
      <c r="AX244" s="213"/>
      <c r="AY244" s="213"/>
      <c r="AZ244" s="213"/>
      <c r="BA244" s="213"/>
      <c r="BB244" s="213"/>
      <c r="BC244" s="213"/>
      <c r="BD244" s="213"/>
      <c r="BE244" s="213"/>
      <c r="BF244" s="213"/>
      <c r="BG244" s="213"/>
      <c r="BH244" s="213"/>
      <c r="BI244" s="213"/>
      <c r="BJ244" s="213"/>
      <c r="BK244" s="213"/>
      <c r="BL244" s="213"/>
      <c r="BM244" s="213"/>
      <c r="BN244" s="213"/>
      <c r="BO244" s="213"/>
      <c r="BP244" s="213"/>
      <c r="BQ244" s="213"/>
      <c r="BR244" s="326"/>
      <c r="BS244" s="213"/>
      <c r="BT244" s="213"/>
      <c r="BU244" s="213"/>
      <c r="BV244" s="213"/>
      <c r="BW244" s="213"/>
      <c r="BX244" s="213"/>
      <c r="BY244" s="213"/>
      <c r="BZ244" s="213"/>
      <c r="CA244" s="213"/>
      <c r="CB244" s="213"/>
      <c r="CC244" s="213"/>
      <c r="CD244" s="213"/>
      <c r="CE244" s="213"/>
      <c r="CF244" s="213"/>
      <c r="CG244" s="213"/>
      <c r="CH244" s="213"/>
      <c r="CI244" s="213"/>
      <c r="CJ244" s="213"/>
      <c r="CK244" s="213"/>
      <c r="CL244" s="213"/>
      <c r="CM244" s="213"/>
      <c r="CN244" s="213"/>
      <c r="CO244" s="213"/>
      <c r="CP244" s="213"/>
    </row>
    <row r="245" ht="15.75" customHeight="1">
      <c r="A245" s="213"/>
      <c r="B245" s="213"/>
      <c r="C245" s="213"/>
      <c r="D245" s="213"/>
      <c r="E245" s="213"/>
      <c r="F245" s="213"/>
      <c r="G245" s="213"/>
      <c r="H245" s="213"/>
      <c r="I245" s="213"/>
      <c r="J245" s="213"/>
      <c r="K245" s="213"/>
      <c r="L245" s="213"/>
      <c r="M245" s="213"/>
      <c r="N245" s="213"/>
      <c r="O245" s="213"/>
      <c r="P245" s="213"/>
      <c r="Q245" s="213"/>
      <c r="R245" s="213"/>
      <c r="S245" s="213"/>
      <c r="T245" s="213"/>
      <c r="U245" s="213"/>
      <c r="V245" s="213"/>
      <c r="W245" s="238"/>
      <c r="X245" s="213"/>
      <c r="Y245" s="213"/>
      <c r="Z245" s="213"/>
      <c r="AA245" s="213"/>
      <c r="AB245" s="213"/>
      <c r="AC245" s="213"/>
      <c r="AD245" s="213"/>
      <c r="AE245" s="213"/>
      <c r="AF245" s="213"/>
      <c r="AG245" s="213"/>
      <c r="AH245" s="213"/>
      <c r="AI245" s="213"/>
      <c r="AJ245" s="213"/>
      <c r="AK245" s="213"/>
      <c r="AL245" s="213"/>
      <c r="AM245" s="213"/>
      <c r="AN245" s="213"/>
      <c r="AO245" s="213"/>
      <c r="AP245" s="213"/>
      <c r="AQ245" s="213"/>
      <c r="AR245" s="213"/>
      <c r="AS245" s="213"/>
      <c r="AT245" s="213"/>
      <c r="AU245" s="213"/>
      <c r="AV245" s="213"/>
      <c r="AW245" s="213"/>
      <c r="AX245" s="213"/>
      <c r="AY245" s="213"/>
      <c r="AZ245" s="213"/>
      <c r="BA245" s="213"/>
      <c r="BB245" s="213"/>
      <c r="BC245" s="213"/>
      <c r="BD245" s="213"/>
      <c r="BE245" s="213"/>
      <c r="BF245" s="213"/>
      <c r="BG245" s="213"/>
      <c r="BH245" s="213"/>
      <c r="BI245" s="213"/>
      <c r="BJ245" s="213"/>
      <c r="BK245" s="213"/>
      <c r="BL245" s="213"/>
      <c r="BM245" s="213"/>
      <c r="BN245" s="213"/>
      <c r="BO245" s="213"/>
      <c r="BP245" s="213"/>
      <c r="BQ245" s="213"/>
      <c r="BR245" s="326"/>
      <c r="BS245" s="213"/>
      <c r="BT245" s="213"/>
      <c r="BU245" s="213"/>
      <c r="BV245" s="213"/>
      <c r="BW245" s="213"/>
      <c r="BX245" s="213"/>
      <c r="BY245" s="213"/>
      <c r="BZ245" s="213"/>
      <c r="CA245" s="213"/>
      <c r="CB245" s="213"/>
      <c r="CC245" s="213"/>
      <c r="CD245" s="213"/>
      <c r="CE245" s="213"/>
      <c r="CF245" s="213"/>
      <c r="CG245" s="213"/>
      <c r="CH245" s="213"/>
      <c r="CI245" s="213"/>
      <c r="CJ245" s="213"/>
      <c r="CK245" s="213"/>
      <c r="CL245" s="213"/>
      <c r="CM245" s="213"/>
      <c r="CN245" s="213"/>
      <c r="CO245" s="213"/>
      <c r="CP245" s="213"/>
    </row>
    <row r="246" ht="15.75" customHeight="1">
      <c r="A246" s="213"/>
      <c r="B246" s="213"/>
      <c r="C246" s="213"/>
      <c r="D246" s="213"/>
      <c r="E246" s="213"/>
      <c r="F246" s="213"/>
      <c r="G246" s="213"/>
      <c r="H246" s="213"/>
      <c r="I246" s="213"/>
      <c r="J246" s="213"/>
      <c r="K246" s="213"/>
      <c r="L246" s="213"/>
      <c r="M246" s="213"/>
      <c r="N246" s="213"/>
      <c r="O246" s="213"/>
      <c r="P246" s="213"/>
      <c r="Q246" s="213"/>
      <c r="R246" s="213"/>
      <c r="S246" s="213"/>
      <c r="T246" s="213"/>
      <c r="U246" s="213"/>
      <c r="V246" s="213"/>
      <c r="W246" s="238"/>
      <c r="X246" s="213"/>
      <c r="Y246" s="213"/>
      <c r="Z246" s="213"/>
      <c r="AA246" s="213"/>
      <c r="AB246" s="213"/>
      <c r="AC246" s="213"/>
      <c r="AD246" s="213"/>
      <c r="AE246" s="213"/>
      <c r="AF246" s="213"/>
      <c r="AG246" s="213"/>
      <c r="AH246" s="213"/>
      <c r="AI246" s="213"/>
      <c r="AJ246" s="213"/>
      <c r="AK246" s="213"/>
      <c r="AL246" s="213"/>
      <c r="AM246" s="213"/>
      <c r="AN246" s="213"/>
      <c r="AO246" s="213"/>
      <c r="AP246" s="213"/>
      <c r="AQ246" s="213"/>
      <c r="AR246" s="213"/>
      <c r="AS246" s="213"/>
      <c r="AT246" s="213"/>
      <c r="AU246" s="213"/>
      <c r="AV246" s="213"/>
      <c r="AW246" s="213"/>
      <c r="AX246" s="213"/>
      <c r="AY246" s="213"/>
      <c r="AZ246" s="213"/>
      <c r="BA246" s="213"/>
      <c r="BB246" s="213"/>
      <c r="BC246" s="213"/>
      <c r="BD246" s="213"/>
      <c r="BE246" s="213"/>
      <c r="BF246" s="213"/>
      <c r="BG246" s="213"/>
      <c r="BH246" s="213"/>
      <c r="BI246" s="213"/>
      <c r="BJ246" s="213"/>
      <c r="BK246" s="213"/>
      <c r="BL246" s="213"/>
      <c r="BM246" s="213"/>
      <c r="BN246" s="213"/>
      <c r="BO246" s="213"/>
      <c r="BP246" s="213"/>
      <c r="BQ246" s="213"/>
      <c r="BR246" s="326"/>
      <c r="BS246" s="213"/>
      <c r="BT246" s="213"/>
      <c r="BU246" s="213"/>
      <c r="BV246" s="213"/>
      <c r="BW246" s="213"/>
      <c r="BX246" s="213"/>
      <c r="BY246" s="213"/>
      <c r="BZ246" s="213"/>
      <c r="CA246" s="213"/>
      <c r="CB246" s="213"/>
      <c r="CC246" s="213"/>
      <c r="CD246" s="213"/>
      <c r="CE246" s="213"/>
      <c r="CF246" s="213"/>
      <c r="CG246" s="213"/>
      <c r="CH246" s="213"/>
      <c r="CI246" s="213"/>
      <c r="CJ246" s="213"/>
      <c r="CK246" s="213"/>
      <c r="CL246" s="213"/>
      <c r="CM246" s="213"/>
      <c r="CN246" s="213"/>
      <c r="CO246" s="213"/>
      <c r="CP246" s="213"/>
    </row>
    <row r="247" ht="15.75" customHeight="1">
      <c r="A247" s="213"/>
      <c r="B247" s="213"/>
      <c r="C247" s="213"/>
      <c r="D247" s="213"/>
      <c r="E247" s="213"/>
      <c r="F247" s="213"/>
      <c r="G247" s="213"/>
      <c r="H247" s="213"/>
      <c r="I247" s="213"/>
      <c r="J247" s="213"/>
      <c r="K247" s="213"/>
      <c r="L247" s="213"/>
      <c r="M247" s="213"/>
      <c r="N247" s="213"/>
      <c r="O247" s="213"/>
      <c r="P247" s="213"/>
      <c r="Q247" s="213"/>
      <c r="R247" s="213"/>
      <c r="S247" s="213"/>
      <c r="T247" s="213"/>
      <c r="U247" s="213"/>
      <c r="V247" s="213"/>
      <c r="W247" s="238"/>
      <c r="X247" s="213"/>
      <c r="Y247" s="213"/>
      <c r="Z247" s="213"/>
      <c r="AA247" s="213"/>
      <c r="AB247" s="213"/>
      <c r="AC247" s="213"/>
      <c r="AD247" s="213"/>
      <c r="AE247" s="213"/>
      <c r="AF247" s="213"/>
      <c r="AG247" s="213"/>
      <c r="AH247" s="213"/>
      <c r="AI247" s="213"/>
      <c r="AJ247" s="213"/>
      <c r="AK247" s="213"/>
      <c r="AL247" s="213"/>
      <c r="AM247" s="213"/>
      <c r="AN247" s="213"/>
      <c r="AO247" s="213"/>
      <c r="AP247" s="213"/>
      <c r="AQ247" s="213"/>
      <c r="AR247" s="213"/>
      <c r="AS247" s="213"/>
      <c r="AT247" s="213"/>
      <c r="AU247" s="213"/>
      <c r="AV247" s="213"/>
      <c r="AW247" s="213"/>
      <c r="AX247" s="213"/>
      <c r="AY247" s="213"/>
      <c r="AZ247" s="213"/>
      <c r="BA247" s="213"/>
      <c r="BB247" s="213"/>
      <c r="BC247" s="213"/>
      <c r="BD247" s="213"/>
      <c r="BE247" s="213"/>
      <c r="BF247" s="213"/>
      <c r="BG247" s="213"/>
      <c r="BH247" s="213"/>
      <c r="BI247" s="213"/>
      <c r="BJ247" s="213"/>
      <c r="BK247" s="213"/>
      <c r="BL247" s="213"/>
      <c r="BM247" s="213"/>
      <c r="BN247" s="213"/>
      <c r="BO247" s="213"/>
      <c r="BP247" s="213"/>
      <c r="BQ247" s="213"/>
      <c r="BR247" s="326"/>
      <c r="BS247" s="213"/>
      <c r="BT247" s="213"/>
      <c r="BU247" s="213"/>
      <c r="BV247" s="213"/>
      <c r="BW247" s="213"/>
      <c r="BX247" s="213"/>
      <c r="BY247" s="213"/>
      <c r="BZ247" s="213"/>
      <c r="CA247" s="213"/>
      <c r="CB247" s="213"/>
      <c r="CC247" s="213"/>
      <c r="CD247" s="213"/>
      <c r="CE247" s="213"/>
      <c r="CF247" s="213"/>
      <c r="CG247" s="213"/>
      <c r="CH247" s="213"/>
      <c r="CI247" s="213"/>
      <c r="CJ247" s="213"/>
      <c r="CK247" s="213"/>
      <c r="CL247" s="213"/>
      <c r="CM247" s="213"/>
      <c r="CN247" s="213"/>
      <c r="CO247" s="213"/>
      <c r="CP247" s="213"/>
    </row>
    <row r="248" ht="15.75" customHeight="1">
      <c r="A248" s="213"/>
      <c r="B248" s="213"/>
      <c r="C248" s="213"/>
      <c r="D248" s="213"/>
      <c r="E248" s="213"/>
      <c r="F248" s="213"/>
      <c r="G248" s="213"/>
      <c r="H248" s="213"/>
      <c r="I248" s="213"/>
      <c r="J248" s="213"/>
      <c r="K248" s="213"/>
      <c r="L248" s="213"/>
      <c r="M248" s="213"/>
      <c r="N248" s="213"/>
      <c r="O248" s="213"/>
      <c r="P248" s="213"/>
      <c r="Q248" s="213"/>
      <c r="R248" s="213"/>
      <c r="S248" s="213"/>
      <c r="T248" s="213"/>
      <c r="U248" s="213"/>
      <c r="V248" s="213"/>
      <c r="W248" s="238"/>
      <c r="X248" s="213"/>
      <c r="Y248" s="213"/>
      <c r="Z248" s="213"/>
      <c r="AA248" s="213"/>
      <c r="AB248" s="213"/>
      <c r="AC248" s="213"/>
      <c r="AD248" s="213"/>
      <c r="AE248" s="213"/>
      <c r="AF248" s="213"/>
      <c r="AG248" s="213"/>
      <c r="AH248" s="213"/>
      <c r="AI248" s="213"/>
      <c r="AJ248" s="213"/>
      <c r="AK248" s="213"/>
      <c r="AL248" s="213"/>
      <c r="AM248" s="213"/>
      <c r="AN248" s="213"/>
      <c r="AO248" s="213"/>
      <c r="AP248" s="213"/>
      <c r="AQ248" s="213"/>
      <c r="AR248" s="213"/>
      <c r="AS248" s="213"/>
      <c r="AT248" s="213"/>
      <c r="AU248" s="213"/>
      <c r="AV248" s="213"/>
      <c r="AW248" s="213"/>
      <c r="AX248" s="213"/>
      <c r="AY248" s="213"/>
      <c r="AZ248" s="213"/>
      <c r="BA248" s="213"/>
      <c r="BB248" s="213"/>
      <c r="BC248" s="213"/>
      <c r="BD248" s="213"/>
      <c r="BE248" s="213"/>
      <c r="BF248" s="213"/>
      <c r="BG248" s="213"/>
      <c r="BH248" s="213"/>
      <c r="BI248" s="213"/>
      <c r="BJ248" s="213"/>
      <c r="BK248" s="213"/>
      <c r="BL248" s="213"/>
      <c r="BM248" s="213"/>
      <c r="BN248" s="213"/>
      <c r="BO248" s="213"/>
      <c r="BP248" s="213"/>
      <c r="BQ248" s="213"/>
      <c r="BR248" s="326"/>
      <c r="BS248" s="213"/>
      <c r="BT248" s="213"/>
      <c r="BU248" s="213"/>
      <c r="BV248" s="213"/>
      <c r="BW248" s="213"/>
      <c r="BX248" s="213"/>
      <c r="BY248" s="213"/>
      <c r="BZ248" s="213"/>
      <c r="CA248" s="213"/>
      <c r="CB248" s="213"/>
      <c r="CC248" s="213"/>
      <c r="CD248" s="213"/>
      <c r="CE248" s="213"/>
      <c r="CF248" s="213"/>
      <c r="CG248" s="213"/>
      <c r="CH248" s="213"/>
      <c r="CI248" s="213"/>
      <c r="CJ248" s="213"/>
      <c r="CK248" s="213"/>
      <c r="CL248" s="213"/>
      <c r="CM248" s="213"/>
      <c r="CN248" s="213"/>
      <c r="CO248" s="213"/>
      <c r="CP248" s="213"/>
    </row>
    <row r="249" ht="15.75" customHeight="1">
      <c r="A249" s="213"/>
      <c r="B249" s="213"/>
      <c r="C249" s="213"/>
      <c r="D249" s="213"/>
      <c r="E249" s="213"/>
      <c r="F249" s="213"/>
      <c r="G249" s="213"/>
      <c r="H249" s="213"/>
      <c r="I249" s="213"/>
      <c r="J249" s="213"/>
      <c r="K249" s="213"/>
      <c r="L249" s="213"/>
      <c r="M249" s="213"/>
      <c r="N249" s="213"/>
      <c r="O249" s="213"/>
      <c r="P249" s="213"/>
      <c r="Q249" s="213"/>
      <c r="R249" s="213"/>
      <c r="S249" s="213"/>
      <c r="T249" s="213"/>
      <c r="U249" s="213"/>
      <c r="V249" s="213"/>
      <c r="W249" s="238"/>
      <c r="X249" s="213"/>
      <c r="Y249" s="213"/>
      <c r="Z249" s="213"/>
      <c r="AA249" s="213"/>
      <c r="AB249" s="213"/>
      <c r="AC249" s="213"/>
      <c r="AD249" s="213"/>
      <c r="AE249" s="213"/>
      <c r="AF249" s="213"/>
      <c r="AG249" s="213"/>
      <c r="AH249" s="213"/>
      <c r="AI249" s="213"/>
      <c r="AJ249" s="213"/>
      <c r="AK249" s="213"/>
      <c r="AL249" s="213"/>
      <c r="AM249" s="213"/>
      <c r="AN249" s="213"/>
      <c r="AO249" s="213"/>
      <c r="AP249" s="213"/>
      <c r="AQ249" s="213"/>
      <c r="AR249" s="213"/>
      <c r="AS249" s="213"/>
      <c r="AT249" s="213"/>
      <c r="AU249" s="213"/>
      <c r="AV249" s="213"/>
      <c r="AW249" s="213"/>
      <c r="AX249" s="213"/>
      <c r="AY249" s="213"/>
      <c r="AZ249" s="213"/>
      <c r="BA249" s="213"/>
      <c r="BB249" s="213"/>
      <c r="BC249" s="213"/>
      <c r="BD249" s="213"/>
      <c r="BE249" s="213"/>
      <c r="BF249" s="213"/>
      <c r="BG249" s="213"/>
      <c r="BH249" s="213"/>
      <c r="BI249" s="213"/>
      <c r="BJ249" s="213"/>
      <c r="BK249" s="213"/>
      <c r="BL249" s="213"/>
      <c r="BM249" s="213"/>
      <c r="BN249" s="213"/>
      <c r="BO249" s="213"/>
      <c r="BP249" s="213"/>
      <c r="BQ249" s="213"/>
      <c r="BR249" s="326"/>
      <c r="BS249" s="213"/>
      <c r="BT249" s="213"/>
      <c r="BU249" s="213"/>
      <c r="BV249" s="213"/>
      <c r="BW249" s="213"/>
      <c r="BX249" s="213"/>
      <c r="BY249" s="213"/>
      <c r="BZ249" s="213"/>
      <c r="CA249" s="213"/>
      <c r="CB249" s="213"/>
      <c r="CC249" s="213"/>
      <c r="CD249" s="213"/>
      <c r="CE249" s="213"/>
      <c r="CF249" s="213"/>
      <c r="CG249" s="213"/>
      <c r="CH249" s="213"/>
      <c r="CI249" s="213"/>
      <c r="CJ249" s="213"/>
      <c r="CK249" s="213"/>
      <c r="CL249" s="213"/>
      <c r="CM249" s="213"/>
      <c r="CN249" s="213"/>
      <c r="CO249" s="213"/>
      <c r="CP249" s="213"/>
    </row>
    <row r="250" ht="15.75" customHeight="1">
      <c r="A250" s="213"/>
      <c r="B250" s="213"/>
      <c r="C250" s="213"/>
      <c r="D250" s="213"/>
      <c r="E250" s="213"/>
      <c r="F250" s="213"/>
      <c r="G250" s="213"/>
      <c r="H250" s="213"/>
      <c r="I250" s="213"/>
      <c r="J250" s="213"/>
      <c r="K250" s="213"/>
      <c r="L250" s="213"/>
      <c r="M250" s="213"/>
      <c r="N250" s="213"/>
      <c r="O250" s="213"/>
      <c r="P250" s="213"/>
      <c r="Q250" s="213"/>
      <c r="R250" s="213"/>
      <c r="S250" s="213"/>
      <c r="T250" s="213"/>
      <c r="U250" s="213"/>
      <c r="V250" s="213"/>
      <c r="W250" s="238"/>
      <c r="X250" s="213"/>
      <c r="Y250" s="213"/>
      <c r="Z250" s="213"/>
      <c r="AA250" s="213"/>
      <c r="AB250" s="213"/>
      <c r="AC250" s="213"/>
      <c r="AD250" s="213"/>
      <c r="AE250" s="213"/>
      <c r="AF250" s="213"/>
      <c r="AG250" s="213"/>
      <c r="AH250" s="213"/>
      <c r="AI250" s="213"/>
      <c r="AJ250" s="213"/>
      <c r="AK250" s="213"/>
      <c r="AL250" s="213"/>
      <c r="AM250" s="213"/>
      <c r="AN250" s="213"/>
      <c r="AO250" s="213"/>
      <c r="AP250" s="213"/>
      <c r="AQ250" s="213"/>
      <c r="AR250" s="213"/>
      <c r="AS250" s="213"/>
      <c r="AT250" s="213"/>
      <c r="AU250" s="213"/>
      <c r="AV250" s="213"/>
      <c r="AW250" s="213"/>
      <c r="AX250" s="213"/>
      <c r="AY250" s="213"/>
      <c r="AZ250" s="213"/>
      <c r="BA250" s="213"/>
      <c r="BB250" s="213"/>
      <c r="BC250" s="213"/>
      <c r="BD250" s="213"/>
      <c r="BE250" s="213"/>
      <c r="BF250" s="213"/>
      <c r="BG250" s="213"/>
      <c r="BH250" s="213"/>
      <c r="BI250" s="213"/>
      <c r="BJ250" s="213"/>
      <c r="BK250" s="213"/>
      <c r="BL250" s="213"/>
      <c r="BM250" s="213"/>
      <c r="BN250" s="213"/>
      <c r="BO250" s="213"/>
      <c r="BP250" s="213"/>
      <c r="BQ250" s="213"/>
      <c r="BR250" s="326"/>
      <c r="BS250" s="213"/>
      <c r="BT250" s="213"/>
      <c r="BU250" s="213"/>
      <c r="BV250" s="213"/>
      <c r="BW250" s="213"/>
      <c r="BX250" s="213"/>
      <c r="BY250" s="213"/>
      <c r="BZ250" s="213"/>
      <c r="CA250" s="213"/>
      <c r="CB250" s="213"/>
      <c r="CC250" s="213"/>
      <c r="CD250" s="213"/>
      <c r="CE250" s="213"/>
      <c r="CF250" s="213"/>
      <c r="CG250" s="213"/>
      <c r="CH250" s="213"/>
      <c r="CI250" s="213"/>
      <c r="CJ250" s="213"/>
      <c r="CK250" s="213"/>
      <c r="CL250" s="213"/>
      <c r="CM250" s="213"/>
      <c r="CN250" s="213"/>
      <c r="CO250" s="213"/>
      <c r="CP250" s="213"/>
    </row>
    <row r="251" ht="15.75" customHeight="1">
      <c r="A251" s="213"/>
      <c r="B251" s="213"/>
      <c r="C251" s="213"/>
      <c r="D251" s="213"/>
      <c r="E251" s="213"/>
      <c r="F251" s="213"/>
      <c r="G251" s="213"/>
      <c r="H251" s="213"/>
      <c r="I251" s="213"/>
      <c r="J251" s="213"/>
      <c r="K251" s="213"/>
      <c r="L251" s="213"/>
      <c r="M251" s="213"/>
      <c r="N251" s="213"/>
      <c r="O251" s="213"/>
      <c r="P251" s="213"/>
      <c r="Q251" s="213"/>
      <c r="R251" s="213"/>
      <c r="S251" s="213"/>
      <c r="T251" s="213"/>
      <c r="U251" s="213"/>
      <c r="V251" s="213"/>
      <c r="W251" s="238"/>
      <c r="X251" s="213"/>
      <c r="Y251" s="213"/>
      <c r="Z251" s="213"/>
      <c r="AA251" s="213"/>
      <c r="AB251" s="213"/>
      <c r="AC251" s="213"/>
      <c r="AD251" s="213"/>
      <c r="AE251" s="213"/>
      <c r="AF251" s="213"/>
      <c r="AG251" s="213"/>
      <c r="AH251" s="213"/>
      <c r="AI251" s="213"/>
      <c r="AJ251" s="213"/>
      <c r="AK251" s="213"/>
      <c r="AL251" s="213"/>
      <c r="AM251" s="213"/>
      <c r="AN251" s="213"/>
      <c r="AO251" s="213"/>
      <c r="AP251" s="213"/>
      <c r="AQ251" s="213"/>
      <c r="AR251" s="213"/>
      <c r="AS251" s="213"/>
      <c r="AT251" s="213"/>
      <c r="AU251" s="213"/>
      <c r="AV251" s="213"/>
      <c r="AW251" s="213"/>
      <c r="AX251" s="213"/>
      <c r="AY251" s="213"/>
      <c r="AZ251" s="213"/>
      <c r="BA251" s="213"/>
      <c r="BB251" s="213"/>
      <c r="BC251" s="213"/>
      <c r="BD251" s="213"/>
      <c r="BE251" s="213"/>
      <c r="BF251" s="213"/>
      <c r="BG251" s="213"/>
      <c r="BH251" s="213"/>
      <c r="BI251" s="213"/>
      <c r="BJ251" s="213"/>
      <c r="BK251" s="213"/>
      <c r="BL251" s="213"/>
      <c r="BM251" s="213"/>
      <c r="BN251" s="213"/>
      <c r="BO251" s="213"/>
      <c r="BP251" s="213"/>
      <c r="BQ251" s="213"/>
      <c r="BR251" s="326"/>
      <c r="BS251" s="213"/>
      <c r="BT251" s="213"/>
      <c r="BU251" s="213"/>
      <c r="BV251" s="213"/>
      <c r="BW251" s="213"/>
      <c r="BX251" s="213"/>
      <c r="BY251" s="213"/>
      <c r="BZ251" s="213"/>
      <c r="CA251" s="213"/>
      <c r="CB251" s="213"/>
      <c r="CC251" s="213"/>
      <c r="CD251" s="213"/>
      <c r="CE251" s="213"/>
      <c r="CF251" s="213"/>
      <c r="CG251" s="213"/>
      <c r="CH251" s="213"/>
      <c r="CI251" s="213"/>
      <c r="CJ251" s="213"/>
      <c r="CK251" s="213"/>
      <c r="CL251" s="213"/>
      <c r="CM251" s="213"/>
      <c r="CN251" s="213"/>
      <c r="CO251" s="213"/>
      <c r="CP251" s="213"/>
    </row>
    <row r="252" ht="15.75" customHeight="1">
      <c r="A252" s="213"/>
      <c r="B252" s="213"/>
      <c r="C252" s="213"/>
      <c r="D252" s="213"/>
      <c r="E252" s="213"/>
      <c r="F252" s="213"/>
      <c r="G252" s="213"/>
      <c r="H252" s="213"/>
      <c r="I252" s="213"/>
      <c r="J252" s="213"/>
      <c r="K252" s="213"/>
      <c r="L252" s="213"/>
      <c r="M252" s="213"/>
      <c r="N252" s="213"/>
      <c r="O252" s="213"/>
      <c r="P252" s="213"/>
      <c r="Q252" s="213"/>
      <c r="R252" s="213"/>
      <c r="S252" s="213"/>
      <c r="T252" s="213"/>
      <c r="U252" s="213"/>
      <c r="V252" s="213"/>
      <c r="W252" s="238"/>
      <c r="X252" s="213"/>
      <c r="Y252" s="213"/>
      <c r="Z252" s="213"/>
      <c r="AA252" s="213"/>
      <c r="AB252" s="213"/>
      <c r="AC252" s="213"/>
      <c r="AD252" s="213"/>
      <c r="AE252" s="213"/>
      <c r="AF252" s="213"/>
      <c r="AG252" s="213"/>
      <c r="AH252" s="213"/>
      <c r="AI252" s="213"/>
      <c r="AJ252" s="213"/>
      <c r="AK252" s="213"/>
      <c r="AL252" s="213"/>
      <c r="AM252" s="213"/>
      <c r="AN252" s="213"/>
      <c r="AO252" s="213"/>
      <c r="AP252" s="213"/>
      <c r="AQ252" s="213"/>
      <c r="AR252" s="213"/>
      <c r="AS252" s="213"/>
      <c r="AT252" s="213"/>
      <c r="AU252" s="213"/>
      <c r="AV252" s="213"/>
      <c r="AW252" s="213"/>
      <c r="AX252" s="213"/>
      <c r="AY252" s="213"/>
      <c r="AZ252" s="213"/>
      <c r="BA252" s="213"/>
      <c r="BB252" s="213"/>
      <c r="BC252" s="213"/>
      <c r="BD252" s="213"/>
      <c r="BE252" s="213"/>
      <c r="BF252" s="213"/>
      <c r="BG252" s="213"/>
      <c r="BH252" s="213"/>
      <c r="BI252" s="213"/>
      <c r="BJ252" s="213"/>
      <c r="BK252" s="213"/>
      <c r="BL252" s="213"/>
      <c r="BM252" s="213"/>
      <c r="BN252" s="213"/>
      <c r="BO252" s="213"/>
      <c r="BP252" s="213"/>
      <c r="BQ252" s="213"/>
      <c r="BR252" s="326"/>
      <c r="BS252" s="213"/>
      <c r="BT252" s="213"/>
      <c r="BU252" s="213"/>
      <c r="BV252" s="213"/>
      <c r="BW252" s="213"/>
      <c r="BX252" s="213"/>
      <c r="BY252" s="213"/>
      <c r="BZ252" s="213"/>
      <c r="CA252" s="213"/>
      <c r="CB252" s="213"/>
      <c r="CC252" s="213"/>
      <c r="CD252" s="213"/>
      <c r="CE252" s="213"/>
      <c r="CF252" s="213"/>
      <c r="CG252" s="213"/>
      <c r="CH252" s="213"/>
      <c r="CI252" s="213"/>
      <c r="CJ252" s="213"/>
      <c r="CK252" s="213"/>
      <c r="CL252" s="213"/>
      <c r="CM252" s="213"/>
      <c r="CN252" s="213"/>
      <c r="CO252" s="213"/>
      <c r="CP252" s="213"/>
    </row>
    <row r="253" ht="15.75" customHeight="1">
      <c r="A253" s="213"/>
      <c r="B253" s="213"/>
      <c r="C253" s="213"/>
      <c r="D253" s="213"/>
      <c r="E253" s="213"/>
      <c r="F253" s="213"/>
      <c r="G253" s="213"/>
      <c r="H253" s="213"/>
      <c r="I253" s="213"/>
      <c r="J253" s="213"/>
      <c r="K253" s="213"/>
      <c r="L253" s="213"/>
      <c r="M253" s="213"/>
      <c r="N253" s="213"/>
      <c r="O253" s="213"/>
      <c r="P253" s="213"/>
      <c r="Q253" s="213"/>
      <c r="R253" s="213"/>
      <c r="S253" s="213"/>
      <c r="T253" s="213"/>
      <c r="U253" s="213"/>
      <c r="V253" s="213"/>
      <c r="W253" s="238"/>
      <c r="X253" s="213"/>
      <c r="Y253" s="213"/>
      <c r="Z253" s="213"/>
      <c r="AA253" s="213"/>
      <c r="AB253" s="213"/>
      <c r="AC253" s="213"/>
      <c r="AD253" s="213"/>
      <c r="AE253" s="213"/>
      <c r="AF253" s="213"/>
      <c r="AG253" s="213"/>
      <c r="AH253" s="213"/>
      <c r="AI253" s="213"/>
      <c r="AJ253" s="213"/>
      <c r="AK253" s="213"/>
      <c r="AL253" s="213"/>
      <c r="AM253" s="213"/>
      <c r="AN253" s="213"/>
      <c r="AO253" s="213"/>
      <c r="AP253" s="213"/>
      <c r="AQ253" s="213"/>
      <c r="AR253" s="213"/>
      <c r="AS253" s="213"/>
      <c r="AT253" s="213"/>
      <c r="AU253" s="213"/>
      <c r="AV253" s="213"/>
      <c r="AW253" s="213"/>
      <c r="AX253" s="213"/>
      <c r="AY253" s="213"/>
      <c r="AZ253" s="213"/>
      <c r="BA253" s="213"/>
      <c r="BB253" s="213"/>
      <c r="BC253" s="213"/>
      <c r="BD253" s="213"/>
      <c r="BE253" s="213"/>
      <c r="BF253" s="213"/>
      <c r="BG253" s="213"/>
      <c r="BH253" s="213"/>
      <c r="BI253" s="213"/>
      <c r="BJ253" s="213"/>
      <c r="BK253" s="213"/>
      <c r="BL253" s="213"/>
      <c r="BM253" s="213"/>
      <c r="BN253" s="213"/>
      <c r="BO253" s="213"/>
      <c r="BP253" s="213"/>
      <c r="BQ253" s="213"/>
      <c r="BR253" s="326"/>
      <c r="BS253" s="213"/>
      <c r="BT253" s="213"/>
      <c r="BU253" s="213"/>
      <c r="BV253" s="213"/>
      <c r="BW253" s="213"/>
      <c r="BX253" s="213"/>
      <c r="BY253" s="213"/>
      <c r="BZ253" s="213"/>
      <c r="CA253" s="213"/>
      <c r="CB253" s="213"/>
      <c r="CC253" s="213"/>
      <c r="CD253" s="213"/>
      <c r="CE253" s="213"/>
      <c r="CF253" s="213"/>
      <c r="CG253" s="213"/>
      <c r="CH253" s="213"/>
      <c r="CI253" s="213"/>
      <c r="CJ253" s="213"/>
      <c r="CK253" s="213"/>
      <c r="CL253" s="213"/>
      <c r="CM253" s="213"/>
      <c r="CN253" s="213"/>
      <c r="CO253" s="213"/>
      <c r="CP253" s="213"/>
    </row>
    <row r="254" ht="15.75" customHeight="1">
      <c r="A254" s="213"/>
      <c r="B254" s="213"/>
      <c r="C254" s="213"/>
      <c r="D254" s="213"/>
      <c r="E254" s="213"/>
      <c r="F254" s="213"/>
      <c r="G254" s="213"/>
      <c r="H254" s="213"/>
      <c r="I254" s="213"/>
      <c r="J254" s="213"/>
      <c r="K254" s="213"/>
      <c r="L254" s="213"/>
      <c r="M254" s="213"/>
      <c r="N254" s="213"/>
      <c r="O254" s="213"/>
      <c r="P254" s="213"/>
      <c r="Q254" s="213"/>
      <c r="R254" s="213"/>
      <c r="S254" s="213"/>
      <c r="T254" s="213"/>
      <c r="U254" s="213"/>
      <c r="V254" s="213"/>
      <c r="W254" s="238"/>
      <c r="X254" s="213"/>
      <c r="Y254" s="213"/>
      <c r="Z254" s="213"/>
      <c r="AA254" s="213"/>
      <c r="AB254" s="213"/>
      <c r="AC254" s="213"/>
      <c r="AD254" s="213"/>
      <c r="AE254" s="213"/>
      <c r="AF254" s="213"/>
      <c r="AG254" s="213"/>
      <c r="AH254" s="213"/>
      <c r="AI254" s="213"/>
      <c r="AJ254" s="213"/>
      <c r="AK254" s="213"/>
      <c r="AL254" s="213"/>
      <c r="AM254" s="213"/>
      <c r="AN254" s="213"/>
      <c r="AO254" s="213"/>
      <c r="AP254" s="213"/>
      <c r="AQ254" s="213"/>
      <c r="AR254" s="213"/>
      <c r="AS254" s="213"/>
      <c r="AT254" s="213"/>
      <c r="AU254" s="213"/>
      <c r="AV254" s="213"/>
      <c r="AW254" s="213"/>
      <c r="AX254" s="213"/>
      <c r="AY254" s="213"/>
      <c r="AZ254" s="213"/>
      <c r="BA254" s="213"/>
      <c r="BB254" s="213"/>
      <c r="BC254" s="213"/>
      <c r="BD254" s="213"/>
      <c r="BE254" s="213"/>
      <c r="BF254" s="213"/>
      <c r="BG254" s="213"/>
      <c r="BH254" s="213"/>
      <c r="BI254" s="213"/>
      <c r="BJ254" s="213"/>
      <c r="BK254" s="213"/>
      <c r="BL254" s="213"/>
      <c r="BM254" s="213"/>
      <c r="BN254" s="213"/>
      <c r="BO254" s="213"/>
      <c r="BP254" s="213"/>
      <c r="BQ254" s="213"/>
      <c r="BR254" s="326"/>
      <c r="BS254" s="213"/>
      <c r="BT254" s="213"/>
      <c r="BU254" s="213"/>
      <c r="BV254" s="213"/>
      <c r="BW254" s="213"/>
      <c r="BX254" s="213"/>
      <c r="BY254" s="213"/>
      <c r="BZ254" s="213"/>
      <c r="CA254" s="213"/>
      <c r="CB254" s="213"/>
      <c r="CC254" s="213"/>
      <c r="CD254" s="213"/>
      <c r="CE254" s="213"/>
      <c r="CF254" s="213"/>
      <c r="CG254" s="213"/>
      <c r="CH254" s="213"/>
      <c r="CI254" s="213"/>
      <c r="CJ254" s="213"/>
      <c r="CK254" s="213"/>
      <c r="CL254" s="213"/>
      <c r="CM254" s="213"/>
      <c r="CN254" s="213"/>
      <c r="CO254" s="213"/>
      <c r="CP254" s="213"/>
    </row>
    <row r="255" ht="15.75" customHeight="1">
      <c r="A255" s="213"/>
      <c r="B255" s="213"/>
      <c r="C255" s="213"/>
      <c r="D255" s="213"/>
      <c r="E255" s="213"/>
      <c r="F255" s="213"/>
      <c r="G255" s="213"/>
      <c r="H255" s="213"/>
      <c r="I255" s="213"/>
      <c r="J255" s="213"/>
      <c r="K255" s="213"/>
      <c r="L255" s="213"/>
      <c r="M255" s="213"/>
      <c r="N255" s="213"/>
      <c r="O255" s="213"/>
      <c r="P255" s="213"/>
      <c r="Q255" s="213"/>
      <c r="R255" s="213"/>
      <c r="S255" s="213"/>
      <c r="T255" s="213"/>
      <c r="U255" s="213"/>
      <c r="V255" s="213"/>
      <c r="W255" s="238"/>
      <c r="X255" s="213"/>
      <c r="Y255" s="213"/>
      <c r="Z255" s="213"/>
      <c r="AA255" s="213"/>
      <c r="AB255" s="213"/>
      <c r="AC255" s="213"/>
      <c r="AD255" s="213"/>
      <c r="AE255" s="213"/>
      <c r="AF255" s="213"/>
      <c r="AG255" s="213"/>
      <c r="AH255" s="213"/>
      <c r="AI255" s="213"/>
      <c r="AJ255" s="213"/>
      <c r="AK255" s="213"/>
      <c r="AL255" s="213"/>
      <c r="AM255" s="213"/>
      <c r="AN255" s="213"/>
      <c r="AO255" s="213"/>
      <c r="AP255" s="213"/>
      <c r="AQ255" s="213"/>
      <c r="AR255" s="213"/>
      <c r="AS255" s="213"/>
      <c r="AT255" s="213"/>
      <c r="AU255" s="213"/>
      <c r="AV255" s="213"/>
      <c r="AW255" s="213"/>
      <c r="AX255" s="213"/>
      <c r="AY255" s="213"/>
      <c r="AZ255" s="213"/>
      <c r="BA255" s="213"/>
      <c r="BB255" s="213"/>
      <c r="BC255" s="213"/>
      <c r="BD255" s="213"/>
      <c r="BE255" s="213"/>
      <c r="BF255" s="213"/>
      <c r="BG255" s="213"/>
      <c r="BH255" s="213"/>
      <c r="BI255" s="213"/>
      <c r="BJ255" s="213"/>
      <c r="BK255" s="213"/>
      <c r="BL255" s="213"/>
      <c r="BM255" s="213"/>
      <c r="BN255" s="213"/>
      <c r="BO255" s="213"/>
      <c r="BP255" s="213"/>
      <c r="BQ255" s="213"/>
      <c r="BR255" s="326"/>
      <c r="BS255" s="213"/>
      <c r="BT255" s="213"/>
      <c r="BU255" s="213"/>
      <c r="BV255" s="213"/>
      <c r="BW255" s="213"/>
      <c r="BX255" s="213"/>
      <c r="BY255" s="213"/>
      <c r="BZ255" s="213"/>
      <c r="CA255" s="213"/>
      <c r="CB255" s="213"/>
      <c r="CC255" s="213"/>
      <c r="CD255" s="213"/>
      <c r="CE255" s="213"/>
      <c r="CF255" s="213"/>
      <c r="CG255" s="213"/>
      <c r="CH255" s="213"/>
      <c r="CI255" s="213"/>
      <c r="CJ255" s="213"/>
      <c r="CK255" s="213"/>
      <c r="CL255" s="213"/>
      <c r="CM255" s="213"/>
      <c r="CN255" s="213"/>
      <c r="CO255" s="213"/>
      <c r="CP255" s="213"/>
    </row>
    <row r="256" ht="15.75" customHeight="1">
      <c r="A256" s="213"/>
      <c r="B256" s="213"/>
      <c r="C256" s="213"/>
      <c r="D256" s="213"/>
      <c r="E256" s="213"/>
      <c r="F256" s="213"/>
      <c r="G256" s="213"/>
      <c r="H256" s="213"/>
      <c r="I256" s="213"/>
      <c r="J256" s="213"/>
      <c r="K256" s="213"/>
      <c r="L256" s="213"/>
      <c r="M256" s="213"/>
      <c r="N256" s="213"/>
      <c r="O256" s="213"/>
      <c r="P256" s="213"/>
      <c r="Q256" s="213"/>
      <c r="R256" s="213"/>
      <c r="S256" s="213"/>
      <c r="T256" s="213"/>
      <c r="U256" s="213"/>
      <c r="V256" s="213"/>
      <c r="W256" s="238"/>
      <c r="X256" s="213"/>
      <c r="Y256" s="213"/>
      <c r="Z256" s="213"/>
      <c r="AA256" s="213"/>
      <c r="AB256" s="213"/>
      <c r="AC256" s="213"/>
      <c r="AD256" s="213"/>
      <c r="AE256" s="213"/>
      <c r="AF256" s="213"/>
      <c r="AG256" s="213"/>
      <c r="AH256" s="213"/>
      <c r="AI256" s="213"/>
      <c r="AJ256" s="213"/>
      <c r="AK256" s="213"/>
      <c r="AL256" s="213"/>
      <c r="AM256" s="213"/>
      <c r="AN256" s="213"/>
      <c r="AO256" s="213"/>
      <c r="AP256" s="213"/>
      <c r="AQ256" s="213"/>
      <c r="AR256" s="213"/>
      <c r="AS256" s="213"/>
      <c r="AT256" s="213"/>
      <c r="AU256" s="213"/>
      <c r="AV256" s="213"/>
      <c r="AW256" s="213"/>
      <c r="AX256" s="213"/>
      <c r="AY256" s="213"/>
      <c r="AZ256" s="213"/>
      <c r="BA256" s="213"/>
      <c r="BB256" s="213"/>
      <c r="BC256" s="213"/>
      <c r="BD256" s="213"/>
      <c r="BE256" s="213"/>
      <c r="BF256" s="213"/>
      <c r="BG256" s="213"/>
      <c r="BH256" s="213"/>
      <c r="BI256" s="213"/>
      <c r="BJ256" s="213"/>
      <c r="BK256" s="213"/>
      <c r="BL256" s="213"/>
      <c r="BM256" s="213"/>
      <c r="BN256" s="213"/>
      <c r="BO256" s="213"/>
      <c r="BP256" s="213"/>
      <c r="BQ256" s="213"/>
      <c r="BR256" s="326"/>
      <c r="BS256" s="213"/>
      <c r="BT256" s="213"/>
      <c r="BU256" s="213"/>
      <c r="BV256" s="213"/>
      <c r="BW256" s="213"/>
      <c r="BX256" s="213"/>
      <c r="BY256" s="213"/>
      <c r="BZ256" s="213"/>
      <c r="CA256" s="213"/>
      <c r="CB256" s="213"/>
      <c r="CC256" s="213"/>
      <c r="CD256" s="213"/>
      <c r="CE256" s="213"/>
      <c r="CF256" s="213"/>
      <c r="CG256" s="213"/>
      <c r="CH256" s="213"/>
      <c r="CI256" s="213"/>
      <c r="CJ256" s="213"/>
      <c r="CK256" s="213"/>
      <c r="CL256" s="213"/>
      <c r="CM256" s="213"/>
      <c r="CN256" s="213"/>
      <c r="CO256" s="213"/>
      <c r="CP256" s="213"/>
    </row>
    <row r="257" ht="15.75" customHeight="1">
      <c r="A257" s="213"/>
      <c r="B257" s="213"/>
      <c r="C257" s="213"/>
      <c r="D257" s="213"/>
      <c r="E257" s="213"/>
      <c r="F257" s="213"/>
      <c r="G257" s="213"/>
      <c r="H257" s="213"/>
      <c r="I257" s="213"/>
      <c r="J257" s="213"/>
      <c r="K257" s="213"/>
      <c r="L257" s="213"/>
      <c r="M257" s="213"/>
      <c r="N257" s="213"/>
      <c r="O257" s="213"/>
      <c r="P257" s="213"/>
      <c r="Q257" s="213"/>
      <c r="R257" s="213"/>
      <c r="S257" s="213"/>
      <c r="T257" s="213"/>
      <c r="U257" s="213"/>
      <c r="V257" s="213"/>
      <c r="W257" s="238"/>
      <c r="X257" s="213"/>
      <c r="Y257" s="213"/>
      <c r="Z257" s="213"/>
      <c r="AA257" s="213"/>
      <c r="AB257" s="213"/>
      <c r="AC257" s="213"/>
      <c r="AD257" s="213"/>
      <c r="AE257" s="213"/>
      <c r="AF257" s="213"/>
      <c r="AG257" s="213"/>
      <c r="AH257" s="213"/>
      <c r="AI257" s="213"/>
      <c r="AJ257" s="213"/>
      <c r="AK257" s="213"/>
      <c r="AL257" s="213"/>
      <c r="AM257" s="213"/>
      <c r="AN257" s="213"/>
      <c r="AO257" s="213"/>
      <c r="AP257" s="213"/>
      <c r="AQ257" s="213"/>
      <c r="AR257" s="213"/>
      <c r="AS257" s="213"/>
      <c r="AT257" s="213"/>
      <c r="AU257" s="213"/>
      <c r="AV257" s="213"/>
      <c r="AW257" s="213"/>
      <c r="AX257" s="213"/>
      <c r="AY257" s="213"/>
      <c r="AZ257" s="213"/>
      <c r="BA257" s="213"/>
      <c r="BB257" s="213"/>
      <c r="BC257" s="213"/>
      <c r="BD257" s="213"/>
      <c r="BE257" s="213"/>
      <c r="BF257" s="213"/>
      <c r="BG257" s="213"/>
      <c r="BH257" s="213"/>
      <c r="BI257" s="213"/>
      <c r="BJ257" s="213"/>
      <c r="BK257" s="213"/>
      <c r="BL257" s="213"/>
      <c r="BM257" s="213"/>
      <c r="BN257" s="213"/>
      <c r="BO257" s="213"/>
      <c r="BP257" s="213"/>
      <c r="BQ257" s="213"/>
      <c r="BR257" s="326"/>
      <c r="BS257" s="213"/>
      <c r="BT257" s="213"/>
      <c r="BU257" s="213"/>
      <c r="BV257" s="213"/>
      <c r="BW257" s="213"/>
      <c r="BX257" s="213"/>
      <c r="BY257" s="213"/>
      <c r="BZ257" s="213"/>
      <c r="CA257" s="213"/>
      <c r="CB257" s="213"/>
      <c r="CC257" s="213"/>
      <c r="CD257" s="213"/>
      <c r="CE257" s="213"/>
      <c r="CF257" s="213"/>
      <c r="CG257" s="213"/>
      <c r="CH257" s="213"/>
      <c r="CI257" s="213"/>
      <c r="CJ257" s="213"/>
      <c r="CK257" s="213"/>
      <c r="CL257" s="213"/>
      <c r="CM257" s="213"/>
      <c r="CN257" s="213"/>
      <c r="CO257" s="213"/>
      <c r="CP257" s="213"/>
    </row>
    <row r="258" ht="15.75" customHeight="1">
      <c r="A258" s="213"/>
      <c r="B258" s="213"/>
      <c r="C258" s="213"/>
      <c r="D258" s="213"/>
      <c r="E258" s="213"/>
      <c r="F258" s="213"/>
      <c r="G258" s="213"/>
      <c r="H258" s="213"/>
      <c r="I258" s="213"/>
      <c r="J258" s="213"/>
      <c r="K258" s="213"/>
      <c r="L258" s="213"/>
      <c r="M258" s="213"/>
      <c r="N258" s="213"/>
      <c r="O258" s="213"/>
      <c r="P258" s="213"/>
      <c r="Q258" s="213"/>
      <c r="R258" s="213"/>
      <c r="S258" s="213"/>
      <c r="T258" s="213"/>
      <c r="U258" s="213"/>
      <c r="V258" s="213"/>
      <c r="W258" s="238"/>
      <c r="X258" s="213"/>
      <c r="Y258" s="213"/>
      <c r="Z258" s="213"/>
      <c r="AA258" s="213"/>
      <c r="AB258" s="213"/>
      <c r="AC258" s="213"/>
      <c r="AD258" s="213"/>
      <c r="AE258" s="213"/>
      <c r="AF258" s="213"/>
      <c r="AG258" s="213"/>
      <c r="AH258" s="213"/>
      <c r="AI258" s="213"/>
      <c r="AJ258" s="213"/>
      <c r="AK258" s="213"/>
      <c r="AL258" s="213"/>
      <c r="AM258" s="213"/>
      <c r="AN258" s="213"/>
      <c r="AO258" s="213"/>
      <c r="AP258" s="213"/>
      <c r="AQ258" s="213"/>
      <c r="AR258" s="213"/>
      <c r="AS258" s="213"/>
      <c r="AT258" s="213"/>
      <c r="AU258" s="213"/>
      <c r="AV258" s="213"/>
      <c r="AW258" s="213"/>
      <c r="AX258" s="213"/>
      <c r="AY258" s="213"/>
      <c r="AZ258" s="213"/>
      <c r="BA258" s="213"/>
      <c r="BB258" s="213"/>
      <c r="BC258" s="213"/>
      <c r="BD258" s="213"/>
      <c r="BE258" s="213"/>
      <c r="BF258" s="213"/>
      <c r="BG258" s="213"/>
      <c r="BH258" s="213"/>
      <c r="BI258" s="213"/>
      <c r="BJ258" s="213"/>
      <c r="BK258" s="213"/>
      <c r="BL258" s="213"/>
      <c r="BM258" s="213"/>
      <c r="BN258" s="213"/>
      <c r="BO258" s="213"/>
      <c r="BP258" s="213"/>
      <c r="BQ258" s="213"/>
      <c r="BR258" s="326"/>
      <c r="BS258" s="213"/>
      <c r="BT258" s="213"/>
      <c r="BU258" s="213"/>
      <c r="BV258" s="213"/>
      <c r="BW258" s="213"/>
      <c r="BX258" s="213"/>
      <c r="BY258" s="213"/>
      <c r="BZ258" s="213"/>
      <c r="CA258" s="213"/>
      <c r="CB258" s="213"/>
      <c r="CC258" s="213"/>
      <c r="CD258" s="213"/>
      <c r="CE258" s="213"/>
      <c r="CF258" s="213"/>
      <c r="CG258" s="213"/>
      <c r="CH258" s="213"/>
      <c r="CI258" s="213"/>
      <c r="CJ258" s="213"/>
      <c r="CK258" s="213"/>
      <c r="CL258" s="213"/>
      <c r="CM258" s="213"/>
      <c r="CN258" s="213"/>
      <c r="CO258" s="213"/>
      <c r="CP258" s="213"/>
    </row>
    <row r="259" ht="15.75" customHeight="1">
      <c r="A259" s="213"/>
      <c r="B259" s="213"/>
      <c r="C259" s="213"/>
      <c r="D259" s="213"/>
      <c r="E259" s="213"/>
      <c r="F259" s="213"/>
      <c r="G259" s="213"/>
      <c r="H259" s="213"/>
      <c r="I259" s="213"/>
      <c r="J259" s="213"/>
      <c r="K259" s="213"/>
      <c r="L259" s="213"/>
      <c r="M259" s="213"/>
      <c r="N259" s="213"/>
      <c r="O259" s="213"/>
      <c r="P259" s="213"/>
      <c r="Q259" s="213"/>
      <c r="R259" s="213"/>
      <c r="S259" s="213"/>
      <c r="T259" s="213"/>
      <c r="U259" s="213"/>
      <c r="V259" s="213"/>
      <c r="W259" s="238"/>
      <c r="X259" s="213"/>
      <c r="Y259" s="213"/>
      <c r="Z259" s="213"/>
      <c r="AA259" s="213"/>
      <c r="AB259" s="213"/>
      <c r="AC259" s="213"/>
      <c r="AD259" s="213"/>
      <c r="AE259" s="213"/>
      <c r="AF259" s="213"/>
      <c r="AG259" s="213"/>
      <c r="AH259" s="213"/>
      <c r="AI259" s="213"/>
      <c r="AJ259" s="213"/>
      <c r="AK259" s="213"/>
      <c r="AL259" s="213"/>
      <c r="AM259" s="213"/>
      <c r="AN259" s="213"/>
      <c r="AO259" s="213"/>
      <c r="AP259" s="213"/>
      <c r="AQ259" s="213"/>
      <c r="AR259" s="213"/>
      <c r="AS259" s="213"/>
      <c r="AT259" s="213"/>
      <c r="AU259" s="213"/>
      <c r="AV259" s="213"/>
      <c r="AW259" s="213"/>
      <c r="AX259" s="213"/>
      <c r="AY259" s="213"/>
      <c r="AZ259" s="213"/>
      <c r="BA259" s="213"/>
      <c r="BB259" s="213"/>
      <c r="BC259" s="213"/>
      <c r="BD259" s="213"/>
      <c r="BE259" s="213"/>
      <c r="BF259" s="213"/>
      <c r="BG259" s="213"/>
      <c r="BH259" s="213"/>
      <c r="BI259" s="213"/>
      <c r="BJ259" s="213"/>
      <c r="BK259" s="213"/>
      <c r="BL259" s="213"/>
      <c r="BM259" s="213"/>
      <c r="BN259" s="213"/>
      <c r="BO259" s="213"/>
      <c r="BP259" s="213"/>
      <c r="BQ259" s="213"/>
      <c r="BR259" s="326"/>
      <c r="BS259" s="213"/>
      <c r="BT259" s="213"/>
      <c r="BU259" s="213"/>
      <c r="BV259" s="213"/>
      <c r="BW259" s="213"/>
      <c r="BX259" s="213"/>
      <c r="BY259" s="213"/>
      <c r="BZ259" s="213"/>
      <c r="CA259" s="213"/>
      <c r="CB259" s="213"/>
      <c r="CC259" s="213"/>
      <c r="CD259" s="213"/>
      <c r="CE259" s="213"/>
      <c r="CF259" s="213"/>
      <c r="CG259" s="213"/>
      <c r="CH259" s="213"/>
      <c r="CI259" s="213"/>
      <c r="CJ259" s="213"/>
      <c r="CK259" s="213"/>
      <c r="CL259" s="213"/>
      <c r="CM259" s="213"/>
      <c r="CN259" s="213"/>
      <c r="CO259" s="213"/>
      <c r="CP259" s="213"/>
    </row>
    <row r="260" ht="15.75" customHeight="1">
      <c r="A260" s="213"/>
      <c r="B260" s="213"/>
      <c r="C260" s="213"/>
      <c r="D260" s="213"/>
      <c r="E260" s="213"/>
      <c r="F260" s="213"/>
      <c r="G260" s="213"/>
      <c r="H260" s="213"/>
      <c r="I260" s="213"/>
      <c r="J260" s="213"/>
      <c r="K260" s="213"/>
      <c r="L260" s="213"/>
      <c r="M260" s="213"/>
      <c r="N260" s="213"/>
      <c r="O260" s="213"/>
      <c r="P260" s="213"/>
      <c r="Q260" s="213"/>
      <c r="R260" s="213"/>
      <c r="S260" s="213"/>
      <c r="T260" s="213"/>
      <c r="U260" s="213"/>
      <c r="V260" s="213"/>
      <c r="W260" s="238"/>
      <c r="X260" s="213"/>
      <c r="Y260" s="213"/>
      <c r="Z260" s="213"/>
      <c r="AA260" s="213"/>
      <c r="AB260" s="213"/>
      <c r="AC260" s="213"/>
      <c r="AD260" s="213"/>
      <c r="AE260" s="213"/>
      <c r="AF260" s="213"/>
      <c r="AG260" s="213"/>
      <c r="AH260" s="213"/>
      <c r="AI260" s="213"/>
      <c r="AJ260" s="213"/>
      <c r="AK260" s="213"/>
      <c r="AL260" s="213"/>
      <c r="AM260" s="213"/>
      <c r="AN260" s="213"/>
      <c r="AO260" s="213"/>
      <c r="AP260" s="213"/>
      <c r="AQ260" s="213"/>
      <c r="AR260" s="213"/>
      <c r="AS260" s="213"/>
      <c r="AT260" s="213"/>
      <c r="AU260" s="213"/>
      <c r="AV260" s="213"/>
      <c r="AW260" s="213"/>
      <c r="AX260" s="213"/>
      <c r="AY260" s="213"/>
      <c r="AZ260" s="213"/>
      <c r="BA260" s="213"/>
      <c r="BB260" s="213"/>
      <c r="BC260" s="213"/>
      <c r="BD260" s="213"/>
      <c r="BE260" s="213"/>
      <c r="BF260" s="213"/>
      <c r="BG260" s="213"/>
      <c r="BH260" s="213"/>
      <c r="BI260" s="213"/>
      <c r="BJ260" s="213"/>
      <c r="BK260" s="213"/>
      <c r="BL260" s="213"/>
      <c r="BM260" s="213"/>
      <c r="BN260" s="213"/>
      <c r="BO260" s="213"/>
      <c r="BP260" s="213"/>
      <c r="BQ260" s="213"/>
      <c r="BR260" s="326"/>
      <c r="BS260" s="213"/>
      <c r="BT260" s="213"/>
      <c r="BU260" s="213"/>
      <c r="BV260" s="213"/>
      <c r="BW260" s="213"/>
      <c r="BX260" s="213"/>
      <c r="BY260" s="213"/>
      <c r="BZ260" s="213"/>
      <c r="CA260" s="213"/>
      <c r="CB260" s="213"/>
      <c r="CC260" s="213"/>
      <c r="CD260" s="213"/>
      <c r="CE260" s="213"/>
      <c r="CF260" s="213"/>
      <c r="CG260" s="213"/>
      <c r="CH260" s="213"/>
      <c r="CI260" s="213"/>
      <c r="CJ260" s="213"/>
      <c r="CK260" s="213"/>
      <c r="CL260" s="213"/>
      <c r="CM260" s="213"/>
      <c r="CN260" s="213"/>
      <c r="CO260" s="213"/>
      <c r="CP260" s="213"/>
    </row>
    <row r="261" ht="15.75" customHeight="1">
      <c r="A261" s="213"/>
      <c r="B261" s="213"/>
      <c r="C261" s="213"/>
      <c r="D261" s="213"/>
      <c r="E261" s="213"/>
      <c r="F261" s="213"/>
      <c r="G261" s="213"/>
      <c r="H261" s="213"/>
      <c r="I261" s="213"/>
      <c r="J261" s="213"/>
      <c r="K261" s="213"/>
      <c r="L261" s="213"/>
      <c r="M261" s="213"/>
      <c r="N261" s="213"/>
      <c r="O261" s="213"/>
      <c r="P261" s="213"/>
      <c r="Q261" s="213"/>
      <c r="R261" s="213"/>
      <c r="S261" s="213"/>
      <c r="T261" s="213"/>
      <c r="U261" s="213"/>
      <c r="V261" s="213"/>
      <c r="W261" s="238"/>
      <c r="X261" s="213"/>
      <c r="Y261" s="213"/>
      <c r="Z261" s="213"/>
      <c r="AA261" s="213"/>
      <c r="AB261" s="213"/>
      <c r="AC261" s="213"/>
      <c r="AD261" s="213"/>
      <c r="AE261" s="213"/>
      <c r="AF261" s="213"/>
      <c r="AG261" s="213"/>
      <c r="AH261" s="213"/>
      <c r="AI261" s="213"/>
      <c r="AJ261" s="213"/>
      <c r="AK261" s="213"/>
      <c r="AL261" s="213"/>
      <c r="AM261" s="213"/>
      <c r="AN261" s="213"/>
      <c r="AO261" s="213"/>
      <c r="AP261" s="213"/>
      <c r="AQ261" s="213"/>
      <c r="AR261" s="213"/>
      <c r="AS261" s="213"/>
      <c r="AT261" s="213"/>
      <c r="AU261" s="213"/>
      <c r="AV261" s="213"/>
      <c r="AW261" s="213"/>
      <c r="AX261" s="213"/>
      <c r="AY261" s="213"/>
      <c r="AZ261" s="213"/>
      <c r="BA261" s="213"/>
      <c r="BB261" s="213"/>
      <c r="BC261" s="213"/>
      <c r="BD261" s="213"/>
      <c r="BE261" s="213"/>
      <c r="BF261" s="213"/>
      <c r="BG261" s="213"/>
      <c r="BH261" s="213"/>
      <c r="BI261" s="213"/>
      <c r="BJ261" s="213"/>
      <c r="BK261" s="213"/>
      <c r="BL261" s="213"/>
      <c r="BM261" s="213"/>
      <c r="BN261" s="213"/>
      <c r="BO261" s="213"/>
      <c r="BP261" s="213"/>
      <c r="BQ261" s="213"/>
      <c r="BR261" s="326"/>
      <c r="BS261" s="213"/>
      <c r="BT261" s="213"/>
      <c r="BU261" s="213"/>
      <c r="BV261" s="213"/>
      <c r="BW261" s="213"/>
      <c r="BX261" s="213"/>
      <c r="BY261" s="213"/>
      <c r="BZ261" s="213"/>
      <c r="CA261" s="213"/>
      <c r="CB261" s="213"/>
      <c r="CC261" s="213"/>
      <c r="CD261" s="213"/>
      <c r="CE261" s="213"/>
      <c r="CF261" s="213"/>
      <c r="CG261" s="213"/>
      <c r="CH261" s="213"/>
      <c r="CI261" s="213"/>
      <c r="CJ261" s="213"/>
      <c r="CK261" s="213"/>
      <c r="CL261" s="213"/>
      <c r="CM261" s="213"/>
      <c r="CN261" s="213"/>
      <c r="CO261" s="213"/>
      <c r="CP261" s="213"/>
    </row>
    <row r="262" ht="15.75" customHeight="1">
      <c r="A262" s="213"/>
      <c r="B262" s="213"/>
      <c r="C262" s="213"/>
      <c r="D262" s="213"/>
      <c r="E262" s="213"/>
      <c r="F262" s="213"/>
      <c r="G262" s="213"/>
      <c r="H262" s="213"/>
      <c r="I262" s="213"/>
      <c r="J262" s="213"/>
      <c r="K262" s="213"/>
      <c r="L262" s="213"/>
      <c r="M262" s="213"/>
      <c r="N262" s="213"/>
      <c r="O262" s="213"/>
      <c r="P262" s="213"/>
      <c r="Q262" s="213"/>
      <c r="R262" s="213"/>
      <c r="S262" s="213"/>
      <c r="T262" s="213"/>
      <c r="U262" s="213"/>
      <c r="V262" s="213"/>
      <c r="W262" s="238"/>
      <c r="X262" s="213"/>
      <c r="Y262" s="213"/>
      <c r="Z262" s="213"/>
      <c r="AA262" s="213"/>
      <c r="AB262" s="213"/>
      <c r="AC262" s="213"/>
      <c r="AD262" s="213"/>
      <c r="AE262" s="213"/>
      <c r="AF262" s="213"/>
      <c r="AG262" s="213"/>
      <c r="AH262" s="213"/>
      <c r="AI262" s="213"/>
      <c r="AJ262" s="213"/>
      <c r="AK262" s="213"/>
      <c r="AL262" s="213"/>
      <c r="AM262" s="213"/>
      <c r="AN262" s="213"/>
      <c r="AO262" s="213"/>
      <c r="AP262" s="213"/>
      <c r="AQ262" s="213"/>
      <c r="AR262" s="213"/>
      <c r="AS262" s="213"/>
      <c r="AT262" s="213"/>
      <c r="AU262" s="213"/>
      <c r="AV262" s="213"/>
      <c r="AW262" s="213"/>
      <c r="AX262" s="213"/>
      <c r="AY262" s="213"/>
      <c r="AZ262" s="213"/>
      <c r="BA262" s="213"/>
      <c r="BB262" s="213"/>
      <c r="BC262" s="213"/>
      <c r="BD262" s="213"/>
      <c r="BE262" s="213"/>
      <c r="BF262" s="213"/>
      <c r="BG262" s="213"/>
      <c r="BH262" s="213"/>
      <c r="BI262" s="213"/>
      <c r="BJ262" s="213"/>
      <c r="BK262" s="213"/>
      <c r="BL262" s="213"/>
      <c r="BM262" s="213"/>
      <c r="BN262" s="213"/>
      <c r="BO262" s="213"/>
      <c r="BP262" s="213"/>
      <c r="BQ262" s="213"/>
      <c r="BR262" s="326"/>
      <c r="BS262" s="213"/>
      <c r="BT262" s="213"/>
      <c r="BU262" s="213"/>
      <c r="BV262" s="213"/>
      <c r="BW262" s="213"/>
      <c r="BX262" s="213"/>
      <c r="BY262" s="213"/>
      <c r="BZ262" s="213"/>
      <c r="CA262" s="213"/>
      <c r="CB262" s="213"/>
      <c r="CC262" s="213"/>
      <c r="CD262" s="213"/>
      <c r="CE262" s="213"/>
      <c r="CF262" s="213"/>
      <c r="CG262" s="213"/>
      <c r="CH262" s="213"/>
      <c r="CI262" s="213"/>
      <c r="CJ262" s="213"/>
      <c r="CK262" s="213"/>
      <c r="CL262" s="213"/>
      <c r="CM262" s="213"/>
      <c r="CN262" s="213"/>
      <c r="CO262" s="213"/>
      <c r="CP262" s="213"/>
    </row>
    <row r="263" ht="15.75" customHeight="1">
      <c r="A263" s="213"/>
      <c r="B263" s="213"/>
      <c r="C263" s="213"/>
      <c r="D263" s="213"/>
      <c r="E263" s="213"/>
      <c r="F263" s="213"/>
      <c r="G263" s="213"/>
      <c r="H263" s="213"/>
      <c r="I263" s="213"/>
      <c r="J263" s="213"/>
      <c r="K263" s="213"/>
      <c r="L263" s="213"/>
      <c r="M263" s="213"/>
      <c r="N263" s="213"/>
      <c r="O263" s="213"/>
      <c r="P263" s="213"/>
      <c r="Q263" s="213"/>
      <c r="R263" s="213"/>
      <c r="S263" s="213"/>
      <c r="T263" s="213"/>
      <c r="U263" s="213"/>
      <c r="V263" s="213"/>
      <c r="W263" s="238"/>
      <c r="X263" s="213"/>
      <c r="Y263" s="213"/>
      <c r="Z263" s="213"/>
      <c r="AA263" s="213"/>
      <c r="AB263" s="213"/>
      <c r="AC263" s="213"/>
      <c r="AD263" s="213"/>
      <c r="AE263" s="213"/>
      <c r="AF263" s="213"/>
      <c r="AG263" s="213"/>
      <c r="AH263" s="213"/>
      <c r="AI263" s="213"/>
      <c r="AJ263" s="213"/>
      <c r="AK263" s="213"/>
      <c r="AL263" s="213"/>
      <c r="AM263" s="213"/>
      <c r="AN263" s="213"/>
      <c r="AO263" s="213"/>
      <c r="AP263" s="213"/>
      <c r="AQ263" s="213"/>
      <c r="AR263" s="213"/>
      <c r="AS263" s="213"/>
      <c r="AT263" s="213"/>
      <c r="AU263" s="213"/>
      <c r="AV263" s="213"/>
      <c r="AW263" s="213"/>
      <c r="AX263" s="213"/>
      <c r="AY263" s="213"/>
      <c r="AZ263" s="213"/>
      <c r="BA263" s="213"/>
      <c r="BB263" s="213"/>
      <c r="BC263" s="213"/>
      <c r="BD263" s="213"/>
      <c r="BE263" s="213"/>
      <c r="BF263" s="213"/>
      <c r="BG263" s="213"/>
      <c r="BH263" s="213"/>
      <c r="BI263" s="213"/>
      <c r="BJ263" s="213"/>
      <c r="BK263" s="213"/>
      <c r="BL263" s="213"/>
      <c r="BM263" s="213"/>
      <c r="BN263" s="213"/>
      <c r="BO263" s="213"/>
      <c r="BP263" s="213"/>
      <c r="BQ263" s="213"/>
      <c r="BR263" s="326"/>
      <c r="BS263" s="213"/>
      <c r="BT263" s="213"/>
      <c r="BU263" s="213"/>
      <c r="BV263" s="213"/>
      <c r="BW263" s="213"/>
      <c r="BX263" s="213"/>
      <c r="BY263" s="213"/>
      <c r="BZ263" s="213"/>
      <c r="CA263" s="213"/>
      <c r="CB263" s="213"/>
      <c r="CC263" s="213"/>
      <c r="CD263" s="213"/>
      <c r="CE263" s="213"/>
      <c r="CF263" s="213"/>
      <c r="CG263" s="213"/>
      <c r="CH263" s="213"/>
      <c r="CI263" s="213"/>
      <c r="CJ263" s="213"/>
      <c r="CK263" s="213"/>
      <c r="CL263" s="213"/>
      <c r="CM263" s="213"/>
      <c r="CN263" s="213"/>
      <c r="CO263" s="213"/>
      <c r="CP263" s="213"/>
    </row>
    <row r="264" ht="15.75" customHeight="1">
      <c r="A264" s="213"/>
      <c r="B264" s="213"/>
      <c r="C264" s="213"/>
      <c r="D264" s="213"/>
      <c r="E264" s="213"/>
      <c r="F264" s="213"/>
      <c r="G264" s="213"/>
      <c r="H264" s="213"/>
      <c r="I264" s="213"/>
      <c r="J264" s="213"/>
      <c r="K264" s="213"/>
      <c r="L264" s="213"/>
      <c r="M264" s="213"/>
      <c r="N264" s="213"/>
      <c r="O264" s="213"/>
      <c r="P264" s="213"/>
      <c r="Q264" s="213"/>
      <c r="R264" s="213"/>
      <c r="S264" s="213"/>
      <c r="T264" s="213"/>
      <c r="U264" s="213"/>
      <c r="V264" s="213"/>
      <c r="W264" s="238"/>
      <c r="X264" s="213"/>
      <c r="Y264" s="213"/>
      <c r="Z264" s="213"/>
      <c r="AA264" s="213"/>
      <c r="AB264" s="213"/>
      <c r="AC264" s="213"/>
      <c r="AD264" s="213"/>
      <c r="AE264" s="213"/>
      <c r="AF264" s="213"/>
      <c r="AG264" s="213"/>
      <c r="AH264" s="213"/>
      <c r="AI264" s="213"/>
      <c r="AJ264" s="213"/>
      <c r="AK264" s="213"/>
      <c r="AL264" s="213"/>
      <c r="AM264" s="213"/>
      <c r="AN264" s="213"/>
      <c r="AO264" s="213"/>
      <c r="AP264" s="213"/>
      <c r="AQ264" s="213"/>
      <c r="AR264" s="213"/>
      <c r="AS264" s="213"/>
      <c r="AT264" s="213"/>
      <c r="AU264" s="213"/>
      <c r="AV264" s="213"/>
      <c r="AW264" s="213"/>
      <c r="AX264" s="213"/>
      <c r="AY264" s="213"/>
      <c r="AZ264" s="213"/>
      <c r="BA264" s="213"/>
      <c r="BB264" s="213"/>
      <c r="BC264" s="213"/>
      <c r="BD264" s="213"/>
      <c r="BE264" s="213"/>
      <c r="BF264" s="213"/>
      <c r="BG264" s="213"/>
      <c r="BH264" s="213"/>
      <c r="BI264" s="213"/>
      <c r="BJ264" s="213"/>
      <c r="BK264" s="213"/>
      <c r="BL264" s="213"/>
      <c r="BM264" s="213"/>
      <c r="BN264" s="213"/>
      <c r="BO264" s="213"/>
      <c r="BP264" s="213"/>
      <c r="BQ264" s="213"/>
      <c r="BR264" s="326"/>
      <c r="BS264" s="213"/>
      <c r="BT264" s="213"/>
      <c r="BU264" s="213"/>
      <c r="BV264" s="213"/>
      <c r="BW264" s="213"/>
      <c r="BX264" s="213"/>
      <c r="BY264" s="213"/>
      <c r="BZ264" s="213"/>
      <c r="CA264" s="213"/>
      <c r="CB264" s="213"/>
      <c r="CC264" s="213"/>
      <c r="CD264" s="213"/>
      <c r="CE264" s="213"/>
      <c r="CF264" s="213"/>
      <c r="CG264" s="213"/>
      <c r="CH264" s="213"/>
      <c r="CI264" s="213"/>
      <c r="CJ264" s="213"/>
      <c r="CK264" s="213"/>
      <c r="CL264" s="213"/>
      <c r="CM264" s="213"/>
      <c r="CN264" s="213"/>
      <c r="CO264" s="213"/>
      <c r="CP264" s="213"/>
    </row>
    <row r="265" ht="15.75" customHeight="1">
      <c r="A265" s="213"/>
      <c r="B265" s="213"/>
      <c r="C265" s="213"/>
      <c r="D265" s="213"/>
      <c r="E265" s="213"/>
      <c r="F265" s="213"/>
      <c r="G265" s="213"/>
      <c r="H265" s="213"/>
      <c r="I265" s="213"/>
      <c r="J265" s="213"/>
      <c r="K265" s="213"/>
      <c r="L265" s="213"/>
      <c r="M265" s="213"/>
      <c r="N265" s="213"/>
      <c r="O265" s="213"/>
      <c r="P265" s="213"/>
      <c r="Q265" s="213"/>
      <c r="R265" s="213"/>
      <c r="S265" s="213"/>
      <c r="T265" s="213"/>
      <c r="U265" s="213"/>
      <c r="V265" s="213"/>
      <c r="W265" s="238"/>
      <c r="X265" s="213"/>
      <c r="Y265" s="213"/>
      <c r="Z265" s="213"/>
      <c r="AA265" s="213"/>
      <c r="AB265" s="213"/>
      <c r="AC265" s="213"/>
      <c r="AD265" s="213"/>
      <c r="AE265" s="213"/>
      <c r="AF265" s="213"/>
      <c r="AG265" s="213"/>
      <c r="AH265" s="213"/>
      <c r="AI265" s="213"/>
      <c r="AJ265" s="213"/>
      <c r="AK265" s="213"/>
      <c r="AL265" s="213"/>
      <c r="AM265" s="213"/>
      <c r="AN265" s="213"/>
      <c r="AO265" s="213"/>
      <c r="AP265" s="213"/>
      <c r="AQ265" s="213"/>
      <c r="AR265" s="213"/>
      <c r="AS265" s="213"/>
      <c r="AT265" s="213"/>
      <c r="AU265" s="213"/>
      <c r="AV265" s="213"/>
      <c r="AW265" s="213"/>
      <c r="AX265" s="213"/>
      <c r="AY265" s="213"/>
      <c r="AZ265" s="213"/>
      <c r="BA265" s="213"/>
      <c r="BB265" s="213"/>
      <c r="BC265" s="213"/>
      <c r="BD265" s="213"/>
      <c r="BE265" s="213"/>
      <c r="BF265" s="213"/>
      <c r="BG265" s="213"/>
      <c r="BH265" s="213"/>
      <c r="BI265" s="213"/>
      <c r="BJ265" s="213"/>
      <c r="BK265" s="213"/>
      <c r="BL265" s="213"/>
      <c r="BM265" s="213"/>
      <c r="BN265" s="213"/>
      <c r="BO265" s="213"/>
      <c r="BP265" s="213"/>
      <c r="BQ265" s="213"/>
      <c r="BR265" s="326"/>
      <c r="BS265" s="213"/>
      <c r="BT265" s="213"/>
      <c r="BU265" s="213"/>
      <c r="BV265" s="213"/>
      <c r="BW265" s="213"/>
      <c r="BX265" s="213"/>
      <c r="BY265" s="213"/>
      <c r="BZ265" s="213"/>
      <c r="CA265" s="213"/>
      <c r="CB265" s="213"/>
      <c r="CC265" s="213"/>
      <c r="CD265" s="213"/>
      <c r="CE265" s="213"/>
      <c r="CF265" s="213"/>
      <c r="CG265" s="213"/>
      <c r="CH265" s="213"/>
      <c r="CI265" s="213"/>
      <c r="CJ265" s="213"/>
      <c r="CK265" s="213"/>
      <c r="CL265" s="213"/>
      <c r="CM265" s="213"/>
      <c r="CN265" s="213"/>
      <c r="CO265" s="213"/>
      <c r="CP265" s="213"/>
    </row>
    <row r="266" ht="15.75" customHeight="1">
      <c r="A266" s="213"/>
      <c r="B266" s="213"/>
      <c r="C266" s="213"/>
      <c r="D266" s="213"/>
      <c r="E266" s="213"/>
      <c r="F266" s="213"/>
      <c r="G266" s="213"/>
      <c r="H266" s="213"/>
      <c r="I266" s="213"/>
      <c r="J266" s="213"/>
      <c r="K266" s="213"/>
      <c r="L266" s="213"/>
      <c r="M266" s="213"/>
      <c r="N266" s="213"/>
      <c r="O266" s="213"/>
      <c r="P266" s="213"/>
      <c r="Q266" s="213"/>
      <c r="R266" s="213"/>
      <c r="S266" s="213"/>
      <c r="T266" s="213"/>
      <c r="U266" s="213"/>
      <c r="V266" s="213"/>
      <c r="W266" s="238"/>
      <c r="X266" s="213"/>
      <c r="Y266" s="213"/>
      <c r="Z266" s="213"/>
      <c r="AA266" s="213"/>
      <c r="AB266" s="213"/>
      <c r="AC266" s="213"/>
      <c r="AD266" s="213"/>
      <c r="AE266" s="213"/>
      <c r="AF266" s="213"/>
      <c r="AG266" s="213"/>
      <c r="AH266" s="213"/>
      <c r="AI266" s="213"/>
      <c r="AJ266" s="213"/>
      <c r="AK266" s="213"/>
      <c r="AL266" s="213"/>
      <c r="AM266" s="213"/>
      <c r="AN266" s="213"/>
      <c r="AO266" s="213"/>
      <c r="AP266" s="213"/>
      <c r="AQ266" s="213"/>
      <c r="AR266" s="213"/>
      <c r="AS266" s="213"/>
      <c r="AT266" s="213"/>
      <c r="AU266" s="213"/>
      <c r="AV266" s="213"/>
      <c r="AW266" s="213"/>
      <c r="AX266" s="213"/>
      <c r="AY266" s="213"/>
      <c r="AZ266" s="213"/>
      <c r="BA266" s="213"/>
      <c r="BB266" s="213"/>
      <c r="BC266" s="213"/>
      <c r="BD266" s="213"/>
      <c r="BE266" s="213"/>
      <c r="BF266" s="213"/>
      <c r="BG266" s="213"/>
      <c r="BH266" s="213"/>
      <c r="BI266" s="213"/>
      <c r="BJ266" s="213"/>
      <c r="BK266" s="213"/>
      <c r="BL266" s="213"/>
      <c r="BM266" s="213"/>
      <c r="BN266" s="213"/>
      <c r="BO266" s="213"/>
      <c r="BP266" s="213"/>
      <c r="BQ266" s="213"/>
      <c r="BR266" s="326"/>
      <c r="BS266" s="213"/>
      <c r="BT266" s="213"/>
      <c r="BU266" s="213"/>
      <c r="BV266" s="213"/>
      <c r="BW266" s="213"/>
      <c r="BX266" s="213"/>
      <c r="BY266" s="213"/>
      <c r="BZ266" s="213"/>
      <c r="CA266" s="213"/>
      <c r="CB266" s="213"/>
      <c r="CC266" s="213"/>
      <c r="CD266" s="213"/>
      <c r="CE266" s="213"/>
      <c r="CF266" s="213"/>
      <c r="CG266" s="213"/>
      <c r="CH266" s="213"/>
      <c r="CI266" s="213"/>
      <c r="CJ266" s="213"/>
      <c r="CK266" s="213"/>
      <c r="CL266" s="213"/>
      <c r="CM266" s="213"/>
      <c r="CN266" s="213"/>
      <c r="CO266" s="213"/>
      <c r="CP266" s="213"/>
    </row>
    <row r="267" ht="15.75" customHeight="1">
      <c r="A267" s="213"/>
      <c r="B267" s="213"/>
      <c r="C267" s="213"/>
      <c r="D267" s="213"/>
      <c r="E267" s="213"/>
      <c r="F267" s="213"/>
      <c r="G267" s="213"/>
      <c r="H267" s="213"/>
      <c r="I267" s="213"/>
      <c r="J267" s="213"/>
      <c r="K267" s="213"/>
      <c r="L267" s="213"/>
      <c r="M267" s="213"/>
      <c r="N267" s="213"/>
      <c r="O267" s="213"/>
      <c r="P267" s="213"/>
      <c r="Q267" s="213"/>
      <c r="R267" s="213"/>
      <c r="S267" s="213"/>
      <c r="T267" s="213"/>
      <c r="U267" s="213"/>
      <c r="V267" s="213"/>
      <c r="W267" s="238"/>
      <c r="X267" s="213"/>
      <c r="Y267" s="213"/>
      <c r="Z267" s="213"/>
      <c r="AA267" s="213"/>
      <c r="AB267" s="213"/>
      <c r="AC267" s="213"/>
      <c r="AD267" s="213"/>
      <c r="AE267" s="213"/>
      <c r="AF267" s="213"/>
      <c r="AG267" s="213"/>
      <c r="AH267" s="213"/>
      <c r="AI267" s="213"/>
      <c r="AJ267" s="213"/>
      <c r="AK267" s="213"/>
      <c r="AL267" s="213"/>
      <c r="AM267" s="213"/>
      <c r="AN267" s="213"/>
      <c r="AO267" s="213"/>
      <c r="AP267" s="213"/>
      <c r="AQ267" s="213"/>
      <c r="AR267" s="213"/>
      <c r="AS267" s="213"/>
      <c r="AT267" s="213"/>
      <c r="AU267" s="213"/>
      <c r="AV267" s="213"/>
      <c r="AW267" s="213"/>
      <c r="AX267" s="213"/>
      <c r="AY267" s="213"/>
      <c r="AZ267" s="213"/>
      <c r="BA267" s="213"/>
      <c r="BB267" s="213"/>
      <c r="BC267" s="213"/>
      <c r="BD267" s="213"/>
      <c r="BE267" s="213"/>
      <c r="BF267" s="213"/>
      <c r="BG267" s="213"/>
      <c r="BH267" s="213"/>
      <c r="BI267" s="213"/>
      <c r="BJ267" s="213"/>
      <c r="BK267" s="213"/>
      <c r="BL267" s="213"/>
      <c r="BM267" s="213"/>
      <c r="BN267" s="213"/>
      <c r="BO267" s="213"/>
      <c r="BP267" s="213"/>
      <c r="BQ267" s="213"/>
      <c r="BR267" s="326"/>
      <c r="BS267" s="213"/>
      <c r="BT267" s="213"/>
      <c r="BU267" s="213"/>
      <c r="BV267" s="213"/>
      <c r="BW267" s="213"/>
      <c r="BX267" s="213"/>
      <c r="BY267" s="213"/>
      <c r="BZ267" s="213"/>
      <c r="CA267" s="213"/>
      <c r="CB267" s="213"/>
      <c r="CC267" s="213"/>
      <c r="CD267" s="213"/>
      <c r="CE267" s="213"/>
      <c r="CF267" s="213"/>
      <c r="CG267" s="213"/>
      <c r="CH267" s="213"/>
      <c r="CI267" s="213"/>
      <c r="CJ267" s="213"/>
      <c r="CK267" s="213"/>
      <c r="CL267" s="213"/>
      <c r="CM267" s="213"/>
      <c r="CN267" s="213"/>
      <c r="CO267" s="213"/>
      <c r="CP267" s="213"/>
    </row>
    <row r="268" ht="15.75" customHeight="1">
      <c r="A268" s="213"/>
      <c r="B268" s="213"/>
      <c r="C268" s="213"/>
      <c r="D268" s="213"/>
      <c r="E268" s="213"/>
      <c r="F268" s="213"/>
      <c r="G268" s="213"/>
      <c r="H268" s="213"/>
      <c r="I268" s="213"/>
      <c r="J268" s="213"/>
      <c r="K268" s="213"/>
      <c r="L268" s="213"/>
      <c r="M268" s="213"/>
      <c r="N268" s="213"/>
      <c r="O268" s="213"/>
      <c r="P268" s="213"/>
      <c r="Q268" s="213"/>
      <c r="R268" s="213"/>
      <c r="S268" s="213"/>
      <c r="T268" s="213"/>
      <c r="U268" s="213"/>
      <c r="V268" s="213"/>
      <c r="W268" s="238"/>
      <c r="X268" s="213"/>
      <c r="Y268" s="213"/>
      <c r="Z268" s="213"/>
      <c r="AA268" s="213"/>
      <c r="AB268" s="213"/>
      <c r="AC268" s="213"/>
      <c r="AD268" s="213"/>
      <c r="AE268" s="213"/>
      <c r="AF268" s="213"/>
      <c r="AG268" s="213"/>
      <c r="AH268" s="213"/>
      <c r="AI268" s="213"/>
      <c r="AJ268" s="213"/>
      <c r="AK268" s="213"/>
      <c r="AL268" s="213"/>
      <c r="AM268" s="213"/>
      <c r="AN268" s="213"/>
      <c r="AO268" s="213"/>
      <c r="AP268" s="213"/>
      <c r="AQ268" s="213"/>
      <c r="AR268" s="213"/>
      <c r="AS268" s="213"/>
      <c r="AT268" s="213"/>
      <c r="AU268" s="213"/>
      <c r="AV268" s="213"/>
      <c r="AW268" s="213"/>
      <c r="AX268" s="213"/>
      <c r="AY268" s="213"/>
      <c r="AZ268" s="213"/>
      <c r="BA268" s="213"/>
      <c r="BB268" s="213"/>
      <c r="BC268" s="213"/>
      <c r="BD268" s="213"/>
      <c r="BE268" s="213"/>
      <c r="BF268" s="213"/>
      <c r="BG268" s="213"/>
      <c r="BH268" s="213"/>
      <c r="BI268" s="213"/>
      <c r="BJ268" s="213"/>
      <c r="BK268" s="213"/>
      <c r="BL268" s="213"/>
      <c r="BM268" s="213"/>
      <c r="BN268" s="213"/>
      <c r="BO268" s="213"/>
      <c r="BP268" s="213"/>
      <c r="BQ268" s="213"/>
      <c r="BR268" s="326"/>
      <c r="BS268" s="213"/>
      <c r="BT268" s="213"/>
      <c r="BU268" s="213"/>
      <c r="BV268" s="213"/>
      <c r="BW268" s="213"/>
      <c r="BX268" s="213"/>
      <c r="BY268" s="213"/>
      <c r="BZ268" s="213"/>
      <c r="CA268" s="213"/>
      <c r="CB268" s="213"/>
      <c r="CC268" s="213"/>
      <c r="CD268" s="213"/>
      <c r="CE268" s="213"/>
      <c r="CF268" s="213"/>
      <c r="CG268" s="213"/>
      <c r="CH268" s="213"/>
      <c r="CI268" s="213"/>
      <c r="CJ268" s="213"/>
      <c r="CK268" s="213"/>
      <c r="CL268" s="213"/>
      <c r="CM268" s="213"/>
      <c r="CN268" s="213"/>
      <c r="CO268" s="213"/>
      <c r="CP268" s="213"/>
    </row>
    <row r="269" ht="15.75" customHeight="1">
      <c r="A269" s="213"/>
      <c r="B269" s="213"/>
      <c r="C269" s="213"/>
      <c r="D269" s="213"/>
      <c r="E269" s="213"/>
      <c r="F269" s="213"/>
      <c r="G269" s="213"/>
      <c r="H269" s="213"/>
      <c r="I269" s="213"/>
      <c r="J269" s="213"/>
      <c r="K269" s="213"/>
      <c r="L269" s="213"/>
      <c r="M269" s="213"/>
      <c r="N269" s="213"/>
      <c r="O269" s="213"/>
      <c r="P269" s="213"/>
      <c r="Q269" s="213"/>
      <c r="R269" s="213"/>
      <c r="S269" s="213"/>
      <c r="T269" s="213"/>
      <c r="U269" s="213"/>
      <c r="V269" s="213"/>
      <c r="W269" s="238"/>
      <c r="X269" s="213"/>
      <c r="Y269" s="213"/>
      <c r="Z269" s="213"/>
      <c r="AA269" s="213"/>
      <c r="AB269" s="213"/>
      <c r="AC269" s="213"/>
      <c r="AD269" s="213"/>
      <c r="AE269" s="213"/>
      <c r="AF269" s="213"/>
      <c r="AG269" s="213"/>
      <c r="AH269" s="213"/>
      <c r="AI269" s="213"/>
      <c r="AJ269" s="213"/>
      <c r="AK269" s="213"/>
      <c r="AL269" s="213"/>
      <c r="AM269" s="213"/>
      <c r="AN269" s="213"/>
      <c r="AO269" s="213"/>
      <c r="AP269" s="213"/>
      <c r="AQ269" s="213"/>
      <c r="AR269" s="213"/>
      <c r="AS269" s="213"/>
      <c r="AT269" s="213"/>
      <c r="AU269" s="213"/>
      <c r="AV269" s="213"/>
      <c r="AW269" s="213"/>
      <c r="AX269" s="213"/>
      <c r="AY269" s="213"/>
      <c r="AZ269" s="213"/>
      <c r="BA269" s="213"/>
      <c r="BB269" s="213"/>
      <c r="BC269" s="213"/>
      <c r="BD269" s="213"/>
      <c r="BE269" s="213"/>
      <c r="BF269" s="213"/>
      <c r="BG269" s="213"/>
      <c r="BH269" s="213"/>
      <c r="BI269" s="213"/>
      <c r="BJ269" s="213"/>
      <c r="BK269" s="213"/>
      <c r="BL269" s="213"/>
      <c r="BM269" s="213"/>
      <c r="BN269" s="213"/>
      <c r="BO269" s="213"/>
      <c r="BP269" s="213"/>
      <c r="BQ269" s="213"/>
      <c r="BR269" s="326"/>
      <c r="BS269" s="213"/>
      <c r="BT269" s="213"/>
      <c r="BU269" s="213"/>
      <c r="BV269" s="213"/>
      <c r="BW269" s="213"/>
      <c r="BX269" s="213"/>
      <c r="BY269" s="213"/>
      <c r="BZ269" s="213"/>
      <c r="CA269" s="213"/>
      <c r="CB269" s="213"/>
      <c r="CC269" s="213"/>
      <c r="CD269" s="213"/>
      <c r="CE269" s="213"/>
      <c r="CF269" s="213"/>
      <c r="CG269" s="213"/>
      <c r="CH269" s="213"/>
      <c r="CI269" s="213"/>
      <c r="CJ269" s="213"/>
      <c r="CK269" s="213"/>
      <c r="CL269" s="213"/>
      <c r="CM269" s="213"/>
      <c r="CN269" s="213"/>
      <c r="CO269" s="213"/>
      <c r="CP269" s="213"/>
    </row>
    <row r="270" ht="15.75" customHeight="1">
      <c r="A270" s="213"/>
      <c r="B270" s="213"/>
      <c r="C270" s="213"/>
      <c r="D270" s="213"/>
      <c r="E270" s="213"/>
      <c r="F270" s="213"/>
      <c r="G270" s="213"/>
      <c r="H270" s="213"/>
      <c r="I270" s="213"/>
      <c r="J270" s="213"/>
      <c r="K270" s="213"/>
      <c r="L270" s="213"/>
      <c r="M270" s="213"/>
      <c r="N270" s="213"/>
      <c r="O270" s="213"/>
      <c r="P270" s="213"/>
      <c r="Q270" s="213"/>
      <c r="R270" s="213"/>
      <c r="S270" s="213"/>
      <c r="T270" s="213"/>
      <c r="U270" s="213"/>
      <c r="V270" s="213"/>
      <c r="W270" s="238"/>
      <c r="X270" s="213"/>
      <c r="Y270" s="213"/>
      <c r="Z270" s="213"/>
      <c r="AA270" s="213"/>
      <c r="AB270" s="213"/>
      <c r="AC270" s="213"/>
      <c r="AD270" s="213"/>
      <c r="AE270" s="213"/>
      <c r="AF270" s="213"/>
      <c r="AG270" s="213"/>
      <c r="AH270" s="213"/>
      <c r="AI270" s="213"/>
      <c r="AJ270" s="213"/>
      <c r="AK270" s="213"/>
      <c r="AL270" s="213"/>
      <c r="AM270" s="213"/>
      <c r="AN270" s="213"/>
      <c r="AO270" s="213"/>
      <c r="AP270" s="213"/>
      <c r="AQ270" s="213"/>
      <c r="AR270" s="213"/>
      <c r="AS270" s="213"/>
      <c r="AT270" s="213"/>
      <c r="AU270" s="213"/>
      <c r="AV270" s="213"/>
      <c r="AW270" s="213"/>
      <c r="AX270" s="213"/>
      <c r="AY270" s="213"/>
      <c r="AZ270" s="213"/>
      <c r="BA270" s="213"/>
      <c r="BB270" s="213"/>
      <c r="BC270" s="213"/>
      <c r="BD270" s="213"/>
      <c r="BE270" s="213"/>
      <c r="BF270" s="213"/>
      <c r="BG270" s="213"/>
      <c r="BH270" s="213"/>
      <c r="BI270" s="213"/>
      <c r="BJ270" s="213"/>
      <c r="BK270" s="213"/>
      <c r="BL270" s="213"/>
      <c r="BM270" s="213"/>
      <c r="BN270" s="213"/>
      <c r="BO270" s="213"/>
      <c r="BP270" s="213"/>
      <c r="BQ270" s="213"/>
      <c r="BR270" s="326"/>
      <c r="BS270" s="213"/>
      <c r="BT270" s="213"/>
      <c r="BU270" s="213"/>
      <c r="BV270" s="213"/>
      <c r="BW270" s="213"/>
      <c r="BX270" s="213"/>
      <c r="BY270" s="213"/>
      <c r="BZ270" s="213"/>
      <c r="CA270" s="213"/>
      <c r="CB270" s="213"/>
      <c r="CC270" s="213"/>
      <c r="CD270" s="213"/>
      <c r="CE270" s="213"/>
      <c r="CF270" s="213"/>
      <c r="CG270" s="213"/>
      <c r="CH270" s="213"/>
      <c r="CI270" s="213"/>
      <c r="CJ270" s="213"/>
      <c r="CK270" s="213"/>
      <c r="CL270" s="213"/>
      <c r="CM270" s="213"/>
      <c r="CN270" s="213"/>
      <c r="CO270" s="213"/>
      <c r="CP270" s="213"/>
    </row>
    <row r="271" ht="15.75" customHeight="1">
      <c r="A271" s="213"/>
      <c r="B271" s="213"/>
      <c r="C271" s="213"/>
      <c r="D271" s="213"/>
      <c r="E271" s="213"/>
      <c r="F271" s="213"/>
      <c r="G271" s="213"/>
      <c r="H271" s="213"/>
      <c r="I271" s="213"/>
      <c r="J271" s="213"/>
      <c r="K271" s="213"/>
      <c r="L271" s="213"/>
      <c r="M271" s="213"/>
      <c r="N271" s="213"/>
      <c r="O271" s="213"/>
      <c r="P271" s="213"/>
      <c r="Q271" s="213"/>
      <c r="R271" s="213"/>
      <c r="S271" s="213"/>
      <c r="T271" s="213"/>
      <c r="U271" s="213"/>
      <c r="V271" s="213"/>
      <c r="W271" s="238"/>
      <c r="X271" s="213"/>
      <c r="Y271" s="213"/>
      <c r="Z271" s="213"/>
      <c r="AA271" s="213"/>
      <c r="AB271" s="213"/>
      <c r="AC271" s="213"/>
      <c r="AD271" s="213"/>
      <c r="AE271" s="213"/>
      <c r="AF271" s="213"/>
      <c r="AG271" s="213"/>
      <c r="AH271" s="213"/>
      <c r="AI271" s="213"/>
      <c r="AJ271" s="213"/>
      <c r="AK271" s="213"/>
      <c r="AL271" s="213"/>
      <c r="AM271" s="213"/>
      <c r="AN271" s="213"/>
      <c r="AO271" s="213"/>
      <c r="AP271" s="213"/>
      <c r="AQ271" s="213"/>
      <c r="AR271" s="213"/>
      <c r="AS271" s="213"/>
      <c r="AT271" s="213"/>
      <c r="AU271" s="213"/>
      <c r="AV271" s="213"/>
      <c r="AW271" s="213"/>
      <c r="AX271" s="213"/>
      <c r="AY271" s="213"/>
      <c r="AZ271" s="213"/>
      <c r="BA271" s="213"/>
      <c r="BB271" s="213"/>
      <c r="BC271" s="213"/>
      <c r="BD271" s="213"/>
      <c r="BE271" s="213"/>
      <c r="BF271" s="213"/>
      <c r="BG271" s="213"/>
      <c r="BH271" s="213"/>
      <c r="BI271" s="213"/>
      <c r="BJ271" s="213"/>
      <c r="BK271" s="213"/>
      <c r="BL271" s="213"/>
      <c r="BM271" s="213"/>
      <c r="BN271" s="213"/>
      <c r="BO271" s="213"/>
      <c r="BP271" s="213"/>
      <c r="BQ271" s="213"/>
      <c r="BR271" s="326"/>
      <c r="BS271" s="213"/>
      <c r="BT271" s="213"/>
      <c r="BU271" s="213"/>
      <c r="BV271" s="213"/>
      <c r="BW271" s="213"/>
      <c r="BX271" s="213"/>
      <c r="BY271" s="213"/>
      <c r="BZ271" s="213"/>
      <c r="CA271" s="213"/>
      <c r="CB271" s="213"/>
      <c r="CC271" s="213"/>
      <c r="CD271" s="213"/>
      <c r="CE271" s="213"/>
      <c r="CF271" s="213"/>
      <c r="CG271" s="213"/>
      <c r="CH271" s="213"/>
      <c r="CI271" s="213"/>
      <c r="CJ271" s="213"/>
      <c r="CK271" s="213"/>
      <c r="CL271" s="213"/>
      <c r="CM271" s="213"/>
      <c r="CN271" s="213"/>
      <c r="CO271" s="213"/>
      <c r="CP271" s="213"/>
    </row>
    <row r="272" ht="15.75" customHeight="1">
      <c r="A272" s="213"/>
      <c r="B272" s="213"/>
      <c r="C272" s="213"/>
      <c r="D272" s="213"/>
      <c r="E272" s="213"/>
      <c r="F272" s="213"/>
      <c r="G272" s="213"/>
      <c r="H272" s="213"/>
      <c r="I272" s="213"/>
      <c r="J272" s="213"/>
      <c r="K272" s="213"/>
      <c r="L272" s="213"/>
      <c r="M272" s="213"/>
      <c r="N272" s="213"/>
      <c r="O272" s="213"/>
      <c r="P272" s="213"/>
      <c r="Q272" s="213"/>
      <c r="R272" s="213"/>
      <c r="S272" s="213"/>
      <c r="T272" s="213"/>
      <c r="U272" s="213"/>
      <c r="V272" s="213"/>
      <c r="W272" s="238"/>
      <c r="X272" s="213"/>
      <c r="Y272" s="213"/>
      <c r="Z272" s="213"/>
      <c r="AA272" s="213"/>
      <c r="AB272" s="213"/>
      <c r="AC272" s="213"/>
      <c r="AD272" s="213"/>
      <c r="AE272" s="213"/>
      <c r="AF272" s="213"/>
      <c r="AG272" s="213"/>
      <c r="AH272" s="213"/>
      <c r="AI272" s="213"/>
      <c r="AJ272" s="213"/>
      <c r="AK272" s="213"/>
      <c r="AL272" s="213"/>
      <c r="AM272" s="213"/>
      <c r="AN272" s="213"/>
      <c r="AO272" s="213"/>
      <c r="AP272" s="213"/>
      <c r="AQ272" s="213"/>
      <c r="AR272" s="213"/>
      <c r="AS272" s="213"/>
      <c r="AT272" s="213"/>
      <c r="AU272" s="213"/>
      <c r="AV272" s="213"/>
      <c r="AW272" s="213"/>
      <c r="AX272" s="213"/>
      <c r="AY272" s="213"/>
      <c r="AZ272" s="213"/>
      <c r="BA272" s="213"/>
      <c r="BB272" s="213"/>
      <c r="BC272" s="213"/>
      <c r="BD272" s="213"/>
      <c r="BE272" s="213"/>
      <c r="BF272" s="213"/>
      <c r="BG272" s="213"/>
      <c r="BH272" s="213"/>
      <c r="BI272" s="213"/>
      <c r="BJ272" s="213"/>
      <c r="BK272" s="213"/>
      <c r="BL272" s="213"/>
      <c r="BM272" s="213"/>
      <c r="BN272" s="213"/>
      <c r="BO272" s="213"/>
      <c r="BP272" s="213"/>
      <c r="BQ272" s="213"/>
      <c r="BR272" s="326"/>
      <c r="BS272" s="213"/>
      <c r="BT272" s="213"/>
      <c r="BU272" s="213"/>
      <c r="BV272" s="213"/>
      <c r="BW272" s="213"/>
      <c r="BX272" s="213"/>
      <c r="BY272" s="213"/>
      <c r="BZ272" s="213"/>
      <c r="CA272" s="213"/>
      <c r="CB272" s="213"/>
      <c r="CC272" s="213"/>
      <c r="CD272" s="213"/>
      <c r="CE272" s="213"/>
      <c r="CF272" s="213"/>
      <c r="CG272" s="213"/>
      <c r="CH272" s="213"/>
      <c r="CI272" s="213"/>
      <c r="CJ272" s="213"/>
      <c r="CK272" s="213"/>
      <c r="CL272" s="213"/>
      <c r="CM272" s="213"/>
      <c r="CN272" s="213"/>
      <c r="CO272" s="213"/>
      <c r="CP272" s="213"/>
    </row>
    <row r="273" ht="15.75" customHeight="1">
      <c r="A273" s="213"/>
      <c r="B273" s="213"/>
      <c r="C273" s="213"/>
      <c r="D273" s="213"/>
      <c r="E273" s="213"/>
      <c r="F273" s="213"/>
      <c r="G273" s="213"/>
      <c r="H273" s="213"/>
      <c r="I273" s="213"/>
      <c r="J273" s="213"/>
      <c r="K273" s="213"/>
      <c r="L273" s="213"/>
      <c r="M273" s="213"/>
      <c r="N273" s="213"/>
      <c r="O273" s="213"/>
      <c r="P273" s="213"/>
      <c r="Q273" s="213"/>
      <c r="R273" s="213"/>
      <c r="S273" s="213"/>
      <c r="T273" s="213"/>
      <c r="U273" s="213"/>
      <c r="V273" s="213"/>
      <c r="W273" s="238"/>
      <c r="X273" s="213"/>
      <c r="Y273" s="213"/>
      <c r="Z273" s="213"/>
      <c r="AA273" s="213"/>
      <c r="AB273" s="213"/>
      <c r="AC273" s="213"/>
      <c r="AD273" s="213"/>
      <c r="AE273" s="213"/>
      <c r="AF273" s="213"/>
      <c r="AG273" s="213"/>
      <c r="AH273" s="213"/>
      <c r="AI273" s="213"/>
      <c r="AJ273" s="213"/>
      <c r="AK273" s="213"/>
      <c r="AL273" s="213"/>
      <c r="AM273" s="213"/>
      <c r="AN273" s="213"/>
      <c r="AO273" s="213"/>
      <c r="AP273" s="213"/>
      <c r="AQ273" s="213"/>
      <c r="AR273" s="213"/>
      <c r="AS273" s="213"/>
      <c r="AT273" s="213"/>
      <c r="AU273" s="213"/>
      <c r="AV273" s="213"/>
      <c r="AW273" s="213"/>
      <c r="AX273" s="213"/>
      <c r="AY273" s="213"/>
      <c r="AZ273" s="213"/>
      <c r="BA273" s="213"/>
      <c r="BB273" s="213"/>
      <c r="BC273" s="213"/>
      <c r="BD273" s="213"/>
      <c r="BE273" s="213"/>
      <c r="BF273" s="213"/>
      <c r="BG273" s="213"/>
      <c r="BH273" s="213"/>
      <c r="BI273" s="213"/>
      <c r="BJ273" s="213"/>
      <c r="BK273" s="213"/>
      <c r="BL273" s="213"/>
      <c r="BM273" s="213"/>
      <c r="BN273" s="213"/>
      <c r="BO273" s="213"/>
      <c r="BP273" s="213"/>
      <c r="BQ273" s="213"/>
      <c r="BR273" s="326"/>
      <c r="BS273" s="213"/>
      <c r="BT273" s="213"/>
      <c r="BU273" s="213"/>
      <c r="BV273" s="213"/>
      <c r="BW273" s="213"/>
      <c r="BX273" s="213"/>
      <c r="BY273" s="213"/>
      <c r="BZ273" s="213"/>
      <c r="CA273" s="213"/>
      <c r="CB273" s="213"/>
      <c r="CC273" s="213"/>
      <c r="CD273" s="213"/>
      <c r="CE273" s="213"/>
      <c r="CF273" s="213"/>
      <c r="CG273" s="213"/>
      <c r="CH273" s="213"/>
      <c r="CI273" s="213"/>
      <c r="CJ273" s="213"/>
      <c r="CK273" s="213"/>
      <c r="CL273" s="213"/>
      <c r="CM273" s="213"/>
      <c r="CN273" s="213"/>
      <c r="CO273" s="213"/>
      <c r="CP273" s="213"/>
    </row>
    <row r="274" ht="15.75" customHeight="1">
      <c r="A274" s="213"/>
      <c r="B274" s="213"/>
      <c r="C274" s="213"/>
      <c r="D274" s="213"/>
      <c r="E274" s="213"/>
      <c r="F274" s="213"/>
      <c r="G274" s="213"/>
      <c r="H274" s="213"/>
      <c r="I274" s="213"/>
      <c r="J274" s="213"/>
      <c r="K274" s="213"/>
      <c r="L274" s="213"/>
      <c r="M274" s="213"/>
      <c r="N274" s="213"/>
      <c r="O274" s="213"/>
      <c r="P274" s="213"/>
      <c r="Q274" s="213"/>
      <c r="R274" s="213"/>
      <c r="S274" s="213"/>
      <c r="T274" s="213"/>
      <c r="U274" s="213"/>
      <c r="V274" s="213"/>
      <c r="W274" s="238"/>
      <c r="X274" s="213"/>
      <c r="Y274" s="213"/>
      <c r="Z274" s="213"/>
      <c r="AA274" s="213"/>
      <c r="AB274" s="213"/>
      <c r="AC274" s="213"/>
      <c r="AD274" s="213"/>
      <c r="AE274" s="213"/>
      <c r="AF274" s="213"/>
      <c r="AG274" s="213"/>
      <c r="AH274" s="213"/>
      <c r="AI274" s="213"/>
      <c r="AJ274" s="213"/>
      <c r="AK274" s="213"/>
      <c r="AL274" s="213"/>
      <c r="AM274" s="213"/>
      <c r="AN274" s="213"/>
      <c r="AO274" s="213"/>
      <c r="AP274" s="213"/>
      <c r="AQ274" s="213"/>
      <c r="AR274" s="213"/>
      <c r="AS274" s="213"/>
      <c r="AT274" s="213"/>
      <c r="AU274" s="213"/>
      <c r="AV274" s="213"/>
      <c r="AW274" s="213"/>
      <c r="AX274" s="213"/>
      <c r="AY274" s="213"/>
      <c r="AZ274" s="213"/>
      <c r="BA274" s="213"/>
      <c r="BB274" s="213"/>
      <c r="BC274" s="213"/>
      <c r="BD274" s="213"/>
      <c r="BE274" s="213"/>
      <c r="BF274" s="213"/>
      <c r="BG274" s="213"/>
      <c r="BH274" s="213"/>
      <c r="BI274" s="213"/>
      <c r="BJ274" s="213"/>
      <c r="BK274" s="213"/>
      <c r="BL274" s="213"/>
      <c r="BM274" s="213"/>
      <c r="BN274" s="213"/>
      <c r="BO274" s="213"/>
      <c r="BP274" s="213"/>
      <c r="BQ274" s="213"/>
      <c r="BR274" s="326"/>
      <c r="BS274" s="213"/>
      <c r="BT274" s="213"/>
      <c r="BU274" s="213"/>
      <c r="BV274" s="213"/>
      <c r="BW274" s="213"/>
      <c r="BX274" s="213"/>
      <c r="BY274" s="213"/>
      <c r="BZ274" s="213"/>
      <c r="CA274" s="213"/>
      <c r="CB274" s="213"/>
      <c r="CC274" s="213"/>
      <c r="CD274" s="213"/>
      <c r="CE274" s="213"/>
      <c r="CF274" s="213"/>
      <c r="CG274" s="213"/>
      <c r="CH274" s="213"/>
      <c r="CI274" s="213"/>
      <c r="CJ274" s="213"/>
      <c r="CK274" s="213"/>
      <c r="CL274" s="213"/>
      <c r="CM274" s="213"/>
      <c r="CN274" s="213"/>
      <c r="CO274" s="213"/>
      <c r="CP274" s="213"/>
    </row>
    <row r="275" ht="15.75" customHeight="1">
      <c r="A275" s="213"/>
      <c r="B275" s="213"/>
      <c r="C275" s="213"/>
      <c r="D275" s="213"/>
      <c r="E275" s="213"/>
      <c r="F275" s="213"/>
      <c r="G275" s="213"/>
      <c r="H275" s="213"/>
      <c r="I275" s="213"/>
      <c r="J275" s="213"/>
      <c r="K275" s="213"/>
      <c r="L275" s="213"/>
      <c r="M275" s="213"/>
      <c r="N275" s="213"/>
      <c r="O275" s="213"/>
      <c r="P275" s="213"/>
      <c r="Q275" s="213"/>
      <c r="R275" s="213"/>
      <c r="S275" s="213"/>
      <c r="T275" s="213"/>
      <c r="U275" s="213"/>
      <c r="V275" s="213"/>
      <c r="W275" s="238"/>
      <c r="X275" s="213"/>
      <c r="Y275" s="213"/>
      <c r="Z275" s="213"/>
      <c r="AA275" s="213"/>
      <c r="AB275" s="213"/>
      <c r="AC275" s="213"/>
      <c r="AD275" s="213"/>
      <c r="AE275" s="213"/>
      <c r="AF275" s="213"/>
      <c r="AG275" s="213"/>
      <c r="AH275" s="213"/>
      <c r="AI275" s="213"/>
      <c r="AJ275" s="213"/>
      <c r="AK275" s="213"/>
      <c r="AL275" s="213"/>
      <c r="AM275" s="213"/>
      <c r="AN275" s="213"/>
      <c r="AO275" s="213"/>
      <c r="AP275" s="213"/>
      <c r="AQ275" s="213"/>
      <c r="AR275" s="213"/>
      <c r="AS275" s="213"/>
      <c r="AT275" s="213"/>
      <c r="AU275" s="213"/>
      <c r="AV275" s="213"/>
      <c r="AW275" s="213"/>
      <c r="AX275" s="213"/>
      <c r="AY275" s="213"/>
      <c r="AZ275" s="213"/>
      <c r="BA275" s="213"/>
      <c r="BB275" s="213"/>
      <c r="BC275" s="213"/>
      <c r="BD275" s="213"/>
      <c r="BE275" s="213"/>
      <c r="BF275" s="213"/>
      <c r="BG275" s="213"/>
      <c r="BH275" s="213"/>
      <c r="BI275" s="213"/>
      <c r="BJ275" s="213"/>
      <c r="BK275" s="213"/>
      <c r="BL275" s="213"/>
      <c r="BM275" s="213"/>
      <c r="BN275" s="213"/>
      <c r="BO275" s="213"/>
      <c r="BP275" s="213"/>
      <c r="BQ275" s="213"/>
      <c r="BR275" s="326"/>
      <c r="BS275" s="213"/>
      <c r="BT275" s="213"/>
      <c r="BU275" s="213"/>
      <c r="BV275" s="213"/>
      <c r="BW275" s="213"/>
      <c r="BX275" s="213"/>
      <c r="BY275" s="213"/>
      <c r="BZ275" s="213"/>
      <c r="CA275" s="213"/>
      <c r="CB275" s="213"/>
      <c r="CC275" s="213"/>
      <c r="CD275" s="213"/>
      <c r="CE275" s="213"/>
      <c r="CF275" s="213"/>
      <c r="CG275" s="213"/>
      <c r="CH275" s="213"/>
      <c r="CI275" s="213"/>
      <c r="CJ275" s="213"/>
      <c r="CK275" s="213"/>
      <c r="CL275" s="213"/>
      <c r="CM275" s="213"/>
      <c r="CN275" s="213"/>
      <c r="CO275" s="213"/>
      <c r="CP275" s="213"/>
    </row>
    <row r="276" ht="15.75" customHeight="1">
      <c r="A276" s="213"/>
      <c r="B276" s="213"/>
      <c r="C276" s="213"/>
      <c r="D276" s="213"/>
      <c r="E276" s="213"/>
      <c r="F276" s="213"/>
      <c r="G276" s="213"/>
      <c r="H276" s="213"/>
      <c r="I276" s="213"/>
      <c r="J276" s="213"/>
      <c r="K276" s="213"/>
      <c r="L276" s="213"/>
      <c r="M276" s="213"/>
      <c r="N276" s="213"/>
      <c r="O276" s="213"/>
      <c r="P276" s="213"/>
      <c r="Q276" s="213"/>
      <c r="R276" s="213"/>
      <c r="S276" s="213"/>
      <c r="T276" s="213"/>
      <c r="U276" s="213"/>
      <c r="V276" s="213"/>
      <c r="W276" s="238"/>
      <c r="X276" s="213"/>
      <c r="Y276" s="213"/>
      <c r="Z276" s="213"/>
      <c r="AA276" s="213"/>
      <c r="AB276" s="213"/>
      <c r="AC276" s="213"/>
      <c r="AD276" s="213"/>
      <c r="AE276" s="213"/>
      <c r="AF276" s="213"/>
      <c r="AG276" s="213"/>
      <c r="AH276" s="213"/>
      <c r="AI276" s="213"/>
      <c r="AJ276" s="213"/>
      <c r="AK276" s="213"/>
      <c r="AL276" s="213"/>
      <c r="AM276" s="213"/>
      <c r="AN276" s="213"/>
      <c r="AO276" s="213"/>
      <c r="AP276" s="213"/>
      <c r="AQ276" s="213"/>
      <c r="AR276" s="213"/>
      <c r="AS276" s="213"/>
      <c r="AT276" s="213"/>
      <c r="AU276" s="213"/>
      <c r="AV276" s="213"/>
      <c r="AW276" s="213"/>
      <c r="AX276" s="213"/>
      <c r="AY276" s="213"/>
      <c r="AZ276" s="213"/>
      <c r="BA276" s="213"/>
      <c r="BB276" s="213"/>
      <c r="BC276" s="213"/>
      <c r="BD276" s="213"/>
      <c r="BE276" s="213"/>
      <c r="BF276" s="213"/>
      <c r="BG276" s="213"/>
      <c r="BH276" s="213"/>
      <c r="BI276" s="213"/>
      <c r="BJ276" s="213"/>
      <c r="BK276" s="213"/>
      <c r="BL276" s="213"/>
      <c r="BM276" s="213"/>
      <c r="BN276" s="213"/>
      <c r="BO276" s="213"/>
      <c r="BP276" s="213"/>
      <c r="BQ276" s="213"/>
      <c r="BR276" s="326"/>
      <c r="BS276" s="213"/>
      <c r="BT276" s="213"/>
      <c r="BU276" s="213"/>
      <c r="BV276" s="213"/>
      <c r="BW276" s="213"/>
      <c r="BX276" s="213"/>
      <c r="BY276" s="213"/>
      <c r="BZ276" s="213"/>
      <c r="CA276" s="213"/>
      <c r="CB276" s="213"/>
      <c r="CC276" s="213"/>
      <c r="CD276" s="213"/>
      <c r="CE276" s="213"/>
      <c r="CF276" s="213"/>
      <c r="CG276" s="213"/>
      <c r="CH276" s="213"/>
      <c r="CI276" s="213"/>
      <c r="CJ276" s="213"/>
      <c r="CK276" s="213"/>
      <c r="CL276" s="213"/>
      <c r="CM276" s="213"/>
      <c r="CN276" s="213"/>
      <c r="CO276" s="213"/>
      <c r="CP276" s="213"/>
    </row>
    <row r="277" ht="15.75" customHeight="1">
      <c r="A277" s="213"/>
      <c r="B277" s="213"/>
      <c r="C277" s="213"/>
      <c r="D277" s="213"/>
      <c r="E277" s="213"/>
      <c r="F277" s="213"/>
      <c r="G277" s="213"/>
      <c r="H277" s="213"/>
      <c r="I277" s="213"/>
      <c r="J277" s="213"/>
      <c r="K277" s="213"/>
      <c r="L277" s="213"/>
      <c r="M277" s="213"/>
      <c r="N277" s="213"/>
      <c r="O277" s="213"/>
      <c r="P277" s="213"/>
      <c r="Q277" s="213"/>
      <c r="R277" s="213"/>
      <c r="S277" s="213"/>
      <c r="T277" s="213"/>
      <c r="U277" s="213"/>
      <c r="V277" s="213"/>
      <c r="W277" s="238"/>
      <c r="X277" s="213"/>
      <c r="Y277" s="213"/>
      <c r="Z277" s="213"/>
      <c r="AA277" s="213"/>
      <c r="AB277" s="213"/>
      <c r="AC277" s="213"/>
      <c r="AD277" s="213"/>
      <c r="AE277" s="213"/>
      <c r="AF277" s="213"/>
      <c r="AG277" s="213"/>
      <c r="AH277" s="213"/>
      <c r="AI277" s="213"/>
      <c r="AJ277" s="213"/>
      <c r="AK277" s="213"/>
      <c r="AL277" s="213"/>
      <c r="AM277" s="213"/>
      <c r="AN277" s="213"/>
      <c r="AO277" s="213"/>
      <c r="AP277" s="213"/>
      <c r="AQ277" s="213"/>
      <c r="AR277" s="213"/>
      <c r="AS277" s="213"/>
      <c r="AT277" s="213"/>
      <c r="AU277" s="213"/>
      <c r="AV277" s="213"/>
      <c r="AW277" s="213"/>
      <c r="AX277" s="213"/>
      <c r="AY277" s="213"/>
      <c r="AZ277" s="213"/>
      <c r="BA277" s="213"/>
      <c r="BB277" s="213"/>
      <c r="BC277" s="213"/>
      <c r="BD277" s="213"/>
      <c r="BE277" s="213"/>
      <c r="BF277" s="213"/>
      <c r="BG277" s="213"/>
      <c r="BH277" s="213"/>
      <c r="BI277" s="213"/>
      <c r="BJ277" s="213"/>
      <c r="BK277" s="213"/>
      <c r="BL277" s="213"/>
      <c r="BM277" s="213"/>
      <c r="BN277" s="213"/>
      <c r="BO277" s="213"/>
      <c r="BP277" s="213"/>
      <c r="BQ277" s="213"/>
      <c r="BR277" s="326"/>
      <c r="BS277" s="213"/>
      <c r="BT277" s="213"/>
      <c r="BU277" s="213"/>
      <c r="BV277" s="213"/>
      <c r="BW277" s="213"/>
      <c r="BX277" s="213"/>
      <c r="BY277" s="213"/>
      <c r="BZ277" s="213"/>
      <c r="CA277" s="213"/>
      <c r="CB277" s="213"/>
      <c r="CC277" s="213"/>
      <c r="CD277" s="213"/>
      <c r="CE277" s="213"/>
      <c r="CF277" s="213"/>
      <c r="CG277" s="213"/>
      <c r="CH277" s="213"/>
      <c r="CI277" s="213"/>
      <c r="CJ277" s="213"/>
      <c r="CK277" s="213"/>
      <c r="CL277" s="213"/>
      <c r="CM277" s="213"/>
      <c r="CN277" s="213"/>
      <c r="CO277" s="213"/>
      <c r="CP277" s="213"/>
    </row>
    <row r="278" ht="15.75" customHeight="1">
      <c r="A278" s="213"/>
      <c r="B278" s="213"/>
      <c r="C278" s="213"/>
      <c r="D278" s="213"/>
      <c r="E278" s="213"/>
      <c r="F278" s="213"/>
      <c r="G278" s="213"/>
      <c r="H278" s="213"/>
      <c r="I278" s="213"/>
      <c r="J278" s="213"/>
      <c r="K278" s="213"/>
      <c r="L278" s="213"/>
      <c r="M278" s="213"/>
      <c r="N278" s="213"/>
      <c r="O278" s="213"/>
      <c r="P278" s="213"/>
      <c r="Q278" s="213"/>
      <c r="R278" s="213"/>
      <c r="S278" s="213"/>
      <c r="T278" s="213"/>
      <c r="U278" s="213"/>
      <c r="V278" s="213"/>
      <c r="W278" s="238"/>
      <c r="X278" s="213"/>
      <c r="Y278" s="213"/>
      <c r="Z278" s="213"/>
      <c r="AA278" s="213"/>
      <c r="AB278" s="213"/>
      <c r="AC278" s="213"/>
      <c r="AD278" s="213"/>
      <c r="AE278" s="213"/>
      <c r="AF278" s="213"/>
      <c r="AG278" s="213"/>
      <c r="AH278" s="213"/>
      <c r="AI278" s="213"/>
      <c r="AJ278" s="213"/>
      <c r="AK278" s="213"/>
      <c r="AL278" s="213"/>
      <c r="AM278" s="213"/>
      <c r="AN278" s="213"/>
      <c r="AO278" s="213"/>
      <c r="AP278" s="213"/>
      <c r="AQ278" s="213"/>
      <c r="AR278" s="213"/>
      <c r="AS278" s="213"/>
      <c r="AT278" s="213"/>
      <c r="AU278" s="213"/>
      <c r="AV278" s="213"/>
      <c r="AW278" s="213"/>
      <c r="AX278" s="213"/>
      <c r="AY278" s="213"/>
      <c r="AZ278" s="213"/>
      <c r="BA278" s="213"/>
      <c r="BB278" s="213"/>
      <c r="BC278" s="213"/>
      <c r="BD278" s="213"/>
      <c r="BE278" s="213"/>
      <c r="BF278" s="213"/>
      <c r="BG278" s="213"/>
      <c r="BH278" s="213"/>
      <c r="BI278" s="213"/>
      <c r="BJ278" s="213"/>
      <c r="BK278" s="213"/>
      <c r="BL278" s="213"/>
      <c r="BM278" s="213"/>
      <c r="BN278" s="213"/>
      <c r="BO278" s="213"/>
      <c r="BP278" s="213"/>
      <c r="BQ278" s="213"/>
      <c r="BR278" s="326"/>
      <c r="BS278" s="213"/>
      <c r="BT278" s="213"/>
      <c r="BU278" s="213"/>
      <c r="BV278" s="213"/>
      <c r="BW278" s="213"/>
      <c r="BX278" s="213"/>
      <c r="BY278" s="213"/>
      <c r="BZ278" s="213"/>
      <c r="CA278" s="213"/>
      <c r="CB278" s="213"/>
      <c r="CC278" s="213"/>
      <c r="CD278" s="213"/>
      <c r="CE278" s="213"/>
      <c r="CF278" s="213"/>
      <c r="CG278" s="213"/>
      <c r="CH278" s="213"/>
      <c r="CI278" s="213"/>
      <c r="CJ278" s="213"/>
      <c r="CK278" s="213"/>
      <c r="CL278" s="213"/>
      <c r="CM278" s="213"/>
      <c r="CN278" s="213"/>
      <c r="CO278" s="213"/>
      <c r="CP278" s="213"/>
    </row>
    <row r="279" ht="15.75" customHeight="1">
      <c r="A279" s="213"/>
      <c r="B279" s="213"/>
      <c r="C279" s="213"/>
      <c r="D279" s="213"/>
      <c r="E279" s="213"/>
      <c r="F279" s="213"/>
      <c r="G279" s="213"/>
      <c r="H279" s="213"/>
      <c r="I279" s="213"/>
      <c r="J279" s="213"/>
      <c r="K279" s="213"/>
      <c r="L279" s="213"/>
      <c r="M279" s="213"/>
      <c r="N279" s="213"/>
      <c r="O279" s="213"/>
      <c r="P279" s="213"/>
      <c r="Q279" s="213"/>
      <c r="R279" s="213"/>
      <c r="S279" s="213"/>
      <c r="T279" s="213"/>
      <c r="U279" s="213"/>
      <c r="V279" s="213"/>
      <c r="W279" s="238"/>
      <c r="X279" s="213"/>
      <c r="Y279" s="213"/>
      <c r="Z279" s="213"/>
      <c r="AA279" s="213"/>
      <c r="AB279" s="213"/>
      <c r="AC279" s="213"/>
      <c r="AD279" s="213"/>
      <c r="AE279" s="213"/>
      <c r="AF279" s="213"/>
      <c r="AG279" s="213"/>
      <c r="AH279" s="213"/>
      <c r="AI279" s="213"/>
      <c r="AJ279" s="213"/>
      <c r="AK279" s="213"/>
      <c r="AL279" s="213"/>
      <c r="AM279" s="213"/>
      <c r="AN279" s="213"/>
      <c r="AO279" s="213"/>
      <c r="AP279" s="213"/>
      <c r="AQ279" s="213"/>
      <c r="AR279" s="213"/>
      <c r="AS279" s="213"/>
      <c r="AT279" s="213"/>
      <c r="AU279" s="213"/>
      <c r="AV279" s="213"/>
      <c r="AW279" s="213"/>
      <c r="AX279" s="213"/>
      <c r="AY279" s="213"/>
      <c r="AZ279" s="213"/>
      <c r="BA279" s="213"/>
      <c r="BB279" s="213"/>
      <c r="BC279" s="213"/>
      <c r="BD279" s="213"/>
      <c r="BE279" s="213"/>
      <c r="BF279" s="213"/>
      <c r="BG279" s="213"/>
      <c r="BH279" s="213"/>
      <c r="BI279" s="213"/>
      <c r="BJ279" s="213"/>
      <c r="BK279" s="213"/>
      <c r="BL279" s="213"/>
      <c r="BM279" s="213"/>
      <c r="BN279" s="213"/>
      <c r="BO279" s="213"/>
      <c r="BP279" s="213"/>
      <c r="BQ279" s="213"/>
      <c r="BR279" s="326"/>
      <c r="BS279" s="213"/>
      <c r="BT279" s="213"/>
      <c r="BU279" s="213"/>
      <c r="BV279" s="213"/>
      <c r="BW279" s="213"/>
      <c r="BX279" s="213"/>
      <c r="BY279" s="213"/>
      <c r="BZ279" s="213"/>
      <c r="CA279" s="213"/>
      <c r="CB279" s="213"/>
      <c r="CC279" s="213"/>
      <c r="CD279" s="213"/>
      <c r="CE279" s="213"/>
      <c r="CF279" s="213"/>
      <c r="CG279" s="213"/>
      <c r="CH279" s="213"/>
      <c r="CI279" s="213"/>
      <c r="CJ279" s="213"/>
      <c r="CK279" s="213"/>
      <c r="CL279" s="213"/>
      <c r="CM279" s="213"/>
      <c r="CN279" s="213"/>
      <c r="CO279" s="213"/>
      <c r="CP279" s="213"/>
    </row>
    <row r="280" ht="15.75" customHeight="1">
      <c r="A280" s="213"/>
      <c r="B280" s="213"/>
      <c r="C280" s="213"/>
      <c r="D280" s="213"/>
      <c r="E280" s="213"/>
      <c r="F280" s="213"/>
      <c r="G280" s="213"/>
      <c r="H280" s="213"/>
      <c r="I280" s="213"/>
      <c r="J280" s="213"/>
      <c r="K280" s="213"/>
      <c r="L280" s="213"/>
      <c r="M280" s="213"/>
      <c r="N280" s="213"/>
      <c r="O280" s="213"/>
      <c r="P280" s="213"/>
      <c r="Q280" s="213"/>
      <c r="R280" s="213"/>
      <c r="S280" s="213"/>
      <c r="T280" s="213"/>
      <c r="U280" s="213"/>
      <c r="V280" s="213"/>
      <c r="W280" s="238"/>
      <c r="X280" s="213"/>
      <c r="Y280" s="213"/>
      <c r="Z280" s="213"/>
      <c r="AA280" s="213"/>
      <c r="AB280" s="213"/>
      <c r="AC280" s="213"/>
      <c r="AD280" s="213"/>
      <c r="AE280" s="213"/>
      <c r="AF280" s="213"/>
      <c r="AG280" s="213"/>
      <c r="AH280" s="213"/>
      <c r="AI280" s="213"/>
      <c r="AJ280" s="213"/>
      <c r="AK280" s="213"/>
      <c r="AL280" s="213"/>
      <c r="AM280" s="213"/>
      <c r="AN280" s="213"/>
      <c r="AO280" s="213"/>
      <c r="AP280" s="213"/>
      <c r="AQ280" s="213"/>
      <c r="AR280" s="213"/>
      <c r="AS280" s="213"/>
      <c r="AT280" s="213"/>
      <c r="AU280" s="213"/>
      <c r="AV280" s="213"/>
      <c r="AW280" s="213"/>
      <c r="AX280" s="213"/>
      <c r="AY280" s="213"/>
      <c r="AZ280" s="213"/>
      <c r="BA280" s="213"/>
      <c r="BB280" s="213"/>
      <c r="BC280" s="213"/>
      <c r="BD280" s="213"/>
      <c r="BE280" s="213"/>
      <c r="BF280" s="213"/>
      <c r="BG280" s="213"/>
      <c r="BH280" s="213"/>
      <c r="BI280" s="213"/>
      <c r="BJ280" s="213"/>
      <c r="BK280" s="213"/>
      <c r="BL280" s="213"/>
      <c r="BM280" s="213"/>
      <c r="BN280" s="213"/>
      <c r="BO280" s="213"/>
      <c r="BP280" s="213"/>
      <c r="BQ280" s="213"/>
      <c r="BR280" s="326"/>
      <c r="BS280" s="213"/>
      <c r="BT280" s="213"/>
      <c r="BU280" s="213"/>
      <c r="BV280" s="213"/>
      <c r="BW280" s="213"/>
      <c r="BX280" s="213"/>
      <c r="BY280" s="213"/>
      <c r="BZ280" s="213"/>
      <c r="CA280" s="213"/>
      <c r="CB280" s="213"/>
      <c r="CC280" s="213"/>
      <c r="CD280" s="213"/>
      <c r="CE280" s="213"/>
      <c r="CF280" s="213"/>
      <c r="CG280" s="213"/>
      <c r="CH280" s="213"/>
      <c r="CI280" s="213"/>
      <c r="CJ280" s="213"/>
      <c r="CK280" s="213"/>
      <c r="CL280" s="213"/>
      <c r="CM280" s="213"/>
      <c r="CN280" s="213"/>
      <c r="CO280" s="213"/>
      <c r="CP280" s="213"/>
    </row>
    <row r="281" ht="15.75" customHeight="1">
      <c r="A281" s="213"/>
      <c r="B281" s="213"/>
      <c r="C281" s="213"/>
      <c r="D281" s="213"/>
      <c r="E281" s="213"/>
      <c r="F281" s="213"/>
      <c r="G281" s="213"/>
      <c r="H281" s="213"/>
      <c r="I281" s="213"/>
      <c r="J281" s="213"/>
      <c r="K281" s="213"/>
      <c r="L281" s="213"/>
      <c r="M281" s="213"/>
      <c r="N281" s="213"/>
      <c r="O281" s="213"/>
      <c r="P281" s="213"/>
      <c r="Q281" s="213"/>
      <c r="R281" s="213"/>
      <c r="S281" s="213"/>
      <c r="T281" s="213"/>
      <c r="U281" s="213"/>
      <c r="V281" s="213"/>
      <c r="W281" s="238"/>
      <c r="X281" s="213"/>
      <c r="Y281" s="213"/>
      <c r="Z281" s="213"/>
      <c r="AA281" s="213"/>
      <c r="AB281" s="213"/>
      <c r="AC281" s="213"/>
      <c r="AD281" s="213"/>
      <c r="AE281" s="213"/>
      <c r="AF281" s="213"/>
      <c r="AG281" s="213"/>
      <c r="AH281" s="213"/>
      <c r="AI281" s="213"/>
      <c r="AJ281" s="213"/>
      <c r="AK281" s="213"/>
      <c r="AL281" s="213"/>
      <c r="AM281" s="213"/>
      <c r="AN281" s="213"/>
      <c r="AO281" s="213"/>
      <c r="AP281" s="213"/>
      <c r="AQ281" s="213"/>
      <c r="AR281" s="213"/>
      <c r="AS281" s="213"/>
      <c r="AT281" s="213"/>
      <c r="AU281" s="213"/>
      <c r="AV281" s="213"/>
      <c r="AW281" s="213"/>
      <c r="AX281" s="213"/>
      <c r="AY281" s="213"/>
      <c r="AZ281" s="213"/>
      <c r="BA281" s="213"/>
      <c r="BB281" s="213"/>
      <c r="BC281" s="213"/>
      <c r="BD281" s="213"/>
      <c r="BE281" s="213"/>
      <c r="BF281" s="213"/>
      <c r="BG281" s="213"/>
      <c r="BH281" s="213"/>
      <c r="BI281" s="213"/>
      <c r="BJ281" s="213"/>
      <c r="BK281" s="213"/>
      <c r="BL281" s="213"/>
      <c r="BM281" s="213"/>
      <c r="BN281" s="213"/>
      <c r="BO281" s="213"/>
      <c r="BP281" s="213"/>
      <c r="BQ281" s="213"/>
      <c r="BR281" s="326"/>
      <c r="BS281" s="213"/>
      <c r="BT281" s="213"/>
      <c r="BU281" s="213"/>
      <c r="BV281" s="213"/>
      <c r="BW281" s="213"/>
      <c r="BX281" s="213"/>
      <c r="BY281" s="213"/>
      <c r="BZ281" s="213"/>
      <c r="CA281" s="213"/>
      <c r="CB281" s="213"/>
      <c r="CC281" s="213"/>
      <c r="CD281" s="213"/>
      <c r="CE281" s="213"/>
      <c r="CF281" s="213"/>
      <c r="CG281" s="213"/>
      <c r="CH281" s="213"/>
      <c r="CI281" s="213"/>
      <c r="CJ281" s="213"/>
      <c r="CK281" s="213"/>
      <c r="CL281" s="213"/>
      <c r="CM281" s="213"/>
      <c r="CN281" s="213"/>
      <c r="CO281" s="213"/>
      <c r="CP281" s="213"/>
    </row>
    <row r="282" ht="15.75" customHeight="1">
      <c r="A282" s="213"/>
      <c r="B282" s="213"/>
      <c r="C282" s="213"/>
      <c r="D282" s="213"/>
      <c r="E282" s="213"/>
      <c r="F282" s="213"/>
      <c r="G282" s="213"/>
      <c r="H282" s="213"/>
      <c r="I282" s="213"/>
      <c r="J282" s="213"/>
      <c r="K282" s="213"/>
      <c r="L282" s="213"/>
      <c r="M282" s="213"/>
      <c r="N282" s="213"/>
      <c r="O282" s="213"/>
      <c r="P282" s="213"/>
      <c r="Q282" s="213"/>
      <c r="R282" s="213"/>
      <c r="S282" s="213"/>
      <c r="T282" s="213"/>
      <c r="U282" s="213"/>
      <c r="V282" s="213"/>
      <c r="W282" s="238"/>
      <c r="X282" s="213"/>
      <c r="Y282" s="213"/>
      <c r="Z282" s="213"/>
      <c r="AA282" s="213"/>
      <c r="AB282" s="213"/>
      <c r="AC282" s="213"/>
      <c r="AD282" s="213"/>
      <c r="AE282" s="213"/>
      <c r="AF282" s="213"/>
      <c r="AG282" s="213"/>
      <c r="AH282" s="213"/>
      <c r="AI282" s="213"/>
      <c r="AJ282" s="213"/>
      <c r="AK282" s="213"/>
      <c r="AL282" s="213"/>
      <c r="AM282" s="213"/>
      <c r="AN282" s="213"/>
      <c r="AO282" s="213"/>
      <c r="AP282" s="213"/>
      <c r="AQ282" s="213"/>
      <c r="AR282" s="213"/>
      <c r="AS282" s="213"/>
      <c r="AT282" s="213"/>
      <c r="AU282" s="213"/>
      <c r="AV282" s="213"/>
      <c r="AW282" s="213"/>
      <c r="AX282" s="213"/>
      <c r="AY282" s="213"/>
      <c r="AZ282" s="213"/>
      <c r="BA282" s="213"/>
      <c r="BB282" s="213"/>
      <c r="BC282" s="213"/>
      <c r="BD282" s="213"/>
      <c r="BE282" s="213"/>
      <c r="BF282" s="213"/>
      <c r="BG282" s="213"/>
      <c r="BH282" s="213"/>
      <c r="BI282" s="213"/>
      <c r="BJ282" s="213"/>
      <c r="BK282" s="213"/>
      <c r="BL282" s="213"/>
      <c r="BM282" s="213"/>
      <c r="BN282" s="213"/>
      <c r="BO282" s="213"/>
      <c r="BP282" s="213"/>
      <c r="BQ282" s="213"/>
      <c r="BR282" s="326"/>
      <c r="BS282" s="213"/>
      <c r="BT282" s="213"/>
      <c r="BU282" s="213"/>
      <c r="BV282" s="213"/>
      <c r="BW282" s="213"/>
      <c r="BX282" s="213"/>
      <c r="BY282" s="213"/>
      <c r="BZ282" s="213"/>
      <c r="CA282" s="213"/>
      <c r="CB282" s="213"/>
      <c r="CC282" s="213"/>
      <c r="CD282" s="213"/>
      <c r="CE282" s="213"/>
      <c r="CF282" s="213"/>
      <c r="CG282" s="213"/>
      <c r="CH282" s="213"/>
      <c r="CI282" s="213"/>
      <c r="CJ282" s="213"/>
      <c r="CK282" s="213"/>
      <c r="CL282" s="213"/>
      <c r="CM282" s="213"/>
      <c r="CN282" s="213"/>
      <c r="CO282" s="213"/>
      <c r="CP282" s="213"/>
    </row>
    <row r="283" ht="15.75" customHeight="1">
      <c r="A283" s="213"/>
      <c r="B283" s="213"/>
      <c r="C283" s="213"/>
      <c r="D283" s="213"/>
      <c r="E283" s="213"/>
      <c r="F283" s="213"/>
      <c r="G283" s="213"/>
      <c r="H283" s="213"/>
      <c r="I283" s="213"/>
      <c r="J283" s="213"/>
      <c r="K283" s="213"/>
      <c r="L283" s="213"/>
      <c r="M283" s="213"/>
      <c r="N283" s="213"/>
      <c r="O283" s="213"/>
      <c r="P283" s="213"/>
      <c r="Q283" s="213"/>
      <c r="R283" s="213"/>
      <c r="S283" s="213"/>
      <c r="T283" s="213"/>
      <c r="U283" s="213"/>
      <c r="V283" s="213"/>
      <c r="W283" s="238"/>
      <c r="X283" s="213"/>
      <c r="Y283" s="213"/>
      <c r="Z283" s="213"/>
      <c r="AA283" s="213"/>
      <c r="AB283" s="213"/>
      <c r="AC283" s="213"/>
      <c r="AD283" s="213"/>
      <c r="AE283" s="213"/>
      <c r="AF283" s="213"/>
      <c r="AG283" s="213"/>
      <c r="AH283" s="213"/>
      <c r="AI283" s="213"/>
      <c r="AJ283" s="213"/>
      <c r="AK283" s="213"/>
      <c r="AL283" s="213"/>
      <c r="AM283" s="213"/>
      <c r="AN283" s="213"/>
      <c r="AO283" s="213"/>
      <c r="AP283" s="213"/>
      <c r="AQ283" s="213"/>
      <c r="AR283" s="213"/>
      <c r="AS283" s="213"/>
      <c r="AT283" s="213"/>
      <c r="AU283" s="213"/>
      <c r="AV283" s="213"/>
      <c r="AW283" s="213"/>
      <c r="AX283" s="213"/>
      <c r="AY283" s="213"/>
      <c r="AZ283" s="213"/>
      <c r="BA283" s="213"/>
      <c r="BB283" s="213"/>
      <c r="BC283" s="213"/>
      <c r="BD283" s="213"/>
      <c r="BE283" s="213"/>
      <c r="BF283" s="213"/>
      <c r="BG283" s="213"/>
      <c r="BH283" s="213"/>
      <c r="BI283" s="213"/>
      <c r="BJ283" s="213"/>
      <c r="BK283" s="213"/>
      <c r="BL283" s="213"/>
      <c r="BM283" s="213"/>
      <c r="BN283" s="213"/>
      <c r="BO283" s="213"/>
      <c r="BP283" s="213"/>
      <c r="BQ283" s="213"/>
      <c r="BR283" s="326"/>
      <c r="BS283" s="213"/>
      <c r="BT283" s="213"/>
      <c r="BU283" s="213"/>
      <c r="BV283" s="213"/>
      <c r="BW283" s="213"/>
      <c r="BX283" s="213"/>
      <c r="BY283" s="213"/>
      <c r="BZ283" s="213"/>
      <c r="CA283" s="213"/>
      <c r="CB283" s="213"/>
      <c r="CC283" s="213"/>
      <c r="CD283" s="213"/>
      <c r="CE283" s="213"/>
      <c r="CF283" s="213"/>
      <c r="CG283" s="213"/>
      <c r="CH283" s="213"/>
      <c r="CI283" s="213"/>
      <c r="CJ283" s="213"/>
      <c r="CK283" s="213"/>
      <c r="CL283" s="213"/>
      <c r="CM283" s="213"/>
      <c r="CN283" s="213"/>
      <c r="CO283" s="213"/>
      <c r="CP283" s="213"/>
    </row>
    <row r="284" ht="15.75" customHeight="1">
      <c r="A284" s="213"/>
      <c r="B284" s="213"/>
      <c r="C284" s="213"/>
      <c r="D284" s="213"/>
      <c r="E284" s="213"/>
      <c r="F284" s="213"/>
      <c r="G284" s="213"/>
      <c r="H284" s="213"/>
      <c r="I284" s="213"/>
      <c r="J284" s="213"/>
      <c r="K284" s="213"/>
      <c r="L284" s="213"/>
      <c r="M284" s="213"/>
      <c r="N284" s="213"/>
      <c r="O284" s="213"/>
      <c r="P284" s="213"/>
      <c r="Q284" s="213"/>
      <c r="R284" s="213"/>
      <c r="S284" s="213"/>
      <c r="T284" s="213"/>
      <c r="U284" s="213"/>
      <c r="V284" s="213"/>
      <c r="W284" s="238"/>
      <c r="X284" s="213"/>
      <c r="Y284" s="213"/>
      <c r="Z284" s="213"/>
      <c r="AA284" s="213"/>
      <c r="AB284" s="213"/>
      <c r="AC284" s="213"/>
      <c r="AD284" s="213"/>
      <c r="AE284" s="213"/>
      <c r="AF284" s="213"/>
      <c r="AG284" s="213"/>
      <c r="AH284" s="213"/>
      <c r="AI284" s="213"/>
      <c r="AJ284" s="213"/>
      <c r="AK284" s="213"/>
      <c r="AL284" s="213"/>
      <c r="AM284" s="213"/>
      <c r="AN284" s="213"/>
      <c r="AO284" s="213"/>
      <c r="AP284" s="213"/>
      <c r="AQ284" s="213"/>
      <c r="AR284" s="213"/>
      <c r="AS284" s="213"/>
      <c r="AT284" s="213"/>
      <c r="AU284" s="213"/>
      <c r="AV284" s="213"/>
      <c r="AW284" s="213"/>
      <c r="AX284" s="213"/>
      <c r="AY284" s="213"/>
      <c r="AZ284" s="213"/>
      <c r="BA284" s="213"/>
      <c r="BB284" s="213"/>
      <c r="BC284" s="213"/>
      <c r="BD284" s="213"/>
      <c r="BE284" s="213"/>
      <c r="BF284" s="213"/>
      <c r="BG284" s="213"/>
      <c r="BH284" s="213"/>
      <c r="BI284" s="213"/>
      <c r="BJ284" s="213"/>
      <c r="BK284" s="213"/>
      <c r="BL284" s="213"/>
      <c r="BM284" s="213"/>
      <c r="BN284" s="213"/>
      <c r="BO284" s="213"/>
      <c r="BP284" s="213"/>
      <c r="BQ284" s="213"/>
      <c r="BR284" s="326"/>
      <c r="BS284" s="213"/>
      <c r="BT284" s="213"/>
      <c r="BU284" s="213"/>
      <c r="BV284" s="213"/>
      <c r="BW284" s="213"/>
      <c r="BX284" s="213"/>
      <c r="BY284" s="213"/>
      <c r="BZ284" s="213"/>
      <c r="CA284" s="213"/>
      <c r="CB284" s="213"/>
      <c r="CC284" s="213"/>
      <c r="CD284" s="213"/>
      <c r="CE284" s="213"/>
      <c r="CF284" s="213"/>
      <c r="CG284" s="213"/>
      <c r="CH284" s="213"/>
      <c r="CI284" s="213"/>
      <c r="CJ284" s="213"/>
      <c r="CK284" s="213"/>
      <c r="CL284" s="213"/>
      <c r="CM284" s="213"/>
      <c r="CN284" s="213"/>
      <c r="CO284" s="213"/>
      <c r="CP284" s="213"/>
    </row>
    <row r="285" ht="15.75" customHeight="1">
      <c r="A285" s="213"/>
      <c r="B285" s="213"/>
      <c r="C285" s="213"/>
      <c r="D285" s="213"/>
      <c r="E285" s="213"/>
      <c r="F285" s="213"/>
      <c r="G285" s="213"/>
      <c r="H285" s="213"/>
      <c r="I285" s="213"/>
      <c r="J285" s="213"/>
      <c r="K285" s="213"/>
      <c r="L285" s="213"/>
      <c r="M285" s="213"/>
      <c r="N285" s="213"/>
      <c r="O285" s="213"/>
      <c r="P285" s="213"/>
      <c r="Q285" s="213"/>
      <c r="R285" s="213"/>
      <c r="S285" s="213"/>
      <c r="T285" s="213"/>
      <c r="U285" s="213"/>
      <c r="V285" s="213"/>
      <c r="W285" s="238"/>
      <c r="X285" s="213"/>
      <c r="Y285" s="213"/>
      <c r="Z285" s="213"/>
      <c r="AA285" s="213"/>
      <c r="AB285" s="213"/>
      <c r="AC285" s="213"/>
      <c r="AD285" s="213"/>
      <c r="AE285" s="213"/>
      <c r="AF285" s="213"/>
      <c r="AG285" s="213"/>
      <c r="AH285" s="213"/>
      <c r="AI285" s="213"/>
      <c r="AJ285" s="213"/>
      <c r="AK285" s="213"/>
      <c r="AL285" s="213"/>
      <c r="AM285" s="213"/>
      <c r="AN285" s="213"/>
      <c r="AO285" s="213"/>
      <c r="AP285" s="213"/>
      <c r="AQ285" s="213"/>
      <c r="AR285" s="213"/>
      <c r="AS285" s="213"/>
      <c r="AT285" s="213"/>
      <c r="AU285" s="213"/>
      <c r="AV285" s="213"/>
      <c r="AW285" s="213"/>
      <c r="AX285" s="213"/>
      <c r="AY285" s="213"/>
      <c r="AZ285" s="213"/>
      <c r="BA285" s="213"/>
      <c r="BB285" s="213"/>
      <c r="BC285" s="213"/>
      <c r="BD285" s="213"/>
      <c r="BE285" s="213"/>
      <c r="BF285" s="213"/>
      <c r="BG285" s="213"/>
      <c r="BH285" s="213"/>
      <c r="BI285" s="213"/>
      <c r="BJ285" s="213"/>
      <c r="BK285" s="213"/>
      <c r="BL285" s="213"/>
      <c r="BM285" s="213"/>
      <c r="BN285" s="213"/>
      <c r="BO285" s="213"/>
      <c r="BP285" s="213"/>
      <c r="BQ285" s="213"/>
      <c r="BR285" s="326"/>
      <c r="BS285" s="213"/>
      <c r="BT285" s="213"/>
      <c r="BU285" s="213"/>
      <c r="BV285" s="213"/>
      <c r="BW285" s="213"/>
      <c r="BX285" s="213"/>
      <c r="BY285" s="213"/>
      <c r="BZ285" s="213"/>
      <c r="CA285" s="213"/>
      <c r="CB285" s="213"/>
      <c r="CC285" s="213"/>
      <c r="CD285" s="213"/>
      <c r="CE285" s="213"/>
      <c r="CF285" s="213"/>
      <c r="CG285" s="213"/>
      <c r="CH285" s="213"/>
      <c r="CI285" s="213"/>
      <c r="CJ285" s="213"/>
      <c r="CK285" s="213"/>
      <c r="CL285" s="213"/>
      <c r="CM285" s="213"/>
      <c r="CN285" s="213"/>
      <c r="CO285" s="213"/>
      <c r="CP285" s="213"/>
    </row>
    <row r="286" ht="15.75" customHeight="1">
      <c r="A286" s="213"/>
      <c r="B286" s="213"/>
      <c r="C286" s="213"/>
      <c r="D286" s="213"/>
      <c r="E286" s="213"/>
      <c r="F286" s="213"/>
      <c r="G286" s="213"/>
      <c r="H286" s="213"/>
      <c r="I286" s="213"/>
      <c r="J286" s="213"/>
      <c r="K286" s="213"/>
      <c r="L286" s="213"/>
      <c r="M286" s="213"/>
      <c r="N286" s="213"/>
      <c r="O286" s="213"/>
      <c r="P286" s="213"/>
      <c r="Q286" s="213"/>
      <c r="R286" s="213"/>
      <c r="S286" s="213"/>
      <c r="T286" s="213"/>
      <c r="U286" s="213"/>
      <c r="V286" s="213"/>
      <c r="W286" s="238"/>
      <c r="X286" s="213"/>
      <c r="Y286" s="213"/>
      <c r="Z286" s="213"/>
      <c r="AA286" s="213"/>
      <c r="AB286" s="213"/>
      <c r="AC286" s="213"/>
      <c r="AD286" s="213"/>
      <c r="AE286" s="213"/>
      <c r="AF286" s="213"/>
      <c r="AG286" s="213"/>
      <c r="AH286" s="213"/>
      <c r="AI286" s="213"/>
      <c r="AJ286" s="213"/>
      <c r="AK286" s="213"/>
      <c r="AL286" s="213"/>
      <c r="AM286" s="213"/>
      <c r="AN286" s="213"/>
      <c r="AO286" s="213"/>
      <c r="AP286" s="213"/>
      <c r="AQ286" s="213"/>
      <c r="AR286" s="213"/>
      <c r="AS286" s="213"/>
      <c r="AT286" s="213"/>
      <c r="AU286" s="213"/>
      <c r="AV286" s="213"/>
      <c r="AW286" s="213"/>
      <c r="AX286" s="213"/>
      <c r="AY286" s="213"/>
      <c r="AZ286" s="213"/>
      <c r="BA286" s="213"/>
      <c r="BB286" s="213"/>
      <c r="BC286" s="213"/>
      <c r="BD286" s="213"/>
      <c r="BE286" s="213"/>
      <c r="BF286" s="213"/>
      <c r="BG286" s="213"/>
      <c r="BH286" s="213"/>
      <c r="BI286" s="213"/>
      <c r="BJ286" s="213"/>
      <c r="BK286" s="213"/>
      <c r="BL286" s="213"/>
      <c r="BM286" s="213"/>
      <c r="BN286" s="213"/>
      <c r="BO286" s="213"/>
      <c r="BP286" s="213"/>
      <c r="BQ286" s="213"/>
      <c r="BR286" s="326"/>
      <c r="BS286" s="213"/>
      <c r="BT286" s="213"/>
      <c r="BU286" s="213"/>
      <c r="BV286" s="213"/>
      <c r="BW286" s="213"/>
      <c r="BX286" s="213"/>
      <c r="BY286" s="213"/>
      <c r="BZ286" s="213"/>
      <c r="CA286" s="213"/>
      <c r="CB286" s="213"/>
      <c r="CC286" s="213"/>
      <c r="CD286" s="213"/>
      <c r="CE286" s="213"/>
      <c r="CF286" s="213"/>
      <c r="CG286" s="213"/>
      <c r="CH286" s="213"/>
      <c r="CI286" s="213"/>
      <c r="CJ286" s="213"/>
      <c r="CK286" s="213"/>
      <c r="CL286" s="213"/>
      <c r="CM286" s="213"/>
      <c r="CN286" s="213"/>
      <c r="CO286" s="213"/>
      <c r="CP286" s="213"/>
    </row>
    <row r="287" ht="15.75" customHeight="1">
      <c r="A287" s="213"/>
      <c r="B287" s="213"/>
      <c r="C287" s="213"/>
      <c r="D287" s="213"/>
      <c r="E287" s="213"/>
      <c r="F287" s="213"/>
      <c r="G287" s="213"/>
      <c r="H287" s="213"/>
      <c r="I287" s="213"/>
      <c r="J287" s="213"/>
      <c r="K287" s="213"/>
      <c r="L287" s="213"/>
      <c r="M287" s="213"/>
      <c r="N287" s="213"/>
      <c r="O287" s="213"/>
      <c r="P287" s="213"/>
      <c r="Q287" s="213"/>
      <c r="R287" s="213"/>
      <c r="S287" s="213"/>
      <c r="T287" s="213"/>
      <c r="U287" s="213"/>
      <c r="V287" s="213"/>
      <c r="W287" s="238"/>
      <c r="X287" s="213"/>
      <c r="Y287" s="213"/>
      <c r="Z287" s="213"/>
      <c r="AA287" s="213"/>
      <c r="AB287" s="213"/>
      <c r="AC287" s="213"/>
      <c r="AD287" s="213"/>
      <c r="AE287" s="213"/>
      <c r="AF287" s="213"/>
      <c r="AG287" s="213"/>
      <c r="AH287" s="213"/>
      <c r="AI287" s="213"/>
      <c r="AJ287" s="213"/>
      <c r="AK287" s="213"/>
      <c r="AL287" s="213"/>
      <c r="AM287" s="213"/>
      <c r="AN287" s="213"/>
      <c r="AO287" s="213"/>
      <c r="AP287" s="213"/>
      <c r="AQ287" s="213"/>
      <c r="AR287" s="213"/>
      <c r="AS287" s="213"/>
      <c r="AT287" s="213"/>
      <c r="AU287" s="213"/>
      <c r="AV287" s="213"/>
      <c r="AW287" s="213"/>
      <c r="AX287" s="213"/>
      <c r="AY287" s="213"/>
      <c r="AZ287" s="213"/>
      <c r="BA287" s="213"/>
      <c r="BB287" s="213"/>
      <c r="BC287" s="213"/>
      <c r="BD287" s="213"/>
      <c r="BE287" s="213"/>
      <c r="BF287" s="213"/>
      <c r="BG287" s="213"/>
      <c r="BH287" s="213"/>
      <c r="BI287" s="213"/>
      <c r="BJ287" s="213"/>
      <c r="BK287" s="213"/>
      <c r="BL287" s="213"/>
      <c r="BM287" s="213"/>
      <c r="BN287" s="213"/>
      <c r="BO287" s="213"/>
      <c r="BP287" s="213"/>
      <c r="BQ287" s="213"/>
      <c r="BR287" s="326"/>
      <c r="BS287" s="213"/>
      <c r="BT287" s="213"/>
      <c r="BU287" s="213"/>
      <c r="BV287" s="213"/>
      <c r="BW287" s="213"/>
      <c r="BX287" s="213"/>
      <c r="BY287" s="213"/>
      <c r="BZ287" s="213"/>
      <c r="CA287" s="213"/>
      <c r="CB287" s="213"/>
      <c r="CC287" s="213"/>
      <c r="CD287" s="213"/>
      <c r="CE287" s="213"/>
      <c r="CF287" s="213"/>
      <c r="CG287" s="213"/>
      <c r="CH287" s="213"/>
      <c r="CI287" s="213"/>
      <c r="CJ287" s="213"/>
      <c r="CK287" s="213"/>
      <c r="CL287" s="213"/>
      <c r="CM287" s="213"/>
      <c r="CN287" s="213"/>
      <c r="CO287" s="213"/>
      <c r="CP287" s="213"/>
    </row>
    <row r="288" ht="15.75" customHeight="1">
      <c r="A288" s="213"/>
      <c r="B288" s="213"/>
      <c r="C288" s="213"/>
      <c r="D288" s="213"/>
      <c r="E288" s="213"/>
      <c r="F288" s="213"/>
      <c r="G288" s="213"/>
      <c r="H288" s="213"/>
      <c r="I288" s="213"/>
      <c r="J288" s="213"/>
      <c r="K288" s="213"/>
      <c r="L288" s="213"/>
      <c r="M288" s="213"/>
      <c r="N288" s="213"/>
      <c r="O288" s="213"/>
      <c r="P288" s="213"/>
      <c r="Q288" s="213"/>
      <c r="R288" s="213"/>
      <c r="S288" s="213"/>
      <c r="T288" s="213"/>
      <c r="U288" s="213"/>
      <c r="V288" s="213"/>
      <c r="W288" s="238"/>
      <c r="X288" s="213"/>
      <c r="Y288" s="213"/>
      <c r="Z288" s="213"/>
      <c r="AA288" s="213"/>
      <c r="AB288" s="213"/>
      <c r="AC288" s="213"/>
      <c r="AD288" s="213"/>
      <c r="AE288" s="213"/>
      <c r="AF288" s="213"/>
      <c r="AG288" s="213"/>
      <c r="AH288" s="213"/>
      <c r="AI288" s="213"/>
      <c r="AJ288" s="213"/>
      <c r="AK288" s="213"/>
      <c r="AL288" s="213"/>
      <c r="AM288" s="213"/>
      <c r="AN288" s="213"/>
      <c r="AO288" s="213"/>
      <c r="AP288" s="213"/>
      <c r="AQ288" s="213"/>
      <c r="AR288" s="213"/>
      <c r="AS288" s="213"/>
      <c r="AT288" s="213"/>
      <c r="AU288" s="213"/>
      <c r="AV288" s="213"/>
      <c r="AW288" s="213"/>
      <c r="AX288" s="213"/>
      <c r="AY288" s="213"/>
      <c r="AZ288" s="213"/>
      <c r="BA288" s="213"/>
      <c r="BB288" s="213"/>
      <c r="BC288" s="213"/>
      <c r="BD288" s="213"/>
      <c r="BE288" s="213"/>
      <c r="BF288" s="213"/>
      <c r="BG288" s="213"/>
      <c r="BH288" s="213"/>
      <c r="BI288" s="213"/>
      <c r="BJ288" s="213"/>
      <c r="BK288" s="213"/>
      <c r="BL288" s="213"/>
      <c r="BM288" s="213"/>
      <c r="BN288" s="213"/>
      <c r="BO288" s="213"/>
      <c r="BP288" s="213"/>
      <c r="BQ288" s="213"/>
      <c r="BR288" s="326"/>
      <c r="BS288" s="213"/>
      <c r="BT288" s="213"/>
      <c r="BU288" s="213"/>
      <c r="BV288" s="213"/>
      <c r="BW288" s="213"/>
      <c r="BX288" s="213"/>
      <c r="BY288" s="213"/>
      <c r="BZ288" s="213"/>
      <c r="CA288" s="213"/>
      <c r="CB288" s="213"/>
      <c r="CC288" s="213"/>
      <c r="CD288" s="213"/>
      <c r="CE288" s="213"/>
      <c r="CF288" s="213"/>
      <c r="CG288" s="213"/>
      <c r="CH288" s="213"/>
      <c r="CI288" s="213"/>
      <c r="CJ288" s="213"/>
      <c r="CK288" s="213"/>
      <c r="CL288" s="213"/>
      <c r="CM288" s="213"/>
      <c r="CN288" s="213"/>
      <c r="CO288" s="213"/>
      <c r="CP288" s="213"/>
    </row>
    <row r="289" ht="15.75" customHeight="1">
      <c r="A289" s="213"/>
      <c r="B289" s="213"/>
      <c r="C289" s="213"/>
      <c r="D289" s="213"/>
      <c r="E289" s="213"/>
      <c r="F289" s="213"/>
      <c r="G289" s="213"/>
      <c r="H289" s="213"/>
      <c r="I289" s="213"/>
      <c r="J289" s="213"/>
      <c r="K289" s="213"/>
      <c r="L289" s="213"/>
      <c r="M289" s="213"/>
      <c r="N289" s="213"/>
      <c r="O289" s="213"/>
      <c r="P289" s="213"/>
      <c r="Q289" s="213"/>
      <c r="R289" s="213"/>
      <c r="S289" s="213"/>
      <c r="T289" s="213"/>
      <c r="U289" s="213"/>
      <c r="V289" s="213"/>
      <c r="W289" s="238"/>
      <c r="X289" s="213"/>
      <c r="Y289" s="213"/>
      <c r="Z289" s="213"/>
      <c r="AA289" s="213"/>
      <c r="AB289" s="213"/>
      <c r="AC289" s="213"/>
      <c r="AD289" s="213"/>
      <c r="AE289" s="213"/>
      <c r="AF289" s="213"/>
      <c r="AG289" s="213"/>
      <c r="AH289" s="213"/>
      <c r="AI289" s="213"/>
      <c r="AJ289" s="213"/>
      <c r="AK289" s="213"/>
      <c r="AL289" s="213"/>
      <c r="AM289" s="213"/>
      <c r="AN289" s="213"/>
      <c r="AO289" s="213"/>
      <c r="AP289" s="213"/>
      <c r="AQ289" s="213"/>
      <c r="AR289" s="213"/>
      <c r="AS289" s="213"/>
      <c r="AT289" s="213"/>
      <c r="AU289" s="213"/>
      <c r="AV289" s="213"/>
      <c r="AW289" s="213"/>
      <c r="AX289" s="213"/>
      <c r="AY289" s="213"/>
      <c r="AZ289" s="213"/>
      <c r="BA289" s="213"/>
      <c r="BB289" s="213"/>
      <c r="BC289" s="213"/>
      <c r="BD289" s="213"/>
      <c r="BE289" s="213"/>
      <c r="BF289" s="213"/>
      <c r="BG289" s="213"/>
      <c r="BH289" s="213"/>
      <c r="BI289" s="213"/>
      <c r="BJ289" s="213"/>
      <c r="BK289" s="213"/>
      <c r="BL289" s="213"/>
      <c r="BM289" s="213"/>
      <c r="BN289" s="213"/>
      <c r="BO289" s="213"/>
      <c r="BP289" s="213"/>
      <c r="BQ289" s="213"/>
      <c r="BR289" s="326"/>
      <c r="BS289" s="213"/>
      <c r="BT289" s="213"/>
      <c r="BU289" s="213"/>
      <c r="BV289" s="213"/>
      <c r="BW289" s="213"/>
      <c r="BX289" s="213"/>
      <c r="BY289" s="213"/>
      <c r="BZ289" s="213"/>
      <c r="CA289" s="213"/>
      <c r="CB289" s="213"/>
      <c r="CC289" s="213"/>
      <c r="CD289" s="213"/>
      <c r="CE289" s="213"/>
      <c r="CF289" s="213"/>
      <c r="CG289" s="213"/>
      <c r="CH289" s="213"/>
      <c r="CI289" s="213"/>
      <c r="CJ289" s="213"/>
      <c r="CK289" s="213"/>
      <c r="CL289" s="213"/>
      <c r="CM289" s="213"/>
      <c r="CN289" s="213"/>
      <c r="CO289" s="213"/>
      <c r="CP289" s="213"/>
    </row>
    <row r="290" ht="15.75" customHeight="1">
      <c r="A290" s="213"/>
      <c r="B290" s="213"/>
      <c r="C290" s="213"/>
      <c r="D290" s="213"/>
      <c r="E290" s="213"/>
      <c r="F290" s="213"/>
      <c r="G290" s="213"/>
      <c r="H290" s="213"/>
      <c r="I290" s="213"/>
      <c r="J290" s="213"/>
      <c r="K290" s="213"/>
      <c r="L290" s="213"/>
      <c r="M290" s="213"/>
      <c r="N290" s="213"/>
      <c r="O290" s="213"/>
      <c r="P290" s="213"/>
      <c r="Q290" s="213"/>
      <c r="R290" s="213"/>
      <c r="S290" s="213"/>
      <c r="T290" s="213"/>
      <c r="U290" s="213"/>
      <c r="V290" s="213"/>
      <c r="W290" s="238"/>
      <c r="X290" s="213"/>
      <c r="Y290" s="213"/>
      <c r="Z290" s="213"/>
      <c r="AA290" s="213"/>
      <c r="AB290" s="213"/>
      <c r="AC290" s="213"/>
      <c r="AD290" s="213"/>
      <c r="AE290" s="213"/>
      <c r="AF290" s="213"/>
      <c r="AG290" s="213"/>
      <c r="AH290" s="213"/>
      <c r="AI290" s="213"/>
      <c r="AJ290" s="213"/>
      <c r="AK290" s="213"/>
      <c r="AL290" s="213"/>
      <c r="AM290" s="213"/>
      <c r="AN290" s="213"/>
      <c r="AO290" s="213"/>
      <c r="AP290" s="213"/>
      <c r="AQ290" s="213"/>
      <c r="AR290" s="213"/>
      <c r="AS290" s="213"/>
      <c r="AT290" s="213"/>
      <c r="AU290" s="213"/>
      <c r="AV290" s="213"/>
      <c r="AW290" s="213"/>
      <c r="AX290" s="213"/>
      <c r="AY290" s="213"/>
      <c r="AZ290" s="213"/>
      <c r="BA290" s="213"/>
      <c r="BB290" s="213"/>
      <c r="BC290" s="213"/>
      <c r="BD290" s="213"/>
      <c r="BE290" s="213"/>
      <c r="BF290" s="213"/>
      <c r="BG290" s="213"/>
      <c r="BH290" s="213"/>
      <c r="BI290" s="213"/>
      <c r="BJ290" s="213"/>
      <c r="BK290" s="213"/>
      <c r="BL290" s="213"/>
      <c r="BM290" s="213"/>
      <c r="BN290" s="213"/>
      <c r="BO290" s="213"/>
      <c r="BP290" s="213"/>
      <c r="BQ290" s="213"/>
      <c r="BR290" s="326"/>
      <c r="BS290" s="213"/>
      <c r="BT290" s="213"/>
      <c r="BU290" s="213"/>
      <c r="BV290" s="213"/>
      <c r="BW290" s="213"/>
      <c r="BX290" s="213"/>
      <c r="BY290" s="213"/>
      <c r="BZ290" s="213"/>
      <c r="CA290" s="213"/>
      <c r="CB290" s="213"/>
      <c r="CC290" s="213"/>
      <c r="CD290" s="213"/>
      <c r="CE290" s="213"/>
      <c r="CF290" s="213"/>
      <c r="CG290" s="213"/>
      <c r="CH290" s="213"/>
      <c r="CI290" s="213"/>
      <c r="CJ290" s="213"/>
      <c r="CK290" s="213"/>
      <c r="CL290" s="213"/>
      <c r="CM290" s="213"/>
      <c r="CN290" s="213"/>
      <c r="CO290" s="213"/>
      <c r="CP290" s="213"/>
    </row>
    <row r="291" ht="15.75" customHeight="1">
      <c r="A291" s="213"/>
      <c r="B291" s="213"/>
      <c r="C291" s="213"/>
      <c r="D291" s="213"/>
      <c r="E291" s="213"/>
      <c r="F291" s="213"/>
      <c r="G291" s="213"/>
      <c r="H291" s="213"/>
      <c r="I291" s="213"/>
      <c r="J291" s="213"/>
      <c r="K291" s="213"/>
      <c r="L291" s="213"/>
      <c r="M291" s="213"/>
      <c r="N291" s="213"/>
      <c r="O291" s="213"/>
      <c r="P291" s="213"/>
      <c r="Q291" s="213"/>
      <c r="R291" s="213"/>
      <c r="S291" s="213"/>
      <c r="T291" s="213"/>
      <c r="U291" s="213"/>
      <c r="V291" s="213"/>
      <c r="W291" s="238"/>
      <c r="X291" s="213"/>
      <c r="Y291" s="213"/>
      <c r="Z291" s="213"/>
      <c r="AA291" s="213"/>
      <c r="AB291" s="213"/>
      <c r="AC291" s="213"/>
      <c r="AD291" s="213"/>
      <c r="AE291" s="213"/>
      <c r="AF291" s="213"/>
      <c r="AG291" s="213"/>
      <c r="AH291" s="213"/>
      <c r="AI291" s="213"/>
      <c r="AJ291" s="213"/>
      <c r="AK291" s="213"/>
      <c r="AL291" s="213"/>
      <c r="AM291" s="213"/>
      <c r="AN291" s="213"/>
      <c r="AO291" s="213"/>
      <c r="AP291" s="213"/>
      <c r="AQ291" s="213"/>
      <c r="AR291" s="213"/>
      <c r="AS291" s="213"/>
      <c r="AT291" s="213"/>
      <c r="AU291" s="213"/>
      <c r="AV291" s="213"/>
      <c r="AW291" s="213"/>
      <c r="AX291" s="213"/>
      <c r="AY291" s="213"/>
      <c r="AZ291" s="213"/>
      <c r="BA291" s="213"/>
      <c r="BB291" s="213"/>
      <c r="BC291" s="213"/>
      <c r="BD291" s="213"/>
      <c r="BE291" s="213"/>
      <c r="BF291" s="213"/>
      <c r="BG291" s="213"/>
      <c r="BH291" s="213"/>
      <c r="BI291" s="213"/>
      <c r="BJ291" s="213"/>
      <c r="BK291" s="213"/>
      <c r="BL291" s="213"/>
      <c r="BM291" s="213"/>
      <c r="BN291" s="213"/>
      <c r="BO291" s="213"/>
      <c r="BP291" s="213"/>
      <c r="BQ291" s="213"/>
      <c r="BR291" s="326"/>
      <c r="BS291" s="213"/>
      <c r="BT291" s="213"/>
      <c r="BU291" s="213"/>
      <c r="BV291" s="213"/>
      <c r="BW291" s="213"/>
      <c r="BX291" s="213"/>
      <c r="BY291" s="213"/>
      <c r="BZ291" s="213"/>
      <c r="CA291" s="213"/>
      <c r="CB291" s="213"/>
      <c r="CC291" s="213"/>
      <c r="CD291" s="213"/>
      <c r="CE291" s="213"/>
      <c r="CF291" s="213"/>
      <c r="CG291" s="213"/>
      <c r="CH291" s="213"/>
      <c r="CI291" s="213"/>
      <c r="CJ291" s="213"/>
      <c r="CK291" s="213"/>
      <c r="CL291" s="213"/>
      <c r="CM291" s="213"/>
      <c r="CN291" s="213"/>
      <c r="CO291" s="213"/>
      <c r="CP291" s="213"/>
    </row>
    <row r="292" ht="15.75" customHeight="1">
      <c r="A292" s="213"/>
      <c r="B292" s="213"/>
      <c r="C292" s="213"/>
      <c r="D292" s="213"/>
      <c r="E292" s="213"/>
      <c r="F292" s="213"/>
      <c r="G292" s="213"/>
      <c r="H292" s="213"/>
      <c r="I292" s="213"/>
      <c r="J292" s="213"/>
      <c r="K292" s="213"/>
      <c r="L292" s="213"/>
      <c r="M292" s="213"/>
      <c r="N292" s="213"/>
      <c r="O292" s="213"/>
      <c r="P292" s="213"/>
      <c r="Q292" s="213"/>
      <c r="R292" s="213"/>
      <c r="S292" s="213"/>
      <c r="T292" s="213"/>
      <c r="U292" s="213"/>
      <c r="V292" s="213"/>
      <c r="W292" s="238"/>
      <c r="X292" s="213"/>
      <c r="Y292" s="213"/>
      <c r="Z292" s="213"/>
      <c r="AA292" s="213"/>
      <c r="AB292" s="213"/>
      <c r="AC292" s="213"/>
      <c r="AD292" s="213"/>
      <c r="AE292" s="213"/>
      <c r="AF292" s="213"/>
      <c r="AG292" s="213"/>
      <c r="AH292" s="213"/>
      <c r="AI292" s="213"/>
      <c r="AJ292" s="213"/>
      <c r="AK292" s="213"/>
      <c r="AL292" s="213"/>
      <c r="AM292" s="213"/>
      <c r="AN292" s="213"/>
      <c r="AO292" s="213"/>
      <c r="AP292" s="213"/>
      <c r="AQ292" s="213"/>
      <c r="AR292" s="213"/>
      <c r="AS292" s="213"/>
      <c r="AT292" s="213"/>
      <c r="AU292" s="213"/>
      <c r="AV292" s="213"/>
      <c r="AW292" s="213"/>
      <c r="AX292" s="213"/>
      <c r="AY292" s="213"/>
      <c r="AZ292" s="213"/>
      <c r="BA292" s="213"/>
      <c r="BB292" s="213"/>
      <c r="BC292" s="213"/>
      <c r="BD292" s="213"/>
      <c r="BE292" s="213"/>
      <c r="BF292" s="213"/>
      <c r="BG292" s="213"/>
      <c r="BH292" s="213"/>
      <c r="BI292" s="213"/>
      <c r="BJ292" s="213"/>
      <c r="BK292" s="213"/>
      <c r="BL292" s="213"/>
      <c r="BM292" s="213"/>
      <c r="BN292" s="213"/>
      <c r="BO292" s="213"/>
      <c r="BP292" s="213"/>
      <c r="BQ292" s="213"/>
      <c r="BR292" s="326"/>
      <c r="BS292" s="213"/>
      <c r="BT292" s="213"/>
      <c r="BU292" s="213"/>
      <c r="BV292" s="213"/>
      <c r="BW292" s="213"/>
      <c r="BX292" s="213"/>
      <c r="BY292" s="213"/>
      <c r="BZ292" s="213"/>
      <c r="CA292" s="213"/>
      <c r="CB292" s="213"/>
      <c r="CC292" s="213"/>
      <c r="CD292" s="213"/>
      <c r="CE292" s="213"/>
      <c r="CF292" s="213"/>
      <c r="CG292" s="213"/>
      <c r="CH292" s="213"/>
      <c r="CI292" s="213"/>
      <c r="CJ292" s="213"/>
      <c r="CK292" s="213"/>
      <c r="CL292" s="213"/>
      <c r="CM292" s="213"/>
      <c r="CN292" s="213"/>
      <c r="CO292" s="213"/>
      <c r="CP292" s="213"/>
    </row>
    <row r="293" ht="15.75" customHeight="1">
      <c r="A293" s="213"/>
      <c r="B293" s="213"/>
      <c r="C293" s="213"/>
      <c r="D293" s="213"/>
      <c r="E293" s="213"/>
      <c r="F293" s="213"/>
      <c r="G293" s="213"/>
      <c r="H293" s="213"/>
      <c r="I293" s="213"/>
      <c r="J293" s="213"/>
      <c r="K293" s="213"/>
      <c r="L293" s="213"/>
      <c r="M293" s="213"/>
      <c r="N293" s="213"/>
      <c r="O293" s="213"/>
      <c r="P293" s="213"/>
      <c r="Q293" s="213"/>
      <c r="R293" s="213"/>
      <c r="S293" s="213"/>
      <c r="T293" s="213"/>
      <c r="U293" s="213"/>
      <c r="V293" s="213"/>
      <c r="W293" s="238"/>
      <c r="X293" s="213"/>
      <c r="Y293" s="213"/>
      <c r="Z293" s="213"/>
      <c r="AA293" s="213"/>
      <c r="AB293" s="213"/>
      <c r="AC293" s="213"/>
      <c r="AD293" s="213"/>
      <c r="AE293" s="213"/>
      <c r="AF293" s="213"/>
      <c r="AG293" s="213"/>
      <c r="AH293" s="213"/>
      <c r="AI293" s="213"/>
      <c r="AJ293" s="213"/>
      <c r="AK293" s="213"/>
      <c r="AL293" s="213"/>
      <c r="AM293" s="213"/>
      <c r="AN293" s="213"/>
      <c r="AO293" s="213"/>
      <c r="AP293" s="213"/>
      <c r="AQ293" s="213"/>
      <c r="AR293" s="213"/>
      <c r="AS293" s="213"/>
      <c r="AT293" s="213"/>
      <c r="AU293" s="213"/>
      <c r="AV293" s="213"/>
      <c r="AW293" s="213"/>
      <c r="AX293" s="213"/>
      <c r="AY293" s="213"/>
      <c r="AZ293" s="213"/>
      <c r="BA293" s="213"/>
      <c r="BB293" s="213"/>
      <c r="BC293" s="213"/>
      <c r="BD293" s="213"/>
      <c r="BE293" s="213"/>
      <c r="BF293" s="213"/>
      <c r="BG293" s="213"/>
      <c r="BH293" s="213"/>
      <c r="BI293" s="213"/>
      <c r="BJ293" s="213"/>
      <c r="BK293" s="213"/>
      <c r="BL293" s="213"/>
      <c r="BM293" s="213"/>
      <c r="BN293" s="213"/>
      <c r="BO293" s="213"/>
      <c r="BP293" s="213"/>
      <c r="BQ293" s="213"/>
      <c r="BR293" s="326"/>
      <c r="BS293" s="213"/>
      <c r="BT293" s="213"/>
      <c r="BU293" s="213"/>
      <c r="BV293" s="213"/>
      <c r="BW293" s="213"/>
      <c r="BX293" s="213"/>
      <c r="BY293" s="213"/>
      <c r="BZ293" s="213"/>
      <c r="CA293" s="213"/>
      <c r="CB293" s="213"/>
      <c r="CC293" s="213"/>
      <c r="CD293" s="213"/>
      <c r="CE293" s="213"/>
      <c r="CF293" s="213"/>
      <c r="CG293" s="213"/>
      <c r="CH293" s="213"/>
      <c r="CI293" s="213"/>
      <c r="CJ293" s="213"/>
      <c r="CK293" s="213"/>
      <c r="CL293" s="213"/>
      <c r="CM293" s="213"/>
      <c r="CN293" s="213"/>
      <c r="CO293" s="213"/>
      <c r="CP293" s="213"/>
    </row>
    <row r="294" ht="15.75" customHeight="1">
      <c r="A294" s="213"/>
      <c r="B294" s="213"/>
      <c r="C294" s="213"/>
      <c r="D294" s="213"/>
      <c r="E294" s="213"/>
      <c r="F294" s="213"/>
      <c r="G294" s="213"/>
      <c r="H294" s="213"/>
      <c r="I294" s="213"/>
      <c r="J294" s="213"/>
      <c r="K294" s="213"/>
      <c r="L294" s="213"/>
      <c r="M294" s="213"/>
      <c r="N294" s="213"/>
      <c r="O294" s="213"/>
      <c r="P294" s="213"/>
      <c r="Q294" s="213"/>
      <c r="R294" s="213"/>
      <c r="S294" s="213"/>
      <c r="T294" s="213"/>
      <c r="U294" s="213"/>
      <c r="V294" s="213"/>
      <c r="W294" s="238"/>
      <c r="X294" s="213"/>
      <c r="Y294" s="213"/>
      <c r="Z294" s="213"/>
      <c r="AA294" s="213"/>
      <c r="AB294" s="213"/>
      <c r="AC294" s="213"/>
      <c r="AD294" s="213"/>
      <c r="AE294" s="213"/>
      <c r="AF294" s="213"/>
      <c r="AG294" s="213"/>
      <c r="AH294" s="213"/>
      <c r="AI294" s="213"/>
      <c r="AJ294" s="213"/>
      <c r="AK294" s="213"/>
      <c r="AL294" s="213"/>
      <c r="AM294" s="213"/>
      <c r="AN294" s="213"/>
      <c r="AO294" s="213"/>
      <c r="AP294" s="213"/>
      <c r="AQ294" s="213"/>
      <c r="AR294" s="213"/>
      <c r="AS294" s="213"/>
      <c r="AT294" s="213"/>
      <c r="AU294" s="213"/>
      <c r="AV294" s="213"/>
      <c r="AW294" s="213"/>
      <c r="AX294" s="213"/>
      <c r="AY294" s="213"/>
      <c r="AZ294" s="213"/>
      <c r="BA294" s="213"/>
      <c r="BB294" s="213"/>
      <c r="BC294" s="213"/>
      <c r="BD294" s="213"/>
      <c r="BE294" s="213"/>
      <c r="BF294" s="213"/>
      <c r="BG294" s="213"/>
      <c r="BH294" s="213"/>
      <c r="BI294" s="213"/>
      <c r="BJ294" s="213"/>
      <c r="BK294" s="213"/>
      <c r="BL294" s="213"/>
      <c r="BM294" s="213"/>
      <c r="BN294" s="213"/>
      <c r="BO294" s="213"/>
      <c r="BP294" s="213"/>
      <c r="BQ294" s="213"/>
      <c r="BR294" s="326"/>
      <c r="BS294" s="213"/>
      <c r="BT294" s="213"/>
      <c r="BU294" s="213"/>
      <c r="BV294" s="213"/>
      <c r="BW294" s="213"/>
      <c r="BX294" s="213"/>
      <c r="BY294" s="213"/>
      <c r="BZ294" s="213"/>
      <c r="CA294" s="213"/>
      <c r="CB294" s="213"/>
      <c r="CC294" s="213"/>
      <c r="CD294" s="213"/>
      <c r="CE294" s="213"/>
      <c r="CF294" s="213"/>
      <c r="CG294" s="213"/>
      <c r="CH294" s="213"/>
      <c r="CI294" s="213"/>
      <c r="CJ294" s="213"/>
      <c r="CK294" s="213"/>
      <c r="CL294" s="213"/>
      <c r="CM294" s="213"/>
      <c r="CN294" s="213"/>
      <c r="CO294" s="213"/>
      <c r="CP294" s="213"/>
    </row>
    <row r="295" ht="15.75" customHeight="1">
      <c r="A295" s="213"/>
      <c r="B295" s="213"/>
      <c r="C295" s="213"/>
      <c r="D295" s="213"/>
      <c r="E295" s="213"/>
      <c r="F295" s="213"/>
      <c r="G295" s="213"/>
      <c r="H295" s="213"/>
      <c r="I295" s="213"/>
      <c r="J295" s="213"/>
      <c r="K295" s="213"/>
      <c r="L295" s="213"/>
      <c r="M295" s="213"/>
      <c r="N295" s="213"/>
      <c r="O295" s="213"/>
      <c r="P295" s="213"/>
      <c r="Q295" s="213"/>
      <c r="R295" s="213"/>
      <c r="S295" s="213"/>
      <c r="T295" s="213"/>
      <c r="U295" s="213"/>
      <c r="V295" s="213"/>
      <c r="W295" s="238"/>
      <c r="X295" s="213"/>
      <c r="Y295" s="213"/>
      <c r="Z295" s="213"/>
      <c r="AA295" s="213"/>
      <c r="AB295" s="213"/>
      <c r="AC295" s="213"/>
      <c r="AD295" s="213"/>
      <c r="AE295" s="213"/>
      <c r="AF295" s="213"/>
      <c r="AG295" s="213"/>
      <c r="AH295" s="213"/>
      <c r="AI295" s="213"/>
      <c r="AJ295" s="213"/>
      <c r="AK295" s="213"/>
      <c r="AL295" s="213"/>
      <c r="AM295" s="213"/>
      <c r="AN295" s="213"/>
      <c r="AO295" s="213"/>
      <c r="AP295" s="213"/>
      <c r="AQ295" s="213"/>
      <c r="AR295" s="213"/>
      <c r="AS295" s="213"/>
      <c r="AT295" s="213"/>
      <c r="AU295" s="213"/>
      <c r="AV295" s="213"/>
      <c r="AW295" s="213"/>
      <c r="AX295" s="213"/>
      <c r="AY295" s="213"/>
      <c r="AZ295" s="213"/>
      <c r="BA295" s="213"/>
      <c r="BB295" s="213"/>
      <c r="BC295" s="213"/>
      <c r="BD295" s="213"/>
      <c r="BE295" s="213"/>
      <c r="BF295" s="213"/>
      <c r="BG295" s="213"/>
      <c r="BH295" s="213"/>
      <c r="BI295" s="213"/>
      <c r="BJ295" s="213"/>
      <c r="BK295" s="213"/>
      <c r="BL295" s="213"/>
      <c r="BM295" s="213"/>
      <c r="BN295" s="213"/>
      <c r="BO295" s="213"/>
      <c r="BP295" s="213"/>
      <c r="BQ295" s="213"/>
      <c r="BR295" s="326"/>
      <c r="BS295" s="213"/>
      <c r="BT295" s="213"/>
      <c r="BU295" s="213"/>
      <c r="BV295" s="213"/>
      <c r="BW295" s="213"/>
      <c r="BX295" s="213"/>
      <c r="BY295" s="213"/>
      <c r="BZ295" s="213"/>
      <c r="CA295" s="213"/>
      <c r="CB295" s="213"/>
      <c r="CC295" s="213"/>
      <c r="CD295" s="213"/>
      <c r="CE295" s="213"/>
      <c r="CF295" s="213"/>
      <c r="CG295" s="213"/>
      <c r="CH295" s="213"/>
      <c r="CI295" s="213"/>
      <c r="CJ295" s="213"/>
      <c r="CK295" s="213"/>
      <c r="CL295" s="213"/>
      <c r="CM295" s="213"/>
      <c r="CN295" s="213"/>
      <c r="CO295" s="213"/>
      <c r="CP295" s="213"/>
    </row>
    <row r="296" ht="15.75" customHeight="1">
      <c r="A296" s="213"/>
      <c r="B296" s="213"/>
      <c r="C296" s="213"/>
      <c r="D296" s="213"/>
      <c r="E296" s="213"/>
      <c r="F296" s="213"/>
      <c r="G296" s="213"/>
      <c r="H296" s="213"/>
      <c r="I296" s="213"/>
      <c r="J296" s="213"/>
      <c r="K296" s="213"/>
      <c r="L296" s="213"/>
      <c r="M296" s="213"/>
      <c r="N296" s="213"/>
      <c r="O296" s="213"/>
      <c r="P296" s="213"/>
      <c r="Q296" s="213"/>
      <c r="R296" s="213"/>
      <c r="S296" s="213"/>
      <c r="T296" s="213"/>
      <c r="U296" s="213"/>
      <c r="V296" s="213"/>
      <c r="W296" s="238"/>
      <c r="X296" s="213"/>
      <c r="Y296" s="213"/>
      <c r="Z296" s="213"/>
      <c r="AA296" s="213"/>
      <c r="AB296" s="213"/>
      <c r="AC296" s="213"/>
      <c r="AD296" s="213"/>
      <c r="AE296" s="213"/>
      <c r="AF296" s="213"/>
      <c r="AG296" s="213"/>
      <c r="AH296" s="213"/>
      <c r="AI296" s="213"/>
      <c r="AJ296" s="213"/>
      <c r="AK296" s="213"/>
      <c r="AL296" s="213"/>
      <c r="AM296" s="213"/>
      <c r="AN296" s="213"/>
      <c r="AO296" s="213"/>
      <c r="AP296" s="213"/>
      <c r="AQ296" s="213"/>
      <c r="AR296" s="213"/>
      <c r="AS296" s="213"/>
      <c r="AT296" s="213"/>
      <c r="AU296" s="213"/>
      <c r="AV296" s="213"/>
      <c r="AW296" s="213"/>
      <c r="AX296" s="213"/>
      <c r="AY296" s="213"/>
      <c r="AZ296" s="213"/>
      <c r="BA296" s="213"/>
      <c r="BB296" s="213"/>
      <c r="BC296" s="213"/>
      <c r="BD296" s="213"/>
      <c r="BE296" s="213"/>
      <c r="BF296" s="213"/>
      <c r="BG296" s="213"/>
      <c r="BH296" s="213"/>
      <c r="BI296" s="213"/>
      <c r="BJ296" s="213"/>
      <c r="BK296" s="213"/>
      <c r="BL296" s="213"/>
      <c r="BM296" s="213"/>
      <c r="BN296" s="213"/>
      <c r="BO296" s="213"/>
      <c r="BP296" s="213"/>
      <c r="BQ296" s="213"/>
      <c r="BR296" s="326"/>
      <c r="BS296" s="213"/>
      <c r="BT296" s="213"/>
      <c r="BU296" s="213"/>
      <c r="BV296" s="213"/>
      <c r="BW296" s="213"/>
      <c r="BX296" s="213"/>
      <c r="BY296" s="213"/>
      <c r="BZ296" s="213"/>
      <c r="CA296" s="213"/>
      <c r="CB296" s="213"/>
      <c r="CC296" s="213"/>
      <c r="CD296" s="213"/>
      <c r="CE296" s="213"/>
      <c r="CF296" s="213"/>
      <c r="CG296" s="213"/>
      <c r="CH296" s="213"/>
      <c r="CI296" s="213"/>
      <c r="CJ296" s="213"/>
      <c r="CK296" s="213"/>
      <c r="CL296" s="213"/>
      <c r="CM296" s="213"/>
      <c r="CN296" s="213"/>
      <c r="CO296" s="213"/>
      <c r="CP296" s="213"/>
    </row>
    <row r="297" ht="15.75" customHeight="1">
      <c r="A297" s="213"/>
      <c r="B297" s="213"/>
      <c r="C297" s="213"/>
      <c r="D297" s="213"/>
      <c r="E297" s="213"/>
      <c r="F297" s="213"/>
      <c r="G297" s="213"/>
      <c r="H297" s="213"/>
      <c r="I297" s="213"/>
      <c r="J297" s="213"/>
      <c r="K297" s="213"/>
      <c r="L297" s="213"/>
      <c r="M297" s="213"/>
      <c r="N297" s="213"/>
      <c r="O297" s="213"/>
      <c r="P297" s="213"/>
      <c r="Q297" s="213"/>
      <c r="R297" s="213"/>
      <c r="S297" s="213"/>
      <c r="T297" s="213"/>
      <c r="U297" s="213"/>
      <c r="V297" s="213"/>
      <c r="W297" s="238"/>
      <c r="X297" s="213"/>
      <c r="Y297" s="213"/>
      <c r="Z297" s="213"/>
      <c r="AA297" s="213"/>
      <c r="AB297" s="213"/>
      <c r="AC297" s="213"/>
      <c r="AD297" s="213"/>
      <c r="AE297" s="213"/>
      <c r="AF297" s="213"/>
      <c r="AG297" s="213"/>
      <c r="AH297" s="213"/>
      <c r="AI297" s="213"/>
      <c r="AJ297" s="213"/>
      <c r="AK297" s="213"/>
      <c r="AL297" s="213"/>
      <c r="AM297" s="213"/>
      <c r="AN297" s="213"/>
      <c r="AO297" s="213"/>
      <c r="AP297" s="213"/>
      <c r="AQ297" s="213"/>
      <c r="AR297" s="213"/>
      <c r="AS297" s="213"/>
      <c r="AT297" s="213"/>
      <c r="AU297" s="213"/>
      <c r="AV297" s="213"/>
      <c r="AW297" s="213"/>
      <c r="AX297" s="213"/>
      <c r="AY297" s="213"/>
      <c r="AZ297" s="213"/>
      <c r="BA297" s="213"/>
      <c r="BB297" s="213"/>
      <c r="BC297" s="213"/>
      <c r="BD297" s="213"/>
      <c r="BE297" s="213"/>
      <c r="BF297" s="213"/>
      <c r="BG297" s="213"/>
      <c r="BH297" s="213"/>
      <c r="BI297" s="213"/>
      <c r="BJ297" s="213"/>
      <c r="BK297" s="213"/>
      <c r="BL297" s="213"/>
      <c r="BM297" s="213"/>
      <c r="BN297" s="213"/>
      <c r="BO297" s="213"/>
      <c r="BP297" s="213"/>
      <c r="BQ297" s="213"/>
      <c r="BR297" s="326"/>
      <c r="BS297" s="213"/>
      <c r="BT297" s="213"/>
      <c r="BU297" s="213"/>
      <c r="BV297" s="213"/>
      <c r="BW297" s="213"/>
      <c r="BX297" s="213"/>
      <c r="BY297" s="213"/>
      <c r="BZ297" s="213"/>
      <c r="CA297" s="213"/>
      <c r="CB297" s="213"/>
      <c r="CC297" s="213"/>
      <c r="CD297" s="213"/>
      <c r="CE297" s="213"/>
      <c r="CF297" s="213"/>
      <c r="CG297" s="213"/>
      <c r="CH297" s="213"/>
      <c r="CI297" s="213"/>
      <c r="CJ297" s="213"/>
      <c r="CK297" s="213"/>
      <c r="CL297" s="213"/>
      <c r="CM297" s="213"/>
      <c r="CN297" s="213"/>
      <c r="CO297" s="213"/>
      <c r="CP297" s="213"/>
    </row>
    <row r="298" ht="15.75" customHeight="1">
      <c r="A298" s="213"/>
      <c r="B298" s="213"/>
      <c r="C298" s="213"/>
      <c r="D298" s="213"/>
      <c r="E298" s="213"/>
      <c r="F298" s="213"/>
      <c r="G298" s="213"/>
      <c r="H298" s="213"/>
      <c r="I298" s="213"/>
      <c r="J298" s="213"/>
      <c r="K298" s="213"/>
      <c r="L298" s="213"/>
      <c r="M298" s="213"/>
      <c r="N298" s="213"/>
      <c r="O298" s="213"/>
      <c r="P298" s="213"/>
      <c r="Q298" s="213"/>
      <c r="R298" s="213"/>
      <c r="S298" s="213"/>
      <c r="T298" s="213"/>
      <c r="U298" s="213"/>
      <c r="V298" s="213"/>
      <c r="W298" s="238"/>
      <c r="X298" s="213"/>
      <c r="Y298" s="213"/>
      <c r="Z298" s="213"/>
      <c r="AA298" s="213"/>
      <c r="AB298" s="213"/>
      <c r="AC298" s="213"/>
      <c r="AD298" s="213"/>
      <c r="AE298" s="213"/>
      <c r="AF298" s="213"/>
      <c r="AG298" s="213"/>
      <c r="AH298" s="213"/>
      <c r="AI298" s="213"/>
      <c r="AJ298" s="213"/>
      <c r="AK298" s="213"/>
      <c r="AL298" s="213"/>
      <c r="AM298" s="213"/>
      <c r="AN298" s="213"/>
      <c r="AO298" s="213"/>
      <c r="AP298" s="213"/>
      <c r="AQ298" s="213"/>
      <c r="AR298" s="213"/>
      <c r="AS298" s="213"/>
      <c r="AT298" s="213"/>
      <c r="AU298" s="213"/>
      <c r="AV298" s="213"/>
      <c r="AW298" s="213"/>
      <c r="AX298" s="213"/>
      <c r="AY298" s="213"/>
      <c r="AZ298" s="213"/>
      <c r="BA298" s="213"/>
      <c r="BB298" s="213"/>
      <c r="BC298" s="213"/>
      <c r="BD298" s="213"/>
      <c r="BE298" s="213"/>
      <c r="BF298" s="213"/>
      <c r="BG298" s="213"/>
      <c r="BH298" s="213"/>
      <c r="BI298" s="213"/>
      <c r="BJ298" s="213"/>
      <c r="BK298" s="213"/>
      <c r="BL298" s="213"/>
      <c r="BM298" s="213"/>
      <c r="BN298" s="213"/>
      <c r="BO298" s="213"/>
      <c r="BP298" s="213"/>
      <c r="BQ298" s="213"/>
      <c r="BR298" s="326"/>
      <c r="BS298" s="213"/>
      <c r="BT298" s="213"/>
      <c r="BU298" s="213"/>
      <c r="BV298" s="213"/>
      <c r="BW298" s="213"/>
      <c r="BX298" s="213"/>
      <c r="BY298" s="213"/>
      <c r="BZ298" s="213"/>
      <c r="CA298" s="213"/>
      <c r="CB298" s="213"/>
      <c r="CC298" s="213"/>
      <c r="CD298" s="213"/>
      <c r="CE298" s="213"/>
      <c r="CF298" s="213"/>
      <c r="CG298" s="213"/>
      <c r="CH298" s="213"/>
      <c r="CI298" s="213"/>
      <c r="CJ298" s="213"/>
      <c r="CK298" s="213"/>
      <c r="CL298" s="213"/>
      <c r="CM298" s="213"/>
      <c r="CN298" s="213"/>
      <c r="CO298" s="213"/>
      <c r="CP298" s="213"/>
    </row>
    <row r="299" ht="15.75" customHeight="1">
      <c r="A299" s="213"/>
      <c r="B299" s="213"/>
      <c r="C299" s="213"/>
      <c r="D299" s="213"/>
      <c r="E299" s="213"/>
      <c r="F299" s="213"/>
      <c r="G299" s="213"/>
      <c r="H299" s="213"/>
      <c r="I299" s="213"/>
      <c r="J299" s="213"/>
      <c r="K299" s="213"/>
      <c r="L299" s="213"/>
      <c r="M299" s="213"/>
      <c r="N299" s="213"/>
      <c r="O299" s="213"/>
      <c r="P299" s="213"/>
      <c r="Q299" s="213"/>
      <c r="R299" s="213"/>
      <c r="S299" s="213"/>
      <c r="T299" s="213"/>
      <c r="U299" s="213"/>
      <c r="V299" s="213"/>
      <c r="W299" s="238"/>
      <c r="X299" s="213"/>
      <c r="Y299" s="213"/>
      <c r="Z299" s="213"/>
      <c r="AA299" s="213"/>
      <c r="AB299" s="213"/>
      <c r="AC299" s="213"/>
      <c r="AD299" s="213"/>
      <c r="AE299" s="213"/>
      <c r="AF299" s="213"/>
      <c r="AG299" s="213"/>
      <c r="AH299" s="213"/>
      <c r="AI299" s="213"/>
      <c r="AJ299" s="213"/>
      <c r="AK299" s="213"/>
      <c r="AL299" s="213"/>
      <c r="AM299" s="213"/>
      <c r="AN299" s="213"/>
      <c r="AO299" s="213"/>
      <c r="AP299" s="213"/>
      <c r="AQ299" s="213"/>
      <c r="AR299" s="213"/>
      <c r="AS299" s="213"/>
      <c r="AT299" s="213"/>
      <c r="AU299" s="213"/>
      <c r="AV299" s="213"/>
      <c r="AW299" s="213"/>
      <c r="AX299" s="213"/>
      <c r="AY299" s="213"/>
      <c r="AZ299" s="213"/>
      <c r="BA299" s="213"/>
      <c r="BB299" s="213"/>
      <c r="BC299" s="213"/>
      <c r="BD299" s="213"/>
      <c r="BE299" s="213"/>
      <c r="BF299" s="213"/>
      <c r="BG299" s="213"/>
      <c r="BH299" s="213"/>
      <c r="BI299" s="213"/>
      <c r="BJ299" s="213"/>
      <c r="BK299" s="213"/>
      <c r="BL299" s="213"/>
      <c r="BM299" s="213"/>
      <c r="BN299" s="213"/>
      <c r="BO299" s="213"/>
      <c r="BP299" s="213"/>
      <c r="BQ299" s="213"/>
      <c r="BR299" s="326"/>
      <c r="BS299" s="213"/>
      <c r="BT299" s="213"/>
      <c r="BU299" s="213"/>
      <c r="BV299" s="213"/>
      <c r="BW299" s="213"/>
      <c r="BX299" s="213"/>
      <c r="BY299" s="213"/>
      <c r="BZ299" s="213"/>
      <c r="CA299" s="213"/>
      <c r="CB299" s="213"/>
      <c r="CC299" s="213"/>
      <c r="CD299" s="213"/>
      <c r="CE299" s="213"/>
      <c r="CF299" s="213"/>
      <c r="CG299" s="213"/>
      <c r="CH299" s="213"/>
      <c r="CI299" s="213"/>
      <c r="CJ299" s="213"/>
      <c r="CK299" s="213"/>
      <c r="CL299" s="213"/>
      <c r="CM299" s="213"/>
      <c r="CN299" s="213"/>
      <c r="CO299" s="213"/>
      <c r="CP299" s="213"/>
    </row>
    <row r="300" ht="15.75" customHeight="1">
      <c r="A300" s="213"/>
      <c r="B300" s="213"/>
      <c r="C300" s="213"/>
      <c r="D300" s="213"/>
      <c r="E300" s="213"/>
      <c r="F300" s="213"/>
      <c r="G300" s="213"/>
      <c r="H300" s="213"/>
      <c r="I300" s="213"/>
      <c r="J300" s="213"/>
      <c r="K300" s="213"/>
      <c r="L300" s="213"/>
      <c r="M300" s="213"/>
      <c r="N300" s="213"/>
      <c r="O300" s="213"/>
      <c r="P300" s="213"/>
      <c r="Q300" s="213"/>
      <c r="R300" s="213"/>
      <c r="S300" s="213"/>
      <c r="T300" s="213"/>
      <c r="U300" s="213"/>
      <c r="V300" s="213"/>
      <c r="W300" s="238"/>
      <c r="X300" s="213"/>
      <c r="Y300" s="213"/>
      <c r="Z300" s="213"/>
      <c r="AA300" s="213"/>
      <c r="AB300" s="213"/>
      <c r="AC300" s="213"/>
      <c r="AD300" s="213"/>
      <c r="AE300" s="213"/>
      <c r="AF300" s="213"/>
      <c r="AG300" s="213"/>
      <c r="AH300" s="213"/>
      <c r="AI300" s="213"/>
      <c r="AJ300" s="213"/>
      <c r="AK300" s="213"/>
      <c r="AL300" s="213"/>
      <c r="AM300" s="213"/>
      <c r="AN300" s="213"/>
      <c r="AO300" s="213"/>
      <c r="AP300" s="213"/>
      <c r="AQ300" s="213"/>
      <c r="AR300" s="213"/>
      <c r="AS300" s="213"/>
      <c r="AT300" s="213"/>
      <c r="AU300" s="213"/>
      <c r="AV300" s="213"/>
      <c r="AW300" s="213"/>
      <c r="AX300" s="213"/>
      <c r="AY300" s="213"/>
      <c r="AZ300" s="213"/>
      <c r="BA300" s="213"/>
      <c r="BB300" s="213"/>
      <c r="BC300" s="213"/>
      <c r="BD300" s="213"/>
      <c r="BE300" s="213"/>
      <c r="BF300" s="213"/>
      <c r="BG300" s="213"/>
      <c r="BH300" s="213"/>
      <c r="BI300" s="213"/>
      <c r="BJ300" s="213"/>
      <c r="BK300" s="213"/>
      <c r="BL300" s="213"/>
      <c r="BM300" s="213"/>
      <c r="BN300" s="213"/>
      <c r="BO300" s="213"/>
      <c r="BP300" s="213"/>
      <c r="BQ300" s="213"/>
      <c r="BR300" s="326"/>
      <c r="BS300" s="213"/>
      <c r="BT300" s="213"/>
      <c r="BU300" s="213"/>
      <c r="BV300" s="213"/>
      <c r="BW300" s="213"/>
      <c r="BX300" s="213"/>
      <c r="BY300" s="213"/>
      <c r="BZ300" s="213"/>
      <c r="CA300" s="213"/>
      <c r="CB300" s="213"/>
      <c r="CC300" s="213"/>
      <c r="CD300" s="213"/>
      <c r="CE300" s="213"/>
      <c r="CF300" s="213"/>
      <c r="CG300" s="213"/>
      <c r="CH300" s="213"/>
      <c r="CI300" s="213"/>
      <c r="CJ300" s="213"/>
      <c r="CK300" s="213"/>
      <c r="CL300" s="213"/>
      <c r="CM300" s="213"/>
      <c r="CN300" s="213"/>
      <c r="CO300" s="213"/>
      <c r="CP300" s="213"/>
    </row>
    <row r="301" ht="15.75" customHeight="1">
      <c r="A301" s="213"/>
      <c r="B301" s="213"/>
      <c r="C301" s="213"/>
      <c r="D301" s="213"/>
      <c r="E301" s="213"/>
      <c r="F301" s="213"/>
      <c r="G301" s="213"/>
      <c r="H301" s="213"/>
      <c r="I301" s="213"/>
      <c r="J301" s="213"/>
      <c r="K301" s="213"/>
      <c r="L301" s="213"/>
      <c r="M301" s="213"/>
      <c r="N301" s="213"/>
      <c r="O301" s="213"/>
      <c r="P301" s="213"/>
      <c r="Q301" s="213"/>
      <c r="R301" s="213"/>
      <c r="S301" s="213"/>
      <c r="T301" s="213"/>
      <c r="U301" s="213"/>
      <c r="V301" s="213"/>
      <c r="W301" s="238"/>
      <c r="X301" s="213"/>
      <c r="Y301" s="213"/>
      <c r="Z301" s="213"/>
      <c r="AA301" s="213"/>
      <c r="AB301" s="213"/>
      <c r="AC301" s="213"/>
      <c r="AD301" s="213"/>
      <c r="AE301" s="213"/>
      <c r="AF301" s="213"/>
      <c r="AG301" s="213"/>
      <c r="AH301" s="213"/>
      <c r="AI301" s="213"/>
      <c r="AJ301" s="213"/>
      <c r="AK301" s="213"/>
      <c r="AL301" s="213"/>
      <c r="AM301" s="213"/>
      <c r="AN301" s="213"/>
      <c r="AO301" s="213"/>
      <c r="AP301" s="213"/>
      <c r="AQ301" s="213"/>
      <c r="AR301" s="213"/>
      <c r="AS301" s="213"/>
      <c r="AT301" s="213"/>
      <c r="AU301" s="213"/>
      <c r="AV301" s="213"/>
      <c r="AW301" s="213"/>
      <c r="AX301" s="213"/>
      <c r="AY301" s="213"/>
      <c r="AZ301" s="213"/>
      <c r="BA301" s="213"/>
      <c r="BB301" s="213"/>
      <c r="BC301" s="213"/>
      <c r="BD301" s="213"/>
      <c r="BE301" s="213"/>
      <c r="BF301" s="213"/>
      <c r="BG301" s="213"/>
      <c r="BH301" s="213"/>
      <c r="BI301" s="213"/>
      <c r="BJ301" s="213"/>
      <c r="BK301" s="213"/>
      <c r="BL301" s="213"/>
      <c r="BM301" s="213"/>
      <c r="BN301" s="213"/>
      <c r="BO301" s="213"/>
      <c r="BP301" s="213"/>
      <c r="BQ301" s="213"/>
      <c r="BR301" s="326"/>
      <c r="BS301" s="213"/>
      <c r="BT301" s="213"/>
      <c r="BU301" s="213"/>
      <c r="BV301" s="213"/>
      <c r="BW301" s="213"/>
      <c r="BX301" s="213"/>
      <c r="BY301" s="213"/>
      <c r="BZ301" s="213"/>
      <c r="CA301" s="213"/>
      <c r="CB301" s="213"/>
      <c r="CC301" s="213"/>
      <c r="CD301" s="213"/>
      <c r="CE301" s="213"/>
      <c r="CF301" s="213"/>
      <c r="CG301" s="213"/>
      <c r="CH301" s="213"/>
      <c r="CI301" s="213"/>
      <c r="CJ301" s="213"/>
      <c r="CK301" s="213"/>
      <c r="CL301" s="213"/>
      <c r="CM301" s="213"/>
      <c r="CN301" s="213"/>
      <c r="CO301" s="213"/>
      <c r="CP301" s="213"/>
    </row>
    <row r="302" ht="15.75" customHeight="1">
      <c r="A302" s="213"/>
      <c r="B302" s="213"/>
      <c r="C302" s="213"/>
      <c r="D302" s="213"/>
      <c r="E302" s="213"/>
      <c r="F302" s="213"/>
      <c r="G302" s="213"/>
      <c r="H302" s="213"/>
      <c r="I302" s="213"/>
      <c r="J302" s="213"/>
      <c r="K302" s="213"/>
      <c r="L302" s="213"/>
      <c r="M302" s="213"/>
      <c r="N302" s="213"/>
      <c r="O302" s="213"/>
      <c r="P302" s="213"/>
      <c r="Q302" s="213"/>
      <c r="R302" s="213"/>
      <c r="S302" s="213"/>
      <c r="T302" s="213"/>
      <c r="U302" s="213"/>
      <c r="V302" s="213"/>
      <c r="W302" s="238"/>
      <c r="X302" s="213"/>
      <c r="Y302" s="213"/>
      <c r="Z302" s="213"/>
      <c r="AA302" s="213"/>
      <c r="AB302" s="213"/>
      <c r="AC302" s="213"/>
      <c r="AD302" s="213"/>
      <c r="AE302" s="213"/>
      <c r="AF302" s="213"/>
      <c r="AG302" s="213"/>
      <c r="AH302" s="213"/>
      <c r="AI302" s="213"/>
      <c r="AJ302" s="213"/>
      <c r="AK302" s="213"/>
      <c r="AL302" s="213"/>
      <c r="AM302" s="213"/>
      <c r="AN302" s="213"/>
      <c r="AO302" s="213"/>
      <c r="AP302" s="213"/>
      <c r="AQ302" s="213"/>
      <c r="AR302" s="213"/>
      <c r="AS302" s="213"/>
      <c r="AT302" s="213"/>
      <c r="AU302" s="213"/>
      <c r="AV302" s="213"/>
      <c r="AW302" s="213"/>
      <c r="AX302" s="213"/>
      <c r="AY302" s="213"/>
      <c r="AZ302" s="213"/>
      <c r="BA302" s="213"/>
      <c r="BB302" s="213"/>
      <c r="BC302" s="213"/>
      <c r="BD302" s="213"/>
      <c r="BE302" s="213"/>
      <c r="BF302" s="213"/>
      <c r="BG302" s="213"/>
      <c r="BH302" s="213"/>
      <c r="BI302" s="213"/>
      <c r="BJ302" s="213"/>
      <c r="BK302" s="213"/>
      <c r="BL302" s="213"/>
      <c r="BM302" s="213"/>
      <c r="BN302" s="213"/>
      <c r="BO302" s="213"/>
      <c r="BP302" s="213"/>
      <c r="BQ302" s="213"/>
      <c r="BR302" s="326"/>
      <c r="BS302" s="213"/>
      <c r="BT302" s="213"/>
      <c r="BU302" s="213"/>
      <c r="BV302" s="213"/>
      <c r="BW302" s="213"/>
      <c r="BX302" s="213"/>
      <c r="BY302" s="213"/>
      <c r="BZ302" s="213"/>
      <c r="CA302" s="213"/>
      <c r="CB302" s="213"/>
      <c r="CC302" s="213"/>
      <c r="CD302" s="213"/>
      <c r="CE302" s="213"/>
      <c r="CF302" s="213"/>
      <c r="CG302" s="213"/>
      <c r="CH302" s="213"/>
      <c r="CI302" s="213"/>
      <c r="CJ302" s="213"/>
      <c r="CK302" s="213"/>
      <c r="CL302" s="213"/>
      <c r="CM302" s="213"/>
      <c r="CN302" s="213"/>
      <c r="CO302" s="213"/>
      <c r="CP302" s="213"/>
    </row>
    <row r="303" ht="15.75" customHeight="1">
      <c r="A303" s="213"/>
      <c r="B303" s="213"/>
      <c r="C303" s="213"/>
      <c r="D303" s="213"/>
      <c r="E303" s="213"/>
      <c r="F303" s="213"/>
      <c r="G303" s="213"/>
      <c r="H303" s="213"/>
      <c r="I303" s="213"/>
      <c r="J303" s="213"/>
      <c r="K303" s="213"/>
      <c r="L303" s="213"/>
      <c r="M303" s="213"/>
      <c r="N303" s="213"/>
      <c r="O303" s="213"/>
      <c r="P303" s="213"/>
      <c r="Q303" s="213"/>
      <c r="R303" s="213"/>
      <c r="S303" s="213"/>
      <c r="T303" s="213"/>
      <c r="U303" s="213"/>
      <c r="V303" s="213"/>
      <c r="W303" s="238"/>
      <c r="X303" s="213"/>
      <c r="Y303" s="213"/>
      <c r="Z303" s="213"/>
      <c r="AA303" s="213"/>
      <c r="AB303" s="213"/>
      <c r="AC303" s="213"/>
      <c r="AD303" s="213"/>
      <c r="AE303" s="213"/>
      <c r="AF303" s="213"/>
      <c r="AG303" s="213"/>
      <c r="AH303" s="213"/>
      <c r="AI303" s="213"/>
      <c r="AJ303" s="213"/>
      <c r="AK303" s="213"/>
      <c r="AL303" s="213"/>
      <c r="AM303" s="213"/>
      <c r="AN303" s="213"/>
      <c r="AO303" s="213"/>
      <c r="AP303" s="213"/>
      <c r="AQ303" s="213"/>
      <c r="AR303" s="213"/>
      <c r="AS303" s="213"/>
      <c r="AT303" s="213"/>
      <c r="AU303" s="213"/>
      <c r="AV303" s="213"/>
      <c r="AW303" s="213"/>
      <c r="AX303" s="213"/>
      <c r="AY303" s="213"/>
      <c r="AZ303" s="213"/>
      <c r="BA303" s="213"/>
      <c r="BB303" s="213"/>
      <c r="BC303" s="213"/>
      <c r="BD303" s="213"/>
      <c r="BE303" s="213"/>
      <c r="BF303" s="213"/>
      <c r="BG303" s="213"/>
      <c r="BH303" s="213"/>
      <c r="BI303" s="213"/>
      <c r="BJ303" s="213"/>
      <c r="BK303" s="213"/>
      <c r="BL303" s="213"/>
      <c r="BM303" s="213"/>
      <c r="BN303" s="213"/>
      <c r="BO303" s="213"/>
      <c r="BP303" s="213"/>
      <c r="BQ303" s="213"/>
      <c r="BR303" s="326"/>
      <c r="BS303" s="213"/>
      <c r="BT303" s="213"/>
      <c r="BU303" s="213"/>
      <c r="BV303" s="213"/>
      <c r="BW303" s="213"/>
      <c r="BX303" s="213"/>
      <c r="BY303" s="213"/>
      <c r="BZ303" s="213"/>
      <c r="CA303" s="213"/>
      <c r="CB303" s="213"/>
      <c r="CC303" s="213"/>
      <c r="CD303" s="213"/>
      <c r="CE303" s="213"/>
      <c r="CF303" s="213"/>
      <c r="CG303" s="213"/>
      <c r="CH303" s="213"/>
      <c r="CI303" s="213"/>
      <c r="CJ303" s="213"/>
      <c r="CK303" s="213"/>
      <c r="CL303" s="213"/>
      <c r="CM303" s="213"/>
      <c r="CN303" s="213"/>
      <c r="CO303" s="213"/>
      <c r="CP303" s="213"/>
    </row>
    <row r="304" ht="15.75" customHeight="1">
      <c r="A304" s="213"/>
      <c r="B304" s="213"/>
      <c r="C304" s="213"/>
      <c r="D304" s="213"/>
      <c r="E304" s="213"/>
      <c r="F304" s="213"/>
      <c r="G304" s="213"/>
      <c r="H304" s="213"/>
      <c r="I304" s="213"/>
      <c r="J304" s="213"/>
      <c r="K304" s="213"/>
      <c r="L304" s="213"/>
      <c r="M304" s="213"/>
      <c r="N304" s="213"/>
      <c r="O304" s="213"/>
      <c r="P304" s="213"/>
      <c r="Q304" s="213"/>
      <c r="R304" s="213"/>
      <c r="S304" s="213"/>
      <c r="T304" s="213"/>
      <c r="U304" s="213"/>
      <c r="V304" s="213"/>
      <c r="W304" s="238"/>
      <c r="X304" s="213"/>
      <c r="Y304" s="213"/>
      <c r="Z304" s="213"/>
      <c r="AA304" s="213"/>
      <c r="AB304" s="213"/>
      <c r="AC304" s="213"/>
      <c r="AD304" s="213"/>
      <c r="AE304" s="213"/>
      <c r="AF304" s="213"/>
      <c r="AG304" s="213"/>
      <c r="AH304" s="213"/>
      <c r="AI304" s="213"/>
      <c r="AJ304" s="213"/>
      <c r="AK304" s="213"/>
      <c r="AL304" s="213"/>
      <c r="AM304" s="213"/>
      <c r="AN304" s="213"/>
      <c r="AO304" s="213"/>
      <c r="AP304" s="213"/>
      <c r="AQ304" s="213"/>
      <c r="AR304" s="213"/>
      <c r="AS304" s="213"/>
      <c r="AT304" s="213"/>
      <c r="AU304" s="213"/>
      <c r="AV304" s="213"/>
      <c r="AW304" s="213"/>
      <c r="AX304" s="213"/>
      <c r="AY304" s="213"/>
      <c r="AZ304" s="213"/>
      <c r="BA304" s="213"/>
      <c r="BB304" s="213"/>
      <c r="BC304" s="213"/>
      <c r="BD304" s="213"/>
      <c r="BE304" s="213"/>
      <c r="BF304" s="213"/>
      <c r="BG304" s="213"/>
      <c r="BH304" s="213"/>
      <c r="BI304" s="213"/>
      <c r="BJ304" s="213"/>
      <c r="BK304" s="213"/>
      <c r="BL304" s="213"/>
      <c r="BM304" s="213"/>
      <c r="BN304" s="213"/>
      <c r="BO304" s="213"/>
      <c r="BP304" s="213"/>
      <c r="BQ304" s="213"/>
      <c r="BR304" s="326"/>
      <c r="BS304" s="213"/>
      <c r="BT304" s="213"/>
      <c r="BU304" s="213"/>
      <c r="BV304" s="213"/>
      <c r="BW304" s="213"/>
      <c r="BX304" s="213"/>
      <c r="BY304" s="213"/>
      <c r="BZ304" s="213"/>
      <c r="CA304" s="213"/>
      <c r="CB304" s="213"/>
      <c r="CC304" s="213"/>
      <c r="CD304" s="213"/>
      <c r="CE304" s="213"/>
      <c r="CF304" s="213"/>
      <c r="CG304" s="213"/>
      <c r="CH304" s="213"/>
      <c r="CI304" s="213"/>
      <c r="CJ304" s="213"/>
      <c r="CK304" s="213"/>
      <c r="CL304" s="213"/>
      <c r="CM304" s="213"/>
      <c r="CN304" s="213"/>
      <c r="CO304" s="213"/>
      <c r="CP304" s="213"/>
    </row>
    <row r="305" ht="15.75" customHeight="1">
      <c r="A305" s="213"/>
      <c r="B305" s="213"/>
      <c r="C305" s="213"/>
      <c r="D305" s="213"/>
      <c r="E305" s="213"/>
      <c r="F305" s="213"/>
      <c r="G305" s="213"/>
      <c r="H305" s="213"/>
      <c r="I305" s="213"/>
      <c r="J305" s="213"/>
      <c r="K305" s="213"/>
      <c r="L305" s="213"/>
      <c r="M305" s="213"/>
      <c r="N305" s="213"/>
      <c r="O305" s="213"/>
      <c r="P305" s="213"/>
      <c r="Q305" s="213"/>
      <c r="R305" s="213"/>
      <c r="S305" s="213"/>
      <c r="T305" s="213"/>
      <c r="U305" s="213"/>
      <c r="V305" s="213"/>
      <c r="W305" s="238"/>
      <c r="X305" s="213"/>
      <c r="Y305" s="213"/>
      <c r="Z305" s="213"/>
      <c r="AA305" s="213"/>
      <c r="AB305" s="213"/>
      <c r="AC305" s="213"/>
      <c r="AD305" s="213"/>
      <c r="AE305" s="213"/>
      <c r="AF305" s="213"/>
      <c r="AG305" s="213"/>
      <c r="AH305" s="213"/>
      <c r="AI305" s="213"/>
      <c r="AJ305" s="213"/>
      <c r="AK305" s="213"/>
      <c r="AL305" s="213"/>
      <c r="AM305" s="213"/>
      <c r="AN305" s="213"/>
      <c r="AO305" s="213"/>
      <c r="AP305" s="213"/>
      <c r="AQ305" s="213"/>
      <c r="AR305" s="213"/>
      <c r="AS305" s="213"/>
      <c r="AT305" s="213"/>
      <c r="AU305" s="213"/>
      <c r="AV305" s="213"/>
      <c r="AW305" s="213"/>
      <c r="AX305" s="213"/>
      <c r="AY305" s="213"/>
      <c r="AZ305" s="213"/>
      <c r="BA305" s="213"/>
      <c r="BB305" s="213"/>
      <c r="BC305" s="213"/>
      <c r="BD305" s="213"/>
      <c r="BE305" s="213"/>
      <c r="BF305" s="213"/>
      <c r="BG305" s="213"/>
      <c r="BH305" s="213"/>
      <c r="BI305" s="213"/>
      <c r="BJ305" s="213"/>
      <c r="BK305" s="213"/>
      <c r="BL305" s="213"/>
      <c r="BM305" s="213"/>
      <c r="BN305" s="213"/>
      <c r="BO305" s="213"/>
      <c r="BP305" s="213"/>
      <c r="BQ305" s="213"/>
      <c r="BR305" s="326"/>
      <c r="BS305" s="213"/>
      <c r="BT305" s="213"/>
      <c r="BU305" s="213"/>
      <c r="BV305" s="213"/>
      <c r="BW305" s="213"/>
      <c r="BX305" s="213"/>
      <c r="BY305" s="213"/>
      <c r="BZ305" s="213"/>
      <c r="CA305" s="213"/>
      <c r="CB305" s="213"/>
      <c r="CC305" s="213"/>
      <c r="CD305" s="213"/>
      <c r="CE305" s="213"/>
      <c r="CF305" s="213"/>
      <c r="CG305" s="213"/>
      <c r="CH305" s="213"/>
      <c r="CI305" s="213"/>
      <c r="CJ305" s="213"/>
      <c r="CK305" s="213"/>
      <c r="CL305" s="213"/>
      <c r="CM305" s="213"/>
      <c r="CN305" s="213"/>
      <c r="CO305" s="213"/>
      <c r="CP305" s="213"/>
    </row>
    <row r="306" ht="15.75" customHeight="1">
      <c r="A306" s="213"/>
      <c r="B306" s="213"/>
      <c r="C306" s="213"/>
      <c r="D306" s="213"/>
      <c r="E306" s="213"/>
      <c r="F306" s="213"/>
      <c r="G306" s="213"/>
      <c r="H306" s="213"/>
      <c r="I306" s="213"/>
      <c r="J306" s="213"/>
      <c r="K306" s="213"/>
      <c r="L306" s="213"/>
      <c r="M306" s="213"/>
      <c r="N306" s="213"/>
      <c r="O306" s="213"/>
      <c r="P306" s="213"/>
      <c r="Q306" s="213"/>
      <c r="R306" s="213"/>
      <c r="S306" s="213"/>
      <c r="T306" s="213"/>
      <c r="U306" s="213"/>
      <c r="V306" s="213"/>
      <c r="W306" s="238"/>
      <c r="X306" s="213"/>
      <c r="Y306" s="213"/>
      <c r="Z306" s="213"/>
      <c r="AA306" s="213"/>
      <c r="AB306" s="213"/>
      <c r="AC306" s="213"/>
      <c r="AD306" s="213"/>
      <c r="AE306" s="213"/>
      <c r="AF306" s="213"/>
      <c r="AG306" s="213"/>
      <c r="AH306" s="213"/>
      <c r="AI306" s="213"/>
      <c r="AJ306" s="213"/>
      <c r="AK306" s="213"/>
      <c r="AL306" s="213"/>
      <c r="AM306" s="213"/>
      <c r="AN306" s="213"/>
      <c r="AO306" s="213"/>
      <c r="AP306" s="213"/>
      <c r="AQ306" s="213"/>
      <c r="AR306" s="213"/>
      <c r="AS306" s="213"/>
      <c r="AT306" s="213"/>
      <c r="AU306" s="213"/>
      <c r="AV306" s="213"/>
      <c r="AW306" s="213"/>
      <c r="AX306" s="213"/>
      <c r="AY306" s="213"/>
      <c r="AZ306" s="213"/>
      <c r="BA306" s="213"/>
      <c r="BB306" s="213"/>
      <c r="BC306" s="213"/>
      <c r="BD306" s="213"/>
      <c r="BE306" s="213"/>
      <c r="BF306" s="213"/>
      <c r="BG306" s="213"/>
      <c r="BH306" s="213"/>
      <c r="BI306" s="213"/>
      <c r="BJ306" s="213"/>
      <c r="BK306" s="213"/>
      <c r="BL306" s="213"/>
      <c r="BM306" s="213"/>
      <c r="BN306" s="213"/>
      <c r="BO306" s="213"/>
      <c r="BP306" s="213"/>
      <c r="BQ306" s="213"/>
      <c r="BR306" s="326"/>
      <c r="BS306" s="213"/>
      <c r="BT306" s="213"/>
      <c r="BU306" s="213"/>
      <c r="BV306" s="213"/>
      <c r="BW306" s="213"/>
      <c r="BX306" s="213"/>
      <c r="BY306" s="213"/>
      <c r="BZ306" s="213"/>
      <c r="CA306" s="213"/>
      <c r="CB306" s="213"/>
      <c r="CC306" s="213"/>
      <c r="CD306" s="213"/>
      <c r="CE306" s="213"/>
      <c r="CF306" s="213"/>
      <c r="CG306" s="213"/>
      <c r="CH306" s="213"/>
      <c r="CI306" s="213"/>
      <c r="CJ306" s="213"/>
      <c r="CK306" s="213"/>
      <c r="CL306" s="213"/>
      <c r="CM306" s="213"/>
      <c r="CN306" s="213"/>
      <c r="CO306" s="213"/>
      <c r="CP306" s="213"/>
    </row>
    <row r="307" ht="15.75" customHeight="1">
      <c r="A307" s="213"/>
      <c r="B307" s="213"/>
      <c r="C307" s="213"/>
      <c r="D307" s="213"/>
      <c r="E307" s="213"/>
      <c r="F307" s="213"/>
      <c r="G307" s="213"/>
      <c r="H307" s="213"/>
      <c r="I307" s="213"/>
      <c r="J307" s="213"/>
      <c r="K307" s="213"/>
      <c r="L307" s="213"/>
      <c r="M307" s="213"/>
      <c r="N307" s="213"/>
      <c r="O307" s="213"/>
      <c r="P307" s="213"/>
      <c r="Q307" s="213"/>
      <c r="R307" s="213"/>
      <c r="S307" s="213"/>
      <c r="T307" s="213"/>
      <c r="U307" s="213"/>
      <c r="V307" s="213"/>
      <c r="W307" s="238"/>
      <c r="X307" s="213"/>
      <c r="Y307" s="213"/>
      <c r="Z307" s="213"/>
      <c r="AA307" s="213"/>
      <c r="AB307" s="213"/>
      <c r="AC307" s="213"/>
      <c r="AD307" s="213"/>
      <c r="AE307" s="213"/>
      <c r="AF307" s="213"/>
      <c r="AG307" s="213"/>
      <c r="AH307" s="213"/>
      <c r="AI307" s="213"/>
      <c r="AJ307" s="213"/>
      <c r="AK307" s="213"/>
      <c r="AL307" s="213"/>
      <c r="AM307" s="213"/>
      <c r="AN307" s="213"/>
      <c r="AO307" s="213"/>
      <c r="AP307" s="213"/>
      <c r="AQ307" s="213"/>
      <c r="AR307" s="213"/>
      <c r="AS307" s="213"/>
      <c r="AT307" s="213"/>
      <c r="AU307" s="213"/>
      <c r="AV307" s="213"/>
      <c r="AW307" s="213"/>
      <c r="AX307" s="213"/>
      <c r="AY307" s="213"/>
      <c r="AZ307" s="213"/>
      <c r="BA307" s="213"/>
      <c r="BB307" s="213"/>
      <c r="BC307" s="213"/>
      <c r="BD307" s="213"/>
      <c r="BE307" s="213"/>
      <c r="BF307" s="213"/>
      <c r="BG307" s="213"/>
      <c r="BH307" s="213"/>
      <c r="BI307" s="213"/>
      <c r="BJ307" s="213"/>
      <c r="BK307" s="213"/>
      <c r="BL307" s="213"/>
      <c r="BM307" s="213"/>
      <c r="BN307" s="213"/>
      <c r="BO307" s="213"/>
      <c r="BP307" s="213"/>
      <c r="BQ307" s="213"/>
      <c r="BR307" s="326"/>
      <c r="BS307" s="213"/>
      <c r="BT307" s="213"/>
      <c r="BU307" s="213"/>
      <c r="BV307" s="213"/>
      <c r="BW307" s="213"/>
      <c r="BX307" s="213"/>
      <c r="BY307" s="213"/>
      <c r="BZ307" s="213"/>
      <c r="CA307" s="213"/>
      <c r="CB307" s="213"/>
      <c r="CC307" s="213"/>
      <c r="CD307" s="213"/>
      <c r="CE307" s="213"/>
      <c r="CF307" s="213"/>
      <c r="CG307" s="213"/>
      <c r="CH307" s="213"/>
      <c r="CI307" s="213"/>
      <c r="CJ307" s="213"/>
      <c r="CK307" s="213"/>
      <c r="CL307" s="213"/>
      <c r="CM307" s="213"/>
      <c r="CN307" s="213"/>
      <c r="CO307" s="213"/>
      <c r="CP307" s="213"/>
    </row>
    <row r="308" ht="15.75" customHeight="1">
      <c r="A308" s="213"/>
      <c r="B308" s="213"/>
      <c r="C308" s="213"/>
      <c r="D308" s="213"/>
      <c r="E308" s="213"/>
      <c r="F308" s="213"/>
      <c r="G308" s="213"/>
      <c r="H308" s="213"/>
      <c r="I308" s="213"/>
      <c r="J308" s="213"/>
      <c r="K308" s="213"/>
      <c r="L308" s="213"/>
      <c r="M308" s="213"/>
      <c r="N308" s="213"/>
      <c r="O308" s="213"/>
      <c r="P308" s="213"/>
      <c r="Q308" s="213"/>
      <c r="R308" s="213"/>
      <c r="S308" s="213"/>
      <c r="T308" s="213"/>
      <c r="U308" s="213"/>
      <c r="V308" s="213"/>
      <c r="W308" s="238"/>
      <c r="X308" s="213"/>
      <c r="Y308" s="213"/>
      <c r="Z308" s="213"/>
      <c r="AA308" s="213"/>
      <c r="AB308" s="213"/>
      <c r="AC308" s="213"/>
      <c r="AD308" s="213"/>
      <c r="AE308" s="213"/>
      <c r="AF308" s="213"/>
      <c r="AG308" s="213"/>
      <c r="AH308" s="213"/>
      <c r="AI308" s="213"/>
      <c r="AJ308" s="213"/>
      <c r="AK308" s="213"/>
      <c r="AL308" s="213"/>
      <c r="AM308" s="213"/>
      <c r="AN308" s="213"/>
      <c r="AO308" s="213"/>
      <c r="AP308" s="213"/>
      <c r="AQ308" s="213"/>
      <c r="AR308" s="213"/>
      <c r="AS308" s="213"/>
      <c r="AT308" s="213"/>
      <c r="AU308" s="213"/>
      <c r="AV308" s="213"/>
      <c r="AW308" s="213"/>
      <c r="AX308" s="213"/>
      <c r="AY308" s="213"/>
      <c r="AZ308" s="213"/>
      <c r="BA308" s="213"/>
      <c r="BB308" s="213"/>
      <c r="BC308" s="213"/>
      <c r="BD308" s="213"/>
      <c r="BE308" s="213"/>
      <c r="BF308" s="213"/>
      <c r="BG308" s="213"/>
      <c r="BH308" s="213"/>
      <c r="BI308" s="213"/>
      <c r="BJ308" s="213"/>
      <c r="BK308" s="213"/>
      <c r="BL308" s="213"/>
      <c r="BM308" s="213"/>
      <c r="BN308" s="213"/>
      <c r="BO308" s="213"/>
      <c r="BP308" s="213"/>
      <c r="BQ308" s="213"/>
      <c r="BR308" s="326"/>
      <c r="BS308" s="213"/>
      <c r="BT308" s="213"/>
      <c r="BU308" s="213"/>
      <c r="BV308" s="213"/>
      <c r="BW308" s="213"/>
      <c r="BX308" s="213"/>
      <c r="BY308" s="213"/>
      <c r="BZ308" s="213"/>
      <c r="CA308" s="213"/>
      <c r="CB308" s="213"/>
      <c r="CC308" s="213"/>
      <c r="CD308" s="213"/>
      <c r="CE308" s="213"/>
      <c r="CF308" s="213"/>
      <c r="CG308" s="213"/>
      <c r="CH308" s="213"/>
      <c r="CI308" s="213"/>
      <c r="CJ308" s="213"/>
      <c r="CK308" s="213"/>
      <c r="CL308" s="213"/>
      <c r="CM308" s="213"/>
      <c r="CN308" s="213"/>
      <c r="CO308" s="213"/>
      <c r="CP308" s="213"/>
    </row>
    <row r="309" ht="15.75" customHeight="1">
      <c r="A309" s="213"/>
      <c r="B309" s="213"/>
      <c r="C309" s="213"/>
      <c r="D309" s="213"/>
      <c r="E309" s="213"/>
      <c r="F309" s="213"/>
      <c r="G309" s="213"/>
      <c r="H309" s="213"/>
      <c r="I309" s="213"/>
      <c r="J309" s="213"/>
      <c r="K309" s="213"/>
      <c r="L309" s="213"/>
      <c r="M309" s="213"/>
      <c r="N309" s="213"/>
      <c r="O309" s="213"/>
      <c r="P309" s="213"/>
      <c r="Q309" s="213"/>
      <c r="R309" s="213"/>
      <c r="S309" s="213"/>
      <c r="T309" s="213"/>
      <c r="U309" s="213"/>
      <c r="V309" s="213"/>
      <c r="W309" s="238"/>
      <c r="X309" s="213"/>
      <c r="Y309" s="213"/>
      <c r="Z309" s="213"/>
      <c r="AA309" s="213"/>
      <c r="AB309" s="213"/>
      <c r="AC309" s="213"/>
      <c r="AD309" s="213"/>
      <c r="AE309" s="213"/>
      <c r="AF309" s="213"/>
      <c r="AG309" s="213"/>
      <c r="AH309" s="213"/>
      <c r="AI309" s="213"/>
      <c r="AJ309" s="213"/>
      <c r="AK309" s="213"/>
      <c r="AL309" s="213"/>
      <c r="AM309" s="213"/>
      <c r="AN309" s="213"/>
      <c r="AO309" s="213"/>
      <c r="AP309" s="213"/>
      <c r="AQ309" s="213"/>
      <c r="AR309" s="213"/>
      <c r="AS309" s="213"/>
      <c r="AT309" s="213"/>
      <c r="AU309" s="213"/>
      <c r="AV309" s="213"/>
      <c r="AW309" s="213"/>
      <c r="AX309" s="213"/>
      <c r="AY309" s="213"/>
      <c r="AZ309" s="213"/>
      <c r="BA309" s="213"/>
      <c r="BB309" s="213"/>
      <c r="BC309" s="213"/>
      <c r="BD309" s="213"/>
      <c r="BE309" s="213"/>
      <c r="BF309" s="213"/>
      <c r="BG309" s="213"/>
      <c r="BH309" s="213"/>
      <c r="BI309" s="213"/>
      <c r="BJ309" s="213"/>
      <c r="BK309" s="213"/>
      <c r="BL309" s="213"/>
      <c r="BM309" s="213"/>
      <c r="BN309" s="213"/>
      <c r="BO309" s="213"/>
      <c r="BP309" s="213"/>
      <c r="BQ309" s="213"/>
      <c r="BR309" s="326"/>
      <c r="BS309" s="213"/>
      <c r="BT309" s="213"/>
      <c r="BU309" s="213"/>
      <c r="BV309" s="213"/>
      <c r="BW309" s="213"/>
      <c r="BX309" s="213"/>
      <c r="BY309" s="213"/>
      <c r="BZ309" s="213"/>
      <c r="CA309" s="213"/>
      <c r="CB309" s="213"/>
      <c r="CC309" s="213"/>
      <c r="CD309" s="213"/>
      <c r="CE309" s="213"/>
      <c r="CF309" s="213"/>
      <c r="CG309" s="213"/>
      <c r="CH309" s="213"/>
      <c r="CI309" s="213"/>
      <c r="CJ309" s="213"/>
      <c r="CK309" s="213"/>
      <c r="CL309" s="213"/>
      <c r="CM309" s="213"/>
      <c r="CN309" s="213"/>
      <c r="CO309" s="213"/>
      <c r="CP309" s="213"/>
    </row>
    <row r="310" ht="15.75" customHeight="1">
      <c r="A310" s="213"/>
      <c r="B310" s="213"/>
      <c r="C310" s="213"/>
      <c r="D310" s="213"/>
      <c r="E310" s="213"/>
      <c r="F310" s="213"/>
      <c r="G310" s="213"/>
      <c r="H310" s="213"/>
      <c r="I310" s="213"/>
      <c r="J310" s="213"/>
      <c r="K310" s="213"/>
      <c r="L310" s="213"/>
      <c r="M310" s="213"/>
      <c r="N310" s="213"/>
      <c r="O310" s="213"/>
      <c r="P310" s="213"/>
      <c r="Q310" s="213"/>
      <c r="R310" s="213"/>
      <c r="S310" s="213"/>
      <c r="T310" s="213"/>
      <c r="U310" s="213"/>
      <c r="V310" s="213"/>
      <c r="W310" s="238"/>
      <c r="X310" s="213"/>
      <c r="Y310" s="213"/>
      <c r="Z310" s="213"/>
      <c r="AA310" s="213"/>
      <c r="AB310" s="213"/>
      <c r="AC310" s="213"/>
      <c r="AD310" s="213"/>
      <c r="AE310" s="213"/>
      <c r="AF310" s="213"/>
      <c r="AG310" s="213"/>
      <c r="AH310" s="213"/>
      <c r="AI310" s="213"/>
      <c r="AJ310" s="213"/>
      <c r="AK310" s="213"/>
      <c r="AL310" s="213"/>
      <c r="AM310" s="213"/>
      <c r="AN310" s="213"/>
      <c r="AO310" s="213"/>
      <c r="AP310" s="213"/>
      <c r="AQ310" s="213"/>
      <c r="AR310" s="213"/>
      <c r="AS310" s="213"/>
      <c r="AT310" s="213"/>
      <c r="AU310" s="213"/>
      <c r="AV310" s="213"/>
      <c r="AW310" s="213"/>
      <c r="AX310" s="213"/>
      <c r="AY310" s="213"/>
      <c r="AZ310" s="213"/>
      <c r="BA310" s="213"/>
      <c r="BB310" s="213"/>
      <c r="BC310" s="213"/>
      <c r="BD310" s="213"/>
      <c r="BE310" s="213"/>
      <c r="BF310" s="213"/>
      <c r="BG310" s="213"/>
      <c r="BH310" s="213"/>
      <c r="BI310" s="213"/>
      <c r="BJ310" s="213"/>
      <c r="BK310" s="213"/>
      <c r="BL310" s="213"/>
      <c r="BM310" s="213"/>
      <c r="BN310" s="213"/>
      <c r="BO310" s="213"/>
      <c r="BP310" s="213"/>
      <c r="BQ310" s="213"/>
      <c r="BR310" s="326"/>
      <c r="BS310" s="213"/>
      <c r="BT310" s="213"/>
      <c r="BU310" s="213"/>
      <c r="BV310" s="213"/>
      <c r="BW310" s="213"/>
      <c r="BX310" s="213"/>
      <c r="BY310" s="213"/>
      <c r="BZ310" s="213"/>
      <c r="CA310" s="213"/>
      <c r="CB310" s="213"/>
      <c r="CC310" s="213"/>
      <c r="CD310" s="213"/>
      <c r="CE310" s="213"/>
      <c r="CF310" s="213"/>
      <c r="CG310" s="213"/>
      <c r="CH310" s="213"/>
      <c r="CI310" s="213"/>
      <c r="CJ310" s="213"/>
      <c r="CK310" s="213"/>
      <c r="CL310" s="213"/>
      <c r="CM310" s="213"/>
      <c r="CN310" s="213"/>
      <c r="CO310" s="213"/>
      <c r="CP310" s="213"/>
    </row>
    <row r="311" ht="15.75" customHeight="1">
      <c r="A311" s="213"/>
      <c r="B311" s="213"/>
      <c r="C311" s="213"/>
      <c r="D311" s="213"/>
      <c r="E311" s="213"/>
      <c r="F311" s="213"/>
      <c r="G311" s="213"/>
      <c r="H311" s="213"/>
      <c r="I311" s="213"/>
      <c r="J311" s="213"/>
      <c r="K311" s="213"/>
      <c r="L311" s="213"/>
      <c r="M311" s="213"/>
      <c r="N311" s="213"/>
      <c r="O311" s="213"/>
      <c r="P311" s="213"/>
      <c r="Q311" s="213"/>
      <c r="R311" s="213"/>
      <c r="S311" s="213"/>
      <c r="T311" s="213"/>
      <c r="U311" s="213"/>
      <c r="V311" s="213"/>
      <c r="W311" s="238"/>
      <c r="X311" s="213"/>
      <c r="Y311" s="213"/>
      <c r="Z311" s="213"/>
      <c r="AA311" s="213"/>
      <c r="AB311" s="213"/>
      <c r="AC311" s="213"/>
      <c r="AD311" s="213"/>
      <c r="AE311" s="213"/>
      <c r="AF311" s="213"/>
      <c r="AG311" s="213"/>
      <c r="AH311" s="213"/>
      <c r="AI311" s="213"/>
      <c r="AJ311" s="213"/>
      <c r="AK311" s="213"/>
      <c r="AL311" s="213"/>
      <c r="AM311" s="213"/>
      <c r="AN311" s="213"/>
      <c r="AO311" s="213"/>
      <c r="AP311" s="213"/>
      <c r="AQ311" s="213"/>
      <c r="AR311" s="213"/>
      <c r="AS311" s="213"/>
      <c r="AT311" s="213"/>
      <c r="AU311" s="213"/>
      <c r="AV311" s="213"/>
      <c r="AW311" s="213"/>
      <c r="AX311" s="213"/>
      <c r="AY311" s="213"/>
      <c r="AZ311" s="213"/>
      <c r="BA311" s="213"/>
      <c r="BB311" s="213"/>
      <c r="BC311" s="213"/>
      <c r="BD311" s="213"/>
      <c r="BE311" s="213"/>
      <c r="BF311" s="213"/>
      <c r="BG311" s="213"/>
      <c r="BH311" s="213"/>
      <c r="BI311" s="213"/>
      <c r="BJ311" s="213"/>
      <c r="BK311" s="213"/>
      <c r="BL311" s="213"/>
      <c r="BM311" s="213"/>
      <c r="BN311" s="213"/>
      <c r="BO311" s="213"/>
      <c r="BP311" s="213"/>
      <c r="BQ311" s="213"/>
      <c r="BR311" s="326"/>
      <c r="BS311" s="213"/>
      <c r="BT311" s="213"/>
      <c r="BU311" s="213"/>
      <c r="BV311" s="213"/>
      <c r="BW311" s="213"/>
      <c r="BX311" s="213"/>
      <c r="BY311" s="213"/>
      <c r="BZ311" s="213"/>
      <c r="CA311" s="213"/>
      <c r="CB311" s="213"/>
      <c r="CC311" s="213"/>
      <c r="CD311" s="213"/>
      <c r="CE311" s="213"/>
      <c r="CF311" s="213"/>
      <c r="CG311" s="213"/>
      <c r="CH311" s="213"/>
      <c r="CI311" s="213"/>
      <c r="CJ311" s="213"/>
      <c r="CK311" s="213"/>
      <c r="CL311" s="213"/>
      <c r="CM311" s="213"/>
      <c r="CN311" s="213"/>
      <c r="CO311" s="213"/>
      <c r="CP311" s="213"/>
    </row>
    <row r="312" ht="15.75" customHeight="1">
      <c r="A312" s="213"/>
      <c r="B312" s="213"/>
      <c r="C312" s="213"/>
      <c r="D312" s="213"/>
      <c r="E312" s="213"/>
      <c r="F312" s="213"/>
      <c r="G312" s="213"/>
      <c r="H312" s="213"/>
      <c r="I312" s="213"/>
      <c r="J312" s="213"/>
      <c r="K312" s="213"/>
      <c r="L312" s="213"/>
      <c r="M312" s="213"/>
      <c r="N312" s="213"/>
      <c r="O312" s="213"/>
      <c r="P312" s="213"/>
      <c r="Q312" s="213"/>
      <c r="R312" s="213"/>
      <c r="S312" s="213"/>
      <c r="T312" s="213"/>
      <c r="U312" s="213"/>
      <c r="V312" s="213"/>
      <c r="W312" s="238"/>
      <c r="X312" s="213"/>
      <c r="Y312" s="213"/>
      <c r="Z312" s="213"/>
      <c r="AA312" s="213"/>
      <c r="AB312" s="213"/>
      <c r="AC312" s="213"/>
      <c r="AD312" s="213"/>
      <c r="AE312" s="213"/>
      <c r="AF312" s="213"/>
      <c r="AG312" s="213"/>
      <c r="AH312" s="213"/>
      <c r="AI312" s="213"/>
      <c r="AJ312" s="213"/>
      <c r="AK312" s="213"/>
      <c r="AL312" s="213"/>
      <c r="AM312" s="213"/>
      <c r="AN312" s="213"/>
      <c r="AO312" s="213"/>
      <c r="AP312" s="213"/>
      <c r="AQ312" s="213"/>
      <c r="AR312" s="213"/>
      <c r="AS312" s="213"/>
      <c r="AT312" s="213"/>
      <c r="AU312" s="213"/>
      <c r="AV312" s="213"/>
      <c r="AW312" s="213"/>
      <c r="AX312" s="213"/>
      <c r="AY312" s="213"/>
      <c r="AZ312" s="213"/>
      <c r="BA312" s="213"/>
      <c r="BB312" s="213"/>
      <c r="BC312" s="213"/>
      <c r="BD312" s="213"/>
      <c r="BE312" s="213"/>
      <c r="BF312" s="213"/>
      <c r="BG312" s="213"/>
      <c r="BH312" s="213"/>
      <c r="BI312" s="213"/>
      <c r="BJ312" s="213"/>
      <c r="BK312" s="213"/>
      <c r="BL312" s="213"/>
      <c r="BM312" s="213"/>
      <c r="BN312" s="213"/>
      <c r="BO312" s="213"/>
      <c r="BP312" s="213"/>
      <c r="BQ312" s="213"/>
      <c r="BR312" s="326"/>
      <c r="BS312" s="213"/>
      <c r="BT312" s="213"/>
      <c r="BU312" s="213"/>
      <c r="BV312" s="213"/>
      <c r="BW312" s="213"/>
      <c r="BX312" s="213"/>
      <c r="BY312" s="213"/>
      <c r="BZ312" s="213"/>
      <c r="CA312" s="213"/>
      <c r="CB312" s="213"/>
      <c r="CC312" s="213"/>
      <c r="CD312" s="213"/>
      <c r="CE312" s="213"/>
      <c r="CF312" s="213"/>
      <c r="CG312" s="213"/>
      <c r="CH312" s="213"/>
      <c r="CI312" s="213"/>
      <c r="CJ312" s="213"/>
      <c r="CK312" s="213"/>
      <c r="CL312" s="213"/>
      <c r="CM312" s="213"/>
      <c r="CN312" s="213"/>
      <c r="CO312" s="213"/>
      <c r="CP312" s="213"/>
    </row>
    <row r="313" ht="15.75" customHeight="1">
      <c r="A313" s="213"/>
      <c r="B313" s="213"/>
      <c r="C313" s="213"/>
      <c r="D313" s="213"/>
      <c r="E313" s="213"/>
      <c r="F313" s="213"/>
      <c r="G313" s="213"/>
      <c r="H313" s="213"/>
      <c r="I313" s="213"/>
      <c r="J313" s="213"/>
      <c r="K313" s="213"/>
      <c r="L313" s="213"/>
      <c r="M313" s="213"/>
      <c r="N313" s="213"/>
      <c r="O313" s="213"/>
      <c r="P313" s="213"/>
      <c r="Q313" s="213"/>
      <c r="R313" s="213"/>
      <c r="S313" s="213"/>
      <c r="T313" s="213"/>
      <c r="U313" s="213"/>
      <c r="V313" s="213"/>
      <c r="W313" s="238"/>
      <c r="X313" s="213"/>
      <c r="Y313" s="213"/>
      <c r="Z313" s="213"/>
      <c r="AA313" s="213"/>
      <c r="AB313" s="213"/>
      <c r="AC313" s="213"/>
      <c r="AD313" s="213"/>
      <c r="AE313" s="213"/>
      <c r="AF313" s="213"/>
      <c r="AG313" s="213"/>
      <c r="AH313" s="213"/>
      <c r="AI313" s="213"/>
      <c r="AJ313" s="213"/>
      <c r="AK313" s="213"/>
      <c r="AL313" s="213"/>
      <c r="AM313" s="213"/>
      <c r="AN313" s="213"/>
      <c r="AO313" s="213"/>
      <c r="AP313" s="213"/>
      <c r="AQ313" s="213"/>
      <c r="AR313" s="213"/>
      <c r="AS313" s="213"/>
      <c r="AT313" s="213"/>
      <c r="AU313" s="213"/>
      <c r="AV313" s="213"/>
      <c r="AW313" s="213"/>
      <c r="AX313" s="213"/>
      <c r="AY313" s="213"/>
      <c r="AZ313" s="213"/>
      <c r="BA313" s="213"/>
      <c r="BB313" s="213"/>
      <c r="BC313" s="213"/>
      <c r="BD313" s="213"/>
      <c r="BE313" s="213"/>
      <c r="BF313" s="213"/>
      <c r="BG313" s="213"/>
      <c r="BH313" s="213"/>
      <c r="BI313" s="213"/>
      <c r="BJ313" s="213"/>
      <c r="BK313" s="213"/>
      <c r="BL313" s="213"/>
      <c r="BM313" s="213"/>
      <c r="BN313" s="213"/>
      <c r="BO313" s="213"/>
      <c r="BP313" s="213"/>
      <c r="BQ313" s="213"/>
      <c r="BR313" s="326"/>
      <c r="BS313" s="213"/>
      <c r="BT313" s="213"/>
      <c r="BU313" s="213"/>
      <c r="BV313" s="213"/>
      <c r="BW313" s="213"/>
      <c r="BX313" s="213"/>
      <c r="BY313" s="213"/>
      <c r="BZ313" s="213"/>
      <c r="CA313" s="213"/>
      <c r="CB313" s="213"/>
      <c r="CC313" s="213"/>
      <c r="CD313" s="213"/>
      <c r="CE313" s="213"/>
      <c r="CF313" s="213"/>
      <c r="CG313" s="213"/>
      <c r="CH313" s="213"/>
      <c r="CI313" s="213"/>
      <c r="CJ313" s="213"/>
      <c r="CK313" s="213"/>
      <c r="CL313" s="213"/>
      <c r="CM313" s="213"/>
      <c r="CN313" s="213"/>
      <c r="CO313" s="213"/>
      <c r="CP313" s="213"/>
    </row>
    <row r="314" ht="15.75" customHeight="1">
      <c r="A314" s="213"/>
      <c r="B314" s="213"/>
      <c r="C314" s="213"/>
      <c r="D314" s="213"/>
      <c r="E314" s="213"/>
      <c r="F314" s="213"/>
      <c r="G314" s="213"/>
      <c r="H314" s="213"/>
      <c r="I314" s="213"/>
      <c r="J314" s="213"/>
      <c r="K314" s="213"/>
      <c r="L314" s="213"/>
      <c r="M314" s="213"/>
      <c r="N314" s="213"/>
      <c r="O314" s="213"/>
      <c r="P314" s="213"/>
      <c r="Q314" s="213"/>
      <c r="R314" s="213"/>
      <c r="S314" s="213"/>
      <c r="T314" s="213"/>
      <c r="U314" s="213"/>
      <c r="V314" s="213"/>
      <c r="W314" s="238"/>
      <c r="X314" s="213"/>
      <c r="Y314" s="213"/>
      <c r="Z314" s="213"/>
      <c r="AA314" s="213"/>
      <c r="AB314" s="213"/>
      <c r="AC314" s="213"/>
      <c r="AD314" s="213"/>
      <c r="AE314" s="213"/>
      <c r="AF314" s="213"/>
      <c r="AG314" s="213"/>
      <c r="AH314" s="213"/>
      <c r="AI314" s="213"/>
      <c r="AJ314" s="213"/>
      <c r="AK314" s="213"/>
      <c r="AL314" s="213"/>
      <c r="AM314" s="213"/>
      <c r="AN314" s="213"/>
      <c r="AO314" s="213"/>
      <c r="AP314" s="213"/>
      <c r="AQ314" s="213"/>
      <c r="AR314" s="213"/>
      <c r="AS314" s="213"/>
      <c r="AT314" s="213"/>
      <c r="AU314" s="213"/>
      <c r="AV314" s="213"/>
      <c r="AW314" s="213"/>
      <c r="AX314" s="213"/>
      <c r="AY314" s="213"/>
      <c r="AZ314" s="213"/>
      <c r="BA314" s="213"/>
      <c r="BB314" s="213"/>
      <c r="BC314" s="213"/>
      <c r="BD314" s="213"/>
      <c r="BE314" s="213"/>
      <c r="BF314" s="213"/>
      <c r="BG314" s="213"/>
      <c r="BH314" s="213"/>
      <c r="BI314" s="213"/>
      <c r="BJ314" s="213"/>
      <c r="BK314" s="213"/>
      <c r="BL314" s="213"/>
      <c r="BM314" s="213"/>
      <c r="BN314" s="213"/>
      <c r="BO314" s="213"/>
      <c r="BP314" s="213"/>
      <c r="BQ314" s="213"/>
      <c r="BR314" s="326"/>
      <c r="BS314" s="213"/>
      <c r="BT314" s="213"/>
      <c r="BU314" s="213"/>
      <c r="BV314" s="213"/>
      <c r="BW314" s="213"/>
      <c r="BX314" s="213"/>
      <c r="BY314" s="213"/>
      <c r="BZ314" s="213"/>
      <c r="CA314" s="213"/>
      <c r="CB314" s="213"/>
      <c r="CC314" s="213"/>
      <c r="CD314" s="213"/>
      <c r="CE314" s="213"/>
      <c r="CF314" s="213"/>
      <c r="CG314" s="213"/>
      <c r="CH314" s="213"/>
      <c r="CI314" s="213"/>
      <c r="CJ314" s="213"/>
      <c r="CK314" s="213"/>
      <c r="CL314" s="213"/>
      <c r="CM314" s="213"/>
      <c r="CN314" s="213"/>
      <c r="CO314" s="213"/>
      <c r="CP314" s="213"/>
    </row>
    <row r="315" ht="15.75" customHeight="1">
      <c r="A315" s="213"/>
      <c r="B315" s="213"/>
      <c r="C315" s="213"/>
      <c r="D315" s="213"/>
      <c r="E315" s="213"/>
      <c r="F315" s="213"/>
      <c r="G315" s="213"/>
      <c r="H315" s="213"/>
      <c r="I315" s="213"/>
      <c r="J315" s="213"/>
      <c r="K315" s="213"/>
      <c r="L315" s="213"/>
      <c r="M315" s="213"/>
      <c r="N315" s="213"/>
      <c r="O315" s="213"/>
      <c r="P315" s="213"/>
      <c r="Q315" s="213"/>
      <c r="R315" s="213"/>
      <c r="S315" s="213"/>
      <c r="T315" s="213"/>
      <c r="U315" s="213"/>
      <c r="V315" s="213"/>
      <c r="W315" s="238"/>
      <c r="X315" s="213"/>
      <c r="Y315" s="213"/>
      <c r="Z315" s="213"/>
      <c r="AA315" s="213"/>
      <c r="AB315" s="213"/>
      <c r="AC315" s="213"/>
      <c r="AD315" s="213"/>
      <c r="AE315" s="213"/>
      <c r="AF315" s="213"/>
      <c r="AG315" s="213"/>
      <c r="AH315" s="213"/>
      <c r="AI315" s="213"/>
      <c r="AJ315" s="213"/>
      <c r="AK315" s="213"/>
      <c r="AL315" s="213"/>
      <c r="AM315" s="213"/>
      <c r="AN315" s="213"/>
      <c r="AO315" s="213"/>
      <c r="AP315" s="213"/>
      <c r="AQ315" s="213"/>
      <c r="AR315" s="213"/>
      <c r="AS315" s="213"/>
      <c r="AT315" s="213"/>
      <c r="AU315" s="213"/>
      <c r="AV315" s="213"/>
      <c r="AW315" s="213"/>
      <c r="AX315" s="213"/>
      <c r="AY315" s="213"/>
      <c r="AZ315" s="213"/>
      <c r="BA315" s="213"/>
      <c r="BB315" s="213"/>
      <c r="BC315" s="213"/>
      <c r="BD315" s="213"/>
      <c r="BE315" s="213"/>
      <c r="BF315" s="213"/>
      <c r="BG315" s="213"/>
      <c r="BH315" s="213"/>
      <c r="BI315" s="213"/>
      <c r="BJ315" s="213"/>
      <c r="BK315" s="213"/>
      <c r="BL315" s="213"/>
      <c r="BM315" s="213"/>
      <c r="BN315" s="213"/>
      <c r="BO315" s="213"/>
      <c r="BP315" s="213"/>
      <c r="BQ315" s="213"/>
      <c r="BR315" s="326"/>
      <c r="BS315" s="213"/>
      <c r="BT315" s="213"/>
      <c r="BU315" s="213"/>
      <c r="BV315" s="213"/>
      <c r="BW315" s="213"/>
      <c r="BX315" s="213"/>
      <c r="BY315" s="213"/>
      <c r="BZ315" s="213"/>
      <c r="CA315" s="213"/>
      <c r="CB315" s="213"/>
      <c r="CC315" s="213"/>
      <c r="CD315" s="213"/>
      <c r="CE315" s="213"/>
      <c r="CF315" s="213"/>
      <c r="CG315" s="213"/>
      <c r="CH315" s="213"/>
      <c r="CI315" s="213"/>
      <c r="CJ315" s="213"/>
      <c r="CK315" s="213"/>
      <c r="CL315" s="213"/>
      <c r="CM315" s="213"/>
      <c r="CN315" s="213"/>
      <c r="CO315" s="213"/>
      <c r="CP315" s="213"/>
    </row>
    <row r="316" ht="15.75" customHeight="1">
      <c r="A316" s="213"/>
      <c r="B316" s="213"/>
      <c r="C316" s="213"/>
      <c r="D316" s="213"/>
      <c r="E316" s="213"/>
      <c r="F316" s="213"/>
      <c r="G316" s="213"/>
      <c r="H316" s="213"/>
      <c r="I316" s="213"/>
      <c r="J316" s="213"/>
      <c r="K316" s="213"/>
      <c r="L316" s="213"/>
      <c r="M316" s="213"/>
      <c r="N316" s="213"/>
      <c r="O316" s="213"/>
      <c r="P316" s="213"/>
      <c r="Q316" s="213"/>
      <c r="R316" s="213"/>
      <c r="S316" s="213"/>
      <c r="T316" s="213"/>
      <c r="U316" s="213"/>
      <c r="V316" s="213"/>
      <c r="W316" s="238"/>
      <c r="X316" s="213"/>
      <c r="Y316" s="213"/>
      <c r="Z316" s="213"/>
      <c r="AA316" s="213"/>
      <c r="AB316" s="213"/>
      <c r="AC316" s="213"/>
      <c r="AD316" s="213"/>
      <c r="AE316" s="213"/>
      <c r="AF316" s="213"/>
      <c r="AG316" s="213"/>
      <c r="AH316" s="213"/>
      <c r="AI316" s="213"/>
      <c r="AJ316" s="213"/>
      <c r="AK316" s="213"/>
      <c r="AL316" s="213"/>
      <c r="AM316" s="213"/>
      <c r="AN316" s="213"/>
      <c r="AO316" s="213"/>
      <c r="AP316" s="213"/>
      <c r="AQ316" s="213"/>
      <c r="AR316" s="213"/>
      <c r="AS316" s="213"/>
      <c r="AT316" s="213"/>
      <c r="AU316" s="213"/>
      <c r="AV316" s="213"/>
      <c r="AW316" s="213"/>
      <c r="AX316" s="213"/>
      <c r="AY316" s="213"/>
      <c r="AZ316" s="213"/>
      <c r="BA316" s="213"/>
      <c r="BB316" s="213"/>
      <c r="BC316" s="213"/>
      <c r="BD316" s="213"/>
      <c r="BE316" s="213"/>
      <c r="BF316" s="213"/>
      <c r="BG316" s="213"/>
      <c r="BH316" s="213"/>
      <c r="BI316" s="213"/>
      <c r="BJ316" s="213"/>
      <c r="BK316" s="213"/>
      <c r="BL316" s="213"/>
      <c r="BM316" s="213"/>
      <c r="BN316" s="213"/>
      <c r="BO316" s="213"/>
      <c r="BP316" s="213"/>
      <c r="BQ316" s="213"/>
      <c r="BR316" s="326"/>
      <c r="BS316" s="213"/>
      <c r="BT316" s="213"/>
      <c r="BU316" s="213"/>
      <c r="BV316" s="213"/>
      <c r="BW316" s="213"/>
      <c r="BX316" s="213"/>
      <c r="BY316" s="213"/>
      <c r="BZ316" s="213"/>
      <c r="CA316" s="213"/>
      <c r="CB316" s="213"/>
      <c r="CC316" s="213"/>
      <c r="CD316" s="213"/>
      <c r="CE316" s="213"/>
      <c r="CF316" s="213"/>
      <c r="CG316" s="213"/>
      <c r="CH316" s="213"/>
      <c r="CI316" s="213"/>
      <c r="CJ316" s="213"/>
      <c r="CK316" s="213"/>
      <c r="CL316" s="213"/>
      <c r="CM316" s="213"/>
      <c r="CN316" s="213"/>
      <c r="CO316" s="213"/>
      <c r="CP316" s="213"/>
    </row>
    <row r="317" ht="15.75" customHeight="1">
      <c r="A317" s="213"/>
      <c r="B317" s="213"/>
      <c r="C317" s="213"/>
      <c r="D317" s="213"/>
      <c r="E317" s="213"/>
      <c r="F317" s="213"/>
      <c r="G317" s="213"/>
      <c r="H317" s="213"/>
      <c r="I317" s="213"/>
      <c r="J317" s="213"/>
      <c r="K317" s="213"/>
      <c r="L317" s="213"/>
      <c r="M317" s="213"/>
      <c r="N317" s="213"/>
      <c r="O317" s="213"/>
      <c r="P317" s="213"/>
      <c r="Q317" s="213"/>
      <c r="R317" s="213"/>
      <c r="S317" s="213"/>
      <c r="T317" s="213"/>
      <c r="U317" s="213"/>
      <c r="V317" s="213"/>
      <c r="W317" s="238"/>
      <c r="X317" s="213"/>
      <c r="Y317" s="213"/>
      <c r="Z317" s="213"/>
      <c r="AA317" s="213"/>
      <c r="AB317" s="213"/>
      <c r="AC317" s="213"/>
      <c r="AD317" s="213"/>
      <c r="AE317" s="213"/>
      <c r="AF317" s="213"/>
      <c r="AG317" s="213"/>
      <c r="AH317" s="213"/>
      <c r="AI317" s="213"/>
      <c r="AJ317" s="213"/>
      <c r="AK317" s="213"/>
      <c r="AL317" s="213"/>
      <c r="AM317" s="213"/>
      <c r="AN317" s="213"/>
      <c r="AO317" s="213"/>
      <c r="AP317" s="213"/>
      <c r="AQ317" s="213"/>
      <c r="AR317" s="213"/>
      <c r="AS317" s="213"/>
      <c r="AT317" s="213"/>
      <c r="AU317" s="213"/>
      <c r="AV317" s="213"/>
      <c r="AW317" s="213"/>
      <c r="AX317" s="213"/>
      <c r="AY317" s="213"/>
      <c r="AZ317" s="213"/>
      <c r="BA317" s="213"/>
      <c r="BB317" s="213"/>
      <c r="BC317" s="213"/>
      <c r="BD317" s="213"/>
      <c r="BE317" s="213"/>
      <c r="BF317" s="213"/>
      <c r="BG317" s="213"/>
      <c r="BH317" s="213"/>
      <c r="BI317" s="213"/>
      <c r="BJ317" s="213"/>
      <c r="BK317" s="213"/>
      <c r="BL317" s="213"/>
      <c r="BM317" s="213"/>
      <c r="BN317" s="213"/>
      <c r="BO317" s="213"/>
      <c r="BP317" s="213"/>
      <c r="BQ317" s="213"/>
      <c r="BR317" s="326"/>
      <c r="BS317" s="213"/>
      <c r="BT317" s="213"/>
      <c r="BU317" s="213"/>
      <c r="BV317" s="213"/>
      <c r="BW317" s="213"/>
      <c r="BX317" s="213"/>
      <c r="BY317" s="213"/>
      <c r="BZ317" s="213"/>
      <c r="CA317" s="213"/>
      <c r="CB317" s="213"/>
      <c r="CC317" s="213"/>
      <c r="CD317" s="213"/>
      <c r="CE317" s="213"/>
      <c r="CF317" s="213"/>
      <c r="CG317" s="213"/>
      <c r="CH317" s="213"/>
      <c r="CI317" s="213"/>
      <c r="CJ317" s="213"/>
      <c r="CK317" s="213"/>
      <c r="CL317" s="213"/>
      <c r="CM317" s="213"/>
      <c r="CN317" s="213"/>
      <c r="CO317" s="213"/>
      <c r="CP317" s="213"/>
    </row>
    <row r="318" ht="15.75" customHeight="1">
      <c r="A318" s="213"/>
      <c r="B318" s="213"/>
      <c r="C318" s="213"/>
      <c r="D318" s="213"/>
      <c r="E318" s="213"/>
      <c r="F318" s="213"/>
      <c r="G318" s="213"/>
      <c r="H318" s="213"/>
      <c r="I318" s="213"/>
      <c r="J318" s="213"/>
      <c r="K318" s="213"/>
      <c r="L318" s="213"/>
      <c r="M318" s="213"/>
      <c r="N318" s="213"/>
      <c r="O318" s="213"/>
      <c r="P318" s="213"/>
      <c r="Q318" s="213"/>
      <c r="R318" s="213"/>
      <c r="S318" s="213"/>
      <c r="T318" s="213"/>
      <c r="U318" s="213"/>
      <c r="V318" s="213"/>
      <c r="W318" s="238"/>
      <c r="X318" s="213"/>
      <c r="Y318" s="213"/>
      <c r="Z318" s="213"/>
      <c r="AA318" s="213"/>
      <c r="AB318" s="213"/>
      <c r="AC318" s="213"/>
      <c r="AD318" s="213"/>
      <c r="AE318" s="213"/>
      <c r="AF318" s="213"/>
      <c r="AG318" s="213"/>
      <c r="AH318" s="213"/>
      <c r="AI318" s="213"/>
      <c r="AJ318" s="213"/>
      <c r="AK318" s="213"/>
      <c r="AL318" s="213"/>
      <c r="AM318" s="213"/>
      <c r="AN318" s="213"/>
      <c r="AO318" s="213"/>
      <c r="AP318" s="213"/>
      <c r="AQ318" s="213"/>
      <c r="AR318" s="213"/>
      <c r="AS318" s="213"/>
      <c r="AT318" s="213"/>
      <c r="AU318" s="213"/>
      <c r="AV318" s="213"/>
      <c r="AW318" s="213"/>
      <c r="AX318" s="213"/>
      <c r="AY318" s="213"/>
      <c r="AZ318" s="213"/>
      <c r="BA318" s="213"/>
      <c r="BB318" s="213"/>
      <c r="BC318" s="213"/>
      <c r="BD318" s="213"/>
      <c r="BE318" s="213"/>
      <c r="BF318" s="213"/>
      <c r="BG318" s="213"/>
      <c r="BH318" s="213"/>
      <c r="BI318" s="213"/>
      <c r="BJ318" s="213"/>
      <c r="BK318" s="213"/>
      <c r="BL318" s="213"/>
      <c r="BM318" s="213"/>
      <c r="BN318" s="213"/>
      <c r="BO318" s="213"/>
      <c r="BP318" s="213"/>
      <c r="BQ318" s="213"/>
      <c r="BR318" s="326"/>
      <c r="BS318" s="213"/>
      <c r="BT318" s="213"/>
      <c r="BU318" s="213"/>
      <c r="BV318" s="213"/>
      <c r="BW318" s="213"/>
      <c r="BX318" s="213"/>
      <c r="BY318" s="213"/>
      <c r="BZ318" s="213"/>
      <c r="CA318" s="213"/>
      <c r="CB318" s="213"/>
      <c r="CC318" s="213"/>
      <c r="CD318" s="213"/>
      <c r="CE318" s="213"/>
      <c r="CF318" s="213"/>
      <c r="CG318" s="213"/>
      <c r="CH318" s="213"/>
      <c r="CI318" s="213"/>
      <c r="CJ318" s="213"/>
      <c r="CK318" s="213"/>
      <c r="CL318" s="213"/>
      <c r="CM318" s="213"/>
      <c r="CN318" s="213"/>
      <c r="CO318" s="213"/>
      <c r="CP318" s="213"/>
    </row>
    <row r="319" ht="15.75" customHeight="1">
      <c r="A319" s="213"/>
      <c r="B319" s="213"/>
      <c r="C319" s="213"/>
      <c r="D319" s="213"/>
      <c r="E319" s="213"/>
      <c r="F319" s="213"/>
      <c r="G319" s="213"/>
      <c r="H319" s="213"/>
      <c r="I319" s="213"/>
      <c r="J319" s="213"/>
      <c r="K319" s="213"/>
      <c r="L319" s="213"/>
      <c r="M319" s="213"/>
      <c r="N319" s="213"/>
      <c r="O319" s="213"/>
      <c r="P319" s="213"/>
      <c r="Q319" s="213"/>
      <c r="R319" s="213"/>
      <c r="S319" s="213"/>
      <c r="T319" s="213"/>
      <c r="U319" s="213"/>
      <c r="V319" s="213"/>
      <c r="W319" s="238"/>
      <c r="X319" s="213"/>
      <c r="Y319" s="213"/>
      <c r="Z319" s="213"/>
      <c r="AA319" s="213"/>
      <c r="AB319" s="213"/>
      <c r="AC319" s="213"/>
      <c r="AD319" s="213"/>
      <c r="AE319" s="213"/>
      <c r="AF319" s="213"/>
      <c r="AG319" s="213"/>
      <c r="AH319" s="213"/>
      <c r="AI319" s="213"/>
      <c r="AJ319" s="213"/>
      <c r="AK319" s="213"/>
      <c r="AL319" s="213"/>
      <c r="AM319" s="213"/>
      <c r="AN319" s="213"/>
      <c r="AO319" s="213"/>
      <c r="AP319" s="213"/>
      <c r="AQ319" s="213"/>
      <c r="AR319" s="213"/>
      <c r="AS319" s="213"/>
      <c r="AT319" s="213"/>
      <c r="AU319" s="213"/>
      <c r="AV319" s="213"/>
      <c r="AW319" s="213"/>
      <c r="AX319" s="213"/>
      <c r="AY319" s="213"/>
      <c r="AZ319" s="213"/>
      <c r="BA319" s="213"/>
      <c r="BB319" s="213"/>
      <c r="BC319" s="213"/>
      <c r="BD319" s="213"/>
      <c r="BE319" s="213"/>
      <c r="BF319" s="213"/>
      <c r="BG319" s="213"/>
      <c r="BH319" s="213"/>
      <c r="BI319" s="213"/>
      <c r="BJ319" s="213"/>
      <c r="BK319" s="213"/>
      <c r="BL319" s="213"/>
      <c r="BM319" s="213"/>
      <c r="BN319" s="213"/>
      <c r="BO319" s="213"/>
      <c r="BP319" s="213"/>
      <c r="BQ319" s="213"/>
      <c r="BR319" s="326"/>
      <c r="BS319" s="213"/>
      <c r="BT319" s="213"/>
      <c r="BU319" s="213"/>
      <c r="BV319" s="213"/>
      <c r="BW319" s="213"/>
      <c r="BX319" s="213"/>
      <c r="BY319" s="213"/>
      <c r="BZ319" s="213"/>
      <c r="CA319" s="213"/>
      <c r="CB319" s="213"/>
      <c r="CC319" s="213"/>
      <c r="CD319" s="213"/>
      <c r="CE319" s="213"/>
      <c r="CF319" s="213"/>
      <c r="CG319" s="213"/>
      <c r="CH319" s="213"/>
      <c r="CI319" s="213"/>
      <c r="CJ319" s="213"/>
      <c r="CK319" s="213"/>
      <c r="CL319" s="213"/>
      <c r="CM319" s="213"/>
      <c r="CN319" s="213"/>
      <c r="CO319" s="213"/>
      <c r="CP319" s="213"/>
    </row>
    <row r="320" ht="15.75" customHeight="1">
      <c r="A320" s="213"/>
      <c r="B320" s="213"/>
      <c r="C320" s="213"/>
      <c r="D320" s="213"/>
      <c r="E320" s="213"/>
      <c r="F320" s="213"/>
      <c r="G320" s="213"/>
      <c r="H320" s="213"/>
      <c r="I320" s="213"/>
      <c r="J320" s="213"/>
      <c r="K320" s="213"/>
      <c r="L320" s="213"/>
      <c r="M320" s="213"/>
      <c r="N320" s="213"/>
      <c r="O320" s="213"/>
      <c r="P320" s="213"/>
      <c r="Q320" s="213"/>
      <c r="R320" s="213"/>
      <c r="S320" s="213"/>
      <c r="T320" s="213"/>
      <c r="U320" s="213"/>
      <c r="V320" s="213"/>
      <c r="W320" s="238"/>
      <c r="X320" s="213"/>
      <c r="Y320" s="213"/>
      <c r="Z320" s="213"/>
      <c r="AA320" s="213"/>
      <c r="AB320" s="213"/>
      <c r="AC320" s="213"/>
      <c r="AD320" s="213"/>
      <c r="AE320" s="213"/>
      <c r="AF320" s="213"/>
      <c r="AG320" s="213"/>
      <c r="AH320" s="213"/>
      <c r="AI320" s="213"/>
      <c r="AJ320" s="213"/>
      <c r="AK320" s="213"/>
      <c r="AL320" s="213"/>
      <c r="AM320" s="213"/>
      <c r="AN320" s="213"/>
      <c r="AO320" s="213"/>
      <c r="AP320" s="213"/>
      <c r="AQ320" s="213"/>
      <c r="AR320" s="213"/>
      <c r="AS320" s="213"/>
      <c r="AT320" s="213"/>
      <c r="AU320" s="213"/>
      <c r="AV320" s="213"/>
      <c r="AW320" s="213"/>
      <c r="AX320" s="213"/>
      <c r="AY320" s="213"/>
      <c r="AZ320" s="213"/>
      <c r="BA320" s="213"/>
      <c r="BB320" s="213"/>
      <c r="BC320" s="213"/>
      <c r="BD320" s="213"/>
      <c r="BE320" s="213"/>
      <c r="BF320" s="213"/>
      <c r="BG320" s="213"/>
      <c r="BH320" s="213"/>
      <c r="BI320" s="213"/>
      <c r="BJ320" s="213"/>
      <c r="BK320" s="213"/>
      <c r="BL320" s="213"/>
      <c r="BM320" s="213"/>
      <c r="BN320" s="213"/>
      <c r="BO320" s="213"/>
      <c r="BP320" s="213"/>
      <c r="BQ320" s="213"/>
      <c r="BR320" s="326"/>
      <c r="BS320" s="213"/>
      <c r="BT320" s="213"/>
      <c r="BU320" s="213"/>
      <c r="BV320" s="213"/>
      <c r="BW320" s="213"/>
      <c r="BX320" s="213"/>
      <c r="BY320" s="213"/>
      <c r="BZ320" s="213"/>
      <c r="CA320" s="213"/>
      <c r="CB320" s="213"/>
      <c r="CC320" s="213"/>
      <c r="CD320" s="213"/>
      <c r="CE320" s="213"/>
      <c r="CF320" s="213"/>
      <c r="CG320" s="213"/>
      <c r="CH320" s="213"/>
      <c r="CI320" s="213"/>
      <c r="CJ320" s="213"/>
      <c r="CK320" s="213"/>
      <c r="CL320" s="213"/>
      <c r="CM320" s="213"/>
      <c r="CN320" s="213"/>
      <c r="CO320" s="213"/>
      <c r="CP320" s="213"/>
    </row>
    <row r="321" ht="15.75" customHeight="1">
      <c r="A321" s="213"/>
      <c r="B321" s="213"/>
      <c r="C321" s="213"/>
      <c r="D321" s="213"/>
      <c r="E321" s="213"/>
      <c r="F321" s="213"/>
      <c r="G321" s="213"/>
      <c r="H321" s="213"/>
      <c r="I321" s="213"/>
      <c r="J321" s="213"/>
      <c r="K321" s="213"/>
      <c r="L321" s="213"/>
      <c r="M321" s="213"/>
      <c r="N321" s="213"/>
      <c r="O321" s="213"/>
      <c r="P321" s="213"/>
      <c r="Q321" s="213"/>
      <c r="R321" s="213"/>
      <c r="S321" s="213"/>
      <c r="T321" s="213"/>
      <c r="U321" s="213"/>
      <c r="V321" s="213"/>
      <c r="W321" s="238"/>
      <c r="X321" s="213"/>
      <c r="Y321" s="213"/>
      <c r="Z321" s="213"/>
      <c r="AA321" s="213"/>
      <c r="AB321" s="213"/>
      <c r="AC321" s="213"/>
      <c r="AD321" s="213"/>
      <c r="AE321" s="213"/>
      <c r="AF321" s="213"/>
      <c r="AG321" s="213"/>
      <c r="AH321" s="213"/>
      <c r="AI321" s="213"/>
      <c r="AJ321" s="213"/>
      <c r="AK321" s="213"/>
      <c r="AL321" s="213"/>
      <c r="AM321" s="213"/>
      <c r="AN321" s="213"/>
      <c r="AO321" s="213"/>
      <c r="AP321" s="213"/>
      <c r="AQ321" s="213"/>
      <c r="AR321" s="213"/>
      <c r="AS321" s="213"/>
      <c r="AT321" s="213"/>
      <c r="AU321" s="213"/>
      <c r="AV321" s="213"/>
      <c r="AW321" s="213"/>
      <c r="AX321" s="213"/>
      <c r="AY321" s="213"/>
      <c r="AZ321" s="213"/>
      <c r="BA321" s="213"/>
      <c r="BB321" s="213"/>
      <c r="BC321" s="213"/>
      <c r="BD321" s="213"/>
      <c r="BE321" s="213"/>
      <c r="BF321" s="213"/>
      <c r="BG321" s="213"/>
      <c r="BH321" s="213"/>
      <c r="BI321" s="213"/>
      <c r="BJ321" s="213"/>
      <c r="BK321" s="213"/>
      <c r="BL321" s="213"/>
      <c r="BM321" s="213"/>
      <c r="BN321" s="213"/>
      <c r="BO321" s="213"/>
      <c r="BP321" s="213"/>
      <c r="BQ321" s="213"/>
      <c r="BR321" s="326"/>
      <c r="BS321" s="213"/>
      <c r="BT321" s="213"/>
      <c r="BU321" s="213"/>
      <c r="BV321" s="213"/>
      <c r="BW321" s="213"/>
      <c r="BX321" s="213"/>
      <c r="BY321" s="213"/>
      <c r="BZ321" s="213"/>
      <c r="CA321" s="213"/>
      <c r="CB321" s="213"/>
      <c r="CC321" s="213"/>
      <c r="CD321" s="213"/>
      <c r="CE321" s="213"/>
      <c r="CF321" s="213"/>
      <c r="CG321" s="213"/>
      <c r="CH321" s="213"/>
      <c r="CI321" s="213"/>
      <c r="CJ321" s="213"/>
      <c r="CK321" s="213"/>
      <c r="CL321" s="213"/>
      <c r="CM321" s="213"/>
      <c r="CN321" s="213"/>
      <c r="CO321" s="213"/>
      <c r="CP321" s="213"/>
    </row>
    <row r="322" ht="15.75" customHeight="1">
      <c r="A322" s="213"/>
      <c r="B322" s="213"/>
      <c r="C322" s="213"/>
      <c r="D322" s="213"/>
      <c r="E322" s="213"/>
      <c r="F322" s="213"/>
      <c r="G322" s="213"/>
      <c r="H322" s="213"/>
      <c r="I322" s="213"/>
      <c r="J322" s="213"/>
      <c r="K322" s="213"/>
      <c r="L322" s="213"/>
      <c r="M322" s="213"/>
      <c r="N322" s="213"/>
      <c r="O322" s="213"/>
      <c r="P322" s="213"/>
      <c r="Q322" s="213"/>
      <c r="R322" s="213"/>
      <c r="S322" s="213"/>
      <c r="T322" s="213"/>
      <c r="U322" s="213"/>
      <c r="V322" s="213"/>
      <c r="W322" s="238"/>
      <c r="X322" s="213"/>
      <c r="Y322" s="213"/>
      <c r="Z322" s="213"/>
      <c r="AA322" s="213"/>
      <c r="AB322" s="213"/>
      <c r="AC322" s="213"/>
      <c r="AD322" s="213"/>
      <c r="AE322" s="213"/>
      <c r="AF322" s="213"/>
      <c r="AG322" s="213"/>
      <c r="AH322" s="213"/>
      <c r="AI322" s="213"/>
      <c r="AJ322" s="213"/>
      <c r="AK322" s="213"/>
      <c r="AL322" s="213"/>
      <c r="AM322" s="213"/>
      <c r="AN322" s="213"/>
      <c r="AO322" s="213"/>
      <c r="AP322" s="213"/>
      <c r="AQ322" s="213"/>
      <c r="AR322" s="213"/>
      <c r="AS322" s="213"/>
      <c r="AT322" s="213"/>
      <c r="AU322" s="213"/>
      <c r="AV322" s="213"/>
      <c r="AW322" s="213"/>
      <c r="AX322" s="213"/>
      <c r="AY322" s="213"/>
      <c r="AZ322" s="213"/>
      <c r="BA322" s="213"/>
      <c r="BB322" s="213"/>
      <c r="BC322" s="213"/>
      <c r="BD322" s="213"/>
      <c r="BE322" s="213"/>
      <c r="BF322" s="213"/>
      <c r="BG322" s="213"/>
      <c r="BH322" s="213"/>
      <c r="BI322" s="213"/>
      <c r="BJ322" s="213"/>
      <c r="BK322" s="213"/>
      <c r="BL322" s="213"/>
      <c r="BM322" s="213"/>
      <c r="BN322" s="213"/>
      <c r="BO322" s="213"/>
      <c r="BP322" s="213"/>
      <c r="BQ322" s="213"/>
      <c r="BR322" s="326"/>
      <c r="BS322" s="213"/>
      <c r="BT322" s="213"/>
      <c r="BU322" s="213"/>
      <c r="BV322" s="213"/>
      <c r="BW322" s="213"/>
      <c r="BX322" s="213"/>
      <c r="BY322" s="213"/>
      <c r="BZ322" s="213"/>
      <c r="CA322" s="213"/>
      <c r="CB322" s="213"/>
      <c r="CC322" s="213"/>
      <c r="CD322" s="213"/>
      <c r="CE322" s="213"/>
      <c r="CF322" s="213"/>
      <c r="CG322" s="213"/>
      <c r="CH322" s="213"/>
      <c r="CI322" s="213"/>
      <c r="CJ322" s="213"/>
      <c r="CK322" s="213"/>
      <c r="CL322" s="213"/>
      <c r="CM322" s="213"/>
      <c r="CN322" s="213"/>
      <c r="CO322" s="213"/>
      <c r="CP322" s="213"/>
    </row>
    <row r="323" ht="15.75" customHeight="1">
      <c r="A323" s="213"/>
      <c r="B323" s="213"/>
      <c r="C323" s="213"/>
      <c r="D323" s="213"/>
      <c r="E323" s="213"/>
      <c r="F323" s="213"/>
      <c r="G323" s="213"/>
      <c r="H323" s="213"/>
      <c r="I323" s="213"/>
      <c r="J323" s="213"/>
      <c r="K323" s="213"/>
      <c r="L323" s="213"/>
      <c r="M323" s="213"/>
      <c r="N323" s="213"/>
      <c r="O323" s="213"/>
      <c r="P323" s="213"/>
      <c r="Q323" s="213"/>
      <c r="R323" s="213"/>
      <c r="S323" s="213"/>
      <c r="T323" s="213"/>
      <c r="U323" s="213"/>
      <c r="V323" s="213"/>
      <c r="W323" s="238"/>
      <c r="X323" s="213"/>
      <c r="Y323" s="213"/>
      <c r="Z323" s="213"/>
      <c r="AA323" s="213"/>
      <c r="AB323" s="213"/>
      <c r="AC323" s="213"/>
      <c r="AD323" s="213"/>
      <c r="AE323" s="213"/>
      <c r="AF323" s="213"/>
      <c r="AG323" s="213"/>
      <c r="AH323" s="213"/>
      <c r="AI323" s="213"/>
      <c r="AJ323" s="213"/>
      <c r="AK323" s="213"/>
      <c r="AL323" s="213"/>
      <c r="AM323" s="213"/>
      <c r="AN323" s="213"/>
      <c r="AO323" s="213"/>
      <c r="AP323" s="213"/>
      <c r="AQ323" s="213"/>
      <c r="AR323" s="213"/>
      <c r="AS323" s="213"/>
      <c r="AT323" s="213"/>
      <c r="AU323" s="213"/>
      <c r="AV323" s="213"/>
      <c r="AW323" s="213"/>
      <c r="AX323" s="213"/>
      <c r="AY323" s="213"/>
      <c r="AZ323" s="213"/>
      <c r="BA323" s="213"/>
      <c r="BB323" s="213"/>
      <c r="BC323" s="213"/>
      <c r="BD323" s="213"/>
      <c r="BE323" s="213"/>
      <c r="BF323" s="213"/>
      <c r="BG323" s="213"/>
      <c r="BH323" s="213"/>
      <c r="BI323" s="213"/>
      <c r="BJ323" s="213"/>
      <c r="BK323" s="213"/>
      <c r="BL323" s="213"/>
      <c r="BM323" s="213"/>
      <c r="BN323" s="213"/>
      <c r="BO323" s="213"/>
      <c r="BP323" s="213"/>
      <c r="BQ323" s="213"/>
      <c r="BR323" s="326"/>
      <c r="BS323" s="213"/>
      <c r="BT323" s="213"/>
      <c r="BU323" s="213"/>
      <c r="BV323" s="213"/>
      <c r="BW323" s="213"/>
      <c r="BX323" s="213"/>
      <c r="BY323" s="213"/>
      <c r="BZ323" s="213"/>
      <c r="CA323" s="213"/>
      <c r="CB323" s="213"/>
      <c r="CC323" s="213"/>
      <c r="CD323" s="213"/>
      <c r="CE323" s="213"/>
      <c r="CF323" s="213"/>
      <c r="CG323" s="213"/>
      <c r="CH323" s="213"/>
      <c r="CI323" s="213"/>
      <c r="CJ323" s="213"/>
      <c r="CK323" s="213"/>
      <c r="CL323" s="213"/>
      <c r="CM323" s="213"/>
      <c r="CN323" s="213"/>
      <c r="CO323" s="213"/>
      <c r="CP323" s="213"/>
    </row>
    <row r="324" ht="15.75" customHeight="1">
      <c r="A324" s="213"/>
      <c r="B324" s="213"/>
      <c r="C324" s="213"/>
      <c r="D324" s="213"/>
      <c r="E324" s="213"/>
      <c r="F324" s="213"/>
      <c r="G324" s="213"/>
      <c r="H324" s="213"/>
      <c r="I324" s="213"/>
      <c r="J324" s="213"/>
      <c r="K324" s="213"/>
      <c r="L324" s="213"/>
      <c r="M324" s="213"/>
      <c r="N324" s="213"/>
      <c r="O324" s="213"/>
      <c r="P324" s="213"/>
      <c r="Q324" s="213"/>
      <c r="R324" s="213"/>
      <c r="S324" s="213"/>
      <c r="T324" s="213"/>
      <c r="U324" s="213"/>
      <c r="V324" s="213"/>
      <c r="W324" s="238"/>
      <c r="X324" s="213"/>
      <c r="Y324" s="213"/>
      <c r="Z324" s="213"/>
      <c r="AA324" s="213"/>
      <c r="AB324" s="213"/>
      <c r="AC324" s="213"/>
      <c r="AD324" s="213"/>
      <c r="AE324" s="213"/>
      <c r="AF324" s="213"/>
      <c r="AG324" s="213"/>
      <c r="AH324" s="213"/>
      <c r="AI324" s="213"/>
      <c r="AJ324" s="213"/>
      <c r="AK324" s="213"/>
      <c r="AL324" s="213"/>
      <c r="AM324" s="213"/>
      <c r="AN324" s="213"/>
      <c r="AO324" s="213"/>
      <c r="AP324" s="213"/>
      <c r="AQ324" s="213"/>
      <c r="AR324" s="213"/>
      <c r="AS324" s="213"/>
      <c r="AT324" s="213"/>
      <c r="AU324" s="213"/>
      <c r="AV324" s="213"/>
      <c r="AW324" s="213"/>
      <c r="AX324" s="213"/>
      <c r="AY324" s="213"/>
      <c r="AZ324" s="213"/>
      <c r="BA324" s="213"/>
      <c r="BB324" s="213"/>
      <c r="BC324" s="213"/>
      <c r="BD324" s="213"/>
      <c r="BE324" s="213"/>
      <c r="BF324" s="213"/>
      <c r="BG324" s="213"/>
      <c r="BH324" s="213"/>
      <c r="BI324" s="213"/>
      <c r="BJ324" s="213"/>
      <c r="BK324" s="213"/>
      <c r="BL324" s="213"/>
      <c r="BM324" s="213"/>
      <c r="BN324" s="213"/>
      <c r="BO324" s="213"/>
      <c r="BP324" s="213"/>
      <c r="BQ324" s="213"/>
      <c r="BR324" s="326"/>
      <c r="BS324" s="213"/>
      <c r="BT324" s="213"/>
      <c r="BU324" s="213"/>
      <c r="BV324" s="213"/>
      <c r="BW324" s="213"/>
      <c r="BX324" s="213"/>
      <c r="BY324" s="213"/>
      <c r="BZ324" s="213"/>
      <c r="CA324" s="213"/>
      <c r="CB324" s="213"/>
      <c r="CC324" s="213"/>
      <c r="CD324" s="213"/>
      <c r="CE324" s="213"/>
      <c r="CF324" s="213"/>
      <c r="CG324" s="213"/>
      <c r="CH324" s="213"/>
      <c r="CI324" s="213"/>
      <c r="CJ324" s="213"/>
      <c r="CK324" s="213"/>
      <c r="CL324" s="213"/>
      <c r="CM324" s="213"/>
      <c r="CN324" s="213"/>
      <c r="CO324" s="213"/>
      <c r="CP324" s="213"/>
    </row>
    <row r="325" ht="15.75" customHeight="1">
      <c r="A325" s="213"/>
      <c r="B325" s="213"/>
      <c r="C325" s="213"/>
      <c r="D325" s="213"/>
      <c r="E325" s="213"/>
      <c r="F325" s="213"/>
      <c r="G325" s="213"/>
      <c r="H325" s="213"/>
      <c r="I325" s="213"/>
      <c r="J325" s="213"/>
      <c r="K325" s="213"/>
      <c r="L325" s="213"/>
      <c r="M325" s="213"/>
      <c r="N325" s="213"/>
      <c r="O325" s="213"/>
      <c r="P325" s="213"/>
      <c r="Q325" s="213"/>
      <c r="R325" s="213"/>
      <c r="S325" s="213"/>
      <c r="T325" s="213"/>
      <c r="U325" s="213"/>
      <c r="V325" s="213"/>
      <c r="W325" s="238"/>
      <c r="X325" s="213"/>
      <c r="Y325" s="213"/>
      <c r="Z325" s="213"/>
      <c r="AA325" s="213"/>
      <c r="AB325" s="213"/>
      <c r="AC325" s="213"/>
      <c r="AD325" s="213"/>
      <c r="AE325" s="213"/>
      <c r="AF325" s="213"/>
      <c r="AG325" s="213"/>
      <c r="AH325" s="213"/>
      <c r="AI325" s="213"/>
      <c r="AJ325" s="213"/>
      <c r="AK325" s="213"/>
      <c r="AL325" s="213"/>
      <c r="AM325" s="213"/>
      <c r="AN325" s="213"/>
      <c r="AO325" s="213"/>
      <c r="AP325" s="213"/>
      <c r="AQ325" s="213"/>
      <c r="AR325" s="213"/>
      <c r="AS325" s="213"/>
      <c r="AT325" s="213"/>
      <c r="AU325" s="213"/>
      <c r="AV325" s="213"/>
      <c r="AW325" s="213"/>
      <c r="AX325" s="213"/>
      <c r="AY325" s="213"/>
      <c r="AZ325" s="213"/>
      <c r="BA325" s="213"/>
      <c r="BB325" s="213"/>
      <c r="BC325" s="213"/>
      <c r="BD325" s="213"/>
      <c r="BE325" s="213"/>
      <c r="BF325" s="213"/>
      <c r="BG325" s="213"/>
      <c r="BH325" s="213"/>
      <c r="BI325" s="213"/>
      <c r="BJ325" s="213"/>
      <c r="BK325" s="213"/>
      <c r="BL325" s="213"/>
      <c r="BM325" s="213"/>
      <c r="BN325" s="213"/>
      <c r="BO325" s="213"/>
      <c r="BP325" s="213"/>
      <c r="BQ325" s="213"/>
      <c r="BR325" s="326"/>
      <c r="BS325" s="213"/>
      <c r="BT325" s="213"/>
      <c r="BU325" s="213"/>
      <c r="BV325" s="213"/>
      <c r="BW325" s="213"/>
      <c r="BX325" s="213"/>
      <c r="BY325" s="213"/>
      <c r="BZ325" s="213"/>
      <c r="CA325" s="213"/>
      <c r="CB325" s="213"/>
      <c r="CC325" s="213"/>
      <c r="CD325" s="213"/>
      <c r="CE325" s="213"/>
      <c r="CF325" s="213"/>
      <c r="CG325" s="213"/>
      <c r="CH325" s="213"/>
      <c r="CI325" s="213"/>
      <c r="CJ325" s="213"/>
      <c r="CK325" s="213"/>
      <c r="CL325" s="213"/>
      <c r="CM325" s="213"/>
      <c r="CN325" s="213"/>
      <c r="CO325" s="213"/>
      <c r="CP325" s="213"/>
    </row>
    <row r="326" ht="15.75" customHeight="1">
      <c r="A326" s="213"/>
      <c r="B326" s="213"/>
      <c r="C326" s="213"/>
      <c r="D326" s="213"/>
      <c r="E326" s="213"/>
      <c r="F326" s="213"/>
      <c r="G326" s="213"/>
      <c r="H326" s="213"/>
      <c r="I326" s="213"/>
      <c r="J326" s="213"/>
      <c r="K326" s="213"/>
      <c r="L326" s="213"/>
      <c r="M326" s="213"/>
      <c r="N326" s="213"/>
      <c r="O326" s="213"/>
      <c r="P326" s="213"/>
      <c r="Q326" s="213"/>
      <c r="R326" s="213"/>
      <c r="S326" s="213"/>
      <c r="T326" s="213"/>
      <c r="U326" s="213"/>
      <c r="V326" s="213"/>
      <c r="W326" s="238"/>
      <c r="X326" s="213"/>
      <c r="Y326" s="213"/>
      <c r="Z326" s="213"/>
      <c r="AA326" s="213"/>
      <c r="AB326" s="213"/>
      <c r="AC326" s="213"/>
      <c r="AD326" s="213"/>
      <c r="AE326" s="213"/>
      <c r="AF326" s="213"/>
      <c r="AG326" s="213"/>
      <c r="AH326" s="213"/>
      <c r="AI326" s="213"/>
      <c r="AJ326" s="213"/>
      <c r="AK326" s="213"/>
      <c r="AL326" s="213"/>
      <c r="AM326" s="213"/>
      <c r="AN326" s="213"/>
      <c r="AO326" s="213"/>
      <c r="AP326" s="213"/>
      <c r="AQ326" s="213"/>
      <c r="AR326" s="213"/>
      <c r="AS326" s="213"/>
      <c r="AT326" s="213"/>
      <c r="AU326" s="213"/>
      <c r="AV326" s="213"/>
      <c r="AW326" s="213"/>
      <c r="AX326" s="213"/>
      <c r="AY326" s="213"/>
      <c r="AZ326" s="213"/>
      <c r="BA326" s="213"/>
      <c r="BB326" s="213"/>
      <c r="BC326" s="213"/>
      <c r="BD326" s="213"/>
      <c r="BE326" s="213"/>
      <c r="BF326" s="213"/>
      <c r="BG326" s="213"/>
      <c r="BH326" s="213"/>
      <c r="BI326" s="213"/>
      <c r="BJ326" s="213"/>
      <c r="BK326" s="213"/>
      <c r="BL326" s="213"/>
      <c r="BM326" s="213"/>
      <c r="BN326" s="213"/>
      <c r="BO326" s="213"/>
      <c r="BP326" s="213"/>
      <c r="BQ326" s="213"/>
      <c r="BR326" s="326"/>
      <c r="BS326" s="213"/>
      <c r="BT326" s="213"/>
      <c r="BU326" s="213"/>
      <c r="BV326" s="213"/>
      <c r="BW326" s="213"/>
      <c r="BX326" s="213"/>
      <c r="BY326" s="213"/>
      <c r="BZ326" s="213"/>
      <c r="CA326" s="213"/>
      <c r="CB326" s="213"/>
      <c r="CC326" s="213"/>
      <c r="CD326" s="213"/>
      <c r="CE326" s="213"/>
      <c r="CF326" s="213"/>
      <c r="CG326" s="213"/>
      <c r="CH326" s="213"/>
      <c r="CI326" s="213"/>
      <c r="CJ326" s="213"/>
      <c r="CK326" s="213"/>
      <c r="CL326" s="213"/>
      <c r="CM326" s="213"/>
      <c r="CN326" s="213"/>
      <c r="CO326" s="213"/>
      <c r="CP326" s="213"/>
    </row>
    <row r="327" ht="15.75" customHeight="1">
      <c r="A327" s="213"/>
      <c r="B327" s="213"/>
      <c r="C327" s="213"/>
      <c r="D327" s="213"/>
      <c r="E327" s="213"/>
      <c r="F327" s="213"/>
      <c r="G327" s="213"/>
      <c r="H327" s="213"/>
      <c r="I327" s="213"/>
      <c r="J327" s="213"/>
      <c r="K327" s="213"/>
      <c r="L327" s="213"/>
      <c r="M327" s="213"/>
      <c r="N327" s="213"/>
      <c r="O327" s="213"/>
      <c r="P327" s="213"/>
      <c r="Q327" s="213"/>
      <c r="R327" s="213"/>
      <c r="S327" s="213"/>
      <c r="T327" s="213"/>
      <c r="U327" s="213"/>
      <c r="V327" s="213"/>
      <c r="W327" s="238"/>
      <c r="X327" s="213"/>
      <c r="Y327" s="213"/>
      <c r="Z327" s="213"/>
      <c r="AA327" s="213"/>
      <c r="AB327" s="213"/>
      <c r="AC327" s="213"/>
      <c r="AD327" s="213"/>
      <c r="AE327" s="213"/>
      <c r="AF327" s="213"/>
      <c r="AG327" s="213"/>
      <c r="AH327" s="213"/>
      <c r="AI327" s="213"/>
      <c r="AJ327" s="213"/>
      <c r="AK327" s="213"/>
      <c r="AL327" s="213"/>
      <c r="AM327" s="213"/>
      <c r="AN327" s="213"/>
      <c r="AO327" s="213"/>
      <c r="AP327" s="213"/>
      <c r="AQ327" s="213"/>
      <c r="AR327" s="213"/>
      <c r="AS327" s="213"/>
      <c r="AT327" s="213"/>
      <c r="AU327" s="213"/>
      <c r="AV327" s="213"/>
      <c r="AW327" s="213"/>
      <c r="AX327" s="213"/>
      <c r="AY327" s="213"/>
      <c r="AZ327" s="213"/>
      <c r="BA327" s="213"/>
      <c r="BB327" s="213"/>
      <c r="BC327" s="213"/>
      <c r="BD327" s="213"/>
      <c r="BE327" s="213"/>
      <c r="BF327" s="213"/>
      <c r="BG327" s="213"/>
      <c r="BH327" s="213"/>
      <c r="BI327" s="213"/>
      <c r="BJ327" s="213"/>
      <c r="BK327" s="213"/>
      <c r="BL327" s="213"/>
      <c r="BM327" s="213"/>
      <c r="BN327" s="213"/>
      <c r="BO327" s="213"/>
      <c r="BP327" s="213"/>
      <c r="BQ327" s="213"/>
      <c r="BR327" s="326"/>
      <c r="BS327" s="213"/>
      <c r="BT327" s="213"/>
      <c r="BU327" s="213"/>
      <c r="BV327" s="213"/>
      <c r="BW327" s="213"/>
      <c r="BX327" s="213"/>
      <c r="BY327" s="213"/>
      <c r="BZ327" s="213"/>
      <c r="CA327" s="213"/>
      <c r="CB327" s="213"/>
      <c r="CC327" s="213"/>
      <c r="CD327" s="213"/>
      <c r="CE327" s="213"/>
      <c r="CF327" s="213"/>
      <c r="CG327" s="213"/>
      <c r="CH327" s="213"/>
      <c r="CI327" s="213"/>
      <c r="CJ327" s="213"/>
      <c r="CK327" s="213"/>
      <c r="CL327" s="213"/>
      <c r="CM327" s="213"/>
      <c r="CN327" s="213"/>
      <c r="CO327" s="213"/>
      <c r="CP327" s="213"/>
    </row>
    <row r="328" ht="15.75" customHeight="1">
      <c r="A328" s="213"/>
      <c r="B328" s="213"/>
      <c r="C328" s="213"/>
      <c r="D328" s="213"/>
      <c r="E328" s="213"/>
      <c r="F328" s="213"/>
      <c r="G328" s="213"/>
      <c r="H328" s="213"/>
      <c r="I328" s="213"/>
      <c r="J328" s="213"/>
      <c r="K328" s="213"/>
      <c r="L328" s="213"/>
      <c r="M328" s="213"/>
      <c r="N328" s="213"/>
      <c r="O328" s="213"/>
      <c r="P328" s="213"/>
      <c r="Q328" s="213"/>
      <c r="R328" s="213"/>
      <c r="S328" s="213"/>
      <c r="T328" s="213"/>
      <c r="U328" s="213"/>
      <c r="V328" s="213"/>
      <c r="W328" s="238"/>
      <c r="X328" s="213"/>
      <c r="Y328" s="213"/>
      <c r="Z328" s="213"/>
      <c r="AA328" s="213"/>
      <c r="AB328" s="213"/>
      <c r="AC328" s="213"/>
      <c r="AD328" s="213"/>
      <c r="AE328" s="213"/>
      <c r="AF328" s="213"/>
      <c r="AG328" s="213"/>
      <c r="AH328" s="213"/>
      <c r="AI328" s="213"/>
      <c r="AJ328" s="213"/>
      <c r="AK328" s="213"/>
      <c r="AL328" s="213"/>
      <c r="AM328" s="213"/>
      <c r="AN328" s="213"/>
      <c r="AO328" s="213"/>
      <c r="AP328" s="213"/>
      <c r="AQ328" s="213"/>
      <c r="AR328" s="213"/>
      <c r="AS328" s="213"/>
      <c r="AT328" s="213"/>
      <c r="AU328" s="213"/>
      <c r="AV328" s="213"/>
      <c r="AW328" s="213"/>
      <c r="AX328" s="213"/>
      <c r="AY328" s="213"/>
      <c r="AZ328" s="213"/>
      <c r="BA328" s="213"/>
      <c r="BB328" s="213"/>
      <c r="BC328" s="213"/>
      <c r="BD328" s="213"/>
      <c r="BE328" s="213"/>
      <c r="BF328" s="213"/>
      <c r="BG328" s="213"/>
      <c r="BH328" s="213"/>
      <c r="BI328" s="213"/>
      <c r="BJ328" s="213"/>
      <c r="BK328" s="213"/>
      <c r="BL328" s="213"/>
      <c r="BM328" s="213"/>
      <c r="BN328" s="213"/>
      <c r="BO328" s="213"/>
      <c r="BP328" s="213"/>
      <c r="BQ328" s="213"/>
      <c r="BR328" s="326"/>
      <c r="BS328" s="213"/>
      <c r="BT328" s="213"/>
      <c r="BU328" s="213"/>
      <c r="BV328" s="213"/>
      <c r="BW328" s="213"/>
      <c r="BX328" s="213"/>
      <c r="BY328" s="213"/>
      <c r="BZ328" s="213"/>
      <c r="CA328" s="213"/>
      <c r="CB328" s="213"/>
      <c r="CC328" s="213"/>
      <c r="CD328" s="213"/>
      <c r="CE328" s="213"/>
      <c r="CF328" s="213"/>
      <c r="CG328" s="213"/>
      <c r="CH328" s="213"/>
      <c r="CI328" s="213"/>
      <c r="CJ328" s="213"/>
      <c r="CK328" s="213"/>
      <c r="CL328" s="213"/>
      <c r="CM328" s="213"/>
      <c r="CN328" s="213"/>
      <c r="CO328" s="213"/>
      <c r="CP328" s="213"/>
    </row>
    <row r="329" ht="15.75" customHeight="1">
      <c r="A329" s="213"/>
      <c r="B329" s="213"/>
      <c r="C329" s="213"/>
      <c r="D329" s="213"/>
      <c r="E329" s="213"/>
      <c r="F329" s="213"/>
      <c r="G329" s="213"/>
      <c r="H329" s="213"/>
      <c r="I329" s="213"/>
      <c r="J329" s="213"/>
      <c r="K329" s="213"/>
      <c r="L329" s="213"/>
      <c r="M329" s="213"/>
      <c r="N329" s="213"/>
      <c r="O329" s="213"/>
      <c r="P329" s="213"/>
      <c r="Q329" s="213"/>
      <c r="R329" s="213"/>
      <c r="S329" s="213"/>
      <c r="T329" s="213"/>
      <c r="U329" s="213"/>
      <c r="V329" s="213"/>
      <c r="W329" s="238"/>
      <c r="X329" s="213"/>
      <c r="Y329" s="213"/>
      <c r="Z329" s="213"/>
      <c r="AA329" s="213"/>
      <c r="AB329" s="213"/>
      <c r="AC329" s="213"/>
      <c r="AD329" s="213"/>
      <c r="AE329" s="213"/>
      <c r="AF329" s="213"/>
      <c r="AG329" s="213"/>
      <c r="AH329" s="213"/>
      <c r="AI329" s="213"/>
      <c r="AJ329" s="213"/>
      <c r="AK329" s="213"/>
      <c r="AL329" s="213"/>
      <c r="AM329" s="213"/>
      <c r="AN329" s="213"/>
      <c r="AO329" s="213"/>
      <c r="AP329" s="213"/>
      <c r="AQ329" s="213"/>
      <c r="AR329" s="213"/>
      <c r="AS329" s="213"/>
      <c r="AT329" s="213"/>
      <c r="AU329" s="213"/>
      <c r="AV329" s="213"/>
      <c r="AW329" s="213"/>
      <c r="AX329" s="213"/>
      <c r="AY329" s="213"/>
      <c r="AZ329" s="213"/>
      <c r="BA329" s="213"/>
      <c r="BB329" s="213"/>
      <c r="BC329" s="213"/>
      <c r="BD329" s="213"/>
      <c r="BE329" s="213"/>
      <c r="BF329" s="213"/>
      <c r="BG329" s="213"/>
      <c r="BH329" s="213"/>
      <c r="BI329" s="213"/>
      <c r="BJ329" s="213"/>
      <c r="BK329" s="213"/>
      <c r="BL329" s="213"/>
      <c r="BM329" s="213"/>
      <c r="BN329" s="213"/>
      <c r="BO329" s="213"/>
      <c r="BP329" s="213"/>
      <c r="BQ329" s="213"/>
      <c r="BR329" s="326"/>
      <c r="BS329" s="213"/>
      <c r="BT329" s="213"/>
      <c r="BU329" s="213"/>
      <c r="BV329" s="213"/>
      <c r="BW329" s="213"/>
      <c r="BX329" s="213"/>
      <c r="BY329" s="213"/>
      <c r="BZ329" s="213"/>
      <c r="CA329" s="213"/>
      <c r="CB329" s="213"/>
      <c r="CC329" s="213"/>
      <c r="CD329" s="213"/>
      <c r="CE329" s="213"/>
      <c r="CF329" s="213"/>
      <c r="CG329" s="213"/>
      <c r="CH329" s="213"/>
      <c r="CI329" s="213"/>
      <c r="CJ329" s="213"/>
      <c r="CK329" s="213"/>
      <c r="CL329" s="213"/>
      <c r="CM329" s="213"/>
      <c r="CN329" s="213"/>
      <c r="CO329" s="213"/>
      <c r="CP329" s="213"/>
    </row>
    <row r="330" ht="15.75" customHeight="1">
      <c r="A330" s="213"/>
      <c r="B330" s="213"/>
      <c r="C330" s="213"/>
      <c r="D330" s="213"/>
      <c r="E330" s="213"/>
      <c r="F330" s="213"/>
      <c r="G330" s="213"/>
      <c r="H330" s="213"/>
      <c r="I330" s="213"/>
      <c r="J330" s="213"/>
      <c r="K330" s="213"/>
      <c r="L330" s="213"/>
      <c r="M330" s="213"/>
      <c r="N330" s="213"/>
      <c r="O330" s="213"/>
      <c r="P330" s="213"/>
      <c r="Q330" s="213"/>
      <c r="R330" s="213"/>
      <c r="S330" s="213"/>
      <c r="T330" s="213"/>
      <c r="U330" s="213"/>
      <c r="V330" s="213"/>
      <c r="W330" s="238"/>
      <c r="X330" s="213"/>
      <c r="Y330" s="213"/>
      <c r="Z330" s="213"/>
      <c r="AA330" s="213"/>
      <c r="AB330" s="213"/>
      <c r="AC330" s="213"/>
      <c r="AD330" s="213"/>
      <c r="AE330" s="213"/>
      <c r="AF330" s="213"/>
      <c r="AG330" s="213"/>
      <c r="AH330" s="213"/>
      <c r="AI330" s="213"/>
      <c r="AJ330" s="213"/>
      <c r="AK330" s="213"/>
      <c r="AL330" s="213"/>
      <c r="AM330" s="213"/>
      <c r="AN330" s="213"/>
      <c r="AO330" s="213"/>
      <c r="AP330" s="213"/>
      <c r="AQ330" s="213"/>
      <c r="AR330" s="213"/>
      <c r="AS330" s="213"/>
      <c r="AT330" s="213"/>
      <c r="AU330" s="213"/>
      <c r="AV330" s="213"/>
      <c r="AW330" s="213"/>
      <c r="AX330" s="213"/>
      <c r="AY330" s="213"/>
      <c r="AZ330" s="213"/>
      <c r="BA330" s="213"/>
      <c r="BB330" s="213"/>
      <c r="BC330" s="213"/>
      <c r="BD330" s="213"/>
      <c r="BE330" s="213"/>
      <c r="BF330" s="213"/>
      <c r="BG330" s="213"/>
      <c r="BH330" s="213"/>
      <c r="BI330" s="213"/>
      <c r="BJ330" s="213"/>
      <c r="BK330" s="213"/>
      <c r="BL330" s="213"/>
      <c r="BM330" s="213"/>
      <c r="BN330" s="213"/>
      <c r="BO330" s="213"/>
      <c r="BP330" s="213"/>
      <c r="BQ330" s="213"/>
      <c r="BR330" s="326"/>
      <c r="BS330" s="213"/>
      <c r="BT330" s="213"/>
      <c r="BU330" s="213"/>
      <c r="BV330" s="213"/>
      <c r="BW330" s="213"/>
      <c r="BX330" s="213"/>
      <c r="BY330" s="213"/>
      <c r="BZ330" s="213"/>
      <c r="CA330" s="213"/>
      <c r="CB330" s="213"/>
      <c r="CC330" s="213"/>
      <c r="CD330" s="213"/>
      <c r="CE330" s="213"/>
      <c r="CF330" s="213"/>
      <c r="CG330" s="213"/>
      <c r="CH330" s="213"/>
      <c r="CI330" s="213"/>
      <c r="CJ330" s="213"/>
      <c r="CK330" s="213"/>
      <c r="CL330" s="213"/>
      <c r="CM330" s="213"/>
      <c r="CN330" s="213"/>
      <c r="CO330" s="213"/>
      <c r="CP330" s="213"/>
    </row>
    <row r="331" ht="15.75" customHeight="1">
      <c r="A331" s="213"/>
      <c r="B331" s="213"/>
      <c r="C331" s="213"/>
      <c r="D331" s="213"/>
      <c r="E331" s="213"/>
      <c r="F331" s="213"/>
      <c r="G331" s="213"/>
      <c r="H331" s="213"/>
      <c r="I331" s="213"/>
      <c r="J331" s="213"/>
      <c r="K331" s="213"/>
      <c r="L331" s="213"/>
      <c r="M331" s="213"/>
      <c r="N331" s="213"/>
      <c r="O331" s="213"/>
      <c r="P331" s="213"/>
      <c r="Q331" s="213"/>
      <c r="R331" s="213"/>
      <c r="S331" s="213"/>
      <c r="T331" s="213"/>
      <c r="U331" s="213"/>
      <c r="V331" s="213"/>
      <c r="W331" s="238"/>
      <c r="X331" s="213"/>
      <c r="Y331" s="213"/>
      <c r="Z331" s="213"/>
      <c r="AA331" s="213"/>
      <c r="AB331" s="213"/>
      <c r="AC331" s="213"/>
      <c r="AD331" s="213"/>
      <c r="AE331" s="213"/>
      <c r="AF331" s="213"/>
      <c r="AG331" s="213"/>
      <c r="AH331" s="213"/>
      <c r="AI331" s="213"/>
      <c r="AJ331" s="213"/>
      <c r="AK331" s="213"/>
      <c r="AL331" s="213"/>
      <c r="AM331" s="213"/>
      <c r="AN331" s="213"/>
      <c r="AO331" s="213"/>
      <c r="AP331" s="213"/>
      <c r="AQ331" s="213"/>
      <c r="AR331" s="213"/>
      <c r="AS331" s="213"/>
      <c r="AT331" s="213"/>
      <c r="AU331" s="213"/>
      <c r="AV331" s="213"/>
      <c r="AW331" s="213"/>
      <c r="AX331" s="213"/>
      <c r="AY331" s="213"/>
      <c r="AZ331" s="213"/>
      <c r="BA331" s="213"/>
      <c r="BB331" s="213"/>
      <c r="BC331" s="213"/>
      <c r="BD331" s="213"/>
      <c r="BE331" s="213"/>
      <c r="BF331" s="213"/>
      <c r="BG331" s="213"/>
      <c r="BH331" s="213"/>
      <c r="BI331" s="213"/>
      <c r="BJ331" s="213"/>
      <c r="BK331" s="213"/>
      <c r="BL331" s="213"/>
      <c r="BM331" s="213"/>
      <c r="BN331" s="213"/>
      <c r="BO331" s="213"/>
      <c r="BP331" s="213"/>
      <c r="BQ331" s="213"/>
      <c r="BR331" s="326"/>
      <c r="BS331" s="213"/>
      <c r="BT331" s="213"/>
      <c r="BU331" s="213"/>
      <c r="BV331" s="213"/>
      <c r="BW331" s="213"/>
      <c r="BX331" s="213"/>
      <c r="BY331" s="213"/>
      <c r="BZ331" s="213"/>
      <c r="CA331" s="213"/>
      <c r="CB331" s="213"/>
      <c r="CC331" s="213"/>
      <c r="CD331" s="213"/>
      <c r="CE331" s="213"/>
      <c r="CF331" s="213"/>
      <c r="CG331" s="213"/>
      <c r="CH331" s="213"/>
      <c r="CI331" s="213"/>
      <c r="CJ331" s="213"/>
      <c r="CK331" s="213"/>
      <c r="CL331" s="213"/>
      <c r="CM331" s="213"/>
      <c r="CN331" s="213"/>
      <c r="CO331" s="213"/>
      <c r="CP331" s="213"/>
    </row>
    <row r="332" ht="15.75" customHeight="1">
      <c r="A332" s="213"/>
      <c r="B332" s="213"/>
      <c r="C332" s="213"/>
      <c r="D332" s="213"/>
      <c r="E332" s="213"/>
      <c r="F332" s="213"/>
      <c r="G332" s="213"/>
      <c r="H332" s="213"/>
      <c r="I332" s="213"/>
      <c r="J332" s="213"/>
      <c r="K332" s="213"/>
      <c r="L332" s="213"/>
      <c r="M332" s="213"/>
      <c r="N332" s="213"/>
      <c r="O332" s="213"/>
      <c r="P332" s="213"/>
      <c r="Q332" s="213"/>
      <c r="R332" s="213"/>
      <c r="S332" s="213"/>
      <c r="T332" s="213"/>
      <c r="U332" s="213"/>
      <c r="V332" s="213"/>
      <c r="W332" s="238"/>
      <c r="X332" s="213"/>
      <c r="Y332" s="213"/>
      <c r="Z332" s="213"/>
      <c r="AA332" s="213"/>
      <c r="AB332" s="213"/>
      <c r="AC332" s="213"/>
      <c r="AD332" s="213"/>
      <c r="AE332" s="213"/>
      <c r="AF332" s="213"/>
      <c r="AG332" s="213"/>
      <c r="AH332" s="213"/>
      <c r="AI332" s="213"/>
      <c r="AJ332" s="213"/>
      <c r="AK332" s="213"/>
      <c r="AL332" s="213"/>
      <c r="AM332" s="213"/>
      <c r="AN332" s="213"/>
      <c r="AO332" s="213"/>
      <c r="AP332" s="213"/>
      <c r="AQ332" s="213"/>
      <c r="AR332" s="213"/>
      <c r="AS332" s="213"/>
      <c r="AT332" s="213"/>
      <c r="AU332" s="213"/>
      <c r="AV332" s="213"/>
      <c r="AW332" s="213"/>
      <c r="AX332" s="213"/>
      <c r="AY332" s="213"/>
      <c r="AZ332" s="213"/>
      <c r="BA332" s="213"/>
      <c r="BB332" s="213"/>
      <c r="BC332" s="213"/>
      <c r="BD332" s="213"/>
      <c r="BE332" s="213"/>
      <c r="BF332" s="213"/>
      <c r="BG332" s="213"/>
      <c r="BH332" s="213"/>
      <c r="BI332" s="213"/>
      <c r="BJ332" s="213"/>
      <c r="BK332" s="213"/>
      <c r="BL332" s="213"/>
      <c r="BM332" s="213"/>
      <c r="BN332" s="213"/>
      <c r="BO332" s="213"/>
      <c r="BP332" s="213"/>
      <c r="BQ332" s="213"/>
      <c r="BR332" s="326"/>
      <c r="BS332" s="213"/>
      <c r="BT332" s="213"/>
      <c r="BU332" s="213"/>
      <c r="BV332" s="213"/>
      <c r="BW332" s="213"/>
      <c r="BX332" s="213"/>
      <c r="BY332" s="213"/>
      <c r="BZ332" s="213"/>
      <c r="CA332" s="213"/>
      <c r="CB332" s="213"/>
      <c r="CC332" s="213"/>
      <c r="CD332" s="213"/>
      <c r="CE332" s="213"/>
      <c r="CF332" s="213"/>
      <c r="CG332" s="213"/>
      <c r="CH332" s="213"/>
      <c r="CI332" s="213"/>
      <c r="CJ332" s="213"/>
      <c r="CK332" s="213"/>
      <c r="CL332" s="213"/>
      <c r="CM332" s="213"/>
      <c r="CN332" s="213"/>
      <c r="CO332" s="213"/>
      <c r="CP332" s="213"/>
    </row>
    <row r="333" ht="15.75" customHeight="1">
      <c r="A333" s="213"/>
      <c r="B333" s="213"/>
      <c r="C333" s="213"/>
      <c r="D333" s="213"/>
      <c r="E333" s="213"/>
      <c r="F333" s="213"/>
      <c r="G333" s="213"/>
      <c r="H333" s="213"/>
      <c r="I333" s="213"/>
      <c r="J333" s="213"/>
      <c r="K333" s="213"/>
      <c r="L333" s="213"/>
      <c r="M333" s="213"/>
      <c r="N333" s="213"/>
      <c r="O333" s="213"/>
      <c r="P333" s="213"/>
      <c r="Q333" s="213"/>
      <c r="R333" s="213"/>
      <c r="S333" s="213"/>
      <c r="T333" s="213"/>
      <c r="U333" s="213"/>
      <c r="V333" s="213"/>
      <c r="W333" s="238"/>
      <c r="X333" s="213"/>
      <c r="Y333" s="213"/>
      <c r="Z333" s="213"/>
      <c r="AA333" s="213"/>
      <c r="AB333" s="213"/>
      <c r="AC333" s="213"/>
      <c r="AD333" s="213"/>
      <c r="AE333" s="213"/>
      <c r="AF333" s="213"/>
      <c r="AG333" s="213"/>
      <c r="AH333" s="213"/>
      <c r="AI333" s="213"/>
      <c r="AJ333" s="213"/>
      <c r="AK333" s="213"/>
      <c r="AL333" s="213"/>
      <c r="AM333" s="213"/>
      <c r="AN333" s="213"/>
      <c r="AO333" s="213"/>
      <c r="AP333" s="213"/>
      <c r="AQ333" s="213"/>
      <c r="AR333" s="213"/>
      <c r="AS333" s="213"/>
      <c r="AT333" s="213"/>
      <c r="AU333" s="213"/>
      <c r="AV333" s="213"/>
      <c r="AW333" s="213"/>
      <c r="AX333" s="213"/>
      <c r="AY333" s="213"/>
      <c r="AZ333" s="213"/>
      <c r="BA333" s="213"/>
      <c r="BB333" s="213"/>
      <c r="BC333" s="213"/>
      <c r="BD333" s="213"/>
      <c r="BE333" s="213"/>
      <c r="BF333" s="213"/>
      <c r="BG333" s="213"/>
      <c r="BH333" s="213"/>
      <c r="BI333" s="213"/>
      <c r="BJ333" s="213"/>
      <c r="BK333" s="213"/>
      <c r="BL333" s="213"/>
      <c r="BM333" s="213"/>
      <c r="BN333" s="213"/>
      <c r="BO333" s="213"/>
      <c r="BP333" s="213"/>
      <c r="BQ333" s="213"/>
      <c r="BR333" s="326"/>
      <c r="BS333" s="213"/>
      <c r="BT333" s="213"/>
      <c r="BU333" s="213"/>
      <c r="BV333" s="213"/>
      <c r="BW333" s="213"/>
      <c r="BX333" s="213"/>
      <c r="BY333" s="213"/>
      <c r="BZ333" s="213"/>
      <c r="CA333" s="213"/>
      <c r="CB333" s="213"/>
      <c r="CC333" s="213"/>
      <c r="CD333" s="213"/>
      <c r="CE333" s="213"/>
      <c r="CF333" s="213"/>
      <c r="CG333" s="213"/>
      <c r="CH333" s="213"/>
      <c r="CI333" s="213"/>
      <c r="CJ333" s="213"/>
      <c r="CK333" s="213"/>
      <c r="CL333" s="213"/>
      <c r="CM333" s="213"/>
      <c r="CN333" s="213"/>
      <c r="CO333" s="213"/>
      <c r="CP333" s="213"/>
    </row>
    <row r="334" ht="15.75" customHeight="1">
      <c r="A334" s="213"/>
      <c r="B334" s="213"/>
      <c r="C334" s="213"/>
      <c r="D334" s="213"/>
      <c r="E334" s="213"/>
      <c r="F334" s="213"/>
      <c r="G334" s="213"/>
      <c r="H334" s="213"/>
      <c r="I334" s="213"/>
      <c r="J334" s="213"/>
      <c r="K334" s="213"/>
      <c r="L334" s="213"/>
      <c r="M334" s="213"/>
      <c r="N334" s="213"/>
      <c r="O334" s="213"/>
      <c r="P334" s="213"/>
      <c r="Q334" s="213"/>
      <c r="R334" s="213"/>
      <c r="S334" s="213"/>
      <c r="T334" s="213"/>
      <c r="U334" s="213"/>
      <c r="V334" s="213"/>
      <c r="W334" s="238"/>
      <c r="X334" s="213"/>
      <c r="Y334" s="213"/>
      <c r="Z334" s="213"/>
      <c r="AA334" s="213"/>
      <c r="AB334" s="213"/>
      <c r="AC334" s="213"/>
      <c r="AD334" s="213"/>
      <c r="AE334" s="213"/>
      <c r="AF334" s="213"/>
      <c r="AG334" s="213"/>
      <c r="AH334" s="213"/>
      <c r="AI334" s="213"/>
      <c r="AJ334" s="213"/>
      <c r="AK334" s="213"/>
      <c r="AL334" s="213"/>
      <c r="AM334" s="213"/>
      <c r="AN334" s="213"/>
      <c r="AO334" s="213"/>
      <c r="AP334" s="213"/>
      <c r="AQ334" s="213"/>
      <c r="AR334" s="213"/>
      <c r="AS334" s="213"/>
      <c r="AT334" s="213"/>
      <c r="AU334" s="213"/>
      <c r="AV334" s="213"/>
      <c r="AW334" s="213"/>
      <c r="AX334" s="213"/>
      <c r="AY334" s="213"/>
      <c r="AZ334" s="213"/>
      <c r="BA334" s="213"/>
      <c r="BB334" s="213"/>
      <c r="BC334" s="213"/>
      <c r="BD334" s="213"/>
      <c r="BE334" s="213"/>
      <c r="BF334" s="213"/>
      <c r="BG334" s="213"/>
      <c r="BH334" s="213"/>
      <c r="BI334" s="213"/>
      <c r="BJ334" s="213"/>
      <c r="BK334" s="213"/>
      <c r="BL334" s="213"/>
      <c r="BM334" s="213"/>
      <c r="BN334" s="213"/>
      <c r="BO334" s="213"/>
      <c r="BP334" s="213"/>
      <c r="BQ334" s="213"/>
      <c r="BR334" s="326"/>
      <c r="BS334" s="213"/>
      <c r="BT334" s="213"/>
      <c r="BU334" s="213"/>
      <c r="BV334" s="213"/>
      <c r="BW334" s="213"/>
      <c r="BX334" s="213"/>
      <c r="BY334" s="213"/>
      <c r="BZ334" s="213"/>
      <c r="CA334" s="213"/>
      <c r="CB334" s="213"/>
      <c r="CC334" s="213"/>
      <c r="CD334" s="213"/>
      <c r="CE334" s="213"/>
      <c r="CF334" s="213"/>
      <c r="CG334" s="213"/>
      <c r="CH334" s="213"/>
      <c r="CI334" s="213"/>
      <c r="CJ334" s="213"/>
      <c r="CK334" s="213"/>
      <c r="CL334" s="213"/>
      <c r="CM334" s="213"/>
      <c r="CN334" s="213"/>
      <c r="CO334" s="213"/>
      <c r="CP334" s="213"/>
    </row>
    <row r="335" ht="15.75" customHeight="1">
      <c r="A335" s="213"/>
      <c r="B335" s="213"/>
      <c r="C335" s="213"/>
      <c r="D335" s="213"/>
      <c r="E335" s="213"/>
      <c r="F335" s="213"/>
      <c r="G335" s="213"/>
      <c r="H335" s="213"/>
      <c r="I335" s="213"/>
      <c r="J335" s="213"/>
      <c r="K335" s="213"/>
      <c r="L335" s="213"/>
      <c r="M335" s="213"/>
      <c r="N335" s="213"/>
      <c r="O335" s="213"/>
      <c r="P335" s="213"/>
      <c r="Q335" s="213"/>
      <c r="R335" s="213"/>
      <c r="S335" s="213"/>
      <c r="T335" s="213"/>
      <c r="U335" s="213"/>
      <c r="V335" s="213"/>
      <c r="W335" s="238"/>
      <c r="X335" s="213"/>
      <c r="Y335" s="213"/>
      <c r="Z335" s="213"/>
      <c r="AA335" s="213"/>
      <c r="AB335" s="213"/>
      <c r="AC335" s="213"/>
      <c r="AD335" s="213"/>
      <c r="AE335" s="213"/>
      <c r="AF335" s="213"/>
      <c r="AG335" s="213"/>
      <c r="AH335" s="213"/>
      <c r="AI335" s="213"/>
      <c r="AJ335" s="213"/>
      <c r="AK335" s="213"/>
      <c r="AL335" s="213"/>
      <c r="AM335" s="213"/>
      <c r="AN335" s="213"/>
      <c r="AO335" s="213"/>
      <c r="AP335" s="213"/>
      <c r="AQ335" s="213"/>
      <c r="AR335" s="213"/>
      <c r="AS335" s="213"/>
      <c r="AT335" s="213"/>
      <c r="AU335" s="213"/>
      <c r="AV335" s="213"/>
      <c r="AW335" s="213"/>
      <c r="AX335" s="213"/>
      <c r="AY335" s="213"/>
      <c r="AZ335" s="213"/>
      <c r="BA335" s="213"/>
      <c r="BB335" s="213"/>
      <c r="BC335" s="213"/>
      <c r="BD335" s="213"/>
      <c r="BE335" s="213"/>
      <c r="BF335" s="213"/>
      <c r="BG335" s="213"/>
      <c r="BH335" s="213"/>
      <c r="BI335" s="213"/>
      <c r="BJ335" s="213"/>
      <c r="BK335" s="213"/>
      <c r="BL335" s="213"/>
      <c r="BM335" s="213"/>
      <c r="BN335" s="213"/>
      <c r="BO335" s="213"/>
      <c r="BP335" s="213"/>
      <c r="BQ335" s="213"/>
      <c r="BR335" s="326"/>
      <c r="BS335" s="213"/>
      <c r="BT335" s="213"/>
      <c r="BU335" s="213"/>
      <c r="BV335" s="213"/>
      <c r="BW335" s="213"/>
      <c r="BX335" s="213"/>
      <c r="BY335" s="213"/>
      <c r="BZ335" s="213"/>
      <c r="CA335" s="213"/>
      <c r="CB335" s="213"/>
      <c r="CC335" s="213"/>
      <c r="CD335" s="213"/>
      <c r="CE335" s="213"/>
      <c r="CF335" s="213"/>
      <c r="CG335" s="213"/>
      <c r="CH335" s="213"/>
      <c r="CI335" s="213"/>
      <c r="CJ335" s="213"/>
      <c r="CK335" s="213"/>
      <c r="CL335" s="213"/>
      <c r="CM335" s="213"/>
      <c r="CN335" s="213"/>
      <c r="CO335" s="213"/>
      <c r="CP335" s="213"/>
    </row>
    <row r="336" ht="15.75" customHeight="1">
      <c r="A336" s="213"/>
      <c r="B336" s="213"/>
      <c r="C336" s="213"/>
      <c r="D336" s="213"/>
      <c r="E336" s="213"/>
      <c r="F336" s="213"/>
      <c r="G336" s="213"/>
      <c r="H336" s="213"/>
      <c r="I336" s="213"/>
      <c r="J336" s="213"/>
      <c r="K336" s="213"/>
      <c r="L336" s="213"/>
      <c r="M336" s="213"/>
      <c r="N336" s="213"/>
      <c r="O336" s="213"/>
      <c r="P336" s="213"/>
      <c r="Q336" s="213"/>
      <c r="R336" s="213"/>
      <c r="S336" s="213"/>
      <c r="T336" s="213"/>
      <c r="U336" s="213"/>
      <c r="V336" s="213"/>
      <c r="W336" s="238"/>
      <c r="X336" s="213"/>
      <c r="Y336" s="213"/>
      <c r="Z336" s="213"/>
      <c r="AA336" s="213"/>
      <c r="AB336" s="213"/>
      <c r="AC336" s="213"/>
      <c r="AD336" s="213"/>
      <c r="AE336" s="213"/>
      <c r="AF336" s="213"/>
      <c r="AG336" s="213"/>
      <c r="AH336" s="213"/>
      <c r="AI336" s="213"/>
      <c r="AJ336" s="213"/>
      <c r="AK336" s="213"/>
      <c r="AL336" s="213"/>
      <c r="AM336" s="213"/>
      <c r="AN336" s="213"/>
      <c r="AO336" s="213"/>
      <c r="AP336" s="213"/>
      <c r="AQ336" s="213"/>
      <c r="AR336" s="213"/>
      <c r="AS336" s="213"/>
      <c r="AT336" s="213"/>
      <c r="AU336" s="213"/>
      <c r="AV336" s="213"/>
      <c r="AW336" s="213"/>
      <c r="AX336" s="213"/>
      <c r="AY336" s="213"/>
      <c r="AZ336" s="213"/>
      <c r="BA336" s="213"/>
      <c r="BB336" s="213"/>
      <c r="BC336" s="213"/>
      <c r="BD336" s="213"/>
      <c r="BE336" s="213"/>
      <c r="BF336" s="213"/>
      <c r="BG336" s="213"/>
      <c r="BH336" s="213"/>
      <c r="BI336" s="213"/>
      <c r="BJ336" s="213"/>
      <c r="BK336" s="213"/>
      <c r="BL336" s="213"/>
      <c r="BM336" s="213"/>
      <c r="BN336" s="213"/>
      <c r="BO336" s="213"/>
      <c r="BP336" s="213"/>
      <c r="BQ336" s="213"/>
      <c r="BR336" s="326"/>
      <c r="BS336" s="213"/>
      <c r="BT336" s="213"/>
      <c r="BU336" s="213"/>
      <c r="BV336" s="213"/>
      <c r="BW336" s="213"/>
      <c r="BX336" s="213"/>
      <c r="BY336" s="213"/>
      <c r="BZ336" s="213"/>
      <c r="CA336" s="213"/>
      <c r="CB336" s="213"/>
      <c r="CC336" s="213"/>
      <c r="CD336" s="213"/>
      <c r="CE336" s="213"/>
      <c r="CF336" s="213"/>
      <c r="CG336" s="213"/>
      <c r="CH336" s="213"/>
      <c r="CI336" s="213"/>
      <c r="CJ336" s="213"/>
      <c r="CK336" s="213"/>
      <c r="CL336" s="213"/>
      <c r="CM336" s="213"/>
      <c r="CN336" s="213"/>
      <c r="CO336" s="213"/>
      <c r="CP336" s="213"/>
    </row>
    <row r="337" ht="15.75" customHeight="1">
      <c r="A337" s="213"/>
      <c r="B337" s="213"/>
      <c r="C337" s="213"/>
      <c r="D337" s="213"/>
      <c r="E337" s="213"/>
      <c r="F337" s="213"/>
      <c r="G337" s="213"/>
      <c r="H337" s="213"/>
      <c r="I337" s="213"/>
      <c r="J337" s="213"/>
      <c r="K337" s="213"/>
      <c r="L337" s="213"/>
      <c r="M337" s="213"/>
      <c r="N337" s="213"/>
      <c r="O337" s="213"/>
      <c r="P337" s="213"/>
      <c r="Q337" s="213"/>
      <c r="R337" s="213"/>
      <c r="S337" s="213"/>
      <c r="T337" s="213"/>
      <c r="U337" s="213"/>
      <c r="V337" s="213"/>
      <c r="W337" s="238"/>
      <c r="X337" s="213"/>
      <c r="Y337" s="213"/>
      <c r="Z337" s="213"/>
      <c r="AA337" s="213"/>
      <c r="AB337" s="213"/>
      <c r="AC337" s="213"/>
      <c r="AD337" s="213"/>
      <c r="AE337" s="213"/>
      <c r="AF337" s="213"/>
      <c r="AG337" s="213"/>
      <c r="AH337" s="213"/>
      <c r="AI337" s="213"/>
      <c r="AJ337" s="213"/>
      <c r="AK337" s="213"/>
      <c r="AL337" s="213"/>
      <c r="AM337" s="213"/>
      <c r="AN337" s="213"/>
      <c r="AO337" s="213"/>
      <c r="AP337" s="213"/>
      <c r="AQ337" s="213"/>
      <c r="AR337" s="213"/>
      <c r="AS337" s="213"/>
      <c r="AT337" s="213"/>
      <c r="AU337" s="213"/>
      <c r="AV337" s="213"/>
      <c r="AW337" s="213"/>
      <c r="AX337" s="213"/>
      <c r="AY337" s="213"/>
      <c r="AZ337" s="213"/>
      <c r="BA337" s="213"/>
      <c r="BB337" s="213"/>
      <c r="BC337" s="213"/>
      <c r="BD337" s="213"/>
      <c r="BE337" s="213"/>
      <c r="BF337" s="213"/>
      <c r="BG337" s="213"/>
      <c r="BH337" s="213"/>
      <c r="BI337" s="213"/>
      <c r="BJ337" s="213"/>
      <c r="BK337" s="213"/>
      <c r="BL337" s="213"/>
      <c r="BM337" s="213"/>
      <c r="BN337" s="213"/>
      <c r="BO337" s="213"/>
      <c r="BP337" s="213"/>
      <c r="BQ337" s="213"/>
      <c r="BR337" s="326"/>
      <c r="BS337" s="213"/>
      <c r="BT337" s="213"/>
      <c r="BU337" s="213"/>
      <c r="BV337" s="213"/>
      <c r="BW337" s="213"/>
      <c r="BX337" s="213"/>
      <c r="BY337" s="213"/>
      <c r="BZ337" s="213"/>
      <c r="CA337" s="213"/>
      <c r="CB337" s="213"/>
      <c r="CC337" s="213"/>
      <c r="CD337" s="213"/>
      <c r="CE337" s="213"/>
      <c r="CF337" s="213"/>
      <c r="CG337" s="213"/>
      <c r="CH337" s="213"/>
      <c r="CI337" s="213"/>
      <c r="CJ337" s="213"/>
      <c r="CK337" s="213"/>
      <c r="CL337" s="213"/>
      <c r="CM337" s="213"/>
      <c r="CN337" s="213"/>
      <c r="CO337" s="213"/>
      <c r="CP337" s="213"/>
    </row>
    <row r="338" ht="15.75" customHeight="1">
      <c r="A338" s="213"/>
      <c r="B338" s="213"/>
      <c r="C338" s="213"/>
      <c r="D338" s="213"/>
      <c r="E338" s="213"/>
      <c r="F338" s="213"/>
      <c r="G338" s="213"/>
      <c r="H338" s="213"/>
      <c r="I338" s="213"/>
      <c r="J338" s="213"/>
      <c r="K338" s="213"/>
      <c r="L338" s="213"/>
      <c r="M338" s="213"/>
      <c r="N338" s="213"/>
      <c r="O338" s="213"/>
      <c r="P338" s="213"/>
      <c r="Q338" s="213"/>
      <c r="R338" s="213"/>
      <c r="S338" s="213"/>
      <c r="T338" s="213"/>
      <c r="U338" s="213"/>
      <c r="V338" s="213"/>
      <c r="W338" s="238"/>
      <c r="X338" s="213"/>
      <c r="Y338" s="213"/>
      <c r="Z338" s="213"/>
      <c r="AA338" s="213"/>
      <c r="AB338" s="213"/>
      <c r="AC338" s="213"/>
      <c r="AD338" s="213"/>
      <c r="AE338" s="213"/>
      <c r="AF338" s="213"/>
      <c r="AG338" s="213"/>
      <c r="AH338" s="213"/>
      <c r="AI338" s="213"/>
      <c r="AJ338" s="213"/>
      <c r="AK338" s="213"/>
      <c r="AL338" s="213"/>
      <c r="AM338" s="213"/>
      <c r="AN338" s="213"/>
      <c r="AO338" s="213"/>
      <c r="AP338" s="213"/>
      <c r="AQ338" s="213"/>
      <c r="AR338" s="213"/>
      <c r="AS338" s="213"/>
      <c r="AT338" s="213"/>
      <c r="AU338" s="213"/>
      <c r="AV338" s="213"/>
      <c r="AW338" s="213"/>
      <c r="AX338" s="213"/>
      <c r="AY338" s="213"/>
      <c r="AZ338" s="213"/>
      <c r="BA338" s="213"/>
      <c r="BB338" s="213"/>
      <c r="BC338" s="213"/>
      <c r="BD338" s="213"/>
      <c r="BE338" s="213"/>
      <c r="BF338" s="213"/>
      <c r="BG338" s="213"/>
      <c r="BH338" s="213"/>
      <c r="BI338" s="213"/>
      <c r="BJ338" s="213"/>
      <c r="BK338" s="213"/>
      <c r="BL338" s="213"/>
      <c r="BM338" s="213"/>
      <c r="BN338" s="213"/>
      <c r="BO338" s="213"/>
      <c r="BP338" s="213"/>
      <c r="BQ338" s="213"/>
      <c r="BR338" s="326"/>
      <c r="BS338" s="213"/>
      <c r="BT338" s="213"/>
      <c r="BU338" s="213"/>
      <c r="BV338" s="213"/>
      <c r="BW338" s="213"/>
      <c r="BX338" s="213"/>
      <c r="BY338" s="213"/>
      <c r="BZ338" s="213"/>
      <c r="CA338" s="213"/>
      <c r="CB338" s="213"/>
      <c r="CC338" s="213"/>
      <c r="CD338" s="213"/>
      <c r="CE338" s="213"/>
      <c r="CF338" s="213"/>
      <c r="CG338" s="213"/>
      <c r="CH338" s="213"/>
      <c r="CI338" s="213"/>
      <c r="CJ338" s="213"/>
      <c r="CK338" s="213"/>
      <c r="CL338" s="213"/>
      <c r="CM338" s="213"/>
      <c r="CN338" s="213"/>
      <c r="CO338" s="213"/>
      <c r="CP338" s="213"/>
    </row>
    <row r="339" ht="15.75" customHeight="1">
      <c r="A339" s="213"/>
      <c r="B339" s="213"/>
      <c r="C339" s="213"/>
      <c r="D339" s="213"/>
      <c r="E339" s="213"/>
      <c r="F339" s="213"/>
      <c r="G339" s="213"/>
      <c r="H339" s="213"/>
      <c r="I339" s="213"/>
      <c r="J339" s="213"/>
      <c r="K339" s="213"/>
      <c r="L339" s="213"/>
      <c r="M339" s="213"/>
      <c r="N339" s="213"/>
      <c r="O339" s="213"/>
      <c r="P339" s="213"/>
      <c r="Q339" s="213"/>
      <c r="R339" s="213"/>
      <c r="S339" s="213"/>
      <c r="T339" s="213"/>
      <c r="U339" s="213"/>
      <c r="V339" s="213"/>
      <c r="W339" s="238"/>
      <c r="X339" s="213"/>
      <c r="Y339" s="213"/>
      <c r="Z339" s="213"/>
      <c r="AA339" s="213"/>
      <c r="AB339" s="213"/>
      <c r="AC339" s="213"/>
      <c r="AD339" s="213"/>
      <c r="AE339" s="213"/>
      <c r="AF339" s="213"/>
      <c r="AG339" s="213"/>
      <c r="AH339" s="213"/>
      <c r="AI339" s="213"/>
      <c r="AJ339" s="213"/>
      <c r="AK339" s="213"/>
      <c r="AL339" s="213"/>
      <c r="AM339" s="213"/>
      <c r="AN339" s="213"/>
      <c r="AO339" s="213"/>
      <c r="AP339" s="213"/>
      <c r="AQ339" s="213"/>
      <c r="AR339" s="213"/>
      <c r="AS339" s="213"/>
      <c r="AT339" s="213"/>
      <c r="AU339" s="213"/>
      <c r="AV339" s="213"/>
      <c r="AW339" s="213"/>
      <c r="AX339" s="213"/>
      <c r="AY339" s="213"/>
      <c r="AZ339" s="213"/>
      <c r="BA339" s="213"/>
      <c r="BB339" s="213"/>
      <c r="BC339" s="213"/>
      <c r="BD339" s="213"/>
      <c r="BE339" s="213"/>
      <c r="BF339" s="213"/>
      <c r="BG339" s="213"/>
      <c r="BH339" s="213"/>
      <c r="BI339" s="213"/>
      <c r="BJ339" s="213"/>
      <c r="BK339" s="213"/>
      <c r="BL339" s="213"/>
      <c r="BM339" s="213"/>
      <c r="BN339" s="213"/>
      <c r="BO339" s="213"/>
      <c r="BP339" s="213"/>
      <c r="BQ339" s="213"/>
      <c r="BR339" s="326"/>
      <c r="BS339" s="213"/>
      <c r="BT339" s="213"/>
      <c r="BU339" s="213"/>
      <c r="BV339" s="213"/>
      <c r="BW339" s="213"/>
      <c r="BX339" s="213"/>
      <c r="BY339" s="213"/>
      <c r="BZ339" s="213"/>
      <c r="CA339" s="213"/>
      <c r="CB339" s="213"/>
      <c r="CC339" s="213"/>
      <c r="CD339" s="213"/>
      <c r="CE339" s="213"/>
      <c r="CF339" s="213"/>
      <c r="CG339" s="213"/>
      <c r="CH339" s="213"/>
      <c r="CI339" s="213"/>
      <c r="CJ339" s="213"/>
      <c r="CK339" s="213"/>
      <c r="CL339" s="213"/>
      <c r="CM339" s="213"/>
      <c r="CN339" s="213"/>
      <c r="CO339" s="213"/>
      <c r="CP339" s="213"/>
    </row>
    <row r="340" ht="15.75" customHeight="1">
      <c r="A340" s="213"/>
      <c r="B340" s="213"/>
      <c r="C340" s="213"/>
      <c r="D340" s="213"/>
      <c r="E340" s="213"/>
      <c r="F340" s="213"/>
      <c r="G340" s="213"/>
      <c r="H340" s="213"/>
      <c r="I340" s="213"/>
      <c r="J340" s="213"/>
      <c r="K340" s="213"/>
      <c r="L340" s="213"/>
      <c r="M340" s="213"/>
      <c r="N340" s="213"/>
      <c r="O340" s="213"/>
      <c r="P340" s="213"/>
      <c r="Q340" s="213"/>
      <c r="R340" s="213"/>
      <c r="S340" s="213"/>
      <c r="T340" s="213"/>
      <c r="U340" s="213"/>
      <c r="V340" s="213"/>
      <c r="W340" s="238"/>
      <c r="X340" s="213"/>
      <c r="Y340" s="213"/>
      <c r="Z340" s="213"/>
      <c r="AA340" s="213"/>
      <c r="AB340" s="213"/>
      <c r="AC340" s="213"/>
      <c r="AD340" s="213"/>
      <c r="AE340" s="213"/>
      <c r="AF340" s="213"/>
      <c r="AG340" s="213"/>
      <c r="AH340" s="213"/>
      <c r="AI340" s="213"/>
      <c r="AJ340" s="213"/>
      <c r="AK340" s="213"/>
      <c r="AL340" s="213"/>
      <c r="AM340" s="213"/>
      <c r="AN340" s="213"/>
      <c r="AO340" s="213"/>
      <c r="AP340" s="213"/>
      <c r="AQ340" s="213"/>
      <c r="AR340" s="213"/>
      <c r="AS340" s="213"/>
      <c r="AT340" s="213"/>
      <c r="AU340" s="213"/>
      <c r="AV340" s="213"/>
      <c r="AW340" s="213"/>
      <c r="AX340" s="213"/>
      <c r="AY340" s="213"/>
      <c r="AZ340" s="213"/>
      <c r="BA340" s="213"/>
      <c r="BB340" s="213"/>
      <c r="BC340" s="213"/>
      <c r="BD340" s="213"/>
      <c r="BE340" s="213"/>
      <c r="BF340" s="213"/>
      <c r="BG340" s="213"/>
      <c r="BH340" s="213"/>
      <c r="BI340" s="213"/>
      <c r="BJ340" s="213"/>
      <c r="BK340" s="213"/>
      <c r="BL340" s="213"/>
      <c r="BM340" s="213"/>
      <c r="BN340" s="213"/>
      <c r="BO340" s="213"/>
      <c r="BP340" s="213"/>
      <c r="BQ340" s="213"/>
      <c r="BR340" s="326"/>
      <c r="BS340" s="213"/>
      <c r="BT340" s="213"/>
      <c r="BU340" s="213"/>
      <c r="BV340" s="213"/>
      <c r="BW340" s="213"/>
      <c r="BX340" s="213"/>
      <c r="BY340" s="213"/>
      <c r="BZ340" s="213"/>
      <c r="CA340" s="213"/>
      <c r="CB340" s="213"/>
      <c r="CC340" s="213"/>
      <c r="CD340" s="213"/>
      <c r="CE340" s="213"/>
      <c r="CF340" s="213"/>
      <c r="CG340" s="213"/>
      <c r="CH340" s="213"/>
      <c r="CI340" s="213"/>
      <c r="CJ340" s="213"/>
      <c r="CK340" s="213"/>
      <c r="CL340" s="213"/>
      <c r="CM340" s="213"/>
      <c r="CN340" s="213"/>
      <c r="CO340" s="213"/>
      <c r="CP340" s="213"/>
    </row>
    <row r="341" ht="15.75" customHeight="1">
      <c r="A341" s="213"/>
      <c r="B341" s="213"/>
      <c r="C341" s="213"/>
      <c r="D341" s="213"/>
      <c r="E341" s="213"/>
      <c r="F341" s="213"/>
      <c r="G341" s="213"/>
      <c r="H341" s="213"/>
      <c r="I341" s="213"/>
      <c r="J341" s="213"/>
      <c r="K341" s="213"/>
      <c r="L341" s="213"/>
      <c r="M341" s="213"/>
      <c r="N341" s="213"/>
      <c r="O341" s="213"/>
      <c r="P341" s="213"/>
      <c r="Q341" s="213"/>
      <c r="R341" s="213"/>
      <c r="S341" s="213"/>
      <c r="T341" s="213"/>
      <c r="U341" s="213"/>
      <c r="V341" s="213"/>
      <c r="W341" s="238"/>
      <c r="X341" s="213"/>
      <c r="Y341" s="213"/>
      <c r="Z341" s="213"/>
      <c r="AA341" s="213"/>
      <c r="AB341" s="213"/>
      <c r="AC341" s="213"/>
      <c r="AD341" s="213"/>
      <c r="AE341" s="213"/>
      <c r="AF341" s="213"/>
      <c r="AG341" s="213"/>
      <c r="AH341" s="213"/>
      <c r="AI341" s="213"/>
      <c r="AJ341" s="213"/>
      <c r="AK341" s="213"/>
      <c r="AL341" s="213"/>
      <c r="AM341" s="213"/>
      <c r="AN341" s="213"/>
      <c r="AO341" s="213"/>
      <c r="AP341" s="213"/>
      <c r="AQ341" s="213"/>
      <c r="AR341" s="213"/>
      <c r="AS341" s="213"/>
      <c r="AT341" s="213"/>
      <c r="AU341" s="213"/>
      <c r="AV341" s="213"/>
      <c r="AW341" s="213"/>
      <c r="AX341" s="213"/>
      <c r="AY341" s="213"/>
      <c r="AZ341" s="213"/>
      <c r="BA341" s="213"/>
      <c r="BB341" s="213"/>
      <c r="BC341" s="213"/>
      <c r="BD341" s="213"/>
      <c r="BE341" s="213"/>
      <c r="BF341" s="213"/>
      <c r="BG341" s="213"/>
      <c r="BH341" s="213"/>
      <c r="BI341" s="213"/>
      <c r="BJ341" s="213"/>
      <c r="BK341" s="213"/>
      <c r="BL341" s="213"/>
      <c r="BM341" s="213"/>
      <c r="BN341" s="213"/>
      <c r="BO341" s="213"/>
      <c r="BP341" s="213"/>
      <c r="BQ341" s="213"/>
      <c r="BR341" s="326"/>
      <c r="BS341" s="213"/>
      <c r="BT341" s="213"/>
      <c r="BU341" s="213"/>
      <c r="BV341" s="213"/>
      <c r="BW341" s="213"/>
      <c r="BX341" s="213"/>
      <c r="BY341" s="213"/>
      <c r="BZ341" s="213"/>
      <c r="CA341" s="213"/>
      <c r="CB341" s="213"/>
      <c r="CC341" s="213"/>
      <c r="CD341" s="213"/>
      <c r="CE341" s="213"/>
      <c r="CF341" s="213"/>
      <c r="CG341" s="213"/>
      <c r="CH341" s="213"/>
      <c r="CI341" s="213"/>
      <c r="CJ341" s="213"/>
      <c r="CK341" s="213"/>
      <c r="CL341" s="213"/>
      <c r="CM341" s="213"/>
      <c r="CN341" s="213"/>
      <c r="CO341" s="213"/>
      <c r="CP341" s="213"/>
    </row>
    <row r="342" ht="15.75" customHeight="1">
      <c r="A342" s="213"/>
      <c r="B342" s="213"/>
      <c r="C342" s="213"/>
      <c r="D342" s="213"/>
      <c r="E342" s="213"/>
      <c r="F342" s="213"/>
      <c r="G342" s="213"/>
      <c r="H342" s="213"/>
      <c r="I342" s="213"/>
      <c r="J342" s="213"/>
      <c r="K342" s="213"/>
      <c r="L342" s="213"/>
      <c r="M342" s="213"/>
      <c r="N342" s="213"/>
      <c r="O342" s="213"/>
      <c r="P342" s="213"/>
      <c r="Q342" s="213"/>
      <c r="R342" s="213"/>
      <c r="S342" s="213"/>
      <c r="T342" s="213"/>
      <c r="U342" s="213"/>
      <c r="V342" s="213"/>
      <c r="W342" s="238"/>
      <c r="X342" s="213"/>
      <c r="Y342" s="213"/>
      <c r="Z342" s="213"/>
      <c r="AA342" s="213"/>
      <c r="AB342" s="213"/>
      <c r="AC342" s="213"/>
      <c r="AD342" s="213"/>
      <c r="AE342" s="213"/>
      <c r="AF342" s="213"/>
      <c r="AG342" s="213"/>
      <c r="AH342" s="213"/>
      <c r="AI342" s="213"/>
      <c r="AJ342" s="213"/>
      <c r="AK342" s="213"/>
      <c r="AL342" s="213"/>
      <c r="AM342" s="213"/>
      <c r="AN342" s="213"/>
      <c r="AO342" s="213"/>
      <c r="AP342" s="213"/>
      <c r="AQ342" s="213"/>
      <c r="AR342" s="213"/>
      <c r="AS342" s="213"/>
      <c r="AT342" s="213"/>
      <c r="AU342" s="213"/>
      <c r="AV342" s="213"/>
      <c r="AW342" s="213"/>
      <c r="AX342" s="213"/>
      <c r="AY342" s="213"/>
      <c r="AZ342" s="213"/>
      <c r="BA342" s="213"/>
      <c r="BB342" s="213"/>
      <c r="BC342" s="213"/>
      <c r="BD342" s="213"/>
      <c r="BE342" s="213"/>
      <c r="BF342" s="213"/>
      <c r="BG342" s="213"/>
      <c r="BH342" s="213"/>
      <c r="BI342" s="213"/>
      <c r="BJ342" s="213"/>
      <c r="BK342" s="213"/>
      <c r="BL342" s="213"/>
      <c r="BM342" s="213"/>
      <c r="BN342" s="213"/>
      <c r="BO342" s="213"/>
      <c r="BP342" s="213"/>
      <c r="BQ342" s="213"/>
      <c r="BR342" s="326"/>
      <c r="BS342" s="213"/>
      <c r="BT342" s="213"/>
      <c r="BU342" s="213"/>
      <c r="BV342" s="213"/>
      <c r="BW342" s="213"/>
      <c r="BX342" s="213"/>
      <c r="BY342" s="213"/>
      <c r="BZ342" s="213"/>
      <c r="CA342" s="213"/>
      <c r="CB342" s="213"/>
      <c r="CC342" s="213"/>
      <c r="CD342" s="213"/>
      <c r="CE342" s="213"/>
      <c r="CF342" s="213"/>
      <c r="CG342" s="213"/>
      <c r="CH342" s="213"/>
      <c r="CI342" s="213"/>
      <c r="CJ342" s="213"/>
      <c r="CK342" s="213"/>
      <c r="CL342" s="213"/>
      <c r="CM342" s="213"/>
      <c r="CN342" s="213"/>
      <c r="CO342" s="213"/>
      <c r="CP342" s="213"/>
    </row>
    <row r="343" ht="15.75" customHeight="1">
      <c r="A343" s="213"/>
      <c r="B343" s="213"/>
      <c r="C343" s="213"/>
      <c r="D343" s="213"/>
      <c r="E343" s="213"/>
      <c r="F343" s="213"/>
      <c r="G343" s="213"/>
      <c r="H343" s="213"/>
      <c r="I343" s="213"/>
      <c r="J343" s="213"/>
      <c r="K343" s="213"/>
      <c r="L343" s="213"/>
      <c r="M343" s="213"/>
      <c r="N343" s="213"/>
      <c r="O343" s="213"/>
      <c r="P343" s="213"/>
      <c r="Q343" s="213"/>
      <c r="R343" s="213"/>
      <c r="S343" s="213"/>
      <c r="T343" s="213"/>
      <c r="U343" s="213"/>
      <c r="V343" s="213"/>
      <c r="W343" s="238"/>
      <c r="X343" s="213"/>
      <c r="Y343" s="213"/>
      <c r="Z343" s="213"/>
      <c r="AA343" s="213"/>
      <c r="AB343" s="213"/>
      <c r="AC343" s="213"/>
      <c r="AD343" s="213"/>
      <c r="AE343" s="213"/>
      <c r="AF343" s="213"/>
      <c r="AG343" s="213"/>
      <c r="AH343" s="213"/>
      <c r="AI343" s="213"/>
      <c r="AJ343" s="213"/>
      <c r="AK343" s="213"/>
      <c r="AL343" s="213"/>
      <c r="AM343" s="213"/>
      <c r="AN343" s="213"/>
      <c r="AO343" s="213"/>
      <c r="AP343" s="213"/>
      <c r="AQ343" s="213"/>
      <c r="AR343" s="213"/>
      <c r="AS343" s="213"/>
      <c r="AT343" s="213"/>
      <c r="AU343" s="213"/>
      <c r="AV343" s="213"/>
      <c r="AW343" s="213"/>
      <c r="AX343" s="213"/>
      <c r="AY343" s="213"/>
      <c r="AZ343" s="213"/>
      <c r="BA343" s="213"/>
      <c r="BB343" s="213"/>
      <c r="BC343" s="213"/>
      <c r="BD343" s="213"/>
      <c r="BE343" s="213"/>
      <c r="BF343" s="213"/>
      <c r="BG343" s="213"/>
      <c r="BH343" s="213"/>
      <c r="BI343" s="213"/>
      <c r="BJ343" s="213"/>
      <c r="BK343" s="213"/>
      <c r="BL343" s="213"/>
      <c r="BM343" s="213"/>
      <c r="BN343" s="213"/>
      <c r="BO343" s="213"/>
      <c r="BP343" s="213"/>
      <c r="BQ343" s="213"/>
      <c r="BR343" s="326"/>
      <c r="BS343" s="213"/>
      <c r="BT343" s="213"/>
      <c r="BU343" s="213"/>
      <c r="BV343" s="213"/>
      <c r="BW343" s="213"/>
      <c r="BX343" s="213"/>
      <c r="BY343" s="213"/>
      <c r="BZ343" s="213"/>
      <c r="CA343" s="213"/>
      <c r="CB343" s="213"/>
      <c r="CC343" s="213"/>
      <c r="CD343" s="213"/>
      <c r="CE343" s="213"/>
      <c r="CF343" s="213"/>
      <c r="CG343" s="213"/>
      <c r="CH343" s="213"/>
      <c r="CI343" s="213"/>
      <c r="CJ343" s="213"/>
      <c r="CK343" s="213"/>
      <c r="CL343" s="213"/>
      <c r="CM343" s="213"/>
      <c r="CN343" s="213"/>
      <c r="CO343" s="213"/>
      <c r="CP343" s="213"/>
    </row>
    <row r="344" ht="15.75" customHeight="1">
      <c r="A344" s="213"/>
      <c r="B344" s="213"/>
      <c r="C344" s="213"/>
      <c r="D344" s="213"/>
      <c r="E344" s="213"/>
      <c r="F344" s="213"/>
      <c r="G344" s="213"/>
      <c r="H344" s="213"/>
      <c r="I344" s="213"/>
      <c r="J344" s="213"/>
      <c r="K344" s="213"/>
      <c r="L344" s="213"/>
      <c r="M344" s="213"/>
      <c r="N344" s="213"/>
      <c r="O344" s="213"/>
      <c r="P344" s="213"/>
      <c r="Q344" s="213"/>
      <c r="R344" s="213"/>
      <c r="S344" s="213"/>
      <c r="T344" s="213"/>
      <c r="U344" s="213"/>
      <c r="V344" s="213"/>
      <c r="W344" s="238"/>
      <c r="X344" s="213"/>
      <c r="Y344" s="213"/>
      <c r="Z344" s="213"/>
      <c r="AA344" s="213"/>
      <c r="AB344" s="213"/>
      <c r="AC344" s="213"/>
      <c r="AD344" s="213"/>
      <c r="AE344" s="213"/>
      <c r="AF344" s="213"/>
      <c r="AG344" s="213"/>
      <c r="AH344" s="213"/>
      <c r="AI344" s="213"/>
      <c r="AJ344" s="213"/>
      <c r="AK344" s="213"/>
      <c r="AL344" s="213"/>
      <c r="AM344" s="213"/>
      <c r="AN344" s="213"/>
      <c r="AO344" s="213"/>
      <c r="AP344" s="213"/>
      <c r="AQ344" s="213"/>
      <c r="AR344" s="213"/>
      <c r="AS344" s="213"/>
      <c r="AT344" s="213"/>
      <c r="AU344" s="213"/>
      <c r="AV344" s="213"/>
      <c r="AW344" s="213"/>
      <c r="AX344" s="213"/>
      <c r="AY344" s="213"/>
      <c r="AZ344" s="213"/>
      <c r="BA344" s="213"/>
      <c r="BB344" s="213"/>
      <c r="BC344" s="213"/>
      <c r="BD344" s="213"/>
      <c r="BE344" s="213"/>
      <c r="BF344" s="213"/>
      <c r="BG344" s="213"/>
      <c r="BH344" s="213"/>
      <c r="BI344" s="213"/>
      <c r="BJ344" s="213"/>
      <c r="BK344" s="213"/>
      <c r="BL344" s="213"/>
      <c r="BM344" s="213"/>
      <c r="BN344" s="213"/>
      <c r="BO344" s="213"/>
      <c r="BP344" s="213"/>
      <c r="BQ344" s="213"/>
      <c r="BR344" s="326"/>
      <c r="BS344" s="213"/>
      <c r="BT344" s="213"/>
      <c r="BU344" s="213"/>
      <c r="BV344" s="213"/>
      <c r="BW344" s="213"/>
      <c r="BX344" s="213"/>
      <c r="BY344" s="213"/>
      <c r="BZ344" s="213"/>
      <c r="CA344" s="213"/>
      <c r="CB344" s="213"/>
      <c r="CC344" s="213"/>
      <c r="CD344" s="213"/>
      <c r="CE344" s="213"/>
      <c r="CF344" s="213"/>
      <c r="CG344" s="213"/>
      <c r="CH344" s="213"/>
      <c r="CI344" s="213"/>
      <c r="CJ344" s="213"/>
      <c r="CK344" s="213"/>
      <c r="CL344" s="213"/>
      <c r="CM344" s="213"/>
      <c r="CN344" s="213"/>
      <c r="CO344" s="213"/>
      <c r="CP344" s="213"/>
    </row>
    <row r="345" ht="15.75" customHeight="1">
      <c r="A345" s="213"/>
      <c r="B345" s="213"/>
      <c r="C345" s="213"/>
      <c r="D345" s="213"/>
      <c r="E345" s="213"/>
      <c r="F345" s="213"/>
      <c r="G345" s="213"/>
      <c r="H345" s="213"/>
      <c r="I345" s="213"/>
      <c r="J345" s="213"/>
      <c r="K345" s="213"/>
      <c r="L345" s="213"/>
      <c r="M345" s="213"/>
      <c r="N345" s="213"/>
      <c r="O345" s="213"/>
      <c r="P345" s="213"/>
      <c r="Q345" s="213"/>
      <c r="R345" s="213"/>
      <c r="S345" s="213"/>
      <c r="T345" s="213"/>
      <c r="U345" s="213"/>
      <c r="V345" s="213"/>
      <c r="W345" s="238"/>
      <c r="X345" s="213"/>
      <c r="Y345" s="213"/>
      <c r="Z345" s="213"/>
      <c r="AA345" s="213"/>
      <c r="AB345" s="213"/>
      <c r="AC345" s="213"/>
      <c r="AD345" s="213"/>
      <c r="AE345" s="213"/>
      <c r="AF345" s="213"/>
      <c r="AG345" s="213"/>
      <c r="AH345" s="213"/>
      <c r="AI345" s="213"/>
      <c r="AJ345" s="213"/>
      <c r="AK345" s="213"/>
      <c r="AL345" s="213"/>
      <c r="AM345" s="213"/>
      <c r="AN345" s="213"/>
      <c r="AO345" s="213"/>
      <c r="AP345" s="213"/>
      <c r="AQ345" s="213"/>
      <c r="AR345" s="213"/>
      <c r="AS345" s="213"/>
      <c r="AT345" s="213"/>
      <c r="AU345" s="213"/>
      <c r="AV345" s="213"/>
      <c r="AW345" s="213"/>
      <c r="AX345" s="213"/>
      <c r="AY345" s="213"/>
      <c r="AZ345" s="213"/>
      <c r="BA345" s="213"/>
      <c r="BB345" s="213"/>
      <c r="BC345" s="213"/>
      <c r="BD345" s="213"/>
      <c r="BE345" s="213"/>
      <c r="BF345" s="213"/>
      <c r="BG345" s="213"/>
      <c r="BH345" s="213"/>
      <c r="BI345" s="213"/>
      <c r="BJ345" s="213"/>
      <c r="BK345" s="213"/>
      <c r="BL345" s="213"/>
      <c r="BM345" s="213"/>
      <c r="BN345" s="213"/>
      <c r="BO345" s="213"/>
      <c r="BP345" s="213"/>
      <c r="BQ345" s="213"/>
      <c r="BR345" s="326"/>
      <c r="BS345" s="213"/>
      <c r="BT345" s="213"/>
      <c r="BU345" s="213"/>
      <c r="BV345" s="213"/>
      <c r="BW345" s="213"/>
      <c r="BX345" s="213"/>
      <c r="BY345" s="213"/>
      <c r="BZ345" s="213"/>
      <c r="CA345" s="213"/>
      <c r="CB345" s="213"/>
      <c r="CC345" s="213"/>
      <c r="CD345" s="213"/>
      <c r="CE345" s="213"/>
      <c r="CF345" s="213"/>
      <c r="CG345" s="213"/>
      <c r="CH345" s="213"/>
      <c r="CI345" s="213"/>
      <c r="CJ345" s="213"/>
      <c r="CK345" s="213"/>
      <c r="CL345" s="213"/>
      <c r="CM345" s="213"/>
      <c r="CN345" s="213"/>
      <c r="CO345" s="213"/>
      <c r="CP345" s="213"/>
    </row>
    <row r="346" ht="15.75" customHeight="1">
      <c r="A346" s="213"/>
      <c r="B346" s="213"/>
      <c r="C346" s="213"/>
      <c r="D346" s="213"/>
      <c r="E346" s="213"/>
      <c r="F346" s="213"/>
      <c r="G346" s="213"/>
      <c r="H346" s="213"/>
      <c r="I346" s="213"/>
      <c r="J346" s="213"/>
      <c r="K346" s="213"/>
      <c r="L346" s="213"/>
      <c r="M346" s="213"/>
      <c r="N346" s="213"/>
      <c r="O346" s="213"/>
      <c r="P346" s="213"/>
      <c r="Q346" s="213"/>
      <c r="R346" s="213"/>
      <c r="S346" s="213"/>
      <c r="T346" s="213"/>
      <c r="U346" s="213"/>
      <c r="V346" s="213"/>
      <c r="W346" s="238"/>
      <c r="X346" s="213"/>
      <c r="Y346" s="213"/>
      <c r="Z346" s="213"/>
      <c r="AA346" s="213"/>
      <c r="AB346" s="213"/>
      <c r="AC346" s="213"/>
      <c r="AD346" s="213"/>
      <c r="AE346" s="213"/>
      <c r="AF346" s="213"/>
      <c r="AG346" s="213"/>
      <c r="AH346" s="213"/>
      <c r="AI346" s="213"/>
      <c r="AJ346" s="213"/>
      <c r="AK346" s="213"/>
      <c r="AL346" s="213"/>
      <c r="AM346" s="213"/>
      <c r="AN346" s="213"/>
      <c r="AO346" s="213"/>
      <c r="AP346" s="213"/>
      <c r="AQ346" s="213"/>
      <c r="AR346" s="213"/>
      <c r="AS346" s="213"/>
      <c r="AT346" s="213"/>
      <c r="AU346" s="213"/>
      <c r="AV346" s="213"/>
      <c r="AW346" s="213"/>
      <c r="AX346" s="213"/>
      <c r="AY346" s="213"/>
      <c r="AZ346" s="213"/>
      <c r="BA346" s="213"/>
      <c r="BB346" s="213"/>
      <c r="BC346" s="213"/>
      <c r="BD346" s="213"/>
      <c r="BE346" s="213"/>
      <c r="BF346" s="213"/>
      <c r="BG346" s="213"/>
      <c r="BH346" s="213"/>
      <c r="BI346" s="213"/>
      <c r="BJ346" s="213"/>
      <c r="BK346" s="213"/>
      <c r="BL346" s="213"/>
      <c r="BM346" s="213"/>
      <c r="BN346" s="213"/>
      <c r="BO346" s="213"/>
      <c r="BP346" s="213"/>
      <c r="BQ346" s="213"/>
      <c r="BR346" s="326"/>
      <c r="BS346" s="213"/>
      <c r="BT346" s="213"/>
      <c r="BU346" s="213"/>
      <c r="BV346" s="213"/>
      <c r="BW346" s="213"/>
      <c r="BX346" s="213"/>
      <c r="BY346" s="213"/>
      <c r="BZ346" s="213"/>
      <c r="CA346" s="213"/>
      <c r="CB346" s="213"/>
      <c r="CC346" s="213"/>
      <c r="CD346" s="213"/>
      <c r="CE346" s="213"/>
      <c r="CF346" s="213"/>
      <c r="CG346" s="213"/>
      <c r="CH346" s="213"/>
      <c r="CI346" s="213"/>
      <c r="CJ346" s="213"/>
      <c r="CK346" s="213"/>
      <c r="CL346" s="213"/>
      <c r="CM346" s="213"/>
      <c r="CN346" s="213"/>
      <c r="CO346" s="213"/>
      <c r="CP346" s="213"/>
    </row>
    <row r="347" ht="15.75" customHeight="1">
      <c r="A347" s="213"/>
      <c r="B347" s="213"/>
      <c r="C347" s="213"/>
      <c r="D347" s="213"/>
      <c r="E347" s="213"/>
      <c r="F347" s="213"/>
      <c r="G347" s="213"/>
      <c r="H347" s="213"/>
      <c r="I347" s="213"/>
      <c r="J347" s="213"/>
      <c r="K347" s="213"/>
      <c r="L347" s="213"/>
      <c r="M347" s="213"/>
      <c r="N347" s="213"/>
      <c r="O347" s="213"/>
      <c r="P347" s="213"/>
      <c r="Q347" s="213"/>
      <c r="R347" s="213"/>
      <c r="S347" s="213"/>
      <c r="T347" s="213"/>
      <c r="U347" s="213"/>
      <c r="V347" s="213"/>
      <c r="W347" s="238"/>
      <c r="X347" s="213"/>
      <c r="Y347" s="213"/>
      <c r="Z347" s="213"/>
      <c r="AA347" s="213"/>
      <c r="AB347" s="213"/>
      <c r="AC347" s="213"/>
      <c r="AD347" s="213"/>
      <c r="AE347" s="213"/>
      <c r="AF347" s="213"/>
      <c r="AG347" s="213"/>
      <c r="AH347" s="213"/>
      <c r="AI347" s="213"/>
      <c r="AJ347" s="213"/>
      <c r="AK347" s="213"/>
      <c r="AL347" s="213"/>
      <c r="AM347" s="213"/>
      <c r="AN347" s="213"/>
      <c r="AO347" s="213"/>
      <c r="AP347" s="213"/>
      <c r="AQ347" s="213"/>
      <c r="AR347" s="213"/>
      <c r="AS347" s="213"/>
      <c r="AT347" s="213"/>
      <c r="AU347" s="213"/>
      <c r="AV347" s="213"/>
      <c r="AW347" s="213"/>
      <c r="AX347" s="213"/>
      <c r="AY347" s="213"/>
      <c r="AZ347" s="213"/>
      <c r="BA347" s="213"/>
      <c r="BB347" s="213"/>
      <c r="BC347" s="213"/>
      <c r="BD347" s="213"/>
      <c r="BE347" s="213"/>
      <c r="BF347" s="213"/>
      <c r="BG347" s="213"/>
      <c r="BH347" s="213"/>
      <c r="BI347" s="213"/>
      <c r="BJ347" s="213"/>
      <c r="BK347" s="213"/>
      <c r="BL347" s="213"/>
      <c r="BM347" s="213"/>
      <c r="BN347" s="213"/>
      <c r="BO347" s="213"/>
      <c r="BP347" s="213"/>
      <c r="BQ347" s="213"/>
      <c r="BR347" s="326"/>
      <c r="BS347" s="213"/>
      <c r="BT347" s="213"/>
      <c r="BU347" s="213"/>
      <c r="BV347" s="213"/>
      <c r="BW347" s="213"/>
      <c r="BX347" s="213"/>
      <c r="BY347" s="213"/>
      <c r="BZ347" s="213"/>
      <c r="CA347" s="213"/>
      <c r="CB347" s="213"/>
      <c r="CC347" s="213"/>
      <c r="CD347" s="213"/>
      <c r="CE347" s="213"/>
      <c r="CF347" s="213"/>
      <c r="CG347" s="213"/>
      <c r="CH347" s="213"/>
      <c r="CI347" s="213"/>
      <c r="CJ347" s="213"/>
      <c r="CK347" s="213"/>
      <c r="CL347" s="213"/>
      <c r="CM347" s="213"/>
      <c r="CN347" s="213"/>
      <c r="CO347" s="213"/>
      <c r="CP347" s="213"/>
    </row>
    <row r="348" ht="15.75" customHeight="1">
      <c r="A348" s="213"/>
      <c r="B348" s="213"/>
      <c r="C348" s="213"/>
      <c r="D348" s="213"/>
      <c r="E348" s="213"/>
      <c r="F348" s="213"/>
      <c r="G348" s="213"/>
      <c r="H348" s="213"/>
      <c r="I348" s="213"/>
      <c r="J348" s="213"/>
      <c r="K348" s="213"/>
      <c r="L348" s="213"/>
      <c r="M348" s="213"/>
      <c r="N348" s="213"/>
      <c r="O348" s="213"/>
      <c r="P348" s="213"/>
      <c r="Q348" s="213"/>
      <c r="R348" s="213"/>
      <c r="S348" s="213"/>
      <c r="T348" s="213"/>
      <c r="U348" s="213"/>
      <c r="V348" s="213"/>
      <c r="W348" s="238"/>
      <c r="X348" s="213"/>
      <c r="Y348" s="213"/>
      <c r="Z348" s="213"/>
      <c r="AA348" s="213"/>
      <c r="AB348" s="213"/>
      <c r="AC348" s="213"/>
      <c r="AD348" s="213"/>
      <c r="AE348" s="213"/>
      <c r="AF348" s="213"/>
      <c r="AG348" s="213"/>
      <c r="AH348" s="213"/>
      <c r="AI348" s="213"/>
      <c r="AJ348" s="213"/>
      <c r="AK348" s="213"/>
      <c r="AL348" s="213"/>
      <c r="AM348" s="213"/>
      <c r="AN348" s="213"/>
      <c r="AO348" s="213"/>
      <c r="AP348" s="213"/>
      <c r="AQ348" s="213"/>
      <c r="AR348" s="213"/>
      <c r="AS348" s="213"/>
      <c r="AT348" s="213"/>
      <c r="AU348" s="213"/>
      <c r="AV348" s="213"/>
      <c r="AW348" s="213"/>
      <c r="AX348" s="213"/>
      <c r="AY348" s="213"/>
      <c r="AZ348" s="213"/>
      <c r="BA348" s="213"/>
      <c r="BB348" s="213"/>
      <c r="BC348" s="213"/>
      <c r="BD348" s="213"/>
      <c r="BE348" s="213"/>
      <c r="BF348" s="213"/>
      <c r="BG348" s="213"/>
      <c r="BH348" s="213"/>
      <c r="BI348" s="213"/>
      <c r="BJ348" s="213"/>
      <c r="BK348" s="213"/>
      <c r="BL348" s="213"/>
      <c r="BM348" s="213"/>
      <c r="BN348" s="213"/>
      <c r="BO348" s="213"/>
      <c r="BP348" s="213"/>
      <c r="BQ348" s="213"/>
      <c r="BR348" s="326"/>
      <c r="BS348" s="213"/>
      <c r="BT348" s="213"/>
      <c r="BU348" s="213"/>
      <c r="BV348" s="213"/>
      <c r="BW348" s="213"/>
      <c r="BX348" s="213"/>
      <c r="BY348" s="213"/>
      <c r="BZ348" s="213"/>
      <c r="CA348" s="213"/>
      <c r="CB348" s="213"/>
      <c r="CC348" s="213"/>
      <c r="CD348" s="213"/>
      <c r="CE348" s="213"/>
      <c r="CF348" s="213"/>
      <c r="CG348" s="213"/>
      <c r="CH348" s="213"/>
      <c r="CI348" s="213"/>
      <c r="CJ348" s="213"/>
      <c r="CK348" s="213"/>
      <c r="CL348" s="213"/>
      <c r="CM348" s="213"/>
      <c r="CN348" s="213"/>
      <c r="CO348" s="213"/>
      <c r="CP348" s="213"/>
    </row>
    <row r="349" ht="15.75" customHeight="1">
      <c r="A349" s="213"/>
      <c r="B349" s="213"/>
      <c r="C349" s="213"/>
      <c r="D349" s="213"/>
      <c r="E349" s="213"/>
      <c r="F349" s="213"/>
      <c r="G349" s="213"/>
      <c r="H349" s="213"/>
      <c r="I349" s="213"/>
      <c r="J349" s="213"/>
      <c r="K349" s="213"/>
      <c r="L349" s="213"/>
      <c r="M349" s="213"/>
      <c r="N349" s="213"/>
      <c r="O349" s="213"/>
      <c r="P349" s="213"/>
      <c r="Q349" s="213"/>
      <c r="R349" s="213"/>
      <c r="S349" s="213"/>
      <c r="T349" s="213"/>
      <c r="U349" s="213"/>
      <c r="V349" s="213"/>
      <c r="W349" s="238"/>
      <c r="X349" s="213"/>
      <c r="Y349" s="213"/>
      <c r="Z349" s="213"/>
      <c r="AA349" s="213"/>
      <c r="AB349" s="213"/>
      <c r="AC349" s="213"/>
      <c r="AD349" s="213"/>
      <c r="AE349" s="213"/>
      <c r="AF349" s="213"/>
      <c r="AG349" s="213"/>
      <c r="AH349" s="213"/>
      <c r="AI349" s="213"/>
      <c r="AJ349" s="213"/>
      <c r="AK349" s="213"/>
      <c r="AL349" s="213"/>
      <c r="AM349" s="213"/>
      <c r="AN349" s="213"/>
      <c r="AO349" s="213"/>
      <c r="AP349" s="213"/>
      <c r="AQ349" s="213"/>
      <c r="AR349" s="213"/>
      <c r="AS349" s="213"/>
      <c r="AT349" s="213"/>
      <c r="AU349" s="213"/>
      <c r="AV349" s="213"/>
      <c r="AW349" s="213"/>
      <c r="AX349" s="213"/>
      <c r="AY349" s="213"/>
      <c r="AZ349" s="213"/>
      <c r="BA349" s="213"/>
      <c r="BB349" s="213"/>
      <c r="BC349" s="213"/>
      <c r="BD349" s="213"/>
      <c r="BE349" s="213"/>
      <c r="BF349" s="213"/>
      <c r="BG349" s="213"/>
      <c r="BH349" s="213"/>
      <c r="BI349" s="213"/>
      <c r="BJ349" s="213"/>
      <c r="BK349" s="213"/>
      <c r="BL349" s="213"/>
      <c r="BM349" s="213"/>
      <c r="BN349" s="213"/>
      <c r="BO349" s="213"/>
      <c r="BP349" s="213"/>
      <c r="BQ349" s="213"/>
      <c r="BR349" s="326"/>
      <c r="BS349" s="213"/>
      <c r="BT349" s="213"/>
      <c r="BU349" s="213"/>
      <c r="BV349" s="213"/>
      <c r="BW349" s="213"/>
      <c r="BX349" s="213"/>
      <c r="BY349" s="213"/>
      <c r="BZ349" s="213"/>
      <c r="CA349" s="213"/>
      <c r="CB349" s="213"/>
      <c r="CC349" s="213"/>
      <c r="CD349" s="213"/>
      <c r="CE349" s="213"/>
      <c r="CF349" s="213"/>
      <c r="CG349" s="213"/>
      <c r="CH349" s="213"/>
      <c r="CI349" s="213"/>
      <c r="CJ349" s="213"/>
      <c r="CK349" s="213"/>
      <c r="CL349" s="213"/>
      <c r="CM349" s="213"/>
      <c r="CN349" s="213"/>
      <c r="CO349" s="213"/>
      <c r="CP349" s="213"/>
    </row>
    <row r="350" ht="15.75" customHeight="1">
      <c r="A350" s="213"/>
      <c r="B350" s="213"/>
      <c r="C350" s="213"/>
      <c r="D350" s="213"/>
      <c r="E350" s="213"/>
      <c r="F350" s="213"/>
      <c r="G350" s="213"/>
      <c r="H350" s="213"/>
      <c r="I350" s="213"/>
      <c r="J350" s="213"/>
      <c r="K350" s="213"/>
      <c r="L350" s="213"/>
      <c r="M350" s="213"/>
      <c r="N350" s="213"/>
      <c r="O350" s="213"/>
      <c r="P350" s="213"/>
      <c r="Q350" s="213"/>
      <c r="R350" s="213"/>
      <c r="S350" s="213"/>
      <c r="T350" s="213"/>
      <c r="U350" s="213"/>
      <c r="V350" s="213"/>
      <c r="W350" s="238"/>
      <c r="X350" s="213"/>
      <c r="Y350" s="213"/>
      <c r="Z350" s="213"/>
      <c r="AA350" s="213"/>
      <c r="AB350" s="213"/>
      <c r="AC350" s="213"/>
      <c r="AD350" s="213"/>
      <c r="AE350" s="213"/>
      <c r="AF350" s="213"/>
      <c r="AG350" s="213"/>
      <c r="AH350" s="213"/>
      <c r="AI350" s="213"/>
      <c r="AJ350" s="213"/>
      <c r="AK350" s="213"/>
      <c r="AL350" s="213"/>
      <c r="AM350" s="213"/>
      <c r="AN350" s="213"/>
      <c r="AO350" s="213"/>
      <c r="AP350" s="213"/>
      <c r="AQ350" s="213"/>
      <c r="AR350" s="213"/>
      <c r="AS350" s="213"/>
      <c r="AT350" s="213"/>
      <c r="AU350" s="213"/>
      <c r="AV350" s="213"/>
      <c r="AW350" s="213"/>
      <c r="AX350" s="213"/>
      <c r="AY350" s="213"/>
      <c r="AZ350" s="213"/>
      <c r="BA350" s="213"/>
      <c r="BB350" s="213"/>
      <c r="BC350" s="213"/>
      <c r="BD350" s="213"/>
      <c r="BE350" s="213"/>
      <c r="BF350" s="213"/>
      <c r="BG350" s="213"/>
      <c r="BH350" s="213"/>
      <c r="BI350" s="213"/>
      <c r="BJ350" s="213"/>
      <c r="BK350" s="213"/>
      <c r="BL350" s="213"/>
      <c r="BM350" s="213"/>
      <c r="BN350" s="213"/>
      <c r="BO350" s="213"/>
      <c r="BP350" s="213"/>
      <c r="BQ350" s="213"/>
      <c r="BR350" s="326"/>
      <c r="BS350" s="213"/>
      <c r="BT350" s="213"/>
      <c r="BU350" s="213"/>
      <c r="BV350" s="213"/>
      <c r="BW350" s="213"/>
      <c r="BX350" s="213"/>
      <c r="BY350" s="213"/>
      <c r="BZ350" s="213"/>
      <c r="CA350" s="213"/>
      <c r="CB350" s="213"/>
      <c r="CC350" s="213"/>
      <c r="CD350" s="213"/>
      <c r="CE350" s="213"/>
      <c r="CF350" s="213"/>
      <c r="CG350" s="213"/>
      <c r="CH350" s="213"/>
      <c r="CI350" s="213"/>
      <c r="CJ350" s="213"/>
      <c r="CK350" s="213"/>
      <c r="CL350" s="213"/>
      <c r="CM350" s="213"/>
      <c r="CN350" s="213"/>
      <c r="CO350" s="213"/>
      <c r="CP350" s="213"/>
    </row>
    <row r="351" ht="15.75" customHeight="1">
      <c r="A351" s="213"/>
      <c r="B351" s="213"/>
      <c r="C351" s="213"/>
      <c r="D351" s="213"/>
      <c r="E351" s="213"/>
      <c r="F351" s="213"/>
      <c r="G351" s="213"/>
      <c r="H351" s="213"/>
      <c r="I351" s="213"/>
      <c r="J351" s="213"/>
      <c r="K351" s="213"/>
      <c r="L351" s="213"/>
      <c r="M351" s="213"/>
      <c r="N351" s="213"/>
      <c r="O351" s="213"/>
      <c r="P351" s="213"/>
      <c r="Q351" s="213"/>
      <c r="R351" s="213"/>
      <c r="S351" s="213"/>
      <c r="T351" s="213"/>
      <c r="U351" s="213"/>
      <c r="V351" s="213"/>
      <c r="W351" s="238"/>
      <c r="X351" s="213"/>
      <c r="Y351" s="213"/>
      <c r="Z351" s="213"/>
      <c r="AA351" s="213"/>
      <c r="AB351" s="213"/>
      <c r="AC351" s="213"/>
      <c r="AD351" s="213"/>
      <c r="AE351" s="213"/>
      <c r="AF351" s="213"/>
      <c r="AG351" s="213"/>
      <c r="AH351" s="213"/>
      <c r="AI351" s="213"/>
      <c r="AJ351" s="213"/>
      <c r="AK351" s="213"/>
      <c r="AL351" s="213"/>
      <c r="AM351" s="213"/>
      <c r="AN351" s="213"/>
      <c r="AO351" s="213"/>
      <c r="AP351" s="213"/>
      <c r="AQ351" s="213"/>
      <c r="AR351" s="213"/>
      <c r="AS351" s="213"/>
      <c r="AT351" s="213"/>
      <c r="AU351" s="213"/>
      <c r="AV351" s="213"/>
      <c r="AW351" s="213"/>
      <c r="AX351" s="213"/>
      <c r="AY351" s="213"/>
      <c r="AZ351" s="213"/>
      <c r="BA351" s="213"/>
      <c r="BB351" s="213"/>
      <c r="BC351" s="213"/>
      <c r="BD351" s="213"/>
      <c r="BE351" s="213"/>
      <c r="BF351" s="213"/>
      <c r="BG351" s="213"/>
      <c r="BH351" s="213"/>
      <c r="BI351" s="213"/>
      <c r="BJ351" s="213"/>
      <c r="BK351" s="213"/>
      <c r="BL351" s="213"/>
      <c r="BM351" s="213"/>
      <c r="BN351" s="213"/>
      <c r="BO351" s="213"/>
      <c r="BP351" s="213"/>
      <c r="BQ351" s="213"/>
      <c r="BR351" s="326"/>
      <c r="BS351" s="213"/>
      <c r="BT351" s="213"/>
      <c r="BU351" s="213"/>
      <c r="BV351" s="213"/>
      <c r="BW351" s="213"/>
      <c r="BX351" s="213"/>
      <c r="BY351" s="213"/>
      <c r="BZ351" s="213"/>
      <c r="CA351" s="213"/>
      <c r="CB351" s="213"/>
      <c r="CC351" s="213"/>
      <c r="CD351" s="213"/>
      <c r="CE351" s="213"/>
      <c r="CF351" s="213"/>
      <c r="CG351" s="213"/>
      <c r="CH351" s="213"/>
      <c r="CI351" s="213"/>
      <c r="CJ351" s="213"/>
      <c r="CK351" s="213"/>
      <c r="CL351" s="213"/>
      <c r="CM351" s="213"/>
      <c r="CN351" s="213"/>
      <c r="CO351" s="213"/>
      <c r="CP351" s="213"/>
    </row>
    <row r="352" ht="15.75" customHeight="1">
      <c r="A352" s="213"/>
      <c r="B352" s="213"/>
      <c r="C352" s="213"/>
      <c r="D352" s="213"/>
      <c r="E352" s="213"/>
      <c r="F352" s="213"/>
      <c r="G352" s="213"/>
      <c r="H352" s="213"/>
      <c r="I352" s="213"/>
      <c r="J352" s="213"/>
      <c r="K352" s="213"/>
      <c r="L352" s="213"/>
      <c r="M352" s="213"/>
      <c r="N352" s="213"/>
      <c r="O352" s="213"/>
      <c r="P352" s="213"/>
      <c r="Q352" s="213"/>
      <c r="R352" s="213"/>
      <c r="S352" s="213"/>
      <c r="T352" s="213"/>
      <c r="U352" s="213"/>
      <c r="V352" s="213"/>
      <c r="W352" s="238"/>
      <c r="X352" s="213"/>
      <c r="Y352" s="213"/>
      <c r="Z352" s="213"/>
      <c r="AA352" s="213"/>
      <c r="AB352" s="213"/>
      <c r="AC352" s="213"/>
      <c r="AD352" s="213"/>
      <c r="AE352" s="213"/>
      <c r="AF352" s="213"/>
      <c r="AG352" s="213"/>
      <c r="AH352" s="213"/>
      <c r="AI352" s="213"/>
      <c r="AJ352" s="213"/>
      <c r="AK352" s="213"/>
      <c r="AL352" s="213"/>
      <c r="AM352" s="213"/>
      <c r="AN352" s="213"/>
      <c r="AO352" s="213"/>
      <c r="AP352" s="213"/>
      <c r="AQ352" s="213"/>
      <c r="AR352" s="213"/>
      <c r="AS352" s="213"/>
      <c r="AT352" s="213"/>
      <c r="AU352" s="213"/>
      <c r="AV352" s="213"/>
      <c r="AW352" s="213"/>
      <c r="AX352" s="213"/>
      <c r="AY352" s="213"/>
      <c r="AZ352" s="213"/>
      <c r="BA352" s="213"/>
      <c r="BB352" s="213"/>
      <c r="BC352" s="213"/>
      <c r="BD352" s="213"/>
      <c r="BE352" s="213"/>
      <c r="BF352" s="213"/>
      <c r="BG352" s="213"/>
      <c r="BH352" s="213"/>
      <c r="BI352" s="213"/>
      <c r="BJ352" s="213"/>
      <c r="BK352" s="213"/>
      <c r="BL352" s="213"/>
      <c r="BM352" s="213"/>
      <c r="BN352" s="213"/>
      <c r="BO352" s="213"/>
      <c r="BP352" s="213"/>
      <c r="BQ352" s="213"/>
      <c r="BR352" s="326"/>
      <c r="BS352" s="213"/>
      <c r="BT352" s="213"/>
      <c r="BU352" s="213"/>
      <c r="BV352" s="213"/>
      <c r="BW352" s="213"/>
      <c r="BX352" s="213"/>
      <c r="BY352" s="213"/>
      <c r="BZ352" s="213"/>
      <c r="CA352" s="213"/>
      <c r="CB352" s="213"/>
      <c r="CC352" s="213"/>
      <c r="CD352" s="213"/>
      <c r="CE352" s="213"/>
      <c r="CF352" s="213"/>
      <c r="CG352" s="213"/>
      <c r="CH352" s="213"/>
      <c r="CI352" s="213"/>
      <c r="CJ352" s="213"/>
      <c r="CK352" s="213"/>
      <c r="CL352" s="213"/>
      <c r="CM352" s="213"/>
      <c r="CN352" s="213"/>
      <c r="CO352" s="213"/>
      <c r="CP352" s="213"/>
    </row>
    <row r="353" ht="15.75" customHeight="1">
      <c r="A353" s="213"/>
      <c r="B353" s="213"/>
      <c r="C353" s="213"/>
      <c r="D353" s="213"/>
      <c r="E353" s="213"/>
      <c r="F353" s="213"/>
      <c r="G353" s="213"/>
      <c r="H353" s="213"/>
      <c r="I353" s="213"/>
      <c r="J353" s="213"/>
      <c r="K353" s="213"/>
      <c r="L353" s="213"/>
      <c r="M353" s="213"/>
      <c r="N353" s="213"/>
      <c r="O353" s="213"/>
      <c r="P353" s="213"/>
      <c r="Q353" s="213"/>
      <c r="R353" s="213"/>
      <c r="S353" s="213"/>
      <c r="T353" s="213"/>
      <c r="U353" s="213"/>
      <c r="V353" s="213"/>
      <c r="W353" s="238"/>
      <c r="X353" s="213"/>
      <c r="Y353" s="213"/>
      <c r="Z353" s="213"/>
      <c r="AA353" s="213"/>
      <c r="AB353" s="213"/>
      <c r="AC353" s="213"/>
      <c r="AD353" s="213"/>
      <c r="AE353" s="213"/>
      <c r="AF353" s="213"/>
      <c r="AG353" s="213"/>
      <c r="AH353" s="213"/>
      <c r="AI353" s="213"/>
      <c r="AJ353" s="213"/>
      <c r="AK353" s="213"/>
      <c r="AL353" s="213"/>
      <c r="AM353" s="213"/>
      <c r="AN353" s="213"/>
      <c r="AO353" s="213"/>
      <c r="AP353" s="213"/>
      <c r="AQ353" s="213"/>
      <c r="AR353" s="213"/>
      <c r="AS353" s="213"/>
      <c r="AT353" s="213"/>
      <c r="AU353" s="213"/>
      <c r="AV353" s="213"/>
      <c r="AW353" s="213"/>
      <c r="AX353" s="213"/>
      <c r="AY353" s="213"/>
      <c r="AZ353" s="213"/>
      <c r="BA353" s="213"/>
      <c r="BB353" s="213"/>
      <c r="BC353" s="213"/>
      <c r="BD353" s="213"/>
      <c r="BE353" s="213"/>
      <c r="BF353" s="213"/>
      <c r="BG353" s="213"/>
      <c r="BH353" s="213"/>
      <c r="BI353" s="213"/>
      <c r="BJ353" s="213"/>
      <c r="BK353" s="213"/>
      <c r="BL353" s="213"/>
      <c r="BM353" s="213"/>
      <c r="BN353" s="213"/>
      <c r="BO353" s="213"/>
      <c r="BP353" s="213"/>
      <c r="BQ353" s="213"/>
      <c r="BR353" s="326"/>
      <c r="BS353" s="213"/>
      <c r="BT353" s="213"/>
      <c r="BU353" s="213"/>
      <c r="BV353" s="213"/>
      <c r="BW353" s="213"/>
      <c r="BX353" s="213"/>
      <c r="BY353" s="213"/>
      <c r="BZ353" s="213"/>
      <c r="CA353" s="213"/>
      <c r="CB353" s="213"/>
      <c r="CC353" s="213"/>
      <c r="CD353" s="213"/>
      <c r="CE353" s="213"/>
      <c r="CF353" s="213"/>
      <c r="CG353" s="213"/>
      <c r="CH353" s="213"/>
      <c r="CI353" s="213"/>
      <c r="CJ353" s="213"/>
      <c r="CK353" s="213"/>
      <c r="CL353" s="213"/>
      <c r="CM353" s="213"/>
      <c r="CN353" s="213"/>
      <c r="CO353" s="213"/>
      <c r="CP353" s="213"/>
    </row>
    <row r="354" ht="15.75" customHeight="1">
      <c r="A354" s="213"/>
      <c r="B354" s="213"/>
      <c r="C354" s="213"/>
      <c r="D354" s="213"/>
      <c r="E354" s="213"/>
      <c r="F354" s="213"/>
      <c r="G354" s="213"/>
      <c r="H354" s="213"/>
      <c r="I354" s="213"/>
      <c r="J354" s="213"/>
      <c r="K354" s="213"/>
      <c r="L354" s="213"/>
      <c r="M354" s="213"/>
      <c r="N354" s="213"/>
      <c r="O354" s="213"/>
      <c r="P354" s="213"/>
      <c r="Q354" s="213"/>
      <c r="R354" s="213"/>
      <c r="S354" s="213"/>
      <c r="T354" s="213"/>
      <c r="U354" s="213"/>
      <c r="V354" s="213"/>
      <c r="W354" s="238"/>
      <c r="X354" s="213"/>
      <c r="Y354" s="213"/>
      <c r="Z354" s="213"/>
      <c r="AA354" s="213"/>
      <c r="AB354" s="213"/>
      <c r="AC354" s="213"/>
      <c r="AD354" s="213"/>
      <c r="AE354" s="213"/>
      <c r="AF354" s="213"/>
      <c r="AG354" s="213"/>
      <c r="AH354" s="213"/>
      <c r="AI354" s="213"/>
      <c r="AJ354" s="213"/>
      <c r="AK354" s="213"/>
      <c r="AL354" s="213"/>
      <c r="AM354" s="213"/>
      <c r="AN354" s="213"/>
      <c r="AO354" s="213"/>
      <c r="AP354" s="213"/>
      <c r="AQ354" s="213"/>
      <c r="AR354" s="213"/>
      <c r="AS354" s="213"/>
      <c r="AT354" s="213"/>
      <c r="AU354" s="213"/>
      <c r="AV354" s="213"/>
      <c r="AW354" s="213"/>
      <c r="AX354" s="213"/>
      <c r="AY354" s="213"/>
      <c r="AZ354" s="213"/>
      <c r="BA354" s="213"/>
      <c r="BB354" s="213"/>
      <c r="BC354" s="213"/>
      <c r="BD354" s="213"/>
      <c r="BE354" s="213"/>
      <c r="BF354" s="213"/>
      <c r="BG354" s="213"/>
      <c r="BH354" s="213"/>
      <c r="BI354" s="213"/>
      <c r="BJ354" s="213"/>
      <c r="BK354" s="213"/>
      <c r="BL354" s="213"/>
      <c r="BM354" s="213"/>
      <c r="BN354" s="213"/>
      <c r="BO354" s="213"/>
      <c r="BP354" s="213"/>
      <c r="BQ354" s="213"/>
      <c r="BR354" s="326"/>
      <c r="BS354" s="213"/>
      <c r="BT354" s="213"/>
      <c r="BU354" s="213"/>
      <c r="BV354" s="213"/>
      <c r="BW354" s="213"/>
      <c r="BX354" s="213"/>
      <c r="BY354" s="213"/>
      <c r="BZ354" s="213"/>
      <c r="CA354" s="213"/>
      <c r="CB354" s="213"/>
      <c r="CC354" s="213"/>
      <c r="CD354" s="213"/>
      <c r="CE354" s="213"/>
      <c r="CF354" s="213"/>
      <c r="CG354" s="213"/>
      <c r="CH354" s="213"/>
      <c r="CI354" s="213"/>
      <c r="CJ354" s="213"/>
      <c r="CK354" s="213"/>
      <c r="CL354" s="213"/>
      <c r="CM354" s="213"/>
      <c r="CN354" s="213"/>
      <c r="CO354" s="213"/>
      <c r="CP354" s="213"/>
    </row>
    <row r="355" ht="15.75" customHeight="1">
      <c r="A355" s="213"/>
      <c r="B355" s="213"/>
      <c r="C355" s="213"/>
      <c r="D355" s="213"/>
      <c r="E355" s="213"/>
      <c r="F355" s="213"/>
      <c r="G355" s="213"/>
      <c r="H355" s="213"/>
      <c r="I355" s="213"/>
      <c r="J355" s="213"/>
      <c r="K355" s="213"/>
      <c r="L355" s="213"/>
      <c r="M355" s="213"/>
      <c r="N355" s="213"/>
      <c r="O355" s="213"/>
      <c r="P355" s="213"/>
      <c r="Q355" s="213"/>
      <c r="R355" s="213"/>
      <c r="S355" s="213"/>
      <c r="T355" s="213"/>
      <c r="U355" s="213"/>
      <c r="V355" s="213"/>
      <c r="W355" s="238"/>
      <c r="X355" s="213"/>
      <c r="Y355" s="213"/>
      <c r="Z355" s="213"/>
      <c r="AA355" s="213"/>
      <c r="AB355" s="213"/>
      <c r="AC355" s="213"/>
      <c r="AD355" s="213"/>
      <c r="AE355" s="213"/>
      <c r="AF355" s="213"/>
      <c r="AG355" s="213"/>
      <c r="AH355" s="213"/>
      <c r="AI355" s="213"/>
      <c r="AJ355" s="213"/>
      <c r="AK355" s="213"/>
      <c r="AL355" s="213"/>
      <c r="AM355" s="213"/>
      <c r="AN355" s="213"/>
      <c r="AO355" s="213"/>
      <c r="AP355" s="213"/>
      <c r="AQ355" s="213"/>
      <c r="AR355" s="213"/>
      <c r="AS355" s="213"/>
      <c r="AT355" s="213"/>
      <c r="AU355" s="213"/>
      <c r="AV355" s="213"/>
      <c r="AW355" s="213"/>
      <c r="AX355" s="213"/>
      <c r="AY355" s="213"/>
      <c r="AZ355" s="213"/>
      <c r="BA355" s="213"/>
      <c r="BB355" s="213"/>
      <c r="BC355" s="213"/>
      <c r="BD355" s="213"/>
      <c r="BE355" s="213"/>
      <c r="BF355" s="213"/>
      <c r="BG355" s="213"/>
      <c r="BH355" s="213"/>
      <c r="BI355" s="213"/>
      <c r="BJ355" s="213"/>
      <c r="BK355" s="213"/>
      <c r="BL355" s="213"/>
      <c r="BM355" s="213"/>
      <c r="BN355" s="213"/>
      <c r="BO355" s="213"/>
      <c r="BP355" s="213"/>
      <c r="BQ355" s="213"/>
      <c r="BR355" s="326"/>
      <c r="BS355" s="213"/>
      <c r="BT355" s="213"/>
      <c r="BU355" s="213"/>
      <c r="BV355" s="213"/>
      <c r="BW355" s="213"/>
      <c r="BX355" s="213"/>
      <c r="BY355" s="213"/>
      <c r="BZ355" s="213"/>
      <c r="CA355" s="213"/>
      <c r="CB355" s="213"/>
      <c r="CC355" s="213"/>
      <c r="CD355" s="213"/>
      <c r="CE355" s="213"/>
      <c r="CF355" s="213"/>
      <c r="CG355" s="213"/>
      <c r="CH355" s="213"/>
      <c r="CI355" s="213"/>
      <c r="CJ355" s="213"/>
      <c r="CK355" s="213"/>
      <c r="CL355" s="213"/>
      <c r="CM355" s="213"/>
      <c r="CN355" s="213"/>
      <c r="CO355" s="213"/>
      <c r="CP355" s="213"/>
    </row>
    <row r="356" ht="15.75" customHeight="1">
      <c r="A356" s="213"/>
      <c r="B356" s="213"/>
      <c r="C356" s="213"/>
      <c r="D356" s="213"/>
      <c r="E356" s="213"/>
      <c r="F356" s="213"/>
      <c r="G356" s="213"/>
      <c r="H356" s="213"/>
      <c r="I356" s="213"/>
      <c r="J356" s="213"/>
      <c r="K356" s="213"/>
      <c r="L356" s="213"/>
      <c r="M356" s="213"/>
      <c r="N356" s="213"/>
      <c r="O356" s="213"/>
      <c r="P356" s="213"/>
      <c r="Q356" s="213"/>
      <c r="R356" s="213"/>
      <c r="S356" s="213"/>
      <c r="T356" s="213"/>
      <c r="U356" s="213"/>
      <c r="V356" s="213"/>
      <c r="W356" s="238"/>
      <c r="X356" s="213"/>
      <c r="Y356" s="213"/>
      <c r="Z356" s="213"/>
      <c r="AA356" s="213"/>
      <c r="AB356" s="213"/>
      <c r="AC356" s="213"/>
      <c r="AD356" s="213"/>
      <c r="AE356" s="213"/>
      <c r="AF356" s="213"/>
      <c r="AG356" s="213"/>
      <c r="AH356" s="213"/>
      <c r="AI356" s="213"/>
      <c r="AJ356" s="213"/>
      <c r="AK356" s="213"/>
      <c r="AL356" s="213"/>
      <c r="AM356" s="213"/>
      <c r="AN356" s="213"/>
      <c r="AO356" s="213"/>
      <c r="AP356" s="213"/>
      <c r="AQ356" s="213"/>
      <c r="AR356" s="213"/>
      <c r="AS356" s="213"/>
      <c r="AT356" s="213"/>
      <c r="AU356" s="213"/>
      <c r="AV356" s="213"/>
      <c r="AW356" s="213"/>
      <c r="AX356" s="213"/>
      <c r="AY356" s="213"/>
      <c r="AZ356" s="213"/>
      <c r="BA356" s="213"/>
      <c r="BB356" s="213"/>
      <c r="BC356" s="213"/>
      <c r="BD356" s="213"/>
      <c r="BE356" s="213"/>
      <c r="BF356" s="213"/>
      <c r="BG356" s="213"/>
      <c r="BH356" s="213"/>
      <c r="BI356" s="213"/>
      <c r="BJ356" s="213"/>
      <c r="BK356" s="213"/>
      <c r="BL356" s="213"/>
      <c r="BM356" s="213"/>
      <c r="BN356" s="213"/>
      <c r="BO356" s="213"/>
      <c r="BP356" s="213"/>
      <c r="BQ356" s="213"/>
      <c r="BR356" s="326"/>
      <c r="BS356" s="213"/>
      <c r="BT356" s="213"/>
      <c r="BU356" s="213"/>
      <c r="BV356" s="213"/>
      <c r="BW356" s="213"/>
      <c r="BX356" s="213"/>
      <c r="BY356" s="213"/>
      <c r="BZ356" s="213"/>
      <c r="CA356" s="213"/>
      <c r="CB356" s="213"/>
      <c r="CC356" s="213"/>
      <c r="CD356" s="213"/>
      <c r="CE356" s="213"/>
      <c r="CF356" s="213"/>
      <c r="CG356" s="213"/>
      <c r="CH356" s="213"/>
      <c r="CI356" s="213"/>
      <c r="CJ356" s="213"/>
      <c r="CK356" s="213"/>
      <c r="CL356" s="213"/>
      <c r="CM356" s="213"/>
      <c r="CN356" s="213"/>
      <c r="CO356" s="213"/>
      <c r="CP356" s="213"/>
    </row>
    <row r="357" ht="15.75" customHeight="1">
      <c r="A357" s="213"/>
      <c r="B357" s="213"/>
      <c r="C357" s="213"/>
      <c r="D357" s="213"/>
      <c r="E357" s="213"/>
      <c r="F357" s="213"/>
      <c r="G357" s="213"/>
      <c r="H357" s="213"/>
      <c r="I357" s="213"/>
      <c r="J357" s="213"/>
      <c r="K357" s="213"/>
      <c r="L357" s="213"/>
      <c r="M357" s="213"/>
      <c r="N357" s="213"/>
      <c r="O357" s="213"/>
      <c r="P357" s="213"/>
      <c r="Q357" s="213"/>
      <c r="R357" s="213"/>
      <c r="S357" s="213"/>
      <c r="T357" s="213"/>
      <c r="U357" s="213"/>
      <c r="V357" s="213"/>
      <c r="W357" s="238"/>
      <c r="X357" s="213"/>
      <c r="Y357" s="213"/>
      <c r="Z357" s="213"/>
      <c r="AA357" s="213"/>
      <c r="AB357" s="213"/>
      <c r="AC357" s="213"/>
      <c r="AD357" s="213"/>
      <c r="AE357" s="213"/>
      <c r="AF357" s="213"/>
      <c r="AG357" s="213"/>
      <c r="AH357" s="213"/>
      <c r="AI357" s="213"/>
      <c r="AJ357" s="213"/>
      <c r="AK357" s="213"/>
      <c r="AL357" s="213"/>
      <c r="AM357" s="213"/>
      <c r="AN357" s="213"/>
      <c r="AO357" s="213"/>
      <c r="AP357" s="213"/>
      <c r="AQ357" s="213"/>
      <c r="AR357" s="213"/>
      <c r="AS357" s="213"/>
      <c r="AT357" s="213"/>
      <c r="AU357" s="213"/>
      <c r="AV357" s="213"/>
      <c r="AW357" s="213"/>
      <c r="AX357" s="213"/>
      <c r="AY357" s="213"/>
      <c r="AZ357" s="213"/>
      <c r="BA357" s="213"/>
      <c r="BB357" s="213"/>
      <c r="BC357" s="213"/>
      <c r="BD357" s="213"/>
      <c r="BE357" s="213"/>
      <c r="BF357" s="213"/>
      <c r="BG357" s="213"/>
      <c r="BH357" s="213"/>
      <c r="BI357" s="213"/>
      <c r="BJ357" s="213"/>
      <c r="BK357" s="213"/>
      <c r="BL357" s="213"/>
      <c r="BM357" s="213"/>
      <c r="BN357" s="213"/>
      <c r="BO357" s="213"/>
      <c r="BP357" s="213"/>
      <c r="BQ357" s="213"/>
      <c r="BR357" s="326"/>
      <c r="BS357" s="213"/>
      <c r="BT357" s="213"/>
      <c r="BU357" s="213"/>
      <c r="BV357" s="213"/>
      <c r="BW357" s="213"/>
      <c r="BX357" s="213"/>
      <c r="BY357" s="213"/>
      <c r="BZ357" s="213"/>
      <c r="CA357" s="213"/>
      <c r="CB357" s="213"/>
      <c r="CC357" s="213"/>
      <c r="CD357" s="213"/>
      <c r="CE357" s="213"/>
      <c r="CF357" s="213"/>
      <c r="CG357" s="213"/>
      <c r="CH357" s="213"/>
      <c r="CI357" s="213"/>
      <c r="CJ357" s="213"/>
      <c r="CK357" s="213"/>
      <c r="CL357" s="213"/>
      <c r="CM357" s="213"/>
      <c r="CN357" s="213"/>
      <c r="CO357" s="213"/>
      <c r="CP357" s="213"/>
    </row>
    <row r="358" ht="15.75" customHeight="1">
      <c r="A358" s="213"/>
      <c r="B358" s="213"/>
      <c r="C358" s="213"/>
      <c r="D358" s="213"/>
      <c r="E358" s="213"/>
      <c r="F358" s="213"/>
      <c r="G358" s="213"/>
      <c r="H358" s="213"/>
      <c r="I358" s="213"/>
      <c r="J358" s="213"/>
      <c r="K358" s="213"/>
      <c r="L358" s="213"/>
      <c r="M358" s="213"/>
      <c r="N358" s="213"/>
      <c r="O358" s="213"/>
      <c r="P358" s="213"/>
      <c r="Q358" s="213"/>
      <c r="R358" s="213"/>
      <c r="S358" s="213"/>
      <c r="T358" s="213"/>
      <c r="U358" s="213"/>
      <c r="V358" s="213"/>
      <c r="W358" s="238"/>
      <c r="X358" s="213"/>
      <c r="Y358" s="213"/>
      <c r="Z358" s="213"/>
      <c r="AA358" s="213"/>
      <c r="AB358" s="213"/>
      <c r="AC358" s="213"/>
      <c r="AD358" s="213"/>
      <c r="AE358" s="213"/>
      <c r="AF358" s="213"/>
      <c r="AG358" s="213"/>
      <c r="AH358" s="213"/>
      <c r="AI358" s="213"/>
      <c r="AJ358" s="213"/>
      <c r="AK358" s="213"/>
      <c r="AL358" s="213"/>
      <c r="AM358" s="213"/>
      <c r="AN358" s="213"/>
      <c r="AO358" s="213"/>
      <c r="AP358" s="213"/>
      <c r="AQ358" s="213"/>
      <c r="AR358" s="213"/>
      <c r="AS358" s="213"/>
      <c r="AT358" s="213"/>
      <c r="AU358" s="213"/>
      <c r="AV358" s="213"/>
      <c r="AW358" s="213"/>
      <c r="AX358" s="213"/>
      <c r="AY358" s="213"/>
      <c r="AZ358" s="213"/>
      <c r="BA358" s="213"/>
      <c r="BB358" s="213"/>
      <c r="BC358" s="213"/>
      <c r="BD358" s="213"/>
      <c r="BE358" s="213"/>
      <c r="BF358" s="213"/>
      <c r="BG358" s="213"/>
      <c r="BH358" s="213"/>
      <c r="BI358" s="213"/>
      <c r="BJ358" s="213"/>
      <c r="BK358" s="213"/>
      <c r="BL358" s="213"/>
      <c r="BM358" s="213"/>
      <c r="BN358" s="213"/>
      <c r="BO358" s="213"/>
      <c r="BP358" s="213"/>
      <c r="BQ358" s="213"/>
      <c r="BR358" s="326"/>
      <c r="BS358" s="213"/>
      <c r="BT358" s="213"/>
      <c r="BU358" s="213"/>
      <c r="BV358" s="213"/>
      <c r="BW358" s="213"/>
      <c r="BX358" s="213"/>
      <c r="BY358" s="213"/>
      <c r="BZ358" s="213"/>
      <c r="CA358" s="213"/>
      <c r="CB358" s="213"/>
      <c r="CC358" s="213"/>
      <c r="CD358" s="213"/>
      <c r="CE358" s="213"/>
      <c r="CF358" s="213"/>
      <c r="CG358" s="213"/>
      <c r="CH358" s="213"/>
      <c r="CI358" s="213"/>
      <c r="CJ358" s="213"/>
      <c r="CK358" s="213"/>
      <c r="CL358" s="213"/>
      <c r="CM358" s="213"/>
      <c r="CN358" s="213"/>
      <c r="CO358" s="213"/>
      <c r="CP358" s="213"/>
    </row>
    <row r="359" ht="15.75" customHeight="1">
      <c r="A359" s="213"/>
      <c r="B359" s="213"/>
      <c r="C359" s="213"/>
      <c r="D359" s="213"/>
      <c r="E359" s="213"/>
      <c r="F359" s="213"/>
      <c r="G359" s="213"/>
      <c r="H359" s="213"/>
      <c r="I359" s="213"/>
      <c r="J359" s="213"/>
      <c r="K359" s="213"/>
      <c r="L359" s="213"/>
      <c r="M359" s="213"/>
      <c r="N359" s="213"/>
      <c r="O359" s="213"/>
      <c r="P359" s="213"/>
      <c r="Q359" s="213"/>
      <c r="R359" s="213"/>
      <c r="S359" s="213"/>
      <c r="T359" s="213"/>
      <c r="U359" s="213"/>
      <c r="V359" s="213"/>
      <c r="W359" s="238"/>
      <c r="X359" s="213"/>
      <c r="Y359" s="213"/>
      <c r="Z359" s="213"/>
      <c r="AA359" s="213"/>
      <c r="AB359" s="213"/>
      <c r="AC359" s="213"/>
      <c r="AD359" s="213"/>
      <c r="AE359" s="213"/>
      <c r="AF359" s="213"/>
      <c r="AG359" s="213"/>
      <c r="AH359" s="213"/>
      <c r="AI359" s="213"/>
      <c r="AJ359" s="213"/>
      <c r="AK359" s="213"/>
      <c r="AL359" s="213"/>
      <c r="AM359" s="213"/>
      <c r="AN359" s="213"/>
      <c r="AO359" s="213"/>
      <c r="AP359" s="213"/>
      <c r="AQ359" s="213"/>
      <c r="AR359" s="213"/>
      <c r="AS359" s="213"/>
      <c r="AT359" s="213"/>
      <c r="AU359" s="213"/>
      <c r="AV359" s="213"/>
      <c r="AW359" s="213"/>
      <c r="AX359" s="213"/>
      <c r="AY359" s="213"/>
      <c r="AZ359" s="213"/>
      <c r="BA359" s="213"/>
      <c r="BB359" s="213"/>
      <c r="BC359" s="213"/>
      <c r="BD359" s="213"/>
      <c r="BE359" s="213"/>
      <c r="BF359" s="213"/>
      <c r="BG359" s="213"/>
      <c r="BH359" s="213"/>
      <c r="BI359" s="213"/>
      <c r="BJ359" s="213"/>
      <c r="BK359" s="213"/>
      <c r="BL359" s="213"/>
      <c r="BM359" s="213"/>
      <c r="BN359" s="213"/>
      <c r="BO359" s="213"/>
      <c r="BP359" s="213"/>
      <c r="BQ359" s="213"/>
      <c r="BR359" s="326"/>
      <c r="BS359" s="213"/>
      <c r="BT359" s="213"/>
      <c r="BU359" s="213"/>
      <c r="BV359" s="213"/>
      <c r="BW359" s="213"/>
      <c r="BX359" s="213"/>
      <c r="BY359" s="213"/>
      <c r="BZ359" s="213"/>
      <c r="CA359" s="213"/>
      <c r="CB359" s="213"/>
      <c r="CC359" s="213"/>
      <c r="CD359" s="213"/>
      <c r="CE359" s="213"/>
      <c r="CF359" s="213"/>
      <c r="CG359" s="213"/>
      <c r="CH359" s="213"/>
      <c r="CI359" s="213"/>
      <c r="CJ359" s="213"/>
      <c r="CK359" s="213"/>
      <c r="CL359" s="213"/>
      <c r="CM359" s="213"/>
      <c r="CN359" s="213"/>
      <c r="CO359" s="213"/>
      <c r="CP359" s="213"/>
    </row>
    <row r="360" ht="15.75" customHeight="1">
      <c r="A360" s="213"/>
      <c r="B360" s="213"/>
      <c r="C360" s="213"/>
      <c r="D360" s="213"/>
      <c r="E360" s="213"/>
      <c r="F360" s="213"/>
      <c r="G360" s="213"/>
      <c r="H360" s="213"/>
      <c r="I360" s="213"/>
      <c r="J360" s="213"/>
      <c r="K360" s="213"/>
      <c r="L360" s="213"/>
      <c r="M360" s="213"/>
      <c r="N360" s="213"/>
      <c r="O360" s="213"/>
      <c r="P360" s="213"/>
      <c r="Q360" s="213"/>
      <c r="R360" s="213"/>
      <c r="S360" s="213"/>
      <c r="T360" s="213"/>
      <c r="U360" s="213"/>
      <c r="V360" s="213"/>
      <c r="W360" s="238"/>
      <c r="X360" s="213"/>
      <c r="Y360" s="213"/>
      <c r="Z360" s="213"/>
      <c r="AA360" s="213"/>
      <c r="AB360" s="213"/>
      <c r="AC360" s="213"/>
      <c r="AD360" s="213"/>
      <c r="AE360" s="213"/>
      <c r="AF360" s="213"/>
      <c r="AG360" s="213"/>
      <c r="AH360" s="213"/>
      <c r="AI360" s="213"/>
      <c r="AJ360" s="213"/>
      <c r="AK360" s="213"/>
      <c r="AL360" s="213"/>
      <c r="AM360" s="213"/>
      <c r="AN360" s="213"/>
      <c r="AO360" s="213"/>
      <c r="AP360" s="213"/>
      <c r="AQ360" s="213"/>
      <c r="AR360" s="213"/>
      <c r="AS360" s="213"/>
      <c r="AT360" s="213"/>
      <c r="AU360" s="213"/>
      <c r="AV360" s="213"/>
      <c r="AW360" s="213"/>
      <c r="AX360" s="213"/>
      <c r="AY360" s="213"/>
      <c r="AZ360" s="213"/>
      <c r="BA360" s="213"/>
      <c r="BB360" s="213"/>
      <c r="BC360" s="213"/>
      <c r="BD360" s="213"/>
      <c r="BE360" s="213"/>
      <c r="BF360" s="213"/>
      <c r="BG360" s="213"/>
      <c r="BH360" s="213"/>
      <c r="BI360" s="213"/>
      <c r="BJ360" s="213"/>
      <c r="BK360" s="213"/>
      <c r="BL360" s="213"/>
      <c r="BM360" s="213"/>
      <c r="BN360" s="213"/>
      <c r="BO360" s="213"/>
      <c r="BP360" s="213"/>
      <c r="BQ360" s="213"/>
      <c r="BR360" s="326"/>
      <c r="BS360" s="213"/>
      <c r="BT360" s="213"/>
      <c r="BU360" s="213"/>
      <c r="BV360" s="213"/>
      <c r="BW360" s="213"/>
      <c r="BX360" s="213"/>
      <c r="BY360" s="213"/>
      <c r="BZ360" s="213"/>
      <c r="CA360" s="213"/>
      <c r="CB360" s="213"/>
      <c r="CC360" s="213"/>
      <c r="CD360" s="213"/>
      <c r="CE360" s="213"/>
      <c r="CF360" s="213"/>
      <c r="CG360" s="213"/>
      <c r="CH360" s="213"/>
      <c r="CI360" s="213"/>
      <c r="CJ360" s="213"/>
      <c r="CK360" s="213"/>
      <c r="CL360" s="213"/>
      <c r="CM360" s="213"/>
      <c r="CN360" s="213"/>
      <c r="CO360" s="213"/>
      <c r="CP360" s="213"/>
    </row>
  </sheetData>
  <mergeCells count="15">
    <mergeCell ref="AH4:AM4"/>
    <mergeCell ref="AN4:AS4"/>
    <mergeCell ref="AT4:AY4"/>
    <mergeCell ref="AZ4:BE4"/>
    <mergeCell ref="BF4:BK4"/>
    <mergeCell ref="BL4:BQ4"/>
    <mergeCell ref="BR4:BV4"/>
    <mergeCell ref="B4:B5"/>
    <mergeCell ref="C4:C5"/>
    <mergeCell ref="D4:I4"/>
    <mergeCell ref="J4:O4"/>
    <mergeCell ref="P4:U4"/>
    <mergeCell ref="V4:AA4"/>
    <mergeCell ref="AB4:AG4"/>
    <mergeCell ref="B86:C86"/>
  </mergeCells>
  <printOptions/>
  <pageMargins bottom="0.75" footer="0.0" header="0.0" left="0.7" right="0.7" top="0.75"/>
  <pageSetup orientation="landscape"/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5.63"/>
    <col customWidth="1" min="2" max="2" width="9.75"/>
    <col customWidth="1" min="3" max="3" width="35.88"/>
    <col customWidth="1" min="4" max="4" width="12.63"/>
    <col customWidth="1" min="14" max="35" width="12.63"/>
  </cols>
  <sheetData>
    <row r="1" ht="15.75" customHeight="1">
      <c r="A1" s="3"/>
      <c r="B1" s="2" t="s">
        <v>1</v>
      </c>
      <c r="C1" s="3"/>
      <c r="D1" s="175"/>
      <c r="E1" s="175"/>
      <c r="F1" s="3"/>
      <c r="G1" s="3"/>
      <c r="H1" s="3"/>
      <c r="I1" s="3"/>
      <c r="J1" s="3"/>
      <c r="K1" s="3"/>
      <c r="L1" s="3"/>
      <c r="M1" s="175"/>
      <c r="N1" s="175"/>
      <c r="O1" s="822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</row>
    <row r="2" ht="15.75" customHeight="1">
      <c r="A2" s="3"/>
      <c r="B2" s="823" t="s">
        <v>419</v>
      </c>
      <c r="C2" s="824"/>
      <c r="D2" s="175"/>
      <c r="E2" s="175"/>
      <c r="F2" s="3"/>
      <c r="G2" s="3"/>
      <c r="H2" s="3"/>
      <c r="I2" s="3"/>
      <c r="J2" s="3"/>
      <c r="K2" s="3"/>
      <c r="L2" s="3"/>
      <c r="M2" s="175"/>
      <c r="N2" s="175"/>
      <c r="O2" s="822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</row>
    <row r="3" ht="15.75" customHeight="1">
      <c r="A3" s="3"/>
      <c r="B3" s="3"/>
      <c r="C3" s="3"/>
      <c r="D3" s="175"/>
      <c r="E3" s="175"/>
      <c r="F3" s="3"/>
      <c r="G3" s="3"/>
      <c r="H3" s="3"/>
      <c r="I3" s="3"/>
      <c r="J3" s="3"/>
      <c r="K3" s="3"/>
      <c r="L3" s="3"/>
      <c r="M3" s="175"/>
      <c r="N3" s="175"/>
      <c r="O3" s="822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ht="15.75" customHeight="1">
      <c r="A4" s="3"/>
      <c r="B4" s="825" t="s">
        <v>201</v>
      </c>
      <c r="C4" s="826" t="s">
        <v>47</v>
      </c>
      <c r="D4" s="827" t="s">
        <v>202</v>
      </c>
      <c r="E4" s="828" t="s">
        <v>203</v>
      </c>
      <c r="F4" s="828" t="s">
        <v>204</v>
      </c>
      <c r="G4" s="828" t="s">
        <v>205</v>
      </c>
      <c r="H4" s="828" t="s">
        <v>206</v>
      </c>
      <c r="I4" s="828" t="s">
        <v>207</v>
      </c>
      <c r="J4" s="828" t="s">
        <v>208</v>
      </c>
      <c r="K4" s="828" t="s">
        <v>209</v>
      </c>
      <c r="L4" s="828" t="s">
        <v>210</v>
      </c>
      <c r="M4" s="828" t="s">
        <v>211</v>
      </c>
      <c r="N4" s="828" t="s">
        <v>212</v>
      </c>
      <c r="O4" s="828" t="s">
        <v>213</v>
      </c>
      <c r="P4" s="829"/>
      <c r="Q4" s="829"/>
      <c r="R4" s="829"/>
      <c r="S4" s="829"/>
      <c r="T4" s="829"/>
      <c r="U4" s="829"/>
      <c r="V4" s="829"/>
      <c r="W4" s="829"/>
      <c r="X4" s="829"/>
      <c r="Y4" s="829"/>
      <c r="Z4" s="829"/>
      <c r="AA4" s="829"/>
      <c r="AB4" s="829"/>
      <c r="AC4" s="829"/>
      <c r="AD4" s="829"/>
      <c r="AE4" s="829"/>
      <c r="AF4" s="829"/>
      <c r="AG4" s="829"/>
      <c r="AH4" s="829"/>
      <c r="AI4" s="829"/>
    </row>
    <row r="5" ht="15.75" customHeight="1">
      <c r="A5" s="830"/>
      <c r="B5" s="566"/>
      <c r="C5" s="567"/>
      <c r="D5" s="831" t="s">
        <v>215</v>
      </c>
      <c r="E5" s="832" t="s">
        <v>215</v>
      </c>
      <c r="F5" s="833" t="s">
        <v>215</v>
      </c>
      <c r="G5" s="833" t="s">
        <v>215</v>
      </c>
      <c r="H5" s="833" t="s">
        <v>215</v>
      </c>
      <c r="I5" s="833" t="s">
        <v>215</v>
      </c>
      <c r="J5" s="833" t="s">
        <v>215</v>
      </c>
      <c r="K5" s="833" t="s">
        <v>215</v>
      </c>
      <c r="L5" s="833" t="s">
        <v>215</v>
      </c>
      <c r="M5" s="832" t="s">
        <v>215</v>
      </c>
      <c r="N5" s="832" t="s">
        <v>215</v>
      </c>
      <c r="O5" s="832" t="s">
        <v>215</v>
      </c>
      <c r="P5" s="834"/>
      <c r="Q5" s="834"/>
      <c r="R5" s="834"/>
      <c r="S5" s="834"/>
      <c r="T5" s="834"/>
      <c r="U5" s="834"/>
      <c r="V5" s="834"/>
      <c r="W5" s="834"/>
      <c r="X5" s="834"/>
      <c r="Y5" s="834"/>
      <c r="Z5" s="834"/>
      <c r="AA5" s="834"/>
      <c r="AB5" s="834"/>
      <c r="AC5" s="834"/>
      <c r="AD5" s="834"/>
      <c r="AE5" s="834"/>
      <c r="AF5" s="834"/>
      <c r="AG5" s="834"/>
      <c r="AH5" s="834"/>
      <c r="AI5" s="834"/>
    </row>
    <row r="6" ht="15.75" hidden="1" customHeight="1">
      <c r="A6" s="3"/>
      <c r="B6" s="835"/>
      <c r="C6" s="35" t="s">
        <v>85</v>
      </c>
      <c r="D6" s="836">
        <v>0.0</v>
      </c>
      <c r="E6" s="837"/>
      <c r="F6" s="838"/>
      <c r="G6" s="838"/>
      <c r="H6" s="838"/>
      <c r="I6" s="838"/>
      <c r="J6" s="838"/>
      <c r="K6" s="838"/>
      <c r="L6" s="838"/>
      <c r="M6" s="837"/>
      <c r="N6" s="837"/>
      <c r="O6" s="839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ht="15.75" hidden="1" customHeight="1">
      <c r="A7" s="3"/>
      <c r="B7" s="840"/>
      <c r="C7" s="49" t="s">
        <v>92</v>
      </c>
      <c r="D7" s="841">
        <v>0.0</v>
      </c>
      <c r="E7" s="842"/>
      <c r="F7" s="843"/>
      <c r="G7" s="843"/>
      <c r="H7" s="843"/>
      <c r="I7" s="843"/>
      <c r="J7" s="843"/>
      <c r="K7" s="843"/>
      <c r="L7" s="843"/>
      <c r="M7" s="842"/>
      <c r="N7" s="842"/>
      <c r="O7" s="842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ht="15.75" hidden="1" customHeight="1">
      <c r="A8" s="3"/>
      <c r="B8" s="840"/>
      <c r="C8" s="49" t="s">
        <v>99</v>
      </c>
      <c r="D8" s="841">
        <f>D28</f>
        <v>981705</v>
      </c>
      <c r="E8" s="842"/>
      <c r="F8" s="843"/>
      <c r="G8" s="843"/>
      <c r="H8" s="843"/>
      <c r="I8" s="843"/>
      <c r="J8" s="843"/>
      <c r="K8" s="843"/>
      <c r="L8" s="843"/>
      <c r="M8" s="842"/>
      <c r="N8" s="842"/>
      <c r="O8" s="842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ht="15.75" hidden="1" customHeight="1">
      <c r="A9" s="3"/>
      <c r="B9" s="840"/>
      <c r="C9" s="49" t="s">
        <v>106</v>
      </c>
      <c r="D9" s="841" t="str">
        <f>D18+D21+#REF!+D22</f>
        <v>#REF!</v>
      </c>
      <c r="E9" s="842"/>
      <c r="F9" s="843"/>
      <c r="G9" s="843"/>
      <c r="H9" s="843"/>
      <c r="I9" s="843"/>
      <c r="J9" s="843"/>
      <c r="K9" s="843"/>
      <c r="L9" s="843"/>
      <c r="M9" s="842"/>
      <c r="N9" s="842"/>
      <c r="O9" s="842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ht="15.75" hidden="1" customHeight="1">
      <c r="A10" s="3"/>
      <c r="B10" s="840"/>
      <c r="C10" s="49" t="s">
        <v>113</v>
      </c>
      <c r="D10" s="841"/>
      <c r="E10" s="842"/>
      <c r="F10" s="843"/>
      <c r="G10" s="843"/>
      <c r="H10" s="843"/>
      <c r="I10" s="843"/>
      <c r="J10" s="843"/>
      <c r="K10" s="843"/>
      <c r="L10" s="843"/>
      <c r="M10" s="842"/>
      <c r="N10" s="842"/>
      <c r="O10" s="842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ht="15.75" hidden="1" customHeight="1">
      <c r="A11" s="3"/>
      <c r="B11" s="840"/>
      <c r="C11" s="49" t="s">
        <v>120</v>
      </c>
      <c r="D11" s="841"/>
      <c r="E11" s="842"/>
      <c r="F11" s="843"/>
      <c r="G11" s="843"/>
      <c r="H11" s="843"/>
      <c r="I11" s="843"/>
      <c r="J11" s="843"/>
      <c r="K11" s="843"/>
      <c r="L11" s="843"/>
      <c r="M11" s="842"/>
      <c r="N11" s="842"/>
      <c r="O11" s="842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</row>
    <row r="12" ht="15.75" hidden="1" customHeight="1">
      <c r="A12" s="3"/>
      <c r="B12" s="840"/>
      <c r="C12" s="49" t="s">
        <v>127</v>
      </c>
      <c r="D12" s="841"/>
      <c r="E12" s="842"/>
      <c r="F12" s="843"/>
      <c r="G12" s="843"/>
      <c r="H12" s="843"/>
      <c r="I12" s="843"/>
      <c r="J12" s="843"/>
      <c r="K12" s="843"/>
      <c r="L12" s="843"/>
      <c r="M12" s="842"/>
      <c r="N12" s="842"/>
      <c r="O12" s="842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ht="15.75" hidden="1" customHeight="1">
      <c r="A13" s="3"/>
      <c r="B13" s="840"/>
      <c r="C13" s="49"/>
      <c r="D13" s="841"/>
      <c r="E13" s="842"/>
      <c r="F13" s="843"/>
      <c r="G13" s="843"/>
      <c r="H13" s="843"/>
      <c r="I13" s="843"/>
      <c r="J13" s="843"/>
      <c r="K13" s="843"/>
      <c r="L13" s="843"/>
      <c r="M13" s="842"/>
      <c r="N13" s="842"/>
      <c r="O13" s="842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ht="15.75" hidden="1" customHeight="1">
      <c r="A14" s="3"/>
      <c r="B14" s="840"/>
      <c r="C14" s="49"/>
      <c r="D14" s="841"/>
      <c r="E14" s="842"/>
      <c r="F14" s="843"/>
      <c r="G14" s="843"/>
      <c r="H14" s="843"/>
      <c r="I14" s="843"/>
      <c r="J14" s="843"/>
      <c r="K14" s="843"/>
      <c r="L14" s="843"/>
      <c r="M14" s="842"/>
      <c r="N14" s="842"/>
      <c r="O14" s="84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</row>
    <row r="15" ht="15.75" customHeight="1">
      <c r="A15" s="3"/>
      <c r="B15" s="844" t="s">
        <v>220</v>
      </c>
      <c r="C15" s="49"/>
      <c r="D15" s="841"/>
      <c r="E15" s="842"/>
      <c r="F15" s="843"/>
      <c r="G15" s="843"/>
      <c r="H15" s="843"/>
      <c r="I15" s="843"/>
      <c r="J15" s="843"/>
      <c r="K15" s="843"/>
      <c r="L15" s="843"/>
      <c r="M15" s="842"/>
      <c r="N15" s="842"/>
      <c r="O15" s="842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</row>
    <row r="16" ht="15.75" customHeight="1">
      <c r="A16" s="3"/>
      <c r="B16" s="844" t="s">
        <v>173</v>
      </c>
      <c r="C16" s="845" t="s">
        <v>173</v>
      </c>
      <c r="D16" s="846">
        <f t="shared" ref="D16:O16" si="1">SUM(D17:D21)</f>
        <v>981705</v>
      </c>
      <c r="E16" s="847">
        <f t="shared" si="1"/>
        <v>0</v>
      </c>
      <c r="F16" s="848">
        <f t="shared" si="1"/>
        <v>0</v>
      </c>
      <c r="G16" s="848">
        <f t="shared" si="1"/>
        <v>0</v>
      </c>
      <c r="H16" s="848">
        <f t="shared" si="1"/>
        <v>0</v>
      </c>
      <c r="I16" s="848">
        <f t="shared" si="1"/>
        <v>0</v>
      </c>
      <c r="J16" s="848">
        <f t="shared" si="1"/>
        <v>0</v>
      </c>
      <c r="K16" s="848">
        <f t="shared" si="1"/>
        <v>0</v>
      </c>
      <c r="L16" s="848">
        <f t="shared" si="1"/>
        <v>42624</v>
      </c>
      <c r="M16" s="847">
        <f t="shared" si="1"/>
        <v>476885</v>
      </c>
      <c r="N16" s="847">
        <f t="shared" si="1"/>
        <v>18314</v>
      </c>
      <c r="O16" s="847">
        <f t="shared" si="1"/>
        <v>26700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 ht="15.75" customHeight="1">
      <c r="A17" s="3"/>
      <c r="B17" s="840" t="s">
        <v>24</v>
      </c>
      <c r="C17" s="49" t="s">
        <v>221</v>
      </c>
      <c r="D17" s="841"/>
      <c r="E17" s="842"/>
      <c r="F17" s="843"/>
      <c r="G17" s="843"/>
      <c r="H17" s="843"/>
      <c r="I17" s="843"/>
      <c r="J17" s="843"/>
      <c r="K17" s="843"/>
      <c r="L17" s="843"/>
      <c r="M17" s="842"/>
      <c r="N17" s="842"/>
      <c r="O17" s="842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</row>
    <row r="18" ht="15.75" customHeight="1">
      <c r="A18" s="3"/>
      <c r="B18" s="849"/>
      <c r="C18" s="49" t="s">
        <v>222</v>
      </c>
      <c r="D18" s="841"/>
      <c r="E18" s="842"/>
      <c r="F18" s="843"/>
      <c r="G18" s="843"/>
      <c r="H18" s="843"/>
      <c r="I18" s="843"/>
      <c r="J18" s="843"/>
      <c r="K18" s="843"/>
      <c r="L18" s="843"/>
      <c r="M18" s="842"/>
      <c r="N18" s="842"/>
      <c r="O18" s="842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</row>
    <row r="19" ht="15.75" customHeight="1">
      <c r="A19" s="3"/>
      <c r="B19" s="849"/>
      <c r="C19" s="49" t="s">
        <v>297</v>
      </c>
      <c r="D19" s="841">
        <v>981705.0</v>
      </c>
      <c r="E19" s="842"/>
      <c r="F19" s="843"/>
      <c r="G19" s="843"/>
      <c r="H19" s="843"/>
      <c r="I19" s="843"/>
      <c r="J19" s="843"/>
      <c r="K19" s="843"/>
      <c r="L19" s="843">
        <v>42624.0</v>
      </c>
      <c r="M19" s="842">
        <v>476885.0</v>
      </c>
      <c r="N19" s="842">
        <v>18314.0</v>
      </c>
      <c r="O19" s="842">
        <v>26700.0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</row>
    <row r="20" ht="15.75" customHeight="1">
      <c r="A20" s="3"/>
      <c r="B20" s="849"/>
      <c r="C20" s="49" t="s">
        <v>225</v>
      </c>
      <c r="D20" s="841"/>
      <c r="E20" s="842"/>
      <c r="F20" s="843"/>
      <c r="G20" s="843"/>
      <c r="H20" s="843"/>
      <c r="I20" s="843"/>
      <c r="J20" s="843"/>
      <c r="K20" s="843"/>
      <c r="L20" s="843"/>
      <c r="M20" s="842"/>
      <c r="N20" s="842"/>
      <c r="O20" s="842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</row>
    <row r="21" ht="15.75" customHeight="1">
      <c r="A21" s="3"/>
      <c r="B21" s="850"/>
      <c r="C21" s="49" t="s">
        <v>226</v>
      </c>
      <c r="D21" s="841"/>
      <c r="E21" s="842"/>
      <c r="F21" s="843"/>
      <c r="G21" s="843"/>
      <c r="H21" s="843"/>
      <c r="I21" s="843"/>
      <c r="J21" s="843"/>
      <c r="K21" s="843"/>
      <c r="L21" s="843"/>
      <c r="M21" s="842"/>
      <c r="N21" s="842"/>
      <c r="O21" s="842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</row>
    <row r="22" ht="15.75" customHeight="1">
      <c r="A22" s="3"/>
      <c r="B22" s="840"/>
      <c r="C22" s="851"/>
      <c r="D22" s="841"/>
      <c r="E22" s="842"/>
      <c r="F22" s="843"/>
      <c r="G22" s="843"/>
      <c r="H22" s="843"/>
      <c r="I22" s="843"/>
      <c r="J22" s="843"/>
      <c r="K22" s="843"/>
      <c r="L22" s="843"/>
      <c r="M22" s="842"/>
      <c r="N22" s="842"/>
      <c r="O22" s="842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</row>
    <row r="23" ht="15.75" customHeight="1">
      <c r="A23" s="3"/>
      <c r="B23" s="840" t="s">
        <v>22</v>
      </c>
      <c r="C23" s="851" t="s">
        <v>22</v>
      </c>
      <c r="D23" s="841">
        <v>0.0</v>
      </c>
      <c r="E23" s="842">
        <v>0.0</v>
      </c>
      <c r="F23" s="843">
        <v>0.0</v>
      </c>
      <c r="G23" s="843">
        <v>0.0</v>
      </c>
      <c r="H23" s="843">
        <v>0.0</v>
      </c>
      <c r="I23" s="843">
        <v>0.0</v>
      </c>
      <c r="J23" s="843">
        <v>0.0</v>
      </c>
      <c r="K23" s="843">
        <v>0.0</v>
      </c>
      <c r="L23" s="843">
        <v>0.0</v>
      </c>
      <c r="M23" s="842">
        <v>0.0</v>
      </c>
      <c r="N23" s="842">
        <v>0.0</v>
      </c>
      <c r="O23" s="842">
        <v>0.0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</row>
    <row r="24" ht="15.75" customHeight="1">
      <c r="A24" s="3"/>
      <c r="B24" s="840" t="s">
        <v>23</v>
      </c>
      <c r="C24" s="851" t="s">
        <v>23</v>
      </c>
      <c r="D24" s="841">
        <v>0.0</v>
      </c>
      <c r="E24" s="842">
        <v>0.0</v>
      </c>
      <c r="F24" s="843">
        <v>0.0</v>
      </c>
      <c r="G24" s="843">
        <v>0.0</v>
      </c>
      <c r="H24" s="843">
        <v>0.0</v>
      </c>
      <c r="I24" s="843">
        <v>0.0</v>
      </c>
      <c r="J24" s="843">
        <v>0.0</v>
      </c>
      <c r="K24" s="843">
        <v>0.0</v>
      </c>
      <c r="L24" s="843">
        <v>0.0</v>
      </c>
      <c r="M24" s="842">
        <v>0.0</v>
      </c>
      <c r="N24" s="842">
        <v>0.0</v>
      </c>
      <c r="O24" s="842">
        <v>0.0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</row>
    <row r="25" ht="15.75" customHeight="1">
      <c r="A25" s="3"/>
      <c r="B25" s="840" t="s">
        <v>24</v>
      </c>
      <c r="C25" s="851" t="s">
        <v>230</v>
      </c>
      <c r="D25" s="852">
        <f t="shared" ref="D25:O25" si="2">SUM(D17:D21)</f>
        <v>981705</v>
      </c>
      <c r="E25" s="853">
        <f t="shared" si="2"/>
        <v>0</v>
      </c>
      <c r="F25" s="854">
        <f t="shared" si="2"/>
        <v>0</v>
      </c>
      <c r="G25" s="854">
        <f t="shared" si="2"/>
        <v>0</v>
      </c>
      <c r="H25" s="854">
        <f t="shared" si="2"/>
        <v>0</v>
      </c>
      <c r="I25" s="854">
        <f t="shared" si="2"/>
        <v>0</v>
      </c>
      <c r="J25" s="854">
        <f t="shared" si="2"/>
        <v>0</v>
      </c>
      <c r="K25" s="854">
        <f t="shared" si="2"/>
        <v>0</v>
      </c>
      <c r="L25" s="854">
        <f t="shared" si="2"/>
        <v>42624</v>
      </c>
      <c r="M25" s="853">
        <f t="shared" si="2"/>
        <v>476885</v>
      </c>
      <c r="N25" s="853">
        <f t="shared" si="2"/>
        <v>18314</v>
      </c>
      <c r="O25" s="853">
        <f t="shared" si="2"/>
        <v>26700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</row>
    <row r="26" ht="15.75" customHeight="1">
      <c r="A26" s="3"/>
      <c r="B26" s="849"/>
      <c r="C26" s="851"/>
      <c r="D26" s="841"/>
      <c r="E26" s="842"/>
      <c r="F26" s="855"/>
      <c r="G26" s="855"/>
      <c r="H26" s="855"/>
      <c r="I26" s="855"/>
      <c r="J26" s="855"/>
      <c r="K26" s="855"/>
      <c r="L26" s="855"/>
      <c r="M26" s="842"/>
      <c r="N26" s="842"/>
      <c r="O26" s="842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</row>
    <row r="27" ht="15.75" customHeight="1">
      <c r="A27" s="3"/>
      <c r="B27" s="849"/>
      <c r="C27" s="851" t="s">
        <v>231</v>
      </c>
      <c r="D27" s="841"/>
      <c r="E27" s="842"/>
      <c r="F27" s="855"/>
      <c r="G27" s="855"/>
      <c r="H27" s="855"/>
      <c r="I27" s="855"/>
      <c r="J27" s="855"/>
      <c r="K27" s="855"/>
      <c r="L27" s="855"/>
      <c r="M27" s="842"/>
      <c r="N27" s="842"/>
      <c r="O27" s="842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</row>
    <row r="28" ht="15.75" customHeight="1">
      <c r="A28" s="3"/>
      <c r="B28" s="856"/>
      <c r="C28" s="845" t="s">
        <v>232</v>
      </c>
      <c r="D28" s="846">
        <f t="shared" ref="D28:O28" si="3">D23+D24+D25</f>
        <v>981705</v>
      </c>
      <c r="E28" s="847">
        <f t="shared" si="3"/>
        <v>0</v>
      </c>
      <c r="F28" s="848">
        <f t="shared" si="3"/>
        <v>0</v>
      </c>
      <c r="G28" s="848">
        <f t="shared" si="3"/>
        <v>0</v>
      </c>
      <c r="H28" s="848">
        <f t="shared" si="3"/>
        <v>0</v>
      </c>
      <c r="I28" s="848">
        <f t="shared" si="3"/>
        <v>0</v>
      </c>
      <c r="J28" s="848">
        <f t="shared" si="3"/>
        <v>0</v>
      </c>
      <c r="K28" s="848">
        <f t="shared" si="3"/>
        <v>0</v>
      </c>
      <c r="L28" s="848">
        <f t="shared" si="3"/>
        <v>42624</v>
      </c>
      <c r="M28" s="847">
        <f t="shared" si="3"/>
        <v>476885</v>
      </c>
      <c r="N28" s="847">
        <f t="shared" si="3"/>
        <v>18314</v>
      </c>
      <c r="O28" s="847">
        <f t="shared" si="3"/>
        <v>26700</v>
      </c>
      <c r="P28" s="296">
        <f>D28+E28+F28+G28+H28+I28+J28+K28+L28+M28+N28+O28</f>
        <v>1546228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 ht="15.75" hidden="1" customHeight="1">
      <c r="A29" s="3"/>
      <c r="B29" s="840"/>
      <c r="C29" s="49"/>
      <c r="D29" s="841"/>
      <c r="E29" s="842"/>
      <c r="F29" s="855"/>
      <c r="G29" s="855"/>
      <c r="H29" s="855"/>
      <c r="I29" s="855"/>
      <c r="J29" s="855"/>
      <c r="K29" s="855"/>
      <c r="L29" s="855"/>
      <c r="M29" s="842"/>
      <c r="N29" s="842"/>
      <c r="O29" s="842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</row>
    <row r="30" ht="15.75" hidden="1" customHeight="1">
      <c r="A30" s="3"/>
      <c r="B30" s="849"/>
      <c r="C30" s="49"/>
      <c r="D30" s="841"/>
      <c r="E30" s="842"/>
      <c r="F30" s="855"/>
      <c r="G30" s="855"/>
      <c r="H30" s="855"/>
      <c r="I30" s="855"/>
      <c r="J30" s="855"/>
      <c r="K30" s="855"/>
      <c r="L30" s="855"/>
      <c r="M30" s="842"/>
      <c r="N30" s="842"/>
      <c r="O30" s="842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</row>
    <row r="31" ht="15.75" hidden="1" customHeight="1">
      <c r="A31" s="3"/>
      <c r="B31" s="849"/>
      <c r="C31" s="49"/>
      <c r="D31" s="841"/>
      <c r="E31" s="842"/>
      <c r="F31" s="843"/>
      <c r="G31" s="843"/>
      <c r="H31" s="843"/>
      <c r="I31" s="843"/>
      <c r="J31" s="843"/>
      <c r="K31" s="843"/>
      <c r="L31" s="843"/>
      <c r="M31" s="842"/>
      <c r="N31" s="842"/>
      <c r="O31" s="842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</row>
    <row r="32" ht="15.75" hidden="1" customHeight="1">
      <c r="A32" s="3"/>
      <c r="B32" s="849"/>
      <c r="C32" s="49"/>
      <c r="D32" s="841"/>
      <c r="E32" s="842"/>
      <c r="F32" s="843"/>
      <c r="G32" s="843"/>
      <c r="H32" s="843"/>
      <c r="I32" s="843"/>
      <c r="J32" s="843"/>
      <c r="K32" s="843"/>
      <c r="L32" s="843"/>
      <c r="M32" s="842"/>
      <c r="N32" s="842"/>
      <c r="O32" s="842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</row>
    <row r="33" ht="15.75" hidden="1" customHeight="1">
      <c r="A33" s="3"/>
      <c r="B33" s="849"/>
      <c r="C33" s="49"/>
      <c r="D33" s="841"/>
      <c r="E33" s="842"/>
      <c r="F33" s="843"/>
      <c r="G33" s="843"/>
      <c r="H33" s="843"/>
      <c r="I33" s="843"/>
      <c r="J33" s="843"/>
      <c r="K33" s="843"/>
      <c r="L33" s="843"/>
      <c r="M33" s="842"/>
      <c r="N33" s="842"/>
      <c r="O33" s="842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</row>
    <row r="34" ht="15.75" hidden="1" customHeight="1">
      <c r="A34" s="3"/>
      <c r="B34" s="849"/>
      <c r="C34" s="49"/>
      <c r="D34" s="841"/>
      <c r="E34" s="842"/>
      <c r="F34" s="843"/>
      <c r="G34" s="843"/>
      <c r="H34" s="843"/>
      <c r="I34" s="843"/>
      <c r="J34" s="843"/>
      <c r="K34" s="843"/>
      <c r="L34" s="843"/>
      <c r="M34" s="842"/>
      <c r="N34" s="842"/>
      <c r="O34" s="842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</row>
    <row r="35" ht="15.75" hidden="1" customHeight="1">
      <c r="A35" s="3"/>
      <c r="B35" s="849"/>
      <c r="C35" s="49"/>
      <c r="D35" s="841"/>
      <c r="E35" s="842"/>
      <c r="F35" s="843"/>
      <c r="G35" s="843"/>
      <c r="H35" s="843"/>
      <c r="I35" s="843"/>
      <c r="J35" s="843"/>
      <c r="K35" s="843"/>
      <c r="L35" s="843"/>
      <c r="M35" s="842"/>
      <c r="N35" s="842"/>
      <c r="O35" s="842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</row>
    <row r="36" ht="15.75" hidden="1" customHeight="1">
      <c r="A36" s="3"/>
      <c r="B36" s="857"/>
      <c r="C36" s="858"/>
      <c r="D36" s="859"/>
      <c r="E36" s="860"/>
      <c r="F36" s="861"/>
      <c r="G36" s="861"/>
      <c r="H36" s="861"/>
      <c r="I36" s="861"/>
      <c r="J36" s="861"/>
      <c r="K36" s="861"/>
      <c r="L36" s="861"/>
      <c r="M36" s="860"/>
      <c r="N36" s="860"/>
      <c r="O36" s="842"/>
      <c r="P36" s="862"/>
      <c r="Q36" s="862"/>
      <c r="R36" s="862"/>
      <c r="S36" s="862"/>
      <c r="T36" s="862"/>
      <c r="U36" s="862"/>
      <c r="V36" s="862"/>
      <c r="W36" s="862"/>
      <c r="X36" s="862"/>
      <c r="Y36" s="862"/>
      <c r="Z36" s="862"/>
      <c r="AA36" s="862"/>
      <c r="AB36" s="862"/>
      <c r="AC36" s="862"/>
      <c r="AD36" s="862"/>
      <c r="AE36" s="862"/>
      <c r="AF36" s="862"/>
      <c r="AG36" s="862"/>
      <c r="AH36" s="862"/>
      <c r="AI36" s="862"/>
    </row>
    <row r="37" ht="15.75" hidden="1" customHeight="1">
      <c r="A37" s="3"/>
      <c r="B37" s="840"/>
      <c r="C37" s="863"/>
      <c r="D37" s="138"/>
      <c r="E37" s="114"/>
      <c r="F37" s="43"/>
      <c r="G37" s="43"/>
      <c r="H37" s="43"/>
      <c r="I37" s="43"/>
      <c r="J37" s="43"/>
      <c r="K37" s="43"/>
      <c r="L37" s="43"/>
      <c r="M37" s="114"/>
      <c r="N37" s="114"/>
      <c r="O37" s="114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</row>
    <row r="38" ht="15.75" customHeight="1">
      <c r="A38" s="3"/>
      <c r="B38" s="864" t="s">
        <v>233</v>
      </c>
      <c r="C38" s="865"/>
      <c r="D38" s="138"/>
      <c r="E38" s="114"/>
      <c r="F38" s="43"/>
      <c r="G38" s="43"/>
      <c r="H38" s="43"/>
      <c r="I38" s="43"/>
      <c r="J38" s="43"/>
      <c r="K38" s="43"/>
      <c r="L38" s="43"/>
      <c r="M38" s="114"/>
      <c r="N38" s="114"/>
      <c r="O38" s="114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</row>
    <row r="39" ht="15.75" customHeight="1">
      <c r="A39" s="3"/>
      <c r="B39" s="840" t="s">
        <v>29</v>
      </c>
      <c r="C39" s="49"/>
      <c r="D39" s="138"/>
      <c r="E39" s="114"/>
      <c r="F39" s="43"/>
      <c r="G39" s="43"/>
      <c r="H39" s="43"/>
      <c r="I39" s="43"/>
      <c r="J39" s="43"/>
      <c r="K39" s="43"/>
      <c r="L39" s="43"/>
      <c r="M39" s="114"/>
      <c r="N39" s="114"/>
      <c r="O39" s="114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</row>
    <row r="40" ht="15.75" customHeight="1">
      <c r="A40" s="3"/>
      <c r="B40" s="849"/>
      <c r="C40" s="866" t="s">
        <v>234</v>
      </c>
      <c r="D40" s="138"/>
      <c r="E40" s="114"/>
      <c r="F40" s="43"/>
      <c r="G40" s="43"/>
      <c r="H40" s="43"/>
      <c r="I40" s="43"/>
      <c r="J40" s="43"/>
      <c r="K40" s="43"/>
      <c r="L40" s="43"/>
      <c r="M40" s="114"/>
      <c r="N40" s="114"/>
      <c r="O40" s="114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</row>
    <row r="41" ht="15.75" customHeight="1">
      <c r="A41" s="3"/>
      <c r="B41" s="849"/>
      <c r="C41" s="851" t="s">
        <v>235</v>
      </c>
      <c r="D41" s="138"/>
      <c r="E41" s="114"/>
      <c r="F41" s="43"/>
      <c r="G41" s="43"/>
      <c r="H41" s="43"/>
      <c r="I41" s="43"/>
      <c r="J41" s="43"/>
      <c r="K41" s="43"/>
      <c r="L41" s="43"/>
      <c r="M41" s="114"/>
      <c r="N41" s="114"/>
      <c r="O41" s="114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</row>
    <row r="42" ht="15.75" customHeight="1">
      <c r="A42" s="3"/>
      <c r="B42" s="849"/>
      <c r="C42" s="851" t="s">
        <v>301</v>
      </c>
      <c r="D42" s="138"/>
      <c r="E42" s="114"/>
      <c r="F42" s="43"/>
      <c r="G42" s="43"/>
      <c r="H42" s="43"/>
      <c r="I42" s="43"/>
      <c r="J42" s="43"/>
      <c r="K42" s="43"/>
      <c r="L42" s="43"/>
      <c r="M42" s="114"/>
      <c r="N42" s="114"/>
      <c r="O42" s="114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</row>
    <row r="43" ht="15.75" customHeight="1">
      <c r="A43" s="3"/>
      <c r="B43" s="849"/>
      <c r="C43" s="851" t="s">
        <v>22</v>
      </c>
      <c r="D43" s="138"/>
      <c r="E43" s="114"/>
      <c r="F43" s="43"/>
      <c r="G43" s="43"/>
      <c r="H43" s="43"/>
      <c r="I43" s="43"/>
      <c r="J43" s="43"/>
      <c r="K43" s="43"/>
      <c r="L43" s="43"/>
      <c r="M43" s="114"/>
      <c r="N43" s="114"/>
      <c r="O43" s="114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</row>
    <row r="44" ht="15.75" customHeight="1">
      <c r="A44" s="3"/>
      <c r="B44" s="849"/>
      <c r="C44" s="851" t="s">
        <v>23</v>
      </c>
      <c r="D44" s="138"/>
      <c r="E44" s="114"/>
      <c r="F44" s="43"/>
      <c r="G44" s="43"/>
      <c r="H44" s="43"/>
      <c r="I44" s="43"/>
      <c r="J44" s="43"/>
      <c r="K44" s="43"/>
      <c r="L44" s="43"/>
      <c r="M44" s="114"/>
      <c r="N44" s="114"/>
      <c r="O44" s="114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</row>
    <row r="45" ht="15.75" customHeight="1">
      <c r="A45" s="3"/>
      <c r="B45" s="849"/>
      <c r="C45" s="49" t="s">
        <v>302</v>
      </c>
      <c r="D45" s="138"/>
      <c r="E45" s="114"/>
      <c r="F45" s="43"/>
      <c r="G45" s="43"/>
      <c r="H45" s="43"/>
      <c r="I45" s="43"/>
      <c r="J45" s="43"/>
      <c r="K45" s="43"/>
      <c r="L45" s="43"/>
      <c r="M45" s="114"/>
      <c r="N45" s="114"/>
      <c r="O45" s="114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</row>
    <row r="46" ht="15.75" customHeight="1">
      <c r="A46" s="3"/>
      <c r="B46" s="849"/>
      <c r="C46" s="49" t="s">
        <v>238</v>
      </c>
      <c r="D46" s="138">
        <f t="shared" ref="D46:O46" si="4">SUM(D41:D45)</f>
        <v>0</v>
      </c>
      <c r="E46" s="114">
        <f t="shared" si="4"/>
        <v>0</v>
      </c>
      <c r="F46" s="43">
        <f t="shared" si="4"/>
        <v>0</v>
      </c>
      <c r="G46" s="43">
        <f t="shared" si="4"/>
        <v>0</v>
      </c>
      <c r="H46" s="43">
        <f t="shared" si="4"/>
        <v>0</v>
      </c>
      <c r="I46" s="43">
        <f t="shared" si="4"/>
        <v>0</v>
      </c>
      <c r="J46" s="43">
        <f t="shared" si="4"/>
        <v>0</v>
      </c>
      <c r="K46" s="43">
        <f t="shared" si="4"/>
        <v>0</v>
      </c>
      <c r="L46" s="43">
        <f t="shared" si="4"/>
        <v>0</v>
      </c>
      <c r="M46" s="114">
        <f t="shared" si="4"/>
        <v>0</v>
      </c>
      <c r="N46" s="114">
        <f t="shared" si="4"/>
        <v>0</v>
      </c>
      <c r="O46" s="114">
        <f t="shared" si="4"/>
        <v>0</v>
      </c>
      <c r="P46" s="296">
        <f t="shared" ref="P46:P48" si="5">D46+E46+F46+G46+H46+I46+J46+K46+L46+M46+N46+O46</f>
        <v>0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 ht="15.75" customHeight="1">
      <c r="A47" s="3"/>
      <c r="B47" s="849"/>
      <c r="C47" s="49" t="s">
        <v>239</v>
      </c>
      <c r="D47" s="138">
        <v>745.0</v>
      </c>
      <c r="E47" s="114"/>
      <c r="F47" s="43"/>
      <c r="G47" s="43"/>
      <c r="H47" s="43"/>
      <c r="I47" s="43"/>
      <c r="J47" s="43"/>
      <c r="K47" s="43"/>
      <c r="L47" s="43"/>
      <c r="M47" s="114"/>
      <c r="N47" s="114"/>
      <c r="O47" s="114"/>
      <c r="P47" s="296">
        <f t="shared" si="5"/>
        <v>745</v>
      </c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</row>
    <row r="48" ht="15.75" customHeight="1">
      <c r="A48" s="3"/>
      <c r="B48" s="856"/>
      <c r="C48" s="845" t="s">
        <v>240</v>
      </c>
      <c r="D48" s="867">
        <f t="shared" ref="D48:O48" si="6">D46+D47</f>
        <v>745</v>
      </c>
      <c r="E48" s="320">
        <f t="shared" si="6"/>
        <v>0</v>
      </c>
      <c r="F48" s="321">
        <f t="shared" si="6"/>
        <v>0</v>
      </c>
      <c r="G48" s="321">
        <f t="shared" si="6"/>
        <v>0</v>
      </c>
      <c r="H48" s="321">
        <f t="shared" si="6"/>
        <v>0</v>
      </c>
      <c r="I48" s="321">
        <f t="shared" si="6"/>
        <v>0</v>
      </c>
      <c r="J48" s="321">
        <f t="shared" si="6"/>
        <v>0</v>
      </c>
      <c r="K48" s="321">
        <f t="shared" si="6"/>
        <v>0</v>
      </c>
      <c r="L48" s="321">
        <f t="shared" si="6"/>
        <v>0</v>
      </c>
      <c r="M48" s="320">
        <f t="shared" si="6"/>
        <v>0</v>
      </c>
      <c r="N48" s="320">
        <f t="shared" si="6"/>
        <v>0</v>
      </c>
      <c r="O48" s="114">
        <f t="shared" si="6"/>
        <v>0</v>
      </c>
      <c r="P48" s="296">
        <f t="shared" si="5"/>
        <v>745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 ht="15.75" hidden="1" customHeight="1">
      <c r="A49" s="3"/>
      <c r="B49" s="856"/>
      <c r="C49" s="845"/>
      <c r="D49" s="867"/>
      <c r="E49" s="320"/>
      <c r="F49" s="321"/>
      <c r="G49" s="321"/>
      <c r="H49" s="321"/>
      <c r="I49" s="321"/>
      <c r="J49" s="321"/>
      <c r="K49" s="321"/>
      <c r="L49" s="321"/>
      <c r="M49" s="320"/>
      <c r="N49" s="320"/>
      <c r="O49" s="114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</row>
    <row r="50" ht="15.75" hidden="1" customHeight="1">
      <c r="A50" s="3"/>
      <c r="B50" s="856" t="s">
        <v>24</v>
      </c>
      <c r="C50" s="845" t="s">
        <v>305</v>
      </c>
      <c r="D50" s="846">
        <v>0.0</v>
      </c>
      <c r="E50" s="847">
        <v>0.0</v>
      </c>
      <c r="F50" s="868"/>
      <c r="G50" s="868"/>
      <c r="H50" s="868"/>
      <c r="I50" s="868"/>
      <c r="J50" s="868"/>
      <c r="K50" s="868"/>
      <c r="L50" s="868"/>
      <c r="M50" s="847"/>
      <c r="N50" s="847"/>
      <c r="O50" s="114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</row>
    <row r="51" ht="15.75" hidden="1" customHeight="1">
      <c r="A51" s="3"/>
      <c r="B51" s="856" t="s">
        <v>24</v>
      </c>
      <c r="C51" s="845" t="s">
        <v>304</v>
      </c>
      <c r="D51" s="846">
        <v>0.0</v>
      </c>
      <c r="E51" s="847">
        <v>0.0</v>
      </c>
      <c r="F51" s="868"/>
      <c r="G51" s="868"/>
      <c r="H51" s="868"/>
      <c r="I51" s="868"/>
      <c r="J51" s="868"/>
      <c r="K51" s="868"/>
      <c r="L51" s="868"/>
      <c r="M51" s="847"/>
      <c r="N51" s="847"/>
      <c r="O51" s="114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</row>
    <row r="52" ht="15.75" hidden="1" customHeight="1">
      <c r="A52" s="3"/>
      <c r="B52" s="856" t="s">
        <v>22</v>
      </c>
      <c r="C52" s="845" t="s">
        <v>305</v>
      </c>
      <c r="D52" s="846">
        <v>0.0</v>
      </c>
      <c r="E52" s="847">
        <v>0.0</v>
      </c>
      <c r="F52" s="868"/>
      <c r="G52" s="868"/>
      <c r="H52" s="868"/>
      <c r="I52" s="868"/>
      <c r="J52" s="868"/>
      <c r="K52" s="868"/>
      <c r="L52" s="868"/>
      <c r="M52" s="847"/>
      <c r="N52" s="847"/>
      <c r="O52" s="114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</row>
    <row r="53" ht="15.75" hidden="1" customHeight="1">
      <c r="A53" s="3"/>
      <c r="B53" s="856" t="s">
        <v>22</v>
      </c>
      <c r="C53" s="845" t="s">
        <v>304</v>
      </c>
      <c r="D53" s="846">
        <v>0.0</v>
      </c>
      <c r="E53" s="847">
        <v>0.0</v>
      </c>
      <c r="F53" s="868"/>
      <c r="G53" s="868"/>
      <c r="H53" s="868"/>
      <c r="I53" s="868"/>
      <c r="J53" s="868"/>
      <c r="K53" s="868"/>
      <c r="L53" s="868"/>
      <c r="M53" s="847"/>
      <c r="N53" s="847"/>
      <c r="O53" s="114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</row>
    <row r="54" ht="15.75" hidden="1" customHeight="1">
      <c r="A54" s="3"/>
      <c r="B54" s="856" t="s">
        <v>23</v>
      </c>
      <c r="C54" s="845" t="s">
        <v>305</v>
      </c>
      <c r="D54" s="846">
        <v>0.0</v>
      </c>
      <c r="E54" s="847">
        <v>0.0</v>
      </c>
      <c r="F54" s="868"/>
      <c r="G54" s="868"/>
      <c r="H54" s="868"/>
      <c r="I54" s="868"/>
      <c r="J54" s="868"/>
      <c r="K54" s="868"/>
      <c r="L54" s="868"/>
      <c r="M54" s="847"/>
      <c r="N54" s="847"/>
      <c r="O54" s="114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</row>
    <row r="55" ht="15.75" hidden="1" customHeight="1">
      <c r="A55" s="3"/>
      <c r="B55" s="856" t="s">
        <v>23</v>
      </c>
      <c r="C55" s="845" t="s">
        <v>304</v>
      </c>
      <c r="D55" s="846">
        <v>0.0</v>
      </c>
      <c r="E55" s="847">
        <v>0.0</v>
      </c>
      <c r="F55" s="868"/>
      <c r="G55" s="868"/>
      <c r="H55" s="868"/>
      <c r="I55" s="868"/>
      <c r="J55" s="868"/>
      <c r="K55" s="868"/>
      <c r="L55" s="868"/>
      <c r="M55" s="847"/>
      <c r="N55" s="847"/>
      <c r="O55" s="114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</row>
    <row r="56" ht="15.75" hidden="1" customHeight="1">
      <c r="A56" s="3"/>
      <c r="B56" s="856"/>
      <c r="C56" s="845"/>
      <c r="D56" s="846"/>
      <c r="E56" s="847"/>
      <c r="F56" s="868"/>
      <c r="G56" s="868"/>
      <c r="H56" s="868"/>
      <c r="I56" s="868"/>
      <c r="J56" s="868"/>
      <c r="K56" s="868"/>
      <c r="L56" s="868"/>
      <c r="M56" s="847"/>
      <c r="N56" s="847"/>
      <c r="O56" s="114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</row>
    <row r="57" ht="15.75" hidden="1" customHeight="1">
      <c r="A57" s="3"/>
      <c r="B57" s="856"/>
      <c r="C57" s="845"/>
      <c r="D57" s="846"/>
      <c r="E57" s="847"/>
      <c r="F57" s="868"/>
      <c r="G57" s="868"/>
      <c r="H57" s="868"/>
      <c r="I57" s="868"/>
      <c r="J57" s="868"/>
      <c r="K57" s="868"/>
      <c r="L57" s="868"/>
      <c r="M57" s="847"/>
      <c r="N57" s="847"/>
      <c r="O57" s="114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</row>
    <row r="58" ht="15.75" hidden="1" customHeight="1">
      <c r="A58" s="3"/>
      <c r="B58" s="856"/>
      <c r="C58" s="845"/>
      <c r="D58" s="846"/>
      <c r="E58" s="847"/>
      <c r="F58" s="868"/>
      <c r="G58" s="868"/>
      <c r="H58" s="868"/>
      <c r="I58" s="868"/>
      <c r="J58" s="868"/>
      <c r="K58" s="868"/>
      <c r="L58" s="868"/>
      <c r="M58" s="847"/>
      <c r="N58" s="847"/>
      <c r="O58" s="114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</row>
    <row r="59" ht="15.75" hidden="1" customHeight="1">
      <c r="A59" s="3"/>
      <c r="B59" s="856"/>
      <c r="C59" s="845" t="s">
        <v>248</v>
      </c>
      <c r="D59" s="846">
        <f t="shared" ref="D59:F59" si="7">SUM(D50:D58)</f>
        <v>0</v>
      </c>
      <c r="E59" s="847">
        <f t="shared" si="7"/>
        <v>0</v>
      </c>
      <c r="F59" s="868">
        <f t="shared" si="7"/>
        <v>0</v>
      </c>
      <c r="G59" s="868">
        <f t="shared" ref="G59:O59" si="8">SUM(G51:G58)</f>
        <v>0</v>
      </c>
      <c r="H59" s="868">
        <f t="shared" si="8"/>
        <v>0</v>
      </c>
      <c r="I59" s="868">
        <f t="shared" si="8"/>
        <v>0</v>
      </c>
      <c r="J59" s="868">
        <f t="shared" si="8"/>
        <v>0</v>
      </c>
      <c r="K59" s="868">
        <f t="shared" si="8"/>
        <v>0</v>
      </c>
      <c r="L59" s="868">
        <f t="shared" si="8"/>
        <v>0</v>
      </c>
      <c r="M59" s="847">
        <f t="shared" si="8"/>
        <v>0</v>
      </c>
      <c r="N59" s="847">
        <f t="shared" si="8"/>
        <v>0</v>
      </c>
      <c r="O59" s="114">
        <f t="shared" si="8"/>
        <v>0</v>
      </c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</row>
    <row r="60" ht="15.75" hidden="1" customHeight="1">
      <c r="A60" s="3"/>
      <c r="B60" s="856"/>
      <c r="C60" s="845"/>
      <c r="D60" s="867"/>
      <c r="E60" s="320"/>
      <c r="F60" s="321"/>
      <c r="G60" s="321"/>
      <c r="H60" s="321"/>
      <c r="I60" s="321"/>
      <c r="J60" s="321"/>
      <c r="K60" s="321"/>
      <c r="L60" s="321"/>
      <c r="M60" s="320"/>
      <c r="N60" s="320"/>
      <c r="O60" s="114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</row>
    <row r="61" ht="15.75" hidden="1" customHeight="1">
      <c r="A61" s="3"/>
      <c r="B61" s="856"/>
      <c r="C61" s="845"/>
      <c r="D61" s="867"/>
      <c r="E61" s="320"/>
      <c r="F61" s="321"/>
      <c r="G61" s="321"/>
      <c r="H61" s="321"/>
      <c r="I61" s="321"/>
      <c r="J61" s="321"/>
      <c r="K61" s="321"/>
      <c r="L61" s="321"/>
      <c r="M61" s="320"/>
      <c r="N61" s="320"/>
      <c r="O61" s="114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</row>
    <row r="62" ht="15.75" hidden="1" customHeight="1">
      <c r="A62" s="3"/>
      <c r="B62" s="869"/>
      <c r="C62" s="870"/>
      <c r="D62" s="871"/>
      <c r="E62" s="872"/>
      <c r="F62" s="873"/>
      <c r="G62" s="873"/>
      <c r="H62" s="873"/>
      <c r="I62" s="873"/>
      <c r="J62" s="873"/>
      <c r="K62" s="873"/>
      <c r="L62" s="873"/>
      <c r="M62" s="872"/>
      <c r="N62" s="872"/>
      <c r="O62" s="62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</row>
    <row r="63" ht="15.75" customHeight="1">
      <c r="A63" s="3"/>
      <c r="B63" s="874" t="s">
        <v>33</v>
      </c>
      <c r="C63" s="875" t="s">
        <v>33</v>
      </c>
      <c r="D63" s="145">
        <f t="shared" ref="D63:E63" si="9">D28-D48-D59</f>
        <v>980960</v>
      </c>
      <c r="E63" s="146">
        <f t="shared" si="9"/>
        <v>0</v>
      </c>
      <c r="F63" s="118">
        <f t="shared" ref="F63:O63" si="10">F28-F48</f>
        <v>0</v>
      </c>
      <c r="G63" s="118">
        <f t="shared" si="10"/>
        <v>0</v>
      </c>
      <c r="H63" s="118">
        <f t="shared" si="10"/>
        <v>0</v>
      </c>
      <c r="I63" s="118">
        <f t="shared" si="10"/>
        <v>0</v>
      </c>
      <c r="J63" s="118">
        <f t="shared" si="10"/>
        <v>0</v>
      </c>
      <c r="K63" s="118">
        <f t="shared" si="10"/>
        <v>0</v>
      </c>
      <c r="L63" s="118">
        <f t="shared" si="10"/>
        <v>42624</v>
      </c>
      <c r="M63" s="146">
        <f t="shared" si="10"/>
        <v>476885</v>
      </c>
      <c r="N63" s="146">
        <f t="shared" si="10"/>
        <v>18314</v>
      </c>
      <c r="O63" s="876">
        <f t="shared" si="10"/>
        <v>26700</v>
      </c>
      <c r="P63" s="296">
        <f>D63+E63+F63+G63+H63+I63+J63+K63+L63+M63+N63+O63</f>
        <v>1545483</v>
      </c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</row>
    <row r="64" ht="15.75" customHeight="1">
      <c r="A64" s="3"/>
      <c r="B64" s="877"/>
      <c r="C64" s="35"/>
      <c r="D64" s="135"/>
      <c r="E64" s="83"/>
      <c r="F64" s="28"/>
      <c r="G64" s="28"/>
      <c r="H64" s="28"/>
      <c r="I64" s="28"/>
      <c r="J64" s="28"/>
      <c r="K64" s="28"/>
      <c r="L64" s="28"/>
      <c r="M64" s="83"/>
      <c r="N64" s="83"/>
      <c r="O64" s="878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</row>
    <row r="65" ht="15.75" customHeight="1">
      <c r="A65" s="3"/>
      <c r="B65" s="849"/>
      <c r="C65" s="879" t="s">
        <v>241</v>
      </c>
      <c r="D65" s="138"/>
      <c r="E65" s="114"/>
      <c r="F65" s="43"/>
      <c r="G65" s="43"/>
      <c r="H65" s="43"/>
      <c r="I65" s="43"/>
      <c r="J65" s="43"/>
      <c r="K65" s="43"/>
      <c r="L65" s="43"/>
      <c r="M65" s="114"/>
      <c r="N65" s="114"/>
      <c r="O65" s="114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</row>
    <row r="66" ht="15.75" customHeight="1">
      <c r="A66" s="3"/>
      <c r="B66" s="849"/>
      <c r="C66" s="49" t="s">
        <v>242</v>
      </c>
      <c r="D66" s="138">
        <v>24934.0</v>
      </c>
      <c r="E66" s="114"/>
      <c r="F66" s="43"/>
      <c r="G66" s="43"/>
      <c r="H66" s="43"/>
      <c r="I66" s="43"/>
      <c r="J66" s="43"/>
      <c r="K66" s="43"/>
      <c r="L66" s="43"/>
      <c r="M66" s="114"/>
      <c r="N66" s="114"/>
      <c r="O66" s="114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</row>
    <row r="67" ht="15.75" customHeight="1">
      <c r="A67" s="3"/>
      <c r="B67" s="849"/>
      <c r="C67" s="49" t="s">
        <v>243</v>
      </c>
      <c r="D67" s="138">
        <v>11690.0</v>
      </c>
      <c r="E67" s="114"/>
      <c r="F67" s="43"/>
      <c r="G67" s="43"/>
      <c r="H67" s="43"/>
      <c r="I67" s="43"/>
      <c r="J67" s="43"/>
      <c r="K67" s="43"/>
      <c r="L67" s="43"/>
      <c r="M67" s="114"/>
      <c r="N67" s="236">
        <v>0.0</v>
      </c>
      <c r="O67" s="114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</row>
    <row r="68" ht="15.75" customHeight="1">
      <c r="A68" s="3"/>
      <c r="B68" s="849"/>
      <c r="C68" s="49" t="s">
        <v>244</v>
      </c>
      <c r="D68" s="138">
        <v>710.0</v>
      </c>
      <c r="E68" s="114"/>
      <c r="F68" s="43"/>
      <c r="G68" s="43"/>
      <c r="H68" s="43"/>
      <c r="I68" s="43"/>
      <c r="J68" s="43"/>
      <c r="K68" s="43"/>
      <c r="L68" s="43"/>
      <c r="M68" s="114"/>
      <c r="N68" s="114"/>
      <c r="O68" s="114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</row>
    <row r="69" ht="15.75" customHeight="1">
      <c r="A69" s="3"/>
      <c r="B69" s="849"/>
      <c r="C69" s="49" t="s">
        <v>303</v>
      </c>
      <c r="D69" s="138">
        <v>8015.0</v>
      </c>
      <c r="E69" s="114"/>
      <c r="F69" s="43"/>
      <c r="G69" s="43"/>
      <c r="H69" s="43"/>
      <c r="I69" s="43"/>
      <c r="J69" s="43"/>
      <c r="K69" s="43"/>
      <c r="L69" s="43"/>
      <c r="M69" s="114"/>
      <c r="N69" s="114"/>
      <c r="O69" s="114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</row>
    <row r="70" ht="15.75" customHeight="1">
      <c r="A70" s="3"/>
      <c r="B70" s="849"/>
      <c r="C70" s="49" t="s">
        <v>246</v>
      </c>
      <c r="D70" s="138"/>
      <c r="E70" s="114"/>
      <c r="F70" s="43"/>
      <c r="G70" s="43"/>
      <c r="H70" s="43"/>
      <c r="I70" s="43"/>
      <c r="J70" s="43"/>
      <c r="K70" s="43"/>
      <c r="L70" s="43"/>
      <c r="M70" s="114"/>
      <c r="N70" s="114"/>
      <c r="O70" s="114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</row>
    <row r="71" ht="15.75" customHeight="1">
      <c r="A71" s="3"/>
      <c r="B71" s="849"/>
      <c r="C71" s="49" t="s">
        <v>247</v>
      </c>
      <c r="D71" s="138">
        <f>700+1105</f>
        <v>1805</v>
      </c>
      <c r="E71" s="114"/>
      <c r="F71" s="43"/>
      <c r="G71" s="43"/>
      <c r="H71" s="43"/>
      <c r="I71" s="43"/>
      <c r="J71" s="43"/>
      <c r="K71" s="43"/>
      <c r="L71" s="43"/>
      <c r="M71" s="114"/>
      <c r="N71" s="114"/>
      <c r="O71" s="114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</row>
    <row r="72" ht="15.75" customHeight="1">
      <c r="A72" s="3"/>
      <c r="B72" s="880"/>
      <c r="C72" s="881" t="s">
        <v>248</v>
      </c>
      <c r="D72" s="867">
        <f t="shared" ref="D72:O72" si="11">SUM(D66:D71)</f>
        <v>47154</v>
      </c>
      <c r="E72" s="320">
        <f t="shared" si="11"/>
        <v>0</v>
      </c>
      <c r="F72" s="320">
        <f t="shared" si="11"/>
        <v>0</v>
      </c>
      <c r="G72" s="320">
        <f t="shared" si="11"/>
        <v>0</v>
      </c>
      <c r="H72" s="320">
        <f t="shared" si="11"/>
        <v>0</v>
      </c>
      <c r="I72" s="320">
        <f t="shared" si="11"/>
        <v>0</v>
      </c>
      <c r="J72" s="320">
        <f t="shared" si="11"/>
        <v>0</v>
      </c>
      <c r="K72" s="320">
        <f t="shared" si="11"/>
        <v>0</v>
      </c>
      <c r="L72" s="320">
        <f t="shared" si="11"/>
        <v>0</v>
      </c>
      <c r="M72" s="320">
        <f t="shared" si="11"/>
        <v>0</v>
      </c>
      <c r="N72" s="320">
        <f t="shared" si="11"/>
        <v>0</v>
      </c>
      <c r="O72" s="320">
        <f t="shared" si="11"/>
        <v>0</v>
      </c>
      <c r="P72" s="296">
        <f>D72+E72+F72+G72+H72+I72+J72+K72+L72+M72+N72+O72</f>
        <v>47154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 ht="15.75" hidden="1" customHeight="1">
      <c r="A73" s="3"/>
      <c r="B73" s="849"/>
      <c r="C73" s="49"/>
      <c r="D73" s="138"/>
      <c r="E73" s="114"/>
      <c r="F73" s="43"/>
      <c r="G73" s="43"/>
      <c r="H73" s="43"/>
      <c r="I73" s="43"/>
      <c r="J73" s="43"/>
      <c r="K73" s="43"/>
      <c r="L73" s="43"/>
      <c r="M73" s="114"/>
      <c r="N73" s="114"/>
      <c r="O73" s="114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</row>
    <row r="74" ht="15.75" hidden="1" customHeight="1">
      <c r="A74" s="3"/>
      <c r="B74" s="849"/>
      <c r="C74" s="49"/>
      <c r="D74" s="841"/>
      <c r="E74" s="842"/>
      <c r="F74" s="855"/>
      <c r="G74" s="855"/>
      <c r="H74" s="855"/>
      <c r="I74" s="855"/>
      <c r="J74" s="855"/>
      <c r="K74" s="855"/>
      <c r="L74" s="855"/>
      <c r="M74" s="842"/>
      <c r="N74" s="842"/>
      <c r="O74" s="842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</row>
    <row r="75" ht="15.75" hidden="1" customHeight="1">
      <c r="A75" s="3"/>
      <c r="B75" s="849"/>
      <c r="C75" s="49"/>
      <c r="D75" s="841"/>
      <c r="E75" s="842"/>
      <c r="F75" s="855"/>
      <c r="G75" s="855"/>
      <c r="H75" s="855"/>
      <c r="I75" s="855"/>
      <c r="J75" s="855"/>
      <c r="K75" s="855"/>
      <c r="L75" s="855"/>
      <c r="M75" s="842"/>
      <c r="N75" s="842"/>
      <c r="O75" s="842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</row>
    <row r="76" ht="15.75" hidden="1" customHeight="1">
      <c r="A76" s="3"/>
      <c r="B76" s="849"/>
      <c r="C76" s="49"/>
      <c r="D76" s="841"/>
      <c r="E76" s="842"/>
      <c r="F76" s="855"/>
      <c r="G76" s="855"/>
      <c r="H76" s="855"/>
      <c r="I76" s="855"/>
      <c r="J76" s="855"/>
      <c r="K76" s="855"/>
      <c r="L76" s="855"/>
      <c r="M76" s="842"/>
      <c r="N76" s="842"/>
      <c r="O76" s="842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</row>
    <row r="77" ht="15.75" hidden="1" customHeight="1">
      <c r="A77" s="3"/>
      <c r="B77" s="849"/>
      <c r="C77" s="49"/>
      <c r="D77" s="841"/>
      <c r="E77" s="842"/>
      <c r="F77" s="855"/>
      <c r="G77" s="855"/>
      <c r="H77" s="855"/>
      <c r="I77" s="855"/>
      <c r="J77" s="855"/>
      <c r="K77" s="855"/>
      <c r="L77" s="855"/>
      <c r="M77" s="842"/>
      <c r="N77" s="842"/>
      <c r="O77" s="842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</row>
    <row r="78" ht="15.75" hidden="1" customHeight="1">
      <c r="A78" s="3"/>
      <c r="B78" s="849"/>
      <c r="C78" s="49"/>
      <c r="D78" s="841"/>
      <c r="E78" s="842"/>
      <c r="F78" s="855"/>
      <c r="G78" s="855"/>
      <c r="H78" s="855"/>
      <c r="I78" s="855"/>
      <c r="J78" s="855"/>
      <c r="K78" s="855"/>
      <c r="L78" s="855"/>
      <c r="M78" s="842"/>
      <c r="N78" s="842"/>
      <c r="O78" s="842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</row>
    <row r="79" ht="15.75" hidden="1" customHeight="1">
      <c r="A79" s="3"/>
      <c r="B79" s="849"/>
      <c r="C79" s="49"/>
      <c r="D79" s="841"/>
      <c r="E79" s="842"/>
      <c r="F79" s="855"/>
      <c r="G79" s="855"/>
      <c r="H79" s="855"/>
      <c r="I79" s="855"/>
      <c r="J79" s="855"/>
      <c r="K79" s="855"/>
      <c r="L79" s="855"/>
      <c r="M79" s="842"/>
      <c r="N79" s="842"/>
      <c r="O79" s="842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</row>
    <row r="80" ht="15.75" hidden="1" customHeight="1">
      <c r="A80" s="3"/>
      <c r="B80" s="849"/>
      <c r="C80" s="49"/>
      <c r="D80" s="841"/>
      <c r="E80" s="842"/>
      <c r="F80" s="855"/>
      <c r="G80" s="855"/>
      <c r="H80" s="855"/>
      <c r="I80" s="855"/>
      <c r="J80" s="855"/>
      <c r="K80" s="855"/>
      <c r="L80" s="855"/>
      <c r="M80" s="842"/>
      <c r="N80" s="842"/>
      <c r="O80" s="842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</row>
    <row r="81" ht="15.75" hidden="1" customHeight="1">
      <c r="A81" s="3"/>
      <c r="B81" s="882"/>
      <c r="C81" s="883"/>
      <c r="D81" s="884"/>
      <c r="E81" s="885"/>
      <c r="F81" s="886"/>
      <c r="G81" s="886"/>
      <c r="H81" s="886"/>
      <c r="I81" s="886"/>
      <c r="J81" s="886"/>
      <c r="K81" s="886"/>
      <c r="L81" s="886"/>
      <c r="M81" s="885"/>
      <c r="N81" s="885"/>
      <c r="O81" s="842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</row>
    <row r="82" ht="15.75" customHeight="1">
      <c r="A82" s="3"/>
      <c r="B82" s="849"/>
      <c r="C82" s="49"/>
      <c r="D82" s="138"/>
      <c r="E82" s="114"/>
      <c r="F82" s="43"/>
      <c r="G82" s="43"/>
      <c r="H82" s="43"/>
      <c r="I82" s="43"/>
      <c r="J82" s="43"/>
      <c r="K82" s="43"/>
      <c r="L82" s="43"/>
      <c r="M82" s="114"/>
      <c r="N82" s="114"/>
      <c r="O82" s="114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</row>
    <row r="83" ht="15.75" customHeight="1">
      <c r="A83" s="3"/>
      <c r="B83" s="887" t="s">
        <v>249</v>
      </c>
      <c r="C83" s="734"/>
      <c r="D83" s="141"/>
      <c r="E83" s="62"/>
      <c r="F83" s="55"/>
      <c r="G83" s="55"/>
      <c r="H83" s="55"/>
      <c r="I83" s="55"/>
      <c r="J83" s="55"/>
      <c r="K83" s="55"/>
      <c r="L83" s="55"/>
      <c r="M83" s="62"/>
      <c r="N83" s="62"/>
      <c r="O83" s="888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</row>
    <row r="84" ht="15.75" customHeight="1">
      <c r="A84" s="3"/>
      <c r="B84" s="889"/>
      <c r="C84" s="890" t="s">
        <v>250</v>
      </c>
      <c r="D84" s="891">
        <f t="shared" ref="D84:O84" si="12">SUM(D85:D89)</f>
        <v>65371</v>
      </c>
      <c r="E84" s="876">
        <f t="shared" si="12"/>
        <v>10738</v>
      </c>
      <c r="F84" s="892">
        <f t="shared" si="12"/>
        <v>0</v>
      </c>
      <c r="G84" s="892">
        <f t="shared" si="12"/>
        <v>0</v>
      </c>
      <c r="H84" s="892">
        <f t="shared" si="12"/>
        <v>0</v>
      </c>
      <c r="I84" s="892">
        <f t="shared" si="12"/>
        <v>0</v>
      </c>
      <c r="J84" s="892">
        <f t="shared" si="12"/>
        <v>0</v>
      </c>
      <c r="K84" s="892">
        <f t="shared" si="12"/>
        <v>0</v>
      </c>
      <c r="L84" s="892">
        <f t="shared" si="12"/>
        <v>0</v>
      </c>
      <c r="M84" s="876">
        <f t="shared" si="12"/>
        <v>0</v>
      </c>
      <c r="N84" s="876">
        <f t="shared" si="12"/>
        <v>41300</v>
      </c>
      <c r="O84" s="876">
        <f t="shared" si="12"/>
        <v>0</v>
      </c>
      <c r="P84" s="296">
        <f>D84+E84+F84+G84+H84+I84+J84+K84+L84+M84+N84+O84</f>
        <v>117409</v>
      </c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 ht="15.75" customHeight="1">
      <c r="A85" s="3"/>
      <c r="B85" s="877"/>
      <c r="C85" s="35" t="s">
        <v>251</v>
      </c>
      <c r="D85" s="135">
        <f>2007+2008+5750</f>
        <v>9765</v>
      </c>
      <c r="E85" s="83"/>
      <c r="F85" s="28"/>
      <c r="G85" s="28"/>
      <c r="H85" s="28"/>
      <c r="I85" s="28"/>
      <c r="J85" s="28"/>
      <c r="K85" s="28"/>
      <c r="L85" s="28"/>
      <c r="M85" s="83"/>
      <c r="N85" s="83"/>
      <c r="O85" s="878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</row>
    <row r="86" ht="15.75" customHeight="1">
      <c r="A86" s="3"/>
      <c r="B86" s="849"/>
      <c r="C86" s="49" t="s">
        <v>254</v>
      </c>
      <c r="D86" s="138"/>
      <c r="E86" s="114"/>
      <c r="F86" s="43"/>
      <c r="G86" s="43"/>
      <c r="H86" s="43"/>
      <c r="I86" s="43"/>
      <c r="J86" s="43"/>
      <c r="K86" s="43"/>
      <c r="L86" s="43"/>
      <c r="M86" s="114"/>
      <c r="N86" s="114"/>
      <c r="O86" s="114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</row>
    <row r="87" ht="15.75" customHeight="1">
      <c r="A87" s="3"/>
      <c r="B87" s="849"/>
      <c r="C87" s="893" t="s">
        <v>253</v>
      </c>
      <c r="D87" s="138"/>
      <c r="E87" s="114"/>
      <c r="F87" s="43"/>
      <c r="G87" s="43"/>
      <c r="H87" s="43"/>
      <c r="I87" s="43"/>
      <c r="J87" s="43"/>
      <c r="K87" s="43"/>
      <c r="L87" s="43"/>
      <c r="M87" s="114"/>
      <c r="N87" s="114">
        <v>41300.0</v>
      </c>
      <c r="O87" s="114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</row>
    <row r="88" ht="15.75" customHeight="1">
      <c r="A88" s="3"/>
      <c r="B88" s="849"/>
      <c r="C88" s="893" t="s">
        <v>420</v>
      </c>
      <c r="D88" s="138">
        <f>21840+14806+18960</f>
        <v>55606</v>
      </c>
      <c r="E88" s="114">
        <v>10738.0</v>
      </c>
      <c r="F88" s="43"/>
      <c r="G88" s="43"/>
      <c r="H88" s="43"/>
      <c r="I88" s="43"/>
      <c r="J88" s="43"/>
      <c r="K88" s="43"/>
      <c r="L88" s="43"/>
      <c r="M88" s="114"/>
      <c r="N88" s="114"/>
      <c r="O88" s="114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</row>
    <row r="89" ht="15.75" customHeight="1">
      <c r="A89" s="3"/>
      <c r="B89" s="849"/>
      <c r="C89" s="49" t="s">
        <v>421</v>
      </c>
      <c r="D89" s="138"/>
      <c r="E89" s="114"/>
      <c r="F89" s="43"/>
      <c r="G89" s="43"/>
      <c r="H89" s="43"/>
      <c r="I89" s="43"/>
      <c r="J89" s="43"/>
      <c r="K89" s="43"/>
      <c r="L89" s="43"/>
      <c r="M89" s="114"/>
      <c r="N89" s="114"/>
      <c r="O89" s="114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</row>
    <row r="90" ht="15.75" customHeight="1">
      <c r="A90" s="3"/>
      <c r="B90" s="894"/>
      <c r="C90" s="895"/>
      <c r="D90" s="141"/>
      <c r="E90" s="62"/>
      <c r="F90" s="55"/>
      <c r="G90" s="55"/>
      <c r="H90" s="55"/>
      <c r="I90" s="55"/>
      <c r="J90" s="55"/>
      <c r="K90" s="55"/>
      <c r="L90" s="55"/>
      <c r="M90" s="62"/>
      <c r="N90" s="62"/>
      <c r="O90" s="888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</row>
    <row r="91" ht="15.75" customHeight="1">
      <c r="A91" s="3"/>
      <c r="B91" s="889"/>
      <c r="C91" s="890" t="s">
        <v>36</v>
      </c>
      <c r="D91" s="891">
        <f t="shared" ref="D91:O91" si="13">SUM(D92:D95)</f>
        <v>5755</v>
      </c>
      <c r="E91" s="876">
        <f t="shared" si="13"/>
        <v>1626</v>
      </c>
      <c r="F91" s="892">
        <f t="shared" si="13"/>
        <v>0</v>
      </c>
      <c r="G91" s="892">
        <f t="shared" si="13"/>
        <v>0</v>
      </c>
      <c r="H91" s="892">
        <f t="shared" si="13"/>
        <v>0</v>
      </c>
      <c r="I91" s="892">
        <f t="shared" si="13"/>
        <v>0</v>
      </c>
      <c r="J91" s="892">
        <f t="shared" si="13"/>
        <v>0</v>
      </c>
      <c r="K91" s="892">
        <f t="shared" si="13"/>
        <v>0</v>
      </c>
      <c r="L91" s="892">
        <f t="shared" si="13"/>
        <v>0</v>
      </c>
      <c r="M91" s="876">
        <f t="shared" si="13"/>
        <v>0</v>
      </c>
      <c r="N91" s="876">
        <f t="shared" si="13"/>
        <v>0</v>
      </c>
      <c r="O91" s="876">
        <f t="shared" si="13"/>
        <v>0</v>
      </c>
      <c r="P91" s="296">
        <f>D91+E91+F91+G91+H91+I91+J91+K91+L91+M91+N91+O91</f>
        <v>7381</v>
      </c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 ht="15.75" customHeight="1">
      <c r="A92" s="3"/>
      <c r="B92" s="877"/>
      <c r="C92" s="35" t="s">
        <v>257</v>
      </c>
      <c r="D92" s="135"/>
      <c r="E92" s="83"/>
      <c r="F92" s="28"/>
      <c r="G92" s="28"/>
      <c r="H92" s="28"/>
      <c r="I92" s="28"/>
      <c r="J92" s="28"/>
      <c r="K92" s="28"/>
      <c r="L92" s="28"/>
      <c r="M92" s="83"/>
      <c r="N92" s="83"/>
      <c r="O92" s="878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</row>
    <row r="93" ht="15.75" customHeight="1">
      <c r="A93" s="3"/>
      <c r="B93" s="849"/>
      <c r="C93" s="49" t="s">
        <v>258</v>
      </c>
      <c r="D93" s="138">
        <v>5755.0</v>
      </c>
      <c r="E93" s="114">
        <v>1626.0</v>
      </c>
      <c r="F93" s="43">
        <v>0.0</v>
      </c>
      <c r="G93" s="43"/>
      <c r="H93" s="43">
        <v>0.0</v>
      </c>
      <c r="I93" s="43"/>
      <c r="J93" s="43"/>
      <c r="K93" s="43"/>
      <c r="L93" s="43"/>
      <c r="M93" s="114"/>
      <c r="N93" s="114"/>
      <c r="O93" s="114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</row>
    <row r="94" ht="15.75" customHeight="1">
      <c r="A94" s="3"/>
      <c r="B94" s="849"/>
      <c r="C94" s="49" t="s">
        <v>313</v>
      </c>
      <c r="D94" s="138"/>
      <c r="E94" s="114"/>
      <c r="F94" s="43"/>
      <c r="G94" s="43"/>
      <c r="H94" s="43"/>
      <c r="I94" s="43"/>
      <c r="J94" s="43"/>
      <c r="K94" s="43"/>
      <c r="L94" s="43"/>
      <c r="M94" s="114"/>
      <c r="N94" s="114"/>
      <c r="O94" s="114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</row>
    <row r="95" ht="15.75" customHeight="1">
      <c r="A95" s="3"/>
      <c r="B95" s="849"/>
      <c r="C95" s="49" t="s">
        <v>314</v>
      </c>
      <c r="D95" s="138"/>
      <c r="E95" s="114"/>
      <c r="F95" s="43"/>
      <c r="G95" s="43"/>
      <c r="H95" s="43"/>
      <c r="I95" s="43"/>
      <c r="J95" s="43"/>
      <c r="K95" s="43"/>
      <c r="L95" s="43"/>
      <c r="M95" s="114"/>
      <c r="N95" s="114"/>
      <c r="O95" s="114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</row>
    <row r="96" ht="15.75" customHeight="1">
      <c r="A96" s="3"/>
      <c r="B96" s="849"/>
      <c r="C96" s="49"/>
      <c r="D96" s="138"/>
      <c r="E96" s="114"/>
      <c r="F96" s="43"/>
      <c r="G96" s="43"/>
      <c r="H96" s="43"/>
      <c r="I96" s="43"/>
      <c r="J96" s="43"/>
      <c r="K96" s="43"/>
      <c r="L96" s="43"/>
      <c r="M96" s="114"/>
      <c r="N96" s="114"/>
      <c r="O96" s="114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</row>
    <row r="97" ht="15.75" customHeight="1">
      <c r="A97" s="3"/>
      <c r="B97" s="894"/>
      <c r="C97" s="61"/>
      <c r="D97" s="141"/>
      <c r="E97" s="62"/>
      <c r="F97" s="55"/>
      <c r="G97" s="55"/>
      <c r="H97" s="55"/>
      <c r="I97" s="55"/>
      <c r="J97" s="55"/>
      <c r="K97" s="55"/>
      <c r="L97" s="55"/>
      <c r="M97" s="62"/>
      <c r="N97" s="62"/>
      <c r="O97" s="888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</row>
    <row r="98" ht="15.75" customHeight="1">
      <c r="A98" s="3"/>
      <c r="B98" s="889"/>
      <c r="C98" s="890" t="s">
        <v>315</v>
      </c>
      <c r="D98" s="891">
        <f t="shared" ref="D98:O98" si="14">SUM(D99:D102)</f>
        <v>143985</v>
      </c>
      <c r="E98" s="876">
        <f t="shared" si="14"/>
        <v>135894</v>
      </c>
      <c r="F98" s="892">
        <f t="shared" si="14"/>
        <v>131348</v>
      </c>
      <c r="G98" s="892">
        <f t="shared" si="14"/>
        <v>131421</v>
      </c>
      <c r="H98" s="892">
        <f t="shared" si="14"/>
        <v>131577</v>
      </c>
      <c r="I98" s="892">
        <f t="shared" si="14"/>
        <v>127170</v>
      </c>
      <c r="J98" s="892">
        <f t="shared" si="14"/>
        <v>126948</v>
      </c>
      <c r="K98" s="892">
        <f t="shared" si="14"/>
        <v>125890</v>
      </c>
      <c r="L98" s="892">
        <f t="shared" si="14"/>
        <v>125261</v>
      </c>
      <c r="M98" s="876">
        <f t="shared" si="14"/>
        <v>139278</v>
      </c>
      <c r="N98" s="876">
        <f t="shared" si="14"/>
        <v>139278</v>
      </c>
      <c r="O98" s="876">
        <f t="shared" si="14"/>
        <v>151588</v>
      </c>
      <c r="P98" s="296">
        <f>D98+E98+F98+G98+H98+I98+J98+K98+L98+M98+N98+O98</f>
        <v>1609638</v>
      </c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 ht="15.75" customHeight="1">
      <c r="A99" s="3"/>
      <c r="B99" s="877"/>
      <c r="C99" s="35" t="s">
        <v>261</v>
      </c>
      <c r="D99" s="135">
        <v>88500.0</v>
      </c>
      <c r="E99" s="83">
        <v>88500.0</v>
      </c>
      <c r="F99" s="28">
        <v>88500.0</v>
      </c>
      <c r="G99" s="28">
        <v>88500.0</v>
      </c>
      <c r="H99" s="28">
        <v>88500.0</v>
      </c>
      <c r="I99" s="28">
        <v>88500.0</v>
      </c>
      <c r="J99" s="28">
        <v>88500.0</v>
      </c>
      <c r="K99" s="28">
        <v>88500.0</v>
      </c>
      <c r="L99" s="28">
        <v>88500.0</v>
      </c>
      <c r="M99" s="83">
        <f t="shared" ref="M99:O99" si="15">88500+15931</f>
        <v>104431</v>
      </c>
      <c r="N99" s="83">
        <f t="shared" si="15"/>
        <v>104431</v>
      </c>
      <c r="O99" s="114">
        <f t="shared" si="15"/>
        <v>104431</v>
      </c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</row>
    <row r="100" ht="15.75" customHeight="1">
      <c r="A100" s="3"/>
      <c r="B100" s="849"/>
      <c r="C100" s="49" t="s">
        <v>262</v>
      </c>
      <c r="D100" s="138">
        <v>49185.0</v>
      </c>
      <c r="E100" s="114">
        <v>44994.0</v>
      </c>
      <c r="F100" s="43">
        <v>42048.0</v>
      </c>
      <c r="G100" s="43">
        <v>42921.0</v>
      </c>
      <c r="H100" s="43">
        <v>43077.0</v>
      </c>
      <c r="I100" s="43">
        <v>38670.0</v>
      </c>
      <c r="J100" s="43">
        <v>38448.0</v>
      </c>
      <c r="K100" s="43">
        <v>36390.0</v>
      </c>
      <c r="L100" s="43">
        <v>36761.0</v>
      </c>
      <c r="M100" s="114">
        <v>34847.0</v>
      </c>
      <c r="N100" s="114">
        <v>34847.0</v>
      </c>
      <c r="O100" s="114">
        <v>31157.0</v>
      </c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</row>
    <row r="101" ht="15.75" customHeight="1">
      <c r="A101" s="3"/>
      <c r="B101" s="849"/>
      <c r="C101" s="49" t="s">
        <v>263</v>
      </c>
      <c r="D101" s="138">
        <v>5500.0</v>
      </c>
      <c r="E101" s="114"/>
      <c r="F101" s="43"/>
      <c r="G101" s="43"/>
      <c r="H101" s="43"/>
      <c r="I101" s="43"/>
      <c r="J101" s="43"/>
      <c r="K101" s="43"/>
      <c r="L101" s="43"/>
      <c r="M101" s="114"/>
      <c r="N101" s="114"/>
      <c r="O101" s="114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</row>
    <row r="102" ht="15.75" customHeight="1">
      <c r="A102" s="3"/>
      <c r="B102" s="849"/>
      <c r="C102" s="49" t="s">
        <v>264</v>
      </c>
      <c r="D102" s="138">
        <f>2400/3</f>
        <v>800</v>
      </c>
      <c r="E102" s="114">
        <f>1600+(2400/3)</f>
        <v>2400</v>
      </c>
      <c r="F102" s="43">
        <f>2400/3</f>
        <v>800</v>
      </c>
      <c r="G102" s="43"/>
      <c r="H102" s="43"/>
      <c r="I102" s="43"/>
      <c r="J102" s="43"/>
      <c r="K102" s="43">
        <v>1000.0</v>
      </c>
      <c r="L102" s="43"/>
      <c r="M102" s="114"/>
      <c r="N102" s="114"/>
      <c r="O102" s="114">
        <v>16000.0</v>
      </c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</row>
    <row r="103" ht="15.75" customHeight="1">
      <c r="A103" s="3"/>
      <c r="B103" s="894"/>
      <c r="C103" s="895"/>
      <c r="D103" s="141"/>
      <c r="E103" s="62"/>
      <c r="F103" s="55"/>
      <c r="G103" s="55"/>
      <c r="H103" s="55"/>
      <c r="I103" s="55"/>
      <c r="J103" s="55"/>
      <c r="K103" s="55"/>
      <c r="L103" s="55"/>
      <c r="M103" s="62"/>
      <c r="N103" s="62"/>
      <c r="O103" s="88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</row>
    <row r="104" ht="15.75" customHeight="1">
      <c r="A104" s="3"/>
      <c r="B104" s="889"/>
      <c r="C104" s="890" t="s">
        <v>38</v>
      </c>
      <c r="D104" s="891">
        <f t="shared" ref="D104:O104" si="16">SUM(D105:D112)</f>
        <v>473651</v>
      </c>
      <c r="E104" s="876">
        <f t="shared" si="16"/>
        <v>195828</v>
      </c>
      <c r="F104" s="892">
        <f t="shared" si="16"/>
        <v>141126</v>
      </c>
      <c r="G104" s="892">
        <f t="shared" si="16"/>
        <v>145976</v>
      </c>
      <c r="H104" s="892">
        <f t="shared" si="16"/>
        <v>0</v>
      </c>
      <c r="I104" s="892">
        <f t="shared" si="16"/>
        <v>39500</v>
      </c>
      <c r="J104" s="892">
        <f t="shared" si="16"/>
        <v>111300</v>
      </c>
      <c r="K104" s="892">
        <f t="shared" si="16"/>
        <v>1497</v>
      </c>
      <c r="L104" s="892">
        <f t="shared" si="16"/>
        <v>29310</v>
      </c>
      <c r="M104" s="876">
        <f t="shared" si="16"/>
        <v>0</v>
      </c>
      <c r="N104" s="876">
        <f t="shared" si="16"/>
        <v>40001.7</v>
      </c>
      <c r="O104" s="876">
        <f t="shared" si="16"/>
        <v>880</v>
      </c>
      <c r="P104" s="296">
        <f>D104+E104+F104+G104+H104+I104+J104+K104+L104+M104+N104+O104</f>
        <v>1179069.7</v>
      </c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 ht="15.75" customHeight="1">
      <c r="A105" s="3"/>
      <c r="B105" s="877"/>
      <c r="C105" s="35" t="s">
        <v>318</v>
      </c>
      <c r="D105" s="135">
        <v>8000.0</v>
      </c>
      <c r="E105" s="83"/>
      <c r="F105" s="28"/>
      <c r="G105" s="28"/>
      <c r="H105" s="28"/>
      <c r="I105" s="28"/>
      <c r="J105" s="28"/>
      <c r="K105" s="28"/>
      <c r="L105" s="28"/>
      <c r="M105" s="83"/>
      <c r="N105" s="83"/>
      <c r="O105" s="87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</row>
    <row r="106" ht="15.75" customHeight="1">
      <c r="A106" s="3"/>
      <c r="B106" s="849"/>
      <c r="C106" s="49" t="s">
        <v>265</v>
      </c>
      <c r="D106" s="138">
        <v>367170.0</v>
      </c>
      <c r="E106" s="114">
        <v>139976.0</v>
      </c>
      <c r="F106" s="43">
        <v>140126.0</v>
      </c>
      <c r="G106" s="43">
        <v>139976.0</v>
      </c>
      <c r="H106" s="43"/>
      <c r="I106" s="43"/>
      <c r="J106" s="43"/>
      <c r="K106" s="43"/>
      <c r="L106" s="43"/>
      <c r="M106" s="114"/>
      <c r="N106" s="114"/>
      <c r="O106" s="114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</row>
    <row r="107" ht="15.75" customHeight="1">
      <c r="A107" s="3"/>
      <c r="B107" s="849"/>
      <c r="C107" s="49" t="s">
        <v>266</v>
      </c>
      <c r="D107" s="138">
        <v>2165.0</v>
      </c>
      <c r="E107" s="114">
        <v>730.0</v>
      </c>
      <c r="F107" s="43"/>
      <c r="G107" s="43"/>
      <c r="H107" s="43"/>
      <c r="I107" s="43"/>
      <c r="J107" s="43"/>
      <c r="K107" s="43"/>
      <c r="L107" s="43"/>
      <c r="M107" s="114"/>
      <c r="N107" s="236">
        <v>40001.7</v>
      </c>
      <c r="O107" s="114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</row>
    <row r="108" ht="15.75" customHeight="1">
      <c r="A108" s="3"/>
      <c r="B108" s="849"/>
      <c r="C108" s="49" t="s">
        <v>267</v>
      </c>
      <c r="D108" s="138">
        <v>61370.0</v>
      </c>
      <c r="E108" s="114">
        <v>55122.0</v>
      </c>
      <c r="F108" s="43"/>
      <c r="G108" s="43"/>
      <c r="H108" s="43"/>
      <c r="I108" s="43"/>
      <c r="J108" s="43"/>
      <c r="K108" s="43"/>
      <c r="L108" s="43"/>
      <c r="M108" s="114"/>
      <c r="N108" s="114"/>
      <c r="O108" s="114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</row>
    <row r="109" ht="15.75" customHeight="1">
      <c r="A109" s="3"/>
      <c r="B109" s="849"/>
      <c r="C109" s="49" t="s">
        <v>268</v>
      </c>
      <c r="D109" s="138"/>
      <c r="E109" s="114"/>
      <c r="F109" s="43"/>
      <c r="G109" s="43"/>
      <c r="H109" s="43"/>
      <c r="I109" s="43"/>
      <c r="J109" s="43"/>
      <c r="K109" s="43"/>
      <c r="L109" s="43"/>
      <c r="M109" s="114"/>
      <c r="N109" s="114"/>
      <c r="O109" s="114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</row>
    <row r="110" ht="15.75" customHeight="1">
      <c r="A110" s="3"/>
      <c r="B110" s="849"/>
      <c r="C110" s="49" t="s">
        <v>396</v>
      </c>
      <c r="D110" s="138"/>
      <c r="E110" s="114"/>
      <c r="F110" s="43"/>
      <c r="G110" s="43"/>
      <c r="H110" s="43"/>
      <c r="I110" s="43"/>
      <c r="J110" s="43"/>
      <c r="K110" s="43"/>
      <c r="L110" s="43"/>
      <c r="M110" s="114"/>
      <c r="N110" s="114"/>
      <c r="O110" s="114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</row>
    <row r="111" ht="15.75" customHeight="1">
      <c r="A111" s="3"/>
      <c r="B111" s="849"/>
      <c r="C111" s="49" t="s">
        <v>269</v>
      </c>
      <c r="D111" s="138">
        <f>1800+4026</f>
        <v>5826</v>
      </c>
      <c r="E111" s="114"/>
      <c r="F111" s="43">
        <v>1000.0</v>
      </c>
      <c r="G111" s="43">
        <v>6000.0</v>
      </c>
      <c r="H111" s="43"/>
      <c r="I111" s="43">
        <v>39500.0</v>
      </c>
      <c r="J111" s="43">
        <v>111300.0</v>
      </c>
      <c r="K111" s="43">
        <v>1497.0</v>
      </c>
      <c r="L111" s="43">
        <v>29310.0</v>
      </c>
      <c r="M111" s="114"/>
      <c r="N111" s="114"/>
      <c r="O111" s="236">
        <v>880.0</v>
      </c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</row>
    <row r="112" ht="15.75" customHeight="1">
      <c r="A112" s="3"/>
      <c r="B112" s="849"/>
      <c r="C112" s="49" t="s">
        <v>270</v>
      </c>
      <c r="D112" s="138">
        <v>29120.0</v>
      </c>
      <c r="E112" s="114"/>
      <c r="F112" s="43"/>
      <c r="G112" s="43"/>
      <c r="H112" s="43"/>
      <c r="I112" s="43"/>
      <c r="J112" s="43"/>
      <c r="K112" s="43"/>
      <c r="L112" s="43"/>
      <c r="M112" s="114"/>
      <c r="N112" s="114"/>
      <c r="O112" s="114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</row>
    <row r="113" ht="15.75" customHeight="1">
      <c r="A113" s="3"/>
      <c r="B113" s="894"/>
      <c r="C113" s="895"/>
      <c r="D113" s="141"/>
      <c r="E113" s="62"/>
      <c r="F113" s="55"/>
      <c r="G113" s="55"/>
      <c r="H113" s="55"/>
      <c r="I113" s="55"/>
      <c r="J113" s="55"/>
      <c r="K113" s="55"/>
      <c r="L113" s="55"/>
      <c r="M113" s="62"/>
      <c r="N113" s="62"/>
      <c r="O113" s="888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</row>
    <row r="114" ht="15.75" customHeight="1">
      <c r="A114" s="3"/>
      <c r="B114" s="889"/>
      <c r="C114" s="890" t="s">
        <v>39</v>
      </c>
      <c r="D114" s="891">
        <f t="shared" ref="D114:O114" si="17">SUM(D115)</f>
        <v>710.68</v>
      </c>
      <c r="E114" s="876">
        <f t="shared" si="17"/>
        <v>0</v>
      </c>
      <c r="F114" s="892">
        <f t="shared" si="17"/>
        <v>0</v>
      </c>
      <c r="G114" s="892">
        <f t="shared" si="17"/>
        <v>0</v>
      </c>
      <c r="H114" s="892">
        <f t="shared" si="17"/>
        <v>0</v>
      </c>
      <c r="I114" s="892">
        <f t="shared" si="17"/>
        <v>0</v>
      </c>
      <c r="J114" s="892">
        <f t="shared" si="17"/>
        <v>0</v>
      </c>
      <c r="K114" s="892">
        <f t="shared" si="17"/>
        <v>0</v>
      </c>
      <c r="L114" s="892">
        <f t="shared" si="17"/>
        <v>0</v>
      </c>
      <c r="M114" s="876">
        <f t="shared" si="17"/>
        <v>0</v>
      </c>
      <c r="N114" s="876">
        <f t="shared" si="17"/>
        <v>0</v>
      </c>
      <c r="O114" s="876">
        <f t="shared" si="17"/>
        <v>0</v>
      </c>
      <c r="P114" s="296">
        <f>D114+E114+F114+G114+H114+I114+J114+K114+L114+M114+N114+O114</f>
        <v>710.68</v>
      </c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 ht="15.75" customHeight="1">
      <c r="A115" s="3"/>
      <c r="B115" s="877"/>
      <c r="C115" s="35" t="s">
        <v>272</v>
      </c>
      <c r="D115" s="135">
        <v>710.68</v>
      </c>
      <c r="E115" s="83"/>
      <c r="F115" s="28"/>
      <c r="G115" s="28"/>
      <c r="H115" s="28"/>
      <c r="I115" s="28"/>
      <c r="J115" s="28"/>
      <c r="K115" s="28"/>
      <c r="L115" s="28"/>
      <c r="M115" s="83"/>
      <c r="N115" s="83"/>
      <c r="O115" s="878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</row>
    <row r="116" ht="15.75" customHeight="1">
      <c r="A116" s="3"/>
      <c r="B116" s="894"/>
      <c r="C116" s="61"/>
      <c r="D116" s="141"/>
      <c r="E116" s="62"/>
      <c r="F116" s="55"/>
      <c r="G116" s="55"/>
      <c r="H116" s="55"/>
      <c r="I116" s="55"/>
      <c r="J116" s="55"/>
      <c r="K116" s="55"/>
      <c r="L116" s="55"/>
      <c r="M116" s="62"/>
      <c r="N116" s="62"/>
      <c r="O116" s="888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</row>
    <row r="117" ht="15.75" customHeight="1">
      <c r="A117" s="3"/>
      <c r="B117" s="889"/>
      <c r="C117" s="890" t="s">
        <v>273</v>
      </c>
      <c r="D117" s="891">
        <f t="shared" ref="D117:O117" si="18">SUM(D118:D119)</f>
        <v>5408.333333</v>
      </c>
      <c r="E117" s="876">
        <f t="shared" si="18"/>
        <v>6806.25</v>
      </c>
      <c r="F117" s="892">
        <f t="shared" si="18"/>
        <v>6806.25</v>
      </c>
      <c r="G117" s="892">
        <f t="shared" si="18"/>
        <v>10346.25</v>
      </c>
      <c r="H117" s="892">
        <f t="shared" si="18"/>
        <v>6806.25</v>
      </c>
      <c r="I117" s="892">
        <f t="shared" si="18"/>
        <v>6806.25</v>
      </c>
      <c r="J117" s="892">
        <f t="shared" si="18"/>
        <v>6806.25</v>
      </c>
      <c r="K117" s="892">
        <f t="shared" si="18"/>
        <v>6806.25</v>
      </c>
      <c r="L117" s="892">
        <f t="shared" si="18"/>
        <v>6806.25</v>
      </c>
      <c r="M117" s="876">
        <f t="shared" si="18"/>
        <v>6806.25</v>
      </c>
      <c r="N117" s="876">
        <f t="shared" si="18"/>
        <v>6806.25</v>
      </c>
      <c r="O117" s="876">
        <f t="shared" si="18"/>
        <v>6806.25</v>
      </c>
      <c r="P117" s="296">
        <f>D117+E117+F117+G117+H117+I117+J117+K117+L117+M117+N117+O117</f>
        <v>83817.08333</v>
      </c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 ht="15.75" customHeight="1">
      <c r="A118" s="3"/>
      <c r="B118" s="877"/>
      <c r="C118" s="35" t="s">
        <v>274</v>
      </c>
      <c r="D118" s="135"/>
      <c r="E118" s="83"/>
      <c r="F118" s="28"/>
      <c r="G118" s="28">
        <v>3540.0</v>
      </c>
      <c r="H118" s="28"/>
      <c r="I118" s="28"/>
      <c r="J118" s="28"/>
      <c r="K118" s="28"/>
      <c r="L118" s="28"/>
      <c r="M118" s="83"/>
      <c r="N118" s="83"/>
      <c r="O118" s="878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</row>
    <row r="119" ht="15.75" customHeight="1">
      <c r="A119" s="3"/>
      <c r="B119" s="849"/>
      <c r="C119" s="49" t="s">
        <v>422</v>
      </c>
      <c r="D119" s="138">
        <f>1475+2950+(11800/12)</f>
        <v>5408.333333</v>
      </c>
      <c r="E119" s="114">
        <f t="shared" ref="E119:O119" si="19">1475+2950+(11800/12)+16775/12</f>
        <v>6806.25</v>
      </c>
      <c r="F119" s="115">
        <f t="shared" si="19"/>
        <v>6806.25</v>
      </c>
      <c r="G119" s="115">
        <f t="shared" si="19"/>
        <v>6806.25</v>
      </c>
      <c r="H119" s="115">
        <f t="shared" si="19"/>
        <v>6806.25</v>
      </c>
      <c r="I119" s="115">
        <f t="shared" si="19"/>
        <v>6806.25</v>
      </c>
      <c r="J119" s="115">
        <f t="shared" si="19"/>
        <v>6806.25</v>
      </c>
      <c r="K119" s="115">
        <f t="shared" si="19"/>
        <v>6806.25</v>
      </c>
      <c r="L119" s="115">
        <f t="shared" si="19"/>
        <v>6806.25</v>
      </c>
      <c r="M119" s="114">
        <f t="shared" si="19"/>
        <v>6806.25</v>
      </c>
      <c r="N119" s="114">
        <f t="shared" si="19"/>
        <v>6806.25</v>
      </c>
      <c r="O119" s="114">
        <f t="shared" si="19"/>
        <v>6806.25</v>
      </c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</row>
    <row r="120" ht="15.75" customHeight="1">
      <c r="A120" s="3"/>
      <c r="B120" s="894"/>
      <c r="C120" s="61"/>
      <c r="D120" s="141"/>
      <c r="E120" s="62"/>
      <c r="F120" s="55"/>
      <c r="G120" s="55"/>
      <c r="H120" s="55"/>
      <c r="I120" s="55"/>
      <c r="J120" s="55"/>
      <c r="K120" s="55"/>
      <c r="L120" s="55"/>
      <c r="M120" s="62"/>
      <c r="N120" s="62"/>
      <c r="O120" s="888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</row>
    <row r="121" ht="15.75" customHeight="1">
      <c r="A121" s="3"/>
      <c r="B121" s="889"/>
      <c r="C121" s="890" t="s">
        <v>41</v>
      </c>
      <c r="D121" s="891">
        <f t="shared" ref="D121:L121" si="20">SUM(D122:D133)</f>
        <v>371507.0833</v>
      </c>
      <c r="E121" s="876">
        <f t="shared" si="20"/>
        <v>222093.1667</v>
      </c>
      <c r="F121" s="892">
        <f t="shared" si="20"/>
        <v>41021.16667</v>
      </c>
      <c r="G121" s="892">
        <f t="shared" si="20"/>
        <v>38427.66667</v>
      </c>
      <c r="H121" s="892">
        <f t="shared" si="20"/>
        <v>462551.6667</v>
      </c>
      <c r="I121" s="892">
        <f t="shared" si="20"/>
        <v>349628.6667</v>
      </c>
      <c r="J121" s="892">
        <f t="shared" si="20"/>
        <v>501839.6667</v>
      </c>
      <c r="K121" s="892">
        <f t="shared" si="20"/>
        <v>956147</v>
      </c>
      <c r="L121" s="892">
        <f t="shared" si="20"/>
        <v>875547</v>
      </c>
      <c r="M121" s="876">
        <f>SUM(M122:M135)</f>
        <v>632070</v>
      </c>
      <c r="N121" s="876">
        <f t="shared" ref="N121:O121" si="21">SUM(N122:N133)</f>
        <v>224093</v>
      </c>
      <c r="O121" s="876">
        <f t="shared" si="21"/>
        <v>1996663</v>
      </c>
      <c r="P121" s="296">
        <f>D121+E121+F121+G121+H121+I121+J121+K121+L121+M121+N121+O121</f>
        <v>6671589.083</v>
      </c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 ht="15.75" customHeight="1">
      <c r="A122" s="3"/>
      <c r="B122" s="877"/>
      <c r="C122" s="35" t="s">
        <v>277</v>
      </c>
      <c r="D122" s="135">
        <f>378+4000</f>
        <v>4378</v>
      </c>
      <c r="E122" s="83"/>
      <c r="F122" s="28"/>
      <c r="G122" s="28"/>
      <c r="H122" s="28"/>
      <c r="I122" s="28"/>
      <c r="J122" s="28"/>
      <c r="K122" s="28"/>
      <c r="L122" s="28"/>
      <c r="M122" s="83"/>
      <c r="N122" s="83"/>
      <c r="O122" s="878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</row>
    <row r="123" ht="15.75" customHeight="1">
      <c r="A123" s="3"/>
      <c r="B123" s="849"/>
      <c r="C123" s="49" t="s">
        <v>278</v>
      </c>
      <c r="D123" s="138">
        <v>4852.0</v>
      </c>
      <c r="E123" s="114">
        <v>3279.0</v>
      </c>
      <c r="F123" s="43"/>
      <c r="G123" s="43"/>
      <c r="H123" s="43">
        <v>305.0</v>
      </c>
      <c r="I123" s="43"/>
      <c r="J123" s="43"/>
      <c r="K123" s="43"/>
      <c r="L123" s="43"/>
      <c r="M123" s="114"/>
      <c r="N123" s="114"/>
      <c r="O123" s="114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</row>
    <row r="124" ht="15.75" customHeight="1">
      <c r="A124" s="3"/>
      <c r="B124" s="849"/>
      <c r="C124" s="49" t="s">
        <v>280</v>
      </c>
      <c r="D124" s="138">
        <f>(71219/12)</f>
        <v>5934.916667</v>
      </c>
      <c r="E124" s="114"/>
      <c r="F124" s="43"/>
      <c r="G124" s="43"/>
      <c r="H124" s="43"/>
      <c r="I124" s="43"/>
      <c r="J124" s="43"/>
      <c r="K124" s="43">
        <v>2000.0</v>
      </c>
      <c r="L124" s="43"/>
      <c r="M124" s="114"/>
      <c r="N124" s="114"/>
      <c r="O124" s="114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</row>
    <row r="125" ht="15.75" customHeight="1">
      <c r="A125" s="3"/>
      <c r="B125" s="849"/>
      <c r="C125" s="49" t="s">
        <v>423</v>
      </c>
      <c r="D125" s="138">
        <f>15000+42315+10500</f>
        <v>67815</v>
      </c>
      <c r="E125" s="114">
        <v>0.0</v>
      </c>
      <c r="F125" s="43">
        <v>0.0</v>
      </c>
      <c r="G125" s="43">
        <v>0.0</v>
      </c>
      <c r="H125" s="43">
        <v>0.0</v>
      </c>
      <c r="I125" s="43">
        <v>0.0</v>
      </c>
      <c r="J125" s="43">
        <v>0.0</v>
      </c>
      <c r="K125" s="43">
        <v>0.0</v>
      </c>
      <c r="L125" s="43">
        <v>0.0</v>
      </c>
      <c r="M125" s="114"/>
      <c r="N125" s="114"/>
      <c r="O125" s="114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</row>
    <row r="126" ht="15.75" customHeight="1">
      <c r="A126" s="3"/>
      <c r="B126" s="849"/>
      <c r="C126" s="49" t="s">
        <v>335</v>
      </c>
      <c r="D126" s="138"/>
      <c r="E126" s="114"/>
      <c r="F126" s="43"/>
      <c r="G126" s="43"/>
      <c r="H126" s="43"/>
      <c r="I126" s="43"/>
      <c r="J126" s="43"/>
      <c r="K126" s="43"/>
      <c r="L126" s="43"/>
      <c r="M126" s="114"/>
      <c r="N126" s="114"/>
      <c r="O126" s="114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</row>
    <row r="127" ht="15.75" customHeight="1">
      <c r="A127" s="3"/>
      <c r="B127" s="849"/>
      <c r="C127" s="49" t="s">
        <v>282</v>
      </c>
      <c r="D127" s="138">
        <f>115517+31480</f>
        <v>146997</v>
      </c>
      <c r="E127" s="114">
        <v>190853.0</v>
      </c>
      <c r="F127" s="43">
        <v>14000.0</v>
      </c>
      <c r="G127" s="43">
        <v>17110.0</v>
      </c>
      <c r="H127" s="43">
        <f>345223+105400</f>
        <v>450623</v>
      </c>
      <c r="I127" s="43">
        <v>338005.0</v>
      </c>
      <c r="J127" s="43">
        <f>249400+240816</f>
        <v>490216</v>
      </c>
      <c r="K127" s="43">
        <f>334455+614500</f>
        <v>948955</v>
      </c>
      <c r="L127" s="43">
        <f>321500+415919</f>
        <v>737419</v>
      </c>
      <c r="M127" s="114">
        <f>157789+121832</f>
        <v>279621</v>
      </c>
      <c r="N127" s="114">
        <f>96600+122301</f>
        <v>218901</v>
      </c>
      <c r="O127" s="114">
        <f>2866911-875440</f>
        <v>1991471</v>
      </c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</row>
    <row r="128" ht="15.75" customHeight="1">
      <c r="A128" s="3"/>
      <c r="B128" s="849"/>
      <c r="C128" s="49" t="s">
        <v>283</v>
      </c>
      <c r="D128" s="138">
        <f t="shared" ref="D128:F128" si="22">(77180/12)+(36846/12)+(62304/12)</f>
        <v>14694.16667</v>
      </c>
      <c r="E128" s="114">
        <f t="shared" si="22"/>
        <v>14694.16667</v>
      </c>
      <c r="F128" s="48">
        <f t="shared" si="22"/>
        <v>14694.16667</v>
      </c>
      <c r="G128" s="48">
        <f t="shared" ref="G128:J128" si="23">(77180/12)+(62304/12)</f>
        <v>11623.66667</v>
      </c>
      <c r="H128" s="48">
        <f t="shared" si="23"/>
        <v>11623.66667</v>
      </c>
      <c r="I128" s="48">
        <f t="shared" si="23"/>
        <v>11623.66667</v>
      </c>
      <c r="J128" s="48">
        <f t="shared" si="23"/>
        <v>11623.66667</v>
      </c>
      <c r="K128" s="48">
        <f t="shared" ref="K128:O128" si="24">(62304/12)</f>
        <v>5192</v>
      </c>
      <c r="L128" s="48">
        <f t="shared" si="24"/>
        <v>5192</v>
      </c>
      <c r="M128" s="114">
        <f t="shared" si="24"/>
        <v>5192</v>
      </c>
      <c r="N128" s="114">
        <f t="shared" si="24"/>
        <v>5192</v>
      </c>
      <c r="O128" s="114">
        <f t="shared" si="24"/>
        <v>5192</v>
      </c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</row>
    <row r="129" ht="15.75" customHeight="1">
      <c r="A129" s="3"/>
      <c r="B129" s="849"/>
      <c r="C129" s="49" t="s">
        <v>285</v>
      </c>
      <c r="D129" s="138"/>
      <c r="E129" s="114"/>
      <c r="F129" s="43"/>
      <c r="G129" s="43"/>
      <c r="H129" s="43"/>
      <c r="I129" s="43"/>
      <c r="J129" s="43"/>
      <c r="K129" s="43"/>
      <c r="L129" s="43"/>
      <c r="M129" s="114"/>
      <c r="N129" s="114"/>
      <c r="O129" s="114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</row>
    <row r="130" ht="15.75" customHeight="1">
      <c r="A130" s="3"/>
      <c r="B130" s="849"/>
      <c r="C130" s="49" t="s">
        <v>286</v>
      </c>
      <c r="D130" s="138"/>
      <c r="E130" s="114"/>
      <c r="F130" s="43"/>
      <c r="G130" s="43"/>
      <c r="H130" s="43"/>
      <c r="I130" s="43"/>
      <c r="J130" s="43"/>
      <c r="K130" s="43"/>
      <c r="L130" s="43"/>
      <c r="M130" s="114"/>
      <c r="N130" s="114"/>
      <c r="O130" s="114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</row>
    <row r="131" ht="15.75" customHeight="1">
      <c r="A131" s="3"/>
      <c r="B131" s="849"/>
      <c r="C131" s="49" t="s">
        <v>279</v>
      </c>
      <c r="D131" s="138"/>
      <c r="E131" s="114"/>
      <c r="F131" s="43"/>
      <c r="G131" s="43"/>
      <c r="H131" s="43"/>
      <c r="I131" s="43"/>
      <c r="J131" s="43"/>
      <c r="K131" s="43"/>
      <c r="L131" s="43"/>
      <c r="M131" s="114"/>
      <c r="N131" s="114"/>
      <c r="O131" s="114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</row>
    <row r="132" ht="15.75" customHeight="1">
      <c r="A132" s="3"/>
      <c r="B132" s="849"/>
      <c r="C132" s="49" t="s">
        <v>287</v>
      </c>
      <c r="D132" s="138"/>
      <c r="E132" s="114"/>
      <c r="F132" s="43"/>
      <c r="G132" s="43"/>
      <c r="H132" s="43"/>
      <c r="I132" s="43"/>
      <c r="J132" s="43"/>
      <c r="K132" s="43"/>
      <c r="L132" s="43"/>
      <c r="M132" s="114"/>
      <c r="N132" s="114"/>
      <c r="O132" s="114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</row>
    <row r="133" ht="15.75" customHeight="1">
      <c r="A133" s="3"/>
      <c r="B133" s="849"/>
      <c r="C133" s="49" t="s">
        <v>424</v>
      </c>
      <c r="D133" s="138">
        <v>126836.0</v>
      </c>
      <c r="E133" s="114">
        <f>10738+2529</f>
        <v>13267</v>
      </c>
      <c r="F133" s="43">
        <v>12327.0</v>
      </c>
      <c r="G133" s="43">
        <v>9694.0</v>
      </c>
      <c r="H133" s="43"/>
      <c r="I133" s="43"/>
      <c r="J133" s="43"/>
      <c r="K133" s="43"/>
      <c r="L133" s="43">
        <v>132936.0</v>
      </c>
      <c r="M133" s="114"/>
      <c r="N133" s="114"/>
      <c r="O133" s="114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</row>
    <row r="134" ht="15.75" customHeight="1">
      <c r="A134" s="3"/>
      <c r="B134" s="849"/>
      <c r="C134" s="49" t="s">
        <v>425</v>
      </c>
      <c r="D134" s="138"/>
      <c r="E134" s="114"/>
      <c r="F134" s="43">
        <f>270000*1.18</f>
        <v>318600</v>
      </c>
      <c r="G134" s="43"/>
      <c r="H134" s="43"/>
      <c r="I134" s="43"/>
      <c r="J134" s="43"/>
      <c r="K134" s="43">
        <f>275000*1.18</f>
        <v>324500</v>
      </c>
      <c r="L134" s="43"/>
      <c r="M134" s="114">
        <v>347257.0</v>
      </c>
      <c r="N134" s="114"/>
      <c r="O134" s="114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</row>
    <row r="135" ht="15.75" customHeight="1">
      <c r="A135" s="3"/>
      <c r="B135" s="849"/>
      <c r="C135" s="49" t="s">
        <v>288</v>
      </c>
      <c r="D135" s="138"/>
      <c r="E135" s="114"/>
      <c r="F135" s="43"/>
      <c r="G135" s="43"/>
      <c r="H135" s="43"/>
      <c r="I135" s="43"/>
      <c r="J135" s="43"/>
      <c r="K135" s="43"/>
      <c r="L135" s="43"/>
      <c r="M135" s="114"/>
      <c r="N135" s="114"/>
      <c r="O135" s="114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</row>
    <row r="136" ht="15.75" customHeight="1">
      <c r="A136" s="3"/>
      <c r="B136" s="849"/>
      <c r="C136" s="49"/>
      <c r="D136" s="138"/>
      <c r="E136" s="114"/>
      <c r="F136" s="43"/>
      <c r="G136" s="43"/>
      <c r="H136" s="43"/>
      <c r="I136" s="43"/>
      <c r="J136" s="43"/>
      <c r="K136" s="43"/>
      <c r="L136" s="43"/>
      <c r="M136" s="114"/>
      <c r="N136" s="114"/>
      <c r="O136" s="114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</row>
    <row r="137" ht="15.75" customHeight="1">
      <c r="A137" s="3"/>
      <c r="B137" s="894"/>
      <c r="C137" s="896"/>
      <c r="D137" s="141"/>
      <c r="E137" s="62"/>
      <c r="F137" s="55"/>
      <c r="G137" s="55"/>
      <c r="H137" s="55"/>
      <c r="I137" s="55"/>
      <c r="J137" s="55"/>
      <c r="K137" s="55"/>
      <c r="L137" s="55"/>
      <c r="M137" s="62"/>
      <c r="N137" s="62"/>
      <c r="O137" s="88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</row>
    <row r="138" ht="15.75" customHeight="1">
      <c r="A138" s="3"/>
      <c r="B138" s="889"/>
      <c r="C138" s="890" t="s">
        <v>42</v>
      </c>
      <c r="D138" s="891">
        <f t="shared" ref="D138:L138" si="25">SUM(D139)</f>
        <v>0</v>
      </c>
      <c r="E138" s="876">
        <f t="shared" si="25"/>
        <v>0</v>
      </c>
      <c r="F138" s="892">
        <f t="shared" si="25"/>
        <v>0</v>
      </c>
      <c r="G138" s="892">
        <f t="shared" si="25"/>
        <v>0</v>
      </c>
      <c r="H138" s="892">
        <f t="shared" si="25"/>
        <v>0</v>
      </c>
      <c r="I138" s="892">
        <f t="shared" si="25"/>
        <v>0</v>
      </c>
      <c r="J138" s="892">
        <f t="shared" si="25"/>
        <v>0</v>
      </c>
      <c r="K138" s="892">
        <f t="shared" si="25"/>
        <v>0</v>
      </c>
      <c r="L138" s="892">
        <f t="shared" si="25"/>
        <v>0</v>
      </c>
      <c r="M138" s="876">
        <f>SUM(M139:M140)</f>
        <v>0</v>
      </c>
      <c r="N138" s="876">
        <f t="shared" ref="N138:O138" si="26">SUM(N139)</f>
        <v>0</v>
      </c>
      <c r="O138" s="876">
        <f t="shared" si="26"/>
        <v>0</v>
      </c>
      <c r="P138" s="296">
        <f>D138+E138+F138+G138+H138+I138+J138+K138+L138+M138+N138+O138</f>
        <v>0</v>
      </c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 ht="15.75" customHeight="1">
      <c r="A139" s="3"/>
      <c r="B139" s="877"/>
      <c r="C139" s="35" t="s">
        <v>340</v>
      </c>
      <c r="D139" s="135"/>
      <c r="E139" s="83"/>
      <c r="F139" s="28"/>
      <c r="G139" s="28"/>
      <c r="H139" s="28"/>
      <c r="I139" s="28"/>
      <c r="J139" s="28"/>
      <c r="K139" s="28"/>
      <c r="L139" s="28"/>
      <c r="M139" s="83"/>
      <c r="N139" s="83"/>
      <c r="O139" s="87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</row>
    <row r="140" ht="15.75" customHeight="1">
      <c r="A140" s="3"/>
      <c r="B140" s="849"/>
      <c r="C140" s="49" t="s">
        <v>291</v>
      </c>
      <c r="D140" s="138">
        <v>0.0</v>
      </c>
      <c r="E140" s="114"/>
      <c r="F140" s="43"/>
      <c r="G140" s="43"/>
      <c r="H140" s="43"/>
      <c r="I140" s="43"/>
      <c r="J140" s="43"/>
      <c r="K140" s="43"/>
      <c r="L140" s="43"/>
      <c r="M140" s="114"/>
      <c r="N140" s="114"/>
      <c r="O140" s="114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</row>
    <row r="141" ht="15.75" customHeight="1">
      <c r="A141" s="3"/>
      <c r="B141" s="894"/>
      <c r="C141" s="61"/>
      <c r="D141" s="141"/>
      <c r="E141" s="62"/>
      <c r="F141" s="55"/>
      <c r="G141" s="55"/>
      <c r="H141" s="55"/>
      <c r="I141" s="55"/>
      <c r="J141" s="55"/>
      <c r="K141" s="55"/>
      <c r="L141" s="55"/>
      <c r="M141" s="62"/>
      <c r="N141" s="62"/>
      <c r="O141" s="888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</row>
    <row r="142" ht="15.75" customHeight="1">
      <c r="A142" s="3"/>
      <c r="B142" s="889"/>
      <c r="C142" s="890" t="s">
        <v>43</v>
      </c>
      <c r="D142" s="891">
        <f t="shared" ref="D142:O142" si="27">SUM(D143:D144)</f>
        <v>0</v>
      </c>
      <c r="E142" s="876">
        <f t="shared" si="27"/>
        <v>0</v>
      </c>
      <c r="F142" s="892">
        <f t="shared" si="27"/>
        <v>0</v>
      </c>
      <c r="G142" s="892">
        <f t="shared" si="27"/>
        <v>0</v>
      </c>
      <c r="H142" s="892">
        <f t="shared" si="27"/>
        <v>0</v>
      </c>
      <c r="I142" s="892">
        <f t="shared" si="27"/>
        <v>0</v>
      </c>
      <c r="J142" s="892">
        <f t="shared" si="27"/>
        <v>0</v>
      </c>
      <c r="K142" s="892">
        <f t="shared" si="27"/>
        <v>0</v>
      </c>
      <c r="L142" s="892">
        <f t="shared" si="27"/>
        <v>0</v>
      </c>
      <c r="M142" s="876">
        <f t="shared" si="27"/>
        <v>0</v>
      </c>
      <c r="N142" s="876">
        <f t="shared" si="27"/>
        <v>0</v>
      </c>
      <c r="O142" s="876">
        <f t="shared" si="27"/>
        <v>0</v>
      </c>
      <c r="P142" s="296">
        <f>D142+E142+F142+G142+H142+I142+J142+K142+L142+M142+N142+O142</f>
        <v>0</v>
      </c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 ht="15.75" customHeight="1">
      <c r="A143" s="3"/>
      <c r="B143" s="877"/>
      <c r="C143" s="35" t="s">
        <v>292</v>
      </c>
      <c r="D143" s="135"/>
      <c r="E143" s="83"/>
      <c r="F143" s="28"/>
      <c r="G143" s="28"/>
      <c r="H143" s="28"/>
      <c r="I143" s="28"/>
      <c r="J143" s="28"/>
      <c r="K143" s="28"/>
      <c r="L143" s="28"/>
      <c r="M143" s="83"/>
      <c r="N143" s="83"/>
      <c r="O143" s="878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</row>
    <row r="144" ht="15.75" customHeight="1">
      <c r="A144" s="3"/>
      <c r="B144" s="849"/>
      <c r="C144" s="49" t="s">
        <v>344</v>
      </c>
      <c r="D144" s="138"/>
      <c r="E144" s="114"/>
      <c r="F144" s="43"/>
      <c r="G144" s="43"/>
      <c r="H144" s="43"/>
      <c r="I144" s="43"/>
      <c r="J144" s="43"/>
      <c r="K144" s="43"/>
      <c r="L144" s="43"/>
      <c r="M144" s="114"/>
      <c r="N144" s="114"/>
      <c r="O144" s="114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</row>
    <row r="145" ht="15.75" customHeight="1">
      <c r="A145" s="3"/>
      <c r="B145" s="849"/>
      <c r="C145" s="49"/>
      <c r="D145" s="138"/>
      <c r="E145" s="114"/>
      <c r="F145" s="43"/>
      <c r="G145" s="43"/>
      <c r="H145" s="43"/>
      <c r="I145" s="43"/>
      <c r="J145" s="43"/>
      <c r="K145" s="43"/>
      <c r="L145" s="43"/>
      <c r="M145" s="114"/>
      <c r="N145" s="114"/>
      <c r="O145" s="114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</row>
    <row r="146" ht="15.75" customHeight="1">
      <c r="A146" s="3"/>
      <c r="B146" s="894"/>
      <c r="C146" s="61"/>
      <c r="D146" s="141"/>
      <c r="E146" s="62"/>
      <c r="F146" s="55"/>
      <c r="G146" s="55"/>
      <c r="H146" s="55"/>
      <c r="I146" s="55"/>
      <c r="J146" s="55"/>
      <c r="K146" s="55"/>
      <c r="L146" s="55"/>
      <c r="M146" s="62"/>
      <c r="N146" s="62"/>
      <c r="O146" s="888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</row>
    <row r="147" ht="15.75" customHeight="1">
      <c r="A147" s="3"/>
      <c r="B147" s="897"/>
      <c r="C147" s="120" t="s">
        <v>293</v>
      </c>
      <c r="D147" s="146">
        <f t="shared" ref="D147:O147" si="28">D142+D138+D121+D117+D114+D104+D98+D91+D84+D72</f>
        <v>1113542.097</v>
      </c>
      <c r="E147" s="146">
        <f t="shared" si="28"/>
        <v>572985.4167</v>
      </c>
      <c r="F147" s="146">
        <f t="shared" si="28"/>
        <v>320301.4167</v>
      </c>
      <c r="G147" s="146">
        <f t="shared" si="28"/>
        <v>326170.9167</v>
      </c>
      <c r="H147" s="146">
        <f t="shared" si="28"/>
        <v>600934.9167</v>
      </c>
      <c r="I147" s="146">
        <f t="shared" si="28"/>
        <v>523104.9167</v>
      </c>
      <c r="J147" s="146">
        <f t="shared" si="28"/>
        <v>746893.9167</v>
      </c>
      <c r="K147" s="146">
        <f t="shared" si="28"/>
        <v>1090340.25</v>
      </c>
      <c r="L147" s="146">
        <f t="shared" si="28"/>
        <v>1036924.25</v>
      </c>
      <c r="M147" s="146">
        <f t="shared" si="28"/>
        <v>778154.25</v>
      </c>
      <c r="N147" s="146">
        <f t="shared" si="28"/>
        <v>451478.95</v>
      </c>
      <c r="O147" s="146">
        <f t="shared" si="28"/>
        <v>2155937.25</v>
      </c>
      <c r="P147" s="296">
        <f>D147+E147+F147+G147+H147+I147+J147+K147+L147+M147+N147+O147</f>
        <v>9716768.547</v>
      </c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</row>
    <row r="148" ht="15.75" customHeight="1">
      <c r="A148" s="3"/>
      <c r="B148" s="103"/>
      <c r="C148" s="102"/>
      <c r="D148" s="144"/>
      <c r="E148" s="96"/>
      <c r="F148" s="100"/>
      <c r="G148" s="100"/>
      <c r="H148" s="100"/>
      <c r="I148" s="100"/>
      <c r="J148" s="100"/>
      <c r="K148" s="100"/>
      <c r="L148" s="100"/>
      <c r="M148" s="96"/>
      <c r="N148" s="96"/>
      <c r="O148" s="898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</row>
    <row r="149" ht="15.75" customHeight="1">
      <c r="A149" s="3"/>
      <c r="B149" s="889"/>
      <c r="C149" s="899" t="s">
        <v>294</v>
      </c>
      <c r="D149" s="891">
        <f t="shared" ref="D149:O149" si="29">D63-D147</f>
        <v>-132582.0967</v>
      </c>
      <c r="E149" s="891">
        <f t="shared" si="29"/>
        <v>-572985.4167</v>
      </c>
      <c r="F149" s="891">
        <f t="shared" si="29"/>
        <v>-320301.4167</v>
      </c>
      <c r="G149" s="891">
        <f t="shared" si="29"/>
        <v>-326170.9167</v>
      </c>
      <c r="H149" s="891">
        <f t="shared" si="29"/>
        <v>-600934.9167</v>
      </c>
      <c r="I149" s="891">
        <f t="shared" si="29"/>
        <v>-523104.9167</v>
      </c>
      <c r="J149" s="891">
        <f t="shared" si="29"/>
        <v>-746893.9167</v>
      </c>
      <c r="K149" s="891">
        <f t="shared" si="29"/>
        <v>-1090340.25</v>
      </c>
      <c r="L149" s="891">
        <f t="shared" si="29"/>
        <v>-994300.25</v>
      </c>
      <c r="M149" s="891">
        <f t="shared" si="29"/>
        <v>-301269.25</v>
      </c>
      <c r="N149" s="891">
        <f t="shared" si="29"/>
        <v>-433164.95</v>
      </c>
      <c r="O149" s="891">
        <f t="shared" si="29"/>
        <v>-2129237.25</v>
      </c>
      <c r="P149" s="296">
        <f>D149+E149+F149+G149+H149+I149+J149+K149+L149+M149+N149+O149</f>
        <v>-8171285.547</v>
      </c>
      <c r="Q149" s="175">
        <f>P149-'FY25-26'!AI30</f>
        <v>0</v>
      </c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</row>
    <row r="150" ht="15.75" customHeight="1">
      <c r="A150" s="3"/>
      <c r="B150" s="3"/>
      <c r="C150" s="3"/>
      <c r="D150" s="175"/>
      <c r="E150" s="175"/>
      <c r="F150" s="3"/>
      <c r="G150" s="3"/>
      <c r="H150" s="3"/>
      <c r="I150" s="3"/>
      <c r="J150" s="3"/>
      <c r="K150" s="3"/>
      <c r="L150" s="3"/>
      <c r="M150" s="175"/>
      <c r="N150" s="175"/>
      <c r="O150" s="822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</row>
    <row r="151" ht="15.75" customHeight="1">
      <c r="A151" s="3"/>
      <c r="B151" s="3"/>
      <c r="C151" s="3"/>
      <c r="D151" s="175"/>
      <c r="E151" s="175"/>
      <c r="F151" s="3"/>
      <c r="G151" s="3"/>
      <c r="H151" s="3"/>
      <c r="I151" s="3"/>
      <c r="J151" s="3"/>
      <c r="K151" s="3"/>
      <c r="L151" s="3"/>
      <c r="M151" s="175"/>
      <c r="N151" s="175"/>
      <c r="O151" s="822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</row>
    <row r="152" ht="15.75" customHeight="1">
      <c r="A152" s="3"/>
      <c r="B152" s="3"/>
      <c r="C152" s="3"/>
      <c r="D152" s="175"/>
      <c r="E152" s="175"/>
      <c r="F152" s="3"/>
      <c r="G152" s="3"/>
      <c r="H152" s="3"/>
      <c r="I152" s="3"/>
      <c r="J152" s="3"/>
      <c r="K152" s="3"/>
      <c r="L152" s="3"/>
      <c r="M152" s="175"/>
      <c r="N152" s="175"/>
      <c r="O152" s="822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</row>
    <row r="153" ht="15.75" customHeight="1">
      <c r="A153" s="3"/>
      <c r="B153" s="3"/>
      <c r="C153" s="3"/>
      <c r="D153" s="175"/>
      <c r="E153" s="175"/>
      <c r="F153" s="3"/>
      <c r="G153" s="3"/>
      <c r="H153" s="3"/>
      <c r="I153" s="3"/>
      <c r="J153" s="3"/>
      <c r="K153" s="3"/>
      <c r="L153" s="3"/>
      <c r="M153" s="175"/>
      <c r="N153" s="175"/>
      <c r="O153" s="822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</row>
    <row r="154" ht="15.75" customHeight="1">
      <c r="A154" s="3"/>
      <c r="B154" s="3"/>
      <c r="C154" s="3"/>
      <c r="D154" s="175"/>
      <c r="E154" s="175"/>
      <c r="F154" s="3"/>
      <c r="G154" s="3"/>
      <c r="H154" s="3"/>
      <c r="I154" s="3"/>
      <c r="J154" s="3"/>
      <c r="K154" s="3"/>
      <c r="L154" s="3"/>
      <c r="M154" s="175"/>
      <c r="N154" s="175"/>
      <c r="O154" s="822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</row>
    <row r="155" ht="15.75" customHeight="1">
      <c r="A155" s="3"/>
      <c r="B155" s="3"/>
      <c r="C155" s="3"/>
      <c r="D155" s="175"/>
      <c r="E155" s="175"/>
      <c r="F155" s="3"/>
      <c r="G155" s="3"/>
      <c r="H155" s="3"/>
      <c r="I155" s="3"/>
      <c r="J155" s="3"/>
      <c r="K155" s="3"/>
      <c r="L155" s="3"/>
      <c r="M155" s="175"/>
      <c r="N155" s="175"/>
      <c r="O155" s="822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</row>
    <row r="156" ht="15.75" customHeight="1">
      <c r="A156" s="3"/>
      <c r="B156" s="3"/>
      <c r="C156" s="3"/>
      <c r="D156" s="175"/>
      <c r="E156" s="175"/>
      <c r="F156" s="3"/>
      <c r="G156" s="3"/>
      <c r="H156" s="3"/>
      <c r="I156" s="3"/>
      <c r="J156" s="3"/>
      <c r="K156" s="3"/>
      <c r="L156" s="3"/>
      <c r="M156" s="175"/>
      <c r="N156" s="175"/>
      <c r="O156" s="822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</row>
    <row r="157" ht="15.75" customHeight="1">
      <c r="A157" s="3"/>
      <c r="B157" s="3"/>
      <c r="C157" s="3"/>
      <c r="D157" s="175"/>
      <c r="E157" s="175"/>
      <c r="F157" s="3"/>
      <c r="G157" s="3"/>
      <c r="H157" s="3"/>
      <c r="I157" s="3"/>
      <c r="J157" s="3"/>
      <c r="K157" s="3"/>
      <c r="L157" s="3"/>
      <c r="M157" s="175"/>
      <c r="N157" s="175"/>
      <c r="O157" s="822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</row>
    <row r="158" ht="15.75" customHeight="1">
      <c r="A158" s="3"/>
      <c r="B158" s="3"/>
      <c r="C158" s="3"/>
      <c r="D158" s="175"/>
      <c r="E158" s="175"/>
      <c r="F158" s="3"/>
      <c r="G158" s="3"/>
      <c r="H158" s="3"/>
      <c r="I158" s="3"/>
      <c r="J158" s="3"/>
      <c r="K158" s="3"/>
      <c r="L158" s="3"/>
      <c r="M158" s="175"/>
      <c r="N158" s="175"/>
      <c r="O158" s="822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</row>
    <row r="159" ht="15.75" customHeight="1">
      <c r="A159" s="3"/>
      <c r="B159" s="3"/>
      <c r="C159" s="3"/>
      <c r="D159" s="175"/>
      <c r="E159" s="175"/>
      <c r="F159" s="3"/>
      <c r="G159" s="3"/>
      <c r="H159" s="3"/>
      <c r="I159" s="3"/>
      <c r="J159" s="3"/>
      <c r="K159" s="3"/>
      <c r="L159" s="3"/>
      <c r="M159" s="175"/>
      <c r="N159" s="175"/>
      <c r="O159" s="822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</row>
    <row r="160" ht="15.75" customHeight="1">
      <c r="A160" s="3"/>
      <c r="B160" s="3"/>
      <c r="C160" s="3"/>
      <c r="D160" s="175"/>
      <c r="E160" s="175"/>
      <c r="F160" s="3"/>
      <c r="G160" s="3"/>
      <c r="H160" s="3"/>
      <c r="I160" s="3"/>
      <c r="J160" s="3"/>
      <c r="K160" s="3"/>
      <c r="L160" s="3"/>
      <c r="M160" s="175"/>
      <c r="N160" s="175"/>
      <c r="O160" s="822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</row>
    <row r="161" ht="15.75" customHeight="1">
      <c r="A161" s="3"/>
      <c r="B161" s="3"/>
      <c r="C161" s="3"/>
      <c r="D161" s="175"/>
      <c r="E161" s="175"/>
      <c r="F161" s="3"/>
      <c r="G161" s="3"/>
      <c r="H161" s="3"/>
      <c r="I161" s="3"/>
      <c r="J161" s="3"/>
      <c r="K161" s="3"/>
      <c r="L161" s="3"/>
      <c r="M161" s="175"/>
      <c r="N161" s="175"/>
      <c r="O161" s="822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</row>
    <row r="162" ht="15.75" customHeight="1">
      <c r="A162" s="3"/>
      <c r="B162" s="3"/>
      <c r="C162" s="3"/>
      <c r="D162" s="175"/>
      <c r="E162" s="175"/>
      <c r="F162" s="3"/>
      <c r="G162" s="3"/>
      <c r="H162" s="3"/>
      <c r="I162" s="3"/>
      <c r="J162" s="3"/>
      <c r="K162" s="3"/>
      <c r="L162" s="3"/>
      <c r="M162" s="175"/>
      <c r="N162" s="175"/>
      <c r="O162" s="822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</row>
    <row r="163" ht="15.75" customHeight="1">
      <c r="A163" s="3"/>
      <c r="B163" s="3"/>
      <c r="C163" s="3"/>
      <c r="D163" s="175"/>
      <c r="E163" s="175"/>
      <c r="F163" s="3"/>
      <c r="G163" s="3"/>
      <c r="H163" s="3"/>
      <c r="I163" s="3"/>
      <c r="J163" s="3"/>
      <c r="K163" s="3"/>
      <c r="L163" s="3"/>
      <c r="M163" s="175"/>
      <c r="N163" s="175"/>
      <c r="O163" s="822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</row>
    <row r="164" ht="15.75" customHeight="1">
      <c r="A164" s="3"/>
      <c r="B164" s="3"/>
      <c r="C164" s="3"/>
      <c r="D164" s="175"/>
      <c r="E164" s="175"/>
      <c r="F164" s="3"/>
      <c r="G164" s="3"/>
      <c r="H164" s="3"/>
      <c r="I164" s="3"/>
      <c r="J164" s="3"/>
      <c r="K164" s="3"/>
      <c r="L164" s="3"/>
      <c r="M164" s="175"/>
      <c r="N164" s="175"/>
      <c r="O164" s="822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</row>
    <row r="165" ht="15.75" customHeight="1">
      <c r="A165" s="3"/>
      <c r="B165" s="3"/>
      <c r="C165" s="3"/>
      <c r="D165" s="175"/>
      <c r="E165" s="175"/>
      <c r="F165" s="3"/>
      <c r="G165" s="3"/>
      <c r="H165" s="3"/>
      <c r="I165" s="3"/>
      <c r="J165" s="3"/>
      <c r="K165" s="3"/>
      <c r="L165" s="3"/>
      <c r="M165" s="175"/>
      <c r="N165" s="175"/>
      <c r="O165" s="822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</row>
    <row r="166" ht="15.75" customHeight="1">
      <c r="A166" s="3"/>
      <c r="B166" s="3"/>
      <c r="C166" s="3"/>
      <c r="D166" s="175"/>
      <c r="E166" s="175"/>
      <c r="F166" s="3"/>
      <c r="G166" s="3"/>
      <c r="H166" s="3"/>
      <c r="I166" s="3"/>
      <c r="J166" s="3"/>
      <c r="K166" s="3"/>
      <c r="L166" s="3"/>
      <c r="M166" s="175"/>
      <c r="N166" s="175"/>
      <c r="O166" s="822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</row>
    <row r="167" ht="15.75" customHeight="1">
      <c r="A167" s="3"/>
      <c r="B167" s="3"/>
      <c r="C167" s="3"/>
      <c r="D167" s="175"/>
      <c r="E167" s="175"/>
      <c r="F167" s="3"/>
      <c r="G167" s="3"/>
      <c r="H167" s="3"/>
      <c r="I167" s="3"/>
      <c r="J167" s="3"/>
      <c r="K167" s="3"/>
      <c r="L167" s="3"/>
      <c r="M167" s="175"/>
      <c r="N167" s="175"/>
      <c r="O167" s="822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</row>
    <row r="168" ht="15.75" customHeight="1">
      <c r="A168" s="3"/>
      <c r="B168" s="3"/>
      <c r="C168" s="3"/>
      <c r="D168" s="175"/>
      <c r="E168" s="175"/>
      <c r="F168" s="3"/>
      <c r="G168" s="3"/>
      <c r="H168" s="3"/>
      <c r="I168" s="3"/>
      <c r="J168" s="3"/>
      <c r="K168" s="3"/>
      <c r="L168" s="3"/>
      <c r="M168" s="175"/>
      <c r="N168" s="175"/>
      <c r="O168" s="822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</row>
    <row r="169" ht="15.75" customHeight="1">
      <c r="A169" s="3"/>
      <c r="B169" s="3"/>
      <c r="C169" s="3"/>
      <c r="D169" s="175"/>
      <c r="E169" s="175"/>
      <c r="F169" s="3"/>
      <c r="G169" s="3"/>
      <c r="H169" s="3"/>
      <c r="I169" s="3"/>
      <c r="J169" s="3"/>
      <c r="K169" s="3"/>
      <c r="L169" s="3"/>
      <c r="M169" s="175"/>
      <c r="N169" s="175"/>
      <c r="O169" s="822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</row>
    <row r="170" ht="15.75" customHeight="1">
      <c r="A170" s="3"/>
      <c r="B170" s="3"/>
      <c r="C170" s="3"/>
      <c r="D170" s="175"/>
      <c r="E170" s="175"/>
      <c r="F170" s="3"/>
      <c r="G170" s="3"/>
      <c r="H170" s="3"/>
      <c r="I170" s="3"/>
      <c r="J170" s="3"/>
      <c r="K170" s="3"/>
      <c r="L170" s="3"/>
      <c r="M170" s="175"/>
      <c r="N170" s="175"/>
      <c r="O170" s="822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</row>
    <row r="171" ht="15.75" customHeight="1">
      <c r="A171" s="3"/>
      <c r="B171" s="3"/>
      <c r="C171" s="3"/>
      <c r="D171" s="175"/>
      <c r="E171" s="175"/>
      <c r="F171" s="3"/>
      <c r="G171" s="3"/>
      <c r="H171" s="3"/>
      <c r="I171" s="3"/>
      <c r="J171" s="3"/>
      <c r="K171" s="3"/>
      <c r="L171" s="3"/>
      <c r="M171" s="175"/>
      <c r="N171" s="175"/>
      <c r="O171" s="822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</row>
    <row r="172" ht="15.75" customHeight="1">
      <c r="A172" s="3"/>
      <c r="B172" s="3"/>
      <c r="C172" s="3"/>
      <c r="D172" s="175"/>
      <c r="E172" s="175"/>
      <c r="F172" s="3"/>
      <c r="G172" s="3"/>
      <c r="H172" s="3"/>
      <c r="I172" s="3"/>
      <c r="J172" s="3"/>
      <c r="K172" s="3"/>
      <c r="L172" s="3"/>
      <c r="M172" s="175"/>
      <c r="N172" s="175"/>
      <c r="O172" s="822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</row>
    <row r="173" ht="15.75" customHeight="1">
      <c r="A173" s="3"/>
      <c r="B173" s="3"/>
      <c r="C173" s="3"/>
      <c r="D173" s="175"/>
      <c r="E173" s="175"/>
      <c r="F173" s="3"/>
      <c r="G173" s="3"/>
      <c r="H173" s="3"/>
      <c r="I173" s="3"/>
      <c r="J173" s="3"/>
      <c r="K173" s="3"/>
      <c r="L173" s="3"/>
      <c r="M173" s="175"/>
      <c r="N173" s="175"/>
      <c r="O173" s="822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</row>
    <row r="174" ht="15.75" customHeight="1">
      <c r="A174" s="3"/>
      <c r="B174" s="3"/>
      <c r="C174" s="3"/>
      <c r="D174" s="175"/>
      <c r="E174" s="175"/>
      <c r="F174" s="3"/>
      <c r="G174" s="3"/>
      <c r="H174" s="3"/>
      <c r="I174" s="3"/>
      <c r="J174" s="3"/>
      <c r="K174" s="3"/>
      <c r="L174" s="3"/>
      <c r="M174" s="175"/>
      <c r="N174" s="175"/>
      <c r="O174" s="822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</row>
    <row r="175" ht="15.75" customHeight="1">
      <c r="A175" s="3"/>
      <c r="B175" s="3"/>
      <c r="C175" s="3"/>
      <c r="D175" s="175"/>
      <c r="E175" s="175"/>
      <c r="F175" s="3"/>
      <c r="G175" s="3"/>
      <c r="H175" s="3"/>
      <c r="I175" s="3"/>
      <c r="J175" s="3"/>
      <c r="K175" s="3"/>
      <c r="L175" s="3"/>
      <c r="M175" s="175"/>
      <c r="N175" s="175"/>
      <c r="O175" s="822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</row>
    <row r="176" ht="15.75" customHeight="1">
      <c r="A176" s="3"/>
      <c r="B176" s="3"/>
      <c r="C176" s="3"/>
      <c r="D176" s="175"/>
      <c r="E176" s="175"/>
      <c r="F176" s="3"/>
      <c r="G176" s="3"/>
      <c r="H176" s="3"/>
      <c r="I176" s="3"/>
      <c r="J176" s="3"/>
      <c r="K176" s="3"/>
      <c r="L176" s="3"/>
      <c r="M176" s="175"/>
      <c r="N176" s="175"/>
      <c r="O176" s="822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</row>
    <row r="177" ht="15.75" customHeight="1">
      <c r="A177" s="3"/>
      <c r="B177" s="3"/>
      <c r="C177" s="3"/>
      <c r="D177" s="175"/>
      <c r="E177" s="175"/>
      <c r="F177" s="3"/>
      <c r="G177" s="3"/>
      <c r="H177" s="3"/>
      <c r="I177" s="3"/>
      <c r="J177" s="3"/>
      <c r="K177" s="3"/>
      <c r="L177" s="3"/>
      <c r="M177" s="175"/>
      <c r="N177" s="175"/>
      <c r="O177" s="822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</row>
    <row r="178" ht="15.75" customHeight="1">
      <c r="A178" s="3"/>
      <c r="B178" s="3"/>
      <c r="C178" s="3"/>
      <c r="D178" s="175"/>
      <c r="E178" s="175"/>
      <c r="F178" s="3"/>
      <c r="G178" s="3"/>
      <c r="H178" s="3"/>
      <c r="I178" s="3"/>
      <c r="J178" s="3"/>
      <c r="K178" s="3"/>
      <c r="L178" s="3"/>
      <c r="M178" s="175"/>
      <c r="N178" s="175"/>
      <c r="O178" s="822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</row>
    <row r="179" ht="15.75" customHeight="1">
      <c r="A179" s="3"/>
      <c r="B179" s="3"/>
      <c r="C179" s="3"/>
      <c r="D179" s="175"/>
      <c r="E179" s="175"/>
      <c r="F179" s="3"/>
      <c r="G179" s="3"/>
      <c r="H179" s="3"/>
      <c r="I179" s="3"/>
      <c r="J179" s="3"/>
      <c r="K179" s="3"/>
      <c r="L179" s="3"/>
      <c r="M179" s="175"/>
      <c r="N179" s="175"/>
      <c r="O179" s="822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</row>
    <row r="180" ht="15.75" customHeight="1">
      <c r="A180" s="3"/>
      <c r="B180" s="3"/>
      <c r="C180" s="3"/>
      <c r="D180" s="175"/>
      <c r="E180" s="175"/>
      <c r="F180" s="3"/>
      <c r="G180" s="3"/>
      <c r="H180" s="3"/>
      <c r="I180" s="3"/>
      <c r="J180" s="3"/>
      <c r="K180" s="3"/>
      <c r="L180" s="3"/>
      <c r="M180" s="175"/>
      <c r="N180" s="175"/>
      <c r="O180" s="822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</row>
    <row r="181" ht="15.75" customHeight="1">
      <c r="A181" s="3"/>
      <c r="B181" s="3"/>
      <c r="C181" s="3"/>
      <c r="D181" s="175"/>
      <c r="E181" s="175"/>
      <c r="F181" s="3"/>
      <c r="G181" s="3"/>
      <c r="H181" s="3"/>
      <c r="I181" s="3"/>
      <c r="J181" s="3"/>
      <c r="K181" s="3"/>
      <c r="L181" s="3"/>
      <c r="M181" s="175"/>
      <c r="N181" s="175"/>
      <c r="O181" s="822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</row>
    <row r="182" ht="15.75" customHeight="1">
      <c r="A182" s="3"/>
      <c r="B182" s="3"/>
      <c r="C182" s="3"/>
      <c r="D182" s="175"/>
      <c r="E182" s="175"/>
      <c r="F182" s="3"/>
      <c r="G182" s="3"/>
      <c r="H182" s="3"/>
      <c r="I182" s="3"/>
      <c r="J182" s="3"/>
      <c r="K182" s="3"/>
      <c r="L182" s="3"/>
      <c r="M182" s="175"/>
      <c r="N182" s="175"/>
      <c r="O182" s="822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</row>
    <row r="183" ht="15.75" customHeight="1">
      <c r="A183" s="3"/>
      <c r="B183" s="3"/>
      <c r="C183" s="3"/>
      <c r="D183" s="175"/>
      <c r="E183" s="175"/>
      <c r="F183" s="3"/>
      <c r="G183" s="3"/>
      <c r="H183" s="3"/>
      <c r="I183" s="3"/>
      <c r="J183" s="3"/>
      <c r="K183" s="3"/>
      <c r="L183" s="3"/>
      <c r="M183" s="175"/>
      <c r="N183" s="175"/>
      <c r="O183" s="822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</row>
    <row r="184" ht="15.75" customHeight="1">
      <c r="A184" s="3"/>
      <c r="B184" s="3"/>
      <c r="C184" s="3"/>
      <c r="D184" s="175"/>
      <c r="E184" s="175"/>
      <c r="F184" s="3"/>
      <c r="G184" s="3"/>
      <c r="H184" s="3"/>
      <c r="I184" s="3"/>
      <c r="J184" s="3"/>
      <c r="K184" s="3"/>
      <c r="L184" s="3"/>
      <c r="M184" s="175"/>
      <c r="N184" s="175"/>
      <c r="O184" s="822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</row>
    <row r="185" ht="15.75" customHeight="1">
      <c r="A185" s="3"/>
      <c r="B185" s="3"/>
      <c r="C185" s="3"/>
      <c r="D185" s="175"/>
      <c r="E185" s="175"/>
      <c r="F185" s="3"/>
      <c r="G185" s="3"/>
      <c r="H185" s="3"/>
      <c r="I185" s="3"/>
      <c r="J185" s="3"/>
      <c r="K185" s="3"/>
      <c r="L185" s="3"/>
      <c r="M185" s="175"/>
      <c r="N185" s="175"/>
      <c r="O185" s="822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</row>
    <row r="186" ht="15.75" customHeight="1">
      <c r="A186" s="3"/>
      <c r="B186" s="3"/>
      <c r="C186" s="3"/>
      <c r="D186" s="175"/>
      <c r="E186" s="175"/>
      <c r="F186" s="3"/>
      <c r="G186" s="3"/>
      <c r="H186" s="3"/>
      <c r="I186" s="3"/>
      <c r="J186" s="3"/>
      <c r="K186" s="3"/>
      <c r="L186" s="3"/>
      <c r="M186" s="175"/>
      <c r="N186" s="175"/>
      <c r="O186" s="822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</row>
    <row r="187" ht="15.75" customHeight="1">
      <c r="A187" s="3"/>
      <c r="B187" s="3"/>
      <c r="C187" s="3"/>
      <c r="D187" s="175"/>
      <c r="E187" s="175"/>
      <c r="F187" s="3"/>
      <c r="G187" s="3"/>
      <c r="H187" s="3"/>
      <c r="I187" s="3"/>
      <c r="J187" s="3"/>
      <c r="K187" s="3"/>
      <c r="L187" s="3"/>
      <c r="M187" s="175"/>
      <c r="N187" s="175"/>
      <c r="O187" s="822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</row>
    <row r="188" ht="15.75" customHeight="1">
      <c r="A188" s="3"/>
      <c r="B188" s="3"/>
      <c r="C188" s="3"/>
      <c r="D188" s="175"/>
      <c r="E188" s="175"/>
      <c r="F188" s="3"/>
      <c r="G188" s="3"/>
      <c r="H188" s="3"/>
      <c r="I188" s="3"/>
      <c r="J188" s="3"/>
      <c r="K188" s="3"/>
      <c r="L188" s="3"/>
      <c r="M188" s="175"/>
      <c r="N188" s="175"/>
      <c r="O188" s="822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</row>
    <row r="189" ht="15.75" customHeight="1">
      <c r="A189" s="3"/>
      <c r="B189" s="3"/>
      <c r="C189" s="3"/>
      <c r="D189" s="175"/>
      <c r="E189" s="175"/>
      <c r="F189" s="3"/>
      <c r="G189" s="3"/>
      <c r="H189" s="3"/>
      <c r="I189" s="3"/>
      <c r="J189" s="3"/>
      <c r="K189" s="3"/>
      <c r="L189" s="3"/>
      <c r="M189" s="175"/>
      <c r="N189" s="175"/>
      <c r="O189" s="822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</row>
    <row r="190" ht="15.75" customHeight="1">
      <c r="A190" s="3"/>
      <c r="B190" s="3"/>
      <c r="C190" s="3"/>
      <c r="D190" s="175"/>
      <c r="E190" s="175"/>
      <c r="F190" s="3"/>
      <c r="G190" s="3"/>
      <c r="H190" s="3"/>
      <c r="I190" s="3"/>
      <c r="J190" s="3"/>
      <c r="K190" s="3"/>
      <c r="L190" s="3"/>
      <c r="M190" s="175"/>
      <c r="N190" s="175"/>
      <c r="O190" s="822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</row>
    <row r="191" ht="15.75" customHeight="1">
      <c r="A191" s="3"/>
      <c r="B191" s="3"/>
      <c r="C191" s="3"/>
      <c r="D191" s="175"/>
      <c r="E191" s="175"/>
      <c r="F191" s="3"/>
      <c r="G191" s="3"/>
      <c r="H191" s="3"/>
      <c r="I191" s="3"/>
      <c r="J191" s="3"/>
      <c r="K191" s="3"/>
      <c r="L191" s="3"/>
      <c r="M191" s="175"/>
      <c r="N191" s="175"/>
      <c r="O191" s="822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</row>
    <row r="192" ht="15.75" customHeight="1">
      <c r="A192" s="3"/>
      <c r="B192" s="3"/>
      <c r="C192" s="3"/>
      <c r="D192" s="175"/>
      <c r="E192" s="175"/>
      <c r="F192" s="3"/>
      <c r="G192" s="3"/>
      <c r="H192" s="3"/>
      <c r="I192" s="3"/>
      <c r="J192" s="3"/>
      <c r="K192" s="3"/>
      <c r="L192" s="3"/>
      <c r="M192" s="175"/>
      <c r="N192" s="175"/>
      <c r="O192" s="822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</row>
    <row r="193" ht="15.75" customHeight="1">
      <c r="A193" s="3"/>
      <c r="B193" s="3"/>
      <c r="C193" s="3"/>
      <c r="D193" s="175"/>
      <c r="E193" s="175"/>
      <c r="F193" s="3"/>
      <c r="G193" s="3"/>
      <c r="H193" s="3"/>
      <c r="I193" s="3"/>
      <c r="J193" s="3"/>
      <c r="K193" s="3"/>
      <c r="L193" s="3"/>
      <c r="M193" s="175"/>
      <c r="N193" s="175"/>
      <c r="O193" s="822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</row>
    <row r="194" ht="15.75" customHeight="1">
      <c r="A194" s="3"/>
      <c r="B194" s="3"/>
      <c r="C194" s="3"/>
      <c r="D194" s="175"/>
      <c r="E194" s="175"/>
      <c r="F194" s="3"/>
      <c r="G194" s="3"/>
      <c r="H194" s="3"/>
      <c r="I194" s="3"/>
      <c r="J194" s="3"/>
      <c r="K194" s="3"/>
      <c r="L194" s="3"/>
      <c r="M194" s="175"/>
      <c r="N194" s="175"/>
      <c r="O194" s="822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</row>
    <row r="195" ht="15.75" customHeight="1">
      <c r="A195" s="3"/>
      <c r="B195" s="3"/>
      <c r="C195" s="3"/>
      <c r="D195" s="175"/>
      <c r="E195" s="175"/>
      <c r="F195" s="3"/>
      <c r="G195" s="3"/>
      <c r="H195" s="3"/>
      <c r="I195" s="3"/>
      <c r="J195" s="3"/>
      <c r="K195" s="3"/>
      <c r="L195" s="3"/>
      <c r="M195" s="175"/>
      <c r="N195" s="175"/>
      <c r="O195" s="822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</row>
    <row r="196" ht="15.75" customHeight="1">
      <c r="A196" s="3"/>
      <c r="B196" s="3"/>
      <c r="C196" s="3"/>
      <c r="D196" s="175"/>
      <c r="E196" s="175"/>
      <c r="F196" s="3"/>
      <c r="G196" s="3"/>
      <c r="H196" s="3"/>
      <c r="I196" s="3"/>
      <c r="J196" s="3"/>
      <c r="K196" s="3"/>
      <c r="L196" s="3"/>
      <c r="M196" s="175"/>
      <c r="N196" s="175"/>
      <c r="O196" s="822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</row>
    <row r="197" ht="15.75" customHeight="1">
      <c r="A197" s="3"/>
      <c r="B197" s="3"/>
      <c r="C197" s="3"/>
      <c r="D197" s="175"/>
      <c r="E197" s="175"/>
      <c r="F197" s="3"/>
      <c r="G197" s="3"/>
      <c r="H197" s="3"/>
      <c r="I197" s="3"/>
      <c r="J197" s="3"/>
      <c r="K197" s="3"/>
      <c r="L197" s="3"/>
      <c r="M197" s="175"/>
      <c r="N197" s="175"/>
      <c r="O197" s="822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</row>
    <row r="198" ht="15.75" customHeight="1">
      <c r="A198" s="3"/>
      <c r="B198" s="3"/>
      <c r="C198" s="3"/>
      <c r="D198" s="175"/>
      <c r="E198" s="175"/>
      <c r="F198" s="3"/>
      <c r="G198" s="3"/>
      <c r="H198" s="3"/>
      <c r="I198" s="3"/>
      <c r="J198" s="3"/>
      <c r="K198" s="3"/>
      <c r="L198" s="3"/>
      <c r="M198" s="175"/>
      <c r="N198" s="175"/>
      <c r="O198" s="822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</row>
    <row r="199" ht="15.75" customHeight="1">
      <c r="A199" s="3"/>
      <c r="B199" s="3"/>
      <c r="C199" s="3"/>
      <c r="D199" s="175"/>
      <c r="E199" s="175"/>
      <c r="F199" s="3"/>
      <c r="G199" s="3"/>
      <c r="H199" s="3"/>
      <c r="I199" s="3"/>
      <c r="J199" s="3"/>
      <c r="K199" s="3"/>
      <c r="L199" s="3"/>
      <c r="M199" s="175"/>
      <c r="N199" s="175"/>
      <c r="O199" s="822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</row>
    <row r="200" ht="15.75" customHeight="1">
      <c r="A200" s="3"/>
      <c r="B200" s="3"/>
      <c r="C200" s="3"/>
      <c r="D200" s="175"/>
      <c r="E200" s="175"/>
      <c r="F200" s="3"/>
      <c r="G200" s="3"/>
      <c r="H200" s="3"/>
      <c r="I200" s="3"/>
      <c r="J200" s="3"/>
      <c r="K200" s="3"/>
      <c r="L200" s="3"/>
      <c r="M200" s="175"/>
      <c r="N200" s="175"/>
      <c r="O200" s="822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</row>
    <row r="201" ht="15.75" customHeight="1">
      <c r="A201" s="3"/>
      <c r="B201" s="3"/>
      <c r="C201" s="3"/>
      <c r="D201" s="175"/>
      <c r="E201" s="175"/>
      <c r="F201" s="3"/>
      <c r="G201" s="3"/>
      <c r="H201" s="3"/>
      <c r="I201" s="3"/>
      <c r="J201" s="3"/>
      <c r="K201" s="3"/>
      <c r="L201" s="3"/>
      <c r="M201" s="175"/>
      <c r="N201" s="175"/>
      <c r="O201" s="822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</row>
    <row r="202" ht="15.75" customHeight="1">
      <c r="A202" s="3"/>
      <c r="B202" s="3"/>
      <c r="C202" s="3"/>
      <c r="D202" s="175"/>
      <c r="E202" s="175"/>
      <c r="F202" s="3"/>
      <c r="G202" s="3"/>
      <c r="H202" s="3"/>
      <c r="I202" s="3"/>
      <c r="J202" s="3"/>
      <c r="K202" s="3"/>
      <c r="L202" s="3"/>
      <c r="M202" s="175"/>
      <c r="N202" s="175"/>
      <c r="O202" s="822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</row>
    <row r="203" ht="15.75" customHeight="1">
      <c r="A203" s="3"/>
      <c r="B203" s="3"/>
      <c r="C203" s="3"/>
      <c r="D203" s="175"/>
      <c r="E203" s="175"/>
      <c r="F203" s="3"/>
      <c r="G203" s="3"/>
      <c r="H203" s="3"/>
      <c r="I203" s="3"/>
      <c r="J203" s="3"/>
      <c r="K203" s="3"/>
      <c r="L203" s="3"/>
      <c r="M203" s="175"/>
      <c r="N203" s="175"/>
      <c r="O203" s="822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</row>
    <row r="204" ht="15.75" customHeight="1">
      <c r="A204" s="3"/>
      <c r="B204" s="3"/>
      <c r="C204" s="3"/>
      <c r="D204" s="175"/>
      <c r="E204" s="175"/>
      <c r="F204" s="3"/>
      <c r="G204" s="3"/>
      <c r="H204" s="3"/>
      <c r="I204" s="3"/>
      <c r="J204" s="3"/>
      <c r="K204" s="3"/>
      <c r="L204" s="3"/>
      <c r="M204" s="175"/>
      <c r="N204" s="175"/>
      <c r="O204" s="822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</row>
    <row r="205" ht="15.75" customHeight="1">
      <c r="A205" s="3"/>
      <c r="B205" s="3"/>
      <c r="C205" s="3"/>
      <c r="D205" s="175"/>
      <c r="E205" s="175"/>
      <c r="F205" s="3"/>
      <c r="G205" s="3"/>
      <c r="H205" s="3"/>
      <c r="I205" s="3"/>
      <c r="J205" s="3"/>
      <c r="K205" s="3"/>
      <c r="L205" s="3"/>
      <c r="M205" s="175"/>
      <c r="N205" s="175"/>
      <c r="O205" s="822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</row>
    <row r="206" ht="15.75" customHeight="1">
      <c r="A206" s="3"/>
      <c r="B206" s="3"/>
      <c r="C206" s="3"/>
      <c r="D206" s="175"/>
      <c r="E206" s="175"/>
      <c r="F206" s="3"/>
      <c r="G206" s="3"/>
      <c r="H206" s="3"/>
      <c r="I206" s="3"/>
      <c r="J206" s="3"/>
      <c r="K206" s="3"/>
      <c r="L206" s="3"/>
      <c r="M206" s="175"/>
      <c r="N206" s="175"/>
      <c r="O206" s="822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</row>
    <row r="207" ht="15.75" customHeight="1">
      <c r="A207" s="3"/>
      <c r="B207" s="3"/>
      <c r="C207" s="3"/>
      <c r="D207" s="175"/>
      <c r="E207" s="175"/>
      <c r="F207" s="3"/>
      <c r="G207" s="3"/>
      <c r="H207" s="3"/>
      <c r="I207" s="3"/>
      <c r="J207" s="3"/>
      <c r="K207" s="3"/>
      <c r="L207" s="3"/>
      <c r="M207" s="175"/>
      <c r="N207" s="175"/>
      <c r="O207" s="822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</row>
    <row r="208" ht="15.75" customHeight="1">
      <c r="A208" s="3"/>
      <c r="B208" s="3"/>
      <c r="C208" s="3"/>
      <c r="D208" s="175"/>
      <c r="E208" s="175"/>
      <c r="F208" s="3"/>
      <c r="G208" s="3"/>
      <c r="H208" s="3"/>
      <c r="I208" s="3"/>
      <c r="J208" s="3"/>
      <c r="K208" s="3"/>
      <c r="L208" s="3"/>
      <c r="M208" s="175"/>
      <c r="N208" s="175"/>
      <c r="O208" s="822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</row>
    <row r="209" ht="15.75" customHeight="1">
      <c r="A209" s="3"/>
      <c r="B209" s="3"/>
      <c r="C209" s="3"/>
      <c r="D209" s="175"/>
      <c r="E209" s="175"/>
      <c r="F209" s="3"/>
      <c r="G209" s="3"/>
      <c r="H209" s="3"/>
      <c r="I209" s="3"/>
      <c r="J209" s="3"/>
      <c r="K209" s="3"/>
      <c r="L209" s="3"/>
      <c r="M209" s="175"/>
      <c r="N209" s="175"/>
      <c r="O209" s="822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</row>
    <row r="210" ht="15.75" customHeight="1">
      <c r="A210" s="3"/>
      <c r="B210" s="3"/>
      <c r="C210" s="3"/>
      <c r="D210" s="175"/>
      <c r="E210" s="175"/>
      <c r="F210" s="3"/>
      <c r="G210" s="3"/>
      <c r="H210" s="3"/>
      <c r="I210" s="3"/>
      <c r="J210" s="3"/>
      <c r="K210" s="3"/>
      <c r="L210" s="3"/>
      <c r="M210" s="175"/>
      <c r="N210" s="175"/>
      <c r="O210" s="822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</row>
    <row r="211" ht="15.75" customHeight="1">
      <c r="A211" s="3"/>
      <c r="B211" s="3"/>
      <c r="C211" s="3"/>
      <c r="D211" s="175"/>
      <c r="E211" s="175"/>
      <c r="F211" s="3"/>
      <c r="G211" s="3"/>
      <c r="H211" s="3"/>
      <c r="I211" s="3"/>
      <c r="J211" s="3"/>
      <c r="K211" s="3"/>
      <c r="L211" s="3"/>
      <c r="M211" s="175"/>
      <c r="N211" s="175"/>
      <c r="O211" s="822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</row>
    <row r="212" ht="15.75" customHeight="1">
      <c r="A212" s="3"/>
      <c r="B212" s="3"/>
      <c r="C212" s="3"/>
      <c r="D212" s="175"/>
      <c r="E212" s="175"/>
      <c r="F212" s="3"/>
      <c r="G212" s="3"/>
      <c r="H212" s="3"/>
      <c r="I212" s="3"/>
      <c r="J212" s="3"/>
      <c r="K212" s="3"/>
      <c r="L212" s="3"/>
      <c r="M212" s="175"/>
      <c r="N212" s="175"/>
      <c r="O212" s="822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</row>
    <row r="213" ht="15.75" customHeight="1">
      <c r="A213" s="3"/>
      <c r="B213" s="3"/>
      <c r="C213" s="3"/>
      <c r="D213" s="175"/>
      <c r="E213" s="175"/>
      <c r="F213" s="3"/>
      <c r="G213" s="3"/>
      <c r="H213" s="3"/>
      <c r="I213" s="3"/>
      <c r="J213" s="3"/>
      <c r="K213" s="3"/>
      <c r="L213" s="3"/>
      <c r="M213" s="175"/>
      <c r="N213" s="175"/>
      <c r="O213" s="822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</row>
    <row r="214" ht="15.75" customHeight="1">
      <c r="A214" s="3"/>
      <c r="B214" s="3"/>
      <c r="C214" s="3"/>
      <c r="D214" s="175"/>
      <c r="E214" s="175"/>
      <c r="F214" s="3"/>
      <c r="G214" s="3"/>
      <c r="H214" s="3"/>
      <c r="I214" s="3"/>
      <c r="J214" s="3"/>
      <c r="K214" s="3"/>
      <c r="L214" s="3"/>
      <c r="M214" s="175"/>
      <c r="N214" s="175"/>
      <c r="O214" s="822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</row>
    <row r="215" ht="15.75" customHeight="1">
      <c r="A215" s="3"/>
      <c r="B215" s="3"/>
      <c r="C215" s="3"/>
      <c r="D215" s="175"/>
      <c r="E215" s="175"/>
      <c r="F215" s="3"/>
      <c r="G215" s="3"/>
      <c r="H215" s="3"/>
      <c r="I215" s="3"/>
      <c r="J215" s="3"/>
      <c r="K215" s="3"/>
      <c r="L215" s="3"/>
      <c r="M215" s="175"/>
      <c r="N215" s="175"/>
      <c r="O215" s="822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</row>
    <row r="216" ht="15.75" customHeight="1">
      <c r="A216" s="3"/>
      <c r="B216" s="3"/>
      <c r="C216" s="3"/>
      <c r="D216" s="175"/>
      <c r="E216" s="175"/>
      <c r="F216" s="3"/>
      <c r="G216" s="3"/>
      <c r="H216" s="3"/>
      <c r="I216" s="3"/>
      <c r="J216" s="3"/>
      <c r="K216" s="3"/>
      <c r="L216" s="3"/>
      <c r="M216" s="175"/>
      <c r="N216" s="175"/>
      <c r="O216" s="822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</row>
    <row r="217" ht="15.75" customHeight="1">
      <c r="A217" s="3"/>
      <c r="B217" s="3"/>
      <c r="C217" s="3"/>
      <c r="D217" s="175"/>
      <c r="E217" s="175"/>
      <c r="F217" s="3"/>
      <c r="G217" s="3"/>
      <c r="H217" s="3"/>
      <c r="I217" s="3"/>
      <c r="J217" s="3"/>
      <c r="K217" s="3"/>
      <c r="L217" s="3"/>
      <c r="M217" s="175"/>
      <c r="N217" s="175"/>
      <c r="O217" s="822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</row>
    <row r="218" ht="15.75" customHeight="1">
      <c r="A218" s="3"/>
      <c r="B218" s="3"/>
      <c r="C218" s="3"/>
      <c r="D218" s="175"/>
      <c r="E218" s="175"/>
      <c r="F218" s="3"/>
      <c r="G218" s="3"/>
      <c r="H218" s="3"/>
      <c r="I218" s="3"/>
      <c r="J218" s="3"/>
      <c r="K218" s="3"/>
      <c r="L218" s="3"/>
      <c r="M218" s="175"/>
      <c r="N218" s="175"/>
      <c r="O218" s="822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</row>
    <row r="219" ht="15.75" customHeight="1">
      <c r="A219" s="3"/>
      <c r="B219" s="3"/>
      <c r="C219" s="3"/>
      <c r="D219" s="175"/>
      <c r="E219" s="175"/>
      <c r="F219" s="3"/>
      <c r="G219" s="3"/>
      <c r="H219" s="3"/>
      <c r="I219" s="3"/>
      <c r="J219" s="3"/>
      <c r="K219" s="3"/>
      <c r="L219" s="3"/>
      <c r="M219" s="175"/>
      <c r="N219" s="175"/>
      <c r="O219" s="822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</row>
    <row r="220" ht="15.75" customHeight="1">
      <c r="A220" s="3"/>
      <c r="B220" s="3"/>
      <c r="C220" s="3"/>
      <c r="D220" s="175"/>
      <c r="E220" s="175"/>
      <c r="F220" s="3"/>
      <c r="G220" s="3"/>
      <c r="H220" s="3"/>
      <c r="I220" s="3"/>
      <c r="J220" s="3"/>
      <c r="K220" s="3"/>
      <c r="L220" s="3"/>
      <c r="M220" s="175"/>
      <c r="N220" s="175"/>
      <c r="O220" s="822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</row>
    <row r="221" ht="15.75" customHeight="1">
      <c r="A221" s="3"/>
      <c r="B221" s="3"/>
      <c r="C221" s="3"/>
      <c r="D221" s="175"/>
      <c r="E221" s="175"/>
      <c r="F221" s="3"/>
      <c r="G221" s="3"/>
      <c r="H221" s="3"/>
      <c r="I221" s="3"/>
      <c r="J221" s="3"/>
      <c r="K221" s="3"/>
      <c r="L221" s="3"/>
      <c r="M221" s="175"/>
      <c r="N221" s="175"/>
      <c r="O221" s="822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</row>
    <row r="222" ht="15.75" customHeight="1">
      <c r="A222" s="3"/>
      <c r="B222" s="3"/>
      <c r="C222" s="3"/>
      <c r="D222" s="175"/>
      <c r="E222" s="175"/>
      <c r="F222" s="3"/>
      <c r="G222" s="3"/>
      <c r="H222" s="3"/>
      <c r="I222" s="3"/>
      <c r="J222" s="3"/>
      <c r="K222" s="3"/>
      <c r="L222" s="3"/>
      <c r="M222" s="175"/>
      <c r="N222" s="175"/>
      <c r="O222" s="822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</row>
    <row r="223" ht="15.75" customHeight="1">
      <c r="A223" s="3"/>
      <c r="B223" s="3"/>
      <c r="C223" s="3"/>
      <c r="D223" s="175"/>
      <c r="E223" s="175"/>
      <c r="F223" s="3"/>
      <c r="G223" s="3"/>
      <c r="H223" s="3"/>
      <c r="I223" s="3"/>
      <c r="J223" s="3"/>
      <c r="K223" s="3"/>
      <c r="L223" s="3"/>
      <c r="M223" s="175"/>
      <c r="N223" s="175"/>
      <c r="O223" s="822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</row>
    <row r="224" ht="15.75" customHeight="1">
      <c r="A224" s="3"/>
      <c r="B224" s="3"/>
      <c r="C224" s="3"/>
      <c r="D224" s="175"/>
      <c r="E224" s="175"/>
      <c r="F224" s="3"/>
      <c r="G224" s="3"/>
      <c r="H224" s="3"/>
      <c r="I224" s="3"/>
      <c r="J224" s="3"/>
      <c r="K224" s="3"/>
      <c r="L224" s="3"/>
      <c r="M224" s="175"/>
      <c r="N224" s="175"/>
      <c r="O224" s="822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</row>
    <row r="225" ht="15.75" customHeight="1">
      <c r="A225" s="3"/>
      <c r="B225" s="3"/>
      <c r="C225" s="3"/>
      <c r="D225" s="175"/>
      <c r="E225" s="175"/>
      <c r="F225" s="3"/>
      <c r="G225" s="3"/>
      <c r="H225" s="3"/>
      <c r="I225" s="3"/>
      <c r="J225" s="3"/>
      <c r="K225" s="3"/>
      <c r="L225" s="3"/>
      <c r="M225" s="175"/>
      <c r="N225" s="175"/>
      <c r="O225" s="822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</row>
    <row r="226" ht="15.75" customHeight="1">
      <c r="A226" s="3"/>
      <c r="B226" s="3"/>
      <c r="C226" s="3"/>
      <c r="D226" s="175"/>
      <c r="E226" s="175"/>
      <c r="F226" s="3"/>
      <c r="G226" s="3"/>
      <c r="H226" s="3"/>
      <c r="I226" s="3"/>
      <c r="J226" s="3"/>
      <c r="K226" s="3"/>
      <c r="L226" s="3"/>
      <c r="M226" s="175"/>
      <c r="N226" s="175"/>
      <c r="O226" s="822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</row>
    <row r="227" ht="15.75" customHeight="1">
      <c r="A227" s="3"/>
      <c r="B227" s="3"/>
      <c r="C227" s="3"/>
      <c r="D227" s="175"/>
      <c r="E227" s="175"/>
      <c r="F227" s="3"/>
      <c r="G227" s="3"/>
      <c r="H227" s="3"/>
      <c r="I227" s="3"/>
      <c r="J227" s="3"/>
      <c r="K227" s="3"/>
      <c r="L227" s="3"/>
      <c r="M227" s="175"/>
      <c r="N227" s="175"/>
      <c r="O227" s="822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</row>
    <row r="228" ht="15.75" customHeight="1">
      <c r="A228" s="3"/>
      <c r="B228" s="3"/>
      <c r="C228" s="3"/>
      <c r="D228" s="175"/>
      <c r="E228" s="175"/>
      <c r="F228" s="3"/>
      <c r="G228" s="3"/>
      <c r="H228" s="3"/>
      <c r="I228" s="3"/>
      <c r="J228" s="3"/>
      <c r="K228" s="3"/>
      <c r="L228" s="3"/>
      <c r="M228" s="175"/>
      <c r="N228" s="175"/>
      <c r="O228" s="822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</row>
    <row r="229" ht="15.75" customHeight="1">
      <c r="A229" s="3"/>
      <c r="B229" s="3"/>
      <c r="C229" s="3"/>
      <c r="D229" s="175"/>
      <c r="E229" s="175"/>
      <c r="F229" s="3"/>
      <c r="G229" s="3"/>
      <c r="H229" s="3"/>
      <c r="I229" s="3"/>
      <c r="J229" s="3"/>
      <c r="K229" s="3"/>
      <c r="L229" s="3"/>
      <c r="M229" s="175"/>
      <c r="N229" s="175"/>
      <c r="O229" s="822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</row>
    <row r="230" ht="15.75" customHeight="1">
      <c r="A230" s="3"/>
      <c r="B230" s="3"/>
      <c r="C230" s="3"/>
      <c r="D230" s="175"/>
      <c r="E230" s="175"/>
      <c r="F230" s="3"/>
      <c r="G230" s="3"/>
      <c r="H230" s="3"/>
      <c r="I230" s="3"/>
      <c r="J230" s="3"/>
      <c r="K230" s="3"/>
      <c r="L230" s="3"/>
      <c r="M230" s="175"/>
      <c r="N230" s="175"/>
      <c r="O230" s="822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</row>
    <row r="231" ht="15.75" customHeight="1">
      <c r="A231" s="3"/>
      <c r="B231" s="3"/>
      <c r="C231" s="3"/>
      <c r="D231" s="175"/>
      <c r="E231" s="175"/>
      <c r="F231" s="3"/>
      <c r="G231" s="3"/>
      <c r="H231" s="3"/>
      <c r="I231" s="3"/>
      <c r="J231" s="3"/>
      <c r="K231" s="3"/>
      <c r="L231" s="3"/>
      <c r="M231" s="175"/>
      <c r="N231" s="175"/>
      <c r="O231" s="822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</row>
    <row r="232" ht="15.75" customHeight="1">
      <c r="A232" s="3"/>
      <c r="B232" s="3"/>
      <c r="C232" s="3"/>
      <c r="D232" s="175"/>
      <c r="E232" s="175"/>
      <c r="F232" s="3"/>
      <c r="G232" s="3"/>
      <c r="H232" s="3"/>
      <c r="I232" s="3"/>
      <c r="J232" s="3"/>
      <c r="K232" s="3"/>
      <c r="L232" s="3"/>
      <c r="M232" s="175"/>
      <c r="N232" s="175"/>
      <c r="O232" s="822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</row>
    <row r="233" ht="15.75" customHeight="1">
      <c r="A233" s="3"/>
      <c r="B233" s="3"/>
      <c r="C233" s="3"/>
      <c r="D233" s="175"/>
      <c r="E233" s="175"/>
      <c r="F233" s="3"/>
      <c r="G233" s="3"/>
      <c r="H233" s="3"/>
      <c r="I233" s="3"/>
      <c r="J233" s="3"/>
      <c r="K233" s="3"/>
      <c r="L233" s="3"/>
      <c r="M233" s="175"/>
      <c r="N233" s="175"/>
      <c r="O233" s="822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</row>
    <row r="234" ht="15.75" customHeight="1">
      <c r="A234" s="3"/>
      <c r="B234" s="3"/>
      <c r="C234" s="3"/>
      <c r="D234" s="175"/>
      <c r="E234" s="175"/>
      <c r="F234" s="3"/>
      <c r="G234" s="3"/>
      <c r="H234" s="3"/>
      <c r="I234" s="3"/>
      <c r="J234" s="3"/>
      <c r="K234" s="3"/>
      <c r="L234" s="3"/>
      <c r="M234" s="175"/>
      <c r="N234" s="175"/>
      <c r="O234" s="822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</row>
    <row r="235" ht="15.75" customHeight="1">
      <c r="A235" s="3"/>
      <c r="B235" s="3"/>
      <c r="C235" s="3"/>
      <c r="D235" s="175"/>
      <c r="E235" s="175"/>
      <c r="F235" s="3"/>
      <c r="G235" s="3"/>
      <c r="H235" s="3"/>
      <c r="I235" s="3"/>
      <c r="J235" s="3"/>
      <c r="K235" s="3"/>
      <c r="L235" s="3"/>
      <c r="M235" s="175"/>
      <c r="N235" s="175"/>
      <c r="O235" s="822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</row>
    <row r="236" ht="15.75" customHeight="1">
      <c r="A236" s="3"/>
      <c r="B236" s="3"/>
      <c r="C236" s="3"/>
      <c r="D236" s="175"/>
      <c r="E236" s="175"/>
      <c r="F236" s="3"/>
      <c r="G236" s="3"/>
      <c r="H236" s="3"/>
      <c r="I236" s="3"/>
      <c r="J236" s="3"/>
      <c r="K236" s="3"/>
      <c r="L236" s="3"/>
      <c r="M236" s="175"/>
      <c r="N236" s="175"/>
      <c r="O236" s="822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</row>
    <row r="237" ht="15.75" customHeight="1">
      <c r="A237" s="3"/>
      <c r="B237" s="3"/>
      <c r="C237" s="3"/>
      <c r="D237" s="175"/>
      <c r="E237" s="175"/>
      <c r="F237" s="3"/>
      <c r="G237" s="3"/>
      <c r="H237" s="3"/>
      <c r="I237" s="3"/>
      <c r="J237" s="3"/>
      <c r="K237" s="3"/>
      <c r="L237" s="3"/>
      <c r="M237" s="175"/>
      <c r="N237" s="175"/>
      <c r="O237" s="822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</row>
    <row r="238" ht="15.75" customHeight="1">
      <c r="A238" s="3"/>
      <c r="B238" s="3"/>
      <c r="C238" s="3"/>
      <c r="D238" s="175"/>
      <c r="E238" s="175"/>
      <c r="F238" s="3"/>
      <c r="G238" s="3"/>
      <c r="H238" s="3"/>
      <c r="I238" s="3"/>
      <c r="J238" s="3"/>
      <c r="K238" s="3"/>
      <c r="L238" s="3"/>
      <c r="M238" s="175"/>
      <c r="N238" s="175"/>
      <c r="O238" s="822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</row>
    <row r="239" ht="15.75" customHeight="1">
      <c r="A239" s="3"/>
      <c r="B239" s="3"/>
      <c r="C239" s="3"/>
      <c r="D239" s="175"/>
      <c r="E239" s="175"/>
      <c r="F239" s="3"/>
      <c r="G239" s="3"/>
      <c r="H239" s="3"/>
      <c r="I239" s="3"/>
      <c r="J239" s="3"/>
      <c r="K239" s="3"/>
      <c r="L239" s="3"/>
      <c r="M239" s="175"/>
      <c r="N239" s="175"/>
      <c r="O239" s="822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</row>
    <row r="240" ht="15.75" customHeight="1">
      <c r="A240" s="3"/>
      <c r="B240" s="3"/>
      <c r="C240" s="3"/>
      <c r="D240" s="175"/>
      <c r="E240" s="175"/>
      <c r="F240" s="3"/>
      <c r="G240" s="3"/>
      <c r="H240" s="3"/>
      <c r="I240" s="3"/>
      <c r="J240" s="3"/>
      <c r="K240" s="3"/>
      <c r="L240" s="3"/>
      <c r="M240" s="175"/>
      <c r="N240" s="175"/>
      <c r="O240" s="822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</row>
    <row r="241" ht="15.75" customHeight="1">
      <c r="A241" s="3"/>
      <c r="B241" s="3"/>
      <c r="C241" s="3"/>
      <c r="D241" s="175"/>
      <c r="E241" s="175"/>
      <c r="F241" s="3"/>
      <c r="G241" s="3"/>
      <c r="H241" s="3"/>
      <c r="I241" s="3"/>
      <c r="J241" s="3"/>
      <c r="K241" s="3"/>
      <c r="L241" s="3"/>
      <c r="M241" s="175"/>
      <c r="N241" s="175"/>
      <c r="O241" s="822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</row>
    <row r="242" ht="15.75" customHeight="1">
      <c r="A242" s="3"/>
      <c r="B242" s="3"/>
      <c r="C242" s="3"/>
      <c r="D242" s="175"/>
      <c r="E242" s="175"/>
      <c r="F242" s="3"/>
      <c r="G242" s="3"/>
      <c r="H242" s="3"/>
      <c r="I242" s="3"/>
      <c r="J242" s="3"/>
      <c r="K242" s="3"/>
      <c r="L242" s="3"/>
      <c r="M242" s="175"/>
      <c r="N242" s="175"/>
      <c r="O242" s="822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</row>
    <row r="243" ht="15.75" customHeight="1">
      <c r="A243" s="3"/>
      <c r="B243" s="3"/>
      <c r="C243" s="3"/>
      <c r="D243" s="175"/>
      <c r="E243" s="175"/>
      <c r="F243" s="3"/>
      <c r="G243" s="3"/>
      <c r="H243" s="3"/>
      <c r="I243" s="3"/>
      <c r="J243" s="3"/>
      <c r="K243" s="3"/>
      <c r="L243" s="3"/>
      <c r="M243" s="175"/>
      <c r="N243" s="175"/>
      <c r="O243" s="822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</row>
    <row r="244" ht="15.75" customHeight="1">
      <c r="A244" s="3"/>
      <c r="B244" s="3"/>
      <c r="C244" s="3"/>
      <c r="D244" s="175"/>
      <c r="E244" s="175"/>
      <c r="F244" s="3"/>
      <c r="G244" s="3"/>
      <c r="H244" s="3"/>
      <c r="I244" s="3"/>
      <c r="J244" s="3"/>
      <c r="K244" s="3"/>
      <c r="L244" s="3"/>
      <c r="M244" s="175"/>
      <c r="N244" s="175"/>
      <c r="O244" s="822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</row>
    <row r="245" ht="15.75" customHeight="1">
      <c r="A245" s="3"/>
      <c r="B245" s="3"/>
      <c r="C245" s="3"/>
      <c r="D245" s="175"/>
      <c r="E245" s="175"/>
      <c r="F245" s="3"/>
      <c r="G245" s="3"/>
      <c r="H245" s="3"/>
      <c r="I245" s="3"/>
      <c r="J245" s="3"/>
      <c r="K245" s="3"/>
      <c r="L245" s="3"/>
      <c r="M245" s="175"/>
      <c r="N245" s="175"/>
      <c r="O245" s="822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</row>
    <row r="246" ht="15.75" customHeight="1">
      <c r="A246" s="3"/>
      <c r="B246" s="3"/>
      <c r="C246" s="3"/>
      <c r="D246" s="175"/>
      <c r="E246" s="175"/>
      <c r="F246" s="3"/>
      <c r="G246" s="3"/>
      <c r="H246" s="3"/>
      <c r="I246" s="3"/>
      <c r="J246" s="3"/>
      <c r="K246" s="3"/>
      <c r="L246" s="3"/>
      <c r="M246" s="175"/>
      <c r="N246" s="175"/>
      <c r="O246" s="822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</row>
    <row r="247" ht="15.75" customHeight="1">
      <c r="A247" s="3"/>
      <c r="B247" s="3"/>
      <c r="C247" s="3"/>
      <c r="D247" s="175"/>
      <c r="E247" s="175"/>
      <c r="F247" s="3"/>
      <c r="G247" s="3"/>
      <c r="H247" s="3"/>
      <c r="I247" s="3"/>
      <c r="J247" s="3"/>
      <c r="K247" s="3"/>
      <c r="L247" s="3"/>
      <c r="M247" s="175"/>
      <c r="N247" s="175"/>
      <c r="O247" s="822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</row>
    <row r="248" ht="15.75" customHeight="1">
      <c r="A248" s="3"/>
      <c r="B248" s="3"/>
      <c r="C248" s="3"/>
      <c r="D248" s="175"/>
      <c r="E248" s="175"/>
      <c r="F248" s="3"/>
      <c r="G248" s="3"/>
      <c r="H248" s="3"/>
      <c r="I248" s="3"/>
      <c r="J248" s="3"/>
      <c r="K248" s="3"/>
      <c r="L248" s="3"/>
      <c r="M248" s="175"/>
      <c r="N248" s="175"/>
      <c r="O248" s="822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</row>
    <row r="249" ht="15.75" customHeight="1">
      <c r="A249" s="3"/>
      <c r="B249" s="3"/>
      <c r="C249" s="3"/>
      <c r="D249" s="175"/>
      <c r="E249" s="175"/>
      <c r="F249" s="3"/>
      <c r="G249" s="3"/>
      <c r="H249" s="3"/>
      <c r="I249" s="3"/>
      <c r="J249" s="3"/>
      <c r="K249" s="3"/>
      <c r="L249" s="3"/>
      <c r="M249" s="175"/>
      <c r="N249" s="175"/>
      <c r="O249" s="822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</row>
    <row r="250" ht="15.75" customHeight="1">
      <c r="A250" s="3"/>
      <c r="B250" s="3"/>
      <c r="C250" s="3"/>
      <c r="D250" s="175"/>
      <c r="E250" s="175"/>
      <c r="F250" s="3"/>
      <c r="G250" s="3"/>
      <c r="H250" s="3"/>
      <c r="I250" s="3"/>
      <c r="J250" s="3"/>
      <c r="K250" s="3"/>
      <c r="L250" s="3"/>
      <c r="M250" s="175"/>
      <c r="N250" s="175"/>
      <c r="O250" s="822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</row>
    <row r="251" ht="15.75" customHeight="1">
      <c r="A251" s="3"/>
      <c r="B251" s="3"/>
      <c r="C251" s="3"/>
      <c r="D251" s="175"/>
      <c r="E251" s="175"/>
      <c r="F251" s="3"/>
      <c r="G251" s="3"/>
      <c r="H251" s="3"/>
      <c r="I251" s="3"/>
      <c r="J251" s="3"/>
      <c r="K251" s="3"/>
      <c r="L251" s="3"/>
      <c r="M251" s="175"/>
      <c r="N251" s="175"/>
      <c r="O251" s="822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</row>
    <row r="252" ht="15.75" customHeight="1">
      <c r="A252" s="3"/>
      <c r="B252" s="3"/>
      <c r="C252" s="3"/>
      <c r="D252" s="175"/>
      <c r="E252" s="175"/>
      <c r="F252" s="3"/>
      <c r="G252" s="3"/>
      <c r="H252" s="3"/>
      <c r="I252" s="3"/>
      <c r="J252" s="3"/>
      <c r="K252" s="3"/>
      <c r="L252" s="3"/>
      <c r="M252" s="175"/>
      <c r="N252" s="175"/>
      <c r="O252" s="822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</row>
    <row r="253" ht="15.75" customHeight="1">
      <c r="A253" s="3"/>
      <c r="B253" s="3"/>
      <c r="C253" s="3"/>
      <c r="D253" s="175"/>
      <c r="E253" s="175"/>
      <c r="F253" s="3"/>
      <c r="G253" s="3"/>
      <c r="H253" s="3"/>
      <c r="I253" s="3"/>
      <c r="J253" s="3"/>
      <c r="K253" s="3"/>
      <c r="L253" s="3"/>
      <c r="M253" s="175"/>
      <c r="N253" s="175"/>
      <c r="O253" s="822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</row>
    <row r="254" ht="15.75" customHeight="1">
      <c r="A254" s="3"/>
      <c r="B254" s="3"/>
      <c r="C254" s="3"/>
      <c r="D254" s="175"/>
      <c r="E254" s="175"/>
      <c r="F254" s="3"/>
      <c r="G254" s="3"/>
      <c r="H254" s="3"/>
      <c r="I254" s="3"/>
      <c r="J254" s="3"/>
      <c r="K254" s="3"/>
      <c r="L254" s="3"/>
      <c r="M254" s="175"/>
      <c r="N254" s="175"/>
      <c r="O254" s="822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</row>
    <row r="255" ht="15.75" customHeight="1">
      <c r="A255" s="3"/>
      <c r="B255" s="3"/>
      <c r="C255" s="3"/>
      <c r="D255" s="175"/>
      <c r="E255" s="175"/>
      <c r="F255" s="3"/>
      <c r="G255" s="3"/>
      <c r="H255" s="3"/>
      <c r="I255" s="3"/>
      <c r="J255" s="3"/>
      <c r="K255" s="3"/>
      <c r="L255" s="3"/>
      <c r="M255" s="175"/>
      <c r="N255" s="175"/>
      <c r="O255" s="822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</row>
    <row r="256" ht="15.75" customHeight="1">
      <c r="A256" s="3"/>
      <c r="B256" s="3"/>
      <c r="C256" s="3"/>
      <c r="D256" s="175"/>
      <c r="E256" s="175"/>
      <c r="F256" s="3"/>
      <c r="G256" s="3"/>
      <c r="H256" s="3"/>
      <c r="I256" s="3"/>
      <c r="J256" s="3"/>
      <c r="K256" s="3"/>
      <c r="L256" s="3"/>
      <c r="M256" s="175"/>
      <c r="N256" s="175"/>
      <c r="O256" s="822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</row>
    <row r="257" ht="15.75" customHeight="1">
      <c r="A257" s="3"/>
      <c r="B257" s="3"/>
      <c r="C257" s="3"/>
      <c r="D257" s="175"/>
      <c r="E257" s="175"/>
      <c r="F257" s="3"/>
      <c r="G257" s="3"/>
      <c r="H257" s="3"/>
      <c r="I257" s="3"/>
      <c r="J257" s="3"/>
      <c r="K257" s="3"/>
      <c r="L257" s="3"/>
      <c r="M257" s="175"/>
      <c r="N257" s="175"/>
      <c r="O257" s="822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</row>
    <row r="258" ht="15.75" customHeight="1">
      <c r="A258" s="3"/>
      <c r="B258" s="3"/>
      <c r="C258" s="3"/>
      <c r="D258" s="175"/>
      <c r="E258" s="175"/>
      <c r="F258" s="3"/>
      <c r="G258" s="3"/>
      <c r="H258" s="3"/>
      <c r="I258" s="3"/>
      <c r="J258" s="3"/>
      <c r="K258" s="3"/>
      <c r="L258" s="3"/>
      <c r="M258" s="175"/>
      <c r="N258" s="175"/>
      <c r="O258" s="822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</row>
    <row r="259" ht="15.75" customHeight="1">
      <c r="A259" s="3"/>
      <c r="B259" s="3"/>
      <c r="C259" s="3"/>
      <c r="D259" s="175"/>
      <c r="E259" s="175"/>
      <c r="F259" s="3"/>
      <c r="G259" s="3"/>
      <c r="H259" s="3"/>
      <c r="I259" s="3"/>
      <c r="J259" s="3"/>
      <c r="K259" s="3"/>
      <c r="L259" s="3"/>
      <c r="M259" s="175"/>
      <c r="N259" s="175"/>
      <c r="O259" s="822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</row>
    <row r="260" ht="15.75" customHeight="1">
      <c r="A260" s="3"/>
      <c r="B260" s="3"/>
      <c r="C260" s="3"/>
      <c r="D260" s="175"/>
      <c r="E260" s="175"/>
      <c r="F260" s="3"/>
      <c r="G260" s="3"/>
      <c r="H260" s="3"/>
      <c r="I260" s="3"/>
      <c r="J260" s="3"/>
      <c r="K260" s="3"/>
      <c r="L260" s="3"/>
      <c r="M260" s="175"/>
      <c r="N260" s="175"/>
      <c r="O260" s="822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</row>
    <row r="261" ht="15.75" customHeight="1">
      <c r="A261" s="3"/>
      <c r="B261" s="3"/>
      <c r="C261" s="3"/>
      <c r="D261" s="175"/>
      <c r="E261" s="175"/>
      <c r="F261" s="3"/>
      <c r="G261" s="3"/>
      <c r="H261" s="3"/>
      <c r="I261" s="3"/>
      <c r="J261" s="3"/>
      <c r="K261" s="3"/>
      <c r="L261" s="3"/>
      <c r="M261" s="175"/>
      <c r="N261" s="175"/>
      <c r="O261" s="822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</row>
    <row r="262" ht="15.75" customHeight="1">
      <c r="A262" s="3"/>
      <c r="B262" s="3"/>
      <c r="C262" s="3"/>
      <c r="D262" s="175"/>
      <c r="E262" s="175"/>
      <c r="F262" s="3"/>
      <c r="G262" s="3"/>
      <c r="H262" s="3"/>
      <c r="I262" s="3"/>
      <c r="J262" s="3"/>
      <c r="K262" s="3"/>
      <c r="L262" s="3"/>
      <c r="M262" s="175"/>
      <c r="N262" s="175"/>
      <c r="O262" s="822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</row>
    <row r="263" ht="15.75" customHeight="1">
      <c r="A263" s="3"/>
      <c r="B263" s="3"/>
      <c r="C263" s="3"/>
      <c r="D263" s="175"/>
      <c r="E263" s="175"/>
      <c r="F263" s="3"/>
      <c r="G263" s="3"/>
      <c r="H263" s="3"/>
      <c r="I263" s="3"/>
      <c r="J263" s="3"/>
      <c r="K263" s="3"/>
      <c r="L263" s="3"/>
      <c r="M263" s="175"/>
      <c r="N263" s="175"/>
      <c r="O263" s="822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</row>
    <row r="264" ht="15.75" customHeight="1">
      <c r="A264" s="3"/>
      <c r="B264" s="3"/>
      <c r="C264" s="3"/>
      <c r="D264" s="175"/>
      <c r="E264" s="175"/>
      <c r="F264" s="3"/>
      <c r="G264" s="3"/>
      <c r="H264" s="3"/>
      <c r="I264" s="3"/>
      <c r="J264" s="3"/>
      <c r="K264" s="3"/>
      <c r="L264" s="3"/>
      <c r="M264" s="175"/>
      <c r="N264" s="175"/>
      <c r="O264" s="822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</row>
    <row r="265" ht="15.75" customHeight="1">
      <c r="A265" s="3"/>
      <c r="B265" s="3"/>
      <c r="C265" s="3"/>
      <c r="D265" s="175"/>
      <c r="E265" s="175"/>
      <c r="F265" s="3"/>
      <c r="G265" s="3"/>
      <c r="H265" s="3"/>
      <c r="I265" s="3"/>
      <c r="J265" s="3"/>
      <c r="K265" s="3"/>
      <c r="L265" s="3"/>
      <c r="M265" s="175"/>
      <c r="N265" s="175"/>
      <c r="O265" s="822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</row>
    <row r="266" ht="15.75" customHeight="1">
      <c r="A266" s="3"/>
      <c r="B266" s="3"/>
      <c r="C266" s="3"/>
      <c r="D266" s="175"/>
      <c r="E266" s="175"/>
      <c r="F266" s="3"/>
      <c r="G266" s="3"/>
      <c r="H266" s="3"/>
      <c r="I266" s="3"/>
      <c r="J266" s="3"/>
      <c r="K266" s="3"/>
      <c r="L266" s="3"/>
      <c r="M266" s="175"/>
      <c r="N266" s="175"/>
      <c r="O266" s="822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</row>
    <row r="267" ht="15.75" customHeight="1">
      <c r="A267" s="3"/>
      <c r="B267" s="3"/>
      <c r="C267" s="3"/>
      <c r="D267" s="175"/>
      <c r="E267" s="175"/>
      <c r="F267" s="3"/>
      <c r="G267" s="3"/>
      <c r="H267" s="3"/>
      <c r="I267" s="3"/>
      <c r="J267" s="3"/>
      <c r="K267" s="3"/>
      <c r="L267" s="3"/>
      <c r="M267" s="175"/>
      <c r="N267" s="175"/>
      <c r="O267" s="822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</row>
    <row r="268" ht="15.75" customHeight="1">
      <c r="A268" s="3"/>
      <c r="B268" s="3"/>
      <c r="C268" s="3"/>
      <c r="D268" s="175"/>
      <c r="E268" s="175"/>
      <c r="F268" s="3"/>
      <c r="G268" s="3"/>
      <c r="H268" s="3"/>
      <c r="I268" s="3"/>
      <c r="J268" s="3"/>
      <c r="K268" s="3"/>
      <c r="L268" s="3"/>
      <c r="M268" s="175"/>
      <c r="N268" s="175"/>
      <c r="O268" s="822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</row>
    <row r="269" ht="15.75" customHeight="1">
      <c r="A269" s="3"/>
      <c r="B269" s="3"/>
      <c r="C269" s="3"/>
      <c r="D269" s="175"/>
      <c r="E269" s="175"/>
      <c r="F269" s="3"/>
      <c r="G269" s="3"/>
      <c r="H269" s="3"/>
      <c r="I269" s="3"/>
      <c r="J269" s="3"/>
      <c r="K269" s="3"/>
      <c r="L269" s="3"/>
      <c r="M269" s="175"/>
      <c r="N269" s="175"/>
      <c r="O269" s="822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</row>
    <row r="270" ht="15.75" customHeight="1">
      <c r="A270" s="3"/>
      <c r="B270" s="3"/>
      <c r="C270" s="3"/>
      <c r="D270" s="175"/>
      <c r="E270" s="175"/>
      <c r="F270" s="3"/>
      <c r="G270" s="3"/>
      <c r="H270" s="3"/>
      <c r="I270" s="3"/>
      <c r="J270" s="3"/>
      <c r="K270" s="3"/>
      <c r="L270" s="3"/>
      <c r="M270" s="175"/>
      <c r="N270" s="175"/>
      <c r="O270" s="822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</row>
    <row r="271" ht="15.75" customHeight="1">
      <c r="A271" s="3"/>
      <c r="B271" s="3"/>
      <c r="C271" s="3"/>
      <c r="D271" s="175"/>
      <c r="E271" s="175"/>
      <c r="F271" s="3"/>
      <c r="G271" s="3"/>
      <c r="H271" s="3"/>
      <c r="I271" s="3"/>
      <c r="J271" s="3"/>
      <c r="K271" s="3"/>
      <c r="L271" s="3"/>
      <c r="M271" s="175"/>
      <c r="N271" s="175"/>
      <c r="O271" s="822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</row>
    <row r="272" ht="15.75" customHeight="1">
      <c r="A272" s="3"/>
      <c r="B272" s="3"/>
      <c r="C272" s="3"/>
      <c r="D272" s="175"/>
      <c r="E272" s="175"/>
      <c r="F272" s="3"/>
      <c r="G272" s="3"/>
      <c r="H272" s="3"/>
      <c r="I272" s="3"/>
      <c r="J272" s="3"/>
      <c r="K272" s="3"/>
      <c r="L272" s="3"/>
      <c r="M272" s="175"/>
      <c r="N272" s="175"/>
      <c r="O272" s="822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</row>
    <row r="273" ht="15.75" customHeight="1">
      <c r="A273" s="3"/>
      <c r="B273" s="3"/>
      <c r="C273" s="3"/>
      <c r="D273" s="175"/>
      <c r="E273" s="175"/>
      <c r="F273" s="3"/>
      <c r="G273" s="3"/>
      <c r="H273" s="3"/>
      <c r="I273" s="3"/>
      <c r="J273" s="3"/>
      <c r="K273" s="3"/>
      <c r="L273" s="3"/>
      <c r="M273" s="175"/>
      <c r="N273" s="175"/>
      <c r="O273" s="822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</row>
    <row r="274" ht="15.75" customHeight="1">
      <c r="A274" s="3"/>
      <c r="B274" s="3"/>
      <c r="C274" s="3"/>
      <c r="D274" s="175"/>
      <c r="E274" s="175"/>
      <c r="F274" s="3"/>
      <c r="G274" s="3"/>
      <c r="H274" s="3"/>
      <c r="I274" s="3"/>
      <c r="J274" s="3"/>
      <c r="K274" s="3"/>
      <c r="L274" s="3"/>
      <c r="M274" s="175"/>
      <c r="N274" s="175"/>
      <c r="O274" s="822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</row>
    <row r="275" ht="15.75" customHeight="1">
      <c r="A275" s="3"/>
      <c r="B275" s="3"/>
      <c r="C275" s="3"/>
      <c r="D275" s="175"/>
      <c r="E275" s="175"/>
      <c r="F275" s="3"/>
      <c r="G275" s="3"/>
      <c r="H275" s="3"/>
      <c r="I275" s="3"/>
      <c r="J275" s="3"/>
      <c r="K275" s="3"/>
      <c r="L275" s="3"/>
      <c r="M275" s="175"/>
      <c r="N275" s="175"/>
      <c r="O275" s="822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</row>
    <row r="276" ht="15.75" customHeight="1">
      <c r="A276" s="3"/>
      <c r="B276" s="3"/>
      <c r="C276" s="3"/>
      <c r="D276" s="175"/>
      <c r="E276" s="175"/>
      <c r="F276" s="3"/>
      <c r="G276" s="3"/>
      <c r="H276" s="3"/>
      <c r="I276" s="3"/>
      <c r="J276" s="3"/>
      <c r="K276" s="3"/>
      <c r="L276" s="3"/>
      <c r="M276" s="175"/>
      <c r="N276" s="175"/>
      <c r="O276" s="822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</row>
    <row r="277" ht="15.75" customHeight="1">
      <c r="A277" s="3"/>
      <c r="B277" s="3"/>
      <c r="C277" s="3"/>
      <c r="D277" s="175"/>
      <c r="E277" s="175"/>
      <c r="F277" s="3"/>
      <c r="G277" s="3"/>
      <c r="H277" s="3"/>
      <c r="I277" s="3"/>
      <c r="J277" s="3"/>
      <c r="K277" s="3"/>
      <c r="L277" s="3"/>
      <c r="M277" s="175"/>
      <c r="N277" s="175"/>
      <c r="O277" s="822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</row>
    <row r="278" ht="15.75" customHeight="1">
      <c r="A278" s="3"/>
      <c r="B278" s="3"/>
      <c r="C278" s="3"/>
      <c r="D278" s="175"/>
      <c r="E278" s="175"/>
      <c r="F278" s="3"/>
      <c r="G278" s="3"/>
      <c r="H278" s="3"/>
      <c r="I278" s="3"/>
      <c r="J278" s="3"/>
      <c r="K278" s="3"/>
      <c r="L278" s="3"/>
      <c r="M278" s="175"/>
      <c r="N278" s="175"/>
      <c r="O278" s="822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</row>
    <row r="279" ht="15.75" customHeight="1">
      <c r="A279" s="3"/>
      <c r="B279" s="3"/>
      <c r="C279" s="3"/>
      <c r="D279" s="175"/>
      <c r="E279" s="175"/>
      <c r="F279" s="3"/>
      <c r="G279" s="3"/>
      <c r="H279" s="3"/>
      <c r="I279" s="3"/>
      <c r="J279" s="3"/>
      <c r="K279" s="3"/>
      <c r="L279" s="3"/>
      <c r="M279" s="175"/>
      <c r="N279" s="175"/>
      <c r="O279" s="822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</row>
    <row r="280" ht="15.75" customHeight="1">
      <c r="A280" s="3"/>
      <c r="B280" s="3"/>
      <c r="C280" s="3"/>
      <c r="D280" s="175"/>
      <c r="E280" s="175"/>
      <c r="F280" s="3"/>
      <c r="G280" s="3"/>
      <c r="H280" s="3"/>
      <c r="I280" s="3"/>
      <c r="J280" s="3"/>
      <c r="K280" s="3"/>
      <c r="L280" s="3"/>
      <c r="M280" s="175"/>
      <c r="N280" s="175"/>
      <c r="O280" s="822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</row>
    <row r="281" ht="15.75" customHeight="1">
      <c r="A281" s="3"/>
      <c r="B281" s="3"/>
      <c r="C281" s="3"/>
      <c r="D281" s="175"/>
      <c r="E281" s="175"/>
      <c r="F281" s="3"/>
      <c r="G281" s="3"/>
      <c r="H281" s="3"/>
      <c r="I281" s="3"/>
      <c r="J281" s="3"/>
      <c r="K281" s="3"/>
      <c r="L281" s="3"/>
      <c r="M281" s="175"/>
      <c r="N281" s="175"/>
      <c r="O281" s="822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</row>
    <row r="282" ht="15.75" customHeight="1">
      <c r="A282" s="3"/>
      <c r="B282" s="3"/>
      <c r="C282" s="3"/>
      <c r="D282" s="175"/>
      <c r="E282" s="175"/>
      <c r="F282" s="3"/>
      <c r="G282" s="3"/>
      <c r="H282" s="3"/>
      <c r="I282" s="3"/>
      <c r="J282" s="3"/>
      <c r="K282" s="3"/>
      <c r="L282" s="3"/>
      <c r="M282" s="175"/>
      <c r="N282" s="175"/>
      <c r="O282" s="822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</row>
    <row r="283" ht="15.75" customHeight="1">
      <c r="A283" s="3"/>
      <c r="B283" s="3"/>
      <c r="C283" s="3"/>
      <c r="D283" s="175"/>
      <c r="E283" s="175"/>
      <c r="F283" s="3"/>
      <c r="G283" s="3"/>
      <c r="H283" s="3"/>
      <c r="I283" s="3"/>
      <c r="J283" s="3"/>
      <c r="K283" s="3"/>
      <c r="L283" s="3"/>
      <c r="M283" s="175"/>
      <c r="N283" s="175"/>
      <c r="O283" s="822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</row>
    <row r="284" ht="15.75" customHeight="1">
      <c r="A284" s="3"/>
      <c r="B284" s="3"/>
      <c r="C284" s="3"/>
      <c r="D284" s="175"/>
      <c r="E284" s="175"/>
      <c r="F284" s="3"/>
      <c r="G284" s="3"/>
      <c r="H284" s="3"/>
      <c r="I284" s="3"/>
      <c r="J284" s="3"/>
      <c r="K284" s="3"/>
      <c r="L284" s="3"/>
      <c r="M284" s="175"/>
      <c r="N284" s="175"/>
      <c r="O284" s="822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</row>
    <row r="285" ht="15.75" customHeight="1">
      <c r="A285" s="3"/>
      <c r="B285" s="3"/>
      <c r="C285" s="3"/>
      <c r="D285" s="175"/>
      <c r="E285" s="175"/>
      <c r="F285" s="3"/>
      <c r="G285" s="3"/>
      <c r="H285" s="3"/>
      <c r="I285" s="3"/>
      <c r="J285" s="3"/>
      <c r="K285" s="3"/>
      <c r="L285" s="3"/>
      <c r="M285" s="175"/>
      <c r="N285" s="175"/>
      <c r="O285" s="822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</row>
    <row r="286" ht="15.75" customHeight="1">
      <c r="A286" s="3"/>
      <c r="B286" s="3"/>
      <c r="C286" s="3"/>
      <c r="D286" s="175"/>
      <c r="E286" s="175"/>
      <c r="F286" s="3"/>
      <c r="G286" s="3"/>
      <c r="H286" s="3"/>
      <c r="I286" s="3"/>
      <c r="J286" s="3"/>
      <c r="K286" s="3"/>
      <c r="L286" s="3"/>
      <c r="M286" s="175"/>
      <c r="N286" s="175"/>
      <c r="O286" s="822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</row>
    <row r="287" ht="15.75" customHeight="1">
      <c r="A287" s="3"/>
      <c r="B287" s="3"/>
      <c r="C287" s="3"/>
      <c r="D287" s="175"/>
      <c r="E287" s="175"/>
      <c r="F287" s="3"/>
      <c r="G287" s="3"/>
      <c r="H287" s="3"/>
      <c r="I287" s="3"/>
      <c r="J287" s="3"/>
      <c r="K287" s="3"/>
      <c r="L287" s="3"/>
      <c r="M287" s="175"/>
      <c r="N287" s="175"/>
      <c r="O287" s="822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</row>
    <row r="288" ht="15.75" customHeight="1">
      <c r="A288" s="3"/>
      <c r="B288" s="3"/>
      <c r="C288" s="3"/>
      <c r="D288" s="175"/>
      <c r="E288" s="175"/>
      <c r="F288" s="3"/>
      <c r="G288" s="3"/>
      <c r="H288" s="3"/>
      <c r="I288" s="3"/>
      <c r="J288" s="3"/>
      <c r="K288" s="3"/>
      <c r="L288" s="3"/>
      <c r="M288" s="175"/>
      <c r="N288" s="175"/>
      <c r="O288" s="822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</row>
    <row r="289" ht="15.75" customHeight="1">
      <c r="A289" s="3"/>
      <c r="B289" s="3"/>
      <c r="C289" s="3"/>
      <c r="D289" s="175"/>
      <c r="E289" s="175"/>
      <c r="F289" s="3"/>
      <c r="G289" s="3"/>
      <c r="H289" s="3"/>
      <c r="I289" s="3"/>
      <c r="J289" s="3"/>
      <c r="K289" s="3"/>
      <c r="L289" s="3"/>
      <c r="M289" s="175"/>
      <c r="N289" s="175"/>
      <c r="O289" s="822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</row>
    <row r="290" ht="15.75" customHeight="1">
      <c r="A290" s="3"/>
      <c r="B290" s="3"/>
      <c r="C290" s="3"/>
      <c r="D290" s="175"/>
      <c r="E290" s="175"/>
      <c r="F290" s="3"/>
      <c r="G290" s="3"/>
      <c r="H290" s="3"/>
      <c r="I290" s="3"/>
      <c r="J290" s="3"/>
      <c r="K290" s="3"/>
      <c r="L290" s="3"/>
      <c r="M290" s="175"/>
      <c r="N290" s="175"/>
      <c r="O290" s="822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</row>
    <row r="291" ht="15.75" customHeight="1">
      <c r="A291" s="3"/>
      <c r="B291" s="3"/>
      <c r="C291" s="3"/>
      <c r="D291" s="175"/>
      <c r="E291" s="175"/>
      <c r="F291" s="3"/>
      <c r="G291" s="3"/>
      <c r="H291" s="3"/>
      <c r="I291" s="3"/>
      <c r="J291" s="3"/>
      <c r="K291" s="3"/>
      <c r="L291" s="3"/>
      <c r="M291" s="175"/>
      <c r="N291" s="175"/>
      <c r="O291" s="822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</row>
    <row r="292" ht="15.75" customHeight="1">
      <c r="A292" s="3"/>
      <c r="B292" s="3"/>
      <c r="C292" s="3"/>
      <c r="D292" s="175"/>
      <c r="E292" s="175"/>
      <c r="F292" s="3"/>
      <c r="G292" s="3"/>
      <c r="H292" s="3"/>
      <c r="I292" s="3"/>
      <c r="J292" s="3"/>
      <c r="K292" s="3"/>
      <c r="L292" s="3"/>
      <c r="M292" s="175"/>
      <c r="N292" s="175"/>
      <c r="O292" s="822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</row>
    <row r="293" ht="15.75" customHeight="1">
      <c r="A293" s="3"/>
      <c r="B293" s="3"/>
      <c r="C293" s="3"/>
      <c r="D293" s="175"/>
      <c r="E293" s="175"/>
      <c r="F293" s="3"/>
      <c r="G293" s="3"/>
      <c r="H293" s="3"/>
      <c r="I293" s="3"/>
      <c r="J293" s="3"/>
      <c r="K293" s="3"/>
      <c r="L293" s="3"/>
      <c r="M293" s="175"/>
      <c r="N293" s="175"/>
      <c r="O293" s="822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</row>
    <row r="294" ht="15.75" customHeight="1">
      <c r="A294" s="3"/>
      <c r="B294" s="3"/>
      <c r="C294" s="3"/>
      <c r="D294" s="175"/>
      <c r="E294" s="175"/>
      <c r="F294" s="3"/>
      <c r="G294" s="3"/>
      <c r="H294" s="3"/>
      <c r="I294" s="3"/>
      <c r="J294" s="3"/>
      <c r="K294" s="3"/>
      <c r="L294" s="3"/>
      <c r="M294" s="175"/>
      <c r="N294" s="175"/>
      <c r="O294" s="822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</row>
    <row r="295" ht="15.75" customHeight="1">
      <c r="A295" s="3"/>
      <c r="B295" s="3"/>
      <c r="C295" s="3"/>
      <c r="D295" s="175"/>
      <c r="E295" s="175"/>
      <c r="F295" s="3"/>
      <c r="G295" s="3"/>
      <c r="H295" s="3"/>
      <c r="I295" s="3"/>
      <c r="J295" s="3"/>
      <c r="K295" s="3"/>
      <c r="L295" s="3"/>
      <c r="M295" s="175"/>
      <c r="N295" s="175"/>
      <c r="O295" s="822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</row>
    <row r="296" ht="15.75" customHeight="1">
      <c r="A296" s="3"/>
      <c r="B296" s="3"/>
      <c r="C296" s="3"/>
      <c r="D296" s="175"/>
      <c r="E296" s="175"/>
      <c r="F296" s="3"/>
      <c r="G296" s="3"/>
      <c r="H296" s="3"/>
      <c r="I296" s="3"/>
      <c r="J296" s="3"/>
      <c r="K296" s="3"/>
      <c r="L296" s="3"/>
      <c r="M296" s="175"/>
      <c r="N296" s="175"/>
      <c r="O296" s="822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</row>
    <row r="297" ht="15.75" customHeight="1">
      <c r="A297" s="3"/>
      <c r="B297" s="3"/>
      <c r="C297" s="3"/>
      <c r="D297" s="175"/>
      <c r="E297" s="175"/>
      <c r="F297" s="3"/>
      <c r="G297" s="3"/>
      <c r="H297" s="3"/>
      <c r="I297" s="3"/>
      <c r="J297" s="3"/>
      <c r="K297" s="3"/>
      <c r="L297" s="3"/>
      <c r="M297" s="175"/>
      <c r="N297" s="175"/>
      <c r="O297" s="822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</row>
    <row r="298" ht="15.75" customHeight="1">
      <c r="A298" s="3"/>
      <c r="B298" s="3"/>
      <c r="C298" s="3"/>
      <c r="D298" s="175"/>
      <c r="E298" s="175"/>
      <c r="F298" s="3"/>
      <c r="G298" s="3"/>
      <c r="H298" s="3"/>
      <c r="I298" s="3"/>
      <c r="J298" s="3"/>
      <c r="K298" s="3"/>
      <c r="L298" s="3"/>
      <c r="M298" s="175"/>
      <c r="N298" s="175"/>
      <c r="O298" s="822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</row>
    <row r="299" ht="15.75" customHeight="1">
      <c r="A299" s="3"/>
      <c r="B299" s="3"/>
      <c r="C299" s="3"/>
      <c r="D299" s="175"/>
      <c r="E299" s="175"/>
      <c r="F299" s="3"/>
      <c r="G299" s="3"/>
      <c r="H299" s="3"/>
      <c r="I299" s="3"/>
      <c r="J299" s="3"/>
      <c r="K299" s="3"/>
      <c r="L299" s="3"/>
      <c r="M299" s="175"/>
      <c r="N299" s="175"/>
      <c r="O299" s="822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</row>
    <row r="300" ht="15.75" customHeight="1">
      <c r="A300" s="3"/>
      <c r="B300" s="3"/>
      <c r="C300" s="3"/>
      <c r="D300" s="175"/>
      <c r="E300" s="175"/>
      <c r="F300" s="3"/>
      <c r="G300" s="3"/>
      <c r="H300" s="3"/>
      <c r="I300" s="3"/>
      <c r="J300" s="3"/>
      <c r="K300" s="3"/>
      <c r="L300" s="3"/>
      <c r="M300" s="175"/>
      <c r="N300" s="175"/>
      <c r="O300" s="822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</row>
    <row r="301" ht="15.75" customHeight="1">
      <c r="A301" s="3"/>
      <c r="B301" s="3"/>
      <c r="C301" s="3"/>
      <c r="D301" s="175"/>
      <c r="E301" s="175"/>
      <c r="F301" s="3"/>
      <c r="G301" s="3"/>
      <c r="H301" s="3"/>
      <c r="I301" s="3"/>
      <c r="J301" s="3"/>
      <c r="K301" s="3"/>
      <c r="L301" s="3"/>
      <c r="M301" s="175"/>
      <c r="N301" s="175"/>
      <c r="O301" s="822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</row>
    <row r="302" ht="15.75" customHeight="1">
      <c r="A302" s="3"/>
      <c r="B302" s="3"/>
      <c r="C302" s="3"/>
      <c r="D302" s="175"/>
      <c r="E302" s="175"/>
      <c r="F302" s="3"/>
      <c r="G302" s="3"/>
      <c r="H302" s="3"/>
      <c r="I302" s="3"/>
      <c r="J302" s="3"/>
      <c r="K302" s="3"/>
      <c r="L302" s="3"/>
      <c r="M302" s="175"/>
      <c r="N302" s="175"/>
      <c r="O302" s="822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</row>
    <row r="303" ht="15.75" customHeight="1">
      <c r="A303" s="3"/>
      <c r="B303" s="3"/>
      <c r="C303" s="3"/>
      <c r="D303" s="175"/>
      <c r="E303" s="175"/>
      <c r="F303" s="3"/>
      <c r="G303" s="3"/>
      <c r="H303" s="3"/>
      <c r="I303" s="3"/>
      <c r="J303" s="3"/>
      <c r="K303" s="3"/>
      <c r="L303" s="3"/>
      <c r="M303" s="175"/>
      <c r="N303" s="175"/>
      <c r="O303" s="822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</row>
    <row r="304" ht="15.75" customHeight="1">
      <c r="A304" s="3"/>
      <c r="B304" s="3"/>
      <c r="C304" s="3"/>
      <c r="D304" s="175"/>
      <c r="E304" s="175"/>
      <c r="F304" s="3"/>
      <c r="G304" s="3"/>
      <c r="H304" s="3"/>
      <c r="I304" s="3"/>
      <c r="J304" s="3"/>
      <c r="K304" s="3"/>
      <c r="L304" s="3"/>
      <c r="M304" s="175"/>
      <c r="N304" s="175"/>
      <c r="O304" s="822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</row>
    <row r="305" ht="15.75" customHeight="1">
      <c r="A305" s="3"/>
      <c r="B305" s="3"/>
      <c r="C305" s="3"/>
      <c r="D305" s="175"/>
      <c r="E305" s="175"/>
      <c r="F305" s="3"/>
      <c r="G305" s="3"/>
      <c r="H305" s="3"/>
      <c r="I305" s="3"/>
      <c r="J305" s="3"/>
      <c r="K305" s="3"/>
      <c r="L305" s="3"/>
      <c r="M305" s="175"/>
      <c r="N305" s="175"/>
      <c r="O305" s="822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</row>
    <row r="306" ht="15.75" customHeight="1">
      <c r="A306" s="3"/>
      <c r="B306" s="3"/>
      <c r="C306" s="3"/>
      <c r="D306" s="175"/>
      <c r="E306" s="175"/>
      <c r="F306" s="3"/>
      <c r="G306" s="3"/>
      <c r="H306" s="3"/>
      <c r="I306" s="3"/>
      <c r="J306" s="3"/>
      <c r="K306" s="3"/>
      <c r="L306" s="3"/>
      <c r="M306" s="175"/>
      <c r="N306" s="175"/>
      <c r="O306" s="822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</row>
    <row r="307" ht="15.75" customHeight="1">
      <c r="A307" s="3"/>
      <c r="B307" s="3"/>
      <c r="C307" s="3"/>
      <c r="D307" s="175"/>
      <c r="E307" s="175"/>
      <c r="F307" s="3"/>
      <c r="G307" s="3"/>
      <c r="H307" s="3"/>
      <c r="I307" s="3"/>
      <c r="J307" s="3"/>
      <c r="K307" s="3"/>
      <c r="L307" s="3"/>
      <c r="M307" s="175"/>
      <c r="N307" s="175"/>
      <c r="O307" s="822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</row>
    <row r="308" ht="15.75" customHeight="1">
      <c r="A308" s="3"/>
      <c r="B308" s="3"/>
      <c r="C308" s="3"/>
      <c r="D308" s="175"/>
      <c r="E308" s="175"/>
      <c r="F308" s="3"/>
      <c r="G308" s="3"/>
      <c r="H308" s="3"/>
      <c r="I308" s="3"/>
      <c r="J308" s="3"/>
      <c r="K308" s="3"/>
      <c r="L308" s="3"/>
      <c r="M308" s="175"/>
      <c r="N308" s="175"/>
      <c r="O308" s="822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</row>
    <row r="309" ht="15.75" customHeight="1">
      <c r="A309" s="3"/>
      <c r="B309" s="3"/>
      <c r="C309" s="3"/>
      <c r="D309" s="175"/>
      <c r="E309" s="175"/>
      <c r="F309" s="3"/>
      <c r="G309" s="3"/>
      <c r="H309" s="3"/>
      <c r="I309" s="3"/>
      <c r="J309" s="3"/>
      <c r="K309" s="3"/>
      <c r="L309" s="3"/>
      <c r="M309" s="175"/>
      <c r="N309" s="175"/>
      <c r="O309" s="822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</row>
    <row r="310" ht="15.75" customHeight="1">
      <c r="A310" s="3"/>
      <c r="B310" s="3"/>
      <c r="C310" s="3"/>
      <c r="D310" s="175"/>
      <c r="E310" s="175"/>
      <c r="F310" s="3"/>
      <c r="G310" s="3"/>
      <c r="H310" s="3"/>
      <c r="I310" s="3"/>
      <c r="J310" s="3"/>
      <c r="K310" s="3"/>
      <c r="L310" s="3"/>
      <c r="M310" s="175"/>
      <c r="N310" s="175"/>
      <c r="O310" s="822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</row>
    <row r="311" ht="15.75" customHeight="1">
      <c r="A311" s="3"/>
      <c r="B311" s="3"/>
      <c r="C311" s="3"/>
      <c r="D311" s="175"/>
      <c r="E311" s="175"/>
      <c r="F311" s="3"/>
      <c r="G311" s="3"/>
      <c r="H311" s="3"/>
      <c r="I311" s="3"/>
      <c r="J311" s="3"/>
      <c r="K311" s="3"/>
      <c r="L311" s="3"/>
      <c r="M311" s="175"/>
      <c r="N311" s="175"/>
      <c r="O311" s="822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</row>
    <row r="312" ht="15.75" customHeight="1">
      <c r="A312" s="3"/>
      <c r="B312" s="3"/>
      <c r="C312" s="3"/>
      <c r="D312" s="175"/>
      <c r="E312" s="175"/>
      <c r="F312" s="3"/>
      <c r="G312" s="3"/>
      <c r="H312" s="3"/>
      <c r="I312" s="3"/>
      <c r="J312" s="3"/>
      <c r="K312" s="3"/>
      <c r="L312" s="3"/>
      <c r="M312" s="175"/>
      <c r="N312" s="175"/>
      <c r="O312" s="822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</row>
    <row r="313" ht="15.75" customHeight="1">
      <c r="A313" s="3"/>
      <c r="B313" s="3"/>
      <c r="C313" s="3"/>
      <c r="D313" s="175"/>
      <c r="E313" s="175"/>
      <c r="F313" s="3"/>
      <c r="G313" s="3"/>
      <c r="H313" s="3"/>
      <c r="I313" s="3"/>
      <c r="J313" s="3"/>
      <c r="K313" s="3"/>
      <c r="L313" s="3"/>
      <c r="M313" s="175"/>
      <c r="N313" s="175"/>
      <c r="O313" s="822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</row>
    <row r="314" ht="15.75" customHeight="1">
      <c r="A314" s="3"/>
      <c r="B314" s="3"/>
      <c r="C314" s="3"/>
      <c r="D314" s="175"/>
      <c r="E314" s="175"/>
      <c r="F314" s="3"/>
      <c r="G314" s="3"/>
      <c r="H314" s="3"/>
      <c r="I314" s="3"/>
      <c r="J314" s="3"/>
      <c r="K314" s="3"/>
      <c r="L314" s="3"/>
      <c r="M314" s="175"/>
      <c r="N314" s="175"/>
      <c r="O314" s="822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</row>
    <row r="315" ht="15.75" customHeight="1">
      <c r="A315" s="3"/>
      <c r="B315" s="3"/>
      <c r="C315" s="3"/>
      <c r="D315" s="175"/>
      <c r="E315" s="175"/>
      <c r="F315" s="3"/>
      <c r="G315" s="3"/>
      <c r="H315" s="3"/>
      <c r="I315" s="3"/>
      <c r="J315" s="3"/>
      <c r="K315" s="3"/>
      <c r="L315" s="3"/>
      <c r="M315" s="175"/>
      <c r="N315" s="175"/>
      <c r="O315" s="822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</row>
    <row r="316" ht="15.75" customHeight="1">
      <c r="A316" s="3"/>
      <c r="B316" s="3"/>
      <c r="C316" s="3"/>
      <c r="D316" s="175"/>
      <c r="E316" s="175"/>
      <c r="F316" s="3"/>
      <c r="G316" s="3"/>
      <c r="H316" s="3"/>
      <c r="I316" s="3"/>
      <c r="J316" s="3"/>
      <c r="K316" s="3"/>
      <c r="L316" s="3"/>
      <c r="M316" s="175"/>
      <c r="N316" s="175"/>
      <c r="O316" s="822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</row>
    <row r="317" ht="15.75" customHeight="1">
      <c r="A317" s="3"/>
      <c r="B317" s="3"/>
      <c r="C317" s="3"/>
      <c r="D317" s="175"/>
      <c r="E317" s="175"/>
      <c r="F317" s="3"/>
      <c r="G317" s="3"/>
      <c r="H317" s="3"/>
      <c r="I317" s="3"/>
      <c r="J317" s="3"/>
      <c r="K317" s="3"/>
      <c r="L317" s="3"/>
      <c r="M317" s="175"/>
      <c r="N317" s="175"/>
      <c r="O317" s="822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</row>
    <row r="318" ht="15.75" customHeight="1">
      <c r="A318" s="3"/>
      <c r="B318" s="3"/>
      <c r="C318" s="3"/>
      <c r="D318" s="175"/>
      <c r="E318" s="175"/>
      <c r="F318" s="3"/>
      <c r="G318" s="3"/>
      <c r="H318" s="3"/>
      <c r="I318" s="3"/>
      <c r="J318" s="3"/>
      <c r="K318" s="3"/>
      <c r="L318" s="3"/>
      <c r="M318" s="175"/>
      <c r="N318" s="175"/>
      <c r="O318" s="822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</row>
    <row r="319" ht="15.75" customHeight="1">
      <c r="A319" s="3"/>
      <c r="B319" s="3"/>
      <c r="C319" s="3"/>
      <c r="D319" s="175"/>
      <c r="E319" s="175"/>
      <c r="F319" s="3"/>
      <c r="G319" s="3"/>
      <c r="H319" s="3"/>
      <c r="I319" s="3"/>
      <c r="J319" s="3"/>
      <c r="K319" s="3"/>
      <c r="L319" s="3"/>
      <c r="M319" s="175"/>
      <c r="N319" s="175"/>
      <c r="O319" s="822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</row>
    <row r="320" ht="15.75" customHeight="1">
      <c r="A320" s="3"/>
      <c r="B320" s="3"/>
      <c r="C320" s="3"/>
      <c r="D320" s="175"/>
      <c r="E320" s="175"/>
      <c r="F320" s="3"/>
      <c r="G320" s="3"/>
      <c r="H320" s="3"/>
      <c r="I320" s="3"/>
      <c r="J320" s="3"/>
      <c r="K320" s="3"/>
      <c r="L320" s="3"/>
      <c r="M320" s="175"/>
      <c r="N320" s="175"/>
      <c r="O320" s="822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</row>
    <row r="321" ht="15.75" customHeight="1">
      <c r="A321" s="3"/>
      <c r="B321" s="3"/>
      <c r="C321" s="3"/>
      <c r="D321" s="175"/>
      <c r="E321" s="175"/>
      <c r="F321" s="3"/>
      <c r="G321" s="3"/>
      <c r="H321" s="3"/>
      <c r="I321" s="3"/>
      <c r="J321" s="3"/>
      <c r="K321" s="3"/>
      <c r="L321" s="3"/>
      <c r="M321" s="175"/>
      <c r="N321" s="175"/>
      <c r="O321" s="822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</row>
    <row r="322" ht="15.75" customHeight="1">
      <c r="A322" s="3"/>
      <c r="B322" s="3"/>
      <c r="C322" s="3"/>
      <c r="D322" s="175"/>
      <c r="E322" s="175"/>
      <c r="F322" s="3"/>
      <c r="G322" s="3"/>
      <c r="H322" s="3"/>
      <c r="I322" s="3"/>
      <c r="J322" s="3"/>
      <c r="K322" s="3"/>
      <c r="L322" s="3"/>
      <c r="M322" s="175"/>
      <c r="N322" s="175"/>
      <c r="O322" s="822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</row>
    <row r="323" ht="15.75" customHeight="1">
      <c r="A323" s="3"/>
      <c r="B323" s="3"/>
      <c r="C323" s="3"/>
      <c r="D323" s="175"/>
      <c r="E323" s="175"/>
      <c r="F323" s="3"/>
      <c r="G323" s="3"/>
      <c r="H323" s="3"/>
      <c r="I323" s="3"/>
      <c r="J323" s="3"/>
      <c r="K323" s="3"/>
      <c r="L323" s="3"/>
      <c r="M323" s="175"/>
      <c r="N323" s="175"/>
      <c r="O323" s="822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</row>
    <row r="324" ht="15.75" customHeight="1">
      <c r="A324" s="3"/>
      <c r="B324" s="3"/>
      <c r="C324" s="3"/>
      <c r="D324" s="175"/>
      <c r="E324" s="175"/>
      <c r="F324" s="3"/>
      <c r="G324" s="3"/>
      <c r="H324" s="3"/>
      <c r="I324" s="3"/>
      <c r="J324" s="3"/>
      <c r="K324" s="3"/>
      <c r="L324" s="3"/>
      <c r="M324" s="175"/>
      <c r="N324" s="175"/>
      <c r="O324" s="822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</row>
    <row r="325" ht="15.75" customHeight="1">
      <c r="A325" s="3"/>
      <c r="B325" s="3"/>
      <c r="C325" s="3"/>
      <c r="D325" s="175"/>
      <c r="E325" s="175"/>
      <c r="F325" s="3"/>
      <c r="G325" s="3"/>
      <c r="H325" s="3"/>
      <c r="I325" s="3"/>
      <c r="J325" s="3"/>
      <c r="K325" s="3"/>
      <c r="L325" s="3"/>
      <c r="M325" s="175"/>
      <c r="N325" s="175"/>
      <c r="O325" s="822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</row>
    <row r="326" ht="15.75" customHeight="1">
      <c r="A326" s="3"/>
      <c r="B326" s="3"/>
      <c r="C326" s="3"/>
      <c r="D326" s="175"/>
      <c r="E326" s="175"/>
      <c r="F326" s="3"/>
      <c r="G326" s="3"/>
      <c r="H326" s="3"/>
      <c r="I326" s="3"/>
      <c r="J326" s="3"/>
      <c r="K326" s="3"/>
      <c r="L326" s="3"/>
      <c r="M326" s="175"/>
      <c r="N326" s="175"/>
      <c r="O326" s="822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</row>
    <row r="327" ht="15.75" customHeight="1">
      <c r="A327" s="3"/>
      <c r="B327" s="3"/>
      <c r="C327" s="3"/>
      <c r="D327" s="175"/>
      <c r="E327" s="175"/>
      <c r="F327" s="3"/>
      <c r="G327" s="3"/>
      <c r="H327" s="3"/>
      <c r="I327" s="3"/>
      <c r="J327" s="3"/>
      <c r="K327" s="3"/>
      <c r="L327" s="3"/>
      <c r="M327" s="175"/>
      <c r="N327" s="175"/>
      <c r="O327" s="822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</row>
    <row r="328" ht="15.75" customHeight="1">
      <c r="A328" s="3"/>
      <c r="B328" s="3"/>
      <c r="C328" s="3"/>
      <c r="D328" s="175"/>
      <c r="E328" s="175"/>
      <c r="F328" s="3"/>
      <c r="G328" s="3"/>
      <c r="H328" s="3"/>
      <c r="I328" s="3"/>
      <c r="J328" s="3"/>
      <c r="K328" s="3"/>
      <c r="L328" s="3"/>
      <c r="M328" s="175"/>
      <c r="N328" s="175"/>
      <c r="O328" s="822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</row>
    <row r="329" ht="15.75" customHeight="1">
      <c r="A329" s="3"/>
      <c r="B329" s="3"/>
      <c r="C329" s="3"/>
      <c r="D329" s="175"/>
      <c r="E329" s="175"/>
      <c r="F329" s="3"/>
      <c r="G329" s="3"/>
      <c r="H329" s="3"/>
      <c r="I329" s="3"/>
      <c r="J329" s="3"/>
      <c r="K329" s="3"/>
      <c r="L329" s="3"/>
      <c r="M329" s="175"/>
      <c r="N329" s="175"/>
      <c r="O329" s="822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</row>
    <row r="330" ht="15.75" customHeight="1">
      <c r="A330" s="3"/>
      <c r="B330" s="3"/>
      <c r="C330" s="3"/>
      <c r="D330" s="175"/>
      <c r="E330" s="175"/>
      <c r="F330" s="3"/>
      <c r="G330" s="3"/>
      <c r="H330" s="3"/>
      <c r="I330" s="3"/>
      <c r="J330" s="3"/>
      <c r="K330" s="3"/>
      <c r="L330" s="3"/>
      <c r="M330" s="175"/>
      <c r="N330" s="175"/>
      <c r="O330" s="822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</row>
    <row r="331" ht="15.75" customHeight="1">
      <c r="A331" s="3"/>
      <c r="B331" s="3"/>
      <c r="C331" s="3"/>
      <c r="D331" s="175"/>
      <c r="E331" s="175"/>
      <c r="F331" s="3"/>
      <c r="G331" s="3"/>
      <c r="H331" s="3"/>
      <c r="I331" s="3"/>
      <c r="J331" s="3"/>
      <c r="K331" s="3"/>
      <c r="L331" s="3"/>
      <c r="M331" s="175"/>
      <c r="N331" s="175"/>
      <c r="O331" s="822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</row>
    <row r="332" ht="15.75" customHeight="1">
      <c r="A332" s="3"/>
      <c r="B332" s="3"/>
      <c r="C332" s="3"/>
      <c r="D332" s="175"/>
      <c r="E332" s="175"/>
      <c r="F332" s="3"/>
      <c r="G332" s="3"/>
      <c r="H332" s="3"/>
      <c r="I332" s="3"/>
      <c r="J332" s="3"/>
      <c r="K332" s="3"/>
      <c r="L332" s="3"/>
      <c r="M332" s="175"/>
      <c r="N332" s="175"/>
      <c r="O332" s="822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</row>
    <row r="333" ht="15.75" customHeight="1">
      <c r="A333" s="3"/>
      <c r="B333" s="3"/>
      <c r="C333" s="3"/>
      <c r="D333" s="175"/>
      <c r="E333" s="175"/>
      <c r="F333" s="3"/>
      <c r="G333" s="3"/>
      <c r="H333" s="3"/>
      <c r="I333" s="3"/>
      <c r="J333" s="3"/>
      <c r="K333" s="3"/>
      <c r="L333" s="3"/>
      <c r="M333" s="175"/>
      <c r="N333" s="175"/>
      <c r="O333" s="822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</row>
    <row r="334" ht="15.75" customHeight="1">
      <c r="A334" s="3"/>
      <c r="B334" s="3"/>
      <c r="C334" s="3"/>
      <c r="D334" s="175"/>
      <c r="E334" s="175"/>
      <c r="F334" s="3"/>
      <c r="G334" s="3"/>
      <c r="H334" s="3"/>
      <c r="I334" s="3"/>
      <c r="J334" s="3"/>
      <c r="K334" s="3"/>
      <c r="L334" s="3"/>
      <c r="M334" s="175"/>
      <c r="N334" s="175"/>
      <c r="O334" s="822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</row>
    <row r="335" ht="15.75" customHeight="1">
      <c r="A335" s="3"/>
      <c r="B335" s="3"/>
      <c r="C335" s="3"/>
      <c r="D335" s="175"/>
      <c r="E335" s="175"/>
      <c r="F335" s="3"/>
      <c r="G335" s="3"/>
      <c r="H335" s="3"/>
      <c r="I335" s="3"/>
      <c r="J335" s="3"/>
      <c r="K335" s="3"/>
      <c r="L335" s="3"/>
      <c r="M335" s="175"/>
      <c r="N335" s="175"/>
      <c r="O335" s="822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</row>
    <row r="336" ht="15.75" customHeight="1">
      <c r="A336" s="3"/>
      <c r="B336" s="3"/>
      <c r="C336" s="3"/>
      <c r="D336" s="175"/>
      <c r="E336" s="175"/>
      <c r="F336" s="3"/>
      <c r="G336" s="3"/>
      <c r="H336" s="3"/>
      <c r="I336" s="3"/>
      <c r="J336" s="3"/>
      <c r="K336" s="3"/>
      <c r="L336" s="3"/>
      <c r="M336" s="175"/>
      <c r="N336" s="175"/>
      <c r="O336" s="822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</row>
    <row r="337" ht="15.75" customHeight="1">
      <c r="A337" s="3"/>
      <c r="B337" s="3"/>
      <c r="C337" s="3"/>
      <c r="D337" s="175"/>
      <c r="E337" s="175"/>
      <c r="F337" s="3"/>
      <c r="G337" s="3"/>
      <c r="H337" s="3"/>
      <c r="I337" s="3"/>
      <c r="J337" s="3"/>
      <c r="K337" s="3"/>
      <c r="L337" s="3"/>
      <c r="M337" s="175"/>
      <c r="N337" s="175"/>
      <c r="O337" s="822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</row>
    <row r="338" ht="15.75" customHeight="1">
      <c r="A338" s="3"/>
      <c r="B338" s="3"/>
      <c r="C338" s="3"/>
      <c r="D338" s="175"/>
      <c r="E338" s="175"/>
      <c r="F338" s="3"/>
      <c r="G338" s="3"/>
      <c r="H338" s="3"/>
      <c r="I338" s="3"/>
      <c r="J338" s="3"/>
      <c r="K338" s="3"/>
      <c r="L338" s="3"/>
      <c r="M338" s="175"/>
      <c r="N338" s="175"/>
      <c r="O338" s="822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</row>
    <row r="339" ht="15.75" customHeight="1">
      <c r="A339" s="3"/>
      <c r="B339" s="3"/>
      <c r="C339" s="3"/>
      <c r="D339" s="175"/>
      <c r="E339" s="175"/>
      <c r="F339" s="3"/>
      <c r="G339" s="3"/>
      <c r="H339" s="3"/>
      <c r="I339" s="3"/>
      <c r="J339" s="3"/>
      <c r="K339" s="3"/>
      <c r="L339" s="3"/>
      <c r="M339" s="175"/>
      <c r="N339" s="175"/>
      <c r="O339" s="822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</row>
    <row r="340" ht="15.75" customHeight="1">
      <c r="A340" s="3"/>
      <c r="B340" s="3"/>
      <c r="C340" s="3"/>
      <c r="D340" s="175"/>
      <c r="E340" s="175"/>
      <c r="F340" s="3"/>
      <c r="G340" s="3"/>
      <c r="H340" s="3"/>
      <c r="I340" s="3"/>
      <c r="J340" s="3"/>
      <c r="K340" s="3"/>
      <c r="L340" s="3"/>
      <c r="M340" s="175"/>
      <c r="N340" s="175"/>
      <c r="O340" s="822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</row>
    <row r="341" ht="15.75" customHeight="1">
      <c r="A341" s="3"/>
      <c r="B341" s="3"/>
      <c r="C341" s="3"/>
      <c r="D341" s="175"/>
      <c r="E341" s="175"/>
      <c r="F341" s="3"/>
      <c r="G341" s="3"/>
      <c r="H341" s="3"/>
      <c r="I341" s="3"/>
      <c r="J341" s="3"/>
      <c r="K341" s="3"/>
      <c r="L341" s="3"/>
      <c r="M341" s="175"/>
      <c r="N341" s="175"/>
      <c r="O341" s="822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</row>
    <row r="342" ht="15.75" customHeight="1">
      <c r="A342" s="3"/>
      <c r="B342" s="3"/>
      <c r="C342" s="3"/>
      <c r="D342" s="175"/>
      <c r="E342" s="175"/>
      <c r="F342" s="3"/>
      <c r="G342" s="3"/>
      <c r="H342" s="3"/>
      <c r="I342" s="3"/>
      <c r="J342" s="3"/>
      <c r="K342" s="3"/>
      <c r="L342" s="3"/>
      <c r="M342" s="175"/>
      <c r="N342" s="175"/>
      <c r="O342" s="822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</row>
    <row r="343" ht="15.75" customHeight="1">
      <c r="A343" s="3"/>
      <c r="B343" s="3"/>
      <c r="C343" s="3"/>
      <c r="D343" s="175"/>
      <c r="E343" s="175"/>
      <c r="F343" s="3"/>
      <c r="G343" s="3"/>
      <c r="H343" s="3"/>
      <c r="I343" s="3"/>
      <c r="J343" s="3"/>
      <c r="K343" s="3"/>
      <c r="L343" s="3"/>
      <c r="M343" s="175"/>
      <c r="N343" s="175"/>
      <c r="O343" s="822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</row>
    <row r="344" ht="15.75" customHeight="1">
      <c r="A344" s="3"/>
      <c r="B344" s="3"/>
      <c r="C344" s="3"/>
      <c r="D344" s="175"/>
      <c r="E344" s="175"/>
      <c r="F344" s="3"/>
      <c r="G344" s="3"/>
      <c r="H344" s="3"/>
      <c r="I344" s="3"/>
      <c r="J344" s="3"/>
      <c r="K344" s="3"/>
      <c r="L344" s="3"/>
      <c r="M344" s="175"/>
      <c r="N344" s="175"/>
      <c r="O344" s="822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</row>
    <row r="345" ht="15.75" customHeight="1">
      <c r="A345" s="3"/>
      <c r="B345" s="3"/>
      <c r="C345" s="3"/>
      <c r="D345" s="175"/>
      <c r="E345" s="175"/>
      <c r="F345" s="3"/>
      <c r="G345" s="3"/>
      <c r="H345" s="3"/>
      <c r="I345" s="3"/>
      <c r="J345" s="3"/>
      <c r="K345" s="3"/>
      <c r="L345" s="3"/>
      <c r="M345" s="175"/>
      <c r="N345" s="175"/>
      <c r="O345" s="822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</row>
    <row r="346" ht="15.75" customHeight="1">
      <c r="A346" s="3"/>
      <c r="B346" s="3"/>
      <c r="C346" s="3"/>
      <c r="D346" s="175"/>
      <c r="E346" s="175"/>
      <c r="F346" s="3"/>
      <c r="G346" s="3"/>
      <c r="H346" s="3"/>
      <c r="I346" s="3"/>
      <c r="J346" s="3"/>
      <c r="K346" s="3"/>
      <c r="L346" s="3"/>
      <c r="M346" s="175"/>
      <c r="N346" s="175"/>
      <c r="O346" s="822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</row>
    <row r="347" ht="15.75" customHeight="1">
      <c r="A347" s="3"/>
      <c r="B347" s="3"/>
      <c r="C347" s="3"/>
      <c r="D347" s="175"/>
      <c r="E347" s="175"/>
      <c r="F347" s="3"/>
      <c r="G347" s="3"/>
      <c r="H347" s="3"/>
      <c r="I347" s="3"/>
      <c r="J347" s="3"/>
      <c r="K347" s="3"/>
      <c r="L347" s="3"/>
      <c r="M347" s="175"/>
      <c r="N347" s="175"/>
      <c r="O347" s="822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</row>
    <row r="348" ht="15.75" customHeight="1">
      <c r="A348" s="3"/>
      <c r="B348" s="3"/>
      <c r="C348" s="3"/>
      <c r="D348" s="175"/>
      <c r="E348" s="175"/>
      <c r="F348" s="3"/>
      <c r="G348" s="3"/>
      <c r="H348" s="3"/>
      <c r="I348" s="3"/>
      <c r="J348" s="3"/>
      <c r="K348" s="3"/>
      <c r="L348" s="3"/>
      <c r="M348" s="175"/>
      <c r="N348" s="175"/>
      <c r="O348" s="822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</row>
    <row r="349" ht="15.75" customHeight="1">
      <c r="A349" s="3"/>
      <c r="B349" s="3"/>
      <c r="C349" s="3"/>
      <c r="D349" s="175"/>
      <c r="E349" s="175"/>
      <c r="F349" s="3"/>
      <c r="G349" s="3"/>
      <c r="H349" s="3"/>
      <c r="I349" s="3"/>
      <c r="J349" s="3"/>
      <c r="K349" s="3"/>
      <c r="L349" s="3"/>
      <c r="M349" s="175"/>
      <c r="N349" s="175"/>
      <c r="O349" s="822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</row>
  </sheetData>
  <mergeCells count="3">
    <mergeCell ref="B4:B5"/>
    <mergeCell ref="C4:C5"/>
    <mergeCell ref="B83:C83"/>
  </mergeCells>
  <printOptions/>
  <pageMargins bottom="0.75" footer="0.0" header="0.0" left="0.7" right="0.7" top="0.75"/>
  <pageSetup orientation="landscape"/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0"/>
  <cols>
    <col customWidth="1" min="1" max="1" width="5.63"/>
    <col customWidth="1" min="2" max="2" width="9.75"/>
    <col customWidth="1" min="3" max="3" width="35.88"/>
    <col customWidth="1" min="4" max="4" width="12.63"/>
    <col customWidth="1" hidden="1" min="5" max="5" width="9.63"/>
    <col customWidth="1" hidden="1" min="6" max="6" width="12.63"/>
    <col customWidth="1" hidden="1" min="7" max="7" width="8.88"/>
    <col hidden="1" min="8" max="9" width="12.63"/>
    <col customWidth="1" hidden="1" min="11" max="11" width="9.63"/>
    <col customWidth="1" hidden="1" min="12" max="12" width="12.38"/>
    <col customWidth="1" hidden="1" min="13" max="13" width="6.63"/>
    <col hidden="1" min="14" max="15" width="12.63"/>
    <col customWidth="1" hidden="1" min="17" max="17" width="8.88"/>
    <col hidden="1" min="18" max="18" width="12.63"/>
    <col customWidth="1" hidden="1" min="19" max="19" width="6.63"/>
    <col customWidth="1" hidden="1" min="20" max="20" width="7.88"/>
    <col customWidth="1" hidden="1" min="21" max="21" width="12.63"/>
    <col customWidth="1" min="22" max="22" width="10.75"/>
    <col customWidth="1" hidden="1" min="23" max="23" width="8.88"/>
    <col customWidth="1" hidden="1" min="24" max="24" width="12.38"/>
    <col hidden="1" min="25" max="27" width="12.63"/>
    <col customWidth="1" min="28" max="28" width="10.75"/>
    <col customWidth="1" hidden="1" min="29" max="29" width="8.88"/>
    <col hidden="1" min="30" max="33" width="12.63"/>
    <col customWidth="1" min="34" max="34" width="10.88"/>
    <col customWidth="1" hidden="1" min="35" max="35" width="7.63"/>
    <col customWidth="1" hidden="1" min="36" max="36" width="12.38"/>
    <col hidden="1" min="37" max="39" width="12.63"/>
    <col customWidth="1" min="40" max="40" width="9.75"/>
    <col customWidth="1" hidden="1" min="41" max="41" width="8.88"/>
    <col hidden="1" min="42" max="45" width="12.63"/>
    <col customWidth="1" min="46" max="46" width="9.75"/>
    <col customWidth="1" hidden="1" min="47" max="47" width="8.0"/>
    <col customWidth="1" hidden="1" min="48" max="48" width="11.0"/>
    <col hidden="1" min="49" max="51" width="12.63"/>
    <col customWidth="1" min="52" max="52" width="10.88"/>
    <col customWidth="1" hidden="1" min="53" max="53" width="8.88"/>
    <col customWidth="1" hidden="1" min="54" max="54" width="13.13"/>
    <col hidden="1" min="55" max="57" width="12.63"/>
    <col customWidth="1" min="58" max="58" width="9.75"/>
    <col customWidth="1" hidden="1" min="59" max="59" width="5.38"/>
    <col customWidth="1" hidden="1" min="60" max="60" width="13.13"/>
    <col hidden="1" min="61" max="63" width="12.63"/>
    <col customWidth="1" min="64" max="64" width="10.75"/>
    <col customWidth="1" hidden="1" min="65" max="65" width="5.38"/>
    <col customWidth="1" hidden="1" min="66" max="66" width="13.13"/>
    <col customWidth="1" hidden="1" min="67" max="69" width="12.63"/>
    <col customWidth="1" min="70" max="70" width="13.13"/>
    <col customWidth="1" hidden="1" min="71" max="71" width="12.63"/>
    <col customWidth="1" hidden="1" min="72" max="72" width="13.13"/>
    <col customWidth="1" hidden="1" min="73" max="75" width="12.63"/>
    <col customWidth="1" min="76" max="95" width="12.63"/>
  </cols>
  <sheetData>
    <row r="1" ht="15.75" customHeight="1">
      <c r="A1" s="213"/>
      <c r="B1" s="214" t="s">
        <v>1</v>
      </c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238"/>
      <c r="R1" s="213"/>
      <c r="S1" s="213"/>
      <c r="T1" s="213"/>
      <c r="U1" s="213"/>
      <c r="V1" s="213"/>
      <c r="W1" s="213"/>
      <c r="X1" s="215"/>
      <c r="Y1" s="213"/>
      <c r="Z1" s="213"/>
      <c r="AA1" s="213"/>
      <c r="AB1" s="213"/>
      <c r="AC1" s="213"/>
      <c r="AD1" s="215"/>
      <c r="AE1" s="213"/>
      <c r="AF1" s="213"/>
      <c r="AG1" s="213"/>
      <c r="AH1" s="213"/>
      <c r="AI1" s="213"/>
      <c r="AJ1" s="215"/>
      <c r="AK1" s="213"/>
      <c r="AL1" s="213"/>
      <c r="AM1" s="213"/>
      <c r="AN1" s="213"/>
      <c r="AO1" s="213"/>
      <c r="AP1" s="215"/>
      <c r="AQ1" s="213"/>
      <c r="AR1" s="213"/>
      <c r="AS1" s="213"/>
      <c r="AT1" s="213"/>
      <c r="AU1" s="213"/>
      <c r="AV1" s="215"/>
      <c r="AW1" s="213"/>
      <c r="AX1" s="213"/>
      <c r="AY1" s="213"/>
      <c r="AZ1" s="213"/>
      <c r="BA1" s="213"/>
      <c r="BB1" s="215"/>
      <c r="BC1" s="213"/>
      <c r="BD1" s="213"/>
      <c r="BE1" s="213"/>
      <c r="BF1" s="213"/>
      <c r="BG1" s="213"/>
      <c r="BH1" s="215"/>
      <c r="BI1" s="213"/>
      <c r="BJ1" s="213"/>
      <c r="BK1" s="213"/>
      <c r="BL1" s="215"/>
      <c r="BM1" s="213"/>
      <c r="BN1" s="213"/>
      <c r="BO1" s="213"/>
      <c r="BP1" s="213"/>
      <c r="BQ1" s="213"/>
      <c r="BR1" s="326"/>
      <c r="BS1" s="213"/>
      <c r="BT1" s="215"/>
      <c r="BU1" s="213"/>
      <c r="BV1" s="213"/>
      <c r="BW1" s="213"/>
      <c r="BX1" s="213"/>
      <c r="BY1" s="213"/>
      <c r="BZ1" s="213"/>
      <c r="CA1" s="213"/>
      <c r="CB1" s="213"/>
      <c r="CC1" s="213"/>
      <c r="CD1" s="213"/>
      <c r="CE1" s="213"/>
      <c r="CF1" s="213"/>
      <c r="CG1" s="213"/>
      <c r="CH1" s="213"/>
      <c r="CI1" s="213"/>
      <c r="CJ1" s="213"/>
      <c r="CK1" s="213"/>
      <c r="CL1" s="213"/>
      <c r="CM1" s="213"/>
      <c r="CN1" s="213"/>
      <c r="CO1" s="213"/>
      <c r="CP1" s="213"/>
      <c r="CQ1" s="213"/>
    </row>
    <row r="2" ht="15.75" customHeight="1">
      <c r="A2" s="213"/>
      <c r="B2" s="216" t="s">
        <v>426</v>
      </c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38"/>
      <c r="R2" s="213"/>
      <c r="S2" s="213"/>
      <c r="T2" s="213"/>
      <c r="U2" s="213"/>
      <c r="V2" s="213"/>
      <c r="W2" s="213"/>
      <c r="X2" s="215"/>
      <c r="Y2" s="213"/>
      <c r="Z2" s="213"/>
      <c r="AA2" s="213"/>
      <c r="AB2" s="213"/>
      <c r="AC2" s="213"/>
      <c r="AD2" s="215"/>
      <c r="AE2" s="213"/>
      <c r="AF2" s="213"/>
      <c r="AG2" s="213"/>
      <c r="AH2" s="213"/>
      <c r="AI2" s="213"/>
      <c r="AJ2" s="215"/>
      <c r="AK2" s="213"/>
      <c r="AL2" s="213"/>
      <c r="AM2" s="213"/>
      <c r="AN2" s="213"/>
      <c r="AO2" s="213"/>
      <c r="AP2" s="215"/>
      <c r="AQ2" s="213"/>
      <c r="AR2" s="213"/>
      <c r="AS2" s="213"/>
      <c r="AT2" s="213"/>
      <c r="AU2" s="213"/>
      <c r="AV2" s="215"/>
      <c r="AW2" s="213"/>
      <c r="AX2" s="213"/>
      <c r="AY2" s="213"/>
      <c r="AZ2" s="213"/>
      <c r="BA2" s="213"/>
      <c r="BB2" s="215"/>
      <c r="BC2" s="213"/>
      <c r="BD2" s="213"/>
      <c r="BE2" s="213"/>
      <c r="BF2" s="213"/>
      <c r="BG2" s="213"/>
      <c r="BH2" s="215"/>
      <c r="BI2" s="213"/>
      <c r="BJ2" s="213"/>
      <c r="BK2" s="213"/>
      <c r="BL2" s="215"/>
      <c r="BM2" s="213"/>
      <c r="BN2" s="213"/>
      <c r="BO2" s="213"/>
      <c r="BP2" s="213"/>
      <c r="BQ2" s="213"/>
      <c r="BR2" s="326"/>
      <c r="BS2" s="213"/>
      <c r="BT2" s="215"/>
      <c r="BU2" s="213"/>
      <c r="BV2" s="213"/>
      <c r="BW2" s="213"/>
      <c r="BX2" s="213"/>
      <c r="BY2" s="213"/>
      <c r="BZ2" s="213"/>
      <c r="CA2" s="213"/>
      <c r="CB2" s="213"/>
      <c r="CC2" s="213"/>
      <c r="CD2" s="213"/>
      <c r="CE2" s="213"/>
      <c r="CF2" s="213"/>
      <c r="CG2" s="213"/>
      <c r="CH2" s="213"/>
      <c r="CI2" s="213"/>
      <c r="CJ2" s="213"/>
      <c r="CK2" s="213"/>
      <c r="CL2" s="213"/>
      <c r="CM2" s="213"/>
      <c r="CN2" s="213"/>
      <c r="CO2" s="213"/>
      <c r="CP2" s="213"/>
      <c r="CQ2" s="213"/>
    </row>
    <row r="3" ht="15.75" customHeight="1">
      <c r="A3" s="213"/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38"/>
      <c r="R3" s="213"/>
      <c r="S3" s="213"/>
      <c r="T3" s="213"/>
      <c r="U3" s="213"/>
      <c r="V3" s="213"/>
      <c r="W3" s="213"/>
      <c r="X3" s="215"/>
      <c r="Y3" s="213"/>
      <c r="Z3" s="213"/>
      <c r="AA3" s="213"/>
      <c r="AB3" s="213"/>
      <c r="AC3" s="213"/>
      <c r="AD3" s="215"/>
      <c r="AE3" s="213"/>
      <c r="AF3" s="213"/>
      <c r="AG3" s="213"/>
      <c r="AH3" s="213"/>
      <c r="AI3" s="213"/>
      <c r="AJ3" s="215"/>
      <c r="AK3" s="213"/>
      <c r="AL3" s="213"/>
      <c r="AM3" s="213"/>
      <c r="AN3" s="213"/>
      <c r="AO3" s="213"/>
      <c r="AP3" s="215"/>
      <c r="AQ3" s="213"/>
      <c r="AR3" s="213"/>
      <c r="AS3" s="213"/>
      <c r="AT3" s="213"/>
      <c r="AU3" s="213"/>
      <c r="AV3" s="215"/>
      <c r="AW3" s="213"/>
      <c r="AX3" s="213"/>
      <c r="AY3" s="213"/>
      <c r="AZ3" s="213"/>
      <c r="BA3" s="213"/>
      <c r="BB3" s="215"/>
      <c r="BC3" s="213"/>
      <c r="BD3" s="213"/>
      <c r="BE3" s="213"/>
      <c r="BF3" s="213"/>
      <c r="BG3" s="213"/>
      <c r="BH3" s="215"/>
      <c r="BI3" s="213"/>
      <c r="BJ3" s="213"/>
      <c r="BK3" s="213"/>
      <c r="BL3" s="215"/>
      <c r="BM3" s="213"/>
      <c r="BN3" s="213"/>
      <c r="BO3" s="213"/>
      <c r="BP3" s="213"/>
      <c r="BQ3" s="213"/>
      <c r="BR3" s="326"/>
      <c r="BS3" s="213"/>
      <c r="BT3" s="215"/>
      <c r="BU3" s="213"/>
      <c r="BV3" s="213"/>
      <c r="BW3" s="213"/>
      <c r="BX3" s="213"/>
      <c r="BY3" s="213"/>
      <c r="BZ3" s="213"/>
      <c r="CA3" s="213"/>
      <c r="CB3" s="213"/>
      <c r="CC3" s="213"/>
      <c r="CD3" s="213"/>
      <c r="CE3" s="213"/>
      <c r="CF3" s="213"/>
      <c r="CG3" s="213"/>
      <c r="CH3" s="213"/>
      <c r="CI3" s="213"/>
      <c r="CJ3" s="213"/>
      <c r="CK3" s="213"/>
      <c r="CL3" s="213"/>
      <c r="CM3" s="213"/>
      <c r="CN3" s="213"/>
      <c r="CO3" s="213"/>
      <c r="CP3" s="213"/>
      <c r="CQ3" s="213"/>
    </row>
    <row r="4" ht="15.75" customHeight="1">
      <c r="A4" s="213"/>
      <c r="B4" s="696" t="s">
        <v>201</v>
      </c>
      <c r="C4" s="697" t="s">
        <v>47</v>
      </c>
      <c r="D4" s="456" t="s">
        <v>202</v>
      </c>
      <c r="E4" s="11"/>
      <c r="F4" s="11"/>
      <c r="G4" s="11"/>
      <c r="H4" s="11"/>
      <c r="I4" s="14"/>
      <c r="J4" s="456" t="s">
        <v>203</v>
      </c>
      <c r="K4" s="11"/>
      <c r="L4" s="11"/>
      <c r="M4" s="11"/>
      <c r="N4" s="11"/>
      <c r="O4" s="14"/>
      <c r="P4" s="456" t="s">
        <v>204</v>
      </c>
      <c r="Q4" s="11"/>
      <c r="R4" s="11"/>
      <c r="S4" s="11"/>
      <c r="T4" s="11"/>
      <c r="U4" s="14"/>
      <c r="V4" s="456" t="s">
        <v>205</v>
      </c>
      <c r="W4" s="11"/>
      <c r="X4" s="11"/>
      <c r="Y4" s="11"/>
      <c r="Z4" s="11"/>
      <c r="AA4" s="14"/>
      <c r="AB4" s="456" t="s">
        <v>206</v>
      </c>
      <c r="AC4" s="11"/>
      <c r="AD4" s="11"/>
      <c r="AE4" s="11"/>
      <c r="AF4" s="11"/>
      <c r="AG4" s="14"/>
      <c r="AH4" s="456" t="s">
        <v>207</v>
      </c>
      <c r="AI4" s="11"/>
      <c r="AJ4" s="11"/>
      <c r="AK4" s="11"/>
      <c r="AL4" s="11"/>
      <c r="AM4" s="14"/>
      <c r="AN4" s="456" t="s">
        <v>208</v>
      </c>
      <c r="AO4" s="11"/>
      <c r="AP4" s="11"/>
      <c r="AQ4" s="11"/>
      <c r="AR4" s="11"/>
      <c r="AS4" s="14"/>
      <c r="AT4" s="781" t="s">
        <v>209</v>
      </c>
      <c r="AU4" s="11"/>
      <c r="AV4" s="11"/>
      <c r="AW4" s="11"/>
      <c r="AX4" s="11"/>
      <c r="AY4" s="298"/>
      <c r="AZ4" s="782" t="s">
        <v>210</v>
      </c>
      <c r="BA4" s="11"/>
      <c r="BB4" s="11"/>
      <c r="BC4" s="11"/>
      <c r="BD4" s="11"/>
      <c r="BE4" s="298"/>
      <c r="BF4" s="782" t="s">
        <v>211</v>
      </c>
      <c r="BG4" s="11"/>
      <c r="BH4" s="11"/>
      <c r="BI4" s="11"/>
      <c r="BJ4" s="11"/>
      <c r="BK4" s="298"/>
      <c r="BL4" s="782" t="s">
        <v>212</v>
      </c>
      <c r="BM4" s="11"/>
      <c r="BN4" s="11"/>
      <c r="BO4" s="11"/>
      <c r="BP4" s="11"/>
      <c r="BQ4" s="298"/>
      <c r="BR4" s="783" t="s">
        <v>213</v>
      </c>
      <c r="BS4" s="11"/>
      <c r="BT4" s="11"/>
      <c r="BU4" s="11"/>
      <c r="BV4" s="11"/>
      <c r="BW4" s="14"/>
      <c r="BX4" s="334"/>
      <c r="BY4" s="334"/>
      <c r="BZ4" s="334"/>
      <c r="CA4" s="334"/>
      <c r="CB4" s="334"/>
      <c r="CC4" s="334"/>
      <c r="CD4" s="334"/>
      <c r="CE4" s="334"/>
      <c r="CF4" s="334"/>
      <c r="CG4" s="334"/>
      <c r="CH4" s="334"/>
      <c r="CI4" s="334"/>
      <c r="CJ4" s="334"/>
      <c r="CK4" s="334"/>
      <c r="CL4" s="334"/>
      <c r="CM4" s="334"/>
      <c r="CN4" s="334"/>
      <c r="CO4" s="334"/>
      <c r="CP4" s="334"/>
      <c r="CQ4" s="334"/>
    </row>
    <row r="5" ht="15.75" customHeight="1">
      <c r="A5" s="463"/>
      <c r="B5" s="566"/>
      <c r="C5" s="567"/>
      <c r="D5" s="467" t="s">
        <v>215</v>
      </c>
      <c r="E5" s="468" t="s">
        <v>19</v>
      </c>
      <c r="F5" s="468" t="s">
        <v>216</v>
      </c>
      <c r="G5" s="468" t="s">
        <v>19</v>
      </c>
      <c r="H5" s="468" t="s">
        <v>217</v>
      </c>
      <c r="I5" s="469" t="s">
        <v>218</v>
      </c>
      <c r="J5" s="467" t="s">
        <v>215</v>
      </c>
      <c r="K5" s="468" t="s">
        <v>19</v>
      </c>
      <c r="L5" s="468" t="s">
        <v>216</v>
      </c>
      <c r="M5" s="468" t="s">
        <v>19</v>
      </c>
      <c r="N5" s="468" t="s">
        <v>217</v>
      </c>
      <c r="O5" s="469" t="s">
        <v>218</v>
      </c>
      <c r="P5" s="467" t="s">
        <v>215</v>
      </c>
      <c r="Q5" s="468" t="s">
        <v>19</v>
      </c>
      <c r="R5" s="468" t="s">
        <v>216</v>
      </c>
      <c r="S5" s="468" t="s">
        <v>19</v>
      </c>
      <c r="T5" s="468" t="s">
        <v>217</v>
      </c>
      <c r="U5" s="469" t="s">
        <v>218</v>
      </c>
      <c r="V5" s="467" t="s">
        <v>215</v>
      </c>
      <c r="W5" s="468" t="s">
        <v>19</v>
      </c>
      <c r="X5" s="900" t="s">
        <v>216</v>
      </c>
      <c r="Y5" s="468" t="s">
        <v>19</v>
      </c>
      <c r="Z5" s="468" t="s">
        <v>217</v>
      </c>
      <c r="AA5" s="469" t="s">
        <v>218</v>
      </c>
      <c r="AB5" s="467" t="s">
        <v>215</v>
      </c>
      <c r="AC5" s="468" t="s">
        <v>19</v>
      </c>
      <c r="AD5" s="900" t="s">
        <v>216</v>
      </c>
      <c r="AE5" s="468" t="s">
        <v>19</v>
      </c>
      <c r="AF5" s="468" t="s">
        <v>217</v>
      </c>
      <c r="AG5" s="469" t="s">
        <v>218</v>
      </c>
      <c r="AH5" s="467" t="s">
        <v>215</v>
      </c>
      <c r="AI5" s="468" t="s">
        <v>19</v>
      </c>
      <c r="AJ5" s="900" t="s">
        <v>216</v>
      </c>
      <c r="AK5" s="468" t="s">
        <v>19</v>
      </c>
      <c r="AL5" s="468" t="s">
        <v>217</v>
      </c>
      <c r="AM5" s="469" t="s">
        <v>218</v>
      </c>
      <c r="AN5" s="467" t="s">
        <v>215</v>
      </c>
      <c r="AO5" s="468" t="s">
        <v>19</v>
      </c>
      <c r="AP5" s="900" t="s">
        <v>216</v>
      </c>
      <c r="AQ5" s="468" t="s">
        <v>19</v>
      </c>
      <c r="AR5" s="468" t="s">
        <v>217</v>
      </c>
      <c r="AS5" s="469" t="s">
        <v>218</v>
      </c>
      <c r="AT5" s="901" t="s">
        <v>215</v>
      </c>
      <c r="AU5" s="468" t="s">
        <v>19</v>
      </c>
      <c r="AV5" s="900" t="s">
        <v>216</v>
      </c>
      <c r="AW5" s="468" t="s">
        <v>19</v>
      </c>
      <c r="AX5" s="468" t="s">
        <v>217</v>
      </c>
      <c r="AY5" s="468" t="s">
        <v>218</v>
      </c>
      <c r="AZ5" s="468" t="s">
        <v>215</v>
      </c>
      <c r="BA5" s="468" t="s">
        <v>19</v>
      </c>
      <c r="BB5" s="900" t="s">
        <v>216</v>
      </c>
      <c r="BC5" s="468" t="s">
        <v>19</v>
      </c>
      <c r="BD5" s="468" t="s">
        <v>217</v>
      </c>
      <c r="BE5" s="468" t="s">
        <v>218</v>
      </c>
      <c r="BF5" s="468" t="s">
        <v>215</v>
      </c>
      <c r="BG5" s="468" t="s">
        <v>19</v>
      </c>
      <c r="BH5" s="900" t="s">
        <v>216</v>
      </c>
      <c r="BI5" s="468" t="s">
        <v>19</v>
      </c>
      <c r="BJ5" s="468" t="s">
        <v>217</v>
      </c>
      <c r="BK5" s="468" t="s">
        <v>218</v>
      </c>
      <c r="BL5" s="900" t="s">
        <v>215</v>
      </c>
      <c r="BM5" s="468" t="s">
        <v>19</v>
      </c>
      <c r="BN5" s="468" t="s">
        <v>216</v>
      </c>
      <c r="BO5" s="468" t="s">
        <v>19</v>
      </c>
      <c r="BP5" s="468" t="s">
        <v>217</v>
      </c>
      <c r="BQ5" s="468" t="s">
        <v>218</v>
      </c>
      <c r="BR5" s="902" t="s">
        <v>215</v>
      </c>
      <c r="BS5" s="472" t="s">
        <v>19</v>
      </c>
      <c r="BT5" s="902" t="s">
        <v>216</v>
      </c>
      <c r="BU5" s="472" t="s">
        <v>19</v>
      </c>
      <c r="BV5" s="472" t="s">
        <v>217</v>
      </c>
      <c r="BW5" s="473" t="s">
        <v>218</v>
      </c>
      <c r="BX5" s="474"/>
      <c r="BY5" s="474"/>
      <c r="BZ5" s="474"/>
      <c r="CA5" s="474"/>
      <c r="CB5" s="474"/>
      <c r="CC5" s="474"/>
      <c r="CD5" s="474"/>
      <c r="CE5" s="474"/>
      <c r="CF5" s="474"/>
      <c r="CG5" s="474"/>
      <c r="CH5" s="474"/>
      <c r="CI5" s="474"/>
      <c r="CJ5" s="474"/>
      <c r="CK5" s="474"/>
      <c r="CL5" s="474"/>
      <c r="CM5" s="474"/>
      <c r="CN5" s="474"/>
      <c r="CO5" s="474"/>
      <c r="CP5" s="474"/>
      <c r="CQ5" s="474"/>
    </row>
    <row r="6" ht="15.75" hidden="1" customHeight="1">
      <c r="A6" s="213"/>
      <c r="B6" s="903"/>
      <c r="C6" s="904" t="s">
        <v>85</v>
      </c>
      <c r="D6" s="905">
        <v>0.0</v>
      </c>
      <c r="E6" s="906"/>
      <c r="F6" s="907"/>
      <c r="G6" s="906"/>
      <c r="H6" s="907"/>
      <c r="I6" s="908"/>
      <c r="J6" s="905">
        <v>0.0</v>
      </c>
      <c r="K6" s="909"/>
      <c r="L6" s="910"/>
      <c r="M6" s="906"/>
      <c r="N6" s="907"/>
      <c r="O6" s="908"/>
      <c r="P6" s="905"/>
      <c r="Q6" s="906"/>
      <c r="R6" s="907"/>
      <c r="S6" s="906"/>
      <c r="T6" s="907"/>
      <c r="U6" s="908"/>
      <c r="V6" s="905"/>
      <c r="W6" s="906"/>
      <c r="X6" s="911"/>
      <c r="Y6" s="906"/>
      <c r="Z6" s="907"/>
      <c r="AA6" s="908"/>
      <c r="AB6" s="905"/>
      <c r="AC6" s="906"/>
      <c r="AD6" s="911"/>
      <c r="AE6" s="906"/>
      <c r="AF6" s="907"/>
      <c r="AG6" s="908"/>
      <c r="AH6" s="905"/>
      <c r="AI6" s="906"/>
      <c r="AJ6" s="911"/>
      <c r="AK6" s="906"/>
      <c r="AL6" s="907"/>
      <c r="AM6" s="908"/>
      <c r="AN6" s="905"/>
      <c r="AO6" s="906"/>
      <c r="AP6" s="911"/>
      <c r="AQ6" s="906"/>
      <c r="AR6" s="907"/>
      <c r="AS6" s="908"/>
      <c r="AT6" s="912"/>
      <c r="AU6" s="906"/>
      <c r="AV6" s="911"/>
      <c r="AW6" s="906"/>
      <c r="AX6" s="907"/>
      <c r="AY6" s="906"/>
      <c r="AZ6" s="907"/>
      <c r="BA6" s="906"/>
      <c r="BB6" s="911"/>
      <c r="BC6" s="906"/>
      <c r="BD6" s="907"/>
      <c r="BE6" s="906"/>
      <c r="BF6" s="907"/>
      <c r="BG6" s="906"/>
      <c r="BH6" s="911"/>
      <c r="BI6" s="906"/>
      <c r="BJ6" s="907"/>
      <c r="BK6" s="906"/>
      <c r="BL6" s="911"/>
      <c r="BM6" s="906"/>
      <c r="BN6" s="907"/>
      <c r="BO6" s="906"/>
      <c r="BP6" s="907"/>
      <c r="BQ6" s="906"/>
      <c r="BR6" s="788"/>
      <c r="BS6" s="906"/>
      <c r="BT6" s="911"/>
      <c r="BU6" s="906"/>
      <c r="BV6" s="907"/>
      <c r="BW6" s="908"/>
      <c r="BX6" s="213"/>
      <c r="BY6" s="213"/>
      <c r="BZ6" s="213"/>
      <c r="CA6" s="213"/>
      <c r="CB6" s="213"/>
      <c r="CC6" s="213"/>
      <c r="CD6" s="213"/>
      <c r="CE6" s="213"/>
      <c r="CF6" s="213"/>
      <c r="CG6" s="213"/>
      <c r="CH6" s="213"/>
      <c r="CI6" s="213"/>
      <c r="CJ6" s="213"/>
      <c r="CK6" s="213"/>
      <c r="CL6" s="213"/>
      <c r="CM6" s="213"/>
      <c r="CN6" s="213"/>
      <c r="CO6" s="213"/>
      <c r="CP6" s="213"/>
      <c r="CQ6" s="213"/>
    </row>
    <row r="7" ht="15.75" hidden="1" customHeight="1">
      <c r="A7" s="213"/>
      <c r="B7" s="913"/>
      <c r="C7" s="914" t="s">
        <v>92</v>
      </c>
      <c r="D7" s="915">
        <v>0.0</v>
      </c>
      <c r="E7" s="916"/>
      <c r="F7" s="917"/>
      <c r="G7" s="916"/>
      <c r="H7" s="917"/>
      <c r="I7" s="918"/>
      <c r="J7" s="915">
        <v>0.0</v>
      </c>
      <c r="K7" s="919"/>
      <c r="L7" s="920"/>
      <c r="M7" s="916"/>
      <c r="N7" s="917"/>
      <c r="O7" s="918"/>
      <c r="P7" s="915"/>
      <c r="Q7" s="916"/>
      <c r="R7" s="917"/>
      <c r="S7" s="916"/>
      <c r="T7" s="917"/>
      <c r="U7" s="918"/>
      <c r="V7" s="915"/>
      <c r="W7" s="916"/>
      <c r="X7" s="921"/>
      <c r="Y7" s="916"/>
      <c r="Z7" s="917"/>
      <c r="AA7" s="918"/>
      <c r="AB7" s="915"/>
      <c r="AC7" s="916"/>
      <c r="AD7" s="921"/>
      <c r="AE7" s="916"/>
      <c r="AF7" s="917"/>
      <c r="AG7" s="918"/>
      <c r="AH7" s="915"/>
      <c r="AI7" s="916"/>
      <c r="AJ7" s="921"/>
      <c r="AK7" s="916"/>
      <c r="AL7" s="917"/>
      <c r="AM7" s="918"/>
      <c r="AN7" s="915"/>
      <c r="AO7" s="916"/>
      <c r="AP7" s="921"/>
      <c r="AQ7" s="916"/>
      <c r="AR7" s="917"/>
      <c r="AS7" s="918"/>
      <c r="AT7" s="922"/>
      <c r="AU7" s="916"/>
      <c r="AV7" s="921"/>
      <c r="AW7" s="916"/>
      <c r="AX7" s="917"/>
      <c r="AY7" s="916"/>
      <c r="AZ7" s="917"/>
      <c r="BA7" s="916"/>
      <c r="BB7" s="921"/>
      <c r="BC7" s="916"/>
      <c r="BD7" s="917"/>
      <c r="BE7" s="916"/>
      <c r="BF7" s="917"/>
      <c r="BG7" s="916"/>
      <c r="BH7" s="921"/>
      <c r="BI7" s="916"/>
      <c r="BJ7" s="917"/>
      <c r="BK7" s="916"/>
      <c r="BL7" s="921"/>
      <c r="BM7" s="916"/>
      <c r="BN7" s="917"/>
      <c r="BO7" s="916"/>
      <c r="BP7" s="917"/>
      <c r="BQ7" s="916"/>
      <c r="BR7" s="353"/>
      <c r="BS7" s="916"/>
      <c r="BT7" s="921"/>
      <c r="BU7" s="916"/>
      <c r="BV7" s="917"/>
      <c r="BW7" s="918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</row>
    <row r="8" ht="15.75" hidden="1" customHeight="1">
      <c r="A8" s="213"/>
      <c r="B8" s="913"/>
      <c r="C8" s="914" t="s">
        <v>99</v>
      </c>
      <c r="D8" s="915">
        <f>D17+D24+D25+D28</f>
        <v>299321</v>
      </c>
      <c r="E8" s="916"/>
      <c r="F8" s="917"/>
      <c r="G8" s="916"/>
      <c r="H8" s="917"/>
      <c r="I8" s="918"/>
      <c r="J8" s="915">
        <f>J17+J24+J25+J28</f>
        <v>334282</v>
      </c>
      <c r="K8" s="919">
        <f t="shared" ref="K8:K9" si="1">(J8-D8)/D8</f>
        <v>0.1168010263</v>
      </c>
      <c r="L8" s="920"/>
      <c r="M8" s="916"/>
      <c r="N8" s="917"/>
      <c r="O8" s="918"/>
      <c r="P8" s="915"/>
      <c r="Q8" s="916"/>
      <c r="R8" s="917"/>
      <c r="S8" s="916"/>
      <c r="T8" s="917"/>
      <c r="U8" s="918"/>
      <c r="V8" s="915"/>
      <c r="W8" s="916"/>
      <c r="X8" s="921"/>
      <c r="Y8" s="916"/>
      <c r="Z8" s="917"/>
      <c r="AA8" s="918"/>
      <c r="AB8" s="915"/>
      <c r="AC8" s="916"/>
      <c r="AD8" s="921"/>
      <c r="AE8" s="916"/>
      <c r="AF8" s="917"/>
      <c r="AG8" s="918"/>
      <c r="AH8" s="915"/>
      <c r="AI8" s="916"/>
      <c r="AJ8" s="921"/>
      <c r="AK8" s="916"/>
      <c r="AL8" s="917"/>
      <c r="AM8" s="918"/>
      <c r="AN8" s="915"/>
      <c r="AO8" s="916"/>
      <c r="AP8" s="921"/>
      <c r="AQ8" s="916"/>
      <c r="AR8" s="917"/>
      <c r="AS8" s="918"/>
      <c r="AT8" s="922"/>
      <c r="AU8" s="916"/>
      <c r="AV8" s="921"/>
      <c r="AW8" s="916"/>
      <c r="AX8" s="917"/>
      <c r="AY8" s="916"/>
      <c r="AZ8" s="917"/>
      <c r="BA8" s="916"/>
      <c r="BB8" s="921"/>
      <c r="BC8" s="916"/>
      <c r="BD8" s="917"/>
      <c r="BE8" s="916"/>
      <c r="BF8" s="917"/>
      <c r="BG8" s="916"/>
      <c r="BH8" s="921"/>
      <c r="BI8" s="916"/>
      <c r="BJ8" s="917"/>
      <c r="BK8" s="916"/>
      <c r="BL8" s="921"/>
      <c r="BM8" s="916"/>
      <c r="BN8" s="917"/>
      <c r="BO8" s="916"/>
      <c r="BP8" s="917"/>
      <c r="BQ8" s="916"/>
      <c r="BR8" s="353"/>
      <c r="BS8" s="916"/>
      <c r="BT8" s="921"/>
      <c r="BU8" s="916"/>
      <c r="BV8" s="917"/>
      <c r="BW8" s="918"/>
      <c r="BX8" s="213"/>
      <c r="BY8" s="213"/>
      <c r="BZ8" s="213"/>
      <c r="CA8" s="213"/>
      <c r="CB8" s="213"/>
      <c r="CC8" s="213"/>
      <c r="CD8" s="213"/>
      <c r="CE8" s="213"/>
      <c r="CF8" s="213"/>
      <c r="CG8" s="213"/>
      <c r="CH8" s="213"/>
      <c r="CI8" s="213"/>
      <c r="CJ8" s="213"/>
      <c r="CK8" s="213"/>
      <c r="CL8" s="213"/>
      <c r="CM8" s="213"/>
      <c r="CN8" s="213"/>
      <c r="CO8" s="213"/>
      <c r="CP8" s="213"/>
      <c r="CQ8" s="213"/>
    </row>
    <row r="9" ht="15.75" hidden="1" customHeight="1">
      <c r="A9" s="213"/>
      <c r="B9" s="913"/>
      <c r="C9" s="914" t="s">
        <v>106</v>
      </c>
      <c r="D9" s="915">
        <f>D18+D19+D20+D21</f>
        <v>14699</v>
      </c>
      <c r="E9" s="916"/>
      <c r="F9" s="917"/>
      <c r="G9" s="916"/>
      <c r="H9" s="917"/>
      <c r="I9" s="918"/>
      <c r="J9" s="915">
        <f>J18+J19+J20+J21</f>
        <v>50837.98</v>
      </c>
      <c r="K9" s="919">
        <f t="shared" si="1"/>
        <v>2.458601265</v>
      </c>
      <c r="L9" s="920"/>
      <c r="M9" s="916"/>
      <c r="N9" s="917"/>
      <c r="O9" s="918"/>
      <c r="P9" s="915"/>
      <c r="Q9" s="916"/>
      <c r="R9" s="917"/>
      <c r="S9" s="916"/>
      <c r="T9" s="917"/>
      <c r="U9" s="918"/>
      <c r="V9" s="915"/>
      <c r="W9" s="916"/>
      <c r="X9" s="921"/>
      <c r="Y9" s="916"/>
      <c r="Z9" s="917"/>
      <c r="AA9" s="918"/>
      <c r="AB9" s="915"/>
      <c r="AC9" s="916"/>
      <c r="AD9" s="921"/>
      <c r="AE9" s="916"/>
      <c r="AF9" s="917"/>
      <c r="AG9" s="918"/>
      <c r="AH9" s="915"/>
      <c r="AI9" s="916"/>
      <c r="AJ9" s="921"/>
      <c r="AK9" s="916"/>
      <c r="AL9" s="917"/>
      <c r="AM9" s="918"/>
      <c r="AN9" s="915"/>
      <c r="AO9" s="916"/>
      <c r="AP9" s="921"/>
      <c r="AQ9" s="916"/>
      <c r="AR9" s="917"/>
      <c r="AS9" s="918"/>
      <c r="AT9" s="922"/>
      <c r="AU9" s="916"/>
      <c r="AV9" s="921"/>
      <c r="AW9" s="916"/>
      <c r="AX9" s="917"/>
      <c r="AY9" s="916"/>
      <c r="AZ9" s="917"/>
      <c r="BA9" s="916"/>
      <c r="BB9" s="921"/>
      <c r="BC9" s="916"/>
      <c r="BD9" s="917"/>
      <c r="BE9" s="916"/>
      <c r="BF9" s="917"/>
      <c r="BG9" s="916"/>
      <c r="BH9" s="921"/>
      <c r="BI9" s="916"/>
      <c r="BJ9" s="917"/>
      <c r="BK9" s="916"/>
      <c r="BL9" s="921"/>
      <c r="BM9" s="916"/>
      <c r="BN9" s="917"/>
      <c r="BO9" s="916"/>
      <c r="BP9" s="917"/>
      <c r="BQ9" s="916"/>
      <c r="BR9" s="353"/>
      <c r="BS9" s="916"/>
      <c r="BT9" s="921"/>
      <c r="BU9" s="916"/>
      <c r="BV9" s="917"/>
      <c r="BW9" s="918"/>
      <c r="BX9" s="213"/>
      <c r="BY9" s="213"/>
      <c r="BZ9" s="213"/>
      <c r="CA9" s="213"/>
      <c r="CB9" s="213"/>
      <c r="CC9" s="213"/>
      <c r="CD9" s="213"/>
      <c r="CE9" s="213"/>
      <c r="CF9" s="213"/>
      <c r="CG9" s="213"/>
      <c r="CH9" s="213"/>
      <c r="CI9" s="213"/>
      <c r="CJ9" s="213"/>
      <c r="CK9" s="213"/>
      <c r="CL9" s="213"/>
      <c r="CM9" s="213"/>
      <c r="CN9" s="213"/>
      <c r="CO9" s="213"/>
      <c r="CP9" s="213"/>
      <c r="CQ9" s="213"/>
    </row>
    <row r="10" ht="15.75" hidden="1" customHeight="1">
      <c r="A10" s="213"/>
      <c r="B10" s="913"/>
      <c r="C10" s="914" t="s">
        <v>113</v>
      </c>
      <c r="D10" s="915">
        <f>SUM(D8:D9)-D29</f>
        <v>0</v>
      </c>
      <c r="E10" s="916"/>
      <c r="F10" s="917"/>
      <c r="G10" s="916"/>
      <c r="H10" s="917"/>
      <c r="I10" s="918"/>
      <c r="J10" s="915">
        <f>SUM(J8:J9)-J29</f>
        <v>0</v>
      </c>
      <c r="K10" s="916"/>
      <c r="L10" s="917"/>
      <c r="M10" s="916"/>
      <c r="N10" s="917"/>
      <c r="O10" s="918"/>
      <c r="P10" s="915"/>
      <c r="Q10" s="916"/>
      <c r="R10" s="917"/>
      <c r="S10" s="916"/>
      <c r="T10" s="917"/>
      <c r="U10" s="918"/>
      <c r="V10" s="915"/>
      <c r="W10" s="916"/>
      <c r="X10" s="921"/>
      <c r="Y10" s="916"/>
      <c r="Z10" s="917"/>
      <c r="AA10" s="918"/>
      <c r="AB10" s="915"/>
      <c r="AC10" s="916"/>
      <c r="AD10" s="921"/>
      <c r="AE10" s="916"/>
      <c r="AF10" s="917"/>
      <c r="AG10" s="918"/>
      <c r="AH10" s="915"/>
      <c r="AI10" s="916"/>
      <c r="AJ10" s="921"/>
      <c r="AK10" s="916"/>
      <c r="AL10" s="917"/>
      <c r="AM10" s="918"/>
      <c r="AN10" s="915"/>
      <c r="AO10" s="916"/>
      <c r="AP10" s="921"/>
      <c r="AQ10" s="916"/>
      <c r="AR10" s="917"/>
      <c r="AS10" s="918"/>
      <c r="AT10" s="922"/>
      <c r="AU10" s="916"/>
      <c r="AV10" s="921"/>
      <c r="AW10" s="916"/>
      <c r="AX10" s="917"/>
      <c r="AY10" s="916"/>
      <c r="AZ10" s="917"/>
      <c r="BA10" s="916"/>
      <c r="BB10" s="921"/>
      <c r="BC10" s="916"/>
      <c r="BD10" s="917"/>
      <c r="BE10" s="916"/>
      <c r="BF10" s="917"/>
      <c r="BG10" s="916"/>
      <c r="BH10" s="921"/>
      <c r="BI10" s="916"/>
      <c r="BJ10" s="917"/>
      <c r="BK10" s="916"/>
      <c r="BL10" s="921"/>
      <c r="BM10" s="916"/>
      <c r="BN10" s="917"/>
      <c r="BO10" s="916"/>
      <c r="BP10" s="917"/>
      <c r="BQ10" s="916"/>
      <c r="BR10" s="353"/>
      <c r="BS10" s="916"/>
      <c r="BT10" s="921"/>
      <c r="BU10" s="916"/>
      <c r="BV10" s="917"/>
      <c r="BW10" s="918"/>
      <c r="BX10" s="213"/>
      <c r="BY10" s="213"/>
      <c r="BZ10" s="213"/>
      <c r="CA10" s="213"/>
      <c r="CB10" s="213"/>
      <c r="CC10" s="213"/>
      <c r="CD10" s="213"/>
      <c r="CE10" s="213"/>
      <c r="CF10" s="213"/>
      <c r="CG10" s="213"/>
      <c r="CH10" s="213"/>
      <c r="CI10" s="213"/>
      <c r="CJ10" s="213"/>
      <c r="CK10" s="213"/>
      <c r="CL10" s="213"/>
      <c r="CM10" s="213"/>
      <c r="CN10" s="213"/>
      <c r="CO10" s="213"/>
      <c r="CP10" s="213"/>
      <c r="CQ10" s="213"/>
    </row>
    <row r="11" ht="15.75" hidden="1" customHeight="1">
      <c r="A11" s="213"/>
      <c r="B11" s="913"/>
      <c r="C11" s="914" t="s">
        <v>120</v>
      </c>
      <c r="D11" s="915"/>
      <c r="E11" s="916"/>
      <c r="F11" s="917"/>
      <c r="G11" s="916"/>
      <c r="H11" s="917"/>
      <c r="I11" s="918"/>
      <c r="J11" s="915"/>
      <c r="K11" s="919"/>
      <c r="L11" s="917"/>
      <c r="M11" s="916"/>
      <c r="N11" s="917"/>
      <c r="O11" s="918"/>
      <c r="P11" s="915"/>
      <c r="Q11" s="916"/>
      <c r="R11" s="917"/>
      <c r="S11" s="916"/>
      <c r="T11" s="917"/>
      <c r="U11" s="918"/>
      <c r="V11" s="915"/>
      <c r="W11" s="916"/>
      <c r="X11" s="921"/>
      <c r="Y11" s="916"/>
      <c r="Z11" s="917"/>
      <c r="AA11" s="918"/>
      <c r="AB11" s="915"/>
      <c r="AC11" s="916"/>
      <c r="AD11" s="921"/>
      <c r="AE11" s="916"/>
      <c r="AF11" s="917"/>
      <c r="AG11" s="918"/>
      <c r="AH11" s="915"/>
      <c r="AI11" s="916"/>
      <c r="AJ11" s="921"/>
      <c r="AK11" s="916"/>
      <c r="AL11" s="917"/>
      <c r="AM11" s="918"/>
      <c r="AN11" s="915"/>
      <c r="AO11" s="916"/>
      <c r="AP11" s="921"/>
      <c r="AQ11" s="916"/>
      <c r="AR11" s="917"/>
      <c r="AS11" s="918"/>
      <c r="AT11" s="922"/>
      <c r="AU11" s="916"/>
      <c r="AV11" s="921"/>
      <c r="AW11" s="916"/>
      <c r="AX11" s="917"/>
      <c r="AY11" s="916"/>
      <c r="AZ11" s="917"/>
      <c r="BA11" s="916"/>
      <c r="BB11" s="921"/>
      <c r="BC11" s="916"/>
      <c r="BD11" s="917"/>
      <c r="BE11" s="916"/>
      <c r="BF11" s="917"/>
      <c r="BG11" s="916"/>
      <c r="BH11" s="921"/>
      <c r="BI11" s="916"/>
      <c r="BJ11" s="917"/>
      <c r="BK11" s="916"/>
      <c r="BL11" s="921"/>
      <c r="BM11" s="916"/>
      <c r="BN11" s="917"/>
      <c r="BO11" s="916"/>
      <c r="BP11" s="917"/>
      <c r="BQ11" s="916"/>
      <c r="BR11" s="353"/>
      <c r="BS11" s="916"/>
      <c r="BT11" s="921"/>
      <c r="BU11" s="916"/>
      <c r="BV11" s="917"/>
      <c r="BW11" s="918"/>
      <c r="BX11" s="213"/>
      <c r="BY11" s="213"/>
      <c r="BZ11" s="213"/>
      <c r="CA11" s="213"/>
      <c r="CB11" s="213"/>
      <c r="CC11" s="213"/>
      <c r="CD11" s="213"/>
      <c r="CE11" s="213"/>
      <c r="CF11" s="213"/>
      <c r="CG11" s="213"/>
      <c r="CH11" s="213"/>
      <c r="CI11" s="213"/>
      <c r="CJ11" s="213"/>
      <c r="CK11" s="213"/>
      <c r="CL11" s="213"/>
      <c r="CM11" s="213"/>
      <c r="CN11" s="213"/>
      <c r="CO11" s="213"/>
      <c r="CP11" s="213"/>
      <c r="CQ11" s="213"/>
    </row>
    <row r="12" ht="15.75" hidden="1" customHeight="1">
      <c r="A12" s="213"/>
      <c r="B12" s="913"/>
      <c r="C12" s="914" t="s">
        <v>127</v>
      </c>
      <c r="D12" s="915"/>
      <c r="E12" s="916"/>
      <c r="F12" s="917"/>
      <c r="G12" s="916"/>
      <c r="H12" s="917"/>
      <c r="I12" s="918"/>
      <c r="J12" s="915"/>
      <c r="K12" s="919"/>
      <c r="L12" s="917"/>
      <c r="M12" s="916"/>
      <c r="N12" s="917"/>
      <c r="O12" s="918"/>
      <c r="P12" s="915"/>
      <c r="Q12" s="916"/>
      <c r="R12" s="917"/>
      <c r="S12" s="916"/>
      <c r="T12" s="917"/>
      <c r="U12" s="918"/>
      <c r="V12" s="915"/>
      <c r="W12" s="916"/>
      <c r="X12" s="921"/>
      <c r="Y12" s="916"/>
      <c r="Z12" s="917"/>
      <c r="AA12" s="918"/>
      <c r="AB12" s="915"/>
      <c r="AC12" s="916"/>
      <c r="AD12" s="921"/>
      <c r="AE12" s="916"/>
      <c r="AF12" s="917"/>
      <c r="AG12" s="918"/>
      <c r="AH12" s="915"/>
      <c r="AI12" s="916"/>
      <c r="AJ12" s="921"/>
      <c r="AK12" s="916"/>
      <c r="AL12" s="917"/>
      <c r="AM12" s="918"/>
      <c r="AN12" s="915"/>
      <c r="AO12" s="916"/>
      <c r="AP12" s="921"/>
      <c r="AQ12" s="916"/>
      <c r="AR12" s="917"/>
      <c r="AS12" s="918"/>
      <c r="AT12" s="922"/>
      <c r="AU12" s="916"/>
      <c r="AV12" s="921"/>
      <c r="AW12" s="916"/>
      <c r="AX12" s="917"/>
      <c r="AY12" s="916"/>
      <c r="AZ12" s="917"/>
      <c r="BA12" s="916"/>
      <c r="BB12" s="921"/>
      <c r="BC12" s="916"/>
      <c r="BD12" s="917"/>
      <c r="BE12" s="916"/>
      <c r="BF12" s="917"/>
      <c r="BG12" s="916"/>
      <c r="BH12" s="921"/>
      <c r="BI12" s="916"/>
      <c r="BJ12" s="917"/>
      <c r="BK12" s="916"/>
      <c r="BL12" s="921"/>
      <c r="BM12" s="916"/>
      <c r="BN12" s="917"/>
      <c r="BO12" s="916"/>
      <c r="BP12" s="917"/>
      <c r="BQ12" s="916"/>
      <c r="BR12" s="353"/>
      <c r="BS12" s="916"/>
      <c r="BT12" s="921"/>
      <c r="BU12" s="916"/>
      <c r="BV12" s="917"/>
      <c r="BW12" s="918"/>
      <c r="BX12" s="213"/>
      <c r="BY12" s="213"/>
      <c r="BZ12" s="213"/>
      <c r="CA12" s="213"/>
      <c r="CB12" s="213"/>
      <c r="CC12" s="213"/>
      <c r="CD12" s="213"/>
      <c r="CE12" s="213"/>
      <c r="CF12" s="213"/>
      <c r="CG12" s="213"/>
      <c r="CH12" s="213"/>
      <c r="CI12" s="213"/>
      <c r="CJ12" s="213"/>
      <c r="CK12" s="213"/>
      <c r="CL12" s="213"/>
      <c r="CM12" s="213"/>
      <c r="CN12" s="213"/>
      <c r="CO12" s="213"/>
      <c r="CP12" s="213"/>
      <c r="CQ12" s="213"/>
    </row>
    <row r="13" ht="15.75" hidden="1" customHeight="1">
      <c r="A13" s="213"/>
      <c r="B13" s="349"/>
      <c r="C13" s="350"/>
      <c r="D13" s="604"/>
      <c r="E13" s="245"/>
      <c r="F13" s="357"/>
      <c r="G13" s="245"/>
      <c r="H13" s="357"/>
      <c r="I13" s="350"/>
      <c r="J13" s="604"/>
      <c r="K13" s="245"/>
      <c r="L13" s="357"/>
      <c r="M13" s="245"/>
      <c r="N13" s="357"/>
      <c r="O13" s="350"/>
      <c r="P13" s="604"/>
      <c r="Q13" s="352"/>
      <c r="R13" s="357"/>
      <c r="S13" s="245"/>
      <c r="T13" s="357"/>
      <c r="U13" s="350"/>
      <c r="V13" s="604"/>
      <c r="W13" s="245"/>
      <c r="X13" s="353"/>
      <c r="Y13" s="245"/>
      <c r="Z13" s="357"/>
      <c r="AA13" s="350"/>
      <c r="AB13" s="604"/>
      <c r="AC13" s="245"/>
      <c r="AD13" s="353"/>
      <c r="AE13" s="245"/>
      <c r="AF13" s="357"/>
      <c r="AG13" s="350"/>
      <c r="AH13" s="604"/>
      <c r="AI13" s="245"/>
      <c r="AJ13" s="353"/>
      <c r="AK13" s="245"/>
      <c r="AL13" s="357"/>
      <c r="AM13" s="350"/>
      <c r="AN13" s="604"/>
      <c r="AO13" s="245"/>
      <c r="AP13" s="353"/>
      <c r="AQ13" s="245"/>
      <c r="AR13" s="357"/>
      <c r="AS13" s="350"/>
      <c r="AT13" s="605"/>
      <c r="AU13" s="245"/>
      <c r="AV13" s="353"/>
      <c r="AW13" s="245"/>
      <c r="AX13" s="357"/>
      <c r="AY13" s="245"/>
      <c r="AZ13" s="357"/>
      <c r="BA13" s="245"/>
      <c r="BB13" s="353"/>
      <c r="BC13" s="245"/>
      <c r="BD13" s="357"/>
      <c r="BE13" s="245"/>
      <c r="BF13" s="357"/>
      <c r="BG13" s="245"/>
      <c r="BH13" s="353"/>
      <c r="BI13" s="245"/>
      <c r="BJ13" s="357"/>
      <c r="BK13" s="245"/>
      <c r="BL13" s="353"/>
      <c r="BM13" s="245"/>
      <c r="BN13" s="357"/>
      <c r="BO13" s="245"/>
      <c r="BP13" s="357"/>
      <c r="BQ13" s="245"/>
      <c r="BR13" s="353"/>
      <c r="BS13" s="245"/>
      <c r="BT13" s="353"/>
      <c r="BU13" s="245"/>
      <c r="BV13" s="357"/>
      <c r="BW13" s="350"/>
      <c r="BX13" s="213"/>
      <c r="BY13" s="213"/>
      <c r="BZ13" s="213"/>
      <c r="CA13" s="213"/>
      <c r="CB13" s="213"/>
      <c r="CC13" s="213"/>
      <c r="CD13" s="213"/>
      <c r="CE13" s="213"/>
      <c r="CF13" s="213"/>
      <c r="CG13" s="213"/>
      <c r="CH13" s="213"/>
      <c r="CI13" s="213"/>
      <c r="CJ13" s="213"/>
      <c r="CK13" s="213"/>
      <c r="CL13" s="213"/>
      <c r="CM13" s="213"/>
      <c r="CN13" s="213"/>
      <c r="CO13" s="213"/>
      <c r="CP13" s="213"/>
      <c r="CQ13" s="213"/>
    </row>
    <row r="14" ht="15.75" hidden="1" customHeight="1">
      <c r="A14" s="213"/>
      <c r="B14" s="349"/>
      <c r="C14" s="350"/>
      <c r="D14" s="604"/>
      <c r="E14" s="245"/>
      <c r="F14" s="357"/>
      <c r="G14" s="245"/>
      <c r="H14" s="357"/>
      <c r="I14" s="350"/>
      <c r="J14" s="604"/>
      <c r="K14" s="245"/>
      <c r="L14" s="357"/>
      <c r="M14" s="245"/>
      <c r="N14" s="357"/>
      <c r="O14" s="350"/>
      <c r="P14" s="604"/>
      <c r="Q14" s="352"/>
      <c r="R14" s="357"/>
      <c r="S14" s="245"/>
      <c r="T14" s="357"/>
      <c r="U14" s="350"/>
      <c r="V14" s="604"/>
      <c r="W14" s="245"/>
      <c r="X14" s="353"/>
      <c r="Y14" s="245"/>
      <c r="Z14" s="357"/>
      <c r="AA14" s="350"/>
      <c r="AB14" s="604"/>
      <c r="AC14" s="245"/>
      <c r="AD14" s="353"/>
      <c r="AE14" s="245"/>
      <c r="AF14" s="357"/>
      <c r="AG14" s="350"/>
      <c r="AH14" s="604"/>
      <c r="AI14" s="245"/>
      <c r="AJ14" s="353"/>
      <c r="AK14" s="245"/>
      <c r="AL14" s="357"/>
      <c r="AM14" s="350"/>
      <c r="AN14" s="604"/>
      <c r="AO14" s="245"/>
      <c r="AP14" s="353"/>
      <c r="AQ14" s="245"/>
      <c r="AR14" s="357"/>
      <c r="AS14" s="350"/>
      <c r="AT14" s="605"/>
      <c r="AU14" s="245"/>
      <c r="AV14" s="353"/>
      <c r="AW14" s="245"/>
      <c r="AX14" s="357"/>
      <c r="AY14" s="245"/>
      <c r="AZ14" s="357"/>
      <c r="BA14" s="245"/>
      <c r="BB14" s="353"/>
      <c r="BC14" s="245"/>
      <c r="BD14" s="357"/>
      <c r="BE14" s="245"/>
      <c r="BF14" s="357"/>
      <c r="BG14" s="245"/>
      <c r="BH14" s="353"/>
      <c r="BI14" s="245"/>
      <c r="BJ14" s="357"/>
      <c r="BK14" s="245"/>
      <c r="BL14" s="353"/>
      <c r="BM14" s="245"/>
      <c r="BN14" s="357"/>
      <c r="BO14" s="245"/>
      <c r="BP14" s="357"/>
      <c r="BQ14" s="245"/>
      <c r="BR14" s="353"/>
      <c r="BS14" s="245"/>
      <c r="BT14" s="353"/>
      <c r="BU14" s="245"/>
      <c r="BV14" s="357"/>
      <c r="BW14" s="350"/>
      <c r="BX14" s="213"/>
      <c r="BY14" s="213"/>
      <c r="BZ14" s="213"/>
      <c r="CA14" s="213"/>
      <c r="CB14" s="213"/>
      <c r="CC14" s="213"/>
      <c r="CD14" s="213"/>
      <c r="CE14" s="213"/>
      <c r="CF14" s="213"/>
      <c r="CG14" s="213"/>
      <c r="CH14" s="213"/>
      <c r="CI14" s="213"/>
      <c r="CJ14" s="213"/>
      <c r="CK14" s="213"/>
      <c r="CL14" s="213"/>
      <c r="CM14" s="213"/>
      <c r="CN14" s="213"/>
      <c r="CO14" s="213"/>
      <c r="CP14" s="213"/>
      <c r="CQ14" s="213"/>
    </row>
    <row r="15" ht="15.75" customHeight="1">
      <c r="A15" s="213"/>
      <c r="B15" s="349"/>
      <c r="C15" s="923" t="s">
        <v>220</v>
      </c>
      <c r="D15" s="604"/>
      <c r="E15" s="245"/>
      <c r="F15" s="357"/>
      <c r="G15" s="245"/>
      <c r="H15" s="357"/>
      <c r="I15" s="350"/>
      <c r="J15" s="604"/>
      <c r="K15" s="245"/>
      <c r="L15" s="357"/>
      <c r="M15" s="245"/>
      <c r="N15" s="357"/>
      <c r="O15" s="350"/>
      <c r="P15" s="604"/>
      <c r="Q15" s="352"/>
      <c r="R15" s="357"/>
      <c r="S15" s="245"/>
      <c r="T15" s="357"/>
      <c r="U15" s="350"/>
      <c r="V15" s="604"/>
      <c r="W15" s="245"/>
      <c r="X15" s="353"/>
      <c r="Y15" s="245"/>
      <c r="Z15" s="357"/>
      <c r="AA15" s="350"/>
      <c r="AB15" s="604"/>
      <c r="AC15" s="245"/>
      <c r="AD15" s="353"/>
      <c r="AE15" s="245"/>
      <c r="AF15" s="357"/>
      <c r="AG15" s="350"/>
      <c r="AH15" s="604"/>
      <c r="AI15" s="245"/>
      <c r="AJ15" s="353"/>
      <c r="AK15" s="245"/>
      <c r="AL15" s="357"/>
      <c r="AM15" s="350"/>
      <c r="AN15" s="604"/>
      <c r="AO15" s="245"/>
      <c r="AP15" s="353"/>
      <c r="AQ15" s="245"/>
      <c r="AR15" s="357"/>
      <c r="AS15" s="350"/>
      <c r="AT15" s="605"/>
      <c r="AU15" s="245"/>
      <c r="AV15" s="353"/>
      <c r="AW15" s="245"/>
      <c r="AX15" s="357"/>
      <c r="AY15" s="245"/>
      <c r="AZ15" s="357"/>
      <c r="BA15" s="245"/>
      <c r="BB15" s="353"/>
      <c r="BC15" s="245"/>
      <c r="BD15" s="357"/>
      <c r="BE15" s="245"/>
      <c r="BF15" s="357"/>
      <c r="BG15" s="245"/>
      <c r="BH15" s="353"/>
      <c r="BI15" s="245"/>
      <c r="BJ15" s="357"/>
      <c r="BK15" s="245"/>
      <c r="BL15" s="353"/>
      <c r="BM15" s="245"/>
      <c r="BN15" s="357"/>
      <c r="BO15" s="245"/>
      <c r="BP15" s="357"/>
      <c r="BQ15" s="245"/>
      <c r="BR15" s="353"/>
      <c r="BS15" s="245"/>
      <c r="BT15" s="353"/>
      <c r="BU15" s="245"/>
      <c r="BV15" s="357"/>
      <c r="BW15" s="350"/>
      <c r="BX15" s="213"/>
      <c r="BY15" s="213"/>
      <c r="BZ15" s="213"/>
      <c r="CA15" s="213"/>
      <c r="CB15" s="213"/>
      <c r="CC15" s="213"/>
      <c r="CD15" s="213"/>
      <c r="CE15" s="213"/>
      <c r="CF15" s="213"/>
      <c r="CG15" s="213"/>
      <c r="CH15" s="213"/>
      <c r="CI15" s="213"/>
      <c r="CJ15" s="213"/>
      <c r="CK15" s="213"/>
      <c r="CL15" s="213"/>
      <c r="CM15" s="213"/>
      <c r="CN15" s="213"/>
      <c r="CO15" s="213"/>
      <c r="CP15" s="213"/>
      <c r="CQ15" s="213"/>
    </row>
    <row r="16" ht="15.75" customHeight="1">
      <c r="A16" s="213"/>
      <c r="B16" s="349" t="s">
        <v>173</v>
      </c>
      <c r="C16" s="350" t="s">
        <v>173</v>
      </c>
      <c r="D16" s="604">
        <f>SUM(D17:D21)</f>
        <v>314020</v>
      </c>
      <c r="E16" s="352"/>
      <c r="F16" s="357">
        <f>SUM(F17:F21)</f>
        <v>80000</v>
      </c>
      <c r="G16" s="245"/>
      <c r="H16" s="357">
        <f>SUM(H17:H21)</f>
        <v>219321</v>
      </c>
      <c r="I16" s="350"/>
      <c r="J16" s="604">
        <f>SUM(J17:J21)</f>
        <v>385119.98</v>
      </c>
      <c r="K16" s="352"/>
      <c r="L16" s="357">
        <f>SUM(L17:L21)</f>
        <v>80000</v>
      </c>
      <c r="M16" s="352"/>
      <c r="N16" s="357">
        <f>SUM(N17:N21)</f>
        <v>0</v>
      </c>
      <c r="O16" s="358"/>
      <c r="P16" s="604">
        <f>SUM(P17:P21)</f>
        <v>334806</v>
      </c>
      <c r="Q16" s="352"/>
      <c r="R16" s="357">
        <f>SUM(R17:R21)</f>
        <v>80000</v>
      </c>
      <c r="S16" s="352"/>
      <c r="T16" s="357">
        <f>SUM(T17:T21)</f>
        <v>0</v>
      </c>
      <c r="U16" s="358"/>
      <c r="V16" s="604">
        <f>SUM(V17:V21)</f>
        <v>428164</v>
      </c>
      <c r="W16" s="352"/>
      <c r="X16" s="353">
        <f>SUM(X17:X21)</f>
        <v>80000</v>
      </c>
      <c r="Y16" s="352"/>
      <c r="Z16" s="357">
        <f>SUM(Z17:Z21)</f>
        <v>0</v>
      </c>
      <c r="AA16" s="358"/>
      <c r="AB16" s="604">
        <f>SUM(AB17:AB21)</f>
        <v>440346</v>
      </c>
      <c r="AC16" s="245"/>
      <c r="AD16" s="353">
        <f>SUM(AD17:AD21)</f>
        <v>84000</v>
      </c>
      <c r="AE16" s="245"/>
      <c r="AF16" s="357">
        <f>SUM(AF17:AF21)</f>
        <v>0</v>
      </c>
      <c r="AG16" s="350"/>
      <c r="AH16" s="604">
        <f>SUM(AH17:AH21)</f>
        <v>379403.58</v>
      </c>
      <c r="AI16" s="245"/>
      <c r="AJ16" s="353">
        <f>SUM(AJ17:AJ21)</f>
        <v>84000</v>
      </c>
      <c r="AK16" s="245"/>
      <c r="AL16" s="357">
        <f>SUM(AL17:AL21)</f>
        <v>0</v>
      </c>
      <c r="AM16" s="350"/>
      <c r="AN16" s="604">
        <f>SUM(AN17:AN21)</f>
        <v>467188.27</v>
      </c>
      <c r="AO16" s="245"/>
      <c r="AP16" s="353">
        <f>SUM(AP17:AP21)</f>
        <v>88200</v>
      </c>
      <c r="AQ16" s="245"/>
      <c r="AR16" s="357">
        <f>SUM(AR17:AR21)</f>
        <v>0</v>
      </c>
      <c r="AS16" s="350"/>
      <c r="AT16" s="605">
        <f>SUM(AT17:AT21)</f>
        <v>562680.2</v>
      </c>
      <c r="AU16" s="245"/>
      <c r="AV16" s="353">
        <f>SUM(AV17:AV21)</f>
        <v>83790</v>
      </c>
      <c r="AW16" s="245"/>
      <c r="AX16" s="357">
        <f>SUM(AX17:AX21)</f>
        <v>0</v>
      </c>
      <c r="AY16" s="245"/>
      <c r="AZ16" s="357">
        <f>SUM(AZ17:AZ21)</f>
        <v>1004766.31</v>
      </c>
      <c r="BA16" s="245"/>
      <c r="BB16" s="353">
        <f>SUM(BB17:BB21)</f>
        <v>96359</v>
      </c>
      <c r="BC16" s="245"/>
      <c r="BD16" s="357">
        <f>SUM(BD17:BD21)</f>
        <v>0</v>
      </c>
      <c r="BE16" s="245"/>
      <c r="BF16" s="357">
        <f>SUM(BF17:BF21)</f>
        <v>683553.02</v>
      </c>
      <c r="BG16" s="245"/>
      <c r="BH16" s="353">
        <f>SUM(BH17:BH21)</f>
        <v>83790</v>
      </c>
      <c r="BI16" s="245"/>
      <c r="BJ16" s="357">
        <f>SUM(BJ17:BJ21)</f>
        <v>0</v>
      </c>
      <c r="BK16" s="245"/>
      <c r="BL16" s="353">
        <f>SUM(BL17:BL21)</f>
        <v>1462260.95</v>
      </c>
      <c r="BM16" s="245"/>
      <c r="BN16" s="357">
        <f>SUM(BN17:BN21)</f>
        <v>71300</v>
      </c>
      <c r="BO16" s="245"/>
      <c r="BP16" s="357">
        <f>SUM(BP17:BP21)</f>
        <v>0</v>
      </c>
      <c r="BQ16" s="245"/>
      <c r="BR16" s="353">
        <f>SUM(BR17:BR21)</f>
        <v>461092.68</v>
      </c>
      <c r="BS16" s="245"/>
      <c r="BT16" s="353">
        <f>SUM(BT17:BT21)</f>
        <v>78500</v>
      </c>
      <c r="BU16" s="245"/>
      <c r="BV16" s="357">
        <f>SUM(BV17:BV21)</f>
        <v>0</v>
      </c>
      <c r="BW16" s="350"/>
      <c r="BX16" s="216"/>
      <c r="BY16" s="216"/>
      <c r="BZ16" s="216"/>
      <c r="CA16" s="216"/>
      <c r="CB16" s="216"/>
      <c r="CC16" s="216"/>
      <c r="CD16" s="216"/>
      <c r="CE16" s="216"/>
      <c r="CF16" s="216"/>
      <c r="CG16" s="216"/>
      <c r="CH16" s="216"/>
      <c r="CI16" s="216"/>
      <c r="CJ16" s="216"/>
      <c r="CK16" s="216"/>
      <c r="CL16" s="216"/>
      <c r="CM16" s="216"/>
      <c r="CN16" s="216"/>
      <c r="CO16" s="216"/>
      <c r="CP16" s="216"/>
      <c r="CQ16" s="216"/>
    </row>
    <row r="17" ht="15.75" customHeight="1">
      <c r="A17" s="213"/>
      <c r="B17" s="349" t="s">
        <v>24</v>
      </c>
      <c r="C17" s="350" t="s">
        <v>427</v>
      </c>
      <c r="D17" s="604">
        <f>46100+22063+231158+20563+24867-45430</f>
        <v>299321</v>
      </c>
      <c r="E17" s="352"/>
      <c r="F17" s="357">
        <v>80000.0</v>
      </c>
      <c r="G17" s="245"/>
      <c r="H17" s="357">
        <f>D17-F17</f>
        <v>219321</v>
      </c>
      <c r="I17" s="350"/>
      <c r="J17" s="604">
        <f>63229+40386+230667</f>
        <v>334282</v>
      </c>
      <c r="K17" s="352"/>
      <c r="L17" s="357">
        <v>80000.0</v>
      </c>
      <c r="M17" s="352"/>
      <c r="N17" s="357"/>
      <c r="O17" s="358"/>
      <c r="P17" s="604">
        <f>12460+37653+239405</f>
        <v>289518</v>
      </c>
      <c r="Q17" s="352"/>
      <c r="R17" s="357">
        <v>80000.0</v>
      </c>
      <c r="S17" s="352"/>
      <c r="T17" s="357"/>
      <c r="U17" s="358"/>
      <c r="V17" s="604">
        <f>100215+40128+250071</f>
        <v>390414</v>
      </c>
      <c r="W17" s="352"/>
      <c r="X17" s="353">
        <v>80000.0</v>
      </c>
      <c r="Y17" s="352"/>
      <c r="Z17" s="357"/>
      <c r="AA17" s="358"/>
      <c r="AB17" s="604">
        <v>419330.0</v>
      </c>
      <c r="AC17" s="245"/>
      <c r="AD17" s="353">
        <v>84000.0</v>
      </c>
      <c r="AE17" s="245"/>
      <c r="AF17" s="357"/>
      <c r="AG17" s="350"/>
      <c r="AH17" s="604">
        <f>150540+29150+181332</f>
        <v>361022</v>
      </c>
      <c r="AI17" s="245"/>
      <c r="AJ17" s="353">
        <v>84000.0</v>
      </c>
      <c r="AK17" s="245"/>
      <c r="AL17" s="357"/>
      <c r="AM17" s="350"/>
      <c r="AN17" s="604">
        <f>176932.76+45125+193197</f>
        <v>415254.76</v>
      </c>
      <c r="AO17" s="245"/>
      <c r="AP17" s="353">
        <v>88200.0</v>
      </c>
      <c r="AQ17" s="245"/>
      <c r="AR17" s="357"/>
      <c r="AS17" s="350"/>
      <c r="AT17" s="605">
        <f>217299+156064+35090</f>
        <v>408453</v>
      </c>
      <c r="AU17" s="245"/>
      <c r="AV17" s="353">
        <v>83790.0</v>
      </c>
      <c r="AW17" s="245"/>
      <c r="AX17" s="357"/>
      <c r="AY17" s="245"/>
      <c r="AZ17" s="357">
        <f>289415+179784+31731</f>
        <v>500930</v>
      </c>
      <c r="BA17" s="245"/>
      <c r="BB17" s="353">
        <v>96359.0</v>
      </c>
      <c r="BC17" s="245"/>
      <c r="BD17" s="357"/>
      <c r="BE17" s="245"/>
      <c r="BF17" s="357">
        <f>161163.54+33375+250334</f>
        <v>444872.54</v>
      </c>
      <c r="BG17" s="245"/>
      <c r="BH17" s="353">
        <v>83790.0</v>
      </c>
      <c r="BI17" s="245"/>
      <c r="BJ17" s="357"/>
      <c r="BK17" s="245"/>
      <c r="BL17" s="353">
        <v>390288.0</v>
      </c>
      <c r="BM17" s="245"/>
      <c r="BN17" s="357">
        <v>71300.0</v>
      </c>
      <c r="BO17" s="245"/>
      <c r="BP17" s="357"/>
      <c r="BQ17" s="245"/>
      <c r="BR17" s="353">
        <f>180446+24734+196558</f>
        <v>401738</v>
      </c>
      <c r="BS17" s="245"/>
      <c r="BT17" s="353">
        <v>78500.0</v>
      </c>
      <c r="BU17" s="245"/>
      <c r="BV17" s="357"/>
      <c r="BW17" s="350"/>
      <c r="BX17" s="213"/>
      <c r="BY17" s="213"/>
      <c r="BZ17" s="213"/>
      <c r="CA17" s="213"/>
      <c r="CB17" s="213"/>
      <c r="CC17" s="213"/>
      <c r="CD17" s="213"/>
      <c r="CE17" s="213"/>
      <c r="CF17" s="213"/>
      <c r="CG17" s="213"/>
      <c r="CH17" s="213"/>
      <c r="CI17" s="213"/>
      <c r="CJ17" s="213"/>
      <c r="CK17" s="213"/>
      <c r="CL17" s="213"/>
      <c r="CM17" s="213"/>
      <c r="CN17" s="213"/>
      <c r="CO17" s="213"/>
      <c r="CP17" s="213"/>
      <c r="CQ17" s="213"/>
    </row>
    <row r="18" ht="15.75" customHeight="1">
      <c r="A18" s="213"/>
      <c r="B18" s="393"/>
      <c r="C18" s="350"/>
      <c r="D18" s="604"/>
      <c r="E18" s="352"/>
      <c r="F18" s="357"/>
      <c r="G18" s="245"/>
      <c r="H18" s="357"/>
      <c r="I18" s="350"/>
      <c r="J18" s="604"/>
      <c r="K18" s="352"/>
      <c r="L18" s="357"/>
      <c r="M18" s="352"/>
      <c r="N18" s="357"/>
      <c r="O18" s="358"/>
      <c r="P18" s="604"/>
      <c r="Q18" s="352"/>
      <c r="R18" s="357"/>
      <c r="S18" s="352"/>
      <c r="T18" s="357"/>
      <c r="U18" s="358"/>
      <c r="V18" s="604"/>
      <c r="W18" s="352"/>
      <c r="X18" s="353"/>
      <c r="Y18" s="352"/>
      <c r="Z18" s="357"/>
      <c r="AA18" s="358"/>
      <c r="AB18" s="604"/>
      <c r="AC18" s="245"/>
      <c r="AD18" s="353"/>
      <c r="AE18" s="245"/>
      <c r="AF18" s="357"/>
      <c r="AG18" s="350"/>
      <c r="AH18" s="604"/>
      <c r="AI18" s="245"/>
      <c r="AJ18" s="353"/>
      <c r="AK18" s="245"/>
      <c r="AL18" s="357"/>
      <c r="AM18" s="350"/>
      <c r="AN18" s="604"/>
      <c r="AO18" s="245"/>
      <c r="AP18" s="353"/>
      <c r="AQ18" s="245"/>
      <c r="AR18" s="357"/>
      <c r="AS18" s="350"/>
      <c r="AT18" s="605"/>
      <c r="AU18" s="245"/>
      <c r="AV18" s="353"/>
      <c r="AW18" s="245"/>
      <c r="AX18" s="357"/>
      <c r="AY18" s="245"/>
      <c r="AZ18" s="357"/>
      <c r="BA18" s="245"/>
      <c r="BB18" s="353"/>
      <c r="BC18" s="245"/>
      <c r="BD18" s="357"/>
      <c r="BE18" s="245"/>
      <c r="BF18" s="357"/>
      <c r="BG18" s="245"/>
      <c r="BH18" s="353"/>
      <c r="BI18" s="245"/>
      <c r="BJ18" s="357"/>
      <c r="BK18" s="245"/>
      <c r="BL18" s="353"/>
      <c r="BM18" s="245"/>
      <c r="BN18" s="357"/>
      <c r="BO18" s="245"/>
      <c r="BP18" s="357"/>
      <c r="BQ18" s="245"/>
      <c r="BR18" s="353"/>
      <c r="BS18" s="245"/>
      <c r="BT18" s="353"/>
      <c r="BU18" s="245"/>
      <c r="BV18" s="357"/>
      <c r="BW18" s="350"/>
      <c r="BX18" s="213"/>
      <c r="BY18" s="213"/>
      <c r="BZ18" s="213"/>
      <c r="CA18" s="213"/>
      <c r="CB18" s="213"/>
      <c r="CC18" s="213"/>
      <c r="CD18" s="213"/>
      <c r="CE18" s="213"/>
      <c r="CF18" s="213"/>
      <c r="CG18" s="213"/>
      <c r="CH18" s="213"/>
      <c r="CI18" s="213"/>
      <c r="CJ18" s="213"/>
      <c r="CK18" s="213"/>
      <c r="CL18" s="213"/>
      <c r="CM18" s="213"/>
      <c r="CN18" s="213"/>
      <c r="CO18" s="213"/>
      <c r="CP18" s="213"/>
      <c r="CQ18" s="213"/>
    </row>
    <row r="19" ht="15.75" customHeight="1">
      <c r="A19" s="213"/>
      <c r="B19" s="924"/>
      <c r="C19" s="350" t="s">
        <v>428</v>
      </c>
      <c r="D19" s="604"/>
      <c r="E19" s="352"/>
      <c r="F19" s="357"/>
      <c r="G19" s="245"/>
      <c r="H19" s="357"/>
      <c r="I19" s="350"/>
      <c r="J19" s="628">
        <v>16533.0</v>
      </c>
      <c r="K19" s="352"/>
      <c r="L19" s="357"/>
      <c r="M19" s="352"/>
      <c r="N19" s="357"/>
      <c r="O19" s="358"/>
      <c r="P19" s="628">
        <v>30875.0</v>
      </c>
      <c r="Q19" s="352"/>
      <c r="R19" s="357"/>
      <c r="S19" s="352"/>
      <c r="T19" s="357"/>
      <c r="U19" s="358"/>
      <c r="V19" s="628">
        <v>18180.0</v>
      </c>
      <c r="W19" s="352"/>
      <c r="X19" s="353"/>
      <c r="Y19" s="352"/>
      <c r="Z19" s="357"/>
      <c r="AA19" s="358"/>
      <c r="AB19" s="604"/>
      <c r="AC19" s="245"/>
      <c r="AD19" s="353"/>
      <c r="AE19" s="245"/>
      <c r="AF19" s="357"/>
      <c r="AG19" s="350"/>
      <c r="AH19" s="604"/>
      <c r="AI19" s="245"/>
      <c r="AJ19" s="353"/>
      <c r="AK19" s="245"/>
      <c r="AL19" s="357"/>
      <c r="AM19" s="350"/>
      <c r="AN19" s="604">
        <v>30952.0</v>
      </c>
      <c r="AO19" s="245"/>
      <c r="AP19" s="353"/>
      <c r="AQ19" s="245"/>
      <c r="AR19" s="357"/>
      <c r="AS19" s="350"/>
      <c r="AT19" s="605">
        <v>133517.0</v>
      </c>
      <c r="AU19" s="245"/>
      <c r="AV19" s="353"/>
      <c r="AW19" s="245"/>
      <c r="AX19" s="357"/>
      <c r="AY19" s="245"/>
      <c r="AZ19" s="357">
        <v>478003.0</v>
      </c>
      <c r="BA19" s="245"/>
      <c r="BB19" s="353"/>
      <c r="BC19" s="245"/>
      <c r="BD19" s="357"/>
      <c r="BE19" s="245"/>
      <c r="BF19" s="357">
        <v>215620.0</v>
      </c>
      <c r="BG19" s="245"/>
      <c r="BH19" s="353"/>
      <c r="BI19" s="245"/>
      <c r="BJ19" s="357"/>
      <c r="BK19" s="245"/>
      <c r="BL19" s="353">
        <v>1051868.0</v>
      </c>
      <c r="BM19" s="245"/>
      <c r="BN19" s="357"/>
      <c r="BO19" s="245"/>
      <c r="BP19" s="357"/>
      <c r="BQ19" s="245"/>
      <c r="BR19" s="353">
        <v>38179.0</v>
      </c>
      <c r="BS19" s="245"/>
      <c r="BT19" s="353"/>
      <c r="BU19" s="245"/>
      <c r="BV19" s="357"/>
      <c r="BW19" s="350"/>
      <c r="BX19" s="213"/>
      <c r="BY19" s="213"/>
      <c r="BZ19" s="213"/>
      <c r="CA19" s="213"/>
      <c r="CB19" s="213"/>
      <c r="CC19" s="213"/>
      <c r="CD19" s="213"/>
      <c r="CE19" s="213"/>
      <c r="CF19" s="213"/>
      <c r="CG19" s="213"/>
      <c r="CH19" s="213"/>
      <c r="CI19" s="213"/>
      <c r="CJ19" s="213"/>
      <c r="CK19" s="213"/>
      <c r="CL19" s="213"/>
      <c r="CM19" s="213"/>
      <c r="CN19" s="213"/>
      <c r="CO19" s="213"/>
      <c r="CP19" s="213"/>
      <c r="CQ19" s="213"/>
    </row>
    <row r="20" ht="15.75" customHeight="1">
      <c r="A20" s="213"/>
      <c r="B20" s="393"/>
      <c r="C20" s="350"/>
      <c r="D20" s="604"/>
      <c r="E20" s="352"/>
      <c r="F20" s="357"/>
      <c r="G20" s="245"/>
      <c r="H20" s="357"/>
      <c r="I20" s="350"/>
      <c r="J20" s="604"/>
      <c r="K20" s="352"/>
      <c r="L20" s="357"/>
      <c r="M20" s="352"/>
      <c r="N20" s="357"/>
      <c r="O20" s="358"/>
      <c r="P20" s="604"/>
      <c r="Q20" s="352"/>
      <c r="R20" s="357"/>
      <c r="S20" s="352"/>
      <c r="T20" s="357"/>
      <c r="U20" s="358"/>
      <c r="V20" s="604"/>
      <c r="W20" s="352"/>
      <c r="X20" s="353"/>
      <c r="Y20" s="352"/>
      <c r="Z20" s="357"/>
      <c r="AA20" s="358"/>
      <c r="AB20" s="604"/>
      <c r="AC20" s="245"/>
      <c r="AD20" s="353"/>
      <c r="AE20" s="245"/>
      <c r="AF20" s="357"/>
      <c r="AG20" s="350"/>
      <c r="AH20" s="604"/>
      <c r="AI20" s="245"/>
      <c r="AJ20" s="353"/>
      <c r="AK20" s="245"/>
      <c r="AL20" s="357"/>
      <c r="AM20" s="350"/>
      <c r="AN20" s="604"/>
      <c r="AO20" s="245"/>
      <c r="AP20" s="353"/>
      <c r="AQ20" s="245"/>
      <c r="AR20" s="357"/>
      <c r="AS20" s="350"/>
      <c r="AT20" s="605"/>
      <c r="AU20" s="245"/>
      <c r="AV20" s="353"/>
      <c r="AW20" s="245"/>
      <c r="AX20" s="357"/>
      <c r="AY20" s="245"/>
      <c r="AZ20" s="357"/>
      <c r="BA20" s="245"/>
      <c r="BB20" s="353"/>
      <c r="BC20" s="245"/>
      <c r="BD20" s="357"/>
      <c r="BE20" s="245"/>
      <c r="BF20" s="357"/>
      <c r="BG20" s="245"/>
      <c r="BH20" s="353"/>
      <c r="BI20" s="245"/>
      <c r="BJ20" s="357"/>
      <c r="BK20" s="245"/>
      <c r="BL20" s="353"/>
      <c r="BM20" s="245"/>
      <c r="BN20" s="357"/>
      <c r="BO20" s="245"/>
      <c r="BP20" s="357"/>
      <c r="BQ20" s="245"/>
      <c r="BR20" s="353"/>
      <c r="BS20" s="245"/>
      <c r="BT20" s="353"/>
      <c r="BU20" s="245"/>
      <c r="BV20" s="357"/>
      <c r="BW20" s="350"/>
      <c r="BX20" s="213"/>
      <c r="BY20" s="213"/>
      <c r="BZ20" s="213"/>
      <c r="CA20" s="213"/>
      <c r="CB20" s="213"/>
      <c r="CC20" s="213"/>
      <c r="CD20" s="213"/>
      <c r="CE20" s="213"/>
      <c r="CF20" s="213"/>
      <c r="CG20" s="213"/>
      <c r="CH20" s="213"/>
      <c r="CI20" s="213"/>
      <c r="CJ20" s="213"/>
      <c r="CK20" s="213"/>
      <c r="CL20" s="213"/>
      <c r="CM20" s="213"/>
      <c r="CN20" s="213"/>
      <c r="CO20" s="213"/>
      <c r="CP20" s="213"/>
      <c r="CQ20" s="213"/>
    </row>
    <row r="21" ht="15.75" customHeight="1">
      <c r="A21" s="213"/>
      <c r="B21" s="393"/>
      <c r="C21" s="350" t="s">
        <v>226</v>
      </c>
      <c r="D21" s="604">
        <f>1103.15+492.5+340+1243.35+11520</f>
        <v>14699</v>
      </c>
      <c r="E21" s="352"/>
      <c r="F21" s="357"/>
      <c r="G21" s="245"/>
      <c r="H21" s="357"/>
      <c r="I21" s="350"/>
      <c r="J21" s="604">
        <f>3429.84+14171.48+129.5+3202.5+2019.3+11352.36</f>
        <v>34304.98</v>
      </c>
      <c r="K21" s="352"/>
      <c r="L21" s="357"/>
      <c r="M21" s="352"/>
      <c r="N21" s="357"/>
      <c r="O21" s="358"/>
      <c r="P21" s="604">
        <v>14413.0</v>
      </c>
      <c r="Q21" s="352"/>
      <c r="R21" s="357"/>
      <c r="S21" s="352"/>
      <c r="T21" s="357"/>
      <c r="U21" s="358"/>
      <c r="V21" s="604">
        <v>19570.0</v>
      </c>
      <c r="W21" s="352"/>
      <c r="X21" s="353"/>
      <c r="Y21" s="352"/>
      <c r="Z21" s="357"/>
      <c r="AA21" s="358"/>
      <c r="AB21" s="604">
        <f>12292+8724</f>
        <v>21016</v>
      </c>
      <c r="AC21" s="245"/>
      <c r="AD21" s="353"/>
      <c r="AE21" s="245"/>
      <c r="AF21" s="357"/>
      <c r="AG21" s="350"/>
      <c r="AH21" s="604">
        <f>9001.58+20+7902.5+1457.5</f>
        <v>18381.58</v>
      </c>
      <c r="AI21" s="245"/>
      <c r="AJ21" s="353"/>
      <c r="AK21" s="245"/>
      <c r="AL21" s="357"/>
      <c r="AM21" s="350"/>
      <c r="AN21" s="604">
        <f>9486.51+40+9198.75+2256.25</f>
        <v>20981.51</v>
      </c>
      <c r="AO21" s="245"/>
      <c r="AP21" s="353"/>
      <c r="AQ21" s="245"/>
      <c r="AR21" s="357"/>
      <c r="AS21" s="350"/>
      <c r="AT21" s="605">
        <f>10794.45+8161.25+1754.5</f>
        <v>20710.2</v>
      </c>
      <c r="AU21" s="245"/>
      <c r="AV21" s="353"/>
      <c r="AW21" s="245"/>
      <c r="AX21" s="357"/>
      <c r="AY21" s="245"/>
      <c r="AZ21" s="357">
        <v>25833.31</v>
      </c>
      <c r="BA21" s="245"/>
      <c r="BB21" s="353"/>
      <c r="BC21" s="245"/>
      <c r="BD21" s="357"/>
      <c r="BE21" s="245"/>
      <c r="BF21" s="357">
        <v>23060.48</v>
      </c>
      <c r="BG21" s="245"/>
      <c r="BH21" s="353"/>
      <c r="BI21" s="245"/>
      <c r="BJ21" s="357"/>
      <c r="BK21" s="245"/>
      <c r="BL21" s="353">
        <f>12348.15+6783.5+62.5+910.8</f>
        <v>20104.95</v>
      </c>
      <c r="BM21" s="245"/>
      <c r="BN21" s="357"/>
      <c r="BO21" s="245"/>
      <c r="BP21" s="357"/>
      <c r="BQ21" s="245"/>
      <c r="BR21" s="353">
        <f>9827.9+10111.07+1236.71</f>
        <v>21175.68</v>
      </c>
      <c r="BS21" s="245"/>
      <c r="BT21" s="353"/>
      <c r="BU21" s="245"/>
      <c r="BV21" s="357"/>
      <c r="BW21" s="350"/>
      <c r="BX21" s="213"/>
      <c r="BY21" s="213"/>
      <c r="BZ21" s="213"/>
      <c r="CA21" s="213"/>
      <c r="CB21" s="213"/>
      <c r="CC21" s="213"/>
      <c r="CD21" s="213"/>
      <c r="CE21" s="213"/>
      <c r="CF21" s="213"/>
      <c r="CG21" s="213"/>
      <c r="CH21" s="213"/>
      <c r="CI21" s="213"/>
      <c r="CJ21" s="213"/>
      <c r="CK21" s="213"/>
      <c r="CL21" s="213"/>
      <c r="CM21" s="213"/>
      <c r="CN21" s="213"/>
      <c r="CO21" s="213"/>
      <c r="CP21" s="213"/>
      <c r="CQ21" s="213"/>
    </row>
    <row r="22" ht="15.75" customHeight="1">
      <c r="A22" s="213"/>
      <c r="B22" s="393"/>
      <c r="C22" s="350"/>
      <c r="D22" s="604"/>
      <c r="E22" s="352"/>
      <c r="F22" s="357"/>
      <c r="G22" s="245"/>
      <c r="H22" s="357"/>
      <c r="I22" s="350"/>
      <c r="J22" s="604"/>
      <c r="K22" s="352"/>
      <c r="L22" s="357"/>
      <c r="M22" s="352"/>
      <c r="N22" s="357"/>
      <c r="O22" s="358"/>
      <c r="P22" s="604"/>
      <c r="Q22" s="352"/>
      <c r="R22" s="357"/>
      <c r="S22" s="352"/>
      <c r="T22" s="357"/>
      <c r="U22" s="358"/>
      <c r="V22" s="604"/>
      <c r="W22" s="352"/>
      <c r="X22" s="353"/>
      <c r="Y22" s="352"/>
      <c r="Z22" s="357"/>
      <c r="AA22" s="358"/>
      <c r="AB22" s="604"/>
      <c r="AC22" s="245"/>
      <c r="AD22" s="353"/>
      <c r="AE22" s="245"/>
      <c r="AF22" s="357"/>
      <c r="AG22" s="350"/>
      <c r="AH22" s="604"/>
      <c r="AI22" s="245"/>
      <c r="AJ22" s="353"/>
      <c r="AK22" s="245"/>
      <c r="AL22" s="357"/>
      <c r="AM22" s="350"/>
      <c r="AN22" s="604"/>
      <c r="AO22" s="245"/>
      <c r="AP22" s="353"/>
      <c r="AQ22" s="245"/>
      <c r="AR22" s="357"/>
      <c r="AS22" s="350"/>
      <c r="AT22" s="605"/>
      <c r="AU22" s="245"/>
      <c r="AV22" s="353"/>
      <c r="AW22" s="245"/>
      <c r="AX22" s="357"/>
      <c r="AY22" s="245"/>
      <c r="AZ22" s="357"/>
      <c r="BA22" s="245"/>
      <c r="BB22" s="353"/>
      <c r="BC22" s="245"/>
      <c r="BD22" s="357"/>
      <c r="BE22" s="245"/>
      <c r="BF22" s="357"/>
      <c r="BG22" s="245"/>
      <c r="BH22" s="353"/>
      <c r="BI22" s="245"/>
      <c r="BJ22" s="357"/>
      <c r="BK22" s="245"/>
      <c r="BL22" s="353"/>
      <c r="BM22" s="245"/>
      <c r="BN22" s="357"/>
      <c r="BO22" s="245"/>
      <c r="BP22" s="357"/>
      <c r="BQ22" s="245"/>
      <c r="BR22" s="353"/>
      <c r="BS22" s="245"/>
      <c r="BT22" s="353"/>
      <c r="BU22" s="245"/>
      <c r="BV22" s="357"/>
      <c r="BW22" s="350"/>
      <c r="BX22" s="213"/>
      <c r="BY22" s="213"/>
      <c r="BZ22" s="213"/>
      <c r="CA22" s="213"/>
      <c r="CB22" s="213"/>
      <c r="CC22" s="213"/>
      <c r="CD22" s="213"/>
      <c r="CE22" s="213"/>
      <c r="CF22" s="213"/>
      <c r="CG22" s="213"/>
      <c r="CH22" s="213"/>
      <c r="CI22" s="213"/>
      <c r="CJ22" s="213"/>
      <c r="CK22" s="213"/>
      <c r="CL22" s="213"/>
      <c r="CM22" s="213"/>
      <c r="CN22" s="213"/>
      <c r="CO22" s="213"/>
      <c r="CP22" s="213"/>
      <c r="CQ22" s="213"/>
    </row>
    <row r="23" ht="15.75" customHeight="1">
      <c r="A23" s="213"/>
      <c r="B23" s="349"/>
      <c r="C23" s="350"/>
      <c r="D23" s="604"/>
      <c r="E23" s="352"/>
      <c r="F23" s="357"/>
      <c r="G23" s="245"/>
      <c r="H23" s="357"/>
      <c r="I23" s="350"/>
      <c r="J23" s="604"/>
      <c r="K23" s="352"/>
      <c r="L23" s="357"/>
      <c r="M23" s="352"/>
      <c r="N23" s="357"/>
      <c r="O23" s="358"/>
      <c r="P23" s="604"/>
      <c r="Q23" s="352"/>
      <c r="R23" s="357"/>
      <c r="S23" s="352"/>
      <c r="T23" s="357"/>
      <c r="U23" s="358"/>
      <c r="V23" s="604"/>
      <c r="W23" s="352"/>
      <c r="X23" s="353"/>
      <c r="Y23" s="352"/>
      <c r="Z23" s="357"/>
      <c r="AA23" s="358"/>
      <c r="AB23" s="604"/>
      <c r="AC23" s="245"/>
      <c r="AD23" s="353"/>
      <c r="AE23" s="245"/>
      <c r="AF23" s="357"/>
      <c r="AG23" s="350"/>
      <c r="AH23" s="604"/>
      <c r="AI23" s="245"/>
      <c r="AJ23" s="353"/>
      <c r="AK23" s="245"/>
      <c r="AL23" s="357"/>
      <c r="AM23" s="350"/>
      <c r="AN23" s="604"/>
      <c r="AO23" s="245"/>
      <c r="AP23" s="353"/>
      <c r="AQ23" s="245"/>
      <c r="AR23" s="357"/>
      <c r="AS23" s="350"/>
      <c r="AT23" s="605"/>
      <c r="AU23" s="245"/>
      <c r="AV23" s="353"/>
      <c r="AW23" s="245"/>
      <c r="AX23" s="357"/>
      <c r="AY23" s="245"/>
      <c r="AZ23" s="357"/>
      <c r="BA23" s="245"/>
      <c r="BB23" s="353"/>
      <c r="BC23" s="245"/>
      <c r="BD23" s="357"/>
      <c r="BE23" s="245"/>
      <c r="BF23" s="357"/>
      <c r="BG23" s="245"/>
      <c r="BH23" s="353"/>
      <c r="BI23" s="245"/>
      <c r="BJ23" s="357"/>
      <c r="BK23" s="245"/>
      <c r="BL23" s="353"/>
      <c r="BM23" s="245"/>
      <c r="BN23" s="357"/>
      <c r="BO23" s="245"/>
      <c r="BP23" s="357"/>
      <c r="BQ23" s="245"/>
      <c r="BR23" s="353"/>
      <c r="BS23" s="245"/>
      <c r="BT23" s="353"/>
      <c r="BU23" s="245"/>
      <c r="BV23" s="357"/>
      <c r="BW23" s="350"/>
      <c r="BX23" s="213"/>
      <c r="BY23" s="213"/>
      <c r="BZ23" s="213"/>
      <c r="CA23" s="213"/>
      <c r="CB23" s="213"/>
      <c r="CC23" s="213"/>
      <c r="CD23" s="213"/>
      <c r="CE23" s="213"/>
      <c r="CF23" s="213"/>
      <c r="CG23" s="213"/>
      <c r="CH23" s="213"/>
      <c r="CI23" s="213"/>
      <c r="CJ23" s="213"/>
      <c r="CK23" s="213"/>
      <c r="CL23" s="213"/>
      <c r="CM23" s="213"/>
      <c r="CN23" s="213"/>
      <c r="CO23" s="213"/>
      <c r="CP23" s="213"/>
      <c r="CQ23" s="213"/>
    </row>
    <row r="24" ht="15.75" customHeight="1">
      <c r="A24" s="213"/>
      <c r="B24" s="349" t="s">
        <v>22</v>
      </c>
      <c r="C24" s="350" t="s">
        <v>22</v>
      </c>
      <c r="D24" s="604">
        <v>0.0</v>
      </c>
      <c r="E24" s="352"/>
      <c r="F24" s="357">
        <v>0.0</v>
      </c>
      <c r="G24" s="245"/>
      <c r="H24" s="357">
        <v>0.0</v>
      </c>
      <c r="I24" s="350"/>
      <c r="J24" s="604">
        <v>0.0</v>
      </c>
      <c r="K24" s="352"/>
      <c r="L24" s="357">
        <v>0.0</v>
      </c>
      <c r="M24" s="352"/>
      <c r="N24" s="357">
        <v>0.0</v>
      </c>
      <c r="O24" s="358"/>
      <c r="P24" s="604">
        <v>0.0</v>
      </c>
      <c r="Q24" s="352"/>
      <c r="R24" s="357">
        <v>0.0</v>
      </c>
      <c r="S24" s="352"/>
      <c r="T24" s="357">
        <v>0.0</v>
      </c>
      <c r="U24" s="358"/>
      <c r="V24" s="604">
        <v>0.0</v>
      </c>
      <c r="W24" s="352"/>
      <c r="X24" s="353">
        <v>0.0</v>
      </c>
      <c r="Y24" s="352"/>
      <c r="Z24" s="357">
        <v>0.0</v>
      </c>
      <c r="AA24" s="358"/>
      <c r="AB24" s="604">
        <v>0.0</v>
      </c>
      <c r="AC24" s="245"/>
      <c r="AD24" s="353">
        <v>0.0</v>
      </c>
      <c r="AE24" s="245"/>
      <c r="AF24" s="357">
        <v>0.0</v>
      </c>
      <c r="AG24" s="350"/>
      <c r="AH24" s="604">
        <v>0.0</v>
      </c>
      <c r="AI24" s="245"/>
      <c r="AJ24" s="353">
        <v>0.0</v>
      </c>
      <c r="AK24" s="245"/>
      <c r="AL24" s="357">
        <v>0.0</v>
      </c>
      <c r="AM24" s="350"/>
      <c r="AN24" s="604">
        <v>0.0</v>
      </c>
      <c r="AO24" s="245"/>
      <c r="AP24" s="353">
        <v>0.0</v>
      </c>
      <c r="AQ24" s="245"/>
      <c r="AR24" s="357">
        <v>0.0</v>
      </c>
      <c r="AS24" s="350"/>
      <c r="AT24" s="605">
        <v>0.0</v>
      </c>
      <c r="AU24" s="245"/>
      <c r="AV24" s="353">
        <v>0.0</v>
      </c>
      <c r="AW24" s="245"/>
      <c r="AX24" s="357">
        <v>0.0</v>
      </c>
      <c r="AY24" s="245"/>
      <c r="AZ24" s="357">
        <v>0.0</v>
      </c>
      <c r="BA24" s="245"/>
      <c r="BB24" s="353">
        <v>0.0</v>
      </c>
      <c r="BC24" s="245"/>
      <c r="BD24" s="357">
        <v>0.0</v>
      </c>
      <c r="BE24" s="245"/>
      <c r="BF24" s="357">
        <v>0.0</v>
      </c>
      <c r="BG24" s="245"/>
      <c r="BH24" s="353">
        <v>0.0</v>
      </c>
      <c r="BI24" s="245"/>
      <c r="BJ24" s="357">
        <v>0.0</v>
      </c>
      <c r="BK24" s="245"/>
      <c r="BL24" s="353">
        <v>0.0</v>
      </c>
      <c r="BM24" s="245"/>
      <c r="BN24" s="357">
        <v>0.0</v>
      </c>
      <c r="BO24" s="245"/>
      <c r="BP24" s="357">
        <v>0.0</v>
      </c>
      <c r="BQ24" s="245"/>
      <c r="BR24" s="353">
        <v>0.0</v>
      </c>
      <c r="BS24" s="245"/>
      <c r="BT24" s="353">
        <v>0.0</v>
      </c>
      <c r="BU24" s="245"/>
      <c r="BV24" s="357">
        <v>0.0</v>
      </c>
      <c r="BW24" s="350"/>
      <c r="BX24" s="213"/>
      <c r="BY24" s="213"/>
      <c r="BZ24" s="213"/>
      <c r="CA24" s="213"/>
      <c r="CB24" s="213"/>
      <c r="CC24" s="213"/>
      <c r="CD24" s="213"/>
      <c r="CE24" s="213"/>
      <c r="CF24" s="213"/>
      <c r="CG24" s="213"/>
      <c r="CH24" s="213"/>
      <c r="CI24" s="213"/>
      <c r="CJ24" s="213"/>
      <c r="CK24" s="213"/>
      <c r="CL24" s="213"/>
      <c r="CM24" s="213"/>
      <c r="CN24" s="213"/>
      <c r="CO24" s="213"/>
      <c r="CP24" s="213"/>
      <c r="CQ24" s="213"/>
    </row>
    <row r="25" ht="15.75" customHeight="1">
      <c r="A25" s="213"/>
      <c r="B25" s="349" t="s">
        <v>23</v>
      </c>
      <c r="C25" s="350" t="s">
        <v>23</v>
      </c>
      <c r="D25" s="604">
        <v>0.0</v>
      </c>
      <c r="E25" s="352"/>
      <c r="F25" s="357">
        <v>0.0</v>
      </c>
      <c r="G25" s="245"/>
      <c r="H25" s="357">
        <v>0.0</v>
      </c>
      <c r="I25" s="350"/>
      <c r="J25" s="604">
        <v>0.0</v>
      </c>
      <c r="K25" s="352"/>
      <c r="L25" s="357">
        <v>0.0</v>
      </c>
      <c r="M25" s="352"/>
      <c r="N25" s="357">
        <v>0.0</v>
      </c>
      <c r="O25" s="358"/>
      <c r="P25" s="604">
        <v>0.0</v>
      </c>
      <c r="Q25" s="352"/>
      <c r="R25" s="357">
        <v>0.0</v>
      </c>
      <c r="S25" s="352"/>
      <c r="T25" s="357">
        <v>0.0</v>
      </c>
      <c r="U25" s="358"/>
      <c r="V25" s="604">
        <v>0.0</v>
      </c>
      <c r="W25" s="352"/>
      <c r="X25" s="353">
        <v>0.0</v>
      </c>
      <c r="Y25" s="352"/>
      <c r="Z25" s="357">
        <v>0.0</v>
      </c>
      <c r="AA25" s="358"/>
      <c r="AB25" s="604">
        <v>0.0</v>
      </c>
      <c r="AC25" s="245"/>
      <c r="AD25" s="353">
        <v>0.0</v>
      </c>
      <c r="AE25" s="245"/>
      <c r="AF25" s="357">
        <v>0.0</v>
      </c>
      <c r="AG25" s="350"/>
      <c r="AH25" s="604">
        <v>0.0</v>
      </c>
      <c r="AI25" s="245"/>
      <c r="AJ25" s="353">
        <v>0.0</v>
      </c>
      <c r="AK25" s="245"/>
      <c r="AL25" s="357">
        <v>0.0</v>
      </c>
      <c r="AM25" s="350"/>
      <c r="AN25" s="604">
        <v>0.0</v>
      </c>
      <c r="AO25" s="245"/>
      <c r="AP25" s="353">
        <v>0.0</v>
      </c>
      <c r="AQ25" s="245"/>
      <c r="AR25" s="357">
        <v>0.0</v>
      </c>
      <c r="AS25" s="350"/>
      <c r="AT25" s="605">
        <v>0.0</v>
      </c>
      <c r="AU25" s="245"/>
      <c r="AV25" s="353">
        <v>0.0</v>
      </c>
      <c r="AW25" s="245"/>
      <c r="AX25" s="357">
        <v>0.0</v>
      </c>
      <c r="AY25" s="245"/>
      <c r="AZ25" s="357">
        <v>0.0</v>
      </c>
      <c r="BA25" s="245"/>
      <c r="BB25" s="353">
        <v>0.0</v>
      </c>
      <c r="BC25" s="245"/>
      <c r="BD25" s="357">
        <v>0.0</v>
      </c>
      <c r="BE25" s="245"/>
      <c r="BF25" s="357">
        <v>0.0</v>
      </c>
      <c r="BG25" s="245"/>
      <c r="BH25" s="353">
        <v>0.0</v>
      </c>
      <c r="BI25" s="245"/>
      <c r="BJ25" s="357">
        <v>0.0</v>
      </c>
      <c r="BK25" s="245"/>
      <c r="BL25" s="353">
        <v>0.0</v>
      </c>
      <c r="BM25" s="245"/>
      <c r="BN25" s="357">
        <v>0.0</v>
      </c>
      <c r="BO25" s="245"/>
      <c r="BP25" s="357">
        <v>0.0</v>
      </c>
      <c r="BQ25" s="245"/>
      <c r="BR25" s="353">
        <v>0.0</v>
      </c>
      <c r="BS25" s="245"/>
      <c r="BT25" s="353">
        <v>0.0</v>
      </c>
      <c r="BU25" s="245"/>
      <c r="BV25" s="357">
        <v>0.0</v>
      </c>
      <c r="BW25" s="350"/>
      <c r="BX25" s="213"/>
      <c r="BY25" s="213"/>
      <c r="BZ25" s="213"/>
      <c r="CA25" s="213"/>
      <c r="CB25" s="213"/>
      <c r="CC25" s="213"/>
      <c r="CD25" s="213"/>
      <c r="CE25" s="213"/>
      <c r="CF25" s="213"/>
      <c r="CG25" s="213"/>
      <c r="CH25" s="213"/>
      <c r="CI25" s="213"/>
      <c r="CJ25" s="213"/>
      <c r="CK25" s="213"/>
      <c r="CL25" s="213"/>
      <c r="CM25" s="213"/>
      <c r="CN25" s="213"/>
      <c r="CO25" s="213"/>
      <c r="CP25" s="213"/>
      <c r="CQ25" s="213"/>
    </row>
    <row r="26" ht="15.75" customHeight="1">
      <c r="A26" s="213"/>
      <c r="B26" s="349" t="s">
        <v>24</v>
      </c>
      <c r="C26" s="350" t="s">
        <v>230</v>
      </c>
      <c r="D26" s="609">
        <f>SUM(D17:D21)</f>
        <v>314020</v>
      </c>
      <c r="E26" s="352"/>
      <c r="F26" s="400">
        <f>SUM(F17:F21)</f>
        <v>80000</v>
      </c>
      <c r="G26" s="245"/>
      <c r="H26" s="400">
        <f>SUM(H17:H21)</f>
        <v>219321</v>
      </c>
      <c r="I26" s="350"/>
      <c r="J26" s="609">
        <f>SUM(J17:J21)</f>
        <v>385119.98</v>
      </c>
      <c r="K26" s="352"/>
      <c r="L26" s="400">
        <f>SUM(L17:L21)</f>
        <v>80000</v>
      </c>
      <c r="M26" s="352"/>
      <c r="N26" s="400">
        <f>SUM(N17:N21)</f>
        <v>0</v>
      </c>
      <c r="O26" s="358"/>
      <c r="P26" s="609">
        <f>SUM(P17:P21)</f>
        <v>334806</v>
      </c>
      <c r="Q26" s="352"/>
      <c r="R26" s="400">
        <f>SUM(R17:R21)</f>
        <v>80000</v>
      </c>
      <c r="S26" s="352"/>
      <c r="T26" s="400">
        <f>SUM(T17:T21)</f>
        <v>0</v>
      </c>
      <c r="U26" s="358"/>
      <c r="V26" s="609">
        <f>SUM(V17:V21)</f>
        <v>428164</v>
      </c>
      <c r="W26" s="352"/>
      <c r="X26" s="399">
        <f>SUM(X17:X21)</f>
        <v>80000</v>
      </c>
      <c r="Y26" s="352"/>
      <c r="Z26" s="400">
        <f>SUM(Z17:Z21)</f>
        <v>0</v>
      </c>
      <c r="AA26" s="358"/>
      <c r="AB26" s="609">
        <f>SUM(AB17:AB21)</f>
        <v>440346</v>
      </c>
      <c r="AC26" s="245"/>
      <c r="AD26" s="399">
        <f>SUM(AD17:AD21)</f>
        <v>84000</v>
      </c>
      <c r="AE26" s="245"/>
      <c r="AF26" s="400">
        <f>SUM(AF17:AF21)</f>
        <v>0</v>
      </c>
      <c r="AG26" s="350"/>
      <c r="AH26" s="609">
        <f>SUM(AH17:AH21)</f>
        <v>379403.58</v>
      </c>
      <c r="AI26" s="245"/>
      <c r="AJ26" s="399">
        <f>SUM(AJ17:AJ21)</f>
        <v>84000</v>
      </c>
      <c r="AK26" s="245"/>
      <c r="AL26" s="400">
        <f>SUM(AL17:AL21)</f>
        <v>0</v>
      </c>
      <c r="AM26" s="350"/>
      <c r="AN26" s="609">
        <f>SUM(AN17:AN21)</f>
        <v>467188.27</v>
      </c>
      <c r="AO26" s="245"/>
      <c r="AP26" s="399">
        <f>SUM(AP17:AP21)</f>
        <v>88200</v>
      </c>
      <c r="AQ26" s="245"/>
      <c r="AR26" s="400">
        <f>SUM(AR17:AR21)</f>
        <v>0</v>
      </c>
      <c r="AS26" s="350"/>
      <c r="AT26" s="610">
        <f>SUM(AT17:AT21)</f>
        <v>562680.2</v>
      </c>
      <c r="AU26" s="245"/>
      <c r="AV26" s="399">
        <f>SUM(AV17:AV21)</f>
        <v>83790</v>
      </c>
      <c r="AW26" s="245"/>
      <c r="AX26" s="400">
        <f>SUM(AX17:AX21)</f>
        <v>0</v>
      </c>
      <c r="AY26" s="245"/>
      <c r="AZ26" s="400">
        <f>SUM(AZ17:AZ21)</f>
        <v>1004766.31</v>
      </c>
      <c r="BA26" s="245"/>
      <c r="BB26" s="399">
        <f>SUM(BB17:BB21)</f>
        <v>96359</v>
      </c>
      <c r="BC26" s="245"/>
      <c r="BD26" s="400">
        <f>SUM(BD17:BD21)</f>
        <v>0</v>
      </c>
      <c r="BE26" s="245"/>
      <c r="BF26" s="400">
        <f>SUM(BF17:BF21)</f>
        <v>683553.02</v>
      </c>
      <c r="BG26" s="245"/>
      <c r="BH26" s="399">
        <f>SUM(BH17:BH21)</f>
        <v>83790</v>
      </c>
      <c r="BI26" s="245"/>
      <c r="BJ26" s="400">
        <f>SUM(BJ17:BJ21)</f>
        <v>0</v>
      </c>
      <c r="BK26" s="245"/>
      <c r="BL26" s="399">
        <f>SUM(BL17:BL21)</f>
        <v>1462260.95</v>
      </c>
      <c r="BM26" s="245"/>
      <c r="BN26" s="400">
        <f>SUM(BN17:BN21)</f>
        <v>71300</v>
      </c>
      <c r="BO26" s="245"/>
      <c r="BP26" s="400">
        <f>SUM(BP17:BP21)</f>
        <v>0</v>
      </c>
      <c r="BQ26" s="245"/>
      <c r="BR26" s="399">
        <f>SUM(BR17:BR21)</f>
        <v>461092.68</v>
      </c>
      <c r="BS26" s="245"/>
      <c r="BT26" s="399">
        <f>SUM(BT17:BT21)</f>
        <v>78500</v>
      </c>
      <c r="BU26" s="245"/>
      <c r="BV26" s="400">
        <f>SUM(BV17:BV21)</f>
        <v>0</v>
      </c>
      <c r="BW26" s="350"/>
      <c r="BX26" s="213"/>
      <c r="BY26" s="213"/>
      <c r="BZ26" s="213"/>
      <c r="CA26" s="213"/>
      <c r="CB26" s="213"/>
      <c r="CC26" s="213"/>
      <c r="CD26" s="213"/>
      <c r="CE26" s="213"/>
      <c r="CF26" s="213"/>
      <c r="CG26" s="213"/>
      <c r="CH26" s="213"/>
      <c r="CI26" s="213"/>
      <c r="CJ26" s="213"/>
      <c r="CK26" s="213"/>
      <c r="CL26" s="213"/>
      <c r="CM26" s="213"/>
      <c r="CN26" s="213"/>
      <c r="CO26" s="213"/>
      <c r="CP26" s="213"/>
      <c r="CQ26" s="213"/>
    </row>
    <row r="27" ht="15.75" customHeight="1">
      <c r="A27" s="213"/>
      <c r="B27" s="393"/>
      <c r="C27" s="350"/>
      <c r="D27" s="604"/>
      <c r="E27" s="352"/>
      <c r="F27" s="352"/>
      <c r="G27" s="245"/>
      <c r="H27" s="245"/>
      <c r="I27" s="350"/>
      <c r="J27" s="604"/>
      <c r="K27" s="352"/>
      <c r="L27" s="352"/>
      <c r="M27" s="352"/>
      <c r="N27" s="352"/>
      <c r="O27" s="358"/>
      <c r="P27" s="604"/>
      <c r="Q27" s="352"/>
      <c r="R27" s="352"/>
      <c r="S27" s="352"/>
      <c r="T27" s="352"/>
      <c r="U27" s="358"/>
      <c r="V27" s="604"/>
      <c r="W27" s="352"/>
      <c r="X27" s="353"/>
      <c r="Y27" s="352"/>
      <c r="Z27" s="352"/>
      <c r="AA27" s="358"/>
      <c r="AB27" s="349"/>
      <c r="AC27" s="245"/>
      <c r="AD27" s="353"/>
      <c r="AE27" s="245"/>
      <c r="AF27" s="245"/>
      <c r="AG27" s="350"/>
      <c r="AH27" s="604"/>
      <c r="AI27" s="245"/>
      <c r="AJ27" s="353"/>
      <c r="AK27" s="245"/>
      <c r="AL27" s="245"/>
      <c r="AM27" s="350"/>
      <c r="AN27" s="604"/>
      <c r="AO27" s="245"/>
      <c r="AP27" s="353"/>
      <c r="AQ27" s="245"/>
      <c r="AR27" s="245"/>
      <c r="AS27" s="350"/>
      <c r="AT27" s="605"/>
      <c r="AU27" s="245"/>
      <c r="AV27" s="353"/>
      <c r="AW27" s="245"/>
      <c r="AX27" s="245"/>
      <c r="AY27" s="245"/>
      <c r="AZ27" s="357"/>
      <c r="BA27" s="245"/>
      <c r="BB27" s="353"/>
      <c r="BC27" s="245"/>
      <c r="BD27" s="245"/>
      <c r="BE27" s="245"/>
      <c r="BF27" s="357"/>
      <c r="BG27" s="245"/>
      <c r="BH27" s="353"/>
      <c r="BI27" s="245"/>
      <c r="BJ27" s="245"/>
      <c r="BK27" s="245"/>
      <c r="BL27" s="353"/>
      <c r="BM27" s="245"/>
      <c r="BN27" s="352"/>
      <c r="BO27" s="245"/>
      <c r="BP27" s="245"/>
      <c r="BQ27" s="245"/>
      <c r="BR27" s="353"/>
      <c r="BS27" s="245"/>
      <c r="BT27" s="353"/>
      <c r="BU27" s="245"/>
      <c r="BV27" s="245"/>
      <c r="BW27" s="350"/>
      <c r="BX27" s="213"/>
      <c r="BY27" s="213"/>
      <c r="BZ27" s="213"/>
      <c r="CA27" s="213"/>
      <c r="CB27" s="213"/>
      <c r="CC27" s="213"/>
      <c r="CD27" s="213"/>
      <c r="CE27" s="213"/>
      <c r="CF27" s="213"/>
      <c r="CG27" s="213"/>
      <c r="CH27" s="213"/>
      <c r="CI27" s="213"/>
      <c r="CJ27" s="213"/>
      <c r="CK27" s="213"/>
      <c r="CL27" s="213"/>
      <c r="CM27" s="213"/>
      <c r="CN27" s="213"/>
      <c r="CO27" s="213"/>
      <c r="CP27" s="213"/>
      <c r="CQ27" s="213"/>
    </row>
    <row r="28" ht="15.75" customHeight="1">
      <c r="A28" s="213"/>
      <c r="B28" s="403"/>
      <c r="C28" s="362" t="s">
        <v>231</v>
      </c>
      <c r="D28" s="619"/>
      <c r="E28" s="364"/>
      <c r="F28" s="364"/>
      <c r="G28" s="688"/>
      <c r="H28" s="688"/>
      <c r="I28" s="362"/>
      <c r="J28" s="619"/>
      <c r="K28" s="364"/>
      <c r="L28" s="364"/>
      <c r="M28" s="364"/>
      <c r="N28" s="364"/>
      <c r="O28" s="368"/>
      <c r="P28" s="619"/>
      <c r="Q28" s="364"/>
      <c r="R28" s="364"/>
      <c r="S28" s="364"/>
      <c r="T28" s="364"/>
      <c r="U28" s="368"/>
      <c r="V28" s="619"/>
      <c r="W28" s="364"/>
      <c r="X28" s="365"/>
      <c r="Y28" s="364"/>
      <c r="Z28" s="364"/>
      <c r="AA28" s="368"/>
      <c r="AB28" s="361"/>
      <c r="AC28" s="688"/>
      <c r="AD28" s="365"/>
      <c r="AE28" s="688"/>
      <c r="AF28" s="688"/>
      <c r="AG28" s="362"/>
      <c r="AH28" s="619"/>
      <c r="AI28" s="688"/>
      <c r="AJ28" s="365"/>
      <c r="AK28" s="688"/>
      <c r="AL28" s="688"/>
      <c r="AM28" s="362"/>
      <c r="AN28" s="619"/>
      <c r="AO28" s="688"/>
      <c r="AP28" s="365"/>
      <c r="AQ28" s="688"/>
      <c r="AR28" s="688"/>
      <c r="AS28" s="362"/>
      <c r="AT28" s="793"/>
      <c r="AU28" s="688"/>
      <c r="AV28" s="365"/>
      <c r="AW28" s="688"/>
      <c r="AX28" s="688"/>
      <c r="AY28" s="688"/>
      <c r="AZ28" s="367"/>
      <c r="BA28" s="688"/>
      <c r="BB28" s="365"/>
      <c r="BC28" s="688"/>
      <c r="BD28" s="688"/>
      <c r="BE28" s="688"/>
      <c r="BF28" s="367"/>
      <c r="BG28" s="688"/>
      <c r="BH28" s="365"/>
      <c r="BI28" s="688"/>
      <c r="BJ28" s="688"/>
      <c r="BK28" s="688"/>
      <c r="BL28" s="365"/>
      <c r="BM28" s="688"/>
      <c r="BN28" s="364"/>
      <c r="BO28" s="688"/>
      <c r="BP28" s="688"/>
      <c r="BQ28" s="688"/>
      <c r="BR28" s="794"/>
      <c r="BS28" s="688"/>
      <c r="BT28" s="365"/>
      <c r="BU28" s="688"/>
      <c r="BV28" s="688"/>
      <c r="BW28" s="362"/>
      <c r="BX28" s="213"/>
      <c r="BY28" s="213"/>
      <c r="BZ28" s="213"/>
      <c r="CA28" s="213"/>
      <c r="CB28" s="213"/>
      <c r="CC28" s="213"/>
      <c r="CD28" s="213"/>
      <c r="CE28" s="213"/>
      <c r="CF28" s="213"/>
      <c r="CG28" s="213"/>
      <c r="CH28" s="213"/>
      <c r="CI28" s="213"/>
      <c r="CJ28" s="213"/>
      <c r="CK28" s="213"/>
      <c r="CL28" s="213"/>
      <c r="CM28" s="213"/>
      <c r="CN28" s="213"/>
      <c r="CO28" s="213"/>
      <c r="CP28" s="213"/>
      <c r="CQ28" s="213"/>
    </row>
    <row r="29" ht="15.75" customHeight="1">
      <c r="A29" s="213"/>
      <c r="B29" s="407"/>
      <c r="C29" s="372" t="s">
        <v>232</v>
      </c>
      <c r="D29" s="600">
        <f>D24+D25+D26+D28</f>
        <v>314020</v>
      </c>
      <c r="E29" s="408"/>
      <c r="F29" s="377">
        <f>F24+F25+F26+F28</f>
        <v>80000</v>
      </c>
      <c r="G29" s="437"/>
      <c r="H29" s="377">
        <f>H24+H25+H26+H28</f>
        <v>219321</v>
      </c>
      <c r="I29" s="372"/>
      <c r="J29" s="600">
        <f>J24+J25+J26+J28</f>
        <v>385119.98</v>
      </c>
      <c r="K29" s="408"/>
      <c r="L29" s="377">
        <f>L24+L25+L26+L28</f>
        <v>80000</v>
      </c>
      <c r="M29" s="408"/>
      <c r="N29" s="377">
        <f>N24+N25+N26+N28</f>
        <v>0</v>
      </c>
      <c r="O29" s="378"/>
      <c r="P29" s="600">
        <f>P24+P25+P26+P28</f>
        <v>334806</v>
      </c>
      <c r="Q29" s="408"/>
      <c r="R29" s="377">
        <f>R24+R25+R26+R28</f>
        <v>80000</v>
      </c>
      <c r="S29" s="408"/>
      <c r="T29" s="377">
        <f>T24+T25+T26+T28</f>
        <v>0</v>
      </c>
      <c r="U29" s="378"/>
      <c r="V29" s="600">
        <f>V24+V25+V26+V28</f>
        <v>428164</v>
      </c>
      <c r="W29" s="408"/>
      <c r="X29" s="375">
        <f>X24+X25+X26+X28</f>
        <v>80000</v>
      </c>
      <c r="Y29" s="408"/>
      <c r="Z29" s="377">
        <f>Z24+Z25+Z26+Z28</f>
        <v>0</v>
      </c>
      <c r="AA29" s="378"/>
      <c r="AB29" s="600">
        <f>AB24+AB25+AB26+AB28</f>
        <v>440346</v>
      </c>
      <c r="AC29" s="437"/>
      <c r="AD29" s="375">
        <f>AD24+AD25+AD26+AD28</f>
        <v>84000</v>
      </c>
      <c r="AE29" s="437"/>
      <c r="AF29" s="377">
        <f>AF24+AF25+AF26+AF28</f>
        <v>0</v>
      </c>
      <c r="AG29" s="372"/>
      <c r="AH29" s="600">
        <f>AH24+AH25+AH26+AH28</f>
        <v>379403.58</v>
      </c>
      <c r="AI29" s="437"/>
      <c r="AJ29" s="375">
        <f>AJ24+AJ25+AJ26+AJ28</f>
        <v>84000</v>
      </c>
      <c r="AK29" s="437"/>
      <c r="AL29" s="377">
        <f>AL24+AL25+AL26+AL28</f>
        <v>0</v>
      </c>
      <c r="AM29" s="372"/>
      <c r="AN29" s="600">
        <f>AN24+AN25+AN26+AN28</f>
        <v>467188.27</v>
      </c>
      <c r="AO29" s="437"/>
      <c r="AP29" s="375">
        <f>AP24+AP25+AP26+AP28</f>
        <v>88200</v>
      </c>
      <c r="AQ29" s="437"/>
      <c r="AR29" s="377">
        <f>AR24+AR25+AR26+AR28</f>
        <v>0</v>
      </c>
      <c r="AS29" s="372"/>
      <c r="AT29" s="601">
        <f>AT24+AT25+AT26+AT28</f>
        <v>562680.2</v>
      </c>
      <c r="AU29" s="437"/>
      <c r="AV29" s="375">
        <f>AV24+AV25+AV26+AV28</f>
        <v>83790</v>
      </c>
      <c r="AW29" s="437"/>
      <c r="AX29" s="377">
        <f>AX24+AX25+AX26+AX28</f>
        <v>0</v>
      </c>
      <c r="AY29" s="437"/>
      <c r="AZ29" s="377">
        <f>AZ24+AZ25+AZ26+AZ28</f>
        <v>1004766.31</v>
      </c>
      <c r="BA29" s="437"/>
      <c r="BB29" s="375">
        <f>BB24+BB25+BB26+BB28</f>
        <v>96359</v>
      </c>
      <c r="BC29" s="437"/>
      <c r="BD29" s="377">
        <f>BD24+BD25+BD26+BD28</f>
        <v>0</v>
      </c>
      <c r="BE29" s="437"/>
      <c r="BF29" s="377">
        <f>BF24+BF25+BF26+BF28</f>
        <v>683553.02</v>
      </c>
      <c r="BG29" s="437"/>
      <c r="BH29" s="375">
        <f>BH24+BH25+BH26+BH28</f>
        <v>83790</v>
      </c>
      <c r="BI29" s="437"/>
      <c r="BJ29" s="377">
        <f>BJ24+BJ25+BJ26+BJ28</f>
        <v>0</v>
      </c>
      <c r="BK29" s="437"/>
      <c r="BL29" s="375">
        <f>BL24+BL25+BL26+BL28</f>
        <v>1462260.95</v>
      </c>
      <c r="BM29" s="437"/>
      <c r="BN29" s="377">
        <f>BN24+BN25+BN26+BN28</f>
        <v>71300</v>
      </c>
      <c r="BO29" s="437"/>
      <c r="BP29" s="377">
        <f>BP24+BP25+BP26+BP28</f>
        <v>0</v>
      </c>
      <c r="BQ29" s="437"/>
      <c r="BR29" s="375">
        <f>BR24+BR25+BR26+BR28</f>
        <v>461092.68</v>
      </c>
      <c r="BS29" s="437"/>
      <c r="BT29" s="375">
        <f>BT24+BT25+BT26+BT28</f>
        <v>78500</v>
      </c>
      <c r="BU29" s="437"/>
      <c r="BV29" s="377">
        <f>BV24+BV25+BV26+BV28</f>
        <v>0</v>
      </c>
      <c r="BW29" s="372"/>
      <c r="BX29" s="237">
        <f>D29+J29+P29+V29+AB29+AH29+AN29+AT29+AZ29+BF29+BL29+BR29</f>
        <v>6923400.99</v>
      </c>
      <c r="BY29" s="216"/>
      <c r="BZ29" s="216"/>
      <c r="CA29" s="216"/>
      <c r="CB29" s="216"/>
      <c r="CC29" s="216"/>
      <c r="CD29" s="216"/>
      <c r="CE29" s="216"/>
      <c r="CF29" s="216"/>
      <c r="CG29" s="216"/>
      <c r="CH29" s="216"/>
      <c r="CI29" s="216"/>
      <c r="CJ29" s="216"/>
      <c r="CK29" s="216"/>
      <c r="CL29" s="216"/>
      <c r="CM29" s="216"/>
      <c r="CN29" s="216"/>
      <c r="CO29" s="216"/>
      <c r="CP29" s="216"/>
      <c r="CQ29" s="216"/>
    </row>
    <row r="30" ht="15.75" hidden="1" customHeight="1">
      <c r="A30" s="213"/>
      <c r="B30" s="382"/>
      <c r="C30" s="383"/>
      <c r="D30" s="708"/>
      <c r="E30" s="440"/>
      <c r="F30" s="440"/>
      <c r="G30" s="440"/>
      <c r="H30" s="440"/>
      <c r="I30" s="389"/>
      <c r="J30" s="708"/>
      <c r="K30" s="440"/>
      <c r="L30" s="440"/>
      <c r="M30" s="440"/>
      <c r="N30" s="440"/>
      <c r="O30" s="389"/>
      <c r="P30" s="708"/>
      <c r="Q30" s="440"/>
      <c r="R30" s="440"/>
      <c r="S30" s="440"/>
      <c r="T30" s="440"/>
      <c r="U30" s="389"/>
      <c r="V30" s="708"/>
      <c r="W30" s="440"/>
      <c r="X30" s="386"/>
      <c r="Y30" s="440"/>
      <c r="Z30" s="440"/>
      <c r="AA30" s="389"/>
      <c r="AB30" s="382"/>
      <c r="AC30" s="440"/>
      <c r="AD30" s="386"/>
      <c r="AE30" s="440"/>
      <c r="AF30" s="440"/>
      <c r="AG30" s="389"/>
      <c r="AH30" s="708"/>
      <c r="AI30" s="440"/>
      <c r="AJ30" s="386"/>
      <c r="AK30" s="440"/>
      <c r="AL30" s="440"/>
      <c r="AM30" s="389"/>
      <c r="AN30" s="708"/>
      <c r="AO30" s="440"/>
      <c r="AP30" s="386"/>
      <c r="AQ30" s="440"/>
      <c r="AR30" s="440"/>
      <c r="AS30" s="389"/>
      <c r="AT30" s="787"/>
      <c r="AU30" s="440"/>
      <c r="AV30" s="386"/>
      <c r="AW30" s="440"/>
      <c r="AX30" s="440"/>
      <c r="AY30" s="440"/>
      <c r="AZ30" s="388"/>
      <c r="BA30" s="440"/>
      <c r="BB30" s="386"/>
      <c r="BC30" s="440"/>
      <c r="BD30" s="440"/>
      <c r="BE30" s="440"/>
      <c r="BF30" s="388"/>
      <c r="BG30" s="440"/>
      <c r="BH30" s="386"/>
      <c r="BI30" s="440"/>
      <c r="BJ30" s="440"/>
      <c r="BK30" s="440"/>
      <c r="BL30" s="386"/>
      <c r="BM30" s="440"/>
      <c r="BN30" s="440"/>
      <c r="BO30" s="440"/>
      <c r="BP30" s="440"/>
      <c r="BQ30" s="440"/>
      <c r="BR30" s="788"/>
      <c r="BS30" s="440"/>
      <c r="BT30" s="386"/>
      <c r="BU30" s="440"/>
      <c r="BV30" s="440"/>
      <c r="BW30" s="389"/>
      <c r="BX30" s="213"/>
      <c r="BY30" s="213"/>
      <c r="BZ30" s="213"/>
      <c r="CA30" s="213"/>
      <c r="CB30" s="213"/>
      <c r="CC30" s="213"/>
      <c r="CD30" s="213"/>
      <c r="CE30" s="213"/>
      <c r="CF30" s="213"/>
      <c r="CG30" s="213"/>
      <c r="CH30" s="213"/>
      <c r="CI30" s="213"/>
      <c r="CJ30" s="213"/>
      <c r="CK30" s="213"/>
      <c r="CL30" s="213"/>
      <c r="CM30" s="213"/>
      <c r="CN30" s="213"/>
      <c r="CO30" s="213"/>
      <c r="CP30" s="213"/>
      <c r="CQ30" s="213"/>
    </row>
    <row r="31" ht="15.75" hidden="1" customHeight="1">
      <c r="A31" s="213"/>
      <c r="B31" s="393"/>
      <c r="C31" s="350"/>
      <c r="D31" s="604"/>
      <c r="E31" s="355"/>
      <c r="F31" s="357"/>
      <c r="G31" s="357"/>
      <c r="H31" s="357"/>
      <c r="I31" s="533"/>
      <c r="J31" s="604"/>
      <c r="K31" s="355"/>
      <c r="L31" s="352"/>
      <c r="M31" s="352"/>
      <c r="N31" s="352"/>
      <c r="O31" s="358"/>
      <c r="P31" s="604"/>
      <c r="Q31" s="352"/>
      <c r="R31" s="352"/>
      <c r="S31" s="352"/>
      <c r="T31" s="352"/>
      <c r="U31" s="358"/>
      <c r="V31" s="604"/>
      <c r="W31" s="352"/>
      <c r="X31" s="353"/>
      <c r="Y31" s="352"/>
      <c r="Z31" s="352"/>
      <c r="AA31" s="358"/>
      <c r="AB31" s="349"/>
      <c r="AC31" s="352"/>
      <c r="AD31" s="353"/>
      <c r="AE31" s="352"/>
      <c r="AF31" s="352"/>
      <c r="AG31" s="358"/>
      <c r="AH31" s="604"/>
      <c r="AI31" s="352"/>
      <c r="AJ31" s="353"/>
      <c r="AK31" s="352"/>
      <c r="AL31" s="352"/>
      <c r="AM31" s="358"/>
      <c r="AN31" s="604"/>
      <c r="AO31" s="352"/>
      <c r="AP31" s="353"/>
      <c r="AQ31" s="352"/>
      <c r="AR31" s="352"/>
      <c r="AS31" s="358"/>
      <c r="AT31" s="605"/>
      <c r="AU31" s="352"/>
      <c r="AV31" s="353"/>
      <c r="AW31" s="352"/>
      <c r="AX31" s="352"/>
      <c r="AY31" s="352"/>
      <c r="AZ31" s="357"/>
      <c r="BA31" s="352"/>
      <c r="BB31" s="353"/>
      <c r="BC31" s="352"/>
      <c r="BD31" s="352"/>
      <c r="BE31" s="352"/>
      <c r="BF31" s="357"/>
      <c r="BG31" s="352"/>
      <c r="BH31" s="353"/>
      <c r="BI31" s="352"/>
      <c r="BJ31" s="352"/>
      <c r="BK31" s="352"/>
      <c r="BL31" s="353"/>
      <c r="BM31" s="352"/>
      <c r="BN31" s="352"/>
      <c r="BO31" s="352"/>
      <c r="BP31" s="352"/>
      <c r="BQ31" s="352"/>
      <c r="BR31" s="353"/>
      <c r="BS31" s="352"/>
      <c r="BT31" s="353"/>
      <c r="BU31" s="352"/>
      <c r="BV31" s="352"/>
      <c r="BW31" s="358"/>
      <c r="BX31" s="213"/>
      <c r="BY31" s="213"/>
      <c r="BZ31" s="213"/>
      <c r="CA31" s="213"/>
      <c r="CB31" s="213"/>
      <c r="CC31" s="213"/>
      <c r="CD31" s="213"/>
      <c r="CE31" s="213"/>
      <c r="CF31" s="213"/>
      <c r="CG31" s="213"/>
      <c r="CH31" s="213"/>
      <c r="CI31" s="213"/>
      <c r="CJ31" s="213"/>
      <c r="CK31" s="213"/>
      <c r="CL31" s="213"/>
      <c r="CM31" s="213"/>
      <c r="CN31" s="213"/>
      <c r="CO31" s="213"/>
      <c r="CP31" s="213"/>
      <c r="CQ31" s="213"/>
    </row>
    <row r="32" ht="15.75" hidden="1" customHeight="1">
      <c r="A32" s="213"/>
      <c r="B32" s="393"/>
      <c r="C32" s="350"/>
      <c r="D32" s="604"/>
      <c r="E32" s="355"/>
      <c r="F32" s="357"/>
      <c r="G32" s="357"/>
      <c r="H32" s="357"/>
      <c r="I32" s="533"/>
      <c r="J32" s="604"/>
      <c r="K32" s="355"/>
      <c r="L32" s="352"/>
      <c r="M32" s="352"/>
      <c r="N32" s="352"/>
      <c r="O32" s="358"/>
      <c r="P32" s="604"/>
      <c r="Q32" s="352"/>
      <c r="R32" s="352"/>
      <c r="S32" s="352"/>
      <c r="T32" s="352"/>
      <c r="U32" s="358"/>
      <c r="V32" s="604"/>
      <c r="W32" s="352"/>
      <c r="X32" s="353"/>
      <c r="Y32" s="352"/>
      <c r="Z32" s="352"/>
      <c r="AA32" s="358"/>
      <c r="AB32" s="604"/>
      <c r="AC32" s="352"/>
      <c r="AD32" s="353"/>
      <c r="AE32" s="352"/>
      <c r="AF32" s="352"/>
      <c r="AG32" s="358"/>
      <c r="AH32" s="604"/>
      <c r="AI32" s="352"/>
      <c r="AJ32" s="353"/>
      <c r="AK32" s="352"/>
      <c r="AL32" s="352"/>
      <c r="AM32" s="358"/>
      <c r="AN32" s="604"/>
      <c r="AO32" s="352"/>
      <c r="AP32" s="353"/>
      <c r="AQ32" s="352"/>
      <c r="AR32" s="352"/>
      <c r="AS32" s="358"/>
      <c r="AT32" s="605"/>
      <c r="AU32" s="352"/>
      <c r="AV32" s="353"/>
      <c r="AW32" s="352"/>
      <c r="AX32" s="352"/>
      <c r="AY32" s="352"/>
      <c r="AZ32" s="357"/>
      <c r="BA32" s="352"/>
      <c r="BB32" s="353"/>
      <c r="BC32" s="352"/>
      <c r="BD32" s="352"/>
      <c r="BE32" s="352"/>
      <c r="BF32" s="357"/>
      <c r="BG32" s="352"/>
      <c r="BH32" s="353"/>
      <c r="BI32" s="352"/>
      <c r="BJ32" s="352"/>
      <c r="BK32" s="352"/>
      <c r="BL32" s="353"/>
      <c r="BM32" s="352"/>
      <c r="BN32" s="352"/>
      <c r="BO32" s="352"/>
      <c r="BP32" s="352"/>
      <c r="BQ32" s="352"/>
      <c r="BR32" s="353"/>
      <c r="BS32" s="352"/>
      <c r="BT32" s="353"/>
      <c r="BU32" s="352"/>
      <c r="BV32" s="352"/>
      <c r="BW32" s="358"/>
      <c r="BX32" s="213"/>
      <c r="BY32" s="213"/>
      <c r="BZ32" s="213"/>
      <c r="CA32" s="213"/>
      <c r="CB32" s="213"/>
      <c r="CC32" s="213"/>
      <c r="CD32" s="213"/>
      <c r="CE32" s="213"/>
      <c r="CF32" s="213"/>
      <c r="CG32" s="213"/>
      <c r="CH32" s="213"/>
      <c r="CI32" s="213"/>
      <c r="CJ32" s="213"/>
      <c r="CK32" s="213"/>
      <c r="CL32" s="213"/>
      <c r="CM32" s="213"/>
      <c r="CN32" s="213"/>
      <c r="CO32" s="213"/>
      <c r="CP32" s="213"/>
      <c r="CQ32" s="213"/>
    </row>
    <row r="33" ht="15.75" hidden="1" customHeight="1">
      <c r="A33" s="213"/>
      <c r="B33" s="393"/>
      <c r="C33" s="350"/>
      <c r="D33" s="604"/>
      <c r="E33" s="355"/>
      <c r="F33" s="357"/>
      <c r="G33" s="357"/>
      <c r="H33" s="357"/>
      <c r="I33" s="533"/>
      <c r="J33" s="604"/>
      <c r="K33" s="355"/>
      <c r="L33" s="352"/>
      <c r="M33" s="352"/>
      <c r="N33" s="352"/>
      <c r="O33" s="358"/>
      <c r="P33" s="604"/>
      <c r="Q33" s="352"/>
      <c r="R33" s="352"/>
      <c r="S33" s="352"/>
      <c r="T33" s="352"/>
      <c r="U33" s="358"/>
      <c r="V33" s="604"/>
      <c r="W33" s="352"/>
      <c r="X33" s="353"/>
      <c r="Y33" s="352"/>
      <c r="Z33" s="352"/>
      <c r="AA33" s="358"/>
      <c r="AB33" s="604"/>
      <c r="AC33" s="352"/>
      <c r="AD33" s="353"/>
      <c r="AE33" s="352"/>
      <c r="AF33" s="352"/>
      <c r="AG33" s="358"/>
      <c r="AH33" s="604"/>
      <c r="AI33" s="352"/>
      <c r="AJ33" s="353"/>
      <c r="AK33" s="352"/>
      <c r="AL33" s="352"/>
      <c r="AM33" s="358"/>
      <c r="AN33" s="604"/>
      <c r="AO33" s="352"/>
      <c r="AP33" s="353"/>
      <c r="AQ33" s="352"/>
      <c r="AR33" s="352"/>
      <c r="AS33" s="358"/>
      <c r="AT33" s="605"/>
      <c r="AU33" s="352"/>
      <c r="AV33" s="353"/>
      <c r="AW33" s="352"/>
      <c r="AX33" s="352"/>
      <c r="AY33" s="352"/>
      <c r="AZ33" s="357"/>
      <c r="BA33" s="352"/>
      <c r="BB33" s="353"/>
      <c r="BC33" s="352"/>
      <c r="BD33" s="352"/>
      <c r="BE33" s="352"/>
      <c r="BF33" s="357"/>
      <c r="BG33" s="352"/>
      <c r="BH33" s="353"/>
      <c r="BI33" s="352"/>
      <c r="BJ33" s="352"/>
      <c r="BK33" s="352"/>
      <c r="BL33" s="353"/>
      <c r="BM33" s="352"/>
      <c r="BN33" s="352"/>
      <c r="BO33" s="352"/>
      <c r="BP33" s="352"/>
      <c r="BQ33" s="352"/>
      <c r="BR33" s="353"/>
      <c r="BS33" s="352"/>
      <c r="BT33" s="353"/>
      <c r="BU33" s="352"/>
      <c r="BV33" s="352"/>
      <c r="BW33" s="358"/>
      <c r="BX33" s="213"/>
      <c r="BY33" s="213"/>
      <c r="BZ33" s="213"/>
      <c r="CA33" s="213"/>
      <c r="CB33" s="213"/>
      <c r="CC33" s="213"/>
      <c r="CD33" s="213"/>
      <c r="CE33" s="213"/>
      <c r="CF33" s="213"/>
      <c r="CG33" s="213"/>
      <c r="CH33" s="213"/>
      <c r="CI33" s="213"/>
      <c r="CJ33" s="213"/>
      <c r="CK33" s="213"/>
      <c r="CL33" s="213"/>
      <c r="CM33" s="213"/>
      <c r="CN33" s="213"/>
      <c r="CO33" s="213"/>
      <c r="CP33" s="213"/>
      <c r="CQ33" s="213"/>
    </row>
    <row r="34" ht="15.75" hidden="1" customHeight="1">
      <c r="A34" s="213"/>
      <c r="B34" s="393"/>
      <c r="C34" s="350"/>
      <c r="D34" s="604"/>
      <c r="E34" s="355"/>
      <c r="F34" s="357"/>
      <c r="G34" s="357"/>
      <c r="H34" s="357"/>
      <c r="I34" s="533"/>
      <c r="J34" s="604"/>
      <c r="K34" s="355"/>
      <c r="L34" s="352"/>
      <c r="M34" s="352"/>
      <c r="N34" s="352"/>
      <c r="O34" s="358"/>
      <c r="P34" s="604"/>
      <c r="Q34" s="352"/>
      <c r="R34" s="352"/>
      <c r="S34" s="352"/>
      <c r="T34" s="352"/>
      <c r="U34" s="358"/>
      <c r="V34" s="604"/>
      <c r="W34" s="352"/>
      <c r="X34" s="353"/>
      <c r="Y34" s="352"/>
      <c r="Z34" s="352"/>
      <c r="AA34" s="358"/>
      <c r="AB34" s="604"/>
      <c r="AC34" s="352"/>
      <c r="AD34" s="353"/>
      <c r="AE34" s="352"/>
      <c r="AF34" s="352"/>
      <c r="AG34" s="358"/>
      <c r="AH34" s="604"/>
      <c r="AI34" s="352"/>
      <c r="AJ34" s="353"/>
      <c r="AK34" s="352"/>
      <c r="AL34" s="352"/>
      <c r="AM34" s="358"/>
      <c r="AN34" s="604"/>
      <c r="AO34" s="352"/>
      <c r="AP34" s="353"/>
      <c r="AQ34" s="352"/>
      <c r="AR34" s="352"/>
      <c r="AS34" s="358"/>
      <c r="AT34" s="605"/>
      <c r="AU34" s="352"/>
      <c r="AV34" s="353"/>
      <c r="AW34" s="352"/>
      <c r="AX34" s="352"/>
      <c r="AY34" s="352"/>
      <c r="AZ34" s="357"/>
      <c r="BA34" s="352"/>
      <c r="BB34" s="353"/>
      <c r="BC34" s="352"/>
      <c r="BD34" s="352"/>
      <c r="BE34" s="352"/>
      <c r="BF34" s="357"/>
      <c r="BG34" s="352"/>
      <c r="BH34" s="353"/>
      <c r="BI34" s="352"/>
      <c r="BJ34" s="352"/>
      <c r="BK34" s="352"/>
      <c r="BL34" s="353"/>
      <c r="BM34" s="352"/>
      <c r="BN34" s="352"/>
      <c r="BO34" s="352"/>
      <c r="BP34" s="352"/>
      <c r="BQ34" s="352"/>
      <c r="BR34" s="353"/>
      <c r="BS34" s="352"/>
      <c r="BT34" s="353"/>
      <c r="BU34" s="352"/>
      <c r="BV34" s="352"/>
      <c r="BW34" s="358"/>
      <c r="BX34" s="213"/>
      <c r="BY34" s="213"/>
      <c r="BZ34" s="213"/>
      <c r="CA34" s="213"/>
      <c r="CB34" s="213"/>
      <c r="CC34" s="213"/>
      <c r="CD34" s="213"/>
      <c r="CE34" s="213"/>
      <c r="CF34" s="213"/>
      <c r="CG34" s="213"/>
      <c r="CH34" s="213"/>
      <c r="CI34" s="213"/>
      <c r="CJ34" s="213"/>
      <c r="CK34" s="213"/>
      <c r="CL34" s="213"/>
      <c r="CM34" s="213"/>
      <c r="CN34" s="213"/>
      <c r="CO34" s="213"/>
      <c r="CP34" s="213"/>
      <c r="CQ34" s="213"/>
    </row>
    <row r="35" ht="15.75" hidden="1" customHeight="1">
      <c r="A35" s="213"/>
      <c r="B35" s="393"/>
      <c r="C35" s="350"/>
      <c r="D35" s="604"/>
      <c r="E35" s="355"/>
      <c r="F35" s="357"/>
      <c r="G35" s="357"/>
      <c r="H35" s="357"/>
      <c r="I35" s="533"/>
      <c r="J35" s="604"/>
      <c r="K35" s="355"/>
      <c r="L35" s="352"/>
      <c r="M35" s="352"/>
      <c r="N35" s="352"/>
      <c r="O35" s="358"/>
      <c r="P35" s="604"/>
      <c r="Q35" s="352"/>
      <c r="R35" s="352"/>
      <c r="S35" s="352"/>
      <c r="T35" s="352"/>
      <c r="U35" s="358"/>
      <c r="V35" s="604"/>
      <c r="W35" s="352"/>
      <c r="X35" s="353"/>
      <c r="Y35" s="352"/>
      <c r="Z35" s="352"/>
      <c r="AA35" s="358"/>
      <c r="AB35" s="604"/>
      <c r="AC35" s="352"/>
      <c r="AD35" s="353"/>
      <c r="AE35" s="352"/>
      <c r="AF35" s="352"/>
      <c r="AG35" s="358"/>
      <c r="AH35" s="604"/>
      <c r="AI35" s="352"/>
      <c r="AJ35" s="353"/>
      <c r="AK35" s="352"/>
      <c r="AL35" s="352"/>
      <c r="AM35" s="358"/>
      <c r="AN35" s="604"/>
      <c r="AO35" s="352"/>
      <c r="AP35" s="353"/>
      <c r="AQ35" s="352"/>
      <c r="AR35" s="352"/>
      <c r="AS35" s="358"/>
      <c r="AT35" s="605"/>
      <c r="AU35" s="352"/>
      <c r="AV35" s="353"/>
      <c r="AW35" s="352"/>
      <c r="AX35" s="352"/>
      <c r="AY35" s="352"/>
      <c r="AZ35" s="357"/>
      <c r="BA35" s="352"/>
      <c r="BB35" s="353"/>
      <c r="BC35" s="352"/>
      <c r="BD35" s="352"/>
      <c r="BE35" s="352"/>
      <c r="BF35" s="357"/>
      <c r="BG35" s="352"/>
      <c r="BH35" s="353"/>
      <c r="BI35" s="352"/>
      <c r="BJ35" s="352"/>
      <c r="BK35" s="352"/>
      <c r="BL35" s="353"/>
      <c r="BM35" s="352"/>
      <c r="BN35" s="352"/>
      <c r="BO35" s="352"/>
      <c r="BP35" s="352"/>
      <c r="BQ35" s="352"/>
      <c r="BR35" s="353"/>
      <c r="BS35" s="352"/>
      <c r="BT35" s="353"/>
      <c r="BU35" s="352"/>
      <c r="BV35" s="352"/>
      <c r="BW35" s="358"/>
      <c r="BX35" s="213"/>
      <c r="BY35" s="213"/>
      <c r="BZ35" s="213"/>
      <c r="CA35" s="213"/>
      <c r="CB35" s="213"/>
      <c r="CC35" s="213"/>
      <c r="CD35" s="213"/>
      <c r="CE35" s="213"/>
      <c r="CF35" s="213"/>
      <c r="CG35" s="213"/>
      <c r="CH35" s="213"/>
      <c r="CI35" s="213"/>
      <c r="CJ35" s="213"/>
      <c r="CK35" s="213"/>
      <c r="CL35" s="213"/>
      <c r="CM35" s="213"/>
      <c r="CN35" s="213"/>
      <c r="CO35" s="213"/>
      <c r="CP35" s="213"/>
      <c r="CQ35" s="213"/>
    </row>
    <row r="36" ht="15.75" hidden="1" customHeight="1">
      <c r="A36" s="213"/>
      <c r="B36" s="393"/>
      <c r="C36" s="350"/>
      <c r="D36" s="604"/>
      <c r="E36" s="355"/>
      <c r="F36" s="357"/>
      <c r="G36" s="357"/>
      <c r="H36" s="357"/>
      <c r="I36" s="533"/>
      <c r="J36" s="604"/>
      <c r="K36" s="355"/>
      <c r="L36" s="352"/>
      <c r="M36" s="352"/>
      <c r="N36" s="352"/>
      <c r="O36" s="358"/>
      <c r="P36" s="604"/>
      <c r="Q36" s="352"/>
      <c r="R36" s="352"/>
      <c r="S36" s="352"/>
      <c r="T36" s="352"/>
      <c r="U36" s="358"/>
      <c r="V36" s="604"/>
      <c r="W36" s="352"/>
      <c r="X36" s="353"/>
      <c r="Y36" s="352"/>
      <c r="Z36" s="352"/>
      <c r="AA36" s="358"/>
      <c r="AB36" s="604"/>
      <c r="AC36" s="352"/>
      <c r="AD36" s="353"/>
      <c r="AE36" s="352"/>
      <c r="AF36" s="352"/>
      <c r="AG36" s="358"/>
      <c r="AH36" s="604"/>
      <c r="AI36" s="352"/>
      <c r="AJ36" s="353"/>
      <c r="AK36" s="352"/>
      <c r="AL36" s="352"/>
      <c r="AM36" s="358"/>
      <c r="AN36" s="604"/>
      <c r="AO36" s="352"/>
      <c r="AP36" s="353"/>
      <c r="AQ36" s="352"/>
      <c r="AR36" s="352"/>
      <c r="AS36" s="358"/>
      <c r="AT36" s="605"/>
      <c r="AU36" s="352"/>
      <c r="AV36" s="353"/>
      <c r="AW36" s="352"/>
      <c r="AX36" s="352"/>
      <c r="AY36" s="352"/>
      <c r="AZ36" s="357"/>
      <c r="BA36" s="352"/>
      <c r="BB36" s="353"/>
      <c r="BC36" s="352"/>
      <c r="BD36" s="352"/>
      <c r="BE36" s="352"/>
      <c r="BF36" s="357"/>
      <c r="BG36" s="352"/>
      <c r="BH36" s="353"/>
      <c r="BI36" s="352"/>
      <c r="BJ36" s="352"/>
      <c r="BK36" s="352"/>
      <c r="BL36" s="353"/>
      <c r="BM36" s="352"/>
      <c r="BN36" s="352"/>
      <c r="BO36" s="352"/>
      <c r="BP36" s="352"/>
      <c r="BQ36" s="352"/>
      <c r="BR36" s="353"/>
      <c r="BS36" s="352"/>
      <c r="BT36" s="353"/>
      <c r="BU36" s="352"/>
      <c r="BV36" s="352"/>
      <c r="BW36" s="358"/>
      <c r="BX36" s="213"/>
      <c r="BY36" s="213"/>
      <c r="BZ36" s="213"/>
      <c r="CA36" s="213"/>
      <c r="CB36" s="213"/>
      <c r="CC36" s="213"/>
      <c r="CD36" s="213"/>
      <c r="CE36" s="213"/>
      <c r="CF36" s="213"/>
      <c r="CG36" s="213"/>
      <c r="CH36" s="213"/>
      <c r="CI36" s="213"/>
      <c r="CJ36" s="213"/>
      <c r="CK36" s="213"/>
      <c r="CL36" s="213"/>
      <c r="CM36" s="213"/>
      <c r="CN36" s="213"/>
      <c r="CO36" s="213"/>
      <c r="CP36" s="213"/>
      <c r="CQ36" s="213"/>
    </row>
    <row r="37" ht="15.75" hidden="1" customHeight="1">
      <c r="A37" s="213"/>
      <c r="B37" s="393"/>
      <c r="C37" s="350"/>
      <c r="D37" s="604"/>
      <c r="E37" s="355"/>
      <c r="F37" s="357"/>
      <c r="G37" s="357"/>
      <c r="H37" s="357"/>
      <c r="I37" s="533"/>
      <c r="J37" s="604"/>
      <c r="K37" s="355"/>
      <c r="L37" s="352"/>
      <c r="M37" s="352"/>
      <c r="N37" s="352"/>
      <c r="O37" s="358"/>
      <c r="P37" s="604"/>
      <c r="Q37" s="352"/>
      <c r="R37" s="352"/>
      <c r="S37" s="352"/>
      <c r="T37" s="352"/>
      <c r="U37" s="358"/>
      <c r="V37" s="604"/>
      <c r="W37" s="352"/>
      <c r="X37" s="353"/>
      <c r="Y37" s="352"/>
      <c r="Z37" s="352"/>
      <c r="AA37" s="358"/>
      <c r="AB37" s="604"/>
      <c r="AC37" s="352"/>
      <c r="AD37" s="353"/>
      <c r="AE37" s="352"/>
      <c r="AF37" s="352"/>
      <c r="AG37" s="358"/>
      <c r="AH37" s="604"/>
      <c r="AI37" s="352"/>
      <c r="AJ37" s="353"/>
      <c r="AK37" s="352"/>
      <c r="AL37" s="352"/>
      <c r="AM37" s="358"/>
      <c r="AN37" s="604"/>
      <c r="AO37" s="352"/>
      <c r="AP37" s="353"/>
      <c r="AQ37" s="352"/>
      <c r="AR37" s="352"/>
      <c r="AS37" s="358"/>
      <c r="AT37" s="605"/>
      <c r="AU37" s="352"/>
      <c r="AV37" s="353"/>
      <c r="AW37" s="352"/>
      <c r="AX37" s="352"/>
      <c r="AY37" s="352"/>
      <c r="AZ37" s="357"/>
      <c r="BA37" s="352"/>
      <c r="BB37" s="353"/>
      <c r="BC37" s="352"/>
      <c r="BD37" s="352"/>
      <c r="BE37" s="352"/>
      <c r="BF37" s="357"/>
      <c r="BG37" s="352"/>
      <c r="BH37" s="353"/>
      <c r="BI37" s="352"/>
      <c r="BJ37" s="352"/>
      <c r="BK37" s="352"/>
      <c r="BL37" s="353"/>
      <c r="BM37" s="352"/>
      <c r="BN37" s="352"/>
      <c r="BO37" s="352"/>
      <c r="BP37" s="352"/>
      <c r="BQ37" s="352"/>
      <c r="BR37" s="353"/>
      <c r="BS37" s="352"/>
      <c r="BT37" s="353"/>
      <c r="BU37" s="352"/>
      <c r="BV37" s="352"/>
      <c r="BW37" s="358"/>
      <c r="BX37" s="216"/>
      <c r="BY37" s="216"/>
      <c r="BZ37" s="216"/>
      <c r="CA37" s="216"/>
      <c r="CB37" s="216"/>
      <c r="CC37" s="216"/>
      <c r="CD37" s="216"/>
      <c r="CE37" s="216"/>
      <c r="CF37" s="216"/>
      <c r="CG37" s="216"/>
      <c r="CH37" s="216"/>
      <c r="CI37" s="216"/>
      <c r="CJ37" s="216"/>
      <c r="CK37" s="216"/>
      <c r="CL37" s="216"/>
      <c r="CM37" s="216"/>
      <c r="CN37" s="216"/>
      <c r="CO37" s="216"/>
      <c r="CP37" s="216"/>
      <c r="CQ37" s="216"/>
    </row>
    <row r="38" ht="15.75" customHeight="1">
      <c r="A38" s="213"/>
      <c r="B38" s="349"/>
      <c r="C38" s="358"/>
      <c r="D38" s="604"/>
      <c r="E38" s="352"/>
      <c r="F38" s="245"/>
      <c r="G38" s="245"/>
      <c r="H38" s="245"/>
      <c r="I38" s="350"/>
      <c r="J38" s="604"/>
      <c r="K38" s="352"/>
      <c r="L38" s="352"/>
      <c r="M38" s="352"/>
      <c r="N38" s="352"/>
      <c r="O38" s="358"/>
      <c r="P38" s="604"/>
      <c r="Q38" s="352"/>
      <c r="R38" s="352"/>
      <c r="S38" s="352"/>
      <c r="T38" s="352"/>
      <c r="U38" s="358"/>
      <c r="V38" s="604"/>
      <c r="W38" s="352"/>
      <c r="X38" s="353"/>
      <c r="Y38" s="352"/>
      <c r="Z38" s="352"/>
      <c r="AA38" s="358"/>
      <c r="AB38" s="393"/>
      <c r="AC38" s="245"/>
      <c r="AD38" s="356"/>
      <c r="AE38" s="245"/>
      <c r="AF38" s="245"/>
      <c r="AG38" s="350"/>
      <c r="AH38" s="604"/>
      <c r="AI38" s="245"/>
      <c r="AJ38" s="356"/>
      <c r="AK38" s="245"/>
      <c r="AL38" s="245"/>
      <c r="AM38" s="350"/>
      <c r="AN38" s="604"/>
      <c r="AO38" s="245"/>
      <c r="AP38" s="356"/>
      <c r="AQ38" s="245"/>
      <c r="AR38" s="245"/>
      <c r="AS38" s="350"/>
      <c r="AT38" s="605"/>
      <c r="AU38" s="245"/>
      <c r="AV38" s="356"/>
      <c r="AW38" s="245"/>
      <c r="AX38" s="245"/>
      <c r="AY38" s="245"/>
      <c r="AZ38" s="357"/>
      <c r="BA38" s="245"/>
      <c r="BB38" s="356"/>
      <c r="BC38" s="245"/>
      <c r="BD38" s="245"/>
      <c r="BE38" s="245"/>
      <c r="BF38" s="357"/>
      <c r="BG38" s="245"/>
      <c r="BH38" s="356"/>
      <c r="BI38" s="245"/>
      <c r="BJ38" s="245"/>
      <c r="BK38" s="245"/>
      <c r="BL38" s="353"/>
      <c r="BM38" s="245"/>
      <c r="BN38" s="245"/>
      <c r="BO38" s="245"/>
      <c r="BP38" s="245"/>
      <c r="BQ38" s="245"/>
      <c r="BR38" s="356"/>
      <c r="BS38" s="245"/>
      <c r="BT38" s="356"/>
      <c r="BU38" s="245"/>
      <c r="BV38" s="245"/>
      <c r="BW38" s="350"/>
      <c r="BX38" s="213"/>
      <c r="BY38" s="213"/>
      <c r="BZ38" s="213"/>
      <c r="CA38" s="213"/>
      <c r="CB38" s="213"/>
      <c r="CC38" s="213"/>
      <c r="CD38" s="213"/>
      <c r="CE38" s="213"/>
      <c r="CF38" s="213"/>
      <c r="CG38" s="213"/>
      <c r="CH38" s="213"/>
      <c r="CI38" s="213"/>
      <c r="CJ38" s="213"/>
      <c r="CK38" s="213"/>
      <c r="CL38" s="213"/>
      <c r="CM38" s="213"/>
      <c r="CN38" s="213"/>
      <c r="CO38" s="213"/>
      <c r="CP38" s="213"/>
      <c r="CQ38" s="213"/>
    </row>
    <row r="39" ht="15.75" customHeight="1">
      <c r="A39" s="213"/>
      <c r="B39" s="722" t="s">
        <v>233</v>
      </c>
      <c r="C39" s="616"/>
      <c r="D39" s="604"/>
      <c r="E39" s="352"/>
      <c r="F39" s="245"/>
      <c r="G39" s="245"/>
      <c r="H39" s="245"/>
      <c r="I39" s="350"/>
      <c r="J39" s="604"/>
      <c r="K39" s="352"/>
      <c r="L39" s="352"/>
      <c r="M39" s="352"/>
      <c r="N39" s="352"/>
      <c r="O39" s="358"/>
      <c r="P39" s="604"/>
      <c r="Q39" s="352"/>
      <c r="R39" s="352"/>
      <c r="S39" s="352"/>
      <c r="T39" s="352"/>
      <c r="U39" s="358"/>
      <c r="V39" s="604"/>
      <c r="W39" s="352"/>
      <c r="X39" s="353"/>
      <c r="Y39" s="352"/>
      <c r="Z39" s="352"/>
      <c r="AA39" s="358"/>
      <c r="AB39" s="393"/>
      <c r="AC39" s="245"/>
      <c r="AD39" s="356"/>
      <c r="AE39" s="245"/>
      <c r="AF39" s="245"/>
      <c r="AG39" s="350"/>
      <c r="AH39" s="604"/>
      <c r="AI39" s="245"/>
      <c r="AJ39" s="356"/>
      <c r="AK39" s="245"/>
      <c r="AL39" s="245"/>
      <c r="AM39" s="350"/>
      <c r="AN39" s="604"/>
      <c r="AO39" s="245"/>
      <c r="AP39" s="356"/>
      <c r="AQ39" s="245"/>
      <c r="AR39" s="245"/>
      <c r="AS39" s="350"/>
      <c r="AT39" s="605"/>
      <c r="AU39" s="245"/>
      <c r="AV39" s="356"/>
      <c r="AW39" s="245"/>
      <c r="AX39" s="245"/>
      <c r="AY39" s="245"/>
      <c r="AZ39" s="357"/>
      <c r="BA39" s="245"/>
      <c r="BB39" s="356"/>
      <c r="BC39" s="245"/>
      <c r="BD39" s="245"/>
      <c r="BE39" s="245"/>
      <c r="BF39" s="357"/>
      <c r="BG39" s="245"/>
      <c r="BH39" s="356"/>
      <c r="BI39" s="245"/>
      <c r="BJ39" s="245"/>
      <c r="BK39" s="245"/>
      <c r="BL39" s="353"/>
      <c r="BM39" s="245"/>
      <c r="BN39" s="245"/>
      <c r="BO39" s="245"/>
      <c r="BP39" s="245"/>
      <c r="BQ39" s="245"/>
      <c r="BR39" s="356"/>
      <c r="BS39" s="245"/>
      <c r="BT39" s="356"/>
      <c r="BU39" s="245"/>
      <c r="BV39" s="245"/>
      <c r="BW39" s="350"/>
      <c r="BX39" s="213"/>
      <c r="BY39" s="213"/>
      <c r="BZ39" s="213"/>
      <c r="CA39" s="213"/>
      <c r="CB39" s="213"/>
      <c r="CC39" s="213"/>
      <c r="CD39" s="213"/>
      <c r="CE39" s="213"/>
      <c r="CF39" s="213"/>
      <c r="CG39" s="213"/>
      <c r="CH39" s="213"/>
      <c r="CI39" s="213"/>
      <c r="CJ39" s="213"/>
      <c r="CK39" s="213"/>
      <c r="CL39" s="213"/>
      <c r="CM39" s="213"/>
      <c r="CN39" s="213"/>
      <c r="CO39" s="213"/>
      <c r="CP39" s="213"/>
      <c r="CQ39" s="213"/>
    </row>
    <row r="40" ht="15.75" customHeight="1">
      <c r="A40" s="213"/>
      <c r="B40" s="349" t="s">
        <v>29</v>
      </c>
      <c r="C40" s="350"/>
      <c r="D40" s="604"/>
      <c r="E40" s="352"/>
      <c r="F40" s="245"/>
      <c r="G40" s="245"/>
      <c r="H40" s="245"/>
      <c r="I40" s="350"/>
      <c r="J40" s="604"/>
      <c r="K40" s="352"/>
      <c r="L40" s="352"/>
      <c r="M40" s="352"/>
      <c r="N40" s="352"/>
      <c r="O40" s="358"/>
      <c r="P40" s="604"/>
      <c r="Q40" s="352"/>
      <c r="R40" s="352"/>
      <c r="S40" s="352"/>
      <c r="T40" s="352"/>
      <c r="U40" s="358"/>
      <c r="V40" s="604"/>
      <c r="W40" s="352"/>
      <c r="X40" s="353"/>
      <c r="Y40" s="352"/>
      <c r="Z40" s="352"/>
      <c r="AA40" s="358"/>
      <c r="AB40" s="393"/>
      <c r="AC40" s="245"/>
      <c r="AD40" s="356"/>
      <c r="AE40" s="245"/>
      <c r="AF40" s="245"/>
      <c r="AG40" s="350"/>
      <c r="AH40" s="604"/>
      <c r="AI40" s="245"/>
      <c r="AJ40" s="356"/>
      <c r="AK40" s="245"/>
      <c r="AL40" s="245"/>
      <c r="AM40" s="350"/>
      <c r="AN40" s="604"/>
      <c r="AO40" s="245"/>
      <c r="AP40" s="356"/>
      <c r="AQ40" s="245"/>
      <c r="AR40" s="245"/>
      <c r="AS40" s="350"/>
      <c r="AT40" s="605"/>
      <c r="AU40" s="245"/>
      <c r="AV40" s="356"/>
      <c r="AW40" s="245"/>
      <c r="AX40" s="245"/>
      <c r="AY40" s="245"/>
      <c r="AZ40" s="357"/>
      <c r="BA40" s="245"/>
      <c r="BB40" s="356"/>
      <c r="BC40" s="245"/>
      <c r="BD40" s="245"/>
      <c r="BE40" s="245"/>
      <c r="BF40" s="357"/>
      <c r="BG40" s="245"/>
      <c r="BH40" s="356"/>
      <c r="BI40" s="245"/>
      <c r="BJ40" s="245"/>
      <c r="BK40" s="245"/>
      <c r="BL40" s="353"/>
      <c r="BM40" s="245"/>
      <c r="BN40" s="245"/>
      <c r="BO40" s="245"/>
      <c r="BP40" s="245"/>
      <c r="BQ40" s="245"/>
      <c r="BR40" s="356"/>
      <c r="BS40" s="245"/>
      <c r="BT40" s="356"/>
      <c r="BU40" s="245"/>
      <c r="BV40" s="245"/>
      <c r="BW40" s="350"/>
      <c r="BX40" s="213"/>
      <c r="BY40" s="213"/>
      <c r="BZ40" s="213"/>
      <c r="CA40" s="213"/>
      <c r="CB40" s="213"/>
      <c r="CC40" s="213"/>
      <c r="CD40" s="213"/>
      <c r="CE40" s="213"/>
      <c r="CF40" s="213"/>
      <c r="CG40" s="213"/>
      <c r="CH40" s="213"/>
      <c r="CI40" s="213"/>
      <c r="CJ40" s="213"/>
      <c r="CK40" s="213"/>
      <c r="CL40" s="213"/>
      <c r="CM40" s="213"/>
      <c r="CN40" s="213"/>
      <c r="CO40" s="213"/>
      <c r="CP40" s="213"/>
      <c r="CQ40" s="213"/>
    </row>
    <row r="41" ht="15.75" customHeight="1">
      <c r="A41" s="213"/>
      <c r="B41" s="393"/>
      <c r="C41" s="411" t="s">
        <v>234</v>
      </c>
      <c r="D41" s="604"/>
      <c r="E41" s="352"/>
      <c r="F41" s="245"/>
      <c r="G41" s="245"/>
      <c r="H41" s="245"/>
      <c r="I41" s="350"/>
      <c r="J41" s="604"/>
      <c r="K41" s="352"/>
      <c r="L41" s="352"/>
      <c r="M41" s="352"/>
      <c r="N41" s="352"/>
      <c r="O41" s="358"/>
      <c r="P41" s="604"/>
      <c r="Q41" s="352"/>
      <c r="R41" s="352"/>
      <c r="S41" s="352"/>
      <c r="T41" s="352"/>
      <c r="U41" s="358"/>
      <c r="V41" s="604"/>
      <c r="W41" s="352"/>
      <c r="X41" s="353"/>
      <c r="Y41" s="352"/>
      <c r="Z41" s="352"/>
      <c r="AA41" s="358"/>
      <c r="AB41" s="393"/>
      <c r="AC41" s="245"/>
      <c r="AD41" s="356"/>
      <c r="AE41" s="245"/>
      <c r="AF41" s="245"/>
      <c r="AG41" s="350"/>
      <c r="AH41" s="604"/>
      <c r="AI41" s="245"/>
      <c r="AJ41" s="356"/>
      <c r="AK41" s="245"/>
      <c r="AL41" s="245"/>
      <c r="AM41" s="350"/>
      <c r="AN41" s="604"/>
      <c r="AO41" s="245"/>
      <c r="AP41" s="356"/>
      <c r="AQ41" s="245"/>
      <c r="AR41" s="245"/>
      <c r="AS41" s="350"/>
      <c r="AT41" s="605"/>
      <c r="AU41" s="245"/>
      <c r="AV41" s="356"/>
      <c r="AW41" s="245"/>
      <c r="AX41" s="245"/>
      <c r="AY41" s="245"/>
      <c r="AZ41" s="357"/>
      <c r="BA41" s="245"/>
      <c r="BB41" s="356"/>
      <c r="BC41" s="245"/>
      <c r="BD41" s="245"/>
      <c r="BE41" s="245"/>
      <c r="BF41" s="357"/>
      <c r="BG41" s="245"/>
      <c r="BH41" s="356"/>
      <c r="BI41" s="245"/>
      <c r="BJ41" s="245"/>
      <c r="BK41" s="245"/>
      <c r="BL41" s="353"/>
      <c r="BM41" s="245"/>
      <c r="BN41" s="245"/>
      <c r="BO41" s="245"/>
      <c r="BP41" s="245"/>
      <c r="BQ41" s="245"/>
      <c r="BR41" s="356"/>
      <c r="BS41" s="245"/>
      <c r="BT41" s="356"/>
      <c r="BU41" s="245"/>
      <c r="BV41" s="245"/>
      <c r="BW41" s="350"/>
      <c r="BX41" s="213"/>
      <c r="BY41" s="213"/>
      <c r="BZ41" s="213"/>
      <c r="CA41" s="213"/>
      <c r="CB41" s="213"/>
      <c r="CC41" s="213"/>
      <c r="CD41" s="213"/>
      <c r="CE41" s="213"/>
      <c r="CF41" s="213"/>
      <c r="CG41" s="213"/>
      <c r="CH41" s="213"/>
      <c r="CI41" s="213"/>
      <c r="CJ41" s="213"/>
      <c r="CK41" s="213"/>
      <c r="CL41" s="213"/>
      <c r="CM41" s="213"/>
      <c r="CN41" s="213"/>
      <c r="CO41" s="213"/>
      <c r="CP41" s="213"/>
      <c r="CQ41" s="213"/>
    </row>
    <row r="42" ht="15.75" customHeight="1">
      <c r="A42" s="213"/>
      <c r="B42" s="393"/>
      <c r="C42" s="350" t="s">
        <v>235</v>
      </c>
      <c r="D42" s="604">
        <v>37872.12</v>
      </c>
      <c r="E42" s="355">
        <f>D42/D$29</f>
        <v>0.1206041653</v>
      </c>
      <c r="F42" s="245"/>
      <c r="G42" s="245"/>
      <c r="H42" s="357">
        <f t="shared" ref="H42:H46" si="2">D42-F42</f>
        <v>37872.12</v>
      </c>
      <c r="I42" s="350"/>
      <c r="J42" s="604">
        <v>87481.0</v>
      </c>
      <c r="K42" s="355">
        <f>J42/J$29</f>
        <v>0.2271525876</v>
      </c>
      <c r="L42" s="352"/>
      <c r="M42" s="352"/>
      <c r="N42" s="352"/>
      <c r="O42" s="358"/>
      <c r="P42" s="604">
        <v>96298.31</v>
      </c>
      <c r="Q42" s="355">
        <f>P42/P29</f>
        <v>0.2876242063</v>
      </c>
      <c r="R42" s="352"/>
      <c r="S42" s="352"/>
      <c r="T42" s="352"/>
      <c r="U42" s="358"/>
      <c r="V42" s="604">
        <v>170415.85</v>
      </c>
      <c r="W42" s="355">
        <f>V42/V29</f>
        <v>0.3980153633</v>
      </c>
      <c r="X42" s="353"/>
      <c r="Y42" s="352"/>
      <c r="Z42" s="352"/>
      <c r="AA42" s="358"/>
      <c r="AB42" s="665">
        <v>213285.07</v>
      </c>
      <c r="AC42" s="355">
        <f>AB42/AB29</f>
        <v>0.484357914</v>
      </c>
      <c r="AD42" s="356"/>
      <c r="AE42" s="245"/>
      <c r="AF42" s="245"/>
      <c r="AG42" s="350"/>
      <c r="AH42" s="604">
        <v>209156.42</v>
      </c>
      <c r="AI42" s="355">
        <f>AH42/AH29</f>
        <v>0.5512768751</v>
      </c>
      <c r="AJ42" s="356"/>
      <c r="AK42" s="245"/>
      <c r="AL42" s="245"/>
      <c r="AM42" s="350"/>
      <c r="AN42" s="604">
        <v>283680.02</v>
      </c>
      <c r="AO42" s="355">
        <f>AN42/AN29</f>
        <v>0.6072070688</v>
      </c>
      <c r="AP42" s="356"/>
      <c r="AQ42" s="245"/>
      <c r="AR42" s="245"/>
      <c r="AS42" s="350"/>
      <c r="AT42" s="605">
        <v>251953.19</v>
      </c>
      <c r="AU42" s="355">
        <f>AT42/AT29</f>
        <v>0.4477733355</v>
      </c>
      <c r="AV42" s="356"/>
      <c r="AW42" s="245"/>
      <c r="AX42" s="245"/>
      <c r="AY42" s="245"/>
      <c r="AZ42" s="357">
        <f>'MSBC CK Allocation'!K10</f>
        <v>153130.54</v>
      </c>
      <c r="BA42" s="355">
        <f>AZ42/AZ29</f>
        <v>0.1524041346</v>
      </c>
      <c r="BB42" s="356"/>
      <c r="BC42" s="245"/>
      <c r="BD42" s="245"/>
      <c r="BE42" s="245"/>
      <c r="BF42" s="357">
        <f>'MSBC CK Allocation'!L35</f>
        <v>1071539.923</v>
      </c>
      <c r="BG42" s="245"/>
      <c r="BH42" s="356"/>
      <c r="BI42" s="245"/>
      <c r="BJ42" s="245"/>
      <c r="BK42" s="245"/>
      <c r="BL42" s="353">
        <f>'MSBC CK Allocation'!M35</f>
        <v>658829.3126</v>
      </c>
      <c r="BM42" s="245"/>
      <c r="BN42" s="245"/>
      <c r="BO42" s="245"/>
      <c r="BP42" s="245"/>
      <c r="BQ42" s="245"/>
      <c r="BR42" s="356">
        <f>'MSBC CK Allocation'!N35</f>
        <v>781129.9123</v>
      </c>
      <c r="BS42" s="245"/>
      <c r="BT42" s="356"/>
      <c r="BU42" s="245"/>
      <c r="BV42" s="245"/>
      <c r="BW42" s="350"/>
      <c r="BX42" s="213"/>
      <c r="BY42" s="213"/>
      <c r="BZ42" s="213"/>
      <c r="CA42" s="213"/>
      <c r="CB42" s="213"/>
      <c r="CC42" s="213"/>
      <c r="CD42" s="213"/>
      <c r="CE42" s="213"/>
      <c r="CF42" s="213"/>
      <c r="CG42" s="213"/>
      <c r="CH42" s="213"/>
      <c r="CI42" s="213"/>
      <c r="CJ42" s="213"/>
      <c r="CK42" s="213"/>
      <c r="CL42" s="213"/>
      <c r="CM42" s="213"/>
      <c r="CN42" s="213"/>
      <c r="CO42" s="213"/>
      <c r="CP42" s="213"/>
      <c r="CQ42" s="213"/>
    </row>
    <row r="43" ht="15.75" customHeight="1">
      <c r="A43" s="213"/>
      <c r="B43" s="393"/>
      <c r="C43" s="350" t="s">
        <v>301</v>
      </c>
      <c r="D43" s="604"/>
      <c r="E43" s="352"/>
      <c r="F43" s="245"/>
      <c r="G43" s="245"/>
      <c r="H43" s="357">
        <f t="shared" si="2"/>
        <v>0</v>
      </c>
      <c r="I43" s="350"/>
      <c r="J43" s="604"/>
      <c r="K43" s="355"/>
      <c r="L43" s="352"/>
      <c r="M43" s="352"/>
      <c r="N43" s="352"/>
      <c r="O43" s="358"/>
      <c r="P43" s="604"/>
      <c r="Q43" s="352"/>
      <c r="R43" s="352"/>
      <c r="S43" s="352"/>
      <c r="T43" s="352"/>
      <c r="U43" s="358"/>
      <c r="V43" s="604"/>
      <c r="W43" s="352"/>
      <c r="X43" s="353"/>
      <c r="Y43" s="352"/>
      <c r="Z43" s="352"/>
      <c r="AA43" s="358"/>
      <c r="AB43" s="393"/>
      <c r="AC43" s="352"/>
      <c r="AD43" s="356"/>
      <c r="AE43" s="245"/>
      <c r="AF43" s="245"/>
      <c r="AG43" s="350"/>
      <c r="AH43" s="604"/>
      <c r="AI43" s="352"/>
      <c r="AJ43" s="356"/>
      <c r="AK43" s="245"/>
      <c r="AL43" s="245"/>
      <c r="AM43" s="350"/>
      <c r="AN43" s="604"/>
      <c r="AO43" s="352"/>
      <c r="AP43" s="356"/>
      <c r="AQ43" s="245"/>
      <c r="AR43" s="245"/>
      <c r="AS43" s="350"/>
      <c r="AT43" s="605"/>
      <c r="AU43" s="352"/>
      <c r="AV43" s="356"/>
      <c r="AW43" s="245"/>
      <c r="AX43" s="245"/>
      <c r="AY43" s="245"/>
      <c r="AZ43" s="357"/>
      <c r="BA43" s="352"/>
      <c r="BB43" s="356"/>
      <c r="BC43" s="245"/>
      <c r="BD43" s="245"/>
      <c r="BE43" s="245"/>
      <c r="BF43" s="357"/>
      <c r="BG43" s="245"/>
      <c r="BH43" s="356"/>
      <c r="BI43" s="245"/>
      <c r="BJ43" s="245"/>
      <c r="BK43" s="245"/>
      <c r="BL43" s="353"/>
      <c r="BM43" s="245"/>
      <c r="BN43" s="245"/>
      <c r="BO43" s="245"/>
      <c r="BP43" s="245"/>
      <c r="BQ43" s="245"/>
      <c r="BR43" s="356"/>
      <c r="BS43" s="245"/>
      <c r="BT43" s="356"/>
      <c r="BU43" s="245"/>
      <c r="BV43" s="245"/>
      <c r="BW43" s="350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 ht="15.75" customHeight="1">
      <c r="A44" s="213"/>
      <c r="B44" s="393"/>
      <c r="C44" s="350" t="s">
        <v>22</v>
      </c>
      <c r="D44" s="604"/>
      <c r="E44" s="352"/>
      <c r="F44" s="245"/>
      <c r="G44" s="245"/>
      <c r="H44" s="357">
        <f t="shared" si="2"/>
        <v>0</v>
      </c>
      <c r="I44" s="350"/>
      <c r="J44" s="604"/>
      <c r="K44" s="352"/>
      <c r="L44" s="352"/>
      <c r="M44" s="352"/>
      <c r="N44" s="352"/>
      <c r="O44" s="358"/>
      <c r="P44" s="604"/>
      <c r="Q44" s="352"/>
      <c r="R44" s="352"/>
      <c r="S44" s="352"/>
      <c r="T44" s="352"/>
      <c r="U44" s="358"/>
      <c r="V44" s="604"/>
      <c r="W44" s="352"/>
      <c r="X44" s="353"/>
      <c r="Y44" s="352"/>
      <c r="Z44" s="352"/>
      <c r="AA44" s="358"/>
      <c r="AB44" s="393"/>
      <c r="AC44" s="352"/>
      <c r="AD44" s="356"/>
      <c r="AE44" s="245"/>
      <c r="AF44" s="245"/>
      <c r="AG44" s="350"/>
      <c r="AH44" s="604"/>
      <c r="AI44" s="352"/>
      <c r="AJ44" s="356"/>
      <c r="AK44" s="245"/>
      <c r="AL44" s="245"/>
      <c r="AM44" s="350"/>
      <c r="AN44" s="604"/>
      <c r="AO44" s="352"/>
      <c r="AP44" s="356"/>
      <c r="AQ44" s="245"/>
      <c r="AR44" s="245"/>
      <c r="AS44" s="350"/>
      <c r="AT44" s="605"/>
      <c r="AU44" s="352"/>
      <c r="AV44" s="356"/>
      <c r="AW44" s="245"/>
      <c r="AX44" s="245"/>
      <c r="AY44" s="245"/>
      <c r="AZ44" s="357"/>
      <c r="BA44" s="352"/>
      <c r="BB44" s="356"/>
      <c r="BC44" s="245"/>
      <c r="BD44" s="245"/>
      <c r="BE44" s="245"/>
      <c r="BF44" s="357"/>
      <c r="BG44" s="245"/>
      <c r="BH44" s="356"/>
      <c r="BI44" s="245"/>
      <c r="BJ44" s="245"/>
      <c r="BK44" s="245"/>
      <c r="BL44" s="353"/>
      <c r="BM44" s="245"/>
      <c r="BN44" s="245"/>
      <c r="BO44" s="245"/>
      <c r="BP44" s="245"/>
      <c r="BQ44" s="245"/>
      <c r="BR44" s="356"/>
      <c r="BS44" s="245"/>
      <c r="BT44" s="356"/>
      <c r="BU44" s="245"/>
      <c r="BV44" s="245"/>
      <c r="BW44" s="350"/>
      <c r="BX44" s="213"/>
      <c r="BY44" s="213"/>
      <c r="BZ44" s="213"/>
      <c r="CA44" s="213"/>
      <c r="CB44" s="213"/>
      <c r="CC44" s="213"/>
      <c r="CD44" s="213"/>
      <c r="CE44" s="213"/>
      <c r="CF44" s="213"/>
      <c r="CG44" s="213"/>
      <c r="CH44" s="213"/>
      <c r="CI44" s="213"/>
      <c r="CJ44" s="213"/>
      <c r="CK44" s="213"/>
      <c r="CL44" s="213"/>
      <c r="CM44" s="213"/>
      <c r="CN44" s="213"/>
      <c r="CO44" s="213"/>
      <c r="CP44" s="213"/>
      <c r="CQ44" s="213"/>
    </row>
    <row r="45" ht="15.75" customHeight="1">
      <c r="A45" s="213"/>
      <c r="B45" s="393"/>
      <c r="C45" s="350" t="s">
        <v>23</v>
      </c>
      <c r="D45" s="604"/>
      <c r="E45" s="352"/>
      <c r="F45" s="245"/>
      <c r="G45" s="245"/>
      <c r="H45" s="357">
        <f t="shared" si="2"/>
        <v>0</v>
      </c>
      <c r="I45" s="350"/>
      <c r="J45" s="604"/>
      <c r="K45" s="352"/>
      <c r="L45" s="352"/>
      <c r="M45" s="352"/>
      <c r="N45" s="352"/>
      <c r="O45" s="358"/>
      <c r="P45" s="604"/>
      <c r="Q45" s="352"/>
      <c r="R45" s="352"/>
      <c r="S45" s="352"/>
      <c r="T45" s="352"/>
      <c r="U45" s="358"/>
      <c r="V45" s="604"/>
      <c r="W45" s="352"/>
      <c r="X45" s="353"/>
      <c r="Y45" s="352"/>
      <c r="Z45" s="352"/>
      <c r="AA45" s="358"/>
      <c r="AB45" s="393"/>
      <c r="AC45" s="352"/>
      <c r="AD45" s="356"/>
      <c r="AE45" s="245"/>
      <c r="AF45" s="245"/>
      <c r="AG45" s="350"/>
      <c r="AH45" s="604"/>
      <c r="AI45" s="352"/>
      <c r="AJ45" s="356"/>
      <c r="AK45" s="245"/>
      <c r="AL45" s="245"/>
      <c r="AM45" s="350"/>
      <c r="AN45" s="604"/>
      <c r="AO45" s="352"/>
      <c r="AP45" s="356"/>
      <c r="AQ45" s="245"/>
      <c r="AR45" s="245"/>
      <c r="AS45" s="350"/>
      <c r="AT45" s="605"/>
      <c r="AU45" s="352"/>
      <c r="AV45" s="356"/>
      <c r="AW45" s="245"/>
      <c r="AX45" s="245"/>
      <c r="AY45" s="245"/>
      <c r="AZ45" s="357"/>
      <c r="BA45" s="352"/>
      <c r="BB45" s="356"/>
      <c r="BC45" s="245"/>
      <c r="BD45" s="245"/>
      <c r="BE45" s="245"/>
      <c r="BF45" s="357"/>
      <c r="BG45" s="245"/>
      <c r="BH45" s="356"/>
      <c r="BI45" s="245"/>
      <c r="BJ45" s="245"/>
      <c r="BK45" s="245"/>
      <c r="BL45" s="353"/>
      <c r="BM45" s="245"/>
      <c r="BN45" s="245"/>
      <c r="BO45" s="245"/>
      <c r="BP45" s="245"/>
      <c r="BQ45" s="245"/>
      <c r="BR45" s="356"/>
      <c r="BS45" s="245"/>
      <c r="BT45" s="356"/>
      <c r="BU45" s="245"/>
      <c r="BV45" s="245"/>
      <c r="BW45" s="350"/>
      <c r="BX45" s="213"/>
      <c r="BY45" s="213"/>
      <c r="BZ45" s="213"/>
      <c r="CA45" s="213"/>
      <c r="CB45" s="213"/>
      <c r="CC45" s="213"/>
      <c r="CD45" s="213"/>
      <c r="CE45" s="213"/>
      <c r="CF45" s="213"/>
      <c r="CG45" s="213"/>
      <c r="CH45" s="213"/>
      <c r="CI45" s="213"/>
      <c r="CJ45" s="213"/>
      <c r="CK45" s="213"/>
      <c r="CL45" s="213"/>
      <c r="CM45" s="213"/>
      <c r="CN45" s="213"/>
      <c r="CO45" s="213"/>
      <c r="CP45" s="213"/>
      <c r="CQ45" s="213"/>
    </row>
    <row r="46" ht="15.75" customHeight="1">
      <c r="A46" s="213"/>
      <c r="B46" s="393"/>
      <c r="C46" s="350" t="s">
        <v>302</v>
      </c>
      <c r="D46" s="604">
        <f>'Calculation Sheet for GST on Pu'!C27</f>
        <v>3760.89863</v>
      </c>
      <c r="E46" s="355">
        <f t="shared" ref="E46:E47" si="3">D46/D$29</f>
        <v>0.01197662133</v>
      </c>
      <c r="F46" s="245"/>
      <c r="G46" s="245"/>
      <c r="H46" s="357">
        <f t="shared" si="2"/>
        <v>3760.89863</v>
      </c>
      <c r="I46" s="350"/>
      <c r="J46" s="604">
        <v>21139.009075983235</v>
      </c>
      <c r="K46" s="355">
        <f t="shared" ref="K46:K47" si="4">J46/J$29</f>
        <v>0.05488941154</v>
      </c>
      <c r="L46" s="352"/>
      <c r="M46" s="352"/>
      <c r="N46" s="352"/>
      <c r="O46" s="358"/>
      <c r="P46" s="604">
        <f>'Calculation Sheet for GST on Pu'!E27</f>
        <v>12064.11325</v>
      </c>
      <c r="Q46" s="355">
        <f t="shared" ref="Q46:Q47" si="5">P46/P$29</f>
        <v>0.03603314532</v>
      </c>
      <c r="R46" s="352"/>
      <c r="S46" s="352"/>
      <c r="T46" s="352"/>
      <c r="U46" s="358"/>
      <c r="V46" s="604">
        <f>'Calculation Sheet for GST on Pu'!F27</f>
        <v>17585.85821</v>
      </c>
      <c r="W46" s="355">
        <f t="shared" ref="W46:W47" si="6">V46/V$29</f>
        <v>0.04107271561</v>
      </c>
      <c r="X46" s="353"/>
      <c r="Y46" s="352"/>
      <c r="Z46" s="352"/>
      <c r="AA46" s="358"/>
      <c r="AB46" s="665">
        <f>'Calculation Sheet for GST on Pu'!G27</f>
        <v>19970.12197</v>
      </c>
      <c r="AC46" s="355">
        <f t="shared" ref="AC46:AC47" si="7">AB46/AB$29</f>
        <v>0.04535097848</v>
      </c>
      <c r="AD46" s="356"/>
      <c r="AE46" s="245"/>
      <c r="AF46" s="245"/>
      <c r="AG46" s="350"/>
      <c r="AH46" s="604">
        <f>'Calculation Sheet for GST on Pu'!H27</f>
        <v>18340.75313</v>
      </c>
      <c r="AI46" s="355">
        <f t="shared" ref="AI46:AI47" si="8">AH46/AH$29</f>
        <v>0.0483410123</v>
      </c>
      <c r="AJ46" s="356"/>
      <c r="AK46" s="245"/>
      <c r="AL46" s="245"/>
      <c r="AM46" s="350"/>
      <c r="AN46" s="604">
        <f>'Calculation Sheet for GST on Pu'!I27</f>
        <v>17677.94071</v>
      </c>
      <c r="AO46" s="355">
        <f t="shared" ref="AO46:AO47" si="9">AN46/AN$29</f>
        <v>0.03783900805</v>
      </c>
      <c r="AP46" s="356"/>
      <c r="AQ46" s="245"/>
      <c r="AR46" s="245"/>
      <c r="AS46" s="350"/>
      <c r="AT46" s="605">
        <f>'Calculation Sheet for GST on Pu'!J27</f>
        <v>16240.67943</v>
      </c>
      <c r="AU46" s="355">
        <f t="shared" ref="AU46:AU47" si="10">AT46/AT$29</f>
        <v>0.02886307255</v>
      </c>
      <c r="AV46" s="356"/>
      <c r="AW46" s="245"/>
      <c r="AX46" s="245"/>
      <c r="AY46" s="245"/>
      <c r="AZ46" s="357">
        <f>'Calculation Sheet for GST on Pu'!K27</f>
        <v>9378.964527</v>
      </c>
      <c r="BA46" s="413">
        <v>0.0</v>
      </c>
      <c r="BB46" s="356"/>
      <c r="BC46" s="245"/>
      <c r="BD46" s="245"/>
      <c r="BE46" s="245"/>
      <c r="BF46" s="737">
        <f>'Calculation Sheet for GST on Pu'!L27</f>
        <v>57073.7474</v>
      </c>
      <c r="BG46" s="245"/>
      <c r="BH46" s="356"/>
      <c r="BI46" s="245"/>
      <c r="BJ46" s="245"/>
      <c r="BK46" s="245"/>
      <c r="BL46" s="737">
        <f>'Calculation Sheet for GST on Pu'!M27</f>
        <v>43053.1992</v>
      </c>
      <c r="BM46" s="245"/>
      <c r="BN46" s="245"/>
      <c r="BO46" s="245"/>
      <c r="BP46" s="245"/>
      <c r="BQ46" s="245"/>
      <c r="BR46" s="737">
        <f>'Calculation Sheet for GST on Pu'!N27</f>
        <v>39288.21787</v>
      </c>
      <c r="BS46" s="245"/>
      <c r="BT46" s="356"/>
      <c r="BU46" s="245"/>
      <c r="BV46" s="245"/>
      <c r="BW46" s="350"/>
      <c r="BX46" s="213"/>
      <c r="BY46" s="213"/>
      <c r="BZ46" s="213"/>
      <c r="CA46" s="213"/>
      <c r="CB46" s="213"/>
      <c r="CC46" s="213"/>
      <c r="CD46" s="213"/>
      <c r="CE46" s="213"/>
      <c r="CF46" s="213"/>
      <c r="CG46" s="213"/>
      <c r="CH46" s="213"/>
      <c r="CI46" s="213"/>
      <c r="CJ46" s="213"/>
      <c r="CK46" s="213"/>
      <c r="CL46" s="213"/>
      <c r="CM46" s="213"/>
      <c r="CN46" s="213"/>
      <c r="CO46" s="213"/>
      <c r="CP46" s="213"/>
      <c r="CQ46" s="213"/>
    </row>
    <row r="47" ht="15.75" customHeight="1">
      <c r="A47" s="213"/>
      <c r="B47" s="393"/>
      <c r="C47" s="350" t="s">
        <v>238</v>
      </c>
      <c r="D47" s="604">
        <f>SUM(D42:D46)</f>
        <v>41633.01863</v>
      </c>
      <c r="E47" s="355">
        <f t="shared" si="3"/>
        <v>0.1325807867</v>
      </c>
      <c r="F47" s="245">
        <f>SUM(F42:F46)</f>
        <v>0</v>
      </c>
      <c r="G47" s="245"/>
      <c r="H47" s="676">
        <f>SUM(H42:H46)</f>
        <v>41633.01863</v>
      </c>
      <c r="I47" s="350"/>
      <c r="J47" s="604">
        <f>SUM(J42:J46)</f>
        <v>108620.0091</v>
      </c>
      <c r="K47" s="355">
        <f t="shared" si="4"/>
        <v>0.2820419992</v>
      </c>
      <c r="L47" s="352">
        <f>SUM(L42:L46)</f>
        <v>0</v>
      </c>
      <c r="M47" s="352"/>
      <c r="N47" s="352">
        <f>SUM(N42:N46)</f>
        <v>0</v>
      </c>
      <c r="O47" s="358"/>
      <c r="P47" s="604">
        <f>SUM(P42:P46)</f>
        <v>108362.4233</v>
      </c>
      <c r="Q47" s="355">
        <f t="shared" si="5"/>
        <v>0.3236573516</v>
      </c>
      <c r="R47" s="352">
        <f>SUM(R42:R46)</f>
        <v>0</v>
      </c>
      <c r="S47" s="352"/>
      <c r="T47" s="352">
        <f>SUM(T42:T46)</f>
        <v>0</v>
      </c>
      <c r="U47" s="358"/>
      <c r="V47" s="604">
        <f>SUM(V42:V46)</f>
        <v>188001.7082</v>
      </c>
      <c r="W47" s="355">
        <f t="shared" si="6"/>
        <v>0.4390880789</v>
      </c>
      <c r="X47" s="353">
        <f>SUM(X42:X46)</f>
        <v>0</v>
      </c>
      <c r="Y47" s="352"/>
      <c r="Z47" s="352">
        <f>SUM(Z42:Z46)</f>
        <v>0</v>
      </c>
      <c r="AA47" s="358"/>
      <c r="AB47" s="665">
        <f>SUM(AB42:AB46)</f>
        <v>233255.192</v>
      </c>
      <c r="AC47" s="355">
        <f t="shared" si="7"/>
        <v>0.5297088925</v>
      </c>
      <c r="AD47" s="356">
        <f>SUM(AD42:AD46)</f>
        <v>0</v>
      </c>
      <c r="AE47" s="245"/>
      <c r="AF47" s="245">
        <f>SUM(AF42:AF46)</f>
        <v>0</v>
      </c>
      <c r="AG47" s="350"/>
      <c r="AH47" s="604">
        <f>SUM(AH42:AH46)</f>
        <v>227497.1731</v>
      </c>
      <c r="AI47" s="355">
        <f t="shared" si="8"/>
        <v>0.5996178874</v>
      </c>
      <c r="AJ47" s="356">
        <f>SUM(AJ42:AJ46)</f>
        <v>0</v>
      </c>
      <c r="AK47" s="245"/>
      <c r="AL47" s="245">
        <f>SUM(AL42:AL46)</f>
        <v>0</v>
      </c>
      <c r="AM47" s="350"/>
      <c r="AN47" s="604">
        <f>SUM(AN42:AN46)</f>
        <v>301357.9607</v>
      </c>
      <c r="AO47" s="355">
        <f t="shared" si="9"/>
        <v>0.6450460768</v>
      </c>
      <c r="AP47" s="356">
        <f>SUM(AP42:AP46)</f>
        <v>0</v>
      </c>
      <c r="AQ47" s="245"/>
      <c r="AR47" s="245">
        <f>SUM(AR42:AR46)</f>
        <v>0</v>
      </c>
      <c r="AS47" s="350"/>
      <c r="AT47" s="605">
        <f>SUM(AT42:AT46)</f>
        <v>268193.8694</v>
      </c>
      <c r="AU47" s="355">
        <f t="shared" si="10"/>
        <v>0.4766364081</v>
      </c>
      <c r="AV47" s="356">
        <f>SUM(AV42:AV46)</f>
        <v>0</v>
      </c>
      <c r="AW47" s="245"/>
      <c r="AX47" s="245">
        <f>SUM(AX42:AX46)</f>
        <v>0</v>
      </c>
      <c r="AY47" s="245"/>
      <c r="AZ47" s="357">
        <f>SUM(AZ42:AZ46)</f>
        <v>162509.5045</v>
      </c>
      <c r="BA47" s="355">
        <f>AZ47/AZ$29</f>
        <v>0.1617386082</v>
      </c>
      <c r="BB47" s="356">
        <f>SUM(BB42:BB46)</f>
        <v>0</v>
      </c>
      <c r="BC47" s="245"/>
      <c r="BD47" s="245">
        <f>SUM(BD42:BD46)</f>
        <v>0</v>
      </c>
      <c r="BE47" s="245"/>
      <c r="BF47" s="357">
        <f>SUM(BF42:BF46)</f>
        <v>1128613.67</v>
      </c>
      <c r="BG47" s="245"/>
      <c r="BH47" s="356">
        <f>SUM(BH42:BH46)</f>
        <v>0</v>
      </c>
      <c r="BI47" s="245"/>
      <c r="BJ47" s="245">
        <f>SUM(BJ42:BJ46)</f>
        <v>0</v>
      </c>
      <c r="BK47" s="245"/>
      <c r="BL47" s="353">
        <f>SUM(BL42:BL46)</f>
        <v>701882.5118</v>
      </c>
      <c r="BM47" s="245"/>
      <c r="BN47" s="245">
        <f>SUM(BN42:BN46)</f>
        <v>0</v>
      </c>
      <c r="BO47" s="245"/>
      <c r="BP47" s="245">
        <f>SUM(BP42:BP46)</f>
        <v>0</v>
      </c>
      <c r="BQ47" s="245"/>
      <c r="BR47" s="356">
        <f>SUM(BR42:BR46)</f>
        <v>820418.1302</v>
      </c>
      <c r="BS47" s="245"/>
      <c r="BT47" s="356">
        <f>SUM(BT42:BT46)</f>
        <v>0</v>
      </c>
      <c r="BU47" s="245"/>
      <c r="BV47" s="245">
        <f>SUM(BV42:BV46)</f>
        <v>0</v>
      </c>
      <c r="BW47" s="350"/>
      <c r="BX47" s="237">
        <f t="shared" ref="BX47:BX49" si="11">D47+J47+P47+V47+AB47+AH47+AN47+AT47+AZ47+BF47+BL47+BR47</f>
        <v>4290345.171</v>
      </c>
      <c r="BY47" s="216"/>
      <c r="BZ47" s="216"/>
      <c r="CA47" s="216"/>
      <c r="CB47" s="216"/>
      <c r="CC47" s="216"/>
      <c r="CD47" s="216"/>
      <c r="CE47" s="216"/>
      <c r="CF47" s="216"/>
      <c r="CG47" s="216"/>
      <c r="CH47" s="216"/>
      <c r="CI47" s="216"/>
      <c r="CJ47" s="216"/>
      <c r="CK47" s="216"/>
      <c r="CL47" s="216"/>
      <c r="CM47" s="216"/>
      <c r="CN47" s="216"/>
      <c r="CO47" s="216"/>
      <c r="CP47" s="216"/>
      <c r="CQ47" s="216"/>
    </row>
    <row r="48" ht="15.75" customHeight="1">
      <c r="A48" s="213"/>
      <c r="B48" s="403"/>
      <c r="C48" s="362" t="s">
        <v>239</v>
      </c>
      <c r="D48" s="619">
        <v>96972.0</v>
      </c>
      <c r="E48" s="404">
        <f>D48/D29</f>
        <v>0.3088083562</v>
      </c>
      <c r="F48" s="688"/>
      <c r="G48" s="688"/>
      <c r="H48" s="688"/>
      <c r="I48" s="362"/>
      <c r="J48" s="619">
        <v>120622.0</v>
      </c>
      <c r="K48" s="404">
        <f>J48/J29</f>
        <v>0.3132062896</v>
      </c>
      <c r="L48" s="364"/>
      <c r="M48" s="364"/>
      <c r="N48" s="364"/>
      <c r="O48" s="368"/>
      <c r="P48" s="619">
        <v>137627.0</v>
      </c>
      <c r="Q48" s="404">
        <f>P48/P29</f>
        <v>0.4110649152</v>
      </c>
      <c r="R48" s="364"/>
      <c r="S48" s="364"/>
      <c r="T48" s="364"/>
      <c r="U48" s="368"/>
      <c r="V48" s="619">
        <v>114665.0</v>
      </c>
      <c r="W48" s="404">
        <f>V48/V29</f>
        <v>0.2678062612</v>
      </c>
      <c r="X48" s="365"/>
      <c r="Y48" s="364"/>
      <c r="Z48" s="364"/>
      <c r="AA48" s="368"/>
      <c r="AB48" s="778">
        <v>139980.0</v>
      </c>
      <c r="AC48" s="404">
        <f>AB48/AB29</f>
        <v>0.3178863893</v>
      </c>
      <c r="AD48" s="689"/>
      <c r="AE48" s="688"/>
      <c r="AF48" s="688"/>
      <c r="AG48" s="362"/>
      <c r="AH48" s="619">
        <v>108781.02</v>
      </c>
      <c r="AI48" s="404">
        <f>AH48/AH29</f>
        <v>0.2867158502</v>
      </c>
      <c r="AJ48" s="689"/>
      <c r="AK48" s="688"/>
      <c r="AL48" s="688"/>
      <c r="AM48" s="362"/>
      <c r="AN48" s="619">
        <v>101123.0</v>
      </c>
      <c r="AO48" s="404">
        <f>AN48/AN29</f>
        <v>0.2164502118</v>
      </c>
      <c r="AP48" s="689"/>
      <c r="AQ48" s="688"/>
      <c r="AR48" s="688"/>
      <c r="AS48" s="362"/>
      <c r="AT48" s="793">
        <v>90048.26</v>
      </c>
      <c r="AU48" s="404">
        <f>AT48/AT29</f>
        <v>0.1600345276</v>
      </c>
      <c r="AV48" s="689"/>
      <c r="AW48" s="688"/>
      <c r="AX48" s="688"/>
      <c r="AY48" s="688"/>
      <c r="AZ48" s="367">
        <v>155398.5</v>
      </c>
      <c r="BA48" s="404">
        <f>AZ48/AZ29</f>
        <v>0.1546613361</v>
      </c>
      <c r="BB48" s="689"/>
      <c r="BC48" s="688"/>
      <c r="BD48" s="688"/>
      <c r="BE48" s="688"/>
      <c r="BF48" s="798">
        <v>149116.0</v>
      </c>
      <c r="BG48" s="688"/>
      <c r="BH48" s="689"/>
      <c r="BI48" s="688"/>
      <c r="BJ48" s="688"/>
      <c r="BK48" s="688"/>
      <c r="BL48" s="925">
        <v>83333.0</v>
      </c>
      <c r="BM48" s="688"/>
      <c r="BN48" s="688"/>
      <c r="BO48" s="688"/>
      <c r="BP48" s="688"/>
      <c r="BQ48" s="688"/>
      <c r="BR48" s="799">
        <v>118632.0</v>
      </c>
      <c r="BS48" s="688"/>
      <c r="BT48" s="689"/>
      <c r="BU48" s="688"/>
      <c r="BV48" s="688"/>
      <c r="BW48" s="362"/>
      <c r="BX48" s="237">
        <f t="shared" si="11"/>
        <v>1416297.78</v>
      </c>
      <c r="BY48" s="213"/>
      <c r="BZ48" s="213"/>
      <c r="CA48" s="213"/>
      <c r="CB48" s="213"/>
      <c r="CC48" s="213"/>
      <c r="CD48" s="213"/>
      <c r="CE48" s="213"/>
      <c r="CF48" s="213"/>
      <c r="CG48" s="213"/>
      <c r="CH48" s="213"/>
      <c r="CI48" s="213"/>
      <c r="CJ48" s="213"/>
      <c r="CK48" s="213"/>
      <c r="CL48" s="213"/>
      <c r="CM48" s="213"/>
      <c r="CN48" s="213"/>
      <c r="CO48" s="213"/>
      <c r="CP48" s="213"/>
      <c r="CQ48" s="213"/>
    </row>
    <row r="49" ht="15.75" customHeight="1">
      <c r="A49" s="213"/>
      <c r="B49" s="407"/>
      <c r="C49" s="372" t="s">
        <v>240</v>
      </c>
      <c r="D49" s="600">
        <f>D47+D48</f>
        <v>138605.0186</v>
      </c>
      <c r="E49" s="374">
        <f>D49/D$29</f>
        <v>0.4413891428</v>
      </c>
      <c r="F49" s="437">
        <f>F47+F48</f>
        <v>0</v>
      </c>
      <c r="G49" s="437"/>
      <c r="H49" s="800">
        <f>H47+H48</f>
        <v>41633.01863</v>
      </c>
      <c r="I49" s="372"/>
      <c r="J49" s="600">
        <f>J47+J48</f>
        <v>229242.0091</v>
      </c>
      <c r="K49" s="374">
        <f>J49/J$29</f>
        <v>0.5952482888</v>
      </c>
      <c r="L49" s="408">
        <f>L47+L48</f>
        <v>0</v>
      </c>
      <c r="M49" s="408"/>
      <c r="N49" s="408">
        <f>N47+N48</f>
        <v>0</v>
      </c>
      <c r="O49" s="378"/>
      <c r="P49" s="600">
        <f>P47+P48</f>
        <v>245989.4233</v>
      </c>
      <c r="Q49" s="374">
        <f>P49/P$29</f>
        <v>0.7347222668</v>
      </c>
      <c r="R49" s="408">
        <f>R47+R48</f>
        <v>0</v>
      </c>
      <c r="S49" s="408"/>
      <c r="T49" s="408">
        <f>T47+T48</f>
        <v>0</v>
      </c>
      <c r="U49" s="378"/>
      <c r="V49" s="600">
        <f>V47+V48</f>
        <v>302666.7082</v>
      </c>
      <c r="W49" s="374">
        <f>V49/V$29</f>
        <v>0.70689434</v>
      </c>
      <c r="X49" s="375">
        <f>X47+X48</f>
        <v>0</v>
      </c>
      <c r="Y49" s="408"/>
      <c r="Z49" s="408">
        <f>Z47+Z48</f>
        <v>0</v>
      </c>
      <c r="AA49" s="378"/>
      <c r="AB49" s="926">
        <f>AB47+AB48</f>
        <v>373235.192</v>
      </c>
      <c r="AC49" s="374">
        <f>AB49/AB$29</f>
        <v>0.8475952818</v>
      </c>
      <c r="AD49" s="692">
        <f>AD47+AD48</f>
        <v>0</v>
      </c>
      <c r="AE49" s="437"/>
      <c r="AF49" s="437">
        <f>AF47+AF48</f>
        <v>0</v>
      </c>
      <c r="AG49" s="372"/>
      <c r="AH49" s="600">
        <f>AH47+AH48</f>
        <v>336278.1931</v>
      </c>
      <c r="AI49" s="374">
        <f>AH49/AH$29</f>
        <v>0.8863337376</v>
      </c>
      <c r="AJ49" s="692">
        <f>AJ47+AJ48</f>
        <v>0</v>
      </c>
      <c r="AK49" s="437"/>
      <c r="AL49" s="437">
        <f>AL47+AL48</f>
        <v>0</v>
      </c>
      <c r="AM49" s="372"/>
      <c r="AN49" s="600">
        <f>AN47+AN48</f>
        <v>402480.9607</v>
      </c>
      <c r="AO49" s="374">
        <f>AN49/AN$29</f>
        <v>0.8614962887</v>
      </c>
      <c r="AP49" s="692">
        <f>AP47+AP48</f>
        <v>0</v>
      </c>
      <c r="AQ49" s="437"/>
      <c r="AR49" s="437">
        <f>AR47+AR48</f>
        <v>0</v>
      </c>
      <c r="AS49" s="372"/>
      <c r="AT49" s="601">
        <f>AT47+AT48</f>
        <v>358242.1294</v>
      </c>
      <c r="AU49" s="374">
        <f>AT49/AT$29</f>
        <v>0.6366709357</v>
      </c>
      <c r="AV49" s="692">
        <f>AV47+AV48</f>
        <v>0</v>
      </c>
      <c r="AW49" s="437"/>
      <c r="AX49" s="437">
        <f>AX47+AX48</f>
        <v>0</v>
      </c>
      <c r="AY49" s="437"/>
      <c r="AZ49" s="377">
        <f>AZ47+AZ48</f>
        <v>317908.0045</v>
      </c>
      <c r="BA49" s="374">
        <f>AZ49/AZ$29</f>
        <v>0.3163999443</v>
      </c>
      <c r="BB49" s="692">
        <f>BB47+BB48</f>
        <v>0</v>
      </c>
      <c r="BC49" s="437"/>
      <c r="BD49" s="437">
        <f>BD47+BD48</f>
        <v>0</v>
      </c>
      <c r="BE49" s="437"/>
      <c r="BF49" s="377">
        <f>BF47+BF48</f>
        <v>1277729.67</v>
      </c>
      <c r="BG49" s="437"/>
      <c r="BH49" s="692">
        <f>BH47+BH48</f>
        <v>0</v>
      </c>
      <c r="BI49" s="437"/>
      <c r="BJ49" s="437">
        <f>BJ47+BJ48</f>
        <v>0</v>
      </c>
      <c r="BK49" s="437"/>
      <c r="BL49" s="375">
        <f>BL47+BL48</f>
        <v>785215.5118</v>
      </c>
      <c r="BM49" s="437"/>
      <c r="BN49" s="437">
        <f>BN47+BN48</f>
        <v>0</v>
      </c>
      <c r="BO49" s="437"/>
      <c r="BP49" s="437">
        <f>BP47+BP48</f>
        <v>0</v>
      </c>
      <c r="BQ49" s="437"/>
      <c r="BR49" s="692">
        <f>BR47+BR48</f>
        <v>939050.1302</v>
      </c>
      <c r="BS49" s="437"/>
      <c r="BT49" s="692">
        <f>BT47+BT48</f>
        <v>0</v>
      </c>
      <c r="BU49" s="437"/>
      <c r="BV49" s="437">
        <f>BV47+BV48</f>
        <v>0</v>
      </c>
      <c r="BW49" s="372"/>
      <c r="BX49" s="237">
        <f t="shared" si="11"/>
        <v>5706642.951</v>
      </c>
      <c r="BY49" s="216"/>
      <c r="BZ49" s="216"/>
      <c r="CA49" s="216"/>
      <c r="CB49" s="216"/>
      <c r="CC49" s="216"/>
      <c r="CD49" s="216"/>
      <c r="CE49" s="216"/>
      <c r="CF49" s="216"/>
      <c r="CG49" s="216"/>
      <c r="CH49" s="216"/>
      <c r="CI49" s="216"/>
      <c r="CJ49" s="216"/>
      <c r="CK49" s="216"/>
      <c r="CL49" s="216"/>
      <c r="CM49" s="216"/>
      <c r="CN49" s="216"/>
      <c r="CO49" s="216"/>
      <c r="CP49" s="216"/>
      <c r="CQ49" s="216"/>
    </row>
    <row r="50" ht="15.75" customHeight="1">
      <c r="A50" s="213"/>
      <c r="B50" s="444"/>
      <c r="C50" s="383"/>
      <c r="D50" s="708"/>
      <c r="E50" s="440"/>
      <c r="F50" s="709"/>
      <c r="G50" s="709"/>
      <c r="H50" s="709"/>
      <c r="I50" s="383"/>
      <c r="J50" s="708"/>
      <c r="K50" s="440"/>
      <c r="L50" s="440"/>
      <c r="M50" s="440"/>
      <c r="N50" s="440"/>
      <c r="O50" s="389"/>
      <c r="P50" s="708"/>
      <c r="Q50" s="440"/>
      <c r="R50" s="440"/>
      <c r="S50" s="440"/>
      <c r="T50" s="440"/>
      <c r="U50" s="389"/>
      <c r="V50" s="708"/>
      <c r="W50" s="440"/>
      <c r="X50" s="386"/>
      <c r="Y50" s="440"/>
      <c r="Z50" s="440"/>
      <c r="AA50" s="389"/>
      <c r="AB50" s="444"/>
      <c r="AC50" s="709"/>
      <c r="AD50" s="927"/>
      <c r="AE50" s="709"/>
      <c r="AF50" s="709"/>
      <c r="AG50" s="383"/>
      <c r="AH50" s="708"/>
      <c r="AI50" s="709"/>
      <c r="AJ50" s="927"/>
      <c r="AK50" s="709"/>
      <c r="AL50" s="709"/>
      <c r="AM50" s="383"/>
      <c r="AN50" s="708"/>
      <c r="AO50" s="709"/>
      <c r="AP50" s="927"/>
      <c r="AQ50" s="709"/>
      <c r="AR50" s="709"/>
      <c r="AS50" s="383"/>
      <c r="AT50" s="787"/>
      <c r="AU50" s="709"/>
      <c r="AV50" s="927"/>
      <c r="AW50" s="709"/>
      <c r="AX50" s="709"/>
      <c r="AY50" s="709"/>
      <c r="AZ50" s="388"/>
      <c r="BA50" s="709"/>
      <c r="BB50" s="927"/>
      <c r="BC50" s="709"/>
      <c r="BD50" s="709"/>
      <c r="BE50" s="709"/>
      <c r="BF50" s="388"/>
      <c r="BG50" s="709"/>
      <c r="BH50" s="927"/>
      <c r="BI50" s="709"/>
      <c r="BJ50" s="709"/>
      <c r="BK50" s="709"/>
      <c r="BL50" s="386"/>
      <c r="BM50" s="709"/>
      <c r="BN50" s="709"/>
      <c r="BO50" s="709"/>
      <c r="BP50" s="709"/>
      <c r="BQ50" s="709"/>
      <c r="BR50" s="802"/>
      <c r="BS50" s="709"/>
      <c r="BT50" s="927"/>
      <c r="BU50" s="709"/>
      <c r="BV50" s="709"/>
      <c r="BW50" s="383"/>
      <c r="BX50" s="213"/>
      <c r="BY50" s="213"/>
      <c r="BZ50" s="213"/>
      <c r="CA50" s="213"/>
      <c r="CB50" s="213"/>
      <c r="CC50" s="213"/>
      <c r="CD50" s="213"/>
      <c r="CE50" s="213"/>
      <c r="CF50" s="213"/>
      <c r="CG50" s="213"/>
      <c r="CH50" s="213"/>
      <c r="CI50" s="213"/>
      <c r="CJ50" s="213"/>
      <c r="CK50" s="213"/>
      <c r="CL50" s="213"/>
      <c r="CM50" s="213"/>
      <c r="CN50" s="213"/>
      <c r="CO50" s="213"/>
      <c r="CP50" s="213"/>
      <c r="CQ50" s="213"/>
    </row>
    <row r="51" ht="15.75" customHeight="1">
      <c r="A51" s="213"/>
      <c r="B51" s="393" t="s">
        <v>24</v>
      </c>
      <c r="C51" s="350" t="s">
        <v>305</v>
      </c>
      <c r="D51" s="604">
        <v>0.0</v>
      </c>
      <c r="E51" s="352"/>
      <c r="F51" s="352"/>
      <c r="G51" s="352"/>
      <c r="H51" s="352"/>
      <c r="I51" s="358"/>
      <c r="J51" s="604">
        <v>0.0</v>
      </c>
      <c r="K51" s="352"/>
      <c r="L51" s="352"/>
      <c r="M51" s="352"/>
      <c r="N51" s="352"/>
      <c r="O51" s="358"/>
      <c r="P51" s="604"/>
      <c r="Q51" s="352"/>
      <c r="R51" s="352"/>
      <c r="S51" s="352"/>
      <c r="T51" s="352"/>
      <c r="U51" s="358"/>
      <c r="V51" s="604"/>
      <c r="W51" s="352"/>
      <c r="X51" s="353"/>
      <c r="Y51" s="352"/>
      <c r="Z51" s="352"/>
      <c r="AA51" s="358"/>
      <c r="AB51" s="349"/>
      <c r="AC51" s="352"/>
      <c r="AD51" s="353"/>
      <c r="AE51" s="352"/>
      <c r="AF51" s="352"/>
      <c r="AG51" s="358"/>
      <c r="AH51" s="604"/>
      <c r="AI51" s="352"/>
      <c r="AJ51" s="353"/>
      <c r="AK51" s="352"/>
      <c r="AL51" s="352"/>
      <c r="AM51" s="358"/>
      <c r="AN51" s="604"/>
      <c r="AO51" s="352"/>
      <c r="AP51" s="353"/>
      <c r="AQ51" s="352"/>
      <c r="AR51" s="352"/>
      <c r="AS51" s="358"/>
      <c r="AT51" s="605"/>
      <c r="AU51" s="352"/>
      <c r="AV51" s="353"/>
      <c r="AW51" s="352"/>
      <c r="AX51" s="352"/>
      <c r="AY51" s="352"/>
      <c r="AZ51" s="357"/>
      <c r="BA51" s="352"/>
      <c r="BB51" s="353"/>
      <c r="BC51" s="352"/>
      <c r="BD51" s="352"/>
      <c r="BE51" s="352"/>
      <c r="BF51" s="357"/>
      <c r="BG51" s="352"/>
      <c r="BH51" s="353"/>
      <c r="BI51" s="352"/>
      <c r="BJ51" s="352"/>
      <c r="BK51" s="352"/>
      <c r="BL51" s="353"/>
      <c r="BM51" s="352"/>
      <c r="BN51" s="352"/>
      <c r="BO51" s="352"/>
      <c r="BP51" s="352"/>
      <c r="BQ51" s="352"/>
      <c r="BR51" s="353"/>
      <c r="BS51" s="352"/>
      <c r="BT51" s="353"/>
      <c r="BU51" s="352"/>
      <c r="BV51" s="352"/>
      <c r="BW51" s="358"/>
      <c r="BX51" s="213"/>
      <c r="BY51" s="213"/>
      <c r="BZ51" s="213"/>
      <c r="CA51" s="213"/>
      <c r="CB51" s="213"/>
      <c r="CC51" s="213"/>
      <c r="CD51" s="213"/>
      <c r="CE51" s="213"/>
      <c r="CF51" s="213"/>
      <c r="CG51" s="213"/>
      <c r="CH51" s="213"/>
      <c r="CI51" s="213"/>
      <c r="CJ51" s="213"/>
      <c r="CK51" s="213"/>
      <c r="CL51" s="213"/>
      <c r="CM51" s="213"/>
      <c r="CN51" s="213"/>
      <c r="CO51" s="213"/>
      <c r="CP51" s="213"/>
      <c r="CQ51" s="213"/>
    </row>
    <row r="52" ht="15.75" customHeight="1">
      <c r="A52" s="213"/>
      <c r="B52" s="393" t="s">
        <v>24</v>
      </c>
      <c r="C52" s="350" t="s">
        <v>304</v>
      </c>
      <c r="D52" s="604"/>
      <c r="E52" s="352"/>
      <c r="F52" s="352"/>
      <c r="G52" s="352"/>
      <c r="H52" s="352"/>
      <c r="I52" s="358"/>
      <c r="J52" s="604"/>
      <c r="K52" s="352"/>
      <c r="L52" s="352"/>
      <c r="M52" s="352"/>
      <c r="N52" s="352"/>
      <c r="O52" s="358"/>
      <c r="P52" s="604"/>
      <c r="Q52" s="352"/>
      <c r="R52" s="352"/>
      <c r="S52" s="352"/>
      <c r="T52" s="352"/>
      <c r="U52" s="358"/>
      <c r="V52" s="604"/>
      <c r="W52" s="352"/>
      <c r="X52" s="353"/>
      <c r="Y52" s="352"/>
      <c r="Z52" s="352"/>
      <c r="AA52" s="358"/>
      <c r="AB52" s="604"/>
      <c r="AC52" s="352"/>
      <c r="AD52" s="353"/>
      <c r="AE52" s="352"/>
      <c r="AF52" s="352"/>
      <c r="AG52" s="358"/>
      <c r="AH52" s="604"/>
      <c r="AI52" s="352"/>
      <c r="AJ52" s="353"/>
      <c r="AK52" s="352"/>
      <c r="AL52" s="352"/>
      <c r="AM52" s="358"/>
      <c r="AN52" s="604"/>
      <c r="AO52" s="352"/>
      <c r="AP52" s="353"/>
      <c r="AQ52" s="352"/>
      <c r="AR52" s="352"/>
      <c r="AS52" s="358"/>
      <c r="AT52" s="605"/>
      <c r="AU52" s="352"/>
      <c r="AV52" s="353"/>
      <c r="AW52" s="352"/>
      <c r="AX52" s="352"/>
      <c r="AY52" s="352"/>
      <c r="AZ52" s="357"/>
      <c r="BA52" s="352"/>
      <c r="BB52" s="353"/>
      <c r="BC52" s="352"/>
      <c r="BD52" s="352"/>
      <c r="BE52" s="352"/>
      <c r="BF52" s="357"/>
      <c r="BG52" s="352"/>
      <c r="BH52" s="353"/>
      <c r="BI52" s="352"/>
      <c r="BJ52" s="352"/>
      <c r="BK52" s="352"/>
      <c r="BL52" s="353"/>
      <c r="BM52" s="352"/>
      <c r="BN52" s="352"/>
      <c r="BO52" s="352"/>
      <c r="BP52" s="352"/>
      <c r="BQ52" s="352"/>
      <c r="BR52" s="353"/>
      <c r="BS52" s="352"/>
      <c r="BT52" s="353"/>
      <c r="BU52" s="352"/>
      <c r="BV52" s="352"/>
      <c r="BW52" s="358"/>
      <c r="BX52" s="213"/>
      <c r="BY52" s="213"/>
      <c r="BZ52" s="213"/>
      <c r="CA52" s="213"/>
      <c r="CB52" s="213"/>
      <c r="CC52" s="213"/>
      <c r="CD52" s="213"/>
      <c r="CE52" s="213"/>
      <c r="CF52" s="213"/>
      <c r="CG52" s="213"/>
      <c r="CH52" s="213"/>
      <c r="CI52" s="213"/>
      <c r="CJ52" s="213"/>
      <c r="CK52" s="213"/>
      <c r="CL52" s="213"/>
      <c r="CM52" s="213"/>
      <c r="CN52" s="213"/>
      <c r="CO52" s="213"/>
      <c r="CP52" s="213"/>
      <c r="CQ52" s="213"/>
    </row>
    <row r="53" ht="15.75" customHeight="1">
      <c r="A53" s="213"/>
      <c r="B53" s="393" t="s">
        <v>22</v>
      </c>
      <c r="C53" s="350" t="s">
        <v>305</v>
      </c>
      <c r="D53" s="604">
        <v>0.0</v>
      </c>
      <c r="E53" s="352"/>
      <c r="F53" s="352"/>
      <c r="G53" s="352"/>
      <c r="H53" s="352"/>
      <c r="I53" s="358"/>
      <c r="J53" s="604">
        <v>0.0</v>
      </c>
      <c r="K53" s="352"/>
      <c r="L53" s="352"/>
      <c r="M53" s="352"/>
      <c r="N53" s="352"/>
      <c r="O53" s="358"/>
      <c r="P53" s="604"/>
      <c r="Q53" s="352"/>
      <c r="R53" s="352"/>
      <c r="S53" s="352"/>
      <c r="T53" s="352"/>
      <c r="U53" s="358"/>
      <c r="V53" s="604"/>
      <c r="W53" s="352"/>
      <c r="X53" s="353"/>
      <c r="Y53" s="352"/>
      <c r="Z53" s="352"/>
      <c r="AA53" s="358"/>
      <c r="AB53" s="349"/>
      <c r="AC53" s="352"/>
      <c r="AD53" s="353"/>
      <c r="AE53" s="352"/>
      <c r="AF53" s="352"/>
      <c r="AG53" s="358"/>
      <c r="AH53" s="604"/>
      <c r="AI53" s="352"/>
      <c r="AJ53" s="353"/>
      <c r="AK53" s="352"/>
      <c r="AL53" s="352"/>
      <c r="AM53" s="358"/>
      <c r="AN53" s="604"/>
      <c r="AO53" s="352"/>
      <c r="AP53" s="353"/>
      <c r="AQ53" s="352"/>
      <c r="AR53" s="352"/>
      <c r="AS53" s="358"/>
      <c r="AT53" s="605"/>
      <c r="AU53" s="352"/>
      <c r="AV53" s="353"/>
      <c r="AW53" s="352"/>
      <c r="AX53" s="352"/>
      <c r="AY53" s="352"/>
      <c r="AZ53" s="357"/>
      <c r="BA53" s="352"/>
      <c r="BB53" s="353"/>
      <c r="BC53" s="352"/>
      <c r="BD53" s="352"/>
      <c r="BE53" s="352"/>
      <c r="BF53" s="357"/>
      <c r="BG53" s="352"/>
      <c r="BH53" s="353"/>
      <c r="BI53" s="352"/>
      <c r="BJ53" s="352"/>
      <c r="BK53" s="352"/>
      <c r="BL53" s="353"/>
      <c r="BM53" s="352"/>
      <c r="BN53" s="352"/>
      <c r="BO53" s="352"/>
      <c r="BP53" s="352"/>
      <c r="BQ53" s="352"/>
      <c r="BR53" s="353"/>
      <c r="BS53" s="352"/>
      <c r="BT53" s="353"/>
      <c r="BU53" s="352"/>
      <c r="BV53" s="352"/>
      <c r="BW53" s="358"/>
      <c r="BX53" s="213"/>
      <c r="BY53" s="213"/>
      <c r="BZ53" s="213"/>
      <c r="CA53" s="213"/>
      <c r="CB53" s="213"/>
      <c r="CC53" s="213"/>
      <c r="CD53" s="213"/>
      <c r="CE53" s="213"/>
      <c r="CF53" s="213"/>
      <c r="CG53" s="213"/>
      <c r="CH53" s="213"/>
      <c r="CI53" s="213"/>
      <c r="CJ53" s="213"/>
      <c r="CK53" s="213"/>
      <c r="CL53" s="213"/>
      <c r="CM53" s="213"/>
      <c r="CN53" s="213"/>
      <c r="CO53" s="213"/>
      <c r="CP53" s="213"/>
      <c r="CQ53" s="213"/>
    </row>
    <row r="54" ht="15.75" customHeight="1">
      <c r="A54" s="213"/>
      <c r="B54" s="393" t="s">
        <v>22</v>
      </c>
      <c r="C54" s="350" t="s">
        <v>304</v>
      </c>
      <c r="D54" s="604">
        <v>0.0</v>
      </c>
      <c r="E54" s="352"/>
      <c r="F54" s="352"/>
      <c r="G54" s="352"/>
      <c r="H54" s="352"/>
      <c r="I54" s="358"/>
      <c r="J54" s="604">
        <v>0.0</v>
      </c>
      <c r="K54" s="352"/>
      <c r="L54" s="352"/>
      <c r="M54" s="352"/>
      <c r="N54" s="352"/>
      <c r="O54" s="358"/>
      <c r="P54" s="604"/>
      <c r="Q54" s="352"/>
      <c r="R54" s="352"/>
      <c r="S54" s="352"/>
      <c r="T54" s="352"/>
      <c r="U54" s="358"/>
      <c r="V54" s="604"/>
      <c r="W54" s="352"/>
      <c r="X54" s="353"/>
      <c r="Y54" s="352"/>
      <c r="Z54" s="352"/>
      <c r="AA54" s="358"/>
      <c r="AB54" s="349"/>
      <c r="AC54" s="352"/>
      <c r="AD54" s="353"/>
      <c r="AE54" s="352"/>
      <c r="AF54" s="352"/>
      <c r="AG54" s="358"/>
      <c r="AH54" s="604"/>
      <c r="AI54" s="352"/>
      <c r="AJ54" s="353"/>
      <c r="AK54" s="352"/>
      <c r="AL54" s="352"/>
      <c r="AM54" s="358"/>
      <c r="AN54" s="604"/>
      <c r="AO54" s="352"/>
      <c r="AP54" s="353"/>
      <c r="AQ54" s="352"/>
      <c r="AR54" s="352"/>
      <c r="AS54" s="358"/>
      <c r="AT54" s="605"/>
      <c r="AU54" s="352"/>
      <c r="AV54" s="353"/>
      <c r="AW54" s="352"/>
      <c r="AX54" s="352"/>
      <c r="AY54" s="352"/>
      <c r="AZ54" s="357"/>
      <c r="BA54" s="352"/>
      <c r="BB54" s="353"/>
      <c r="BC54" s="352"/>
      <c r="BD54" s="352"/>
      <c r="BE54" s="352"/>
      <c r="BF54" s="357"/>
      <c r="BG54" s="352"/>
      <c r="BH54" s="353"/>
      <c r="BI54" s="352"/>
      <c r="BJ54" s="352"/>
      <c r="BK54" s="352"/>
      <c r="BL54" s="353"/>
      <c r="BM54" s="352"/>
      <c r="BN54" s="352"/>
      <c r="BO54" s="352"/>
      <c r="BP54" s="352"/>
      <c r="BQ54" s="352"/>
      <c r="BR54" s="353"/>
      <c r="BS54" s="352"/>
      <c r="BT54" s="353"/>
      <c r="BU54" s="352"/>
      <c r="BV54" s="352"/>
      <c r="BW54" s="358"/>
      <c r="BX54" s="213"/>
      <c r="BY54" s="213"/>
      <c r="BZ54" s="213"/>
      <c r="CA54" s="213"/>
      <c r="CB54" s="213"/>
      <c r="CC54" s="213"/>
      <c r="CD54" s="213"/>
      <c r="CE54" s="213"/>
      <c r="CF54" s="213"/>
      <c r="CG54" s="213"/>
      <c r="CH54" s="213"/>
      <c r="CI54" s="213"/>
      <c r="CJ54" s="213"/>
      <c r="CK54" s="213"/>
      <c r="CL54" s="213"/>
      <c r="CM54" s="213"/>
      <c r="CN54" s="213"/>
      <c r="CO54" s="213"/>
      <c r="CP54" s="213"/>
      <c r="CQ54" s="213"/>
    </row>
    <row r="55" ht="15.75" customHeight="1">
      <c r="A55" s="213"/>
      <c r="B55" s="393" t="s">
        <v>23</v>
      </c>
      <c r="C55" s="350" t="s">
        <v>305</v>
      </c>
      <c r="D55" s="604">
        <v>0.0</v>
      </c>
      <c r="E55" s="352"/>
      <c r="F55" s="352"/>
      <c r="G55" s="352"/>
      <c r="H55" s="352"/>
      <c r="I55" s="358"/>
      <c r="J55" s="604">
        <v>0.0</v>
      </c>
      <c r="K55" s="352"/>
      <c r="L55" s="352"/>
      <c r="M55" s="352"/>
      <c r="N55" s="352"/>
      <c r="O55" s="358"/>
      <c r="P55" s="604"/>
      <c r="Q55" s="352"/>
      <c r="R55" s="352"/>
      <c r="S55" s="352"/>
      <c r="T55" s="352"/>
      <c r="U55" s="358"/>
      <c r="V55" s="604"/>
      <c r="W55" s="352"/>
      <c r="X55" s="353"/>
      <c r="Y55" s="352"/>
      <c r="Z55" s="352"/>
      <c r="AA55" s="358"/>
      <c r="AB55" s="349"/>
      <c r="AC55" s="352"/>
      <c r="AD55" s="353"/>
      <c r="AE55" s="352"/>
      <c r="AF55" s="352"/>
      <c r="AG55" s="358"/>
      <c r="AH55" s="604"/>
      <c r="AI55" s="352"/>
      <c r="AJ55" s="353"/>
      <c r="AK55" s="352"/>
      <c r="AL55" s="352"/>
      <c r="AM55" s="358"/>
      <c r="AN55" s="604"/>
      <c r="AO55" s="352"/>
      <c r="AP55" s="353"/>
      <c r="AQ55" s="352"/>
      <c r="AR55" s="352"/>
      <c r="AS55" s="358"/>
      <c r="AT55" s="605"/>
      <c r="AU55" s="352"/>
      <c r="AV55" s="353"/>
      <c r="AW55" s="352"/>
      <c r="AX55" s="352"/>
      <c r="AY55" s="352"/>
      <c r="AZ55" s="357"/>
      <c r="BA55" s="352"/>
      <c r="BB55" s="353"/>
      <c r="BC55" s="352"/>
      <c r="BD55" s="352"/>
      <c r="BE55" s="352"/>
      <c r="BF55" s="357"/>
      <c r="BG55" s="352"/>
      <c r="BH55" s="353"/>
      <c r="BI55" s="352"/>
      <c r="BJ55" s="352"/>
      <c r="BK55" s="352"/>
      <c r="BL55" s="353"/>
      <c r="BM55" s="352"/>
      <c r="BN55" s="352"/>
      <c r="BO55" s="352"/>
      <c r="BP55" s="352"/>
      <c r="BQ55" s="352"/>
      <c r="BR55" s="353"/>
      <c r="BS55" s="352"/>
      <c r="BT55" s="353"/>
      <c r="BU55" s="352"/>
      <c r="BV55" s="352"/>
      <c r="BW55" s="358"/>
      <c r="BX55" s="213"/>
      <c r="BY55" s="213"/>
      <c r="BZ55" s="213"/>
      <c r="CA55" s="213"/>
      <c r="CB55" s="213"/>
      <c r="CC55" s="213"/>
      <c r="CD55" s="213"/>
      <c r="CE55" s="213"/>
      <c r="CF55" s="213"/>
      <c r="CG55" s="213"/>
      <c r="CH55" s="213"/>
      <c r="CI55" s="213"/>
      <c r="CJ55" s="213"/>
      <c r="CK55" s="213"/>
      <c r="CL55" s="213"/>
      <c r="CM55" s="213"/>
      <c r="CN55" s="213"/>
      <c r="CO55" s="213"/>
      <c r="CP55" s="213"/>
      <c r="CQ55" s="213"/>
    </row>
    <row r="56" ht="15.75" customHeight="1">
      <c r="A56" s="213"/>
      <c r="B56" s="393" t="s">
        <v>23</v>
      </c>
      <c r="C56" s="350" t="s">
        <v>304</v>
      </c>
      <c r="D56" s="604">
        <v>0.0</v>
      </c>
      <c r="E56" s="352"/>
      <c r="F56" s="352"/>
      <c r="G56" s="352"/>
      <c r="H56" s="352"/>
      <c r="I56" s="358"/>
      <c r="J56" s="604">
        <v>0.0</v>
      </c>
      <c r="K56" s="352"/>
      <c r="L56" s="352"/>
      <c r="M56" s="352"/>
      <c r="N56" s="352"/>
      <c r="O56" s="358"/>
      <c r="P56" s="604"/>
      <c r="Q56" s="352"/>
      <c r="R56" s="352"/>
      <c r="S56" s="352"/>
      <c r="T56" s="352"/>
      <c r="U56" s="358"/>
      <c r="V56" s="604"/>
      <c r="W56" s="352"/>
      <c r="X56" s="353"/>
      <c r="Y56" s="352"/>
      <c r="Z56" s="352"/>
      <c r="AA56" s="358"/>
      <c r="AB56" s="349"/>
      <c r="AC56" s="352"/>
      <c r="AD56" s="353"/>
      <c r="AE56" s="352"/>
      <c r="AF56" s="352"/>
      <c r="AG56" s="358"/>
      <c r="AH56" s="604"/>
      <c r="AI56" s="352"/>
      <c r="AJ56" s="353"/>
      <c r="AK56" s="352"/>
      <c r="AL56" s="352"/>
      <c r="AM56" s="358"/>
      <c r="AN56" s="604"/>
      <c r="AO56" s="352"/>
      <c r="AP56" s="353"/>
      <c r="AQ56" s="352"/>
      <c r="AR56" s="352"/>
      <c r="AS56" s="358"/>
      <c r="AT56" s="605"/>
      <c r="AU56" s="352"/>
      <c r="AV56" s="353"/>
      <c r="AW56" s="352"/>
      <c r="AX56" s="352"/>
      <c r="AY56" s="352"/>
      <c r="AZ56" s="357"/>
      <c r="BA56" s="352"/>
      <c r="BB56" s="353"/>
      <c r="BC56" s="352"/>
      <c r="BD56" s="352"/>
      <c r="BE56" s="352"/>
      <c r="BF56" s="357"/>
      <c r="BG56" s="352"/>
      <c r="BH56" s="353"/>
      <c r="BI56" s="352"/>
      <c r="BJ56" s="352"/>
      <c r="BK56" s="352"/>
      <c r="BL56" s="353"/>
      <c r="BM56" s="352"/>
      <c r="BN56" s="352"/>
      <c r="BO56" s="352"/>
      <c r="BP56" s="352"/>
      <c r="BQ56" s="352"/>
      <c r="BR56" s="353"/>
      <c r="BS56" s="352"/>
      <c r="BT56" s="353"/>
      <c r="BU56" s="352"/>
      <c r="BV56" s="352"/>
      <c r="BW56" s="358"/>
      <c r="BX56" s="213"/>
      <c r="BY56" s="213"/>
      <c r="BZ56" s="213"/>
      <c r="CA56" s="213"/>
      <c r="CB56" s="213"/>
      <c r="CC56" s="213"/>
      <c r="CD56" s="213"/>
      <c r="CE56" s="213"/>
      <c r="CF56" s="213"/>
      <c r="CG56" s="213"/>
      <c r="CH56" s="213"/>
      <c r="CI56" s="213"/>
      <c r="CJ56" s="213"/>
      <c r="CK56" s="213"/>
      <c r="CL56" s="213"/>
      <c r="CM56" s="213"/>
      <c r="CN56" s="213"/>
      <c r="CO56" s="213"/>
      <c r="CP56" s="213"/>
      <c r="CQ56" s="213"/>
    </row>
    <row r="57" ht="15.75" customHeight="1">
      <c r="A57" s="213"/>
      <c r="B57" s="393"/>
      <c r="C57" s="350"/>
      <c r="D57" s="604"/>
      <c r="E57" s="352"/>
      <c r="F57" s="352"/>
      <c r="G57" s="352"/>
      <c r="H57" s="352"/>
      <c r="I57" s="358"/>
      <c r="J57" s="604"/>
      <c r="K57" s="352"/>
      <c r="L57" s="352"/>
      <c r="M57" s="352"/>
      <c r="N57" s="352"/>
      <c r="O57" s="358"/>
      <c r="P57" s="604"/>
      <c r="Q57" s="352"/>
      <c r="R57" s="352"/>
      <c r="S57" s="352"/>
      <c r="T57" s="352"/>
      <c r="U57" s="358"/>
      <c r="V57" s="604"/>
      <c r="W57" s="352"/>
      <c r="X57" s="353"/>
      <c r="Y57" s="352"/>
      <c r="Z57" s="352"/>
      <c r="AA57" s="358"/>
      <c r="AB57" s="349"/>
      <c r="AC57" s="352"/>
      <c r="AD57" s="353"/>
      <c r="AE57" s="352"/>
      <c r="AF57" s="352"/>
      <c r="AG57" s="358"/>
      <c r="AH57" s="604"/>
      <c r="AI57" s="352"/>
      <c r="AJ57" s="353"/>
      <c r="AK57" s="352"/>
      <c r="AL57" s="352"/>
      <c r="AM57" s="358"/>
      <c r="AN57" s="604"/>
      <c r="AO57" s="352"/>
      <c r="AP57" s="353"/>
      <c r="AQ57" s="352"/>
      <c r="AR57" s="352"/>
      <c r="AS57" s="358"/>
      <c r="AT57" s="605"/>
      <c r="AU57" s="352"/>
      <c r="AV57" s="353"/>
      <c r="AW57" s="352"/>
      <c r="AX57" s="352"/>
      <c r="AY57" s="352"/>
      <c r="AZ57" s="357"/>
      <c r="BA57" s="352"/>
      <c r="BB57" s="353"/>
      <c r="BC57" s="352"/>
      <c r="BD57" s="352"/>
      <c r="BE57" s="352"/>
      <c r="BF57" s="357"/>
      <c r="BG57" s="352"/>
      <c r="BH57" s="353"/>
      <c r="BI57" s="352"/>
      <c r="BJ57" s="352"/>
      <c r="BK57" s="352"/>
      <c r="BL57" s="353"/>
      <c r="BM57" s="352"/>
      <c r="BN57" s="352"/>
      <c r="BO57" s="352"/>
      <c r="BP57" s="352"/>
      <c r="BQ57" s="352"/>
      <c r="BR57" s="353"/>
      <c r="BS57" s="352"/>
      <c r="BT57" s="353"/>
      <c r="BU57" s="352"/>
      <c r="BV57" s="245"/>
      <c r="BW57" s="350"/>
      <c r="BX57" s="213"/>
      <c r="BY57" s="213"/>
      <c r="BZ57" s="213"/>
      <c r="CA57" s="213"/>
      <c r="CB57" s="213"/>
      <c r="CC57" s="213"/>
      <c r="CD57" s="213"/>
      <c r="CE57" s="213"/>
      <c r="CF57" s="213"/>
      <c r="CG57" s="213"/>
      <c r="CH57" s="213"/>
      <c r="CI57" s="213"/>
      <c r="CJ57" s="213"/>
      <c r="CK57" s="213"/>
      <c r="CL57" s="213"/>
      <c r="CM57" s="213"/>
      <c r="CN57" s="213"/>
      <c r="CO57" s="213"/>
      <c r="CP57" s="213"/>
      <c r="CQ57" s="213"/>
    </row>
    <row r="58" ht="15.75" customHeight="1">
      <c r="A58" s="213"/>
      <c r="B58" s="393"/>
      <c r="C58" s="350"/>
      <c r="D58" s="604"/>
      <c r="E58" s="352"/>
      <c r="F58" s="352"/>
      <c r="G58" s="352"/>
      <c r="H58" s="352"/>
      <c r="I58" s="358"/>
      <c r="J58" s="604"/>
      <c r="K58" s="352"/>
      <c r="L58" s="352"/>
      <c r="M58" s="352"/>
      <c r="N58" s="352"/>
      <c r="O58" s="358"/>
      <c r="P58" s="604"/>
      <c r="Q58" s="352"/>
      <c r="R58" s="352"/>
      <c r="S58" s="352"/>
      <c r="T58" s="352"/>
      <c r="U58" s="358"/>
      <c r="V58" s="604"/>
      <c r="W58" s="352"/>
      <c r="X58" s="353"/>
      <c r="Y58" s="352"/>
      <c r="Z58" s="352"/>
      <c r="AA58" s="358"/>
      <c r="AB58" s="349"/>
      <c r="AC58" s="352"/>
      <c r="AD58" s="353"/>
      <c r="AE58" s="352"/>
      <c r="AF58" s="352"/>
      <c r="AG58" s="358"/>
      <c r="AH58" s="604"/>
      <c r="AI58" s="352"/>
      <c r="AJ58" s="353"/>
      <c r="AK58" s="352"/>
      <c r="AL58" s="352"/>
      <c r="AM58" s="358"/>
      <c r="AN58" s="604"/>
      <c r="AO58" s="352"/>
      <c r="AP58" s="353"/>
      <c r="AQ58" s="352"/>
      <c r="AR58" s="352"/>
      <c r="AS58" s="358"/>
      <c r="AT58" s="605"/>
      <c r="AU58" s="352"/>
      <c r="AV58" s="353"/>
      <c r="AW58" s="352"/>
      <c r="AX58" s="352"/>
      <c r="AY58" s="352"/>
      <c r="AZ58" s="357"/>
      <c r="BA58" s="352"/>
      <c r="BB58" s="353"/>
      <c r="BC58" s="352"/>
      <c r="BD58" s="352"/>
      <c r="BE58" s="352"/>
      <c r="BF58" s="357"/>
      <c r="BG58" s="352"/>
      <c r="BH58" s="353"/>
      <c r="BI58" s="352"/>
      <c r="BJ58" s="352"/>
      <c r="BK58" s="352"/>
      <c r="BL58" s="353"/>
      <c r="BM58" s="352"/>
      <c r="BN58" s="352"/>
      <c r="BO58" s="352"/>
      <c r="BP58" s="352"/>
      <c r="BQ58" s="352"/>
      <c r="BR58" s="353"/>
      <c r="BS58" s="352"/>
      <c r="BT58" s="353"/>
      <c r="BU58" s="352"/>
      <c r="BV58" s="245"/>
      <c r="BW58" s="350"/>
      <c r="BX58" s="213"/>
      <c r="BY58" s="213"/>
      <c r="BZ58" s="213"/>
      <c r="CA58" s="213"/>
      <c r="CB58" s="213"/>
      <c r="CC58" s="213"/>
      <c r="CD58" s="213"/>
      <c r="CE58" s="213"/>
      <c r="CF58" s="213"/>
      <c r="CG58" s="213"/>
      <c r="CH58" s="213"/>
      <c r="CI58" s="213"/>
      <c r="CJ58" s="213"/>
      <c r="CK58" s="213"/>
      <c r="CL58" s="213"/>
      <c r="CM58" s="213"/>
      <c r="CN58" s="213"/>
      <c r="CO58" s="213"/>
      <c r="CP58" s="213"/>
      <c r="CQ58" s="213"/>
    </row>
    <row r="59" ht="15.75" customHeight="1">
      <c r="A59" s="213"/>
      <c r="B59" s="393"/>
      <c r="C59" s="350"/>
      <c r="D59" s="604"/>
      <c r="E59" s="352"/>
      <c r="F59" s="352"/>
      <c r="G59" s="352"/>
      <c r="H59" s="352"/>
      <c r="I59" s="358"/>
      <c r="J59" s="604"/>
      <c r="K59" s="352"/>
      <c r="L59" s="352"/>
      <c r="M59" s="352"/>
      <c r="N59" s="352"/>
      <c r="O59" s="358"/>
      <c r="P59" s="604"/>
      <c r="Q59" s="352"/>
      <c r="R59" s="352"/>
      <c r="S59" s="352"/>
      <c r="T59" s="352"/>
      <c r="U59" s="358"/>
      <c r="V59" s="604"/>
      <c r="W59" s="352"/>
      <c r="X59" s="353"/>
      <c r="Y59" s="352"/>
      <c r="Z59" s="352"/>
      <c r="AA59" s="358"/>
      <c r="AB59" s="349"/>
      <c r="AC59" s="352"/>
      <c r="AD59" s="353"/>
      <c r="AE59" s="352"/>
      <c r="AF59" s="352"/>
      <c r="AG59" s="358"/>
      <c r="AH59" s="604"/>
      <c r="AI59" s="352"/>
      <c r="AJ59" s="353"/>
      <c r="AK59" s="352"/>
      <c r="AL59" s="352"/>
      <c r="AM59" s="358"/>
      <c r="AN59" s="604"/>
      <c r="AO59" s="352"/>
      <c r="AP59" s="353"/>
      <c r="AQ59" s="352"/>
      <c r="AR59" s="352"/>
      <c r="AS59" s="358"/>
      <c r="AT59" s="605"/>
      <c r="AU59" s="352"/>
      <c r="AV59" s="353"/>
      <c r="AW59" s="352"/>
      <c r="AX59" s="352"/>
      <c r="AY59" s="352"/>
      <c r="AZ59" s="357"/>
      <c r="BA59" s="352"/>
      <c r="BB59" s="353"/>
      <c r="BC59" s="352"/>
      <c r="BD59" s="352"/>
      <c r="BE59" s="352"/>
      <c r="BF59" s="357"/>
      <c r="BG59" s="352"/>
      <c r="BH59" s="353"/>
      <c r="BI59" s="352"/>
      <c r="BJ59" s="352"/>
      <c r="BK59" s="352"/>
      <c r="BL59" s="353"/>
      <c r="BM59" s="352"/>
      <c r="BN59" s="352"/>
      <c r="BO59" s="352"/>
      <c r="BP59" s="352"/>
      <c r="BQ59" s="352"/>
      <c r="BR59" s="353"/>
      <c r="BS59" s="352"/>
      <c r="BT59" s="353"/>
      <c r="BU59" s="352"/>
      <c r="BV59" s="245"/>
      <c r="BW59" s="350"/>
      <c r="BX59" s="213"/>
      <c r="BY59" s="213"/>
      <c r="BZ59" s="213"/>
      <c r="CA59" s="213"/>
      <c r="CB59" s="213"/>
      <c r="CC59" s="213"/>
      <c r="CD59" s="213"/>
      <c r="CE59" s="213"/>
      <c r="CF59" s="213"/>
      <c r="CG59" s="213"/>
      <c r="CH59" s="213"/>
      <c r="CI59" s="213"/>
      <c r="CJ59" s="213"/>
      <c r="CK59" s="213"/>
      <c r="CL59" s="213"/>
      <c r="CM59" s="213"/>
      <c r="CN59" s="213"/>
      <c r="CO59" s="213"/>
      <c r="CP59" s="213"/>
      <c r="CQ59" s="213"/>
    </row>
    <row r="60" ht="15.75" customHeight="1">
      <c r="A60" s="213"/>
      <c r="B60" s="393"/>
      <c r="C60" s="350" t="s">
        <v>248</v>
      </c>
      <c r="D60" s="604">
        <f>SUM(D51:D59)</f>
        <v>0</v>
      </c>
      <c r="E60" s="355"/>
      <c r="F60" s="357"/>
      <c r="G60" s="355"/>
      <c r="H60" s="357">
        <f>SUM(H51:H59)</f>
        <v>0</v>
      </c>
      <c r="I60" s="395" t="str">
        <f>H60/H14</f>
        <v>#DIV/0!</v>
      </c>
      <c r="J60" s="604">
        <f>SUM(J51:J59)</f>
        <v>0</v>
      </c>
      <c r="K60" s="355"/>
      <c r="L60" s="357">
        <f>SUM(L51:L59)</f>
        <v>0</v>
      </c>
      <c r="M60" s="355"/>
      <c r="N60" s="357">
        <f>SUM(N51:N59)</f>
        <v>0</v>
      </c>
      <c r="O60" s="395" t="str">
        <f>N60/N14</f>
        <v>#DIV/0!</v>
      </c>
      <c r="P60" s="604">
        <f>SUM(P51:P59)</f>
        <v>0</v>
      </c>
      <c r="Q60" s="355"/>
      <c r="R60" s="357">
        <f>SUM(R51:R59)</f>
        <v>0</v>
      </c>
      <c r="S60" s="355" t="str">
        <f>R60/R14</f>
        <v>#DIV/0!</v>
      </c>
      <c r="T60" s="352">
        <f>SUM(T52:T59)</f>
        <v>0</v>
      </c>
      <c r="U60" s="358"/>
      <c r="V60" s="604">
        <f>SUM(V52:V59)</f>
        <v>0</v>
      </c>
      <c r="W60" s="352"/>
      <c r="X60" s="353">
        <f>SUM(X52:X59)</f>
        <v>0</v>
      </c>
      <c r="Y60" s="355" t="str">
        <f>X60/X14</f>
        <v>#DIV/0!</v>
      </c>
      <c r="Z60" s="352">
        <f>SUM(Z52:Z59)</f>
        <v>0</v>
      </c>
      <c r="AA60" s="358"/>
      <c r="AB60" s="604">
        <f>SUM(AB52:AB59)</f>
        <v>0</v>
      </c>
      <c r="AC60" s="352"/>
      <c r="AD60" s="353">
        <f>SUM(AD52:AD59)</f>
        <v>0</v>
      </c>
      <c r="AE60" s="355" t="str">
        <f>AD60/AD14</f>
        <v>#DIV/0!</v>
      </c>
      <c r="AF60" s="352">
        <f>SUM(AF52:AF59)</f>
        <v>0</v>
      </c>
      <c r="AG60" s="358"/>
      <c r="AH60" s="604">
        <f>SUM(AH52:AH59)</f>
        <v>0</v>
      </c>
      <c r="AI60" s="352"/>
      <c r="AJ60" s="353">
        <f>SUM(AJ52:AJ59)</f>
        <v>0</v>
      </c>
      <c r="AK60" s="355" t="str">
        <f>AJ60/AJ14</f>
        <v>#DIV/0!</v>
      </c>
      <c r="AL60" s="352">
        <f>SUM(AL52:AL59)</f>
        <v>0</v>
      </c>
      <c r="AM60" s="358"/>
      <c r="AN60" s="604">
        <f>SUM(AN52:AN59)</f>
        <v>0</v>
      </c>
      <c r="AO60" s="352"/>
      <c r="AP60" s="353">
        <f>SUM(AP52:AP59)</f>
        <v>0</v>
      </c>
      <c r="AQ60" s="355" t="str">
        <f>AP60/AP14</f>
        <v>#DIV/0!</v>
      </c>
      <c r="AR60" s="352">
        <f>SUM(AR52:AR59)</f>
        <v>0</v>
      </c>
      <c r="AS60" s="358"/>
      <c r="AT60" s="605">
        <f>SUM(AT52:AT59)</f>
        <v>0</v>
      </c>
      <c r="AU60" s="352"/>
      <c r="AV60" s="353">
        <f>SUM(AV52:AV59)</f>
        <v>0</v>
      </c>
      <c r="AW60" s="355" t="str">
        <f>AV60/AV14</f>
        <v>#DIV/0!</v>
      </c>
      <c r="AX60" s="352">
        <f>SUM(AX52:AX59)</f>
        <v>0</v>
      </c>
      <c r="AY60" s="352"/>
      <c r="AZ60" s="357">
        <f>SUM(AZ52:AZ59)</f>
        <v>0</v>
      </c>
      <c r="BA60" s="352"/>
      <c r="BB60" s="353">
        <f>SUM(BB52:BB59)</f>
        <v>0</v>
      </c>
      <c r="BC60" s="355" t="str">
        <f>BB60/BB14</f>
        <v>#DIV/0!</v>
      </c>
      <c r="BD60" s="352">
        <f>SUM(BD52:BD59)</f>
        <v>0</v>
      </c>
      <c r="BE60" s="352"/>
      <c r="BF60" s="357">
        <f>SUM(BF52:BF59)</f>
        <v>0</v>
      </c>
      <c r="BG60" s="352"/>
      <c r="BH60" s="353">
        <f>SUM(BH52:BH59)</f>
        <v>0</v>
      </c>
      <c r="BI60" s="355" t="str">
        <f>BH60/BH14</f>
        <v>#DIV/0!</v>
      </c>
      <c r="BJ60" s="352">
        <f>SUM(BJ52:BJ59)</f>
        <v>0</v>
      </c>
      <c r="BK60" s="352"/>
      <c r="BL60" s="353">
        <f>SUM(BL52:BL59)</f>
        <v>0</v>
      </c>
      <c r="BM60" s="352"/>
      <c r="BN60" s="352">
        <f>SUM(BN52:BN59)</f>
        <v>0</v>
      </c>
      <c r="BO60" s="355" t="str">
        <f>BN60/BN14</f>
        <v>#DIV/0!</v>
      </c>
      <c r="BP60" s="352">
        <f>SUM(BP52:BP59)</f>
        <v>0</v>
      </c>
      <c r="BQ60" s="352"/>
      <c r="BR60" s="353">
        <f>SUM(BR52:BR59)</f>
        <v>0</v>
      </c>
      <c r="BS60" s="352"/>
      <c r="BT60" s="353">
        <f>SUM(BT52:BT59)</f>
        <v>0</v>
      </c>
      <c r="BU60" s="355" t="str">
        <f>BT60/BT14</f>
        <v>#DIV/0!</v>
      </c>
      <c r="BV60" s="352">
        <f>SUM(BV52:BV59)</f>
        <v>0</v>
      </c>
      <c r="BW60" s="358"/>
      <c r="BX60" s="237">
        <f>D60+J60+P60+V60+AB60+AH60+AN60+AT60+AZ60+BF60+BL60+BR60</f>
        <v>0</v>
      </c>
      <c r="BY60" s="213"/>
      <c r="BZ60" s="213"/>
      <c r="CA60" s="213"/>
      <c r="CB60" s="213"/>
      <c r="CC60" s="213"/>
      <c r="CD60" s="213"/>
      <c r="CE60" s="213"/>
      <c r="CF60" s="213"/>
      <c r="CG60" s="213"/>
      <c r="CH60" s="213"/>
      <c r="CI60" s="213"/>
      <c r="CJ60" s="213"/>
      <c r="CK60" s="213"/>
      <c r="CL60" s="213"/>
      <c r="CM60" s="213"/>
      <c r="CN60" s="213"/>
      <c r="CO60" s="213"/>
      <c r="CP60" s="213"/>
      <c r="CQ60" s="213"/>
    </row>
    <row r="61" ht="15.75" customHeight="1">
      <c r="A61" s="213"/>
      <c r="B61" s="393"/>
      <c r="C61" s="350"/>
      <c r="D61" s="604"/>
      <c r="E61" s="352"/>
      <c r="F61" s="245"/>
      <c r="G61" s="245"/>
      <c r="H61" s="245"/>
      <c r="I61" s="350"/>
      <c r="J61" s="604"/>
      <c r="K61" s="352"/>
      <c r="L61" s="352"/>
      <c r="M61" s="352"/>
      <c r="N61" s="352"/>
      <c r="O61" s="358"/>
      <c r="P61" s="604"/>
      <c r="Q61" s="352"/>
      <c r="R61" s="352"/>
      <c r="S61" s="352"/>
      <c r="T61" s="352"/>
      <c r="U61" s="358"/>
      <c r="V61" s="604"/>
      <c r="W61" s="352"/>
      <c r="X61" s="353"/>
      <c r="Y61" s="352"/>
      <c r="Z61" s="352"/>
      <c r="AA61" s="358"/>
      <c r="AB61" s="393"/>
      <c r="AC61" s="245"/>
      <c r="AD61" s="356"/>
      <c r="AE61" s="245"/>
      <c r="AF61" s="245"/>
      <c r="AG61" s="350"/>
      <c r="AH61" s="604"/>
      <c r="AI61" s="245"/>
      <c r="AJ61" s="356"/>
      <c r="AK61" s="245"/>
      <c r="AL61" s="245"/>
      <c r="AM61" s="350"/>
      <c r="AN61" s="604"/>
      <c r="AO61" s="245"/>
      <c r="AP61" s="356"/>
      <c r="AQ61" s="245"/>
      <c r="AR61" s="245"/>
      <c r="AS61" s="350"/>
      <c r="AT61" s="605"/>
      <c r="AU61" s="245"/>
      <c r="AV61" s="356"/>
      <c r="AW61" s="245"/>
      <c r="AX61" s="245"/>
      <c r="AY61" s="245"/>
      <c r="AZ61" s="357"/>
      <c r="BA61" s="245"/>
      <c r="BB61" s="356"/>
      <c r="BC61" s="245"/>
      <c r="BD61" s="245"/>
      <c r="BE61" s="245"/>
      <c r="BF61" s="357"/>
      <c r="BG61" s="245"/>
      <c r="BH61" s="356"/>
      <c r="BI61" s="245"/>
      <c r="BJ61" s="245"/>
      <c r="BK61" s="245"/>
      <c r="BL61" s="353"/>
      <c r="BM61" s="245"/>
      <c r="BN61" s="245"/>
      <c r="BO61" s="245"/>
      <c r="BP61" s="245"/>
      <c r="BQ61" s="245"/>
      <c r="BR61" s="356"/>
      <c r="BS61" s="245"/>
      <c r="BT61" s="356"/>
      <c r="BU61" s="245"/>
      <c r="BV61" s="245"/>
      <c r="BW61" s="350"/>
      <c r="BX61" s="213"/>
      <c r="BY61" s="213"/>
      <c r="BZ61" s="213"/>
      <c r="CA61" s="213"/>
      <c r="CB61" s="213"/>
      <c r="CC61" s="213"/>
      <c r="CD61" s="213"/>
      <c r="CE61" s="213"/>
      <c r="CF61" s="213"/>
      <c r="CG61" s="213"/>
      <c r="CH61" s="213"/>
      <c r="CI61" s="213"/>
      <c r="CJ61" s="213"/>
      <c r="CK61" s="213"/>
      <c r="CL61" s="213"/>
      <c r="CM61" s="213"/>
      <c r="CN61" s="213"/>
      <c r="CO61" s="213"/>
      <c r="CP61" s="213"/>
      <c r="CQ61" s="213"/>
    </row>
    <row r="62" ht="15.75" customHeight="1">
      <c r="A62" s="213"/>
      <c r="B62" s="393"/>
      <c r="C62" s="350"/>
      <c r="D62" s="604"/>
      <c r="E62" s="352"/>
      <c r="F62" s="245"/>
      <c r="G62" s="245"/>
      <c r="H62" s="245"/>
      <c r="I62" s="350"/>
      <c r="J62" s="604"/>
      <c r="K62" s="352"/>
      <c r="L62" s="352"/>
      <c r="M62" s="352"/>
      <c r="N62" s="352"/>
      <c r="O62" s="358"/>
      <c r="P62" s="604"/>
      <c r="Q62" s="352"/>
      <c r="R62" s="352"/>
      <c r="S62" s="352"/>
      <c r="T62" s="352"/>
      <c r="U62" s="358"/>
      <c r="V62" s="604"/>
      <c r="W62" s="352"/>
      <c r="X62" s="353"/>
      <c r="Y62" s="352"/>
      <c r="Z62" s="352"/>
      <c r="AA62" s="358"/>
      <c r="AB62" s="393"/>
      <c r="AC62" s="245"/>
      <c r="AD62" s="356"/>
      <c r="AE62" s="245"/>
      <c r="AF62" s="245"/>
      <c r="AG62" s="350"/>
      <c r="AH62" s="604"/>
      <c r="AI62" s="245"/>
      <c r="AJ62" s="356"/>
      <c r="AK62" s="245"/>
      <c r="AL62" s="245"/>
      <c r="AM62" s="350"/>
      <c r="AN62" s="604"/>
      <c r="AO62" s="245"/>
      <c r="AP62" s="356"/>
      <c r="AQ62" s="245"/>
      <c r="AR62" s="245"/>
      <c r="AS62" s="350"/>
      <c r="AT62" s="605"/>
      <c r="AU62" s="245"/>
      <c r="AV62" s="356"/>
      <c r="AW62" s="245"/>
      <c r="AX62" s="245"/>
      <c r="AY62" s="245"/>
      <c r="AZ62" s="357"/>
      <c r="BA62" s="245"/>
      <c r="BB62" s="356"/>
      <c r="BC62" s="245"/>
      <c r="BD62" s="245"/>
      <c r="BE62" s="245"/>
      <c r="BF62" s="357"/>
      <c r="BG62" s="245"/>
      <c r="BH62" s="356"/>
      <c r="BI62" s="245"/>
      <c r="BJ62" s="245"/>
      <c r="BK62" s="245"/>
      <c r="BL62" s="353"/>
      <c r="BM62" s="245"/>
      <c r="BN62" s="245"/>
      <c r="BO62" s="245"/>
      <c r="BP62" s="245"/>
      <c r="BQ62" s="245"/>
      <c r="BR62" s="356"/>
      <c r="BS62" s="245"/>
      <c r="BT62" s="356"/>
      <c r="BU62" s="245"/>
      <c r="BV62" s="245"/>
      <c r="BW62" s="350"/>
      <c r="BX62" s="213"/>
      <c r="BY62" s="213"/>
      <c r="BZ62" s="213"/>
      <c r="CA62" s="213"/>
      <c r="CB62" s="213"/>
      <c r="CC62" s="213"/>
      <c r="CD62" s="213"/>
      <c r="CE62" s="213"/>
      <c r="CF62" s="213"/>
      <c r="CG62" s="213"/>
      <c r="CH62" s="213"/>
      <c r="CI62" s="213"/>
      <c r="CJ62" s="213"/>
      <c r="CK62" s="213"/>
      <c r="CL62" s="213"/>
      <c r="CM62" s="213"/>
      <c r="CN62" s="213"/>
      <c r="CO62" s="213"/>
      <c r="CP62" s="213"/>
      <c r="CQ62" s="213"/>
    </row>
    <row r="63" ht="15.75" customHeight="1">
      <c r="A63" s="213"/>
      <c r="B63" s="403"/>
      <c r="C63" s="362"/>
      <c r="D63" s="619"/>
      <c r="E63" s="364"/>
      <c r="F63" s="688"/>
      <c r="G63" s="688"/>
      <c r="H63" s="688"/>
      <c r="I63" s="362"/>
      <c r="J63" s="619"/>
      <c r="K63" s="364"/>
      <c r="L63" s="364"/>
      <c r="M63" s="364"/>
      <c r="N63" s="364"/>
      <c r="O63" s="368"/>
      <c r="P63" s="619"/>
      <c r="Q63" s="364"/>
      <c r="R63" s="364"/>
      <c r="S63" s="364"/>
      <c r="T63" s="364"/>
      <c r="U63" s="368"/>
      <c r="V63" s="619"/>
      <c r="W63" s="364"/>
      <c r="X63" s="365"/>
      <c r="Y63" s="364"/>
      <c r="Z63" s="364"/>
      <c r="AA63" s="368"/>
      <c r="AB63" s="403"/>
      <c r="AC63" s="688"/>
      <c r="AD63" s="689"/>
      <c r="AE63" s="688"/>
      <c r="AF63" s="688"/>
      <c r="AG63" s="362"/>
      <c r="AH63" s="619"/>
      <c r="AI63" s="688"/>
      <c r="AJ63" s="689"/>
      <c r="AK63" s="688"/>
      <c r="AL63" s="688"/>
      <c r="AM63" s="362"/>
      <c r="AN63" s="619"/>
      <c r="AO63" s="688"/>
      <c r="AP63" s="689"/>
      <c r="AQ63" s="688"/>
      <c r="AR63" s="688"/>
      <c r="AS63" s="362"/>
      <c r="AT63" s="793"/>
      <c r="AU63" s="688"/>
      <c r="AV63" s="689"/>
      <c r="AW63" s="688"/>
      <c r="AX63" s="688"/>
      <c r="AY63" s="688"/>
      <c r="AZ63" s="367"/>
      <c r="BA63" s="688"/>
      <c r="BB63" s="689"/>
      <c r="BC63" s="688"/>
      <c r="BD63" s="688"/>
      <c r="BE63" s="688"/>
      <c r="BF63" s="367"/>
      <c r="BG63" s="688"/>
      <c r="BH63" s="689"/>
      <c r="BI63" s="688"/>
      <c r="BJ63" s="688"/>
      <c r="BK63" s="688"/>
      <c r="BL63" s="365"/>
      <c r="BM63" s="688"/>
      <c r="BN63" s="688"/>
      <c r="BO63" s="688"/>
      <c r="BP63" s="688"/>
      <c r="BQ63" s="688"/>
      <c r="BR63" s="804"/>
      <c r="BS63" s="688"/>
      <c r="BT63" s="689"/>
      <c r="BU63" s="688"/>
      <c r="BV63" s="688"/>
      <c r="BW63" s="362"/>
      <c r="BX63" s="213"/>
      <c r="BY63" s="213"/>
      <c r="BZ63" s="213"/>
      <c r="CA63" s="213"/>
      <c r="CB63" s="213"/>
      <c r="CC63" s="213"/>
      <c r="CD63" s="213"/>
      <c r="CE63" s="213"/>
      <c r="CF63" s="213"/>
      <c r="CG63" s="213"/>
      <c r="CH63" s="213"/>
      <c r="CI63" s="213"/>
      <c r="CJ63" s="213"/>
      <c r="CK63" s="213"/>
      <c r="CL63" s="213"/>
      <c r="CM63" s="213"/>
      <c r="CN63" s="213"/>
      <c r="CO63" s="213"/>
      <c r="CP63" s="213"/>
      <c r="CQ63" s="213"/>
    </row>
    <row r="64" ht="15.75" customHeight="1">
      <c r="A64" s="213"/>
      <c r="B64" s="928" t="s">
        <v>33</v>
      </c>
      <c r="C64" s="14"/>
      <c r="D64" s="600">
        <f>D29-D49-D60</f>
        <v>175414.9814</v>
      </c>
      <c r="E64" s="374">
        <f>D64/D29</f>
        <v>0.5586108572</v>
      </c>
      <c r="F64" s="377">
        <f>F29-F49-F60</f>
        <v>80000</v>
      </c>
      <c r="G64" s="806">
        <f>F49/F$29</f>
        <v>0</v>
      </c>
      <c r="H64" s="377">
        <f>H29-H49-H60</f>
        <v>177687.9814</v>
      </c>
      <c r="I64" s="821">
        <f>H49/H$29</f>
        <v>0.1898268685</v>
      </c>
      <c r="J64" s="600">
        <f>J29-J49-J60</f>
        <v>155877.9709</v>
      </c>
      <c r="K64" s="374">
        <f>J64/J29</f>
        <v>0.4047517112</v>
      </c>
      <c r="L64" s="377">
        <f>L29-L49-L60</f>
        <v>80000</v>
      </c>
      <c r="M64" s="374">
        <f>L49/L$29</f>
        <v>0</v>
      </c>
      <c r="N64" s="377">
        <f>N29-N49-N60</f>
        <v>0</v>
      </c>
      <c r="O64" s="379" t="str">
        <f>N49/N$29</f>
        <v>#DIV/0!</v>
      </c>
      <c r="P64" s="600">
        <f>P29-P49-P60</f>
        <v>88816.57675</v>
      </c>
      <c r="Q64" s="374">
        <f>P64/P29</f>
        <v>0.2652777332</v>
      </c>
      <c r="R64" s="377">
        <f>R29-R49-R60</f>
        <v>80000</v>
      </c>
      <c r="S64" s="374">
        <f>R49/R$29</f>
        <v>0</v>
      </c>
      <c r="T64" s="377">
        <f>T29-T49-T60</f>
        <v>0</v>
      </c>
      <c r="U64" s="379" t="str">
        <f>T49/T$29</f>
        <v>#DIV/0!</v>
      </c>
      <c r="V64" s="600">
        <f>V29-V49-V60</f>
        <v>125497.2918</v>
      </c>
      <c r="W64" s="374">
        <f>V64/V29</f>
        <v>0.29310566</v>
      </c>
      <c r="X64" s="375">
        <f>X29-X49-X60</f>
        <v>80000</v>
      </c>
      <c r="Y64" s="374">
        <f>X49/X$29</f>
        <v>0</v>
      </c>
      <c r="Z64" s="377">
        <f>Z29-Z49</f>
        <v>0</v>
      </c>
      <c r="AA64" s="378"/>
      <c r="AB64" s="926">
        <f>AB29-AB49</f>
        <v>67110.80803</v>
      </c>
      <c r="AC64" s="374">
        <f>AB64/AB29</f>
        <v>0.1524047182</v>
      </c>
      <c r="AD64" s="692">
        <f>AD29-AD49</f>
        <v>84000</v>
      </c>
      <c r="AE64" s="437"/>
      <c r="AF64" s="800">
        <f>AF29-AF49</f>
        <v>0</v>
      </c>
      <c r="AG64" s="372"/>
      <c r="AH64" s="600">
        <f>AH29-AH49</f>
        <v>43125.38687</v>
      </c>
      <c r="AI64" s="374">
        <f>AH64/AH29</f>
        <v>0.1136662624</v>
      </c>
      <c r="AJ64" s="692">
        <f>AJ29-AJ49</f>
        <v>84000</v>
      </c>
      <c r="AK64" s="437"/>
      <c r="AL64" s="800">
        <f>AL29-AL49</f>
        <v>0</v>
      </c>
      <c r="AM64" s="372"/>
      <c r="AN64" s="600">
        <f>AN29-AN49</f>
        <v>64707.30929</v>
      </c>
      <c r="AO64" s="437"/>
      <c r="AP64" s="692">
        <f>AP29-AP49</f>
        <v>88200</v>
      </c>
      <c r="AQ64" s="437"/>
      <c r="AR64" s="800">
        <f>AR29-AR49</f>
        <v>0</v>
      </c>
      <c r="AS64" s="372"/>
      <c r="AT64" s="601">
        <f>AT29-AT49</f>
        <v>204438.0706</v>
      </c>
      <c r="AU64" s="437"/>
      <c r="AV64" s="692">
        <f>AV29-AV49</f>
        <v>83790</v>
      </c>
      <c r="AW64" s="437"/>
      <c r="AX64" s="800">
        <f>AX29-AX49</f>
        <v>0</v>
      </c>
      <c r="AY64" s="437"/>
      <c r="AZ64" s="377">
        <f>AZ29-AZ49</f>
        <v>686858.3055</v>
      </c>
      <c r="BA64" s="437"/>
      <c r="BB64" s="692">
        <f>BB29-BB49</f>
        <v>96359</v>
      </c>
      <c r="BC64" s="437"/>
      <c r="BD64" s="800">
        <f>BD29-BD49</f>
        <v>0</v>
      </c>
      <c r="BE64" s="437"/>
      <c r="BF64" s="377">
        <f>BF29-BF49</f>
        <v>-594176.65</v>
      </c>
      <c r="BG64" s="437"/>
      <c r="BH64" s="692">
        <f>BH29-BH49</f>
        <v>83790</v>
      </c>
      <c r="BI64" s="437"/>
      <c r="BJ64" s="800">
        <f>BJ29-BJ49</f>
        <v>0</v>
      </c>
      <c r="BK64" s="437"/>
      <c r="BL64" s="375">
        <f>BL29-BL49</f>
        <v>677045.4382</v>
      </c>
      <c r="BM64" s="437"/>
      <c r="BN64" s="800">
        <f>BN29-BN49</f>
        <v>71300</v>
      </c>
      <c r="BO64" s="437"/>
      <c r="BP64" s="800">
        <f>BP29-BP49</f>
        <v>0</v>
      </c>
      <c r="BQ64" s="437"/>
      <c r="BR64" s="692">
        <f>BR29-BR49</f>
        <v>-477957.4502</v>
      </c>
      <c r="BS64" s="437"/>
      <c r="BT64" s="692">
        <f>BT29-BT49</f>
        <v>78500</v>
      </c>
      <c r="BU64" s="437"/>
      <c r="BV64" s="800">
        <f>BV29-BV49</f>
        <v>0</v>
      </c>
      <c r="BW64" s="372"/>
      <c r="BX64" s="237">
        <f>D64+J64+P64+V64+AB64+AH64+AN64+AT64+AZ64+BF64+BL64+BR64</f>
        <v>1216758.039</v>
      </c>
      <c r="BY64" s="213"/>
      <c r="BZ64" s="213"/>
      <c r="CA64" s="213"/>
      <c r="CB64" s="213"/>
      <c r="CC64" s="213"/>
      <c r="CD64" s="213"/>
      <c r="CE64" s="213"/>
      <c r="CF64" s="213"/>
      <c r="CG64" s="213"/>
      <c r="CH64" s="213"/>
      <c r="CI64" s="213"/>
      <c r="CJ64" s="213"/>
      <c r="CK64" s="213"/>
      <c r="CL64" s="213"/>
      <c r="CM64" s="213"/>
      <c r="CN64" s="213"/>
      <c r="CO64" s="213"/>
      <c r="CP64" s="213"/>
      <c r="CQ64" s="213"/>
    </row>
    <row r="65" ht="15.75" customHeight="1">
      <c r="A65" s="213"/>
      <c r="B65" s="444"/>
      <c r="C65" s="383"/>
      <c r="D65" s="708"/>
      <c r="E65" s="440"/>
      <c r="F65" s="709"/>
      <c r="G65" s="709"/>
      <c r="H65" s="709"/>
      <c r="I65" s="383"/>
      <c r="J65" s="708"/>
      <c r="K65" s="440"/>
      <c r="L65" s="440"/>
      <c r="M65" s="440"/>
      <c r="N65" s="440"/>
      <c r="O65" s="389"/>
      <c r="P65" s="708"/>
      <c r="Q65" s="440"/>
      <c r="R65" s="440"/>
      <c r="S65" s="440"/>
      <c r="T65" s="440"/>
      <c r="U65" s="389"/>
      <c r="V65" s="708"/>
      <c r="W65" s="440"/>
      <c r="X65" s="386"/>
      <c r="Y65" s="440"/>
      <c r="Z65" s="440"/>
      <c r="AA65" s="389"/>
      <c r="AB65" s="444"/>
      <c r="AC65" s="709"/>
      <c r="AD65" s="927"/>
      <c r="AE65" s="709"/>
      <c r="AF65" s="709"/>
      <c r="AG65" s="383"/>
      <c r="AH65" s="708"/>
      <c r="AI65" s="709"/>
      <c r="AJ65" s="927"/>
      <c r="AK65" s="709"/>
      <c r="AL65" s="709"/>
      <c r="AM65" s="383"/>
      <c r="AN65" s="708"/>
      <c r="AO65" s="709"/>
      <c r="AP65" s="927"/>
      <c r="AQ65" s="709"/>
      <c r="AR65" s="709"/>
      <c r="AS65" s="383"/>
      <c r="AT65" s="787"/>
      <c r="AU65" s="709"/>
      <c r="AV65" s="927"/>
      <c r="AW65" s="709"/>
      <c r="AX65" s="709"/>
      <c r="AY65" s="709"/>
      <c r="AZ65" s="388"/>
      <c r="BA65" s="709"/>
      <c r="BB65" s="927"/>
      <c r="BC65" s="709"/>
      <c r="BD65" s="709"/>
      <c r="BE65" s="709"/>
      <c r="BF65" s="388"/>
      <c r="BG65" s="709"/>
      <c r="BH65" s="927"/>
      <c r="BI65" s="709"/>
      <c r="BJ65" s="709"/>
      <c r="BK65" s="709"/>
      <c r="BL65" s="386"/>
      <c r="BM65" s="709"/>
      <c r="BN65" s="709"/>
      <c r="BO65" s="709"/>
      <c r="BP65" s="709"/>
      <c r="BQ65" s="709"/>
      <c r="BR65" s="802"/>
      <c r="BS65" s="709"/>
      <c r="BT65" s="927"/>
      <c r="BU65" s="709"/>
      <c r="BV65" s="709"/>
      <c r="BW65" s="383"/>
      <c r="BX65" s="213"/>
      <c r="BY65" s="213"/>
      <c r="BZ65" s="213"/>
      <c r="CA65" s="213"/>
      <c r="CB65" s="213"/>
      <c r="CC65" s="213"/>
      <c r="CD65" s="213"/>
      <c r="CE65" s="213"/>
      <c r="CF65" s="213"/>
      <c r="CG65" s="213"/>
      <c r="CH65" s="213"/>
      <c r="CI65" s="213"/>
      <c r="CJ65" s="213"/>
      <c r="CK65" s="213"/>
      <c r="CL65" s="213"/>
      <c r="CM65" s="213"/>
      <c r="CN65" s="213"/>
      <c r="CO65" s="213"/>
      <c r="CP65" s="213"/>
      <c r="CQ65" s="213"/>
    </row>
    <row r="66" ht="15.75" customHeight="1">
      <c r="A66" s="213"/>
      <c r="B66" s="393"/>
      <c r="C66" s="627" t="s">
        <v>241</v>
      </c>
      <c r="D66" s="604"/>
      <c r="E66" s="352"/>
      <c r="F66" s="245"/>
      <c r="G66" s="245"/>
      <c r="H66" s="357">
        <f t="shared" ref="H66:H72" si="12">D66-F66</f>
        <v>0</v>
      </c>
      <c r="I66" s="350"/>
      <c r="J66" s="604"/>
      <c r="K66" s="352"/>
      <c r="L66" s="352"/>
      <c r="M66" s="352"/>
      <c r="N66" s="352"/>
      <c r="O66" s="358"/>
      <c r="P66" s="604"/>
      <c r="Q66" s="352"/>
      <c r="R66" s="352"/>
      <c r="S66" s="352"/>
      <c r="T66" s="352"/>
      <c r="U66" s="358"/>
      <c r="V66" s="604"/>
      <c r="W66" s="352"/>
      <c r="X66" s="353"/>
      <c r="Y66" s="352"/>
      <c r="Z66" s="352"/>
      <c r="AA66" s="358"/>
      <c r="AB66" s="393"/>
      <c r="AC66" s="245"/>
      <c r="AD66" s="356"/>
      <c r="AE66" s="245"/>
      <c r="AF66" s="245"/>
      <c r="AG66" s="350"/>
      <c r="AH66" s="604"/>
      <c r="AI66" s="245"/>
      <c r="AJ66" s="356"/>
      <c r="AK66" s="245"/>
      <c r="AL66" s="245"/>
      <c r="AM66" s="350"/>
      <c r="AN66" s="604"/>
      <c r="AO66" s="245"/>
      <c r="AP66" s="356"/>
      <c r="AQ66" s="245"/>
      <c r="AR66" s="245"/>
      <c r="AS66" s="350"/>
      <c r="AT66" s="605"/>
      <c r="AU66" s="245"/>
      <c r="AV66" s="356"/>
      <c r="AW66" s="245"/>
      <c r="AX66" s="245"/>
      <c r="AY66" s="245"/>
      <c r="AZ66" s="357"/>
      <c r="BA66" s="245"/>
      <c r="BB66" s="356"/>
      <c r="BC66" s="245"/>
      <c r="BD66" s="245"/>
      <c r="BE66" s="245"/>
      <c r="BF66" s="357"/>
      <c r="BG66" s="245"/>
      <c r="BH66" s="356"/>
      <c r="BI66" s="245"/>
      <c r="BJ66" s="245"/>
      <c r="BK66" s="245"/>
      <c r="BL66" s="353"/>
      <c r="BM66" s="245"/>
      <c r="BN66" s="245"/>
      <c r="BO66" s="245"/>
      <c r="BP66" s="245"/>
      <c r="BQ66" s="245"/>
      <c r="BR66" s="356"/>
      <c r="BS66" s="245"/>
      <c r="BT66" s="356"/>
      <c r="BU66" s="245"/>
      <c r="BV66" s="245"/>
      <c r="BW66" s="350"/>
      <c r="BX66" s="213"/>
      <c r="BY66" s="213"/>
      <c r="BZ66" s="213"/>
      <c r="CA66" s="213"/>
      <c r="CB66" s="213"/>
      <c r="CC66" s="213"/>
      <c r="CD66" s="213"/>
      <c r="CE66" s="213"/>
      <c r="CF66" s="213"/>
      <c r="CG66" s="213"/>
      <c r="CH66" s="213"/>
      <c r="CI66" s="213"/>
      <c r="CJ66" s="213"/>
      <c r="CK66" s="213"/>
      <c r="CL66" s="213"/>
      <c r="CM66" s="213"/>
      <c r="CN66" s="213"/>
      <c r="CO66" s="213"/>
      <c r="CP66" s="213"/>
      <c r="CQ66" s="213"/>
    </row>
    <row r="67" ht="15.75" customHeight="1">
      <c r="A67" s="213"/>
      <c r="B67" s="393"/>
      <c r="C67" s="350" t="s">
        <v>242</v>
      </c>
      <c r="D67" s="604">
        <v>810.0</v>
      </c>
      <c r="E67" s="355">
        <f t="shared" ref="E67:E73" si="13">D67/D$29</f>
        <v>0.002579453538</v>
      </c>
      <c r="F67" s="676"/>
      <c r="G67" s="245"/>
      <c r="H67" s="357">
        <f t="shared" si="12"/>
        <v>810</v>
      </c>
      <c r="I67" s="350"/>
      <c r="J67" s="604">
        <v>3824.0</v>
      </c>
      <c r="K67" s="355">
        <f t="shared" ref="K67:K73" si="14">J67/J$29</f>
        <v>0.009929373179</v>
      </c>
      <c r="L67" s="357"/>
      <c r="M67" s="352"/>
      <c r="N67" s="352"/>
      <c r="O67" s="358"/>
      <c r="P67" s="604">
        <v>7508.0</v>
      </c>
      <c r="Q67" s="355">
        <f t="shared" ref="Q67:Q73" si="15">P67/P$29</f>
        <v>0.02242492667</v>
      </c>
      <c r="R67" s="357"/>
      <c r="S67" s="352"/>
      <c r="T67" s="352"/>
      <c r="U67" s="358"/>
      <c r="V67" s="604">
        <v>2824.0</v>
      </c>
      <c r="W67" s="355">
        <f t="shared" ref="W67:W73" si="16">V67/V$29</f>
        <v>0.006595603554</v>
      </c>
      <c r="X67" s="353"/>
      <c r="Y67" s="352"/>
      <c r="Z67" s="352"/>
      <c r="AA67" s="358"/>
      <c r="AB67" s="665">
        <v>1750.0</v>
      </c>
      <c r="AC67" s="355">
        <f t="shared" ref="AC67:AC73" si="17">AB67/AB$29</f>
        <v>0.003974147602</v>
      </c>
      <c r="AD67" s="356"/>
      <c r="AE67" s="245"/>
      <c r="AF67" s="245"/>
      <c r="AG67" s="350"/>
      <c r="AH67" s="604">
        <v>20905.0</v>
      </c>
      <c r="AI67" s="355">
        <f t="shared" ref="AI67:AI73" si="18">AH67/AH$29</f>
        <v>0.05509963823</v>
      </c>
      <c r="AJ67" s="356"/>
      <c r="AK67" s="245"/>
      <c r="AL67" s="245"/>
      <c r="AM67" s="350"/>
      <c r="AN67" s="604">
        <v>37823.0</v>
      </c>
      <c r="AO67" s="355">
        <f t="shared" ref="AO67:AO73" si="19">AN67/AN$29</f>
        <v>0.08095879633</v>
      </c>
      <c r="AP67" s="356"/>
      <c r="AQ67" s="245"/>
      <c r="AR67" s="245"/>
      <c r="AS67" s="350"/>
      <c r="AT67" s="605">
        <v>7340.83</v>
      </c>
      <c r="AU67" s="355">
        <f t="shared" ref="AU67:AU73" si="20">AT67/AT$29</f>
        <v>0.01304618503</v>
      </c>
      <c r="AV67" s="356"/>
      <c r="AW67" s="245"/>
      <c r="AX67" s="245"/>
      <c r="AY67" s="245"/>
      <c r="AZ67" s="357">
        <v>5364.0</v>
      </c>
      <c r="BA67" s="355">
        <f t="shared" ref="BA67:BA73" si="21">AZ67/AZ$29</f>
        <v>0.005338554793</v>
      </c>
      <c r="BB67" s="356"/>
      <c r="BC67" s="245"/>
      <c r="BD67" s="245"/>
      <c r="BE67" s="245"/>
      <c r="BF67" s="737">
        <v>6730.0</v>
      </c>
      <c r="BG67" s="245"/>
      <c r="BH67" s="356"/>
      <c r="BI67" s="245"/>
      <c r="BJ67" s="245"/>
      <c r="BK67" s="245"/>
      <c r="BL67" s="536">
        <v>6095.0</v>
      </c>
      <c r="BM67" s="245"/>
      <c r="BN67" s="676"/>
      <c r="BO67" s="245"/>
      <c r="BP67" s="245"/>
      <c r="BQ67" s="245"/>
      <c r="BR67" s="797">
        <v>3905.0</v>
      </c>
      <c r="BS67" s="245"/>
      <c r="BT67" s="356"/>
      <c r="BU67" s="245"/>
      <c r="BV67" s="245"/>
      <c r="BW67" s="350"/>
      <c r="BX67" s="213"/>
      <c r="BY67" s="213"/>
      <c r="BZ67" s="213"/>
      <c r="CA67" s="213"/>
      <c r="CB67" s="213"/>
      <c r="CC67" s="213"/>
      <c r="CD67" s="213"/>
      <c r="CE67" s="213"/>
      <c r="CF67" s="213"/>
      <c r="CG67" s="213"/>
      <c r="CH67" s="213"/>
      <c r="CI67" s="213"/>
      <c r="CJ67" s="213"/>
      <c r="CK67" s="213"/>
      <c r="CL67" s="213"/>
      <c r="CM67" s="213"/>
      <c r="CN67" s="213"/>
      <c r="CO67" s="213"/>
      <c r="CP67" s="213"/>
      <c r="CQ67" s="213"/>
    </row>
    <row r="68" ht="15.75" customHeight="1">
      <c r="A68" s="213"/>
      <c r="B68" s="393"/>
      <c r="C68" s="350" t="s">
        <v>243</v>
      </c>
      <c r="D68" s="604">
        <v>5808.0</v>
      </c>
      <c r="E68" s="355">
        <f t="shared" si="13"/>
        <v>0.01849563722</v>
      </c>
      <c r="F68" s="245"/>
      <c r="G68" s="245"/>
      <c r="H68" s="357">
        <f t="shared" si="12"/>
        <v>5808</v>
      </c>
      <c r="I68" s="350"/>
      <c r="J68" s="604">
        <v>4319.0</v>
      </c>
      <c r="K68" s="355">
        <f t="shared" si="14"/>
        <v>0.01121468691</v>
      </c>
      <c r="L68" s="352"/>
      <c r="M68" s="352"/>
      <c r="N68" s="352"/>
      <c r="O68" s="358"/>
      <c r="P68" s="604">
        <v>4257.0</v>
      </c>
      <c r="Q68" s="355">
        <f t="shared" si="15"/>
        <v>0.0127148259</v>
      </c>
      <c r="R68" s="352"/>
      <c r="S68" s="352"/>
      <c r="T68" s="352"/>
      <c r="U68" s="358"/>
      <c r="V68" s="604">
        <v>4109.76</v>
      </c>
      <c r="W68" s="355">
        <f t="shared" si="16"/>
        <v>0.009598565036</v>
      </c>
      <c r="X68" s="353"/>
      <c r="Y68" s="352"/>
      <c r="Z68" s="352"/>
      <c r="AA68" s="358"/>
      <c r="AB68" s="665">
        <v>4023.0</v>
      </c>
      <c r="AC68" s="355">
        <f t="shared" si="17"/>
        <v>0.009135997602</v>
      </c>
      <c r="AD68" s="356"/>
      <c r="AE68" s="245"/>
      <c r="AF68" s="245"/>
      <c r="AG68" s="350"/>
      <c r="AH68" s="604">
        <v>2595.76</v>
      </c>
      <c r="AI68" s="355">
        <f t="shared" si="18"/>
        <v>0.006841685574</v>
      </c>
      <c r="AJ68" s="356"/>
      <c r="AK68" s="245"/>
      <c r="AL68" s="245"/>
      <c r="AM68" s="350"/>
      <c r="AN68" s="604">
        <v>7211.0</v>
      </c>
      <c r="AO68" s="355">
        <f t="shared" si="19"/>
        <v>0.01543489095</v>
      </c>
      <c r="AP68" s="356"/>
      <c r="AQ68" s="245"/>
      <c r="AR68" s="245"/>
      <c r="AS68" s="350"/>
      <c r="AT68" s="618">
        <v>0.0</v>
      </c>
      <c r="AU68" s="355">
        <f t="shared" si="20"/>
        <v>0</v>
      </c>
      <c r="AV68" s="356"/>
      <c r="AW68" s="245"/>
      <c r="AX68" s="245"/>
      <c r="AY68" s="245"/>
      <c r="AZ68" s="357">
        <v>5191.52</v>
      </c>
      <c r="BA68" s="355">
        <f t="shared" si="21"/>
        <v>0.005166892986</v>
      </c>
      <c r="BB68" s="356"/>
      <c r="BC68" s="245"/>
      <c r="BD68" s="245"/>
      <c r="BE68" s="245"/>
      <c r="BF68" s="737">
        <v>9744.0</v>
      </c>
      <c r="BG68" s="245"/>
      <c r="BH68" s="356"/>
      <c r="BI68" s="245"/>
      <c r="BJ68" s="245"/>
      <c r="BK68" s="245"/>
      <c r="BL68" s="536">
        <v>2867.0</v>
      </c>
      <c r="BM68" s="245"/>
      <c r="BN68" s="245"/>
      <c r="BO68" s="245"/>
      <c r="BP68" s="245"/>
      <c r="BQ68" s="245"/>
      <c r="BR68" s="797">
        <v>3800.0</v>
      </c>
      <c r="BS68" s="245"/>
      <c r="BT68" s="356"/>
      <c r="BU68" s="245"/>
      <c r="BV68" s="245"/>
      <c r="BW68" s="350"/>
      <c r="BX68" s="213"/>
      <c r="BY68" s="213"/>
      <c r="BZ68" s="213"/>
      <c r="CA68" s="213"/>
      <c r="CB68" s="213"/>
      <c r="CC68" s="213"/>
      <c r="CD68" s="213"/>
      <c r="CE68" s="213"/>
      <c r="CF68" s="213"/>
      <c r="CG68" s="213"/>
      <c r="CH68" s="213"/>
      <c r="CI68" s="213"/>
      <c r="CJ68" s="213"/>
      <c r="CK68" s="213"/>
      <c r="CL68" s="213"/>
      <c r="CM68" s="213"/>
      <c r="CN68" s="213"/>
      <c r="CO68" s="213"/>
      <c r="CP68" s="213"/>
      <c r="CQ68" s="213"/>
    </row>
    <row r="69" ht="15.75" customHeight="1">
      <c r="A69" s="213"/>
      <c r="B69" s="393"/>
      <c r="C69" s="350" t="s">
        <v>244</v>
      </c>
      <c r="D69" s="604">
        <v>28072.0</v>
      </c>
      <c r="E69" s="355">
        <f t="shared" si="13"/>
        <v>0.0893955799</v>
      </c>
      <c r="F69" s="245"/>
      <c r="G69" s="245"/>
      <c r="H69" s="357">
        <f t="shared" si="12"/>
        <v>28072</v>
      </c>
      <c r="I69" s="350"/>
      <c r="J69" s="604">
        <f>99504+1600</f>
        <v>101104</v>
      </c>
      <c r="K69" s="355">
        <f t="shared" si="14"/>
        <v>0.2625259796</v>
      </c>
      <c r="L69" s="352"/>
      <c r="M69" s="352"/>
      <c r="N69" s="352"/>
      <c r="O69" s="358"/>
      <c r="P69" s="604">
        <v>47836.0</v>
      </c>
      <c r="Q69" s="355">
        <f t="shared" si="15"/>
        <v>0.1428767704</v>
      </c>
      <c r="R69" s="352"/>
      <c r="S69" s="352"/>
      <c r="T69" s="352"/>
      <c r="U69" s="358"/>
      <c r="V69" s="604">
        <v>19315.0</v>
      </c>
      <c r="W69" s="355">
        <f t="shared" si="16"/>
        <v>0.04511121907</v>
      </c>
      <c r="X69" s="353"/>
      <c r="Y69" s="352"/>
      <c r="Z69" s="352"/>
      <c r="AA69" s="358"/>
      <c r="AB69" s="665">
        <v>18856.0</v>
      </c>
      <c r="AC69" s="355">
        <f t="shared" si="17"/>
        <v>0.04282087268</v>
      </c>
      <c r="AD69" s="356"/>
      <c r="AE69" s="245"/>
      <c r="AF69" s="245"/>
      <c r="AG69" s="350"/>
      <c r="AH69" s="604">
        <v>19317.0</v>
      </c>
      <c r="AI69" s="355">
        <f t="shared" si="18"/>
        <v>0.05091412158</v>
      </c>
      <c r="AJ69" s="356"/>
      <c r="AK69" s="245"/>
      <c r="AL69" s="245"/>
      <c r="AM69" s="350"/>
      <c r="AN69" s="604">
        <v>20795.0</v>
      </c>
      <c r="AO69" s="355">
        <f t="shared" si="19"/>
        <v>0.04451096343</v>
      </c>
      <c r="AP69" s="356"/>
      <c r="AQ69" s="245"/>
      <c r="AR69" s="245"/>
      <c r="AS69" s="350"/>
      <c r="AT69" s="605">
        <v>19529.0</v>
      </c>
      <c r="AU69" s="355">
        <f t="shared" si="20"/>
        <v>0.03470710361</v>
      </c>
      <c r="AV69" s="356"/>
      <c r="AW69" s="245"/>
      <c r="AX69" s="245"/>
      <c r="AY69" s="245"/>
      <c r="AZ69" s="357">
        <v>21605.0</v>
      </c>
      <c r="BA69" s="355">
        <f t="shared" si="21"/>
        <v>0.02150251236</v>
      </c>
      <c r="BB69" s="356"/>
      <c r="BC69" s="245"/>
      <c r="BD69" s="245"/>
      <c r="BE69" s="245"/>
      <c r="BF69" s="737">
        <v>12150.0</v>
      </c>
      <c r="BG69" s="245"/>
      <c r="BH69" s="356"/>
      <c r="BI69" s="245"/>
      <c r="BJ69" s="245"/>
      <c r="BK69" s="245"/>
      <c r="BL69" s="536">
        <v>18250.0</v>
      </c>
      <c r="BM69" s="245"/>
      <c r="BN69" s="245"/>
      <c r="BO69" s="245"/>
      <c r="BP69" s="245"/>
      <c r="BQ69" s="245"/>
      <c r="BR69" s="797">
        <v>23135.0</v>
      </c>
      <c r="BS69" s="245"/>
      <c r="BT69" s="356"/>
      <c r="BU69" s="245"/>
      <c r="BV69" s="245"/>
      <c r="BW69" s="350"/>
      <c r="BX69" s="213"/>
      <c r="BY69" s="213"/>
      <c r="BZ69" s="213"/>
      <c r="CA69" s="213"/>
      <c r="CB69" s="213"/>
      <c r="CC69" s="213"/>
      <c r="CD69" s="213"/>
      <c r="CE69" s="213"/>
      <c r="CF69" s="213"/>
      <c r="CG69" s="213"/>
      <c r="CH69" s="213"/>
      <c r="CI69" s="213"/>
      <c r="CJ69" s="213"/>
      <c r="CK69" s="213"/>
      <c r="CL69" s="213"/>
      <c r="CM69" s="213"/>
      <c r="CN69" s="213"/>
      <c r="CO69" s="213"/>
      <c r="CP69" s="213"/>
      <c r="CQ69" s="213"/>
    </row>
    <row r="70" ht="15.75" customHeight="1">
      <c r="A70" s="213"/>
      <c r="B70" s="393"/>
      <c r="C70" s="350" t="s">
        <v>303</v>
      </c>
      <c r="D70" s="604">
        <v>2077.0</v>
      </c>
      <c r="E70" s="355">
        <f t="shared" si="13"/>
        <v>0.006614228393</v>
      </c>
      <c r="F70" s="245"/>
      <c r="G70" s="245"/>
      <c r="H70" s="357">
        <f t="shared" si="12"/>
        <v>2077</v>
      </c>
      <c r="I70" s="350"/>
      <c r="J70" s="604">
        <v>3343.0</v>
      </c>
      <c r="K70" s="355">
        <f t="shared" si="14"/>
        <v>0.008680411751</v>
      </c>
      <c r="L70" s="352"/>
      <c r="M70" s="352"/>
      <c r="N70" s="352"/>
      <c r="O70" s="358"/>
      <c r="P70" s="604">
        <v>5398.0</v>
      </c>
      <c r="Q70" s="355">
        <f t="shared" si="15"/>
        <v>0.0161227696</v>
      </c>
      <c r="R70" s="352"/>
      <c r="S70" s="352"/>
      <c r="T70" s="352"/>
      <c r="U70" s="358"/>
      <c r="V70" s="604">
        <v>22122.0</v>
      </c>
      <c r="W70" s="355">
        <f t="shared" si="16"/>
        <v>0.05166711821</v>
      </c>
      <c r="X70" s="353"/>
      <c r="Y70" s="352"/>
      <c r="Z70" s="352"/>
      <c r="AA70" s="358"/>
      <c r="AB70" s="665">
        <v>5949.0</v>
      </c>
      <c r="AC70" s="355">
        <f t="shared" si="17"/>
        <v>0.01350983091</v>
      </c>
      <c r="AD70" s="356"/>
      <c r="AE70" s="245"/>
      <c r="AF70" s="245"/>
      <c r="AG70" s="350"/>
      <c r="AH70" s="604">
        <v>2648.0</v>
      </c>
      <c r="AI70" s="355">
        <f t="shared" si="18"/>
        <v>0.006979375366</v>
      </c>
      <c r="AJ70" s="356"/>
      <c r="AK70" s="245"/>
      <c r="AL70" s="245"/>
      <c r="AM70" s="350"/>
      <c r="AN70" s="604">
        <v>1718.0</v>
      </c>
      <c r="AO70" s="355">
        <f t="shared" si="19"/>
        <v>0.003677318354</v>
      </c>
      <c r="AP70" s="356"/>
      <c r="AQ70" s="245"/>
      <c r="AR70" s="245"/>
      <c r="AS70" s="350"/>
      <c r="AT70" s="605">
        <v>2345.0</v>
      </c>
      <c r="AU70" s="355">
        <f t="shared" si="20"/>
        <v>0.00416755379</v>
      </c>
      <c r="AV70" s="356"/>
      <c r="AW70" s="245"/>
      <c r="AX70" s="245"/>
      <c r="AY70" s="245"/>
      <c r="AZ70" s="357">
        <v>3105.0</v>
      </c>
      <c r="BA70" s="355">
        <f t="shared" si="21"/>
        <v>0.003090270811</v>
      </c>
      <c r="BB70" s="356"/>
      <c r="BC70" s="245"/>
      <c r="BD70" s="245"/>
      <c r="BE70" s="245"/>
      <c r="BF70" s="737">
        <v>3495.0</v>
      </c>
      <c r="BG70" s="245"/>
      <c r="BH70" s="356"/>
      <c r="BI70" s="245"/>
      <c r="BJ70" s="245"/>
      <c r="BK70" s="245"/>
      <c r="BL70" s="536">
        <v>23140.0</v>
      </c>
      <c r="BM70" s="245"/>
      <c r="BN70" s="245"/>
      <c r="BO70" s="245"/>
      <c r="BP70" s="245"/>
      <c r="BQ70" s="245"/>
      <c r="BR70" s="797">
        <v>2514.0</v>
      </c>
      <c r="BS70" s="245"/>
      <c r="BT70" s="356"/>
      <c r="BU70" s="245"/>
      <c r="BV70" s="245"/>
      <c r="BW70" s="350"/>
      <c r="BX70" s="213"/>
      <c r="BY70" s="213"/>
      <c r="BZ70" s="213"/>
      <c r="CA70" s="213"/>
      <c r="CB70" s="213"/>
      <c r="CC70" s="213"/>
      <c r="CD70" s="213"/>
      <c r="CE70" s="213"/>
      <c r="CF70" s="213"/>
      <c r="CG70" s="213"/>
      <c r="CH70" s="213"/>
      <c r="CI70" s="213"/>
      <c r="CJ70" s="213"/>
      <c r="CK70" s="213"/>
      <c r="CL70" s="213"/>
      <c r="CM70" s="213"/>
      <c r="CN70" s="213"/>
      <c r="CO70" s="213"/>
      <c r="CP70" s="213"/>
      <c r="CQ70" s="213"/>
    </row>
    <row r="71" ht="15.75" customHeight="1">
      <c r="A71" s="213"/>
      <c r="B71" s="393"/>
      <c r="C71" s="350" t="s">
        <v>246</v>
      </c>
      <c r="D71" s="604">
        <v>214.0</v>
      </c>
      <c r="E71" s="355">
        <f t="shared" si="13"/>
        <v>0.0006814852557</v>
      </c>
      <c r="F71" s="245"/>
      <c r="G71" s="245"/>
      <c r="H71" s="357">
        <f t="shared" si="12"/>
        <v>214</v>
      </c>
      <c r="I71" s="350"/>
      <c r="J71" s="604"/>
      <c r="K71" s="355">
        <f t="shared" si="14"/>
        <v>0</v>
      </c>
      <c r="L71" s="352"/>
      <c r="M71" s="352"/>
      <c r="N71" s="352"/>
      <c r="O71" s="358"/>
      <c r="P71" s="604">
        <v>0.0</v>
      </c>
      <c r="Q71" s="355">
        <f t="shared" si="15"/>
        <v>0</v>
      </c>
      <c r="R71" s="352"/>
      <c r="S71" s="352"/>
      <c r="T71" s="352"/>
      <c r="U71" s="358"/>
      <c r="V71" s="604">
        <v>0.0</v>
      </c>
      <c r="W71" s="355">
        <f t="shared" si="16"/>
        <v>0</v>
      </c>
      <c r="X71" s="353"/>
      <c r="Y71" s="352"/>
      <c r="Z71" s="352"/>
      <c r="AA71" s="358"/>
      <c r="AB71" s="393">
        <v>0.0</v>
      </c>
      <c r="AC71" s="355">
        <f t="shared" si="17"/>
        <v>0</v>
      </c>
      <c r="AD71" s="356"/>
      <c r="AE71" s="245"/>
      <c r="AF71" s="245"/>
      <c r="AG71" s="350"/>
      <c r="AH71" s="604">
        <v>0.0</v>
      </c>
      <c r="AI71" s="355">
        <f t="shared" si="18"/>
        <v>0</v>
      </c>
      <c r="AJ71" s="356"/>
      <c r="AK71" s="245"/>
      <c r="AL71" s="245"/>
      <c r="AM71" s="350"/>
      <c r="AN71" s="604">
        <v>0.0</v>
      </c>
      <c r="AO71" s="355">
        <f t="shared" si="19"/>
        <v>0</v>
      </c>
      <c r="AP71" s="356"/>
      <c r="AQ71" s="245"/>
      <c r="AR71" s="245"/>
      <c r="AS71" s="350"/>
      <c r="AT71" s="605"/>
      <c r="AU71" s="355">
        <f t="shared" si="20"/>
        <v>0</v>
      </c>
      <c r="AV71" s="356"/>
      <c r="AW71" s="245"/>
      <c r="AX71" s="245"/>
      <c r="AY71" s="245"/>
      <c r="AZ71" s="357"/>
      <c r="BA71" s="355">
        <f t="shared" si="21"/>
        <v>0</v>
      </c>
      <c r="BB71" s="356"/>
      <c r="BC71" s="245"/>
      <c r="BD71" s="245"/>
      <c r="BE71" s="245"/>
      <c r="BF71" s="357"/>
      <c r="BG71" s="245"/>
      <c r="BH71" s="356"/>
      <c r="BI71" s="245"/>
      <c r="BJ71" s="245"/>
      <c r="BK71" s="245"/>
      <c r="BL71" s="536">
        <v>19105.0</v>
      </c>
      <c r="BM71" s="245"/>
      <c r="BN71" s="245"/>
      <c r="BO71" s="245"/>
      <c r="BP71" s="245"/>
      <c r="BQ71" s="245"/>
      <c r="BR71" s="356"/>
      <c r="BS71" s="245"/>
      <c r="BT71" s="356"/>
      <c r="BU71" s="245"/>
      <c r="BV71" s="245"/>
      <c r="BW71" s="350"/>
      <c r="BX71" s="213"/>
      <c r="BY71" s="213"/>
      <c r="BZ71" s="213"/>
      <c r="CA71" s="213"/>
      <c r="CB71" s="213"/>
      <c r="CC71" s="213"/>
      <c r="CD71" s="213"/>
      <c r="CE71" s="213"/>
      <c r="CF71" s="213"/>
      <c r="CG71" s="213"/>
      <c r="CH71" s="213"/>
      <c r="CI71" s="213"/>
      <c r="CJ71" s="213"/>
      <c r="CK71" s="213"/>
      <c r="CL71" s="213"/>
      <c r="CM71" s="213"/>
      <c r="CN71" s="213"/>
      <c r="CO71" s="213"/>
      <c r="CP71" s="213"/>
      <c r="CQ71" s="213"/>
    </row>
    <row r="72" ht="15.75" customHeight="1">
      <c r="A72" s="213"/>
      <c r="B72" s="403"/>
      <c r="C72" s="362" t="s">
        <v>247</v>
      </c>
      <c r="D72" s="619">
        <v>15107.0</v>
      </c>
      <c r="E72" s="404">
        <f t="shared" si="13"/>
        <v>0.04810840074</v>
      </c>
      <c r="F72" s="688"/>
      <c r="G72" s="688"/>
      <c r="H72" s="367">
        <f t="shared" si="12"/>
        <v>15107</v>
      </c>
      <c r="I72" s="362"/>
      <c r="J72" s="619">
        <v>18112.0</v>
      </c>
      <c r="K72" s="404">
        <f t="shared" si="14"/>
        <v>0.04702949974</v>
      </c>
      <c r="L72" s="364"/>
      <c r="M72" s="364"/>
      <c r="N72" s="364"/>
      <c r="O72" s="368"/>
      <c r="P72" s="619">
        <v>0.0</v>
      </c>
      <c r="Q72" s="404">
        <f t="shared" si="15"/>
        <v>0</v>
      </c>
      <c r="R72" s="364"/>
      <c r="S72" s="364"/>
      <c r="T72" s="364"/>
      <c r="U72" s="368"/>
      <c r="V72" s="619">
        <v>0.0</v>
      </c>
      <c r="W72" s="404">
        <f t="shared" si="16"/>
        <v>0</v>
      </c>
      <c r="X72" s="365"/>
      <c r="Y72" s="364"/>
      <c r="Z72" s="364"/>
      <c r="AA72" s="368"/>
      <c r="AB72" s="403">
        <v>0.0</v>
      </c>
      <c r="AC72" s="404">
        <f t="shared" si="17"/>
        <v>0</v>
      </c>
      <c r="AD72" s="689"/>
      <c r="AE72" s="688"/>
      <c r="AF72" s="688"/>
      <c r="AG72" s="362"/>
      <c r="AH72" s="619">
        <v>0.0</v>
      </c>
      <c r="AI72" s="404">
        <f t="shared" si="18"/>
        <v>0</v>
      </c>
      <c r="AJ72" s="689"/>
      <c r="AK72" s="688"/>
      <c r="AL72" s="688"/>
      <c r="AM72" s="362"/>
      <c r="AN72" s="619">
        <v>0.0</v>
      </c>
      <c r="AO72" s="404">
        <f t="shared" si="19"/>
        <v>0</v>
      </c>
      <c r="AP72" s="689"/>
      <c r="AQ72" s="688"/>
      <c r="AR72" s="688"/>
      <c r="AS72" s="362"/>
      <c r="AT72" s="793"/>
      <c r="AU72" s="404">
        <f t="shared" si="20"/>
        <v>0</v>
      </c>
      <c r="AV72" s="689"/>
      <c r="AW72" s="688"/>
      <c r="AX72" s="688"/>
      <c r="AY72" s="688"/>
      <c r="AZ72" s="367"/>
      <c r="BA72" s="404">
        <f t="shared" si="21"/>
        <v>0</v>
      </c>
      <c r="BB72" s="689"/>
      <c r="BC72" s="688"/>
      <c r="BD72" s="688"/>
      <c r="BE72" s="688"/>
      <c r="BF72" s="367"/>
      <c r="BG72" s="688"/>
      <c r="BH72" s="689"/>
      <c r="BI72" s="688"/>
      <c r="BJ72" s="688"/>
      <c r="BK72" s="688"/>
      <c r="BL72" s="365"/>
      <c r="BM72" s="688"/>
      <c r="BN72" s="688"/>
      <c r="BO72" s="688"/>
      <c r="BP72" s="688"/>
      <c r="BQ72" s="688"/>
      <c r="BR72" s="804"/>
      <c r="BS72" s="688"/>
      <c r="BT72" s="689"/>
      <c r="BU72" s="688"/>
      <c r="BV72" s="688"/>
      <c r="BW72" s="362"/>
      <c r="BX72" s="213"/>
      <c r="BY72" s="213"/>
      <c r="BZ72" s="213"/>
      <c r="CA72" s="213"/>
      <c r="CB72" s="213"/>
      <c r="CC72" s="213"/>
      <c r="CD72" s="213"/>
      <c r="CE72" s="213"/>
      <c r="CF72" s="213"/>
      <c r="CG72" s="213"/>
      <c r="CH72" s="213"/>
      <c r="CI72" s="213"/>
      <c r="CJ72" s="213"/>
      <c r="CK72" s="213"/>
      <c r="CL72" s="213"/>
      <c r="CM72" s="213"/>
      <c r="CN72" s="213"/>
      <c r="CO72" s="213"/>
      <c r="CP72" s="213"/>
      <c r="CQ72" s="213"/>
    </row>
    <row r="73" ht="15.75" customHeight="1">
      <c r="A73" s="213"/>
      <c r="B73" s="407"/>
      <c r="C73" s="372" t="s">
        <v>248</v>
      </c>
      <c r="D73" s="600">
        <f>SUM(D67:D72)</f>
        <v>52088</v>
      </c>
      <c r="E73" s="374">
        <f t="shared" si="13"/>
        <v>0.165874785</v>
      </c>
      <c r="F73" s="377">
        <f>SUM(F67:F72)</f>
        <v>0</v>
      </c>
      <c r="G73" s="437"/>
      <c r="H73" s="377">
        <f>SUM(H67:H72)</f>
        <v>52088</v>
      </c>
      <c r="I73" s="372"/>
      <c r="J73" s="600">
        <f>SUM(J67:J72)</f>
        <v>130702</v>
      </c>
      <c r="K73" s="374">
        <f t="shared" si="14"/>
        <v>0.3393799512</v>
      </c>
      <c r="L73" s="377">
        <f>SUM(L67:L72)</f>
        <v>0</v>
      </c>
      <c r="M73" s="408"/>
      <c r="N73" s="408">
        <f>SUM(N67:N72)</f>
        <v>0</v>
      </c>
      <c r="O73" s="378"/>
      <c r="P73" s="600">
        <f>SUM(P67:P72)</f>
        <v>64999</v>
      </c>
      <c r="Q73" s="374">
        <f t="shared" si="15"/>
        <v>0.1941392926</v>
      </c>
      <c r="R73" s="377">
        <f>SUM(R67:R72)</f>
        <v>0</v>
      </c>
      <c r="S73" s="408"/>
      <c r="T73" s="408">
        <f>SUM(T67:T72)</f>
        <v>0</v>
      </c>
      <c r="U73" s="378"/>
      <c r="V73" s="600">
        <f>SUM(V67:V72)</f>
        <v>48370.76</v>
      </c>
      <c r="W73" s="374">
        <f t="shared" si="16"/>
        <v>0.1129725059</v>
      </c>
      <c r="X73" s="375">
        <f>SUM(X67:X72)</f>
        <v>0</v>
      </c>
      <c r="Y73" s="408"/>
      <c r="Z73" s="408">
        <f>SUM(Z67:Z72)</f>
        <v>0</v>
      </c>
      <c r="AA73" s="378"/>
      <c r="AB73" s="926">
        <f>SUM(AB67:AB72)</f>
        <v>30578</v>
      </c>
      <c r="AC73" s="374">
        <f t="shared" si="17"/>
        <v>0.06944084879</v>
      </c>
      <c r="AD73" s="692">
        <f>SUM(AD67:AD72)</f>
        <v>0</v>
      </c>
      <c r="AE73" s="437"/>
      <c r="AF73" s="437">
        <f>SUM(AF67:AF72)</f>
        <v>0</v>
      </c>
      <c r="AG73" s="372"/>
      <c r="AH73" s="600">
        <f>SUM(AH67:AH72)</f>
        <v>45465.76</v>
      </c>
      <c r="AI73" s="374">
        <f t="shared" si="18"/>
        <v>0.1198348207</v>
      </c>
      <c r="AJ73" s="692">
        <f>SUM(AJ67:AJ72)</f>
        <v>0</v>
      </c>
      <c r="AK73" s="437"/>
      <c r="AL73" s="437">
        <f>SUM(AL67:AL72)</f>
        <v>0</v>
      </c>
      <c r="AM73" s="372"/>
      <c r="AN73" s="600">
        <f>SUM(AN67:AN72)</f>
        <v>67547</v>
      </c>
      <c r="AO73" s="374">
        <f t="shared" si="19"/>
        <v>0.1445819691</v>
      </c>
      <c r="AP73" s="692">
        <f>SUM(AP67:AP72)</f>
        <v>0</v>
      </c>
      <c r="AQ73" s="437"/>
      <c r="AR73" s="437">
        <f>SUM(AR67:AR72)</f>
        <v>0</v>
      </c>
      <c r="AS73" s="372"/>
      <c r="AT73" s="601">
        <f>SUM(AT67:AT72)</f>
        <v>29214.83</v>
      </c>
      <c r="AU73" s="374">
        <f t="shared" si="20"/>
        <v>0.05192084243</v>
      </c>
      <c r="AV73" s="692">
        <f>SUM(AV67:AV72)</f>
        <v>0</v>
      </c>
      <c r="AW73" s="437"/>
      <c r="AX73" s="437">
        <f>SUM(AX67:AX72)</f>
        <v>0</v>
      </c>
      <c r="AY73" s="437"/>
      <c r="AZ73" s="377">
        <f>SUM(AZ67:AZ72)</f>
        <v>35265.52</v>
      </c>
      <c r="BA73" s="374">
        <f t="shared" si="21"/>
        <v>0.03509823095</v>
      </c>
      <c r="BB73" s="692">
        <f>SUM(BB67:BB72)</f>
        <v>0</v>
      </c>
      <c r="BC73" s="437"/>
      <c r="BD73" s="437">
        <f>SUM(BD67:BD72)</f>
        <v>0</v>
      </c>
      <c r="BE73" s="437"/>
      <c r="BF73" s="377">
        <f>SUM(BF67:BF72)</f>
        <v>32119</v>
      </c>
      <c r="BG73" s="437"/>
      <c r="BH73" s="692">
        <f>SUM(BH67:BH72)</f>
        <v>0</v>
      </c>
      <c r="BI73" s="437"/>
      <c r="BJ73" s="437">
        <f>SUM(BJ67:BJ72)</f>
        <v>0</v>
      </c>
      <c r="BK73" s="437"/>
      <c r="BL73" s="375">
        <f>SUM(BL67:BL72)</f>
        <v>69457</v>
      </c>
      <c r="BM73" s="437"/>
      <c r="BN73" s="800">
        <f>SUM(BN67:BN72)</f>
        <v>0</v>
      </c>
      <c r="BO73" s="437"/>
      <c r="BP73" s="437">
        <f>SUM(BP67:BP72)</f>
        <v>0</v>
      </c>
      <c r="BQ73" s="437"/>
      <c r="BR73" s="692">
        <f>SUM(BR67:BR72)</f>
        <v>33354</v>
      </c>
      <c r="BS73" s="437"/>
      <c r="BT73" s="692">
        <f>SUM(BT67:BT72)</f>
        <v>0</v>
      </c>
      <c r="BU73" s="437"/>
      <c r="BV73" s="437">
        <f>SUM(BV67:BV72)</f>
        <v>0</v>
      </c>
      <c r="BW73" s="372"/>
      <c r="BX73" s="237">
        <f>D73+J73+P73+V73+AB73+AH73+AN73+AT73+AZ73+BF73+BL73+BR73</f>
        <v>639160.87</v>
      </c>
      <c r="BY73" s="216"/>
      <c r="BZ73" s="216"/>
      <c r="CA73" s="216"/>
      <c r="CB73" s="216"/>
      <c r="CC73" s="216"/>
      <c r="CD73" s="216"/>
      <c r="CE73" s="216"/>
      <c r="CF73" s="216"/>
      <c r="CG73" s="216"/>
      <c r="CH73" s="216"/>
      <c r="CI73" s="216"/>
      <c r="CJ73" s="216"/>
      <c r="CK73" s="216"/>
      <c r="CL73" s="216"/>
      <c r="CM73" s="216"/>
      <c r="CN73" s="216"/>
      <c r="CO73" s="216"/>
      <c r="CP73" s="216"/>
      <c r="CQ73" s="216"/>
    </row>
    <row r="74" ht="15.75" customHeight="1">
      <c r="A74" s="213"/>
      <c r="B74" s="929" t="s">
        <v>249</v>
      </c>
      <c r="C74" s="930"/>
      <c r="D74" s="477"/>
      <c r="E74" s="421"/>
      <c r="F74" s="818"/>
      <c r="G74" s="818"/>
      <c r="H74" s="818"/>
      <c r="I74" s="416"/>
      <c r="J74" s="477"/>
      <c r="K74" s="421"/>
      <c r="L74" s="421"/>
      <c r="M74" s="421"/>
      <c r="N74" s="421"/>
      <c r="O74" s="422"/>
      <c r="P74" s="477"/>
      <c r="Q74" s="421"/>
      <c r="R74" s="421"/>
      <c r="S74" s="421"/>
      <c r="T74" s="421"/>
      <c r="U74" s="422"/>
      <c r="V74" s="477"/>
      <c r="W74" s="421"/>
      <c r="X74" s="419"/>
      <c r="Y74" s="421"/>
      <c r="Z74" s="421"/>
      <c r="AA74" s="422"/>
      <c r="AB74" s="415"/>
      <c r="AC74" s="818"/>
      <c r="AD74" s="931"/>
      <c r="AE74" s="818"/>
      <c r="AF74" s="818"/>
      <c r="AG74" s="416"/>
      <c r="AH74" s="477"/>
      <c r="AI74" s="818"/>
      <c r="AJ74" s="931"/>
      <c r="AK74" s="818"/>
      <c r="AL74" s="818"/>
      <c r="AM74" s="416"/>
      <c r="AN74" s="477"/>
      <c r="AO74" s="818"/>
      <c r="AP74" s="931"/>
      <c r="AQ74" s="818"/>
      <c r="AR74" s="818"/>
      <c r="AS74" s="416"/>
      <c r="AT74" s="480"/>
      <c r="AU74" s="818"/>
      <c r="AV74" s="931"/>
      <c r="AW74" s="818"/>
      <c r="AX74" s="818"/>
      <c r="AY74" s="818"/>
      <c r="AZ74" s="478"/>
      <c r="BA74" s="818"/>
      <c r="BB74" s="931"/>
      <c r="BC74" s="818"/>
      <c r="BD74" s="818"/>
      <c r="BE74" s="818"/>
      <c r="BF74" s="478"/>
      <c r="BG74" s="818"/>
      <c r="BH74" s="931"/>
      <c r="BI74" s="818"/>
      <c r="BJ74" s="818"/>
      <c r="BK74" s="818"/>
      <c r="BL74" s="419"/>
      <c r="BM74" s="818"/>
      <c r="BN74" s="818"/>
      <c r="BO74" s="818"/>
      <c r="BP74" s="818"/>
      <c r="BQ74" s="818"/>
      <c r="BR74" s="932"/>
      <c r="BS74" s="818"/>
      <c r="BT74" s="931"/>
      <c r="BU74" s="818"/>
      <c r="BV74" s="818"/>
      <c r="BW74" s="416"/>
      <c r="BX74" s="213"/>
      <c r="BY74" s="213"/>
      <c r="BZ74" s="213"/>
      <c r="CA74" s="213"/>
      <c r="CB74" s="213"/>
      <c r="CC74" s="213"/>
      <c r="CD74" s="213"/>
      <c r="CE74" s="213"/>
      <c r="CF74" s="213"/>
      <c r="CG74" s="213"/>
      <c r="CH74" s="213"/>
      <c r="CI74" s="213"/>
      <c r="CJ74" s="213"/>
      <c r="CK74" s="213"/>
      <c r="CL74" s="213"/>
      <c r="CM74" s="213"/>
      <c r="CN74" s="213"/>
      <c r="CO74" s="213"/>
      <c r="CP74" s="213"/>
      <c r="CQ74" s="213"/>
    </row>
    <row r="75" ht="15.75" customHeight="1">
      <c r="A75" s="213"/>
      <c r="B75" s="371"/>
      <c r="C75" s="933" t="s">
        <v>250</v>
      </c>
      <c r="D75" s="600">
        <f>SUM(D76:D81)</f>
        <v>49902.4</v>
      </c>
      <c r="E75" s="374">
        <f t="shared" ref="E75:E80" si="22">D75/D$29</f>
        <v>0.1589147188</v>
      </c>
      <c r="F75" s="600">
        <f>SUM(F76:F81)</f>
        <v>66624</v>
      </c>
      <c r="G75" s="374">
        <f t="shared" ref="G75:G79" si="23">F75/F$29</f>
        <v>0.8328</v>
      </c>
      <c r="H75" s="600">
        <f>SUM(H76:H81)</f>
        <v>34908</v>
      </c>
      <c r="I75" s="379">
        <f t="shared" ref="I75:I79" si="24">H75/H$29</f>
        <v>0.1591639651</v>
      </c>
      <c r="J75" s="600">
        <f>SUM(J76:J81)</f>
        <v>47256.6</v>
      </c>
      <c r="K75" s="374">
        <f t="shared" ref="K75:K80" si="25">J75/J$29</f>
        <v>0.1227061759</v>
      </c>
      <c r="L75" s="600">
        <f>SUM(L76:L81)</f>
        <v>73250</v>
      </c>
      <c r="M75" s="374">
        <f>L75/L$29</f>
        <v>0.915625</v>
      </c>
      <c r="N75" s="377">
        <f>SUM(N76:N81)</f>
        <v>0</v>
      </c>
      <c r="O75" s="379" t="str">
        <f>N75/N$29</f>
        <v>#DIV/0!</v>
      </c>
      <c r="P75" s="600">
        <f>SUM(P76:P81)</f>
        <v>48225.8</v>
      </c>
      <c r="Q75" s="374">
        <f t="shared" ref="Q75:Q80" si="26">P75/P$29</f>
        <v>0.1440410267</v>
      </c>
      <c r="R75" s="600">
        <f>SUM(R76:R81)</f>
        <v>63580</v>
      </c>
      <c r="S75" s="374">
        <f>R75/R$29</f>
        <v>0.79475</v>
      </c>
      <c r="T75" s="377">
        <f>SUM(T76:T81)</f>
        <v>0</v>
      </c>
      <c r="U75" s="379" t="str">
        <f>T75/T$29</f>
        <v>#DIV/0!</v>
      </c>
      <c r="V75" s="600">
        <f>SUM(V76:V81)</f>
        <v>51054</v>
      </c>
      <c r="W75" s="374">
        <f t="shared" ref="W75:W80" si="27">V75/V$29</f>
        <v>0.1192393569</v>
      </c>
      <c r="X75" s="373">
        <f>SUM(X76:X81)</f>
        <v>41533</v>
      </c>
      <c r="Y75" s="408"/>
      <c r="Z75" s="408">
        <f>SUM(Z76:Z79)</f>
        <v>0</v>
      </c>
      <c r="AA75" s="378"/>
      <c r="AB75" s="600">
        <f>SUM(AB76:AB81)</f>
        <v>46155.85714</v>
      </c>
      <c r="AC75" s="374">
        <f t="shared" ref="AC75:AC80" si="28">AB75/AB$29</f>
        <v>0.1048172509</v>
      </c>
      <c r="AD75" s="373">
        <f>SUM(AD76:AD81)</f>
        <v>38600</v>
      </c>
      <c r="AE75" s="437"/>
      <c r="AF75" s="437">
        <f>SUM(AF76:AF79)</f>
        <v>0</v>
      </c>
      <c r="AG75" s="372"/>
      <c r="AH75" s="600">
        <f>SUM(AH76:AH81)</f>
        <v>129983.2857</v>
      </c>
      <c r="AI75" s="374">
        <f t="shared" ref="AI75:AI80" si="29">AH75/AH$29</f>
        <v>0.3425989963</v>
      </c>
      <c r="AJ75" s="373">
        <f>SUM(AJ76:AJ81)</f>
        <v>70866</v>
      </c>
      <c r="AK75" s="437"/>
      <c r="AL75" s="437">
        <f>SUM(AL76:AL79)</f>
        <v>0</v>
      </c>
      <c r="AM75" s="372"/>
      <c r="AN75" s="600">
        <f>SUM(AN76:AN81)</f>
        <v>66932</v>
      </c>
      <c r="AO75" s="374">
        <f t="shared" ref="AO75:AO80" si="30">AN75/AN$29</f>
        <v>0.1432655833</v>
      </c>
      <c r="AP75" s="373">
        <f>SUM(AP76:AP81)</f>
        <v>62344</v>
      </c>
      <c r="AQ75" s="437"/>
      <c r="AR75" s="437">
        <f>SUM(AR76:AR79)</f>
        <v>0</v>
      </c>
      <c r="AS75" s="372"/>
      <c r="AT75" s="600">
        <f>SUM(AT76:AT81)</f>
        <v>51060.14286</v>
      </c>
      <c r="AU75" s="374">
        <f t="shared" ref="AU75:AU80" si="31">AT75/AT$29</f>
        <v>0.09074451679</v>
      </c>
      <c r="AV75" s="373">
        <f>SUM(AV76:AV81)</f>
        <v>74649</v>
      </c>
      <c r="AW75" s="437"/>
      <c r="AX75" s="437">
        <f>SUM(AX76:AX79)</f>
        <v>0</v>
      </c>
      <c r="AY75" s="437"/>
      <c r="AZ75" s="600">
        <f>SUM(AZ76:AZ81)</f>
        <v>74926</v>
      </c>
      <c r="BA75" s="374">
        <f t="shared" ref="BA75:BA80" si="32">AZ75/AZ$29</f>
        <v>0.07457057353</v>
      </c>
      <c r="BB75" s="373">
        <f>SUM(BB76:BB81)</f>
        <v>100694</v>
      </c>
      <c r="BC75" s="437"/>
      <c r="BD75" s="437">
        <f>SUM(BD76:BD79)</f>
        <v>0</v>
      </c>
      <c r="BE75" s="437"/>
      <c r="BF75" s="373">
        <f>SUM(BF76:BF81)</f>
        <v>55436.42857</v>
      </c>
      <c r="BG75" s="437"/>
      <c r="BH75" s="373">
        <f>SUM(BH76:BH81)</f>
        <v>125081</v>
      </c>
      <c r="BI75" s="437"/>
      <c r="BJ75" s="437">
        <f>SUM(BJ76:BJ79)</f>
        <v>0</v>
      </c>
      <c r="BK75" s="437"/>
      <c r="BL75" s="373">
        <f>SUM(BL76:BL81)</f>
        <v>50936.14286</v>
      </c>
      <c r="BM75" s="437"/>
      <c r="BN75" s="375">
        <f>SUM(BN76:BN81)</f>
        <v>116073</v>
      </c>
      <c r="BO75" s="437"/>
      <c r="BP75" s="437">
        <f>SUM(BP76:BP79)</f>
        <v>0</v>
      </c>
      <c r="BQ75" s="437"/>
      <c r="BR75" s="669">
        <f>SUM(BR76:BR81)</f>
        <v>86607.44571</v>
      </c>
      <c r="BS75" s="437"/>
      <c r="BT75" s="692">
        <f>SUM(BT76:BT79)</f>
        <v>15000</v>
      </c>
      <c r="BU75" s="437"/>
      <c r="BV75" s="437">
        <f>SUM(BV76:BV79)</f>
        <v>0</v>
      </c>
      <c r="BW75" s="372"/>
      <c r="BX75" s="237">
        <f>D75+J75+P75+V75+AB75+AH75+AN75+AT75+AZ75+BF75+BL75+BR75</f>
        <v>758476.1029</v>
      </c>
      <c r="BY75" s="216"/>
      <c r="BZ75" s="216"/>
      <c r="CA75" s="216"/>
      <c r="CB75" s="216"/>
      <c r="CC75" s="216"/>
      <c r="CD75" s="216"/>
      <c r="CE75" s="216"/>
      <c r="CF75" s="216"/>
      <c r="CG75" s="216"/>
      <c r="CH75" s="216"/>
      <c r="CI75" s="216"/>
      <c r="CJ75" s="216"/>
      <c r="CK75" s="216"/>
      <c r="CL75" s="216"/>
      <c r="CM75" s="216"/>
      <c r="CN75" s="216"/>
      <c r="CO75" s="216"/>
      <c r="CP75" s="216"/>
      <c r="CQ75" s="216"/>
    </row>
    <row r="76" ht="15.75" customHeight="1">
      <c r="A76" s="213"/>
      <c r="B76" s="444"/>
      <c r="C76" s="383" t="s">
        <v>251</v>
      </c>
      <c r="D76" s="708">
        <v>0.0</v>
      </c>
      <c r="E76" s="385">
        <f t="shared" si="22"/>
        <v>0</v>
      </c>
      <c r="F76" s="388">
        <v>0.0</v>
      </c>
      <c r="G76" s="385">
        <f t="shared" si="23"/>
        <v>0</v>
      </c>
      <c r="H76" s="388">
        <f>D76-F76</f>
        <v>0</v>
      </c>
      <c r="I76" s="390">
        <f t="shared" si="24"/>
        <v>0</v>
      </c>
      <c r="J76" s="708">
        <v>0.0</v>
      </c>
      <c r="K76" s="385">
        <f t="shared" si="25"/>
        <v>0</v>
      </c>
      <c r="L76" s="388"/>
      <c r="M76" s="440"/>
      <c r="N76" s="440"/>
      <c r="O76" s="389"/>
      <c r="P76" s="708">
        <f>2288</f>
        <v>2288</v>
      </c>
      <c r="Q76" s="385">
        <f t="shared" si="26"/>
        <v>0.006833808235</v>
      </c>
      <c r="R76" s="440"/>
      <c r="S76" s="440"/>
      <c r="T76" s="440"/>
      <c r="U76" s="389"/>
      <c r="V76" s="708">
        <v>2350.0</v>
      </c>
      <c r="W76" s="385">
        <f t="shared" si="27"/>
        <v>0.005488551116</v>
      </c>
      <c r="X76" s="386"/>
      <c r="Y76" s="440"/>
      <c r="Z76" s="440"/>
      <c r="AA76" s="389"/>
      <c r="AB76" s="708"/>
      <c r="AC76" s="385">
        <f t="shared" si="28"/>
        <v>0</v>
      </c>
      <c r="AD76" s="927"/>
      <c r="AE76" s="709"/>
      <c r="AF76" s="709"/>
      <c r="AG76" s="383"/>
      <c r="AH76" s="708">
        <f>22713+19464+44840</f>
        <v>87017</v>
      </c>
      <c r="AI76" s="385">
        <f t="shared" si="29"/>
        <v>0.2293520794</v>
      </c>
      <c r="AJ76" s="927"/>
      <c r="AK76" s="709"/>
      <c r="AL76" s="709"/>
      <c r="AM76" s="383"/>
      <c r="AN76" s="708">
        <f>9587+11535+3822</f>
        <v>24944</v>
      </c>
      <c r="AO76" s="385">
        <f t="shared" si="30"/>
        <v>0.05339175147</v>
      </c>
      <c r="AP76" s="927"/>
      <c r="AQ76" s="709"/>
      <c r="AR76" s="709"/>
      <c r="AS76" s="383"/>
      <c r="AT76" s="787"/>
      <c r="AU76" s="385">
        <f t="shared" si="31"/>
        <v>0</v>
      </c>
      <c r="AV76" s="927"/>
      <c r="AW76" s="709"/>
      <c r="AX76" s="709"/>
      <c r="AY76" s="709"/>
      <c r="AZ76" s="388">
        <v>2577.0</v>
      </c>
      <c r="BA76" s="385">
        <f t="shared" si="32"/>
        <v>0.002564775485</v>
      </c>
      <c r="BB76" s="927"/>
      <c r="BC76" s="709"/>
      <c r="BD76" s="709"/>
      <c r="BE76" s="709"/>
      <c r="BF76" s="388"/>
      <c r="BG76" s="709"/>
      <c r="BH76" s="927"/>
      <c r="BI76" s="709"/>
      <c r="BJ76" s="709"/>
      <c r="BK76" s="709"/>
      <c r="BL76" s="386"/>
      <c r="BM76" s="709"/>
      <c r="BN76" s="709"/>
      <c r="BO76" s="709"/>
      <c r="BP76" s="709"/>
      <c r="BQ76" s="709"/>
      <c r="BR76" s="802">
        <f>(20231*1.18)+(4431*1.18)</f>
        <v>29101.16</v>
      </c>
      <c r="BS76" s="709"/>
      <c r="BT76" s="927"/>
      <c r="BU76" s="709"/>
      <c r="BV76" s="709"/>
      <c r="BW76" s="383"/>
      <c r="BX76" s="213"/>
      <c r="BY76" s="213"/>
      <c r="BZ76" s="213"/>
      <c r="CA76" s="213"/>
      <c r="CB76" s="213"/>
      <c r="CC76" s="213"/>
      <c r="CD76" s="213"/>
      <c r="CE76" s="213"/>
      <c r="CF76" s="213"/>
      <c r="CG76" s="213"/>
      <c r="CH76" s="213"/>
      <c r="CI76" s="213"/>
      <c r="CJ76" s="213"/>
      <c r="CK76" s="213"/>
      <c r="CL76" s="213"/>
      <c r="CM76" s="213"/>
      <c r="CN76" s="213"/>
      <c r="CO76" s="213"/>
      <c r="CP76" s="213"/>
      <c r="CQ76" s="213"/>
    </row>
    <row r="77" ht="15.75" customHeight="1">
      <c r="A77" s="213"/>
      <c r="B77" s="393"/>
      <c r="C77" s="934" t="s">
        <v>429</v>
      </c>
      <c r="D77" s="604">
        <f>(67303+7669)/5</f>
        <v>14994.4</v>
      </c>
      <c r="E77" s="355">
        <f t="shared" si="22"/>
        <v>0.04774982485</v>
      </c>
      <c r="F77" s="357">
        <v>38250.0</v>
      </c>
      <c r="G77" s="355">
        <f t="shared" si="23"/>
        <v>0.478125</v>
      </c>
      <c r="H77" s="357">
        <v>0.0</v>
      </c>
      <c r="I77" s="395">
        <f t="shared" si="24"/>
        <v>0</v>
      </c>
      <c r="J77" s="604">
        <f>(12808+1700)/5</f>
        <v>2901.6</v>
      </c>
      <c r="K77" s="355">
        <f t="shared" si="25"/>
        <v>0.007534275422</v>
      </c>
      <c r="L77" s="357">
        <v>38250.0</v>
      </c>
      <c r="M77" s="352"/>
      <c r="N77" s="352"/>
      <c r="O77" s="358"/>
      <c r="P77" s="604">
        <f>(4798+10946)/5</f>
        <v>3148.8</v>
      </c>
      <c r="Q77" s="355">
        <f t="shared" si="26"/>
        <v>0.009404849375</v>
      </c>
      <c r="R77" s="352"/>
      <c r="S77" s="352"/>
      <c r="T77" s="352"/>
      <c r="U77" s="358"/>
      <c r="V77" s="604">
        <f>(15444+4807)/7</f>
        <v>2893</v>
      </c>
      <c r="W77" s="355">
        <f t="shared" si="27"/>
        <v>0.006756756757</v>
      </c>
      <c r="X77" s="353"/>
      <c r="Y77" s="352"/>
      <c r="Z77" s="352"/>
      <c r="AA77" s="358"/>
      <c r="AB77" s="604">
        <f>(35489+26768)/7</f>
        <v>8893.857143</v>
      </c>
      <c r="AC77" s="355">
        <f t="shared" si="28"/>
        <v>0.02019742916</v>
      </c>
      <c r="AD77" s="356"/>
      <c r="AE77" s="245"/>
      <c r="AF77" s="245"/>
      <c r="AG77" s="350"/>
      <c r="AH77" s="604">
        <f>38089/7</f>
        <v>5441.285714</v>
      </c>
      <c r="AI77" s="355">
        <f t="shared" si="29"/>
        <v>0.01434168258</v>
      </c>
      <c r="AJ77" s="356"/>
      <c r="AK77" s="245"/>
      <c r="AL77" s="245"/>
      <c r="AM77" s="350"/>
      <c r="AN77" s="628">
        <v>0.0</v>
      </c>
      <c r="AO77" s="355">
        <f t="shared" si="30"/>
        <v>0</v>
      </c>
      <c r="AP77" s="356"/>
      <c r="AQ77" s="245"/>
      <c r="AR77" s="245"/>
      <c r="AS77" s="350"/>
      <c r="AT77" s="604">
        <f>(34288+7979)/7</f>
        <v>6038.142857</v>
      </c>
      <c r="AU77" s="355">
        <f t="shared" si="31"/>
        <v>0.01073103844</v>
      </c>
      <c r="AV77" s="356"/>
      <c r="AW77" s="245"/>
      <c r="AX77" s="245"/>
      <c r="AY77" s="245"/>
      <c r="AZ77" s="605">
        <f>((17941+4788)/7)</f>
        <v>3247</v>
      </c>
      <c r="BA77" s="355">
        <f t="shared" si="32"/>
        <v>0.003231597206</v>
      </c>
      <c r="BB77" s="356"/>
      <c r="BC77" s="245"/>
      <c r="BD77" s="245"/>
      <c r="BE77" s="245"/>
      <c r="BF77" s="604">
        <f>24538/7</f>
        <v>3505.428571</v>
      </c>
      <c r="BG77" s="355">
        <f>BF77/BF$29</f>
        <v>0.005128246777</v>
      </c>
      <c r="BH77" s="356"/>
      <c r="BI77" s="245"/>
      <c r="BJ77" s="245"/>
      <c r="BK77" s="245"/>
      <c r="BL77" s="357">
        <f>12174/7</f>
        <v>1739.142857</v>
      </c>
      <c r="BM77" s="245"/>
      <c r="BN77" s="245"/>
      <c r="BO77" s="245"/>
      <c r="BP77" s="245"/>
      <c r="BQ77" s="245"/>
      <c r="BR77" s="604">
        <f>11888/7</f>
        <v>1698.285714</v>
      </c>
      <c r="BS77" s="245"/>
      <c r="BT77" s="356"/>
      <c r="BU77" s="245"/>
      <c r="BV77" s="245"/>
      <c r="BW77" s="350"/>
      <c r="BX77" s="213"/>
      <c r="BY77" s="213"/>
      <c r="BZ77" s="213"/>
      <c r="CA77" s="213"/>
      <c r="CB77" s="213"/>
      <c r="CC77" s="213"/>
      <c r="CD77" s="213"/>
      <c r="CE77" s="213"/>
      <c r="CF77" s="213"/>
      <c r="CG77" s="213"/>
      <c r="CH77" s="213"/>
      <c r="CI77" s="213"/>
      <c r="CJ77" s="213"/>
      <c r="CK77" s="213"/>
      <c r="CL77" s="213"/>
      <c r="CM77" s="213"/>
      <c r="CN77" s="213"/>
      <c r="CO77" s="213"/>
      <c r="CP77" s="213"/>
      <c r="CQ77" s="213"/>
    </row>
    <row r="78" ht="15.75" customHeight="1">
      <c r="A78" s="213"/>
      <c r="B78" s="393"/>
      <c r="C78" s="350" t="s">
        <v>254</v>
      </c>
      <c r="D78" s="604">
        <v>0.0</v>
      </c>
      <c r="E78" s="355">
        <f t="shared" si="22"/>
        <v>0</v>
      </c>
      <c r="F78" s="357">
        <v>0.0</v>
      </c>
      <c r="G78" s="355">
        <f t="shared" si="23"/>
        <v>0</v>
      </c>
      <c r="H78" s="357">
        <f t="shared" ref="H78:H79" si="33">D78-F78</f>
        <v>0</v>
      </c>
      <c r="I78" s="395">
        <f t="shared" si="24"/>
        <v>0</v>
      </c>
      <c r="J78" s="604">
        <v>0.0</v>
      </c>
      <c r="K78" s="355">
        <f t="shared" si="25"/>
        <v>0</v>
      </c>
      <c r="L78" s="357"/>
      <c r="M78" s="352"/>
      <c r="N78" s="352"/>
      <c r="O78" s="358"/>
      <c r="P78" s="604"/>
      <c r="Q78" s="355">
        <f t="shared" si="26"/>
        <v>0</v>
      </c>
      <c r="R78" s="352"/>
      <c r="S78" s="352"/>
      <c r="T78" s="352"/>
      <c r="U78" s="358"/>
      <c r="V78" s="604"/>
      <c r="W78" s="355">
        <f t="shared" si="27"/>
        <v>0</v>
      </c>
      <c r="X78" s="353"/>
      <c r="Y78" s="352"/>
      <c r="Z78" s="352"/>
      <c r="AA78" s="358"/>
      <c r="AB78" s="604"/>
      <c r="AC78" s="355">
        <f t="shared" si="28"/>
        <v>0</v>
      </c>
      <c r="AD78" s="356"/>
      <c r="AE78" s="245"/>
      <c r="AF78" s="245"/>
      <c r="AG78" s="350"/>
      <c r="AH78" s="604"/>
      <c r="AI78" s="355">
        <f t="shared" si="29"/>
        <v>0</v>
      </c>
      <c r="AJ78" s="356"/>
      <c r="AK78" s="245"/>
      <c r="AL78" s="245"/>
      <c r="AM78" s="350"/>
      <c r="AN78" s="604"/>
      <c r="AO78" s="355">
        <f t="shared" si="30"/>
        <v>0</v>
      </c>
      <c r="AP78" s="356"/>
      <c r="AQ78" s="245"/>
      <c r="AR78" s="245"/>
      <c r="AS78" s="350"/>
      <c r="AT78" s="605"/>
      <c r="AU78" s="355">
        <f t="shared" si="31"/>
        <v>0</v>
      </c>
      <c r="AV78" s="356"/>
      <c r="AW78" s="245"/>
      <c r="AX78" s="245"/>
      <c r="AY78" s="245"/>
      <c r="AZ78" s="357"/>
      <c r="BA78" s="355">
        <f t="shared" si="32"/>
        <v>0</v>
      </c>
      <c r="BB78" s="356"/>
      <c r="BC78" s="245"/>
      <c r="BD78" s="245"/>
      <c r="BE78" s="245"/>
      <c r="BF78" s="357"/>
      <c r="BG78" s="245"/>
      <c r="BH78" s="356"/>
      <c r="BI78" s="245"/>
      <c r="BJ78" s="245"/>
      <c r="BK78" s="245"/>
      <c r="BL78" s="353"/>
      <c r="BM78" s="245"/>
      <c r="BN78" s="245"/>
      <c r="BO78" s="245"/>
      <c r="BP78" s="245"/>
      <c r="BQ78" s="245"/>
      <c r="BR78" s="356"/>
      <c r="BS78" s="245"/>
      <c r="BT78" s="356"/>
      <c r="BU78" s="245"/>
      <c r="BV78" s="245"/>
      <c r="BW78" s="350"/>
      <c r="BX78" s="213"/>
      <c r="BY78" s="213"/>
      <c r="BZ78" s="213"/>
      <c r="CA78" s="213"/>
      <c r="CB78" s="213"/>
      <c r="CC78" s="213"/>
      <c r="CD78" s="213"/>
      <c r="CE78" s="213"/>
      <c r="CF78" s="213"/>
      <c r="CG78" s="213"/>
      <c r="CH78" s="213"/>
      <c r="CI78" s="213"/>
      <c r="CJ78" s="213"/>
      <c r="CK78" s="213"/>
      <c r="CL78" s="213"/>
      <c r="CM78" s="213"/>
      <c r="CN78" s="213"/>
      <c r="CO78" s="213"/>
      <c r="CP78" s="213"/>
      <c r="CQ78" s="213"/>
    </row>
    <row r="79" ht="15.75" customHeight="1">
      <c r="A79" s="213"/>
      <c r="B79" s="393"/>
      <c r="C79" s="350" t="s">
        <v>430</v>
      </c>
      <c r="D79" s="604">
        <f>5408+29500</f>
        <v>34908</v>
      </c>
      <c r="E79" s="355">
        <f t="shared" si="22"/>
        <v>0.111164894</v>
      </c>
      <c r="F79" s="357">
        <v>0.0</v>
      </c>
      <c r="G79" s="355">
        <f t="shared" si="23"/>
        <v>0</v>
      </c>
      <c r="H79" s="357">
        <f t="shared" si="33"/>
        <v>34908</v>
      </c>
      <c r="I79" s="395">
        <f t="shared" si="24"/>
        <v>0.1591639651</v>
      </c>
      <c r="J79" s="604">
        <f>5408+29500</f>
        <v>34908</v>
      </c>
      <c r="K79" s="355">
        <f t="shared" si="25"/>
        <v>0.09064188256</v>
      </c>
      <c r="L79" s="357">
        <v>15000.0</v>
      </c>
      <c r="M79" s="352"/>
      <c r="N79" s="352"/>
      <c r="O79" s="358"/>
      <c r="P79" s="604">
        <f>5408+29500</f>
        <v>34908</v>
      </c>
      <c r="Q79" s="355">
        <f t="shared" si="26"/>
        <v>0.1042633645</v>
      </c>
      <c r="R79" s="352">
        <v>15000.0</v>
      </c>
      <c r="S79" s="352"/>
      <c r="T79" s="352"/>
      <c r="U79" s="358"/>
      <c r="V79" s="604">
        <f>5408+29500</f>
        <v>34908</v>
      </c>
      <c r="W79" s="355">
        <f t="shared" si="27"/>
        <v>0.08152950739</v>
      </c>
      <c r="X79" s="353">
        <v>15000.0</v>
      </c>
      <c r="Y79" s="352"/>
      <c r="Z79" s="352"/>
      <c r="AA79" s="358"/>
      <c r="AB79" s="604">
        <f>5408+29500</f>
        <v>34908</v>
      </c>
      <c r="AC79" s="355">
        <f t="shared" si="28"/>
        <v>0.07927402543</v>
      </c>
      <c r="AD79" s="356">
        <v>15000.0</v>
      </c>
      <c r="AE79" s="245"/>
      <c r="AF79" s="245"/>
      <c r="AG79" s="350"/>
      <c r="AH79" s="604">
        <f>5408+29500</f>
        <v>34908</v>
      </c>
      <c r="AI79" s="355">
        <f t="shared" si="29"/>
        <v>0.09200756619</v>
      </c>
      <c r="AJ79" s="356">
        <v>15000.0</v>
      </c>
      <c r="AK79" s="245"/>
      <c r="AL79" s="245"/>
      <c r="AM79" s="350"/>
      <c r="AN79" s="604">
        <f>5408+29500</f>
        <v>34908</v>
      </c>
      <c r="AO79" s="355">
        <f t="shared" si="30"/>
        <v>0.07471934173</v>
      </c>
      <c r="AP79" s="356">
        <v>15000.0</v>
      </c>
      <c r="AQ79" s="245"/>
      <c r="AR79" s="245"/>
      <c r="AS79" s="350"/>
      <c r="AT79" s="604">
        <f>5408+29500</f>
        <v>34908</v>
      </c>
      <c r="AU79" s="355">
        <f t="shared" si="31"/>
        <v>0.06203879219</v>
      </c>
      <c r="AV79" s="356">
        <v>15000.0</v>
      </c>
      <c r="AW79" s="245"/>
      <c r="AX79" s="245"/>
      <c r="AY79" s="245"/>
      <c r="AZ79" s="604">
        <f>5408+29500</f>
        <v>34908</v>
      </c>
      <c r="BA79" s="355">
        <f t="shared" si="32"/>
        <v>0.03474240692</v>
      </c>
      <c r="BB79" s="356">
        <v>15000.0</v>
      </c>
      <c r="BC79" s="245"/>
      <c r="BD79" s="245"/>
      <c r="BE79" s="245"/>
      <c r="BF79" s="604">
        <f>5408+29500</f>
        <v>34908</v>
      </c>
      <c r="BG79" s="245"/>
      <c r="BH79" s="356">
        <v>15000.0</v>
      </c>
      <c r="BI79" s="245"/>
      <c r="BJ79" s="245"/>
      <c r="BK79" s="245"/>
      <c r="BL79" s="604">
        <f>5408+29500</f>
        <v>34908</v>
      </c>
      <c r="BM79" s="245"/>
      <c r="BN79" s="356">
        <v>15000.0</v>
      </c>
      <c r="BO79" s="245"/>
      <c r="BP79" s="245"/>
      <c r="BQ79" s="245"/>
      <c r="BR79" s="604">
        <f>5408+29500</f>
        <v>34908</v>
      </c>
      <c r="BS79" s="245"/>
      <c r="BT79" s="356">
        <v>15000.0</v>
      </c>
      <c r="BU79" s="245"/>
      <c r="BV79" s="245"/>
      <c r="BW79" s="350"/>
      <c r="BX79" s="213"/>
      <c r="BY79" s="213"/>
      <c r="BZ79" s="213"/>
      <c r="CA79" s="213"/>
      <c r="CB79" s="213"/>
      <c r="CC79" s="213"/>
      <c r="CD79" s="213"/>
      <c r="CE79" s="213"/>
      <c r="CF79" s="213"/>
      <c r="CG79" s="213"/>
      <c r="CH79" s="213"/>
      <c r="CI79" s="213"/>
      <c r="CJ79" s="213"/>
      <c r="CK79" s="213"/>
      <c r="CL79" s="213"/>
      <c r="CM79" s="213"/>
      <c r="CN79" s="213"/>
      <c r="CO79" s="213"/>
      <c r="CP79" s="213"/>
      <c r="CQ79" s="213"/>
    </row>
    <row r="80" ht="15.75" customHeight="1">
      <c r="A80" s="213"/>
      <c r="B80" s="393"/>
      <c r="C80" s="350" t="s">
        <v>384</v>
      </c>
      <c r="D80" s="604">
        <v>0.0</v>
      </c>
      <c r="E80" s="355">
        <f t="shared" si="22"/>
        <v>0</v>
      </c>
      <c r="F80" s="352">
        <v>28374.0</v>
      </c>
      <c r="G80" s="355" t="str">
        <f>F80/F$30</f>
        <v>#DIV/0!</v>
      </c>
      <c r="H80" s="352"/>
      <c r="I80" s="358"/>
      <c r="J80" s="604">
        <v>9447.0</v>
      </c>
      <c r="K80" s="355">
        <f t="shared" si="25"/>
        <v>0.02453001789</v>
      </c>
      <c r="L80" s="352">
        <v>20000.0</v>
      </c>
      <c r="M80" s="355" t="str">
        <f>L80/L$30</f>
        <v>#DIV/0!</v>
      </c>
      <c r="N80" s="352"/>
      <c r="O80" s="358"/>
      <c r="P80" s="604">
        <v>7881.0</v>
      </c>
      <c r="Q80" s="355">
        <f t="shared" si="26"/>
        <v>0.02353900468</v>
      </c>
      <c r="R80" s="352">
        <v>48580.0</v>
      </c>
      <c r="S80" s="355" t="str">
        <f>R80/R$30</f>
        <v>#DIV/0!</v>
      </c>
      <c r="T80" s="352"/>
      <c r="U80" s="358"/>
      <c r="V80" s="604">
        <v>10903.0</v>
      </c>
      <c r="W80" s="355">
        <f t="shared" si="27"/>
        <v>0.02546454162</v>
      </c>
      <c r="X80" s="353">
        <v>26533.0</v>
      </c>
      <c r="Y80" s="355" t="str">
        <f>X80/X$30</f>
        <v>#DIV/0!</v>
      </c>
      <c r="Z80" s="352"/>
      <c r="AA80" s="358"/>
      <c r="AB80" s="604">
        <v>2354.0</v>
      </c>
      <c r="AC80" s="355">
        <f t="shared" si="28"/>
        <v>0.00534579626</v>
      </c>
      <c r="AD80" s="353">
        <v>23600.0</v>
      </c>
      <c r="AE80" s="355" t="str">
        <f>AD80/AD$30</f>
        <v>#DIV/0!</v>
      </c>
      <c r="AF80" s="352"/>
      <c r="AG80" s="358"/>
      <c r="AH80" s="604">
        <v>2617.0</v>
      </c>
      <c r="AI80" s="355">
        <f t="shared" si="29"/>
        <v>0.006897668177</v>
      </c>
      <c r="AJ80" s="353">
        <v>55866.0</v>
      </c>
      <c r="AK80" s="355" t="str">
        <f>AJ80/AJ$30</f>
        <v>#DIV/0!</v>
      </c>
      <c r="AL80" s="352"/>
      <c r="AM80" s="358"/>
      <c r="AN80" s="604">
        <v>7080.0</v>
      </c>
      <c r="AO80" s="355">
        <f t="shared" si="30"/>
        <v>0.01515449007</v>
      </c>
      <c r="AP80" s="353">
        <v>47344.0</v>
      </c>
      <c r="AQ80" s="355">
        <f>AP80/AP$29</f>
        <v>0.5367800454</v>
      </c>
      <c r="AR80" s="352"/>
      <c r="AS80" s="358"/>
      <c r="AT80" s="618">
        <v>10114.0</v>
      </c>
      <c r="AU80" s="355">
        <f t="shared" si="31"/>
        <v>0.01797468615</v>
      </c>
      <c r="AV80" s="353">
        <v>59649.0</v>
      </c>
      <c r="AW80" s="355" t="str">
        <f>AV80/AV$30</f>
        <v>#DIV/0!</v>
      </c>
      <c r="AX80" s="352"/>
      <c r="AY80" s="352"/>
      <c r="AZ80" s="737">
        <v>34194.0</v>
      </c>
      <c r="BA80" s="355">
        <f t="shared" si="32"/>
        <v>0.03403179392</v>
      </c>
      <c r="BB80" s="353">
        <v>85694.0</v>
      </c>
      <c r="BC80" s="355" t="str">
        <f>BB80/BB$30</f>
        <v>#DIV/0!</v>
      </c>
      <c r="BD80" s="352"/>
      <c r="BE80" s="352"/>
      <c r="BF80" s="737">
        <v>17023.0</v>
      </c>
      <c r="BG80" s="352"/>
      <c r="BH80" s="353">
        <v>110081.0</v>
      </c>
      <c r="BI80" s="355" t="str">
        <f>BH80/BH$30</f>
        <v>#DIV/0!</v>
      </c>
      <c r="BJ80" s="352"/>
      <c r="BK80" s="352"/>
      <c r="BL80" s="536">
        <v>14289.0</v>
      </c>
      <c r="BM80" s="352"/>
      <c r="BN80" s="353">
        <v>101073.0</v>
      </c>
      <c r="BO80" s="355" t="str">
        <f>BN80/BN$30</f>
        <v>#DIV/0!</v>
      </c>
      <c r="BP80" s="352"/>
      <c r="BQ80" s="352"/>
      <c r="BR80" s="536">
        <v>20900.0</v>
      </c>
      <c r="BS80" s="352"/>
      <c r="BT80" s="353">
        <v>125864.0</v>
      </c>
      <c r="BU80" s="355" t="str">
        <f>BT80/BT$30</f>
        <v>#DIV/0!</v>
      </c>
      <c r="BV80" s="245"/>
      <c r="BW80" s="350"/>
      <c r="BX80" s="213"/>
      <c r="BY80" s="213"/>
      <c r="BZ80" s="213"/>
      <c r="CA80" s="213"/>
      <c r="CB80" s="213"/>
      <c r="CC80" s="213"/>
      <c r="CD80" s="213"/>
      <c r="CE80" s="213"/>
      <c r="CF80" s="213"/>
      <c r="CG80" s="213"/>
      <c r="CH80" s="213"/>
      <c r="CI80" s="213"/>
      <c r="CJ80" s="213"/>
      <c r="CK80" s="213"/>
      <c r="CL80" s="213"/>
      <c r="CM80" s="213"/>
      <c r="CN80" s="213"/>
      <c r="CO80" s="213"/>
      <c r="CP80" s="213"/>
      <c r="CQ80" s="213"/>
    </row>
    <row r="81" ht="15.75" customHeight="1">
      <c r="A81" s="213"/>
      <c r="B81" s="393"/>
      <c r="C81" s="350"/>
      <c r="D81" s="604"/>
      <c r="E81" s="355"/>
      <c r="F81" s="357"/>
      <c r="G81" s="355"/>
      <c r="H81" s="357"/>
      <c r="I81" s="395"/>
      <c r="J81" s="604"/>
      <c r="K81" s="355"/>
      <c r="L81" s="357"/>
      <c r="M81" s="355"/>
      <c r="N81" s="352"/>
      <c r="O81" s="358"/>
      <c r="P81" s="604"/>
      <c r="Q81" s="355"/>
      <c r="R81" s="352"/>
      <c r="S81" s="355"/>
      <c r="T81" s="352"/>
      <c r="U81" s="358"/>
      <c r="V81" s="604"/>
      <c r="W81" s="355"/>
      <c r="X81" s="353"/>
      <c r="Y81" s="355"/>
      <c r="Z81" s="352"/>
      <c r="AA81" s="358"/>
      <c r="AB81" s="604"/>
      <c r="AC81" s="355"/>
      <c r="AD81" s="353"/>
      <c r="AE81" s="355"/>
      <c r="AF81" s="352"/>
      <c r="AG81" s="358"/>
      <c r="AH81" s="604"/>
      <c r="AI81" s="355"/>
      <c r="AJ81" s="353"/>
      <c r="AK81" s="355"/>
      <c r="AL81" s="352"/>
      <c r="AM81" s="358"/>
      <c r="AN81" s="604"/>
      <c r="AO81" s="352"/>
      <c r="AP81" s="353"/>
      <c r="AQ81" s="355"/>
      <c r="AR81" s="352"/>
      <c r="AS81" s="358"/>
      <c r="AT81" s="605"/>
      <c r="AU81" s="352"/>
      <c r="AV81" s="353"/>
      <c r="AW81" s="355"/>
      <c r="AX81" s="352"/>
      <c r="AY81" s="352"/>
      <c r="AZ81" s="357"/>
      <c r="BA81" s="352"/>
      <c r="BB81" s="353"/>
      <c r="BC81" s="355"/>
      <c r="BD81" s="352"/>
      <c r="BE81" s="352"/>
      <c r="BF81" s="357"/>
      <c r="BG81" s="352"/>
      <c r="BH81" s="353"/>
      <c r="BI81" s="355"/>
      <c r="BJ81" s="352"/>
      <c r="BK81" s="352"/>
      <c r="BL81" s="353"/>
      <c r="BM81" s="352"/>
      <c r="BN81" s="352"/>
      <c r="BO81" s="355"/>
      <c r="BP81" s="352"/>
      <c r="BQ81" s="352"/>
      <c r="BR81" s="353"/>
      <c r="BS81" s="352"/>
      <c r="BT81" s="353"/>
      <c r="BU81" s="355"/>
      <c r="BV81" s="245"/>
      <c r="BW81" s="350"/>
      <c r="BX81" s="213"/>
      <c r="BY81" s="213"/>
      <c r="BZ81" s="213"/>
      <c r="CA81" s="213"/>
      <c r="CB81" s="213"/>
      <c r="CC81" s="213"/>
      <c r="CD81" s="213"/>
      <c r="CE81" s="213"/>
      <c r="CF81" s="213"/>
      <c r="CG81" s="213"/>
      <c r="CH81" s="213"/>
      <c r="CI81" s="213"/>
      <c r="CJ81" s="213"/>
      <c r="CK81" s="213"/>
      <c r="CL81" s="213"/>
      <c r="CM81" s="213"/>
      <c r="CN81" s="213"/>
      <c r="CO81" s="213"/>
      <c r="CP81" s="213"/>
      <c r="CQ81" s="213"/>
    </row>
    <row r="82" ht="15.75" customHeight="1">
      <c r="A82" s="213"/>
      <c r="B82" s="403"/>
      <c r="C82" s="448"/>
      <c r="D82" s="619"/>
      <c r="E82" s="364"/>
      <c r="F82" s="688"/>
      <c r="G82" s="688"/>
      <c r="H82" s="688"/>
      <c r="I82" s="362"/>
      <c r="J82" s="619"/>
      <c r="K82" s="364"/>
      <c r="L82" s="364"/>
      <c r="M82" s="364"/>
      <c r="N82" s="364"/>
      <c r="O82" s="368"/>
      <c r="P82" s="619"/>
      <c r="Q82" s="364"/>
      <c r="R82" s="364"/>
      <c r="S82" s="364"/>
      <c r="T82" s="364"/>
      <c r="U82" s="368"/>
      <c r="V82" s="619"/>
      <c r="W82" s="364"/>
      <c r="X82" s="365"/>
      <c r="Y82" s="364"/>
      <c r="Z82" s="364"/>
      <c r="AA82" s="368"/>
      <c r="AB82" s="403"/>
      <c r="AC82" s="688"/>
      <c r="AD82" s="689"/>
      <c r="AE82" s="688"/>
      <c r="AF82" s="688"/>
      <c r="AG82" s="362"/>
      <c r="AH82" s="619"/>
      <c r="AI82" s="688"/>
      <c r="AJ82" s="689"/>
      <c r="AK82" s="688"/>
      <c r="AL82" s="688"/>
      <c r="AM82" s="362"/>
      <c r="AN82" s="619"/>
      <c r="AO82" s="688"/>
      <c r="AP82" s="689"/>
      <c r="AQ82" s="688"/>
      <c r="AR82" s="688"/>
      <c r="AS82" s="362"/>
      <c r="AT82" s="793"/>
      <c r="AU82" s="688"/>
      <c r="AV82" s="689"/>
      <c r="AW82" s="688"/>
      <c r="AX82" s="688"/>
      <c r="AY82" s="688"/>
      <c r="AZ82" s="367"/>
      <c r="BA82" s="688"/>
      <c r="BB82" s="689"/>
      <c r="BC82" s="688"/>
      <c r="BD82" s="688"/>
      <c r="BE82" s="688"/>
      <c r="BF82" s="367"/>
      <c r="BG82" s="688"/>
      <c r="BH82" s="689"/>
      <c r="BI82" s="688"/>
      <c r="BJ82" s="688"/>
      <c r="BK82" s="688"/>
      <c r="BL82" s="365"/>
      <c r="BM82" s="688"/>
      <c r="BN82" s="688"/>
      <c r="BO82" s="688"/>
      <c r="BP82" s="688"/>
      <c r="BQ82" s="688"/>
      <c r="BR82" s="804"/>
      <c r="BS82" s="688"/>
      <c r="BT82" s="689"/>
      <c r="BU82" s="688"/>
      <c r="BV82" s="688"/>
      <c r="BW82" s="362"/>
      <c r="BX82" s="213"/>
      <c r="BY82" s="213"/>
      <c r="BZ82" s="213"/>
      <c r="CA82" s="213"/>
      <c r="CB82" s="213"/>
      <c r="CC82" s="213"/>
      <c r="CD82" s="213"/>
      <c r="CE82" s="213"/>
      <c r="CF82" s="213"/>
      <c r="CG82" s="213"/>
      <c r="CH82" s="213"/>
      <c r="CI82" s="213"/>
      <c r="CJ82" s="213"/>
      <c r="CK82" s="213"/>
      <c r="CL82" s="213"/>
      <c r="CM82" s="213"/>
      <c r="CN82" s="213"/>
      <c r="CO82" s="213"/>
      <c r="CP82" s="213"/>
      <c r="CQ82" s="213"/>
    </row>
    <row r="83" ht="15.75" customHeight="1">
      <c r="A83" s="213"/>
      <c r="B83" s="735"/>
      <c r="C83" s="447" t="s">
        <v>36</v>
      </c>
      <c r="D83" s="771">
        <f>sum(D84:D88)</f>
        <v>24861.6796</v>
      </c>
      <c r="E83" s="772">
        <f>D83/D$29</f>
        <v>0.07917228075</v>
      </c>
      <c r="F83" s="773">
        <f>SUM(F84:F88)</f>
        <v>0</v>
      </c>
      <c r="G83" s="935">
        <f>F83/F$29</f>
        <v>0</v>
      </c>
      <c r="H83" s="773">
        <f>SUM(H84:H87)</f>
        <v>12471.6796</v>
      </c>
      <c r="I83" s="811"/>
      <c r="J83" s="771">
        <f>SUM(J84:J87)</f>
        <v>18794.1458</v>
      </c>
      <c r="K83" s="772">
        <f>J83/J$29</f>
        <v>0.04880075503</v>
      </c>
      <c r="L83" s="774">
        <f>SUM(L84:L87)</f>
        <v>0</v>
      </c>
      <c r="M83" s="774"/>
      <c r="N83" s="774">
        <f>SUM(N84:N87)</f>
        <v>0</v>
      </c>
      <c r="O83" s="513"/>
      <c r="P83" s="771">
        <f>SUM(P84:P87)</f>
        <v>10889.7054</v>
      </c>
      <c r="Q83" s="772">
        <f t="shared" ref="Q83:Q88" si="34">P83/P$29</f>
        <v>0.0325254189</v>
      </c>
      <c r="R83" s="774">
        <f>SUM(R84:R87)</f>
        <v>0</v>
      </c>
      <c r="S83" s="774"/>
      <c r="T83" s="774">
        <f>SUM(T84:T87)</f>
        <v>0</v>
      </c>
      <c r="U83" s="513"/>
      <c r="V83" s="771">
        <f>SUM(V84:V87)</f>
        <v>26084.31</v>
      </c>
      <c r="W83" s="772">
        <f t="shared" ref="W83:W87" si="35">V83/V$29</f>
        <v>0.06092130585</v>
      </c>
      <c r="X83" s="509">
        <f>SUM(X84:X87)</f>
        <v>0</v>
      </c>
      <c r="Y83" s="774"/>
      <c r="Z83" s="774">
        <f>SUM(Z84:Z87)</f>
        <v>0</v>
      </c>
      <c r="AA83" s="513"/>
      <c r="AB83" s="735">
        <f>SUM(AB84:AB87)</f>
        <v>32700.6</v>
      </c>
      <c r="AC83" s="772">
        <f t="shared" ref="AC83:AC87" si="36">AB83/AB$29</f>
        <v>0.07426114919</v>
      </c>
      <c r="AD83" s="814">
        <f>SUM(AD84:AD87)</f>
        <v>0</v>
      </c>
      <c r="AE83" s="812"/>
      <c r="AF83" s="812">
        <f>SUM(AF84:AF87)</f>
        <v>0</v>
      </c>
      <c r="AG83" s="811"/>
      <c r="AH83" s="771">
        <f>SUM(AH84:AH87)</f>
        <v>29739.56</v>
      </c>
      <c r="AI83" s="772">
        <f t="shared" ref="AI83:AI87" si="37">AH83/AH$29</f>
        <v>0.07838502736</v>
      </c>
      <c r="AJ83" s="814">
        <f>SUM(AJ84:AJ87)</f>
        <v>0</v>
      </c>
      <c r="AK83" s="812"/>
      <c r="AL83" s="812">
        <f>SUM(AL84:AL87)</f>
        <v>0</v>
      </c>
      <c r="AM83" s="811"/>
      <c r="AN83" s="771">
        <f>SUM(AN84:AN87)</f>
        <v>33688.74</v>
      </c>
      <c r="AO83" s="772">
        <f t="shared" ref="AO83:AO87" si="38">AN83/AN$29</f>
        <v>0.07210955874</v>
      </c>
      <c r="AP83" s="814">
        <f>SUM(AP84:AP87)</f>
        <v>0</v>
      </c>
      <c r="AQ83" s="812"/>
      <c r="AR83" s="812">
        <f>SUM(AR84:AR87)</f>
        <v>0</v>
      </c>
      <c r="AS83" s="811"/>
      <c r="AT83" s="813">
        <f>SUM(AT84:AT87)</f>
        <v>38727.71</v>
      </c>
      <c r="AU83" s="772">
        <f t="shared" ref="AU83:AU87" si="39">AT83/AT$29</f>
        <v>0.06882721304</v>
      </c>
      <c r="AV83" s="814">
        <f>SUM(AV84:AV87)</f>
        <v>0</v>
      </c>
      <c r="AW83" s="812"/>
      <c r="AX83" s="812">
        <f>SUM(AX84:AX87)</f>
        <v>0</v>
      </c>
      <c r="AY83" s="812"/>
      <c r="AZ83" s="773">
        <f>SUM(AZ84:AZ87)</f>
        <v>34770.78</v>
      </c>
      <c r="BA83" s="772">
        <f t="shared" ref="BA83:BA87" si="40">AZ83/AZ$29</f>
        <v>0.03460583785</v>
      </c>
      <c r="BB83" s="814">
        <f>SUM(BB84:BB87)</f>
        <v>0</v>
      </c>
      <c r="BC83" s="812"/>
      <c r="BD83" s="812">
        <f>SUM(BD84:BD87)</f>
        <v>0</v>
      </c>
      <c r="BE83" s="812"/>
      <c r="BF83" s="773">
        <f>SUM(BF84:BF87)</f>
        <v>29799.83</v>
      </c>
      <c r="BG83" s="812"/>
      <c r="BH83" s="814">
        <f>SUM(BH84:BH87)</f>
        <v>0</v>
      </c>
      <c r="BI83" s="812"/>
      <c r="BJ83" s="812">
        <f>SUM(BJ84:BJ87)</f>
        <v>0</v>
      </c>
      <c r="BK83" s="812"/>
      <c r="BL83" s="509">
        <f>SUM(BL84:BL88)</f>
        <v>22375.59</v>
      </c>
      <c r="BM83" s="812"/>
      <c r="BN83" s="509">
        <f>SUM(BN84:BN88)</f>
        <v>0</v>
      </c>
      <c r="BO83" s="812"/>
      <c r="BP83" s="812">
        <f>SUM(BP84:BP87)</f>
        <v>0</v>
      </c>
      <c r="BQ83" s="812"/>
      <c r="BR83" s="814">
        <f>SUM(BR84:BR87)</f>
        <v>33395.79</v>
      </c>
      <c r="BS83" s="812"/>
      <c r="BT83" s="814">
        <f>SUM(BT84:BT87)</f>
        <v>0</v>
      </c>
      <c r="BU83" s="812"/>
      <c r="BV83" s="812">
        <f>SUM(BV84:BV87)</f>
        <v>0</v>
      </c>
      <c r="BW83" s="811"/>
      <c r="BX83" s="237">
        <f>D83+J83+P83+V83+AB83+AH83+AN83+AT83+AZ83+BF83+BL83+BR83</f>
        <v>335828.4408</v>
      </c>
      <c r="BY83" s="216"/>
      <c r="BZ83" s="216"/>
      <c r="CA83" s="216"/>
      <c r="CB83" s="216"/>
      <c r="CC83" s="216"/>
      <c r="CD83" s="216"/>
      <c r="CE83" s="216"/>
      <c r="CF83" s="216"/>
      <c r="CG83" s="216"/>
      <c r="CH83" s="216"/>
      <c r="CI83" s="216"/>
      <c r="CJ83" s="216"/>
      <c r="CK83" s="216"/>
      <c r="CL83" s="216"/>
      <c r="CM83" s="216"/>
      <c r="CN83" s="216"/>
      <c r="CO83" s="216"/>
      <c r="CP83" s="216"/>
      <c r="CQ83" s="216"/>
    </row>
    <row r="84" ht="15.75" customHeight="1">
      <c r="A84" s="213"/>
      <c r="B84" s="444"/>
      <c r="C84" s="383" t="s">
        <v>257</v>
      </c>
      <c r="D84" s="708"/>
      <c r="E84" s="440"/>
      <c r="F84" s="388"/>
      <c r="G84" s="709"/>
      <c r="H84" s="388">
        <f t="shared" ref="H84:H87" si="41">D84-F84</f>
        <v>0</v>
      </c>
      <c r="I84" s="383"/>
      <c r="J84" s="708"/>
      <c r="K84" s="385">
        <f t="shared" ref="K84:K89" si="42">IFERROR((J84/J$29),"")</f>
        <v>0</v>
      </c>
      <c r="L84" s="440"/>
      <c r="M84" s="440"/>
      <c r="N84" s="440"/>
      <c r="O84" s="389"/>
      <c r="P84" s="708"/>
      <c r="Q84" s="385">
        <f t="shared" si="34"/>
        <v>0</v>
      </c>
      <c r="R84" s="440"/>
      <c r="S84" s="440"/>
      <c r="T84" s="440"/>
      <c r="U84" s="389"/>
      <c r="V84" s="708"/>
      <c r="W84" s="385">
        <f t="shared" si="35"/>
        <v>0</v>
      </c>
      <c r="X84" s="386"/>
      <c r="Y84" s="440"/>
      <c r="Z84" s="440"/>
      <c r="AA84" s="389"/>
      <c r="AB84" s="444"/>
      <c r="AC84" s="385">
        <f t="shared" si="36"/>
        <v>0</v>
      </c>
      <c r="AD84" s="927"/>
      <c r="AE84" s="709"/>
      <c r="AF84" s="709"/>
      <c r="AG84" s="383"/>
      <c r="AH84" s="708"/>
      <c r="AI84" s="385">
        <f t="shared" si="37"/>
        <v>0</v>
      </c>
      <c r="AJ84" s="927"/>
      <c r="AK84" s="709"/>
      <c r="AL84" s="709"/>
      <c r="AM84" s="383"/>
      <c r="AN84" s="708"/>
      <c r="AO84" s="385">
        <f t="shared" si="38"/>
        <v>0</v>
      </c>
      <c r="AP84" s="927"/>
      <c r="AQ84" s="709"/>
      <c r="AR84" s="709"/>
      <c r="AS84" s="383"/>
      <c r="AT84" s="787"/>
      <c r="AU84" s="385">
        <f t="shared" si="39"/>
        <v>0</v>
      </c>
      <c r="AV84" s="927"/>
      <c r="AW84" s="709"/>
      <c r="AX84" s="709"/>
      <c r="AY84" s="709"/>
      <c r="AZ84" s="388"/>
      <c r="BA84" s="385">
        <f t="shared" si="40"/>
        <v>0</v>
      </c>
      <c r="BB84" s="927"/>
      <c r="BC84" s="709"/>
      <c r="BD84" s="709"/>
      <c r="BE84" s="709"/>
      <c r="BF84" s="388"/>
      <c r="BG84" s="709"/>
      <c r="BH84" s="927"/>
      <c r="BI84" s="709"/>
      <c r="BJ84" s="709"/>
      <c r="BK84" s="709"/>
      <c r="BL84" s="386"/>
      <c r="BM84" s="709"/>
      <c r="BN84" s="927"/>
      <c r="BO84" s="709"/>
      <c r="BP84" s="709"/>
      <c r="BQ84" s="709"/>
      <c r="BR84" s="802"/>
      <c r="BS84" s="709"/>
      <c r="BT84" s="927"/>
      <c r="BU84" s="709"/>
      <c r="BV84" s="709"/>
      <c r="BW84" s="383"/>
      <c r="BX84" s="213"/>
      <c r="BY84" s="213"/>
      <c r="BZ84" s="213"/>
      <c r="CA84" s="213"/>
      <c r="CB84" s="213"/>
      <c r="CC84" s="213"/>
      <c r="CD84" s="213"/>
      <c r="CE84" s="213"/>
      <c r="CF84" s="213"/>
      <c r="CG84" s="213"/>
      <c r="CH84" s="213"/>
      <c r="CI84" s="213"/>
      <c r="CJ84" s="213"/>
      <c r="CK84" s="213"/>
      <c r="CL84" s="213"/>
      <c r="CM84" s="213"/>
      <c r="CN84" s="213"/>
      <c r="CO84" s="213"/>
      <c r="CP84" s="213"/>
      <c r="CQ84" s="213"/>
    </row>
    <row r="85" ht="15.75" customHeight="1">
      <c r="A85" s="213"/>
      <c r="B85" s="393"/>
      <c r="C85" s="350" t="s">
        <v>258</v>
      </c>
      <c r="D85" s="604">
        <v>0.0</v>
      </c>
      <c r="E85" s="352"/>
      <c r="F85" s="357"/>
      <c r="G85" s="245"/>
      <c r="H85" s="357">
        <f t="shared" si="41"/>
        <v>0</v>
      </c>
      <c r="I85" s="350"/>
      <c r="J85" s="604">
        <v>52.0</v>
      </c>
      <c r="K85" s="355">
        <f t="shared" si="42"/>
        <v>0.000135022857</v>
      </c>
      <c r="L85" s="352"/>
      <c r="M85" s="352"/>
      <c r="N85" s="352"/>
      <c r="O85" s="358"/>
      <c r="P85" s="604">
        <v>101.87</v>
      </c>
      <c r="Q85" s="355">
        <f t="shared" si="34"/>
        <v>0.0003042657539</v>
      </c>
      <c r="R85" s="352"/>
      <c r="S85" s="352"/>
      <c r="T85" s="352"/>
      <c r="U85" s="358"/>
      <c r="V85" s="604"/>
      <c r="W85" s="355">
        <f t="shared" si="35"/>
        <v>0</v>
      </c>
      <c r="X85" s="353"/>
      <c r="Y85" s="352"/>
      <c r="Z85" s="352"/>
      <c r="AA85" s="358"/>
      <c r="AB85" s="393"/>
      <c r="AC85" s="355">
        <f t="shared" si="36"/>
        <v>0</v>
      </c>
      <c r="AD85" s="356"/>
      <c r="AE85" s="245"/>
      <c r="AF85" s="245"/>
      <c r="AG85" s="350"/>
      <c r="AH85" s="604"/>
      <c r="AI85" s="355">
        <f t="shared" si="37"/>
        <v>0</v>
      </c>
      <c r="AJ85" s="356"/>
      <c r="AK85" s="245"/>
      <c r="AL85" s="245"/>
      <c r="AM85" s="350"/>
      <c r="AN85" s="604"/>
      <c r="AO85" s="355">
        <f t="shared" si="38"/>
        <v>0</v>
      </c>
      <c r="AP85" s="356"/>
      <c r="AQ85" s="245"/>
      <c r="AR85" s="245"/>
      <c r="AS85" s="350"/>
      <c r="AT85" s="605">
        <v>8188.02</v>
      </c>
      <c r="AU85" s="355">
        <f t="shared" si="39"/>
        <v>0.01455181824</v>
      </c>
      <c r="AV85" s="356"/>
      <c r="AW85" s="245"/>
      <c r="AX85" s="245"/>
      <c r="AY85" s="245"/>
      <c r="AZ85" s="357">
        <v>1380.6</v>
      </c>
      <c r="BA85" s="355">
        <f t="shared" si="40"/>
        <v>0.001374050848</v>
      </c>
      <c r="BB85" s="356"/>
      <c r="BC85" s="245"/>
      <c r="BD85" s="245"/>
      <c r="BE85" s="245"/>
      <c r="BF85" s="357"/>
      <c r="BG85" s="245"/>
      <c r="BH85" s="356"/>
      <c r="BI85" s="245"/>
      <c r="BJ85" s="245"/>
      <c r="BK85" s="245"/>
      <c r="BL85" s="353"/>
      <c r="BM85" s="245"/>
      <c r="BN85" s="356"/>
      <c r="BO85" s="245"/>
      <c r="BP85" s="245"/>
      <c r="BQ85" s="245"/>
      <c r="BR85" s="356"/>
      <c r="BS85" s="245"/>
      <c r="BT85" s="356"/>
      <c r="BU85" s="245"/>
      <c r="BV85" s="245"/>
      <c r="BW85" s="350"/>
      <c r="BX85" s="213"/>
      <c r="BY85" s="213"/>
      <c r="BZ85" s="213"/>
      <c r="CA85" s="213"/>
      <c r="CB85" s="213"/>
      <c r="CC85" s="213"/>
      <c r="CD85" s="213"/>
      <c r="CE85" s="213"/>
      <c r="CF85" s="213"/>
      <c r="CG85" s="213"/>
      <c r="CH85" s="213"/>
      <c r="CI85" s="213"/>
      <c r="CJ85" s="213"/>
      <c r="CK85" s="213"/>
      <c r="CL85" s="213"/>
      <c r="CM85" s="213"/>
      <c r="CN85" s="213"/>
      <c r="CO85" s="213"/>
      <c r="CP85" s="213"/>
      <c r="CQ85" s="213"/>
    </row>
    <row r="86" ht="15.75" customHeight="1">
      <c r="A86" s="213"/>
      <c r="B86" s="393"/>
      <c r="C86" s="350" t="s">
        <v>259</v>
      </c>
      <c r="D86" s="604">
        <f>(7431.64+(7431.64*18/100))</f>
        <v>8769.3352</v>
      </c>
      <c r="E86" s="355">
        <f t="shared" ref="E86:E87" si="43">IFERROR((D86/D$29),"")</f>
        <v>0.02792604038</v>
      </c>
      <c r="F86" s="357">
        <f>75%*(F$18+F$19)*17.8%</f>
        <v>0</v>
      </c>
      <c r="G86" s="790">
        <f t="shared" ref="G86:G87" si="44">IFERROR((F86/F$29),"")</f>
        <v>0</v>
      </c>
      <c r="H86" s="357">
        <f t="shared" si="41"/>
        <v>8769.3352</v>
      </c>
      <c r="I86" s="350"/>
      <c r="J86" s="604">
        <f>(10471.31+(10471.31*18/100))</f>
        <v>12356.1458</v>
      </c>
      <c r="K86" s="355">
        <f t="shared" si="42"/>
        <v>0.03208388669</v>
      </c>
      <c r="L86" s="357">
        <f>75%*(L$18+L$19)*17.8%</f>
        <v>0</v>
      </c>
      <c r="M86" s="352"/>
      <c r="N86" s="352"/>
      <c r="O86" s="358"/>
      <c r="P86" s="604">
        <f>(2237.03+(2237.03*18/100))</f>
        <v>2639.6954</v>
      </c>
      <c r="Q86" s="355">
        <f t="shared" si="34"/>
        <v>0.007884253568</v>
      </c>
      <c r="R86" s="357">
        <f>75%*(R$18+R$19)*17.8%</f>
        <v>0</v>
      </c>
      <c r="S86" s="352"/>
      <c r="T86" s="352"/>
      <c r="U86" s="358"/>
      <c r="V86" s="604">
        <v>19686.17</v>
      </c>
      <c r="W86" s="355">
        <f t="shared" si="35"/>
        <v>0.04597810652</v>
      </c>
      <c r="X86" s="353">
        <f>75%*(X$18+X$19)*17.8%</f>
        <v>0</v>
      </c>
      <c r="Y86" s="352"/>
      <c r="Z86" s="352"/>
      <c r="AA86" s="358"/>
      <c r="AB86" s="393">
        <v>28970.25</v>
      </c>
      <c r="AC86" s="355">
        <f t="shared" si="36"/>
        <v>0.06578974261</v>
      </c>
      <c r="AD86" s="353">
        <f>75%*(AD$18+AD$19)*17.8%</f>
        <v>0</v>
      </c>
      <c r="AE86" s="245"/>
      <c r="AF86" s="245"/>
      <c r="AG86" s="350"/>
      <c r="AH86" s="604">
        <v>25430.25</v>
      </c>
      <c r="AI86" s="355">
        <f t="shared" si="37"/>
        <v>0.06702691103</v>
      </c>
      <c r="AJ86" s="353">
        <f>75%*(AJ$18+AJ$19)*17.8%</f>
        <v>0</v>
      </c>
      <c r="AK86" s="245"/>
      <c r="AL86" s="245"/>
      <c r="AM86" s="350"/>
      <c r="AN86" s="604">
        <v>27017.74</v>
      </c>
      <c r="AO86" s="355">
        <f t="shared" si="38"/>
        <v>0.05783051873</v>
      </c>
      <c r="AP86" s="353">
        <f>75%*(AP$18+AP$19)*17.8%</f>
        <v>0</v>
      </c>
      <c r="AQ86" s="245"/>
      <c r="AR86" s="245"/>
      <c r="AS86" s="350"/>
      <c r="AT86" s="605">
        <v>25352.21</v>
      </c>
      <c r="AU86" s="355">
        <f t="shared" si="39"/>
        <v>0.04505616156</v>
      </c>
      <c r="AV86" s="353">
        <f>75%*(AV$18+AV$19)*17.8%</f>
        <v>0</v>
      </c>
      <c r="AW86" s="245"/>
      <c r="AX86" s="245"/>
      <c r="AY86" s="245"/>
      <c r="AZ86" s="357">
        <v>28699.36</v>
      </c>
      <c r="BA86" s="355">
        <f t="shared" si="40"/>
        <v>0.02856321884</v>
      </c>
      <c r="BB86" s="353">
        <f>75%*(BB$18+BB$19)*17.8%</f>
        <v>0</v>
      </c>
      <c r="BC86" s="245"/>
      <c r="BD86" s="245"/>
      <c r="BE86" s="245"/>
      <c r="BF86" s="357">
        <v>24865.84</v>
      </c>
      <c r="BG86" s="245"/>
      <c r="BH86" s="353">
        <f>75%*(BH$18+BH$19)*17.8%</f>
        <v>0</v>
      </c>
      <c r="BI86" s="245"/>
      <c r="BJ86" s="245"/>
      <c r="BK86" s="245"/>
      <c r="BL86" s="353">
        <v>19682.72</v>
      </c>
      <c r="BM86" s="245"/>
      <c r="BN86" s="353">
        <f>75%*(BN$18+BN$19)*17.8%</f>
        <v>0</v>
      </c>
      <c r="BO86" s="245"/>
      <c r="BP86" s="245"/>
      <c r="BQ86" s="245"/>
      <c r="BR86" s="356">
        <v>29738.79</v>
      </c>
      <c r="BS86" s="245"/>
      <c r="BT86" s="353">
        <f>75%*(BT$18+BT$19)*17.8%</f>
        <v>0</v>
      </c>
      <c r="BU86" s="245"/>
      <c r="BV86" s="245"/>
      <c r="BW86" s="350"/>
      <c r="BX86" s="213"/>
      <c r="BY86" s="213"/>
      <c r="BZ86" s="213"/>
      <c r="CA86" s="213"/>
      <c r="CB86" s="213"/>
      <c r="CC86" s="213"/>
      <c r="CD86" s="213"/>
      <c r="CE86" s="213"/>
      <c r="CF86" s="213"/>
      <c r="CG86" s="213"/>
      <c r="CH86" s="213"/>
      <c r="CI86" s="213"/>
      <c r="CJ86" s="213"/>
      <c r="CK86" s="213"/>
      <c r="CL86" s="213"/>
      <c r="CM86" s="213"/>
      <c r="CN86" s="213"/>
      <c r="CO86" s="213"/>
      <c r="CP86" s="213"/>
      <c r="CQ86" s="213"/>
    </row>
    <row r="87" ht="15.75" customHeight="1">
      <c r="A87" s="213"/>
      <c r="B87" s="393"/>
      <c r="C87" s="350" t="s">
        <v>260</v>
      </c>
      <c r="D87" s="604">
        <f>(3137.58+(3137.58*18/100))</f>
        <v>3702.3444</v>
      </c>
      <c r="E87" s="355">
        <f t="shared" si="43"/>
        <v>0.01179015477</v>
      </c>
      <c r="F87" s="357">
        <f>25%*(F$18+F$19)*14%</f>
        <v>0</v>
      </c>
      <c r="G87" s="790">
        <f t="shared" si="44"/>
        <v>0</v>
      </c>
      <c r="H87" s="357">
        <f t="shared" si="41"/>
        <v>3702.3444</v>
      </c>
      <c r="I87" s="350"/>
      <c r="J87" s="604">
        <v>6386.0</v>
      </c>
      <c r="K87" s="355">
        <f t="shared" si="42"/>
        <v>0.01658184548</v>
      </c>
      <c r="L87" s="357">
        <f>25%*(L$18+L$19)*14%</f>
        <v>0</v>
      </c>
      <c r="M87" s="352"/>
      <c r="N87" s="352"/>
      <c r="O87" s="358"/>
      <c r="P87" s="604">
        <v>8148.14</v>
      </c>
      <c r="Q87" s="355">
        <f t="shared" si="34"/>
        <v>0.02433689958</v>
      </c>
      <c r="R87" s="357">
        <f>25%*(R$18+R$19)*14%</f>
        <v>0</v>
      </c>
      <c r="S87" s="352"/>
      <c r="T87" s="352"/>
      <c r="U87" s="358"/>
      <c r="V87" s="604">
        <v>6398.14</v>
      </c>
      <c r="W87" s="355">
        <f t="shared" si="35"/>
        <v>0.01494319933</v>
      </c>
      <c r="X87" s="353">
        <f>25%*(X$18+X$19)*14%</f>
        <v>0</v>
      </c>
      <c r="Y87" s="352"/>
      <c r="Z87" s="352"/>
      <c r="AA87" s="358"/>
      <c r="AB87" s="393">
        <v>3730.35</v>
      </c>
      <c r="AC87" s="355">
        <f t="shared" si="36"/>
        <v>0.008471406576</v>
      </c>
      <c r="AD87" s="353">
        <f>25%*(AD$18+AD$19)*14%</f>
        <v>0</v>
      </c>
      <c r="AE87" s="245"/>
      <c r="AF87" s="245"/>
      <c r="AG87" s="350"/>
      <c r="AH87" s="604">
        <v>4309.31</v>
      </c>
      <c r="AI87" s="355">
        <f t="shared" si="37"/>
        <v>0.01135811634</v>
      </c>
      <c r="AJ87" s="353">
        <f>25%*(AJ$18+AJ$19)*14%</f>
        <v>0</v>
      </c>
      <c r="AK87" s="245"/>
      <c r="AL87" s="245"/>
      <c r="AM87" s="350"/>
      <c r="AN87" s="604">
        <v>6671.0</v>
      </c>
      <c r="AO87" s="355">
        <f t="shared" si="38"/>
        <v>0.01427904001</v>
      </c>
      <c r="AP87" s="353">
        <f>25%*(AP$18+AP$19)*14%</f>
        <v>0</v>
      </c>
      <c r="AQ87" s="245"/>
      <c r="AR87" s="245"/>
      <c r="AS87" s="350"/>
      <c r="AT87" s="605">
        <v>5187.48</v>
      </c>
      <c r="AU87" s="355">
        <f t="shared" si="39"/>
        <v>0.009219233234</v>
      </c>
      <c r="AV87" s="353">
        <f>25%*(AV$18+AV$19)*14%</f>
        <v>0</v>
      </c>
      <c r="AW87" s="245"/>
      <c r="AX87" s="245"/>
      <c r="AY87" s="245"/>
      <c r="AZ87" s="357">
        <v>4690.82</v>
      </c>
      <c r="BA87" s="355">
        <f t="shared" si="40"/>
        <v>0.004668568157</v>
      </c>
      <c r="BB87" s="353">
        <f>25%*(BB$18+BB$19)*14%</f>
        <v>0</v>
      </c>
      <c r="BC87" s="245"/>
      <c r="BD87" s="245"/>
      <c r="BE87" s="245"/>
      <c r="BF87" s="357">
        <v>4933.99</v>
      </c>
      <c r="BG87" s="245"/>
      <c r="BH87" s="353">
        <f>25%*(BH$18+BH$19)*14%</f>
        <v>0</v>
      </c>
      <c r="BI87" s="245"/>
      <c r="BJ87" s="245"/>
      <c r="BK87" s="245"/>
      <c r="BL87" s="353">
        <v>2692.87</v>
      </c>
      <c r="BM87" s="245"/>
      <c r="BN87" s="353">
        <f>25%*(BN$18+BN$19)*14%</f>
        <v>0</v>
      </c>
      <c r="BO87" s="245"/>
      <c r="BP87" s="245"/>
      <c r="BQ87" s="245"/>
      <c r="BR87" s="356">
        <v>3657.0</v>
      </c>
      <c r="BS87" s="245"/>
      <c r="BT87" s="353">
        <f>25%*(BT$18+BT$19)*14%</f>
        <v>0</v>
      </c>
      <c r="BU87" s="245"/>
      <c r="BV87" s="245"/>
      <c r="BW87" s="350"/>
      <c r="BX87" s="213"/>
      <c r="BY87" s="213"/>
      <c r="BZ87" s="213"/>
      <c r="CA87" s="213"/>
      <c r="CB87" s="213"/>
      <c r="CC87" s="213"/>
      <c r="CD87" s="213"/>
      <c r="CE87" s="213"/>
      <c r="CF87" s="213"/>
      <c r="CG87" s="213"/>
      <c r="CH87" s="213"/>
      <c r="CI87" s="213"/>
      <c r="CJ87" s="213"/>
      <c r="CK87" s="213"/>
      <c r="CL87" s="213"/>
      <c r="CM87" s="213"/>
      <c r="CN87" s="213"/>
      <c r="CO87" s="213"/>
      <c r="CP87" s="213"/>
      <c r="CQ87" s="213"/>
    </row>
    <row r="88" ht="15.75" customHeight="1">
      <c r="A88" s="213"/>
      <c r="B88" s="393"/>
      <c r="C88" s="350" t="s">
        <v>431</v>
      </c>
      <c r="D88" s="604">
        <v>12390.0</v>
      </c>
      <c r="E88" s="355"/>
      <c r="F88" s="357"/>
      <c r="G88" s="790"/>
      <c r="H88" s="357"/>
      <c r="I88" s="350"/>
      <c r="J88" s="604">
        <f>23600+40761</f>
        <v>64361</v>
      </c>
      <c r="K88" s="355">
        <f t="shared" si="42"/>
        <v>0.1671193481</v>
      </c>
      <c r="L88" s="352"/>
      <c r="M88" s="352"/>
      <c r="N88" s="352"/>
      <c r="O88" s="358"/>
      <c r="P88" s="604"/>
      <c r="Q88" s="355">
        <f t="shared" si="34"/>
        <v>0</v>
      </c>
      <c r="R88" s="352"/>
      <c r="S88" s="352"/>
      <c r="T88" s="352"/>
      <c r="U88" s="358"/>
      <c r="V88" s="604"/>
      <c r="W88" s="352"/>
      <c r="X88" s="353"/>
      <c r="Y88" s="352"/>
      <c r="Z88" s="352"/>
      <c r="AA88" s="358"/>
      <c r="AB88" s="393"/>
      <c r="AC88" s="352"/>
      <c r="AD88" s="356"/>
      <c r="AE88" s="245"/>
      <c r="AF88" s="245"/>
      <c r="AG88" s="350"/>
      <c r="AH88" s="604"/>
      <c r="AI88" s="245"/>
      <c r="AJ88" s="356"/>
      <c r="AK88" s="245"/>
      <c r="AL88" s="245"/>
      <c r="AM88" s="350"/>
      <c r="AN88" s="604"/>
      <c r="AO88" s="245"/>
      <c r="AP88" s="356"/>
      <c r="AQ88" s="245"/>
      <c r="AR88" s="245"/>
      <c r="AS88" s="350"/>
      <c r="AT88" s="605"/>
      <c r="AU88" s="245"/>
      <c r="AV88" s="356"/>
      <c r="AW88" s="245"/>
      <c r="AX88" s="245"/>
      <c r="AY88" s="245"/>
      <c r="AZ88" s="357"/>
      <c r="BA88" s="245"/>
      <c r="BB88" s="356"/>
      <c r="BC88" s="245"/>
      <c r="BD88" s="245"/>
      <c r="BE88" s="245"/>
      <c r="BF88" s="357"/>
      <c r="BG88" s="245"/>
      <c r="BH88" s="356"/>
      <c r="BI88" s="245"/>
      <c r="BJ88" s="245"/>
      <c r="BK88" s="245"/>
      <c r="BL88" s="353"/>
      <c r="BM88" s="245"/>
      <c r="BN88" s="356"/>
      <c r="BO88" s="245"/>
      <c r="BP88" s="245"/>
      <c r="BQ88" s="245"/>
      <c r="BR88" s="356"/>
      <c r="BS88" s="245"/>
      <c r="BT88" s="356"/>
      <c r="BU88" s="245"/>
      <c r="BV88" s="245"/>
      <c r="BW88" s="350"/>
      <c r="BX88" s="213"/>
      <c r="BY88" s="213"/>
      <c r="BZ88" s="213"/>
      <c r="CA88" s="213"/>
      <c r="CB88" s="213"/>
      <c r="CC88" s="213"/>
      <c r="CD88" s="213"/>
      <c r="CE88" s="213"/>
      <c r="CF88" s="213"/>
      <c r="CG88" s="213"/>
      <c r="CH88" s="213"/>
      <c r="CI88" s="213"/>
      <c r="CJ88" s="213"/>
      <c r="CK88" s="213"/>
      <c r="CL88" s="213"/>
      <c r="CM88" s="213"/>
      <c r="CN88" s="213"/>
      <c r="CO88" s="213"/>
      <c r="CP88" s="213"/>
      <c r="CQ88" s="213"/>
    </row>
    <row r="89" ht="15.75" customHeight="1">
      <c r="A89" s="213"/>
      <c r="B89" s="403"/>
      <c r="C89" s="362"/>
      <c r="D89" s="619"/>
      <c r="E89" s="364"/>
      <c r="F89" s="688"/>
      <c r="G89" s="688"/>
      <c r="H89" s="688"/>
      <c r="I89" s="362"/>
      <c r="J89" s="619"/>
      <c r="K89" s="404">
        <f t="shared" si="42"/>
        <v>0</v>
      </c>
      <c r="L89" s="364"/>
      <c r="M89" s="364"/>
      <c r="N89" s="364"/>
      <c r="O89" s="368"/>
      <c r="P89" s="619"/>
      <c r="Q89" s="364"/>
      <c r="R89" s="364"/>
      <c r="S89" s="364"/>
      <c r="T89" s="364"/>
      <c r="U89" s="368"/>
      <c r="V89" s="619"/>
      <c r="W89" s="364"/>
      <c r="X89" s="365"/>
      <c r="Y89" s="364"/>
      <c r="Z89" s="364"/>
      <c r="AA89" s="368"/>
      <c r="AB89" s="403"/>
      <c r="AC89" s="364"/>
      <c r="AD89" s="689"/>
      <c r="AE89" s="688"/>
      <c r="AF89" s="688"/>
      <c r="AG89" s="362"/>
      <c r="AH89" s="619"/>
      <c r="AI89" s="688"/>
      <c r="AJ89" s="689"/>
      <c r="AK89" s="688"/>
      <c r="AL89" s="688"/>
      <c r="AM89" s="362"/>
      <c r="AN89" s="619"/>
      <c r="AO89" s="688"/>
      <c r="AP89" s="689"/>
      <c r="AQ89" s="688"/>
      <c r="AR89" s="688"/>
      <c r="AS89" s="362"/>
      <c r="AT89" s="793"/>
      <c r="AU89" s="688"/>
      <c r="AV89" s="689"/>
      <c r="AW89" s="688"/>
      <c r="AX89" s="688"/>
      <c r="AY89" s="688"/>
      <c r="AZ89" s="367"/>
      <c r="BA89" s="688"/>
      <c r="BB89" s="689"/>
      <c r="BC89" s="688"/>
      <c r="BD89" s="688"/>
      <c r="BE89" s="688"/>
      <c r="BF89" s="367"/>
      <c r="BG89" s="688"/>
      <c r="BH89" s="689"/>
      <c r="BI89" s="688"/>
      <c r="BJ89" s="688"/>
      <c r="BK89" s="688"/>
      <c r="BL89" s="365"/>
      <c r="BM89" s="688"/>
      <c r="BN89" s="688"/>
      <c r="BO89" s="688"/>
      <c r="BP89" s="688"/>
      <c r="BQ89" s="688"/>
      <c r="BR89" s="804"/>
      <c r="BS89" s="688"/>
      <c r="BT89" s="689"/>
      <c r="BU89" s="688"/>
      <c r="BV89" s="688"/>
      <c r="BW89" s="362"/>
      <c r="BX89" s="213"/>
      <c r="BY89" s="213"/>
      <c r="BZ89" s="213"/>
      <c r="CA89" s="213"/>
      <c r="CB89" s="213"/>
      <c r="CC89" s="213"/>
      <c r="CD89" s="213"/>
      <c r="CE89" s="213"/>
      <c r="CF89" s="213"/>
      <c r="CG89" s="213"/>
      <c r="CH89" s="213"/>
      <c r="CI89" s="213"/>
      <c r="CJ89" s="213"/>
      <c r="CK89" s="213"/>
      <c r="CL89" s="213"/>
      <c r="CM89" s="213"/>
      <c r="CN89" s="213"/>
      <c r="CO89" s="213"/>
      <c r="CP89" s="213"/>
      <c r="CQ89" s="213"/>
    </row>
    <row r="90" ht="15.75" customHeight="1">
      <c r="A90" s="213"/>
      <c r="B90" s="735"/>
      <c r="C90" s="447" t="s">
        <v>315</v>
      </c>
      <c r="D90" s="771">
        <f>SUM(D91:D94)</f>
        <v>279573</v>
      </c>
      <c r="E90" s="772">
        <f>D90/D$29</f>
        <v>0.8903031654</v>
      </c>
      <c r="F90" s="812">
        <f>SUM(F91:F94)</f>
        <v>253308</v>
      </c>
      <c r="G90" s="935">
        <f>F90/F$29</f>
        <v>3.16635</v>
      </c>
      <c r="H90" s="810">
        <f>SUM(H91:H94)</f>
        <v>9765</v>
      </c>
      <c r="I90" s="811"/>
      <c r="J90" s="771">
        <f>SUM(J91:J94)</f>
        <v>272794</v>
      </c>
      <c r="K90" s="772">
        <f>J90/J$29</f>
        <v>0.7083351012</v>
      </c>
      <c r="L90" s="774">
        <f>SUM(L91:L94)</f>
        <v>0</v>
      </c>
      <c r="M90" s="774"/>
      <c r="N90" s="774">
        <f>SUM(N91:N94)</f>
        <v>0</v>
      </c>
      <c r="O90" s="513"/>
      <c r="P90" s="771">
        <f>SUM(P91:P94)</f>
        <v>249120</v>
      </c>
      <c r="Q90" s="772">
        <f t="shared" ref="Q90:Q94" si="45">P90/P$29</f>
        <v>0.7440726869</v>
      </c>
      <c r="R90" s="774">
        <f>SUM(R91:R94)</f>
        <v>0</v>
      </c>
      <c r="S90" s="774"/>
      <c r="T90" s="774">
        <f>SUM(T91:T94)</f>
        <v>0</v>
      </c>
      <c r="U90" s="513"/>
      <c r="V90" s="771">
        <f>SUM(V91:V94)</f>
        <v>248457</v>
      </c>
      <c r="W90" s="772">
        <f t="shared" ref="W90:W94" si="46">V90/V$29</f>
        <v>0.5802846573</v>
      </c>
      <c r="X90" s="509">
        <f>SUM(X91:X94)</f>
        <v>0</v>
      </c>
      <c r="Y90" s="774"/>
      <c r="Z90" s="774">
        <f>SUM(Z91:Z94)</f>
        <v>0</v>
      </c>
      <c r="AA90" s="513"/>
      <c r="AB90" s="735">
        <f>SUM(AB91:AB94)</f>
        <v>250421</v>
      </c>
      <c r="AC90" s="772">
        <f t="shared" ref="AC90:AC94" si="47">AB90/AB$29</f>
        <v>0.5686914381</v>
      </c>
      <c r="AD90" s="814">
        <f>SUM(AD91:AD94)</f>
        <v>0</v>
      </c>
      <c r="AE90" s="812"/>
      <c r="AF90" s="812">
        <f>SUM(AF91:AF94)</f>
        <v>0</v>
      </c>
      <c r="AG90" s="811"/>
      <c r="AH90" s="771">
        <f>SUM(AH91:AH94)</f>
        <v>240517</v>
      </c>
      <c r="AI90" s="772">
        <f t="shared" ref="AI90:AI94" si="48">AH90/AH$29</f>
        <v>0.6339344505</v>
      </c>
      <c r="AJ90" s="814">
        <f>SUM(AJ91:AJ94)</f>
        <v>0</v>
      </c>
      <c r="AK90" s="812"/>
      <c r="AL90" s="812">
        <f>SUM(AL91:AL94)</f>
        <v>0</v>
      </c>
      <c r="AM90" s="811"/>
      <c r="AN90" s="771">
        <f>SUM(AN91:AN94)</f>
        <v>240520</v>
      </c>
      <c r="AO90" s="772">
        <f t="shared" ref="AO90:AO94" si="49">AN90/AN$29</f>
        <v>0.5148245695</v>
      </c>
      <c r="AP90" s="814">
        <f>SUM(AP91:AP94)</f>
        <v>0</v>
      </c>
      <c r="AQ90" s="812"/>
      <c r="AR90" s="812">
        <f>SUM(AR91:AR94)</f>
        <v>0</v>
      </c>
      <c r="AS90" s="811"/>
      <c r="AT90" s="813">
        <f>SUM(AT91:AT94)</f>
        <v>263633</v>
      </c>
      <c r="AU90" s="772">
        <f t="shared" ref="AU90:AU94" si="50">AT90/AT$29</f>
        <v>0.4685307924</v>
      </c>
      <c r="AV90" s="814">
        <f>SUM(AV91:AV94)</f>
        <v>0</v>
      </c>
      <c r="AW90" s="812"/>
      <c r="AX90" s="812">
        <f>SUM(AX91:AX94)</f>
        <v>0</v>
      </c>
      <c r="AY90" s="812"/>
      <c r="AZ90" s="773">
        <f>SUM(AZ91:AZ94)</f>
        <v>240982</v>
      </c>
      <c r="BA90" s="772">
        <f t="shared" ref="BA90:BA94" si="51">AZ90/AZ$29</f>
        <v>0.2398388537</v>
      </c>
      <c r="BB90" s="814">
        <f>SUM(BB91:BB94)</f>
        <v>0</v>
      </c>
      <c r="BC90" s="812"/>
      <c r="BD90" s="812">
        <f>SUM(BD91:BD94)</f>
        <v>0</v>
      </c>
      <c r="BE90" s="812"/>
      <c r="BF90" s="773">
        <f>SUM(BF91:BF94)</f>
        <v>237415</v>
      </c>
      <c r="BG90" s="812"/>
      <c r="BH90" s="814">
        <f>SUM(BH91:BH94)</f>
        <v>0</v>
      </c>
      <c r="BI90" s="812"/>
      <c r="BJ90" s="812">
        <f>SUM(BJ91:BJ94)</f>
        <v>0</v>
      </c>
      <c r="BK90" s="812"/>
      <c r="BL90" s="509">
        <f>SUM(BL91:BL94)</f>
        <v>258516</v>
      </c>
      <c r="BM90" s="812"/>
      <c r="BN90" s="812">
        <f>SUM(BN91:BN94)</f>
        <v>0</v>
      </c>
      <c r="BO90" s="812"/>
      <c r="BP90" s="812">
        <f>SUM(BP91:BP94)</f>
        <v>0</v>
      </c>
      <c r="BQ90" s="812"/>
      <c r="BR90" s="814">
        <f>SUM(BR91:BR94)</f>
        <v>226906</v>
      </c>
      <c r="BS90" s="812"/>
      <c r="BT90" s="814">
        <f>SUM(BT91:BT94)</f>
        <v>0</v>
      </c>
      <c r="BU90" s="812"/>
      <c r="BV90" s="812">
        <f>SUM(BV91:BV94)</f>
        <v>0</v>
      </c>
      <c r="BW90" s="811"/>
      <c r="BX90" s="237">
        <f>D90+J90+P90+V90+AB90+AH90+AN90+AT90+AZ90+BF90+BL90+BR90</f>
        <v>3008854</v>
      </c>
      <c r="BY90" s="216"/>
      <c r="BZ90" s="216"/>
      <c r="CA90" s="216"/>
      <c r="CB90" s="216"/>
      <c r="CC90" s="216"/>
      <c r="CD90" s="216"/>
      <c r="CE90" s="216"/>
      <c r="CF90" s="216"/>
      <c r="CG90" s="216"/>
      <c r="CH90" s="216"/>
      <c r="CI90" s="216"/>
      <c r="CJ90" s="216"/>
      <c r="CK90" s="216"/>
      <c r="CL90" s="216"/>
      <c r="CM90" s="216"/>
      <c r="CN90" s="216"/>
      <c r="CO90" s="216"/>
      <c r="CP90" s="216"/>
      <c r="CQ90" s="216"/>
    </row>
    <row r="91" ht="15.75" customHeight="1">
      <c r="A91" s="213"/>
      <c r="B91" s="444"/>
      <c r="C91" s="383" t="s">
        <v>261</v>
      </c>
      <c r="D91" s="708">
        <v>148308.0</v>
      </c>
      <c r="E91" s="385">
        <f t="shared" ref="E91:E93" si="52">IFERROR((D91/D$29),"")</f>
        <v>0.4722883893</v>
      </c>
      <c r="F91" s="709">
        <v>148308.0</v>
      </c>
      <c r="G91" s="936">
        <f t="shared" ref="G91:G92" si="53">IFERROR((F91/F$29),"")</f>
        <v>1.85385</v>
      </c>
      <c r="H91" s="388">
        <f t="shared" ref="H91:H92" si="54">D91-F91</f>
        <v>0</v>
      </c>
      <c r="I91" s="383"/>
      <c r="J91" s="708">
        <v>148308.0</v>
      </c>
      <c r="K91" s="385">
        <f t="shared" ref="K91:K93" si="55">IFERROR((J91/J$29),"")</f>
        <v>0.3850955746</v>
      </c>
      <c r="L91" s="440"/>
      <c r="M91" s="440"/>
      <c r="N91" s="440"/>
      <c r="O91" s="389"/>
      <c r="P91" s="708">
        <v>148308.0</v>
      </c>
      <c r="Q91" s="385">
        <f t="shared" si="45"/>
        <v>0.4429669719</v>
      </c>
      <c r="R91" s="440"/>
      <c r="S91" s="440"/>
      <c r="T91" s="440"/>
      <c r="U91" s="389"/>
      <c r="V91" s="708">
        <v>148308.0</v>
      </c>
      <c r="W91" s="385">
        <f t="shared" si="46"/>
        <v>0.3463812931</v>
      </c>
      <c r="X91" s="386"/>
      <c r="Y91" s="440"/>
      <c r="Z91" s="440"/>
      <c r="AA91" s="389"/>
      <c r="AB91" s="444">
        <v>148308.0</v>
      </c>
      <c r="AC91" s="385">
        <f t="shared" si="47"/>
        <v>0.33679879</v>
      </c>
      <c r="AD91" s="927"/>
      <c r="AE91" s="709"/>
      <c r="AF91" s="709"/>
      <c r="AG91" s="383"/>
      <c r="AH91" s="708">
        <v>148308.0</v>
      </c>
      <c r="AI91" s="385">
        <f t="shared" si="48"/>
        <v>0.3908977348</v>
      </c>
      <c r="AJ91" s="927"/>
      <c r="AK91" s="709"/>
      <c r="AL91" s="709"/>
      <c r="AM91" s="383"/>
      <c r="AN91" s="708">
        <v>148308.0</v>
      </c>
      <c r="AO91" s="385">
        <f t="shared" si="49"/>
        <v>0.3174480387</v>
      </c>
      <c r="AP91" s="927"/>
      <c r="AQ91" s="709"/>
      <c r="AR91" s="709"/>
      <c r="AS91" s="383"/>
      <c r="AT91" s="787">
        <v>155723.0</v>
      </c>
      <c r="AU91" s="385">
        <f t="shared" si="50"/>
        <v>0.2767522298</v>
      </c>
      <c r="AV91" s="927"/>
      <c r="AW91" s="709"/>
      <c r="AX91" s="709"/>
      <c r="AY91" s="709"/>
      <c r="AZ91" s="388">
        <v>155723.0</v>
      </c>
      <c r="BA91" s="385">
        <f t="shared" si="51"/>
        <v>0.1549842968</v>
      </c>
      <c r="BB91" s="927"/>
      <c r="BC91" s="709"/>
      <c r="BD91" s="709"/>
      <c r="BE91" s="709"/>
      <c r="BF91" s="388">
        <v>155723.0</v>
      </c>
      <c r="BG91" s="709"/>
      <c r="BH91" s="927"/>
      <c r="BI91" s="709"/>
      <c r="BJ91" s="709"/>
      <c r="BK91" s="709"/>
      <c r="BL91" s="386">
        <v>155723.0</v>
      </c>
      <c r="BM91" s="709"/>
      <c r="BN91" s="709"/>
      <c r="BO91" s="709"/>
      <c r="BP91" s="709"/>
      <c r="BQ91" s="709"/>
      <c r="BR91" s="802">
        <v>155723.0</v>
      </c>
      <c r="BS91" s="709"/>
      <c r="BT91" s="927"/>
      <c r="BU91" s="709"/>
      <c r="BV91" s="709"/>
      <c r="BW91" s="383"/>
      <c r="BX91" s="213"/>
      <c r="BY91" s="213"/>
      <c r="BZ91" s="213"/>
      <c r="CA91" s="213"/>
      <c r="CB91" s="213"/>
      <c r="CC91" s="213"/>
      <c r="CD91" s="213"/>
      <c r="CE91" s="213"/>
      <c r="CF91" s="213"/>
      <c r="CG91" s="213"/>
      <c r="CH91" s="213"/>
      <c r="CI91" s="213"/>
      <c r="CJ91" s="213"/>
      <c r="CK91" s="213"/>
      <c r="CL91" s="213"/>
      <c r="CM91" s="213"/>
      <c r="CN91" s="213"/>
      <c r="CO91" s="213"/>
      <c r="CP91" s="213"/>
      <c r="CQ91" s="213"/>
    </row>
    <row r="92" ht="15.75" customHeight="1">
      <c r="A92" s="213"/>
      <c r="B92" s="393"/>
      <c r="C92" s="350" t="s">
        <v>262</v>
      </c>
      <c r="D92" s="604">
        <v>114765.0</v>
      </c>
      <c r="E92" s="355">
        <f t="shared" si="52"/>
        <v>0.3654703522</v>
      </c>
      <c r="F92" s="245">
        <v>105000.0</v>
      </c>
      <c r="G92" s="790">
        <f t="shared" si="53"/>
        <v>1.3125</v>
      </c>
      <c r="H92" s="357">
        <f t="shared" si="54"/>
        <v>9765</v>
      </c>
      <c r="I92" s="350"/>
      <c r="J92" s="604">
        <v>104986.0</v>
      </c>
      <c r="K92" s="355">
        <f t="shared" si="55"/>
        <v>0.2726059552</v>
      </c>
      <c r="L92" s="352"/>
      <c r="M92" s="352"/>
      <c r="N92" s="352"/>
      <c r="O92" s="358"/>
      <c r="P92" s="604">
        <v>98112.0</v>
      </c>
      <c r="Q92" s="355">
        <f t="shared" si="45"/>
        <v>0.2930413433</v>
      </c>
      <c r="R92" s="352"/>
      <c r="S92" s="352"/>
      <c r="T92" s="352"/>
      <c r="U92" s="358"/>
      <c r="V92" s="604">
        <v>100149.0</v>
      </c>
      <c r="W92" s="355">
        <f t="shared" si="46"/>
        <v>0.2339033641</v>
      </c>
      <c r="X92" s="353"/>
      <c r="Y92" s="352"/>
      <c r="Z92" s="352"/>
      <c r="AA92" s="358"/>
      <c r="AB92" s="393">
        <v>100513.0</v>
      </c>
      <c r="AC92" s="355">
        <f t="shared" si="47"/>
        <v>0.2282591417</v>
      </c>
      <c r="AD92" s="356"/>
      <c r="AE92" s="245"/>
      <c r="AF92" s="245"/>
      <c r="AG92" s="350"/>
      <c r="AH92" s="604">
        <v>90230.0</v>
      </c>
      <c r="AI92" s="355">
        <f t="shared" si="48"/>
        <v>0.2378206342</v>
      </c>
      <c r="AJ92" s="356"/>
      <c r="AK92" s="245"/>
      <c r="AL92" s="245"/>
      <c r="AM92" s="350"/>
      <c r="AN92" s="604">
        <v>89712.0</v>
      </c>
      <c r="AO92" s="355">
        <f t="shared" si="49"/>
        <v>0.1920253691</v>
      </c>
      <c r="AP92" s="356"/>
      <c r="AQ92" s="245"/>
      <c r="AR92" s="245"/>
      <c r="AS92" s="350"/>
      <c r="AT92" s="605">
        <v>84910.0</v>
      </c>
      <c r="AU92" s="355">
        <f t="shared" si="50"/>
        <v>0.1509027686</v>
      </c>
      <c r="AV92" s="356"/>
      <c r="AW92" s="245"/>
      <c r="AX92" s="245"/>
      <c r="AY92" s="245"/>
      <c r="AZ92" s="357">
        <v>84259.0</v>
      </c>
      <c r="BA92" s="355">
        <f t="shared" si="51"/>
        <v>0.08385930058</v>
      </c>
      <c r="BB92" s="356"/>
      <c r="BC92" s="245"/>
      <c r="BD92" s="245"/>
      <c r="BE92" s="245"/>
      <c r="BF92" s="357">
        <v>79793.0</v>
      </c>
      <c r="BG92" s="245"/>
      <c r="BH92" s="356"/>
      <c r="BI92" s="245"/>
      <c r="BJ92" s="245"/>
      <c r="BK92" s="245"/>
      <c r="BL92" s="353">
        <v>79793.0</v>
      </c>
      <c r="BM92" s="245"/>
      <c r="BN92" s="245"/>
      <c r="BO92" s="245"/>
      <c r="BP92" s="245"/>
      <c r="BQ92" s="245"/>
      <c r="BR92" s="356">
        <v>71183.0</v>
      </c>
      <c r="BS92" s="245"/>
      <c r="BT92" s="356"/>
      <c r="BU92" s="245"/>
      <c r="BV92" s="245"/>
      <c r="BW92" s="350"/>
      <c r="BX92" s="213"/>
      <c r="BY92" s="213"/>
      <c r="BZ92" s="213"/>
      <c r="CA92" s="213"/>
      <c r="CB92" s="213"/>
      <c r="CC92" s="213"/>
      <c r="CD92" s="213"/>
      <c r="CE92" s="213"/>
      <c r="CF92" s="213"/>
      <c r="CG92" s="213"/>
      <c r="CH92" s="213"/>
      <c r="CI92" s="213"/>
      <c r="CJ92" s="213"/>
      <c r="CK92" s="213"/>
      <c r="CL92" s="213"/>
      <c r="CM92" s="213"/>
      <c r="CN92" s="213"/>
      <c r="CO92" s="213"/>
      <c r="CP92" s="213"/>
      <c r="CQ92" s="213"/>
    </row>
    <row r="93" ht="15.75" customHeight="1">
      <c r="A93" s="213"/>
      <c r="B93" s="393"/>
      <c r="C93" s="350" t="s">
        <v>263</v>
      </c>
      <c r="D93" s="604">
        <v>16500.0</v>
      </c>
      <c r="E93" s="355">
        <f t="shared" si="52"/>
        <v>0.05254442392</v>
      </c>
      <c r="F93" s="245"/>
      <c r="G93" s="245"/>
      <c r="H93" s="245"/>
      <c r="I93" s="350"/>
      <c r="J93" s="604">
        <v>19500.0</v>
      </c>
      <c r="K93" s="355">
        <f t="shared" si="55"/>
        <v>0.05063357139</v>
      </c>
      <c r="L93" s="352"/>
      <c r="M93" s="352"/>
      <c r="N93" s="352"/>
      <c r="O93" s="358"/>
      <c r="P93" s="604"/>
      <c r="Q93" s="355">
        <f t="shared" si="45"/>
        <v>0</v>
      </c>
      <c r="R93" s="352"/>
      <c r="S93" s="352"/>
      <c r="T93" s="352"/>
      <c r="U93" s="358"/>
      <c r="V93" s="604"/>
      <c r="W93" s="355">
        <f t="shared" si="46"/>
        <v>0</v>
      </c>
      <c r="X93" s="353"/>
      <c r="Y93" s="352"/>
      <c r="Z93" s="352"/>
      <c r="AA93" s="358"/>
      <c r="AB93" s="393"/>
      <c r="AC93" s="355">
        <f t="shared" si="47"/>
        <v>0</v>
      </c>
      <c r="AD93" s="356"/>
      <c r="AE93" s="245"/>
      <c r="AF93" s="245"/>
      <c r="AG93" s="350"/>
      <c r="AH93" s="604"/>
      <c r="AI93" s="355">
        <f t="shared" si="48"/>
        <v>0</v>
      </c>
      <c r="AJ93" s="356"/>
      <c r="AK93" s="245"/>
      <c r="AL93" s="245"/>
      <c r="AM93" s="350"/>
      <c r="AN93" s="604"/>
      <c r="AO93" s="355">
        <f t="shared" si="49"/>
        <v>0</v>
      </c>
      <c r="AP93" s="356"/>
      <c r="AQ93" s="245"/>
      <c r="AR93" s="245"/>
      <c r="AS93" s="350"/>
      <c r="AT93" s="605">
        <v>23000.0</v>
      </c>
      <c r="AU93" s="355">
        <f t="shared" si="50"/>
        <v>0.0408757941</v>
      </c>
      <c r="AV93" s="356"/>
      <c r="AW93" s="245"/>
      <c r="AX93" s="245"/>
      <c r="AY93" s="245"/>
      <c r="AZ93" s="357"/>
      <c r="BA93" s="355">
        <f t="shared" si="51"/>
        <v>0</v>
      </c>
      <c r="BB93" s="356"/>
      <c r="BC93" s="245"/>
      <c r="BD93" s="245"/>
      <c r="BE93" s="245"/>
      <c r="BF93" s="357"/>
      <c r="BG93" s="245"/>
      <c r="BH93" s="356"/>
      <c r="BI93" s="245"/>
      <c r="BJ93" s="245"/>
      <c r="BK93" s="245"/>
      <c r="BL93" s="536">
        <v>22000.0</v>
      </c>
      <c r="BM93" s="245"/>
      <c r="BN93" s="245"/>
      <c r="BO93" s="245"/>
      <c r="BP93" s="245"/>
      <c r="BQ93" s="245"/>
      <c r="BR93" s="356"/>
      <c r="BS93" s="245"/>
      <c r="BT93" s="356"/>
      <c r="BU93" s="245"/>
      <c r="BV93" s="245"/>
      <c r="BW93" s="350"/>
      <c r="BX93" s="213"/>
      <c r="BY93" s="213"/>
      <c r="BZ93" s="213"/>
      <c r="CA93" s="213"/>
      <c r="CB93" s="213"/>
      <c r="CC93" s="213"/>
      <c r="CD93" s="213"/>
      <c r="CE93" s="213"/>
      <c r="CF93" s="213"/>
      <c r="CG93" s="213"/>
      <c r="CH93" s="213"/>
      <c r="CI93" s="213"/>
      <c r="CJ93" s="213"/>
      <c r="CK93" s="213"/>
      <c r="CL93" s="213"/>
      <c r="CM93" s="213"/>
      <c r="CN93" s="213"/>
      <c r="CO93" s="213"/>
      <c r="CP93" s="213"/>
      <c r="CQ93" s="213"/>
    </row>
    <row r="94" ht="15.75" customHeight="1">
      <c r="A94" s="213"/>
      <c r="B94" s="393"/>
      <c r="C94" s="350" t="s">
        <v>264</v>
      </c>
      <c r="D94" s="604"/>
      <c r="E94" s="352"/>
      <c r="F94" s="245"/>
      <c r="G94" s="245"/>
      <c r="H94" s="245"/>
      <c r="I94" s="350"/>
      <c r="J94" s="604"/>
      <c r="K94" s="352"/>
      <c r="L94" s="352"/>
      <c r="M94" s="352"/>
      <c r="N94" s="352"/>
      <c r="O94" s="358"/>
      <c r="P94" s="604">
        <v>2700.0</v>
      </c>
      <c r="Q94" s="355">
        <f t="shared" si="45"/>
        <v>0.008064371606</v>
      </c>
      <c r="R94" s="352"/>
      <c r="S94" s="352"/>
      <c r="T94" s="352"/>
      <c r="U94" s="358"/>
      <c r="V94" s="604"/>
      <c r="W94" s="355">
        <f t="shared" si="46"/>
        <v>0</v>
      </c>
      <c r="X94" s="353"/>
      <c r="Y94" s="352"/>
      <c r="Z94" s="352"/>
      <c r="AA94" s="358"/>
      <c r="AB94" s="393">
        <v>1600.0</v>
      </c>
      <c r="AC94" s="355">
        <f t="shared" si="47"/>
        <v>0.003633506379</v>
      </c>
      <c r="AD94" s="356"/>
      <c r="AE94" s="245"/>
      <c r="AF94" s="245"/>
      <c r="AG94" s="350"/>
      <c r="AH94" s="604">
        <v>1979.0</v>
      </c>
      <c r="AI94" s="355">
        <f t="shared" si="48"/>
        <v>0.005216081514</v>
      </c>
      <c r="AJ94" s="356"/>
      <c r="AK94" s="245"/>
      <c r="AL94" s="245"/>
      <c r="AM94" s="350"/>
      <c r="AN94" s="604">
        <v>2500.0</v>
      </c>
      <c r="AO94" s="355">
        <f t="shared" si="49"/>
        <v>0.005351161749</v>
      </c>
      <c r="AP94" s="356"/>
      <c r="AQ94" s="245"/>
      <c r="AR94" s="245"/>
      <c r="AS94" s="350"/>
      <c r="AT94" s="605"/>
      <c r="AU94" s="355">
        <f t="shared" si="50"/>
        <v>0</v>
      </c>
      <c r="AV94" s="356"/>
      <c r="AW94" s="245"/>
      <c r="AX94" s="245"/>
      <c r="AY94" s="245"/>
      <c r="AZ94" s="357">
        <v>1000.0</v>
      </c>
      <c r="BA94" s="355">
        <f t="shared" si="51"/>
        <v>0.0009952562999</v>
      </c>
      <c r="BB94" s="356"/>
      <c r="BC94" s="245"/>
      <c r="BD94" s="245"/>
      <c r="BE94" s="245"/>
      <c r="BF94" s="357">
        <v>1899.0</v>
      </c>
      <c r="BG94" s="245"/>
      <c r="BH94" s="356"/>
      <c r="BI94" s="245"/>
      <c r="BJ94" s="245"/>
      <c r="BK94" s="245"/>
      <c r="BL94" s="353">
        <v>1000.0</v>
      </c>
      <c r="BM94" s="245"/>
      <c r="BN94" s="245"/>
      <c r="BO94" s="245"/>
      <c r="BP94" s="245"/>
      <c r="BQ94" s="245"/>
      <c r="BR94" s="356"/>
      <c r="BS94" s="245"/>
      <c r="BT94" s="356"/>
      <c r="BU94" s="245"/>
      <c r="BV94" s="245"/>
      <c r="BW94" s="350"/>
      <c r="BX94" s="213"/>
      <c r="BY94" s="213"/>
      <c r="BZ94" s="213"/>
      <c r="CA94" s="213"/>
      <c r="CB94" s="213"/>
      <c r="CC94" s="213"/>
      <c r="CD94" s="213"/>
      <c r="CE94" s="213"/>
      <c r="CF94" s="213"/>
      <c r="CG94" s="213"/>
      <c r="CH94" s="213"/>
      <c r="CI94" s="213"/>
      <c r="CJ94" s="213"/>
      <c r="CK94" s="213"/>
      <c r="CL94" s="213"/>
      <c r="CM94" s="213"/>
      <c r="CN94" s="213"/>
      <c r="CO94" s="213"/>
      <c r="CP94" s="213"/>
      <c r="CQ94" s="213"/>
    </row>
    <row r="95" ht="15.75" customHeight="1">
      <c r="A95" s="213"/>
      <c r="B95" s="403"/>
      <c r="C95" s="448"/>
      <c r="D95" s="619"/>
      <c r="E95" s="364"/>
      <c r="F95" s="688"/>
      <c r="G95" s="688"/>
      <c r="H95" s="688"/>
      <c r="I95" s="362"/>
      <c r="J95" s="619"/>
      <c r="K95" s="364"/>
      <c r="L95" s="364"/>
      <c r="M95" s="364"/>
      <c r="N95" s="364"/>
      <c r="O95" s="368"/>
      <c r="P95" s="619"/>
      <c r="Q95" s="364"/>
      <c r="R95" s="364"/>
      <c r="S95" s="364"/>
      <c r="T95" s="364"/>
      <c r="U95" s="368"/>
      <c r="V95" s="619"/>
      <c r="W95" s="364"/>
      <c r="X95" s="365"/>
      <c r="Y95" s="364"/>
      <c r="Z95" s="364"/>
      <c r="AA95" s="368"/>
      <c r="AB95" s="403"/>
      <c r="AC95" s="688"/>
      <c r="AD95" s="689"/>
      <c r="AE95" s="688"/>
      <c r="AF95" s="688"/>
      <c r="AG95" s="362"/>
      <c r="AH95" s="619"/>
      <c r="AI95" s="688"/>
      <c r="AJ95" s="689"/>
      <c r="AK95" s="688"/>
      <c r="AL95" s="688"/>
      <c r="AM95" s="362"/>
      <c r="AN95" s="619"/>
      <c r="AO95" s="688"/>
      <c r="AP95" s="689"/>
      <c r="AQ95" s="688"/>
      <c r="AR95" s="688"/>
      <c r="AS95" s="362"/>
      <c r="AT95" s="793"/>
      <c r="AU95" s="688"/>
      <c r="AV95" s="689"/>
      <c r="AW95" s="688"/>
      <c r="AX95" s="688"/>
      <c r="AY95" s="688"/>
      <c r="AZ95" s="367"/>
      <c r="BA95" s="688"/>
      <c r="BB95" s="689"/>
      <c r="BC95" s="688"/>
      <c r="BD95" s="688"/>
      <c r="BE95" s="688"/>
      <c r="BF95" s="367"/>
      <c r="BG95" s="688"/>
      <c r="BH95" s="689"/>
      <c r="BI95" s="688"/>
      <c r="BJ95" s="688"/>
      <c r="BK95" s="688"/>
      <c r="BL95" s="365"/>
      <c r="BM95" s="688"/>
      <c r="BN95" s="688"/>
      <c r="BO95" s="688"/>
      <c r="BP95" s="688"/>
      <c r="BQ95" s="688"/>
      <c r="BR95" s="804"/>
      <c r="BS95" s="688"/>
      <c r="BT95" s="689"/>
      <c r="BU95" s="688"/>
      <c r="BV95" s="688"/>
      <c r="BW95" s="362"/>
      <c r="BX95" s="213"/>
      <c r="BY95" s="213"/>
      <c r="BZ95" s="213"/>
      <c r="CA95" s="213"/>
      <c r="CB95" s="213"/>
      <c r="CC95" s="213"/>
      <c r="CD95" s="213"/>
      <c r="CE95" s="213"/>
      <c r="CF95" s="213"/>
      <c r="CG95" s="213"/>
      <c r="CH95" s="213"/>
      <c r="CI95" s="213"/>
      <c r="CJ95" s="213"/>
      <c r="CK95" s="213"/>
      <c r="CL95" s="213"/>
      <c r="CM95" s="213"/>
      <c r="CN95" s="213"/>
      <c r="CO95" s="213"/>
      <c r="CP95" s="213"/>
      <c r="CQ95" s="213"/>
    </row>
    <row r="96" ht="15.75" customHeight="1">
      <c r="A96" s="213"/>
      <c r="B96" s="735"/>
      <c r="C96" s="447" t="s">
        <v>38</v>
      </c>
      <c r="D96" s="771">
        <f>SUM(D97:D104)</f>
        <v>1004214.407</v>
      </c>
      <c r="E96" s="772">
        <f>D96/D$29</f>
        <v>3.197931363</v>
      </c>
      <c r="F96" s="773">
        <f>SUM(F97:F103)</f>
        <v>458164</v>
      </c>
      <c r="G96" s="935">
        <f>F96/F$29</f>
        <v>5.72705</v>
      </c>
      <c r="H96" s="773">
        <f>SUM(H97:H103)</f>
        <v>512261.99</v>
      </c>
      <c r="I96" s="811"/>
      <c r="J96" s="771">
        <f>SUM(J97:J104)</f>
        <v>1260754.107</v>
      </c>
      <c r="K96" s="772">
        <f>J96/J$29</f>
        <v>3.273665798</v>
      </c>
      <c r="L96" s="774">
        <f>SUM(L97:L103)</f>
        <v>0</v>
      </c>
      <c r="M96" s="774"/>
      <c r="N96" s="774">
        <f>SUM(N97:N103)</f>
        <v>0</v>
      </c>
      <c r="O96" s="513"/>
      <c r="P96" s="771">
        <f>SUM(P97:P104)</f>
        <v>1212477.807</v>
      </c>
      <c r="Q96" s="772">
        <f t="shared" ref="Q96:Q104" si="56">P96/P$29</f>
        <v>3.621433925</v>
      </c>
      <c r="R96" s="774">
        <f>SUM(R97:R103)</f>
        <v>0</v>
      </c>
      <c r="S96" s="774"/>
      <c r="T96" s="774">
        <f>SUM(T97:T103)</f>
        <v>0</v>
      </c>
      <c r="U96" s="513"/>
      <c r="V96" s="771">
        <f>SUM(V97:V104)</f>
        <v>1229756.397</v>
      </c>
      <c r="W96" s="772">
        <f t="shared" ref="W96:W103" si="57">V96/V$29</f>
        <v>2.872162061</v>
      </c>
      <c r="X96" s="509">
        <f>SUM(X97:X103)</f>
        <v>0</v>
      </c>
      <c r="Y96" s="774"/>
      <c r="Z96" s="774">
        <f>SUM(Z97:Z103)</f>
        <v>0</v>
      </c>
      <c r="AA96" s="513"/>
      <c r="AB96" s="771">
        <f>SUM(AB97:AB104)</f>
        <v>1306212.547</v>
      </c>
      <c r="AC96" s="772">
        <f t="shared" ref="AC96:AC103" si="58">AB96/AB$29</f>
        <v>2.966332263</v>
      </c>
      <c r="AD96" s="814">
        <f>SUM(AD97:AD103)</f>
        <v>0</v>
      </c>
      <c r="AE96" s="812"/>
      <c r="AF96" s="812">
        <f>SUM(AF97:AF103)</f>
        <v>0</v>
      </c>
      <c r="AG96" s="811"/>
      <c r="AH96" s="771">
        <f>SUM(AH97:AH104)</f>
        <v>1335824.487</v>
      </c>
      <c r="AI96" s="772">
        <f t="shared" ref="AI96:AI103" si="59">AH96/AH$29</f>
        <v>3.520853669</v>
      </c>
      <c r="AJ96" s="814">
        <f>SUM(AJ97:AJ103)</f>
        <v>0</v>
      </c>
      <c r="AK96" s="812"/>
      <c r="AL96" s="812">
        <f>SUM(AL97:AL103)</f>
        <v>0</v>
      </c>
      <c r="AM96" s="811"/>
      <c r="AN96" s="771">
        <f>SUM(AN97:AN104)</f>
        <v>1340550.967</v>
      </c>
      <c r="AO96" s="772">
        <f t="shared" ref="AO96:AO103" si="60">AN96/AN$29</f>
        <v>2.869402022</v>
      </c>
      <c r="AP96" s="814">
        <f>SUM(AP97:AP103)</f>
        <v>0</v>
      </c>
      <c r="AQ96" s="812"/>
      <c r="AR96" s="812">
        <f>SUM(AR97:AR103)</f>
        <v>0</v>
      </c>
      <c r="AS96" s="811"/>
      <c r="AT96" s="813">
        <f>SUM(AT97:AT104)</f>
        <v>1513687.46</v>
      </c>
      <c r="AU96" s="772">
        <f t="shared" ref="AU96:AU103" si="61">AT96/AT$29</f>
        <v>2.690138128</v>
      </c>
      <c r="AV96" s="814">
        <f>SUM(AV97:AV103)</f>
        <v>0</v>
      </c>
      <c r="AW96" s="812"/>
      <c r="AX96" s="812">
        <f>SUM(AX97:AX103)</f>
        <v>0</v>
      </c>
      <c r="AY96" s="812"/>
      <c r="AZ96" s="773">
        <f>SUM(AZ97:AZ104)</f>
        <v>1406187.38</v>
      </c>
      <c r="BA96" s="772">
        <f t="shared" ref="BA96:BA99" si="62">AZ96/AZ$29</f>
        <v>1.399516849</v>
      </c>
      <c r="BB96" s="814">
        <f>SUM(BB97:BB103)</f>
        <v>0</v>
      </c>
      <c r="BC96" s="812"/>
      <c r="BD96" s="812">
        <f>SUM(BD97:BD103)</f>
        <v>0</v>
      </c>
      <c r="BE96" s="812"/>
      <c r="BF96" s="773">
        <f>SUM(BF97:BF103)</f>
        <v>1395785.58</v>
      </c>
      <c r="BG96" s="812"/>
      <c r="BH96" s="814">
        <f>SUM(BH97:BH103)</f>
        <v>0</v>
      </c>
      <c r="BI96" s="812"/>
      <c r="BJ96" s="812">
        <f>SUM(BJ97:BJ103)</f>
        <v>0</v>
      </c>
      <c r="BK96" s="812"/>
      <c r="BL96" s="509">
        <f>SUM(BL97:BL103)</f>
        <v>1370264.58</v>
      </c>
      <c r="BM96" s="812"/>
      <c r="BN96" s="812">
        <f>SUM(BN97:BN103)</f>
        <v>0</v>
      </c>
      <c r="BO96" s="812"/>
      <c r="BP96" s="812">
        <f>SUM(BP97:BP103)</f>
        <v>0</v>
      </c>
      <c r="BQ96" s="812"/>
      <c r="BR96" s="814">
        <f>SUM(BR97:BR103)</f>
        <v>1375721.32</v>
      </c>
      <c r="BS96" s="812"/>
      <c r="BT96" s="814">
        <f>SUM(BT97:BT103)</f>
        <v>0</v>
      </c>
      <c r="BU96" s="812"/>
      <c r="BV96" s="812">
        <f>SUM(BV97:BV103)</f>
        <v>0</v>
      </c>
      <c r="BW96" s="811"/>
      <c r="BX96" s="237">
        <f>D96+J96+P96+V96+AB96+AH96+AN96+AT96+AZ96+BF96+BL96+BR96</f>
        <v>15751437.04</v>
      </c>
      <c r="BY96" s="216"/>
      <c r="BZ96" s="216"/>
      <c r="CA96" s="216"/>
      <c r="CB96" s="216"/>
      <c r="CC96" s="216"/>
      <c r="CD96" s="216"/>
      <c r="CE96" s="216"/>
      <c r="CF96" s="216"/>
      <c r="CG96" s="216"/>
      <c r="CH96" s="216"/>
      <c r="CI96" s="216"/>
      <c r="CJ96" s="216"/>
      <c r="CK96" s="216"/>
      <c r="CL96" s="216"/>
      <c r="CM96" s="216"/>
      <c r="CN96" s="216"/>
      <c r="CO96" s="216"/>
      <c r="CP96" s="216"/>
      <c r="CQ96" s="216"/>
    </row>
    <row r="97" ht="15.75" customHeight="1">
      <c r="A97" s="213"/>
      <c r="B97" s="444"/>
      <c r="C97" s="383" t="s">
        <v>318</v>
      </c>
      <c r="D97" s="708"/>
      <c r="E97" s="385">
        <f t="shared" ref="E97:E103" si="63">IFERROR((D97/D$29),"")</f>
        <v>0</v>
      </c>
      <c r="F97" s="709"/>
      <c r="G97" s="936">
        <f t="shared" ref="G97:G103" si="64">IFERROR((F97/F$29),"")</f>
        <v>0</v>
      </c>
      <c r="H97" s="388">
        <f t="shared" ref="H97:H104" si="65">D97-F97</f>
        <v>0</v>
      </c>
      <c r="I97" s="383"/>
      <c r="J97" s="708"/>
      <c r="K97" s="385">
        <f t="shared" ref="K97:K102" si="66">IFERROR((J97/J$29),"")</f>
        <v>0</v>
      </c>
      <c r="L97" s="440"/>
      <c r="M97" s="440"/>
      <c r="N97" s="440"/>
      <c r="O97" s="389"/>
      <c r="P97" s="708"/>
      <c r="Q97" s="385">
        <f t="shared" si="56"/>
        <v>0</v>
      </c>
      <c r="R97" s="440"/>
      <c r="S97" s="440"/>
      <c r="T97" s="440"/>
      <c r="U97" s="389"/>
      <c r="V97" s="708"/>
      <c r="W97" s="385">
        <f t="shared" si="57"/>
        <v>0</v>
      </c>
      <c r="X97" s="386"/>
      <c r="Y97" s="440"/>
      <c r="Z97" s="440"/>
      <c r="AA97" s="389"/>
      <c r="AB97" s="777"/>
      <c r="AC97" s="385">
        <f t="shared" si="58"/>
        <v>0</v>
      </c>
      <c r="AD97" s="927"/>
      <c r="AE97" s="709"/>
      <c r="AF97" s="709"/>
      <c r="AG97" s="383"/>
      <c r="AH97" s="708"/>
      <c r="AI97" s="385">
        <f t="shared" si="59"/>
        <v>0</v>
      </c>
      <c r="AJ97" s="927"/>
      <c r="AK97" s="709"/>
      <c r="AL97" s="709"/>
      <c r="AM97" s="383"/>
      <c r="AN97" s="708"/>
      <c r="AO97" s="385">
        <f t="shared" si="60"/>
        <v>0</v>
      </c>
      <c r="AP97" s="927"/>
      <c r="AQ97" s="709"/>
      <c r="AR97" s="709"/>
      <c r="AS97" s="383"/>
      <c r="AT97" s="787"/>
      <c r="AU97" s="385">
        <f t="shared" si="61"/>
        <v>0</v>
      </c>
      <c r="AV97" s="927"/>
      <c r="AW97" s="709"/>
      <c r="AX97" s="709"/>
      <c r="AY97" s="709"/>
      <c r="AZ97" s="388"/>
      <c r="BA97" s="385">
        <f t="shared" si="62"/>
        <v>0</v>
      </c>
      <c r="BB97" s="927"/>
      <c r="BC97" s="709"/>
      <c r="BD97" s="709"/>
      <c r="BE97" s="709"/>
      <c r="BF97" s="388"/>
      <c r="BG97" s="709"/>
      <c r="BH97" s="927"/>
      <c r="BI97" s="709"/>
      <c r="BJ97" s="709"/>
      <c r="BK97" s="709"/>
      <c r="BL97" s="386"/>
      <c r="BM97" s="709"/>
      <c r="BN97" s="709"/>
      <c r="BO97" s="709"/>
      <c r="BP97" s="709"/>
      <c r="BQ97" s="709"/>
      <c r="BR97" s="802"/>
      <c r="BS97" s="709"/>
      <c r="BT97" s="927"/>
      <c r="BU97" s="709"/>
      <c r="BV97" s="709"/>
      <c r="BW97" s="383"/>
      <c r="BX97" s="213"/>
      <c r="BY97" s="213"/>
      <c r="BZ97" s="213"/>
      <c r="CA97" s="213"/>
      <c r="CB97" s="213"/>
      <c r="CC97" s="213"/>
      <c r="CD97" s="213"/>
      <c r="CE97" s="213"/>
      <c r="CF97" s="213"/>
      <c r="CG97" s="213"/>
      <c r="CH97" s="213"/>
      <c r="CI97" s="213"/>
      <c r="CJ97" s="213"/>
      <c r="CK97" s="213"/>
      <c r="CL97" s="213"/>
      <c r="CM97" s="213"/>
      <c r="CN97" s="213"/>
      <c r="CO97" s="213"/>
      <c r="CP97" s="213"/>
      <c r="CQ97" s="213"/>
    </row>
    <row r="98" ht="15.75" customHeight="1">
      <c r="A98" s="213"/>
      <c r="B98" s="393"/>
      <c r="C98" s="350" t="s">
        <v>265</v>
      </c>
      <c r="D98" s="604">
        <f>484859+315000</f>
        <v>799859</v>
      </c>
      <c r="E98" s="355">
        <f t="shared" si="63"/>
        <v>2.547159417</v>
      </c>
      <c r="F98" s="245">
        <f>363764</f>
        <v>363764</v>
      </c>
      <c r="G98" s="790">
        <f t="shared" si="64"/>
        <v>4.54705</v>
      </c>
      <c r="H98" s="357">
        <f t="shared" si="65"/>
        <v>436095</v>
      </c>
      <c r="I98" s="350"/>
      <c r="J98" s="604">
        <f>744431+315000</f>
        <v>1059431</v>
      </c>
      <c r="K98" s="355">
        <f t="shared" si="66"/>
        <v>2.750911547</v>
      </c>
      <c r="L98" s="352"/>
      <c r="M98" s="352"/>
      <c r="N98" s="352"/>
      <c r="O98" s="358"/>
      <c r="P98" s="604">
        <f>707671+315000</f>
        <v>1022671</v>
      </c>
      <c r="Q98" s="355">
        <f t="shared" si="56"/>
        <v>3.054518139</v>
      </c>
      <c r="R98" s="352"/>
      <c r="S98" s="352"/>
      <c r="T98" s="352"/>
      <c r="U98" s="358"/>
      <c r="V98" s="604">
        <f>706824+315000</f>
        <v>1021824</v>
      </c>
      <c r="W98" s="355">
        <f t="shared" si="57"/>
        <v>2.38652479</v>
      </c>
      <c r="X98" s="353"/>
      <c r="Y98" s="352"/>
      <c r="Z98" s="352"/>
      <c r="AA98" s="358"/>
      <c r="AB98" s="665">
        <f>775913+315000</f>
        <v>1090913</v>
      </c>
      <c r="AC98" s="355">
        <f t="shared" si="58"/>
        <v>2.47739959</v>
      </c>
      <c r="AD98" s="356"/>
      <c r="AE98" s="245"/>
      <c r="AF98" s="245"/>
      <c r="AG98" s="350"/>
      <c r="AH98" s="604">
        <f>754954+371700</f>
        <v>1126654</v>
      </c>
      <c r="AI98" s="355">
        <f t="shared" si="59"/>
        <v>2.969539718</v>
      </c>
      <c r="AJ98" s="356"/>
      <c r="AK98" s="245"/>
      <c r="AL98" s="245"/>
      <c r="AM98" s="350"/>
      <c r="AN98" s="604">
        <f>776635+351900</f>
        <v>1128535</v>
      </c>
      <c r="AO98" s="355">
        <f t="shared" si="60"/>
        <v>2.41558933</v>
      </c>
      <c r="AP98" s="356"/>
      <c r="AQ98" s="245"/>
      <c r="AR98" s="245"/>
      <c r="AS98" s="350"/>
      <c r="AT98" s="605">
        <f>929594+371700</f>
        <v>1301294</v>
      </c>
      <c r="AU98" s="355">
        <f t="shared" si="61"/>
        <v>2.312670679</v>
      </c>
      <c r="AV98" s="356"/>
      <c r="AW98" s="245"/>
      <c r="AX98" s="245"/>
      <c r="AY98" s="245"/>
      <c r="AZ98" s="357">
        <f>816189+371700</f>
        <v>1187889</v>
      </c>
      <c r="BA98" s="355">
        <f t="shared" si="62"/>
        <v>1.182254011</v>
      </c>
      <c r="BB98" s="356"/>
      <c r="BC98" s="245"/>
      <c r="BD98" s="245"/>
      <c r="BE98" s="245"/>
      <c r="BF98" s="357">
        <f>371700+832699</f>
        <v>1204399</v>
      </c>
      <c r="BG98" s="245"/>
      <c r="BH98" s="356"/>
      <c r="BI98" s="245"/>
      <c r="BJ98" s="245"/>
      <c r="BK98" s="245"/>
      <c r="BL98" s="357">
        <f>371700+832699</f>
        <v>1204399</v>
      </c>
      <c r="BM98" s="245"/>
      <c r="BN98" s="245"/>
      <c r="BO98" s="245"/>
      <c r="BP98" s="245"/>
      <c r="BQ98" s="245"/>
      <c r="BR98" s="356">
        <f>340200+862564</f>
        <v>1202764</v>
      </c>
      <c r="BS98" s="245"/>
      <c r="BT98" s="356"/>
      <c r="BU98" s="245"/>
      <c r="BV98" s="245"/>
      <c r="BW98" s="350"/>
      <c r="BX98" s="213"/>
      <c r="BY98" s="213"/>
      <c r="BZ98" s="213"/>
      <c r="CA98" s="213"/>
      <c r="CB98" s="213"/>
      <c r="CC98" s="213"/>
      <c r="CD98" s="213"/>
      <c r="CE98" s="213"/>
      <c r="CF98" s="213"/>
      <c r="CG98" s="213"/>
      <c r="CH98" s="213"/>
      <c r="CI98" s="213"/>
      <c r="CJ98" s="213"/>
      <c r="CK98" s="213"/>
      <c r="CL98" s="213"/>
      <c r="CM98" s="213"/>
      <c r="CN98" s="213"/>
      <c r="CO98" s="213"/>
      <c r="CP98" s="213"/>
      <c r="CQ98" s="213"/>
    </row>
    <row r="99" ht="15.75" customHeight="1">
      <c r="A99" s="213"/>
      <c r="B99" s="393"/>
      <c r="C99" s="350" t="s">
        <v>266</v>
      </c>
      <c r="D99" s="604"/>
      <c r="E99" s="355">
        <f t="shared" si="63"/>
        <v>0</v>
      </c>
      <c r="F99" s="245"/>
      <c r="G99" s="790">
        <f t="shared" si="64"/>
        <v>0</v>
      </c>
      <c r="H99" s="357">
        <f t="shared" si="65"/>
        <v>0</v>
      </c>
      <c r="I99" s="350"/>
      <c r="J99" s="604">
        <v>1460.0</v>
      </c>
      <c r="K99" s="355">
        <f t="shared" si="66"/>
        <v>0.003791026371</v>
      </c>
      <c r="L99" s="352"/>
      <c r="M99" s="352"/>
      <c r="N99" s="352"/>
      <c r="O99" s="358"/>
      <c r="P99" s="604">
        <v>3492.0</v>
      </c>
      <c r="Q99" s="355">
        <f t="shared" si="56"/>
        <v>0.01042992061</v>
      </c>
      <c r="R99" s="352"/>
      <c r="S99" s="352"/>
      <c r="T99" s="352"/>
      <c r="U99" s="358"/>
      <c r="V99" s="604">
        <v>13308.0</v>
      </c>
      <c r="W99" s="355">
        <f t="shared" si="57"/>
        <v>0.03108154819</v>
      </c>
      <c r="X99" s="353"/>
      <c r="Y99" s="352"/>
      <c r="Z99" s="352"/>
      <c r="AA99" s="358"/>
      <c r="AB99" s="665">
        <v>4729.0</v>
      </c>
      <c r="AC99" s="355">
        <f t="shared" si="58"/>
        <v>0.01073928229</v>
      </c>
      <c r="AD99" s="356"/>
      <c r="AE99" s="245"/>
      <c r="AF99" s="245"/>
      <c r="AG99" s="350"/>
      <c r="AH99" s="604">
        <v>7630.0</v>
      </c>
      <c r="AI99" s="355">
        <f t="shared" si="59"/>
        <v>0.02011051135</v>
      </c>
      <c r="AJ99" s="356"/>
      <c r="AK99" s="245"/>
      <c r="AL99" s="245"/>
      <c r="AM99" s="350"/>
      <c r="AN99" s="604">
        <v>6067.0</v>
      </c>
      <c r="AO99" s="355">
        <f t="shared" si="60"/>
        <v>0.01298619933</v>
      </c>
      <c r="AP99" s="356"/>
      <c r="AQ99" s="245"/>
      <c r="AR99" s="245"/>
      <c r="AS99" s="350"/>
      <c r="AT99" s="605">
        <v>2755.0</v>
      </c>
      <c r="AU99" s="355">
        <f t="shared" si="61"/>
        <v>0.00489620925</v>
      </c>
      <c r="AV99" s="356"/>
      <c r="AW99" s="245"/>
      <c r="AX99" s="245"/>
      <c r="AY99" s="245"/>
      <c r="AZ99" s="357">
        <v>3420.0</v>
      </c>
      <c r="BA99" s="355">
        <f t="shared" si="62"/>
        <v>0.003403776546</v>
      </c>
      <c r="BB99" s="356"/>
      <c r="BC99" s="245"/>
      <c r="BD99" s="245"/>
      <c r="BE99" s="245"/>
      <c r="BF99" s="357">
        <v>4917.0</v>
      </c>
      <c r="BG99" s="245"/>
      <c r="BH99" s="356"/>
      <c r="BI99" s="245"/>
      <c r="BJ99" s="245"/>
      <c r="BK99" s="245"/>
      <c r="BL99" s="353">
        <v>3868.0</v>
      </c>
      <c r="BM99" s="245"/>
      <c r="BN99" s="245"/>
      <c r="BO99" s="245"/>
      <c r="BP99" s="245"/>
      <c r="BQ99" s="245"/>
      <c r="BR99" s="356">
        <v>2897.0</v>
      </c>
      <c r="BS99" s="245"/>
      <c r="BT99" s="356"/>
      <c r="BU99" s="245"/>
      <c r="BV99" s="245"/>
      <c r="BW99" s="350"/>
      <c r="BX99" s="213"/>
      <c r="BY99" s="213"/>
      <c r="BZ99" s="213"/>
      <c r="CA99" s="213"/>
      <c r="CB99" s="213"/>
      <c r="CC99" s="213"/>
      <c r="CD99" s="213"/>
      <c r="CE99" s="213"/>
      <c r="CF99" s="213"/>
      <c r="CG99" s="213"/>
      <c r="CH99" s="213"/>
      <c r="CI99" s="213"/>
      <c r="CJ99" s="213"/>
      <c r="CK99" s="213"/>
      <c r="CL99" s="213"/>
      <c r="CM99" s="213"/>
      <c r="CN99" s="213"/>
      <c r="CO99" s="213"/>
      <c r="CP99" s="213"/>
      <c r="CQ99" s="213"/>
    </row>
    <row r="100" ht="15.75" customHeight="1">
      <c r="A100" s="213"/>
      <c r="B100" s="393"/>
      <c r="C100" s="350" t="s">
        <v>267</v>
      </c>
      <c r="D100" s="604">
        <v>61370.99</v>
      </c>
      <c r="E100" s="355">
        <f t="shared" si="63"/>
        <v>0.1954365646</v>
      </c>
      <c r="F100" s="245"/>
      <c r="G100" s="790">
        <f t="shared" si="64"/>
        <v>0</v>
      </c>
      <c r="H100" s="357">
        <f t="shared" si="65"/>
        <v>61370.99</v>
      </c>
      <c r="I100" s="350"/>
      <c r="J100" s="604">
        <v>55122.69</v>
      </c>
      <c r="K100" s="355">
        <f t="shared" si="66"/>
        <v>0.1431312133</v>
      </c>
      <c r="L100" s="352"/>
      <c r="M100" s="352"/>
      <c r="N100" s="352"/>
      <c r="O100" s="358"/>
      <c r="P100" s="604">
        <v>50642.39</v>
      </c>
      <c r="Q100" s="355">
        <f t="shared" si="56"/>
        <v>0.1512589081</v>
      </c>
      <c r="R100" s="352"/>
      <c r="S100" s="352"/>
      <c r="T100" s="352"/>
      <c r="U100" s="358"/>
      <c r="V100" s="604">
        <v>57417.98</v>
      </c>
      <c r="W100" s="355">
        <f t="shared" si="57"/>
        <v>0.1341027737</v>
      </c>
      <c r="X100" s="353"/>
      <c r="Y100" s="352"/>
      <c r="Z100" s="352"/>
      <c r="AA100" s="358"/>
      <c r="AB100" s="665">
        <v>63572.13</v>
      </c>
      <c r="AC100" s="355">
        <f t="shared" si="58"/>
        <v>0.1443685874</v>
      </c>
      <c r="AD100" s="356"/>
      <c r="AE100" s="245"/>
      <c r="AF100" s="245"/>
      <c r="AG100" s="350"/>
      <c r="AH100" s="604">
        <v>53969.07</v>
      </c>
      <c r="AI100" s="355">
        <f t="shared" si="59"/>
        <v>0.142247129</v>
      </c>
      <c r="AJ100" s="356"/>
      <c r="AK100" s="245"/>
      <c r="AL100" s="245"/>
      <c r="AM100" s="350"/>
      <c r="AN100" s="732">
        <v>57550.55</v>
      </c>
      <c r="AO100" s="728">
        <f t="shared" si="60"/>
        <v>0.1231849207</v>
      </c>
      <c r="AP100" s="937"/>
      <c r="AQ100" s="938"/>
      <c r="AR100" s="938"/>
      <c r="AS100" s="939"/>
      <c r="AT100" s="732">
        <v>59518.46</v>
      </c>
      <c r="AU100" s="728">
        <f t="shared" si="61"/>
        <v>0.1057767094</v>
      </c>
      <c r="AV100" s="937"/>
      <c r="AW100" s="938"/>
      <c r="AX100" s="938"/>
      <c r="AY100" s="938"/>
      <c r="AZ100" s="732">
        <v>62327.38</v>
      </c>
      <c r="BA100" s="728"/>
      <c r="BB100" s="937"/>
      <c r="BC100" s="938"/>
      <c r="BD100" s="938"/>
      <c r="BE100" s="938"/>
      <c r="BF100" s="732">
        <v>85407.58</v>
      </c>
      <c r="BG100" s="938"/>
      <c r="BH100" s="937"/>
      <c r="BI100" s="938"/>
      <c r="BJ100" s="938"/>
      <c r="BK100" s="938"/>
      <c r="BL100" s="732">
        <v>46413.58</v>
      </c>
      <c r="BM100" s="938"/>
      <c r="BN100" s="938"/>
      <c r="BO100" s="938"/>
      <c r="BP100" s="938"/>
      <c r="BQ100" s="938"/>
      <c r="BR100" s="732">
        <v>63860.0</v>
      </c>
      <c r="BS100" s="245"/>
      <c r="BT100" s="356"/>
      <c r="BU100" s="245"/>
      <c r="BV100" s="245"/>
      <c r="BW100" s="350"/>
      <c r="BX100" s="213"/>
      <c r="BY100" s="213"/>
      <c r="BZ100" s="213"/>
      <c r="CA100" s="213"/>
      <c r="CB100" s="213"/>
      <c r="CC100" s="213"/>
      <c r="CD100" s="213"/>
      <c r="CE100" s="213"/>
      <c r="CF100" s="213"/>
      <c r="CG100" s="213"/>
      <c r="CH100" s="213"/>
      <c r="CI100" s="213"/>
      <c r="CJ100" s="213"/>
      <c r="CK100" s="213"/>
      <c r="CL100" s="213"/>
      <c r="CM100" s="213"/>
      <c r="CN100" s="213"/>
      <c r="CO100" s="213"/>
      <c r="CP100" s="213"/>
      <c r="CQ100" s="213"/>
    </row>
    <row r="101" ht="15.75" customHeight="1">
      <c r="A101" s="213"/>
      <c r="B101" s="393"/>
      <c r="C101" s="350" t="s">
        <v>268</v>
      </c>
      <c r="D101" s="604">
        <v>94400.0</v>
      </c>
      <c r="E101" s="355">
        <f t="shared" si="63"/>
        <v>0.300617795</v>
      </c>
      <c r="F101" s="245">
        <v>94400.0</v>
      </c>
      <c r="G101" s="790">
        <f t="shared" si="64"/>
        <v>1.18</v>
      </c>
      <c r="H101" s="357">
        <f t="shared" si="65"/>
        <v>0</v>
      </c>
      <c r="I101" s="350"/>
      <c r="J101" s="604">
        <v>94400.0</v>
      </c>
      <c r="K101" s="355">
        <f t="shared" si="66"/>
        <v>0.2451184174</v>
      </c>
      <c r="L101" s="352"/>
      <c r="M101" s="352"/>
      <c r="N101" s="352"/>
      <c r="O101" s="358"/>
      <c r="P101" s="604">
        <v>94400.0</v>
      </c>
      <c r="Q101" s="355">
        <f t="shared" si="56"/>
        <v>0.2819543258</v>
      </c>
      <c r="R101" s="352"/>
      <c r="S101" s="352"/>
      <c r="T101" s="352"/>
      <c r="U101" s="358"/>
      <c r="V101" s="604">
        <v>94400.0</v>
      </c>
      <c r="W101" s="355">
        <f t="shared" si="57"/>
        <v>0.2204762661</v>
      </c>
      <c r="X101" s="353"/>
      <c r="Y101" s="352"/>
      <c r="Z101" s="352"/>
      <c r="AA101" s="358"/>
      <c r="AB101" s="665">
        <v>94400.0</v>
      </c>
      <c r="AC101" s="355">
        <f t="shared" si="58"/>
        <v>0.2143768764</v>
      </c>
      <c r="AD101" s="356"/>
      <c r="AE101" s="245"/>
      <c r="AF101" s="245"/>
      <c r="AG101" s="350"/>
      <c r="AH101" s="604">
        <v>94400.0</v>
      </c>
      <c r="AI101" s="355">
        <f t="shared" si="59"/>
        <v>0.2488115689</v>
      </c>
      <c r="AJ101" s="356"/>
      <c r="AK101" s="245"/>
      <c r="AL101" s="245"/>
      <c r="AM101" s="350"/>
      <c r="AN101" s="604">
        <v>94400.0</v>
      </c>
      <c r="AO101" s="355">
        <f t="shared" si="60"/>
        <v>0.2020598676</v>
      </c>
      <c r="AP101" s="356"/>
      <c r="AQ101" s="245"/>
      <c r="AR101" s="245"/>
      <c r="AS101" s="350"/>
      <c r="AT101" s="605">
        <v>94400.0</v>
      </c>
      <c r="AU101" s="355">
        <f t="shared" si="61"/>
        <v>0.1677684767</v>
      </c>
      <c r="AV101" s="356"/>
      <c r="AW101" s="245"/>
      <c r="AX101" s="245"/>
      <c r="AY101" s="245"/>
      <c r="AZ101" s="357">
        <v>94400.0</v>
      </c>
      <c r="BA101" s="355">
        <f t="shared" ref="BA101:BA103" si="67">AZ101/AZ$29</f>
        <v>0.09395219471</v>
      </c>
      <c r="BB101" s="356"/>
      <c r="BC101" s="245"/>
      <c r="BD101" s="245"/>
      <c r="BE101" s="245"/>
      <c r="BF101" s="357">
        <v>94400.0</v>
      </c>
      <c r="BG101" s="245"/>
      <c r="BH101" s="356"/>
      <c r="BI101" s="245"/>
      <c r="BJ101" s="245"/>
      <c r="BK101" s="245"/>
      <c r="BL101" s="353">
        <v>94400.0</v>
      </c>
      <c r="BM101" s="245"/>
      <c r="BN101" s="245"/>
      <c r="BO101" s="245"/>
      <c r="BP101" s="245"/>
      <c r="BQ101" s="245"/>
      <c r="BR101" s="356">
        <v>94400.0</v>
      </c>
      <c r="BS101" s="245"/>
      <c r="BT101" s="356"/>
      <c r="BU101" s="245"/>
      <c r="BV101" s="245"/>
      <c r="BW101" s="350"/>
      <c r="BX101" s="213"/>
      <c r="BY101" s="213"/>
      <c r="BZ101" s="213"/>
      <c r="CA101" s="213"/>
      <c r="CB101" s="213"/>
      <c r="CC101" s="213"/>
      <c r="CD101" s="213"/>
      <c r="CE101" s="213"/>
      <c r="CF101" s="213"/>
      <c r="CG101" s="213"/>
      <c r="CH101" s="213"/>
      <c r="CI101" s="213"/>
      <c r="CJ101" s="213"/>
      <c r="CK101" s="213"/>
      <c r="CL101" s="213"/>
      <c r="CM101" s="213"/>
      <c r="CN101" s="213"/>
      <c r="CO101" s="213"/>
      <c r="CP101" s="213"/>
      <c r="CQ101" s="213"/>
    </row>
    <row r="102" ht="15.75" customHeight="1">
      <c r="A102" s="213"/>
      <c r="B102" s="393"/>
      <c r="C102" s="350" t="s">
        <v>269</v>
      </c>
      <c r="D102" s="628">
        <v>14796.0</v>
      </c>
      <c r="E102" s="355">
        <f t="shared" si="63"/>
        <v>0.04711801796</v>
      </c>
      <c r="F102" s="245"/>
      <c r="G102" s="790">
        <f t="shared" si="64"/>
        <v>0</v>
      </c>
      <c r="H102" s="357">
        <f t="shared" si="65"/>
        <v>14796</v>
      </c>
      <c r="I102" s="350"/>
      <c r="J102" s="628">
        <v>16552.0</v>
      </c>
      <c r="K102" s="355">
        <f t="shared" si="66"/>
        <v>0.04297881403</v>
      </c>
      <c r="L102" s="352"/>
      <c r="M102" s="352"/>
      <c r="N102" s="352"/>
      <c r="O102" s="358"/>
      <c r="P102" s="628">
        <v>7484.0</v>
      </c>
      <c r="Q102" s="355">
        <f t="shared" si="56"/>
        <v>0.02235324337</v>
      </c>
      <c r="R102" s="352"/>
      <c r="S102" s="352"/>
      <c r="T102" s="352"/>
      <c r="U102" s="358"/>
      <c r="V102" s="628">
        <v>9018.0</v>
      </c>
      <c r="W102" s="355">
        <f t="shared" si="57"/>
        <v>0.02106202296</v>
      </c>
      <c r="X102" s="353"/>
      <c r="Y102" s="352"/>
      <c r="Z102" s="352"/>
      <c r="AA102" s="358"/>
      <c r="AB102" s="665">
        <v>18810.0</v>
      </c>
      <c r="AC102" s="355">
        <f t="shared" si="58"/>
        <v>0.04271640937</v>
      </c>
      <c r="AD102" s="356"/>
      <c r="AE102" s="245"/>
      <c r="AF102" s="245"/>
      <c r="AG102" s="350"/>
      <c r="AH102" s="604">
        <v>19383.0</v>
      </c>
      <c r="AI102" s="355">
        <f t="shared" si="59"/>
        <v>0.05108807882</v>
      </c>
      <c r="AJ102" s="356"/>
      <c r="AK102" s="245"/>
      <c r="AL102" s="245"/>
      <c r="AM102" s="350"/>
      <c r="AN102" s="604">
        <f>2244+17966</f>
        <v>20210</v>
      </c>
      <c r="AO102" s="355">
        <f t="shared" si="60"/>
        <v>0.04325879158</v>
      </c>
      <c r="AP102" s="356"/>
      <c r="AQ102" s="245"/>
      <c r="AR102" s="245"/>
      <c r="AS102" s="350"/>
      <c r="AT102" s="618">
        <v>21932.0</v>
      </c>
      <c r="AU102" s="355">
        <f t="shared" si="61"/>
        <v>0.03897773549</v>
      </c>
      <c r="AV102" s="356"/>
      <c r="AW102" s="245"/>
      <c r="AX102" s="245"/>
      <c r="AY102" s="245"/>
      <c r="AZ102" s="357">
        <v>24363.0</v>
      </c>
      <c r="BA102" s="355">
        <f t="shared" si="67"/>
        <v>0.02424742924</v>
      </c>
      <c r="BB102" s="356"/>
      <c r="BC102" s="245"/>
      <c r="BD102" s="245"/>
      <c r="BE102" s="245"/>
      <c r="BF102" s="940">
        <v>6662.0</v>
      </c>
      <c r="BG102" s="245"/>
      <c r="BH102" s="356"/>
      <c r="BI102" s="245"/>
      <c r="BJ102" s="245"/>
      <c r="BK102" s="245"/>
      <c r="BL102" s="536">
        <f>1810+19374</f>
        <v>21184</v>
      </c>
      <c r="BM102" s="245"/>
      <c r="BN102" s="245"/>
      <c r="BO102" s="245"/>
      <c r="BP102" s="245"/>
      <c r="BQ102" s="245"/>
      <c r="BR102" s="797">
        <v>11800.32</v>
      </c>
      <c r="BS102" s="245"/>
      <c r="BT102" s="356"/>
      <c r="BU102" s="245"/>
      <c r="BV102" s="245"/>
      <c r="BW102" s="350"/>
      <c r="BX102" s="213"/>
      <c r="BY102" s="213"/>
      <c r="BZ102" s="213"/>
      <c r="CA102" s="213"/>
      <c r="CB102" s="213"/>
      <c r="CC102" s="213"/>
      <c r="CD102" s="213"/>
      <c r="CE102" s="213"/>
      <c r="CF102" s="213"/>
      <c r="CG102" s="213"/>
      <c r="CH102" s="213"/>
      <c r="CI102" s="213"/>
      <c r="CJ102" s="213"/>
      <c r="CK102" s="213"/>
      <c r="CL102" s="213"/>
      <c r="CM102" s="213"/>
      <c r="CN102" s="213"/>
      <c r="CO102" s="213"/>
      <c r="CP102" s="213"/>
      <c r="CQ102" s="213"/>
    </row>
    <row r="103" ht="15.75" customHeight="1">
      <c r="A103" s="213"/>
      <c r="B103" s="393"/>
      <c r="C103" s="350" t="s">
        <v>270</v>
      </c>
      <c r="D103" s="604"/>
      <c r="E103" s="355">
        <f t="shared" si="63"/>
        <v>0</v>
      </c>
      <c r="F103" s="245"/>
      <c r="G103" s="790">
        <f t="shared" si="64"/>
        <v>0</v>
      </c>
      <c r="H103" s="357">
        <f t="shared" si="65"/>
        <v>0</v>
      </c>
      <c r="I103" s="350"/>
      <c r="J103" s="604"/>
      <c r="K103" s="352"/>
      <c r="L103" s="352"/>
      <c r="M103" s="352"/>
      <c r="N103" s="352"/>
      <c r="O103" s="358"/>
      <c r="P103" s="604"/>
      <c r="Q103" s="355">
        <f t="shared" si="56"/>
        <v>0</v>
      </c>
      <c r="R103" s="352"/>
      <c r="S103" s="352"/>
      <c r="T103" s="352"/>
      <c r="U103" s="358"/>
      <c r="V103" s="604"/>
      <c r="W103" s="355">
        <f t="shared" si="57"/>
        <v>0</v>
      </c>
      <c r="X103" s="353"/>
      <c r="Y103" s="352"/>
      <c r="Z103" s="352"/>
      <c r="AA103" s="358"/>
      <c r="AB103" s="665"/>
      <c r="AC103" s="355">
        <f t="shared" si="58"/>
        <v>0</v>
      </c>
      <c r="AD103" s="356"/>
      <c r="AE103" s="245"/>
      <c r="AF103" s="245"/>
      <c r="AG103" s="350"/>
      <c r="AH103" s="604"/>
      <c r="AI103" s="355">
        <f t="shared" si="59"/>
        <v>0</v>
      </c>
      <c r="AJ103" s="356"/>
      <c r="AK103" s="245"/>
      <c r="AL103" s="245"/>
      <c r="AM103" s="350"/>
      <c r="AN103" s="604"/>
      <c r="AO103" s="355">
        <f t="shared" si="60"/>
        <v>0</v>
      </c>
      <c r="AP103" s="356"/>
      <c r="AQ103" s="245"/>
      <c r="AR103" s="245"/>
      <c r="AS103" s="350"/>
      <c r="AT103" s="605"/>
      <c r="AU103" s="355">
        <f t="shared" si="61"/>
        <v>0</v>
      </c>
      <c r="AV103" s="356"/>
      <c r="AW103" s="245"/>
      <c r="AX103" s="245"/>
      <c r="AY103" s="245"/>
      <c r="AZ103" s="357"/>
      <c r="BA103" s="355">
        <f t="shared" si="67"/>
        <v>0</v>
      </c>
      <c r="BB103" s="356"/>
      <c r="BC103" s="245"/>
      <c r="BD103" s="245"/>
      <c r="BE103" s="245"/>
      <c r="BF103" s="357"/>
      <c r="BG103" s="245"/>
      <c r="BH103" s="356"/>
      <c r="BI103" s="245"/>
      <c r="BJ103" s="245"/>
      <c r="BK103" s="245"/>
      <c r="BL103" s="353"/>
      <c r="BM103" s="245"/>
      <c r="BN103" s="245"/>
      <c r="BO103" s="245"/>
      <c r="BP103" s="245"/>
      <c r="BQ103" s="245"/>
      <c r="BR103" s="356"/>
      <c r="BS103" s="245"/>
      <c r="BT103" s="356"/>
      <c r="BU103" s="245"/>
      <c r="BV103" s="245"/>
      <c r="BW103" s="350"/>
      <c r="BX103" s="213"/>
      <c r="BY103" s="213"/>
      <c r="BZ103" s="213"/>
      <c r="CA103" s="213"/>
      <c r="CB103" s="213"/>
      <c r="CC103" s="213"/>
      <c r="CD103" s="213"/>
      <c r="CE103" s="213"/>
      <c r="CF103" s="213"/>
      <c r="CG103" s="213"/>
      <c r="CH103" s="213"/>
      <c r="CI103" s="213"/>
      <c r="CJ103" s="213"/>
      <c r="CK103" s="213"/>
      <c r="CL103" s="213"/>
      <c r="CM103" s="213"/>
      <c r="CN103" s="213"/>
      <c r="CO103" s="213"/>
      <c r="CP103" s="213"/>
      <c r="CQ103" s="213"/>
    </row>
    <row r="104" ht="15.75" customHeight="1">
      <c r="A104" s="213"/>
      <c r="B104" s="393"/>
      <c r="C104" s="350" t="s">
        <v>271</v>
      </c>
      <c r="D104" s="604">
        <f>405461/12</f>
        <v>33788.41667</v>
      </c>
      <c r="E104" s="352"/>
      <c r="F104" s="245"/>
      <c r="G104" s="245"/>
      <c r="H104" s="357">
        <f t="shared" si="65"/>
        <v>33788.41667</v>
      </c>
      <c r="I104" s="350"/>
      <c r="J104" s="604">
        <f>405461/12</f>
        <v>33788.41667</v>
      </c>
      <c r="K104" s="352"/>
      <c r="L104" s="352"/>
      <c r="M104" s="352"/>
      <c r="N104" s="352"/>
      <c r="O104" s="358"/>
      <c r="P104" s="604">
        <f>405461/12</f>
        <v>33788.41667</v>
      </c>
      <c r="Q104" s="355">
        <f t="shared" si="56"/>
        <v>0.1009193881</v>
      </c>
      <c r="R104" s="352"/>
      <c r="S104" s="352"/>
      <c r="T104" s="352"/>
      <c r="U104" s="358"/>
      <c r="V104" s="604">
        <f>405461/12</f>
        <v>33788.41667</v>
      </c>
      <c r="W104" s="352"/>
      <c r="X104" s="353"/>
      <c r="Y104" s="352"/>
      <c r="Z104" s="352"/>
      <c r="AA104" s="358"/>
      <c r="AB104" s="604">
        <f>405461/12</f>
        <v>33788.41667</v>
      </c>
      <c r="AC104" s="245"/>
      <c r="AD104" s="356"/>
      <c r="AE104" s="245"/>
      <c r="AF104" s="245"/>
      <c r="AG104" s="350"/>
      <c r="AH104" s="604">
        <f>405461/12</f>
        <v>33788.41667</v>
      </c>
      <c r="AI104" s="245"/>
      <c r="AJ104" s="356"/>
      <c r="AK104" s="245"/>
      <c r="AL104" s="245"/>
      <c r="AM104" s="350"/>
      <c r="AN104" s="604">
        <f>405461/12</f>
        <v>33788.41667</v>
      </c>
      <c r="AO104" s="245"/>
      <c r="AP104" s="356"/>
      <c r="AQ104" s="245"/>
      <c r="AR104" s="245"/>
      <c r="AS104" s="350"/>
      <c r="AT104" s="605">
        <v>33788.0</v>
      </c>
      <c r="AU104" s="245"/>
      <c r="AV104" s="356"/>
      <c r="AW104" s="245"/>
      <c r="AX104" s="245"/>
      <c r="AY104" s="245"/>
      <c r="AZ104" s="357">
        <v>33788.0</v>
      </c>
      <c r="BA104" s="245"/>
      <c r="BB104" s="356"/>
      <c r="BC104" s="245"/>
      <c r="BD104" s="245"/>
      <c r="BE104" s="245"/>
      <c r="BF104" s="357">
        <v>33788.0</v>
      </c>
      <c r="BG104" s="245"/>
      <c r="BH104" s="356"/>
      <c r="BI104" s="245"/>
      <c r="BJ104" s="245"/>
      <c r="BK104" s="245"/>
      <c r="BL104" s="357">
        <v>33788.0</v>
      </c>
      <c r="BM104" s="245"/>
      <c r="BN104" s="245"/>
      <c r="BO104" s="245"/>
      <c r="BP104" s="245"/>
      <c r="BQ104" s="245"/>
      <c r="BR104" s="357">
        <v>33788.0</v>
      </c>
      <c r="BS104" s="245"/>
      <c r="BT104" s="356"/>
      <c r="BU104" s="245"/>
      <c r="BV104" s="245"/>
      <c r="BW104" s="350"/>
      <c r="BX104" s="213"/>
      <c r="BY104" s="213"/>
      <c r="BZ104" s="213"/>
      <c r="CA104" s="213"/>
      <c r="CB104" s="213"/>
      <c r="CC104" s="213"/>
      <c r="CD104" s="213"/>
      <c r="CE104" s="213"/>
      <c r="CF104" s="213"/>
      <c r="CG104" s="213"/>
      <c r="CH104" s="213"/>
      <c r="CI104" s="213"/>
      <c r="CJ104" s="213"/>
      <c r="CK104" s="213"/>
      <c r="CL104" s="213"/>
      <c r="CM104" s="213"/>
      <c r="CN104" s="213"/>
      <c r="CO104" s="213"/>
      <c r="CP104" s="213"/>
      <c r="CQ104" s="213"/>
    </row>
    <row r="105" ht="15.75" customHeight="1">
      <c r="A105" s="213"/>
      <c r="B105" s="403"/>
      <c r="C105" s="448"/>
      <c r="D105" s="619"/>
      <c r="E105" s="364"/>
      <c r="F105" s="688"/>
      <c r="G105" s="688"/>
      <c r="H105" s="688"/>
      <c r="I105" s="362"/>
      <c r="J105" s="619"/>
      <c r="K105" s="364"/>
      <c r="L105" s="364"/>
      <c r="M105" s="364"/>
      <c r="N105" s="364"/>
      <c r="O105" s="368"/>
      <c r="P105" s="619"/>
      <c r="Q105" s="364"/>
      <c r="R105" s="364"/>
      <c r="S105" s="364"/>
      <c r="T105" s="364"/>
      <c r="U105" s="368"/>
      <c r="V105" s="619"/>
      <c r="W105" s="364"/>
      <c r="X105" s="365"/>
      <c r="Y105" s="364"/>
      <c r="Z105" s="364"/>
      <c r="AA105" s="368"/>
      <c r="AB105" s="403"/>
      <c r="AC105" s="688"/>
      <c r="AD105" s="689"/>
      <c r="AE105" s="688"/>
      <c r="AF105" s="688"/>
      <c r="AG105" s="362"/>
      <c r="AH105" s="619"/>
      <c r="AI105" s="688"/>
      <c r="AJ105" s="689"/>
      <c r="AK105" s="688"/>
      <c r="AL105" s="688"/>
      <c r="AM105" s="362"/>
      <c r="AN105" s="619"/>
      <c r="AO105" s="688"/>
      <c r="AP105" s="689"/>
      <c r="AQ105" s="688"/>
      <c r="AR105" s="688"/>
      <c r="AS105" s="362"/>
      <c r="AT105" s="793"/>
      <c r="AU105" s="688"/>
      <c r="AV105" s="689"/>
      <c r="AW105" s="688"/>
      <c r="AX105" s="688"/>
      <c r="AY105" s="688"/>
      <c r="AZ105" s="367"/>
      <c r="BA105" s="688"/>
      <c r="BB105" s="689"/>
      <c r="BC105" s="688"/>
      <c r="BD105" s="688"/>
      <c r="BE105" s="688"/>
      <c r="BF105" s="367"/>
      <c r="BG105" s="688"/>
      <c r="BH105" s="689"/>
      <c r="BI105" s="688"/>
      <c r="BJ105" s="688"/>
      <c r="BK105" s="688"/>
      <c r="BL105" s="365"/>
      <c r="BM105" s="688"/>
      <c r="BN105" s="688"/>
      <c r="BO105" s="688"/>
      <c r="BP105" s="688"/>
      <c r="BQ105" s="688"/>
      <c r="BR105" s="804"/>
      <c r="BS105" s="688"/>
      <c r="BT105" s="689"/>
      <c r="BU105" s="688"/>
      <c r="BV105" s="688"/>
      <c r="BW105" s="362"/>
      <c r="BX105" s="213"/>
      <c r="BY105" s="213"/>
      <c r="BZ105" s="213"/>
      <c r="CA105" s="213"/>
      <c r="CB105" s="213"/>
      <c r="CC105" s="213"/>
      <c r="CD105" s="213"/>
      <c r="CE105" s="213"/>
      <c r="CF105" s="213"/>
      <c r="CG105" s="213"/>
      <c r="CH105" s="213"/>
      <c r="CI105" s="213"/>
      <c r="CJ105" s="213"/>
      <c r="CK105" s="213"/>
      <c r="CL105" s="213"/>
      <c r="CM105" s="213"/>
      <c r="CN105" s="213"/>
      <c r="CO105" s="213"/>
      <c r="CP105" s="213"/>
      <c r="CQ105" s="213"/>
    </row>
    <row r="106" ht="15.75" customHeight="1">
      <c r="A106" s="213"/>
      <c r="B106" s="735"/>
      <c r="C106" s="447" t="s">
        <v>39</v>
      </c>
      <c r="D106" s="771">
        <f>SUM(D107)</f>
        <v>0</v>
      </c>
      <c r="E106" s="772">
        <f>D106/D$29</f>
        <v>0</v>
      </c>
      <c r="F106" s="812">
        <f>SUM(F107)</f>
        <v>0</v>
      </c>
      <c r="G106" s="935">
        <f>F106/F$29</f>
        <v>0</v>
      </c>
      <c r="H106" s="810">
        <f>SUM(H107)</f>
        <v>0</v>
      </c>
      <c r="I106" s="811"/>
      <c r="J106" s="771">
        <f>SUM(J107)</f>
        <v>0</v>
      </c>
      <c r="K106" s="774"/>
      <c r="L106" s="774">
        <f>SUM(L107)</f>
        <v>0</v>
      </c>
      <c r="M106" s="774"/>
      <c r="N106" s="774">
        <f>SUM(N107)</f>
        <v>0</v>
      </c>
      <c r="O106" s="513"/>
      <c r="P106" s="771">
        <f>SUM(P107)</f>
        <v>987.47</v>
      </c>
      <c r="Q106" s="772">
        <f t="shared" ref="Q106:Q107" si="68">P106/P$29</f>
        <v>0.002949379641</v>
      </c>
      <c r="R106" s="774">
        <f>SUM(R107)</f>
        <v>0</v>
      </c>
      <c r="S106" s="774"/>
      <c r="T106" s="774">
        <f>SUM(T107)</f>
        <v>0</v>
      </c>
      <c r="U106" s="513"/>
      <c r="V106" s="771">
        <f>SUM(V107)</f>
        <v>0</v>
      </c>
      <c r="W106" s="772">
        <f>V106/V$29</f>
        <v>0</v>
      </c>
      <c r="X106" s="509">
        <f>SUM(X107)</f>
        <v>0</v>
      </c>
      <c r="Y106" s="774"/>
      <c r="Z106" s="774">
        <f>SUM(Z107)</f>
        <v>0</v>
      </c>
      <c r="AA106" s="513"/>
      <c r="AB106" s="735">
        <f>SUM(AB107)</f>
        <v>0</v>
      </c>
      <c r="AC106" s="812"/>
      <c r="AD106" s="814">
        <f>SUM(AD107)</f>
        <v>0</v>
      </c>
      <c r="AE106" s="812"/>
      <c r="AF106" s="812">
        <f>SUM(AF107)</f>
        <v>0</v>
      </c>
      <c r="AG106" s="811"/>
      <c r="AH106" s="771">
        <f>SUM(AH107)</f>
        <v>0</v>
      </c>
      <c r="AI106" s="812"/>
      <c r="AJ106" s="814">
        <f>SUM(AJ107)</f>
        <v>0</v>
      </c>
      <c r="AK106" s="812"/>
      <c r="AL106" s="812">
        <f>SUM(AL107)</f>
        <v>0</v>
      </c>
      <c r="AM106" s="811"/>
      <c r="AN106" s="771">
        <f>SUM(AN107)</f>
        <v>0</v>
      </c>
      <c r="AO106" s="812"/>
      <c r="AP106" s="814">
        <f>SUM(AP107)</f>
        <v>0</v>
      </c>
      <c r="AQ106" s="812"/>
      <c r="AR106" s="812">
        <f>SUM(AR107)</f>
        <v>0</v>
      </c>
      <c r="AS106" s="811"/>
      <c r="AT106" s="813">
        <f>SUM(AT107)</f>
        <v>1681.8</v>
      </c>
      <c r="AU106" s="812"/>
      <c r="AV106" s="814">
        <f>SUM(AV107)</f>
        <v>0</v>
      </c>
      <c r="AW106" s="812"/>
      <c r="AX106" s="812">
        <f>SUM(AX107)</f>
        <v>0</v>
      </c>
      <c r="AY106" s="812"/>
      <c r="AZ106" s="773">
        <f>SUM(AZ107)</f>
        <v>0</v>
      </c>
      <c r="BA106" s="812"/>
      <c r="BB106" s="814">
        <f>SUM(BB107)</f>
        <v>0</v>
      </c>
      <c r="BC106" s="812"/>
      <c r="BD106" s="812">
        <f>SUM(BD107)</f>
        <v>0</v>
      </c>
      <c r="BE106" s="812"/>
      <c r="BF106" s="773">
        <f>SUM(BF107)</f>
        <v>0</v>
      </c>
      <c r="BG106" s="812"/>
      <c r="BH106" s="814">
        <f>SUM(BH107)</f>
        <v>0</v>
      </c>
      <c r="BI106" s="812"/>
      <c r="BJ106" s="812">
        <f>SUM(BJ107)</f>
        <v>0</v>
      </c>
      <c r="BK106" s="812"/>
      <c r="BL106" s="509">
        <f>SUM(BL107)</f>
        <v>0</v>
      </c>
      <c r="BM106" s="812"/>
      <c r="BN106" s="812">
        <f>SUM(BN107)</f>
        <v>0</v>
      </c>
      <c r="BO106" s="812"/>
      <c r="BP106" s="812">
        <f>SUM(BP107)</f>
        <v>0</v>
      </c>
      <c r="BQ106" s="812"/>
      <c r="BR106" s="814">
        <f>SUM(BR107)</f>
        <v>4017</v>
      </c>
      <c r="BS106" s="812"/>
      <c r="BT106" s="814">
        <f>SUM(BT107)</f>
        <v>0</v>
      </c>
      <c r="BU106" s="812"/>
      <c r="BV106" s="812">
        <f>SUM(BV107)</f>
        <v>0</v>
      </c>
      <c r="BW106" s="811"/>
      <c r="BX106" s="237">
        <f>D106+J106+P106+V106+AB106+AH106+AN106+AT106+AZ106+BF106+BL106+BR106</f>
        <v>6686.27</v>
      </c>
      <c r="BY106" s="216"/>
      <c r="BZ106" s="216"/>
      <c r="CA106" s="216"/>
      <c r="CB106" s="216"/>
      <c r="CC106" s="216"/>
      <c r="CD106" s="216"/>
      <c r="CE106" s="216"/>
      <c r="CF106" s="216"/>
      <c r="CG106" s="216"/>
      <c r="CH106" s="216"/>
      <c r="CI106" s="216"/>
      <c r="CJ106" s="216"/>
      <c r="CK106" s="216"/>
      <c r="CL106" s="216"/>
      <c r="CM106" s="216"/>
      <c r="CN106" s="216"/>
      <c r="CO106" s="216"/>
      <c r="CP106" s="216"/>
      <c r="CQ106" s="216"/>
    </row>
    <row r="107" ht="15.75" customHeight="1">
      <c r="A107" s="213"/>
      <c r="B107" s="444"/>
      <c r="C107" s="383" t="s">
        <v>272</v>
      </c>
      <c r="D107" s="708">
        <v>0.0</v>
      </c>
      <c r="E107" s="385">
        <f>IFERROR((D107/D$29),"")</f>
        <v>0</v>
      </c>
      <c r="F107" s="709"/>
      <c r="G107" s="709"/>
      <c r="H107" s="388">
        <f>D107-F107</f>
        <v>0</v>
      </c>
      <c r="I107" s="383"/>
      <c r="J107" s="708"/>
      <c r="K107" s="385">
        <f>IFERROR((J107/J$29),"")</f>
        <v>0</v>
      </c>
      <c r="L107" s="440"/>
      <c r="M107" s="440"/>
      <c r="N107" s="440"/>
      <c r="O107" s="389"/>
      <c r="P107" s="708">
        <v>987.47</v>
      </c>
      <c r="Q107" s="385">
        <f t="shared" si="68"/>
        <v>0.002949379641</v>
      </c>
      <c r="R107" s="440"/>
      <c r="S107" s="440"/>
      <c r="T107" s="440"/>
      <c r="U107" s="389"/>
      <c r="V107" s="708"/>
      <c r="W107" s="440"/>
      <c r="X107" s="386"/>
      <c r="Y107" s="440"/>
      <c r="Z107" s="440"/>
      <c r="AA107" s="389"/>
      <c r="AB107" s="444"/>
      <c r="AC107" s="709"/>
      <c r="AD107" s="927"/>
      <c r="AE107" s="709"/>
      <c r="AF107" s="709"/>
      <c r="AG107" s="383"/>
      <c r="AH107" s="708"/>
      <c r="AI107" s="709"/>
      <c r="AJ107" s="927"/>
      <c r="AK107" s="709"/>
      <c r="AL107" s="709"/>
      <c r="AM107" s="383"/>
      <c r="AN107" s="708"/>
      <c r="AO107" s="709"/>
      <c r="AP107" s="927"/>
      <c r="AQ107" s="709"/>
      <c r="AR107" s="709"/>
      <c r="AS107" s="383"/>
      <c r="AT107" s="787">
        <v>1681.8</v>
      </c>
      <c r="AU107" s="709"/>
      <c r="AV107" s="927"/>
      <c r="AW107" s="709"/>
      <c r="AX107" s="709"/>
      <c r="AY107" s="709"/>
      <c r="AZ107" s="388"/>
      <c r="BA107" s="709"/>
      <c r="BB107" s="927"/>
      <c r="BC107" s="709"/>
      <c r="BD107" s="709"/>
      <c r="BE107" s="709"/>
      <c r="BF107" s="388"/>
      <c r="BG107" s="709"/>
      <c r="BH107" s="927"/>
      <c r="BI107" s="709"/>
      <c r="BJ107" s="709"/>
      <c r="BK107" s="709"/>
      <c r="BL107" s="386"/>
      <c r="BM107" s="709"/>
      <c r="BN107" s="709"/>
      <c r="BO107" s="709"/>
      <c r="BP107" s="709"/>
      <c r="BQ107" s="709"/>
      <c r="BR107" s="802">
        <v>4017.0</v>
      </c>
      <c r="BS107" s="709"/>
      <c r="BT107" s="927"/>
      <c r="BU107" s="709"/>
      <c r="BV107" s="709"/>
      <c r="BW107" s="383"/>
      <c r="BX107" s="213"/>
      <c r="BY107" s="213"/>
      <c r="BZ107" s="213"/>
      <c r="CA107" s="213"/>
      <c r="CB107" s="213"/>
      <c r="CC107" s="213"/>
      <c r="CD107" s="213"/>
      <c r="CE107" s="213"/>
      <c r="CF107" s="213"/>
      <c r="CG107" s="213"/>
      <c r="CH107" s="213"/>
      <c r="CI107" s="213"/>
      <c r="CJ107" s="213"/>
      <c r="CK107" s="213"/>
      <c r="CL107" s="213"/>
      <c r="CM107" s="213"/>
      <c r="CN107" s="213"/>
      <c r="CO107" s="213"/>
      <c r="CP107" s="213"/>
      <c r="CQ107" s="213"/>
    </row>
    <row r="108" ht="15.75" customHeight="1">
      <c r="A108" s="213"/>
      <c r="B108" s="403"/>
      <c r="C108" s="362"/>
      <c r="D108" s="619"/>
      <c r="E108" s="364"/>
      <c r="F108" s="688"/>
      <c r="G108" s="688"/>
      <c r="H108" s="688"/>
      <c r="I108" s="362"/>
      <c r="J108" s="619"/>
      <c r="K108" s="364"/>
      <c r="L108" s="364"/>
      <c r="M108" s="364"/>
      <c r="N108" s="364"/>
      <c r="O108" s="368"/>
      <c r="P108" s="619"/>
      <c r="Q108" s="364"/>
      <c r="R108" s="364"/>
      <c r="S108" s="364"/>
      <c r="T108" s="364"/>
      <c r="U108" s="368"/>
      <c r="V108" s="619"/>
      <c r="W108" s="364"/>
      <c r="X108" s="365"/>
      <c r="Y108" s="364"/>
      <c r="Z108" s="364"/>
      <c r="AA108" s="368"/>
      <c r="AB108" s="403"/>
      <c r="AC108" s="688"/>
      <c r="AD108" s="689"/>
      <c r="AE108" s="688"/>
      <c r="AF108" s="688"/>
      <c r="AG108" s="362"/>
      <c r="AH108" s="619"/>
      <c r="AI108" s="688"/>
      <c r="AJ108" s="689"/>
      <c r="AK108" s="688"/>
      <c r="AL108" s="688"/>
      <c r="AM108" s="362"/>
      <c r="AN108" s="619"/>
      <c r="AO108" s="688"/>
      <c r="AP108" s="689"/>
      <c r="AQ108" s="688"/>
      <c r="AR108" s="688"/>
      <c r="AS108" s="362"/>
      <c r="AT108" s="793"/>
      <c r="AU108" s="688"/>
      <c r="AV108" s="689"/>
      <c r="AW108" s="688"/>
      <c r="AX108" s="688"/>
      <c r="AY108" s="688"/>
      <c r="AZ108" s="367"/>
      <c r="BA108" s="688"/>
      <c r="BB108" s="689"/>
      <c r="BC108" s="688"/>
      <c r="BD108" s="688"/>
      <c r="BE108" s="688"/>
      <c r="BF108" s="367"/>
      <c r="BG108" s="688"/>
      <c r="BH108" s="689"/>
      <c r="BI108" s="688"/>
      <c r="BJ108" s="688"/>
      <c r="BK108" s="688"/>
      <c r="BL108" s="365"/>
      <c r="BM108" s="688"/>
      <c r="BN108" s="688"/>
      <c r="BO108" s="688"/>
      <c r="BP108" s="688"/>
      <c r="BQ108" s="688"/>
      <c r="BR108" s="804"/>
      <c r="BS108" s="688"/>
      <c r="BT108" s="689"/>
      <c r="BU108" s="688"/>
      <c r="BV108" s="688"/>
      <c r="BW108" s="362"/>
      <c r="BX108" s="213"/>
      <c r="BY108" s="213"/>
      <c r="BZ108" s="213"/>
      <c r="CA108" s="213"/>
      <c r="CB108" s="213"/>
      <c r="CC108" s="213"/>
      <c r="CD108" s="213"/>
      <c r="CE108" s="213"/>
      <c r="CF108" s="213"/>
      <c r="CG108" s="213"/>
      <c r="CH108" s="213"/>
      <c r="CI108" s="213"/>
      <c r="CJ108" s="213"/>
      <c r="CK108" s="213"/>
      <c r="CL108" s="213"/>
      <c r="CM108" s="213"/>
      <c r="CN108" s="213"/>
      <c r="CO108" s="213"/>
      <c r="CP108" s="213"/>
      <c r="CQ108" s="213"/>
    </row>
    <row r="109" ht="15.75" customHeight="1">
      <c r="A109" s="213"/>
      <c r="B109" s="735"/>
      <c r="C109" s="447" t="s">
        <v>273</v>
      </c>
      <c r="D109" s="771">
        <f>SUM(D110:D112)</f>
        <v>23993.33333</v>
      </c>
      <c r="E109" s="772">
        <f>D109/D$29</f>
        <v>0.07640702291</v>
      </c>
      <c r="F109" s="812">
        <f>SUM(F110:F112)</f>
        <v>23600</v>
      </c>
      <c r="G109" s="935">
        <f>F109/F$29</f>
        <v>0.295</v>
      </c>
      <c r="H109" s="773">
        <f>SUM(H110:H112)</f>
        <v>393.3333333</v>
      </c>
      <c r="I109" s="811"/>
      <c r="J109" s="771">
        <f>SUM(J110:J112)</f>
        <v>10521.33333</v>
      </c>
      <c r="K109" s="772">
        <f>J109/J$29</f>
        <v>0.02731962474</v>
      </c>
      <c r="L109" s="774">
        <f>SUM(L110:L112)</f>
        <v>0</v>
      </c>
      <c r="M109" s="774"/>
      <c r="N109" s="774">
        <f>SUM(N110:N112)</f>
        <v>0</v>
      </c>
      <c r="O109" s="513"/>
      <c r="P109" s="771">
        <f>SUM(P110:P112)</f>
        <v>10521.33333</v>
      </c>
      <c r="Q109" s="772">
        <f>P109/P$29</f>
        <v>0.03142516363</v>
      </c>
      <c r="R109" s="774">
        <f>SUM(R110:R112)</f>
        <v>0</v>
      </c>
      <c r="S109" s="774"/>
      <c r="T109" s="774">
        <f>SUM(T110:T112)</f>
        <v>0</v>
      </c>
      <c r="U109" s="513"/>
      <c r="V109" s="771">
        <f>SUM(V110:V112)</f>
        <v>10521.33333</v>
      </c>
      <c r="W109" s="772">
        <f>V109/V$29</f>
        <v>0.02457313864</v>
      </c>
      <c r="X109" s="509">
        <f>SUM(X110:X112)</f>
        <v>0</v>
      </c>
      <c r="Y109" s="774"/>
      <c r="Z109" s="774">
        <f>SUM(Z110:Z112)</f>
        <v>0</v>
      </c>
      <c r="AA109" s="513"/>
      <c r="AB109" s="941">
        <f>SUM(AB110:AB112)</f>
        <v>10521.33333</v>
      </c>
      <c r="AC109" s="772">
        <f>AB109/AB$29</f>
        <v>0.02389333236</v>
      </c>
      <c r="AD109" s="814">
        <f>SUM(AD110:AD112)</f>
        <v>0</v>
      </c>
      <c r="AE109" s="812"/>
      <c r="AF109" s="812">
        <f>SUM(AF110:AF112)</f>
        <v>0</v>
      </c>
      <c r="AG109" s="811"/>
      <c r="AH109" s="771">
        <f>SUM(AH110:AH112)</f>
        <v>10521.33333</v>
      </c>
      <c r="AI109" s="772">
        <f>AH109/AH$29</f>
        <v>0.02773124422</v>
      </c>
      <c r="AJ109" s="814">
        <f>SUM(AJ110:AJ112)</f>
        <v>0</v>
      </c>
      <c r="AK109" s="812"/>
      <c r="AL109" s="812">
        <f>SUM(AL110:AL112)</f>
        <v>0</v>
      </c>
      <c r="AM109" s="811"/>
      <c r="AN109" s="771">
        <f>SUM(AN110:AN112)</f>
        <v>10521.33333</v>
      </c>
      <c r="AO109" s="772">
        <f>AN109/AN$29</f>
        <v>0.02252054259</v>
      </c>
      <c r="AP109" s="814">
        <f>SUM(AP110:AP112)</f>
        <v>0</v>
      </c>
      <c r="AQ109" s="812"/>
      <c r="AR109" s="812">
        <f>SUM(AR110:AR112)</f>
        <v>0</v>
      </c>
      <c r="AS109" s="811"/>
      <c r="AT109" s="813">
        <f>SUM(AT110:AT112)</f>
        <v>10521.33333</v>
      </c>
      <c r="AU109" s="772">
        <f>AT109/AT$29</f>
        <v>0.01869860239</v>
      </c>
      <c r="AV109" s="814">
        <f>SUM(AV110:AV112)</f>
        <v>0</v>
      </c>
      <c r="AW109" s="812"/>
      <c r="AX109" s="812">
        <f>SUM(AX110:AX112)</f>
        <v>0</v>
      </c>
      <c r="AY109" s="812"/>
      <c r="AZ109" s="773">
        <f>SUM(AZ110:AZ112)</f>
        <v>11146.33333</v>
      </c>
      <c r="BA109" s="772">
        <f>AZ109/AZ$29</f>
        <v>0.01109345847</v>
      </c>
      <c r="BB109" s="814">
        <f>SUM(BB110:BB112)</f>
        <v>0</v>
      </c>
      <c r="BC109" s="812"/>
      <c r="BD109" s="812">
        <f>SUM(BD110:BD112)</f>
        <v>0</v>
      </c>
      <c r="BE109" s="812"/>
      <c r="BF109" s="773">
        <f>SUM(BF110:BF112)</f>
        <v>10521.33333</v>
      </c>
      <c r="BG109" s="812"/>
      <c r="BH109" s="814">
        <f>SUM(BH110:BH112)</f>
        <v>0</v>
      </c>
      <c r="BI109" s="812"/>
      <c r="BJ109" s="812">
        <f>SUM(BJ110:BJ112)</f>
        <v>0</v>
      </c>
      <c r="BK109" s="812"/>
      <c r="BL109" s="509">
        <f>SUM(BL110:BL112)</f>
        <v>13190.33333</v>
      </c>
      <c r="BM109" s="812"/>
      <c r="BN109" s="812">
        <f>SUM(BN110:BN112)</f>
        <v>0</v>
      </c>
      <c r="BO109" s="812"/>
      <c r="BP109" s="812">
        <f>SUM(BP110:BP112)</f>
        <v>0</v>
      </c>
      <c r="BQ109" s="812"/>
      <c r="BR109" s="814">
        <f>SUM(BR110:BR112)</f>
        <v>28498</v>
      </c>
      <c r="BS109" s="812"/>
      <c r="BT109" s="814">
        <f>SUM(BT110:BT112)</f>
        <v>0</v>
      </c>
      <c r="BU109" s="812"/>
      <c r="BV109" s="812">
        <f>SUM(BV110:BV112)</f>
        <v>0</v>
      </c>
      <c r="BW109" s="811"/>
      <c r="BX109" s="237">
        <f>D109+J109+P109+V109+AB109+AH109+AN109+AT109+AZ109+BF109+BL109+BR109</f>
        <v>160998.6667</v>
      </c>
      <c r="BY109" s="216"/>
      <c r="BZ109" s="216"/>
      <c r="CA109" s="216"/>
      <c r="CB109" s="216"/>
      <c r="CC109" s="216"/>
      <c r="CD109" s="216"/>
      <c r="CE109" s="216"/>
      <c r="CF109" s="216"/>
      <c r="CG109" s="216"/>
      <c r="CH109" s="216"/>
      <c r="CI109" s="216"/>
      <c r="CJ109" s="216"/>
      <c r="CK109" s="216"/>
      <c r="CL109" s="216"/>
      <c r="CM109" s="216"/>
      <c r="CN109" s="216"/>
      <c r="CO109" s="216"/>
      <c r="CP109" s="216"/>
      <c r="CQ109" s="216"/>
    </row>
    <row r="110" ht="15.75" customHeight="1">
      <c r="A110" s="213"/>
      <c r="B110" s="444"/>
      <c r="C110" s="383" t="s">
        <v>274</v>
      </c>
      <c r="D110" s="708">
        <v>1180.0</v>
      </c>
      <c r="E110" s="385">
        <f>IFERROR((D110/D$29),"")</f>
        <v>0.003757722438</v>
      </c>
      <c r="F110" s="709"/>
      <c r="G110" s="936">
        <f>IFERROR((F110/F$29),"")</f>
        <v>0</v>
      </c>
      <c r="H110" s="388">
        <f>D110-F110</f>
        <v>1180</v>
      </c>
      <c r="I110" s="383"/>
      <c r="J110" s="708"/>
      <c r="K110" s="385">
        <f>IFERROR((J110/J$29),"")</f>
        <v>0</v>
      </c>
      <c r="L110" s="440"/>
      <c r="M110" s="440"/>
      <c r="N110" s="440"/>
      <c r="O110" s="389"/>
      <c r="P110" s="708"/>
      <c r="Q110" s="440"/>
      <c r="R110" s="440"/>
      <c r="S110" s="440"/>
      <c r="T110" s="440"/>
      <c r="U110" s="389"/>
      <c r="V110" s="708"/>
      <c r="W110" s="440"/>
      <c r="X110" s="386"/>
      <c r="Y110" s="440"/>
      <c r="Z110" s="440"/>
      <c r="AA110" s="389"/>
      <c r="AB110" s="777"/>
      <c r="AC110" s="440"/>
      <c r="AD110" s="927"/>
      <c r="AE110" s="709"/>
      <c r="AF110" s="709"/>
      <c r="AG110" s="383"/>
      <c r="AH110" s="708"/>
      <c r="AI110" s="440"/>
      <c r="AJ110" s="927"/>
      <c r="AK110" s="709"/>
      <c r="AL110" s="709"/>
      <c r="AM110" s="383"/>
      <c r="AN110" s="708"/>
      <c r="AO110" s="440"/>
      <c r="AP110" s="927"/>
      <c r="AQ110" s="709"/>
      <c r="AR110" s="709"/>
      <c r="AS110" s="383"/>
      <c r="AT110" s="787"/>
      <c r="AU110" s="440"/>
      <c r="AV110" s="927"/>
      <c r="AW110" s="709"/>
      <c r="AX110" s="709"/>
      <c r="AY110" s="709"/>
      <c r="AZ110" s="388">
        <v>625.0</v>
      </c>
      <c r="BA110" s="440"/>
      <c r="BB110" s="927"/>
      <c r="BC110" s="709"/>
      <c r="BD110" s="709"/>
      <c r="BE110" s="709"/>
      <c r="BF110" s="388"/>
      <c r="BG110" s="709"/>
      <c r="BH110" s="927"/>
      <c r="BI110" s="709"/>
      <c r="BJ110" s="709"/>
      <c r="BK110" s="709"/>
      <c r="BL110" s="386"/>
      <c r="BM110" s="709"/>
      <c r="BN110" s="709"/>
      <c r="BO110" s="709"/>
      <c r="BP110" s="709"/>
      <c r="BQ110" s="709"/>
      <c r="BR110" s="802"/>
      <c r="BS110" s="709"/>
      <c r="BT110" s="927"/>
      <c r="BU110" s="709"/>
      <c r="BV110" s="709"/>
      <c r="BW110" s="383"/>
      <c r="BX110" s="213"/>
      <c r="BY110" s="213"/>
      <c r="BZ110" s="213"/>
      <c r="CA110" s="213"/>
      <c r="CB110" s="213"/>
      <c r="CC110" s="213"/>
      <c r="CD110" s="213"/>
      <c r="CE110" s="213"/>
      <c r="CF110" s="213"/>
      <c r="CG110" s="213"/>
      <c r="CH110" s="213"/>
      <c r="CI110" s="213"/>
      <c r="CJ110" s="213"/>
      <c r="CK110" s="213"/>
      <c r="CL110" s="213"/>
      <c r="CM110" s="213"/>
      <c r="CN110" s="213"/>
      <c r="CO110" s="213"/>
      <c r="CP110" s="213"/>
      <c r="CQ110" s="213"/>
    </row>
    <row r="111" ht="15.75" customHeight="1">
      <c r="A111" s="213"/>
      <c r="B111" s="444"/>
      <c r="C111" s="350" t="s">
        <v>432</v>
      </c>
      <c r="D111" s="708"/>
      <c r="E111" s="385"/>
      <c r="F111" s="709"/>
      <c r="G111" s="936"/>
      <c r="H111" s="388"/>
      <c r="I111" s="383"/>
      <c r="J111" s="708"/>
      <c r="K111" s="385"/>
      <c r="L111" s="440"/>
      <c r="M111" s="440"/>
      <c r="N111" s="440"/>
      <c r="O111" s="389"/>
      <c r="P111" s="708"/>
      <c r="Q111" s="440"/>
      <c r="R111" s="440"/>
      <c r="S111" s="440"/>
      <c r="T111" s="440"/>
      <c r="U111" s="389"/>
      <c r="V111" s="708"/>
      <c r="W111" s="440"/>
      <c r="X111" s="386"/>
      <c r="Y111" s="440"/>
      <c r="Z111" s="440"/>
      <c r="AA111" s="389"/>
      <c r="AB111" s="777"/>
      <c r="AC111" s="440"/>
      <c r="AD111" s="927"/>
      <c r="AE111" s="709"/>
      <c r="AF111" s="709"/>
      <c r="AG111" s="383"/>
      <c r="AH111" s="708"/>
      <c r="AI111" s="440"/>
      <c r="AJ111" s="927"/>
      <c r="AK111" s="709"/>
      <c r="AL111" s="709"/>
      <c r="AM111" s="383"/>
      <c r="AN111" s="708"/>
      <c r="AO111" s="440"/>
      <c r="AP111" s="927"/>
      <c r="AQ111" s="709"/>
      <c r="AR111" s="709"/>
      <c r="AS111" s="383"/>
      <c r="AT111" s="787"/>
      <c r="AU111" s="440"/>
      <c r="AV111" s="927"/>
      <c r="AW111" s="709"/>
      <c r="AX111" s="709"/>
      <c r="AY111" s="709"/>
      <c r="AZ111" s="388"/>
      <c r="BA111" s="440"/>
      <c r="BB111" s="927"/>
      <c r="BC111" s="709"/>
      <c r="BD111" s="709"/>
      <c r="BE111" s="709"/>
      <c r="BF111" s="388"/>
      <c r="BG111" s="709"/>
      <c r="BH111" s="927"/>
      <c r="BI111" s="709"/>
      <c r="BJ111" s="709"/>
      <c r="BK111" s="709"/>
      <c r="BL111" s="386"/>
      <c r="BM111" s="709"/>
      <c r="BN111" s="709"/>
      <c r="BO111" s="709"/>
      <c r="BP111" s="709"/>
      <c r="BQ111" s="709"/>
      <c r="BR111" s="802">
        <v>23090.0</v>
      </c>
      <c r="BS111" s="709"/>
      <c r="BT111" s="927"/>
      <c r="BU111" s="709"/>
      <c r="BV111" s="709"/>
      <c r="BW111" s="383"/>
      <c r="BX111" s="213"/>
      <c r="BY111" s="213"/>
      <c r="BZ111" s="213"/>
      <c r="CA111" s="213"/>
      <c r="CB111" s="213"/>
      <c r="CC111" s="213"/>
      <c r="CD111" s="213"/>
      <c r="CE111" s="213"/>
      <c r="CF111" s="213"/>
      <c r="CG111" s="213"/>
      <c r="CH111" s="213"/>
      <c r="CI111" s="213"/>
      <c r="CJ111" s="213"/>
      <c r="CK111" s="213"/>
      <c r="CL111" s="213"/>
      <c r="CM111" s="213"/>
      <c r="CN111" s="213"/>
      <c r="CO111" s="213"/>
      <c r="CP111" s="213"/>
      <c r="CQ111" s="213"/>
    </row>
    <row r="112" ht="15.75" customHeight="1">
      <c r="A112" s="213"/>
      <c r="B112" s="393"/>
      <c r="C112" s="350" t="s">
        <v>422</v>
      </c>
      <c r="D112" s="604">
        <f>1475+2950+17700+(8260/12)</f>
        <v>22813.33333</v>
      </c>
      <c r="E112" s="355">
        <f>IFERROR((D112/D$29),"")</f>
        <v>0.07264930047</v>
      </c>
      <c r="F112" s="245">
        <v>23600.0</v>
      </c>
      <c r="G112" s="790">
        <f>IFERROR((F112/F$29),"")</f>
        <v>0.295</v>
      </c>
      <c r="H112" s="357">
        <f>D112-F112</f>
        <v>-786.6666667</v>
      </c>
      <c r="I112" s="350"/>
      <c r="J112" s="604">
        <f>1475+2950+5408+(8260/12)</f>
        <v>10521.33333</v>
      </c>
      <c r="K112" s="355">
        <f>IFERROR((J112/J$29),"")</f>
        <v>0.02731962474</v>
      </c>
      <c r="L112" s="352"/>
      <c r="M112" s="352"/>
      <c r="N112" s="352"/>
      <c r="O112" s="358"/>
      <c r="P112" s="604">
        <f>1475+2950+5408+(8260/12)</f>
        <v>10521.33333</v>
      </c>
      <c r="Q112" s="355">
        <f>P112/P$29</f>
        <v>0.03142516363</v>
      </c>
      <c r="R112" s="352"/>
      <c r="S112" s="352"/>
      <c r="T112" s="352"/>
      <c r="U112" s="358"/>
      <c r="V112" s="604">
        <f>1475+2950+5408+(8260/12)</f>
        <v>10521.33333</v>
      </c>
      <c r="W112" s="355">
        <f>V112/V$29</f>
        <v>0.02457313864</v>
      </c>
      <c r="X112" s="353"/>
      <c r="Y112" s="352"/>
      <c r="Z112" s="352"/>
      <c r="AA112" s="358"/>
      <c r="AB112" s="665">
        <f>1475+2950+5408+(8260/12)</f>
        <v>10521.33333</v>
      </c>
      <c r="AC112" s="355">
        <f>AB112/AB$29</f>
        <v>0.02389333236</v>
      </c>
      <c r="AD112" s="356"/>
      <c r="AE112" s="245"/>
      <c r="AF112" s="245"/>
      <c r="AG112" s="350"/>
      <c r="AH112" s="665">
        <f>1475+2950+5408+(8260/12)</f>
        <v>10521.33333</v>
      </c>
      <c r="AI112" s="355">
        <f>AH112/AH$29</f>
        <v>0.02773124422</v>
      </c>
      <c r="AJ112" s="356"/>
      <c r="AK112" s="245"/>
      <c r="AL112" s="245"/>
      <c r="AM112" s="350"/>
      <c r="AN112" s="665">
        <f>1475+2950+5408+(8260/12)</f>
        <v>10521.33333</v>
      </c>
      <c r="AO112" s="355">
        <f>AN112/AN$29</f>
        <v>0.02252054259</v>
      </c>
      <c r="AP112" s="356"/>
      <c r="AQ112" s="245"/>
      <c r="AR112" s="245"/>
      <c r="AS112" s="350"/>
      <c r="AT112" s="942">
        <f>1475+2950+5408+(8260/12)</f>
        <v>10521.33333</v>
      </c>
      <c r="AU112" s="355">
        <f>AT112/AT$29</f>
        <v>0.01869860239</v>
      </c>
      <c r="AV112" s="356"/>
      <c r="AW112" s="245"/>
      <c r="AX112" s="245"/>
      <c r="AY112" s="245"/>
      <c r="AZ112" s="676">
        <f>1475+2950+5408+(8260/12)</f>
        <v>10521.33333</v>
      </c>
      <c r="BA112" s="355">
        <f>AZ112/AZ$29</f>
        <v>0.01047142328</v>
      </c>
      <c r="BB112" s="356"/>
      <c r="BC112" s="245"/>
      <c r="BD112" s="245"/>
      <c r="BE112" s="245"/>
      <c r="BF112" s="676">
        <f>1475+2950+5408+(8260/12)</f>
        <v>10521.33333</v>
      </c>
      <c r="BG112" s="245"/>
      <c r="BH112" s="356"/>
      <c r="BI112" s="245"/>
      <c r="BJ112" s="245"/>
      <c r="BK112" s="245"/>
      <c r="BL112" s="356">
        <f>1475+2950+5408+(8260/12)+2669</f>
        <v>13190.33333</v>
      </c>
      <c r="BM112" s="245"/>
      <c r="BN112" s="245"/>
      <c r="BO112" s="245"/>
      <c r="BP112" s="245"/>
      <c r="BQ112" s="245"/>
      <c r="BR112" s="356">
        <v>5408.0</v>
      </c>
      <c r="BS112" s="245"/>
      <c r="BT112" s="356"/>
      <c r="BU112" s="245"/>
      <c r="BV112" s="245"/>
      <c r="BW112" s="350"/>
      <c r="BX112" s="213"/>
      <c r="BY112" s="213"/>
      <c r="BZ112" s="213"/>
      <c r="CA112" s="213"/>
      <c r="CB112" s="213"/>
      <c r="CC112" s="213"/>
      <c r="CD112" s="213"/>
      <c r="CE112" s="213"/>
      <c r="CF112" s="213"/>
      <c r="CG112" s="213"/>
      <c r="CH112" s="213"/>
      <c r="CI112" s="213"/>
      <c r="CJ112" s="213"/>
      <c r="CK112" s="213"/>
      <c r="CL112" s="213"/>
      <c r="CM112" s="213"/>
      <c r="CN112" s="213"/>
      <c r="CO112" s="213"/>
      <c r="CP112" s="213"/>
      <c r="CQ112" s="213"/>
    </row>
    <row r="113" ht="15.75" customHeight="1">
      <c r="A113" s="213"/>
      <c r="B113" s="403"/>
      <c r="C113" s="362"/>
      <c r="D113" s="619"/>
      <c r="E113" s="364"/>
      <c r="F113" s="688"/>
      <c r="G113" s="688"/>
      <c r="H113" s="688"/>
      <c r="I113" s="362"/>
      <c r="J113" s="619"/>
      <c r="K113" s="364"/>
      <c r="L113" s="364"/>
      <c r="M113" s="364"/>
      <c r="N113" s="364"/>
      <c r="O113" s="368"/>
      <c r="P113" s="619"/>
      <c r="Q113" s="364"/>
      <c r="R113" s="364"/>
      <c r="S113" s="364"/>
      <c r="T113" s="364"/>
      <c r="U113" s="368"/>
      <c r="V113" s="619"/>
      <c r="W113" s="364"/>
      <c r="X113" s="365"/>
      <c r="Y113" s="364"/>
      <c r="Z113" s="364"/>
      <c r="AA113" s="368"/>
      <c r="AB113" s="403"/>
      <c r="AC113" s="688"/>
      <c r="AD113" s="689"/>
      <c r="AE113" s="688"/>
      <c r="AF113" s="688"/>
      <c r="AG113" s="362"/>
      <c r="AH113" s="619"/>
      <c r="AI113" s="688"/>
      <c r="AJ113" s="689"/>
      <c r="AK113" s="688"/>
      <c r="AL113" s="688"/>
      <c r="AM113" s="362"/>
      <c r="AN113" s="619"/>
      <c r="AO113" s="688"/>
      <c r="AP113" s="689"/>
      <c r="AQ113" s="688"/>
      <c r="AR113" s="688"/>
      <c r="AS113" s="362"/>
      <c r="AT113" s="793"/>
      <c r="AU113" s="688"/>
      <c r="AV113" s="689"/>
      <c r="AW113" s="688"/>
      <c r="AX113" s="688"/>
      <c r="AY113" s="688"/>
      <c r="AZ113" s="367"/>
      <c r="BA113" s="688"/>
      <c r="BB113" s="689"/>
      <c r="BC113" s="688"/>
      <c r="BD113" s="688"/>
      <c r="BE113" s="688"/>
      <c r="BF113" s="367"/>
      <c r="BG113" s="688"/>
      <c r="BH113" s="689"/>
      <c r="BI113" s="688"/>
      <c r="BJ113" s="688"/>
      <c r="BK113" s="688"/>
      <c r="BL113" s="365"/>
      <c r="BM113" s="688"/>
      <c r="BN113" s="688"/>
      <c r="BO113" s="688"/>
      <c r="BP113" s="688"/>
      <c r="BQ113" s="688"/>
      <c r="BR113" s="804"/>
      <c r="BS113" s="688"/>
      <c r="BT113" s="689"/>
      <c r="BU113" s="688"/>
      <c r="BV113" s="688"/>
      <c r="BW113" s="362"/>
      <c r="BX113" s="213"/>
      <c r="BY113" s="213"/>
      <c r="BZ113" s="213"/>
      <c r="CA113" s="213"/>
      <c r="CB113" s="213"/>
      <c r="CC113" s="213"/>
      <c r="CD113" s="213"/>
      <c r="CE113" s="213"/>
      <c r="CF113" s="213"/>
      <c r="CG113" s="213"/>
      <c r="CH113" s="213"/>
      <c r="CI113" s="213"/>
      <c r="CJ113" s="213"/>
      <c r="CK113" s="213"/>
      <c r="CL113" s="213"/>
      <c r="CM113" s="213"/>
      <c r="CN113" s="213"/>
      <c r="CO113" s="213"/>
      <c r="CP113" s="213"/>
      <c r="CQ113" s="213"/>
    </row>
    <row r="114" ht="15.75" customHeight="1">
      <c r="A114" s="213"/>
      <c r="B114" s="735"/>
      <c r="C114" s="447" t="s">
        <v>41</v>
      </c>
      <c r="D114" s="771">
        <f>SUM(D115:D129)</f>
        <v>54468</v>
      </c>
      <c r="E114" s="772">
        <f>D114/D$29</f>
        <v>0.1734539201</v>
      </c>
      <c r="F114" s="812">
        <f>SUM(F115:F127)</f>
        <v>0</v>
      </c>
      <c r="G114" s="935">
        <f>F114/F$29</f>
        <v>0</v>
      </c>
      <c r="H114" s="810">
        <f>SUM(H115:H127)</f>
        <v>54468</v>
      </c>
      <c r="I114" s="811"/>
      <c r="J114" s="771">
        <f>SUM(J115:J129)</f>
        <v>96234.5</v>
      </c>
      <c r="K114" s="772">
        <f>J114/J$29</f>
        <v>0.249881868</v>
      </c>
      <c r="L114" s="774">
        <f>SUM(L115:L127)</f>
        <v>0</v>
      </c>
      <c r="M114" s="774"/>
      <c r="N114" s="774">
        <f>SUM(N115:N127)</f>
        <v>0</v>
      </c>
      <c r="O114" s="513"/>
      <c r="P114" s="771">
        <f>SUM(P115:P129)</f>
        <v>161226</v>
      </c>
      <c r="Q114" s="772">
        <f t="shared" ref="Q114:Q120" si="69">P114/P$29</f>
        <v>0.4815505098</v>
      </c>
      <c r="R114" s="774">
        <f>SUM(R115:R127)</f>
        <v>0</v>
      </c>
      <c r="S114" s="774"/>
      <c r="T114" s="774">
        <f>SUM(T115:T127)</f>
        <v>0</v>
      </c>
      <c r="U114" s="513"/>
      <c r="V114" s="771">
        <f>SUM(V115:V129)</f>
        <v>56001</v>
      </c>
      <c r="W114" s="772">
        <f t="shared" ref="W114:W120" si="70">V114/V$29</f>
        <v>0.1307933409</v>
      </c>
      <c r="X114" s="509">
        <f>SUM(X115:X127)</f>
        <v>0</v>
      </c>
      <c r="Y114" s="774"/>
      <c r="Z114" s="774">
        <f>SUM(Z115:Z127)</f>
        <v>0</v>
      </c>
      <c r="AA114" s="513"/>
      <c r="AB114" s="771">
        <f>SUM(AB115:AB129)</f>
        <v>236581</v>
      </c>
      <c r="AC114" s="772">
        <f t="shared" ref="AC114:AC120" si="71">AB114/AB$29</f>
        <v>0.5372616079</v>
      </c>
      <c r="AD114" s="814">
        <f>SUM(AD115:AD127)</f>
        <v>0</v>
      </c>
      <c r="AE114" s="812"/>
      <c r="AF114" s="812">
        <f>SUM(AF115:AF127)</f>
        <v>0</v>
      </c>
      <c r="AG114" s="811"/>
      <c r="AH114" s="771">
        <f>SUM(AH115:AH129)</f>
        <v>43771</v>
      </c>
      <c r="AI114" s="772">
        <f t="shared" ref="AI114:AI120" si="72">AH114/AH$29</f>
        <v>0.1153679151</v>
      </c>
      <c r="AJ114" s="814">
        <f>SUM(AJ115:AJ127)</f>
        <v>0</v>
      </c>
      <c r="AK114" s="812"/>
      <c r="AL114" s="812">
        <f>SUM(AL115:AL127)</f>
        <v>0</v>
      </c>
      <c r="AM114" s="811"/>
      <c r="AN114" s="771">
        <f>SUM(AN115:AN129)</f>
        <v>29197</v>
      </c>
      <c r="AO114" s="772">
        <f t="shared" ref="AO114:AO120" si="73">AN114/AN$29</f>
        <v>0.06249514783</v>
      </c>
      <c r="AP114" s="814">
        <f>SUM(AP115:AP127)</f>
        <v>0</v>
      </c>
      <c r="AQ114" s="812"/>
      <c r="AR114" s="812">
        <f>SUM(AR115:AR127)</f>
        <v>0</v>
      </c>
      <c r="AS114" s="811"/>
      <c r="AT114" s="509">
        <f>SUM(AT115:AT129)</f>
        <v>41346</v>
      </c>
      <c r="AU114" s="772">
        <f t="shared" ref="AU114:AU120" si="74">AT114/AT$29</f>
        <v>0.07348046013</v>
      </c>
      <c r="AV114" s="814">
        <f>SUM(AV115:AV127)</f>
        <v>0</v>
      </c>
      <c r="AW114" s="812"/>
      <c r="AX114" s="812">
        <f>SUM(AX115:AX127)</f>
        <v>0</v>
      </c>
      <c r="AY114" s="812"/>
      <c r="AZ114" s="509">
        <f>SUM(AZ115:AZ129)</f>
        <v>42885.33333</v>
      </c>
      <c r="BA114" s="772">
        <f t="shared" ref="BA114:BA120" si="75">AZ114/AZ$29</f>
        <v>0.04268189818</v>
      </c>
      <c r="BB114" s="814">
        <f>SUM(BB115:BB127)</f>
        <v>0</v>
      </c>
      <c r="BC114" s="812"/>
      <c r="BD114" s="812">
        <f>SUM(BD115:BD127)</f>
        <v>0</v>
      </c>
      <c r="BE114" s="812"/>
      <c r="BF114" s="509">
        <f>SUM(BF115:BF129)</f>
        <v>174967.3333</v>
      </c>
      <c r="BG114" s="812"/>
      <c r="BH114" s="814">
        <f>SUM(BH115:BH127)</f>
        <v>0</v>
      </c>
      <c r="BI114" s="812"/>
      <c r="BJ114" s="812">
        <f>SUM(BJ115:BJ127)</f>
        <v>0</v>
      </c>
      <c r="BK114" s="812"/>
      <c r="BL114" s="509">
        <f>SUM(BL115:BL129)</f>
        <v>93565.58333</v>
      </c>
      <c r="BM114" s="812"/>
      <c r="BN114" s="812">
        <f>SUM(BN115:BN127)</f>
        <v>0</v>
      </c>
      <c r="BO114" s="812"/>
      <c r="BP114" s="812">
        <f>SUM(BP115:BP127)</f>
        <v>0</v>
      </c>
      <c r="BQ114" s="812"/>
      <c r="BR114" s="814">
        <f>SUM(BR115:BR129)</f>
        <v>489346.7833</v>
      </c>
      <c r="BS114" s="812"/>
      <c r="BT114" s="814">
        <f>SUM(BT115:BT127)</f>
        <v>0</v>
      </c>
      <c r="BU114" s="812"/>
      <c r="BV114" s="812">
        <f>SUM(BV115:BV127)</f>
        <v>0</v>
      </c>
      <c r="BW114" s="811"/>
      <c r="BX114" s="237">
        <f>D114+J114+P114+V114+AB114+AH114+AN114+AT114+AZ114+BF114+BL114+BR114</f>
        <v>1519589.533</v>
      </c>
      <c r="BY114" s="216"/>
      <c r="BZ114" s="216"/>
      <c r="CA114" s="216"/>
      <c r="CB114" s="216"/>
      <c r="CC114" s="216"/>
      <c r="CD114" s="216"/>
      <c r="CE114" s="216"/>
      <c r="CF114" s="216"/>
      <c r="CG114" s="216"/>
      <c r="CH114" s="216"/>
      <c r="CI114" s="216"/>
      <c r="CJ114" s="216"/>
      <c r="CK114" s="216"/>
      <c r="CL114" s="216"/>
      <c r="CM114" s="216"/>
      <c r="CN114" s="216"/>
      <c r="CO114" s="216"/>
      <c r="CP114" s="216"/>
      <c r="CQ114" s="216"/>
    </row>
    <row r="115" ht="15.75" customHeight="1">
      <c r="A115" s="213"/>
      <c r="B115" s="444"/>
      <c r="C115" s="383" t="s">
        <v>277</v>
      </c>
      <c r="D115" s="708"/>
      <c r="E115" s="385">
        <f t="shared" ref="E115:E120" si="76">IFERROR((D115/D$29),"")</f>
        <v>0</v>
      </c>
      <c r="F115" s="709"/>
      <c r="G115" s="936">
        <f t="shared" ref="G115:G120" si="77">IFERROR((F115/F$29),"")</f>
        <v>0</v>
      </c>
      <c r="H115" s="388">
        <f t="shared" ref="H115:H120" si="78">D115-F115</f>
        <v>0</v>
      </c>
      <c r="I115" s="383"/>
      <c r="J115" s="708"/>
      <c r="K115" s="385">
        <f t="shared" ref="K115:K120" si="79">IFERROR((J115/J$29),"")</f>
        <v>0</v>
      </c>
      <c r="L115" s="440"/>
      <c r="M115" s="440"/>
      <c r="N115" s="440"/>
      <c r="O115" s="389"/>
      <c r="P115" s="708"/>
      <c r="Q115" s="385">
        <f t="shared" si="69"/>
        <v>0</v>
      </c>
      <c r="R115" s="440"/>
      <c r="S115" s="440"/>
      <c r="T115" s="440"/>
      <c r="U115" s="389"/>
      <c r="V115" s="708"/>
      <c r="W115" s="385">
        <f t="shared" si="70"/>
        <v>0</v>
      </c>
      <c r="X115" s="386"/>
      <c r="Y115" s="440"/>
      <c r="Z115" s="440"/>
      <c r="AA115" s="389"/>
      <c r="AB115" s="708"/>
      <c r="AC115" s="385">
        <f t="shared" si="71"/>
        <v>0</v>
      </c>
      <c r="AD115" s="927"/>
      <c r="AE115" s="709"/>
      <c r="AF115" s="709"/>
      <c r="AG115" s="383"/>
      <c r="AH115" s="708"/>
      <c r="AI115" s="385">
        <f t="shared" si="72"/>
        <v>0</v>
      </c>
      <c r="AJ115" s="927"/>
      <c r="AK115" s="709"/>
      <c r="AL115" s="709"/>
      <c r="AM115" s="383"/>
      <c r="AN115" s="708"/>
      <c r="AO115" s="385">
        <f t="shared" si="73"/>
        <v>0</v>
      </c>
      <c r="AP115" s="927"/>
      <c r="AQ115" s="709"/>
      <c r="AR115" s="709"/>
      <c r="AS115" s="383"/>
      <c r="AT115" s="787"/>
      <c r="AU115" s="385">
        <f t="shared" si="74"/>
        <v>0</v>
      </c>
      <c r="AV115" s="927"/>
      <c r="AW115" s="709"/>
      <c r="AX115" s="709"/>
      <c r="AY115" s="709"/>
      <c r="AZ115" s="388"/>
      <c r="BA115" s="385">
        <f t="shared" si="75"/>
        <v>0</v>
      </c>
      <c r="BB115" s="927"/>
      <c r="BC115" s="709"/>
      <c r="BD115" s="709"/>
      <c r="BE115" s="709"/>
      <c r="BF115" s="388"/>
      <c r="BG115" s="709"/>
      <c r="BH115" s="927"/>
      <c r="BI115" s="709"/>
      <c r="BJ115" s="709"/>
      <c r="BK115" s="709"/>
      <c r="BL115" s="386"/>
      <c r="BM115" s="709"/>
      <c r="BN115" s="709"/>
      <c r="BO115" s="709"/>
      <c r="BP115" s="709"/>
      <c r="BQ115" s="709"/>
      <c r="BR115" s="802"/>
      <c r="BS115" s="709"/>
      <c r="BT115" s="927"/>
      <c r="BU115" s="709"/>
      <c r="BV115" s="709"/>
      <c r="BW115" s="383"/>
      <c r="BX115" s="213"/>
      <c r="BY115" s="213"/>
      <c r="BZ115" s="213"/>
      <c r="CA115" s="213"/>
      <c r="CB115" s="213"/>
      <c r="CC115" s="213"/>
      <c r="CD115" s="213"/>
      <c r="CE115" s="213"/>
      <c r="CF115" s="213"/>
      <c r="CG115" s="213"/>
      <c r="CH115" s="213"/>
      <c r="CI115" s="213"/>
      <c r="CJ115" s="213"/>
      <c r="CK115" s="213"/>
      <c r="CL115" s="213"/>
      <c r="CM115" s="213"/>
      <c r="CN115" s="213"/>
      <c r="CO115" s="213"/>
      <c r="CP115" s="213"/>
      <c r="CQ115" s="213"/>
    </row>
    <row r="116" ht="15.75" customHeight="1">
      <c r="A116" s="213"/>
      <c r="B116" s="393"/>
      <c r="C116" s="350" t="s">
        <v>278</v>
      </c>
      <c r="D116" s="604"/>
      <c r="E116" s="355">
        <f t="shared" si="76"/>
        <v>0</v>
      </c>
      <c r="F116" s="245"/>
      <c r="G116" s="790">
        <f t="shared" si="77"/>
        <v>0</v>
      </c>
      <c r="H116" s="357">
        <f t="shared" si="78"/>
        <v>0</v>
      </c>
      <c r="I116" s="350"/>
      <c r="J116" s="604">
        <f>350+(49489/2)</f>
        <v>25094.5</v>
      </c>
      <c r="K116" s="355">
        <f t="shared" si="79"/>
        <v>0.06516021319</v>
      </c>
      <c r="L116" s="352"/>
      <c r="M116" s="352"/>
      <c r="N116" s="352"/>
      <c r="O116" s="358"/>
      <c r="P116" s="604">
        <f>7352+(24741/3)</f>
        <v>15599</v>
      </c>
      <c r="Q116" s="355">
        <f t="shared" si="69"/>
        <v>0.04659116025</v>
      </c>
      <c r="R116" s="352"/>
      <c r="S116" s="352"/>
      <c r="T116" s="352"/>
      <c r="U116" s="358"/>
      <c r="V116" s="604">
        <v>3418.0</v>
      </c>
      <c r="W116" s="355">
        <f t="shared" si="70"/>
        <v>0.007982922432</v>
      </c>
      <c r="X116" s="353"/>
      <c r="Y116" s="352"/>
      <c r="Z116" s="352"/>
      <c r="AA116" s="358"/>
      <c r="AB116" s="604">
        <v>6842.0</v>
      </c>
      <c r="AC116" s="355">
        <f t="shared" si="71"/>
        <v>0.01553778165</v>
      </c>
      <c r="AD116" s="356"/>
      <c r="AE116" s="245"/>
      <c r="AF116" s="245"/>
      <c r="AG116" s="350"/>
      <c r="AH116" s="604">
        <v>10319.0</v>
      </c>
      <c r="AI116" s="355">
        <f t="shared" si="72"/>
        <v>0.02719795106</v>
      </c>
      <c r="AJ116" s="356"/>
      <c r="AK116" s="245"/>
      <c r="AL116" s="245"/>
      <c r="AM116" s="350"/>
      <c r="AN116" s="604">
        <v>9609.0</v>
      </c>
      <c r="AO116" s="355">
        <f t="shared" si="73"/>
        <v>0.0205677253</v>
      </c>
      <c r="AP116" s="356"/>
      <c r="AQ116" s="245"/>
      <c r="AR116" s="245"/>
      <c r="AS116" s="350"/>
      <c r="AT116" s="605">
        <v>13043.0</v>
      </c>
      <c r="AU116" s="355">
        <f t="shared" si="74"/>
        <v>0.02318012967</v>
      </c>
      <c r="AV116" s="356"/>
      <c r="AW116" s="245"/>
      <c r="AX116" s="245"/>
      <c r="AY116" s="245"/>
      <c r="AZ116" s="357">
        <v>16540.0</v>
      </c>
      <c r="BA116" s="355">
        <f t="shared" si="75"/>
        <v>0.0164615392</v>
      </c>
      <c r="BB116" s="356"/>
      <c r="BC116" s="245"/>
      <c r="BD116" s="245"/>
      <c r="BE116" s="245"/>
      <c r="BF116" s="357">
        <f>129627+4369</f>
        <v>133996</v>
      </c>
      <c r="BG116" s="245"/>
      <c r="BH116" s="356"/>
      <c r="BI116" s="245"/>
      <c r="BJ116" s="245"/>
      <c r="BK116" s="245"/>
      <c r="BL116" s="353">
        <f>4670+5945</f>
        <v>10615</v>
      </c>
      <c r="BM116" s="245"/>
      <c r="BN116" s="245"/>
      <c r="BO116" s="245"/>
      <c r="BP116" s="245"/>
      <c r="BQ116" s="245"/>
      <c r="BR116" s="356">
        <v>3969.0</v>
      </c>
      <c r="BS116" s="245"/>
      <c r="BT116" s="356"/>
      <c r="BU116" s="245"/>
      <c r="BV116" s="245"/>
      <c r="BW116" s="350"/>
      <c r="BX116" s="213"/>
      <c r="BY116" s="213"/>
      <c r="BZ116" s="213"/>
      <c r="CA116" s="213"/>
      <c r="CB116" s="213"/>
      <c r="CC116" s="213"/>
      <c r="CD116" s="213"/>
      <c r="CE116" s="213"/>
      <c r="CF116" s="213"/>
      <c r="CG116" s="213"/>
      <c r="CH116" s="213"/>
      <c r="CI116" s="213"/>
      <c r="CJ116" s="213"/>
      <c r="CK116" s="213"/>
      <c r="CL116" s="213"/>
      <c r="CM116" s="213"/>
      <c r="CN116" s="213"/>
      <c r="CO116" s="213"/>
      <c r="CP116" s="213"/>
      <c r="CQ116" s="213"/>
    </row>
    <row r="117" ht="15.75" customHeight="1">
      <c r="A117" s="213"/>
      <c r="B117" s="393"/>
      <c r="C117" s="350" t="s">
        <v>280</v>
      </c>
      <c r="D117" s="604"/>
      <c r="E117" s="355">
        <f t="shared" si="76"/>
        <v>0</v>
      </c>
      <c r="F117" s="245"/>
      <c r="G117" s="790">
        <f t="shared" si="77"/>
        <v>0</v>
      </c>
      <c r="H117" s="357">
        <f t="shared" si="78"/>
        <v>0</v>
      </c>
      <c r="I117" s="350"/>
      <c r="J117" s="604">
        <v>1500.0</v>
      </c>
      <c r="K117" s="355">
        <f t="shared" si="79"/>
        <v>0.003894890107</v>
      </c>
      <c r="L117" s="352"/>
      <c r="M117" s="352"/>
      <c r="N117" s="352"/>
      <c r="O117" s="358"/>
      <c r="P117" s="604"/>
      <c r="Q117" s="355">
        <f t="shared" si="69"/>
        <v>0</v>
      </c>
      <c r="R117" s="352"/>
      <c r="S117" s="352"/>
      <c r="T117" s="352"/>
      <c r="U117" s="358"/>
      <c r="V117" s="604"/>
      <c r="W117" s="355">
        <f t="shared" si="70"/>
        <v>0</v>
      </c>
      <c r="X117" s="353"/>
      <c r="Y117" s="352"/>
      <c r="Z117" s="352"/>
      <c r="AA117" s="358"/>
      <c r="AB117" s="604"/>
      <c r="AC117" s="355">
        <f t="shared" si="71"/>
        <v>0</v>
      </c>
      <c r="AD117" s="356"/>
      <c r="AE117" s="245"/>
      <c r="AF117" s="245"/>
      <c r="AG117" s="350"/>
      <c r="AH117" s="604"/>
      <c r="AI117" s="355">
        <f t="shared" si="72"/>
        <v>0</v>
      </c>
      <c r="AJ117" s="356"/>
      <c r="AK117" s="245"/>
      <c r="AL117" s="245"/>
      <c r="AM117" s="350"/>
      <c r="AN117" s="604"/>
      <c r="AO117" s="355">
        <f t="shared" si="73"/>
        <v>0</v>
      </c>
      <c r="AP117" s="356"/>
      <c r="AQ117" s="245"/>
      <c r="AR117" s="245"/>
      <c r="AS117" s="350"/>
      <c r="AT117" s="605"/>
      <c r="AU117" s="355">
        <f t="shared" si="74"/>
        <v>0</v>
      </c>
      <c r="AV117" s="356"/>
      <c r="AW117" s="245"/>
      <c r="AX117" s="245"/>
      <c r="AY117" s="245"/>
      <c r="AZ117" s="357"/>
      <c r="BA117" s="355">
        <f t="shared" si="75"/>
        <v>0</v>
      </c>
      <c r="BB117" s="356"/>
      <c r="BC117" s="245"/>
      <c r="BD117" s="245"/>
      <c r="BE117" s="245"/>
      <c r="BF117" s="357"/>
      <c r="BG117" s="245"/>
      <c r="BH117" s="356"/>
      <c r="BI117" s="245"/>
      <c r="BJ117" s="245"/>
      <c r="BK117" s="245"/>
      <c r="BL117" s="353"/>
      <c r="BM117" s="245"/>
      <c r="BN117" s="245"/>
      <c r="BO117" s="245"/>
      <c r="BP117" s="245"/>
      <c r="BQ117" s="245"/>
      <c r="BR117" s="356"/>
      <c r="BS117" s="245"/>
      <c r="BT117" s="356"/>
      <c r="BU117" s="245"/>
      <c r="BV117" s="245"/>
      <c r="BW117" s="350"/>
      <c r="BX117" s="213"/>
      <c r="BY117" s="213"/>
      <c r="BZ117" s="213"/>
      <c r="CA117" s="213"/>
      <c r="CB117" s="213"/>
      <c r="CC117" s="213"/>
      <c r="CD117" s="213"/>
      <c r="CE117" s="213"/>
      <c r="CF117" s="213"/>
      <c r="CG117" s="213"/>
      <c r="CH117" s="213"/>
      <c r="CI117" s="213"/>
      <c r="CJ117" s="213"/>
      <c r="CK117" s="213"/>
      <c r="CL117" s="213"/>
      <c r="CM117" s="213"/>
      <c r="CN117" s="213"/>
      <c r="CO117" s="213"/>
      <c r="CP117" s="213"/>
      <c r="CQ117" s="213"/>
    </row>
    <row r="118" ht="15.75" customHeight="1">
      <c r="A118" s="213"/>
      <c r="B118" s="393"/>
      <c r="C118" s="350" t="s">
        <v>334</v>
      </c>
      <c r="D118" s="604"/>
      <c r="E118" s="355">
        <f t="shared" si="76"/>
        <v>0</v>
      </c>
      <c r="F118" s="245"/>
      <c r="G118" s="790">
        <f t="shared" si="77"/>
        <v>0</v>
      </c>
      <c r="H118" s="357">
        <f t="shared" si="78"/>
        <v>0</v>
      </c>
      <c r="I118" s="350"/>
      <c r="J118" s="604"/>
      <c r="K118" s="355">
        <f t="shared" si="79"/>
        <v>0</v>
      </c>
      <c r="L118" s="352"/>
      <c r="M118" s="352"/>
      <c r="N118" s="352"/>
      <c r="O118" s="358"/>
      <c r="P118" s="604"/>
      <c r="Q118" s="355">
        <f t="shared" si="69"/>
        <v>0</v>
      </c>
      <c r="R118" s="352"/>
      <c r="S118" s="352"/>
      <c r="T118" s="352"/>
      <c r="U118" s="358"/>
      <c r="V118" s="604"/>
      <c r="W118" s="355">
        <f t="shared" si="70"/>
        <v>0</v>
      </c>
      <c r="X118" s="353"/>
      <c r="Y118" s="352"/>
      <c r="Z118" s="352"/>
      <c r="AA118" s="358"/>
      <c r="AB118" s="604"/>
      <c r="AC118" s="355">
        <f t="shared" si="71"/>
        <v>0</v>
      </c>
      <c r="AD118" s="356"/>
      <c r="AE118" s="245"/>
      <c r="AF118" s="245"/>
      <c r="AG118" s="350"/>
      <c r="AH118" s="604"/>
      <c r="AI118" s="355">
        <f t="shared" si="72"/>
        <v>0</v>
      </c>
      <c r="AJ118" s="356"/>
      <c r="AK118" s="245"/>
      <c r="AL118" s="245"/>
      <c r="AM118" s="350"/>
      <c r="AN118" s="604"/>
      <c r="AO118" s="355">
        <f t="shared" si="73"/>
        <v>0</v>
      </c>
      <c r="AP118" s="356"/>
      <c r="AQ118" s="245"/>
      <c r="AR118" s="245"/>
      <c r="AS118" s="350"/>
      <c r="AT118" s="605"/>
      <c r="AU118" s="355">
        <f t="shared" si="74"/>
        <v>0</v>
      </c>
      <c r="AV118" s="356"/>
      <c r="AW118" s="245"/>
      <c r="AX118" s="245"/>
      <c r="AY118" s="245"/>
      <c r="AZ118" s="357"/>
      <c r="BA118" s="355">
        <f t="shared" si="75"/>
        <v>0</v>
      </c>
      <c r="BB118" s="356"/>
      <c r="BC118" s="245"/>
      <c r="BD118" s="245"/>
      <c r="BE118" s="245"/>
      <c r="BF118" s="357"/>
      <c r="BG118" s="245"/>
      <c r="BH118" s="356"/>
      <c r="BI118" s="245"/>
      <c r="BJ118" s="245"/>
      <c r="BK118" s="245"/>
      <c r="BL118" s="353"/>
      <c r="BM118" s="245"/>
      <c r="BN118" s="245"/>
      <c r="BO118" s="245"/>
      <c r="BP118" s="245"/>
      <c r="BQ118" s="245"/>
      <c r="BR118" s="356"/>
      <c r="BS118" s="245"/>
      <c r="BT118" s="356"/>
      <c r="BU118" s="245"/>
      <c r="BV118" s="245"/>
      <c r="BW118" s="350"/>
      <c r="BX118" s="213"/>
      <c r="BY118" s="213"/>
      <c r="BZ118" s="213"/>
      <c r="CA118" s="213"/>
      <c r="CB118" s="213"/>
      <c r="CC118" s="213"/>
      <c r="CD118" s="213"/>
      <c r="CE118" s="213"/>
      <c r="CF118" s="213"/>
      <c r="CG118" s="213"/>
      <c r="CH118" s="213"/>
      <c r="CI118" s="213"/>
      <c r="CJ118" s="213"/>
      <c r="CK118" s="213"/>
      <c r="CL118" s="213"/>
      <c r="CM118" s="213"/>
      <c r="CN118" s="213"/>
      <c r="CO118" s="213"/>
      <c r="CP118" s="213"/>
      <c r="CQ118" s="213"/>
    </row>
    <row r="119" ht="15.75" customHeight="1">
      <c r="A119" s="213"/>
      <c r="B119" s="393"/>
      <c r="C119" s="350" t="s">
        <v>335</v>
      </c>
      <c r="D119" s="604"/>
      <c r="E119" s="355">
        <f t="shared" si="76"/>
        <v>0</v>
      </c>
      <c r="F119" s="245"/>
      <c r="G119" s="790">
        <f t="shared" si="77"/>
        <v>0</v>
      </c>
      <c r="H119" s="357">
        <f t="shared" si="78"/>
        <v>0</v>
      </c>
      <c r="I119" s="350"/>
      <c r="J119" s="604"/>
      <c r="K119" s="355">
        <f t="shared" si="79"/>
        <v>0</v>
      </c>
      <c r="L119" s="352"/>
      <c r="M119" s="352"/>
      <c r="N119" s="352"/>
      <c r="O119" s="358"/>
      <c r="P119" s="604"/>
      <c r="Q119" s="355">
        <f t="shared" si="69"/>
        <v>0</v>
      </c>
      <c r="R119" s="352"/>
      <c r="S119" s="352"/>
      <c r="T119" s="352"/>
      <c r="U119" s="358"/>
      <c r="V119" s="604"/>
      <c r="W119" s="355">
        <f t="shared" si="70"/>
        <v>0</v>
      </c>
      <c r="X119" s="353"/>
      <c r="Y119" s="352"/>
      <c r="Z119" s="352"/>
      <c r="AA119" s="358"/>
      <c r="AB119" s="604"/>
      <c r="AC119" s="355">
        <f t="shared" si="71"/>
        <v>0</v>
      </c>
      <c r="AD119" s="356"/>
      <c r="AE119" s="245"/>
      <c r="AF119" s="245"/>
      <c r="AG119" s="350"/>
      <c r="AH119" s="604"/>
      <c r="AI119" s="355">
        <f t="shared" si="72"/>
        <v>0</v>
      </c>
      <c r="AJ119" s="356"/>
      <c r="AK119" s="245"/>
      <c r="AL119" s="245"/>
      <c r="AM119" s="350"/>
      <c r="AN119" s="604"/>
      <c r="AO119" s="355">
        <f t="shared" si="73"/>
        <v>0</v>
      </c>
      <c r="AP119" s="356"/>
      <c r="AQ119" s="245"/>
      <c r="AR119" s="245"/>
      <c r="AS119" s="350"/>
      <c r="AT119" s="605"/>
      <c r="AU119" s="355">
        <f t="shared" si="74"/>
        <v>0</v>
      </c>
      <c r="AV119" s="356"/>
      <c r="AW119" s="245"/>
      <c r="AX119" s="245"/>
      <c r="AY119" s="245"/>
      <c r="AZ119" s="357"/>
      <c r="BA119" s="355">
        <f t="shared" si="75"/>
        <v>0</v>
      </c>
      <c r="BB119" s="356"/>
      <c r="BC119" s="245"/>
      <c r="BD119" s="245"/>
      <c r="BE119" s="245"/>
      <c r="BF119" s="357"/>
      <c r="BG119" s="245"/>
      <c r="BH119" s="356"/>
      <c r="BI119" s="245"/>
      <c r="BJ119" s="245"/>
      <c r="BK119" s="245"/>
      <c r="BL119" s="353"/>
      <c r="BM119" s="245"/>
      <c r="BN119" s="245"/>
      <c r="BO119" s="245"/>
      <c r="BP119" s="245"/>
      <c r="BQ119" s="245"/>
      <c r="BR119" s="356"/>
      <c r="BS119" s="245"/>
      <c r="BT119" s="356"/>
      <c r="BU119" s="245"/>
      <c r="BV119" s="245"/>
      <c r="BW119" s="350"/>
      <c r="BX119" s="213"/>
      <c r="BY119" s="213"/>
      <c r="BZ119" s="213"/>
      <c r="CA119" s="213"/>
      <c r="CB119" s="213"/>
      <c r="CC119" s="213"/>
      <c r="CD119" s="213"/>
      <c r="CE119" s="213"/>
      <c r="CF119" s="213"/>
      <c r="CG119" s="213"/>
      <c r="CH119" s="213"/>
      <c r="CI119" s="213"/>
      <c r="CJ119" s="213"/>
      <c r="CK119" s="213"/>
      <c r="CL119" s="213"/>
      <c r="CM119" s="213"/>
      <c r="CN119" s="213"/>
      <c r="CO119" s="213"/>
      <c r="CP119" s="213"/>
      <c r="CQ119" s="213"/>
    </row>
    <row r="120" ht="15.75" customHeight="1">
      <c r="A120" s="213"/>
      <c r="B120" s="393"/>
      <c r="C120" s="350" t="s">
        <v>282</v>
      </c>
      <c r="D120" s="604">
        <f>3730+25322</f>
        <v>29052</v>
      </c>
      <c r="E120" s="355">
        <f t="shared" si="76"/>
        <v>0.09251640023</v>
      </c>
      <c r="F120" s="245"/>
      <c r="G120" s="790">
        <f t="shared" si="77"/>
        <v>0</v>
      </c>
      <c r="H120" s="357">
        <f t="shared" si="78"/>
        <v>29052</v>
      </c>
      <c r="I120" s="350"/>
      <c r="J120" s="604">
        <f>46890+3540</f>
        <v>50430</v>
      </c>
      <c r="K120" s="355">
        <f t="shared" si="79"/>
        <v>0.1309462054</v>
      </c>
      <c r="L120" s="352"/>
      <c r="M120" s="352"/>
      <c r="N120" s="352"/>
      <c r="O120" s="358"/>
      <c r="P120" s="604">
        <f>42400+83953</f>
        <v>126353</v>
      </c>
      <c r="Q120" s="355">
        <f t="shared" si="69"/>
        <v>0.3773916835</v>
      </c>
      <c r="R120" s="352"/>
      <c r="S120" s="352"/>
      <c r="T120" s="352"/>
      <c r="U120" s="358"/>
      <c r="V120" s="604">
        <f>660+32944</f>
        <v>33604</v>
      </c>
      <c r="W120" s="355">
        <f t="shared" si="70"/>
        <v>0.0784839454</v>
      </c>
      <c r="X120" s="353"/>
      <c r="Y120" s="352"/>
      <c r="Z120" s="352"/>
      <c r="AA120" s="358"/>
      <c r="AB120" s="604">
        <f>77480+132826</f>
        <v>210306</v>
      </c>
      <c r="AC120" s="355">
        <f t="shared" si="71"/>
        <v>0.4775926203</v>
      </c>
      <c r="AD120" s="356"/>
      <c r="AE120" s="245"/>
      <c r="AF120" s="245"/>
      <c r="AG120" s="350"/>
      <c r="AH120" s="604">
        <v>14100.0</v>
      </c>
      <c r="AI120" s="355">
        <f t="shared" si="72"/>
        <v>0.03716359239</v>
      </c>
      <c r="AJ120" s="356"/>
      <c r="AK120" s="245"/>
      <c r="AL120" s="245"/>
      <c r="AM120" s="350"/>
      <c r="AN120" s="604"/>
      <c r="AO120" s="355">
        <f t="shared" si="73"/>
        <v>0</v>
      </c>
      <c r="AP120" s="356"/>
      <c r="AQ120" s="245"/>
      <c r="AR120" s="245"/>
      <c r="AS120" s="350"/>
      <c r="AT120" s="605">
        <v>8650.0</v>
      </c>
      <c r="AU120" s="355">
        <f t="shared" si="74"/>
        <v>0.015372853</v>
      </c>
      <c r="AV120" s="356"/>
      <c r="AW120" s="245"/>
      <c r="AX120" s="245"/>
      <c r="AY120" s="245"/>
      <c r="AZ120" s="357">
        <v>4820.0</v>
      </c>
      <c r="BA120" s="355">
        <f t="shared" si="75"/>
        <v>0.004797135366</v>
      </c>
      <c r="BB120" s="356"/>
      <c r="BC120" s="245"/>
      <c r="BD120" s="245"/>
      <c r="BE120" s="245"/>
      <c r="BF120" s="357">
        <v>18950.0</v>
      </c>
      <c r="BG120" s="245"/>
      <c r="BH120" s="356"/>
      <c r="BI120" s="245"/>
      <c r="BJ120" s="245"/>
      <c r="BK120" s="245"/>
      <c r="BL120" s="353">
        <v>47845.0</v>
      </c>
      <c r="BM120" s="245"/>
      <c r="BN120" s="245"/>
      <c r="BO120" s="245"/>
      <c r="BP120" s="245"/>
      <c r="BQ120" s="245"/>
      <c r="BR120" s="356">
        <v>50732.45</v>
      </c>
      <c r="BS120" s="245"/>
      <c r="BT120" s="356"/>
      <c r="BU120" s="245"/>
      <c r="BV120" s="245"/>
      <c r="BW120" s="350"/>
      <c r="BX120" s="213"/>
      <c r="BY120" s="213"/>
      <c r="BZ120" s="213"/>
      <c r="CA120" s="213"/>
      <c r="CB120" s="213"/>
      <c r="CC120" s="213"/>
      <c r="CD120" s="213"/>
      <c r="CE120" s="213"/>
      <c r="CF120" s="213"/>
      <c r="CG120" s="213"/>
      <c r="CH120" s="213"/>
      <c r="CI120" s="213"/>
      <c r="CJ120" s="213"/>
      <c r="CK120" s="213"/>
      <c r="CL120" s="213"/>
      <c r="CM120" s="213"/>
      <c r="CN120" s="213"/>
      <c r="CO120" s="213"/>
      <c r="CP120" s="213"/>
      <c r="CQ120" s="213"/>
    </row>
    <row r="121" ht="15.75" customHeight="1">
      <c r="A121" s="213"/>
      <c r="B121" s="393"/>
      <c r="C121" s="350" t="s">
        <v>283</v>
      </c>
      <c r="D121" s="604"/>
      <c r="E121" s="355"/>
      <c r="F121" s="245"/>
      <c r="G121" s="790"/>
      <c r="H121" s="357"/>
      <c r="I121" s="350"/>
      <c r="J121" s="604"/>
      <c r="K121" s="355"/>
      <c r="L121" s="352"/>
      <c r="M121" s="352"/>
      <c r="N121" s="352"/>
      <c r="O121" s="358"/>
      <c r="P121" s="604"/>
      <c r="Q121" s="355"/>
      <c r="R121" s="352"/>
      <c r="S121" s="352"/>
      <c r="T121" s="352"/>
      <c r="U121" s="358"/>
      <c r="V121" s="604"/>
      <c r="W121" s="355"/>
      <c r="X121" s="353"/>
      <c r="Y121" s="352"/>
      <c r="Z121" s="352"/>
      <c r="AA121" s="358"/>
      <c r="AB121" s="604"/>
      <c r="AC121" s="355"/>
      <c r="AD121" s="356"/>
      <c r="AE121" s="245"/>
      <c r="AF121" s="245"/>
      <c r="AG121" s="350"/>
      <c r="AH121" s="604"/>
      <c r="AI121" s="355"/>
      <c r="AJ121" s="356"/>
      <c r="AK121" s="245"/>
      <c r="AL121" s="245"/>
      <c r="AM121" s="350"/>
      <c r="AN121" s="604"/>
      <c r="AO121" s="355"/>
      <c r="AP121" s="356"/>
      <c r="AQ121" s="245"/>
      <c r="AR121" s="245"/>
      <c r="AS121" s="350"/>
      <c r="AT121" s="605"/>
      <c r="AU121" s="355"/>
      <c r="AV121" s="356"/>
      <c r="AW121" s="245"/>
      <c r="AX121" s="245"/>
      <c r="AY121" s="245"/>
      <c r="AZ121" s="357">
        <f>25960/12</f>
        <v>2163.333333</v>
      </c>
      <c r="BA121" s="355"/>
      <c r="BB121" s="356"/>
      <c r="BC121" s="245"/>
      <c r="BD121" s="245"/>
      <c r="BE121" s="245"/>
      <c r="BF121" s="357">
        <f>25960/12</f>
        <v>2163.333333</v>
      </c>
      <c r="BG121" s="245"/>
      <c r="BH121" s="356"/>
      <c r="BI121" s="245"/>
      <c r="BJ121" s="245"/>
      <c r="BK121" s="245"/>
      <c r="BL121" s="353">
        <f>25960/12</f>
        <v>2163.333333</v>
      </c>
      <c r="BM121" s="245"/>
      <c r="BN121" s="245"/>
      <c r="BO121" s="245"/>
      <c r="BP121" s="245"/>
      <c r="BQ121" s="245"/>
      <c r="BR121" s="353">
        <f>25960/12</f>
        <v>2163.333333</v>
      </c>
      <c r="BS121" s="245"/>
      <c r="BT121" s="356"/>
      <c r="BU121" s="245"/>
      <c r="BV121" s="245"/>
      <c r="BW121" s="350"/>
      <c r="BX121" s="213"/>
      <c r="BY121" s="213"/>
      <c r="BZ121" s="213"/>
      <c r="CA121" s="213"/>
      <c r="CB121" s="213"/>
      <c r="CC121" s="213"/>
      <c r="CD121" s="213"/>
      <c r="CE121" s="213"/>
      <c r="CF121" s="213"/>
      <c r="CG121" s="213"/>
      <c r="CH121" s="213"/>
      <c r="CI121" s="213"/>
      <c r="CJ121" s="213"/>
      <c r="CK121" s="213"/>
      <c r="CL121" s="213"/>
      <c r="CM121" s="213"/>
      <c r="CN121" s="213"/>
      <c r="CO121" s="213"/>
      <c r="CP121" s="213"/>
      <c r="CQ121" s="213"/>
    </row>
    <row r="122" ht="15.75" customHeight="1">
      <c r="A122" s="213"/>
      <c r="B122" s="393"/>
      <c r="C122" s="350" t="s">
        <v>285</v>
      </c>
      <c r="D122" s="604">
        <v>20380.0</v>
      </c>
      <c r="E122" s="355">
        <f t="shared" ref="E122:E125" si="80">IFERROR((D122/D$29),"")</f>
        <v>0.06490032482</v>
      </c>
      <c r="F122" s="245"/>
      <c r="G122" s="790">
        <f t="shared" ref="G122:G125" si="81">IFERROR((F122/F$29),"")</f>
        <v>0</v>
      </c>
      <c r="H122" s="357">
        <f t="shared" ref="H122:H125" si="82">D122-F122</f>
        <v>20380</v>
      </c>
      <c r="I122" s="350"/>
      <c r="J122" s="604"/>
      <c r="K122" s="355">
        <f t="shared" ref="K122:K125" si="83">IFERROR((J122/J$29),"")</f>
        <v>0</v>
      </c>
      <c r="L122" s="352"/>
      <c r="M122" s="352"/>
      <c r="N122" s="352"/>
      <c r="O122" s="358"/>
      <c r="P122" s="604"/>
      <c r="Q122" s="355">
        <f t="shared" ref="Q122:Q125" si="84">P122/P$29</f>
        <v>0</v>
      </c>
      <c r="R122" s="352"/>
      <c r="S122" s="352"/>
      <c r="T122" s="352"/>
      <c r="U122" s="358"/>
      <c r="V122" s="604"/>
      <c r="W122" s="355">
        <f t="shared" ref="W122:W123" si="85">V122/V$29</f>
        <v>0</v>
      </c>
      <c r="X122" s="353"/>
      <c r="Y122" s="352"/>
      <c r="Z122" s="352"/>
      <c r="AA122" s="358"/>
      <c r="AB122" s="604"/>
      <c r="AC122" s="355">
        <f t="shared" ref="AC122:AC123" si="86">AB122/AB$29</f>
        <v>0</v>
      </c>
      <c r="AD122" s="356"/>
      <c r="AE122" s="245"/>
      <c r="AF122" s="245"/>
      <c r="AG122" s="350"/>
      <c r="AH122" s="604"/>
      <c r="AI122" s="355">
        <f t="shared" ref="AI122:AI123" si="87">AH122/AH$29</f>
        <v>0</v>
      </c>
      <c r="AJ122" s="356"/>
      <c r="AK122" s="245"/>
      <c r="AL122" s="245"/>
      <c r="AM122" s="350"/>
      <c r="AN122" s="604"/>
      <c r="AO122" s="355">
        <f t="shared" ref="AO122:AO123" si="88">AN122/AN$29</f>
        <v>0</v>
      </c>
      <c r="AP122" s="356"/>
      <c r="AQ122" s="245"/>
      <c r="AR122" s="245"/>
      <c r="AS122" s="350"/>
      <c r="AT122" s="605"/>
      <c r="AU122" s="355">
        <f t="shared" ref="AU122:AU123" si="89">AT122/AT$29</f>
        <v>0</v>
      </c>
      <c r="AV122" s="356"/>
      <c r="AW122" s="245"/>
      <c r="AX122" s="245"/>
      <c r="AY122" s="245"/>
      <c r="AZ122" s="357"/>
      <c r="BA122" s="355">
        <f t="shared" ref="BA122:BA123" si="90">AZ122/AZ$29</f>
        <v>0</v>
      </c>
      <c r="BB122" s="356"/>
      <c r="BC122" s="245"/>
      <c r="BD122" s="245"/>
      <c r="BE122" s="245"/>
      <c r="BF122" s="357"/>
      <c r="BG122" s="245"/>
      <c r="BH122" s="356"/>
      <c r="BI122" s="245"/>
      <c r="BJ122" s="245"/>
      <c r="BK122" s="245"/>
      <c r="BL122" s="353"/>
      <c r="BM122" s="245"/>
      <c r="BN122" s="245"/>
      <c r="BO122" s="245"/>
      <c r="BP122" s="245"/>
      <c r="BQ122" s="245"/>
      <c r="BR122" s="356"/>
      <c r="BS122" s="245"/>
      <c r="BT122" s="356"/>
      <c r="BU122" s="245"/>
      <c r="BV122" s="245"/>
      <c r="BW122" s="350"/>
      <c r="BX122" s="213"/>
      <c r="BY122" s="213"/>
      <c r="BZ122" s="213"/>
      <c r="CA122" s="213"/>
      <c r="CB122" s="213"/>
      <c r="CC122" s="213"/>
      <c r="CD122" s="213"/>
      <c r="CE122" s="213"/>
      <c r="CF122" s="213"/>
      <c r="CG122" s="213"/>
      <c r="CH122" s="213"/>
      <c r="CI122" s="213"/>
      <c r="CJ122" s="213"/>
      <c r="CK122" s="213"/>
      <c r="CL122" s="213"/>
      <c r="CM122" s="213"/>
      <c r="CN122" s="213"/>
      <c r="CO122" s="213"/>
      <c r="CP122" s="213"/>
      <c r="CQ122" s="213"/>
    </row>
    <row r="123" ht="15.75" customHeight="1">
      <c r="A123" s="213"/>
      <c r="B123" s="393"/>
      <c r="C123" s="350" t="s">
        <v>286</v>
      </c>
      <c r="D123" s="604">
        <v>5036.0</v>
      </c>
      <c r="E123" s="355">
        <f t="shared" si="80"/>
        <v>0.01603719508</v>
      </c>
      <c r="F123" s="245"/>
      <c r="G123" s="790">
        <f t="shared" si="81"/>
        <v>0</v>
      </c>
      <c r="H123" s="357">
        <f t="shared" si="82"/>
        <v>5036</v>
      </c>
      <c r="I123" s="350"/>
      <c r="J123" s="604">
        <v>4210.0</v>
      </c>
      <c r="K123" s="355">
        <f t="shared" si="83"/>
        <v>0.01093165823</v>
      </c>
      <c r="L123" s="352"/>
      <c r="M123" s="352"/>
      <c r="N123" s="352"/>
      <c r="O123" s="358"/>
      <c r="P123" s="604">
        <v>4274.0</v>
      </c>
      <c r="Q123" s="355">
        <f t="shared" si="84"/>
        <v>0.01276560157</v>
      </c>
      <c r="R123" s="352"/>
      <c r="S123" s="352"/>
      <c r="T123" s="352"/>
      <c r="U123" s="358"/>
      <c r="V123" s="604">
        <v>3979.0</v>
      </c>
      <c r="W123" s="355">
        <f t="shared" si="85"/>
        <v>0.009293168038</v>
      </c>
      <c r="X123" s="353"/>
      <c r="Y123" s="352"/>
      <c r="Z123" s="352"/>
      <c r="AA123" s="358"/>
      <c r="AB123" s="604">
        <v>4433.0</v>
      </c>
      <c r="AC123" s="355">
        <f t="shared" si="86"/>
        <v>0.01006708361</v>
      </c>
      <c r="AD123" s="356"/>
      <c r="AE123" s="245"/>
      <c r="AF123" s="245"/>
      <c r="AG123" s="350"/>
      <c r="AH123" s="604">
        <v>4352.0</v>
      </c>
      <c r="AI123" s="355">
        <f t="shared" si="87"/>
        <v>0.01147063504</v>
      </c>
      <c r="AJ123" s="356"/>
      <c r="AK123" s="245"/>
      <c r="AL123" s="245"/>
      <c r="AM123" s="350"/>
      <c r="AN123" s="604">
        <v>4588.0</v>
      </c>
      <c r="AO123" s="355">
        <f t="shared" si="88"/>
        <v>0.009820452042</v>
      </c>
      <c r="AP123" s="356"/>
      <c r="AQ123" s="245"/>
      <c r="AR123" s="245"/>
      <c r="AS123" s="350"/>
      <c r="AT123" s="605">
        <v>4653.0</v>
      </c>
      <c r="AU123" s="355">
        <f t="shared" si="89"/>
        <v>0.008269350868</v>
      </c>
      <c r="AV123" s="356"/>
      <c r="AW123" s="245"/>
      <c r="AX123" s="245"/>
      <c r="AY123" s="245"/>
      <c r="AZ123" s="357">
        <v>4362.0</v>
      </c>
      <c r="BA123" s="355">
        <f t="shared" si="90"/>
        <v>0.00434130798</v>
      </c>
      <c r="BB123" s="356"/>
      <c r="BC123" s="245"/>
      <c r="BD123" s="245"/>
      <c r="BE123" s="245"/>
      <c r="BF123" s="357">
        <v>4858.0</v>
      </c>
      <c r="BG123" s="245"/>
      <c r="BH123" s="356"/>
      <c r="BI123" s="245"/>
      <c r="BJ123" s="245"/>
      <c r="BK123" s="245"/>
      <c r="BL123" s="353">
        <v>4594.0</v>
      </c>
      <c r="BM123" s="245"/>
      <c r="BN123" s="245"/>
      <c r="BO123" s="245"/>
      <c r="BP123" s="245"/>
      <c r="BQ123" s="245"/>
      <c r="BR123" s="356">
        <v>5362.0</v>
      </c>
      <c r="BS123" s="245"/>
      <c r="BT123" s="356"/>
      <c r="BU123" s="245"/>
      <c r="BV123" s="245"/>
      <c r="BW123" s="350"/>
      <c r="BX123" s="213"/>
      <c r="BY123" s="213"/>
      <c r="BZ123" s="213"/>
      <c r="CA123" s="213"/>
      <c r="CB123" s="213"/>
      <c r="CC123" s="213"/>
      <c r="CD123" s="213"/>
      <c r="CE123" s="213"/>
      <c r="CF123" s="213"/>
      <c r="CG123" s="213"/>
      <c r="CH123" s="213"/>
      <c r="CI123" s="213"/>
      <c r="CJ123" s="213"/>
      <c r="CK123" s="213"/>
      <c r="CL123" s="213"/>
      <c r="CM123" s="213"/>
      <c r="CN123" s="213"/>
      <c r="CO123" s="213"/>
      <c r="CP123" s="213"/>
      <c r="CQ123" s="213"/>
    </row>
    <row r="124" ht="15.75" customHeight="1">
      <c r="A124" s="213"/>
      <c r="B124" s="393"/>
      <c r="C124" s="350" t="s">
        <v>279</v>
      </c>
      <c r="D124" s="604"/>
      <c r="E124" s="355">
        <f t="shared" si="80"/>
        <v>0</v>
      </c>
      <c r="F124" s="245"/>
      <c r="G124" s="790">
        <f t="shared" si="81"/>
        <v>0</v>
      </c>
      <c r="H124" s="357">
        <f t="shared" si="82"/>
        <v>0</v>
      </c>
      <c r="I124" s="350"/>
      <c r="J124" s="604"/>
      <c r="K124" s="355">
        <f t="shared" si="83"/>
        <v>0</v>
      </c>
      <c r="L124" s="352"/>
      <c r="M124" s="352"/>
      <c r="N124" s="352"/>
      <c r="O124" s="358"/>
      <c r="P124" s="604"/>
      <c r="Q124" s="355">
        <f t="shared" si="84"/>
        <v>0</v>
      </c>
      <c r="R124" s="352"/>
      <c r="S124" s="352"/>
      <c r="T124" s="352"/>
      <c r="U124" s="358"/>
      <c r="V124" s="604"/>
      <c r="W124" s="352"/>
      <c r="X124" s="353"/>
      <c r="Y124" s="352"/>
      <c r="Z124" s="352"/>
      <c r="AA124" s="358"/>
      <c r="AB124" s="604"/>
      <c r="AC124" s="352"/>
      <c r="AD124" s="356"/>
      <c r="AE124" s="245"/>
      <c r="AF124" s="245"/>
      <c r="AG124" s="350"/>
      <c r="AH124" s="604"/>
      <c r="AI124" s="352"/>
      <c r="AJ124" s="356"/>
      <c r="AK124" s="245"/>
      <c r="AL124" s="245"/>
      <c r="AM124" s="350"/>
      <c r="AN124" s="604"/>
      <c r="AO124" s="352"/>
      <c r="AP124" s="356"/>
      <c r="AQ124" s="245"/>
      <c r="AR124" s="245"/>
      <c r="AS124" s="350"/>
      <c r="AT124" s="605"/>
      <c r="AU124" s="352"/>
      <c r="AV124" s="356"/>
      <c r="AW124" s="245"/>
      <c r="AX124" s="245"/>
      <c r="AY124" s="245"/>
      <c r="AZ124" s="357"/>
      <c r="BA124" s="352"/>
      <c r="BB124" s="356"/>
      <c r="BC124" s="245"/>
      <c r="BD124" s="245"/>
      <c r="BE124" s="245"/>
      <c r="BF124" s="357"/>
      <c r="BG124" s="245"/>
      <c r="BH124" s="356"/>
      <c r="BI124" s="245"/>
      <c r="BJ124" s="245"/>
      <c r="BK124" s="245"/>
      <c r="BL124" s="536">
        <v>13348.25</v>
      </c>
      <c r="BM124" s="245"/>
      <c r="BN124" s="245"/>
      <c r="BO124" s="245"/>
      <c r="BP124" s="245"/>
      <c r="BQ124" s="245"/>
      <c r="BR124" s="356"/>
      <c r="BS124" s="245"/>
      <c r="BT124" s="356"/>
      <c r="BU124" s="245"/>
      <c r="BV124" s="245"/>
      <c r="BW124" s="350"/>
      <c r="BX124" s="213"/>
      <c r="BY124" s="213"/>
      <c r="BZ124" s="213"/>
      <c r="CA124" s="213"/>
      <c r="CB124" s="213"/>
      <c r="CC124" s="213"/>
      <c r="CD124" s="213"/>
      <c r="CE124" s="213"/>
      <c r="CF124" s="213"/>
      <c r="CG124" s="213"/>
      <c r="CH124" s="213"/>
      <c r="CI124" s="213"/>
      <c r="CJ124" s="213"/>
      <c r="CK124" s="213"/>
      <c r="CL124" s="213"/>
      <c r="CM124" s="213"/>
      <c r="CN124" s="213"/>
      <c r="CO124" s="213"/>
      <c r="CP124" s="213"/>
      <c r="CQ124" s="213"/>
    </row>
    <row r="125" ht="15.75" customHeight="1">
      <c r="A125" s="213"/>
      <c r="B125" s="393"/>
      <c r="C125" s="350" t="s">
        <v>287</v>
      </c>
      <c r="D125" s="604"/>
      <c r="E125" s="355">
        <f t="shared" si="80"/>
        <v>0</v>
      </c>
      <c r="F125" s="245"/>
      <c r="G125" s="790">
        <f t="shared" si="81"/>
        <v>0</v>
      </c>
      <c r="H125" s="357">
        <f t="shared" si="82"/>
        <v>0</v>
      </c>
      <c r="I125" s="350"/>
      <c r="J125" s="604"/>
      <c r="K125" s="355">
        <f t="shared" si="83"/>
        <v>0</v>
      </c>
      <c r="L125" s="352"/>
      <c r="M125" s="352"/>
      <c r="N125" s="352"/>
      <c r="O125" s="358"/>
      <c r="P125" s="604"/>
      <c r="Q125" s="355">
        <f t="shared" si="84"/>
        <v>0</v>
      </c>
      <c r="R125" s="352"/>
      <c r="S125" s="352"/>
      <c r="T125" s="352"/>
      <c r="U125" s="358"/>
      <c r="V125" s="604"/>
      <c r="W125" s="352"/>
      <c r="X125" s="353"/>
      <c r="Y125" s="352"/>
      <c r="Z125" s="352"/>
      <c r="AA125" s="358"/>
      <c r="AB125" s="604"/>
      <c r="AC125" s="352"/>
      <c r="AD125" s="356"/>
      <c r="AE125" s="245"/>
      <c r="AF125" s="245"/>
      <c r="AG125" s="350"/>
      <c r="AH125" s="604"/>
      <c r="AI125" s="352"/>
      <c r="AJ125" s="356"/>
      <c r="AK125" s="245"/>
      <c r="AL125" s="245"/>
      <c r="AM125" s="350"/>
      <c r="AN125" s="604"/>
      <c r="AO125" s="352"/>
      <c r="AP125" s="356"/>
      <c r="AQ125" s="245"/>
      <c r="AR125" s="245"/>
      <c r="AS125" s="350"/>
      <c r="AT125" s="605"/>
      <c r="AU125" s="352"/>
      <c r="AV125" s="356"/>
      <c r="AW125" s="245"/>
      <c r="AX125" s="245"/>
      <c r="AY125" s="245"/>
      <c r="AZ125" s="357"/>
      <c r="BA125" s="352"/>
      <c r="BB125" s="356"/>
      <c r="BC125" s="245"/>
      <c r="BD125" s="245"/>
      <c r="BE125" s="245"/>
      <c r="BF125" s="357"/>
      <c r="BG125" s="245"/>
      <c r="BH125" s="356"/>
      <c r="BI125" s="245"/>
      <c r="BJ125" s="245"/>
      <c r="BK125" s="245"/>
      <c r="BL125" s="353"/>
      <c r="BM125" s="245"/>
      <c r="BN125" s="245"/>
      <c r="BO125" s="245"/>
      <c r="BP125" s="245"/>
      <c r="BQ125" s="245"/>
      <c r="BR125" s="356"/>
      <c r="BS125" s="245"/>
      <c r="BT125" s="356"/>
      <c r="BU125" s="245"/>
      <c r="BV125" s="245"/>
      <c r="BW125" s="350"/>
      <c r="BX125" s="213"/>
      <c r="BY125" s="213"/>
      <c r="BZ125" s="213"/>
      <c r="CA125" s="213"/>
      <c r="CB125" s="213"/>
      <c r="CC125" s="213"/>
      <c r="CD125" s="213"/>
      <c r="CE125" s="213"/>
      <c r="CF125" s="213"/>
      <c r="CG125" s="213"/>
      <c r="CH125" s="213"/>
      <c r="CI125" s="213"/>
      <c r="CJ125" s="213"/>
      <c r="CK125" s="213"/>
      <c r="CL125" s="213"/>
      <c r="CM125" s="213"/>
      <c r="CN125" s="213"/>
      <c r="CO125" s="213"/>
      <c r="CP125" s="213"/>
      <c r="CQ125" s="213"/>
    </row>
    <row r="126" ht="15.75" customHeight="1">
      <c r="A126" s="213"/>
      <c r="B126" s="393"/>
      <c r="C126" s="350" t="s">
        <v>433</v>
      </c>
      <c r="D126" s="604"/>
      <c r="E126" s="355"/>
      <c r="F126" s="245"/>
      <c r="G126" s="790"/>
      <c r="H126" s="357"/>
      <c r="I126" s="350"/>
      <c r="J126" s="604">
        <v>15000.0</v>
      </c>
      <c r="K126" s="355"/>
      <c r="L126" s="352"/>
      <c r="M126" s="352"/>
      <c r="N126" s="352"/>
      <c r="O126" s="358"/>
      <c r="P126" s="604">
        <v>15000.0</v>
      </c>
      <c r="Q126" s="355"/>
      <c r="R126" s="352"/>
      <c r="S126" s="352"/>
      <c r="T126" s="352"/>
      <c r="U126" s="358"/>
      <c r="V126" s="604">
        <v>15000.0</v>
      </c>
      <c r="W126" s="355"/>
      <c r="X126" s="353"/>
      <c r="Y126" s="352"/>
      <c r="Z126" s="352"/>
      <c r="AA126" s="358"/>
      <c r="AB126" s="604">
        <v>15000.0</v>
      </c>
      <c r="AC126" s="355"/>
      <c r="AD126" s="356"/>
      <c r="AE126" s="245"/>
      <c r="AF126" s="245"/>
      <c r="AG126" s="350"/>
      <c r="AH126" s="604">
        <v>15000.0</v>
      </c>
      <c r="AI126" s="355"/>
      <c r="AJ126" s="356"/>
      <c r="AK126" s="245"/>
      <c r="AL126" s="245"/>
      <c r="AM126" s="350"/>
      <c r="AN126" s="604">
        <v>15000.0</v>
      </c>
      <c r="AO126" s="355"/>
      <c r="AP126" s="356"/>
      <c r="AQ126" s="245"/>
      <c r="AR126" s="245"/>
      <c r="AS126" s="350"/>
      <c r="AT126" s="605">
        <v>15000.0</v>
      </c>
      <c r="AU126" s="355"/>
      <c r="AV126" s="356"/>
      <c r="AW126" s="245"/>
      <c r="AX126" s="245"/>
      <c r="AY126" s="245"/>
      <c r="AZ126" s="357">
        <v>15000.0</v>
      </c>
      <c r="BA126" s="355"/>
      <c r="BB126" s="356"/>
      <c r="BC126" s="245"/>
      <c r="BD126" s="245"/>
      <c r="BE126" s="245"/>
      <c r="BF126" s="357">
        <v>15000.0</v>
      </c>
      <c r="BG126" s="245"/>
      <c r="BH126" s="356"/>
      <c r="BI126" s="245"/>
      <c r="BJ126" s="245"/>
      <c r="BK126" s="245"/>
      <c r="BL126" s="536">
        <v>15000.0</v>
      </c>
      <c r="BM126" s="245"/>
      <c r="BN126" s="245"/>
      <c r="BO126" s="245"/>
      <c r="BP126" s="245"/>
      <c r="BQ126" s="245"/>
      <c r="BR126" s="797">
        <v>15000.0</v>
      </c>
      <c r="BS126" s="245"/>
      <c r="BT126" s="356"/>
      <c r="BU126" s="245"/>
      <c r="BV126" s="245"/>
      <c r="BW126" s="350"/>
      <c r="BX126" s="213"/>
      <c r="BY126" s="213"/>
      <c r="BZ126" s="213"/>
      <c r="CA126" s="213"/>
      <c r="CB126" s="213"/>
      <c r="CC126" s="213"/>
      <c r="CD126" s="213"/>
      <c r="CE126" s="213"/>
      <c r="CF126" s="213"/>
      <c r="CG126" s="213"/>
      <c r="CH126" s="213"/>
      <c r="CI126" s="213"/>
      <c r="CJ126" s="213"/>
      <c r="CK126" s="213"/>
      <c r="CL126" s="213"/>
      <c r="CM126" s="213"/>
      <c r="CN126" s="213"/>
      <c r="CO126" s="213"/>
      <c r="CP126" s="213"/>
      <c r="CQ126" s="213"/>
    </row>
    <row r="127" ht="15.75" customHeight="1">
      <c r="A127" s="213"/>
      <c r="B127" s="393"/>
      <c r="C127" s="350" t="s">
        <v>401</v>
      </c>
      <c r="D127" s="604"/>
      <c r="E127" s="355">
        <f t="shared" ref="E127:E128" si="91">IFERROR((D127/D$29),"")</f>
        <v>0</v>
      </c>
      <c r="F127" s="245"/>
      <c r="G127" s="790">
        <f t="shared" ref="G127:G128" si="92">IFERROR((F127/F$29),"")</f>
        <v>0</v>
      </c>
      <c r="H127" s="357">
        <f>D127-F127</f>
        <v>0</v>
      </c>
      <c r="I127" s="350"/>
      <c r="J127" s="604"/>
      <c r="K127" s="355">
        <f t="shared" ref="K127:K128" si="93">IFERROR((J127/J$29),"")</f>
        <v>0</v>
      </c>
      <c r="L127" s="352"/>
      <c r="M127" s="352"/>
      <c r="N127" s="352"/>
      <c r="O127" s="358"/>
      <c r="P127" s="604"/>
      <c r="Q127" s="355">
        <f t="shared" ref="Q127:Q128" si="94">P127/P$29</f>
        <v>0</v>
      </c>
      <c r="R127" s="352"/>
      <c r="S127" s="352"/>
      <c r="T127" s="352"/>
      <c r="U127" s="358"/>
      <c r="V127" s="604"/>
      <c r="W127" s="355">
        <f>V127/V$29</f>
        <v>0</v>
      </c>
      <c r="X127" s="353"/>
      <c r="Y127" s="352"/>
      <c r="Z127" s="352"/>
      <c r="AA127" s="358"/>
      <c r="AB127" s="604"/>
      <c r="AC127" s="355">
        <f>AB127/AB$29</f>
        <v>0</v>
      </c>
      <c r="AD127" s="356"/>
      <c r="AE127" s="245"/>
      <c r="AF127" s="245"/>
      <c r="AG127" s="350"/>
      <c r="AH127" s="604"/>
      <c r="AI127" s="355">
        <f>AH127/AH$29</f>
        <v>0</v>
      </c>
      <c r="AJ127" s="356"/>
      <c r="AK127" s="245"/>
      <c r="AL127" s="245"/>
      <c r="AM127" s="350"/>
      <c r="AN127" s="604"/>
      <c r="AO127" s="355">
        <f>AN127/AN$29</f>
        <v>0</v>
      </c>
      <c r="AP127" s="356"/>
      <c r="AQ127" s="245"/>
      <c r="AR127" s="245"/>
      <c r="AS127" s="350"/>
      <c r="AT127" s="605"/>
      <c r="AU127" s="355">
        <f>AT127/AT$29</f>
        <v>0</v>
      </c>
      <c r="AV127" s="356"/>
      <c r="AW127" s="245"/>
      <c r="AX127" s="245"/>
      <c r="AY127" s="245"/>
      <c r="AZ127" s="357"/>
      <c r="BA127" s="355">
        <f>AZ127/AZ$29</f>
        <v>0</v>
      </c>
      <c r="BB127" s="356"/>
      <c r="BC127" s="245"/>
      <c r="BD127" s="245"/>
      <c r="BE127" s="245"/>
      <c r="BF127" s="357"/>
      <c r="BG127" s="245"/>
      <c r="BH127" s="356"/>
      <c r="BI127" s="245"/>
      <c r="BJ127" s="245"/>
      <c r="BK127" s="245"/>
      <c r="BL127" s="353"/>
      <c r="BM127" s="245"/>
      <c r="BN127" s="245"/>
      <c r="BO127" s="245"/>
      <c r="BP127" s="245"/>
      <c r="BQ127" s="245"/>
      <c r="BR127" s="356"/>
      <c r="BS127" s="245"/>
      <c r="BT127" s="356"/>
      <c r="BU127" s="245"/>
      <c r="BV127" s="245"/>
      <c r="BW127" s="350"/>
      <c r="BX127" s="213"/>
      <c r="BY127" s="213"/>
      <c r="BZ127" s="213"/>
      <c r="CA127" s="213"/>
      <c r="CB127" s="213"/>
      <c r="CC127" s="213"/>
      <c r="CD127" s="213"/>
      <c r="CE127" s="213"/>
      <c r="CF127" s="213"/>
      <c r="CG127" s="213"/>
      <c r="CH127" s="213"/>
      <c r="CI127" s="213"/>
      <c r="CJ127" s="213"/>
      <c r="CK127" s="213"/>
      <c r="CL127" s="213"/>
      <c r="CM127" s="213"/>
      <c r="CN127" s="213"/>
      <c r="CO127" s="213"/>
      <c r="CP127" s="213"/>
      <c r="CQ127" s="213"/>
    </row>
    <row r="128" ht="15.75" customHeight="1">
      <c r="A128" s="213"/>
      <c r="B128" s="393"/>
      <c r="C128" s="350" t="s">
        <v>434</v>
      </c>
      <c r="D128" s="604"/>
      <c r="E128" s="355">
        <f t="shared" si="91"/>
        <v>0</v>
      </c>
      <c r="F128" s="245"/>
      <c r="G128" s="790">
        <f t="shared" si="92"/>
        <v>0</v>
      </c>
      <c r="H128" s="245"/>
      <c r="I128" s="350"/>
      <c r="J128" s="604"/>
      <c r="K128" s="355">
        <f t="shared" si="93"/>
        <v>0</v>
      </c>
      <c r="L128" s="352"/>
      <c r="M128" s="352"/>
      <c r="N128" s="352"/>
      <c r="O128" s="358"/>
      <c r="P128" s="604"/>
      <c r="Q128" s="355">
        <f t="shared" si="94"/>
        <v>0</v>
      </c>
      <c r="R128" s="352"/>
      <c r="S128" s="352"/>
      <c r="T128" s="352"/>
      <c r="U128" s="358"/>
      <c r="V128" s="604"/>
      <c r="W128" s="352"/>
      <c r="X128" s="353"/>
      <c r="Y128" s="352"/>
      <c r="Z128" s="352"/>
      <c r="AA128" s="358"/>
      <c r="AB128" s="393"/>
      <c r="AC128" s="245"/>
      <c r="AD128" s="356"/>
      <c r="AE128" s="245"/>
      <c r="AF128" s="245"/>
      <c r="AG128" s="350"/>
      <c r="AH128" s="604"/>
      <c r="AI128" s="245"/>
      <c r="AJ128" s="356"/>
      <c r="AK128" s="245"/>
      <c r="AL128" s="245"/>
      <c r="AM128" s="350"/>
      <c r="AN128" s="604"/>
      <c r="AO128" s="245"/>
      <c r="AP128" s="356"/>
      <c r="AQ128" s="245"/>
      <c r="AR128" s="245"/>
      <c r="AS128" s="350"/>
      <c r="AT128" s="605"/>
      <c r="AU128" s="245"/>
      <c r="AV128" s="356"/>
      <c r="AW128" s="245"/>
      <c r="AX128" s="245"/>
      <c r="AY128" s="245"/>
      <c r="AZ128" s="357"/>
      <c r="BA128" s="245"/>
      <c r="BB128" s="356"/>
      <c r="BC128" s="245"/>
      <c r="BD128" s="245"/>
      <c r="BE128" s="245"/>
      <c r="BF128" s="357"/>
      <c r="BG128" s="245"/>
      <c r="BH128" s="356"/>
      <c r="BI128" s="245"/>
      <c r="BJ128" s="245"/>
      <c r="BK128" s="245"/>
      <c r="BL128" s="353"/>
      <c r="BM128" s="245"/>
      <c r="BN128" s="245"/>
      <c r="BO128" s="245"/>
      <c r="BP128" s="245"/>
      <c r="BQ128" s="245"/>
      <c r="BR128" s="356">
        <f>62120+350000</f>
        <v>412120</v>
      </c>
      <c r="BS128" s="245"/>
      <c r="BT128" s="356"/>
      <c r="BU128" s="245"/>
      <c r="BV128" s="245"/>
      <c r="BW128" s="350"/>
      <c r="BX128" s="213"/>
      <c r="BY128" s="213"/>
      <c r="BZ128" s="213"/>
      <c r="CA128" s="213"/>
      <c r="CB128" s="213"/>
      <c r="CC128" s="213"/>
      <c r="CD128" s="213"/>
      <c r="CE128" s="213"/>
      <c r="CF128" s="213"/>
      <c r="CG128" s="213"/>
      <c r="CH128" s="213"/>
      <c r="CI128" s="213"/>
      <c r="CJ128" s="213"/>
      <c r="CK128" s="213"/>
      <c r="CL128" s="213"/>
      <c r="CM128" s="213"/>
      <c r="CN128" s="213"/>
      <c r="CO128" s="213"/>
      <c r="CP128" s="213"/>
      <c r="CQ128" s="213"/>
    </row>
    <row r="129" ht="15.75" customHeight="1">
      <c r="A129" s="213"/>
      <c r="B129" s="393"/>
      <c r="C129" s="350" t="s">
        <v>288</v>
      </c>
      <c r="D129" s="604"/>
      <c r="E129" s="352"/>
      <c r="F129" s="245"/>
      <c r="G129" s="245"/>
      <c r="H129" s="245"/>
      <c r="I129" s="350"/>
      <c r="J129" s="604"/>
      <c r="K129" s="355"/>
      <c r="L129" s="352"/>
      <c r="M129" s="352"/>
      <c r="N129" s="352"/>
      <c r="O129" s="358"/>
      <c r="P129" s="604"/>
      <c r="Q129" s="355"/>
      <c r="R129" s="352"/>
      <c r="S129" s="352"/>
      <c r="T129" s="352"/>
      <c r="U129" s="358"/>
      <c r="V129" s="604"/>
      <c r="W129" s="352"/>
      <c r="X129" s="353"/>
      <c r="Y129" s="352"/>
      <c r="Z129" s="352"/>
      <c r="AA129" s="358"/>
      <c r="AB129" s="393"/>
      <c r="AC129" s="245"/>
      <c r="AD129" s="356"/>
      <c r="AE129" s="245"/>
      <c r="AF129" s="245"/>
      <c r="AG129" s="350"/>
      <c r="AH129" s="604"/>
      <c r="AI129" s="245"/>
      <c r="AJ129" s="356"/>
      <c r="AK129" s="245"/>
      <c r="AL129" s="245"/>
      <c r="AM129" s="350"/>
      <c r="AN129" s="604"/>
      <c r="AO129" s="245"/>
      <c r="AP129" s="356"/>
      <c r="AQ129" s="245"/>
      <c r="AR129" s="245"/>
      <c r="AS129" s="350"/>
      <c r="AT129" s="605"/>
      <c r="AU129" s="245"/>
      <c r="AV129" s="356"/>
      <c r="AW129" s="245"/>
      <c r="AX129" s="245"/>
      <c r="AY129" s="245"/>
      <c r="AZ129" s="357"/>
      <c r="BA129" s="245"/>
      <c r="BB129" s="356"/>
      <c r="BC129" s="245"/>
      <c r="BD129" s="245"/>
      <c r="BE129" s="245"/>
      <c r="BF129" s="357"/>
      <c r="BG129" s="245"/>
      <c r="BH129" s="356"/>
      <c r="BI129" s="245"/>
      <c r="BJ129" s="245"/>
      <c r="BK129" s="245"/>
      <c r="BL129" s="353"/>
      <c r="BM129" s="245"/>
      <c r="BN129" s="245"/>
      <c r="BO129" s="245"/>
      <c r="BP129" s="245"/>
      <c r="BQ129" s="245"/>
      <c r="BR129" s="356"/>
      <c r="BS129" s="245"/>
      <c r="BT129" s="356"/>
      <c r="BU129" s="245"/>
      <c r="BV129" s="245"/>
      <c r="BW129" s="350"/>
      <c r="BX129" s="213"/>
      <c r="BY129" s="213"/>
      <c r="BZ129" s="213"/>
      <c r="CA129" s="213"/>
      <c r="CB129" s="213"/>
      <c r="CC129" s="213"/>
      <c r="CD129" s="213"/>
      <c r="CE129" s="213"/>
      <c r="CF129" s="213"/>
      <c r="CG129" s="213"/>
      <c r="CH129" s="213"/>
      <c r="CI129" s="213"/>
      <c r="CJ129" s="213"/>
      <c r="CK129" s="213"/>
      <c r="CL129" s="213"/>
      <c r="CM129" s="213"/>
      <c r="CN129" s="213"/>
      <c r="CO129" s="213"/>
      <c r="CP129" s="213"/>
      <c r="CQ129" s="213"/>
    </row>
    <row r="130" ht="15.75" customHeight="1">
      <c r="A130" s="213"/>
      <c r="B130" s="403"/>
      <c r="C130" s="350"/>
      <c r="D130" s="619"/>
      <c r="E130" s="364"/>
      <c r="F130" s="688"/>
      <c r="G130" s="688"/>
      <c r="H130" s="688"/>
      <c r="I130" s="362"/>
      <c r="J130" s="619"/>
      <c r="K130" s="404"/>
      <c r="L130" s="364"/>
      <c r="M130" s="364"/>
      <c r="N130" s="364"/>
      <c r="O130" s="368"/>
      <c r="P130" s="619"/>
      <c r="Q130" s="364"/>
      <c r="R130" s="364"/>
      <c r="S130" s="364"/>
      <c r="T130" s="364"/>
      <c r="U130" s="368"/>
      <c r="V130" s="619"/>
      <c r="W130" s="364"/>
      <c r="X130" s="365"/>
      <c r="Y130" s="364"/>
      <c r="Z130" s="364"/>
      <c r="AA130" s="368"/>
      <c r="AB130" s="403"/>
      <c r="AC130" s="688"/>
      <c r="AD130" s="689"/>
      <c r="AE130" s="688"/>
      <c r="AF130" s="688"/>
      <c r="AG130" s="362"/>
      <c r="AH130" s="619"/>
      <c r="AI130" s="688"/>
      <c r="AJ130" s="689"/>
      <c r="AK130" s="688"/>
      <c r="AL130" s="688"/>
      <c r="AM130" s="362"/>
      <c r="AN130" s="619"/>
      <c r="AO130" s="688"/>
      <c r="AP130" s="689"/>
      <c r="AQ130" s="688"/>
      <c r="AR130" s="688"/>
      <c r="AS130" s="362"/>
      <c r="AT130" s="793"/>
      <c r="AU130" s="688"/>
      <c r="AV130" s="689"/>
      <c r="AW130" s="688"/>
      <c r="AX130" s="688"/>
      <c r="AY130" s="688"/>
      <c r="AZ130" s="367"/>
      <c r="BA130" s="688"/>
      <c r="BB130" s="689"/>
      <c r="BC130" s="688"/>
      <c r="BD130" s="688"/>
      <c r="BE130" s="688"/>
      <c r="BF130" s="367"/>
      <c r="BG130" s="688"/>
      <c r="BH130" s="689"/>
      <c r="BI130" s="688"/>
      <c r="BJ130" s="688"/>
      <c r="BK130" s="688"/>
      <c r="BL130" s="365"/>
      <c r="BM130" s="688"/>
      <c r="BN130" s="688"/>
      <c r="BO130" s="688"/>
      <c r="BP130" s="688"/>
      <c r="BQ130" s="688"/>
      <c r="BR130" s="804"/>
      <c r="BS130" s="688"/>
      <c r="BT130" s="689"/>
      <c r="BU130" s="688"/>
      <c r="BV130" s="688"/>
      <c r="BW130" s="362"/>
      <c r="BX130" s="213"/>
      <c r="BY130" s="213"/>
      <c r="BZ130" s="213"/>
      <c r="CA130" s="213"/>
      <c r="CB130" s="213"/>
      <c r="CC130" s="213"/>
      <c r="CD130" s="213"/>
      <c r="CE130" s="213"/>
      <c r="CF130" s="213"/>
      <c r="CG130" s="213"/>
      <c r="CH130" s="213"/>
      <c r="CI130" s="213"/>
      <c r="CJ130" s="213"/>
      <c r="CK130" s="213"/>
      <c r="CL130" s="213"/>
      <c r="CM130" s="213"/>
      <c r="CN130" s="213"/>
      <c r="CO130" s="213"/>
      <c r="CP130" s="213"/>
      <c r="CQ130" s="213"/>
    </row>
    <row r="131" ht="15.75" customHeight="1">
      <c r="A131" s="213"/>
      <c r="B131" s="735"/>
      <c r="C131" s="447" t="s">
        <v>42</v>
      </c>
      <c r="D131" s="771">
        <f>SUM(D132:D133)</f>
        <v>0</v>
      </c>
      <c r="E131" s="774"/>
      <c r="F131" s="773">
        <f>SUM(F132:F133)</f>
        <v>0</v>
      </c>
      <c r="G131" s="812"/>
      <c r="H131" s="773">
        <f>SUM(H132:H133)</f>
        <v>0</v>
      </c>
      <c r="I131" s="811"/>
      <c r="J131" s="771">
        <f>SUM(J132:J133)</f>
        <v>0</v>
      </c>
      <c r="K131" s="774"/>
      <c r="L131" s="774">
        <f>SUM(L132)</f>
        <v>0</v>
      </c>
      <c r="M131" s="774"/>
      <c r="N131" s="774">
        <f>SUM(N132)</f>
        <v>0</v>
      </c>
      <c r="O131" s="513"/>
      <c r="P131" s="771">
        <f>SUM(P132:P133)</f>
        <v>0</v>
      </c>
      <c r="Q131" s="774"/>
      <c r="R131" s="774">
        <f>SUM(R132)</f>
        <v>0</v>
      </c>
      <c r="S131" s="774"/>
      <c r="T131" s="774">
        <f>SUM(T132)</f>
        <v>0</v>
      </c>
      <c r="U131" s="513"/>
      <c r="V131" s="771">
        <f>SUM(V132:V133)</f>
        <v>0</v>
      </c>
      <c r="W131" s="774"/>
      <c r="X131" s="509">
        <f>SUM(X132)</f>
        <v>0</v>
      </c>
      <c r="Y131" s="774"/>
      <c r="Z131" s="774">
        <f>SUM(Z132)</f>
        <v>0</v>
      </c>
      <c r="AA131" s="513"/>
      <c r="AB131" s="771">
        <f>SUM(AB132:AB133)</f>
        <v>3000</v>
      </c>
      <c r="AC131" s="812"/>
      <c r="AD131" s="814">
        <f>SUM(AD132)</f>
        <v>0</v>
      </c>
      <c r="AE131" s="812"/>
      <c r="AF131" s="812">
        <f>SUM(AF132)</f>
        <v>0</v>
      </c>
      <c r="AG131" s="811"/>
      <c r="AH131" s="771">
        <f>SUM(AH132:AH133)</f>
        <v>0</v>
      </c>
      <c r="AI131" s="812"/>
      <c r="AJ131" s="814">
        <f>SUM(AJ132)</f>
        <v>0</v>
      </c>
      <c r="AK131" s="812"/>
      <c r="AL131" s="812">
        <f>SUM(AL132)</f>
        <v>0</v>
      </c>
      <c r="AM131" s="811"/>
      <c r="AN131" s="771">
        <f>SUM(AN132:AN133)</f>
        <v>0</v>
      </c>
      <c r="AO131" s="812"/>
      <c r="AP131" s="814">
        <f>SUM(AP132)</f>
        <v>0</v>
      </c>
      <c r="AQ131" s="812"/>
      <c r="AR131" s="812">
        <f>SUM(AR132)</f>
        <v>0</v>
      </c>
      <c r="AS131" s="811"/>
      <c r="AT131" s="813">
        <f>SUM(AT132:AT133)</f>
        <v>0</v>
      </c>
      <c r="AU131" s="812"/>
      <c r="AV131" s="814">
        <f>SUM(AV132)</f>
        <v>0</v>
      </c>
      <c r="AW131" s="812"/>
      <c r="AX131" s="812">
        <f>SUM(AX132)</f>
        <v>0</v>
      </c>
      <c r="AY131" s="812"/>
      <c r="AZ131" s="773">
        <f>SUM(AZ132:AZ133)</f>
        <v>0</v>
      </c>
      <c r="BA131" s="812"/>
      <c r="BB131" s="509">
        <f>SUM(BB132:BB133)</f>
        <v>0</v>
      </c>
      <c r="BC131" s="812"/>
      <c r="BD131" s="773">
        <f>SUM(BD132:BD133)</f>
        <v>0</v>
      </c>
      <c r="BE131" s="812"/>
      <c r="BF131" s="773">
        <f>SUM(BF132:BF134)</f>
        <v>10270</v>
      </c>
      <c r="BG131" s="812"/>
      <c r="BH131" s="814">
        <f>SUM(BH132)</f>
        <v>0</v>
      </c>
      <c r="BI131" s="812"/>
      <c r="BJ131" s="812">
        <f>SUM(BJ132)</f>
        <v>0</v>
      </c>
      <c r="BK131" s="812"/>
      <c r="BL131" s="509">
        <f>SUM(BL132)</f>
        <v>0</v>
      </c>
      <c r="BM131" s="812"/>
      <c r="BN131" s="812">
        <f>SUM(BN132)</f>
        <v>0</v>
      </c>
      <c r="BO131" s="812"/>
      <c r="BP131" s="812">
        <f>SUM(BP132)</f>
        <v>0</v>
      </c>
      <c r="BQ131" s="812"/>
      <c r="BR131" s="814">
        <f>SUM(BR132)</f>
        <v>10000</v>
      </c>
      <c r="BS131" s="812"/>
      <c r="BT131" s="814">
        <f>SUM(BT132)</f>
        <v>0</v>
      </c>
      <c r="BU131" s="812"/>
      <c r="BV131" s="812">
        <f>SUM(BV132)</f>
        <v>0</v>
      </c>
      <c r="BW131" s="811"/>
      <c r="BX131" s="237">
        <f>D131+J131+P131+V131+AB131+AH131+AN131+AT131+AZ131+BF131+BL131+BR131</f>
        <v>23270</v>
      </c>
      <c r="BY131" s="216"/>
      <c r="BZ131" s="216"/>
      <c r="CA131" s="216"/>
      <c r="CB131" s="216"/>
      <c r="CC131" s="216"/>
      <c r="CD131" s="216"/>
      <c r="CE131" s="216"/>
      <c r="CF131" s="216"/>
      <c r="CG131" s="216"/>
      <c r="CH131" s="216"/>
      <c r="CI131" s="216"/>
      <c r="CJ131" s="216"/>
      <c r="CK131" s="216"/>
      <c r="CL131" s="216"/>
      <c r="CM131" s="216"/>
      <c r="CN131" s="216"/>
      <c r="CO131" s="216"/>
      <c r="CP131" s="216"/>
      <c r="CQ131" s="216"/>
    </row>
    <row r="132" ht="15.75" customHeight="1">
      <c r="A132" s="213"/>
      <c r="B132" s="444"/>
      <c r="C132" s="383" t="s">
        <v>340</v>
      </c>
      <c r="D132" s="708"/>
      <c r="E132" s="385">
        <f t="shared" ref="E132:E133" si="95">IFERROR((D132/D$29),"")</f>
        <v>0</v>
      </c>
      <c r="F132" s="709"/>
      <c r="G132" s="709"/>
      <c r="H132" s="388">
        <f t="shared" ref="H132:H133" si="96">D132-F132</f>
        <v>0</v>
      </c>
      <c r="I132" s="383"/>
      <c r="J132" s="708"/>
      <c r="K132" s="385">
        <f t="shared" ref="K132:K133" si="97">IFERROR((J132/J$29),"")</f>
        <v>0</v>
      </c>
      <c r="L132" s="440"/>
      <c r="M132" s="440"/>
      <c r="N132" s="440"/>
      <c r="O132" s="389"/>
      <c r="P132" s="708"/>
      <c r="Q132" s="440"/>
      <c r="R132" s="440"/>
      <c r="S132" s="440"/>
      <c r="T132" s="440"/>
      <c r="U132" s="389"/>
      <c r="V132" s="708"/>
      <c r="W132" s="440"/>
      <c r="X132" s="386"/>
      <c r="Y132" s="440"/>
      <c r="Z132" s="440"/>
      <c r="AA132" s="389"/>
      <c r="AB132" s="444">
        <v>3000.0</v>
      </c>
      <c r="AC132" s="709"/>
      <c r="AD132" s="927"/>
      <c r="AE132" s="709"/>
      <c r="AF132" s="709"/>
      <c r="AG132" s="383"/>
      <c r="AH132" s="708"/>
      <c r="AI132" s="709"/>
      <c r="AJ132" s="927"/>
      <c r="AK132" s="709"/>
      <c r="AL132" s="709"/>
      <c r="AM132" s="383"/>
      <c r="AN132" s="708"/>
      <c r="AO132" s="709"/>
      <c r="AP132" s="927"/>
      <c r="AQ132" s="709"/>
      <c r="AR132" s="709"/>
      <c r="AS132" s="383"/>
      <c r="AT132" s="787"/>
      <c r="AU132" s="709"/>
      <c r="AV132" s="927"/>
      <c r="AW132" s="709"/>
      <c r="AX132" s="709"/>
      <c r="AY132" s="709"/>
      <c r="AZ132" s="388"/>
      <c r="BA132" s="709"/>
      <c r="BB132" s="927"/>
      <c r="BC132" s="709"/>
      <c r="BD132" s="709"/>
      <c r="BE132" s="709"/>
      <c r="BF132" s="388">
        <v>10270.0</v>
      </c>
      <c r="BG132" s="709"/>
      <c r="BH132" s="927"/>
      <c r="BI132" s="709"/>
      <c r="BJ132" s="709"/>
      <c r="BK132" s="709"/>
      <c r="BL132" s="386"/>
      <c r="BM132" s="709"/>
      <c r="BN132" s="709"/>
      <c r="BO132" s="709"/>
      <c r="BP132" s="709"/>
      <c r="BQ132" s="709"/>
      <c r="BR132" s="808">
        <v>10000.0</v>
      </c>
      <c r="BS132" s="709"/>
      <c r="BT132" s="927"/>
      <c r="BU132" s="709"/>
      <c r="BV132" s="709"/>
      <c r="BW132" s="383"/>
      <c r="BX132" s="213"/>
      <c r="BY132" s="213"/>
      <c r="BZ132" s="213"/>
      <c r="CA132" s="213"/>
      <c r="CB132" s="213"/>
      <c r="CC132" s="213"/>
      <c r="CD132" s="213"/>
      <c r="CE132" s="213"/>
      <c r="CF132" s="213"/>
      <c r="CG132" s="213"/>
      <c r="CH132" s="213"/>
      <c r="CI132" s="213"/>
      <c r="CJ132" s="213"/>
      <c r="CK132" s="213"/>
      <c r="CL132" s="213"/>
      <c r="CM132" s="213"/>
      <c r="CN132" s="213"/>
      <c r="CO132" s="213"/>
      <c r="CP132" s="213"/>
      <c r="CQ132" s="213"/>
    </row>
    <row r="133" ht="15.75" customHeight="1">
      <c r="A133" s="213"/>
      <c r="B133" s="393"/>
      <c r="C133" s="350" t="s">
        <v>291</v>
      </c>
      <c r="D133" s="604"/>
      <c r="E133" s="355">
        <f t="shared" si="95"/>
        <v>0</v>
      </c>
      <c r="F133" s="245"/>
      <c r="G133" s="245"/>
      <c r="H133" s="357">
        <f t="shared" si="96"/>
        <v>0</v>
      </c>
      <c r="I133" s="350"/>
      <c r="J133" s="604"/>
      <c r="K133" s="355">
        <f t="shared" si="97"/>
        <v>0</v>
      </c>
      <c r="L133" s="352"/>
      <c r="M133" s="352"/>
      <c r="N133" s="352"/>
      <c r="O133" s="358"/>
      <c r="P133" s="604"/>
      <c r="Q133" s="352"/>
      <c r="R133" s="352"/>
      <c r="S133" s="352"/>
      <c r="T133" s="352"/>
      <c r="U133" s="358"/>
      <c r="V133" s="604"/>
      <c r="W133" s="352"/>
      <c r="X133" s="353"/>
      <c r="Y133" s="352"/>
      <c r="Z133" s="352"/>
      <c r="AA133" s="358"/>
      <c r="AB133" s="393"/>
      <c r="AC133" s="245"/>
      <c r="AD133" s="356"/>
      <c r="AE133" s="245"/>
      <c r="AF133" s="245"/>
      <c r="AG133" s="350"/>
      <c r="AH133" s="604"/>
      <c r="AI133" s="245"/>
      <c r="AJ133" s="356"/>
      <c r="AK133" s="245"/>
      <c r="AL133" s="245"/>
      <c r="AM133" s="350"/>
      <c r="AN133" s="604"/>
      <c r="AO133" s="245"/>
      <c r="AP133" s="356"/>
      <c r="AQ133" s="245"/>
      <c r="AR133" s="245"/>
      <c r="AS133" s="350"/>
      <c r="AT133" s="605"/>
      <c r="AU133" s="245"/>
      <c r="AV133" s="356"/>
      <c r="AW133" s="245"/>
      <c r="AX133" s="245"/>
      <c r="AY133" s="245"/>
      <c r="AZ133" s="357"/>
      <c r="BA133" s="245"/>
      <c r="BB133" s="356"/>
      <c r="BC133" s="245"/>
      <c r="BD133" s="245"/>
      <c r="BE133" s="245"/>
      <c r="BG133" s="245"/>
      <c r="BH133" s="356"/>
      <c r="BI133" s="245"/>
      <c r="BJ133" s="245"/>
      <c r="BK133" s="245"/>
      <c r="BL133" s="353"/>
      <c r="BM133" s="245"/>
      <c r="BN133" s="245"/>
      <c r="BO133" s="245"/>
      <c r="BP133" s="245"/>
      <c r="BQ133" s="245"/>
      <c r="BR133" s="356"/>
      <c r="BS133" s="245"/>
      <c r="BT133" s="356"/>
      <c r="BU133" s="245"/>
      <c r="BV133" s="245"/>
      <c r="BW133" s="350"/>
      <c r="BX133" s="213"/>
      <c r="BY133" s="213"/>
      <c r="BZ133" s="213"/>
      <c r="CA133" s="213"/>
      <c r="CB133" s="213"/>
      <c r="CC133" s="213"/>
      <c r="CD133" s="213"/>
      <c r="CE133" s="213"/>
      <c r="CF133" s="213"/>
      <c r="CG133" s="213"/>
      <c r="CH133" s="213"/>
      <c r="CI133" s="213"/>
      <c r="CJ133" s="213"/>
      <c r="CK133" s="213"/>
      <c r="CL133" s="213"/>
      <c r="CM133" s="213"/>
      <c r="CN133" s="213"/>
      <c r="CO133" s="213"/>
      <c r="CP133" s="213"/>
      <c r="CQ133" s="213"/>
    </row>
    <row r="134" ht="15.75" customHeight="1">
      <c r="A134" s="213"/>
      <c r="B134" s="403"/>
      <c r="C134" s="362"/>
      <c r="D134" s="619"/>
      <c r="E134" s="364"/>
      <c r="F134" s="688"/>
      <c r="G134" s="688"/>
      <c r="H134" s="688"/>
      <c r="I134" s="362"/>
      <c r="J134" s="619"/>
      <c r="K134" s="364"/>
      <c r="L134" s="364"/>
      <c r="M134" s="364"/>
      <c r="N134" s="364"/>
      <c r="O134" s="368"/>
      <c r="P134" s="619"/>
      <c r="Q134" s="364"/>
      <c r="R134" s="364"/>
      <c r="S134" s="364"/>
      <c r="T134" s="364"/>
      <c r="U134" s="368"/>
      <c r="V134" s="619"/>
      <c r="W134" s="364"/>
      <c r="X134" s="365"/>
      <c r="Y134" s="364"/>
      <c r="Z134" s="364"/>
      <c r="AA134" s="368"/>
      <c r="AB134" s="403"/>
      <c r="AC134" s="688"/>
      <c r="AD134" s="689"/>
      <c r="AE134" s="688"/>
      <c r="AF134" s="688"/>
      <c r="AG134" s="362"/>
      <c r="AH134" s="619"/>
      <c r="AI134" s="688"/>
      <c r="AJ134" s="689"/>
      <c r="AK134" s="688"/>
      <c r="AL134" s="688"/>
      <c r="AM134" s="362"/>
      <c r="AN134" s="619"/>
      <c r="AO134" s="688"/>
      <c r="AP134" s="689"/>
      <c r="AQ134" s="688"/>
      <c r="AR134" s="688"/>
      <c r="AS134" s="362"/>
      <c r="AT134" s="793"/>
      <c r="AU134" s="688"/>
      <c r="AV134" s="689"/>
      <c r="AW134" s="688"/>
      <c r="AX134" s="688"/>
      <c r="AY134" s="688"/>
      <c r="AZ134" s="367"/>
      <c r="BA134" s="688"/>
      <c r="BB134" s="689"/>
      <c r="BC134" s="688"/>
      <c r="BD134" s="688"/>
      <c r="BE134" s="688"/>
      <c r="BF134" s="357"/>
      <c r="BG134" s="688"/>
      <c r="BH134" s="689"/>
      <c r="BI134" s="688"/>
      <c r="BJ134" s="688"/>
      <c r="BK134" s="688"/>
      <c r="BL134" s="365"/>
      <c r="BM134" s="688"/>
      <c r="BN134" s="688"/>
      <c r="BO134" s="688"/>
      <c r="BP134" s="688"/>
      <c r="BQ134" s="688"/>
      <c r="BR134" s="804"/>
      <c r="BS134" s="688"/>
      <c r="BT134" s="689"/>
      <c r="BU134" s="688"/>
      <c r="BV134" s="688"/>
      <c r="BW134" s="362"/>
      <c r="BX134" s="213"/>
      <c r="BY134" s="213"/>
      <c r="BZ134" s="213"/>
      <c r="CA134" s="213"/>
      <c r="CB134" s="213"/>
      <c r="CC134" s="213"/>
      <c r="CD134" s="213"/>
      <c r="CE134" s="213"/>
      <c r="CF134" s="213"/>
      <c r="CG134" s="213"/>
      <c r="CH134" s="213"/>
      <c r="CI134" s="213"/>
      <c r="CJ134" s="213"/>
      <c r="CK134" s="213"/>
      <c r="CL134" s="213"/>
      <c r="CM134" s="213"/>
      <c r="CN134" s="213"/>
      <c r="CO134" s="213"/>
      <c r="CP134" s="213"/>
      <c r="CQ134" s="213"/>
    </row>
    <row r="135" ht="15.75" customHeight="1">
      <c r="A135" s="213"/>
      <c r="B135" s="735"/>
      <c r="C135" s="447" t="s">
        <v>43</v>
      </c>
      <c r="D135" s="771">
        <f>SUM(D136:D137)</f>
        <v>-1775161.34</v>
      </c>
      <c r="E135" s="774"/>
      <c r="F135" s="812">
        <f>SUM(F136:F137)</f>
        <v>0</v>
      </c>
      <c r="G135" s="812"/>
      <c r="H135" s="810">
        <f>SUM(H136:H137)</f>
        <v>-1775161.34</v>
      </c>
      <c r="I135" s="811"/>
      <c r="J135" s="771">
        <f>SUM(J136:J137)</f>
        <v>-1609861.006</v>
      </c>
      <c r="K135" s="774"/>
      <c r="L135" s="774">
        <f>SUM(L136:L137)</f>
        <v>0</v>
      </c>
      <c r="M135" s="774"/>
      <c r="N135" s="774">
        <f>SUM(N136:N137)</f>
        <v>0</v>
      </c>
      <c r="O135" s="513"/>
      <c r="P135" s="771">
        <f>SUM(P136:P137)</f>
        <v>-1523801.669</v>
      </c>
      <c r="Q135" s="774"/>
      <c r="R135" s="774">
        <f>SUM(R136:R137)</f>
        <v>0</v>
      </c>
      <c r="S135" s="774"/>
      <c r="T135" s="774">
        <f>SUM(T136:T137)</f>
        <v>0</v>
      </c>
      <c r="U135" s="513"/>
      <c r="V135" s="771">
        <f>SUM(V136:V137)</f>
        <v>-1369859.725</v>
      </c>
      <c r="W135" s="774"/>
      <c r="X135" s="509">
        <f>SUM(X136:X137)</f>
        <v>0</v>
      </c>
      <c r="Y135" s="774"/>
      <c r="Z135" s="774">
        <f>SUM(Z136:Z137)</f>
        <v>0</v>
      </c>
      <c r="AA135" s="513"/>
      <c r="AB135" s="941">
        <f>SUM(AB136:AB137)</f>
        <v>-1600760.905</v>
      </c>
      <c r="AC135" s="812"/>
      <c r="AD135" s="814">
        <f>SUM(AD136:AD137)</f>
        <v>0</v>
      </c>
      <c r="AE135" s="812"/>
      <c r="AF135" s="812">
        <f>SUM(AF136:AF137)</f>
        <v>0</v>
      </c>
      <c r="AG135" s="811"/>
      <c r="AH135" s="771">
        <f>SUM(AH136:AH137)</f>
        <v>-1499863.867</v>
      </c>
      <c r="AI135" s="812"/>
      <c r="AJ135" s="814">
        <f>SUM(AJ136:AJ137)</f>
        <v>0</v>
      </c>
      <c r="AK135" s="812"/>
      <c r="AL135" s="812">
        <f>SUM(AL136:AL137)</f>
        <v>0</v>
      </c>
      <c r="AM135" s="811"/>
      <c r="AN135" s="771">
        <f>SUM(AN136:AN137)</f>
        <v>-1977476</v>
      </c>
      <c r="AO135" s="812"/>
      <c r="AP135" s="814">
        <f>SUM(AP136:AP137)</f>
        <v>0</v>
      </c>
      <c r="AQ135" s="812"/>
      <c r="AR135" s="812">
        <f>SUM(AR136:AR137)</f>
        <v>0</v>
      </c>
      <c r="AS135" s="811"/>
      <c r="AT135" s="813">
        <f>SUM(AT136:AT137)</f>
        <v>-1573680</v>
      </c>
      <c r="AU135" s="812"/>
      <c r="AV135" s="814">
        <f>SUM(AV136:AV137)</f>
        <v>0</v>
      </c>
      <c r="AW135" s="812"/>
      <c r="AX135" s="812">
        <f>SUM(AX136:AX137)</f>
        <v>0</v>
      </c>
      <c r="AY135" s="812"/>
      <c r="AZ135" s="773">
        <f>SUM(AZ136:AZ137)</f>
        <v>-1549027.907</v>
      </c>
      <c r="BA135" s="812"/>
      <c r="BB135" s="814">
        <f>SUM(BB136:BB137)</f>
        <v>0</v>
      </c>
      <c r="BC135" s="812"/>
      <c r="BD135" s="812">
        <f>SUM(BD136:BD137)</f>
        <v>0</v>
      </c>
      <c r="BE135" s="812"/>
      <c r="BF135" s="773">
        <f>SUM(BF136)</f>
        <v>-1280816</v>
      </c>
      <c r="BG135" s="812"/>
      <c r="BH135" s="814">
        <f>SUM(BH136:BH137)</f>
        <v>0</v>
      </c>
      <c r="BI135" s="812"/>
      <c r="BJ135" s="812">
        <f>SUM(BJ136:BJ137)</f>
        <v>0</v>
      </c>
      <c r="BK135" s="812"/>
      <c r="BL135" s="509">
        <f>SUM(BL136:BL137)</f>
        <v>-1365061</v>
      </c>
      <c r="BM135" s="812"/>
      <c r="BN135" s="812">
        <f>SUM(BN136:BN137)</f>
        <v>0</v>
      </c>
      <c r="BO135" s="812"/>
      <c r="BP135" s="812">
        <f>SUM(BP136:BP137)</f>
        <v>0</v>
      </c>
      <c r="BQ135" s="812"/>
      <c r="BR135" s="814">
        <f>SUM(BR136:BR137)</f>
        <v>-1272285</v>
      </c>
      <c r="BS135" s="812"/>
      <c r="BT135" s="814">
        <f>SUM(BT136:BT137)</f>
        <v>0</v>
      </c>
      <c r="BU135" s="812"/>
      <c r="BV135" s="812">
        <f>SUM(BV136:BV137)</f>
        <v>0</v>
      </c>
      <c r="BW135" s="811"/>
      <c r="BX135" s="237">
        <f>D135+J135+P135+V135+AB135+AH135+AN135+AT135+AZ135+BF135+BL135+BR135</f>
        <v>-18397654.42</v>
      </c>
      <c r="BY135" s="216"/>
      <c r="BZ135" s="216"/>
      <c r="CA135" s="216"/>
      <c r="CB135" s="216"/>
      <c r="CC135" s="216"/>
      <c r="CD135" s="216"/>
      <c r="CE135" s="216"/>
      <c r="CF135" s="216"/>
      <c r="CG135" s="216"/>
      <c r="CH135" s="216"/>
      <c r="CI135" s="216"/>
      <c r="CJ135" s="216"/>
      <c r="CK135" s="216"/>
      <c r="CL135" s="216"/>
      <c r="CM135" s="216"/>
      <c r="CN135" s="216"/>
      <c r="CO135" s="216"/>
      <c r="CP135" s="216"/>
      <c r="CQ135" s="216"/>
    </row>
    <row r="136" ht="15.75" customHeight="1">
      <c r="A136" s="213"/>
      <c r="B136" s="444"/>
      <c r="C136" s="383" t="s">
        <v>435</v>
      </c>
      <c r="D136" s="708">
        <f>'MSBC CK Allocation'!C42</f>
        <v>-1775161.34</v>
      </c>
      <c r="E136" s="385">
        <f t="shared" ref="E136:E137" si="98">IFERROR((D136/D$29),"")</f>
        <v>-5.65302</v>
      </c>
      <c r="F136" s="709"/>
      <c r="G136" s="709"/>
      <c r="H136" s="388">
        <f t="shared" ref="H136:H137" si="99">D136-F136</f>
        <v>-1775161.34</v>
      </c>
      <c r="I136" s="383"/>
      <c r="J136" s="708">
        <f>'MSBC CK Allocation'!D42</f>
        <v>-1609861.006</v>
      </c>
      <c r="K136" s="385">
        <f t="shared" ref="K136:K140" si="100">IFERROR((J136/J$29),"")</f>
        <v>-4.18015447</v>
      </c>
      <c r="L136" s="440"/>
      <c r="M136" s="440"/>
      <c r="N136" s="440"/>
      <c r="O136" s="389"/>
      <c r="P136" s="708">
        <f>'MSBC CK Allocation'!E42</f>
        <v>-1523801.669</v>
      </c>
      <c r="Q136" s="440"/>
      <c r="R136" s="440"/>
      <c r="S136" s="440"/>
      <c r="T136" s="440"/>
      <c r="U136" s="389"/>
      <c r="V136" s="708">
        <f>'MSBC CK Allocation'!F42</f>
        <v>-1369859.725</v>
      </c>
      <c r="W136" s="440"/>
      <c r="X136" s="386"/>
      <c r="Y136" s="440"/>
      <c r="Z136" s="440"/>
      <c r="AA136" s="389"/>
      <c r="AB136" s="777">
        <f>'MSBC CK Allocation'!G42</f>
        <v>-1600760.905</v>
      </c>
      <c r="AC136" s="709"/>
      <c r="AD136" s="927"/>
      <c r="AE136" s="709"/>
      <c r="AF136" s="709"/>
      <c r="AG136" s="383"/>
      <c r="AH136" s="708">
        <f>'MSBC CK Allocation'!H42</f>
        <v>-1499863.867</v>
      </c>
      <c r="AI136" s="709"/>
      <c r="AJ136" s="927"/>
      <c r="AK136" s="709"/>
      <c r="AL136" s="709"/>
      <c r="AM136" s="383"/>
      <c r="AN136" s="382">
        <v>-1977476.0</v>
      </c>
      <c r="AO136" s="709"/>
      <c r="AP136" s="927"/>
      <c r="AQ136" s="709"/>
      <c r="AR136" s="709"/>
      <c r="AS136" s="383"/>
      <c r="AT136" s="943">
        <v>-1573680.0</v>
      </c>
      <c r="AU136" s="709"/>
      <c r="AV136" s="927"/>
      <c r="AW136" s="709"/>
      <c r="AX136" s="709"/>
      <c r="AY136" s="709"/>
      <c r="AZ136" s="388">
        <f>-'MSBC CK Allocation'!K40</f>
        <v>-1549027.907</v>
      </c>
      <c r="BA136" s="709"/>
      <c r="BB136" s="927"/>
      <c r="BC136" s="709"/>
      <c r="BD136" s="709"/>
      <c r="BE136" s="709"/>
      <c r="BF136" s="944">
        <v>-1280816.0</v>
      </c>
      <c r="BG136" s="709"/>
      <c r="BH136" s="927"/>
      <c r="BI136" s="709"/>
      <c r="BJ136" s="709"/>
      <c r="BK136" s="709"/>
      <c r="BL136" s="945">
        <v>-1365061.0</v>
      </c>
      <c r="BM136" s="709"/>
      <c r="BN136" s="709"/>
      <c r="BO136" s="709"/>
      <c r="BP136" s="709"/>
      <c r="BQ136" s="709"/>
      <c r="BR136" s="808">
        <v>-1272285.0</v>
      </c>
      <c r="BS136" s="709"/>
      <c r="BT136" s="927"/>
      <c r="BU136" s="709"/>
      <c r="BV136" s="709"/>
      <c r="BW136" s="383"/>
      <c r="BX136" s="213"/>
      <c r="BY136" s="213"/>
      <c r="BZ136" s="213"/>
      <c r="CA136" s="213"/>
      <c r="CB136" s="213"/>
      <c r="CC136" s="213"/>
      <c r="CD136" s="213"/>
      <c r="CE136" s="213"/>
      <c r="CF136" s="213"/>
      <c r="CG136" s="213"/>
      <c r="CH136" s="213"/>
      <c r="CI136" s="213"/>
      <c r="CJ136" s="213"/>
      <c r="CK136" s="213"/>
      <c r="CL136" s="213"/>
      <c r="CM136" s="213"/>
      <c r="CN136" s="213"/>
      <c r="CO136" s="213"/>
      <c r="CP136" s="213"/>
      <c r="CQ136" s="213"/>
    </row>
    <row r="137" ht="15.75" customHeight="1">
      <c r="A137" s="213"/>
      <c r="B137" s="393"/>
      <c r="C137" s="350" t="s">
        <v>344</v>
      </c>
      <c r="D137" s="604"/>
      <c r="E137" s="355">
        <f t="shared" si="98"/>
        <v>0</v>
      </c>
      <c r="F137" s="245"/>
      <c r="G137" s="245"/>
      <c r="H137" s="357">
        <f t="shared" si="99"/>
        <v>0</v>
      </c>
      <c r="I137" s="350"/>
      <c r="J137" s="604"/>
      <c r="K137" s="355">
        <f t="shared" si="100"/>
        <v>0</v>
      </c>
      <c r="L137" s="352"/>
      <c r="M137" s="352"/>
      <c r="N137" s="352"/>
      <c r="O137" s="358"/>
      <c r="P137" s="604"/>
      <c r="Q137" s="352"/>
      <c r="R137" s="352"/>
      <c r="S137" s="352"/>
      <c r="T137" s="352"/>
      <c r="U137" s="358"/>
      <c r="V137" s="604"/>
      <c r="W137" s="352"/>
      <c r="X137" s="353"/>
      <c r="Y137" s="352"/>
      <c r="Z137" s="352"/>
      <c r="AA137" s="358"/>
      <c r="AB137" s="393"/>
      <c r="AC137" s="245"/>
      <c r="AD137" s="356"/>
      <c r="AE137" s="245"/>
      <c r="AF137" s="245"/>
      <c r="AG137" s="350"/>
      <c r="AH137" s="604"/>
      <c r="AI137" s="245"/>
      <c r="AJ137" s="356"/>
      <c r="AK137" s="245"/>
      <c r="AL137" s="245"/>
      <c r="AM137" s="350"/>
      <c r="AN137" s="604"/>
      <c r="AO137" s="245"/>
      <c r="AP137" s="356"/>
      <c r="AQ137" s="245"/>
      <c r="AR137" s="245"/>
      <c r="AS137" s="350"/>
      <c r="AT137" s="605"/>
      <c r="AU137" s="245"/>
      <c r="AV137" s="356"/>
      <c r="AW137" s="245"/>
      <c r="AX137" s="245"/>
      <c r="AY137" s="245"/>
      <c r="AZ137" s="357"/>
      <c r="BA137" s="245"/>
      <c r="BB137" s="356"/>
      <c r="BC137" s="245"/>
      <c r="BD137" s="245"/>
      <c r="BE137" s="245"/>
      <c r="BG137" s="245"/>
      <c r="BH137" s="356"/>
      <c r="BI137" s="245"/>
      <c r="BJ137" s="245"/>
      <c r="BK137" s="245"/>
      <c r="BL137" s="353"/>
      <c r="BM137" s="245"/>
      <c r="BN137" s="245"/>
      <c r="BO137" s="245"/>
      <c r="BP137" s="245"/>
      <c r="BQ137" s="245"/>
      <c r="BR137" s="356"/>
      <c r="BS137" s="245"/>
      <c r="BT137" s="356"/>
      <c r="BU137" s="245"/>
      <c r="BV137" s="245"/>
      <c r="BW137" s="350"/>
      <c r="BX137" s="213"/>
      <c r="BY137" s="213"/>
      <c r="BZ137" s="213"/>
      <c r="CA137" s="213"/>
      <c r="CB137" s="213"/>
      <c r="CC137" s="213"/>
      <c r="CD137" s="213"/>
      <c r="CE137" s="213"/>
      <c r="CF137" s="213"/>
      <c r="CG137" s="213"/>
      <c r="CH137" s="213"/>
      <c r="CI137" s="213"/>
      <c r="CJ137" s="213"/>
      <c r="CK137" s="213"/>
      <c r="CL137" s="213"/>
      <c r="CM137" s="213"/>
      <c r="CN137" s="213"/>
      <c r="CO137" s="213"/>
      <c r="CP137" s="213"/>
      <c r="CQ137" s="213"/>
    </row>
    <row r="138" ht="15.75" customHeight="1">
      <c r="A138" s="213"/>
      <c r="B138" s="393"/>
      <c r="C138" s="350"/>
      <c r="D138" s="604"/>
      <c r="E138" s="352"/>
      <c r="F138" s="245"/>
      <c r="G138" s="245"/>
      <c r="H138" s="245"/>
      <c r="I138" s="350"/>
      <c r="J138" s="604"/>
      <c r="K138" s="355">
        <f t="shared" si="100"/>
        <v>0</v>
      </c>
      <c r="L138" s="352"/>
      <c r="M138" s="352"/>
      <c r="N138" s="352"/>
      <c r="O138" s="358"/>
      <c r="P138" s="604"/>
      <c r="Q138" s="352"/>
      <c r="R138" s="352"/>
      <c r="S138" s="352"/>
      <c r="T138" s="352"/>
      <c r="U138" s="358"/>
      <c r="V138" s="604"/>
      <c r="W138" s="352"/>
      <c r="X138" s="353"/>
      <c r="Y138" s="352"/>
      <c r="Z138" s="352"/>
      <c r="AA138" s="358"/>
      <c r="AB138" s="393"/>
      <c r="AC138" s="245"/>
      <c r="AD138" s="356"/>
      <c r="AE138" s="245"/>
      <c r="AF138" s="245"/>
      <c r="AG138" s="350"/>
      <c r="AH138" s="604"/>
      <c r="AI138" s="245"/>
      <c r="AJ138" s="356"/>
      <c r="AK138" s="245"/>
      <c r="AL138" s="245"/>
      <c r="AM138" s="350"/>
      <c r="AN138" s="604"/>
      <c r="AO138" s="245"/>
      <c r="AP138" s="356"/>
      <c r="AQ138" s="245"/>
      <c r="AR138" s="245"/>
      <c r="AS138" s="350"/>
      <c r="AT138" s="605"/>
      <c r="AU138" s="245"/>
      <c r="AV138" s="356"/>
      <c r="AW138" s="245"/>
      <c r="AX138" s="245"/>
      <c r="AY138" s="245"/>
      <c r="AZ138" s="357"/>
      <c r="BA138" s="245"/>
      <c r="BB138" s="356"/>
      <c r="BC138" s="245"/>
      <c r="BD138" s="245"/>
      <c r="BE138" s="245"/>
      <c r="BF138" s="357"/>
      <c r="BG138" s="245"/>
      <c r="BH138" s="356"/>
      <c r="BI138" s="245"/>
      <c r="BJ138" s="245"/>
      <c r="BK138" s="245"/>
      <c r="BL138" s="353"/>
      <c r="BM138" s="245"/>
      <c r="BN138" s="245"/>
      <c r="BO138" s="245"/>
      <c r="BP138" s="245"/>
      <c r="BQ138" s="245"/>
      <c r="BR138" s="356"/>
      <c r="BS138" s="245"/>
      <c r="BT138" s="356"/>
      <c r="BU138" s="245"/>
      <c r="BV138" s="245"/>
      <c r="BW138" s="350"/>
      <c r="BX138" s="213"/>
      <c r="BY138" s="213"/>
      <c r="BZ138" s="213"/>
      <c r="CA138" s="213"/>
      <c r="CB138" s="213"/>
      <c r="CC138" s="213"/>
      <c r="CD138" s="213"/>
      <c r="CE138" s="213"/>
      <c r="CF138" s="213"/>
      <c r="CG138" s="213"/>
      <c r="CH138" s="213"/>
      <c r="CI138" s="213"/>
      <c r="CJ138" s="213"/>
      <c r="CK138" s="213"/>
      <c r="CL138" s="213"/>
      <c r="CM138" s="213"/>
      <c r="CN138" s="213"/>
      <c r="CO138" s="213"/>
      <c r="CP138" s="213"/>
      <c r="CQ138" s="213"/>
    </row>
    <row r="139" ht="15.75" customHeight="1">
      <c r="A139" s="213"/>
      <c r="B139" s="403"/>
      <c r="C139" s="362"/>
      <c r="D139" s="619"/>
      <c r="E139" s="364"/>
      <c r="F139" s="688"/>
      <c r="G139" s="688"/>
      <c r="H139" s="688"/>
      <c r="I139" s="362"/>
      <c r="J139" s="619"/>
      <c r="K139" s="404">
        <f t="shared" si="100"/>
        <v>0</v>
      </c>
      <c r="L139" s="364"/>
      <c r="M139" s="364"/>
      <c r="N139" s="364"/>
      <c r="O139" s="368"/>
      <c r="P139" s="619"/>
      <c r="Q139" s="364"/>
      <c r="R139" s="364"/>
      <c r="S139" s="364"/>
      <c r="T139" s="364"/>
      <c r="U139" s="368"/>
      <c r="V139" s="619"/>
      <c r="W139" s="364"/>
      <c r="X139" s="365"/>
      <c r="Y139" s="364"/>
      <c r="Z139" s="364"/>
      <c r="AA139" s="368"/>
      <c r="AB139" s="403"/>
      <c r="AC139" s="688"/>
      <c r="AD139" s="689"/>
      <c r="AE139" s="688"/>
      <c r="AF139" s="688"/>
      <c r="AG139" s="362"/>
      <c r="AH139" s="619"/>
      <c r="AI139" s="688"/>
      <c r="AJ139" s="689"/>
      <c r="AK139" s="688"/>
      <c r="AL139" s="688"/>
      <c r="AM139" s="362"/>
      <c r="AN139" s="619"/>
      <c r="AO139" s="688"/>
      <c r="AP139" s="689"/>
      <c r="AQ139" s="688"/>
      <c r="AR139" s="688"/>
      <c r="AS139" s="362"/>
      <c r="AT139" s="793"/>
      <c r="AU139" s="688"/>
      <c r="AV139" s="689"/>
      <c r="AW139" s="688"/>
      <c r="AX139" s="688"/>
      <c r="AY139" s="688"/>
      <c r="AZ139" s="367"/>
      <c r="BA139" s="688"/>
      <c r="BB139" s="689"/>
      <c r="BC139" s="688"/>
      <c r="BD139" s="688"/>
      <c r="BE139" s="688"/>
      <c r="BF139" s="357"/>
      <c r="BG139" s="688"/>
      <c r="BH139" s="689"/>
      <c r="BI139" s="688"/>
      <c r="BJ139" s="688"/>
      <c r="BK139" s="688"/>
      <c r="BL139" s="365"/>
      <c r="BM139" s="688"/>
      <c r="BN139" s="688"/>
      <c r="BO139" s="688"/>
      <c r="BP139" s="688"/>
      <c r="BQ139" s="688"/>
      <c r="BR139" s="804"/>
      <c r="BS139" s="688"/>
      <c r="BT139" s="689"/>
      <c r="BU139" s="688"/>
      <c r="BV139" s="688"/>
      <c r="BW139" s="362"/>
      <c r="BX139" s="213"/>
      <c r="BY139" s="213"/>
      <c r="BZ139" s="213"/>
      <c r="CA139" s="213"/>
      <c r="CB139" s="213"/>
      <c r="CC139" s="213"/>
      <c r="CD139" s="213"/>
      <c r="CE139" s="213"/>
      <c r="CF139" s="213"/>
      <c r="CG139" s="213"/>
      <c r="CH139" s="213"/>
      <c r="CI139" s="213"/>
      <c r="CJ139" s="213"/>
      <c r="CK139" s="213"/>
      <c r="CL139" s="213"/>
      <c r="CM139" s="213"/>
      <c r="CN139" s="213"/>
      <c r="CO139" s="213"/>
      <c r="CP139" s="213"/>
      <c r="CQ139" s="213"/>
    </row>
    <row r="140" ht="15.75" customHeight="1">
      <c r="A140" s="213"/>
      <c r="B140" s="407"/>
      <c r="C140" s="372" t="s">
        <v>293</v>
      </c>
      <c r="D140" s="600">
        <f>D73+D75+D83+D90+D96+D106+D109+D114+D131+D135</f>
        <v>-286060.5209</v>
      </c>
      <c r="E140" s="374">
        <f>IFERROR((D140/D$29),"")</f>
        <v>-0.910962744</v>
      </c>
      <c r="F140" s="377">
        <f>F73+F75+F83+F90+F96+F106+F109+F114+F131+F135</f>
        <v>801696</v>
      </c>
      <c r="G140" s="806"/>
      <c r="H140" s="377"/>
      <c r="I140" s="372"/>
      <c r="J140" s="600">
        <f>J73+J75+J83+J90+J96+J106+J109+J114+J131+J135</f>
        <v>227195.6799</v>
      </c>
      <c r="K140" s="374">
        <f t="shared" si="100"/>
        <v>0.5899348039</v>
      </c>
      <c r="L140" s="408"/>
      <c r="M140" s="408"/>
      <c r="N140" s="408"/>
      <c r="O140" s="378"/>
      <c r="P140" s="600">
        <f>P73+P75+P83+P90+P96+P106+P109+P114+P131+P135</f>
        <v>234645.4467</v>
      </c>
      <c r="Q140" s="408"/>
      <c r="R140" s="408"/>
      <c r="S140" s="408"/>
      <c r="T140" s="408"/>
      <c r="U140" s="378"/>
      <c r="V140" s="600">
        <f>V73+V75+V83+V90+V96+V106+V109+V114+V131+V135</f>
        <v>300385.0749</v>
      </c>
      <c r="W140" s="408"/>
      <c r="X140" s="375"/>
      <c r="Y140" s="408"/>
      <c r="Z140" s="408"/>
      <c r="AA140" s="378"/>
      <c r="AB140" s="926">
        <f>AB73+AB75+AB83+AB90+AB96+AB106+AB109+AB114+AB131+AB135</f>
        <v>315409.432</v>
      </c>
      <c r="AC140" s="437"/>
      <c r="AD140" s="692"/>
      <c r="AE140" s="437"/>
      <c r="AF140" s="437"/>
      <c r="AG140" s="372"/>
      <c r="AH140" s="600">
        <f>AH73+AH75+AH83+AH90+AH96+AH106+AH109+AH114+AH131+AH135</f>
        <v>335958.559</v>
      </c>
      <c r="AI140" s="437"/>
      <c r="AJ140" s="692"/>
      <c r="AK140" s="437"/>
      <c r="AL140" s="437"/>
      <c r="AM140" s="372"/>
      <c r="AN140" s="600">
        <f>AN73+AN75+AN83+AN90+AN96+AN106+AN109+AN114+AN131+AN135</f>
        <v>-188518.96</v>
      </c>
      <c r="AO140" s="437"/>
      <c r="AP140" s="692"/>
      <c r="AQ140" s="437"/>
      <c r="AR140" s="437"/>
      <c r="AS140" s="372"/>
      <c r="AT140" s="601">
        <f>AT73+AT75+AT83+AT90+AT96+AT106+AT109+AT114+AT131+AT135</f>
        <v>376192.2762</v>
      </c>
      <c r="AU140" s="437"/>
      <c r="AV140" s="692"/>
      <c r="AW140" s="437"/>
      <c r="AX140" s="437"/>
      <c r="AY140" s="437"/>
      <c r="AZ140" s="377">
        <f>AZ73+AZ75+AZ83+AZ90+AZ96+AZ106+AZ109+AZ114+AZ131+AZ135</f>
        <v>297135.4399</v>
      </c>
      <c r="BA140" s="437"/>
      <c r="BB140" s="375">
        <f>BB73+BB75+BB83+BB90+BB96+BB106+BB109+BB114+BB131+BB135</f>
        <v>100694</v>
      </c>
      <c r="BC140" s="437"/>
      <c r="BD140" s="377">
        <f>BD73+BD75+BD83+BD90+BD96+BD106+BD109+BD114+BD131+BD135</f>
        <v>0</v>
      </c>
      <c r="BE140" s="437"/>
      <c r="BF140" s="377">
        <f>BF73+BF75+BF83+BF90+BF96+BF106+BF109+BF114+BF131+BF135</f>
        <v>665498.5052</v>
      </c>
      <c r="BG140" s="437"/>
      <c r="BH140" s="375">
        <f>BH73+BH75+BH83+BH90+BH96+BH106+BH109+BH114+BH131+BH135</f>
        <v>125081</v>
      </c>
      <c r="BI140" s="437"/>
      <c r="BJ140" s="377">
        <f>BJ73+BJ75+BJ83+BJ90+BJ96+BJ106+BJ109+BJ114+BJ131+BJ135</f>
        <v>0</v>
      </c>
      <c r="BK140" s="437"/>
      <c r="BL140" s="375">
        <f>BL73+BL75+BL83+BL90+BL96+BL106+BL109+BL114+BL131+BL135</f>
        <v>513244.2295</v>
      </c>
      <c r="BM140" s="437"/>
      <c r="BN140" s="377">
        <f>BN73+BN75+BN83+BN90+BN96+BN106+BN109+BN114+BN131+BN135</f>
        <v>116073</v>
      </c>
      <c r="BO140" s="437"/>
      <c r="BP140" s="377">
        <f>BP73+BP75+BP83+BP90+BP96+BP106+BP109+BP114+BP131+BP135</f>
        <v>0</v>
      </c>
      <c r="BQ140" s="437"/>
      <c r="BR140" s="375">
        <f>BR73+BR75+BR83+BR90+BR96+BR106+BR109+BR114+BR131+BR135</f>
        <v>1015561.339</v>
      </c>
      <c r="BS140" s="437"/>
      <c r="BT140" s="375">
        <f>BT73+BT75+BT83+BT90+BT96+BT106+BT109+BT114+BT131+BT135</f>
        <v>15000</v>
      </c>
      <c r="BU140" s="437"/>
      <c r="BV140" s="377">
        <f>BV73+BV75+BV83+BV90+BV96+BV106+BV109+BV114+BV131+BV135</f>
        <v>0</v>
      </c>
      <c r="BW140" s="372"/>
      <c r="BX140" s="237">
        <f>D140+J140+P140+V140+AB140+AH140+AN140+AT140+AZ140+BF140+BL140+BR140</f>
        <v>3806646.502</v>
      </c>
      <c r="BY140" s="213"/>
      <c r="BZ140" s="213"/>
      <c r="CA140" s="213"/>
      <c r="CB140" s="213"/>
      <c r="CC140" s="213"/>
      <c r="CD140" s="213"/>
      <c r="CE140" s="213"/>
      <c r="CF140" s="213"/>
      <c r="CG140" s="213"/>
      <c r="CH140" s="213"/>
      <c r="CI140" s="213"/>
      <c r="CJ140" s="213"/>
      <c r="CK140" s="213"/>
      <c r="CL140" s="213"/>
      <c r="CM140" s="213"/>
      <c r="CN140" s="213"/>
      <c r="CO140" s="213"/>
      <c r="CP140" s="213"/>
      <c r="CQ140" s="213"/>
    </row>
    <row r="141" ht="15.75" customHeight="1">
      <c r="A141" s="213"/>
      <c r="B141" s="415"/>
      <c r="C141" s="416"/>
      <c r="D141" s="477"/>
      <c r="E141" s="421"/>
      <c r="F141" s="818"/>
      <c r="G141" s="818"/>
      <c r="H141" s="818"/>
      <c r="I141" s="416"/>
      <c r="J141" s="477"/>
      <c r="K141" s="421"/>
      <c r="L141" s="421"/>
      <c r="M141" s="421"/>
      <c r="N141" s="421"/>
      <c r="O141" s="422"/>
      <c r="P141" s="477"/>
      <c r="Q141" s="421"/>
      <c r="R141" s="421"/>
      <c r="S141" s="421"/>
      <c r="T141" s="421"/>
      <c r="U141" s="422"/>
      <c r="V141" s="477"/>
      <c r="W141" s="421"/>
      <c r="X141" s="419"/>
      <c r="Y141" s="421"/>
      <c r="Z141" s="421"/>
      <c r="AA141" s="422"/>
      <c r="AB141" s="415"/>
      <c r="AC141" s="818"/>
      <c r="AD141" s="931"/>
      <c r="AE141" s="818"/>
      <c r="AF141" s="818"/>
      <c r="AG141" s="416"/>
      <c r="AH141" s="477"/>
      <c r="AI141" s="818"/>
      <c r="AJ141" s="931"/>
      <c r="AK141" s="818"/>
      <c r="AL141" s="818"/>
      <c r="AM141" s="416"/>
      <c r="AN141" s="477"/>
      <c r="AO141" s="818"/>
      <c r="AP141" s="931"/>
      <c r="AQ141" s="818"/>
      <c r="AR141" s="818"/>
      <c r="AS141" s="416"/>
      <c r="AT141" s="480"/>
      <c r="AU141" s="818"/>
      <c r="AV141" s="931"/>
      <c r="AW141" s="818"/>
      <c r="AX141" s="818"/>
      <c r="AY141" s="818"/>
      <c r="AZ141" s="478"/>
      <c r="BA141" s="818"/>
      <c r="BB141" s="931"/>
      <c r="BC141" s="818"/>
      <c r="BD141" s="818"/>
      <c r="BE141" s="818"/>
      <c r="BF141" s="377"/>
      <c r="BG141" s="818"/>
      <c r="BH141" s="931"/>
      <c r="BI141" s="818"/>
      <c r="BJ141" s="818"/>
      <c r="BK141" s="818"/>
      <c r="BL141" s="419"/>
      <c r="BM141" s="818"/>
      <c r="BN141" s="818"/>
      <c r="BO141" s="818"/>
      <c r="BP141" s="818"/>
      <c r="BQ141" s="818"/>
      <c r="BR141" s="932"/>
      <c r="BS141" s="818"/>
      <c r="BT141" s="931"/>
      <c r="BU141" s="818"/>
      <c r="BV141" s="818"/>
      <c r="BW141" s="416"/>
      <c r="BX141" s="213"/>
      <c r="BY141" s="213"/>
      <c r="BZ141" s="213"/>
      <c r="CA141" s="213"/>
      <c r="CB141" s="213"/>
      <c r="CC141" s="213"/>
      <c r="CD141" s="213"/>
      <c r="CE141" s="213"/>
      <c r="CF141" s="213"/>
      <c r="CG141" s="213"/>
      <c r="CH141" s="213"/>
      <c r="CI141" s="213"/>
      <c r="CJ141" s="213"/>
      <c r="CK141" s="213"/>
      <c r="CL141" s="213"/>
      <c r="CM141" s="213"/>
      <c r="CN141" s="213"/>
      <c r="CO141" s="213"/>
      <c r="CP141" s="213"/>
      <c r="CQ141" s="213"/>
    </row>
    <row r="142" ht="15.75" customHeight="1">
      <c r="A142" s="213"/>
      <c r="B142" s="407"/>
      <c r="C142" s="372" t="s">
        <v>294</v>
      </c>
      <c r="D142" s="375">
        <f>D64-D140</f>
        <v>461475.5022</v>
      </c>
      <c r="E142" s="374">
        <f>IFERROR((D142/D$29),"")</f>
        <v>1.469573601</v>
      </c>
      <c r="F142" s="377">
        <f>F64-F140</f>
        <v>-721696</v>
      </c>
      <c r="G142" s="806"/>
      <c r="H142" s="408"/>
      <c r="I142" s="372"/>
      <c r="J142" s="375">
        <f>J64-J140</f>
        <v>-71317.70897</v>
      </c>
      <c r="K142" s="374">
        <f>IFERROR((J142/J$29),"")</f>
        <v>-0.1851830927</v>
      </c>
      <c r="L142" s="408"/>
      <c r="M142" s="408"/>
      <c r="N142" s="408"/>
      <c r="O142" s="378"/>
      <c r="P142" s="375">
        <f>P64-P140</f>
        <v>-145828.87</v>
      </c>
      <c r="Q142" s="374">
        <f>IFERROR((P142/P$29),"")</f>
        <v>-0.4355622956</v>
      </c>
      <c r="R142" s="408"/>
      <c r="S142" s="408"/>
      <c r="T142" s="408"/>
      <c r="U142" s="378"/>
      <c r="V142" s="375">
        <f>V64-V140</f>
        <v>-174887.7831</v>
      </c>
      <c r="W142" s="374">
        <f>IFERROR((V142/V$29),"")</f>
        <v>-0.4084598031</v>
      </c>
      <c r="X142" s="375"/>
      <c r="Y142" s="408"/>
      <c r="Z142" s="408"/>
      <c r="AA142" s="378"/>
      <c r="AB142" s="375">
        <f>AB64-AB140</f>
        <v>-248298.624</v>
      </c>
      <c r="AC142" s="374">
        <f>IFERROR((AB142/AB$29),"")</f>
        <v>-0.5638716464</v>
      </c>
      <c r="AD142" s="692"/>
      <c r="AE142" s="437"/>
      <c r="AF142" s="437"/>
      <c r="AG142" s="372"/>
      <c r="AH142" s="375">
        <f>AH64-AH140</f>
        <v>-292833.1722</v>
      </c>
      <c r="AI142" s="374">
        <f>IFERROR((AH142/AH$29),"")</f>
        <v>-0.7718250106</v>
      </c>
      <c r="AJ142" s="692"/>
      <c r="AK142" s="437"/>
      <c r="AL142" s="437"/>
      <c r="AM142" s="372"/>
      <c r="AN142" s="375">
        <f>AN64-AN140</f>
        <v>253226.2693</v>
      </c>
      <c r="AO142" s="374">
        <f>IFERROR((AN142/AN$29),"")</f>
        <v>0.5420218904</v>
      </c>
      <c r="AP142" s="692"/>
      <c r="AQ142" s="437"/>
      <c r="AR142" s="437"/>
      <c r="AS142" s="372"/>
      <c r="AT142" s="375">
        <f>AT64-AT140</f>
        <v>-171754.2056</v>
      </c>
      <c r="AU142" s="437"/>
      <c r="AV142" s="692"/>
      <c r="AW142" s="437"/>
      <c r="AX142" s="437"/>
      <c r="AY142" s="437"/>
      <c r="AZ142" s="375">
        <f>AZ64-AZ140</f>
        <v>389722.8656</v>
      </c>
      <c r="BA142" s="374">
        <f>IFERROR((AZ142/AZ$29),"")</f>
        <v>0.3878741372</v>
      </c>
      <c r="BB142" s="375">
        <f>BB64-BB140</f>
        <v>-4335</v>
      </c>
      <c r="BC142" s="437"/>
      <c r="BD142" s="377">
        <f>BD64-BD140</f>
        <v>0</v>
      </c>
      <c r="BE142" s="437"/>
      <c r="BF142" s="375">
        <f>BF64-BF140</f>
        <v>-1259675.155</v>
      </c>
      <c r="BG142" s="374"/>
      <c r="BH142" s="375">
        <f>BH64-BH140</f>
        <v>-41291</v>
      </c>
      <c r="BI142" s="437"/>
      <c r="BJ142" s="377">
        <f>BJ64-BJ140</f>
        <v>0</v>
      </c>
      <c r="BK142" s="437"/>
      <c r="BL142" s="375">
        <f>BL64-BL140</f>
        <v>163801.2087</v>
      </c>
      <c r="BM142" s="437"/>
      <c r="BN142" s="377">
        <f>BN64-BN140</f>
        <v>-44773</v>
      </c>
      <c r="BO142" s="437"/>
      <c r="BP142" s="377">
        <f>BP64-BP140</f>
        <v>0</v>
      </c>
      <c r="BQ142" s="437"/>
      <c r="BR142" s="375">
        <f>BR64-BR140</f>
        <v>-1493518.789</v>
      </c>
      <c r="BS142" s="437"/>
      <c r="BT142" s="375">
        <f>BT64-BT140</f>
        <v>63500</v>
      </c>
      <c r="BU142" s="437"/>
      <c r="BV142" s="377">
        <f>BV64-BV140</f>
        <v>0</v>
      </c>
      <c r="BW142" s="372"/>
      <c r="BX142" s="215">
        <f>D142+J142+P142+V142+AB142+AH142+AN142+AT142+AZ142+BF142+BL142+BR142</f>
        <v>-2589888.463</v>
      </c>
      <c r="BY142" s="215">
        <f>BX142-'FY25-26'!AM30</f>
        <v>498</v>
      </c>
      <c r="BZ142" s="213"/>
      <c r="CA142" s="213"/>
      <c r="CB142" s="213"/>
      <c r="CC142" s="213"/>
      <c r="CD142" s="213"/>
      <c r="CE142" s="213"/>
      <c r="CF142" s="213"/>
      <c r="CG142" s="213"/>
      <c r="CH142" s="213"/>
      <c r="CI142" s="213"/>
      <c r="CJ142" s="213"/>
      <c r="CK142" s="213"/>
      <c r="CL142" s="213"/>
      <c r="CM142" s="213"/>
      <c r="CN142" s="213"/>
      <c r="CO142" s="213"/>
      <c r="CP142" s="213"/>
      <c r="CQ142" s="213"/>
    </row>
    <row r="143" ht="15.75" customHeight="1">
      <c r="A143" s="213"/>
      <c r="B143" s="213"/>
      <c r="C143" s="213"/>
      <c r="D143" s="946"/>
      <c r="E143" s="213"/>
      <c r="F143" s="213"/>
      <c r="G143" s="213"/>
      <c r="H143" s="213"/>
      <c r="I143" s="213"/>
      <c r="J143" s="213"/>
      <c r="K143" s="213"/>
      <c r="L143" s="213"/>
      <c r="M143" s="213"/>
      <c r="N143" s="213"/>
      <c r="O143" s="213"/>
      <c r="P143" s="213"/>
      <c r="Q143" s="238"/>
      <c r="R143" s="213"/>
      <c r="S143" s="213"/>
      <c r="T143" s="213"/>
      <c r="U143" s="213"/>
      <c r="V143" s="213"/>
      <c r="W143" s="213"/>
      <c r="X143" s="215"/>
      <c r="Y143" s="213"/>
      <c r="Z143" s="213"/>
      <c r="AA143" s="213"/>
      <c r="AB143" s="213"/>
      <c r="AC143" s="213"/>
      <c r="AD143" s="215"/>
      <c r="AE143" s="213"/>
      <c r="AF143" s="213"/>
      <c r="AG143" s="213"/>
      <c r="AH143" s="947"/>
      <c r="AI143" s="213"/>
      <c r="AJ143" s="215"/>
      <c r="AK143" s="213"/>
      <c r="AL143" s="213"/>
      <c r="AM143" s="213"/>
      <c r="AN143" s="947"/>
      <c r="AO143" s="213"/>
      <c r="AP143" s="215"/>
      <c r="AQ143" s="213"/>
      <c r="AR143" s="213"/>
      <c r="AS143" s="213"/>
      <c r="AT143" s="947"/>
      <c r="AU143" s="213"/>
      <c r="AV143" s="215"/>
      <c r="AW143" s="213"/>
      <c r="AX143" s="213"/>
      <c r="AY143" s="213"/>
      <c r="AZ143" s="947"/>
      <c r="BA143" s="213"/>
      <c r="BB143" s="215"/>
      <c r="BC143" s="213"/>
      <c r="BD143" s="213"/>
      <c r="BE143" s="213"/>
      <c r="BF143" s="947"/>
      <c r="BG143" s="213"/>
      <c r="BH143" s="215"/>
      <c r="BI143" s="213"/>
      <c r="BJ143" s="213"/>
      <c r="BK143" s="213"/>
      <c r="BL143" s="948"/>
      <c r="BM143" s="213"/>
      <c r="BN143" s="213"/>
      <c r="BO143" s="213"/>
      <c r="BP143" s="213"/>
      <c r="BQ143" s="213"/>
      <c r="BR143" s="326"/>
      <c r="BS143" s="213"/>
      <c r="BT143" s="215"/>
      <c r="BU143" s="213"/>
      <c r="BV143" s="213"/>
      <c r="BW143" s="213"/>
      <c r="BX143" s="213"/>
      <c r="BY143" s="213"/>
      <c r="BZ143" s="213"/>
      <c r="CA143" s="213"/>
      <c r="CB143" s="213"/>
      <c r="CC143" s="213"/>
      <c r="CD143" s="213"/>
      <c r="CE143" s="213"/>
      <c r="CF143" s="213"/>
      <c r="CG143" s="213"/>
      <c r="CH143" s="213"/>
      <c r="CI143" s="213"/>
      <c r="CJ143" s="213"/>
      <c r="CK143" s="213"/>
      <c r="CL143" s="213"/>
      <c r="CM143" s="213"/>
      <c r="CN143" s="213"/>
      <c r="CO143" s="213"/>
      <c r="CP143" s="213"/>
      <c r="CQ143" s="213"/>
    </row>
    <row r="144" ht="15.75" customHeight="1">
      <c r="A144" s="213"/>
      <c r="B144" s="213"/>
      <c r="C144" s="213"/>
      <c r="D144" s="946"/>
      <c r="E144" s="213"/>
      <c r="F144" s="213"/>
      <c r="G144" s="213"/>
      <c r="H144" s="213"/>
      <c r="I144" s="213"/>
      <c r="J144" s="213"/>
      <c r="K144" s="213"/>
      <c r="L144" s="213"/>
      <c r="M144" s="213"/>
      <c r="N144" s="213"/>
      <c r="O144" s="213"/>
      <c r="P144" s="213"/>
      <c r="Q144" s="238"/>
      <c r="R144" s="213"/>
      <c r="S144" s="213"/>
      <c r="T144" s="213"/>
      <c r="U144" s="213"/>
      <c r="V144" s="213"/>
      <c r="W144" s="213"/>
      <c r="X144" s="215"/>
      <c r="Y144" s="213"/>
      <c r="Z144" s="213"/>
      <c r="AA144" s="213"/>
      <c r="AB144" s="213"/>
      <c r="AC144" s="213"/>
      <c r="AD144" s="215"/>
      <c r="AE144" s="213"/>
      <c r="AF144" s="213"/>
      <c r="AG144" s="213"/>
      <c r="AH144" s="947"/>
      <c r="AI144" s="213"/>
      <c r="AJ144" s="215"/>
      <c r="AK144" s="213"/>
      <c r="AL144" s="213"/>
      <c r="AM144" s="213"/>
      <c r="AN144" s="947"/>
      <c r="AO144" s="213"/>
      <c r="AP144" s="215"/>
      <c r="AQ144" s="213"/>
      <c r="AR144" s="213"/>
      <c r="AS144" s="213"/>
      <c r="AT144" s="947"/>
      <c r="AU144" s="213"/>
      <c r="AV144" s="215"/>
      <c r="AW144" s="213"/>
      <c r="AX144" s="213"/>
      <c r="AY144" s="213"/>
      <c r="AZ144" s="947"/>
      <c r="BA144" s="213"/>
      <c r="BB144" s="215"/>
      <c r="BC144" s="213"/>
      <c r="BD144" s="213"/>
      <c r="BE144" s="213"/>
      <c r="BF144" s="947"/>
      <c r="BG144" s="213"/>
      <c r="BH144" s="215"/>
      <c r="BI144" s="213"/>
      <c r="BJ144" s="213"/>
      <c r="BK144" s="213"/>
      <c r="BL144" s="948"/>
      <c r="BM144" s="213"/>
      <c r="BN144" s="213"/>
      <c r="BO144" s="213"/>
      <c r="BP144" s="213"/>
      <c r="BQ144" s="213"/>
      <c r="BR144" s="326"/>
      <c r="BS144" s="213"/>
      <c r="BT144" s="215"/>
      <c r="BU144" s="213"/>
      <c r="BV144" s="213"/>
      <c r="BW144" s="213"/>
      <c r="BX144" s="213"/>
      <c r="BY144" s="213"/>
      <c r="BZ144" s="213"/>
      <c r="CA144" s="213"/>
      <c r="CB144" s="213"/>
      <c r="CC144" s="213"/>
      <c r="CD144" s="213"/>
      <c r="CE144" s="213"/>
      <c r="CF144" s="213"/>
      <c r="CG144" s="213"/>
      <c r="CH144" s="213"/>
      <c r="CI144" s="213"/>
      <c r="CJ144" s="213"/>
      <c r="CK144" s="213"/>
      <c r="CL144" s="213"/>
      <c r="CM144" s="213"/>
      <c r="CN144" s="213"/>
      <c r="CO144" s="213"/>
      <c r="CP144" s="213"/>
      <c r="CQ144" s="213"/>
    </row>
    <row r="145" ht="15.75" customHeight="1">
      <c r="A145" s="213"/>
      <c r="B145" s="213"/>
      <c r="C145" s="213"/>
      <c r="D145" s="946"/>
      <c r="E145" s="213"/>
      <c r="F145" s="213"/>
      <c r="G145" s="213"/>
      <c r="H145" s="213"/>
      <c r="I145" s="213"/>
      <c r="J145" s="213"/>
      <c r="K145" s="213"/>
      <c r="L145" s="213"/>
      <c r="M145" s="213"/>
      <c r="N145" s="213"/>
      <c r="O145" s="213"/>
      <c r="P145" s="213"/>
      <c r="Q145" s="238"/>
      <c r="R145" s="213"/>
      <c r="S145" s="213"/>
      <c r="T145" s="213"/>
      <c r="U145" s="213"/>
      <c r="V145" s="213"/>
      <c r="W145" s="213"/>
      <c r="X145" s="215"/>
      <c r="Y145" s="213"/>
      <c r="Z145" s="213"/>
      <c r="AA145" s="213"/>
      <c r="AB145" s="213"/>
      <c r="AC145" s="213"/>
      <c r="AD145" s="215"/>
      <c r="AE145" s="213"/>
      <c r="AF145" s="213"/>
      <c r="AG145" s="213"/>
      <c r="AH145" s="947"/>
      <c r="AI145" s="213"/>
      <c r="AJ145" s="215"/>
      <c r="AK145" s="213"/>
      <c r="AL145" s="213"/>
      <c r="AM145" s="213"/>
      <c r="AN145" s="947"/>
      <c r="AO145" s="213"/>
      <c r="AP145" s="215"/>
      <c r="AQ145" s="213"/>
      <c r="AR145" s="213"/>
      <c r="AS145" s="213"/>
      <c r="AT145" s="947"/>
      <c r="AU145" s="213"/>
      <c r="AV145" s="215"/>
      <c r="AW145" s="213"/>
      <c r="AX145" s="213"/>
      <c r="AY145" s="213"/>
      <c r="AZ145" s="947"/>
      <c r="BA145" s="213"/>
      <c r="BB145" s="215"/>
      <c r="BC145" s="213"/>
      <c r="BD145" s="213"/>
      <c r="BE145" s="213"/>
      <c r="BF145" s="947"/>
      <c r="BG145" s="213"/>
      <c r="BH145" s="215"/>
      <c r="BI145" s="213"/>
      <c r="BJ145" s="213"/>
      <c r="BK145" s="213"/>
      <c r="BL145" s="948"/>
      <c r="BM145" s="213"/>
      <c r="BN145" s="213"/>
      <c r="BO145" s="213"/>
      <c r="BP145" s="213"/>
      <c r="BQ145" s="213"/>
      <c r="BR145" s="326"/>
      <c r="BS145" s="213"/>
      <c r="BT145" s="215"/>
      <c r="BU145" s="213"/>
      <c r="BV145" s="213"/>
      <c r="BW145" s="213"/>
      <c r="BX145" s="213"/>
      <c r="BY145" s="213"/>
      <c r="BZ145" s="213"/>
      <c r="CA145" s="213"/>
      <c r="CB145" s="213"/>
      <c r="CC145" s="213"/>
      <c r="CD145" s="213"/>
      <c r="CE145" s="213"/>
      <c r="CF145" s="213"/>
      <c r="CG145" s="213"/>
      <c r="CH145" s="213"/>
      <c r="CI145" s="213"/>
      <c r="CJ145" s="213"/>
      <c r="CK145" s="213"/>
      <c r="CL145" s="213"/>
      <c r="CM145" s="213"/>
      <c r="CN145" s="213"/>
      <c r="CO145" s="213"/>
      <c r="CP145" s="213"/>
      <c r="CQ145" s="213"/>
    </row>
    <row r="146" ht="15.75" customHeight="1">
      <c r="A146" s="213"/>
      <c r="B146" s="213"/>
      <c r="C146" s="213"/>
      <c r="D146" s="946"/>
      <c r="E146" s="213"/>
      <c r="F146" s="213"/>
      <c r="G146" s="213"/>
      <c r="H146" s="213"/>
      <c r="I146" s="213"/>
      <c r="J146" s="213"/>
      <c r="K146" s="213"/>
      <c r="L146" s="213"/>
      <c r="M146" s="213"/>
      <c r="N146" s="213"/>
      <c r="O146" s="213"/>
      <c r="P146" s="213"/>
      <c r="Q146" s="238"/>
      <c r="R146" s="213"/>
      <c r="S146" s="213"/>
      <c r="T146" s="213"/>
      <c r="U146" s="213"/>
      <c r="V146" s="213"/>
      <c r="W146" s="213"/>
      <c r="X146" s="215"/>
      <c r="Y146" s="213"/>
      <c r="Z146" s="213"/>
      <c r="AA146" s="213"/>
      <c r="AB146" s="213"/>
      <c r="AC146" s="213"/>
      <c r="AD146" s="215"/>
      <c r="AE146" s="213"/>
      <c r="AF146" s="213"/>
      <c r="AG146" s="213"/>
      <c r="AH146" s="947"/>
      <c r="AI146" s="213"/>
      <c r="AJ146" s="215"/>
      <c r="AK146" s="213"/>
      <c r="AL146" s="213"/>
      <c r="AM146" s="213"/>
      <c r="AN146" s="947"/>
      <c r="AO146" s="213"/>
      <c r="AP146" s="215"/>
      <c r="AQ146" s="213"/>
      <c r="AR146" s="213"/>
      <c r="AS146" s="213"/>
      <c r="AT146" s="947"/>
      <c r="AU146" s="213"/>
      <c r="AV146" s="215"/>
      <c r="AW146" s="213"/>
      <c r="AX146" s="213"/>
      <c r="AY146" s="213"/>
      <c r="AZ146" s="947"/>
      <c r="BA146" s="213"/>
      <c r="BB146" s="215"/>
      <c r="BC146" s="213"/>
      <c r="BD146" s="213"/>
      <c r="BE146" s="213"/>
      <c r="BF146" s="947"/>
      <c r="BG146" s="213"/>
      <c r="BH146" s="215"/>
      <c r="BI146" s="213"/>
      <c r="BJ146" s="213"/>
      <c r="BK146" s="213"/>
      <c r="BL146" s="948"/>
      <c r="BM146" s="213"/>
      <c r="BN146" s="213"/>
      <c r="BO146" s="213"/>
      <c r="BP146" s="213"/>
      <c r="BQ146" s="213"/>
      <c r="BR146" s="326"/>
      <c r="BS146" s="213"/>
      <c r="BT146" s="215"/>
      <c r="BU146" s="213"/>
      <c r="BV146" s="213"/>
      <c r="BW146" s="213"/>
      <c r="BX146" s="213"/>
      <c r="BY146" s="213"/>
      <c r="BZ146" s="213"/>
      <c r="CA146" s="213"/>
      <c r="CB146" s="213"/>
      <c r="CC146" s="213"/>
      <c r="CD146" s="213"/>
      <c r="CE146" s="213"/>
      <c r="CF146" s="213"/>
      <c r="CG146" s="213"/>
      <c r="CH146" s="213"/>
      <c r="CI146" s="213"/>
      <c r="CJ146" s="213"/>
      <c r="CK146" s="213"/>
      <c r="CL146" s="213"/>
      <c r="CM146" s="213"/>
      <c r="CN146" s="213"/>
      <c r="CO146" s="213"/>
      <c r="CP146" s="213"/>
      <c r="CQ146" s="213"/>
    </row>
    <row r="147" ht="15.75" customHeight="1">
      <c r="A147" s="213"/>
      <c r="B147" s="213"/>
      <c r="C147" s="213"/>
      <c r="D147" s="213"/>
      <c r="E147" s="213"/>
      <c r="F147" s="213"/>
      <c r="G147" s="213"/>
      <c r="H147" s="213"/>
      <c r="I147" s="213"/>
      <c r="J147" s="213"/>
      <c r="K147" s="213"/>
      <c r="L147" s="213"/>
      <c r="M147" s="213"/>
      <c r="N147" s="213"/>
      <c r="O147" s="213"/>
      <c r="P147" s="213"/>
      <c r="Q147" s="238"/>
      <c r="R147" s="213"/>
      <c r="S147" s="213"/>
      <c r="T147" s="213"/>
      <c r="U147" s="213"/>
      <c r="V147" s="213"/>
      <c r="W147" s="213"/>
      <c r="X147" s="215"/>
      <c r="Y147" s="213"/>
      <c r="Z147" s="213"/>
      <c r="AA147" s="213"/>
      <c r="AB147" s="213"/>
      <c r="AC147" s="213"/>
      <c r="AD147" s="215"/>
      <c r="AE147" s="213"/>
      <c r="AF147" s="213"/>
      <c r="AG147" s="213"/>
      <c r="AH147" s="947"/>
      <c r="AI147" s="213"/>
      <c r="AJ147" s="215"/>
      <c r="AK147" s="213"/>
      <c r="AL147" s="213"/>
      <c r="AM147" s="213"/>
      <c r="AN147" s="947"/>
      <c r="AO147" s="213"/>
      <c r="AP147" s="215"/>
      <c r="AQ147" s="213"/>
      <c r="AR147" s="213"/>
      <c r="AS147" s="213"/>
      <c r="AT147" s="947"/>
      <c r="AU147" s="213"/>
      <c r="AV147" s="215"/>
      <c r="AW147" s="213"/>
      <c r="AX147" s="213"/>
      <c r="AY147" s="213"/>
      <c r="AZ147" s="947"/>
      <c r="BA147" s="213"/>
      <c r="BB147" s="215"/>
      <c r="BC147" s="213"/>
      <c r="BD147" s="213"/>
      <c r="BE147" s="213"/>
      <c r="BF147" s="947"/>
      <c r="BG147" s="213"/>
      <c r="BH147" s="215"/>
      <c r="BI147" s="213"/>
      <c r="BJ147" s="213"/>
      <c r="BK147" s="213"/>
      <c r="BL147" s="948"/>
      <c r="BM147" s="213"/>
      <c r="BN147" s="213"/>
      <c r="BO147" s="213"/>
      <c r="BP147" s="213"/>
      <c r="BQ147" s="213"/>
      <c r="BR147" s="326"/>
      <c r="BS147" s="213"/>
      <c r="BT147" s="215"/>
      <c r="BU147" s="213"/>
      <c r="BV147" s="213"/>
      <c r="BW147" s="213"/>
      <c r="BX147" s="213"/>
      <c r="BY147" s="213"/>
      <c r="BZ147" s="213"/>
      <c r="CA147" s="213"/>
      <c r="CB147" s="213"/>
      <c r="CC147" s="213"/>
      <c r="CD147" s="213"/>
      <c r="CE147" s="213"/>
      <c r="CF147" s="213"/>
      <c r="CG147" s="213"/>
      <c r="CH147" s="213"/>
      <c r="CI147" s="213"/>
      <c r="CJ147" s="213"/>
      <c r="CK147" s="213"/>
      <c r="CL147" s="213"/>
      <c r="CM147" s="213"/>
      <c r="CN147" s="213"/>
      <c r="CO147" s="213"/>
      <c r="CP147" s="213"/>
      <c r="CQ147" s="213"/>
    </row>
    <row r="148" ht="15.75" customHeight="1">
      <c r="A148" s="213"/>
      <c r="B148" s="213"/>
      <c r="C148" s="213"/>
      <c r="D148" s="213"/>
      <c r="E148" s="213"/>
      <c r="F148" s="213"/>
      <c r="G148" s="213"/>
      <c r="H148" s="213"/>
      <c r="I148" s="213"/>
      <c r="J148" s="213"/>
      <c r="K148" s="213"/>
      <c r="L148" s="213"/>
      <c r="M148" s="213"/>
      <c r="N148" s="213"/>
      <c r="O148" s="213"/>
      <c r="P148" s="213"/>
      <c r="Q148" s="238"/>
      <c r="R148" s="213"/>
      <c r="S148" s="213"/>
      <c r="T148" s="213"/>
      <c r="U148" s="213"/>
      <c r="V148" s="213"/>
      <c r="W148" s="213"/>
      <c r="X148" s="215"/>
      <c r="Y148" s="213"/>
      <c r="Z148" s="213"/>
      <c r="AA148" s="213"/>
      <c r="AB148" s="213"/>
      <c r="AC148" s="213"/>
      <c r="AD148" s="215"/>
      <c r="AE148" s="213"/>
      <c r="AF148" s="213"/>
      <c r="AG148" s="213"/>
      <c r="AH148" s="947"/>
      <c r="AI148" s="213"/>
      <c r="AJ148" s="215"/>
      <c r="AK148" s="213"/>
      <c r="AL148" s="213"/>
      <c r="AM148" s="213"/>
      <c r="AN148" s="947"/>
      <c r="AO148" s="213"/>
      <c r="AP148" s="215"/>
      <c r="AQ148" s="213"/>
      <c r="AR148" s="213"/>
      <c r="AS148" s="213"/>
      <c r="AT148" s="947"/>
      <c r="AU148" s="213"/>
      <c r="AV148" s="215"/>
      <c r="AW148" s="213"/>
      <c r="AX148" s="213"/>
      <c r="AY148" s="213"/>
      <c r="AZ148" s="947"/>
      <c r="BA148" s="213"/>
      <c r="BB148" s="215"/>
      <c r="BC148" s="213"/>
      <c r="BD148" s="213"/>
      <c r="BE148" s="213"/>
      <c r="BF148" s="947"/>
      <c r="BG148" s="213"/>
      <c r="BH148" s="215"/>
      <c r="BI148" s="213"/>
      <c r="BJ148" s="213"/>
      <c r="BK148" s="213"/>
      <c r="BL148" s="948"/>
      <c r="BM148" s="213"/>
      <c r="BN148" s="213"/>
      <c r="BO148" s="213"/>
      <c r="BP148" s="213"/>
      <c r="BQ148" s="213"/>
      <c r="BR148" s="326"/>
      <c r="BS148" s="213"/>
      <c r="BT148" s="215"/>
      <c r="BU148" s="213"/>
      <c r="BV148" s="213"/>
      <c r="BW148" s="213"/>
      <c r="BX148" s="213"/>
      <c r="BY148" s="213"/>
      <c r="BZ148" s="213"/>
      <c r="CA148" s="213"/>
      <c r="CB148" s="213"/>
      <c r="CC148" s="213"/>
      <c r="CD148" s="213"/>
      <c r="CE148" s="213"/>
      <c r="CF148" s="213"/>
      <c r="CG148" s="213"/>
      <c r="CH148" s="213"/>
      <c r="CI148" s="213"/>
      <c r="CJ148" s="213"/>
      <c r="CK148" s="213"/>
      <c r="CL148" s="213"/>
      <c r="CM148" s="213"/>
      <c r="CN148" s="213"/>
      <c r="CO148" s="213"/>
      <c r="CP148" s="213"/>
      <c r="CQ148" s="213"/>
    </row>
    <row r="149" ht="15.75" customHeight="1">
      <c r="A149" s="213"/>
      <c r="B149" s="213"/>
      <c r="C149" s="213"/>
      <c r="D149" s="213"/>
      <c r="E149" s="213"/>
      <c r="F149" s="213"/>
      <c r="G149" s="213"/>
      <c r="H149" s="213"/>
      <c r="I149" s="213"/>
      <c r="J149" s="213"/>
      <c r="K149" s="213"/>
      <c r="L149" s="213"/>
      <c r="M149" s="213"/>
      <c r="N149" s="213"/>
      <c r="O149" s="213"/>
      <c r="P149" s="213"/>
      <c r="Q149" s="238"/>
      <c r="R149" s="213"/>
      <c r="S149" s="213"/>
      <c r="T149" s="213"/>
      <c r="U149" s="213"/>
      <c r="V149" s="213"/>
      <c r="W149" s="213"/>
      <c r="X149" s="215"/>
      <c r="Y149" s="213"/>
      <c r="Z149" s="213"/>
      <c r="AA149" s="213"/>
      <c r="AB149" s="213"/>
      <c r="AC149" s="213"/>
      <c r="AD149" s="215"/>
      <c r="AE149" s="213"/>
      <c r="AF149" s="213"/>
      <c r="AG149" s="213"/>
      <c r="AH149" s="947"/>
      <c r="AI149" s="213"/>
      <c r="AJ149" s="215"/>
      <c r="AK149" s="213"/>
      <c r="AL149" s="213"/>
      <c r="AM149" s="213"/>
      <c r="AN149" s="947"/>
      <c r="AO149" s="213"/>
      <c r="AP149" s="215"/>
      <c r="AQ149" s="213"/>
      <c r="AR149" s="213"/>
      <c r="AS149" s="213"/>
      <c r="AT149" s="947"/>
      <c r="AU149" s="213"/>
      <c r="AV149" s="215"/>
      <c r="AW149" s="213"/>
      <c r="AX149" s="213"/>
      <c r="AY149" s="213"/>
      <c r="AZ149" s="947"/>
      <c r="BA149" s="213"/>
      <c r="BB149" s="215"/>
      <c r="BC149" s="213"/>
      <c r="BD149" s="213"/>
      <c r="BE149" s="213"/>
      <c r="BF149" s="947"/>
      <c r="BG149" s="213"/>
      <c r="BH149" s="215"/>
      <c r="BI149" s="213"/>
      <c r="BJ149" s="213"/>
      <c r="BK149" s="213"/>
      <c r="BL149" s="948"/>
      <c r="BM149" s="213"/>
      <c r="BN149" s="213"/>
      <c r="BO149" s="213"/>
      <c r="BP149" s="213"/>
      <c r="BQ149" s="213"/>
      <c r="BR149" s="326"/>
      <c r="BS149" s="213"/>
      <c r="BT149" s="215"/>
      <c r="BU149" s="213"/>
      <c r="BV149" s="213"/>
      <c r="BW149" s="213"/>
      <c r="BX149" s="213"/>
      <c r="BY149" s="213"/>
      <c r="BZ149" s="213"/>
      <c r="CA149" s="213"/>
      <c r="CB149" s="213"/>
      <c r="CC149" s="213"/>
      <c r="CD149" s="213"/>
      <c r="CE149" s="213"/>
      <c r="CF149" s="213"/>
      <c r="CG149" s="213"/>
      <c r="CH149" s="213"/>
      <c r="CI149" s="213"/>
      <c r="CJ149" s="213"/>
      <c r="CK149" s="213"/>
      <c r="CL149" s="213"/>
      <c r="CM149" s="213"/>
      <c r="CN149" s="213"/>
      <c r="CO149" s="213"/>
      <c r="CP149" s="213"/>
      <c r="CQ149" s="213"/>
    </row>
    <row r="150" ht="15.75" customHeight="1">
      <c r="A150" s="213"/>
      <c r="B150" s="213"/>
      <c r="C150" s="213"/>
      <c r="D150" s="213"/>
      <c r="E150" s="213"/>
      <c r="F150" s="213"/>
      <c r="G150" s="213"/>
      <c r="H150" s="213"/>
      <c r="I150" s="213"/>
      <c r="J150" s="213"/>
      <c r="K150" s="213"/>
      <c r="L150" s="213"/>
      <c r="M150" s="213"/>
      <c r="N150" s="213"/>
      <c r="O150" s="213"/>
      <c r="P150" s="213"/>
      <c r="Q150" s="238"/>
      <c r="R150" s="213"/>
      <c r="S150" s="213"/>
      <c r="T150" s="213"/>
      <c r="U150" s="213"/>
      <c r="V150" s="213"/>
      <c r="W150" s="213"/>
      <c r="X150" s="215"/>
      <c r="Y150" s="213"/>
      <c r="Z150" s="213"/>
      <c r="AA150" s="213"/>
      <c r="AB150" s="213"/>
      <c r="AC150" s="213"/>
      <c r="AD150" s="215"/>
      <c r="AE150" s="213"/>
      <c r="AF150" s="213"/>
      <c r="AG150" s="213"/>
      <c r="AH150" s="947"/>
      <c r="AI150" s="213"/>
      <c r="AJ150" s="215"/>
      <c r="AK150" s="213"/>
      <c r="AL150" s="213"/>
      <c r="AM150" s="213"/>
      <c r="AN150" s="947"/>
      <c r="AO150" s="213"/>
      <c r="AP150" s="215"/>
      <c r="AQ150" s="213"/>
      <c r="AR150" s="213"/>
      <c r="AS150" s="213"/>
      <c r="AT150" s="947"/>
      <c r="AU150" s="213"/>
      <c r="AV150" s="215"/>
      <c r="AW150" s="213"/>
      <c r="AX150" s="213"/>
      <c r="AY150" s="213"/>
      <c r="AZ150" s="947"/>
      <c r="BA150" s="213"/>
      <c r="BB150" s="215"/>
      <c r="BC150" s="213"/>
      <c r="BD150" s="213"/>
      <c r="BE150" s="213"/>
      <c r="BF150" s="947"/>
      <c r="BG150" s="213"/>
      <c r="BH150" s="215"/>
      <c r="BI150" s="213"/>
      <c r="BJ150" s="213"/>
      <c r="BK150" s="213"/>
      <c r="BL150" s="948"/>
      <c r="BM150" s="213"/>
      <c r="BN150" s="213"/>
      <c r="BO150" s="213"/>
      <c r="BP150" s="213"/>
      <c r="BQ150" s="213"/>
      <c r="BR150" s="326"/>
      <c r="BS150" s="213"/>
      <c r="BT150" s="215"/>
      <c r="BU150" s="213"/>
      <c r="BV150" s="213"/>
      <c r="BW150" s="213"/>
      <c r="BX150" s="213"/>
      <c r="BY150" s="213"/>
      <c r="BZ150" s="213"/>
      <c r="CA150" s="213"/>
      <c r="CB150" s="213"/>
      <c r="CC150" s="213"/>
      <c r="CD150" s="213"/>
      <c r="CE150" s="213"/>
      <c r="CF150" s="213"/>
      <c r="CG150" s="213"/>
      <c r="CH150" s="213"/>
      <c r="CI150" s="213"/>
      <c r="CJ150" s="213"/>
      <c r="CK150" s="213"/>
      <c r="CL150" s="213"/>
      <c r="CM150" s="213"/>
      <c r="CN150" s="213"/>
      <c r="CO150" s="213"/>
      <c r="CP150" s="213"/>
      <c r="CQ150" s="213"/>
    </row>
    <row r="151" ht="15.75" customHeight="1">
      <c r="A151" s="213"/>
      <c r="B151" s="213"/>
      <c r="C151" s="213"/>
      <c r="D151" s="213"/>
      <c r="E151" s="213"/>
      <c r="F151" s="213"/>
      <c r="G151" s="213"/>
      <c r="H151" s="213"/>
      <c r="I151" s="213"/>
      <c r="J151" s="213"/>
      <c r="K151" s="213"/>
      <c r="L151" s="213"/>
      <c r="M151" s="213"/>
      <c r="N151" s="213"/>
      <c r="O151" s="213"/>
      <c r="P151" s="213"/>
      <c r="Q151" s="238"/>
      <c r="R151" s="213"/>
      <c r="S151" s="213"/>
      <c r="T151" s="213"/>
      <c r="U151" s="213"/>
      <c r="V151" s="213"/>
      <c r="W151" s="213"/>
      <c r="X151" s="215"/>
      <c r="Y151" s="213"/>
      <c r="Z151" s="213"/>
      <c r="AA151" s="213"/>
      <c r="AB151" s="213"/>
      <c r="AC151" s="213"/>
      <c r="AD151" s="215"/>
      <c r="AE151" s="213"/>
      <c r="AF151" s="213"/>
      <c r="AG151" s="213"/>
      <c r="AH151" s="947"/>
      <c r="AI151" s="213"/>
      <c r="AJ151" s="215"/>
      <c r="AK151" s="213"/>
      <c r="AL151" s="213"/>
      <c r="AM151" s="213"/>
      <c r="AN151" s="947"/>
      <c r="AO151" s="213"/>
      <c r="AP151" s="215"/>
      <c r="AQ151" s="213"/>
      <c r="AR151" s="213"/>
      <c r="AS151" s="213"/>
      <c r="AT151" s="947"/>
      <c r="AU151" s="213"/>
      <c r="AV151" s="215"/>
      <c r="AW151" s="213"/>
      <c r="AX151" s="213"/>
      <c r="AY151" s="213"/>
      <c r="AZ151" s="947"/>
      <c r="BA151" s="213"/>
      <c r="BB151" s="215"/>
      <c r="BC151" s="213"/>
      <c r="BD151" s="213"/>
      <c r="BE151" s="213"/>
      <c r="BF151" s="947"/>
      <c r="BG151" s="213"/>
      <c r="BH151" s="215"/>
      <c r="BI151" s="213"/>
      <c r="BJ151" s="213"/>
      <c r="BK151" s="213"/>
      <c r="BL151" s="948"/>
      <c r="BM151" s="213"/>
      <c r="BN151" s="213"/>
      <c r="BO151" s="213"/>
      <c r="BP151" s="213"/>
      <c r="BQ151" s="213"/>
      <c r="BR151" s="326"/>
      <c r="BS151" s="213"/>
      <c r="BT151" s="215"/>
      <c r="BU151" s="213"/>
      <c r="BV151" s="213"/>
      <c r="BW151" s="213"/>
      <c r="BX151" s="213"/>
      <c r="BY151" s="213"/>
      <c r="BZ151" s="213"/>
      <c r="CA151" s="213"/>
      <c r="CB151" s="213"/>
      <c r="CC151" s="213"/>
      <c r="CD151" s="213"/>
      <c r="CE151" s="213"/>
      <c r="CF151" s="213"/>
      <c r="CG151" s="213"/>
      <c r="CH151" s="213"/>
      <c r="CI151" s="213"/>
      <c r="CJ151" s="213"/>
      <c r="CK151" s="213"/>
      <c r="CL151" s="213"/>
      <c r="CM151" s="213"/>
      <c r="CN151" s="213"/>
      <c r="CO151" s="213"/>
      <c r="CP151" s="213"/>
      <c r="CQ151" s="213"/>
    </row>
    <row r="152" ht="15.75" customHeight="1">
      <c r="A152" s="213"/>
      <c r="B152" s="213"/>
      <c r="C152" s="213"/>
      <c r="D152" s="213"/>
      <c r="E152" s="213"/>
      <c r="F152" s="213"/>
      <c r="G152" s="213"/>
      <c r="H152" s="213"/>
      <c r="I152" s="213"/>
      <c r="J152" s="213"/>
      <c r="K152" s="213"/>
      <c r="L152" s="213"/>
      <c r="M152" s="213"/>
      <c r="N152" s="213"/>
      <c r="O152" s="213"/>
      <c r="P152" s="213"/>
      <c r="Q152" s="238"/>
      <c r="R152" s="213"/>
      <c r="S152" s="213"/>
      <c r="T152" s="213"/>
      <c r="U152" s="213"/>
      <c r="V152" s="213"/>
      <c r="W152" s="213"/>
      <c r="X152" s="215"/>
      <c r="Y152" s="213"/>
      <c r="Z152" s="213"/>
      <c r="AA152" s="213"/>
      <c r="AB152" s="213"/>
      <c r="AC152" s="213"/>
      <c r="AD152" s="215"/>
      <c r="AE152" s="213"/>
      <c r="AF152" s="213"/>
      <c r="AG152" s="213"/>
      <c r="AH152" s="947"/>
      <c r="AI152" s="213"/>
      <c r="AJ152" s="215"/>
      <c r="AK152" s="213"/>
      <c r="AL152" s="213"/>
      <c r="AM152" s="213"/>
      <c r="AN152" s="947"/>
      <c r="AO152" s="213"/>
      <c r="AP152" s="215"/>
      <c r="AQ152" s="213"/>
      <c r="AR152" s="213"/>
      <c r="AS152" s="213"/>
      <c r="AT152" s="947"/>
      <c r="AU152" s="213"/>
      <c r="AV152" s="215"/>
      <c r="AW152" s="213"/>
      <c r="AX152" s="213"/>
      <c r="AY152" s="213"/>
      <c r="AZ152" s="947"/>
      <c r="BA152" s="213"/>
      <c r="BB152" s="215"/>
      <c r="BC152" s="213"/>
      <c r="BD152" s="213"/>
      <c r="BE152" s="213"/>
      <c r="BF152" s="947"/>
      <c r="BG152" s="213"/>
      <c r="BH152" s="215"/>
      <c r="BI152" s="213"/>
      <c r="BJ152" s="213"/>
      <c r="BK152" s="213"/>
      <c r="BL152" s="948"/>
      <c r="BM152" s="213"/>
      <c r="BN152" s="213"/>
      <c r="BO152" s="213"/>
      <c r="BP152" s="213"/>
      <c r="BQ152" s="213"/>
      <c r="BR152" s="326"/>
      <c r="BS152" s="213"/>
      <c r="BT152" s="215"/>
      <c r="BU152" s="213"/>
      <c r="BV152" s="213"/>
      <c r="BW152" s="213"/>
      <c r="BX152" s="213"/>
      <c r="BY152" s="213"/>
      <c r="BZ152" s="213"/>
      <c r="CA152" s="213"/>
      <c r="CB152" s="213"/>
      <c r="CC152" s="213"/>
      <c r="CD152" s="213"/>
      <c r="CE152" s="213"/>
      <c r="CF152" s="213"/>
      <c r="CG152" s="213"/>
      <c r="CH152" s="213"/>
      <c r="CI152" s="213"/>
      <c r="CJ152" s="213"/>
      <c r="CK152" s="213"/>
      <c r="CL152" s="213"/>
      <c r="CM152" s="213"/>
      <c r="CN152" s="213"/>
      <c r="CO152" s="213"/>
      <c r="CP152" s="213"/>
      <c r="CQ152" s="213"/>
    </row>
    <row r="153" ht="15.75" customHeight="1">
      <c r="A153" s="213"/>
      <c r="B153" s="213"/>
      <c r="C153" s="213"/>
      <c r="D153" s="213"/>
      <c r="E153" s="213"/>
      <c r="F153" s="213"/>
      <c r="G153" s="213"/>
      <c r="H153" s="213"/>
      <c r="I153" s="213"/>
      <c r="J153" s="213"/>
      <c r="K153" s="213"/>
      <c r="L153" s="213"/>
      <c r="M153" s="213"/>
      <c r="N153" s="213"/>
      <c r="O153" s="213"/>
      <c r="P153" s="213"/>
      <c r="Q153" s="238"/>
      <c r="R153" s="213"/>
      <c r="S153" s="213"/>
      <c r="T153" s="213"/>
      <c r="U153" s="213"/>
      <c r="V153" s="213"/>
      <c r="W153" s="213"/>
      <c r="X153" s="215"/>
      <c r="Y153" s="213"/>
      <c r="Z153" s="213"/>
      <c r="AA153" s="213"/>
      <c r="AB153" s="213"/>
      <c r="AC153" s="213"/>
      <c r="AD153" s="215"/>
      <c r="AE153" s="213"/>
      <c r="AF153" s="213"/>
      <c r="AG153" s="213"/>
      <c r="AH153" s="947"/>
      <c r="AI153" s="213"/>
      <c r="AJ153" s="215"/>
      <c r="AK153" s="213"/>
      <c r="AL153" s="213"/>
      <c r="AM153" s="213"/>
      <c r="AN153" s="947"/>
      <c r="AO153" s="213"/>
      <c r="AP153" s="215"/>
      <c r="AQ153" s="213"/>
      <c r="AR153" s="213"/>
      <c r="AS153" s="213"/>
      <c r="AT153" s="947"/>
      <c r="AU153" s="213"/>
      <c r="AV153" s="215"/>
      <c r="AW153" s="213"/>
      <c r="AX153" s="213"/>
      <c r="AY153" s="213"/>
      <c r="AZ153" s="947"/>
      <c r="BA153" s="213"/>
      <c r="BB153" s="215"/>
      <c r="BC153" s="213"/>
      <c r="BD153" s="213"/>
      <c r="BE153" s="213"/>
      <c r="BF153" s="947"/>
      <c r="BG153" s="213"/>
      <c r="BH153" s="215"/>
      <c r="BI153" s="213"/>
      <c r="BJ153" s="213"/>
      <c r="BK153" s="213"/>
      <c r="BL153" s="948"/>
      <c r="BM153" s="213"/>
      <c r="BN153" s="213"/>
      <c r="BO153" s="213"/>
      <c r="BP153" s="213"/>
      <c r="BQ153" s="213"/>
      <c r="BR153" s="326"/>
      <c r="BS153" s="213"/>
      <c r="BT153" s="215"/>
      <c r="BU153" s="213"/>
      <c r="BV153" s="213"/>
      <c r="BW153" s="213"/>
      <c r="BX153" s="213"/>
      <c r="BY153" s="213"/>
      <c r="BZ153" s="213"/>
      <c r="CA153" s="213"/>
      <c r="CB153" s="213"/>
      <c r="CC153" s="213"/>
      <c r="CD153" s="213"/>
      <c r="CE153" s="213"/>
      <c r="CF153" s="213"/>
      <c r="CG153" s="213"/>
      <c r="CH153" s="213"/>
      <c r="CI153" s="213"/>
      <c r="CJ153" s="213"/>
      <c r="CK153" s="213"/>
      <c r="CL153" s="213"/>
      <c r="CM153" s="213"/>
      <c r="CN153" s="213"/>
      <c r="CO153" s="213"/>
      <c r="CP153" s="213"/>
      <c r="CQ153" s="213"/>
    </row>
    <row r="154" ht="15.75" customHeight="1">
      <c r="A154" s="213"/>
      <c r="B154" s="213"/>
      <c r="C154" s="213"/>
      <c r="D154" s="213"/>
      <c r="E154" s="213"/>
      <c r="F154" s="213"/>
      <c r="G154" s="213"/>
      <c r="H154" s="213"/>
      <c r="I154" s="213"/>
      <c r="J154" s="213"/>
      <c r="K154" s="213"/>
      <c r="L154" s="213"/>
      <c r="M154" s="213"/>
      <c r="N154" s="213"/>
      <c r="O154" s="213"/>
      <c r="P154" s="213"/>
      <c r="Q154" s="238"/>
      <c r="R154" s="213"/>
      <c r="S154" s="213"/>
      <c r="T154" s="213"/>
      <c r="U154" s="213"/>
      <c r="V154" s="213"/>
      <c r="W154" s="213"/>
      <c r="X154" s="215"/>
      <c r="Y154" s="213"/>
      <c r="Z154" s="213"/>
      <c r="AA154" s="213"/>
      <c r="AB154" s="213"/>
      <c r="AC154" s="213"/>
      <c r="AD154" s="215"/>
      <c r="AE154" s="213"/>
      <c r="AF154" s="213"/>
      <c r="AG154" s="213"/>
      <c r="AH154" s="947"/>
      <c r="AI154" s="213"/>
      <c r="AJ154" s="215"/>
      <c r="AK154" s="213"/>
      <c r="AL154" s="213"/>
      <c r="AM154" s="213"/>
      <c r="AN154" s="947"/>
      <c r="AO154" s="213"/>
      <c r="AP154" s="215"/>
      <c r="AQ154" s="213"/>
      <c r="AR154" s="213"/>
      <c r="AS154" s="213"/>
      <c r="AT154" s="947"/>
      <c r="AU154" s="213"/>
      <c r="AV154" s="215"/>
      <c r="AW154" s="213"/>
      <c r="AX154" s="213"/>
      <c r="AY154" s="213"/>
      <c r="AZ154" s="947"/>
      <c r="BA154" s="213"/>
      <c r="BB154" s="215"/>
      <c r="BC154" s="213"/>
      <c r="BD154" s="213"/>
      <c r="BE154" s="213"/>
      <c r="BF154" s="947"/>
      <c r="BG154" s="213"/>
      <c r="BH154" s="215"/>
      <c r="BI154" s="213"/>
      <c r="BJ154" s="213"/>
      <c r="BK154" s="213"/>
      <c r="BL154" s="948"/>
      <c r="BM154" s="213"/>
      <c r="BN154" s="213"/>
      <c r="BO154" s="213"/>
      <c r="BP154" s="213"/>
      <c r="BQ154" s="213"/>
      <c r="BR154" s="326"/>
      <c r="BS154" s="213"/>
      <c r="BT154" s="215"/>
      <c r="BU154" s="213"/>
      <c r="BV154" s="213"/>
      <c r="BW154" s="213"/>
      <c r="BX154" s="213"/>
      <c r="BY154" s="213"/>
      <c r="BZ154" s="213"/>
      <c r="CA154" s="213"/>
      <c r="CB154" s="213"/>
      <c r="CC154" s="213"/>
      <c r="CD154" s="213"/>
      <c r="CE154" s="213"/>
      <c r="CF154" s="213"/>
      <c r="CG154" s="213"/>
      <c r="CH154" s="213"/>
      <c r="CI154" s="213"/>
      <c r="CJ154" s="213"/>
      <c r="CK154" s="213"/>
      <c r="CL154" s="213"/>
      <c r="CM154" s="213"/>
      <c r="CN154" s="213"/>
      <c r="CO154" s="213"/>
      <c r="CP154" s="213"/>
      <c r="CQ154" s="213"/>
    </row>
    <row r="155" ht="15.75" customHeight="1">
      <c r="A155" s="213"/>
      <c r="B155" s="213"/>
      <c r="C155" s="213"/>
      <c r="D155" s="213"/>
      <c r="E155" s="213"/>
      <c r="F155" s="213"/>
      <c r="G155" s="213"/>
      <c r="H155" s="213"/>
      <c r="I155" s="213"/>
      <c r="J155" s="213"/>
      <c r="K155" s="213"/>
      <c r="L155" s="213"/>
      <c r="M155" s="213"/>
      <c r="N155" s="213"/>
      <c r="O155" s="213"/>
      <c r="P155" s="213"/>
      <c r="Q155" s="238"/>
      <c r="R155" s="213"/>
      <c r="S155" s="213"/>
      <c r="T155" s="213"/>
      <c r="U155" s="213"/>
      <c r="V155" s="213"/>
      <c r="W155" s="213"/>
      <c r="X155" s="215"/>
      <c r="Y155" s="213"/>
      <c r="Z155" s="213"/>
      <c r="AA155" s="213"/>
      <c r="AB155" s="213"/>
      <c r="AC155" s="213"/>
      <c r="AD155" s="215"/>
      <c r="AE155" s="213"/>
      <c r="AF155" s="213"/>
      <c r="AG155" s="213"/>
      <c r="AH155" s="947"/>
      <c r="AI155" s="213"/>
      <c r="AJ155" s="215"/>
      <c r="AK155" s="213"/>
      <c r="AL155" s="213"/>
      <c r="AM155" s="213"/>
      <c r="AN155" s="947"/>
      <c r="AO155" s="213"/>
      <c r="AP155" s="215"/>
      <c r="AQ155" s="213"/>
      <c r="AR155" s="213"/>
      <c r="AS155" s="213"/>
      <c r="AT155" s="947"/>
      <c r="AU155" s="213"/>
      <c r="AV155" s="215"/>
      <c r="AW155" s="213"/>
      <c r="AX155" s="213"/>
      <c r="AY155" s="213"/>
      <c r="AZ155" s="947"/>
      <c r="BA155" s="213"/>
      <c r="BB155" s="215"/>
      <c r="BC155" s="213"/>
      <c r="BD155" s="213"/>
      <c r="BE155" s="213"/>
      <c r="BF155" s="947"/>
      <c r="BG155" s="213"/>
      <c r="BH155" s="215"/>
      <c r="BI155" s="213"/>
      <c r="BJ155" s="213"/>
      <c r="BK155" s="213"/>
      <c r="BL155" s="948"/>
      <c r="BM155" s="213"/>
      <c r="BN155" s="213"/>
      <c r="BO155" s="213"/>
      <c r="BP155" s="213"/>
      <c r="BQ155" s="213"/>
      <c r="BR155" s="326"/>
      <c r="BS155" s="213"/>
      <c r="BT155" s="215"/>
      <c r="BU155" s="213"/>
      <c r="BV155" s="213"/>
      <c r="BW155" s="213"/>
      <c r="BX155" s="213"/>
      <c r="BY155" s="213"/>
      <c r="BZ155" s="213"/>
      <c r="CA155" s="213"/>
      <c r="CB155" s="213"/>
      <c r="CC155" s="213"/>
      <c r="CD155" s="213"/>
      <c r="CE155" s="213"/>
      <c r="CF155" s="213"/>
      <c r="CG155" s="213"/>
      <c r="CH155" s="213"/>
      <c r="CI155" s="213"/>
      <c r="CJ155" s="213"/>
      <c r="CK155" s="213"/>
      <c r="CL155" s="213"/>
      <c r="CM155" s="213"/>
      <c r="CN155" s="213"/>
      <c r="CO155" s="213"/>
      <c r="CP155" s="213"/>
      <c r="CQ155" s="213"/>
    </row>
    <row r="156" ht="15.75" customHeight="1">
      <c r="A156" s="213"/>
      <c r="B156" s="213"/>
      <c r="C156" s="213"/>
      <c r="D156" s="213"/>
      <c r="E156" s="213"/>
      <c r="F156" s="213"/>
      <c r="G156" s="213"/>
      <c r="H156" s="213"/>
      <c r="I156" s="213"/>
      <c r="J156" s="213"/>
      <c r="K156" s="213"/>
      <c r="L156" s="213"/>
      <c r="M156" s="213"/>
      <c r="N156" s="213"/>
      <c r="O156" s="213"/>
      <c r="P156" s="213"/>
      <c r="Q156" s="238"/>
      <c r="R156" s="213"/>
      <c r="S156" s="213"/>
      <c r="T156" s="213"/>
      <c r="U156" s="213"/>
      <c r="V156" s="213"/>
      <c r="W156" s="213"/>
      <c r="X156" s="215"/>
      <c r="Y156" s="213"/>
      <c r="Z156" s="213"/>
      <c r="AA156" s="213"/>
      <c r="AB156" s="213"/>
      <c r="AC156" s="213"/>
      <c r="AD156" s="215"/>
      <c r="AE156" s="213"/>
      <c r="AF156" s="213"/>
      <c r="AG156" s="213"/>
      <c r="AH156" s="947"/>
      <c r="AI156" s="213"/>
      <c r="AJ156" s="215"/>
      <c r="AK156" s="213"/>
      <c r="AL156" s="213"/>
      <c r="AM156" s="213"/>
      <c r="AN156" s="947"/>
      <c r="AO156" s="213"/>
      <c r="AP156" s="215"/>
      <c r="AQ156" s="213"/>
      <c r="AR156" s="213"/>
      <c r="AS156" s="213"/>
      <c r="AT156" s="947"/>
      <c r="AU156" s="213"/>
      <c r="AV156" s="215"/>
      <c r="AW156" s="213"/>
      <c r="AX156" s="213"/>
      <c r="AY156" s="213"/>
      <c r="AZ156" s="947"/>
      <c r="BA156" s="213"/>
      <c r="BB156" s="215"/>
      <c r="BC156" s="213"/>
      <c r="BD156" s="213"/>
      <c r="BE156" s="213"/>
      <c r="BF156" s="947"/>
      <c r="BG156" s="213"/>
      <c r="BH156" s="215"/>
      <c r="BI156" s="213"/>
      <c r="BJ156" s="213"/>
      <c r="BK156" s="213"/>
      <c r="BL156" s="948"/>
      <c r="BM156" s="213"/>
      <c r="BN156" s="213"/>
      <c r="BO156" s="213"/>
      <c r="BP156" s="213"/>
      <c r="BQ156" s="213"/>
      <c r="BR156" s="326"/>
      <c r="BS156" s="213"/>
      <c r="BT156" s="215"/>
      <c r="BU156" s="213"/>
      <c r="BV156" s="213"/>
      <c r="BW156" s="213"/>
      <c r="BX156" s="213"/>
      <c r="BY156" s="213"/>
      <c r="BZ156" s="213"/>
      <c r="CA156" s="213"/>
      <c r="CB156" s="213"/>
      <c r="CC156" s="213"/>
      <c r="CD156" s="213"/>
      <c r="CE156" s="213"/>
      <c r="CF156" s="213"/>
      <c r="CG156" s="213"/>
      <c r="CH156" s="213"/>
      <c r="CI156" s="213"/>
      <c r="CJ156" s="213"/>
      <c r="CK156" s="213"/>
      <c r="CL156" s="213"/>
      <c r="CM156" s="213"/>
      <c r="CN156" s="213"/>
      <c r="CO156" s="213"/>
      <c r="CP156" s="213"/>
      <c r="CQ156" s="213"/>
    </row>
    <row r="157" ht="15.75" customHeight="1">
      <c r="A157" s="213"/>
      <c r="B157" s="213"/>
      <c r="C157" s="216"/>
      <c r="D157" s="213"/>
      <c r="E157" s="213"/>
      <c r="F157" s="213"/>
      <c r="G157" s="213"/>
      <c r="H157" s="213"/>
      <c r="I157" s="213"/>
      <c r="J157" s="213"/>
      <c r="K157" s="213"/>
      <c r="L157" s="213"/>
      <c r="M157" s="213"/>
      <c r="N157" s="213"/>
      <c r="O157" s="213"/>
      <c r="P157" s="213"/>
      <c r="Q157" s="238"/>
      <c r="R157" s="213"/>
      <c r="S157" s="213"/>
      <c r="T157" s="213"/>
      <c r="U157" s="213"/>
      <c r="V157" s="213"/>
      <c r="W157" s="213"/>
      <c r="X157" s="215"/>
      <c r="Y157" s="213"/>
      <c r="Z157" s="213"/>
      <c r="AA157" s="213"/>
      <c r="AB157" s="213"/>
      <c r="AC157" s="213"/>
      <c r="AD157" s="215"/>
      <c r="AE157" s="213"/>
      <c r="AF157" s="213"/>
      <c r="AG157" s="213"/>
      <c r="AH157" s="947"/>
      <c r="AI157" s="213"/>
      <c r="AJ157" s="215"/>
      <c r="AK157" s="213"/>
      <c r="AL157" s="213"/>
      <c r="AM157" s="213"/>
      <c r="AN157" s="947"/>
      <c r="AO157" s="213"/>
      <c r="AP157" s="215"/>
      <c r="AQ157" s="213"/>
      <c r="AR157" s="213"/>
      <c r="AS157" s="213"/>
      <c r="AT157" s="947"/>
      <c r="AU157" s="213"/>
      <c r="AV157" s="215"/>
      <c r="AW157" s="213"/>
      <c r="AX157" s="213"/>
      <c r="AY157" s="213"/>
      <c r="AZ157" s="947"/>
      <c r="BA157" s="213"/>
      <c r="BB157" s="215"/>
      <c r="BC157" s="213"/>
      <c r="BD157" s="213"/>
      <c r="BE157" s="213"/>
      <c r="BF157" s="947"/>
      <c r="BG157" s="213"/>
      <c r="BH157" s="215"/>
      <c r="BI157" s="213"/>
      <c r="BJ157" s="213"/>
      <c r="BK157" s="213"/>
      <c r="BL157" s="948"/>
      <c r="BM157" s="213"/>
      <c r="BN157" s="213"/>
      <c r="BO157" s="213"/>
      <c r="BP157" s="213"/>
      <c r="BQ157" s="213"/>
      <c r="BR157" s="326"/>
      <c r="BS157" s="213"/>
      <c r="BT157" s="215"/>
      <c r="BU157" s="213"/>
      <c r="BV157" s="213"/>
      <c r="BW157" s="213"/>
      <c r="BX157" s="213"/>
      <c r="BY157" s="213"/>
      <c r="BZ157" s="213"/>
      <c r="CA157" s="213"/>
      <c r="CB157" s="213"/>
      <c r="CC157" s="213"/>
      <c r="CD157" s="213"/>
      <c r="CE157" s="213"/>
      <c r="CF157" s="213"/>
      <c r="CG157" s="213"/>
      <c r="CH157" s="213"/>
      <c r="CI157" s="213"/>
      <c r="CJ157" s="213"/>
      <c r="CK157" s="213"/>
      <c r="CL157" s="213"/>
      <c r="CM157" s="213"/>
      <c r="CN157" s="213"/>
      <c r="CO157" s="213"/>
      <c r="CP157" s="213"/>
      <c r="CQ157" s="213"/>
    </row>
    <row r="158" ht="15.75" customHeight="1">
      <c r="A158" s="213"/>
      <c r="B158" s="213"/>
      <c r="C158" s="216"/>
      <c r="D158" s="213"/>
      <c r="E158" s="213"/>
      <c r="F158" s="213"/>
      <c r="G158" s="213"/>
      <c r="H158" s="213"/>
      <c r="I158" s="213"/>
      <c r="J158" s="213"/>
      <c r="K158" s="213"/>
      <c r="L158" s="213"/>
      <c r="M158" s="213"/>
      <c r="N158" s="213"/>
      <c r="O158" s="213"/>
      <c r="P158" s="213"/>
      <c r="Q158" s="238"/>
      <c r="R158" s="213"/>
      <c r="S158" s="213"/>
      <c r="T158" s="213"/>
      <c r="U158" s="213"/>
      <c r="V158" s="213"/>
      <c r="W158" s="213"/>
      <c r="X158" s="215"/>
      <c r="Y158" s="213"/>
      <c r="Z158" s="213"/>
      <c r="AA158" s="213"/>
      <c r="AB158" s="213"/>
      <c r="AC158" s="213"/>
      <c r="AD158" s="215"/>
      <c r="AE158" s="213"/>
      <c r="AF158" s="213"/>
      <c r="AG158" s="213"/>
      <c r="AH158" s="947"/>
      <c r="AI158" s="213"/>
      <c r="AJ158" s="215"/>
      <c r="AK158" s="213"/>
      <c r="AL158" s="213"/>
      <c r="AM158" s="213"/>
      <c r="AN158" s="947"/>
      <c r="AO158" s="213"/>
      <c r="AP158" s="215"/>
      <c r="AQ158" s="213"/>
      <c r="AR158" s="213"/>
      <c r="AS158" s="213"/>
      <c r="AT158" s="947"/>
      <c r="AU158" s="213"/>
      <c r="AV158" s="215"/>
      <c r="AW158" s="213"/>
      <c r="AX158" s="213"/>
      <c r="AY158" s="213"/>
      <c r="AZ158" s="947"/>
      <c r="BA158" s="213"/>
      <c r="BB158" s="215"/>
      <c r="BC158" s="213"/>
      <c r="BD158" s="213"/>
      <c r="BE158" s="213"/>
      <c r="BF158" s="947"/>
      <c r="BG158" s="213"/>
      <c r="BH158" s="215"/>
      <c r="BI158" s="213"/>
      <c r="BJ158" s="213"/>
      <c r="BK158" s="213"/>
      <c r="BL158" s="948"/>
      <c r="BM158" s="213"/>
      <c r="BN158" s="213"/>
      <c r="BO158" s="213"/>
      <c r="BP158" s="213"/>
      <c r="BQ158" s="213"/>
      <c r="BR158" s="326"/>
      <c r="BS158" s="213"/>
      <c r="BT158" s="215"/>
      <c r="BU158" s="213"/>
      <c r="BV158" s="213"/>
      <c r="BW158" s="213"/>
      <c r="BX158" s="213"/>
      <c r="BY158" s="213"/>
      <c r="BZ158" s="213"/>
      <c r="CA158" s="213"/>
      <c r="CB158" s="213"/>
      <c r="CC158" s="213"/>
      <c r="CD158" s="213"/>
      <c r="CE158" s="213"/>
      <c r="CF158" s="213"/>
      <c r="CG158" s="213"/>
      <c r="CH158" s="213"/>
      <c r="CI158" s="213"/>
      <c r="CJ158" s="213"/>
      <c r="CK158" s="213"/>
      <c r="CL158" s="213"/>
      <c r="CM158" s="213"/>
      <c r="CN158" s="213"/>
      <c r="CO158" s="213"/>
      <c r="CP158" s="213"/>
      <c r="CQ158" s="213"/>
    </row>
    <row r="159" ht="15.75" customHeight="1">
      <c r="A159" s="213"/>
      <c r="B159" s="213"/>
      <c r="C159" s="216"/>
      <c r="D159" s="213"/>
      <c r="E159" s="213"/>
      <c r="F159" s="213"/>
      <c r="G159" s="213"/>
      <c r="H159" s="213"/>
      <c r="I159" s="213"/>
      <c r="J159" s="213"/>
      <c r="K159" s="213"/>
      <c r="L159" s="213"/>
      <c r="M159" s="213"/>
      <c r="N159" s="213"/>
      <c r="O159" s="213"/>
      <c r="P159" s="213"/>
      <c r="Q159" s="238"/>
      <c r="R159" s="213"/>
      <c r="S159" s="213"/>
      <c r="T159" s="213"/>
      <c r="U159" s="213"/>
      <c r="V159" s="213"/>
      <c r="W159" s="213"/>
      <c r="X159" s="215"/>
      <c r="Y159" s="213"/>
      <c r="Z159" s="213"/>
      <c r="AA159" s="213"/>
      <c r="AB159" s="213"/>
      <c r="AC159" s="213"/>
      <c r="AD159" s="215"/>
      <c r="AE159" s="213"/>
      <c r="AF159" s="213"/>
      <c r="AG159" s="213"/>
      <c r="AH159" s="947"/>
      <c r="AI159" s="213"/>
      <c r="AJ159" s="215"/>
      <c r="AK159" s="213"/>
      <c r="AL159" s="213"/>
      <c r="AM159" s="213"/>
      <c r="AN159" s="947"/>
      <c r="AO159" s="213"/>
      <c r="AP159" s="215"/>
      <c r="AQ159" s="213"/>
      <c r="AR159" s="213"/>
      <c r="AS159" s="213"/>
      <c r="AT159" s="947"/>
      <c r="AU159" s="213"/>
      <c r="AV159" s="215"/>
      <c r="AW159" s="213"/>
      <c r="AX159" s="213"/>
      <c r="AY159" s="213"/>
      <c r="AZ159" s="947"/>
      <c r="BA159" s="213"/>
      <c r="BB159" s="215"/>
      <c r="BC159" s="213"/>
      <c r="BD159" s="213"/>
      <c r="BE159" s="213"/>
      <c r="BF159" s="947"/>
      <c r="BG159" s="213"/>
      <c r="BH159" s="215"/>
      <c r="BI159" s="213"/>
      <c r="BJ159" s="213"/>
      <c r="BK159" s="213"/>
      <c r="BL159" s="948"/>
      <c r="BM159" s="213"/>
      <c r="BN159" s="213"/>
      <c r="BO159" s="213"/>
      <c r="BP159" s="213"/>
      <c r="BQ159" s="213"/>
      <c r="BR159" s="326"/>
      <c r="BS159" s="213"/>
      <c r="BT159" s="215"/>
      <c r="BU159" s="213"/>
      <c r="BV159" s="213"/>
      <c r="BW159" s="213"/>
      <c r="BX159" s="213"/>
      <c r="BY159" s="213"/>
      <c r="BZ159" s="213"/>
      <c r="CA159" s="213"/>
      <c r="CB159" s="213"/>
      <c r="CC159" s="213"/>
      <c r="CD159" s="213"/>
      <c r="CE159" s="213"/>
      <c r="CF159" s="213"/>
      <c r="CG159" s="213"/>
      <c r="CH159" s="213"/>
      <c r="CI159" s="213"/>
      <c r="CJ159" s="213"/>
      <c r="CK159" s="213"/>
      <c r="CL159" s="213"/>
      <c r="CM159" s="213"/>
      <c r="CN159" s="213"/>
      <c r="CO159" s="213"/>
      <c r="CP159" s="213"/>
      <c r="CQ159" s="213"/>
    </row>
    <row r="160" ht="15.75" customHeight="1">
      <c r="A160" s="213"/>
      <c r="B160" s="213"/>
      <c r="C160" s="216"/>
      <c r="D160" s="213"/>
      <c r="E160" s="213"/>
      <c r="F160" s="213"/>
      <c r="G160" s="213"/>
      <c r="H160" s="213"/>
      <c r="I160" s="213"/>
      <c r="J160" s="213"/>
      <c r="K160" s="213"/>
      <c r="L160" s="213"/>
      <c r="M160" s="213"/>
      <c r="N160" s="213"/>
      <c r="O160" s="213"/>
      <c r="P160" s="213"/>
      <c r="Q160" s="238"/>
      <c r="R160" s="213"/>
      <c r="S160" s="213"/>
      <c r="T160" s="213"/>
      <c r="U160" s="213"/>
      <c r="V160" s="213"/>
      <c r="W160" s="213"/>
      <c r="X160" s="215"/>
      <c r="Y160" s="213"/>
      <c r="Z160" s="213"/>
      <c r="AA160" s="213"/>
      <c r="AB160" s="213"/>
      <c r="AC160" s="213"/>
      <c r="AD160" s="215"/>
      <c r="AE160" s="213"/>
      <c r="AF160" s="213"/>
      <c r="AG160" s="213"/>
      <c r="AH160" s="947"/>
      <c r="AI160" s="213"/>
      <c r="AJ160" s="215"/>
      <c r="AK160" s="213"/>
      <c r="AL160" s="213"/>
      <c r="AM160" s="213"/>
      <c r="AN160" s="947"/>
      <c r="AO160" s="213"/>
      <c r="AP160" s="215"/>
      <c r="AQ160" s="213"/>
      <c r="AR160" s="213"/>
      <c r="AS160" s="213"/>
      <c r="AT160" s="947"/>
      <c r="AU160" s="213"/>
      <c r="AV160" s="215"/>
      <c r="AW160" s="213"/>
      <c r="AX160" s="213"/>
      <c r="AY160" s="213"/>
      <c r="AZ160" s="947"/>
      <c r="BA160" s="213"/>
      <c r="BB160" s="215"/>
      <c r="BC160" s="213"/>
      <c r="BD160" s="213"/>
      <c r="BE160" s="213"/>
      <c r="BF160" s="947"/>
      <c r="BG160" s="213"/>
      <c r="BH160" s="215"/>
      <c r="BI160" s="213"/>
      <c r="BJ160" s="213"/>
      <c r="BK160" s="213"/>
      <c r="BL160" s="948"/>
      <c r="BM160" s="213"/>
      <c r="BN160" s="213"/>
      <c r="BO160" s="213"/>
      <c r="BP160" s="213"/>
      <c r="BQ160" s="213"/>
      <c r="BR160" s="326"/>
      <c r="BS160" s="213"/>
      <c r="BT160" s="215"/>
      <c r="BU160" s="213"/>
      <c r="BV160" s="213"/>
      <c r="BW160" s="213"/>
      <c r="BX160" s="213"/>
      <c r="BY160" s="213"/>
      <c r="BZ160" s="213"/>
      <c r="CA160" s="213"/>
      <c r="CB160" s="213"/>
      <c r="CC160" s="213"/>
      <c r="CD160" s="213"/>
      <c r="CE160" s="213"/>
      <c r="CF160" s="213"/>
      <c r="CG160" s="213"/>
      <c r="CH160" s="213"/>
      <c r="CI160" s="213"/>
      <c r="CJ160" s="213"/>
      <c r="CK160" s="213"/>
      <c r="CL160" s="213"/>
      <c r="CM160" s="213"/>
      <c r="CN160" s="213"/>
      <c r="CO160" s="213"/>
      <c r="CP160" s="213"/>
      <c r="CQ160" s="213"/>
    </row>
    <row r="161" ht="15.75" customHeight="1">
      <c r="A161" s="213"/>
      <c r="B161" s="213"/>
      <c r="C161" s="213"/>
      <c r="D161" s="213"/>
      <c r="E161" s="213"/>
      <c r="F161" s="213"/>
      <c r="G161" s="213"/>
      <c r="H161" s="213"/>
      <c r="I161" s="213"/>
      <c r="J161" s="213"/>
      <c r="K161" s="213"/>
      <c r="L161" s="213"/>
      <c r="M161" s="213"/>
      <c r="N161" s="213"/>
      <c r="O161" s="213"/>
      <c r="P161" s="213"/>
      <c r="Q161" s="238"/>
      <c r="R161" s="213"/>
      <c r="S161" s="213"/>
      <c r="T161" s="213"/>
      <c r="U161" s="213"/>
      <c r="V161" s="213"/>
      <c r="W161" s="213"/>
      <c r="X161" s="215"/>
      <c r="Y161" s="213"/>
      <c r="Z161" s="213"/>
      <c r="AA161" s="213"/>
      <c r="AB161" s="213"/>
      <c r="AC161" s="213"/>
      <c r="AD161" s="215"/>
      <c r="AE161" s="213"/>
      <c r="AF161" s="213"/>
      <c r="AG161" s="213"/>
      <c r="AH161" s="947"/>
      <c r="AI161" s="213"/>
      <c r="AJ161" s="215"/>
      <c r="AK161" s="213"/>
      <c r="AL161" s="213"/>
      <c r="AM161" s="213"/>
      <c r="AN161" s="947"/>
      <c r="AO161" s="213"/>
      <c r="AP161" s="215"/>
      <c r="AQ161" s="213"/>
      <c r="AR161" s="213"/>
      <c r="AS161" s="213"/>
      <c r="AT161" s="947"/>
      <c r="AU161" s="213"/>
      <c r="AV161" s="215"/>
      <c r="AW161" s="213"/>
      <c r="AX161" s="213"/>
      <c r="AY161" s="213"/>
      <c r="AZ161" s="947"/>
      <c r="BA161" s="213"/>
      <c r="BB161" s="215"/>
      <c r="BC161" s="213"/>
      <c r="BD161" s="213"/>
      <c r="BE161" s="213"/>
      <c r="BF161" s="947"/>
      <c r="BG161" s="213"/>
      <c r="BH161" s="215"/>
      <c r="BI161" s="213"/>
      <c r="BJ161" s="213"/>
      <c r="BK161" s="213"/>
      <c r="BL161" s="948"/>
      <c r="BM161" s="213"/>
      <c r="BN161" s="213"/>
      <c r="BO161" s="213"/>
      <c r="BP161" s="213"/>
      <c r="BQ161" s="213"/>
      <c r="BR161" s="326"/>
      <c r="BS161" s="213"/>
      <c r="BT161" s="215"/>
      <c r="BU161" s="213"/>
      <c r="BV161" s="213"/>
      <c r="BW161" s="213"/>
      <c r="BX161" s="213"/>
      <c r="BY161" s="213"/>
      <c r="BZ161" s="213"/>
      <c r="CA161" s="213"/>
      <c r="CB161" s="213"/>
      <c r="CC161" s="213"/>
      <c r="CD161" s="213"/>
      <c r="CE161" s="213"/>
      <c r="CF161" s="213"/>
      <c r="CG161" s="213"/>
      <c r="CH161" s="213"/>
      <c r="CI161" s="213"/>
      <c r="CJ161" s="213"/>
      <c r="CK161" s="213"/>
      <c r="CL161" s="213"/>
      <c r="CM161" s="213"/>
      <c r="CN161" s="213"/>
      <c r="CO161" s="213"/>
      <c r="CP161" s="213"/>
      <c r="CQ161" s="213"/>
    </row>
    <row r="162" ht="15.75" customHeight="1">
      <c r="A162" s="213"/>
      <c r="B162" s="213"/>
      <c r="C162" s="216"/>
      <c r="D162" s="213"/>
      <c r="E162" s="213"/>
      <c r="F162" s="213"/>
      <c r="G162" s="213"/>
      <c r="H162" s="213"/>
      <c r="I162" s="213"/>
      <c r="J162" s="213"/>
      <c r="K162" s="213"/>
      <c r="L162" s="213"/>
      <c r="M162" s="213"/>
      <c r="N162" s="213"/>
      <c r="O162" s="213"/>
      <c r="P162" s="213"/>
      <c r="Q162" s="238"/>
      <c r="R162" s="213"/>
      <c r="S162" s="213"/>
      <c r="T162" s="213"/>
      <c r="U162" s="213"/>
      <c r="V162" s="213"/>
      <c r="W162" s="213"/>
      <c r="X162" s="215"/>
      <c r="Y162" s="213"/>
      <c r="Z162" s="213"/>
      <c r="AA162" s="213"/>
      <c r="AB162" s="213"/>
      <c r="AC162" s="213"/>
      <c r="AD162" s="215"/>
      <c r="AE162" s="213"/>
      <c r="AF162" s="213"/>
      <c r="AG162" s="213"/>
      <c r="AH162" s="947"/>
      <c r="AI162" s="213"/>
      <c r="AJ162" s="215"/>
      <c r="AK162" s="213"/>
      <c r="AL162" s="213"/>
      <c r="AM162" s="213"/>
      <c r="AN162" s="947"/>
      <c r="AO162" s="213"/>
      <c r="AP162" s="215"/>
      <c r="AQ162" s="213"/>
      <c r="AR162" s="213"/>
      <c r="AS162" s="213"/>
      <c r="AT162" s="947"/>
      <c r="AU162" s="213"/>
      <c r="AV162" s="215"/>
      <c r="AW162" s="213"/>
      <c r="AX162" s="213"/>
      <c r="AY162" s="213"/>
      <c r="AZ162" s="947"/>
      <c r="BA162" s="213"/>
      <c r="BB162" s="215"/>
      <c r="BC162" s="213"/>
      <c r="BD162" s="213"/>
      <c r="BE162" s="213"/>
      <c r="BF162" s="947"/>
      <c r="BG162" s="213"/>
      <c r="BH162" s="215"/>
      <c r="BI162" s="213"/>
      <c r="BJ162" s="213"/>
      <c r="BK162" s="213"/>
      <c r="BL162" s="948"/>
      <c r="BM162" s="213"/>
      <c r="BN162" s="213"/>
      <c r="BO162" s="213"/>
      <c r="BP162" s="213"/>
      <c r="BQ162" s="213"/>
      <c r="BR162" s="326"/>
      <c r="BS162" s="213"/>
      <c r="BT162" s="215"/>
      <c r="BU162" s="213"/>
      <c r="BV162" s="213"/>
      <c r="BW162" s="213"/>
      <c r="BX162" s="213"/>
      <c r="BY162" s="213"/>
      <c r="BZ162" s="213"/>
      <c r="CA162" s="213"/>
      <c r="CB162" s="213"/>
      <c r="CC162" s="213"/>
      <c r="CD162" s="213"/>
      <c r="CE162" s="213"/>
      <c r="CF162" s="213"/>
      <c r="CG162" s="213"/>
      <c r="CH162" s="213"/>
      <c r="CI162" s="213"/>
      <c r="CJ162" s="213"/>
      <c r="CK162" s="213"/>
      <c r="CL162" s="213"/>
      <c r="CM162" s="213"/>
      <c r="CN162" s="213"/>
      <c r="CO162" s="213"/>
      <c r="CP162" s="213"/>
      <c r="CQ162" s="213"/>
    </row>
    <row r="163" ht="15.75" customHeight="1">
      <c r="A163" s="213"/>
      <c r="B163" s="213"/>
      <c r="C163" s="213"/>
      <c r="D163" s="213"/>
      <c r="E163" s="213"/>
      <c r="F163" s="213"/>
      <c r="G163" s="213"/>
      <c r="H163" s="213"/>
      <c r="I163" s="213"/>
      <c r="J163" s="213"/>
      <c r="K163" s="213"/>
      <c r="L163" s="213"/>
      <c r="M163" s="213"/>
      <c r="N163" s="213"/>
      <c r="O163" s="213"/>
      <c r="P163" s="213"/>
      <c r="Q163" s="238"/>
      <c r="R163" s="213"/>
      <c r="S163" s="213"/>
      <c r="T163" s="213"/>
      <c r="U163" s="213"/>
      <c r="V163" s="213"/>
      <c r="W163" s="213"/>
      <c r="X163" s="215"/>
      <c r="Y163" s="213"/>
      <c r="Z163" s="213"/>
      <c r="AA163" s="213"/>
      <c r="AB163" s="213"/>
      <c r="AC163" s="213"/>
      <c r="AD163" s="215"/>
      <c r="AE163" s="213"/>
      <c r="AF163" s="213"/>
      <c r="AG163" s="213"/>
      <c r="AH163" s="947"/>
      <c r="AI163" s="213"/>
      <c r="AJ163" s="215"/>
      <c r="AK163" s="213"/>
      <c r="AL163" s="213"/>
      <c r="AM163" s="213"/>
      <c r="AN163" s="947"/>
      <c r="AO163" s="213"/>
      <c r="AP163" s="215"/>
      <c r="AQ163" s="213"/>
      <c r="AR163" s="213"/>
      <c r="AS163" s="213"/>
      <c r="AT163" s="947"/>
      <c r="AU163" s="213"/>
      <c r="AV163" s="215"/>
      <c r="AW163" s="213"/>
      <c r="AX163" s="213"/>
      <c r="AY163" s="213"/>
      <c r="AZ163" s="947"/>
      <c r="BA163" s="213"/>
      <c r="BB163" s="215"/>
      <c r="BC163" s="213"/>
      <c r="BD163" s="213"/>
      <c r="BE163" s="213"/>
      <c r="BF163" s="947"/>
      <c r="BG163" s="213"/>
      <c r="BH163" s="215"/>
      <c r="BI163" s="213"/>
      <c r="BJ163" s="213"/>
      <c r="BK163" s="213"/>
      <c r="BL163" s="948"/>
      <c r="BM163" s="213"/>
      <c r="BN163" s="213"/>
      <c r="BO163" s="213"/>
      <c r="BP163" s="213"/>
      <c r="BQ163" s="213"/>
      <c r="BR163" s="326"/>
      <c r="BS163" s="213"/>
      <c r="BT163" s="215"/>
      <c r="BU163" s="213"/>
      <c r="BV163" s="213"/>
      <c r="BW163" s="213"/>
      <c r="BX163" s="213"/>
      <c r="BY163" s="213"/>
      <c r="BZ163" s="213"/>
      <c r="CA163" s="213"/>
      <c r="CB163" s="213"/>
      <c r="CC163" s="213"/>
      <c r="CD163" s="213"/>
      <c r="CE163" s="213"/>
      <c r="CF163" s="213"/>
      <c r="CG163" s="213"/>
      <c r="CH163" s="213"/>
      <c r="CI163" s="213"/>
      <c r="CJ163" s="213"/>
      <c r="CK163" s="213"/>
      <c r="CL163" s="213"/>
      <c r="CM163" s="213"/>
      <c r="CN163" s="213"/>
      <c r="CO163" s="213"/>
      <c r="CP163" s="213"/>
      <c r="CQ163" s="213"/>
    </row>
    <row r="164" ht="15.75" customHeight="1">
      <c r="A164" s="213"/>
      <c r="B164" s="213"/>
      <c r="C164" s="213"/>
      <c r="D164" s="213"/>
      <c r="E164" s="213"/>
      <c r="F164" s="213"/>
      <c r="G164" s="213"/>
      <c r="H164" s="213"/>
      <c r="I164" s="213"/>
      <c r="J164" s="213"/>
      <c r="K164" s="213"/>
      <c r="L164" s="213"/>
      <c r="M164" s="213"/>
      <c r="N164" s="213"/>
      <c r="O164" s="213"/>
      <c r="P164" s="213"/>
      <c r="Q164" s="238"/>
      <c r="R164" s="213"/>
      <c r="S164" s="213"/>
      <c r="T164" s="213"/>
      <c r="U164" s="213"/>
      <c r="V164" s="213"/>
      <c r="W164" s="213"/>
      <c r="X164" s="215"/>
      <c r="Y164" s="213"/>
      <c r="Z164" s="213"/>
      <c r="AA164" s="213"/>
      <c r="AB164" s="213"/>
      <c r="AC164" s="213"/>
      <c r="AD164" s="215"/>
      <c r="AE164" s="213"/>
      <c r="AF164" s="213"/>
      <c r="AG164" s="213"/>
      <c r="AH164" s="947"/>
      <c r="AI164" s="213"/>
      <c r="AJ164" s="215"/>
      <c r="AK164" s="213"/>
      <c r="AL164" s="213"/>
      <c r="AM164" s="213"/>
      <c r="AN164" s="947"/>
      <c r="AO164" s="213"/>
      <c r="AP164" s="215"/>
      <c r="AQ164" s="213"/>
      <c r="AR164" s="213"/>
      <c r="AS164" s="213"/>
      <c r="AT164" s="947"/>
      <c r="AU164" s="213"/>
      <c r="AV164" s="215"/>
      <c r="AW164" s="213"/>
      <c r="AX164" s="213"/>
      <c r="AY164" s="213"/>
      <c r="AZ164" s="947"/>
      <c r="BA164" s="213"/>
      <c r="BB164" s="215"/>
      <c r="BC164" s="213"/>
      <c r="BD164" s="213"/>
      <c r="BE164" s="213"/>
      <c r="BF164" s="947"/>
      <c r="BG164" s="213"/>
      <c r="BH164" s="215"/>
      <c r="BI164" s="213"/>
      <c r="BJ164" s="213"/>
      <c r="BK164" s="213"/>
      <c r="BL164" s="948"/>
      <c r="BM164" s="213"/>
      <c r="BN164" s="213"/>
      <c r="BO164" s="213"/>
      <c r="BP164" s="213"/>
      <c r="BQ164" s="213"/>
      <c r="BR164" s="326"/>
      <c r="BS164" s="213"/>
      <c r="BT164" s="215"/>
      <c r="BU164" s="213"/>
      <c r="BV164" s="213"/>
      <c r="BW164" s="213"/>
      <c r="BX164" s="213"/>
      <c r="BY164" s="213"/>
      <c r="BZ164" s="213"/>
      <c r="CA164" s="213"/>
      <c r="CB164" s="213"/>
      <c r="CC164" s="213"/>
      <c r="CD164" s="213"/>
      <c r="CE164" s="213"/>
      <c r="CF164" s="213"/>
      <c r="CG164" s="213"/>
      <c r="CH164" s="213"/>
      <c r="CI164" s="213"/>
      <c r="CJ164" s="213"/>
      <c r="CK164" s="213"/>
      <c r="CL164" s="213"/>
      <c r="CM164" s="213"/>
      <c r="CN164" s="213"/>
      <c r="CO164" s="213"/>
      <c r="CP164" s="213"/>
      <c r="CQ164" s="213"/>
    </row>
    <row r="165" ht="15.75" customHeight="1">
      <c r="A165" s="213"/>
      <c r="B165" s="213"/>
      <c r="C165" s="213"/>
      <c r="D165" s="213"/>
      <c r="E165" s="213"/>
      <c r="F165" s="213"/>
      <c r="G165" s="213"/>
      <c r="H165" s="213"/>
      <c r="I165" s="213"/>
      <c r="J165" s="213"/>
      <c r="K165" s="213"/>
      <c r="L165" s="213"/>
      <c r="M165" s="213"/>
      <c r="N165" s="213"/>
      <c r="O165" s="213"/>
      <c r="P165" s="213"/>
      <c r="Q165" s="238"/>
      <c r="R165" s="213"/>
      <c r="S165" s="213"/>
      <c r="T165" s="213"/>
      <c r="U165" s="213"/>
      <c r="V165" s="213"/>
      <c r="W165" s="213"/>
      <c r="X165" s="215"/>
      <c r="Y165" s="213"/>
      <c r="Z165" s="213"/>
      <c r="AA165" s="213"/>
      <c r="AB165" s="213"/>
      <c r="AC165" s="213"/>
      <c r="AD165" s="215"/>
      <c r="AE165" s="213"/>
      <c r="AF165" s="213"/>
      <c r="AG165" s="213"/>
      <c r="AH165" s="947"/>
      <c r="AI165" s="213"/>
      <c r="AJ165" s="215"/>
      <c r="AK165" s="213"/>
      <c r="AL165" s="213"/>
      <c r="AM165" s="213"/>
      <c r="AN165" s="947"/>
      <c r="AO165" s="213"/>
      <c r="AP165" s="215"/>
      <c r="AQ165" s="213"/>
      <c r="AR165" s="213"/>
      <c r="AS165" s="213"/>
      <c r="AT165" s="947"/>
      <c r="AU165" s="213"/>
      <c r="AV165" s="215"/>
      <c r="AW165" s="213"/>
      <c r="AX165" s="213"/>
      <c r="AY165" s="213"/>
      <c r="AZ165" s="947"/>
      <c r="BA165" s="213"/>
      <c r="BB165" s="215"/>
      <c r="BC165" s="213"/>
      <c r="BD165" s="213"/>
      <c r="BE165" s="213"/>
      <c r="BF165" s="947"/>
      <c r="BG165" s="213"/>
      <c r="BH165" s="215"/>
      <c r="BI165" s="213"/>
      <c r="BJ165" s="213"/>
      <c r="BK165" s="213"/>
      <c r="BL165" s="948"/>
      <c r="BM165" s="213"/>
      <c r="BN165" s="213"/>
      <c r="BO165" s="213"/>
      <c r="BP165" s="213"/>
      <c r="BQ165" s="213"/>
      <c r="BR165" s="326"/>
      <c r="BS165" s="213"/>
      <c r="BT165" s="215"/>
      <c r="BU165" s="213"/>
      <c r="BV165" s="213"/>
      <c r="BW165" s="213"/>
      <c r="BX165" s="213"/>
      <c r="BY165" s="213"/>
      <c r="BZ165" s="213"/>
      <c r="CA165" s="213"/>
      <c r="CB165" s="213"/>
      <c r="CC165" s="213"/>
      <c r="CD165" s="213"/>
      <c r="CE165" s="213"/>
      <c r="CF165" s="213"/>
      <c r="CG165" s="213"/>
      <c r="CH165" s="213"/>
      <c r="CI165" s="213"/>
      <c r="CJ165" s="213"/>
      <c r="CK165" s="213"/>
      <c r="CL165" s="213"/>
      <c r="CM165" s="213"/>
      <c r="CN165" s="213"/>
      <c r="CO165" s="213"/>
      <c r="CP165" s="213"/>
      <c r="CQ165" s="213"/>
    </row>
    <row r="166" ht="15.75" customHeight="1">
      <c r="A166" s="213"/>
      <c r="B166" s="213"/>
      <c r="C166" s="213"/>
      <c r="D166" s="213"/>
      <c r="E166" s="213"/>
      <c r="F166" s="213"/>
      <c r="G166" s="213"/>
      <c r="H166" s="213"/>
      <c r="I166" s="213"/>
      <c r="J166" s="213"/>
      <c r="K166" s="213"/>
      <c r="L166" s="213"/>
      <c r="M166" s="213"/>
      <c r="N166" s="213"/>
      <c r="O166" s="213"/>
      <c r="P166" s="213"/>
      <c r="Q166" s="238"/>
      <c r="R166" s="213"/>
      <c r="S166" s="213"/>
      <c r="T166" s="213"/>
      <c r="U166" s="213"/>
      <c r="V166" s="213"/>
      <c r="W166" s="213"/>
      <c r="X166" s="215"/>
      <c r="Y166" s="213"/>
      <c r="Z166" s="213"/>
      <c r="AA166" s="213"/>
      <c r="AB166" s="213"/>
      <c r="AC166" s="213"/>
      <c r="AD166" s="215"/>
      <c r="AE166" s="213"/>
      <c r="AF166" s="213"/>
      <c r="AG166" s="213"/>
      <c r="AH166" s="947"/>
      <c r="AI166" s="213"/>
      <c r="AJ166" s="215"/>
      <c r="AK166" s="213"/>
      <c r="AL166" s="213"/>
      <c r="AM166" s="213"/>
      <c r="AN166" s="947"/>
      <c r="AO166" s="213"/>
      <c r="AP166" s="215"/>
      <c r="AQ166" s="213"/>
      <c r="AR166" s="213"/>
      <c r="AS166" s="213"/>
      <c r="AT166" s="947"/>
      <c r="AU166" s="213"/>
      <c r="AV166" s="215"/>
      <c r="AW166" s="213"/>
      <c r="AX166" s="213"/>
      <c r="AY166" s="213"/>
      <c r="AZ166" s="947"/>
      <c r="BA166" s="213"/>
      <c r="BB166" s="215"/>
      <c r="BC166" s="213"/>
      <c r="BD166" s="213"/>
      <c r="BE166" s="213"/>
      <c r="BF166" s="947"/>
      <c r="BG166" s="213"/>
      <c r="BH166" s="215"/>
      <c r="BI166" s="213"/>
      <c r="BJ166" s="213"/>
      <c r="BK166" s="213"/>
      <c r="BL166" s="948"/>
      <c r="BM166" s="213"/>
      <c r="BN166" s="213"/>
      <c r="BO166" s="213"/>
      <c r="BP166" s="213"/>
      <c r="BQ166" s="213"/>
      <c r="BR166" s="326"/>
      <c r="BS166" s="213"/>
      <c r="BT166" s="215"/>
      <c r="BU166" s="213"/>
      <c r="BV166" s="213"/>
      <c r="BW166" s="213"/>
      <c r="BX166" s="213"/>
      <c r="BY166" s="213"/>
      <c r="BZ166" s="213"/>
      <c r="CA166" s="213"/>
      <c r="CB166" s="213"/>
      <c r="CC166" s="213"/>
      <c r="CD166" s="213"/>
      <c r="CE166" s="213"/>
      <c r="CF166" s="213"/>
      <c r="CG166" s="213"/>
      <c r="CH166" s="213"/>
      <c r="CI166" s="213"/>
      <c r="CJ166" s="213"/>
      <c r="CK166" s="213"/>
      <c r="CL166" s="213"/>
      <c r="CM166" s="213"/>
      <c r="CN166" s="213"/>
      <c r="CO166" s="213"/>
      <c r="CP166" s="213"/>
      <c r="CQ166" s="213"/>
    </row>
    <row r="167" ht="15.75" customHeight="1">
      <c r="A167" s="213"/>
      <c r="B167" s="213"/>
      <c r="C167" s="213"/>
      <c r="D167" s="213"/>
      <c r="E167" s="213"/>
      <c r="F167" s="213"/>
      <c r="G167" s="213"/>
      <c r="H167" s="213"/>
      <c r="I167" s="213"/>
      <c r="J167" s="213"/>
      <c r="K167" s="213"/>
      <c r="L167" s="213"/>
      <c r="M167" s="213"/>
      <c r="N167" s="213"/>
      <c r="O167" s="213"/>
      <c r="P167" s="213"/>
      <c r="Q167" s="238"/>
      <c r="R167" s="213"/>
      <c r="S167" s="213"/>
      <c r="T167" s="213"/>
      <c r="U167" s="213"/>
      <c r="V167" s="213"/>
      <c r="W167" s="213"/>
      <c r="X167" s="215"/>
      <c r="Y167" s="213"/>
      <c r="Z167" s="213"/>
      <c r="AA167" s="213"/>
      <c r="AB167" s="213"/>
      <c r="AC167" s="213"/>
      <c r="AD167" s="215"/>
      <c r="AE167" s="213"/>
      <c r="AF167" s="213"/>
      <c r="AG167" s="213"/>
      <c r="AH167" s="947"/>
      <c r="AI167" s="213"/>
      <c r="AJ167" s="215"/>
      <c r="AK167" s="213"/>
      <c r="AL167" s="213"/>
      <c r="AM167" s="213"/>
      <c r="AN167" s="947"/>
      <c r="AO167" s="213"/>
      <c r="AP167" s="215"/>
      <c r="AQ167" s="213"/>
      <c r="AR167" s="213"/>
      <c r="AS167" s="213"/>
      <c r="AT167" s="947"/>
      <c r="AU167" s="213"/>
      <c r="AV167" s="215"/>
      <c r="AW167" s="213"/>
      <c r="AX167" s="213"/>
      <c r="AY167" s="213"/>
      <c r="AZ167" s="947"/>
      <c r="BA167" s="213"/>
      <c r="BB167" s="215"/>
      <c r="BC167" s="213"/>
      <c r="BD167" s="213"/>
      <c r="BE167" s="213"/>
      <c r="BF167" s="947"/>
      <c r="BG167" s="213"/>
      <c r="BH167" s="215"/>
      <c r="BI167" s="213"/>
      <c r="BJ167" s="213"/>
      <c r="BK167" s="213"/>
      <c r="BL167" s="948"/>
      <c r="BM167" s="213"/>
      <c r="BN167" s="213"/>
      <c r="BO167" s="213"/>
      <c r="BP167" s="213"/>
      <c r="BQ167" s="213"/>
      <c r="BR167" s="326"/>
      <c r="BS167" s="213"/>
      <c r="BT167" s="215"/>
      <c r="BU167" s="213"/>
      <c r="BV167" s="213"/>
      <c r="BW167" s="213"/>
      <c r="BX167" s="213"/>
      <c r="BY167" s="213"/>
      <c r="BZ167" s="213"/>
      <c r="CA167" s="213"/>
      <c r="CB167" s="213"/>
      <c r="CC167" s="213"/>
      <c r="CD167" s="213"/>
      <c r="CE167" s="213"/>
      <c r="CF167" s="213"/>
      <c r="CG167" s="213"/>
      <c r="CH167" s="213"/>
      <c r="CI167" s="213"/>
      <c r="CJ167" s="213"/>
      <c r="CK167" s="213"/>
      <c r="CL167" s="213"/>
      <c r="CM167" s="213"/>
      <c r="CN167" s="213"/>
      <c r="CO167" s="213"/>
      <c r="CP167" s="213"/>
      <c r="CQ167" s="213"/>
    </row>
    <row r="168" ht="15.75" customHeight="1">
      <c r="A168" s="213"/>
      <c r="B168" s="213"/>
      <c r="C168" s="213"/>
      <c r="D168" s="213"/>
      <c r="E168" s="213"/>
      <c r="F168" s="213"/>
      <c r="G168" s="213"/>
      <c r="H168" s="213"/>
      <c r="I168" s="213"/>
      <c r="J168" s="213"/>
      <c r="K168" s="213"/>
      <c r="L168" s="213"/>
      <c r="M168" s="213"/>
      <c r="N168" s="213"/>
      <c r="O168" s="213"/>
      <c r="P168" s="213"/>
      <c r="Q168" s="238"/>
      <c r="R168" s="213"/>
      <c r="S168" s="213"/>
      <c r="T168" s="213"/>
      <c r="U168" s="213"/>
      <c r="V168" s="213"/>
      <c r="W168" s="213"/>
      <c r="X168" s="215"/>
      <c r="Y168" s="213"/>
      <c r="Z168" s="213"/>
      <c r="AA168" s="213"/>
      <c r="AB168" s="213"/>
      <c r="AC168" s="213"/>
      <c r="AD168" s="215"/>
      <c r="AE168" s="213"/>
      <c r="AF168" s="213"/>
      <c r="AG168" s="213"/>
      <c r="AH168" s="947"/>
      <c r="AI168" s="213"/>
      <c r="AJ168" s="215"/>
      <c r="AK168" s="213"/>
      <c r="AL168" s="213"/>
      <c r="AM168" s="213"/>
      <c r="AN168" s="947"/>
      <c r="AO168" s="213"/>
      <c r="AP168" s="215"/>
      <c r="AQ168" s="213"/>
      <c r="AR168" s="213"/>
      <c r="AS168" s="213"/>
      <c r="AT168" s="947"/>
      <c r="AU168" s="213"/>
      <c r="AV168" s="215"/>
      <c r="AW168" s="213"/>
      <c r="AX168" s="213"/>
      <c r="AY168" s="213"/>
      <c r="AZ168" s="947"/>
      <c r="BA168" s="213"/>
      <c r="BB168" s="215"/>
      <c r="BC168" s="213"/>
      <c r="BD168" s="213"/>
      <c r="BE168" s="213"/>
      <c r="BF168" s="947"/>
      <c r="BG168" s="213"/>
      <c r="BH168" s="215"/>
      <c r="BI168" s="213"/>
      <c r="BJ168" s="213"/>
      <c r="BK168" s="213"/>
      <c r="BL168" s="948"/>
      <c r="BM168" s="213"/>
      <c r="BN168" s="213"/>
      <c r="BO168" s="213"/>
      <c r="BP168" s="213"/>
      <c r="BQ168" s="213"/>
      <c r="BR168" s="326"/>
      <c r="BS168" s="213"/>
      <c r="BT168" s="215"/>
      <c r="BU168" s="213"/>
      <c r="BV168" s="213"/>
      <c r="BW168" s="213"/>
      <c r="BX168" s="213"/>
      <c r="BY168" s="213"/>
      <c r="BZ168" s="213"/>
      <c r="CA168" s="213"/>
      <c r="CB168" s="213"/>
      <c r="CC168" s="213"/>
      <c r="CD168" s="213"/>
      <c r="CE168" s="213"/>
      <c r="CF168" s="213"/>
      <c r="CG168" s="213"/>
      <c r="CH168" s="213"/>
      <c r="CI168" s="213"/>
      <c r="CJ168" s="213"/>
      <c r="CK168" s="213"/>
      <c r="CL168" s="213"/>
      <c r="CM168" s="213"/>
      <c r="CN168" s="213"/>
      <c r="CO168" s="213"/>
      <c r="CP168" s="213"/>
      <c r="CQ168" s="213"/>
    </row>
    <row r="169" ht="15.75" customHeight="1">
      <c r="A169" s="213"/>
      <c r="B169" s="213"/>
      <c r="C169" s="213"/>
      <c r="D169" s="213"/>
      <c r="E169" s="213"/>
      <c r="F169" s="213"/>
      <c r="G169" s="213"/>
      <c r="H169" s="213"/>
      <c r="I169" s="213"/>
      <c r="J169" s="213"/>
      <c r="K169" s="213"/>
      <c r="L169" s="213"/>
      <c r="M169" s="213"/>
      <c r="N169" s="213"/>
      <c r="O169" s="213"/>
      <c r="P169" s="213"/>
      <c r="Q169" s="238"/>
      <c r="R169" s="213"/>
      <c r="S169" s="213"/>
      <c r="T169" s="213"/>
      <c r="U169" s="213"/>
      <c r="V169" s="213"/>
      <c r="W169" s="213"/>
      <c r="X169" s="215"/>
      <c r="Y169" s="213"/>
      <c r="Z169" s="213"/>
      <c r="AA169" s="213"/>
      <c r="AB169" s="213"/>
      <c r="AC169" s="213"/>
      <c r="AD169" s="215"/>
      <c r="AE169" s="213"/>
      <c r="AF169" s="213"/>
      <c r="AG169" s="213"/>
      <c r="AH169" s="947"/>
      <c r="AI169" s="213"/>
      <c r="AJ169" s="215"/>
      <c r="AK169" s="213"/>
      <c r="AL169" s="213"/>
      <c r="AM169" s="213"/>
      <c r="AN169" s="947"/>
      <c r="AO169" s="213"/>
      <c r="AP169" s="215"/>
      <c r="AQ169" s="213"/>
      <c r="AR169" s="213"/>
      <c r="AS169" s="213"/>
      <c r="AT169" s="947"/>
      <c r="AU169" s="213"/>
      <c r="AV169" s="215"/>
      <c r="AW169" s="213"/>
      <c r="AX169" s="213"/>
      <c r="AY169" s="213"/>
      <c r="AZ169" s="947"/>
      <c r="BA169" s="213"/>
      <c r="BB169" s="215"/>
      <c r="BC169" s="213"/>
      <c r="BD169" s="213"/>
      <c r="BE169" s="213"/>
      <c r="BF169" s="947"/>
      <c r="BG169" s="213"/>
      <c r="BH169" s="215"/>
      <c r="BI169" s="213"/>
      <c r="BJ169" s="213"/>
      <c r="BK169" s="213"/>
      <c r="BL169" s="948"/>
      <c r="BM169" s="213"/>
      <c r="BN169" s="213"/>
      <c r="BO169" s="213"/>
      <c r="BP169" s="213"/>
      <c r="BQ169" s="213"/>
      <c r="BR169" s="326"/>
      <c r="BS169" s="213"/>
      <c r="BT169" s="215"/>
      <c r="BU169" s="213"/>
      <c r="BV169" s="213"/>
      <c r="BW169" s="213"/>
      <c r="BX169" s="213"/>
      <c r="BY169" s="213"/>
      <c r="BZ169" s="213"/>
      <c r="CA169" s="213"/>
      <c r="CB169" s="213"/>
      <c r="CC169" s="213"/>
      <c r="CD169" s="213"/>
      <c r="CE169" s="213"/>
      <c r="CF169" s="213"/>
      <c r="CG169" s="213"/>
      <c r="CH169" s="213"/>
      <c r="CI169" s="213"/>
      <c r="CJ169" s="213"/>
      <c r="CK169" s="213"/>
      <c r="CL169" s="213"/>
      <c r="CM169" s="213"/>
      <c r="CN169" s="213"/>
      <c r="CO169" s="213"/>
      <c r="CP169" s="213"/>
      <c r="CQ169" s="213"/>
    </row>
    <row r="170" ht="15.75" customHeight="1">
      <c r="A170" s="213"/>
      <c r="B170" s="213"/>
      <c r="C170" s="213"/>
      <c r="D170" s="213"/>
      <c r="E170" s="213"/>
      <c r="F170" s="213"/>
      <c r="G170" s="213"/>
      <c r="H170" s="213"/>
      <c r="I170" s="213"/>
      <c r="J170" s="213"/>
      <c r="K170" s="213"/>
      <c r="L170" s="213"/>
      <c r="M170" s="213"/>
      <c r="N170" s="213"/>
      <c r="O170" s="213"/>
      <c r="P170" s="213"/>
      <c r="Q170" s="238"/>
      <c r="R170" s="213"/>
      <c r="S170" s="213"/>
      <c r="T170" s="213"/>
      <c r="U170" s="213"/>
      <c r="V170" s="213"/>
      <c r="W170" s="213"/>
      <c r="X170" s="215"/>
      <c r="Y170" s="213"/>
      <c r="Z170" s="213"/>
      <c r="AA170" s="213"/>
      <c r="AB170" s="213"/>
      <c r="AC170" s="213"/>
      <c r="AD170" s="215"/>
      <c r="AE170" s="213"/>
      <c r="AF170" s="213"/>
      <c r="AG170" s="213"/>
      <c r="AH170" s="947"/>
      <c r="AI170" s="213"/>
      <c r="AJ170" s="215"/>
      <c r="AK170" s="213"/>
      <c r="AL170" s="213"/>
      <c r="AM170" s="213"/>
      <c r="AN170" s="947"/>
      <c r="AO170" s="213"/>
      <c r="AP170" s="215"/>
      <c r="AQ170" s="213"/>
      <c r="AR170" s="213"/>
      <c r="AS170" s="213"/>
      <c r="AT170" s="947"/>
      <c r="AU170" s="213"/>
      <c r="AV170" s="215"/>
      <c r="AW170" s="213"/>
      <c r="AX170" s="213"/>
      <c r="AY170" s="213"/>
      <c r="AZ170" s="947"/>
      <c r="BA170" s="213"/>
      <c r="BB170" s="215"/>
      <c r="BC170" s="213"/>
      <c r="BD170" s="213"/>
      <c r="BE170" s="213"/>
      <c r="BF170" s="947"/>
      <c r="BG170" s="213"/>
      <c r="BH170" s="215"/>
      <c r="BI170" s="213"/>
      <c r="BJ170" s="213"/>
      <c r="BK170" s="213"/>
      <c r="BL170" s="948"/>
      <c r="BM170" s="213"/>
      <c r="BN170" s="213"/>
      <c r="BO170" s="213"/>
      <c r="BP170" s="213"/>
      <c r="BQ170" s="213"/>
      <c r="BR170" s="326"/>
      <c r="BS170" s="213"/>
      <c r="BT170" s="215"/>
      <c r="BU170" s="213"/>
      <c r="BV170" s="213"/>
      <c r="BW170" s="213"/>
      <c r="BX170" s="213"/>
      <c r="BY170" s="213"/>
      <c r="BZ170" s="213"/>
      <c r="CA170" s="213"/>
      <c r="CB170" s="213"/>
      <c r="CC170" s="213"/>
      <c r="CD170" s="213"/>
      <c r="CE170" s="213"/>
      <c r="CF170" s="213"/>
      <c r="CG170" s="213"/>
      <c r="CH170" s="213"/>
      <c r="CI170" s="213"/>
      <c r="CJ170" s="213"/>
      <c r="CK170" s="213"/>
      <c r="CL170" s="213"/>
      <c r="CM170" s="213"/>
      <c r="CN170" s="213"/>
      <c r="CO170" s="213"/>
      <c r="CP170" s="213"/>
      <c r="CQ170" s="213"/>
    </row>
    <row r="171" ht="15.75" customHeight="1">
      <c r="A171" s="213"/>
      <c r="B171" s="213"/>
      <c r="C171" s="213"/>
      <c r="D171" s="213"/>
      <c r="E171" s="213"/>
      <c r="F171" s="213"/>
      <c r="G171" s="213"/>
      <c r="H171" s="213"/>
      <c r="I171" s="213"/>
      <c r="J171" s="213"/>
      <c r="K171" s="213"/>
      <c r="L171" s="213"/>
      <c r="M171" s="213"/>
      <c r="N171" s="213"/>
      <c r="O171" s="213"/>
      <c r="P171" s="213"/>
      <c r="Q171" s="238"/>
      <c r="R171" s="213"/>
      <c r="S171" s="213"/>
      <c r="T171" s="213"/>
      <c r="U171" s="213"/>
      <c r="V171" s="213"/>
      <c r="W171" s="213"/>
      <c r="X171" s="215"/>
      <c r="Y171" s="213"/>
      <c r="Z171" s="213"/>
      <c r="AA171" s="213"/>
      <c r="AB171" s="213"/>
      <c r="AC171" s="213"/>
      <c r="AD171" s="215"/>
      <c r="AE171" s="213"/>
      <c r="AF171" s="213"/>
      <c r="AG171" s="213"/>
      <c r="AH171" s="947"/>
      <c r="AI171" s="213"/>
      <c r="AJ171" s="215"/>
      <c r="AK171" s="213"/>
      <c r="AL171" s="213"/>
      <c r="AM171" s="213"/>
      <c r="AN171" s="947"/>
      <c r="AO171" s="213"/>
      <c r="AP171" s="215"/>
      <c r="AQ171" s="213"/>
      <c r="AR171" s="213"/>
      <c r="AS171" s="213"/>
      <c r="AT171" s="947"/>
      <c r="AU171" s="213"/>
      <c r="AV171" s="215"/>
      <c r="AW171" s="213"/>
      <c r="AX171" s="213"/>
      <c r="AY171" s="213"/>
      <c r="AZ171" s="947"/>
      <c r="BA171" s="213"/>
      <c r="BB171" s="215"/>
      <c r="BC171" s="213"/>
      <c r="BD171" s="213"/>
      <c r="BE171" s="213"/>
      <c r="BF171" s="947"/>
      <c r="BG171" s="213"/>
      <c r="BH171" s="215"/>
      <c r="BI171" s="213"/>
      <c r="BJ171" s="213"/>
      <c r="BK171" s="213"/>
      <c r="BL171" s="948"/>
      <c r="BM171" s="213"/>
      <c r="BN171" s="213"/>
      <c r="BO171" s="213"/>
      <c r="BP171" s="213"/>
      <c r="BQ171" s="213"/>
      <c r="BR171" s="326"/>
      <c r="BS171" s="213"/>
      <c r="BT171" s="215"/>
      <c r="BU171" s="213"/>
      <c r="BV171" s="213"/>
      <c r="BW171" s="213"/>
      <c r="BX171" s="213"/>
      <c r="BY171" s="213"/>
      <c r="BZ171" s="213"/>
      <c r="CA171" s="213"/>
      <c r="CB171" s="213"/>
      <c r="CC171" s="213"/>
      <c r="CD171" s="213"/>
      <c r="CE171" s="213"/>
      <c r="CF171" s="213"/>
      <c r="CG171" s="213"/>
      <c r="CH171" s="213"/>
      <c r="CI171" s="213"/>
      <c r="CJ171" s="213"/>
      <c r="CK171" s="213"/>
      <c r="CL171" s="213"/>
      <c r="CM171" s="213"/>
      <c r="CN171" s="213"/>
      <c r="CO171" s="213"/>
      <c r="CP171" s="213"/>
      <c r="CQ171" s="213"/>
    </row>
    <row r="172" ht="15.75" customHeight="1">
      <c r="A172" s="213"/>
      <c r="B172" s="213"/>
      <c r="C172" s="213"/>
      <c r="D172" s="213"/>
      <c r="E172" s="213"/>
      <c r="F172" s="213"/>
      <c r="G172" s="213"/>
      <c r="H172" s="213"/>
      <c r="I172" s="213"/>
      <c r="J172" s="213"/>
      <c r="K172" s="213"/>
      <c r="L172" s="213"/>
      <c r="M172" s="213"/>
      <c r="N172" s="213"/>
      <c r="O172" s="213"/>
      <c r="P172" s="213"/>
      <c r="Q172" s="238"/>
      <c r="R172" s="213"/>
      <c r="S172" s="213"/>
      <c r="T172" s="213"/>
      <c r="U172" s="213"/>
      <c r="V172" s="213"/>
      <c r="W172" s="213"/>
      <c r="X172" s="215"/>
      <c r="Y172" s="213"/>
      <c r="Z172" s="213"/>
      <c r="AA172" s="213"/>
      <c r="AB172" s="213"/>
      <c r="AC172" s="213"/>
      <c r="AD172" s="215"/>
      <c r="AE172" s="213"/>
      <c r="AF172" s="213"/>
      <c r="AG172" s="213"/>
      <c r="AH172" s="947"/>
      <c r="AI172" s="213"/>
      <c r="AJ172" s="215"/>
      <c r="AK172" s="213"/>
      <c r="AL172" s="213"/>
      <c r="AM172" s="213"/>
      <c r="AN172" s="947"/>
      <c r="AO172" s="213"/>
      <c r="AP172" s="215"/>
      <c r="AQ172" s="213"/>
      <c r="AR172" s="213"/>
      <c r="AS172" s="213"/>
      <c r="AT172" s="947"/>
      <c r="AU172" s="213"/>
      <c r="AV172" s="215"/>
      <c r="AW172" s="213"/>
      <c r="AX172" s="213"/>
      <c r="AY172" s="213"/>
      <c r="AZ172" s="947"/>
      <c r="BA172" s="213"/>
      <c r="BB172" s="215"/>
      <c r="BC172" s="213"/>
      <c r="BD172" s="213"/>
      <c r="BE172" s="213"/>
      <c r="BF172" s="947"/>
      <c r="BG172" s="213"/>
      <c r="BH172" s="215"/>
      <c r="BI172" s="213"/>
      <c r="BJ172" s="213"/>
      <c r="BK172" s="213"/>
      <c r="BL172" s="948"/>
      <c r="BM172" s="213"/>
      <c r="BN172" s="213"/>
      <c r="BO172" s="213"/>
      <c r="BP172" s="213"/>
      <c r="BQ172" s="213"/>
      <c r="BR172" s="326"/>
      <c r="BS172" s="213"/>
      <c r="BT172" s="215"/>
      <c r="BU172" s="213"/>
      <c r="BV172" s="213"/>
      <c r="BW172" s="213"/>
      <c r="BX172" s="213"/>
      <c r="BY172" s="213"/>
      <c r="BZ172" s="213"/>
      <c r="CA172" s="213"/>
      <c r="CB172" s="213"/>
      <c r="CC172" s="213"/>
      <c r="CD172" s="213"/>
      <c r="CE172" s="213"/>
      <c r="CF172" s="213"/>
      <c r="CG172" s="213"/>
      <c r="CH172" s="213"/>
      <c r="CI172" s="213"/>
      <c r="CJ172" s="213"/>
      <c r="CK172" s="213"/>
      <c r="CL172" s="213"/>
      <c r="CM172" s="213"/>
      <c r="CN172" s="213"/>
      <c r="CO172" s="213"/>
      <c r="CP172" s="213"/>
      <c r="CQ172" s="213"/>
    </row>
    <row r="173" ht="15.75" customHeight="1">
      <c r="A173" s="213"/>
      <c r="B173" s="213"/>
      <c r="C173" s="213"/>
      <c r="D173" s="213"/>
      <c r="E173" s="213"/>
      <c r="F173" s="213"/>
      <c r="G173" s="213"/>
      <c r="H173" s="213"/>
      <c r="I173" s="213"/>
      <c r="J173" s="213"/>
      <c r="K173" s="213"/>
      <c r="L173" s="213"/>
      <c r="M173" s="213"/>
      <c r="N173" s="213"/>
      <c r="O173" s="213"/>
      <c r="P173" s="213"/>
      <c r="Q173" s="238"/>
      <c r="R173" s="213"/>
      <c r="S173" s="213"/>
      <c r="T173" s="213"/>
      <c r="U173" s="213"/>
      <c r="V173" s="213"/>
      <c r="W173" s="213"/>
      <c r="X173" s="215"/>
      <c r="Y173" s="213"/>
      <c r="Z173" s="213"/>
      <c r="AA173" s="213"/>
      <c r="AB173" s="213"/>
      <c r="AC173" s="213"/>
      <c r="AD173" s="215"/>
      <c r="AE173" s="213"/>
      <c r="AF173" s="213"/>
      <c r="AG173" s="213"/>
      <c r="AH173" s="947"/>
      <c r="AI173" s="213"/>
      <c r="AJ173" s="215"/>
      <c r="AK173" s="213"/>
      <c r="AL173" s="213"/>
      <c r="AM173" s="213"/>
      <c r="AN173" s="947"/>
      <c r="AO173" s="213"/>
      <c r="AP173" s="215"/>
      <c r="AQ173" s="213"/>
      <c r="AR173" s="213"/>
      <c r="AS173" s="213"/>
      <c r="AT173" s="947"/>
      <c r="AU173" s="213"/>
      <c r="AV173" s="215"/>
      <c r="AW173" s="213"/>
      <c r="AX173" s="213"/>
      <c r="AY173" s="213"/>
      <c r="AZ173" s="947"/>
      <c r="BA173" s="213"/>
      <c r="BB173" s="215"/>
      <c r="BC173" s="213"/>
      <c r="BD173" s="213"/>
      <c r="BE173" s="213"/>
      <c r="BF173" s="947"/>
      <c r="BG173" s="213"/>
      <c r="BH173" s="215"/>
      <c r="BI173" s="213"/>
      <c r="BJ173" s="213"/>
      <c r="BK173" s="213"/>
      <c r="BL173" s="948"/>
      <c r="BM173" s="213"/>
      <c r="BN173" s="213"/>
      <c r="BO173" s="213"/>
      <c r="BP173" s="213"/>
      <c r="BQ173" s="213"/>
      <c r="BR173" s="326"/>
      <c r="BS173" s="213"/>
      <c r="BT173" s="215"/>
      <c r="BU173" s="213"/>
      <c r="BV173" s="213"/>
      <c r="BW173" s="213"/>
      <c r="BX173" s="213"/>
      <c r="BY173" s="213"/>
      <c r="BZ173" s="213"/>
      <c r="CA173" s="213"/>
      <c r="CB173" s="213"/>
      <c r="CC173" s="213"/>
      <c r="CD173" s="213"/>
      <c r="CE173" s="213"/>
      <c r="CF173" s="213"/>
      <c r="CG173" s="213"/>
      <c r="CH173" s="213"/>
      <c r="CI173" s="213"/>
      <c r="CJ173" s="213"/>
      <c r="CK173" s="213"/>
      <c r="CL173" s="213"/>
      <c r="CM173" s="213"/>
      <c r="CN173" s="213"/>
      <c r="CO173" s="213"/>
      <c r="CP173" s="213"/>
      <c r="CQ173" s="213"/>
    </row>
    <row r="174" ht="15.75" customHeight="1">
      <c r="A174" s="213"/>
      <c r="B174" s="213"/>
      <c r="C174" s="213"/>
      <c r="D174" s="213"/>
      <c r="E174" s="213"/>
      <c r="F174" s="213"/>
      <c r="G174" s="213"/>
      <c r="H174" s="213"/>
      <c r="I174" s="213"/>
      <c r="J174" s="213"/>
      <c r="K174" s="213"/>
      <c r="L174" s="213"/>
      <c r="M174" s="213"/>
      <c r="N174" s="213"/>
      <c r="O174" s="213"/>
      <c r="P174" s="213"/>
      <c r="Q174" s="238"/>
      <c r="R174" s="213"/>
      <c r="S174" s="213"/>
      <c r="T174" s="213"/>
      <c r="U174" s="213"/>
      <c r="V174" s="213"/>
      <c r="W174" s="213"/>
      <c r="X174" s="215"/>
      <c r="Y174" s="213"/>
      <c r="Z174" s="213"/>
      <c r="AA174" s="213"/>
      <c r="AB174" s="213"/>
      <c r="AC174" s="213"/>
      <c r="AD174" s="215"/>
      <c r="AE174" s="213"/>
      <c r="AF174" s="213"/>
      <c r="AG174" s="213"/>
      <c r="AH174" s="947"/>
      <c r="AI174" s="213"/>
      <c r="AJ174" s="215"/>
      <c r="AK174" s="213"/>
      <c r="AL174" s="213"/>
      <c r="AM174" s="213"/>
      <c r="AN174" s="947"/>
      <c r="AO174" s="213"/>
      <c r="AP174" s="215"/>
      <c r="AQ174" s="213"/>
      <c r="AR174" s="213"/>
      <c r="AS174" s="213"/>
      <c r="AT174" s="947"/>
      <c r="AU174" s="213"/>
      <c r="AV174" s="215"/>
      <c r="AW174" s="213"/>
      <c r="AX174" s="213"/>
      <c r="AY174" s="213"/>
      <c r="AZ174" s="947"/>
      <c r="BA174" s="213"/>
      <c r="BB174" s="215"/>
      <c r="BC174" s="213"/>
      <c r="BD174" s="213"/>
      <c r="BE174" s="213"/>
      <c r="BF174" s="947"/>
      <c r="BG174" s="213"/>
      <c r="BH174" s="215"/>
      <c r="BI174" s="213"/>
      <c r="BJ174" s="213"/>
      <c r="BK174" s="213"/>
      <c r="BL174" s="948"/>
      <c r="BM174" s="213"/>
      <c r="BN174" s="213"/>
      <c r="BO174" s="213"/>
      <c r="BP174" s="213"/>
      <c r="BQ174" s="213"/>
      <c r="BR174" s="326"/>
      <c r="BS174" s="213"/>
      <c r="BT174" s="215"/>
      <c r="BU174" s="213"/>
      <c r="BV174" s="213"/>
      <c r="BW174" s="213"/>
      <c r="BX174" s="213"/>
      <c r="BY174" s="213"/>
      <c r="BZ174" s="213"/>
      <c r="CA174" s="213"/>
      <c r="CB174" s="213"/>
      <c r="CC174" s="213"/>
      <c r="CD174" s="213"/>
      <c r="CE174" s="213"/>
      <c r="CF174" s="213"/>
      <c r="CG174" s="213"/>
      <c r="CH174" s="213"/>
      <c r="CI174" s="213"/>
      <c r="CJ174" s="213"/>
      <c r="CK174" s="213"/>
      <c r="CL174" s="213"/>
      <c r="CM174" s="213"/>
      <c r="CN174" s="213"/>
      <c r="CO174" s="213"/>
      <c r="CP174" s="213"/>
      <c r="CQ174" s="213"/>
    </row>
    <row r="175" ht="15.75" customHeight="1">
      <c r="A175" s="213"/>
      <c r="B175" s="213"/>
      <c r="C175" s="213"/>
      <c r="D175" s="213"/>
      <c r="E175" s="213"/>
      <c r="F175" s="213"/>
      <c r="G175" s="213"/>
      <c r="H175" s="213"/>
      <c r="I175" s="213"/>
      <c r="J175" s="213"/>
      <c r="K175" s="213"/>
      <c r="L175" s="213"/>
      <c r="M175" s="213"/>
      <c r="N175" s="213"/>
      <c r="O175" s="213"/>
      <c r="P175" s="213"/>
      <c r="Q175" s="238"/>
      <c r="R175" s="213"/>
      <c r="S175" s="213"/>
      <c r="T175" s="213"/>
      <c r="U175" s="213"/>
      <c r="V175" s="213"/>
      <c r="W175" s="213"/>
      <c r="X175" s="215"/>
      <c r="Y175" s="213"/>
      <c r="Z175" s="213"/>
      <c r="AA175" s="213"/>
      <c r="AB175" s="213"/>
      <c r="AC175" s="213"/>
      <c r="AD175" s="215"/>
      <c r="AE175" s="213"/>
      <c r="AF175" s="213"/>
      <c r="AG175" s="213"/>
      <c r="AH175" s="947"/>
      <c r="AI175" s="213"/>
      <c r="AJ175" s="215"/>
      <c r="AK175" s="213"/>
      <c r="AL175" s="213"/>
      <c r="AM175" s="213"/>
      <c r="AN175" s="947"/>
      <c r="AO175" s="213"/>
      <c r="AP175" s="215"/>
      <c r="AQ175" s="213"/>
      <c r="AR175" s="213"/>
      <c r="AS175" s="213"/>
      <c r="AT175" s="947"/>
      <c r="AU175" s="213"/>
      <c r="AV175" s="215"/>
      <c r="AW175" s="213"/>
      <c r="AX175" s="213"/>
      <c r="AY175" s="213"/>
      <c r="AZ175" s="947"/>
      <c r="BA175" s="213"/>
      <c r="BB175" s="215"/>
      <c r="BC175" s="213"/>
      <c r="BD175" s="213"/>
      <c r="BE175" s="213"/>
      <c r="BF175" s="947"/>
      <c r="BG175" s="213"/>
      <c r="BH175" s="215"/>
      <c r="BI175" s="213"/>
      <c r="BJ175" s="213"/>
      <c r="BK175" s="213"/>
      <c r="BL175" s="948"/>
      <c r="BM175" s="213"/>
      <c r="BN175" s="213"/>
      <c r="BO175" s="213"/>
      <c r="BP175" s="213"/>
      <c r="BQ175" s="213"/>
      <c r="BR175" s="326"/>
      <c r="BS175" s="213"/>
      <c r="BT175" s="215"/>
      <c r="BU175" s="213"/>
      <c r="BV175" s="213"/>
      <c r="BW175" s="213"/>
      <c r="BX175" s="213"/>
      <c r="BY175" s="213"/>
      <c r="BZ175" s="213"/>
      <c r="CA175" s="213"/>
      <c r="CB175" s="213"/>
      <c r="CC175" s="213"/>
      <c r="CD175" s="213"/>
      <c r="CE175" s="213"/>
      <c r="CF175" s="213"/>
      <c r="CG175" s="213"/>
      <c r="CH175" s="213"/>
      <c r="CI175" s="213"/>
      <c r="CJ175" s="213"/>
      <c r="CK175" s="213"/>
      <c r="CL175" s="213"/>
      <c r="CM175" s="213"/>
      <c r="CN175" s="213"/>
      <c r="CO175" s="213"/>
      <c r="CP175" s="213"/>
      <c r="CQ175" s="213"/>
    </row>
    <row r="176" ht="15.75" customHeight="1">
      <c r="A176" s="213"/>
      <c r="B176" s="213"/>
      <c r="C176" s="213"/>
      <c r="D176" s="213"/>
      <c r="E176" s="213"/>
      <c r="F176" s="213"/>
      <c r="G176" s="213"/>
      <c r="H176" s="213"/>
      <c r="I176" s="213"/>
      <c r="J176" s="213"/>
      <c r="K176" s="213"/>
      <c r="L176" s="213"/>
      <c r="M176" s="213"/>
      <c r="N176" s="213"/>
      <c r="O176" s="213"/>
      <c r="P176" s="213"/>
      <c r="Q176" s="238"/>
      <c r="R176" s="213"/>
      <c r="S176" s="213"/>
      <c r="T176" s="213"/>
      <c r="U176" s="213"/>
      <c r="V176" s="213"/>
      <c r="W176" s="213"/>
      <c r="X176" s="215"/>
      <c r="Y176" s="213"/>
      <c r="Z176" s="213"/>
      <c r="AA176" s="213"/>
      <c r="AB176" s="213"/>
      <c r="AC176" s="213"/>
      <c r="AD176" s="215"/>
      <c r="AE176" s="213"/>
      <c r="AF176" s="213"/>
      <c r="AG176" s="213"/>
      <c r="AH176" s="947"/>
      <c r="AI176" s="213"/>
      <c r="AJ176" s="215"/>
      <c r="AK176" s="213"/>
      <c r="AL176" s="213"/>
      <c r="AM176" s="213"/>
      <c r="AN176" s="947"/>
      <c r="AO176" s="213"/>
      <c r="AP176" s="215"/>
      <c r="AQ176" s="213"/>
      <c r="AR176" s="213"/>
      <c r="AS176" s="213"/>
      <c r="AT176" s="947"/>
      <c r="AU176" s="213"/>
      <c r="AV176" s="215"/>
      <c r="AW176" s="213"/>
      <c r="AX176" s="213"/>
      <c r="AY176" s="213"/>
      <c r="AZ176" s="947"/>
      <c r="BA176" s="213"/>
      <c r="BB176" s="215"/>
      <c r="BC176" s="213"/>
      <c r="BD176" s="213"/>
      <c r="BE176" s="213"/>
      <c r="BF176" s="947"/>
      <c r="BG176" s="213"/>
      <c r="BH176" s="215"/>
      <c r="BI176" s="213"/>
      <c r="BJ176" s="213"/>
      <c r="BK176" s="213"/>
      <c r="BL176" s="948"/>
      <c r="BM176" s="213"/>
      <c r="BN176" s="213"/>
      <c r="BO176" s="213"/>
      <c r="BP176" s="213"/>
      <c r="BQ176" s="213"/>
      <c r="BR176" s="326"/>
      <c r="BS176" s="213"/>
      <c r="BT176" s="215"/>
      <c r="BU176" s="213"/>
      <c r="BV176" s="213"/>
      <c r="BW176" s="213"/>
      <c r="BX176" s="213"/>
      <c r="BY176" s="213"/>
      <c r="BZ176" s="213"/>
      <c r="CA176" s="213"/>
      <c r="CB176" s="213"/>
      <c r="CC176" s="213"/>
      <c r="CD176" s="213"/>
      <c r="CE176" s="213"/>
      <c r="CF176" s="213"/>
      <c r="CG176" s="213"/>
      <c r="CH176" s="213"/>
      <c r="CI176" s="213"/>
      <c r="CJ176" s="213"/>
      <c r="CK176" s="213"/>
      <c r="CL176" s="213"/>
      <c r="CM176" s="213"/>
      <c r="CN176" s="213"/>
      <c r="CO176" s="213"/>
      <c r="CP176" s="213"/>
      <c r="CQ176" s="213"/>
    </row>
    <row r="177" ht="15.75" customHeight="1">
      <c r="A177" s="213"/>
      <c r="B177" s="213"/>
      <c r="C177" s="213"/>
      <c r="D177" s="213"/>
      <c r="E177" s="213"/>
      <c r="F177" s="213"/>
      <c r="G177" s="213"/>
      <c r="H177" s="213"/>
      <c r="I177" s="213"/>
      <c r="J177" s="213"/>
      <c r="K177" s="213"/>
      <c r="L177" s="213"/>
      <c r="M177" s="213"/>
      <c r="N177" s="213"/>
      <c r="O177" s="213"/>
      <c r="P177" s="213"/>
      <c r="Q177" s="238"/>
      <c r="R177" s="213"/>
      <c r="S177" s="213"/>
      <c r="T177" s="213"/>
      <c r="U177" s="213"/>
      <c r="V177" s="213"/>
      <c r="W177" s="213"/>
      <c r="X177" s="215"/>
      <c r="Y177" s="213"/>
      <c r="Z177" s="213"/>
      <c r="AA177" s="213"/>
      <c r="AB177" s="213"/>
      <c r="AC177" s="213"/>
      <c r="AD177" s="215"/>
      <c r="AE177" s="213"/>
      <c r="AF177" s="213"/>
      <c r="AG177" s="213"/>
      <c r="AH177" s="947"/>
      <c r="AI177" s="213"/>
      <c r="AJ177" s="215"/>
      <c r="AK177" s="213"/>
      <c r="AL177" s="213"/>
      <c r="AM177" s="213"/>
      <c r="AN177" s="947"/>
      <c r="AO177" s="213"/>
      <c r="AP177" s="215"/>
      <c r="AQ177" s="213"/>
      <c r="AR177" s="213"/>
      <c r="AS177" s="213"/>
      <c r="AT177" s="947"/>
      <c r="AU177" s="213"/>
      <c r="AV177" s="215"/>
      <c r="AW177" s="213"/>
      <c r="AX177" s="213"/>
      <c r="AY177" s="213"/>
      <c r="AZ177" s="947"/>
      <c r="BA177" s="213"/>
      <c r="BB177" s="215"/>
      <c r="BC177" s="213"/>
      <c r="BD177" s="213"/>
      <c r="BE177" s="213"/>
      <c r="BF177" s="947"/>
      <c r="BG177" s="213"/>
      <c r="BH177" s="215"/>
      <c r="BI177" s="213"/>
      <c r="BJ177" s="213"/>
      <c r="BK177" s="213"/>
      <c r="BL177" s="948"/>
      <c r="BM177" s="213"/>
      <c r="BN177" s="213"/>
      <c r="BO177" s="213"/>
      <c r="BP177" s="213"/>
      <c r="BQ177" s="213"/>
      <c r="BR177" s="326"/>
      <c r="BS177" s="213"/>
      <c r="BT177" s="215"/>
      <c r="BU177" s="213"/>
      <c r="BV177" s="213"/>
      <c r="BW177" s="213"/>
      <c r="BX177" s="213"/>
      <c r="BY177" s="213"/>
      <c r="BZ177" s="213"/>
      <c r="CA177" s="213"/>
      <c r="CB177" s="213"/>
      <c r="CC177" s="213"/>
      <c r="CD177" s="213"/>
      <c r="CE177" s="213"/>
      <c r="CF177" s="213"/>
      <c r="CG177" s="213"/>
      <c r="CH177" s="213"/>
      <c r="CI177" s="213"/>
      <c r="CJ177" s="213"/>
      <c r="CK177" s="213"/>
      <c r="CL177" s="213"/>
      <c r="CM177" s="213"/>
      <c r="CN177" s="213"/>
      <c r="CO177" s="213"/>
      <c r="CP177" s="213"/>
      <c r="CQ177" s="213"/>
    </row>
    <row r="178" ht="15.75" customHeight="1">
      <c r="A178" s="213"/>
      <c r="B178" s="213"/>
      <c r="C178" s="213"/>
      <c r="D178" s="213"/>
      <c r="E178" s="213"/>
      <c r="F178" s="213"/>
      <c r="G178" s="213"/>
      <c r="H178" s="213"/>
      <c r="I178" s="213"/>
      <c r="J178" s="213"/>
      <c r="K178" s="213"/>
      <c r="L178" s="213"/>
      <c r="M178" s="213"/>
      <c r="N178" s="213"/>
      <c r="O178" s="213"/>
      <c r="P178" s="213"/>
      <c r="Q178" s="238"/>
      <c r="R178" s="213"/>
      <c r="S178" s="213"/>
      <c r="T178" s="213"/>
      <c r="U178" s="213"/>
      <c r="V178" s="213"/>
      <c r="W178" s="213"/>
      <c r="X178" s="215"/>
      <c r="Y178" s="213"/>
      <c r="Z178" s="213"/>
      <c r="AA178" s="213"/>
      <c r="AB178" s="213"/>
      <c r="AC178" s="213"/>
      <c r="AD178" s="215"/>
      <c r="AE178" s="213"/>
      <c r="AF178" s="213"/>
      <c r="AG178" s="213"/>
      <c r="AH178" s="947"/>
      <c r="AI178" s="213"/>
      <c r="AJ178" s="215"/>
      <c r="AK178" s="213"/>
      <c r="AL178" s="213"/>
      <c r="AM178" s="213"/>
      <c r="AN178" s="947"/>
      <c r="AO178" s="213"/>
      <c r="AP178" s="215"/>
      <c r="AQ178" s="213"/>
      <c r="AR178" s="213"/>
      <c r="AS178" s="213"/>
      <c r="AT178" s="947"/>
      <c r="AU178" s="213"/>
      <c r="AV178" s="215"/>
      <c r="AW178" s="213"/>
      <c r="AX178" s="213"/>
      <c r="AY178" s="213"/>
      <c r="AZ178" s="947"/>
      <c r="BA178" s="213"/>
      <c r="BB178" s="215"/>
      <c r="BC178" s="213"/>
      <c r="BD178" s="213"/>
      <c r="BE178" s="213"/>
      <c r="BF178" s="947"/>
      <c r="BG178" s="213"/>
      <c r="BH178" s="215"/>
      <c r="BI178" s="213"/>
      <c r="BJ178" s="213"/>
      <c r="BK178" s="213"/>
      <c r="BL178" s="948"/>
      <c r="BM178" s="213"/>
      <c r="BN178" s="213"/>
      <c r="BO178" s="213"/>
      <c r="BP178" s="213"/>
      <c r="BQ178" s="213"/>
      <c r="BR178" s="326"/>
      <c r="BS178" s="213"/>
      <c r="BT178" s="215"/>
      <c r="BU178" s="213"/>
      <c r="BV178" s="213"/>
      <c r="BW178" s="213"/>
      <c r="BX178" s="213"/>
      <c r="BY178" s="213"/>
      <c r="BZ178" s="213"/>
      <c r="CA178" s="213"/>
      <c r="CB178" s="213"/>
      <c r="CC178" s="213"/>
      <c r="CD178" s="213"/>
      <c r="CE178" s="213"/>
      <c r="CF178" s="213"/>
      <c r="CG178" s="213"/>
      <c r="CH178" s="213"/>
      <c r="CI178" s="213"/>
      <c r="CJ178" s="213"/>
      <c r="CK178" s="213"/>
      <c r="CL178" s="213"/>
      <c r="CM178" s="213"/>
      <c r="CN178" s="213"/>
      <c r="CO178" s="213"/>
      <c r="CP178" s="213"/>
      <c r="CQ178" s="213"/>
    </row>
    <row r="179" ht="15.75" customHeight="1">
      <c r="A179" s="213"/>
      <c r="B179" s="213"/>
      <c r="C179" s="213"/>
      <c r="D179" s="213"/>
      <c r="E179" s="213"/>
      <c r="F179" s="213"/>
      <c r="G179" s="213"/>
      <c r="H179" s="213"/>
      <c r="I179" s="213"/>
      <c r="J179" s="213"/>
      <c r="K179" s="213"/>
      <c r="L179" s="213"/>
      <c r="M179" s="213"/>
      <c r="N179" s="213"/>
      <c r="O179" s="213"/>
      <c r="P179" s="213"/>
      <c r="Q179" s="238"/>
      <c r="R179" s="213"/>
      <c r="S179" s="213"/>
      <c r="T179" s="213"/>
      <c r="U179" s="213"/>
      <c r="V179" s="213"/>
      <c r="W179" s="213"/>
      <c r="X179" s="215"/>
      <c r="Y179" s="213"/>
      <c r="Z179" s="213"/>
      <c r="AA179" s="213"/>
      <c r="AB179" s="213"/>
      <c r="AC179" s="213"/>
      <c r="AD179" s="215"/>
      <c r="AE179" s="213"/>
      <c r="AF179" s="213"/>
      <c r="AG179" s="213"/>
      <c r="AH179" s="947"/>
      <c r="AI179" s="213"/>
      <c r="AJ179" s="215"/>
      <c r="AK179" s="213"/>
      <c r="AL179" s="213"/>
      <c r="AM179" s="213"/>
      <c r="AN179" s="947"/>
      <c r="AO179" s="213"/>
      <c r="AP179" s="215"/>
      <c r="AQ179" s="213"/>
      <c r="AR179" s="213"/>
      <c r="AS179" s="213"/>
      <c r="AT179" s="947"/>
      <c r="AU179" s="213"/>
      <c r="AV179" s="215"/>
      <c r="AW179" s="213"/>
      <c r="AX179" s="213"/>
      <c r="AY179" s="213"/>
      <c r="AZ179" s="947"/>
      <c r="BA179" s="213"/>
      <c r="BB179" s="215"/>
      <c r="BC179" s="213"/>
      <c r="BD179" s="213"/>
      <c r="BE179" s="213"/>
      <c r="BF179" s="947"/>
      <c r="BG179" s="213"/>
      <c r="BH179" s="215"/>
      <c r="BI179" s="213"/>
      <c r="BJ179" s="213"/>
      <c r="BK179" s="213"/>
      <c r="BL179" s="948"/>
      <c r="BM179" s="213"/>
      <c r="BN179" s="213"/>
      <c r="BO179" s="213"/>
      <c r="BP179" s="213"/>
      <c r="BQ179" s="213"/>
      <c r="BR179" s="326"/>
      <c r="BS179" s="213"/>
      <c r="BT179" s="215"/>
      <c r="BU179" s="213"/>
      <c r="BV179" s="213"/>
      <c r="BW179" s="213"/>
      <c r="BX179" s="213"/>
      <c r="BY179" s="213"/>
      <c r="BZ179" s="213"/>
      <c r="CA179" s="213"/>
      <c r="CB179" s="213"/>
      <c r="CC179" s="213"/>
      <c r="CD179" s="213"/>
      <c r="CE179" s="213"/>
      <c r="CF179" s="213"/>
      <c r="CG179" s="213"/>
      <c r="CH179" s="213"/>
      <c r="CI179" s="213"/>
      <c r="CJ179" s="213"/>
      <c r="CK179" s="213"/>
      <c r="CL179" s="213"/>
      <c r="CM179" s="213"/>
      <c r="CN179" s="213"/>
      <c r="CO179" s="213"/>
      <c r="CP179" s="213"/>
      <c r="CQ179" s="213"/>
    </row>
    <row r="180" ht="15.75" customHeight="1">
      <c r="A180" s="213"/>
      <c r="B180" s="213"/>
      <c r="C180" s="213"/>
      <c r="D180" s="213"/>
      <c r="E180" s="213"/>
      <c r="F180" s="213"/>
      <c r="G180" s="213"/>
      <c r="H180" s="213"/>
      <c r="I180" s="213"/>
      <c r="J180" s="213"/>
      <c r="K180" s="213"/>
      <c r="L180" s="213"/>
      <c r="M180" s="213"/>
      <c r="N180" s="213"/>
      <c r="O180" s="213"/>
      <c r="P180" s="213"/>
      <c r="Q180" s="238"/>
      <c r="R180" s="213"/>
      <c r="S180" s="213"/>
      <c r="T180" s="213"/>
      <c r="U180" s="213"/>
      <c r="V180" s="213"/>
      <c r="W180" s="213"/>
      <c r="X180" s="215"/>
      <c r="Y180" s="213"/>
      <c r="Z180" s="213"/>
      <c r="AA180" s="213"/>
      <c r="AB180" s="213"/>
      <c r="AC180" s="213"/>
      <c r="AD180" s="215"/>
      <c r="AE180" s="213"/>
      <c r="AF180" s="213"/>
      <c r="AG180" s="213"/>
      <c r="AH180" s="947"/>
      <c r="AI180" s="213"/>
      <c r="AJ180" s="215"/>
      <c r="AK180" s="213"/>
      <c r="AL180" s="213"/>
      <c r="AM180" s="213"/>
      <c r="AN180" s="947"/>
      <c r="AO180" s="213"/>
      <c r="AP180" s="215"/>
      <c r="AQ180" s="213"/>
      <c r="AR180" s="213"/>
      <c r="AS180" s="213"/>
      <c r="AT180" s="947"/>
      <c r="AU180" s="213"/>
      <c r="AV180" s="215"/>
      <c r="AW180" s="213"/>
      <c r="AX180" s="213"/>
      <c r="AY180" s="213"/>
      <c r="AZ180" s="947"/>
      <c r="BA180" s="213"/>
      <c r="BB180" s="215"/>
      <c r="BC180" s="213"/>
      <c r="BD180" s="213"/>
      <c r="BE180" s="213"/>
      <c r="BF180" s="947"/>
      <c r="BG180" s="213"/>
      <c r="BH180" s="215"/>
      <c r="BI180" s="213"/>
      <c r="BJ180" s="213"/>
      <c r="BK180" s="213"/>
      <c r="BL180" s="948"/>
      <c r="BM180" s="213"/>
      <c r="BN180" s="213"/>
      <c r="BO180" s="213"/>
      <c r="BP180" s="213"/>
      <c r="BQ180" s="213"/>
      <c r="BR180" s="326"/>
      <c r="BS180" s="213"/>
      <c r="BT180" s="215"/>
      <c r="BU180" s="213"/>
      <c r="BV180" s="213"/>
      <c r="BW180" s="213"/>
      <c r="BX180" s="213"/>
      <c r="BY180" s="213"/>
      <c r="BZ180" s="213"/>
      <c r="CA180" s="213"/>
      <c r="CB180" s="213"/>
      <c r="CC180" s="213"/>
      <c r="CD180" s="213"/>
      <c r="CE180" s="213"/>
      <c r="CF180" s="213"/>
      <c r="CG180" s="213"/>
      <c r="CH180" s="213"/>
      <c r="CI180" s="213"/>
      <c r="CJ180" s="213"/>
      <c r="CK180" s="213"/>
      <c r="CL180" s="213"/>
      <c r="CM180" s="213"/>
      <c r="CN180" s="213"/>
      <c r="CO180" s="213"/>
      <c r="CP180" s="213"/>
      <c r="CQ180" s="213"/>
    </row>
    <row r="181" ht="15.75" customHeight="1">
      <c r="A181" s="213"/>
      <c r="B181" s="213"/>
      <c r="C181" s="213"/>
      <c r="D181" s="213"/>
      <c r="E181" s="213"/>
      <c r="F181" s="213"/>
      <c r="G181" s="213"/>
      <c r="H181" s="213"/>
      <c r="I181" s="213"/>
      <c r="J181" s="213"/>
      <c r="K181" s="213"/>
      <c r="L181" s="213"/>
      <c r="M181" s="213"/>
      <c r="N181" s="213"/>
      <c r="O181" s="213"/>
      <c r="P181" s="213"/>
      <c r="Q181" s="238"/>
      <c r="R181" s="213"/>
      <c r="S181" s="213"/>
      <c r="T181" s="213"/>
      <c r="U181" s="213"/>
      <c r="V181" s="213"/>
      <c r="W181" s="213"/>
      <c r="X181" s="215"/>
      <c r="Y181" s="213"/>
      <c r="Z181" s="213"/>
      <c r="AA181" s="213"/>
      <c r="AB181" s="213"/>
      <c r="AC181" s="213"/>
      <c r="AD181" s="215"/>
      <c r="AE181" s="213"/>
      <c r="AF181" s="213"/>
      <c r="AG181" s="213"/>
      <c r="AH181" s="947"/>
      <c r="AI181" s="213"/>
      <c r="AJ181" s="215"/>
      <c r="AK181" s="213"/>
      <c r="AL181" s="213"/>
      <c r="AM181" s="213"/>
      <c r="AN181" s="947"/>
      <c r="AO181" s="213"/>
      <c r="AP181" s="215"/>
      <c r="AQ181" s="213"/>
      <c r="AR181" s="213"/>
      <c r="AS181" s="213"/>
      <c r="AT181" s="947"/>
      <c r="AU181" s="213"/>
      <c r="AV181" s="215"/>
      <c r="AW181" s="213"/>
      <c r="AX181" s="213"/>
      <c r="AY181" s="213"/>
      <c r="AZ181" s="947"/>
      <c r="BA181" s="213"/>
      <c r="BB181" s="215"/>
      <c r="BC181" s="213"/>
      <c r="BD181" s="213"/>
      <c r="BE181" s="213"/>
      <c r="BF181" s="947"/>
      <c r="BG181" s="213"/>
      <c r="BH181" s="215"/>
      <c r="BI181" s="213"/>
      <c r="BJ181" s="213"/>
      <c r="BK181" s="213"/>
      <c r="BL181" s="948"/>
      <c r="BM181" s="213"/>
      <c r="BN181" s="213"/>
      <c r="BO181" s="213"/>
      <c r="BP181" s="213"/>
      <c r="BQ181" s="213"/>
      <c r="BR181" s="326"/>
      <c r="BS181" s="213"/>
      <c r="BT181" s="215"/>
      <c r="BU181" s="213"/>
      <c r="BV181" s="213"/>
      <c r="BW181" s="213"/>
      <c r="BX181" s="213"/>
      <c r="BY181" s="213"/>
      <c r="BZ181" s="213"/>
      <c r="CA181" s="213"/>
      <c r="CB181" s="213"/>
      <c r="CC181" s="213"/>
      <c r="CD181" s="213"/>
      <c r="CE181" s="213"/>
      <c r="CF181" s="213"/>
      <c r="CG181" s="213"/>
      <c r="CH181" s="213"/>
      <c r="CI181" s="213"/>
      <c r="CJ181" s="213"/>
      <c r="CK181" s="213"/>
      <c r="CL181" s="213"/>
      <c r="CM181" s="213"/>
      <c r="CN181" s="213"/>
      <c r="CO181" s="213"/>
      <c r="CP181" s="213"/>
      <c r="CQ181" s="213"/>
    </row>
    <row r="182" ht="15.75" customHeight="1">
      <c r="A182" s="213"/>
      <c r="B182" s="213"/>
      <c r="C182" s="213"/>
      <c r="D182" s="213"/>
      <c r="E182" s="213"/>
      <c r="F182" s="213"/>
      <c r="G182" s="213"/>
      <c r="H182" s="213"/>
      <c r="I182" s="213"/>
      <c r="J182" s="213"/>
      <c r="K182" s="213"/>
      <c r="L182" s="213"/>
      <c r="M182" s="213"/>
      <c r="N182" s="213"/>
      <c r="O182" s="213"/>
      <c r="P182" s="213"/>
      <c r="Q182" s="238"/>
      <c r="R182" s="213"/>
      <c r="S182" s="213"/>
      <c r="T182" s="213"/>
      <c r="U182" s="213"/>
      <c r="V182" s="213"/>
      <c r="W182" s="213"/>
      <c r="X182" s="215"/>
      <c r="Y182" s="213"/>
      <c r="Z182" s="213"/>
      <c r="AA182" s="213"/>
      <c r="AB182" s="213"/>
      <c r="AC182" s="213"/>
      <c r="AD182" s="215"/>
      <c r="AE182" s="213"/>
      <c r="AF182" s="213"/>
      <c r="AG182" s="213"/>
      <c r="AH182" s="947"/>
      <c r="AI182" s="213"/>
      <c r="AJ182" s="215"/>
      <c r="AK182" s="213"/>
      <c r="AL182" s="213"/>
      <c r="AM182" s="213"/>
      <c r="AN182" s="947"/>
      <c r="AO182" s="213"/>
      <c r="AP182" s="215"/>
      <c r="AQ182" s="213"/>
      <c r="AR182" s="213"/>
      <c r="AS182" s="213"/>
      <c r="AT182" s="947"/>
      <c r="AU182" s="213"/>
      <c r="AV182" s="215"/>
      <c r="AW182" s="213"/>
      <c r="AX182" s="213"/>
      <c r="AY182" s="213"/>
      <c r="AZ182" s="947"/>
      <c r="BA182" s="213"/>
      <c r="BB182" s="215"/>
      <c r="BC182" s="213"/>
      <c r="BD182" s="213"/>
      <c r="BE182" s="213"/>
      <c r="BF182" s="947"/>
      <c r="BG182" s="213"/>
      <c r="BH182" s="215"/>
      <c r="BI182" s="213"/>
      <c r="BJ182" s="213"/>
      <c r="BK182" s="213"/>
      <c r="BL182" s="948"/>
      <c r="BM182" s="213"/>
      <c r="BN182" s="213"/>
      <c r="BO182" s="213"/>
      <c r="BP182" s="213"/>
      <c r="BQ182" s="213"/>
      <c r="BR182" s="326"/>
      <c r="BS182" s="213"/>
      <c r="BT182" s="215"/>
      <c r="BU182" s="213"/>
      <c r="BV182" s="213"/>
      <c r="BW182" s="213"/>
      <c r="BX182" s="213"/>
      <c r="BY182" s="213"/>
      <c r="BZ182" s="213"/>
      <c r="CA182" s="213"/>
      <c r="CB182" s="213"/>
      <c r="CC182" s="213"/>
      <c r="CD182" s="213"/>
      <c r="CE182" s="213"/>
      <c r="CF182" s="213"/>
      <c r="CG182" s="213"/>
      <c r="CH182" s="213"/>
      <c r="CI182" s="213"/>
      <c r="CJ182" s="213"/>
      <c r="CK182" s="213"/>
      <c r="CL182" s="213"/>
      <c r="CM182" s="213"/>
      <c r="CN182" s="213"/>
      <c r="CO182" s="213"/>
      <c r="CP182" s="213"/>
      <c r="CQ182" s="213"/>
    </row>
    <row r="183" ht="15.75" customHeight="1">
      <c r="A183" s="213"/>
      <c r="B183" s="213"/>
      <c r="C183" s="213"/>
      <c r="D183" s="213"/>
      <c r="E183" s="213"/>
      <c r="F183" s="213"/>
      <c r="G183" s="213"/>
      <c r="H183" s="213"/>
      <c r="I183" s="213"/>
      <c r="J183" s="213"/>
      <c r="K183" s="213"/>
      <c r="L183" s="213"/>
      <c r="M183" s="213"/>
      <c r="N183" s="213"/>
      <c r="O183" s="213"/>
      <c r="P183" s="213"/>
      <c r="Q183" s="238"/>
      <c r="R183" s="213"/>
      <c r="S183" s="213"/>
      <c r="T183" s="213"/>
      <c r="U183" s="213"/>
      <c r="V183" s="213"/>
      <c r="W183" s="213"/>
      <c r="X183" s="215"/>
      <c r="Y183" s="213"/>
      <c r="Z183" s="213"/>
      <c r="AA183" s="213"/>
      <c r="AB183" s="213"/>
      <c r="AC183" s="213"/>
      <c r="AD183" s="215"/>
      <c r="AE183" s="213"/>
      <c r="AF183" s="213"/>
      <c r="AG183" s="213"/>
      <c r="AH183" s="947"/>
      <c r="AI183" s="213"/>
      <c r="AJ183" s="215"/>
      <c r="AK183" s="213"/>
      <c r="AL183" s="213"/>
      <c r="AM183" s="213"/>
      <c r="AN183" s="947"/>
      <c r="AO183" s="213"/>
      <c r="AP183" s="215"/>
      <c r="AQ183" s="213"/>
      <c r="AR183" s="213"/>
      <c r="AS183" s="213"/>
      <c r="AT183" s="947"/>
      <c r="AU183" s="213"/>
      <c r="AV183" s="215"/>
      <c r="AW183" s="213"/>
      <c r="AX183" s="213"/>
      <c r="AY183" s="213"/>
      <c r="AZ183" s="947"/>
      <c r="BA183" s="213"/>
      <c r="BB183" s="215"/>
      <c r="BC183" s="213"/>
      <c r="BD183" s="213"/>
      <c r="BE183" s="213"/>
      <c r="BF183" s="947"/>
      <c r="BG183" s="213"/>
      <c r="BH183" s="215"/>
      <c r="BI183" s="213"/>
      <c r="BJ183" s="213"/>
      <c r="BK183" s="213"/>
      <c r="BL183" s="948"/>
      <c r="BM183" s="213"/>
      <c r="BN183" s="213"/>
      <c r="BO183" s="213"/>
      <c r="BP183" s="213"/>
      <c r="BQ183" s="213"/>
      <c r="BR183" s="326"/>
      <c r="BS183" s="213"/>
      <c r="BT183" s="215"/>
      <c r="BU183" s="213"/>
      <c r="BV183" s="213"/>
      <c r="BW183" s="213"/>
      <c r="BX183" s="213"/>
      <c r="BY183" s="213"/>
      <c r="BZ183" s="213"/>
      <c r="CA183" s="213"/>
      <c r="CB183" s="213"/>
      <c r="CC183" s="213"/>
      <c r="CD183" s="213"/>
      <c r="CE183" s="213"/>
      <c r="CF183" s="213"/>
      <c r="CG183" s="213"/>
      <c r="CH183" s="213"/>
      <c r="CI183" s="213"/>
      <c r="CJ183" s="213"/>
      <c r="CK183" s="213"/>
      <c r="CL183" s="213"/>
      <c r="CM183" s="213"/>
      <c r="CN183" s="213"/>
      <c r="CO183" s="213"/>
      <c r="CP183" s="213"/>
      <c r="CQ183" s="213"/>
    </row>
    <row r="184" ht="15.75" customHeight="1">
      <c r="A184" s="213"/>
      <c r="B184" s="213"/>
      <c r="C184" s="213"/>
      <c r="D184" s="213"/>
      <c r="E184" s="213"/>
      <c r="F184" s="213"/>
      <c r="G184" s="213"/>
      <c r="H184" s="213"/>
      <c r="I184" s="213"/>
      <c r="J184" s="213"/>
      <c r="K184" s="213"/>
      <c r="L184" s="213"/>
      <c r="M184" s="213"/>
      <c r="N184" s="213"/>
      <c r="O184" s="213"/>
      <c r="P184" s="213"/>
      <c r="Q184" s="238"/>
      <c r="R184" s="213"/>
      <c r="S184" s="213"/>
      <c r="T184" s="213"/>
      <c r="U184" s="213"/>
      <c r="V184" s="213"/>
      <c r="W184" s="213"/>
      <c r="X184" s="215"/>
      <c r="Y184" s="213"/>
      <c r="Z184" s="213"/>
      <c r="AA184" s="213"/>
      <c r="AB184" s="213"/>
      <c r="AC184" s="213"/>
      <c r="AD184" s="215"/>
      <c r="AE184" s="213"/>
      <c r="AF184" s="213"/>
      <c r="AG184" s="213"/>
      <c r="AH184" s="947"/>
      <c r="AI184" s="213"/>
      <c r="AJ184" s="215"/>
      <c r="AK184" s="213"/>
      <c r="AL184" s="213"/>
      <c r="AM184" s="213"/>
      <c r="AN184" s="947"/>
      <c r="AO184" s="213"/>
      <c r="AP184" s="215"/>
      <c r="AQ184" s="213"/>
      <c r="AR184" s="213"/>
      <c r="AS184" s="213"/>
      <c r="AT184" s="947"/>
      <c r="AU184" s="213"/>
      <c r="AV184" s="215"/>
      <c r="AW184" s="213"/>
      <c r="AX184" s="213"/>
      <c r="AY184" s="213"/>
      <c r="AZ184" s="947"/>
      <c r="BA184" s="213"/>
      <c r="BB184" s="215"/>
      <c r="BC184" s="213"/>
      <c r="BD184" s="213"/>
      <c r="BE184" s="213"/>
      <c r="BF184" s="947"/>
      <c r="BG184" s="213"/>
      <c r="BH184" s="215"/>
      <c r="BI184" s="213"/>
      <c r="BJ184" s="213"/>
      <c r="BK184" s="213"/>
      <c r="BL184" s="948"/>
      <c r="BM184" s="213"/>
      <c r="BN184" s="213"/>
      <c r="BO184" s="213"/>
      <c r="BP184" s="213"/>
      <c r="BQ184" s="213"/>
      <c r="BR184" s="326"/>
      <c r="BS184" s="213"/>
      <c r="BT184" s="215"/>
      <c r="BU184" s="213"/>
      <c r="BV184" s="213"/>
      <c r="BW184" s="213"/>
      <c r="BX184" s="213"/>
      <c r="BY184" s="213"/>
      <c r="BZ184" s="213"/>
      <c r="CA184" s="213"/>
      <c r="CB184" s="213"/>
      <c r="CC184" s="213"/>
      <c r="CD184" s="213"/>
      <c r="CE184" s="213"/>
      <c r="CF184" s="213"/>
      <c r="CG184" s="213"/>
      <c r="CH184" s="213"/>
      <c r="CI184" s="213"/>
      <c r="CJ184" s="213"/>
      <c r="CK184" s="213"/>
      <c r="CL184" s="213"/>
      <c r="CM184" s="213"/>
      <c r="CN184" s="213"/>
      <c r="CO184" s="213"/>
      <c r="CP184" s="213"/>
      <c r="CQ184" s="213"/>
    </row>
    <row r="185" ht="15.75" customHeight="1">
      <c r="A185" s="213"/>
      <c r="B185" s="213"/>
      <c r="C185" s="213"/>
      <c r="D185" s="213"/>
      <c r="E185" s="213"/>
      <c r="F185" s="213"/>
      <c r="G185" s="213"/>
      <c r="H185" s="213"/>
      <c r="I185" s="213"/>
      <c r="J185" s="213"/>
      <c r="K185" s="213"/>
      <c r="L185" s="213"/>
      <c r="M185" s="213"/>
      <c r="N185" s="213"/>
      <c r="O185" s="213"/>
      <c r="P185" s="213"/>
      <c r="Q185" s="238"/>
      <c r="R185" s="213"/>
      <c r="S185" s="213"/>
      <c r="T185" s="213"/>
      <c r="U185" s="213"/>
      <c r="V185" s="213"/>
      <c r="W185" s="213"/>
      <c r="X185" s="215"/>
      <c r="Y185" s="213"/>
      <c r="Z185" s="213"/>
      <c r="AA185" s="213"/>
      <c r="AB185" s="213"/>
      <c r="AC185" s="213"/>
      <c r="AD185" s="215"/>
      <c r="AE185" s="213"/>
      <c r="AF185" s="213"/>
      <c r="AG185" s="213"/>
      <c r="AH185" s="947"/>
      <c r="AI185" s="213"/>
      <c r="AJ185" s="215"/>
      <c r="AK185" s="213"/>
      <c r="AL185" s="213"/>
      <c r="AM185" s="213"/>
      <c r="AN185" s="947"/>
      <c r="AO185" s="213"/>
      <c r="AP185" s="215"/>
      <c r="AQ185" s="213"/>
      <c r="AR185" s="213"/>
      <c r="AS185" s="213"/>
      <c r="AT185" s="947"/>
      <c r="AU185" s="213"/>
      <c r="AV185" s="215"/>
      <c r="AW185" s="213"/>
      <c r="AX185" s="213"/>
      <c r="AY185" s="213"/>
      <c r="AZ185" s="947"/>
      <c r="BA185" s="213"/>
      <c r="BB185" s="215"/>
      <c r="BC185" s="213"/>
      <c r="BD185" s="213"/>
      <c r="BE185" s="213"/>
      <c r="BF185" s="947"/>
      <c r="BG185" s="213"/>
      <c r="BH185" s="215"/>
      <c r="BI185" s="213"/>
      <c r="BJ185" s="213"/>
      <c r="BK185" s="213"/>
      <c r="BL185" s="948"/>
      <c r="BM185" s="213"/>
      <c r="BN185" s="213"/>
      <c r="BO185" s="213"/>
      <c r="BP185" s="213"/>
      <c r="BQ185" s="213"/>
      <c r="BR185" s="326"/>
      <c r="BS185" s="213"/>
      <c r="BT185" s="215"/>
      <c r="BU185" s="213"/>
      <c r="BV185" s="213"/>
      <c r="BW185" s="213"/>
      <c r="BX185" s="213"/>
      <c r="BY185" s="213"/>
      <c r="BZ185" s="213"/>
      <c r="CA185" s="213"/>
      <c r="CB185" s="213"/>
      <c r="CC185" s="213"/>
      <c r="CD185" s="213"/>
      <c r="CE185" s="213"/>
      <c r="CF185" s="213"/>
      <c r="CG185" s="213"/>
      <c r="CH185" s="213"/>
      <c r="CI185" s="213"/>
      <c r="CJ185" s="213"/>
      <c r="CK185" s="213"/>
      <c r="CL185" s="213"/>
      <c r="CM185" s="213"/>
      <c r="CN185" s="213"/>
      <c r="CO185" s="213"/>
      <c r="CP185" s="213"/>
      <c r="CQ185" s="213"/>
    </row>
    <row r="186" ht="15.75" customHeight="1">
      <c r="A186" s="213"/>
      <c r="B186" s="213"/>
      <c r="C186" s="213"/>
      <c r="D186" s="213"/>
      <c r="E186" s="213"/>
      <c r="F186" s="213"/>
      <c r="G186" s="213"/>
      <c r="H186" s="213"/>
      <c r="I186" s="213"/>
      <c r="J186" s="213"/>
      <c r="K186" s="213"/>
      <c r="L186" s="213"/>
      <c r="M186" s="213"/>
      <c r="N186" s="213"/>
      <c r="O186" s="213"/>
      <c r="P186" s="213"/>
      <c r="Q186" s="238"/>
      <c r="R186" s="213"/>
      <c r="S186" s="213"/>
      <c r="T186" s="213"/>
      <c r="U186" s="213"/>
      <c r="V186" s="213"/>
      <c r="W186" s="213"/>
      <c r="X186" s="215"/>
      <c r="Y186" s="213"/>
      <c r="Z186" s="213"/>
      <c r="AA186" s="213"/>
      <c r="AB186" s="213"/>
      <c r="AC186" s="213"/>
      <c r="AD186" s="215"/>
      <c r="AE186" s="213"/>
      <c r="AF186" s="213"/>
      <c r="AG186" s="213"/>
      <c r="AH186" s="947"/>
      <c r="AI186" s="213"/>
      <c r="AJ186" s="215"/>
      <c r="AK186" s="213"/>
      <c r="AL186" s="213"/>
      <c r="AM186" s="213"/>
      <c r="AN186" s="947"/>
      <c r="AO186" s="213"/>
      <c r="AP186" s="215"/>
      <c r="AQ186" s="213"/>
      <c r="AR186" s="213"/>
      <c r="AS186" s="213"/>
      <c r="AT186" s="947"/>
      <c r="AU186" s="213"/>
      <c r="AV186" s="215"/>
      <c r="AW186" s="213"/>
      <c r="AX186" s="213"/>
      <c r="AY186" s="213"/>
      <c r="AZ186" s="947"/>
      <c r="BA186" s="213"/>
      <c r="BB186" s="215"/>
      <c r="BC186" s="213"/>
      <c r="BD186" s="213"/>
      <c r="BE186" s="213"/>
      <c r="BF186" s="947"/>
      <c r="BG186" s="213"/>
      <c r="BH186" s="215"/>
      <c r="BI186" s="213"/>
      <c r="BJ186" s="213"/>
      <c r="BK186" s="213"/>
      <c r="BL186" s="948"/>
      <c r="BM186" s="213"/>
      <c r="BN186" s="213"/>
      <c r="BO186" s="213"/>
      <c r="BP186" s="213"/>
      <c r="BQ186" s="213"/>
      <c r="BR186" s="326"/>
      <c r="BS186" s="213"/>
      <c r="BT186" s="215"/>
      <c r="BU186" s="213"/>
      <c r="BV186" s="213"/>
      <c r="BW186" s="213"/>
      <c r="BX186" s="213"/>
      <c r="BY186" s="213"/>
      <c r="BZ186" s="213"/>
      <c r="CA186" s="213"/>
      <c r="CB186" s="213"/>
      <c r="CC186" s="213"/>
      <c r="CD186" s="213"/>
      <c r="CE186" s="213"/>
      <c r="CF186" s="213"/>
      <c r="CG186" s="213"/>
      <c r="CH186" s="213"/>
      <c r="CI186" s="213"/>
      <c r="CJ186" s="213"/>
      <c r="CK186" s="213"/>
      <c r="CL186" s="213"/>
      <c r="CM186" s="213"/>
      <c r="CN186" s="213"/>
      <c r="CO186" s="213"/>
      <c r="CP186" s="213"/>
      <c r="CQ186" s="213"/>
    </row>
    <row r="187" ht="15.75" customHeight="1">
      <c r="A187" s="213"/>
      <c r="B187" s="213"/>
      <c r="C187" s="213"/>
      <c r="D187" s="213"/>
      <c r="E187" s="213"/>
      <c r="F187" s="213"/>
      <c r="G187" s="213"/>
      <c r="H187" s="213"/>
      <c r="I187" s="213"/>
      <c r="J187" s="213"/>
      <c r="K187" s="213"/>
      <c r="L187" s="213"/>
      <c r="M187" s="213"/>
      <c r="N187" s="213"/>
      <c r="O187" s="213"/>
      <c r="P187" s="213"/>
      <c r="Q187" s="238"/>
      <c r="R187" s="213"/>
      <c r="S187" s="213"/>
      <c r="T187" s="213"/>
      <c r="U187" s="213"/>
      <c r="V187" s="213"/>
      <c r="W187" s="213"/>
      <c r="X187" s="215"/>
      <c r="Y187" s="213"/>
      <c r="Z187" s="213"/>
      <c r="AA187" s="213"/>
      <c r="AB187" s="213"/>
      <c r="AC187" s="213"/>
      <c r="AD187" s="215"/>
      <c r="AE187" s="213"/>
      <c r="AF187" s="213"/>
      <c r="AG187" s="213"/>
      <c r="AH187" s="947"/>
      <c r="AI187" s="213"/>
      <c r="AJ187" s="215"/>
      <c r="AK187" s="213"/>
      <c r="AL187" s="213"/>
      <c r="AM187" s="213"/>
      <c r="AN187" s="947"/>
      <c r="AO187" s="213"/>
      <c r="AP187" s="215"/>
      <c r="AQ187" s="213"/>
      <c r="AR187" s="213"/>
      <c r="AS187" s="213"/>
      <c r="AT187" s="947"/>
      <c r="AU187" s="213"/>
      <c r="AV187" s="215"/>
      <c r="AW187" s="213"/>
      <c r="AX187" s="213"/>
      <c r="AY187" s="213"/>
      <c r="AZ187" s="947"/>
      <c r="BA187" s="213"/>
      <c r="BB187" s="215"/>
      <c r="BC187" s="213"/>
      <c r="BD187" s="213"/>
      <c r="BE187" s="213"/>
      <c r="BF187" s="947"/>
      <c r="BG187" s="213"/>
      <c r="BH187" s="215"/>
      <c r="BI187" s="213"/>
      <c r="BJ187" s="213"/>
      <c r="BK187" s="213"/>
      <c r="BL187" s="948"/>
      <c r="BM187" s="213"/>
      <c r="BN187" s="213"/>
      <c r="BO187" s="213"/>
      <c r="BP187" s="213"/>
      <c r="BQ187" s="213"/>
      <c r="BR187" s="326"/>
      <c r="BS187" s="213"/>
      <c r="BT187" s="215"/>
      <c r="BU187" s="213"/>
      <c r="BV187" s="213"/>
      <c r="BW187" s="213"/>
      <c r="BX187" s="213"/>
      <c r="BY187" s="213"/>
      <c r="BZ187" s="213"/>
      <c r="CA187" s="213"/>
      <c r="CB187" s="213"/>
      <c r="CC187" s="213"/>
      <c r="CD187" s="213"/>
      <c r="CE187" s="213"/>
      <c r="CF187" s="213"/>
      <c r="CG187" s="213"/>
      <c r="CH187" s="213"/>
      <c r="CI187" s="213"/>
      <c r="CJ187" s="213"/>
      <c r="CK187" s="213"/>
      <c r="CL187" s="213"/>
      <c r="CM187" s="213"/>
      <c r="CN187" s="213"/>
      <c r="CO187" s="213"/>
      <c r="CP187" s="213"/>
      <c r="CQ187" s="213"/>
    </row>
    <row r="188" ht="15.75" customHeight="1">
      <c r="A188" s="213"/>
      <c r="B188" s="213"/>
      <c r="C188" s="213"/>
      <c r="D188" s="213"/>
      <c r="E188" s="213"/>
      <c r="F188" s="213"/>
      <c r="G188" s="213"/>
      <c r="H188" s="213"/>
      <c r="I188" s="213"/>
      <c r="J188" s="213"/>
      <c r="K188" s="213"/>
      <c r="L188" s="213"/>
      <c r="M188" s="213"/>
      <c r="N188" s="213"/>
      <c r="O188" s="213"/>
      <c r="P188" s="213"/>
      <c r="Q188" s="238"/>
      <c r="R188" s="213"/>
      <c r="S188" s="213"/>
      <c r="T188" s="213"/>
      <c r="U188" s="213"/>
      <c r="V188" s="213"/>
      <c r="W188" s="213"/>
      <c r="X188" s="215"/>
      <c r="Y188" s="213"/>
      <c r="Z188" s="213"/>
      <c r="AA188" s="213"/>
      <c r="AB188" s="213"/>
      <c r="AC188" s="213"/>
      <c r="AD188" s="215"/>
      <c r="AE188" s="213"/>
      <c r="AF188" s="213"/>
      <c r="AG188" s="213"/>
      <c r="AH188" s="947"/>
      <c r="AI188" s="213"/>
      <c r="AJ188" s="215"/>
      <c r="AK188" s="213"/>
      <c r="AL188" s="213"/>
      <c r="AM188" s="213"/>
      <c r="AN188" s="947"/>
      <c r="AO188" s="213"/>
      <c r="AP188" s="215"/>
      <c r="AQ188" s="213"/>
      <c r="AR188" s="213"/>
      <c r="AS188" s="213"/>
      <c r="AT188" s="947"/>
      <c r="AU188" s="213"/>
      <c r="AV188" s="215"/>
      <c r="AW188" s="213"/>
      <c r="AX188" s="213"/>
      <c r="AY188" s="213"/>
      <c r="AZ188" s="947"/>
      <c r="BA188" s="213"/>
      <c r="BB188" s="215"/>
      <c r="BC188" s="213"/>
      <c r="BD188" s="213"/>
      <c r="BE188" s="213"/>
      <c r="BF188" s="947"/>
      <c r="BG188" s="213"/>
      <c r="BH188" s="215"/>
      <c r="BI188" s="213"/>
      <c r="BJ188" s="213"/>
      <c r="BK188" s="213"/>
      <c r="BL188" s="948"/>
      <c r="BM188" s="213"/>
      <c r="BN188" s="213"/>
      <c r="BO188" s="213"/>
      <c r="BP188" s="213"/>
      <c r="BQ188" s="213"/>
      <c r="BR188" s="326"/>
      <c r="BS188" s="213"/>
      <c r="BT188" s="215"/>
      <c r="BU188" s="213"/>
      <c r="BV188" s="213"/>
      <c r="BW188" s="213"/>
      <c r="BX188" s="213"/>
      <c r="BY188" s="213"/>
      <c r="BZ188" s="213"/>
      <c r="CA188" s="213"/>
      <c r="CB188" s="213"/>
      <c r="CC188" s="213"/>
      <c r="CD188" s="213"/>
      <c r="CE188" s="213"/>
      <c r="CF188" s="213"/>
      <c r="CG188" s="213"/>
      <c r="CH188" s="213"/>
      <c r="CI188" s="213"/>
      <c r="CJ188" s="213"/>
      <c r="CK188" s="213"/>
      <c r="CL188" s="213"/>
      <c r="CM188" s="213"/>
      <c r="CN188" s="213"/>
      <c r="CO188" s="213"/>
      <c r="CP188" s="213"/>
      <c r="CQ188" s="213"/>
    </row>
    <row r="189" ht="15.75" customHeight="1">
      <c r="A189" s="213"/>
      <c r="B189" s="213"/>
      <c r="C189" s="213"/>
      <c r="D189" s="213"/>
      <c r="E189" s="213"/>
      <c r="F189" s="213"/>
      <c r="G189" s="213"/>
      <c r="H189" s="213"/>
      <c r="I189" s="213"/>
      <c r="J189" s="213"/>
      <c r="K189" s="213"/>
      <c r="L189" s="213"/>
      <c r="M189" s="213"/>
      <c r="N189" s="213"/>
      <c r="O189" s="213"/>
      <c r="P189" s="213"/>
      <c r="Q189" s="238"/>
      <c r="R189" s="213"/>
      <c r="S189" s="213"/>
      <c r="T189" s="213"/>
      <c r="U189" s="213"/>
      <c r="V189" s="213"/>
      <c r="W189" s="213"/>
      <c r="X189" s="215"/>
      <c r="Y189" s="213"/>
      <c r="Z189" s="213"/>
      <c r="AA189" s="213"/>
      <c r="AB189" s="213"/>
      <c r="AC189" s="213"/>
      <c r="AD189" s="215"/>
      <c r="AE189" s="213"/>
      <c r="AF189" s="213"/>
      <c r="AG189" s="213"/>
      <c r="AH189" s="947"/>
      <c r="AI189" s="213"/>
      <c r="AJ189" s="215"/>
      <c r="AK189" s="213"/>
      <c r="AL189" s="213"/>
      <c r="AM189" s="213"/>
      <c r="AN189" s="947"/>
      <c r="AO189" s="213"/>
      <c r="AP189" s="215"/>
      <c r="AQ189" s="213"/>
      <c r="AR189" s="213"/>
      <c r="AS189" s="213"/>
      <c r="AT189" s="947"/>
      <c r="AU189" s="213"/>
      <c r="AV189" s="215"/>
      <c r="AW189" s="213"/>
      <c r="AX189" s="213"/>
      <c r="AY189" s="213"/>
      <c r="AZ189" s="947"/>
      <c r="BA189" s="213"/>
      <c r="BB189" s="215"/>
      <c r="BC189" s="213"/>
      <c r="BD189" s="213"/>
      <c r="BE189" s="213"/>
      <c r="BF189" s="947"/>
      <c r="BG189" s="213"/>
      <c r="BH189" s="215"/>
      <c r="BI189" s="213"/>
      <c r="BJ189" s="213"/>
      <c r="BK189" s="213"/>
      <c r="BL189" s="948"/>
      <c r="BM189" s="213"/>
      <c r="BN189" s="213"/>
      <c r="BO189" s="213"/>
      <c r="BP189" s="213"/>
      <c r="BQ189" s="213"/>
      <c r="BR189" s="326"/>
      <c r="BS189" s="213"/>
      <c r="BT189" s="215"/>
      <c r="BU189" s="213"/>
      <c r="BV189" s="213"/>
      <c r="BW189" s="213"/>
      <c r="BX189" s="213"/>
      <c r="BY189" s="213"/>
      <c r="BZ189" s="213"/>
      <c r="CA189" s="213"/>
      <c r="CB189" s="213"/>
      <c r="CC189" s="213"/>
      <c r="CD189" s="213"/>
      <c r="CE189" s="213"/>
      <c r="CF189" s="213"/>
      <c r="CG189" s="213"/>
      <c r="CH189" s="213"/>
      <c r="CI189" s="213"/>
      <c r="CJ189" s="213"/>
      <c r="CK189" s="213"/>
      <c r="CL189" s="213"/>
      <c r="CM189" s="213"/>
      <c r="CN189" s="213"/>
      <c r="CO189" s="213"/>
      <c r="CP189" s="213"/>
      <c r="CQ189" s="213"/>
    </row>
    <row r="190" ht="15.75" customHeight="1">
      <c r="A190" s="213"/>
      <c r="B190" s="213"/>
      <c r="C190" s="213"/>
      <c r="D190" s="213"/>
      <c r="E190" s="213"/>
      <c r="F190" s="213"/>
      <c r="G190" s="213"/>
      <c r="H190" s="213"/>
      <c r="I190" s="213"/>
      <c r="J190" s="213"/>
      <c r="K190" s="213"/>
      <c r="L190" s="213"/>
      <c r="M190" s="213"/>
      <c r="N190" s="213"/>
      <c r="O190" s="213"/>
      <c r="P190" s="213"/>
      <c r="Q190" s="238"/>
      <c r="R190" s="213"/>
      <c r="S190" s="213"/>
      <c r="T190" s="213"/>
      <c r="U190" s="213"/>
      <c r="V190" s="213"/>
      <c r="W190" s="213"/>
      <c r="X190" s="215"/>
      <c r="Y190" s="213"/>
      <c r="Z190" s="213"/>
      <c r="AA190" s="213"/>
      <c r="AB190" s="213"/>
      <c r="AC190" s="213"/>
      <c r="AD190" s="215"/>
      <c r="AE190" s="213"/>
      <c r="AF190" s="213"/>
      <c r="AG190" s="213"/>
      <c r="AH190" s="947"/>
      <c r="AI190" s="213"/>
      <c r="AJ190" s="215"/>
      <c r="AK190" s="213"/>
      <c r="AL190" s="213"/>
      <c r="AM190" s="213"/>
      <c r="AN190" s="947"/>
      <c r="AO190" s="213"/>
      <c r="AP190" s="215"/>
      <c r="AQ190" s="213"/>
      <c r="AR190" s="213"/>
      <c r="AS190" s="213"/>
      <c r="AT190" s="947"/>
      <c r="AU190" s="213"/>
      <c r="AV190" s="215"/>
      <c r="AW190" s="213"/>
      <c r="AX190" s="213"/>
      <c r="AY190" s="213"/>
      <c r="AZ190" s="947"/>
      <c r="BA190" s="213"/>
      <c r="BB190" s="215"/>
      <c r="BC190" s="213"/>
      <c r="BD190" s="213"/>
      <c r="BE190" s="213"/>
      <c r="BF190" s="947"/>
      <c r="BG190" s="213"/>
      <c r="BH190" s="215"/>
      <c r="BI190" s="213"/>
      <c r="BJ190" s="213"/>
      <c r="BK190" s="213"/>
      <c r="BL190" s="948"/>
      <c r="BM190" s="213"/>
      <c r="BN190" s="213"/>
      <c r="BO190" s="213"/>
      <c r="BP190" s="213"/>
      <c r="BQ190" s="213"/>
      <c r="BR190" s="326"/>
      <c r="BS190" s="213"/>
      <c r="BT190" s="215"/>
      <c r="BU190" s="213"/>
      <c r="BV190" s="213"/>
      <c r="BW190" s="213"/>
      <c r="BX190" s="213"/>
      <c r="BY190" s="213"/>
      <c r="BZ190" s="213"/>
      <c r="CA190" s="213"/>
      <c r="CB190" s="213"/>
      <c r="CC190" s="213"/>
      <c r="CD190" s="213"/>
      <c r="CE190" s="213"/>
      <c r="CF190" s="213"/>
      <c r="CG190" s="213"/>
      <c r="CH190" s="213"/>
      <c r="CI190" s="213"/>
      <c r="CJ190" s="213"/>
      <c r="CK190" s="213"/>
      <c r="CL190" s="213"/>
      <c r="CM190" s="213"/>
      <c r="CN190" s="213"/>
      <c r="CO190" s="213"/>
      <c r="CP190" s="213"/>
      <c r="CQ190" s="213"/>
    </row>
    <row r="191" ht="15.75" customHeight="1">
      <c r="A191" s="213"/>
      <c r="B191" s="213"/>
      <c r="C191" s="213"/>
      <c r="D191" s="213"/>
      <c r="E191" s="213"/>
      <c r="F191" s="213"/>
      <c r="G191" s="213"/>
      <c r="H191" s="213"/>
      <c r="I191" s="213"/>
      <c r="J191" s="213"/>
      <c r="K191" s="213"/>
      <c r="L191" s="213"/>
      <c r="M191" s="213"/>
      <c r="N191" s="213"/>
      <c r="O191" s="213"/>
      <c r="P191" s="213"/>
      <c r="Q191" s="238"/>
      <c r="R191" s="213"/>
      <c r="S191" s="213"/>
      <c r="T191" s="213"/>
      <c r="U191" s="213"/>
      <c r="V191" s="213"/>
      <c r="W191" s="213"/>
      <c r="X191" s="215"/>
      <c r="Y191" s="213"/>
      <c r="Z191" s="213"/>
      <c r="AA191" s="213"/>
      <c r="AB191" s="213"/>
      <c r="AC191" s="213"/>
      <c r="AD191" s="215"/>
      <c r="AE191" s="213"/>
      <c r="AF191" s="213"/>
      <c r="AG191" s="213"/>
      <c r="AH191" s="947"/>
      <c r="AI191" s="213"/>
      <c r="AJ191" s="215"/>
      <c r="AK191" s="213"/>
      <c r="AL191" s="213"/>
      <c r="AM191" s="213"/>
      <c r="AN191" s="947"/>
      <c r="AO191" s="213"/>
      <c r="AP191" s="215"/>
      <c r="AQ191" s="213"/>
      <c r="AR191" s="213"/>
      <c r="AS191" s="213"/>
      <c r="AT191" s="947"/>
      <c r="AU191" s="213"/>
      <c r="AV191" s="215"/>
      <c r="AW191" s="213"/>
      <c r="AX191" s="213"/>
      <c r="AY191" s="213"/>
      <c r="AZ191" s="947"/>
      <c r="BA191" s="213"/>
      <c r="BB191" s="215"/>
      <c r="BC191" s="213"/>
      <c r="BD191" s="213"/>
      <c r="BE191" s="213"/>
      <c r="BF191" s="947"/>
      <c r="BG191" s="213"/>
      <c r="BH191" s="215"/>
      <c r="BI191" s="213"/>
      <c r="BJ191" s="213"/>
      <c r="BK191" s="213"/>
      <c r="BL191" s="948"/>
      <c r="BM191" s="213"/>
      <c r="BN191" s="213"/>
      <c r="BO191" s="213"/>
      <c r="BP191" s="213"/>
      <c r="BQ191" s="213"/>
      <c r="BR191" s="326"/>
      <c r="BS191" s="213"/>
      <c r="BT191" s="215"/>
      <c r="BU191" s="213"/>
      <c r="BV191" s="213"/>
      <c r="BW191" s="213"/>
      <c r="BX191" s="213"/>
      <c r="BY191" s="213"/>
      <c r="BZ191" s="213"/>
      <c r="CA191" s="213"/>
      <c r="CB191" s="213"/>
      <c r="CC191" s="213"/>
      <c r="CD191" s="213"/>
      <c r="CE191" s="213"/>
      <c r="CF191" s="213"/>
      <c r="CG191" s="213"/>
      <c r="CH191" s="213"/>
      <c r="CI191" s="213"/>
      <c r="CJ191" s="213"/>
      <c r="CK191" s="213"/>
      <c r="CL191" s="213"/>
      <c r="CM191" s="213"/>
      <c r="CN191" s="213"/>
      <c r="CO191" s="213"/>
      <c r="CP191" s="213"/>
      <c r="CQ191" s="213"/>
    </row>
    <row r="192" ht="15.75" customHeight="1">
      <c r="A192" s="213"/>
      <c r="B192" s="213"/>
      <c r="C192" s="213"/>
      <c r="D192" s="213"/>
      <c r="E192" s="213"/>
      <c r="F192" s="213"/>
      <c r="G192" s="213"/>
      <c r="H192" s="213"/>
      <c r="I192" s="213"/>
      <c r="J192" s="213"/>
      <c r="K192" s="213"/>
      <c r="L192" s="213"/>
      <c r="M192" s="213"/>
      <c r="N192" s="213"/>
      <c r="O192" s="213"/>
      <c r="P192" s="213"/>
      <c r="Q192" s="238"/>
      <c r="R192" s="213"/>
      <c r="S192" s="213"/>
      <c r="T192" s="213"/>
      <c r="U192" s="213"/>
      <c r="V192" s="213"/>
      <c r="W192" s="213"/>
      <c r="X192" s="215"/>
      <c r="Y192" s="213"/>
      <c r="Z192" s="213"/>
      <c r="AA192" s="213"/>
      <c r="AB192" s="213"/>
      <c r="AC192" s="213"/>
      <c r="AD192" s="215"/>
      <c r="AE192" s="213"/>
      <c r="AF192" s="213"/>
      <c r="AG192" s="213"/>
      <c r="AH192" s="947"/>
      <c r="AI192" s="213"/>
      <c r="AJ192" s="215"/>
      <c r="AK192" s="213"/>
      <c r="AL192" s="213"/>
      <c r="AM192" s="213"/>
      <c r="AN192" s="947"/>
      <c r="AO192" s="213"/>
      <c r="AP192" s="215"/>
      <c r="AQ192" s="213"/>
      <c r="AR192" s="213"/>
      <c r="AS192" s="213"/>
      <c r="AT192" s="947"/>
      <c r="AU192" s="213"/>
      <c r="AV192" s="215"/>
      <c r="AW192" s="213"/>
      <c r="AX192" s="213"/>
      <c r="AY192" s="213"/>
      <c r="AZ192" s="947"/>
      <c r="BA192" s="213"/>
      <c r="BB192" s="215"/>
      <c r="BC192" s="213"/>
      <c r="BD192" s="213"/>
      <c r="BE192" s="213"/>
      <c r="BF192" s="947"/>
      <c r="BG192" s="213"/>
      <c r="BH192" s="215"/>
      <c r="BI192" s="213"/>
      <c r="BJ192" s="213"/>
      <c r="BK192" s="213"/>
      <c r="BL192" s="948"/>
      <c r="BM192" s="213"/>
      <c r="BN192" s="213"/>
      <c r="BO192" s="213"/>
      <c r="BP192" s="213"/>
      <c r="BQ192" s="213"/>
      <c r="BR192" s="326"/>
      <c r="BS192" s="213"/>
      <c r="BT192" s="215"/>
      <c r="BU192" s="213"/>
      <c r="BV192" s="213"/>
      <c r="BW192" s="213"/>
      <c r="BX192" s="213"/>
      <c r="BY192" s="213"/>
      <c r="BZ192" s="213"/>
      <c r="CA192" s="213"/>
      <c r="CB192" s="213"/>
      <c r="CC192" s="213"/>
      <c r="CD192" s="213"/>
      <c r="CE192" s="213"/>
      <c r="CF192" s="213"/>
      <c r="CG192" s="213"/>
      <c r="CH192" s="213"/>
      <c r="CI192" s="213"/>
      <c r="CJ192" s="213"/>
      <c r="CK192" s="213"/>
      <c r="CL192" s="213"/>
      <c r="CM192" s="213"/>
      <c r="CN192" s="213"/>
      <c r="CO192" s="213"/>
      <c r="CP192" s="213"/>
      <c r="CQ192" s="213"/>
    </row>
    <row r="193" ht="15.75" customHeight="1">
      <c r="A193" s="213"/>
      <c r="B193" s="213"/>
      <c r="C193" s="213"/>
      <c r="D193" s="213"/>
      <c r="E193" s="213"/>
      <c r="F193" s="213"/>
      <c r="G193" s="213"/>
      <c r="H193" s="213"/>
      <c r="I193" s="213"/>
      <c r="J193" s="213"/>
      <c r="K193" s="213"/>
      <c r="L193" s="213"/>
      <c r="M193" s="213"/>
      <c r="N193" s="213"/>
      <c r="O193" s="213"/>
      <c r="P193" s="213"/>
      <c r="Q193" s="238"/>
      <c r="R193" s="213"/>
      <c r="S193" s="213"/>
      <c r="T193" s="213"/>
      <c r="U193" s="213"/>
      <c r="V193" s="213"/>
      <c r="W193" s="213"/>
      <c r="X193" s="215"/>
      <c r="Y193" s="213"/>
      <c r="Z193" s="213"/>
      <c r="AA193" s="213"/>
      <c r="AB193" s="213"/>
      <c r="AC193" s="213"/>
      <c r="AD193" s="215"/>
      <c r="AE193" s="213"/>
      <c r="AF193" s="213"/>
      <c r="AG193" s="213"/>
      <c r="AH193" s="947"/>
      <c r="AI193" s="213"/>
      <c r="AJ193" s="215"/>
      <c r="AK193" s="213"/>
      <c r="AL193" s="213"/>
      <c r="AM193" s="213"/>
      <c r="AN193" s="947"/>
      <c r="AO193" s="213"/>
      <c r="AP193" s="215"/>
      <c r="AQ193" s="213"/>
      <c r="AR193" s="213"/>
      <c r="AS193" s="213"/>
      <c r="AT193" s="947"/>
      <c r="AU193" s="213"/>
      <c r="AV193" s="215"/>
      <c r="AW193" s="213"/>
      <c r="AX193" s="213"/>
      <c r="AY193" s="213"/>
      <c r="AZ193" s="947"/>
      <c r="BA193" s="213"/>
      <c r="BB193" s="215"/>
      <c r="BC193" s="213"/>
      <c r="BD193" s="213"/>
      <c r="BE193" s="213"/>
      <c r="BF193" s="947"/>
      <c r="BG193" s="213"/>
      <c r="BH193" s="215"/>
      <c r="BI193" s="213"/>
      <c r="BJ193" s="213"/>
      <c r="BK193" s="213"/>
      <c r="BL193" s="948"/>
      <c r="BM193" s="213"/>
      <c r="BN193" s="213"/>
      <c r="BO193" s="213"/>
      <c r="BP193" s="213"/>
      <c r="BQ193" s="213"/>
      <c r="BR193" s="326"/>
      <c r="BS193" s="213"/>
      <c r="BT193" s="215"/>
      <c r="BU193" s="213"/>
      <c r="BV193" s="213"/>
      <c r="BW193" s="213"/>
      <c r="BX193" s="213"/>
      <c r="BY193" s="213"/>
      <c r="BZ193" s="213"/>
      <c r="CA193" s="213"/>
      <c r="CB193" s="213"/>
      <c r="CC193" s="213"/>
      <c r="CD193" s="213"/>
      <c r="CE193" s="213"/>
      <c r="CF193" s="213"/>
      <c r="CG193" s="213"/>
      <c r="CH193" s="213"/>
      <c r="CI193" s="213"/>
      <c r="CJ193" s="213"/>
      <c r="CK193" s="213"/>
      <c r="CL193" s="213"/>
      <c r="CM193" s="213"/>
      <c r="CN193" s="213"/>
      <c r="CO193" s="213"/>
      <c r="CP193" s="213"/>
      <c r="CQ193" s="213"/>
    </row>
    <row r="194" ht="15.75" customHeight="1">
      <c r="A194" s="213"/>
      <c r="B194" s="213"/>
      <c r="C194" s="213"/>
      <c r="D194" s="213"/>
      <c r="E194" s="213"/>
      <c r="F194" s="213"/>
      <c r="G194" s="213"/>
      <c r="H194" s="213"/>
      <c r="I194" s="213"/>
      <c r="J194" s="213"/>
      <c r="K194" s="213"/>
      <c r="L194" s="213"/>
      <c r="M194" s="213"/>
      <c r="N194" s="213"/>
      <c r="O194" s="213"/>
      <c r="P194" s="213"/>
      <c r="Q194" s="238"/>
      <c r="R194" s="213"/>
      <c r="S194" s="213"/>
      <c r="T194" s="213"/>
      <c r="U194" s="213"/>
      <c r="V194" s="213"/>
      <c r="W194" s="213"/>
      <c r="X194" s="215"/>
      <c r="Y194" s="213"/>
      <c r="Z194" s="213"/>
      <c r="AA194" s="213"/>
      <c r="AB194" s="213"/>
      <c r="AC194" s="213"/>
      <c r="AD194" s="215"/>
      <c r="AE194" s="213"/>
      <c r="AF194" s="213"/>
      <c r="AG194" s="213"/>
      <c r="AH194" s="947"/>
      <c r="AI194" s="213"/>
      <c r="AJ194" s="215"/>
      <c r="AK194" s="213"/>
      <c r="AL194" s="213"/>
      <c r="AM194" s="213"/>
      <c r="AN194" s="947"/>
      <c r="AO194" s="213"/>
      <c r="AP194" s="215"/>
      <c r="AQ194" s="213"/>
      <c r="AR194" s="213"/>
      <c r="AS194" s="213"/>
      <c r="AT194" s="947"/>
      <c r="AU194" s="213"/>
      <c r="AV194" s="215"/>
      <c r="AW194" s="213"/>
      <c r="AX194" s="213"/>
      <c r="AY194" s="213"/>
      <c r="AZ194" s="947"/>
      <c r="BA194" s="213"/>
      <c r="BB194" s="215"/>
      <c r="BC194" s="213"/>
      <c r="BD194" s="213"/>
      <c r="BE194" s="213"/>
      <c r="BF194" s="947"/>
      <c r="BG194" s="213"/>
      <c r="BH194" s="215"/>
      <c r="BI194" s="213"/>
      <c r="BJ194" s="213"/>
      <c r="BK194" s="213"/>
      <c r="BL194" s="948"/>
      <c r="BM194" s="213"/>
      <c r="BN194" s="213"/>
      <c r="BO194" s="213"/>
      <c r="BP194" s="213"/>
      <c r="BQ194" s="213"/>
      <c r="BR194" s="326"/>
      <c r="BS194" s="213"/>
      <c r="BT194" s="215"/>
      <c r="BU194" s="213"/>
      <c r="BV194" s="213"/>
      <c r="BW194" s="213"/>
      <c r="BX194" s="213"/>
      <c r="BY194" s="213"/>
      <c r="BZ194" s="213"/>
      <c r="CA194" s="213"/>
      <c r="CB194" s="213"/>
      <c r="CC194" s="213"/>
      <c r="CD194" s="213"/>
      <c r="CE194" s="213"/>
      <c r="CF194" s="213"/>
      <c r="CG194" s="213"/>
      <c r="CH194" s="213"/>
      <c r="CI194" s="213"/>
      <c r="CJ194" s="213"/>
      <c r="CK194" s="213"/>
      <c r="CL194" s="213"/>
      <c r="CM194" s="213"/>
      <c r="CN194" s="213"/>
      <c r="CO194" s="213"/>
      <c r="CP194" s="213"/>
      <c r="CQ194" s="213"/>
    </row>
    <row r="195" ht="15.75" customHeight="1">
      <c r="A195" s="213"/>
      <c r="B195" s="213"/>
      <c r="C195" s="213"/>
      <c r="D195" s="213"/>
      <c r="E195" s="213"/>
      <c r="F195" s="213"/>
      <c r="G195" s="213"/>
      <c r="H195" s="213"/>
      <c r="I195" s="213"/>
      <c r="J195" s="213"/>
      <c r="K195" s="213"/>
      <c r="L195" s="213"/>
      <c r="M195" s="213"/>
      <c r="N195" s="213"/>
      <c r="O195" s="213"/>
      <c r="P195" s="213"/>
      <c r="Q195" s="238"/>
      <c r="R195" s="213"/>
      <c r="S195" s="213"/>
      <c r="T195" s="213"/>
      <c r="U195" s="213"/>
      <c r="V195" s="213"/>
      <c r="W195" s="213"/>
      <c r="X195" s="215"/>
      <c r="Y195" s="213"/>
      <c r="Z195" s="213"/>
      <c r="AA195" s="213"/>
      <c r="AB195" s="213"/>
      <c r="AC195" s="213"/>
      <c r="AD195" s="215"/>
      <c r="AE195" s="213"/>
      <c r="AF195" s="213"/>
      <c r="AG195" s="213"/>
      <c r="AH195" s="947"/>
      <c r="AI195" s="213"/>
      <c r="AJ195" s="215"/>
      <c r="AK195" s="213"/>
      <c r="AL195" s="213"/>
      <c r="AM195" s="213"/>
      <c r="AN195" s="947"/>
      <c r="AO195" s="213"/>
      <c r="AP195" s="215"/>
      <c r="AQ195" s="213"/>
      <c r="AR195" s="213"/>
      <c r="AS195" s="213"/>
      <c r="AT195" s="947"/>
      <c r="AU195" s="213"/>
      <c r="AV195" s="215"/>
      <c r="AW195" s="213"/>
      <c r="AX195" s="213"/>
      <c r="AY195" s="213"/>
      <c r="AZ195" s="947"/>
      <c r="BA195" s="213"/>
      <c r="BB195" s="215"/>
      <c r="BC195" s="213"/>
      <c r="BD195" s="213"/>
      <c r="BE195" s="213"/>
      <c r="BF195" s="947"/>
      <c r="BG195" s="213"/>
      <c r="BH195" s="215"/>
      <c r="BI195" s="213"/>
      <c r="BJ195" s="213"/>
      <c r="BK195" s="213"/>
      <c r="BL195" s="948"/>
      <c r="BM195" s="213"/>
      <c r="BN195" s="213"/>
      <c r="BO195" s="213"/>
      <c r="BP195" s="213"/>
      <c r="BQ195" s="213"/>
      <c r="BR195" s="326"/>
      <c r="BS195" s="213"/>
      <c r="BT195" s="215"/>
      <c r="BU195" s="213"/>
      <c r="BV195" s="213"/>
      <c r="BW195" s="213"/>
      <c r="BX195" s="213"/>
      <c r="BY195" s="213"/>
      <c r="BZ195" s="213"/>
      <c r="CA195" s="213"/>
      <c r="CB195" s="213"/>
      <c r="CC195" s="213"/>
      <c r="CD195" s="213"/>
      <c r="CE195" s="213"/>
      <c r="CF195" s="213"/>
      <c r="CG195" s="213"/>
      <c r="CH195" s="213"/>
      <c r="CI195" s="213"/>
      <c r="CJ195" s="213"/>
      <c r="CK195" s="213"/>
      <c r="CL195" s="213"/>
      <c r="CM195" s="213"/>
      <c r="CN195" s="213"/>
      <c r="CO195" s="213"/>
      <c r="CP195" s="213"/>
      <c r="CQ195" s="213"/>
    </row>
    <row r="196" ht="15.75" customHeight="1">
      <c r="A196" s="213"/>
      <c r="B196" s="213"/>
      <c r="C196" s="213"/>
      <c r="D196" s="213"/>
      <c r="E196" s="213"/>
      <c r="F196" s="213"/>
      <c r="G196" s="213"/>
      <c r="H196" s="213"/>
      <c r="I196" s="213"/>
      <c r="J196" s="213"/>
      <c r="K196" s="213"/>
      <c r="L196" s="213"/>
      <c r="M196" s="213"/>
      <c r="N196" s="213"/>
      <c r="O196" s="213"/>
      <c r="P196" s="213"/>
      <c r="Q196" s="238"/>
      <c r="R196" s="213"/>
      <c r="S196" s="213"/>
      <c r="T196" s="213"/>
      <c r="U196" s="213"/>
      <c r="V196" s="213"/>
      <c r="W196" s="213"/>
      <c r="X196" s="215"/>
      <c r="Y196" s="213"/>
      <c r="Z196" s="213"/>
      <c r="AA196" s="213"/>
      <c r="AB196" s="213"/>
      <c r="AC196" s="213"/>
      <c r="AD196" s="215"/>
      <c r="AE196" s="213"/>
      <c r="AF196" s="213"/>
      <c r="AG196" s="213"/>
      <c r="AH196" s="947"/>
      <c r="AI196" s="213"/>
      <c r="AJ196" s="215"/>
      <c r="AK196" s="213"/>
      <c r="AL196" s="213"/>
      <c r="AM196" s="213"/>
      <c r="AN196" s="947"/>
      <c r="AO196" s="213"/>
      <c r="AP196" s="215"/>
      <c r="AQ196" s="213"/>
      <c r="AR196" s="213"/>
      <c r="AS196" s="213"/>
      <c r="AT196" s="947"/>
      <c r="AU196" s="213"/>
      <c r="AV196" s="215"/>
      <c r="AW196" s="213"/>
      <c r="AX196" s="213"/>
      <c r="AY196" s="213"/>
      <c r="AZ196" s="947"/>
      <c r="BA196" s="213"/>
      <c r="BB196" s="215"/>
      <c r="BC196" s="213"/>
      <c r="BD196" s="213"/>
      <c r="BE196" s="213"/>
      <c r="BF196" s="947"/>
      <c r="BG196" s="213"/>
      <c r="BH196" s="215"/>
      <c r="BI196" s="213"/>
      <c r="BJ196" s="213"/>
      <c r="BK196" s="213"/>
      <c r="BL196" s="948"/>
      <c r="BM196" s="213"/>
      <c r="BN196" s="213"/>
      <c r="BO196" s="213"/>
      <c r="BP196" s="213"/>
      <c r="BQ196" s="213"/>
      <c r="BR196" s="326"/>
      <c r="BS196" s="213"/>
      <c r="BT196" s="215"/>
      <c r="BU196" s="213"/>
      <c r="BV196" s="213"/>
      <c r="BW196" s="213"/>
      <c r="BX196" s="213"/>
      <c r="BY196" s="213"/>
      <c r="BZ196" s="213"/>
      <c r="CA196" s="213"/>
      <c r="CB196" s="213"/>
      <c r="CC196" s="213"/>
      <c r="CD196" s="213"/>
      <c r="CE196" s="213"/>
      <c r="CF196" s="213"/>
      <c r="CG196" s="213"/>
      <c r="CH196" s="213"/>
      <c r="CI196" s="213"/>
      <c r="CJ196" s="213"/>
      <c r="CK196" s="213"/>
      <c r="CL196" s="213"/>
      <c r="CM196" s="213"/>
      <c r="CN196" s="213"/>
      <c r="CO196" s="213"/>
      <c r="CP196" s="213"/>
      <c r="CQ196" s="213"/>
    </row>
    <row r="197" ht="15.75" customHeight="1">
      <c r="A197" s="213"/>
      <c r="B197" s="213"/>
      <c r="C197" s="213"/>
      <c r="D197" s="213"/>
      <c r="E197" s="213"/>
      <c r="F197" s="213"/>
      <c r="G197" s="213"/>
      <c r="H197" s="213"/>
      <c r="I197" s="213"/>
      <c r="J197" s="213"/>
      <c r="K197" s="213"/>
      <c r="L197" s="213"/>
      <c r="M197" s="213"/>
      <c r="N197" s="213"/>
      <c r="O197" s="213"/>
      <c r="P197" s="213"/>
      <c r="Q197" s="238"/>
      <c r="R197" s="213"/>
      <c r="S197" s="213"/>
      <c r="T197" s="213"/>
      <c r="U197" s="213"/>
      <c r="V197" s="213"/>
      <c r="W197" s="213"/>
      <c r="X197" s="215"/>
      <c r="Y197" s="213"/>
      <c r="Z197" s="213"/>
      <c r="AA197" s="213"/>
      <c r="AB197" s="213"/>
      <c r="AC197" s="213"/>
      <c r="AD197" s="215"/>
      <c r="AE197" s="213"/>
      <c r="AF197" s="213"/>
      <c r="AG197" s="213"/>
      <c r="AH197" s="947"/>
      <c r="AI197" s="213"/>
      <c r="AJ197" s="215"/>
      <c r="AK197" s="213"/>
      <c r="AL197" s="213"/>
      <c r="AM197" s="213"/>
      <c r="AN197" s="947"/>
      <c r="AO197" s="213"/>
      <c r="AP197" s="215"/>
      <c r="AQ197" s="213"/>
      <c r="AR197" s="213"/>
      <c r="AS197" s="213"/>
      <c r="AT197" s="947"/>
      <c r="AU197" s="213"/>
      <c r="AV197" s="215"/>
      <c r="AW197" s="213"/>
      <c r="AX197" s="213"/>
      <c r="AY197" s="213"/>
      <c r="AZ197" s="947"/>
      <c r="BA197" s="213"/>
      <c r="BB197" s="215"/>
      <c r="BC197" s="213"/>
      <c r="BD197" s="213"/>
      <c r="BE197" s="213"/>
      <c r="BF197" s="947"/>
      <c r="BG197" s="213"/>
      <c r="BH197" s="215"/>
      <c r="BI197" s="213"/>
      <c r="BJ197" s="213"/>
      <c r="BK197" s="213"/>
      <c r="BL197" s="948"/>
      <c r="BM197" s="213"/>
      <c r="BN197" s="213"/>
      <c r="BO197" s="213"/>
      <c r="BP197" s="213"/>
      <c r="BQ197" s="213"/>
      <c r="BR197" s="326"/>
      <c r="BS197" s="213"/>
      <c r="BT197" s="215"/>
      <c r="BU197" s="213"/>
      <c r="BV197" s="213"/>
      <c r="BW197" s="213"/>
      <c r="BX197" s="213"/>
      <c r="BY197" s="213"/>
      <c r="BZ197" s="213"/>
      <c r="CA197" s="213"/>
      <c r="CB197" s="213"/>
      <c r="CC197" s="213"/>
      <c r="CD197" s="213"/>
      <c r="CE197" s="213"/>
      <c r="CF197" s="213"/>
      <c r="CG197" s="213"/>
      <c r="CH197" s="213"/>
      <c r="CI197" s="213"/>
      <c r="CJ197" s="213"/>
      <c r="CK197" s="213"/>
      <c r="CL197" s="213"/>
      <c r="CM197" s="213"/>
      <c r="CN197" s="213"/>
      <c r="CO197" s="213"/>
      <c r="CP197" s="213"/>
      <c r="CQ197" s="213"/>
    </row>
    <row r="198" ht="15.75" customHeight="1">
      <c r="A198" s="213"/>
      <c r="B198" s="213"/>
      <c r="C198" s="213"/>
      <c r="D198" s="213"/>
      <c r="E198" s="213"/>
      <c r="F198" s="213"/>
      <c r="G198" s="213"/>
      <c r="H198" s="213"/>
      <c r="I198" s="213"/>
      <c r="J198" s="213"/>
      <c r="K198" s="213"/>
      <c r="L198" s="213"/>
      <c r="M198" s="213"/>
      <c r="N198" s="213"/>
      <c r="O198" s="213"/>
      <c r="P198" s="213"/>
      <c r="Q198" s="238"/>
      <c r="R198" s="213"/>
      <c r="S198" s="213"/>
      <c r="T198" s="213"/>
      <c r="U198" s="213"/>
      <c r="V198" s="213"/>
      <c r="W198" s="213"/>
      <c r="X198" s="215"/>
      <c r="Y198" s="213"/>
      <c r="Z198" s="213"/>
      <c r="AA198" s="213"/>
      <c r="AB198" s="213"/>
      <c r="AC198" s="213"/>
      <c r="AD198" s="215"/>
      <c r="AE198" s="213"/>
      <c r="AF198" s="213"/>
      <c r="AG198" s="213"/>
      <c r="AH198" s="947"/>
      <c r="AI198" s="213"/>
      <c r="AJ198" s="215"/>
      <c r="AK198" s="213"/>
      <c r="AL198" s="213"/>
      <c r="AM198" s="213"/>
      <c r="AN198" s="947"/>
      <c r="AO198" s="213"/>
      <c r="AP198" s="215"/>
      <c r="AQ198" s="213"/>
      <c r="AR198" s="213"/>
      <c r="AS198" s="213"/>
      <c r="AT198" s="947"/>
      <c r="AU198" s="213"/>
      <c r="AV198" s="215"/>
      <c r="AW198" s="213"/>
      <c r="AX198" s="213"/>
      <c r="AY198" s="213"/>
      <c r="AZ198" s="947"/>
      <c r="BA198" s="213"/>
      <c r="BB198" s="215"/>
      <c r="BC198" s="213"/>
      <c r="BD198" s="213"/>
      <c r="BE198" s="213"/>
      <c r="BF198" s="947"/>
      <c r="BG198" s="213"/>
      <c r="BH198" s="215"/>
      <c r="BI198" s="213"/>
      <c r="BJ198" s="213"/>
      <c r="BK198" s="213"/>
      <c r="BL198" s="948"/>
      <c r="BM198" s="213"/>
      <c r="BN198" s="213"/>
      <c r="BO198" s="213"/>
      <c r="BP198" s="213"/>
      <c r="BQ198" s="213"/>
      <c r="BR198" s="326"/>
      <c r="BS198" s="213"/>
      <c r="BT198" s="215"/>
      <c r="BU198" s="213"/>
      <c r="BV198" s="213"/>
      <c r="BW198" s="213"/>
      <c r="BX198" s="213"/>
      <c r="BY198" s="213"/>
      <c r="BZ198" s="213"/>
      <c r="CA198" s="213"/>
      <c r="CB198" s="213"/>
      <c r="CC198" s="213"/>
      <c r="CD198" s="213"/>
      <c r="CE198" s="213"/>
      <c r="CF198" s="213"/>
      <c r="CG198" s="213"/>
      <c r="CH198" s="213"/>
      <c r="CI198" s="213"/>
      <c r="CJ198" s="213"/>
      <c r="CK198" s="213"/>
      <c r="CL198" s="213"/>
      <c r="CM198" s="213"/>
      <c r="CN198" s="213"/>
      <c r="CO198" s="213"/>
      <c r="CP198" s="213"/>
      <c r="CQ198" s="213"/>
    </row>
    <row r="199" ht="15.75" customHeight="1">
      <c r="A199" s="213"/>
      <c r="B199" s="213"/>
      <c r="C199" s="213"/>
      <c r="D199" s="213"/>
      <c r="E199" s="213"/>
      <c r="F199" s="213"/>
      <c r="G199" s="213"/>
      <c r="H199" s="213"/>
      <c r="I199" s="213"/>
      <c r="J199" s="213"/>
      <c r="K199" s="213"/>
      <c r="L199" s="213"/>
      <c r="M199" s="213"/>
      <c r="N199" s="213"/>
      <c r="O199" s="213"/>
      <c r="P199" s="213"/>
      <c r="Q199" s="238"/>
      <c r="R199" s="213"/>
      <c r="S199" s="213"/>
      <c r="T199" s="213"/>
      <c r="U199" s="213"/>
      <c r="V199" s="213"/>
      <c r="W199" s="213"/>
      <c r="X199" s="215"/>
      <c r="Y199" s="213"/>
      <c r="Z199" s="213"/>
      <c r="AA199" s="213"/>
      <c r="AB199" s="213"/>
      <c r="AC199" s="213"/>
      <c r="AD199" s="215"/>
      <c r="AE199" s="213"/>
      <c r="AF199" s="213"/>
      <c r="AG199" s="213"/>
      <c r="AH199" s="947"/>
      <c r="AI199" s="213"/>
      <c r="AJ199" s="215"/>
      <c r="AK199" s="213"/>
      <c r="AL199" s="213"/>
      <c r="AM199" s="213"/>
      <c r="AN199" s="947"/>
      <c r="AO199" s="213"/>
      <c r="AP199" s="215"/>
      <c r="AQ199" s="213"/>
      <c r="AR199" s="213"/>
      <c r="AS199" s="213"/>
      <c r="AT199" s="947"/>
      <c r="AU199" s="213"/>
      <c r="AV199" s="215"/>
      <c r="AW199" s="213"/>
      <c r="AX199" s="213"/>
      <c r="AY199" s="213"/>
      <c r="AZ199" s="947"/>
      <c r="BA199" s="213"/>
      <c r="BB199" s="215"/>
      <c r="BC199" s="213"/>
      <c r="BD199" s="213"/>
      <c r="BE199" s="213"/>
      <c r="BF199" s="947"/>
      <c r="BG199" s="213"/>
      <c r="BH199" s="215"/>
      <c r="BI199" s="213"/>
      <c r="BJ199" s="213"/>
      <c r="BK199" s="213"/>
      <c r="BL199" s="948"/>
      <c r="BM199" s="213"/>
      <c r="BN199" s="213"/>
      <c r="BO199" s="213"/>
      <c r="BP199" s="213"/>
      <c r="BQ199" s="213"/>
      <c r="BR199" s="326"/>
      <c r="BS199" s="213"/>
      <c r="BT199" s="215"/>
      <c r="BU199" s="213"/>
      <c r="BV199" s="213"/>
      <c r="BW199" s="213"/>
      <c r="BX199" s="213"/>
      <c r="BY199" s="213"/>
      <c r="BZ199" s="213"/>
      <c r="CA199" s="213"/>
      <c r="CB199" s="213"/>
      <c r="CC199" s="213"/>
      <c r="CD199" s="213"/>
      <c r="CE199" s="213"/>
      <c r="CF199" s="213"/>
      <c r="CG199" s="213"/>
      <c r="CH199" s="213"/>
      <c r="CI199" s="213"/>
      <c r="CJ199" s="213"/>
      <c r="CK199" s="213"/>
      <c r="CL199" s="213"/>
      <c r="CM199" s="213"/>
      <c r="CN199" s="213"/>
      <c r="CO199" s="213"/>
      <c r="CP199" s="213"/>
      <c r="CQ199" s="213"/>
    </row>
    <row r="200" ht="15.75" customHeight="1">
      <c r="A200" s="213"/>
      <c r="B200" s="213"/>
      <c r="C200" s="213"/>
      <c r="D200" s="213"/>
      <c r="E200" s="213"/>
      <c r="F200" s="213"/>
      <c r="G200" s="213"/>
      <c r="H200" s="213"/>
      <c r="I200" s="213"/>
      <c r="J200" s="213"/>
      <c r="K200" s="213"/>
      <c r="L200" s="213"/>
      <c r="M200" s="213"/>
      <c r="N200" s="213"/>
      <c r="O200" s="213"/>
      <c r="P200" s="213"/>
      <c r="Q200" s="238"/>
      <c r="R200" s="213"/>
      <c r="S200" s="213"/>
      <c r="T200" s="213"/>
      <c r="U200" s="213"/>
      <c r="V200" s="213"/>
      <c r="W200" s="213"/>
      <c r="X200" s="215"/>
      <c r="Y200" s="213"/>
      <c r="Z200" s="213"/>
      <c r="AA200" s="213"/>
      <c r="AB200" s="213"/>
      <c r="AC200" s="213"/>
      <c r="AD200" s="215"/>
      <c r="AE200" s="213"/>
      <c r="AF200" s="213"/>
      <c r="AG200" s="213"/>
      <c r="AH200" s="947"/>
      <c r="AI200" s="213"/>
      <c r="AJ200" s="215"/>
      <c r="AK200" s="213"/>
      <c r="AL200" s="213"/>
      <c r="AM200" s="213"/>
      <c r="AN200" s="947"/>
      <c r="AO200" s="213"/>
      <c r="AP200" s="215"/>
      <c r="AQ200" s="213"/>
      <c r="AR200" s="213"/>
      <c r="AS200" s="213"/>
      <c r="AT200" s="947"/>
      <c r="AU200" s="213"/>
      <c r="AV200" s="215"/>
      <c r="AW200" s="213"/>
      <c r="AX200" s="213"/>
      <c r="AY200" s="213"/>
      <c r="AZ200" s="947"/>
      <c r="BA200" s="213"/>
      <c r="BB200" s="215"/>
      <c r="BC200" s="213"/>
      <c r="BD200" s="213"/>
      <c r="BE200" s="213"/>
      <c r="BF200" s="947"/>
      <c r="BG200" s="213"/>
      <c r="BH200" s="215"/>
      <c r="BI200" s="213"/>
      <c r="BJ200" s="213"/>
      <c r="BK200" s="213"/>
      <c r="BL200" s="948"/>
      <c r="BM200" s="213"/>
      <c r="BN200" s="213"/>
      <c r="BO200" s="213"/>
      <c r="BP200" s="213"/>
      <c r="BQ200" s="213"/>
      <c r="BR200" s="326"/>
      <c r="BS200" s="213"/>
      <c r="BT200" s="215"/>
      <c r="BU200" s="213"/>
      <c r="BV200" s="213"/>
      <c r="BW200" s="213"/>
      <c r="BX200" s="213"/>
      <c r="BY200" s="213"/>
      <c r="BZ200" s="213"/>
      <c r="CA200" s="213"/>
      <c r="CB200" s="213"/>
      <c r="CC200" s="213"/>
      <c r="CD200" s="213"/>
      <c r="CE200" s="213"/>
      <c r="CF200" s="213"/>
      <c r="CG200" s="213"/>
      <c r="CH200" s="213"/>
      <c r="CI200" s="213"/>
      <c r="CJ200" s="213"/>
      <c r="CK200" s="213"/>
      <c r="CL200" s="213"/>
      <c r="CM200" s="213"/>
      <c r="CN200" s="213"/>
      <c r="CO200" s="213"/>
      <c r="CP200" s="213"/>
      <c r="CQ200" s="213"/>
    </row>
    <row r="201" ht="15.75" customHeight="1">
      <c r="A201" s="213"/>
      <c r="B201" s="213"/>
      <c r="C201" s="213"/>
      <c r="D201" s="213"/>
      <c r="E201" s="213"/>
      <c r="F201" s="213"/>
      <c r="G201" s="213"/>
      <c r="H201" s="213"/>
      <c r="I201" s="213"/>
      <c r="J201" s="213"/>
      <c r="K201" s="213"/>
      <c r="L201" s="213"/>
      <c r="M201" s="213"/>
      <c r="N201" s="213"/>
      <c r="O201" s="213"/>
      <c r="P201" s="213"/>
      <c r="Q201" s="238"/>
      <c r="R201" s="213"/>
      <c r="S201" s="213"/>
      <c r="T201" s="213"/>
      <c r="U201" s="213"/>
      <c r="V201" s="213"/>
      <c r="W201" s="213"/>
      <c r="X201" s="215"/>
      <c r="Y201" s="213"/>
      <c r="Z201" s="213"/>
      <c r="AA201" s="213"/>
      <c r="AB201" s="213"/>
      <c r="AC201" s="213"/>
      <c r="AD201" s="215"/>
      <c r="AE201" s="213"/>
      <c r="AF201" s="213"/>
      <c r="AG201" s="213"/>
      <c r="AH201" s="947"/>
      <c r="AI201" s="213"/>
      <c r="AJ201" s="215"/>
      <c r="AK201" s="213"/>
      <c r="AL201" s="213"/>
      <c r="AM201" s="213"/>
      <c r="AN201" s="947"/>
      <c r="AO201" s="213"/>
      <c r="AP201" s="215"/>
      <c r="AQ201" s="213"/>
      <c r="AR201" s="213"/>
      <c r="AS201" s="213"/>
      <c r="AT201" s="947"/>
      <c r="AU201" s="213"/>
      <c r="AV201" s="215"/>
      <c r="AW201" s="213"/>
      <c r="AX201" s="213"/>
      <c r="AY201" s="213"/>
      <c r="AZ201" s="947"/>
      <c r="BA201" s="213"/>
      <c r="BB201" s="215"/>
      <c r="BC201" s="213"/>
      <c r="BD201" s="213"/>
      <c r="BE201" s="213"/>
      <c r="BF201" s="947"/>
      <c r="BG201" s="213"/>
      <c r="BH201" s="215"/>
      <c r="BI201" s="213"/>
      <c r="BJ201" s="213"/>
      <c r="BK201" s="213"/>
      <c r="BL201" s="948"/>
      <c r="BM201" s="213"/>
      <c r="BN201" s="213"/>
      <c r="BO201" s="213"/>
      <c r="BP201" s="213"/>
      <c r="BQ201" s="213"/>
      <c r="BR201" s="326"/>
      <c r="BS201" s="213"/>
      <c r="BT201" s="215"/>
      <c r="BU201" s="213"/>
      <c r="BV201" s="213"/>
      <c r="BW201" s="213"/>
      <c r="BX201" s="213"/>
      <c r="BY201" s="213"/>
      <c r="BZ201" s="213"/>
      <c r="CA201" s="213"/>
      <c r="CB201" s="213"/>
      <c r="CC201" s="213"/>
      <c r="CD201" s="213"/>
      <c r="CE201" s="213"/>
      <c r="CF201" s="213"/>
      <c r="CG201" s="213"/>
      <c r="CH201" s="213"/>
      <c r="CI201" s="213"/>
      <c r="CJ201" s="213"/>
      <c r="CK201" s="213"/>
      <c r="CL201" s="213"/>
      <c r="CM201" s="213"/>
      <c r="CN201" s="213"/>
      <c r="CO201" s="213"/>
      <c r="CP201" s="213"/>
      <c r="CQ201" s="213"/>
    </row>
    <row r="202" ht="15.75" customHeight="1">
      <c r="A202" s="213"/>
      <c r="B202" s="213"/>
      <c r="C202" s="213"/>
      <c r="D202" s="213"/>
      <c r="E202" s="213"/>
      <c r="F202" s="213"/>
      <c r="G202" s="213"/>
      <c r="H202" s="213"/>
      <c r="I202" s="213"/>
      <c r="J202" s="213"/>
      <c r="K202" s="213"/>
      <c r="L202" s="213"/>
      <c r="M202" s="213"/>
      <c r="N202" s="213"/>
      <c r="O202" s="213"/>
      <c r="P202" s="213"/>
      <c r="Q202" s="238"/>
      <c r="R202" s="213"/>
      <c r="S202" s="213"/>
      <c r="T202" s="213"/>
      <c r="U202" s="213"/>
      <c r="V202" s="213"/>
      <c r="W202" s="213"/>
      <c r="X202" s="215"/>
      <c r="Y202" s="213"/>
      <c r="Z202" s="213"/>
      <c r="AA202" s="213"/>
      <c r="AB202" s="213"/>
      <c r="AC202" s="213"/>
      <c r="AD202" s="215"/>
      <c r="AE202" s="213"/>
      <c r="AF202" s="213"/>
      <c r="AG202" s="213"/>
      <c r="AH202" s="947"/>
      <c r="AI202" s="213"/>
      <c r="AJ202" s="215"/>
      <c r="AK202" s="213"/>
      <c r="AL202" s="213"/>
      <c r="AM202" s="213"/>
      <c r="AN202" s="947"/>
      <c r="AO202" s="213"/>
      <c r="AP202" s="215"/>
      <c r="AQ202" s="213"/>
      <c r="AR202" s="213"/>
      <c r="AS202" s="213"/>
      <c r="AT202" s="947"/>
      <c r="AU202" s="213"/>
      <c r="AV202" s="215"/>
      <c r="AW202" s="213"/>
      <c r="AX202" s="213"/>
      <c r="AY202" s="213"/>
      <c r="AZ202" s="947"/>
      <c r="BA202" s="213"/>
      <c r="BB202" s="215"/>
      <c r="BC202" s="213"/>
      <c r="BD202" s="213"/>
      <c r="BE202" s="213"/>
      <c r="BF202" s="947"/>
      <c r="BG202" s="213"/>
      <c r="BH202" s="215"/>
      <c r="BI202" s="213"/>
      <c r="BJ202" s="213"/>
      <c r="BK202" s="213"/>
      <c r="BL202" s="948"/>
      <c r="BM202" s="213"/>
      <c r="BN202" s="213"/>
      <c r="BO202" s="213"/>
      <c r="BP202" s="213"/>
      <c r="BQ202" s="213"/>
      <c r="BR202" s="326"/>
      <c r="BS202" s="213"/>
      <c r="BT202" s="215"/>
      <c r="BU202" s="213"/>
      <c r="BV202" s="213"/>
      <c r="BW202" s="213"/>
      <c r="BX202" s="213"/>
      <c r="BY202" s="213"/>
      <c r="BZ202" s="213"/>
      <c r="CA202" s="213"/>
      <c r="CB202" s="213"/>
      <c r="CC202" s="213"/>
      <c r="CD202" s="213"/>
      <c r="CE202" s="213"/>
      <c r="CF202" s="213"/>
      <c r="CG202" s="213"/>
      <c r="CH202" s="213"/>
      <c r="CI202" s="213"/>
      <c r="CJ202" s="213"/>
      <c r="CK202" s="213"/>
      <c r="CL202" s="213"/>
      <c r="CM202" s="213"/>
      <c r="CN202" s="213"/>
      <c r="CO202" s="213"/>
      <c r="CP202" s="213"/>
      <c r="CQ202" s="213"/>
    </row>
    <row r="203" ht="15.75" customHeight="1">
      <c r="A203" s="213"/>
      <c r="B203" s="213"/>
      <c r="C203" s="213"/>
      <c r="D203" s="213"/>
      <c r="E203" s="213"/>
      <c r="F203" s="213"/>
      <c r="G203" s="213"/>
      <c r="H203" s="213"/>
      <c r="I203" s="213"/>
      <c r="J203" s="213"/>
      <c r="K203" s="213"/>
      <c r="L203" s="213"/>
      <c r="M203" s="213"/>
      <c r="N203" s="213"/>
      <c r="O203" s="213"/>
      <c r="P203" s="213"/>
      <c r="Q203" s="238"/>
      <c r="R203" s="213"/>
      <c r="S203" s="213"/>
      <c r="T203" s="213"/>
      <c r="U203" s="213"/>
      <c r="V203" s="213"/>
      <c r="W203" s="213"/>
      <c r="X203" s="215"/>
      <c r="Y203" s="213"/>
      <c r="Z203" s="213"/>
      <c r="AA203" s="213"/>
      <c r="AB203" s="213"/>
      <c r="AC203" s="213"/>
      <c r="AD203" s="215"/>
      <c r="AE203" s="213"/>
      <c r="AF203" s="213"/>
      <c r="AG203" s="213"/>
      <c r="AH203" s="947"/>
      <c r="AI203" s="213"/>
      <c r="AJ203" s="215"/>
      <c r="AK203" s="213"/>
      <c r="AL203" s="213"/>
      <c r="AM203" s="213"/>
      <c r="AN203" s="947"/>
      <c r="AO203" s="213"/>
      <c r="AP203" s="215"/>
      <c r="AQ203" s="213"/>
      <c r="AR203" s="213"/>
      <c r="AS203" s="213"/>
      <c r="AT203" s="947"/>
      <c r="AU203" s="213"/>
      <c r="AV203" s="215"/>
      <c r="AW203" s="213"/>
      <c r="AX203" s="213"/>
      <c r="AY203" s="213"/>
      <c r="AZ203" s="947"/>
      <c r="BA203" s="213"/>
      <c r="BB203" s="215"/>
      <c r="BC203" s="213"/>
      <c r="BD203" s="213"/>
      <c r="BE203" s="213"/>
      <c r="BF203" s="947"/>
      <c r="BG203" s="213"/>
      <c r="BH203" s="215"/>
      <c r="BI203" s="213"/>
      <c r="BJ203" s="213"/>
      <c r="BK203" s="213"/>
      <c r="BL203" s="948"/>
      <c r="BM203" s="213"/>
      <c r="BN203" s="213"/>
      <c r="BO203" s="213"/>
      <c r="BP203" s="213"/>
      <c r="BQ203" s="213"/>
      <c r="BR203" s="326"/>
      <c r="BS203" s="213"/>
      <c r="BT203" s="215"/>
      <c r="BU203" s="213"/>
      <c r="BV203" s="213"/>
      <c r="BW203" s="213"/>
      <c r="BX203" s="213"/>
      <c r="BY203" s="213"/>
      <c r="BZ203" s="213"/>
      <c r="CA203" s="213"/>
      <c r="CB203" s="213"/>
      <c r="CC203" s="213"/>
      <c r="CD203" s="213"/>
      <c r="CE203" s="213"/>
      <c r="CF203" s="213"/>
      <c r="CG203" s="213"/>
      <c r="CH203" s="213"/>
      <c r="CI203" s="213"/>
      <c r="CJ203" s="213"/>
      <c r="CK203" s="213"/>
      <c r="CL203" s="213"/>
      <c r="CM203" s="213"/>
      <c r="CN203" s="213"/>
      <c r="CO203" s="213"/>
      <c r="CP203" s="213"/>
      <c r="CQ203" s="213"/>
    </row>
    <row r="204" ht="15.75" customHeight="1">
      <c r="A204" s="213"/>
      <c r="B204" s="213"/>
      <c r="C204" s="213"/>
      <c r="D204" s="213"/>
      <c r="E204" s="213"/>
      <c r="F204" s="213"/>
      <c r="G204" s="213"/>
      <c r="H204" s="213"/>
      <c r="I204" s="213"/>
      <c r="J204" s="213"/>
      <c r="K204" s="213"/>
      <c r="L204" s="213"/>
      <c r="M204" s="213"/>
      <c r="N204" s="213"/>
      <c r="O204" s="213"/>
      <c r="P204" s="213"/>
      <c r="Q204" s="238"/>
      <c r="R204" s="213"/>
      <c r="S204" s="213"/>
      <c r="T204" s="213"/>
      <c r="U204" s="213"/>
      <c r="V204" s="213"/>
      <c r="W204" s="213"/>
      <c r="X204" s="215"/>
      <c r="Y204" s="213"/>
      <c r="Z204" s="213"/>
      <c r="AA204" s="213"/>
      <c r="AB204" s="213"/>
      <c r="AC204" s="213"/>
      <c r="AD204" s="215"/>
      <c r="AE204" s="213"/>
      <c r="AF204" s="213"/>
      <c r="AG204" s="213"/>
      <c r="AH204" s="947"/>
      <c r="AI204" s="213"/>
      <c r="AJ204" s="215"/>
      <c r="AK204" s="213"/>
      <c r="AL204" s="213"/>
      <c r="AM204" s="213"/>
      <c r="AN204" s="947"/>
      <c r="AO204" s="213"/>
      <c r="AP204" s="215"/>
      <c r="AQ204" s="213"/>
      <c r="AR204" s="213"/>
      <c r="AS204" s="213"/>
      <c r="AT204" s="947"/>
      <c r="AU204" s="213"/>
      <c r="AV204" s="215"/>
      <c r="AW204" s="213"/>
      <c r="AX204" s="213"/>
      <c r="AY204" s="213"/>
      <c r="AZ204" s="947"/>
      <c r="BA204" s="213"/>
      <c r="BB204" s="215"/>
      <c r="BC204" s="213"/>
      <c r="BD204" s="213"/>
      <c r="BE204" s="213"/>
      <c r="BF204" s="947"/>
      <c r="BG204" s="213"/>
      <c r="BH204" s="215"/>
      <c r="BI204" s="213"/>
      <c r="BJ204" s="213"/>
      <c r="BK204" s="213"/>
      <c r="BL204" s="948"/>
      <c r="BM204" s="213"/>
      <c r="BN204" s="213"/>
      <c r="BO204" s="213"/>
      <c r="BP204" s="213"/>
      <c r="BQ204" s="213"/>
      <c r="BR204" s="326"/>
      <c r="BS204" s="213"/>
      <c r="BT204" s="215"/>
      <c r="BU204" s="213"/>
      <c r="BV204" s="213"/>
      <c r="BW204" s="213"/>
      <c r="BX204" s="213"/>
      <c r="BY204" s="213"/>
      <c r="BZ204" s="213"/>
      <c r="CA204" s="213"/>
      <c r="CB204" s="213"/>
      <c r="CC204" s="213"/>
      <c r="CD204" s="213"/>
      <c r="CE204" s="213"/>
      <c r="CF204" s="213"/>
      <c r="CG204" s="213"/>
      <c r="CH204" s="213"/>
      <c r="CI204" s="213"/>
      <c r="CJ204" s="213"/>
      <c r="CK204" s="213"/>
      <c r="CL204" s="213"/>
      <c r="CM204" s="213"/>
      <c r="CN204" s="213"/>
      <c r="CO204" s="213"/>
      <c r="CP204" s="213"/>
      <c r="CQ204" s="213"/>
    </row>
    <row r="205" ht="15.75" customHeight="1">
      <c r="A205" s="213"/>
      <c r="B205" s="213"/>
      <c r="C205" s="213"/>
      <c r="D205" s="213"/>
      <c r="E205" s="213"/>
      <c r="F205" s="213"/>
      <c r="G205" s="213"/>
      <c r="H205" s="213"/>
      <c r="I205" s="213"/>
      <c r="J205" s="213"/>
      <c r="K205" s="213"/>
      <c r="L205" s="213"/>
      <c r="M205" s="213"/>
      <c r="N205" s="213"/>
      <c r="O205" s="213"/>
      <c r="P205" s="213"/>
      <c r="Q205" s="238"/>
      <c r="R205" s="213"/>
      <c r="S205" s="213"/>
      <c r="T205" s="213"/>
      <c r="U205" s="213"/>
      <c r="V205" s="213"/>
      <c r="W205" s="213"/>
      <c r="X205" s="215"/>
      <c r="Y205" s="213"/>
      <c r="Z205" s="213"/>
      <c r="AA205" s="213"/>
      <c r="AB205" s="213"/>
      <c r="AC205" s="213"/>
      <c r="AD205" s="215"/>
      <c r="AE205" s="213"/>
      <c r="AF205" s="213"/>
      <c r="AG205" s="213"/>
      <c r="AH205" s="947"/>
      <c r="AI205" s="213"/>
      <c r="AJ205" s="215"/>
      <c r="AK205" s="213"/>
      <c r="AL205" s="213"/>
      <c r="AM205" s="213"/>
      <c r="AN205" s="947"/>
      <c r="AO205" s="213"/>
      <c r="AP205" s="215"/>
      <c r="AQ205" s="213"/>
      <c r="AR205" s="213"/>
      <c r="AS205" s="213"/>
      <c r="AT205" s="947"/>
      <c r="AU205" s="213"/>
      <c r="AV205" s="215"/>
      <c r="AW205" s="213"/>
      <c r="AX205" s="213"/>
      <c r="AY205" s="213"/>
      <c r="AZ205" s="947"/>
      <c r="BA205" s="213"/>
      <c r="BB205" s="215"/>
      <c r="BC205" s="213"/>
      <c r="BD205" s="213"/>
      <c r="BE205" s="213"/>
      <c r="BF205" s="947"/>
      <c r="BG205" s="213"/>
      <c r="BH205" s="215"/>
      <c r="BI205" s="213"/>
      <c r="BJ205" s="213"/>
      <c r="BK205" s="213"/>
      <c r="BL205" s="948"/>
      <c r="BM205" s="213"/>
      <c r="BN205" s="213"/>
      <c r="BO205" s="213"/>
      <c r="BP205" s="213"/>
      <c r="BQ205" s="213"/>
      <c r="BR205" s="326"/>
      <c r="BS205" s="213"/>
      <c r="BT205" s="215"/>
      <c r="BU205" s="213"/>
      <c r="BV205" s="213"/>
      <c r="BW205" s="213"/>
      <c r="BX205" s="213"/>
      <c r="BY205" s="213"/>
      <c r="BZ205" s="213"/>
      <c r="CA205" s="213"/>
      <c r="CB205" s="213"/>
      <c r="CC205" s="213"/>
      <c r="CD205" s="213"/>
      <c r="CE205" s="213"/>
      <c r="CF205" s="213"/>
      <c r="CG205" s="213"/>
      <c r="CH205" s="213"/>
      <c r="CI205" s="213"/>
      <c r="CJ205" s="213"/>
      <c r="CK205" s="213"/>
      <c r="CL205" s="213"/>
      <c r="CM205" s="213"/>
      <c r="CN205" s="213"/>
      <c r="CO205" s="213"/>
      <c r="CP205" s="213"/>
      <c r="CQ205" s="213"/>
    </row>
    <row r="206" ht="15.75" customHeight="1">
      <c r="A206" s="213"/>
      <c r="B206" s="213"/>
      <c r="C206" s="213"/>
      <c r="D206" s="213"/>
      <c r="E206" s="213"/>
      <c r="F206" s="213"/>
      <c r="G206" s="213"/>
      <c r="H206" s="213"/>
      <c r="I206" s="213"/>
      <c r="J206" s="213"/>
      <c r="K206" s="213"/>
      <c r="L206" s="213"/>
      <c r="M206" s="213"/>
      <c r="N206" s="213"/>
      <c r="O206" s="213"/>
      <c r="P206" s="213"/>
      <c r="Q206" s="238"/>
      <c r="R206" s="213"/>
      <c r="S206" s="213"/>
      <c r="T206" s="213"/>
      <c r="U206" s="213"/>
      <c r="V206" s="213"/>
      <c r="W206" s="213"/>
      <c r="X206" s="215"/>
      <c r="Y206" s="213"/>
      <c r="Z206" s="213"/>
      <c r="AA206" s="213"/>
      <c r="AB206" s="213"/>
      <c r="AC206" s="213"/>
      <c r="AD206" s="215"/>
      <c r="AE206" s="213"/>
      <c r="AF206" s="213"/>
      <c r="AG206" s="213"/>
      <c r="AH206" s="947"/>
      <c r="AI206" s="213"/>
      <c r="AJ206" s="215"/>
      <c r="AK206" s="213"/>
      <c r="AL206" s="213"/>
      <c r="AM206" s="213"/>
      <c r="AN206" s="947"/>
      <c r="AO206" s="213"/>
      <c r="AP206" s="215"/>
      <c r="AQ206" s="213"/>
      <c r="AR206" s="213"/>
      <c r="AS206" s="213"/>
      <c r="AT206" s="947"/>
      <c r="AU206" s="213"/>
      <c r="AV206" s="215"/>
      <c r="AW206" s="213"/>
      <c r="AX206" s="213"/>
      <c r="AY206" s="213"/>
      <c r="AZ206" s="947"/>
      <c r="BA206" s="213"/>
      <c r="BB206" s="215"/>
      <c r="BC206" s="213"/>
      <c r="BD206" s="213"/>
      <c r="BE206" s="213"/>
      <c r="BF206" s="947"/>
      <c r="BG206" s="213"/>
      <c r="BH206" s="215"/>
      <c r="BI206" s="213"/>
      <c r="BJ206" s="213"/>
      <c r="BK206" s="213"/>
      <c r="BL206" s="948"/>
      <c r="BM206" s="213"/>
      <c r="BN206" s="213"/>
      <c r="BO206" s="213"/>
      <c r="BP206" s="213"/>
      <c r="BQ206" s="213"/>
      <c r="BR206" s="326"/>
      <c r="BS206" s="213"/>
      <c r="BT206" s="215"/>
      <c r="BU206" s="213"/>
      <c r="BV206" s="213"/>
      <c r="BW206" s="213"/>
      <c r="BX206" s="213"/>
      <c r="BY206" s="213"/>
      <c r="BZ206" s="213"/>
      <c r="CA206" s="213"/>
      <c r="CB206" s="213"/>
      <c r="CC206" s="213"/>
      <c r="CD206" s="213"/>
      <c r="CE206" s="213"/>
      <c r="CF206" s="213"/>
      <c r="CG206" s="213"/>
      <c r="CH206" s="213"/>
      <c r="CI206" s="213"/>
      <c r="CJ206" s="213"/>
      <c r="CK206" s="213"/>
      <c r="CL206" s="213"/>
      <c r="CM206" s="213"/>
      <c r="CN206" s="213"/>
      <c r="CO206" s="213"/>
      <c r="CP206" s="213"/>
      <c r="CQ206" s="213"/>
    </row>
    <row r="207" ht="15.75" customHeight="1">
      <c r="A207" s="213"/>
      <c r="B207" s="213"/>
      <c r="C207" s="213"/>
      <c r="D207" s="213"/>
      <c r="E207" s="213"/>
      <c r="F207" s="213"/>
      <c r="G207" s="213"/>
      <c r="H207" s="213"/>
      <c r="I207" s="213"/>
      <c r="J207" s="213"/>
      <c r="K207" s="213"/>
      <c r="L207" s="213"/>
      <c r="M207" s="213"/>
      <c r="N207" s="213"/>
      <c r="O207" s="213"/>
      <c r="P207" s="213"/>
      <c r="Q207" s="238"/>
      <c r="R207" s="213"/>
      <c r="S207" s="213"/>
      <c r="T207" s="213"/>
      <c r="U207" s="213"/>
      <c r="V207" s="213"/>
      <c r="W207" s="213"/>
      <c r="X207" s="215"/>
      <c r="Y207" s="213"/>
      <c r="Z207" s="213"/>
      <c r="AA207" s="213"/>
      <c r="AB207" s="213"/>
      <c r="AC207" s="213"/>
      <c r="AD207" s="215"/>
      <c r="AE207" s="213"/>
      <c r="AF207" s="213"/>
      <c r="AG207" s="213"/>
      <c r="AH207" s="947"/>
      <c r="AI207" s="213"/>
      <c r="AJ207" s="215"/>
      <c r="AK207" s="213"/>
      <c r="AL207" s="213"/>
      <c r="AM207" s="213"/>
      <c r="AN207" s="947"/>
      <c r="AO207" s="213"/>
      <c r="AP207" s="215"/>
      <c r="AQ207" s="213"/>
      <c r="AR207" s="213"/>
      <c r="AS207" s="213"/>
      <c r="AT207" s="947"/>
      <c r="AU207" s="213"/>
      <c r="AV207" s="215"/>
      <c r="AW207" s="213"/>
      <c r="AX207" s="213"/>
      <c r="AY207" s="213"/>
      <c r="AZ207" s="947"/>
      <c r="BA207" s="213"/>
      <c r="BB207" s="215"/>
      <c r="BC207" s="213"/>
      <c r="BD207" s="213"/>
      <c r="BE207" s="213"/>
      <c r="BF207" s="947"/>
      <c r="BG207" s="213"/>
      <c r="BH207" s="215"/>
      <c r="BI207" s="213"/>
      <c r="BJ207" s="213"/>
      <c r="BK207" s="213"/>
      <c r="BL207" s="948"/>
      <c r="BM207" s="213"/>
      <c r="BN207" s="213"/>
      <c r="BO207" s="213"/>
      <c r="BP207" s="213"/>
      <c r="BQ207" s="213"/>
      <c r="BR207" s="326"/>
      <c r="BS207" s="213"/>
      <c r="BT207" s="215"/>
      <c r="BU207" s="213"/>
      <c r="BV207" s="213"/>
      <c r="BW207" s="213"/>
      <c r="BX207" s="213"/>
      <c r="BY207" s="213"/>
      <c r="BZ207" s="213"/>
      <c r="CA207" s="213"/>
      <c r="CB207" s="213"/>
      <c r="CC207" s="213"/>
      <c r="CD207" s="213"/>
      <c r="CE207" s="213"/>
      <c r="CF207" s="213"/>
      <c r="CG207" s="213"/>
      <c r="CH207" s="213"/>
      <c r="CI207" s="213"/>
      <c r="CJ207" s="213"/>
      <c r="CK207" s="213"/>
      <c r="CL207" s="213"/>
      <c r="CM207" s="213"/>
      <c r="CN207" s="213"/>
      <c r="CO207" s="213"/>
      <c r="CP207" s="213"/>
      <c r="CQ207" s="213"/>
    </row>
    <row r="208" ht="15.75" customHeight="1">
      <c r="A208" s="213"/>
      <c r="B208" s="213"/>
      <c r="C208" s="213"/>
      <c r="D208" s="213"/>
      <c r="E208" s="213"/>
      <c r="F208" s="213"/>
      <c r="G208" s="213"/>
      <c r="H208" s="213"/>
      <c r="I208" s="213"/>
      <c r="J208" s="213"/>
      <c r="K208" s="213"/>
      <c r="L208" s="213"/>
      <c r="M208" s="213"/>
      <c r="N208" s="213"/>
      <c r="O208" s="213"/>
      <c r="P208" s="213"/>
      <c r="Q208" s="238"/>
      <c r="R208" s="213"/>
      <c r="S208" s="213"/>
      <c r="T208" s="213"/>
      <c r="U208" s="213"/>
      <c r="V208" s="213"/>
      <c r="W208" s="213"/>
      <c r="X208" s="215"/>
      <c r="Y208" s="213"/>
      <c r="Z208" s="213"/>
      <c r="AA208" s="213"/>
      <c r="AB208" s="213"/>
      <c r="AC208" s="213"/>
      <c r="AD208" s="215"/>
      <c r="AE208" s="213"/>
      <c r="AF208" s="213"/>
      <c r="AG208" s="213"/>
      <c r="AH208" s="947"/>
      <c r="AI208" s="213"/>
      <c r="AJ208" s="215"/>
      <c r="AK208" s="213"/>
      <c r="AL208" s="213"/>
      <c r="AM208" s="213"/>
      <c r="AN208" s="947"/>
      <c r="AO208" s="213"/>
      <c r="AP208" s="215"/>
      <c r="AQ208" s="213"/>
      <c r="AR208" s="213"/>
      <c r="AS208" s="213"/>
      <c r="AT208" s="947"/>
      <c r="AU208" s="213"/>
      <c r="AV208" s="215"/>
      <c r="AW208" s="213"/>
      <c r="AX208" s="213"/>
      <c r="AY208" s="213"/>
      <c r="AZ208" s="947"/>
      <c r="BA208" s="213"/>
      <c r="BB208" s="215"/>
      <c r="BC208" s="213"/>
      <c r="BD208" s="213"/>
      <c r="BE208" s="213"/>
      <c r="BF208" s="947"/>
      <c r="BG208" s="213"/>
      <c r="BH208" s="215"/>
      <c r="BI208" s="213"/>
      <c r="BJ208" s="213"/>
      <c r="BK208" s="213"/>
      <c r="BL208" s="948"/>
      <c r="BM208" s="213"/>
      <c r="BN208" s="213"/>
      <c r="BO208" s="213"/>
      <c r="BP208" s="213"/>
      <c r="BQ208" s="213"/>
      <c r="BR208" s="326"/>
      <c r="BS208" s="213"/>
      <c r="BT208" s="215"/>
      <c r="BU208" s="213"/>
      <c r="BV208" s="213"/>
      <c r="BW208" s="213"/>
      <c r="BX208" s="213"/>
      <c r="BY208" s="213"/>
      <c r="BZ208" s="213"/>
      <c r="CA208" s="213"/>
      <c r="CB208" s="213"/>
      <c r="CC208" s="213"/>
      <c r="CD208" s="213"/>
      <c r="CE208" s="213"/>
      <c r="CF208" s="213"/>
      <c r="CG208" s="213"/>
      <c r="CH208" s="213"/>
      <c r="CI208" s="213"/>
      <c r="CJ208" s="213"/>
      <c r="CK208" s="213"/>
      <c r="CL208" s="213"/>
      <c r="CM208" s="213"/>
      <c r="CN208" s="213"/>
      <c r="CO208" s="213"/>
      <c r="CP208" s="213"/>
      <c r="CQ208" s="213"/>
    </row>
    <row r="209" ht="15.75" customHeight="1">
      <c r="A209" s="213"/>
      <c r="B209" s="213"/>
      <c r="C209" s="213"/>
      <c r="D209" s="213"/>
      <c r="E209" s="213"/>
      <c r="F209" s="213"/>
      <c r="G209" s="213"/>
      <c r="H209" s="213"/>
      <c r="I209" s="213"/>
      <c r="J209" s="213"/>
      <c r="K209" s="213"/>
      <c r="L209" s="213"/>
      <c r="M209" s="213"/>
      <c r="N209" s="213"/>
      <c r="O209" s="213"/>
      <c r="P209" s="213"/>
      <c r="Q209" s="238"/>
      <c r="R209" s="213"/>
      <c r="S209" s="213"/>
      <c r="T209" s="213"/>
      <c r="U209" s="213"/>
      <c r="V209" s="213"/>
      <c r="W209" s="213"/>
      <c r="X209" s="215"/>
      <c r="Y209" s="213"/>
      <c r="Z209" s="213"/>
      <c r="AA209" s="213"/>
      <c r="AB209" s="213"/>
      <c r="AC209" s="213"/>
      <c r="AD209" s="215"/>
      <c r="AE209" s="213"/>
      <c r="AF209" s="213"/>
      <c r="AG209" s="213"/>
      <c r="AH209" s="947"/>
      <c r="AI209" s="213"/>
      <c r="AJ209" s="215"/>
      <c r="AK209" s="213"/>
      <c r="AL209" s="213"/>
      <c r="AM209" s="213"/>
      <c r="AN209" s="947"/>
      <c r="AO209" s="213"/>
      <c r="AP209" s="215"/>
      <c r="AQ209" s="213"/>
      <c r="AR209" s="213"/>
      <c r="AS209" s="213"/>
      <c r="AT209" s="947"/>
      <c r="AU209" s="213"/>
      <c r="AV209" s="215"/>
      <c r="AW209" s="213"/>
      <c r="AX209" s="213"/>
      <c r="AY209" s="213"/>
      <c r="AZ209" s="947"/>
      <c r="BA209" s="213"/>
      <c r="BB209" s="215"/>
      <c r="BC209" s="213"/>
      <c r="BD209" s="213"/>
      <c r="BE209" s="213"/>
      <c r="BF209" s="947"/>
      <c r="BG209" s="213"/>
      <c r="BH209" s="215"/>
      <c r="BI209" s="213"/>
      <c r="BJ209" s="213"/>
      <c r="BK209" s="213"/>
      <c r="BL209" s="948"/>
      <c r="BM209" s="213"/>
      <c r="BN209" s="213"/>
      <c r="BO209" s="213"/>
      <c r="BP209" s="213"/>
      <c r="BQ209" s="213"/>
      <c r="BR209" s="326"/>
      <c r="BS209" s="213"/>
      <c r="BT209" s="215"/>
      <c r="BU209" s="213"/>
      <c r="BV209" s="213"/>
      <c r="BW209" s="213"/>
      <c r="BX209" s="213"/>
      <c r="BY209" s="213"/>
      <c r="BZ209" s="213"/>
      <c r="CA209" s="213"/>
      <c r="CB209" s="213"/>
      <c r="CC209" s="213"/>
      <c r="CD209" s="213"/>
      <c r="CE209" s="213"/>
      <c r="CF209" s="213"/>
      <c r="CG209" s="213"/>
      <c r="CH209" s="213"/>
      <c r="CI209" s="213"/>
      <c r="CJ209" s="213"/>
      <c r="CK209" s="213"/>
      <c r="CL209" s="213"/>
      <c r="CM209" s="213"/>
      <c r="CN209" s="213"/>
      <c r="CO209" s="213"/>
      <c r="CP209" s="213"/>
      <c r="CQ209" s="213"/>
    </row>
    <row r="210" ht="15.75" customHeight="1">
      <c r="A210" s="213"/>
      <c r="B210" s="213"/>
      <c r="C210" s="213"/>
      <c r="D210" s="213"/>
      <c r="E210" s="213"/>
      <c r="F210" s="213"/>
      <c r="G210" s="213"/>
      <c r="H210" s="213"/>
      <c r="I210" s="213"/>
      <c r="J210" s="213"/>
      <c r="K210" s="213"/>
      <c r="L210" s="213"/>
      <c r="M210" s="213"/>
      <c r="N210" s="213"/>
      <c r="O210" s="213"/>
      <c r="P210" s="213"/>
      <c r="Q210" s="238"/>
      <c r="R210" s="213"/>
      <c r="S210" s="213"/>
      <c r="T210" s="213"/>
      <c r="U210" s="213"/>
      <c r="V210" s="213"/>
      <c r="W210" s="213"/>
      <c r="X210" s="215"/>
      <c r="Y210" s="213"/>
      <c r="Z210" s="213"/>
      <c r="AA210" s="213"/>
      <c r="AB210" s="213"/>
      <c r="AC210" s="213"/>
      <c r="AD210" s="215"/>
      <c r="AE210" s="213"/>
      <c r="AF210" s="213"/>
      <c r="AG210" s="213"/>
      <c r="AH210" s="947"/>
      <c r="AI210" s="213"/>
      <c r="AJ210" s="215"/>
      <c r="AK210" s="213"/>
      <c r="AL210" s="213"/>
      <c r="AM210" s="213"/>
      <c r="AN210" s="947"/>
      <c r="AO210" s="213"/>
      <c r="AP210" s="215"/>
      <c r="AQ210" s="213"/>
      <c r="AR210" s="213"/>
      <c r="AS210" s="213"/>
      <c r="AT210" s="947"/>
      <c r="AU210" s="213"/>
      <c r="AV210" s="215"/>
      <c r="AW210" s="213"/>
      <c r="AX210" s="213"/>
      <c r="AY210" s="213"/>
      <c r="AZ210" s="947"/>
      <c r="BA210" s="213"/>
      <c r="BB210" s="215"/>
      <c r="BC210" s="213"/>
      <c r="BD210" s="213"/>
      <c r="BE210" s="213"/>
      <c r="BF210" s="947"/>
      <c r="BG210" s="213"/>
      <c r="BH210" s="215"/>
      <c r="BI210" s="213"/>
      <c r="BJ210" s="213"/>
      <c r="BK210" s="213"/>
      <c r="BL210" s="948"/>
      <c r="BM210" s="213"/>
      <c r="BN210" s="213"/>
      <c r="BO210" s="213"/>
      <c r="BP210" s="213"/>
      <c r="BQ210" s="213"/>
      <c r="BR210" s="326"/>
      <c r="BS210" s="213"/>
      <c r="BT210" s="215"/>
      <c r="BU210" s="213"/>
      <c r="BV210" s="213"/>
      <c r="BW210" s="213"/>
      <c r="BX210" s="213"/>
      <c r="BY210" s="213"/>
      <c r="BZ210" s="213"/>
      <c r="CA210" s="213"/>
      <c r="CB210" s="213"/>
      <c r="CC210" s="213"/>
      <c r="CD210" s="213"/>
      <c r="CE210" s="213"/>
      <c r="CF210" s="213"/>
      <c r="CG210" s="213"/>
      <c r="CH210" s="213"/>
      <c r="CI210" s="213"/>
      <c r="CJ210" s="213"/>
      <c r="CK210" s="213"/>
      <c r="CL210" s="213"/>
      <c r="CM210" s="213"/>
      <c r="CN210" s="213"/>
      <c r="CO210" s="213"/>
      <c r="CP210" s="213"/>
      <c r="CQ210" s="213"/>
    </row>
    <row r="211" ht="15.75" customHeight="1">
      <c r="A211" s="213"/>
      <c r="B211" s="213"/>
      <c r="C211" s="213"/>
      <c r="D211" s="213"/>
      <c r="E211" s="213"/>
      <c r="F211" s="213"/>
      <c r="G211" s="213"/>
      <c r="H211" s="213"/>
      <c r="I211" s="213"/>
      <c r="J211" s="213"/>
      <c r="K211" s="213"/>
      <c r="L211" s="213"/>
      <c r="M211" s="213"/>
      <c r="N211" s="213"/>
      <c r="O211" s="213"/>
      <c r="P211" s="213"/>
      <c r="Q211" s="238"/>
      <c r="R211" s="213"/>
      <c r="S211" s="213"/>
      <c r="T211" s="213"/>
      <c r="U211" s="213"/>
      <c r="V211" s="213"/>
      <c r="W211" s="213"/>
      <c r="X211" s="215"/>
      <c r="Y211" s="213"/>
      <c r="Z211" s="213"/>
      <c r="AA211" s="213"/>
      <c r="AB211" s="213"/>
      <c r="AC211" s="213"/>
      <c r="AD211" s="215"/>
      <c r="AE211" s="213"/>
      <c r="AF211" s="213"/>
      <c r="AG211" s="213"/>
      <c r="AH211" s="947"/>
      <c r="AI211" s="213"/>
      <c r="AJ211" s="215"/>
      <c r="AK211" s="213"/>
      <c r="AL211" s="213"/>
      <c r="AM211" s="213"/>
      <c r="AN211" s="947"/>
      <c r="AO211" s="213"/>
      <c r="AP211" s="215"/>
      <c r="AQ211" s="213"/>
      <c r="AR211" s="213"/>
      <c r="AS211" s="213"/>
      <c r="AT211" s="947"/>
      <c r="AU211" s="213"/>
      <c r="AV211" s="215"/>
      <c r="AW211" s="213"/>
      <c r="AX211" s="213"/>
      <c r="AY211" s="213"/>
      <c r="AZ211" s="947"/>
      <c r="BA211" s="213"/>
      <c r="BB211" s="215"/>
      <c r="BC211" s="213"/>
      <c r="BD211" s="213"/>
      <c r="BE211" s="213"/>
      <c r="BF211" s="947"/>
      <c r="BG211" s="213"/>
      <c r="BH211" s="215"/>
      <c r="BI211" s="213"/>
      <c r="BJ211" s="213"/>
      <c r="BK211" s="213"/>
      <c r="BL211" s="948"/>
      <c r="BM211" s="213"/>
      <c r="BN211" s="213"/>
      <c r="BO211" s="213"/>
      <c r="BP211" s="213"/>
      <c r="BQ211" s="213"/>
      <c r="BR211" s="326"/>
      <c r="BS211" s="213"/>
      <c r="BT211" s="215"/>
      <c r="BU211" s="213"/>
      <c r="BV211" s="213"/>
      <c r="BW211" s="213"/>
      <c r="BX211" s="213"/>
      <c r="BY211" s="213"/>
      <c r="BZ211" s="213"/>
      <c r="CA211" s="213"/>
      <c r="CB211" s="213"/>
      <c r="CC211" s="213"/>
      <c r="CD211" s="213"/>
      <c r="CE211" s="213"/>
      <c r="CF211" s="213"/>
      <c r="CG211" s="213"/>
      <c r="CH211" s="213"/>
      <c r="CI211" s="213"/>
      <c r="CJ211" s="213"/>
      <c r="CK211" s="213"/>
      <c r="CL211" s="213"/>
      <c r="CM211" s="213"/>
      <c r="CN211" s="213"/>
      <c r="CO211" s="213"/>
      <c r="CP211" s="213"/>
      <c r="CQ211" s="213"/>
    </row>
    <row r="212" ht="15.75" customHeight="1">
      <c r="A212" s="213"/>
      <c r="B212" s="213"/>
      <c r="C212" s="213"/>
      <c r="D212" s="213"/>
      <c r="E212" s="213"/>
      <c r="F212" s="213"/>
      <c r="G212" s="213"/>
      <c r="H212" s="213"/>
      <c r="I212" s="213"/>
      <c r="J212" s="213"/>
      <c r="K212" s="213"/>
      <c r="L212" s="213"/>
      <c r="M212" s="213"/>
      <c r="N212" s="213"/>
      <c r="O212" s="213"/>
      <c r="P212" s="213"/>
      <c r="Q212" s="238"/>
      <c r="R212" s="213"/>
      <c r="S212" s="213"/>
      <c r="T212" s="213"/>
      <c r="U212" s="213"/>
      <c r="V212" s="213"/>
      <c r="W212" s="213"/>
      <c r="X212" s="215"/>
      <c r="Y212" s="213"/>
      <c r="Z212" s="213"/>
      <c r="AA212" s="213"/>
      <c r="AB212" s="213"/>
      <c r="AC212" s="213"/>
      <c r="AD212" s="215"/>
      <c r="AE212" s="213"/>
      <c r="AF212" s="213"/>
      <c r="AG212" s="213"/>
      <c r="AH212" s="947"/>
      <c r="AI212" s="213"/>
      <c r="AJ212" s="215"/>
      <c r="AK212" s="213"/>
      <c r="AL212" s="213"/>
      <c r="AM212" s="213"/>
      <c r="AN212" s="947"/>
      <c r="AO212" s="213"/>
      <c r="AP212" s="215"/>
      <c r="AQ212" s="213"/>
      <c r="AR212" s="213"/>
      <c r="AS212" s="213"/>
      <c r="AT212" s="947"/>
      <c r="AU212" s="213"/>
      <c r="AV212" s="215"/>
      <c r="AW212" s="213"/>
      <c r="AX212" s="213"/>
      <c r="AY212" s="213"/>
      <c r="AZ212" s="947"/>
      <c r="BA212" s="213"/>
      <c r="BB212" s="215"/>
      <c r="BC212" s="213"/>
      <c r="BD212" s="213"/>
      <c r="BE212" s="213"/>
      <c r="BF212" s="947"/>
      <c r="BG212" s="213"/>
      <c r="BH212" s="215"/>
      <c r="BI212" s="213"/>
      <c r="BJ212" s="213"/>
      <c r="BK212" s="213"/>
      <c r="BL212" s="948"/>
      <c r="BM212" s="213"/>
      <c r="BN212" s="213"/>
      <c r="BO212" s="213"/>
      <c r="BP212" s="213"/>
      <c r="BQ212" s="213"/>
      <c r="BR212" s="326"/>
      <c r="BS212" s="213"/>
      <c r="BT212" s="215"/>
      <c r="BU212" s="213"/>
      <c r="BV212" s="213"/>
      <c r="BW212" s="213"/>
      <c r="BX212" s="213"/>
      <c r="BY212" s="213"/>
      <c r="BZ212" s="213"/>
      <c r="CA212" s="213"/>
      <c r="CB212" s="213"/>
      <c r="CC212" s="213"/>
      <c r="CD212" s="213"/>
      <c r="CE212" s="213"/>
      <c r="CF212" s="213"/>
      <c r="CG212" s="213"/>
      <c r="CH212" s="213"/>
      <c r="CI212" s="213"/>
      <c r="CJ212" s="213"/>
      <c r="CK212" s="213"/>
      <c r="CL212" s="213"/>
      <c r="CM212" s="213"/>
      <c r="CN212" s="213"/>
      <c r="CO212" s="213"/>
      <c r="CP212" s="213"/>
      <c r="CQ212" s="213"/>
    </row>
    <row r="213" ht="15.75" customHeight="1">
      <c r="A213" s="213"/>
      <c r="B213" s="213"/>
      <c r="C213" s="213"/>
      <c r="D213" s="213"/>
      <c r="E213" s="213"/>
      <c r="F213" s="213"/>
      <c r="G213" s="213"/>
      <c r="H213" s="213"/>
      <c r="I213" s="213"/>
      <c r="J213" s="213"/>
      <c r="K213" s="213"/>
      <c r="L213" s="213"/>
      <c r="M213" s="213"/>
      <c r="N213" s="213"/>
      <c r="O213" s="213"/>
      <c r="P213" s="213"/>
      <c r="Q213" s="238"/>
      <c r="R213" s="213"/>
      <c r="S213" s="213"/>
      <c r="T213" s="213"/>
      <c r="U213" s="213"/>
      <c r="V213" s="213"/>
      <c r="W213" s="213"/>
      <c r="X213" s="215"/>
      <c r="Y213" s="213"/>
      <c r="Z213" s="213"/>
      <c r="AA213" s="213"/>
      <c r="AB213" s="213"/>
      <c r="AC213" s="213"/>
      <c r="AD213" s="215"/>
      <c r="AE213" s="213"/>
      <c r="AF213" s="213"/>
      <c r="AG213" s="213"/>
      <c r="AH213" s="947"/>
      <c r="AI213" s="213"/>
      <c r="AJ213" s="215"/>
      <c r="AK213" s="213"/>
      <c r="AL213" s="213"/>
      <c r="AM213" s="213"/>
      <c r="AN213" s="947"/>
      <c r="AO213" s="213"/>
      <c r="AP213" s="215"/>
      <c r="AQ213" s="213"/>
      <c r="AR213" s="213"/>
      <c r="AS213" s="213"/>
      <c r="AT213" s="947"/>
      <c r="AU213" s="213"/>
      <c r="AV213" s="215"/>
      <c r="AW213" s="213"/>
      <c r="AX213" s="213"/>
      <c r="AY213" s="213"/>
      <c r="AZ213" s="947"/>
      <c r="BA213" s="213"/>
      <c r="BB213" s="215"/>
      <c r="BC213" s="213"/>
      <c r="BD213" s="213"/>
      <c r="BE213" s="213"/>
      <c r="BF213" s="947"/>
      <c r="BG213" s="213"/>
      <c r="BH213" s="215"/>
      <c r="BI213" s="213"/>
      <c r="BJ213" s="213"/>
      <c r="BK213" s="213"/>
      <c r="BL213" s="948"/>
      <c r="BM213" s="213"/>
      <c r="BN213" s="213"/>
      <c r="BO213" s="213"/>
      <c r="BP213" s="213"/>
      <c r="BQ213" s="213"/>
      <c r="BR213" s="326"/>
      <c r="BS213" s="213"/>
      <c r="BT213" s="215"/>
      <c r="BU213" s="213"/>
      <c r="BV213" s="213"/>
      <c r="BW213" s="213"/>
      <c r="BX213" s="213"/>
      <c r="BY213" s="213"/>
      <c r="BZ213" s="213"/>
      <c r="CA213" s="213"/>
      <c r="CB213" s="213"/>
      <c r="CC213" s="213"/>
      <c r="CD213" s="213"/>
      <c r="CE213" s="213"/>
      <c r="CF213" s="213"/>
      <c r="CG213" s="213"/>
      <c r="CH213" s="213"/>
      <c r="CI213" s="213"/>
      <c r="CJ213" s="213"/>
      <c r="CK213" s="213"/>
      <c r="CL213" s="213"/>
      <c r="CM213" s="213"/>
      <c r="CN213" s="213"/>
      <c r="CO213" s="213"/>
      <c r="CP213" s="213"/>
      <c r="CQ213" s="213"/>
    </row>
    <row r="214" ht="15.75" customHeight="1">
      <c r="A214" s="213"/>
      <c r="B214" s="213"/>
      <c r="C214" s="213"/>
      <c r="D214" s="213"/>
      <c r="E214" s="213"/>
      <c r="F214" s="213"/>
      <c r="G214" s="213"/>
      <c r="H214" s="213"/>
      <c r="I214" s="213"/>
      <c r="J214" s="213"/>
      <c r="K214" s="213"/>
      <c r="L214" s="213"/>
      <c r="M214" s="213"/>
      <c r="N214" s="213"/>
      <c r="O214" s="213"/>
      <c r="P214" s="213"/>
      <c r="Q214" s="238"/>
      <c r="R214" s="213"/>
      <c r="S214" s="213"/>
      <c r="T214" s="213"/>
      <c r="U214" s="213"/>
      <c r="V214" s="213"/>
      <c r="W214" s="213"/>
      <c r="X214" s="215"/>
      <c r="Y214" s="213"/>
      <c r="Z214" s="213"/>
      <c r="AA214" s="213"/>
      <c r="AB214" s="213"/>
      <c r="AC214" s="213"/>
      <c r="AD214" s="215"/>
      <c r="AE214" s="213"/>
      <c r="AF214" s="213"/>
      <c r="AG214" s="213"/>
      <c r="AH214" s="947"/>
      <c r="AI214" s="213"/>
      <c r="AJ214" s="215"/>
      <c r="AK214" s="213"/>
      <c r="AL214" s="213"/>
      <c r="AM214" s="213"/>
      <c r="AN214" s="947"/>
      <c r="AO214" s="213"/>
      <c r="AP214" s="215"/>
      <c r="AQ214" s="213"/>
      <c r="AR214" s="213"/>
      <c r="AS214" s="213"/>
      <c r="AT214" s="947"/>
      <c r="AU214" s="213"/>
      <c r="AV214" s="215"/>
      <c r="AW214" s="213"/>
      <c r="AX214" s="213"/>
      <c r="AY214" s="213"/>
      <c r="AZ214" s="947"/>
      <c r="BA214" s="213"/>
      <c r="BB214" s="215"/>
      <c r="BC214" s="213"/>
      <c r="BD214" s="213"/>
      <c r="BE214" s="213"/>
      <c r="BF214" s="947"/>
      <c r="BG214" s="213"/>
      <c r="BH214" s="215"/>
      <c r="BI214" s="213"/>
      <c r="BJ214" s="213"/>
      <c r="BK214" s="213"/>
      <c r="BL214" s="948"/>
      <c r="BM214" s="213"/>
      <c r="BN214" s="213"/>
      <c r="BO214" s="213"/>
      <c r="BP214" s="213"/>
      <c r="BQ214" s="213"/>
      <c r="BR214" s="326"/>
      <c r="BS214" s="213"/>
      <c r="BT214" s="215"/>
      <c r="BU214" s="213"/>
      <c r="BV214" s="213"/>
      <c r="BW214" s="213"/>
      <c r="BX214" s="213"/>
      <c r="BY214" s="213"/>
      <c r="BZ214" s="213"/>
      <c r="CA214" s="213"/>
      <c r="CB214" s="213"/>
      <c r="CC214" s="213"/>
      <c r="CD214" s="213"/>
      <c r="CE214" s="213"/>
      <c r="CF214" s="213"/>
      <c r="CG214" s="213"/>
      <c r="CH214" s="213"/>
      <c r="CI214" s="213"/>
      <c r="CJ214" s="213"/>
      <c r="CK214" s="213"/>
      <c r="CL214" s="213"/>
      <c r="CM214" s="213"/>
      <c r="CN214" s="213"/>
      <c r="CO214" s="213"/>
      <c r="CP214" s="213"/>
      <c r="CQ214" s="213"/>
    </row>
    <row r="215" ht="15.75" customHeight="1">
      <c r="A215" s="213"/>
      <c r="B215" s="213"/>
      <c r="C215" s="213"/>
      <c r="D215" s="213"/>
      <c r="E215" s="213"/>
      <c r="F215" s="213"/>
      <c r="G215" s="213"/>
      <c r="H215" s="213"/>
      <c r="I215" s="213"/>
      <c r="J215" s="213"/>
      <c r="K215" s="213"/>
      <c r="L215" s="213"/>
      <c r="M215" s="213"/>
      <c r="N215" s="213"/>
      <c r="O215" s="213"/>
      <c r="P215" s="213"/>
      <c r="Q215" s="238"/>
      <c r="R215" s="213"/>
      <c r="S215" s="213"/>
      <c r="T215" s="213"/>
      <c r="U215" s="213"/>
      <c r="V215" s="213"/>
      <c r="W215" s="213"/>
      <c r="X215" s="215"/>
      <c r="Y215" s="213"/>
      <c r="Z215" s="213"/>
      <c r="AA215" s="213"/>
      <c r="AB215" s="213"/>
      <c r="AC215" s="213"/>
      <c r="AD215" s="215"/>
      <c r="AE215" s="213"/>
      <c r="AF215" s="213"/>
      <c r="AG215" s="213"/>
      <c r="AH215" s="947"/>
      <c r="AI215" s="213"/>
      <c r="AJ215" s="215"/>
      <c r="AK215" s="213"/>
      <c r="AL215" s="213"/>
      <c r="AM215" s="213"/>
      <c r="AN215" s="947"/>
      <c r="AO215" s="213"/>
      <c r="AP215" s="215"/>
      <c r="AQ215" s="213"/>
      <c r="AR215" s="213"/>
      <c r="AS215" s="213"/>
      <c r="AT215" s="947"/>
      <c r="AU215" s="213"/>
      <c r="AV215" s="215"/>
      <c r="AW215" s="213"/>
      <c r="AX215" s="213"/>
      <c r="AY215" s="213"/>
      <c r="AZ215" s="947"/>
      <c r="BA215" s="213"/>
      <c r="BB215" s="215"/>
      <c r="BC215" s="213"/>
      <c r="BD215" s="213"/>
      <c r="BE215" s="213"/>
      <c r="BF215" s="947"/>
      <c r="BG215" s="213"/>
      <c r="BH215" s="215"/>
      <c r="BI215" s="213"/>
      <c r="BJ215" s="213"/>
      <c r="BK215" s="213"/>
      <c r="BL215" s="948"/>
      <c r="BM215" s="213"/>
      <c r="BN215" s="213"/>
      <c r="BO215" s="213"/>
      <c r="BP215" s="213"/>
      <c r="BQ215" s="213"/>
      <c r="BR215" s="326"/>
      <c r="BS215" s="213"/>
      <c r="BT215" s="215"/>
      <c r="BU215" s="213"/>
      <c r="BV215" s="213"/>
      <c r="BW215" s="213"/>
      <c r="BX215" s="213"/>
      <c r="BY215" s="213"/>
      <c r="BZ215" s="213"/>
      <c r="CA215" s="213"/>
      <c r="CB215" s="213"/>
      <c r="CC215" s="213"/>
      <c r="CD215" s="213"/>
      <c r="CE215" s="213"/>
      <c r="CF215" s="213"/>
      <c r="CG215" s="213"/>
      <c r="CH215" s="213"/>
      <c r="CI215" s="213"/>
      <c r="CJ215" s="213"/>
      <c r="CK215" s="213"/>
      <c r="CL215" s="213"/>
      <c r="CM215" s="213"/>
      <c r="CN215" s="213"/>
      <c r="CO215" s="213"/>
      <c r="CP215" s="213"/>
      <c r="CQ215" s="213"/>
    </row>
    <row r="216" ht="15.75" customHeight="1">
      <c r="A216" s="213"/>
      <c r="B216" s="213"/>
      <c r="C216" s="213"/>
      <c r="D216" s="213"/>
      <c r="E216" s="213"/>
      <c r="F216" s="213"/>
      <c r="G216" s="213"/>
      <c r="H216" s="213"/>
      <c r="I216" s="213"/>
      <c r="J216" s="213"/>
      <c r="K216" s="213"/>
      <c r="L216" s="213"/>
      <c r="M216" s="213"/>
      <c r="N216" s="213"/>
      <c r="O216" s="213"/>
      <c r="P216" s="213"/>
      <c r="Q216" s="238"/>
      <c r="R216" s="213"/>
      <c r="S216" s="213"/>
      <c r="T216" s="213"/>
      <c r="U216" s="213"/>
      <c r="V216" s="213"/>
      <c r="W216" s="213"/>
      <c r="X216" s="215"/>
      <c r="Y216" s="213"/>
      <c r="Z216" s="213"/>
      <c r="AA216" s="213"/>
      <c r="AB216" s="213"/>
      <c r="AC216" s="213"/>
      <c r="AD216" s="215"/>
      <c r="AE216" s="213"/>
      <c r="AF216" s="213"/>
      <c r="AG216" s="213"/>
      <c r="AH216" s="947"/>
      <c r="AI216" s="213"/>
      <c r="AJ216" s="215"/>
      <c r="AK216" s="213"/>
      <c r="AL216" s="213"/>
      <c r="AM216" s="213"/>
      <c r="AN216" s="947"/>
      <c r="AO216" s="213"/>
      <c r="AP216" s="215"/>
      <c r="AQ216" s="213"/>
      <c r="AR216" s="213"/>
      <c r="AS216" s="213"/>
      <c r="AT216" s="947"/>
      <c r="AU216" s="213"/>
      <c r="AV216" s="215"/>
      <c r="AW216" s="213"/>
      <c r="AX216" s="213"/>
      <c r="AY216" s="213"/>
      <c r="AZ216" s="947"/>
      <c r="BA216" s="213"/>
      <c r="BB216" s="215"/>
      <c r="BC216" s="213"/>
      <c r="BD216" s="213"/>
      <c r="BE216" s="213"/>
      <c r="BF216" s="947"/>
      <c r="BG216" s="213"/>
      <c r="BH216" s="215"/>
      <c r="BI216" s="213"/>
      <c r="BJ216" s="213"/>
      <c r="BK216" s="213"/>
      <c r="BL216" s="948"/>
      <c r="BM216" s="213"/>
      <c r="BN216" s="213"/>
      <c r="BO216" s="213"/>
      <c r="BP216" s="213"/>
      <c r="BQ216" s="213"/>
      <c r="BR216" s="326"/>
      <c r="BS216" s="213"/>
      <c r="BT216" s="215"/>
      <c r="BU216" s="213"/>
      <c r="BV216" s="213"/>
      <c r="BW216" s="213"/>
      <c r="BX216" s="213"/>
      <c r="BY216" s="213"/>
      <c r="BZ216" s="213"/>
      <c r="CA216" s="213"/>
      <c r="CB216" s="213"/>
      <c r="CC216" s="213"/>
      <c r="CD216" s="213"/>
      <c r="CE216" s="213"/>
      <c r="CF216" s="213"/>
      <c r="CG216" s="213"/>
      <c r="CH216" s="213"/>
      <c r="CI216" s="213"/>
      <c r="CJ216" s="213"/>
      <c r="CK216" s="213"/>
      <c r="CL216" s="213"/>
      <c r="CM216" s="213"/>
      <c r="CN216" s="213"/>
      <c r="CO216" s="213"/>
      <c r="CP216" s="213"/>
      <c r="CQ216" s="213"/>
    </row>
    <row r="217" ht="15.75" customHeight="1">
      <c r="A217" s="213"/>
      <c r="B217" s="213"/>
      <c r="C217" s="213"/>
      <c r="D217" s="213"/>
      <c r="E217" s="213"/>
      <c r="F217" s="213"/>
      <c r="G217" s="213"/>
      <c r="H217" s="213"/>
      <c r="I217" s="213"/>
      <c r="J217" s="213"/>
      <c r="K217" s="213"/>
      <c r="L217" s="213"/>
      <c r="M217" s="213"/>
      <c r="N217" s="213"/>
      <c r="O217" s="213"/>
      <c r="P217" s="213"/>
      <c r="Q217" s="238"/>
      <c r="R217" s="213"/>
      <c r="S217" s="213"/>
      <c r="T217" s="213"/>
      <c r="U217" s="213"/>
      <c r="V217" s="213"/>
      <c r="W217" s="213"/>
      <c r="X217" s="215"/>
      <c r="Y217" s="213"/>
      <c r="Z217" s="213"/>
      <c r="AA217" s="213"/>
      <c r="AB217" s="213"/>
      <c r="AC217" s="213"/>
      <c r="AD217" s="215"/>
      <c r="AE217" s="213"/>
      <c r="AF217" s="213"/>
      <c r="AG217" s="213"/>
      <c r="AH217" s="947"/>
      <c r="AI217" s="213"/>
      <c r="AJ217" s="215"/>
      <c r="AK217" s="213"/>
      <c r="AL217" s="213"/>
      <c r="AM217" s="213"/>
      <c r="AN217" s="947"/>
      <c r="AO217" s="213"/>
      <c r="AP217" s="215"/>
      <c r="AQ217" s="213"/>
      <c r="AR217" s="213"/>
      <c r="AS217" s="213"/>
      <c r="AT217" s="947"/>
      <c r="AU217" s="213"/>
      <c r="AV217" s="215"/>
      <c r="AW217" s="213"/>
      <c r="AX217" s="213"/>
      <c r="AY217" s="213"/>
      <c r="AZ217" s="947"/>
      <c r="BA217" s="213"/>
      <c r="BB217" s="215"/>
      <c r="BC217" s="213"/>
      <c r="BD217" s="213"/>
      <c r="BE217" s="213"/>
      <c r="BF217" s="947"/>
      <c r="BG217" s="213"/>
      <c r="BH217" s="215"/>
      <c r="BI217" s="213"/>
      <c r="BJ217" s="213"/>
      <c r="BK217" s="213"/>
      <c r="BL217" s="948"/>
      <c r="BM217" s="213"/>
      <c r="BN217" s="213"/>
      <c r="BO217" s="213"/>
      <c r="BP217" s="213"/>
      <c r="BQ217" s="213"/>
      <c r="BR217" s="326"/>
      <c r="BS217" s="213"/>
      <c r="BT217" s="215"/>
      <c r="BU217" s="213"/>
      <c r="BV217" s="213"/>
      <c r="BW217" s="213"/>
      <c r="BX217" s="213"/>
      <c r="BY217" s="213"/>
      <c r="BZ217" s="213"/>
      <c r="CA217" s="213"/>
      <c r="CB217" s="213"/>
      <c r="CC217" s="213"/>
      <c r="CD217" s="213"/>
      <c r="CE217" s="213"/>
      <c r="CF217" s="213"/>
      <c r="CG217" s="213"/>
      <c r="CH217" s="213"/>
      <c r="CI217" s="213"/>
      <c r="CJ217" s="213"/>
      <c r="CK217" s="213"/>
      <c r="CL217" s="213"/>
      <c r="CM217" s="213"/>
      <c r="CN217" s="213"/>
      <c r="CO217" s="213"/>
      <c r="CP217" s="213"/>
      <c r="CQ217" s="213"/>
    </row>
    <row r="218" ht="15.75" customHeight="1">
      <c r="A218" s="213"/>
      <c r="B218" s="213"/>
      <c r="C218" s="213"/>
      <c r="D218" s="213"/>
      <c r="E218" s="213"/>
      <c r="F218" s="213"/>
      <c r="G218" s="213"/>
      <c r="H218" s="213"/>
      <c r="I218" s="213"/>
      <c r="J218" s="213"/>
      <c r="K218" s="213"/>
      <c r="L218" s="213"/>
      <c r="M218" s="213"/>
      <c r="N218" s="213"/>
      <c r="O218" s="213"/>
      <c r="P218" s="213"/>
      <c r="Q218" s="238"/>
      <c r="R218" s="213"/>
      <c r="S218" s="213"/>
      <c r="T218" s="213"/>
      <c r="U218" s="213"/>
      <c r="V218" s="213"/>
      <c r="W218" s="213"/>
      <c r="X218" s="215"/>
      <c r="Y218" s="213"/>
      <c r="Z218" s="213"/>
      <c r="AA218" s="213"/>
      <c r="AB218" s="213"/>
      <c r="AC218" s="213"/>
      <c r="AD218" s="215"/>
      <c r="AE218" s="213"/>
      <c r="AF218" s="213"/>
      <c r="AG218" s="213"/>
      <c r="AH218" s="947"/>
      <c r="AI218" s="213"/>
      <c r="AJ218" s="215"/>
      <c r="AK218" s="213"/>
      <c r="AL218" s="213"/>
      <c r="AM218" s="213"/>
      <c r="AN218" s="947"/>
      <c r="AO218" s="213"/>
      <c r="AP218" s="215"/>
      <c r="AQ218" s="213"/>
      <c r="AR218" s="213"/>
      <c r="AS218" s="213"/>
      <c r="AT218" s="947"/>
      <c r="AU218" s="213"/>
      <c r="AV218" s="215"/>
      <c r="AW218" s="213"/>
      <c r="AX218" s="213"/>
      <c r="AY218" s="213"/>
      <c r="AZ218" s="947"/>
      <c r="BA218" s="213"/>
      <c r="BB218" s="215"/>
      <c r="BC218" s="213"/>
      <c r="BD218" s="213"/>
      <c r="BE218" s="213"/>
      <c r="BF218" s="947"/>
      <c r="BG218" s="213"/>
      <c r="BH218" s="215"/>
      <c r="BI218" s="213"/>
      <c r="BJ218" s="213"/>
      <c r="BK218" s="213"/>
      <c r="BL218" s="948"/>
      <c r="BM218" s="213"/>
      <c r="BN218" s="213"/>
      <c r="BO218" s="213"/>
      <c r="BP218" s="213"/>
      <c r="BQ218" s="213"/>
      <c r="BR218" s="326"/>
      <c r="BS218" s="213"/>
      <c r="BT218" s="215"/>
      <c r="BU218" s="213"/>
      <c r="BV218" s="213"/>
      <c r="BW218" s="213"/>
      <c r="BX218" s="213"/>
      <c r="BY218" s="213"/>
      <c r="BZ218" s="213"/>
      <c r="CA218" s="213"/>
      <c r="CB218" s="213"/>
      <c r="CC218" s="213"/>
      <c r="CD218" s="213"/>
      <c r="CE218" s="213"/>
      <c r="CF218" s="213"/>
      <c r="CG218" s="213"/>
      <c r="CH218" s="213"/>
      <c r="CI218" s="213"/>
      <c r="CJ218" s="213"/>
      <c r="CK218" s="213"/>
      <c r="CL218" s="213"/>
      <c r="CM218" s="213"/>
      <c r="CN218" s="213"/>
      <c r="CO218" s="213"/>
      <c r="CP218" s="213"/>
      <c r="CQ218" s="213"/>
    </row>
    <row r="219" ht="15.75" customHeight="1">
      <c r="A219" s="213"/>
      <c r="B219" s="213"/>
      <c r="C219" s="213"/>
      <c r="D219" s="213"/>
      <c r="E219" s="213"/>
      <c r="F219" s="213"/>
      <c r="G219" s="213"/>
      <c r="H219" s="213"/>
      <c r="I219" s="213"/>
      <c r="J219" s="213"/>
      <c r="K219" s="213"/>
      <c r="L219" s="213"/>
      <c r="M219" s="213"/>
      <c r="N219" s="213"/>
      <c r="O219" s="213"/>
      <c r="P219" s="213"/>
      <c r="Q219" s="238"/>
      <c r="R219" s="213"/>
      <c r="S219" s="213"/>
      <c r="T219" s="213"/>
      <c r="U219" s="213"/>
      <c r="V219" s="213"/>
      <c r="W219" s="213"/>
      <c r="X219" s="215"/>
      <c r="Y219" s="213"/>
      <c r="Z219" s="213"/>
      <c r="AA219" s="213"/>
      <c r="AB219" s="213"/>
      <c r="AC219" s="213"/>
      <c r="AD219" s="215"/>
      <c r="AE219" s="213"/>
      <c r="AF219" s="213"/>
      <c r="AG219" s="213"/>
      <c r="AH219" s="947"/>
      <c r="AI219" s="213"/>
      <c r="AJ219" s="215"/>
      <c r="AK219" s="213"/>
      <c r="AL219" s="213"/>
      <c r="AM219" s="213"/>
      <c r="AN219" s="947"/>
      <c r="AO219" s="213"/>
      <c r="AP219" s="215"/>
      <c r="AQ219" s="213"/>
      <c r="AR219" s="213"/>
      <c r="AS219" s="213"/>
      <c r="AT219" s="947"/>
      <c r="AU219" s="213"/>
      <c r="AV219" s="215"/>
      <c r="AW219" s="213"/>
      <c r="AX219" s="213"/>
      <c r="AY219" s="213"/>
      <c r="AZ219" s="947"/>
      <c r="BA219" s="213"/>
      <c r="BB219" s="215"/>
      <c r="BC219" s="213"/>
      <c r="BD219" s="213"/>
      <c r="BE219" s="213"/>
      <c r="BF219" s="947"/>
      <c r="BG219" s="213"/>
      <c r="BH219" s="215"/>
      <c r="BI219" s="213"/>
      <c r="BJ219" s="213"/>
      <c r="BK219" s="213"/>
      <c r="BL219" s="948"/>
      <c r="BM219" s="213"/>
      <c r="BN219" s="213"/>
      <c r="BO219" s="213"/>
      <c r="BP219" s="213"/>
      <c r="BQ219" s="213"/>
      <c r="BR219" s="326"/>
      <c r="BS219" s="213"/>
      <c r="BT219" s="215"/>
      <c r="BU219" s="213"/>
      <c r="BV219" s="213"/>
      <c r="BW219" s="213"/>
      <c r="BX219" s="213"/>
      <c r="BY219" s="213"/>
      <c r="BZ219" s="213"/>
      <c r="CA219" s="213"/>
      <c r="CB219" s="213"/>
      <c r="CC219" s="213"/>
      <c r="CD219" s="213"/>
      <c r="CE219" s="213"/>
      <c r="CF219" s="213"/>
      <c r="CG219" s="213"/>
      <c r="CH219" s="213"/>
      <c r="CI219" s="213"/>
      <c r="CJ219" s="213"/>
      <c r="CK219" s="213"/>
      <c r="CL219" s="213"/>
      <c r="CM219" s="213"/>
      <c r="CN219" s="213"/>
      <c r="CO219" s="213"/>
      <c r="CP219" s="213"/>
      <c r="CQ219" s="213"/>
    </row>
    <row r="220" ht="15.75" customHeight="1">
      <c r="A220" s="213"/>
      <c r="B220" s="213"/>
      <c r="C220" s="213"/>
      <c r="D220" s="213"/>
      <c r="E220" s="213"/>
      <c r="F220" s="213"/>
      <c r="G220" s="213"/>
      <c r="H220" s="213"/>
      <c r="I220" s="213"/>
      <c r="J220" s="213"/>
      <c r="K220" s="213"/>
      <c r="L220" s="213"/>
      <c r="M220" s="213"/>
      <c r="N220" s="213"/>
      <c r="O220" s="213"/>
      <c r="P220" s="213"/>
      <c r="Q220" s="238"/>
      <c r="R220" s="213"/>
      <c r="S220" s="213"/>
      <c r="T220" s="213"/>
      <c r="U220" s="213"/>
      <c r="V220" s="213"/>
      <c r="W220" s="213"/>
      <c r="X220" s="215"/>
      <c r="Y220" s="213"/>
      <c r="Z220" s="213"/>
      <c r="AA220" s="213"/>
      <c r="AB220" s="213"/>
      <c r="AC220" s="213"/>
      <c r="AD220" s="215"/>
      <c r="AE220" s="213"/>
      <c r="AF220" s="213"/>
      <c r="AG220" s="213"/>
      <c r="AH220" s="947"/>
      <c r="AI220" s="213"/>
      <c r="AJ220" s="215"/>
      <c r="AK220" s="213"/>
      <c r="AL220" s="213"/>
      <c r="AM220" s="213"/>
      <c r="AN220" s="947"/>
      <c r="AO220" s="213"/>
      <c r="AP220" s="215"/>
      <c r="AQ220" s="213"/>
      <c r="AR220" s="213"/>
      <c r="AS220" s="213"/>
      <c r="AT220" s="947"/>
      <c r="AU220" s="213"/>
      <c r="AV220" s="215"/>
      <c r="AW220" s="213"/>
      <c r="AX220" s="213"/>
      <c r="AY220" s="213"/>
      <c r="AZ220" s="947"/>
      <c r="BA220" s="213"/>
      <c r="BB220" s="215"/>
      <c r="BC220" s="213"/>
      <c r="BD220" s="213"/>
      <c r="BE220" s="213"/>
      <c r="BF220" s="947"/>
      <c r="BG220" s="213"/>
      <c r="BH220" s="215"/>
      <c r="BI220" s="213"/>
      <c r="BJ220" s="213"/>
      <c r="BK220" s="213"/>
      <c r="BL220" s="948"/>
      <c r="BM220" s="213"/>
      <c r="BN220" s="213"/>
      <c r="BO220" s="213"/>
      <c r="BP220" s="213"/>
      <c r="BQ220" s="213"/>
      <c r="BR220" s="326"/>
      <c r="BS220" s="213"/>
      <c r="BT220" s="215"/>
      <c r="BU220" s="213"/>
      <c r="BV220" s="213"/>
      <c r="BW220" s="213"/>
      <c r="BX220" s="213"/>
      <c r="BY220" s="213"/>
      <c r="BZ220" s="213"/>
      <c r="CA220" s="213"/>
      <c r="CB220" s="213"/>
      <c r="CC220" s="213"/>
      <c r="CD220" s="213"/>
      <c r="CE220" s="213"/>
      <c r="CF220" s="213"/>
      <c r="CG220" s="213"/>
      <c r="CH220" s="213"/>
      <c r="CI220" s="213"/>
      <c r="CJ220" s="213"/>
      <c r="CK220" s="213"/>
      <c r="CL220" s="213"/>
      <c r="CM220" s="213"/>
      <c r="CN220" s="213"/>
      <c r="CO220" s="213"/>
      <c r="CP220" s="213"/>
      <c r="CQ220" s="213"/>
    </row>
    <row r="221" ht="15.75" customHeight="1">
      <c r="A221" s="213"/>
      <c r="B221" s="213"/>
      <c r="C221" s="213"/>
      <c r="D221" s="213"/>
      <c r="E221" s="213"/>
      <c r="F221" s="213"/>
      <c r="G221" s="213"/>
      <c r="H221" s="213"/>
      <c r="I221" s="213"/>
      <c r="J221" s="213"/>
      <c r="K221" s="213"/>
      <c r="L221" s="213"/>
      <c r="M221" s="213"/>
      <c r="N221" s="213"/>
      <c r="O221" s="213"/>
      <c r="P221" s="213"/>
      <c r="Q221" s="238"/>
      <c r="R221" s="213"/>
      <c r="S221" s="213"/>
      <c r="T221" s="213"/>
      <c r="U221" s="213"/>
      <c r="V221" s="213"/>
      <c r="W221" s="213"/>
      <c r="X221" s="215"/>
      <c r="Y221" s="213"/>
      <c r="Z221" s="213"/>
      <c r="AA221" s="213"/>
      <c r="AB221" s="213"/>
      <c r="AC221" s="213"/>
      <c r="AD221" s="215"/>
      <c r="AE221" s="213"/>
      <c r="AF221" s="213"/>
      <c r="AG221" s="213"/>
      <c r="AH221" s="947"/>
      <c r="AI221" s="213"/>
      <c r="AJ221" s="215"/>
      <c r="AK221" s="213"/>
      <c r="AL221" s="213"/>
      <c r="AM221" s="213"/>
      <c r="AN221" s="947"/>
      <c r="AO221" s="213"/>
      <c r="AP221" s="215"/>
      <c r="AQ221" s="213"/>
      <c r="AR221" s="213"/>
      <c r="AS221" s="213"/>
      <c r="AT221" s="947"/>
      <c r="AU221" s="213"/>
      <c r="AV221" s="215"/>
      <c r="AW221" s="213"/>
      <c r="AX221" s="213"/>
      <c r="AY221" s="213"/>
      <c r="AZ221" s="947"/>
      <c r="BA221" s="213"/>
      <c r="BB221" s="215"/>
      <c r="BC221" s="213"/>
      <c r="BD221" s="213"/>
      <c r="BE221" s="213"/>
      <c r="BF221" s="947"/>
      <c r="BG221" s="213"/>
      <c r="BH221" s="215"/>
      <c r="BI221" s="213"/>
      <c r="BJ221" s="213"/>
      <c r="BK221" s="213"/>
      <c r="BL221" s="948"/>
      <c r="BM221" s="213"/>
      <c r="BN221" s="213"/>
      <c r="BO221" s="213"/>
      <c r="BP221" s="213"/>
      <c r="BQ221" s="213"/>
      <c r="BR221" s="326"/>
      <c r="BS221" s="213"/>
      <c r="BT221" s="215"/>
      <c r="BU221" s="213"/>
      <c r="BV221" s="213"/>
      <c r="BW221" s="213"/>
      <c r="BX221" s="213"/>
      <c r="BY221" s="213"/>
      <c r="BZ221" s="213"/>
      <c r="CA221" s="213"/>
      <c r="CB221" s="213"/>
      <c r="CC221" s="213"/>
      <c r="CD221" s="213"/>
      <c r="CE221" s="213"/>
      <c r="CF221" s="213"/>
      <c r="CG221" s="213"/>
      <c r="CH221" s="213"/>
      <c r="CI221" s="213"/>
      <c r="CJ221" s="213"/>
      <c r="CK221" s="213"/>
      <c r="CL221" s="213"/>
      <c r="CM221" s="213"/>
      <c r="CN221" s="213"/>
      <c r="CO221" s="213"/>
      <c r="CP221" s="213"/>
      <c r="CQ221" s="213"/>
    </row>
    <row r="222" ht="15.75" customHeight="1">
      <c r="A222" s="213"/>
      <c r="B222" s="213"/>
      <c r="C222" s="213"/>
      <c r="D222" s="213"/>
      <c r="E222" s="213"/>
      <c r="F222" s="213"/>
      <c r="G222" s="213"/>
      <c r="H222" s="213"/>
      <c r="I222" s="213"/>
      <c r="J222" s="213"/>
      <c r="K222" s="213"/>
      <c r="L222" s="213"/>
      <c r="M222" s="213"/>
      <c r="N222" s="213"/>
      <c r="O222" s="213"/>
      <c r="P222" s="213"/>
      <c r="Q222" s="238"/>
      <c r="R222" s="213"/>
      <c r="S222" s="213"/>
      <c r="T222" s="213"/>
      <c r="U222" s="213"/>
      <c r="V222" s="213"/>
      <c r="W222" s="213"/>
      <c r="X222" s="215"/>
      <c r="Y222" s="213"/>
      <c r="Z222" s="213"/>
      <c r="AA222" s="213"/>
      <c r="AB222" s="213"/>
      <c r="AC222" s="213"/>
      <c r="AD222" s="215"/>
      <c r="AE222" s="213"/>
      <c r="AF222" s="213"/>
      <c r="AG222" s="213"/>
      <c r="AH222" s="947"/>
      <c r="AI222" s="213"/>
      <c r="AJ222" s="215"/>
      <c r="AK222" s="213"/>
      <c r="AL222" s="213"/>
      <c r="AM222" s="213"/>
      <c r="AN222" s="947"/>
      <c r="AO222" s="213"/>
      <c r="AP222" s="215"/>
      <c r="AQ222" s="213"/>
      <c r="AR222" s="213"/>
      <c r="AS222" s="213"/>
      <c r="AT222" s="947"/>
      <c r="AU222" s="213"/>
      <c r="AV222" s="215"/>
      <c r="AW222" s="213"/>
      <c r="AX222" s="213"/>
      <c r="AY222" s="213"/>
      <c r="AZ222" s="947"/>
      <c r="BA222" s="213"/>
      <c r="BB222" s="215"/>
      <c r="BC222" s="213"/>
      <c r="BD222" s="213"/>
      <c r="BE222" s="213"/>
      <c r="BF222" s="947"/>
      <c r="BG222" s="213"/>
      <c r="BH222" s="215"/>
      <c r="BI222" s="213"/>
      <c r="BJ222" s="213"/>
      <c r="BK222" s="213"/>
      <c r="BL222" s="948"/>
      <c r="BM222" s="213"/>
      <c r="BN222" s="213"/>
      <c r="BO222" s="213"/>
      <c r="BP222" s="213"/>
      <c r="BQ222" s="213"/>
      <c r="BR222" s="326"/>
      <c r="BS222" s="213"/>
      <c r="BT222" s="215"/>
      <c r="BU222" s="213"/>
      <c r="BV222" s="213"/>
      <c r="BW222" s="213"/>
      <c r="BX222" s="213"/>
      <c r="BY222" s="213"/>
      <c r="BZ222" s="213"/>
      <c r="CA222" s="213"/>
      <c r="CB222" s="213"/>
      <c r="CC222" s="213"/>
      <c r="CD222" s="213"/>
      <c r="CE222" s="213"/>
      <c r="CF222" s="213"/>
      <c r="CG222" s="213"/>
      <c r="CH222" s="213"/>
      <c r="CI222" s="213"/>
      <c r="CJ222" s="213"/>
      <c r="CK222" s="213"/>
      <c r="CL222" s="213"/>
      <c r="CM222" s="213"/>
      <c r="CN222" s="213"/>
      <c r="CO222" s="213"/>
      <c r="CP222" s="213"/>
      <c r="CQ222" s="213"/>
    </row>
    <row r="223" ht="15.75" customHeight="1">
      <c r="A223" s="213"/>
      <c r="B223" s="213"/>
      <c r="C223" s="213"/>
      <c r="D223" s="213"/>
      <c r="E223" s="213"/>
      <c r="F223" s="213"/>
      <c r="G223" s="213"/>
      <c r="H223" s="213"/>
      <c r="I223" s="213"/>
      <c r="J223" s="213"/>
      <c r="K223" s="213"/>
      <c r="L223" s="213"/>
      <c r="M223" s="213"/>
      <c r="N223" s="213"/>
      <c r="O223" s="213"/>
      <c r="P223" s="213"/>
      <c r="Q223" s="238"/>
      <c r="R223" s="213"/>
      <c r="S223" s="213"/>
      <c r="T223" s="213"/>
      <c r="U223" s="213"/>
      <c r="V223" s="213"/>
      <c r="W223" s="213"/>
      <c r="X223" s="215"/>
      <c r="Y223" s="213"/>
      <c r="Z223" s="213"/>
      <c r="AA223" s="213"/>
      <c r="AB223" s="213"/>
      <c r="AC223" s="213"/>
      <c r="AD223" s="215"/>
      <c r="AE223" s="213"/>
      <c r="AF223" s="213"/>
      <c r="AG223" s="213"/>
      <c r="AH223" s="947"/>
      <c r="AI223" s="213"/>
      <c r="AJ223" s="215"/>
      <c r="AK223" s="213"/>
      <c r="AL223" s="213"/>
      <c r="AM223" s="213"/>
      <c r="AN223" s="947"/>
      <c r="AO223" s="213"/>
      <c r="AP223" s="215"/>
      <c r="AQ223" s="213"/>
      <c r="AR223" s="213"/>
      <c r="AS223" s="213"/>
      <c r="AT223" s="947"/>
      <c r="AU223" s="213"/>
      <c r="AV223" s="215"/>
      <c r="AW223" s="213"/>
      <c r="AX223" s="213"/>
      <c r="AY223" s="213"/>
      <c r="AZ223" s="947"/>
      <c r="BA223" s="213"/>
      <c r="BB223" s="215"/>
      <c r="BC223" s="213"/>
      <c r="BD223" s="213"/>
      <c r="BE223" s="213"/>
      <c r="BF223" s="947"/>
      <c r="BG223" s="213"/>
      <c r="BH223" s="215"/>
      <c r="BI223" s="213"/>
      <c r="BJ223" s="213"/>
      <c r="BK223" s="213"/>
      <c r="BL223" s="948"/>
      <c r="BM223" s="213"/>
      <c r="BN223" s="213"/>
      <c r="BO223" s="213"/>
      <c r="BP223" s="213"/>
      <c r="BQ223" s="213"/>
      <c r="BR223" s="326"/>
      <c r="BS223" s="213"/>
      <c r="BT223" s="215"/>
      <c r="BU223" s="213"/>
      <c r="BV223" s="213"/>
      <c r="BW223" s="213"/>
      <c r="BX223" s="213"/>
      <c r="BY223" s="213"/>
      <c r="BZ223" s="213"/>
      <c r="CA223" s="213"/>
      <c r="CB223" s="213"/>
      <c r="CC223" s="213"/>
      <c r="CD223" s="213"/>
      <c r="CE223" s="213"/>
      <c r="CF223" s="213"/>
      <c r="CG223" s="213"/>
      <c r="CH223" s="213"/>
      <c r="CI223" s="213"/>
      <c r="CJ223" s="213"/>
      <c r="CK223" s="213"/>
      <c r="CL223" s="213"/>
      <c r="CM223" s="213"/>
      <c r="CN223" s="213"/>
      <c r="CO223" s="213"/>
      <c r="CP223" s="213"/>
      <c r="CQ223" s="213"/>
    </row>
    <row r="224" ht="15.75" customHeight="1">
      <c r="A224" s="213"/>
      <c r="B224" s="213"/>
      <c r="C224" s="213"/>
      <c r="D224" s="213"/>
      <c r="E224" s="213"/>
      <c r="F224" s="213"/>
      <c r="G224" s="213"/>
      <c r="H224" s="213"/>
      <c r="I224" s="213"/>
      <c r="J224" s="213"/>
      <c r="K224" s="213"/>
      <c r="L224" s="213"/>
      <c r="M224" s="213"/>
      <c r="N224" s="213"/>
      <c r="O224" s="213"/>
      <c r="P224" s="213"/>
      <c r="Q224" s="238"/>
      <c r="R224" s="213"/>
      <c r="S224" s="213"/>
      <c r="T224" s="213"/>
      <c r="U224" s="213"/>
      <c r="V224" s="213"/>
      <c r="W224" s="213"/>
      <c r="X224" s="215"/>
      <c r="Y224" s="213"/>
      <c r="Z224" s="213"/>
      <c r="AA224" s="213"/>
      <c r="AB224" s="213"/>
      <c r="AC224" s="213"/>
      <c r="AD224" s="215"/>
      <c r="AE224" s="213"/>
      <c r="AF224" s="213"/>
      <c r="AG224" s="213"/>
      <c r="AH224" s="947"/>
      <c r="AI224" s="213"/>
      <c r="AJ224" s="215"/>
      <c r="AK224" s="213"/>
      <c r="AL224" s="213"/>
      <c r="AM224" s="213"/>
      <c r="AN224" s="947"/>
      <c r="AO224" s="213"/>
      <c r="AP224" s="215"/>
      <c r="AQ224" s="213"/>
      <c r="AR224" s="213"/>
      <c r="AS224" s="213"/>
      <c r="AT224" s="947"/>
      <c r="AU224" s="213"/>
      <c r="AV224" s="215"/>
      <c r="AW224" s="213"/>
      <c r="AX224" s="213"/>
      <c r="AY224" s="213"/>
      <c r="AZ224" s="947"/>
      <c r="BA224" s="213"/>
      <c r="BB224" s="215"/>
      <c r="BC224" s="213"/>
      <c r="BD224" s="213"/>
      <c r="BE224" s="213"/>
      <c r="BF224" s="947"/>
      <c r="BG224" s="213"/>
      <c r="BH224" s="215"/>
      <c r="BI224" s="213"/>
      <c r="BJ224" s="213"/>
      <c r="BK224" s="213"/>
      <c r="BL224" s="948"/>
      <c r="BM224" s="213"/>
      <c r="BN224" s="213"/>
      <c r="BO224" s="213"/>
      <c r="BP224" s="213"/>
      <c r="BQ224" s="213"/>
      <c r="BR224" s="326"/>
      <c r="BS224" s="213"/>
      <c r="BT224" s="215"/>
      <c r="BU224" s="213"/>
      <c r="BV224" s="213"/>
      <c r="BW224" s="213"/>
      <c r="BX224" s="213"/>
      <c r="BY224" s="213"/>
      <c r="BZ224" s="213"/>
      <c r="CA224" s="213"/>
      <c r="CB224" s="213"/>
      <c r="CC224" s="213"/>
      <c r="CD224" s="213"/>
      <c r="CE224" s="213"/>
      <c r="CF224" s="213"/>
      <c r="CG224" s="213"/>
      <c r="CH224" s="213"/>
      <c r="CI224" s="213"/>
      <c r="CJ224" s="213"/>
      <c r="CK224" s="213"/>
      <c r="CL224" s="213"/>
      <c r="CM224" s="213"/>
      <c r="CN224" s="213"/>
      <c r="CO224" s="213"/>
      <c r="CP224" s="213"/>
      <c r="CQ224" s="213"/>
    </row>
    <row r="225" ht="15.75" customHeight="1">
      <c r="A225" s="213"/>
      <c r="B225" s="213"/>
      <c r="C225" s="213"/>
      <c r="D225" s="213"/>
      <c r="E225" s="213"/>
      <c r="F225" s="213"/>
      <c r="G225" s="213"/>
      <c r="H225" s="213"/>
      <c r="I225" s="213"/>
      <c r="J225" s="213"/>
      <c r="K225" s="213"/>
      <c r="L225" s="213"/>
      <c r="M225" s="213"/>
      <c r="N225" s="213"/>
      <c r="O225" s="213"/>
      <c r="P225" s="213"/>
      <c r="Q225" s="238"/>
      <c r="R225" s="213"/>
      <c r="S225" s="213"/>
      <c r="T225" s="213"/>
      <c r="U225" s="213"/>
      <c r="V225" s="213"/>
      <c r="W225" s="213"/>
      <c r="X225" s="215"/>
      <c r="Y225" s="213"/>
      <c r="Z225" s="213"/>
      <c r="AA225" s="213"/>
      <c r="AB225" s="213"/>
      <c r="AC225" s="213"/>
      <c r="AD225" s="215"/>
      <c r="AE225" s="213"/>
      <c r="AF225" s="213"/>
      <c r="AG225" s="213"/>
      <c r="AH225" s="947"/>
      <c r="AI225" s="213"/>
      <c r="AJ225" s="215"/>
      <c r="AK225" s="213"/>
      <c r="AL225" s="213"/>
      <c r="AM225" s="213"/>
      <c r="AN225" s="947"/>
      <c r="AO225" s="213"/>
      <c r="AP225" s="215"/>
      <c r="AQ225" s="213"/>
      <c r="AR225" s="213"/>
      <c r="AS225" s="213"/>
      <c r="AT225" s="947"/>
      <c r="AU225" s="213"/>
      <c r="AV225" s="215"/>
      <c r="AW225" s="213"/>
      <c r="AX225" s="213"/>
      <c r="AY225" s="213"/>
      <c r="AZ225" s="947"/>
      <c r="BA225" s="213"/>
      <c r="BB225" s="215"/>
      <c r="BC225" s="213"/>
      <c r="BD225" s="213"/>
      <c r="BE225" s="213"/>
      <c r="BF225" s="947"/>
      <c r="BG225" s="213"/>
      <c r="BH225" s="215"/>
      <c r="BI225" s="213"/>
      <c r="BJ225" s="213"/>
      <c r="BK225" s="213"/>
      <c r="BL225" s="948"/>
      <c r="BM225" s="213"/>
      <c r="BN225" s="213"/>
      <c r="BO225" s="213"/>
      <c r="BP225" s="213"/>
      <c r="BQ225" s="213"/>
      <c r="BR225" s="326"/>
      <c r="BS225" s="213"/>
      <c r="BT225" s="215"/>
      <c r="BU225" s="213"/>
      <c r="BV225" s="213"/>
      <c r="BW225" s="213"/>
      <c r="BX225" s="213"/>
      <c r="BY225" s="213"/>
      <c r="BZ225" s="213"/>
      <c r="CA225" s="213"/>
      <c r="CB225" s="213"/>
      <c r="CC225" s="213"/>
      <c r="CD225" s="213"/>
      <c r="CE225" s="213"/>
      <c r="CF225" s="213"/>
      <c r="CG225" s="213"/>
      <c r="CH225" s="213"/>
      <c r="CI225" s="213"/>
      <c r="CJ225" s="213"/>
      <c r="CK225" s="213"/>
      <c r="CL225" s="213"/>
      <c r="CM225" s="213"/>
      <c r="CN225" s="213"/>
      <c r="CO225" s="213"/>
      <c r="CP225" s="213"/>
      <c r="CQ225" s="213"/>
    </row>
    <row r="226" ht="15.75" customHeight="1">
      <c r="A226" s="213"/>
      <c r="B226" s="213"/>
      <c r="C226" s="213"/>
      <c r="D226" s="213"/>
      <c r="E226" s="213"/>
      <c r="F226" s="213"/>
      <c r="G226" s="213"/>
      <c r="H226" s="213"/>
      <c r="I226" s="213"/>
      <c r="J226" s="213"/>
      <c r="K226" s="213"/>
      <c r="L226" s="213"/>
      <c r="M226" s="213"/>
      <c r="N226" s="213"/>
      <c r="O226" s="213"/>
      <c r="P226" s="213"/>
      <c r="Q226" s="238"/>
      <c r="R226" s="213"/>
      <c r="S226" s="213"/>
      <c r="T226" s="213"/>
      <c r="U226" s="213"/>
      <c r="V226" s="213"/>
      <c r="W226" s="213"/>
      <c r="X226" s="215"/>
      <c r="Y226" s="213"/>
      <c r="Z226" s="213"/>
      <c r="AA226" s="213"/>
      <c r="AB226" s="213"/>
      <c r="AC226" s="213"/>
      <c r="AD226" s="215"/>
      <c r="AE226" s="213"/>
      <c r="AF226" s="213"/>
      <c r="AG226" s="213"/>
      <c r="AH226" s="947"/>
      <c r="AI226" s="213"/>
      <c r="AJ226" s="215"/>
      <c r="AK226" s="213"/>
      <c r="AL226" s="213"/>
      <c r="AM226" s="213"/>
      <c r="AN226" s="947"/>
      <c r="AO226" s="213"/>
      <c r="AP226" s="215"/>
      <c r="AQ226" s="213"/>
      <c r="AR226" s="213"/>
      <c r="AS226" s="213"/>
      <c r="AT226" s="947"/>
      <c r="AU226" s="213"/>
      <c r="AV226" s="215"/>
      <c r="AW226" s="213"/>
      <c r="AX226" s="213"/>
      <c r="AY226" s="213"/>
      <c r="AZ226" s="947"/>
      <c r="BA226" s="213"/>
      <c r="BB226" s="215"/>
      <c r="BC226" s="213"/>
      <c r="BD226" s="213"/>
      <c r="BE226" s="213"/>
      <c r="BF226" s="947"/>
      <c r="BG226" s="213"/>
      <c r="BH226" s="215"/>
      <c r="BI226" s="213"/>
      <c r="BJ226" s="213"/>
      <c r="BK226" s="213"/>
      <c r="BL226" s="948"/>
      <c r="BM226" s="213"/>
      <c r="BN226" s="213"/>
      <c r="BO226" s="213"/>
      <c r="BP226" s="213"/>
      <c r="BQ226" s="213"/>
      <c r="BR226" s="326"/>
      <c r="BS226" s="213"/>
      <c r="BT226" s="215"/>
      <c r="BU226" s="213"/>
      <c r="BV226" s="213"/>
      <c r="BW226" s="213"/>
      <c r="BX226" s="213"/>
      <c r="BY226" s="213"/>
      <c r="BZ226" s="213"/>
      <c r="CA226" s="213"/>
      <c r="CB226" s="213"/>
      <c r="CC226" s="213"/>
      <c r="CD226" s="213"/>
      <c r="CE226" s="213"/>
      <c r="CF226" s="213"/>
      <c r="CG226" s="213"/>
      <c r="CH226" s="213"/>
      <c r="CI226" s="213"/>
      <c r="CJ226" s="213"/>
      <c r="CK226" s="213"/>
      <c r="CL226" s="213"/>
      <c r="CM226" s="213"/>
      <c r="CN226" s="213"/>
      <c r="CO226" s="213"/>
      <c r="CP226" s="213"/>
      <c r="CQ226" s="213"/>
    </row>
    <row r="227" ht="15.75" customHeight="1">
      <c r="A227" s="213"/>
      <c r="B227" s="213"/>
      <c r="C227" s="213"/>
      <c r="D227" s="213"/>
      <c r="E227" s="213"/>
      <c r="F227" s="213"/>
      <c r="G227" s="213"/>
      <c r="H227" s="213"/>
      <c r="I227" s="213"/>
      <c r="J227" s="213"/>
      <c r="K227" s="213"/>
      <c r="L227" s="213"/>
      <c r="M227" s="213"/>
      <c r="N227" s="213"/>
      <c r="O227" s="213"/>
      <c r="P227" s="213"/>
      <c r="Q227" s="238"/>
      <c r="R227" s="213"/>
      <c r="S227" s="213"/>
      <c r="T227" s="213"/>
      <c r="U227" s="213"/>
      <c r="V227" s="213"/>
      <c r="W227" s="213"/>
      <c r="X227" s="215"/>
      <c r="Y227" s="213"/>
      <c r="Z227" s="213"/>
      <c r="AA227" s="213"/>
      <c r="AB227" s="213"/>
      <c r="AC227" s="213"/>
      <c r="AD227" s="215"/>
      <c r="AE227" s="213"/>
      <c r="AF227" s="213"/>
      <c r="AG227" s="213"/>
      <c r="AH227" s="947"/>
      <c r="AI227" s="213"/>
      <c r="AJ227" s="215"/>
      <c r="AK227" s="213"/>
      <c r="AL227" s="213"/>
      <c r="AM227" s="213"/>
      <c r="AN227" s="947"/>
      <c r="AO227" s="213"/>
      <c r="AP227" s="215"/>
      <c r="AQ227" s="213"/>
      <c r="AR227" s="213"/>
      <c r="AS227" s="213"/>
      <c r="AT227" s="947"/>
      <c r="AU227" s="213"/>
      <c r="AV227" s="215"/>
      <c r="AW227" s="213"/>
      <c r="AX227" s="213"/>
      <c r="AY227" s="213"/>
      <c r="AZ227" s="947"/>
      <c r="BA227" s="213"/>
      <c r="BB227" s="215"/>
      <c r="BC227" s="213"/>
      <c r="BD227" s="213"/>
      <c r="BE227" s="213"/>
      <c r="BF227" s="947"/>
      <c r="BG227" s="213"/>
      <c r="BH227" s="215"/>
      <c r="BI227" s="213"/>
      <c r="BJ227" s="213"/>
      <c r="BK227" s="213"/>
      <c r="BL227" s="948"/>
      <c r="BM227" s="213"/>
      <c r="BN227" s="213"/>
      <c r="BO227" s="213"/>
      <c r="BP227" s="213"/>
      <c r="BQ227" s="213"/>
      <c r="BR227" s="326"/>
      <c r="BS227" s="213"/>
      <c r="BT227" s="215"/>
      <c r="BU227" s="213"/>
      <c r="BV227" s="213"/>
      <c r="BW227" s="213"/>
      <c r="BX227" s="213"/>
      <c r="BY227" s="213"/>
      <c r="BZ227" s="213"/>
      <c r="CA227" s="213"/>
      <c r="CB227" s="213"/>
      <c r="CC227" s="213"/>
      <c r="CD227" s="213"/>
      <c r="CE227" s="213"/>
      <c r="CF227" s="213"/>
      <c r="CG227" s="213"/>
      <c r="CH227" s="213"/>
      <c r="CI227" s="213"/>
      <c r="CJ227" s="213"/>
      <c r="CK227" s="213"/>
      <c r="CL227" s="213"/>
      <c r="CM227" s="213"/>
      <c r="CN227" s="213"/>
      <c r="CO227" s="213"/>
      <c r="CP227" s="213"/>
      <c r="CQ227" s="213"/>
    </row>
    <row r="228" ht="15.75" customHeight="1">
      <c r="A228" s="213"/>
      <c r="B228" s="213"/>
      <c r="C228" s="213"/>
      <c r="D228" s="213"/>
      <c r="E228" s="213"/>
      <c r="F228" s="213"/>
      <c r="G228" s="213"/>
      <c r="H228" s="213"/>
      <c r="I228" s="213"/>
      <c r="J228" s="213"/>
      <c r="K228" s="213"/>
      <c r="L228" s="213"/>
      <c r="M228" s="213"/>
      <c r="N228" s="213"/>
      <c r="O228" s="213"/>
      <c r="P228" s="213"/>
      <c r="Q228" s="238"/>
      <c r="R228" s="213"/>
      <c r="S228" s="213"/>
      <c r="T228" s="213"/>
      <c r="U228" s="213"/>
      <c r="V228" s="213"/>
      <c r="W228" s="213"/>
      <c r="X228" s="215"/>
      <c r="Y228" s="213"/>
      <c r="Z228" s="213"/>
      <c r="AA228" s="213"/>
      <c r="AB228" s="213"/>
      <c r="AC228" s="213"/>
      <c r="AD228" s="215"/>
      <c r="AE228" s="213"/>
      <c r="AF228" s="213"/>
      <c r="AG228" s="213"/>
      <c r="AH228" s="947"/>
      <c r="AI228" s="213"/>
      <c r="AJ228" s="215"/>
      <c r="AK228" s="213"/>
      <c r="AL228" s="213"/>
      <c r="AM228" s="213"/>
      <c r="AN228" s="947"/>
      <c r="AO228" s="213"/>
      <c r="AP228" s="215"/>
      <c r="AQ228" s="213"/>
      <c r="AR228" s="213"/>
      <c r="AS228" s="213"/>
      <c r="AT228" s="947"/>
      <c r="AU228" s="213"/>
      <c r="AV228" s="215"/>
      <c r="AW228" s="213"/>
      <c r="AX228" s="213"/>
      <c r="AY228" s="213"/>
      <c r="AZ228" s="947"/>
      <c r="BA228" s="213"/>
      <c r="BB228" s="215"/>
      <c r="BC228" s="213"/>
      <c r="BD228" s="213"/>
      <c r="BE228" s="213"/>
      <c r="BF228" s="947"/>
      <c r="BG228" s="213"/>
      <c r="BH228" s="215"/>
      <c r="BI228" s="213"/>
      <c r="BJ228" s="213"/>
      <c r="BK228" s="213"/>
      <c r="BL228" s="948"/>
      <c r="BM228" s="213"/>
      <c r="BN228" s="213"/>
      <c r="BO228" s="213"/>
      <c r="BP228" s="213"/>
      <c r="BQ228" s="213"/>
      <c r="BR228" s="326"/>
      <c r="BS228" s="213"/>
      <c r="BT228" s="215"/>
      <c r="BU228" s="213"/>
      <c r="BV228" s="213"/>
      <c r="BW228" s="213"/>
      <c r="BX228" s="213"/>
      <c r="BY228" s="213"/>
      <c r="BZ228" s="213"/>
      <c r="CA228" s="213"/>
      <c r="CB228" s="213"/>
      <c r="CC228" s="213"/>
      <c r="CD228" s="213"/>
      <c r="CE228" s="213"/>
      <c r="CF228" s="213"/>
      <c r="CG228" s="213"/>
      <c r="CH228" s="213"/>
      <c r="CI228" s="213"/>
      <c r="CJ228" s="213"/>
      <c r="CK228" s="213"/>
      <c r="CL228" s="213"/>
      <c r="CM228" s="213"/>
      <c r="CN228" s="213"/>
      <c r="CO228" s="213"/>
      <c r="CP228" s="213"/>
      <c r="CQ228" s="213"/>
    </row>
    <row r="229" ht="15.75" customHeight="1">
      <c r="A229" s="213"/>
      <c r="B229" s="213"/>
      <c r="C229" s="213"/>
      <c r="D229" s="213"/>
      <c r="E229" s="213"/>
      <c r="F229" s="213"/>
      <c r="G229" s="213"/>
      <c r="H229" s="213"/>
      <c r="I229" s="213"/>
      <c r="J229" s="213"/>
      <c r="K229" s="213"/>
      <c r="L229" s="213"/>
      <c r="M229" s="213"/>
      <c r="N229" s="213"/>
      <c r="O229" s="213"/>
      <c r="P229" s="213"/>
      <c r="Q229" s="238"/>
      <c r="R229" s="213"/>
      <c r="S229" s="213"/>
      <c r="T229" s="213"/>
      <c r="U229" s="213"/>
      <c r="V229" s="213"/>
      <c r="W229" s="213"/>
      <c r="X229" s="215"/>
      <c r="Y229" s="213"/>
      <c r="Z229" s="213"/>
      <c r="AA229" s="213"/>
      <c r="AB229" s="213"/>
      <c r="AC229" s="213"/>
      <c r="AD229" s="215"/>
      <c r="AE229" s="213"/>
      <c r="AF229" s="213"/>
      <c r="AG229" s="213"/>
      <c r="AH229" s="947"/>
      <c r="AI229" s="213"/>
      <c r="AJ229" s="215"/>
      <c r="AK229" s="213"/>
      <c r="AL229" s="213"/>
      <c r="AM229" s="213"/>
      <c r="AN229" s="947"/>
      <c r="AO229" s="213"/>
      <c r="AP229" s="215"/>
      <c r="AQ229" s="213"/>
      <c r="AR229" s="213"/>
      <c r="AS229" s="213"/>
      <c r="AT229" s="947"/>
      <c r="AU229" s="213"/>
      <c r="AV229" s="215"/>
      <c r="AW229" s="213"/>
      <c r="AX229" s="213"/>
      <c r="AY229" s="213"/>
      <c r="AZ229" s="947"/>
      <c r="BA229" s="213"/>
      <c r="BB229" s="215"/>
      <c r="BC229" s="213"/>
      <c r="BD229" s="213"/>
      <c r="BE229" s="213"/>
      <c r="BF229" s="947"/>
      <c r="BG229" s="213"/>
      <c r="BH229" s="215"/>
      <c r="BI229" s="213"/>
      <c r="BJ229" s="213"/>
      <c r="BK229" s="213"/>
      <c r="BL229" s="948"/>
      <c r="BM229" s="213"/>
      <c r="BN229" s="213"/>
      <c r="BO229" s="213"/>
      <c r="BP229" s="213"/>
      <c r="BQ229" s="213"/>
      <c r="BR229" s="326"/>
      <c r="BS229" s="213"/>
      <c r="BT229" s="215"/>
      <c r="BU229" s="213"/>
      <c r="BV229" s="213"/>
      <c r="BW229" s="213"/>
      <c r="BX229" s="213"/>
      <c r="BY229" s="213"/>
      <c r="BZ229" s="213"/>
      <c r="CA229" s="213"/>
      <c r="CB229" s="213"/>
      <c r="CC229" s="213"/>
      <c r="CD229" s="213"/>
      <c r="CE229" s="213"/>
      <c r="CF229" s="213"/>
      <c r="CG229" s="213"/>
      <c r="CH229" s="213"/>
      <c r="CI229" s="213"/>
      <c r="CJ229" s="213"/>
      <c r="CK229" s="213"/>
      <c r="CL229" s="213"/>
      <c r="CM229" s="213"/>
      <c r="CN229" s="213"/>
      <c r="CO229" s="213"/>
      <c r="CP229" s="213"/>
      <c r="CQ229" s="213"/>
    </row>
    <row r="230" ht="15.75" customHeight="1">
      <c r="A230" s="213"/>
      <c r="B230" s="213"/>
      <c r="C230" s="213"/>
      <c r="D230" s="213"/>
      <c r="E230" s="213"/>
      <c r="F230" s="213"/>
      <c r="G230" s="213"/>
      <c r="H230" s="213"/>
      <c r="I230" s="213"/>
      <c r="J230" s="213"/>
      <c r="K230" s="213"/>
      <c r="L230" s="213"/>
      <c r="M230" s="213"/>
      <c r="N230" s="213"/>
      <c r="O230" s="213"/>
      <c r="P230" s="213"/>
      <c r="Q230" s="238"/>
      <c r="R230" s="213"/>
      <c r="S230" s="213"/>
      <c r="T230" s="213"/>
      <c r="U230" s="213"/>
      <c r="V230" s="213"/>
      <c r="W230" s="213"/>
      <c r="X230" s="215"/>
      <c r="Y230" s="213"/>
      <c r="Z230" s="213"/>
      <c r="AA230" s="213"/>
      <c r="AB230" s="213"/>
      <c r="AC230" s="213"/>
      <c r="AD230" s="215"/>
      <c r="AE230" s="213"/>
      <c r="AF230" s="213"/>
      <c r="AG230" s="213"/>
      <c r="AH230" s="947"/>
      <c r="AI230" s="213"/>
      <c r="AJ230" s="215"/>
      <c r="AK230" s="213"/>
      <c r="AL230" s="213"/>
      <c r="AM230" s="213"/>
      <c r="AN230" s="947"/>
      <c r="AO230" s="213"/>
      <c r="AP230" s="215"/>
      <c r="AQ230" s="213"/>
      <c r="AR230" s="213"/>
      <c r="AS230" s="213"/>
      <c r="AT230" s="947"/>
      <c r="AU230" s="213"/>
      <c r="AV230" s="215"/>
      <c r="AW230" s="213"/>
      <c r="AX230" s="213"/>
      <c r="AY230" s="213"/>
      <c r="AZ230" s="947"/>
      <c r="BA230" s="213"/>
      <c r="BB230" s="215"/>
      <c r="BC230" s="213"/>
      <c r="BD230" s="213"/>
      <c r="BE230" s="213"/>
      <c r="BF230" s="947"/>
      <c r="BG230" s="213"/>
      <c r="BH230" s="215"/>
      <c r="BI230" s="213"/>
      <c r="BJ230" s="213"/>
      <c r="BK230" s="213"/>
      <c r="BL230" s="948"/>
      <c r="BM230" s="213"/>
      <c r="BN230" s="213"/>
      <c r="BO230" s="213"/>
      <c r="BP230" s="213"/>
      <c r="BQ230" s="213"/>
      <c r="BR230" s="326"/>
      <c r="BS230" s="213"/>
      <c r="BT230" s="215"/>
      <c r="BU230" s="213"/>
      <c r="BV230" s="213"/>
      <c r="BW230" s="213"/>
      <c r="BX230" s="213"/>
      <c r="BY230" s="213"/>
      <c r="BZ230" s="213"/>
      <c r="CA230" s="213"/>
      <c r="CB230" s="213"/>
      <c r="CC230" s="213"/>
      <c r="CD230" s="213"/>
      <c r="CE230" s="213"/>
      <c r="CF230" s="213"/>
      <c r="CG230" s="213"/>
      <c r="CH230" s="213"/>
      <c r="CI230" s="213"/>
      <c r="CJ230" s="213"/>
      <c r="CK230" s="213"/>
      <c r="CL230" s="213"/>
      <c r="CM230" s="213"/>
      <c r="CN230" s="213"/>
      <c r="CO230" s="213"/>
      <c r="CP230" s="213"/>
      <c r="CQ230" s="213"/>
    </row>
    <row r="231" ht="15.75" customHeight="1">
      <c r="A231" s="213"/>
      <c r="B231" s="213"/>
      <c r="C231" s="213"/>
      <c r="D231" s="213"/>
      <c r="E231" s="213"/>
      <c r="F231" s="213"/>
      <c r="G231" s="213"/>
      <c r="H231" s="213"/>
      <c r="I231" s="213"/>
      <c r="J231" s="213"/>
      <c r="K231" s="213"/>
      <c r="L231" s="213"/>
      <c r="M231" s="213"/>
      <c r="N231" s="213"/>
      <c r="O231" s="213"/>
      <c r="P231" s="213"/>
      <c r="Q231" s="238"/>
      <c r="R231" s="213"/>
      <c r="S231" s="213"/>
      <c r="T231" s="213"/>
      <c r="U231" s="213"/>
      <c r="V231" s="213"/>
      <c r="W231" s="213"/>
      <c r="X231" s="215"/>
      <c r="Y231" s="213"/>
      <c r="Z231" s="213"/>
      <c r="AA231" s="213"/>
      <c r="AB231" s="213"/>
      <c r="AC231" s="213"/>
      <c r="AD231" s="215"/>
      <c r="AE231" s="213"/>
      <c r="AF231" s="213"/>
      <c r="AG231" s="213"/>
      <c r="AH231" s="947"/>
      <c r="AI231" s="213"/>
      <c r="AJ231" s="215"/>
      <c r="AK231" s="213"/>
      <c r="AL231" s="213"/>
      <c r="AM231" s="213"/>
      <c r="AN231" s="947"/>
      <c r="AO231" s="213"/>
      <c r="AP231" s="215"/>
      <c r="AQ231" s="213"/>
      <c r="AR231" s="213"/>
      <c r="AS231" s="213"/>
      <c r="AT231" s="947"/>
      <c r="AU231" s="213"/>
      <c r="AV231" s="215"/>
      <c r="AW231" s="213"/>
      <c r="AX231" s="213"/>
      <c r="AY231" s="213"/>
      <c r="AZ231" s="947"/>
      <c r="BA231" s="213"/>
      <c r="BB231" s="215"/>
      <c r="BC231" s="213"/>
      <c r="BD231" s="213"/>
      <c r="BE231" s="213"/>
      <c r="BF231" s="947"/>
      <c r="BG231" s="213"/>
      <c r="BH231" s="215"/>
      <c r="BI231" s="213"/>
      <c r="BJ231" s="213"/>
      <c r="BK231" s="213"/>
      <c r="BL231" s="948"/>
      <c r="BM231" s="213"/>
      <c r="BN231" s="213"/>
      <c r="BO231" s="213"/>
      <c r="BP231" s="213"/>
      <c r="BQ231" s="213"/>
      <c r="BR231" s="326"/>
      <c r="BS231" s="213"/>
      <c r="BT231" s="215"/>
      <c r="BU231" s="213"/>
      <c r="BV231" s="213"/>
      <c r="BW231" s="213"/>
      <c r="BX231" s="213"/>
      <c r="BY231" s="213"/>
      <c r="BZ231" s="213"/>
      <c r="CA231" s="213"/>
      <c r="CB231" s="213"/>
      <c r="CC231" s="213"/>
      <c r="CD231" s="213"/>
      <c r="CE231" s="213"/>
      <c r="CF231" s="213"/>
      <c r="CG231" s="213"/>
      <c r="CH231" s="213"/>
      <c r="CI231" s="213"/>
      <c r="CJ231" s="213"/>
      <c r="CK231" s="213"/>
      <c r="CL231" s="213"/>
      <c r="CM231" s="213"/>
      <c r="CN231" s="213"/>
      <c r="CO231" s="213"/>
      <c r="CP231" s="213"/>
      <c r="CQ231" s="213"/>
    </row>
    <row r="232" ht="15.75" customHeight="1">
      <c r="A232" s="213"/>
      <c r="B232" s="213"/>
      <c r="C232" s="213"/>
      <c r="D232" s="213"/>
      <c r="E232" s="213"/>
      <c r="F232" s="213"/>
      <c r="G232" s="213"/>
      <c r="H232" s="213"/>
      <c r="I232" s="213"/>
      <c r="J232" s="213"/>
      <c r="K232" s="213"/>
      <c r="L232" s="213"/>
      <c r="M232" s="213"/>
      <c r="N232" s="213"/>
      <c r="O232" s="213"/>
      <c r="P232" s="213"/>
      <c r="Q232" s="238"/>
      <c r="R232" s="213"/>
      <c r="S232" s="213"/>
      <c r="T232" s="213"/>
      <c r="U232" s="213"/>
      <c r="V232" s="213"/>
      <c r="W232" s="213"/>
      <c r="X232" s="215"/>
      <c r="Y232" s="213"/>
      <c r="Z232" s="213"/>
      <c r="AA232" s="213"/>
      <c r="AB232" s="213"/>
      <c r="AC232" s="213"/>
      <c r="AD232" s="215"/>
      <c r="AE232" s="213"/>
      <c r="AF232" s="213"/>
      <c r="AG232" s="213"/>
      <c r="AH232" s="947"/>
      <c r="AI232" s="213"/>
      <c r="AJ232" s="215"/>
      <c r="AK232" s="213"/>
      <c r="AL232" s="213"/>
      <c r="AM232" s="213"/>
      <c r="AN232" s="947"/>
      <c r="AO232" s="213"/>
      <c r="AP232" s="215"/>
      <c r="AQ232" s="213"/>
      <c r="AR232" s="213"/>
      <c r="AS232" s="213"/>
      <c r="AT232" s="947"/>
      <c r="AU232" s="213"/>
      <c r="AV232" s="215"/>
      <c r="AW232" s="213"/>
      <c r="AX232" s="213"/>
      <c r="AY232" s="213"/>
      <c r="AZ232" s="947"/>
      <c r="BA232" s="213"/>
      <c r="BB232" s="215"/>
      <c r="BC232" s="213"/>
      <c r="BD232" s="213"/>
      <c r="BE232" s="213"/>
      <c r="BF232" s="947"/>
      <c r="BG232" s="213"/>
      <c r="BH232" s="215"/>
      <c r="BI232" s="213"/>
      <c r="BJ232" s="213"/>
      <c r="BK232" s="213"/>
      <c r="BL232" s="948"/>
      <c r="BM232" s="213"/>
      <c r="BN232" s="213"/>
      <c r="BO232" s="213"/>
      <c r="BP232" s="213"/>
      <c r="BQ232" s="213"/>
      <c r="BR232" s="326"/>
      <c r="BS232" s="213"/>
      <c r="BT232" s="215"/>
      <c r="BU232" s="213"/>
      <c r="BV232" s="213"/>
      <c r="BW232" s="213"/>
      <c r="BX232" s="213"/>
      <c r="BY232" s="213"/>
      <c r="BZ232" s="213"/>
      <c r="CA232" s="213"/>
      <c r="CB232" s="213"/>
      <c r="CC232" s="213"/>
      <c r="CD232" s="213"/>
      <c r="CE232" s="213"/>
      <c r="CF232" s="213"/>
      <c r="CG232" s="213"/>
      <c r="CH232" s="213"/>
      <c r="CI232" s="213"/>
      <c r="CJ232" s="213"/>
      <c r="CK232" s="213"/>
      <c r="CL232" s="213"/>
      <c r="CM232" s="213"/>
      <c r="CN232" s="213"/>
      <c r="CO232" s="213"/>
      <c r="CP232" s="213"/>
      <c r="CQ232" s="213"/>
    </row>
    <row r="233" ht="15.75" customHeight="1">
      <c r="A233" s="213"/>
      <c r="B233" s="213"/>
      <c r="C233" s="213"/>
      <c r="D233" s="213"/>
      <c r="E233" s="213"/>
      <c r="F233" s="213"/>
      <c r="G233" s="213"/>
      <c r="H233" s="213"/>
      <c r="I233" s="213"/>
      <c r="J233" s="213"/>
      <c r="K233" s="213"/>
      <c r="L233" s="213"/>
      <c r="M233" s="213"/>
      <c r="N233" s="213"/>
      <c r="O233" s="213"/>
      <c r="P233" s="213"/>
      <c r="Q233" s="238"/>
      <c r="R233" s="213"/>
      <c r="S233" s="213"/>
      <c r="T233" s="213"/>
      <c r="U233" s="213"/>
      <c r="V233" s="213"/>
      <c r="W233" s="213"/>
      <c r="X233" s="215"/>
      <c r="Y233" s="213"/>
      <c r="Z233" s="213"/>
      <c r="AA233" s="213"/>
      <c r="AB233" s="213"/>
      <c r="AC233" s="213"/>
      <c r="AD233" s="215"/>
      <c r="AE233" s="213"/>
      <c r="AF233" s="213"/>
      <c r="AG233" s="213"/>
      <c r="AH233" s="947"/>
      <c r="AI233" s="213"/>
      <c r="AJ233" s="215"/>
      <c r="AK233" s="213"/>
      <c r="AL233" s="213"/>
      <c r="AM233" s="213"/>
      <c r="AN233" s="947"/>
      <c r="AO233" s="213"/>
      <c r="AP233" s="215"/>
      <c r="AQ233" s="213"/>
      <c r="AR233" s="213"/>
      <c r="AS233" s="213"/>
      <c r="AT233" s="947"/>
      <c r="AU233" s="213"/>
      <c r="AV233" s="215"/>
      <c r="AW233" s="213"/>
      <c r="AX233" s="213"/>
      <c r="AY233" s="213"/>
      <c r="AZ233" s="947"/>
      <c r="BA233" s="213"/>
      <c r="BB233" s="215"/>
      <c r="BC233" s="213"/>
      <c r="BD233" s="213"/>
      <c r="BE233" s="213"/>
      <c r="BF233" s="947"/>
      <c r="BG233" s="213"/>
      <c r="BH233" s="215"/>
      <c r="BI233" s="213"/>
      <c r="BJ233" s="213"/>
      <c r="BK233" s="213"/>
      <c r="BL233" s="948"/>
      <c r="BM233" s="213"/>
      <c r="BN233" s="213"/>
      <c r="BO233" s="213"/>
      <c r="BP233" s="213"/>
      <c r="BQ233" s="213"/>
      <c r="BR233" s="326"/>
      <c r="BS233" s="213"/>
      <c r="BT233" s="215"/>
      <c r="BU233" s="213"/>
      <c r="BV233" s="213"/>
      <c r="BW233" s="213"/>
      <c r="BX233" s="213"/>
      <c r="BY233" s="213"/>
      <c r="BZ233" s="213"/>
      <c r="CA233" s="213"/>
      <c r="CB233" s="213"/>
      <c r="CC233" s="213"/>
      <c r="CD233" s="213"/>
      <c r="CE233" s="213"/>
      <c r="CF233" s="213"/>
      <c r="CG233" s="213"/>
      <c r="CH233" s="213"/>
      <c r="CI233" s="213"/>
      <c r="CJ233" s="213"/>
      <c r="CK233" s="213"/>
      <c r="CL233" s="213"/>
      <c r="CM233" s="213"/>
      <c r="CN233" s="213"/>
      <c r="CO233" s="213"/>
      <c r="CP233" s="213"/>
      <c r="CQ233" s="213"/>
    </row>
    <row r="234" ht="15.75" customHeight="1">
      <c r="A234" s="213"/>
      <c r="B234" s="213"/>
      <c r="C234" s="213"/>
      <c r="D234" s="213"/>
      <c r="E234" s="213"/>
      <c r="F234" s="213"/>
      <c r="G234" s="213"/>
      <c r="H234" s="213"/>
      <c r="I234" s="213"/>
      <c r="J234" s="213"/>
      <c r="K234" s="213"/>
      <c r="L234" s="213"/>
      <c r="M234" s="213"/>
      <c r="N234" s="213"/>
      <c r="O234" s="213"/>
      <c r="P234" s="213"/>
      <c r="Q234" s="238"/>
      <c r="R234" s="213"/>
      <c r="S234" s="213"/>
      <c r="T234" s="213"/>
      <c r="U234" s="213"/>
      <c r="V234" s="213"/>
      <c r="W234" s="213"/>
      <c r="X234" s="215"/>
      <c r="Y234" s="213"/>
      <c r="Z234" s="213"/>
      <c r="AA234" s="213"/>
      <c r="AB234" s="213"/>
      <c r="AC234" s="213"/>
      <c r="AD234" s="215"/>
      <c r="AE234" s="213"/>
      <c r="AF234" s="213"/>
      <c r="AG234" s="213"/>
      <c r="AH234" s="947"/>
      <c r="AI234" s="213"/>
      <c r="AJ234" s="215"/>
      <c r="AK234" s="213"/>
      <c r="AL234" s="213"/>
      <c r="AM234" s="213"/>
      <c r="AN234" s="947"/>
      <c r="AO234" s="213"/>
      <c r="AP234" s="215"/>
      <c r="AQ234" s="213"/>
      <c r="AR234" s="213"/>
      <c r="AS234" s="213"/>
      <c r="AT234" s="947"/>
      <c r="AU234" s="213"/>
      <c r="AV234" s="215"/>
      <c r="AW234" s="213"/>
      <c r="AX234" s="213"/>
      <c r="AY234" s="213"/>
      <c r="AZ234" s="947"/>
      <c r="BA234" s="213"/>
      <c r="BB234" s="215"/>
      <c r="BC234" s="213"/>
      <c r="BD234" s="213"/>
      <c r="BE234" s="213"/>
      <c r="BF234" s="947"/>
      <c r="BG234" s="213"/>
      <c r="BH234" s="215"/>
      <c r="BI234" s="213"/>
      <c r="BJ234" s="213"/>
      <c r="BK234" s="213"/>
      <c r="BL234" s="948"/>
      <c r="BM234" s="213"/>
      <c r="BN234" s="213"/>
      <c r="BO234" s="213"/>
      <c r="BP234" s="213"/>
      <c r="BQ234" s="213"/>
      <c r="BR234" s="326"/>
      <c r="BS234" s="213"/>
      <c r="BT234" s="215"/>
      <c r="BU234" s="213"/>
      <c r="BV234" s="213"/>
      <c r="BW234" s="213"/>
      <c r="BX234" s="213"/>
      <c r="BY234" s="213"/>
      <c r="BZ234" s="213"/>
      <c r="CA234" s="213"/>
      <c r="CB234" s="213"/>
      <c r="CC234" s="213"/>
      <c r="CD234" s="213"/>
      <c r="CE234" s="213"/>
      <c r="CF234" s="213"/>
      <c r="CG234" s="213"/>
      <c r="CH234" s="213"/>
      <c r="CI234" s="213"/>
      <c r="CJ234" s="213"/>
      <c r="CK234" s="213"/>
      <c r="CL234" s="213"/>
      <c r="CM234" s="213"/>
      <c r="CN234" s="213"/>
      <c r="CO234" s="213"/>
      <c r="CP234" s="213"/>
      <c r="CQ234" s="213"/>
    </row>
    <row r="235" ht="15.75" customHeight="1">
      <c r="A235" s="213"/>
      <c r="B235" s="213"/>
      <c r="C235" s="213"/>
      <c r="D235" s="213"/>
      <c r="E235" s="213"/>
      <c r="F235" s="213"/>
      <c r="G235" s="213"/>
      <c r="H235" s="213"/>
      <c r="I235" s="213"/>
      <c r="J235" s="213"/>
      <c r="K235" s="213"/>
      <c r="L235" s="213"/>
      <c r="M235" s="213"/>
      <c r="N235" s="213"/>
      <c r="O235" s="213"/>
      <c r="P235" s="213"/>
      <c r="Q235" s="238"/>
      <c r="R235" s="213"/>
      <c r="S235" s="213"/>
      <c r="T235" s="213"/>
      <c r="U235" s="213"/>
      <c r="V235" s="213"/>
      <c r="W235" s="213"/>
      <c r="X235" s="215"/>
      <c r="Y235" s="213"/>
      <c r="Z235" s="213"/>
      <c r="AA235" s="213"/>
      <c r="AB235" s="213"/>
      <c r="AC235" s="213"/>
      <c r="AD235" s="215"/>
      <c r="AE235" s="213"/>
      <c r="AF235" s="213"/>
      <c r="AG235" s="213"/>
      <c r="AH235" s="947"/>
      <c r="AI235" s="213"/>
      <c r="AJ235" s="215"/>
      <c r="AK235" s="213"/>
      <c r="AL235" s="213"/>
      <c r="AM235" s="213"/>
      <c r="AN235" s="947"/>
      <c r="AO235" s="213"/>
      <c r="AP235" s="215"/>
      <c r="AQ235" s="213"/>
      <c r="AR235" s="213"/>
      <c r="AS235" s="213"/>
      <c r="AT235" s="947"/>
      <c r="AU235" s="213"/>
      <c r="AV235" s="215"/>
      <c r="AW235" s="213"/>
      <c r="AX235" s="213"/>
      <c r="AY235" s="213"/>
      <c r="AZ235" s="947"/>
      <c r="BA235" s="213"/>
      <c r="BB235" s="215"/>
      <c r="BC235" s="213"/>
      <c r="BD235" s="213"/>
      <c r="BE235" s="213"/>
      <c r="BF235" s="947"/>
      <c r="BG235" s="213"/>
      <c r="BH235" s="215"/>
      <c r="BI235" s="213"/>
      <c r="BJ235" s="213"/>
      <c r="BK235" s="213"/>
      <c r="BL235" s="948"/>
      <c r="BM235" s="213"/>
      <c r="BN235" s="213"/>
      <c r="BO235" s="213"/>
      <c r="BP235" s="213"/>
      <c r="BQ235" s="213"/>
      <c r="BR235" s="326"/>
      <c r="BS235" s="213"/>
      <c r="BT235" s="215"/>
      <c r="BU235" s="213"/>
      <c r="BV235" s="213"/>
      <c r="BW235" s="213"/>
      <c r="BX235" s="213"/>
      <c r="BY235" s="213"/>
      <c r="BZ235" s="213"/>
      <c r="CA235" s="213"/>
      <c r="CB235" s="213"/>
      <c r="CC235" s="213"/>
      <c r="CD235" s="213"/>
      <c r="CE235" s="213"/>
      <c r="CF235" s="213"/>
      <c r="CG235" s="213"/>
      <c r="CH235" s="213"/>
      <c r="CI235" s="213"/>
      <c r="CJ235" s="213"/>
      <c r="CK235" s="213"/>
      <c r="CL235" s="213"/>
      <c r="CM235" s="213"/>
      <c r="CN235" s="213"/>
      <c r="CO235" s="213"/>
      <c r="CP235" s="213"/>
      <c r="CQ235" s="213"/>
    </row>
    <row r="236" ht="15.75" customHeight="1">
      <c r="A236" s="213"/>
      <c r="B236" s="213"/>
      <c r="C236" s="213"/>
      <c r="D236" s="213"/>
      <c r="E236" s="213"/>
      <c r="F236" s="213"/>
      <c r="G236" s="213"/>
      <c r="H236" s="213"/>
      <c r="I236" s="213"/>
      <c r="J236" s="213"/>
      <c r="K236" s="213"/>
      <c r="L236" s="213"/>
      <c r="M236" s="213"/>
      <c r="N236" s="213"/>
      <c r="O236" s="213"/>
      <c r="P236" s="213"/>
      <c r="Q236" s="238"/>
      <c r="R236" s="213"/>
      <c r="S236" s="213"/>
      <c r="T236" s="213"/>
      <c r="U236" s="213"/>
      <c r="V236" s="213"/>
      <c r="W236" s="213"/>
      <c r="X236" s="215"/>
      <c r="Y236" s="213"/>
      <c r="Z236" s="213"/>
      <c r="AA236" s="213"/>
      <c r="AB236" s="213"/>
      <c r="AC236" s="213"/>
      <c r="AD236" s="215"/>
      <c r="AE236" s="213"/>
      <c r="AF236" s="213"/>
      <c r="AG236" s="213"/>
      <c r="AH236" s="947"/>
      <c r="AI236" s="213"/>
      <c r="AJ236" s="215"/>
      <c r="AK236" s="213"/>
      <c r="AL236" s="213"/>
      <c r="AM236" s="213"/>
      <c r="AN236" s="947"/>
      <c r="AO236" s="213"/>
      <c r="AP236" s="215"/>
      <c r="AQ236" s="213"/>
      <c r="AR236" s="213"/>
      <c r="AS236" s="213"/>
      <c r="AT236" s="947"/>
      <c r="AU236" s="213"/>
      <c r="AV236" s="215"/>
      <c r="AW236" s="213"/>
      <c r="AX236" s="213"/>
      <c r="AY236" s="213"/>
      <c r="AZ236" s="947"/>
      <c r="BA236" s="213"/>
      <c r="BB236" s="215"/>
      <c r="BC236" s="213"/>
      <c r="BD236" s="213"/>
      <c r="BE236" s="213"/>
      <c r="BF236" s="947"/>
      <c r="BG236" s="213"/>
      <c r="BH236" s="215"/>
      <c r="BI236" s="213"/>
      <c r="BJ236" s="213"/>
      <c r="BK236" s="213"/>
      <c r="BL236" s="948"/>
      <c r="BM236" s="213"/>
      <c r="BN236" s="213"/>
      <c r="BO236" s="213"/>
      <c r="BP236" s="213"/>
      <c r="BQ236" s="213"/>
      <c r="BR236" s="326"/>
      <c r="BS236" s="213"/>
      <c r="BT236" s="215"/>
      <c r="BU236" s="213"/>
      <c r="BV236" s="213"/>
      <c r="BW236" s="213"/>
      <c r="BX236" s="213"/>
      <c r="BY236" s="213"/>
      <c r="BZ236" s="213"/>
      <c r="CA236" s="213"/>
      <c r="CB236" s="213"/>
      <c r="CC236" s="213"/>
      <c r="CD236" s="213"/>
      <c r="CE236" s="213"/>
      <c r="CF236" s="213"/>
      <c r="CG236" s="213"/>
      <c r="CH236" s="213"/>
      <c r="CI236" s="213"/>
      <c r="CJ236" s="213"/>
      <c r="CK236" s="213"/>
      <c r="CL236" s="213"/>
      <c r="CM236" s="213"/>
      <c r="CN236" s="213"/>
      <c r="CO236" s="213"/>
      <c r="CP236" s="213"/>
      <c r="CQ236" s="213"/>
    </row>
    <row r="237" ht="15.75" customHeight="1">
      <c r="A237" s="213"/>
      <c r="B237" s="213"/>
      <c r="C237" s="213"/>
      <c r="D237" s="213"/>
      <c r="E237" s="213"/>
      <c r="F237" s="213"/>
      <c r="G237" s="213"/>
      <c r="H237" s="213"/>
      <c r="I237" s="213"/>
      <c r="J237" s="213"/>
      <c r="K237" s="213"/>
      <c r="L237" s="213"/>
      <c r="M237" s="213"/>
      <c r="N237" s="213"/>
      <c r="O237" s="213"/>
      <c r="P237" s="213"/>
      <c r="Q237" s="238"/>
      <c r="R237" s="213"/>
      <c r="S237" s="213"/>
      <c r="T237" s="213"/>
      <c r="U237" s="213"/>
      <c r="V237" s="213"/>
      <c r="W237" s="213"/>
      <c r="X237" s="215"/>
      <c r="Y237" s="213"/>
      <c r="Z237" s="213"/>
      <c r="AA237" s="213"/>
      <c r="AB237" s="213"/>
      <c r="AC237" s="213"/>
      <c r="AD237" s="215"/>
      <c r="AE237" s="213"/>
      <c r="AF237" s="213"/>
      <c r="AG237" s="213"/>
      <c r="AH237" s="947"/>
      <c r="AI237" s="213"/>
      <c r="AJ237" s="215"/>
      <c r="AK237" s="213"/>
      <c r="AL237" s="213"/>
      <c r="AM237" s="213"/>
      <c r="AN237" s="947"/>
      <c r="AO237" s="213"/>
      <c r="AP237" s="215"/>
      <c r="AQ237" s="213"/>
      <c r="AR237" s="213"/>
      <c r="AS237" s="213"/>
      <c r="AT237" s="947"/>
      <c r="AU237" s="213"/>
      <c r="AV237" s="215"/>
      <c r="AW237" s="213"/>
      <c r="AX237" s="213"/>
      <c r="AY237" s="213"/>
      <c r="AZ237" s="947"/>
      <c r="BA237" s="213"/>
      <c r="BB237" s="215"/>
      <c r="BC237" s="213"/>
      <c r="BD237" s="213"/>
      <c r="BE237" s="213"/>
      <c r="BF237" s="947"/>
      <c r="BG237" s="213"/>
      <c r="BH237" s="215"/>
      <c r="BI237" s="213"/>
      <c r="BJ237" s="213"/>
      <c r="BK237" s="213"/>
      <c r="BL237" s="948"/>
      <c r="BM237" s="213"/>
      <c r="BN237" s="213"/>
      <c r="BO237" s="213"/>
      <c r="BP237" s="213"/>
      <c r="BQ237" s="213"/>
      <c r="BR237" s="326"/>
      <c r="BS237" s="213"/>
      <c r="BT237" s="215"/>
      <c r="BU237" s="213"/>
      <c r="BV237" s="213"/>
      <c r="BW237" s="213"/>
      <c r="BX237" s="213"/>
      <c r="BY237" s="213"/>
      <c r="BZ237" s="213"/>
      <c r="CA237" s="213"/>
      <c r="CB237" s="213"/>
      <c r="CC237" s="213"/>
      <c r="CD237" s="213"/>
      <c r="CE237" s="213"/>
      <c r="CF237" s="213"/>
      <c r="CG237" s="213"/>
      <c r="CH237" s="213"/>
      <c r="CI237" s="213"/>
      <c r="CJ237" s="213"/>
      <c r="CK237" s="213"/>
      <c r="CL237" s="213"/>
      <c r="CM237" s="213"/>
      <c r="CN237" s="213"/>
      <c r="CO237" s="213"/>
      <c r="CP237" s="213"/>
      <c r="CQ237" s="213"/>
    </row>
    <row r="238" ht="15.75" customHeight="1">
      <c r="A238" s="213"/>
      <c r="B238" s="213"/>
      <c r="C238" s="213"/>
      <c r="D238" s="213"/>
      <c r="E238" s="213"/>
      <c r="F238" s="213"/>
      <c r="G238" s="213"/>
      <c r="H238" s="213"/>
      <c r="I238" s="213"/>
      <c r="J238" s="213"/>
      <c r="K238" s="213"/>
      <c r="L238" s="213"/>
      <c r="M238" s="213"/>
      <c r="N238" s="213"/>
      <c r="O238" s="213"/>
      <c r="P238" s="213"/>
      <c r="Q238" s="238"/>
      <c r="R238" s="213"/>
      <c r="S238" s="213"/>
      <c r="T238" s="213"/>
      <c r="U238" s="213"/>
      <c r="V238" s="213"/>
      <c r="W238" s="213"/>
      <c r="X238" s="215"/>
      <c r="Y238" s="213"/>
      <c r="Z238" s="213"/>
      <c r="AA238" s="213"/>
      <c r="AB238" s="213"/>
      <c r="AC238" s="213"/>
      <c r="AD238" s="215"/>
      <c r="AE238" s="213"/>
      <c r="AF238" s="213"/>
      <c r="AG238" s="213"/>
      <c r="AH238" s="947"/>
      <c r="AI238" s="213"/>
      <c r="AJ238" s="215"/>
      <c r="AK238" s="213"/>
      <c r="AL238" s="213"/>
      <c r="AM238" s="213"/>
      <c r="AN238" s="947"/>
      <c r="AO238" s="213"/>
      <c r="AP238" s="215"/>
      <c r="AQ238" s="213"/>
      <c r="AR238" s="213"/>
      <c r="AS238" s="213"/>
      <c r="AT238" s="947"/>
      <c r="AU238" s="213"/>
      <c r="AV238" s="215"/>
      <c r="AW238" s="213"/>
      <c r="AX238" s="213"/>
      <c r="AY238" s="213"/>
      <c r="AZ238" s="947"/>
      <c r="BA238" s="213"/>
      <c r="BB238" s="215"/>
      <c r="BC238" s="213"/>
      <c r="BD238" s="213"/>
      <c r="BE238" s="213"/>
      <c r="BF238" s="947"/>
      <c r="BG238" s="213"/>
      <c r="BH238" s="215"/>
      <c r="BI238" s="213"/>
      <c r="BJ238" s="213"/>
      <c r="BK238" s="213"/>
      <c r="BL238" s="948"/>
      <c r="BM238" s="213"/>
      <c r="BN238" s="213"/>
      <c r="BO238" s="213"/>
      <c r="BP238" s="213"/>
      <c r="BQ238" s="213"/>
      <c r="BR238" s="326"/>
      <c r="BS238" s="213"/>
      <c r="BT238" s="215"/>
      <c r="BU238" s="213"/>
      <c r="BV238" s="213"/>
      <c r="BW238" s="213"/>
      <c r="BX238" s="213"/>
      <c r="BY238" s="213"/>
      <c r="BZ238" s="213"/>
      <c r="CA238" s="213"/>
      <c r="CB238" s="213"/>
      <c r="CC238" s="213"/>
      <c r="CD238" s="213"/>
      <c r="CE238" s="213"/>
      <c r="CF238" s="213"/>
      <c r="CG238" s="213"/>
      <c r="CH238" s="213"/>
      <c r="CI238" s="213"/>
      <c r="CJ238" s="213"/>
      <c r="CK238" s="213"/>
      <c r="CL238" s="213"/>
      <c r="CM238" s="213"/>
      <c r="CN238" s="213"/>
      <c r="CO238" s="213"/>
      <c r="CP238" s="213"/>
      <c r="CQ238" s="213"/>
    </row>
    <row r="239" ht="15.75" customHeight="1">
      <c r="A239" s="213"/>
      <c r="B239" s="213"/>
      <c r="C239" s="213"/>
      <c r="D239" s="213"/>
      <c r="E239" s="213"/>
      <c r="F239" s="213"/>
      <c r="G239" s="213"/>
      <c r="H239" s="213"/>
      <c r="I239" s="213"/>
      <c r="J239" s="213"/>
      <c r="K239" s="213"/>
      <c r="L239" s="213"/>
      <c r="M239" s="213"/>
      <c r="N239" s="213"/>
      <c r="O239" s="213"/>
      <c r="P239" s="213"/>
      <c r="Q239" s="238"/>
      <c r="R239" s="213"/>
      <c r="S239" s="213"/>
      <c r="T239" s="213"/>
      <c r="U239" s="213"/>
      <c r="V239" s="213"/>
      <c r="W239" s="213"/>
      <c r="X239" s="215"/>
      <c r="Y239" s="213"/>
      <c r="Z239" s="213"/>
      <c r="AA239" s="213"/>
      <c r="AB239" s="213"/>
      <c r="AC239" s="213"/>
      <c r="AD239" s="215"/>
      <c r="AE239" s="213"/>
      <c r="AF239" s="213"/>
      <c r="AG239" s="213"/>
      <c r="AH239" s="947"/>
      <c r="AI239" s="213"/>
      <c r="AJ239" s="215"/>
      <c r="AK239" s="213"/>
      <c r="AL239" s="213"/>
      <c r="AM239" s="213"/>
      <c r="AN239" s="947"/>
      <c r="AO239" s="213"/>
      <c r="AP239" s="215"/>
      <c r="AQ239" s="213"/>
      <c r="AR239" s="213"/>
      <c r="AS239" s="213"/>
      <c r="AT239" s="947"/>
      <c r="AU239" s="213"/>
      <c r="AV239" s="215"/>
      <c r="AW239" s="213"/>
      <c r="AX239" s="213"/>
      <c r="AY239" s="213"/>
      <c r="AZ239" s="947"/>
      <c r="BA239" s="213"/>
      <c r="BB239" s="215"/>
      <c r="BC239" s="213"/>
      <c r="BD239" s="213"/>
      <c r="BE239" s="213"/>
      <c r="BF239" s="947"/>
      <c r="BG239" s="213"/>
      <c r="BH239" s="215"/>
      <c r="BI239" s="213"/>
      <c r="BJ239" s="213"/>
      <c r="BK239" s="213"/>
      <c r="BL239" s="948"/>
      <c r="BM239" s="213"/>
      <c r="BN239" s="213"/>
      <c r="BO239" s="213"/>
      <c r="BP239" s="213"/>
      <c r="BQ239" s="213"/>
      <c r="BR239" s="326"/>
      <c r="BS239" s="213"/>
      <c r="BT239" s="215"/>
      <c r="BU239" s="213"/>
      <c r="BV239" s="213"/>
      <c r="BW239" s="213"/>
      <c r="BX239" s="213"/>
      <c r="BY239" s="213"/>
      <c r="BZ239" s="213"/>
      <c r="CA239" s="213"/>
      <c r="CB239" s="213"/>
      <c r="CC239" s="213"/>
      <c r="CD239" s="213"/>
      <c r="CE239" s="213"/>
      <c r="CF239" s="213"/>
      <c r="CG239" s="213"/>
      <c r="CH239" s="213"/>
      <c r="CI239" s="213"/>
      <c r="CJ239" s="213"/>
      <c r="CK239" s="213"/>
      <c r="CL239" s="213"/>
      <c r="CM239" s="213"/>
      <c r="CN239" s="213"/>
      <c r="CO239" s="213"/>
      <c r="CP239" s="213"/>
      <c r="CQ239" s="213"/>
    </row>
    <row r="240" ht="15.75" customHeight="1">
      <c r="A240" s="213"/>
      <c r="B240" s="213"/>
      <c r="C240" s="213"/>
      <c r="D240" s="213"/>
      <c r="E240" s="213"/>
      <c r="F240" s="213"/>
      <c r="G240" s="213"/>
      <c r="H240" s="213"/>
      <c r="I240" s="213"/>
      <c r="J240" s="213"/>
      <c r="K240" s="213"/>
      <c r="L240" s="213"/>
      <c r="M240" s="213"/>
      <c r="N240" s="213"/>
      <c r="O240" s="213"/>
      <c r="P240" s="213"/>
      <c r="Q240" s="238"/>
      <c r="R240" s="213"/>
      <c r="S240" s="213"/>
      <c r="T240" s="213"/>
      <c r="U240" s="213"/>
      <c r="V240" s="213"/>
      <c r="W240" s="213"/>
      <c r="X240" s="215"/>
      <c r="Y240" s="213"/>
      <c r="Z240" s="213"/>
      <c r="AA240" s="213"/>
      <c r="AB240" s="213"/>
      <c r="AC240" s="213"/>
      <c r="AD240" s="215"/>
      <c r="AE240" s="213"/>
      <c r="AF240" s="213"/>
      <c r="AG240" s="213"/>
      <c r="AH240" s="947"/>
      <c r="AI240" s="213"/>
      <c r="AJ240" s="215"/>
      <c r="AK240" s="213"/>
      <c r="AL240" s="213"/>
      <c r="AM240" s="213"/>
      <c r="AN240" s="947"/>
      <c r="AO240" s="213"/>
      <c r="AP240" s="215"/>
      <c r="AQ240" s="213"/>
      <c r="AR240" s="213"/>
      <c r="AS240" s="213"/>
      <c r="AT240" s="947"/>
      <c r="AU240" s="213"/>
      <c r="AV240" s="215"/>
      <c r="AW240" s="213"/>
      <c r="AX240" s="213"/>
      <c r="AY240" s="213"/>
      <c r="AZ240" s="947"/>
      <c r="BA240" s="213"/>
      <c r="BB240" s="215"/>
      <c r="BC240" s="213"/>
      <c r="BD240" s="213"/>
      <c r="BE240" s="213"/>
      <c r="BF240" s="947"/>
      <c r="BG240" s="213"/>
      <c r="BH240" s="215"/>
      <c r="BI240" s="213"/>
      <c r="BJ240" s="213"/>
      <c r="BK240" s="213"/>
      <c r="BL240" s="948"/>
      <c r="BM240" s="213"/>
      <c r="BN240" s="213"/>
      <c r="BO240" s="213"/>
      <c r="BP240" s="213"/>
      <c r="BQ240" s="213"/>
      <c r="BR240" s="326"/>
      <c r="BS240" s="213"/>
      <c r="BT240" s="215"/>
      <c r="BU240" s="213"/>
      <c r="BV240" s="213"/>
      <c r="BW240" s="213"/>
      <c r="BX240" s="213"/>
      <c r="BY240" s="213"/>
      <c r="BZ240" s="213"/>
      <c r="CA240" s="213"/>
      <c r="CB240" s="213"/>
      <c r="CC240" s="213"/>
      <c r="CD240" s="213"/>
      <c r="CE240" s="213"/>
      <c r="CF240" s="213"/>
      <c r="CG240" s="213"/>
      <c r="CH240" s="213"/>
      <c r="CI240" s="213"/>
      <c r="CJ240" s="213"/>
      <c r="CK240" s="213"/>
      <c r="CL240" s="213"/>
      <c r="CM240" s="213"/>
      <c r="CN240" s="213"/>
      <c r="CO240" s="213"/>
      <c r="CP240" s="213"/>
      <c r="CQ240" s="213"/>
    </row>
    <row r="241" ht="15.75" customHeight="1">
      <c r="A241" s="213"/>
      <c r="B241" s="213"/>
      <c r="C241" s="213"/>
      <c r="D241" s="213"/>
      <c r="E241" s="213"/>
      <c r="F241" s="213"/>
      <c r="G241" s="213"/>
      <c r="H241" s="213"/>
      <c r="I241" s="213"/>
      <c r="J241" s="213"/>
      <c r="K241" s="213"/>
      <c r="L241" s="213"/>
      <c r="M241" s="213"/>
      <c r="N241" s="213"/>
      <c r="O241" s="213"/>
      <c r="P241" s="213"/>
      <c r="Q241" s="238"/>
      <c r="R241" s="213"/>
      <c r="S241" s="213"/>
      <c r="T241" s="213"/>
      <c r="U241" s="213"/>
      <c r="V241" s="213"/>
      <c r="W241" s="213"/>
      <c r="X241" s="215"/>
      <c r="Y241" s="213"/>
      <c r="Z241" s="213"/>
      <c r="AA241" s="213"/>
      <c r="AB241" s="213"/>
      <c r="AC241" s="213"/>
      <c r="AD241" s="215"/>
      <c r="AE241" s="213"/>
      <c r="AF241" s="213"/>
      <c r="AG241" s="213"/>
      <c r="AH241" s="947"/>
      <c r="AI241" s="213"/>
      <c r="AJ241" s="215"/>
      <c r="AK241" s="213"/>
      <c r="AL241" s="213"/>
      <c r="AM241" s="213"/>
      <c r="AN241" s="947"/>
      <c r="AO241" s="213"/>
      <c r="AP241" s="215"/>
      <c r="AQ241" s="213"/>
      <c r="AR241" s="213"/>
      <c r="AS241" s="213"/>
      <c r="AT241" s="947"/>
      <c r="AU241" s="213"/>
      <c r="AV241" s="215"/>
      <c r="AW241" s="213"/>
      <c r="AX241" s="213"/>
      <c r="AY241" s="213"/>
      <c r="AZ241" s="947"/>
      <c r="BA241" s="213"/>
      <c r="BB241" s="215"/>
      <c r="BC241" s="213"/>
      <c r="BD241" s="213"/>
      <c r="BE241" s="213"/>
      <c r="BF241" s="947"/>
      <c r="BG241" s="213"/>
      <c r="BH241" s="215"/>
      <c r="BI241" s="213"/>
      <c r="BJ241" s="213"/>
      <c r="BK241" s="213"/>
      <c r="BL241" s="948"/>
      <c r="BM241" s="213"/>
      <c r="BN241" s="213"/>
      <c r="BO241" s="213"/>
      <c r="BP241" s="213"/>
      <c r="BQ241" s="213"/>
      <c r="BR241" s="326"/>
      <c r="BS241" s="213"/>
      <c r="BT241" s="215"/>
      <c r="BU241" s="213"/>
      <c r="BV241" s="213"/>
      <c r="BW241" s="213"/>
      <c r="BX241" s="213"/>
      <c r="BY241" s="213"/>
      <c r="BZ241" s="213"/>
      <c r="CA241" s="213"/>
      <c r="CB241" s="213"/>
      <c r="CC241" s="213"/>
      <c r="CD241" s="213"/>
      <c r="CE241" s="213"/>
      <c r="CF241" s="213"/>
      <c r="CG241" s="213"/>
      <c r="CH241" s="213"/>
      <c r="CI241" s="213"/>
      <c r="CJ241" s="213"/>
      <c r="CK241" s="213"/>
      <c r="CL241" s="213"/>
      <c r="CM241" s="213"/>
      <c r="CN241" s="213"/>
      <c r="CO241" s="213"/>
      <c r="CP241" s="213"/>
      <c r="CQ241" s="213"/>
    </row>
    <row r="242" ht="15.75" customHeight="1">
      <c r="A242" s="213"/>
      <c r="B242" s="213"/>
      <c r="C242" s="213"/>
      <c r="D242" s="213"/>
      <c r="E242" s="213"/>
      <c r="F242" s="213"/>
      <c r="G242" s="213"/>
      <c r="H242" s="213"/>
      <c r="I242" s="213"/>
      <c r="J242" s="213"/>
      <c r="K242" s="213"/>
      <c r="L242" s="213"/>
      <c r="M242" s="213"/>
      <c r="N242" s="213"/>
      <c r="O242" s="213"/>
      <c r="P242" s="213"/>
      <c r="Q242" s="238"/>
      <c r="R242" s="213"/>
      <c r="S242" s="213"/>
      <c r="T242" s="213"/>
      <c r="U242" s="213"/>
      <c r="V242" s="213"/>
      <c r="W242" s="213"/>
      <c r="X242" s="215"/>
      <c r="Y242" s="213"/>
      <c r="Z242" s="213"/>
      <c r="AA242" s="213"/>
      <c r="AB242" s="213"/>
      <c r="AC242" s="213"/>
      <c r="AD242" s="215"/>
      <c r="AE242" s="213"/>
      <c r="AF242" s="213"/>
      <c r="AG242" s="213"/>
      <c r="AH242" s="947"/>
      <c r="AI242" s="213"/>
      <c r="AJ242" s="215"/>
      <c r="AK242" s="213"/>
      <c r="AL242" s="213"/>
      <c r="AM242" s="213"/>
      <c r="AN242" s="947"/>
      <c r="AO242" s="213"/>
      <c r="AP242" s="215"/>
      <c r="AQ242" s="213"/>
      <c r="AR242" s="213"/>
      <c r="AS242" s="213"/>
      <c r="AT242" s="947"/>
      <c r="AU242" s="213"/>
      <c r="AV242" s="215"/>
      <c r="AW242" s="213"/>
      <c r="AX242" s="213"/>
      <c r="AY242" s="213"/>
      <c r="AZ242" s="947"/>
      <c r="BA242" s="213"/>
      <c r="BB242" s="215"/>
      <c r="BC242" s="213"/>
      <c r="BD242" s="213"/>
      <c r="BE242" s="213"/>
      <c r="BF242" s="947"/>
      <c r="BG242" s="213"/>
      <c r="BH242" s="215"/>
      <c r="BI242" s="213"/>
      <c r="BJ242" s="213"/>
      <c r="BK242" s="213"/>
      <c r="BL242" s="948"/>
      <c r="BM242" s="213"/>
      <c r="BN242" s="213"/>
      <c r="BO242" s="213"/>
      <c r="BP242" s="213"/>
      <c r="BQ242" s="213"/>
      <c r="BR242" s="326"/>
      <c r="BS242" s="213"/>
      <c r="BT242" s="215"/>
      <c r="BU242" s="213"/>
      <c r="BV242" s="213"/>
      <c r="BW242" s="213"/>
      <c r="BX242" s="213"/>
      <c r="BY242" s="213"/>
      <c r="BZ242" s="213"/>
      <c r="CA242" s="213"/>
      <c r="CB242" s="213"/>
      <c r="CC242" s="213"/>
      <c r="CD242" s="213"/>
      <c r="CE242" s="213"/>
      <c r="CF242" s="213"/>
      <c r="CG242" s="213"/>
      <c r="CH242" s="213"/>
      <c r="CI242" s="213"/>
      <c r="CJ242" s="213"/>
      <c r="CK242" s="213"/>
      <c r="CL242" s="213"/>
      <c r="CM242" s="213"/>
      <c r="CN242" s="213"/>
      <c r="CO242" s="213"/>
      <c r="CP242" s="213"/>
      <c r="CQ242" s="213"/>
    </row>
    <row r="243" ht="15.75" customHeight="1">
      <c r="A243" s="213"/>
      <c r="B243" s="213"/>
      <c r="C243" s="213"/>
      <c r="D243" s="213"/>
      <c r="E243" s="213"/>
      <c r="F243" s="213"/>
      <c r="G243" s="213"/>
      <c r="H243" s="213"/>
      <c r="I243" s="213"/>
      <c r="J243" s="213"/>
      <c r="K243" s="213"/>
      <c r="L243" s="213"/>
      <c r="M243" s="213"/>
      <c r="N243" s="213"/>
      <c r="O243" s="213"/>
      <c r="P243" s="213"/>
      <c r="Q243" s="238"/>
      <c r="R243" s="213"/>
      <c r="S243" s="213"/>
      <c r="T243" s="213"/>
      <c r="U243" s="213"/>
      <c r="V243" s="213"/>
      <c r="W243" s="213"/>
      <c r="X243" s="215"/>
      <c r="Y243" s="213"/>
      <c r="Z243" s="213"/>
      <c r="AA243" s="213"/>
      <c r="AB243" s="213"/>
      <c r="AC243" s="213"/>
      <c r="AD243" s="215"/>
      <c r="AE243" s="213"/>
      <c r="AF243" s="213"/>
      <c r="AG243" s="213"/>
      <c r="AH243" s="947"/>
      <c r="AI243" s="213"/>
      <c r="AJ243" s="215"/>
      <c r="AK243" s="213"/>
      <c r="AL243" s="213"/>
      <c r="AM243" s="213"/>
      <c r="AN243" s="947"/>
      <c r="AO243" s="213"/>
      <c r="AP243" s="215"/>
      <c r="AQ243" s="213"/>
      <c r="AR243" s="213"/>
      <c r="AS243" s="213"/>
      <c r="AT243" s="947"/>
      <c r="AU243" s="213"/>
      <c r="AV243" s="215"/>
      <c r="AW243" s="213"/>
      <c r="AX243" s="213"/>
      <c r="AY243" s="213"/>
      <c r="AZ243" s="947"/>
      <c r="BA243" s="213"/>
      <c r="BB243" s="215"/>
      <c r="BC243" s="213"/>
      <c r="BD243" s="213"/>
      <c r="BE243" s="213"/>
      <c r="BF243" s="947"/>
      <c r="BG243" s="213"/>
      <c r="BH243" s="215"/>
      <c r="BI243" s="213"/>
      <c r="BJ243" s="213"/>
      <c r="BK243" s="213"/>
      <c r="BL243" s="948"/>
      <c r="BM243" s="213"/>
      <c r="BN243" s="213"/>
      <c r="BO243" s="213"/>
      <c r="BP243" s="213"/>
      <c r="BQ243" s="213"/>
      <c r="BR243" s="326"/>
      <c r="BS243" s="213"/>
      <c r="BT243" s="215"/>
      <c r="BU243" s="213"/>
      <c r="BV243" s="213"/>
      <c r="BW243" s="213"/>
      <c r="BX243" s="213"/>
      <c r="BY243" s="213"/>
      <c r="BZ243" s="213"/>
      <c r="CA243" s="213"/>
      <c r="CB243" s="213"/>
      <c r="CC243" s="213"/>
      <c r="CD243" s="213"/>
      <c r="CE243" s="213"/>
      <c r="CF243" s="213"/>
      <c r="CG243" s="213"/>
      <c r="CH243" s="213"/>
      <c r="CI243" s="213"/>
      <c r="CJ243" s="213"/>
      <c r="CK243" s="213"/>
      <c r="CL243" s="213"/>
      <c r="CM243" s="213"/>
      <c r="CN243" s="213"/>
      <c r="CO243" s="213"/>
      <c r="CP243" s="213"/>
      <c r="CQ243" s="213"/>
    </row>
    <row r="244" ht="15.75" customHeight="1">
      <c r="A244" s="213"/>
      <c r="B244" s="213"/>
      <c r="C244" s="213"/>
      <c r="D244" s="213"/>
      <c r="E244" s="213"/>
      <c r="F244" s="213"/>
      <c r="G244" s="213"/>
      <c r="H244" s="213"/>
      <c r="I244" s="213"/>
      <c r="J244" s="213"/>
      <c r="K244" s="213"/>
      <c r="L244" s="213"/>
      <c r="M244" s="213"/>
      <c r="N244" s="213"/>
      <c r="O244" s="213"/>
      <c r="P244" s="213"/>
      <c r="Q244" s="238"/>
      <c r="R244" s="213"/>
      <c r="S244" s="213"/>
      <c r="T244" s="213"/>
      <c r="U244" s="213"/>
      <c r="V244" s="213"/>
      <c r="W244" s="213"/>
      <c r="X244" s="215"/>
      <c r="Y244" s="213"/>
      <c r="Z244" s="213"/>
      <c r="AA244" s="213"/>
      <c r="AB244" s="213"/>
      <c r="AC244" s="213"/>
      <c r="AD244" s="215"/>
      <c r="AE244" s="213"/>
      <c r="AF244" s="213"/>
      <c r="AG244" s="213"/>
      <c r="AH244" s="947"/>
      <c r="AI244" s="213"/>
      <c r="AJ244" s="215"/>
      <c r="AK244" s="213"/>
      <c r="AL244" s="213"/>
      <c r="AM244" s="213"/>
      <c r="AN244" s="947"/>
      <c r="AO244" s="213"/>
      <c r="AP244" s="215"/>
      <c r="AQ244" s="213"/>
      <c r="AR244" s="213"/>
      <c r="AS244" s="213"/>
      <c r="AT244" s="947"/>
      <c r="AU244" s="213"/>
      <c r="AV244" s="215"/>
      <c r="AW244" s="213"/>
      <c r="AX244" s="213"/>
      <c r="AY244" s="213"/>
      <c r="AZ244" s="947"/>
      <c r="BA244" s="213"/>
      <c r="BB244" s="215"/>
      <c r="BC244" s="213"/>
      <c r="BD244" s="213"/>
      <c r="BE244" s="213"/>
      <c r="BF244" s="947"/>
      <c r="BG244" s="213"/>
      <c r="BH244" s="215"/>
      <c r="BI244" s="213"/>
      <c r="BJ244" s="213"/>
      <c r="BK244" s="213"/>
      <c r="BL244" s="948"/>
      <c r="BM244" s="213"/>
      <c r="BN244" s="213"/>
      <c r="BO244" s="213"/>
      <c r="BP244" s="213"/>
      <c r="BQ244" s="213"/>
      <c r="BR244" s="326"/>
      <c r="BS244" s="213"/>
      <c r="BT244" s="215"/>
      <c r="BU244" s="213"/>
      <c r="BV244" s="213"/>
      <c r="BW244" s="213"/>
      <c r="BX244" s="213"/>
      <c r="BY244" s="213"/>
      <c r="BZ244" s="213"/>
      <c r="CA244" s="213"/>
      <c r="CB244" s="213"/>
      <c r="CC244" s="213"/>
      <c r="CD244" s="213"/>
      <c r="CE244" s="213"/>
      <c r="CF244" s="213"/>
      <c r="CG244" s="213"/>
      <c r="CH244" s="213"/>
      <c r="CI244" s="213"/>
      <c r="CJ244" s="213"/>
      <c r="CK244" s="213"/>
      <c r="CL244" s="213"/>
      <c r="CM244" s="213"/>
      <c r="CN244" s="213"/>
      <c r="CO244" s="213"/>
      <c r="CP244" s="213"/>
      <c r="CQ244" s="213"/>
    </row>
    <row r="245" ht="15.75" customHeight="1">
      <c r="A245" s="213"/>
      <c r="B245" s="213"/>
      <c r="C245" s="213"/>
      <c r="D245" s="213"/>
      <c r="E245" s="213"/>
      <c r="F245" s="213"/>
      <c r="G245" s="213"/>
      <c r="H245" s="213"/>
      <c r="I245" s="213"/>
      <c r="J245" s="213"/>
      <c r="K245" s="213"/>
      <c r="L245" s="213"/>
      <c r="M245" s="213"/>
      <c r="N245" s="213"/>
      <c r="O245" s="213"/>
      <c r="P245" s="213"/>
      <c r="Q245" s="238"/>
      <c r="R245" s="213"/>
      <c r="S245" s="213"/>
      <c r="T245" s="213"/>
      <c r="U245" s="213"/>
      <c r="V245" s="213"/>
      <c r="W245" s="213"/>
      <c r="X245" s="215"/>
      <c r="Y245" s="213"/>
      <c r="Z245" s="213"/>
      <c r="AA245" s="213"/>
      <c r="AB245" s="213"/>
      <c r="AC245" s="213"/>
      <c r="AD245" s="215"/>
      <c r="AE245" s="213"/>
      <c r="AF245" s="213"/>
      <c r="AG245" s="213"/>
      <c r="AH245" s="947"/>
      <c r="AI245" s="213"/>
      <c r="AJ245" s="215"/>
      <c r="AK245" s="213"/>
      <c r="AL245" s="213"/>
      <c r="AM245" s="213"/>
      <c r="AN245" s="947"/>
      <c r="AO245" s="213"/>
      <c r="AP245" s="215"/>
      <c r="AQ245" s="213"/>
      <c r="AR245" s="213"/>
      <c r="AS245" s="213"/>
      <c r="AT245" s="947"/>
      <c r="AU245" s="213"/>
      <c r="AV245" s="215"/>
      <c r="AW245" s="213"/>
      <c r="AX245" s="213"/>
      <c r="AY245" s="213"/>
      <c r="AZ245" s="947"/>
      <c r="BA245" s="213"/>
      <c r="BB245" s="215"/>
      <c r="BC245" s="213"/>
      <c r="BD245" s="213"/>
      <c r="BE245" s="213"/>
      <c r="BF245" s="947"/>
      <c r="BG245" s="213"/>
      <c r="BH245" s="215"/>
      <c r="BI245" s="213"/>
      <c r="BJ245" s="213"/>
      <c r="BK245" s="213"/>
      <c r="BL245" s="948"/>
      <c r="BM245" s="213"/>
      <c r="BN245" s="213"/>
      <c r="BO245" s="213"/>
      <c r="BP245" s="213"/>
      <c r="BQ245" s="213"/>
      <c r="BR245" s="326"/>
      <c r="BS245" s="213"/>
      <c r="BT245" s="215"/>
      <c r="BU245" s="213"/>
      <c r="BV245" s="213"/>
      <c r="BW245" s="213"/>
      <c r="BX245" s="213"/>
      <c r="BY245" s="213"/>
      <c r="BZ245" s="213"/>
      <c r="CA245" s="213"/>
      <c r="CB245" s="213"/>
      <c r="CC245" s="213"/>
      <c r="CD245" s="213"/>
      <c r="CE245" s="213"/>
      <c r="CF245" s="213"/>
      <c r="CG245" s="213"/>
      <c r="CH245" s="213"/>
      <c r="CI245" s="213"/>
      <c r="CJ245" s="213"/>
      <c r="CK245" s="213"/>
      <c r="CL245" s="213"/>
      <c r="CM245" s="213"/>
      <c r="CN245" s="213"/>
      <c r="CO245" s="213"/>
      <c r="CP245" s="213"/>
      <c r="CQ245" s="213"/>
    </row>
    <row r="246" ht="15.75" customHeight="1">
      <c r="A246" s="213"/>
      <c r="B246" s="213"/>
      <c r="C246" s="213"/>
      <c r="D246" s="213"/>
      <c r="E246" s="213"/>
      <c r="F246" s="213"/>
      <c r="G246" s="213"/>
      <c r="H246" s="213"/>
      <c r="I246" s="213"/>
      <c r="J246" s="213"/>
      <c r="K246" s="213"/>
      <c r="L246" s="213"/>
      <c r="M246" s="213"/>
      <c r="N246" s="213"/>
      <c r="O246" s="213"/>
      <c r="P246" s="213"/>
      <c r="Q246" s="238"/>
      <c r="R246" s="213"/>
      <c r="S246" s="213"/>
      <c r="T246" s="213"/>
      <c r="U246" s="213"/>
      <c r="V246" s="213"/>
      <c r="W246" s="213"/>
      <c r="X246" s="215"/>
      <c r="Y246" s="213"/>
      <c r="Z246" s="213"/>
      <c r="AA246" s="213"/>
      <c r="AB246" s="213"/>
      <c r="AC246" s="213"/>
      <c r="AD246" s="215"/>
      <c r="AE246" s="213"/>
      <c r="AF246" s="213"/>
      <c r="AG246" s="213"/>
      <c r="AH246" s="947"/>
      <c r="AI246" s="213"/>
      <c r="AJ246" s="215"/>
      <c r="AK246" s="213"/>
      <c r="AL246" s="213"/>
      <c r="AM246" s="213"/>
      <c r="AN246" s="947"/>
      <c r="AO246" s="213"/>
      <c r="AP246" s="215"/>
      <c r="AQ246" s="213"/>
      <c r="AR246" s="213"/>
      <c r="AS246" s="213"/>
      <c r="AT246" s="947"/>
      <c r="AU246" s="213"/>
      <c r="AV246" s="215"/>
      <c r="AW246" s="213"/>
      <c r="AX246" s="213"/>
      <c r="AY246" s="213"/>
      <c r="AZ246" s="947"/>
      <c r="BA246" s="213"/>
      <c r="BB246" s="215"/>
      <c r="BC246" s="213"/>
      <c r="BD246" s="213"/>
      <c r="BE246" s="213"/>
      <c r="BF246" s="947"/>
      <c r="BG246" s="213"/>
      <c r="BH246" s="215"/>
      <c r="BI246" s="213"/>
      <c r="BJ246" s="213"/>
      <c r="BK246" s="213"/>
      <c r="BL246" s="948"/>
      <c r="BM246" s="213"/>
      <c r="BN246" s="213"/>
      <c r="BO246" s="213"/>
      <c r="BP246" s="213"/>
      <c r="BQ246" s="213"/>
      <c r="BR246" s="326"/>
      <c r="BS246" s="213"/>
      <c r="BT246" s="215"/>
      <c r="BU246" s="213"/>
      <c r="BV246" s="213"/>
      <c r="BW246" s="213"/>
      <c r="BX246" s="213"/>
      <c r="BY246" s="213"/>
      <c r="BZ246" s="213"/>
      <c r="CA246" s="213"/>
      <c r="CB246" s="213"/>
      <c r="CC246" s="213"/>
      <c r="CD246" s="213"/>
      <c r="CE246" s="213"/>
      <c r="CF246" s="213"/>
      <c r="CG246" s="213"/>
      <c r="CH246" s="213"/>
      <c r="CI246" s="213"/>
      <c r="CJ246" s="213"/>
      <c r="CK246" s="213"/>
      <c r="CL246" s="213"/>
      <c r="CM246" s="213"/>
      <c r="CN246" s="213"/>
      <c r="CO246" s="213"/>
      <c r="CP246" s="213"/>
      <c r="CQ246" s="213"/>
    </row>
    <row r="247" ht="15.75" customHeight="1">
      <c r="A247" s="213"/>
      <c r="B247" s="213"/>
      <c r="C247" s="213"/>
      <c r="D247" s="213"/>
      <c r="E247" s="213"/>
      <c r="F247" s="213"/>
      <c r="G247" s="213"/>
      <c r="H247" s="213"/>
      <c r="I247" s="213"/>
      <c r="J247" s="213"/>
      <c r="K247" s="213"/>
      <c r="L247" s="213"/>
      <c r="M247" s="213"/>
      <c r="N247" s="213"/>
      <c r="O247" s="213"/>
      <c r="P247" s="213"/>
      <c r="Q247" s="238"/>
      <c r="R247" s="213"/>
      <c r="S247" s="213"/>
      <c r="T247" s="213"/>
      <c r="U247" s="213"/>
      <c r="V247" s="213"/>
      <c r="W247" s="213"/>
      <c r="X247" s="215"/>
      <c r="Y247" s="213"/>
      <c r="Z247" s="213"/>
      <c r="AA247" s="213"/>
      <c r="AB247" s="213"/>
      <c r="AC247" s="213"/>
      <c r="AD247" s="215"/>
      <c r="AE247" s="213"/>
      <c r="AF247" s="213"/>
      <c r="AG247" s="213"/>
      <c r="AH247" s="947"/>
      <c r="AI247" s="213"/>
      <c r="AJ247" s="215"/>
      <c r="AK247" s="213"/>
      <c r="AL247" s="213"/>
      <c r="AM247" s="213"/>
      <c r="AN247" s="947"/>
      <c r="AO247" s="213"/>
      <c r="AP247" s="215"/>
      <c r="AQ247" s="213"/>
      <c r="AR247" s="213"/>
      <c r="AS247" s="213"/>
      <c r="AT247" s="947"/>
      <c r="AU247" s="213"/>
      <c r="AV247" s="215"/>
      <c r="AW247" s="213"/>
      <c r="AX247" s="213"/>
      <c r="AY247" s="213"/>
      <c r="AZ247" s="947"/>
      <c r="BA247" s="213"/>
      <c r="BB247" s="215"/>
      <c r="BC247" s="213"/>
      <c r="BD247" s="213"/>
      <c r="BE247" s="213"/>
      <c r="BF247" s="947"/>
      <c r="BG247" s="213"/>
      <c r="BH247" s="215"/>
      <c r="BI247" s="213"/>
      <c r="BJ247" s="213"/>
      <c r="BK247" s="213"/>
      <c r="BL247" s="948"/>
      <c r="BM247" s="213"/>
      <c r="BN247" s="213"/>
      <c r="BO247" s="213"/>
      <c r="BP247" s="213"/>
      <c r="BQ247" s="213"/>
      <c r="BR247" s="326"/>
      <c r="BS247" s="213"/>
      <c r="BT247" s="215"/>
      <c r="BU247" s="213"/>
      <c r="BV247" s="213"/>
      <c r="BW247" s="213"/>
      <c r="BX247" s="213"/>
      <c r="BY247" s="213"/>
      <c r="BZ247" s="213"/>
      <c r="CA247" s="213"/>
      <c r="CB247" s="213"/>
      <c r="CC247" s="213"/>
      <c r="CD247" s="213"/>
      <c r="CE247" s="213"/>
      <c r="CF247" s="213"/>
      <c r="CG247" s="213"/>
      <c r="CH247" s="213"/>
      <c r="CI247" s="213"/>
      <c r="CJ247" s="213"/>
      <c r="CK247" s="213"/>
      <c r="CL247" s="213"/>
      <c r="CM247" s="213"/>
      <c r="CN247" s="213"/>
      <c r="CO247" s="213"/>
      <c r="CP247" s="213"/>
      <c r="CQ247" s="213"/>
    </row>
    <row r="248" ht="15.75" customHeight="1">
      <c r="A248" s="213"/>
      <c r="B248" s="213"/>
      <c r="C248" s="213"/>
      <c r="D248" s="213"/>
      <c r="E248" s="213"/>
      <c r="F248" s="213"/>
      <c r="G248" s="213"/>
      <c r="H248" s="213"/>
      <c r="I248" s="213"/>
      <c r="J248" s="213"/>
      <c r="K248" s="213"/>
      <c r="L248" s="213"/>
      <c r="M248" s="213"/>
      <c r="N248" s="213"/>
      <c r="O248" s="213"/>
      <c r="P248" s="213"/>
      <c r="Q248" s="238"/>
      <c r="R248" s="213"/>
      <c r="S248" s="213"/>
      <c r="T248" s="213"/>
      <c r="U248" s="213"/>
      <c r="V248" s="213"/>
      <c r="W248" s="213"/>
      <c r="X248" s="215"/>
      <c r="Y248" s="213"/>
      <c r="Z248" s="213"/>
      <c r="AA248" s="213"/>
      <c r="AB248" s="213"/>
      <c r="AC248" s="213"/>
      <c r="AD248" s="215"/>
      <c r="AE248" s="213"/>
      <c r="AF248" s="213"/>
      <c r="AG248" s="213"/>
      <c r="AH248" s="947"/>
      <c r="AI248" s="213"/>
      <c r="AJ248" s="215"/>
      <c r="AK248" s="213"/>
      <c r="AL248" s="213"/>
      <c r="AM248" s="213"/>
      <c r="AN248" s="947"/>
      <c r="AO248" s="213"/>
      <c r="AP248" s="215"/>
      <c r="AQ248" s="213"/>
      <c r="AR248" s="213"/>
      <c r="AS248" s="213"/>
      <c r="AT248" s="947"/>
      <c r="AU248" s="213"/>
      <c r="AV248" s="215"/>
      <c r="AW248" s="213"/>
      <c r="AX248" s="213"/>
      <c r="AY248" s="213"/>
      <c r="AZ248" s="947"/>
      <c r="BA248" s="213"/>
      <c r="BB248" s="215"/>
      <c r="BC248" s="213"/>
      <c r="BD248" s="213"/>
      <c r="BE248" s="213"/>
      <c r="BF248" s="947"/>
      <c r="BG248" s="213"/>
      <c r="BH248" s="215"/>
      <c r="BI248" s="213"/>
      <c r="BJ248" s="213"/>
      <c r="BK248" s="213"/>
      <c r="BL248" s="948"/>
      <c r="BM248" s="213"/>
      <c r="BN248" s="213"/>
      <c r="BO248" s="213"/>
      <c r="BP248" s="213"/>
      <c r="BQ248" s="213"/>
      <c r="BR248" s="326"/>
      <c r="BS248" s="213"/>
      <c r="BT248" s="215"/>
      <c r="BU248" s="213"/>
      <c r="BV248" s="213"/>
      <c r="BW248" s="213"/>
      <c r="BX248" s="213"/>
      <c r="BY248" s="213"/>
      <c r="BZ248" s="213"/>
      <c r="CA248" s="213"/>
      <c r="CB248" s="213"/>
      <c r="CC248" s="213"/>
      <c r="CD248" s="213"/>
      <c r="CE248" s="213"/>
      <c r="CF248" s="213"/>
      <c r="CG248" s="213"/>
      <c r="CH248" s="213"/>
      <c r="CI248" s="213"/>
      <c r="CJ248" s="213"/>
      <c r="CK248" s="213"/>
      <c r="CL248" s="213"/>
      <c r="CM248" s="213"/>
      <c r="CN248" s="213"/>
      <c r="CO248" s="213"/>
      <c r="CP248" s="213"/>
      <c r="CQ248" s="213"/>
    </row>
    <row r="249" ht="15.75" customHeight="1">
      <c r="A249" s="213"/>
      <c r="B249" s="213"/>
      <c r="C249" s="213"/>
      <c r="D249" s="213"/>
      <c r="E249" s="213"/>
      <c r="F249" s="213"/>
      <c r="G249" s="213"/>
      <c r="H249" s="213"/>
      <c r="I249" s="213"/>
      <c r="J249" s="213"/>
      <c r="K249" s="213"/>
      <c r="L249" s="213"/>
      <c r="M249" s="213"/>
      <c r="N249" s="213"/>
      <c r="O249" s="213"/>
      <c r="P249" s="213"/>
      <c r="Q249" s="238"/>
      <c r="R249" s="213"/>
      <c r="S249" s="213"/>
      <c r="T249" s="213"/>
      <c r="U249" s="213"/>
      <c r="V249" s="213"/>
      <c r="W249" s="213"/>
      <c r="X249" s="215"/>
      <c r="Y249" s="213"/>
      <c r="Z249" s="213"/>
      <c r="AA249" s="213"/>
      <c r="AB249" s="213"/>
      <c r="AC249" s="213"/>
      <c r="AD249" s="215"/>
      <c r="AE249" s="213"/>
      <c r="AF249" s="213"/>
      <c r="AG249" s="213"/>
      <c r="AH249" s="947"/>
      <c r="AI249" s="213"/>
      <c r="AJ249" s="215"/>
      <c r="AK249" s="213"/>
      <c r="AL249" s="213"/>
      <c r="AM249" s="213"/>
      <c r="AN249" s="947"/>
      <c r="AO249" s="213"/>
      <c r="AP249" s="215"/>
      <c r="AQ249" s="213"/>
      <c r="AR249" s="213"/>
      <c r="AS249" s="213"/>
      <c r="AT249" s="947"/>
      <c r="AU249" s="213"/>
      <c r="AV249" s="215"/>
      <c r="AW249" s="213"/>
      <c r="AX249" s="213"/>
      <c r="AY249" s="213"/>
      <c r="AZ249" s="947"/>
      <c r="BA249" s="213"/>
      <c r="BB249" s="215"/>
      <c r="BC249" s="213"/>
      <c r="BD249" s="213"/>
      <c r="BE249" s="213"/>
      <c r="BF249" s="947"/>
      <c r="BG249" s="213"/>
      <c r="BH249" s="215"/>
      <c r="BI249" s="213"/>
      <c r="BJ249" s="213"/>
      <c r="BK249" s="213"/>
      <c r="BL249" s="948"/>
      <c r="BM249" s="213"/>
      <c r="BN249" s="213"/>
      <c r="BO249" s="213"/>
      <c r="BP249" s="213"/>
      <c r="BQ249" s="213"/>
      <c r="BR249" s="326"/>
      <c r="BS249" s="213"/>
      <c r="BT249" s="215"/>
      <c r="BU249" s="213"/>
      <c r="BV249" s="213"/>
      <c r="BW249" s="213"/>
      <c r="BX249" s="213"/>
      <c r="BY249" s="213"/>
      <c r="BZ249" s="213"/>
      <c r="CA249" s="213"/>
      <c r="CB249" s="213"/>
      <c r="CC249" s="213"/>
      <c r="CD249" s="213"/>
      <c r="CE249" s="213"/>
      <c r="CF249" s="213"/>
      <c r="CG249" s="213"/>
      <c r="CH249" s="213"/>
      <c r="CI249" s="213"/>
      <c r="CJ249" s="213"/>
      <c r="CK249" s="213"/>
      <c r="CL249" s="213"/>
      <c r="CM249" s="213"/>
      <c r="CN249" s="213"/>
      <c r="CO249" s="213"/>
      <c r="CP249" s="213"/>
      <c r="CQ249" s="213"/>
    </row>
    <row r="250" ht="15.75" customHeight="1">
      <c r="A250" s="213"/>
      <c r="B250" s="213"/>
      <c r="C250" s="213"/>
      <c r="D250" s="213"/>
      <c r="E250" s="213"/>
      <c r="F250" s="213"/>
      <c r="G250" s="213"/>
      <c r="H250" s="213"/>
      <c r="I250" s="213"/>
      <c r="J250" s="213"/>
      <c r="K250" s="213"/>
      <c r="L250" s="213"/>
      <c r="M250" s="213"/>
      <c r="N250" s="213"/>
      <c r="O250" s="213"/>
      <c r="P250" s="213"/>
      <c r="Q250" s="238"/>
      <c r="R250" s="213"/>
      <c r="S250" s="213"/>
      <c r="T250" s="213"/>
      <c r="U250" s="213"/>
      <c r="V250" s="213"/>
      <c r="W250" s="213"/>
      <c r="X250" s="215"/>
      <c r="Y250" s="213"/>
      <c r="Z250" s="213"/>
      <c r="AA250" s="213"/>
      <c r="AB250" s="213"/>
      <c r="AC250" s="213"/>
      <c r="AD250" s="215"/>
      <c r="AE250" s="213"/>
      <c r="AF250" s="213"/>
      <c r="AG250" s="213"/>
      <c r="AH250" s="947"/>
      <c r="AI250" s="213"/>
      <c r="AJ250" s="215"/>
      <c r="AK250" s="213"/>
      <c r="AL250" s="213"/>
      <c r="AM250" s="213"/>
      <c r="AN250" s="947"/>
      <c r="AO250" s="213"/>
      <c r="AP250" s="215"/>
      <c r="AQ250" s="213"/>
      <c r="AR250" s="213"/>
      <c r="AS250" s="213"/>
      <c r="AT250" s="947"/>
      <c r="AU250" s="213"/>
      <c r="AV250" s="215"/>
      <c r="AW250" s="213"/>
      <c r="AX250" s="213"/>
      <c r="AY250" s="213"/>
      <c r="AZ250" s="947"/>
      <c r="BA250" s="213"/>
      <c r="BB250" s="215"/>
      <c r="BC250" s="213"/>
      <c r="BD250" s="213"/>
      <c r="BE250" s="213"/>
      <c r="BF250" s="947"/>
      <c r="BG250" s="213"/>
      <c r="BH250" s="215"/>
      <c r="BI250" s="213"/>
      <c r="BJ250" s="213"/>
      <c r="BK250" s="213"/>
      <c r="BL250" s="948"/>
      <c r="BM250" s="213"/>
      <c r="BN250" s="213"/>
      <c r="BO250" s="213"/>
      <c r="BP250" s="213"/>
      <c r="BQ250" s="213"/>
      <c r="BR250" s="326"/>
      <c r="BS250" s="213"/>
      <c r="BT250" s="215"/>
      <c r="BU250" s="213"/>
      <c r="BV250" s="213"/>
      <c r="BW250" s="213"/>
      <c r="BX250" s="213"/>
      <c r="BY250" s="213"/>
      <c r="BZ250" s="213"/>
      <c r="CA250" s="213"/>
      <c r="CB250" s="213"/>
      <c r="CC250" s="213"/>
      <c r="CD250" s="213"/>
      <c r="CE250" s="213"/>
      <c r="CF250" s="213"/>
      <c r="CG250" s="213"/>
      <c r="CH250" s="213"/>
      <c r="CI250" s="213"/>
      <c r="CJ250" s="213"/>
      <c r="CK250" s="213"/>
      <c r="CL250" s="213"/>
      <c r="CM250" s="213"/>
      <c r="CN250" s="213"/>
      <c r="CO250" s="213"/>
      <c r="CP250" s="213"/>
      <c r="CQ250" s="213"/>
    </row>
    <row r="251" ht="15.75" customHeight="1">
      <c r="A251" s="213"/>
      <c r="B251" s="213"/>
      <c r="C251" s="213"/>
      <c r="D251" s="213"/>
      <c r="E251" s="213"/>
      <c r="F251" s="213"/>
      <c r="G251" s="213"/>
      <c r="H251" s="213"/>
      <c r="I251" s="213"/>
      <c r="J251" s="213"/>
      <c r="K251" s="213"/>
      <c r="L251" s="213"/>
      <c r="M251" s="213"/>
      <c r="N251" s="213"/>
      <c r="O251" s="213"/>
      <c r="P251" s="213"/>
      <c r="Q251" s="238"/>
      <c r="R251" s="213"/>
      <c r="S251" s="213"/>
      <c r="T251" s="213"/>
      <c r="U251" s="213"/>
      <c r="V251" s="213"/>
      <c r="W251" s="213"/>
      <c r="X251" s="215"/>
      <c r="Y251" s="213"/>
      <c r="Z251" s="213"/>
      <c r="AA251" s="213"/>
      <c r="AB251" s="213"/>
      <c r="AC251" s="213"/>
      <c r="AD251" s="215"/>
      <c r="AE251" s="213"/>
      <c r="AF251" s="213"/>
      <c r="AG251" s="213"/>
      <c r="AH251" s="947"/>
      <c r="AI251" s="213"/>
      <c r="AJ251" s="215"/>
      <c r="AK251" s="213"/>
      <c r="AL251" s="213"/>
      <c r="AM251" s="213"/>
      <c r="AN251" s="947"/>
      <c r="AO251" s="213"/>
      <c r="AP251" s="215"/>
      <c r="AQ251" s="213"/>
      <c r="AR251" s="213"/>
      <c r="AS251" s="213"/>
      <c r="AT251" s="947"/>
      <c r="AU251" s="213"/>
      <c r="AV251" s="215"/>
      <c r="AW251" s="213"/>
      <c r="AX251" s="213"/>
      <c r="AY251" s="213"/>
      <c r="AZ251" s="947"/>
      <c r="BA251" s="213"/>
      <c r="BB251" s="215"/>
      <c r="BC251" s="213"/>
      <c r="BD251" s="213"/>
      <c r="BE251" s="213"/>
      <c r="BF251" s="947"/>
      <c r="BG251" s="213"/>
      <c r="BH251" s="215"/>
      <c r="BI251" s="213"/>
      <c r="BJ251" s="213"/>
      <c r="BK251" s="213"/>
      <c r="BL251" s="948"/>
      <c r="BM251" s="213"/>
      <c r="BN251" s="213"/>
      <c r="BO251" s="213"/>
      <c r="BP251" s="213"/>
      <c r="BQ251" s="213"/>
      <c r="BR251" s="326"/>
      <c r="BS251" s="213"/>
      <c r="BT251" s="215"/>
      <c r="BU251" s="213"/>
      <c r="BV251" s="213"/>
      <c r="BW251" s="213"/>
      <c r="BX251" s="213"/>
      <c r="BY251" s="213"/>
      <c r="BZ251" s="213"/>
      <c r="CA251" s="213"/>
      <c r="CB251" s="213"/>
      <c r="CC251" s="213"/>
      <c r="CD251" s="213"/>
      <c r="CE251" s="213"/>
      <c r="CF251" s="213"/>
      <c r="CG251" s="213"/>
      <c r="CH251" s="213"/>
      <c r="CI251" s="213"/>
      <c r="CJ251" s="213"/>
      <c r="CK251" s="213"/>
      <c r="CL251" s="213"/>
      <c r="CM251" s="213"/>
      <c r="CN251" s="213"/>
      <c r="CO251" s="213"/>
      <c r="CP251" s="213"/>
      <c r="CQ251" s="213"/>
    </row>
    <row r="252" ht="15.75" customHeight="1">
      <c r="A252" s="213"/>
      <c r="B252" s="213"/>
      <c r="C252" s="213"/>
      <c r="D252" s="213"/>
      <c r="E252" s="213"/>
      <c r="F252" s="213"/>
      <c r="G252" s="213"/>
      <c r="H252" s="213"/>
      <c r="I252" s="213"/>
      <c r="J252" s="213"/>
      <c r="K252" s="213"/>
      <c r="L252" s="213"/>
      <c r="M252" s="213"/>
      <c r="N252" s="213"/>
      <c r="O252" s="213"/>
      <c r="P252" s="213"/>
      <c r="Q252" s="238"/>
      <c r="R252" s="213"/>
      <c r="S252" s="213"/>
      <c r="T252" s="213"/>
      <c r="U252" s="213"/>
      <c r="V252" s="213"/>
      <c r="W252" s="213"/>
      <c r="X252" s="215"/>
      <c r="Y252" s="213"/>
      <c r="Z252" s="213"/>
      <c r="AA252" s="213"/>
      <c r="AB252" s="213"/>
      <c r="AC252" s="213"/>
      <c r="AD252" s="215"/>
      <c r="AE252" s="213"/>
      <c r="AF252" s="213"/>
      <c r="AG252" s="213"/>
      <c r="AH252" s="947"/>
      <c r="AI252" s="213"/>
      <c r="AJ252" s="215"/>
      <c r="AK252" s="213"/>
      <c r="AL252" s="213"/>
      <c r="AM252" s="213"/>
      <c r="AN252" s="947"/>
      <c r="AO252" s="213"/>
      <c r="AP252" s="215"/>
      <c r="AQ252" s="213"/>
      <c r="AR252" s="213"/>
      <c r="AS252" s="213"/>
      <c r="AT252" s="947"/>
      <c r="AU252" s="213"/>
      <c r="AV252" s="215"/>
      <c r="AW252" s="213"/>
      <c r="AX252" s="213"/>
      <c r="AY252" s="213"/>
      <c r="AZ252" s="947"/>
      <c r="BA252" s="213"/>
      <c r="BB252" s="215"/>
      <c r="BC252" s="213"/>
      <c r="BD252" s="213"/>
      <c r="BE252" s="213"/>
      <c r="BF252" s="947"/>
      <c r="BG252" s="213"/>
      <c r="BH252" s="215"/>
      <c r="BI252" s="213"/>
      <c r="BJ252" s="213"/>
      <c r="BK252" s="213"/>
      <c r="BL252" s="948"/>
      <c r="BM252" s="213"/>
      <c r="BN252" s="213"/>
      <c r="BO252" s="213"/>
      <c r="BP252" s="213"/>
      <c r="BQ252" s="213"/>
      <c r="BR252" s="326"/>
      <c r="BS252" s="213"/>
      <c r="BT252" s="215"/>
      <c r="BU252" s="213"/>
      <c r="BV252" s="213"/>
      <c r="BW252" s="213"/>
      <c r="BX252" s="213"/>
      <c r="BY252" s="213"/>
      <c r="BZ252" s="213"/>
      <c r="CA252" s="213"/>
      <c r="CB252" s="213"/>
      <c r="CC252" s="213"/>
      <c r="CD252" s="213"/>
      <c r="CE252" s="213"/>
      <c r="CF252" s="213"/>
      <c r="CG252" s="213"/>
      <c r="CH252" s="213"/>
      <c r="CI252" s="213"/>
      <c r="CJ252" s="213"/>
      <c r="CK252" s="213"/>
      <c r="CL252" s="213"/>
      <c r="CM252" s="213"/>
      <c r="CN252" s="213"/>
      <c r="CO252" s="213"/>
      <c r="CP252" s="213"/>
      <c r="CQ252" s="213"/>
    </row>
    <row r="253" ht="15.75" customHeight="1">
      <c r="A253" s="213"/>
      <c r="B253" s="213"/>
      <c r="C253" s="213"/>
      <c r="D253" s="213"/>
      <c r="E253" s="213"/>
      <c r="F253" s="213"/>
      <c r="G253" s="213"/>
      <c r="H253" s="213"/>
      <c r="I253" s="213"/>
      <c r="J253" s="213"/>
      <c r="K253" s="213"/>
      <c r="L253" s="213"/>
      <c r="M253" s="213"/>
      <c r="N253" s="213"/>
      <c r="O253" s="213"/>
      <c r="P253" s="213"/>
      <c r="Q253" s="238"/>
      <c r="R253" s="213"/>
      <c r="S253" s="213"/>
      <c r="T253" s="213"/>
      <c r="U253" s="213"/>
      <c r="V253" s="213"/>
      <c r="W253" s="213"/>
      <c r="X253" s="215"/>
      <c r="Y253" s="213"/>
      <c r="Z253" s="213"/>
      <c r="AA253" s="213"/>
      <c r="AB253" s="213"/>
      <c r="AC253" s="213"/>
      <c r="AD253" s="215"/>
      <c r="AE253" s="213"/>
      <c r="AF253" s="213"/>
      <c r="AG253" s="213"/>
      <c r="AH253" s="947"/>
      <c r="AI253" s="213"/>
      <c r="AJ253" s="215"/>
      <c r="AK253" s="213"/>
      <c r="AL253" s="213"/>
      <c r="AM253" s="213"/>
      <c r="AN253" s="947"/>
      <c r="AO253" s="213"/>
      <c r="AP253" s="215"/>
      <c r="AQ253" s="213"/>
      <c r="AR253" s="213"/>
      <c r="AS253" s="213"/>
      <c r="AT253" s="947"/>
      <c r="AU253" s="213"/>
      <c r="AV253" s="215"/>
      <c r="AW253" s="213"/>
      <c r="AX253" s="213"/>
      <c r="AY253" s="213"/>
      <c r="AZ253" s="947"/>
      <c r="BA253" s="213"/>
      <c r="BB253" s="215"/>
      <c r="BC253" s="213"/>
      <c r="BD253" s="213"/>
      <c r="BE253" s="213"/>
      <c r="BF253" s="947"/>
      <c r="BG253" s="213"/>
      <c r="BH253" s="215"/>
      <c r="BI253" s="213"/>
      <c r="BJ253" s="213"/>
      <c r="BK253" s="213"/>
      <c r="BL253" s="948"/>
      <c r="BM253" s="213"/>
      <c r="BN253" s="213"/>
      <c r="BO253" s="213"/>
      <c r="BP253" s="213"/>
      <c r="BQ253" s="213"/>
      <c r="BR253" s="326"/>
      <c r="BS253" s="213"/>
      <c r="BT253" s="215"/>
      <c r="BU253" s="213"/>
      <c r="BV253" s="213"/>
      <c r="BW253" s="213"/>
      <c r="BX253" s="213"/>
      <c r="BY253" s="213"/>
      <c r="BZ253" s="213"/>
      <c r="CA253" s="213"/>
      <c r="CB253" s="213"/>
      <c r="CC253" s="213"/>
      <c r="CD253" s="213"/>
      <c r="CE253" s="213"/>
      <c r="CF253" s="213"/>
      <c r="CG253" s="213"/>
      <c r="CH253" s="213"/>
      <c r="CI253" s="213"/>
      <c r="CJ253" s="213"/>
      <c r="CK253" s="213"/>
      <c r="CL253" s="213"/>
      <c r="CM253" s="213"/>
      <c r="CN253" s="213"/>
      <c r="CO253" s="213"/>
      <c r="CP253" s="213"/>
      <c r="CQ253" s="213"/>
    </row>
    <row r="254" ht="15.75" customHeight="1">
      <c r="A254" s="213"/>
      <c r="B254" s="213"/>
      <c r="C254" s="213"/>
      <c r="D254" s="213"/>
      <c r="E254" s="213"/>
      <c r="F254" s="213"/>
      <c r="G254" s="213"/>
      <c r="H254" s="213"/>
      <c r="I254" s="213"/>
      <c r="J254" s="213"/>
      <c r="K254" s="213"/>
      <c r="L254" s="213"/>
      <c r="M254" s="213"/>
      <c r="N254" s="213"/>
      <c r="O254" s="213"/>
      <c r="P254" s="213"/>
      <c r="Q254" s="238"/>
      <c r="R254" s="213"/>
      <c r="S254" s="213"/>
      <c r="T254" s="213"/>
      <c r="U254" s="213"/>
      <c r="V254" s="213"/>
      <c r="W254" s="213"/>
      <c r="X254" s="215"/>
      <c r="Y254" s="213"/>
      <c r="Z254" s="213"/>
      <c r="AA254" s="213"/>
      <c r="AB254" s="213"/>
      <c r="AC254" s="213"/>
      <c r="AD254" s="215"/>
      <c r="AE254" s="213"/>
      <c r="AF254" s="213"/>
      <c r="AG254" s="213"/>
      <c r="AH254" s="947"/>
      <c r="AI254" s="213"/>
      <c r="AJ254" s="215"/>
      <c r="AK254" s="213"/>
      <c r="AL254" s="213"/>
      <c r="AM254" s="213"/>
      <c r="AN254" s="947"/>
      <c r="AO254" s="213"/>
      <c r="AP254" s="215"/>
      <c r="AQ254" s="213"/>
      <c r="AR254" s="213"/>
      <c r="AS254" s="213"/>
      <c r="AT254" s="947"/>
      <c r="AU254" s="213"/>
      <c r="AV254" s="215"/>
      <c r="AW254" s="213"/>
      <c r="AX254" s="213"/>
      <c r="AY254" s="213"/>
      <c r="AZ254" s="947"/>
      <c r="BA254" s="213"/>
      <c r="BB254" s="215"/>
      <c r="BC254" s="213"/>
      <c r="BD254" s="213"/>
      <c r="BE254" s="213"/>
      <c r="BF254" s="947"/>
      <c r="BG254" s="213"/>
      <c r="BH254" s="215"/>
      <c r="BI254" s="213"/>
      <c r="BJ254" s="213"/>
      <c r="BK254" s="213"/>
      <c r="BL254" s="948"/>
      <c r="BM254" s="213"/>
      <c r="BN254" s="213"/>
      <c r="BO254" s="213"/>
      <c r="BP254" s="213"/>
      <c r="BQ254" s="213"/>
      <c r="BR254" s="326"/>
      <c r="BS254" s="213"/>
      <c r="BT254" s="215"/>
      <c r="BU254" s="213"/>
      <c r="BV254" s="213"/>
      <c r="BW254" s="213"/>
      <c r="BX254" s="213"/>
      <c r="BY254" s="213"/>
      <c r="BZ254" s="213"/>
      <c r="CA254" s="213"/>
      <c r="CB254" s="213"/>
      <c r="CC254" s="213"/>
      <c r="CD254" s="213"/>
      <c r="CE254" s="213"/>
      <c r="CF254" s="213"/>
      <c r="CG254" s="213"/>
      <c r="CH254" s="213"/>
      <c r="CI254" s="213"/>
      <c r="CJ254" s="213"/>
      <c r="CK254" s="213"/>
      <c r="CL254" s="213"/>
      <c r="CM254" s="213"/>
      <c r="CN254" s="213"/>
      <c r="CO254" s="213"/>
      <c r="CP254" s="213"/>
      <c r="CQ254" s="213"/>
    </row>
    <row r="255" ht="15.75" customHeight="1">
      <c r="A255" s="213"/>
      <c r="B255" s="213"/>
      <c r="C255" s="213"/>
      <c r="D255" s="213"/>
      <c r="E255" s="213"/>
      <c r="F255" s="213"/>
      <c r="G255" s="213"/>
      <c r="H255" s="213"/>
      <c r="I255" s="213"/>
      <c r="J255" s="213"/>
      <c r="K255" s="213"/>
      <c r="L255" s="213"/>
      <c r="M255" s="213"/>
      <c r="N255" s="213"/>
      <c r="O255" s="213"/>
      <c r="P255" s="213"/>
      <c r="Q255" s="238"/>
      <c r="R255" s="213"/>
      <c r="S255" s="213"/>
      <c r="T255" s="213"/>
      <c r="U255" s="213"/>
      <c r="V255" s="213"/>
      <c r="W255" s="213"/>
      <c r="X255" s="215"/>
      <c r="Y255" s="213"/>
      <c r="Z255" s="213"/>
      <c r="AA255" s="213"/>
      <c r="AB255" s="213"/>
      <c r="AC255" s="213"/>
      <c r="AD255" s="215"/>
      <c r="AE255" s="213"/>
      <c r="AF255" s="213"/>
      <c r="AG255" s="213"/>
      <c r="AH255" s="947"/>
      <c r="AI255" s="213"/>
      <c r="AJ255" s="215"/>
      <c r="AK255" s="213"/>
      <c r="AL255" s="213"/>
      <c r="AM255" s="213"/>
      <c r="AN255" s="947"/>
      <c r="AO255" s="213"/>
      <c r="AP255" s="215"/>
      <c r="AQ255" s="213"/>
      <c r="AR255" s="213"/>
      <c r="AS255" s="213"/>
      <c r="AT255" s="947"/>
      <c r="AU255" s="213"/>
      <c r="AV255" s="215"/>
      <c r="AW255" s="213"/>
      <c r="AX255" s="213"/>
      <c r="AY255" s="213"/>
      <c r="AZ255" s="947"/>
      <c r="BA255" s="213"/>
      <c r="BB255" s="215"/>
      <c r="BC255" s="213"/>
      <c r="BD255" s="213"/>
      <c r="BE255" s="213"/>
      <c r="BF255" s="947"/>
      <c r="BG255" s="213"/>
      <c r="BH255" s="215"/>
      <c r="BI255" s="213"/>
      <c r="BJ255" s="213"/>
      <c r="BK255" s="213"/>
      <c r="BL255" s="948"/>
      <c r="BM255" s="213"/>
      <c r="BN255" s="213"/>
      <c r="BO255" s="213"/>
      <c r="BP255" s="213"/>
      <c r="BQ255" s="213"/>
      <c r="BR255" s="326"/>
      <c r="BS255" s="213"/>
      <c r="BT255" s="215"/>
      <c r="BU255" s="213"/>
      <c r="BV255" s="213"/>
      <c r="BW255" s="213"/>
      <c r="BX255" s="213"/>
      <c r="BY255" s="213"/>
      <c r="BZ255" s="213"/>
      <c r="CA255" s="213"/>
      <c r="CB255" s="213"/>
      <c r="CC255" s="213"/>
      <c r="CD255" s="213"/>
      <c r="CE255" s="213"/>
      <c r="CF255" s="213"/>
      <c r="CG255" s="213"/>
      <c r="CH255" s="213"/>
      <c r="CI255" s="213"/>
      <c r="CJ255" s="213"/>
      <c r="CK255" s="213"/>
      <c r="CL255" s="213"/>
      <c r="CM255" s="213"/>
      <c r="CN255" s="213"/>
      <c r="CO255" s="213"/>
      <c r="CP255" s="213"/>
      <c r="CQ255" s="213"/>
    </row>
    <row r="256" ht="15.75" customHeight="1">
      <c r="A256" s="213"/>
      <c r="B256" s="213"/>
      <c r="C256" s="213"/>
      <c r="D256" s="213"/>
      <c r="E256" s="213"/>
      <c r="F256" s="213"/>
      <c r="G256" s="213"/>
      <c r="H256" s="213"/>
      <c r="I256" s="213"/>
      <c r="J256" s="213"/>
      <c r="K256" s="213"/>
      <c r="L256" s="213"/>
      <c r="M256" s="213"/>
      <c r="N256" s="213"/>
      <c r="O256" s="213"/>
      <c r="P256" s="213"/>
      <c r="Q256" s="238"/>
      <c r="R256" s="213"/>
      <c r="S256" s="213"/>
      <c r="T256" s="213"/>
      <c r="U256" s="213"/>
      <c r="V256" s="213"/>
      <c r="W256" s="213"/>
      <c r="X256" s="215"/>
      <c r="Y256" s="213"/>
      <c r="Z256" s="213"/>
      <c r="AA256" s="213"/>
      <c r="AB256" s="213"/>
      <c r="AC256" s="213"/>
      <c r="AD256" s="215"/>
      <c r="AE256" s="213"/>
      <c r="AF256" s="213"/>
      <c r="AG256" s="213"/>
      <c r="AH256" s="947"/>
      <c r="AI256" s="213"/>
      <c r="AJ256" s="215"/>
      <c r="AK256" s="213"/>
      <c r="AL256" s="213"/>
      <c r="AM256" s="213"/>
      <c r="AN256" s="947"/>
      <c r="AO256" s="213"/>
      <c r="AP256" s="215"/>
      <c r="AQ256" s="213"/>
      <c r="AR256" s="213"/>
      <c r="AS256" s="213"/>
      <c r="AT256" s="947"/>
      <c r="AU256" s="213"/>
      <c r="AV256" s="215"/>
      <c r="AW256" s="213"/>
      <c r="AX256" s="213"/>
      <c r="AY256" s="213"/>
      <c r="AZ256" s="947"/>
      <c r="BA256" s="213"/>
      <c r="BB256" s="215"/>
      <c r="BC256" s="213"/>
      <c r="BD256" s="213"/>
      <c r="BE256" s="213"/>
      <c r="BF256" s="947"/>
      <c r="BG256" s="213"/>
      <c r="BH256" s="215"/>
      <c r="BI256" s="213"/>
      <c r="BJ256" s="213"/>
      <c r="BK256" s="213"/>
      <c r="BL256" s="948"/>
      <c r="BM256" s="213"/>
      <c r="BN256" s="213"/>
      <c r="BO256" s="213"/>
      <c r="BP256" s="213"/>
      <c r="BQ256" s="213"/>
      <c r="BR256" s="326"/>
      <c r="BS256" s="213"/>
      <c r="BT256" s="215"/>
      <c r="BU256" s="213"/>
      <c r="BV256" s="213"/>
      <c r="BW256" s="213"/>
      <c r="BX256" s="213"/>
      <c r="BY256" s="213"/>
      <c r="BZ256" s="213"/>
      <c r="CA256" s="213"/>
      <c r="CB256" s="213"/>
      <c r="CC256" s="213"/>
      <c r="CD256" s="213"/>
      <c r="CE256" s="213"/>
      <c r="CF256" s="213"/>
      <c r="CG256" s="213"/>
      <c r="CH256" s="213"/>
      <c r="CI256" s="213"/>
      <c r="CJ256" s="213"/>
      <c r="CK256" s="213"/>
      <c r="CL256" s="213"/>
      <c r="CM256" s="213"/>
      <c r="CN256" s="213"/>
      <c r="CO256" s="213"/>
      <c r="CP256" s="213"/>
      <c r="CQ256" s="213"/>
    </row>
    <row r="257" ht="15.75" customHeight="1">
      <c r="A257" s="213"/>
      <c r="B257" s="213"/>
      <c r="C257" s="213"/>
      <c r="D257" s="213"/>
      <c r="E257" s="213"/>
      <c r="F257" s="213"/>
      <c r="G257" s="213"/>
      <c r="H257" s="213"/>
      <c r="I257" s="213"/>
      <c r="J257" s="213"/>
      <c r="K257" s="213"/>
      <c r="L257" s="213"/>
      <c r="M257" s="213"/>
      <c r="N257" s="213"/>
      <c r="O257" s="213"/>
      <c r="P257" s="213"/>
      <c r="Q257" s="238"/>
      <c r="R257" s="213"/>
      <c r="S257" s="213"/>
      <c r="T257" s="213"/>
      <c r="U257" s="213"/>
      <c r="V257" s="213"/>
      <c r="W257" s="213"/>
      <c r="X257" s="215"/>
      <c r="Y257" s="213"/>
      <c r="Z257" s="213"/>
      <c r="AA257" s="213"/>
      <c r="AB257" s="213"/>
      <c r="AC257" s="213"/>
      <c r="AD257" s="215"/>
      <c r="AE257" s="213"/>
      <c r="AF257" s="213"/>
      <c r="AG257" s="213"/>
      <c r="AH257" s="947"/>
      <c r="AI257" s="213"/>
      <c r="AJ257" s="215"/>
      <c r="AK257" s="213"/>
      <c r="AL257" s="213"/>
      <c r="AM257" s="213"/>
      <c r="AN257" s="947"/>
      <c r="AO257" s="213"/>
      <c r="AP257" s="215"/>
      <c r="AQ257" s="213"/>
      <c r="AR257" s="213"/>
      <c r="AS257" s="213"/>
      <c r="AT257" s="947"/>
      <c r="AU257" s="213"/>
      <c r="AV257" s="215"/>
      <c r="AW257" s="213"/>
      <c r="AX257" s="213"/>
      <c r="AY257" s="213"/>
      <c r="AZ257" s="947"/>
      <c r="BA257" s="213"/>
      <c r="BB257" s="215"/>
      <c r="BC257" s="213"/>
      <c r="BD257" s="213"/>
      <c r="BE257" s="213"/>
      <c r="BF257" s="947"/>
      <c r="BG257" s="213"/>
      <c r="BH257" s="215"/>
      <c r="BI257" s="213"/>
      <c r="BJ257" s="213"/>
      <c r="BK257" s="213"/>
      <c r="BL257" s="948"/>
      <c r="BM257" s="213"/>
      <c r="BN257" s="213"/>
      <c r="BO257" s="213"/>
      <c r="BP257" s="213"/>
      <c r="BQ257" s="213"/>
      <c r="BR257" s="326"/>
      <c r="BS257" s="213"/>
      <c r="BT257" s="215"/>
      <c r="BU257" s="213"/>
      <c r="BV257" s="213"/>
      <c r="BW257" s="213"/>
      <c r="BX257" s="213"/>
      <c r="BY257" s="213"/>
      <c r="BZ257" s="213"/>
      <c r="CA257" s="213"/>
      <c r="CB257" s="213"/>
      <c r="CC257" s="213"/>
      <c r="CD257" s="213"/>
      <c r="CE257" s="213"/>
      <c r="CF257" s="213"/>
      <c r="CG257" s="213"/>
      <c r="CH257" s="213"/>
      <c r="CI257" s="213"/>
      <c r="CJ257" s="213"/>
      <c r="CK257" s="213"/>
      <c r="CL257" s="213"/>
      <c r="CM257" s="213"/>
      <c r="CN257" s="213"/>
      <c r="CO257" s="213"/>
      <c r="CP257" s="213"/>
      <c r="CQ257" s="213"/>
    </row>
    <row r="258" ht="15.75" customHeight="1">
      <c r="A258" s="213"/>
      <c r="B258" s="213"/>
      <c r="C258" s="213"/>
      <c r="D258" s="213"/>
      <c r="E258" s="213"/>
      <c r="F258" s="213"/>
      <c r="G258" s="213"/>
      <c r="H258" s="213"/>
      <c r="I258" s="213"/>
      <c r="J258" s="213"/>
      <c r="K258" s="213"/>
      <c r="L258" s="213"/>
      <c r="M258" s="213"/>
      <c r="N258" s="213"/>
      <c r="O258" s="213"/>
      <c r="P258" s="213"/>
      <c r="Q258" s="238"/>
      <c r="R258" s="213"/>
      <c r="S258" s="213"/>
      <c r="T258" s="213"/>
      <c r="U258" s="213"/>
      <c r="V258" s="213"/>
      <c r="W258" s="213"/>
      <c r="X258" s="215"/>
      <c r="Y258" s="213"/>
      <c r="Z258" s="213"/>
      <c r="AA258" s="213"/>
      <c r="AB258" s="213"/>
      <c r="AC258" s="213"/>
      <c r="AD258" s="215"/>
      <c r="AE258" s="213"/>
      <c r="AF258" s="213"/>
      <c r="AG258" s="213"/>
      <c r="AH258" s="947"/>
      <c r="AI258" s="213"/>
      <c r="AJ258" s="215"/>
      <c r="AK258" s="213"/>
      <c r="AL258" s="213"/>
      <c r="AM258" s="213"/>
      <c r="AN258" s="947"/>
      <c r="AO258" s="213"/>
      <c r="AP258" s="215"/>
      <c r="AQ258" s="213"/>
      <c r="AR258" s="213"/>
      <c r="AS258" s="213"/>
      <c r="AT258" s="947"/>
      <c r="AU258" s="213"/>
      <c r="AV258" s="215"/>
      <c r="AW258" s="213"/>
      <c r="AX258" s="213"/>
      <c r="AY258" s="213"/>
      <c r="AZ258" s="947"/>
      <c r="BA258" s="213"/>
      <c r="BB258" s="215"/>
      <c r="BC258" s="213"/>
      <c r="BD258" s="213"/>
      <c r="BE258" s="213"/>
      <c r="BF258" s="947"/>
      <c r="BG258" s="213"/>
      <c r="BH258" s="215"/>
      <c r="BI258" s="213"/>
      <c r="BJ258" s="213"/>
      <c r="BK258" s="213"/>
      <c r="BL258" s="948"/>
      <c r="BM258" s="213"/>
      <c r="BN258" s="213"/>
      <c r="BO258" s="213"/>
      <c r="BP258" s="213"/>
      <c r="BQ258" s="213"/>
      <c r="BR258" s="326"/>
      <c r="BS258" s="213"/>
      <c r="BT258" s="215"/>
      <c r="BU258" s="213"/>
      <c r="BV258" s="213"/>
      <c r="BW258" s="213"/>
      <c r="BX258" s="213"/>
      <c r="BY258" s="213"/>
      <c r="BZ258" s="213"/>
      <c r="CA258" s="213"/>
      <c r="CB258" s="213"/>
      <c r="CC258" s="213"/>
      <c r="CD258" s="213"/>
      <c r="CE258" s="213"/>
      <c r="CF258" s="213"/>
      <c r="CG258" s="213"/>
      <c r="CH258" s="213"/>
      <c r="CI258" s="213"/>
      <c r="CJ258" s="213"/>
      <c r="CK258" s="213"/>
      <c r="CL258" s="213"/>
      <c r="CM258" s="213"/>
      <c r="CN258" s="213"/>
      <c r="CO258" s="213"/>
      <c r="CP258" s="213"/>
      <c r="CQ258" s="213"/>
    </row>
    <row r="259" ht="15.75" customHeight="1">
      <c r="A259" s="213"/>
      <c r="B259" s="213"/>
      <c r="C259" s="213"/>
      <c r="D259" s="213"/>
      <c r="E259" s="213"/>
      <c r="F259" s="213"/>
      <c r="G259" s="213"/>
      <c r="H259" s="213"/>
      <c r="I259" s="213"/>
      <c r="J259" s="213"/>
      <c r="K259" s="213"/>
      <c r="L259" s="213"/>
      <c r="M259" s="213"/>
      <c r="N259" s="213"/>
      <c r="O259" s="213"/>
      <c r="P259" s="213"/>
      <c r="Q259" s="238"/>
      <c r="R259" s="213"/>
      <c r="S259" s="213"/>
      <c r="T259" s="213"/>
      <c r="U259" s="213"/>
      <c r="V259" s="213"/>
      <c r="W259" s="213"/>
      <c r="X259" s="215"/>
      <c r="Y259" s="213"/>
      <c r="Z259" s="213"/>
      <c r="AA259" s="213"/>
      <c r="AB259" s="213"/>
      <c r="AC259" s="213"/>
      <c r="AD259" s="215"/>
      <c r="AE259" s="213"/>
      <c r="AF259" s="213"/>
      <c r="AG259" s="213"/>
      <c r="AH259" s="947"/>
      <c r="AI259" s="213"/>
      <c r="AJ259" s="215"/>
      <c r="AK259" s="213"/>
      <c r="AL259" s="213"/>
      <c r="AM259" s="213"/>
      <c r="AN259" s="947"/>
      <c r="AO259" s="213"/>
      <c r="AP259" s="215"/>
      <c r="AQ259" s="213"/>
      <c r="AR259" s="213"/>
      <c r="AS259" s="213"/>
      <c r="AT259" s="947"/>
      <c r="AU259" s="213"/>
      <c r="AV259" s="215"/>
      <c r="AW259" s="213"/>
      <c r="AX259" s="213"/>
      <c r="AY259" s="213"/>
      <c r="AZ259" s="947"/>
      <c r="BA259" s="213"/>
      <c r="BB259" s="215"/>
      <c r="BC259" s="213"/>
      <c r="BD259" s="213"/>
      <c r="BE259" s="213"/>
      <c r="BF259" s="947"/>
      <c r="BG259" s="213"/>
      <c r="BH259" s="215"/>
      <c r="BI259" s="213"/>
      <c r="BJ259" s="213"/>
      <c r="BK259" s="213"/>
      <c r="BL259" s="948"/>
      <c r="BM259" s="213"/>
      <c r="BN259" s="213"/>
      <c r="BO259" s="213"/>
      <c r="BP259" s="213"/>
      <c r="BQ259" s="213"/>
      <c r="BR259" s="326"/>
      <c r="BS259" s="213"/>
      <c r="BT259" s="215"/>
      <c r="BU259" s="213"/>
      <c r="BV259" s="213"/>
      <c r="BW259" s="213"/>
      <c r="BX259" s="213"/>
      <c r="BY259" s="213"/>
      <c r="BZ259" s="213"/>
      <c r="CA259" s="213"/>
      <c r="CB259" s="213"/>
      <c r="CC259" s="213"/>
      <c r="CD259" s="213"/>
      <c r="CE259" s="213"/>
      <c r="CF259" s="213"/>
      <c r="CG259" s="213"/>
      <c r="CH259" s="213"/>
      <c r="CI259" s="213"/>
      <c r="CJ259" s="213"/>
      <c r="CK259" s="213"/>
      <c r="CL259" s="213"/>
      <c r="CM259" s="213"/>
      <c r="CN259" s="213"/>
      <c r="CO259" s="213"/>
      <c r="CP259" s="213"/>
      <c r="CQ259" s="213"/>
    </row>
    <row r="260" ht="15.75" customHeight="1">
      <c r="A260" s="213"/>
      <c r="B260" s="213"/>
      <c r="C260" s="213"/>
      <c r="D260" s="213"/>
      <c r="E260" s="213"/>
      <c r="F260" s="213"/>
      <c r="G260" s="213"/>
      <c r="H260" s="213"/>
      <c r="I260" s="213"/>
      <c r="J260" s="213"/>
      <c r="K260" s="213"/>
      <c r="L260" s="213"/>
      <c r="M260" s="213"/>
      <c r="N260" s="213"/>
      <c r="O260" s="213"/>
      <c r="P260" s="213"/>
      <c r="Q260" s="238"/>
      <c r="R260" s="213"/>
      <c r="S260" s="213"/>
      <c r="T260" s="213"/>
      <c r="U260" s="213"/>
      <c r="V260" s="213"/>
      <c r="W260" s="213"/>
      <c r="X260" s="215"/>
      <c r="Y260" s="213"/>
      <c r="Z260" s="213"/>
      <c r="AA260" s="213"/>
      <c r="AB260" s="213"/>
      <c r="AC260" s="213"/>
      <c r="AD260" s="215"/>
      <c r="AE260" s="213"/>
      <c r="AF260" s="213"/>
      <c r="AG260" s="213"/>
      <c r="AH260" s="947"/>
      <c r="AI260" s="213"/>
      <c r="AJ260" s="215"/>
      <c r="AK260" s="213"/>
      <c r="AL260" s="213"/>
      <c r="AM260" s="213"/>
      <c r="AN260" s="947"/>
      <c r="AO260" s="213"/>
      <c r="AP260" s="215"/>
      <c r="AQ260" s="213"/>
      <c r="AR260" s="213"/>
      <c r="AS260" s="213"/>
      <c r="AT260" s="947"/>
      <c r="AU260" s="213"/>
      <c r="AV260" s="215"/>
      <c r="AW260" s="213"/>
      <c r="AX260" s="213"/>
      <c r="AY260" s="213"/>
      <c r="AZ260" s="947"/>
      <c r="BA260" s="213"/>
      <c r="BB260" s="215"/>
      <c r="BC260" s="213"/>
      <c r="BD260" s="213"/>
      <c r="BE260" s="213"/>
      <c r="BF260" s="947"/>
      <c r="BG260" s="213"/>
      <c r="BH260" s="215"/>
      <c r="BI260" s="213"/>
      <c r="BJ260" s="213"/>
      <c r="BK260" s="213"/>
      <c r="BL260" s="948"/>
      <c r="BM260" s="213"/>
      <c r="BN260" s="213"/>
      <c r="BO260" s="213"/>
      <c r="BP260" s="213"/>
      <c r="BQ260" s="213"/>
      <c r="BR260" s="326"/>
      <c r="BS260" s="213"/>
      <c r="BT260" s="215"/>
      <c r="BU260" s="213"/>
      <c r="BV260" s="213"/>
      <c r="BW260" s="213"/>
      <c r="BX260" s="213"/>
      <c r="BY260" s="213"/>
      <c r="BZ260" s="213"/>
      <c r="CA260" s="213"/>
      <c r="CB260" s="213"/>
      <c r="CC260" s="213"/>
      <c r="CD260" s="213"/>
      <c r="CE260" s="213"/>
      <c r="CF260" s="213"/>
      <c r="CG260" s="213"/>
      <c r="CH260" s="213"/>
      <c r="CI260" s="213"/>
      <c r="CJ260" s="213"/>
      <c r="CK260" s="213"/>
      <c r="CL260" s="213"/>
      <c r="CM260" s="213"/>
      <c r="CN260" s="213"/>
      <c r="CO260" s="213"/>
      <c r="CP260" s="213"/>
      <c r="CQ260" s="213"/>
    </row>
    <row r="261" ht="15.75" customHeight="1">
      <c r="A261" s="213"/>
      <c r="B261" s="213"/>
      <c r="C261" s="213"/>
      <c r="D261" s="213"/>
      <c r="E261" s="213"/>
      <c r="F261" s="213"/>
      <c r="G261" s="213"/>
      <c r="H261" s="213"/>
      <c r="I261" s="213"/>
      <c r="J261" s="213"/>
      <c r="K261" s="213"/>
      <c r="L261" s="213"/>
      <c r="M261" s="213"/>
      <c r="N261" s="213"/>
      <c r="O261" s="213"/>
      <c r="P261" s="213"/>
      <c r="Q261" s="238"/>
      <c r="R261" s="213"/>
      <c r="S261" s="213"/>
      <c r="T261" s="213"/>
      <c r="U261" s="213"/>
      <c r="V261" s="213"/>
      <c r="W261" s="213"/>
      <c r="X261" s="215"/>
      <c r="Y261" s="213"/>
      <c r="Z261" s="213"/>
      <c r="AA261" s="213"/>
      <c r="AB261" s="213"/>
      <c r="AC261" s="213"/>
      <c r="AD261" s="215"/>
      <c r="AE261" s="213"/>
      <c r="AF261" s="213"/>
      <c r="AG261" s="213"/>
      <c r="AH261" s="947"/>
      <c r="AI261" s="213"/>
      <c r="AJ261" s="215"/>
      <c r="AK261" s="213"/>
      <c r="AL261" s="213"/>
      <c r="AM261" s="213"/>
      <c r="AN261" s="947"/>
      <c r="AO261" s="213"/>
      <c r="AP261" s="215"/>
      <c r="AQ261" s="213"/>
      <c r="AR261" s="213"/>
      <c r="AS261" s="213"/>
      <c r="AT261" s="947"/>
      <c r="AU261" s="213"/>
      <c r="AV261" s="215"/>
      <c r="AW261" s="213"/>
      <c r="AX261" s="213"/>
      <c r="AY261" s="213"/>
      <c r="AZ261" s="947"/>
      <c r="BA261" s="213"/>
      <c r="BB261" s="215"/>
      <c r="BC261" s="213"/>
      <c r="BD261" s="213"/>
      <c r="BE261" s="213"/>
      <c r="BF261" s="947"/>
      <c r="BG261" s="213"/>
      <c r="BH261" s="215"/>
      <c r="BI261" s="213"/>
      <c r="BJ261" s="213"/>
      <c r="BK261" s="213"/>
      <c r="BL261" s="948"/>
      <c r="BM261" s="213"/>
      <c r="BN261" s="213"/>
      <c r="BO261" s="213"/>
      <c r="BP261" s="213"/>
      <c r="BQ261" s="213"/>
      <c r="BR261" s="326"/>
      <c r="BS261" s="213"/>
      <c r="BT261" s="215"/>
      <c r="BU261" s="213"/>
      <c r="BV261" s="213"/>
      <c r="BW261" s="213"/>
      <c r="BX261" s="213"/>
      <c r="BY261" s="213"/>
      <c r="BZ261" s="213"/>
      <c r="CA261" s="213"/>
      <c r="CB261" s="213"/>
      <c r="CC261" s="213"/>
      <c r="CD261" s="213"/>
      <c r="CE261" s="213"/>
      <c r="CF261" s="213"/>
      <c r="CG261" s="213"/>
      <c r="CH261" s="213"/>
      <c r="CI261" s="213"/>
      <c r="CJ261" s="213"/>
      <c r="CK261" s="213"/>
      <c r="CL261" s="213"/>
      <c r="CM261" s="213"/>
      <c r="CN261" s="213"/>
      <c r="CO261" s="213"/>
      <c r="CP261" s="213"/>
      <c r="CQ261" s="213"/>
    </row>
    <row r="262" ht="15.75" customHeight="1">
      <c r="A262" s="213"/>
      <c r="B262" s="213"/>
      <c r="C262" s="213"/>
      <c r="D262" s="213"/>
      <c r="E262" s="213"/>
      <c r="F262" s="213"/>
      <c r="G262" s="213"/>
      <c r="H262" s="213"/>
      <c r="I262" s="213"/>
      <c r="J262" s="213"/>
      <c r="K262" s="213"/>
      <c r="L262" s="213"/>
      <c r="M262" s="213"/>
      <c r="N262" s="213"/>
      <c r="O262" s="213"/>
      <c r="P262" s="213"/>
      <c r="Q262" s="238"/>
      <c r="R262" s="213"/>
      <c r="S262" s="213"/>
      <c r="T262" s="213"/>
      <c r="U262" s="213"/>
      <c r="V262" s="213"/>
      <c r="W262" s="213"/>
      <c r="X262" s="215"/>
      <c r="Y262" s="213"/>
      <c r="Z262" s="213"/>
      <c r="AA262" s="213"/>
      <c r="AB262" s="213"/>
      <c r="AC262" s="213"/>
      <c r="AD262" s="215"/>
      <c r="AE262" s="213"/>
      <c r="AF262" s="213"/>
      <c r="AG262" s="213"/>
      <c r="AH262" s="947"/>
      <c r="AI262" s="213"/>
      <c r="AJ262" s="215"/>
      <c r="AK262" s="213"/>
      <c r="AL262" s="213"/>
      <c r="AM262" s="213"/>
      <c r="AN262" s="947"/>
      <c r="AO262" s="213"/>
      <c r="AP262" s="215"/>
      <c r="AQ262" s="213"/>
      <c r="AR262" s="213"/>
      <c r="AS262" s="213"/>
      <c r="AT262" s="947"/>
      <c r="AU262" s="213"/>
      <c r="AV262" s="215"/>
      <c r="AW262" s="213"/>
      <c r="AX262" s="213"/>
      <c r="AY262" s="213"/>
      <c r="AZ262" s="947"/>
      <c r="BA262" s="213"/>
      <c r="BB262" s="215"/>
      <c r="BC262" s="213"/>
      <c r="BD262" s="213"/>
      <c r="BE262" s="213"/>
      <c r="BF262" s="947"/>
      <c r="BG262" s="213"/>
      <c r="BH262" s="215"/>
      <c r="BI262" s="213"/>
      <c r="BJ262" s="213"/>
      <c r="BK262" s="213"/>
      <c r="BL262" s="948"/>
      <c r="BM262" s="213"/>
      <c r="BN262" s="213"/>
      <c r="BO262" s="213"/>
      <c r="BP262" s="213"/>
      <c r="BQ262" s="213"/>
      <c r="BR262" s="326"/>
      <c r="BS262" s="213"/>
      <c r="BT262" s="215"/>
      <c r="BU262" s="213"/>
      <c r="BV262" s="213"/>
      <c r="BW262" s="213"/>
      <c r="BX262" s="213"/>
      <c r="BY262" s="213"/>
      <c r="BZ262" s="213"/>
      <c r="CA262" s="213"/>
      <c r="CB262" s="213"/>
      <c r="CC262" s="213"/>
      <c r="CD262" s="213"/>
      <c r="CE262" s="213"/>
      <c r="CF262" s="213"/>
      <c r="CG262" s="213"/>
      <c r="CH262" s="213"/>
      <c r="CI262" s="213"/>
      <c r="CJ262" s="213"/>
      <c r="CK262" s="213"/>
      <c r="CL262" s="213"/>
      <c r="CM262" s="213"/>
      <c r="CN262" s="213"/>
      <c r="CO262" s="213"/>
      <c r="CP262" s="213"/>
      <c r="CQ262" s="213"/>
    </row>
    <row r="263" ht="15.75" customHeight="1">
      <c r="A263" s="213"/>
      <c r="B263" s="213"/>
      <c r="C263" s="213"/>
      <c r="D263" s="213"/>
      <c r="E263" s="213"/>
      <c r="F263" s="213"/>
      <c r="G263" s="213"/>
      <c r="H263" s="213"/>
      <c r="I263" s="213"/>
      <c r="J263" s="213"/>
      <c r="K263" s="213"/>
      <c r="L263" s="213"/>
      <c r="M263" s="213"/>
      <c r="N263" s="213"/>
      <c r="O263" s="213"/>
      <c r="P263" s="213"/>
      <c r="Q263" s="238"/>
      <c r="R263" s="213"/>
      <c r="S263" s="213"/>
      <c r="T263" s="213"/>
      <c r="U263" s="213"/>
      <c r="V263" s="213"/>
      <c r="W263" s="213"/>
      <c r="X263" s="215"/>
      <c r="Y263" s="213"/>
      <c r="Z263" s="213"/>
      <c r="AA263" s="213"/>
      <c r="AB263" s="213"/>
      <c r="AC263" s="213"/>
      <c r="AD263" s="215"/>
      <c r="AE263" s="213"/>
      <c r="AF263" s="213"/>
      <c r="AG263" s="213"/>
      <c r="AH263" s="947"/>
      <c r="AI263" s="213"/>
      <c r="AJ263" s="215"/>
      <c r="AK263" s="213"/>
      <c r="AL263" s="213"/>
      <c r="AM263" s="213"/>
      <c r="AN263" s="947"/>
      <c r="AO263" s="213"/>
      <c r="AP263" s="215"/>
      <c r="AQ263" s="213"/>
      <c r="AR263" s="213"/>
      <c r="AS263" s="213"/>
      <c r="AT263" s="947"/>
      <c r="AU263" s="213"/>
      <c r="AV263" s="215"/>
      <c r="AW263" s="213"/>
      <c r="AX263" s="213"/>
      <c r="AY263" s="213"/>
      <c r="AZ263" s="947"/>
      <c r="BA263" s="213"/>
      <c r="BB263" s="215"/>
      <c r="BC263" s="213"/>
      <c r="BD263" s="213"/>
      <c r="BE263" s="213"/>
      <c r="BF263" s="947"/>
      <c r="BG263" s="213"/>
      <c r="BH263" s="215"/>
      <c r="BI263" s="213"/>
      <c r="BJ263" s="213"/>
      <c r="BK263" s="213"/>
      <c r="BL263" s="948"/>
      <c r="BM263" s="213"/>
      <c r="BN263" s="213"/>
      <c r="BO263" s="213"/>
      <c r="BP263" s="213"/>
      <c r="BQ263" s="213"/>
      <c r="BR263" s="326"/>
      <c r="BS263" s="213"/>
      <c r="BT263" s="215"/>
      <c r="BU263" s="213"/>
      <c r="BV263" s="213"/>
      <c r="BW263" s="213"/>
      <c r="BX263" s="213"/>
      <c r="BY263" s="213"/>
      <c r="BZ263" s="213"/>
      <c r="CA263" s="213"/>
      <c r="CB263" s="213"/>
      <c r="CC263" s="213"/>
      <c r="CD263" s="213"/>
      <c r="CE263" s="213"/>
      <c r="CF263" s="213"/>
      <c r="CG263" s="213"/>
      <c r="CH263" s="213"/>
      <c r="CI263" s="213"/>
      <c r="CJ263" s="213"/>
      <c r="CK263" s="213"/>
      <c r="CL263" s="213"/>
      <c r="CM263" s="213"/>
      <c r="CN263" s="213"/>
      <c r="CO263" s="213"/>
      <c r="CP263" s="213"/>
      <c r="CQ263" s="213"/>
    </row>
    <row r="264" ht="15.75" customHeight="1">
      <c r="A264" s="213"/>
      <c r="B264" s="213"/>
      <c r="C264" s="213"/>
      <c r="D264" s="213"/>
      <c r="E264" s="213"/>
      <c r="F264" s="213"/>
      <c r="G264" s="213"/>
      <c r="H264" s="213"/>
      <c r="I264" s="213"/>
      <c r="J264" s="213"/>
      <c r="K264" s="213"/>
      <c r="L264" s="213"/>
      <c r="M264" s="213"/>
      <c r="N264" s="213"/>
      <c r="O264" s="213"/>
      <c r="P264" s="213"/>
      <c r="Q264" s="238"/>
      <c r="R264" s="213"/>
      <c r="S264" s="213"/>
      <c r="T264" s="213"/>
      <c r="U264" s="213"/>
      <c r="V264" s="213"/>
      <c r="W264" s="213"/>
      <c r="X264" s="215"/>
      <c r="Y264" s="213"/>
      <c r="Z264" s="213"/>
      <c r="AA264" s="213"/>
      <c r="AB264" s="213"/>
      <c r="AC264" s="213"/>
      <c r="AD264" s="215"/>
      <c r="AE264" s="213"/>
      <c r="AF264" s="213"/>
      <c r="AG264" s="213"/>
      <c r="AH264" s="947"/>
      <c r="AI264" s="213"/>
      <c r="AJ264" s="215"/>
      <c r="AK264" s="213"/>
      <c r="AL264" s="213"/>
      <c r="AM264" s="213"/>
      <c r="AN264" s="947"/>
      <c r="AO264" s="213"/>
      <c r="AP264" s="215"/>
      <c r="AQ264" s="213"/>
      <c r="AR264" s="213"/>
      <c r="AS264" s="213"/>
      <c r="AT264" s="947"/>
      <c r="AU264" s="213"/>
      <c r="AV264" s="215"/>
      <c r="AW264" s="213"/>
      <c r="AX264" s="213"/>
      <c r="AY264" s="213"/>
      <c r="AZ264" s="947"/>
      <c r="BA264" s="213"/>
      <c r="BB264" s="215"/>
      <c r="BC264" s="213"/>
      <c r="BD264" s="213"/>
      <c r="BE264" s="213"/>
      <c r="BF264" s="947"/>
      <c r="BG264" s="213"/>
      <c r="BH264" s="215"/>
      <c r="BI264" s="213"/>
      <c r="BJ264" s="213"/>
      <c r="BK264" s="213"/>
      <c r="BL264" s="948"/>
      <c r="BM264" s="213"/>
      <c r="BN264" s="213"/>
      <c r="BO264" s="213"/>
      <c r="BP264" s="213"/>
      <c r="BQ264" s="213"/>
      <c r="BR264" s="326"/>
      <c r="BS264" s="213"/>
      <c r="BT264" s="215"/>
      <c r="BU264" s="213"/>
      <c r="BV264" s="213"/>
      <c r="BW264" s="213"/>
      <c r="BX264" s="213"/>
      <c r="BY264" s="213"/>
      <c r="BZ264" s="213"/>
      <c r="CA264" s="213"/>
      <c r="CB264" s="213"/>
      <c r="CC264" s="213"/>
      <c r="CD264" s="213"/>
      <c r="CE264" s="213"/>
      <c r="CF264" s="213"/>
      <c r="CG264" s="213"/>
      <c r="CH264" s="213"/>
      <c r="CI264" s="213"/>
      <c r="CJ264" s="213"/>
      <c r="CK264" s="213"/>
      <c r="CL264" s="213"/>
      <c r="CM264" s="213"/>
      <c r="CN264" s="213"/>
      <c r="CO264" s="213"/>
      <c r="CP264" s="213"/>
      <c r="CQ264" s="213"/>
    </row>
    <row r="265" ht="15.75" customHeight="1">
      <c r="A265" s="213"/>
      <c r="B265" s="213"/>
      <c r="C265" s="213"/>
      <c r="D265" s="213"/>
      <c r="E265" s="213"/>
      <c r="F265" s="213"/>
      <c r="G265" s="213"/>
      <c r="H265" s="213"/>
      <c r="I265" s="213"/>
      <c r="J265" s="213"/>
      <c r="K265" s="213"/>
      <c r="L265" s="213"/>
      <c r="M265" s="213"/>
      <c r="N265" s="213"/>
      <c r="O265" s="213"/>
      <c r="P265" s="213"/>
      <c r="Q265" s="238"/>
      <c r="R265" s="213"/>
      <c r="S265" s="213"/>
      <c r="T265" s="213"/>
      <c r="U265" s="213"/>
      <c r="V265" s="213"/>
      <c r="W265" s="213"/>
      <c r="X265" s="215"/>
      <c r="Y265" s="213"/>
      <c r="Z265" s="213"/>
      <c r="AA265" s="213"/>
      <c r="AB265" s="213"/>
      <c r="AC265" s="213"/>
      <c r="AD265" s="215"/>
      <c r="AE265" s="213"/>
      <c r="AF265" s="213"/>
      <c r="AG265" s="213"/>
      <c r="AH265" s="947"/>
      <c r="AI265" s="213"/>
      <c r="AJ265" s="215"/>
      <c r="AK265" s="213"/>
      <c r="AL265" s="213"/>
      <c r="AM265" s="213"/>
      <c r="AN265" s="947"/>
      <c r="AO265" s="213"/>
      <c r="AP265" s="215"/>
      <c r="AQ265" s="213"/>
      <c r="AR265" s="213"/>
      <c r="AS265" s="213"/>
      <c r="AT265" s="947"/>
      <c r="AU265" s="213"/>
      <c r="AV265" s="215"/>
      <c r="AW265" s="213"/>
      <c r="AX265" s="213"/>
      <c r="AY265" s="213"/>
      <c r="AZ265" s="947"/>
      <c r="BA265" s="213"/>
      <c r="BB265" s="215"/>
      <c r="BC265" s="213"/>
      <c r="BD265" s="213"/>
      <c r="BE265" s="213"/>
      <c r="BF265" s="947"/>
      <c r="BG265" s="213"/>
      <c r="BH265" s="215"/>
      <c r="BI265" s="213"/>
      <c r="BJ265" s="213"/>
      <c r="BK265" s="213"/>
      <c r="BL265" s="948"/>
      <c r="BM265" s="213"/>
      <c r="BN265" s="213"/>
      <c r="BO265" s="213"/>
      <c r="BP265" s="213"/>
      <c r="BQ265" s="213"/>
      <c r="BR265" s="326"/>
      <c r="BS265" s="213"/>
      <c r="BT265" s="215"/>
      <c r="BU265" s="213"/>
      <c r="BV265" s="213"/>
      <c r="BW265" s="213"/>
      <c r="BX265" s="213"/>
      <c r="BY265" s="213"/>
      <c r="BZ265" s="213"/>
      <c r="CA265" s="213"/>
      <c r="CB265" s="213"/>
      <c r="CC265" s="213"/>
      <c r="CD265" s="213"/>
      <c r="CE265" s="213"/>
      <c r="CF265" s="213"/>
      <c r="CG265" s="213"/>
      <c r="CH265" s="213"/>
      <c r="CI265" s="213"/>
      <c r="CJ265" s="213"/>
      <c r="CK265" s="213"/>
      <c r="CL265" s="213"/>
      <c r="CM265" s="213"/>
      <c r="CN265" s="213"/>
      <c r="CO265" s="213"/>
      <c r="CP265" s="213"/>
      <c r="CQ265" s="213"/>
    </row>
    <row r="266" ht="15.75" customHeight="1">
      <c r="A266" s="213"/>
      <c r="B266" s="213"/>
      <c r="C266" s="213"/>
      <c r="D266" s="213"/>
      <c r="E266" s="213"/>
      <c r="F266" s="213"/>
      <c r="G266" s="213"/>
      <c r="H266" s="213"/>
      <c r="I266" s="213"/>
      <c r="J266" s="213"/>
      <c r="K266" s="213"/>
      <c r="L266" s="213"/>
      <c r="M266" s="213"/>
      <c r="N266" s="213"/>
      <c r="O266" s="213"/>
      <c r="P266" s="213"/>
      <c r="Q266" s="238"/>
      <c r="R266" s="213"/>
      <c r="S266" s="213"/>
      <c r="T266" s="213"/>
      <c r="U266" s="213"/>
      <c r="V266" s="213"/>
      <c r="W266" s="213"/>
      <c r="X266" s="215"/>
      <c r="Y266" s="213"/>
      <c r="Z266" s="213"/>
      <c r="AA266" s="213"/>
      <c r="AB266" s="213"/>
      <c r="AC266" s="213"/>
      <c r="AD266" s="215"/>
      <c r="AE266" s="213"/>
      <c r="AF266" s="213"/>
      <c r="AG266" s="213"/>
      <c r="AH266" s="947"/>
      <c r="AI266" s="213"/>
      <c r="AJ266" s="215"/>
      <c r="AK266" s="213"/>
      <c r="AL266" s="213"/>
      <c r="AM266" s="213"/>
      <c r="AN266" s="947"/>
      <c r="AO266" s="213"/>
      <c r="AP266" s="215"/>
      <c r="AQ266" s="213"/>
      <c r="AR266" s="213"/>
      <c r="AS266" s="213"/>
      <c r="AT266" s="947"/>
      <c r="AU266" s="213"/>
      <c r="AV266" s="215"/>
      <c r="AW266" s="213"/>
      <c r="AX266" s="213"/>
      <c r="AY266" s="213"/>
      <c r="AZ266" s="947"/>
      <c r="BA266" s="213"/>
      <c r="BB266" s="215"/>
      <c r="BC266" s="213"/>
      <c r="BD266" s="213"/>
      <c r="BE266" s="213"/>
      <c r="BF266" s="947"/>
      <c r="BG266" s="213"/>
      <c r="BH266" s="215"/>
      <c r="BI266" s="213"/>
      <c r="BJ266" s="213"/>
      <c r="BK266" s="213"/>
      <c r="BL266" s="948"/>
      <c r="BM266" s="213"/>
      <c r="BN266" s="213"/>
      <c r="BO266" s="213"/>
      <c r="BP266" s="213"/>
      <c r="BQ266" s="213"/>
      <c r="BR266" s="326"/>
      <c r="BS266" s="213"/>
      <c r="BT266" s="215"/>
      <c r="BU266" s="213"/>
      <c r="BV266" s="213"/>
      <c r="BW266" s="213"/>
      <c r="BX266" s="213"/>
      <c r="BY266" s="213"/>
      <c r="BZ266" s="213"/>
      <c r="CA266" s="213"/>
      <c r="CB266" s="213"/>
      <c r="CC266" s="213"/>
      <c r="CD266" s="213"/>
      <c r="CE266" s="213"/>
      <c r="CF266" s="213"/>
      <c r="CG266" s="213"/>
      <c r="CH266" s="213"/>
      <c r="CI266" s="213"/>
      <c r="CJ266" s="213"/>
      <c r="CK266" s="213"/>
      <c r="CL266" s="213"/>
      <c r="CM266" s="213"/>
      <c r="CN266" s="213"/>
      <c r="CO266" s="213"/>
      <c r="CP266" s="213"/>
      <c r="CQ266" s="213"/>
    </row>
    <row r="267" ht="15.75" customHeight="1">
      <c r="A267" s="213"/>
      <c r="B267" s="213"/>
      <c r="C267" s="213"/>
      <c r="D267" s="213"/>
      <c r="E267" s="213"/>
      <c r="F267" s="213"/>
      <c r="G267" s="213"/>
      <c r="H267" s="213"/>
      <c r="I267" s="213"/>
      <c r="J267" s="213"/>
      <c r="K267" s="213"/>
      <c r="L267" s="213"/>
      <c r="M267" s="213"/>
      <c r="N267" s="213"/>
      <c r="O267" s="213"/>
      <c r="P267" s="213"/>
      <c r="Q267" s="238"/>
      <c r="R267" s="213"/>
      <c r="S267" s="213"/>
      <c r="T267" s="213"/>
      <c r="U267" s="213"/>
      <c r="V267" s="213"/>
      <c r="W267" s="213"/>
      <c r="X267" s="215"/>
      <c r="Y267" s="213"/>
      <c r="Z267" s="213"/>
      <c r="AA267" s="213"/>
      <c r="AB267" s="213"/>
      <c r="AC267" s="213"/>
      <c r="AD267" s="215"/>
      <c r="AE267" s="213"/>
      <c r="AF267" s="213"/>
      <c r="AG267" s="213"/>
      <c r="AH267" s="947"/>
      <c r="AI267" s="213"/>
      <c r="AJ267" s="215"/>
      <c r="AK267" s="213"/>
      <c r="AL267" s="213"/>
      <c r="AM267" s="213"/>
      <c r="AN267" s="947"/>
      <c r="AO267" s="213"/>
      <c r="AP267" s="215"/>
      <c r="AQ267" s="213"/>
      <c r="AR267" s="213"/>
      <c r="AS267" s="213"/>
      <c r="AT267" s="947"/>
      <c r="AU267" s="213"/>
      <c r="AV267" s="215"/>
      <c r="AW267" s="213"/>
      <c r="AX267" s="213"/>
      <c r="AY267" s="213"/>
      <c r="AZ267" s="947"/>
      <c r="BA267" s="213"/>
      <c r="BB267" s="215"/>
      <c r="BC267" s="213"/>
      <c r="BD267" s="213"/>
      <c r="BE267" s="213"/>
      <c r="BF267" s="947"/>
      <c r="BG267" s="213"/>
      <c r="BH267" s="215"/>
      <c r="BI267" s="213"/>
      <c r="BJ267" s="213"/>
      <c r="BK267" s="213"/>
      <c r="BL267" s="948"/>
      <c r="BM267" s="213"/>
      <c r="BN267" s="213"/>
      <c r="BO267" s="213"/>
      <c r="BP267" s="213"/>
      <c r="BQ267" s="213"/>
      <c r="BR267" s="326"/>
      <c r="BS267" s="213"/>
      <c r="BT267" s="215"/>
      <c r="BU267" s="213"/>
      <c r="BV267" s="213"/>
      <c r="BW267" s="213"/>
      <c r="BX267" s="213"/>
      <c r="BY267" s="213"/>
      <c r="BZ267" s="213"/>
      <c r="CA267" s="213"/>
      <c r="CB267" s="213"/>
      <c r="CC267" s="213"/>
      <c r="CD267" s="213"/>
      <c r="CE267" s="213"/>
      <c r="CF267" s="213"/>
      <c r="CG267" s="213"/>
      <c r="CH267" s="213"/>
      <c r="CI267" s="213"/>
      <c r="CJ267" s="213"/>
      <c r="CK267" s="213"/>
      <c r="CL267" s="213"/>
      <c r="CM267" s="213"/>
      <c r="CN267" s="213"/>
      <c r="CO267" s="213"/>
      <c r="CP267" s="213"/>
      <c r="CQ267" s="213"/>
    </row>
    <row r="268" ht="15.75" customHeight="1">
      <c r="A268" s="213"/>
      <c r="B268" s="213"/>
      <c r="C268" s="213"/>
      <c r="D268" s="213"/>
      <c r="E268" s="213"/>
      <c r="F268" s="213"/>
      <c r="G268" s="213"/>
      <c r="H268" s="213"/>
      <c r="I268" s="213"/>
      <c r="J268" s="213"/>
      <c r="K268" s="213"/>
      <c r="L268" s="213"/>
      <c r="M268" s="213"/>
      <c r="N268" s="213"/>
      <c r="O268" s="213"/>
      <c r="P268" s="213"/>
      <c r="Q268" s="238"/>
      <c r="R268" s="213"/>
      <c r="S268" s="213"/>
      <c r="T268" s="213"/>
      <c r="U268" s="213"/>
      <c r="V268" s="213"/>
      <c r="W268" s="213"/>
      <c r="X268" s="215"/>
      <c r="Y268" s="213"/>
      <c r="Z268" s="213"/>
      <c r="AA268" s="213"/>
      <c r="AB268" s="213"/>
      <c r="AC268" s="213"/>
      <c r="AD268" s="215"/>
      <c r="AE268" s="213"/>
      <c r="AF268" s="213"/>
      <c r="AG268" s="213"/>
      <c r="AH268" s="947"/>
      <c r="AI268" s="213"/>
      <c r="AJ268" s="215"/>
      <c r="AK268" s="213"/>
      <c r="AL268" s="213"/>
      <c r="AM268" s="213"/>
      <c r="AN268" s="947"/>
      <c r="AO268" s="213"/>
      <c r="AP268" s="215"/>
      <c r="AQ268" s="213"/>
      <c r="AR268" s="213"/>
      <c r="AS268" s="213"/>
      <c r="AT268" s="947"/>
      <c r="AU268" s="213"/>
      <c r="AV268" s="215"/>
      <c r="AW268" s="213"/>
      <c r="AX268" s="213"/>
      <c r="AY268" s="213"/>
      <c r="AZ268" s="947"/>
      <c r="BA268" s="213"/>
      <c r="BB268" s="215"/>
      <c r="BC268" s="213"/>
      <c r="BD268" s="213"/>
      <c r="BE268" s="213"/>
      <c r="BF268" s="947"/>
      <c r="BG268" s="213"/>
      <c r="BH268" s="215"/>
      <c r="BI268" s="213"/>
      <c r="BJ268" s="213"/>
      <c r="BK268" s="213"/>
      <c r="BL268" s="948"/>
      <c r="BM268" s="213"/>
      <c r="BN268" s="213"/>
      <c r="BO268" s="213"/>
      <c r="BP268" s="213"/>
      <c r="BQ268" s="213"/>
      <c r="BR268" s="326"/>
      <c r="BS268" s="213"/>
      <c r="BT268" s="215"/>
      <c r="BU268" s="213"/>
      <c r="BV268" s="213"/>
      <c r="BW268" s="213"/>
      <c r="BX268" s="213"/>
      <c r="BY268" s="213"/>
      <c r="BZ268" s="213"/>
      <c r="CA268" s="213"/>
      <c r="CB268" s="213"/>
      <c r="CC268" s="213"/>
      <c r="CD268" s="213"/>
      <c r="CE268" s="213"/>
      <c r="CF268" s="213"/>
      <c r="CG268" s="213"/>
      <c r="CH268" s="213"/>
      <c r="CI268" s="213"/>
      <c r="CJ268" s="213"/>
      <c r="CK268" s="213"/>
      <c r="CL268" s="213"/>
      <c r="CM268" s="213"/>
      <c r="CN268" s="213"/>
      <c r="CO268" s="213"/>
      <c r="CP268" s="213"/>
      <c r="CQ268" s="213"/>
    </row>
    <row r="269" ht="15.75" customHeight="1">
      <c r="A269" s="213"/>
      <c r="B269" s="213"/>
      <c r="C269" s="213"/>
      <c r="D269" s="213"/>
      <c r="E269" s="213"/>
      <c r="F269" s="213"/>
      <c r="G269" s="213"/>
      <c r="H269" s="213"/>
      <c r="I269" s="213"/>
      <c r="J269" s="213"/>
      <c r="K269" s="213"/>
      <c r="L269" s="213"/>
      <c r="M269" s="213"/>
      <c r="N269" s="213"/>
      <c r="O269" s="213"/>
      <c r="P269" s="213"/>
      <c r="Q269" s="238"/>
      <c r="R269" s="213"/>
      <c r="S269" s="213"/>
      <c r="T269" s="213"/>
      <c r="U269" s="213"/>
      <c r="V269" s="213"/>
      <c r="W269" s="213"/>
      <c r="X269" s="215"/>
      <c r="Y269" s="213"/>
      <c r="Z269" s="213"/>
      <c r="AA269" s="213"/>
      <c r="AB269" s="213"/>
      <c r="AC269" s="213"/>
      <c r="AD269" s="215"/>
      <c r="AE269" s="213"/>
      <c r="AF269" s="213"/>
      <c r="AG269" s="213"/>
      <c r="AH269" s="947"/>
      <c r="AI269" s="213"/>
      <c r="AJ269" s="215"/>
      <c r="AK269" s="213"/>
      <c r="AL269" s="213"/>
      <c r="AM269" s="213"/>
      <c r="AN269" s="947"/>
      <c r="AO269" s="213"/>
      <c r="AP269" s="215"/>
      <c r="AQ269" s="213"/>
      <c r="AR269" s="213"/>
      <c r="AS269" s="213"/>
      <c r="AT269" s="947"/>
      <c r="AU269" s="213"/>
      <c r="AV269" s="215"/>
      <c r="AW269" s="213"/>
      <c r="AX269" s="213"/>
      <c r="AY269" s="213"/>
      <c r="AZ269" s="947"/>
      <c r="BA269" s="213"/>
      <c r="BB269" s="215"/>
      <c r="BC269" s="213"/>
      <c r="BD269" s="213"/>
      <c r="BE269" s="213"/>
      <c r="BF269" s="947"/>
      <c r="BG269" s="213"/>
      <c r="BH269" s="215"/>
      <c r="BI269" s="213"/>
      <c r="BJ269" s="213"/>
      <c r="BK269" s="213"/>
      <c r="BL269" s="948"/>
      <c r="BM269" s="213"/>
      <c r="BN269" s="213"/>
      <c r="BO269" s="213"/>
      <c r="BP269" s="213"/>
      <c r="BQ269" s="213"/>
      <c r="BR269" s="326"/>
      <c r="BS269" s="213"/>
      <c r="BT269" s="215"/>
      <c r="BU269" s="213"/>
      <c r="BV269" s="213"/>
      <c r="BW269" s="213"/>
      <c r="BX269" s="213"/>
      <c r="BY269" s="213"/>
      <c r="BZ269" s="213"/>
      <c r="CA269" s="213"/>
      <c r="CB269" s="213"/>
      <c r="CC269" s="213"/>
      <c r="CD269" s="213"/>
      <c r="CE269" s="213"/>
      <c r="CF269" s="213"/>
      <c r="CG269" s="213"/>
      <c r="CH269" s="213"/>
      <c r="CI269" s="213"/>
      <c r="CJ269" s="213"/>
      <c r="CK269" s="213"/>
      <c r="CL269" s="213"/>
      <c r="CM269" s="213"/>
      <c r="CN269" s="213"/>
      <c r="CO269" s="213"/>
      <c r="CP269" s="213"/>
      <c r="CQ269" s="213"/>
    </row>
    <row r="270" ht="15.75" customHeight="1">
      <c r="A270" s="213"/>
      <c r="B270" s="213"/>
      <c r="C270" s="213"/>
      <c r="D270" s="213"/>
      <c r="E270" s="213"/>
      <c r="F270" s="213"/>
      <c r="G270" s="213"/>
      <c r="H270" s="213"/>
      <c r="I270" s="213"/>
      <c r="J270" s="213"/>
      <c r="K270" s="213"/>
      <c r="L270" s="213"/>
      <c r="M270" s="213"/>
      <c r="N270" s="213"/>
      <c r="O270" s="213"/>
      <c r="P270" s="213"/>
      <c r="Q270" s="238"/>
      <c r="R270" s="213"/>
      <c r="S270" s="213"/>
      <c r="T270" s="213"/>
      <c r="U270" s="213"/>
      <c r="V270" s="213"/>
      <c r="W270" s="213"/>
      <c r="X270" s="215"/>
      <c r="Y270" s="213"/>
      <c r="Z270" s="213"/>
      <c r="AA270" s="213"/>
      <c r="AB270" s="213"/>
      <c r="AC270" s="213"/>
      <c r="AD270" s="215"/>
      <c r="AE270" s="213"/>
      <c r="AF270" s="213"/>
      <c r="AG270" s="213"/>
      <c r="AH270" s="947"/>
      <c r="AI270" s="213"/>
      <c r="AJ270" s="215"/>
      <c r="AK270" s="213"/>
      <c r="AL270" s="213"/>
      <c r="AM270" s="213"/>
      <c r="AN270" s="947"/>
      <c r="AO270" s="213"/>
      <c r="AP270" s="215"/>
      <c r="AQ270" s="213"/>
      <c r="AR270" s="213"/>
      <c r="AS270" s="213"/>
      <c r="AT270" s="947"/>
      <c r="AU270" s="213"/>
      <c r="AV270" s="215"/>
      <c r="AW270" s="213"/>
      <c r="AX270" s="213"/>
      <c r="AY270" s="213"/>
      <c r="AZ270" s="947"/>
      <c r="BA270" s="213"/>
      <c r="BB270" s="215"/>
      <c r="BC270" s="213"/>
      <c r="BD270" s="213"/>
      <c r="BE270" s="213"/>
      <c r="BF270" s="947"/>
      <c r="BG270" s="213"/>
      <c r="BH270" s="215"/>
      <c r="BI270" s="213"/>
      <c r="BJ270" s="213"/>
      <c r="BK270" s="213"/>
      <c r="BL270" s="948"/>
      <c r="BM270" s="213"/>
      <c r="BN270" s="213"/>
      <c r="BO270" s="213"/>
      <c r="BP270" s="213"/>
      <c r="BQ270" s="213"/>
      <c r="BR270" s="326"/>
      <c r="BS270" s="213"/>
      <c r="BT270" s="215"/>
      <c r="BU270" s="213"/>
      <c r="BV270" s="213"/>
      <c r="BW270" s="213"/>
      <c r="BX270" s="213"/>
      <c r="BY270" s="213"/>
      <c r="BZ270" s="213"/>
      <c r="CA270" s="213"/>
      <c r="CB270" s="213"/>
      <c r="CC270" s="213"/>
      <c r="CD270" s="213"/>
      <c r="CE270" s="213"/>
      <c r="CF270" s="213"/>
      <c r="CG270" s="213"/>
      <c r="CH270" s="213"/>
      <c r="CI270" s="213"/>
      <c r="CJ270" s="213"/>
      <c r="CK270" s="213"/>
      <c r="CL270" s="213"/>
      <c r="CM270" s="213"/>
      <c r="CN270" s="213"/>
      <c r="CO270" s="213"/>
      <c r="CP270" s="213"/>
      <c r="CQ270" s="213"/>
    </row>
    <row r="271" ht="15.75" customHeight="1">
      <c r="A271" s="213"/>
      <c r="B271" s="213"/>
      <c r="C271" s="213"/>
      <c r="D271" s="213"/>
      <c r="E271" s="213"/>
      <c r="F271" s="213"/>
      <c r="G271" s="213"/>
      <c r="H271" s="213"/>
      <c r="I271" s="213"/>
      <c r="J271" s="213"/>
      <c r="K271" s="213"/>
      <c r="L271" s="213"/>
      <c r="M271" s="213"/>
      <c r="N271" s="213"/>
      <c r="O271" s="213"/>
      <c r="P271" s="213"/>
      <c r="Q271" s="238"/>
      <c r="R271" s="213"/>
      <c r="S271" s="213"/>
      <c r="T271" s="213"/>
      <c r="U271" s="213"/>
      <c r="V271" s="213"/>
      <c r="W271" s="213"/>
      <c r="X271" s="215"/>
      <c r="Y271" s="213"/>
      <c r="Z271" s="213"/>
      <c r="AA271" s="213"/>
      <c r="AB271" s="213"/>
      <c r="AC271" s="213"/>
      <c r="AD271" s="215"/>
      <c r="AE271" s="213"/>
      <c r="AF271" s="213"/>
      <c r="AG271" s="213"/>
      <c r="AH271" s="947"/>
      <c r="AI271" s="213"/>
      <c r="AJ271" s="215"/>
      <c r="AK271" s="213"/>
      <c r="AL271" s="213"/>
      <c r="AM271" s="213"/>
      <c r="AN271" s="947"/>
      <c r="AO271" s="213"/>
      <c r="AP271" s="215"/>
      <c r="AQ271" s="213"/>
      <c r="AR271" s="213"/>
      <c r="AS271" s="213"/>
      <c r="AT271" s="947"/>
      <c r="AU271" s="213"/>
      <c r="AV271" s="215"/>
      <c r="AW271" s="213"/>
      <c r="AX271" s="213"/>
      <c r="AY271" s="213"/>
      <c r="AZ271" s="947"/>
      <c r="BA271" s="213"/>
      <c r="BB271" s="215"/>
      <c r="BC271" s="213"/>
      <c r="BD271" s="213"/>
      <c r="BE271" s="213"/>
      <c r="BF271" s="947"/>
      <c r="BG271" s="213"/>
      <c r="BH271" s="215"/>
      <c r="BI271" s="213"/>
      <c r="BJ271" s="213"/>
      <c r="BK271" s="213"/>
      <c r="BL271" s="948"/>
      <c r="BM271" s="213"/>
      <c r="BN271" s="213"/>
      <c r="BO271" s="213"/>
      <c r="BP271" s="213"/>
      <c r="BQ271" s="213"/>
      <c r="BR271" s="326"/>
      <c r="BS271" s="213"/>
      <c r="BT271" s="215"/>
      <c r="BU271" s="213"/>
      <c r="BV271" s="213"/>
      <c r="BW271" s="213"/>
      <c r="BX271" s="213"/>
      <c r="BY271" s="213"/>
      <c r="BZ271" s="213"/>
      <c r="CA271" s="213"/>
      <c r="CB271" s="213"/>
      <c r="CC271" s="213"/>
      <c r="CD271" s="213"/>
      <c r="CE271" s="213"/>
      <c r="CF271" s="213"/>
      <c r="CG271" s="213"/>
      <c r="CH271" s="213"/>
      <c r="CI271" s="213"/>
      <c r="CJ271" s="213"/>
      <c r="CK271" s="213"/>
      <c r="CL271" s="213"/>
      <c r="CM271" s="213"/>
      <c r="CN271" s="213"/>
      <c r="CO271" s="213"/>
      <c r="CP271" s="213"/>
      <c r="CQ271" s="213"/>
    </row>
    <row r="272" ht="15.75" customHeight="1">
      <c r="A272" s="213"/>
      <c r="B272" s="213"/>
      <c r="C272" s="213"/>
      <c r="D272" s="213"/>
      <c r="E272" s="213"/>
      <c r="F272" s="213"/>
      <c r="G272" s="213"/>
      <c r="H272" s="213"/>
      <c r="I272" s="213"/>
      <c r="J272" s="213"/>
      <c r="K272" s="213"/>
      <c r="L272" s="213"/>
      <c r="M272" s="213"/>
      <c r="N272" s="213"/>
      <c r="O272" s="213"/>
      <c r="P272" s="213"/>
      <c r="Q272" s="238"/>
      <c r="R272" s="213"/>
      <c r="S272" s="213"/>
      <c r="T272" s="213"/>
      <c r="U272" s="213"/>
      <c r="V272" s="213"/>
      <c r="W272" s="213"/>
      <c r="X272" s="215"/>
      <c r="Y272" s="213"/>
      <c r="Z272" s="213"/>
      <c r="AA272" s="213"/>
      <c r="AB272" s="213"/>
      <c r="AC272" s="213"/>
      <c r="AD272" s="215"/>
      <c r="AE272" s="213"/>
      <c r="AF272" s="213"/>
      <c r="AG272" s="213"/>
      <c r="AH272" s="947"/>
      <c r="AI272" s="213"/>
      <c r="AJ272" s="215"/>
      <c r="AK272" s="213"/>
      <c r="AL272" s="213"/>
      <c r="AM272" s="213"/>
      <c r="AN272" s="947"/>
      <c r="AO272" s="213"/>
      <c r="AP272" s="215"/>
      <c r="AQ272" s="213"/>
      <c r="AR272" s="213"/>
      <c r="AS272" s="213"/>
      <c r="AT272" s="947"/>
      <c r="AU272" s="213"/>
      <c r="AV272" s="215"/>
      <c r="AW272" s="213"/>
      <c r="AX272" s="213"/>
      <c r="AY272" s="213"/>
      <c r="AZ272" s="947"/>
      <c r="BA272" s="213"/>
      <c r="BB272" s="215"/>
      <c r="BC272" s="213"/>
      <c r="BD272" s="213"/>
      <c r="BE272" s="213"/>
      <c r="BF272" s="947"/>
      <c r="BG272" s="213"/>
      <c r="BH272" s="215"/>
      <c r="BI272" s="213"/>
      <c r="BJ272" s="213"/>
      <c r="BK272" s="213"/>
      <c r="BL272" s="948"/>
      <c r="BM272" s="213"/>
      <c r="BN272" s="213"/>
      <c r="BO272" s="213"/>
      <c r="BP272" s="213"/>
      <c r="BQ272" s="213"/>
      <c r="BR272" s="326"/>
      <c r="BS272" s="213"/>
      <c r="BT272" s="215"/>
      <c r="BU272" s="213"/>
      <c r="BV272" s="213"/>
      <c r="BW272" s="213"/>
      <c r="BX272" s="213"/>
      <c r="BY272" s="213"/>
      <c r="BZ272" s="213"/>
      <c r="CA272" s="213"/>
      <c r="CB272" s="213"/>
      <c r="CC272" s="213"/>
      <c r="CD272" s="213"/>
      <c r="CE272" s="213"/>
      <c r="CF272" s="213"/>
      <c r="CG272" s="213"/>
      <c r="CH272" s="213"/>
      <c r="CI272" s="213"/>
      <c r="CJ272" s="213"/>
      <c r="CK272" s="213"/>
      <c r="CL272" s="213"/>
      <c r="CM272" s="213"/>
      <c r="CN272" s="213"/>
      <c r="CO272" s="213"/>
      <c r="CP272" s="213"/>
      <c r="CQ272" s="213"/>
    </row>
    <row r="273" ht="15.75" customHeight="1">
      <c r="A273" s="213"/>
      <c r="B273" s="213"/>
      <c r="C273" s="213"/>
      <c r="D273" s="213"/>
      <c r="E273" s="213"/>
      <c r="F273" s="213"/>
      <c r="G273" s="213"/>
      <c r="H273" s="213"/>
      <c r="I273" s="213"/>
      <c r="J273" s="213"/>
      <c r="K273" s="213"/>
      <c r="L273" s="213"/>
      <c r="M273" s="213"/>
      <c r="N273" s="213"/>
      <c r="O273" s="213"/>
      <c r="P273" s="213"/>
      <c r="Q273" s="238"/>
      <c r="R273" s="213"/>
      <c r="S273" s="213"/>
      <c r="T273" s="213"/>
      <c r="U273" s="213"/>
      <c r="V273" s="213"/>
      <c r="W273" s="213"/>
      <c r="X273" s="215"/>
      <c r="Y273" s="213"/>
      <c r="Z273" s="213"/>
      <c r="AA273" s="213"/>
      <c r="AB273" s="213"/>
      <c r="AC273" s="213"/>
      <c r="AD273" s="215"/>
      <c r="AE273" s="213"/>
      <c r="AF273" s="213"/>
      <c r="AG273" s="213"/>
      <c r="AH273" s="947"/>
      <c r="AI273" s="213"/>
      <c r="AJ273" s="215"/>
      <c r="AK273" s="213"/>
      <c r="AL273" s="213"/>
      <c r="AM273" s="213"/>
      <c r="AN273" s="947"/>
      <c r="AO273" s="213"/>
      <c r="AP273" s="215"/>
      <c r="AQ273" s="213"/>
      <c r="AR273" s="213"/>
      <c r="AS273" s="213"/>
      <c r="AT273" s="947"/>
      <c r="AU273" s="213"/>
      <c r="AV273" s="215"/>
      <c r="AW273" s="213"/>
      <c r="AX273" s="213"/>
      <c r="AY273" s="213"/>
      <c r="AZ273" s="947"/>
      <c r="BA273" s="213"/>
      <c r="BB273" s="215"/>
      <c r="BC273" s="213"/>
      <c r="BD273" s="213"/>
      <c r="BE273" s="213"/>
      <c r="BF273" s="947"/>
      <c r="BG273" s="213"/>
      <c r="BH273" s="215"/>
      <c r="BI273" s="213"/>
      <c r="BJ273" s="213"/>
      <c r="BK273" s="213"/>
      <c r="BL273" s="948"/>
      <c r="BM273" s="213"/>
      <c r="BN273" s="213"/>
      <c r="BO273" s="213"/>
      <c r="BP273" s="213"/>
      <c r="BQ273" s="213"/>
      <c r="BR273" s="326"/>
      <c r="BS273" s="213"/>
      <c r="BT273" s="215"/>
      <c r="BU273" s="213"/>
      <c r="BV273" s="213"/>
      <c r="BW273" s="213"/>
      <c r="BX273" s="213"/>
      <c r="BY273" s="213"/>
      <c r="BZ273" s="213"/>
      <c r="CA273" s="213"/>
      <c r="CB273" s="213"/>
      <c r="CC273" s="213"/>
      <c r="CD273" s="213"/>
      <c r="CE273" s="213"/>
      <c r="CF273" s="213"/>
      <c r="CG273" s="213"/>
      <c r="CH273" s="213"/>
      <c r="CI273" s="213"/>
      <c r="CJ273" s="213"/>
      <c r="CK273" s="213"/>
      <c r="CL273" s="213"/>
      <c r="CM273" s="213"/>
      <c r="CN273" s="213"/>
      <c r="CO273" s="213"/>
      <c r="CP273" s="213"/>
      <c r="CQ273" s="213"/>
    </row>
    <row r="274" ht="15.75" customHeight="1">
      <c r="A274" s="213"/>
      <c r="B274" s="213"/>
      <c r="C274" s="213"/>
      <c r="D274" s="213"/>
      <c r="E274" s="213"/>
      <c r="F274" s="213"/>
      <c r="G274" s="213"/>
      <c r="H274" s="213"/>
      <c r="I274" s="213"/>
      <c r="J274" s="213"/>
      <c r="K274" s="213"/>
      <c r="L274" s="213"/>
      <c r="M274" s="213"/>
      <c r="N274" s="213"/>
      <c r="O274" s="213"/>
      <c r="P274" s="213"/>
      <c r="Q274" s="238"/>
      <c r="R274" s="213"/>
      <c r="S274" s="213"/>
      <c r="T274" s="213"/>
      <c r="U274" s="213"/>
      <c r="V274" s="213"/>
      <c r="W274" s="213"/>
      <c r="X274" s="215"/>
      <c r="Y274" s="213"/>
      <c r="Z274" s="213"/>
      <c r="AA274" s="213"/>
      <c r="AB274" s="213"/>
      <c r="AC274" s="213"/>
      <c r="AD274" s="215"/>
      <c r="AE274" s="213"/>
      <c r="AF274" s="213"/>
      <c r="AG274" s="213"/>
      <c r="AH274" s="947"/>
      <c r="AI274" s="213"/>
      <c r="AJ274" s="215"/>
      <c r="AK274" s="213"/>
      <c r="AL274" s="213"/>
      <c r="AM274" s="213"/>
      <c r="AN274" s="947"/>
      <c r="AO274" s="213"/>
      <c r="AP274" s="215"/>
      <c r="AQ274" s="213"/>
      <c r="AR274" s="213"/>
      <c r="AS274" s="213"/>
      <c r="AT274" s="947"/>
      <c r="AU274" s="213"/>
      <c r="AV274" s="215"/>
      <c r="AW274" s="213"/>
      <c r="AX274" s="213"/>
      <c r="AY274" s="213"/>
      <c r="AZ274" s="947"/>
      <c r="BA274" s="213"/>
      <c r="BB274" s="215"/>
      <c r="BC274" s="213"/>
      <c r="BD274" s="213"/>
      <c r="BE274" s="213"/>
      <c r="BF274" s="947"/>
      <c r="BG274" s="213"/>
      <c r="BH274" s="215"/>
      <c r="BI274" s="213"/>
      <c r="BJ274" s="213"/>
      <c r="BK274" s="213"/>
      <c r="BL274" s="948"/>
      <c r="BM274" s="213"/>
      <c r="BN274" s="213"/>
      <c r="BO274" s="213"/>
      <c r="BP274" s="213"/>
      <c r="BQ274" s="213"/>
      <c r="BR274" s="326"/>
      <c r="BS274" s="213"/>
      <c r="BT274" s="215"/>
      <c r="BU274" s="213"/>
      <c r="BV274" s="213"/>
      <c r="BW274" s="213"/>
      <c r="BX274" s="213"/>
      <c r="BY274" s="213"/>
      <c r="BZ274" s="213"/>
      <c r="CA274" s="213"/>
      <c r="CB274" s="213"/>
      <c r="CC274" s="213"/>
      <c r="CD274" s="213"/>
      <c r="CE274" s="213"/>
      <c r="CF274" s="213"/>
      <c r="CG274" s="213"/>
      <c r="CH274" s="213"/>
      <c r="CI274" s="213"/>
      <c r="CJ274" s="213"/>
      <c r="CK274" s="213"/>
      <c r="CL274" s="213"/>
      <c r="CM274" s="213"/>
      <c r="CN274" s="213"/>
      <c r="CO274" s="213"/>
      <c r="CP274" s="213"/>
      <c r="CQ274" s="213"/>
    </row>
    <row r="275" ht="15.75" customHeight="1">
      <c r="A275" s="213"/>
      <c r="B275" s="213"/>
      <c r="C275" s="213"/>
      <c r="D275" s="213"/>
      <c r="E275" s="213"/>
      <c r="F275" s="213"/>
      <c r="G275" s="213"/>
      <c r="H275" s="213"/>
      <c r="I275" s="213"/>
      <c r="J275" s="213"/>
      <c r="K275" s="213"/>
      <c r="L275" s="213"/>
      <c r="M275" s="213"/>
      <c r="N275" s="213"/>
      <c r="O275" s="213"/>
      <c r="P275" s="213"/>
      <c r="Q275" s="238"/>
      <c r="R275" s="213"/>
      <c r="S275" s="213"/>
      <c r="T275" s="213"/>
      <c r="U275" s="213"/>
      <c r="V275" s="213"/>
      <c r="W275" s="213"/>
      <c r="X275" s="215"/>
      <c r="Y275" s="213"/>
      <c r="Z275" s="213"/>
      <c r="AA275" s="213"/>
      <c r="AB275" s="213"/>
      <c r="AC275" s="213"/>
      <c r="AD275" s="215"/>
      <c r="AE275" s="213"/>
      <c r="AF275" s="213"/>
      <c r="AG275" s="213"/>
      <c r="AH275" s="947"/>
      <c r="AI275" s="213"/>
      <c r="AJ275" s="215"/>
      <c r="AK275" s="213"/>
      <c r="AL275" s="213"/>
      <c r="AM275" s="213"/>
      <c r="AN275" s="947"/>
      <c r="AO275" s="213"/>
      <c r="AP275" s="215"/>
      <c r="AQ275" s="213"/>
      <c r="AR275" s="213"/>
      <c r="AS275" s="213"/>
      <c r="AT275" s="947"/>
      <c r="AU275" s="213"/>
      <c r="AV275" s="215"/>
      <c r="AW275" s="213"/>
      <c r="AX275" s="213"/>
      <c r="AY275" s="213"/>
      <c r="AZ275" s="947"/>
      <c r="BA275" s="213"/>
      <c r="BB275" s="215"/>
      <c r="BC275" s="213"/>
      <c r="BD275" s="213"/>
      <c r="BE275" s="213"/>
      <c r="BF275" s="947"/>
      <c r="BG275" s="213"/>
      <c r="BH275" s="215"/>
      <c r="BI275" s="213"/>
      <c r="BJ275" s="213"/>
      <c r="BK275" s="213"/>
      <c r="BL275" s="948"/>
      <c r="BM275" s="213"/>
      <c r="BN275" s="213"/>
      <c r="BO275" s="213"/>
      <c r="BP275" s="213"/>
      <c r="BQ275" s="213"/>
      <c r="BR275" s="326"/>
      <c r="BS275" s="213"/>
      <c r="BT275" s="215"/>
      <c r="BU275" s="213"/>
      <c r="BV275" s="213"/>
      <c r="BW275" s="213"/>
      <c r="BX275" s="213"/>
      <c r="BY275" s="213"/>
      <c r="BZ275" s="213"/>
      <c r="CA275" s="213"/>
      <c r="CB275" s="213"/>
      <c r="CC275" s="213"/>
      <c r="CD275" s="213"/>
      <c r="CE275" s="213"/>
      <c r="CF275" s="213"/>
      <c r="CG275" s="213"/>
      <c r="CH275" s="213"/>
      <c r="CI275" s="213"/>
      <c r="CJ275" s="213"/>
      <c r="CK275" s="213"/>
      <c r="CL275" s="213"/>
      <c r="CM275" s="213"/>
      <c r="CN275" s="213"/>
      <c r="CO275" s="213"/>
      <c r="CP275" s="213"/>
      <c r="CQ275" s="213"/>
    </row>
    <row r="276" ht="15.75" customHeight="1">
      <c r="A276" s="213"/>
      <c r="B276" s="213"/>
      <c r="C276" s="213"/>
      <c r="D276" s="213"/>
      <c r="E276" s="213"/>
      <c r="F276" s="213"/>
      <c r="G276" s="213"/>
      <c r="H276" s="213"/>
      <c r="I276" s="213"/>
      <c r="J276" s="213"/>
      <c r="K276" s="213"/>
      <c r="L276" s="213"/>
      <c r="M276" s="213"/>
      <c r="N276" s="213"/>
      <c r="O276" s="213"/>
      <c r="P276" s="213"/>
      <c r="Q276" s="238"/>
      <c r="R276" s="213"/>
      <c r="S276" s="213"/>
      <c r="T276" s="213"/>
      <c r="U276" s="213"/>
      <c r="V276" s="213"/>
      <c r="W276" s="213"/>
      <c r="X276" s="215"/>
      <c r="Y276" s="213"/>
      <c r="Z276" s="213"/>
      <c r="AA276" s="213"/>
      <c r="AB276" s="213"/>
      <c r="AC276" s="213"/>
      <c r="AD276" s="215"/>
      <c r="AE276" s="213"/>
      <c r="AF276" s="213"/>
      <c r="AG276" s="213"/>
      <c r="AH276" s="947"/>
      <c r="AI276" s="213"/>
      <c r="AJ276" s="215"/>
      <c r="AK276" s="213"/>
      <c r="AL276" s="213"/>
      <c r="AM276" s="213"/>
      <c r="AN276" s="947"/>
      <c r="AO276" s="213"/>
      <c r="AP276" s="215"/>
      <c r="AQ276" s="213"/>
      <c r="AR276" s="213"/>
      <c r="AS276" s="213"/>
      <c r="AT276" s="947"/>
      <c r="AU276" s="213"/>
      <c r="AV276" s="215"/>
      <c r="AW276" s="213"/>
      <c r="AX276" s="213"/>
      <c r="AY276" s="213"/>
      <c r="AZ276" s="947"/>
      <c r="BA276" s="213"/>
      <c r="BB276" s="215"/>
      <c r="BC276" s="213"/>
      <c r="BD276" s="213"/>
      <c r="BE276" s="213"/>
      <c r="BF276" s="947"/>
      <c r="BG276" s="213"/>
      <c r="BH276" s="215"/>
      <c r="BI276" s="213"/>
      <c r="BJ276" s="213"/>
      <c r="BK276" s="213"/>
      <c r="BL276" s="948"/>
      <c r="BM276" s="213"/>
      <c r="BN276" s="213"/>
      <c r="BO276" s="213"/>
      <c r="BP276" s="213"/>
      <c r="BQ276" s="213"/>
      <c r="BR276" s="326"/>
      <c r="BS276" s="213"/>
      <c r="BT276" s="215"/>
      <c r="BU276" s="213"/>
      <c r="BV276" s="213"/>
      <c r="BW276" s="213"/>
      <c r="BX276" s="213"/>
      <c r="BY276" s="213"/>
      <c r="BZ276" s="213"/>
      <c r="CA276" s="213"/>
      <c r="CB276" s="213"/>
      <c r="CC276" s="213"/>
      <c r="CD276" s="213"/>
      <c r="CE276" s="213"/>
      <c r="CF276" s="213"/>
      <c r="CG276" s="213"/>
      <c r="CH276" s="213"/>
      <c r="CI276" s="213"/>
      <c r="CJ276" s="213"/>
      <c r="CK276" s="213"/>
      <c r="CL276" s="213"/>
      <c r="CM276" s="213"/>
      <c r="CN276" s="213"/>
      <c r="CO276" s="213"/>
      <c r="CP276" s="213"/>
      <c r="CQ276" s="213"/>
    </row>
    <row r="277" ht="15.75" customHeight="1">
      <c r="A277" s="213"/>
      <c r="B277" s="213"/>
      <c r="C277" s="213"/>
      <c r="D277" s="213"/>
      <c r="E277" s="213"/>
      <c r="F277" s="213"/>
      <c r="G277" s="213"/>
      <c r="H277" s="213"/>
      <c r="I277" s="213"/>
      <c r="J277" s="213"/>
      <c r="K277" s="213"/>
      <c r="L277" s="213"/>
      <c r="M277" s="213"/>
      <c r="N277" s="213"/>
      <c r="O277" s="213"/>
      <c r="P277" s="213"/>
      <c r="Q277" s="238"/>
      <c r="R277" s="213"/>
      <c r="S277" s="213"/>
      <c r="T277" s="213"/>
      <c r="U277" s="213"/>
      <c r="V277" s="213"/>
      <c r="W277" s="213"/>
      <c r="X277" s="215"/>
      <c r="Y277" s="213"/>
      <c r="Z277" s="213"/>
      <c r="AA277" s="213"/>
      <c r="AB277" s="213"/>
      <c r="AC277" s="213"/>
      <c r="AD277" s="215"/>
      <c r="AE277" s="213"/>
      <c r="AF277" s="213"/>
      <c r="AG277" s="213"/>
      <c r="AH277" s="947"/>
      <c r="AI277" s="213"/>
      <c r="AJ277" s="215"/>
      <c r="AK277" s="213"/>
      <c r="AL277" s="213"/>
      <c r="AM277" s="213"/>
      <c r="AN277" s="947"/>
      <c r="AO277" s="213"/>
      <c r="AP277" s="215"/>
      <c r="AQ277" s="213"/>
      <c r="AR277" s="213"/>
      <c r="AS277" s="213"/>
      <c r="AT277" s="947"/>
      <c r="AU277" s="213"/>
      <c r="AV277" s="215"/>
      <c r="AW277" s="213"/>
      <c r="AX277" s="213"/>
      <c r="AY277" s="213"/>
      <c r="AZ277" s="947"/>
      <c r="BA277" s="213"/>
      <c r="BB277" s="215"/>
      <c r="BC277" s="213"/>
      <c r="BD277" s="213"/>
      <c r="BE277" s="213"/>
      <c r="BF277" s="947"/>
      <c r="BG277" s="213"/>
      <c r="BH277" s="215"/>
      <c r="BI277" s="213"/>
      <c r="BJ277" s="213"/>
      <c r="BK277" s="213"/>
      <c r="BL277" s="948"/>
      <c r="BM277" s="213"/>
      <c r="BN277" s="213"/>
      <c r="BO277" s="213"/>
      <c r="BP277" s="213"/>
      <c r="BQ277" s="213"/>
      <c r="BR277" s="326"/>
      <c r="BS277" s="213"/>
      <c r="BT277" s="215"/>
      <c r="BU277" s="213"/>
      <c r="BV277" s="213"/>
      <c r="BW277" s="213"/>
      <c r="BX277" s="213"/>
      <c r="BY277" s="213"/>
      <c r="BZ277" s="213"/>
      <c r="CA277" s="213"/>
      <c r="CB277" s="213"/>
      <c r="CC277" s="213"/>
      <c r="CD277" s="213"/>
      <c r="CE277" s="213"/>
      <c r="CF277" s="213"/>
      <c r="CG277" s="213"/>
      <c r="CH277" s="213"/>
      <c r="CI277" s="213"/>
      <c r="CJ277" s="213"/>
      <c r="CK277" s="213"/>
      <c r="CL277" s="213"/>
      <c r="CM277" s="213"/>
      <c r="CN277" s="213"/>
      <c r="CO277" s="213"/>
      <c r="CP277" s="213"/>
      <c r="CQ277" s="213"/>
    </row>
    <row r="278" ht="15.75" customHeight="1">
      <c r="A278" s="213"/>
      <c r="B278" s="213"/>
      <c r="C278" s="213"/>
      <c r="D278" s="213"/>
      <c r="E278" s="213"/>
      <c r="F278" s="213"/>
      <c r="G278" s="213"/>
      <c r="H278" s="213"/>
      <c r="I278" s="213"/>
      <c r="J278" s="213"/>
      <c r="K278" s="213"/>
      <c r="L278" s="213"/>
      <c r="M278" s="213"/>
      <c r="N278" s="213"/>
      <c r="O278" s="213"/>
      <c r="P278" s="213"/>
      <c r="Q278" s="238"/>
      <c r="R278" s="213"/>
      <c r="S278" s="213"/>
      <c r="T278" s="213"/>
      <c r="U278" s="213"/>
      <c r="V278" s="213"/>
      <c r="W278" s="213"/>
      <c r="X278" s="215"/>
      <c r="Y278" s="213"/>
      <c r="Z278" s="213"/>
      <c r="AA278" s="213"/>
      <c r="AB278" s="213"/>
      <c r="AC278" s="213"/>
      <c r="AD278" s="215"/>
      <c r="AE278" s="213"/>
      <c r="AF278" s="213"/>
      <c r="AG278" s="213"/>
      <c r="AH278" s="947"/>
      <c r="AI278" s="213"/>
      <c r="AJ278" s="215"/>
      <c r="AK278" s="213"/>
      <c r="AL278" s="213"/>
      <c r="AM278" s="213"/>
      <c r="AN278" s="947"/>
      <c r="AO278" s="213"/>
      <c r="AP278" s="215"/>
      <c r="AQ278" s="213"/>
      <c r="AR278" s="213"/>
      <c r="AS278" s="213"/>
      <c r="AT278" s="947"/>
      <c r="AU278" s="213"/>
      <c r="AV278" s="215"/>
      <c r="AW278" s="213"/>
      <c r="AX278" s="213"/>
      <c r="AY278" s="213"/>
      <c r="AZ278" s="947"/>
      <c r="BA278" s="213"/>
      <c r="BB278" s="215"/>
      <c r="BC278" s="213"/>
      <c r="BD278" s="213"/>
      <c r="BE278" s="213"/>
      <c r="BF278" s="947"/>
      <c r="BG278" s="213"/>
      <c r="BH278" s="215"/>
      <c r="BI278" s="213"/>
      <c r="BJ278" s="213"/>
      <c r="BK278" s="213"/>
      <c r="BL278" s="948"/>
      <c r="BM278" s="213"/>
      <c r="BN278" s="213"/>
      <c r="BO278" s="213"/>
      <c r="BP278" s="213"/>
      <c r="BQ278" s="213"/>
      <c r="BR278" s="326"/>
      <c r="BS278" s="213"/>
      <c r="BT278" s="215"/>
      <c r="BU278" s="213"/>
      <c r="BV278" s="213"/>
      <c r="BW278" s="213"/>
      <c r="BX278" s="213"/>
      <c r="BY278" s="213"/>
      <c r="BZ278" s="213"/>
      <c r="CA278" s="213"/>
      <c r="CB278" s="213"/>
      <c r="CC278" s="213"/>
      <c r="CD278" s="213"/>
      <c r="CE278" s="213"/>
      <c r="CF278" s="213"/>
      <c r="CG278" s="213"/>
      <c r="CH278" s="213"/>
      <c r="CI278" s="213"/>
      <c r="CJ278" s="213"/>
      <c r="CK278" s="213"/>
      <c r="CL278" s="213"/>
      <c r="CM278" s="213"/>
      <c r="CN278" s="213"/>
      <c r="CO278" s="213"/>
      <c r="CP278" s="213"/>
      <c r="CQ278" s="213"/>
    </row>
    <row r="279" ht="15.75" customHeight="1">
      <c r="A279" s="213"/>
      <c r="B279" s="213"/>
      <c r="C279" s="213"/>
      <c r="D279" s="213"/>
      <c r="E279" s="213"/>
      <c r="F279" s="213"/>
      <c r="G279" s="213"/>
      <c r="H279" s="213"/>
      <c r="I279" s="213"/>
      <c r="J279" s="213"/>
      <c r="K279" s="213"/>
      <c r="L279" s="213"/>
      <c r="M279" s="213"/>
      <c r="N279" s="213"/>
      <c r="O279" s="213"/>
      <c r="P279" s="213"/>
      <c r="Q279" s="238"/>
      <c r="R279" s="213"/>
      <c r="S279" s="213"/>
      <c r="T279" s="213"/>
      <c r="U279" s="213"/>
      <c r="V279" s="213"/>
      <c r="W279" s="213"/>
      <c r="X279" s="215"/>
      <c r="Y279" s="213"/>
      <c r="Z279" s="213"/>
      <c r="AA279" s="213"/>
      <c r="AB279" s="213"/>
      <c r="AC279" s="213"/>
      <c r="AD279" s="215"/>
      <c r="AE279" s="213"/>
      <c r="AF279" s="213"/>
      <c r="AG279" s="213"/>
      <c r="AH279" s="947"/>
      <c r="AI279" s="213"/>
      <c r="AJ279" s="215"/>
      <c r="AK279" s="213"/>
      <c r="AL279" s="213"/>
      <c r="AM279" s="213"/>
      <c r="AN279" s="947"/>
      <c r="AO279" s="213"/>
      <c r="AP279" s="215"/>
      <c r="AQ279" s="213"/>
      <c r="AR279" s="213"/>
      <c r="AS279" s="213"/>
      <c r="AT279" s="947"/>
      <c r="AU279" s="213"/>
      <c r="AV279" s="215"/>
      <c r="AW279" s="213"/>
      <c r="AX279" s="213"/>
      <c r="AY279" s="213"/>
      <c r="AZ279" s="947"/>
      <c r="BA279" s="213"/>
      <c r="BB279" s="215"/>
      <c r="BC279" s="213"/>
      <c r="BD279" s="213"/>
      <c r="BE279" s="213"/>
      <c r="BF279" s="947"/>
      <c r="BG279" s="213"/>
      <c r="BH279" s="215"/>
      <c r="BI279" s="213"/>
      <c r="BJ279" s="213"/>
      <c r="BK279" s="213"/>
      <c r="BL279" s="948"/>
      <c r="BM279" s="213"/>
      <c r="BN279" s="213"/>
      <c r="BO279" s="213"/>
      <c r="BP279" s="213"/>
      <c r="BQ279" s="213"/>
      <c r="BR279" s="326"/>
      <c r="BS279" s="213"/>
      <c r="BT279" s="215"/>
      <c r="BU279" s="213"/>
      <c r="BV279" s="213"/>
      <c r="BW279" s="213"/>
      <c r="BX279" s="213"/>
      <c r="BY279" s="213"/>
      <c r="BZ279" s="213"/>
      <c r="CA279" s="213"/>
      <c r="CB279" s="213"/>
      <c r="CC279" s="213"/>
      <c r="CD279" s="213"/>
      <c r="CE279" s="213"/>
      <c r="CF279" s="213"/>
      <c r="CG279" s="213"/>
      <c r="CH279" s="213"/>
      <c r="CI279" s="213"/>
      <c r="CJ279" s="213"/>
      <c r="CK279" s="213"/>
      <c r="CL279" s="213"/>
      <c r="CM279" s="213"/>
      <c r="CN279" s="213"/>
      <c r="CO279" s="213"/>
      <c r="CP279" s="213"/>
      <c r="CQ279" s="213"/>
    </row>
    <row r="280" ht="15.75" customHeight="1">
      <c r="A280" s="213"/>
      <c r="B280" s="213"/>
      <c r="C280" s="213"/>
      <c r="D280" s="213"/>
      <c r="E280" s="213"/>
      <c r="F280" s="213"/>
      <c r="G280" s="213"/>
      <c r="H280" s="213"/>
      <c r="I280" s="213"/>
      <c r="J280" s="213"/>
      <c r="K280" s="213"/>
      <c r="L280" s="213"/>
      <c r="M280" s="213"/>
      <c r="N280" s="213"/>
      <c r="O280" s="213"/>
      <c r="P280" s="213"/>
      <c r="Q280" s="238"/>
      <c r="R280" s="213"/>
      <c r="S280" s="213"/>
      <c r="T280" s="213"/>
      <c r="U280" s="213"/>
      <c r="V280" s="213"/>
      <c r="W280" s="213"/>
      <c r="X280" s="215"/>
      <c r="Y280" s="213"/>
      <c r="Z280" s="213"/>
      <c r="AA280" s="213"/>
      <c r="AB280" s="213"/>
      <c r="AC280" s="213"/>
      <c r="AD280" s="215"/>
      <c r="AE280" s="213"/>
      <c r="AF280" s="213"/>
      <c r="AG280" s="213"/>
      <c r="AH280" s="947"/>
      <c r="AI280" s="213"/>
      <c r="AJ280" s="215"/>
      <c r="AK280" s="213"/>
      <c r="AL280" s="213"/>
      <c r="AM280" s="213"/>
      <c r="AN280" s="947"/>
      <c r="AO280" s="213"/>
      <c r="AP280" s="215"/>
      <c r="AQ280" s="213"/>
      <c r="AR280" s="213"/>
      <c r="AS280" s="213"/>
      <c r="AT280" s="947"/>
      <c r="AU280" s="213"/>
      <c r="AV280" s="215"/>
      <c r="AW280" s="213"/>
      <c r="AX280" s="213"/>
      <c r="AY280" s="213"/>
      <c r="AZ280" s="947"/>
      <c r="BA280" s="213"/>
      <c r="BB280" s="215"/>
      <c r="BC280" s="213"/>
      <c r="BD280" s="213"/>
      <c r="BE280" s="213"/>
      <c r="BF280" s="947"/>
      <c r="BG280" s="213"/>
      <c r="BH280" s="215"/>
      <c r="BI280" s="213"/>
      <c r="BJ280" s="213"/>
      <c r="BK280" s="213"/>
      <c r="BL280" s="948"/>
      <c r="BM280" s="213"/>
      <c r="BN280" s="213"/>
      <c r="BO280" s="213"/>
      <c r="BP280" s="213"/>
      <c r="BQ280" s="213"/>
      <c r="BR280" s="326"/>
      <c r="BS280" s="213"/>
      <c r="BT280" s="215"/>
      <c r="BU280" s="213"/>
      <c r="BV280" s="213"/>
      <c r="BW280" s="213"/>
      <c r="BX280" s="213"/>
      <c r="BY280" s="213"/>
      <c r="BZ280" s="213"/>
      <c r="CA280" s="213"/>
      <c r="CB280" s="213"/>
      <c r="CC280" s="213"/>
      <c r="CD280" s="213"/>
      <c r="CE280" s="213"/>
      <c r="CF280" s="213"/>
      <c r="CG280" s="213"/>
      <c r="CH280" s="213"/>
      <c r="CI280" s="213"/>
      <c r="CJ280" s="213"/>
      <c r="CK280" s="213"/>
      <c r="CL280" s="213"/>
      <c r="CM280" s="213"/>
      <c r="CN280" s="213"/>
      <c r="CO280" s="213"/>
      <c r="CP280" s="213"/>
      <c r="CQ280" s="213"/>
    </row>
    <row r="281" ht="15.75" customHeight="1">
      <c r="A281" s="213"/>
      <c r="B281" s="213"/>
      <c r="C281" s="213"/>
      <c r="D281" s="213"/>
      <c r="E281" s="213"/>
      <c r="F281" s="213"/>
      <c r="G281" s="213"/>
      <c r="H281" s="213"/>
      <c r="I281" s="213"/>
      <c r="J281" s="213"/>
      <c r="K281" s="213"/>
      <c r="L281" s="213"/>
      <c r="M281" s="213"/>
      <c r="N281" s="213"/>
      <c r="O281" s="213"/>
      <c r="P281" s="213"/>
      <c r="Q281" s="238"/>
      <c r="R281" s="213"/>
      <c r="S281" s="213"/>
      <c r="T281" s="213"/>
      <c r="U281" s="213"/>
      <c r="V281" s="213"/>
      <c r="W281" s="213"/>
      <c r="X281" s="215"/>
      <c r="Y281" s="213"/>
      <c r="Z281" s="213"/>
      <c r="AA281" s="213"/>
      <c r="AB281" s="213"/>
      <c r="AC281" s="213"/>
      <c r="AD281" s="215"/>
      <c r="AE281" s="213"/>
      <c r="AF281" s="213"/>
      <c r="AG281" s="213"/>
      <c r="AH281" s="947"/>
      <c r="AI281" s="213"/>
      <c r="AJ281" s="215"/>
      <c r="AK281" s="213"/>
      <c r="AL281" s="213"/>
      <c r="AM281" s="213"/>
      <c r="AN281" s="947"/>
      <c r="AO281" s="213"/>
      <c r="AP281" s="215"/>
      <c r="AQ281" s="213"/>
      <c r="AR281" s="213"/>
      <c r="AS281" s="213"/>
      <c r="AT281" s="947"/>
      <c r="AU281" s="213"/>
      <c r="AV281" s="215"/>
      <c r="AW281" s="213"/>
      <c r="AX281" s="213"/>
      <c r="AY281" s="213"/>
      <c r="AZ281" s="947"/>
      <c r="BA281" s="213"/>
      <c r="BB281" s="215"/>
      <c r="BC281" s="213"/>
      <c r="BD281" s="213"/>
      <c r="BE281" s="213"/>
      <c r="BF281" s="947"/>
      <c r="BG281" s="213"/>
      <c r="BH281" s="215"/>
      <c r="BI281" s="213"/>
      <c r="BJ281" s="213"/>
      <c r="BK281" s="213"/>
      <c r="BL281" s="948"/>
      <c r="BM281" s="213"/>
      <c r="BN281" s="213"/>
      <c r="BO281" s="213"/>
      <c r="BP281" s="213"/>
      <c r="BQ281" s="213"/>
      <c r="BR281" s="326"/>
      <c r="BS281" s="213"/>
      <c r="BT281" s="215"/>
      <c r="BU281" s="213"/>
      <c r="BV281" s="213"/>
      <c r="BW281" s="213"/>
      <c r="BX281" s="213"/>
      <c r="BY281" s="213"/>
      <c r="BZ281" s="213"/>
      <c r="CA281" s="213"/>
      <c r="CB281" s="213"/>
      <c r="CC281" s="213"/>
      <c r="CD281" s="213"/>
      <c r="CE281" s="213"/>
      <c r="CF281" s="213"/>
      <c r="CG281" s="213"/>
      <c r="CH281" s="213"/>
      <c r="CI281" s="213"/>
      <c r="CJ281" s="213"/>
      <c r="CK281" s="213"/>
      <c r="CL281" s="213"/>
      <c r="CM281" s="213"/>
      <c r="CN281" s="213"/>
      <c r="CO281" s="213"/>
      <c r="CP281" s="213"/>
      <c r="CQ281" s="213"/>
    </row>
    <row r="282" ht="15.75" customHeight="1">
      <c r="A282" s="213"/>
      <c r="B282" s="213"/>
      <c r="C282" s="213"/>
      <c r="D282" s="213"/>
      <c r="E282" s="213"/>
      <c r="F282" s="213"/>
      <c r="G282" s="213"/>
      <c r="H282" s="213"/>
      <c r="I282" s="213"/>
      <c r="J282" s="213"/>
      <c r="K282" s="213"/>
      <c r="L282" s="213"/>
      <c r="M282" s="213"/>
      <c r="N282" s="213"/>
      <c r="O282" s="213"/>
      <c r="P282" s="213"/>
      <c r="Q282" s="238"/>
      <c r="R282" s="213"/>
      <c r="S282" s="213"/>
      <c r="T282" s="213"/>
      <c r="U282" s="213"/>
      <c r="V282" s="213"/>
      <c r="W282" s="213"/>
      <c r="X282" s="215"/>
      <c r="Y282" s="213"/>
      <c r="Z282" s="213"/>
      <c r="AA282" s="213"/>
      <c r="AB282" s="213"/>
      <c r="AC282" s="213"/>
      <c r="AD282" s="215"/>
      <c r="AE282" s="213"/>
      <c r="AF282" s="213"/>
      <c r="AG282" s="213"/>
      <c r="AH282" s="947"/>
      <c r="AI282" s="213"/>
      <c r="AJ282" s="215"/>
      <c r="AK282" s="213"/>
      <c r="AL282" s="213"/>
      <c r="AM282" s="213"/>
      <c r="AN282" s="947"/>
      <c r="AO282" s="213"/>
      <c r="AP282" s="215"/>
      <c r="AQ282" s="213"/>
      <c r="AR282" s="213"/>
      <c r="AS282" s="213"/>
      <c r="AT282" s="947"/>
      <c r="AU282" s="213"/>
      <c r="AV282" s="215"/>
      <c r="AW282" s="213"/>
      <c r="AX282" s="213"/>
      <c r="AY282" s="213"/>
      <c r="AZ282" s="947"/>
      <c r="BA282" s="213"/>
      <c r="BB282" s="215"/>
      <c r="BC282" s="213"/>
      <c r="BD282" s="213"/>
      <c r="BE282" s="213"/>
      <c r="BF282" s="947"/>
      <c r="BG282" s="213"/>
      <c r="BH282" s="215"/>
      <c r="BI282" s="213"/>
      <c r="BJ282" s="213"/>
      <c r="BK282" s="213"/>
      <c r="BL282" s="948"/>
      <c r="BM282" s="213"/>
      <c r="BN282" s="213"/>
      <c r="BO282" s="213"/>
      <c r="BP282" s="213"/>
      <c r="BQ282" s="213"/>
      <c r="BR282" s="326"/>
      <c r="BS282" s="213"/>
      <c r="BT282" s="215"/>
      <c r="BU282" s="213"/>
      <c r="BV282" s="213"/>
      <c r="BW282" s="213"/>
      <c r="BX282" s="213"/>
      <c r="BY282" s="213"/>
      <c r="BZ282" s="213"/>
      <c r="CA282" s="213"/>
      <c r="CB282" s="213"/>
      <c r="CC282" s="213"/>
      <c r="CD282" s="213"/>
      <c r="CE282" s="213"/>
      <c r="CF282" s="213"/>
      <c r="CG282" s="213"/>
      <c r="CH282" s="213"/>
      <c r="CI282" s="213"/>
      <c r="CJ282" s="213"/>
      <c r="CK282" s="213"/>
      <c r="CL282" s="213"/>
      <c r="CM282" s="213"/>
      <c r="CN282" s="213"/>
      <c r="CO282" s="213"/>
      <c r="CP282" s="213"/>
      <c r="CQ282" s="213"/>
    </row>
    <row r="283" ht="15.75" customHeight="1">
      <c r="A283" s="213"/>
      <c r="B283" s="213"/>
      <c r="C283" s="213"/>
      <c r="D283" s="213"/>
      <c r="E283" s="213"/>
      <c r="F283" s="213"/>
      <c r="G283" s="213"/>
      <c r="H283" s="213"/>
      <c r="I283" s="213"/>
      <c r="J283" s="213"/>
      <c r="K283" s="213"/>
      <c r="L283" s="213"/>
      <c r="M283" s="213"/>
      <c r="N283" s="213"/>
      <c r="O283" s="213"/>
      <c r="P283" s="213"/>
      <c r="Q283" s="238"/>
      <c r="R283" s="213"/>
      <c r="S283" s="213"/>
      <c r="T283" s="213"/>
      <c r="U283" s="213"/>
      <c r="V283" s="213"/>
      <c r="W283" s="213"/>
      <c r="X283" s="215"/>
      <c r="Y283" s="213"/>
      <c r="Z283" s="213"/>
      <c r="AA283" s="213"/>
      <c r="AB283" s="213"/>
      <c r="AC283" s="213"/>
      <c r="AD283" s="215"/>
      <c r="AE283" s="213"/>
      <c r="AF283" s="213"/>
      <c r="AG283" s="213"/>
      <c r="AH283" s="947"/>
      <c r="AI283" s="213"/>
      <c r="AJ283" s="215"/>
      <c r="AK283" s="213"/>
      <c r="AL283" s="213"/>
      <c r="AM283" s="213"/>
      <c r="AN283" s="947"/>
      <c r="AO283" s="213"/>
      <c r="AP283" s="215"/>
      <c r="AQ283" s="213"/>
      <c r="AR283" s="213"/>
      <c r="AS283" s="213"/>
      <c r="AT283" s="947"/>
      <c r="AU283" s="213"/>
      <c r="AV283" s="215"/>
      <c r="AW283" s="213"/>
      <c r="AX283" s="213"/>
      <c r="AY283" s="213"/>
      <c r="AZ283" s="947"/>
      <c r="BA283" s="213"/>
      <c r="BB283" s="215"/>
      <c r="BC283" s="213"/>
      <c r="BD283" s="213"/>
      <c r="BE283" s="213"/>
      <c r="BF283" s="947"/>
      <c r="BG283" s="213"/>
      <c r="BH283" s="215"/>
      <c r="BI283" s="213"/>
      <c r="BJ283" s="213"/>
      <c r="BK283" s="213"/>
      <c r="BL283" s="948"/>
      <c r="BM283" s="213"/>
      <c r="BN283" s="213"/>
      <c r="BO283" s="213"/>
      <c r="BP283" s="213"/>
      <c r="BQ283" s="213"/>
      <c r="BR283" s="326"/>
      <c r="BS283" s="213"/>
      <c r="BT283" s="215"/>
      <c r="BU283" s="213"/>
      <c r="BV283" s="213"/>
      <c r="BW283" s="213"/>
      <c r="BX283" s="213"/>
      <c r="BY283" s="213"/>
      <c r="BZ283" s="213"/>
      <c r="CA283" s="213"/>
      <c r="CB283" s="213"/>
      <c r="CC283" s="213"/>
      <c r="CD283" s="213"/>
      <c r="CE283" s="213"/>
      <c r="CF283" s="213"/>
      <c r="CG283" s="213"/>
      <c r="CH283" s="213"/>
      <c r="CI283" s="213"/>
      <c r="CJ283" s="213"/>
      <c r="CK283" s="213"/>
      <c r="CL283" s="213"/>
      <c r="CM283" s="213"/>
      <c r="CN283" s="213"/>
      <c r="CO283" s="213"/>
      <c r="CP283" s="213"/>
      <c r="CQ283" s="213"/>
    </row>
    <row r="284" ht="15.75" customHeight="1">
      <c r="A284" s="213"/>
      <c r="B284" s="213"/>
      <c r="C284" s="213"/>
      <c r="D284" s="213"/>
      <c r="E284" s="213"/>
      <c r="F284" s="213"/>
      <c r="G284" s="213"/>
      <c r="H284" s="213"/>
      <c r="I284" s="213"/>
      <c r="J284" s="213"/>
      <c r="K284" s="213"/>
      <c r="L284" s="213"/>
      <c r="M284" s="213"/>
      <c r="N284" s="213"/>
      <c r="O284" s="213"/>
      <c r="P284" s="213"/>
      <c r="Q284" s="238"/>
      <c r="R284" s="213"/>
      <c r="S284" s="213"/>
      <c r="T284" s="213"/>
      <c r="U284" s="213"/>
      <c r="V284" s="213"/>
      <c r="W284" s="213"/>
      <c r="X284" s="215"/>
      <c r="Y284" s="213"/>
      <c r="Z284" s="213"/>
      <c r="AA284" s="213"/>
      <c r="AB284" s="213"/>
      <c r="AC284" s="213"/>
      <c r="AD284" s="215"/>
      <c r="AE284" s="213"/>
      <c r="AF284" s="213"/>
      <c r="AG284" s="213"/>
      <c r="AH284" s="947"/>
      <c r="AI284" s="213"/>
      <c r="AJ284" s="215"/>
      <c r="AK284" s="213"/>
      <c r="AL284" s="213"/>
      <c r="AM284" s="213"/>
      <c r="AN284" s="947"/>
      <c r="AO284" s="213"/>
      <c r="AP284" s="215"/>
      <c r="AQ284" s="213"/>
      <c r="AR284" s="213"/>
      <c r="AS284" s="213"/>
      <c r="AT284" s="947"/>
      <c r="AU284" s="213"/>
      <c r="AV284" s="215"/>
      <c r="AW284" s="213"/>
      <c r="AX284" s="213"/>
      <c r="AY284" s="213"/>
      <c r="AZ284" s="947"/>
      <c r="BA284" s="213"/>
      <c r="BB284" s="215"/>
      <c r="BC284" s="213"/>
      <c r="BD284" s="213"/>
      <c r="BE284" s="213"/>
      <c r="BF284" s="947"/>
      <c r="BG284" s="213"/>
      <c r="BH284" s="215"/>
      <c r="BI284" s="213"/>
      <c r="BJ284" s="213"/>
      <c r="BK284" s="213"/>
      <c r="BL284" s="948"/>
      <c r="BM284" s="213"/>
      <c r="BN284" s="213"/>
      <c r="BO284" s="213"/>
      <c r="BP284" s="213"/>
      <c r="BQ284" s="213"/>
      <c r="BR284" s="326"/>
      <c r="BS284" s="213"/>
      <c r="BT284" s="215"/>
      <c r="BU284" s="213"/>
      <c r="BV284" s="213"/>
      <c r="BW284" s="213"/>
      <c r="BX284" s="213"/>
      <c r="BY284" s="213"/>
      <c r="BZ284" s="213"/>
      <c r="CA284" s="213"/>
      <c r="CB284" s="213"/>
      <c r="CC284" s="213"/>
      <c r="CD284" s="213"/>
      <c r="CE284" s="213"/>
      <c r="CF284" s="213"/>
      <c r="CG284" s="213"/>
      <c r="CH284" s="213"/>
      <c r="CI284" s="213"/>
      <c r="CJ284" s="213"/>
      <c r="CK284" s="213"/>
      <c r="CL284" s="213"/>
      <c r="CM284" s="213"/>
      <c r="CN284" s="213"/>
      <c r="CO284" s="213"/>
      <c r="CP284" s="213"/>
      <c r="CQ284" s="213"/>
    </row>
    <row r="285" ht="15.75" customHeight="1">
      <c r="A285" s="213"/>
      <c r="B285" s="213"/>
      <c r="C285" s="213"/>
      <c r="D285" s="213"/>
      <c r="E285" s="213"/>
      <c r="F285" s="213"/>
      <c r="G285" s="213"/>
      <c r="H285" s="213"/>
      <c r="I285" s="213"/>
      <c r="J285" s="213"/>
      <c r="K285" s="213"/>
      <c r="L285" s="213"/>
      <c r="M285" s="213"/>
      <c r="N285" s="213"/>
      <c r="O285" s="213"/>
      <c r="P285" s="213"/>
      <c r="Q285" s="238"/>
      <c r="R285" s="213"/>
      <c r="S285" s="213"/>
      <c r="T285" s="213"/>
      <c r="U285" s="213"/>
      <c r="V285" s="213"/>
      <c r="W285" s="213"/>
      <c r="X285" s="215"/>
      <c r="Y285" s="213"/>
      <c r="Z285" s="213"/>
      <c r="AA285" s="213"/>
      <c r="AB285" s="213"/>
      <c r="AC285" s="213"/>
      <c r="AD285" s="215"/>
      <c r="AE285" s="213"/>
      <c r="AF285" s="213"/>
      <c r="AG285" s="213"/>
      <c r="AH285" s="947"/>
      <c r="AI285" s="213"/>
      <c r="AJ285" s="215"/>
      <c r="AK285" s="213"/>
      <c r="AL285" s="213"/>
      <c r="AM285" s="213"/>
      <c r="AN285" s="947"/>
      <c r="AO285" s="213"/>
      <c r="AP285" s="215"/>
      <c r="AQ285" s="213"/>
      <c r="AR285" s="213"/>
      <c r="AS285" s="213"/>
      <c r="AT285" s="947"/>
      <c r="AU285" s="213"/>
      <c r="AV285" s="215"/>
      <c r="AW285" s="213"/>
      <c r="AX285" s="213"/>
      <c r="AY285" s="213"/>
      <c r="AZ285" s="947"/>
      <c r="BA285" s="213"/>
      <c r="BB285" s="215"/>
      <c r="BC285" s="213"/>
      <c r="BD285" s="213"/>
      <c r="BE285" s="213"/>
      <c r="BF285" s="947"/>
      <c r="BG285" s="213"/>
      <c r="BH285" s="215"/>
      <c r="BI285" s="213"/>
      <c r="BJ285" s="213"/>
      <c r="BK285" s="213"/>
      <c r="BL285" s="948"/>
      <c r="BM285" s="213"/>
      <c r="BN285" s="213"/>
      <c r="BO285" s="213"/>
      <c r="BP285" s="213"/>
      <c r="BQ285" s="213"/>
      <c r="BR285" s="326"/>
      <c r="BS285" s="213"/>
      <c r="BT285" s="215"/>
      <c r="BU285" s="213"/>
      <c r="BV285" s="213"/>
      <c r="BW285" s="213"/>
      <c r="BX285" s="213"/>
      <c r="BY285" s="213"/>
      <c r="BZ285" s="213"/>
      <c r="CA285" s="213"/>
      <c r="CB285" s="213"/>
      <c r="CC285" s="213"/>
      <c r="CD285" s="213"/>
      <c r="CE285" s="213"/>
      <c r="CF285" s="213"/>
      <c r="CG285" s="213"/>
      <c r="CH285" s="213"/>
      <c r="CI285" s="213"/>
      <c r="CJ285" s="213"/>
      <c r="CK285" s="213"/>
      <c r="CL285" s="213"/>
      <c r="CM285" s="213"/>
      <c r="CN285" s="213"/>
      <c r="CO285" s="213"/>
      <c r="CP285" s="213"/>
      <c r="CQ285" s="213"/>
    </row>
    <row r="286" ht="15.75" customHeight="1">
      <c r="A286" s="213"/>
      <c r="B286" s="213"/>
      <c r="C286" s="213"/>
      <c r="D286" s="213"/>
      <c r="E286" s="213"/>
      <c r="F286" s="213"/>
      <c r="G286" s="213"/>
      <c r="H286" s="213"/>
      <c r="I286" s="213"/>
      <c r="J286" s="213"/>
      <c r="K286" s="213"/>
      <c r="L286" s="213"/>
      <c r="M286" s="213"/>
      <c r="N286" s="213"/>
      <c r="O286" s="213"/>
      <c r="P286" s="213"/>
      <c r="Q286" s="238"/>
      <c r="R286" s="213"/>
      <c r="S286" s="213"/>
      <c r="T286" s="213"/>
      <c r="U286" s="213"/>
      <c r="V286" s="213"/>
      <c r="W286" s="213"/>
      <c r="X286" s="215"/>
      <c r="Y286" s="213"/>
      <c r="Z286" s="213"/>
      <c r="AA286" s="213"/>
      <c r="AB286" s="213"/>
      <c r="AC286" s="213"/>
      <c r="AD286" s="215"/>
      <c r="AE286" s="213"/>
      <c r="AF286" s="213"/>
      <c r="AG286" s="213"/>
      <c r="AH286" s="947"/>
      <c r="AI286" s="213"/>
      <c r="AJ286" s="215"/>
      <c r="AK286" s="213"/>
      <c r="AL286" s="213"/>
      <c r="AM286" s="213"/>
      <c r="AN286" s="947"/>
      <c r="AO286" s="213"/>
      <c r="AP286" s="215"/>
      <c r="AQ286" s="213"/>
      <c r="AR286" s="213"/>
      <c r="AS286" s="213"/>
      <c r="AT286" s="947"/>
      <c r="AU286" s="213"/>
      <c r="AV286" s="215"/>
      <c r="AW286" s="213"/>
      <c r="AX286" s="213"/>
      <c r="AY286" s="213"/>
      <c r="AZ286" s="947"/>
      <c r="BA286" s="213"/>
      <c r="BB286" s="215"/>
      <c r="BC286" s="213"/>
      <c r="BD286" s="213"/>
      <c r="BE286" s="213"/>
      <c r="BF286" s="947"/>
      <c r="BG286" s="213"/>
      <c r="BH286" s="215"/>
      <c r="BI286" s="213"/>
      <c r="BJ286" s="213"/>
      <c r="BK286" s="213"/>
      <c r="BL286" s="948"/>
      <c r="BM286" s="213"/>
      <c r="BN286" s="213"/>
      <c r="BO286" s="213"/>
      <c r="BP286" s="213"/>
      <c r="BQ286" s="213"/>
      <c r="BR286" s="326"/>
      <c r="BS286" s="213"/>
      <c r="BT286" s="215"/>
      <c r="BU286" s="213"/>
      <c r="BV286" s="213"/>
      <c r="BW286" s="213"/>
      <c r="BX286" s="213"/>
      <c r="BY286" s="213"/>
      <c r="BZ286" s="213"/>
      <c r="CA286" s="213"/>
      <c r="CB286" s="213"/>
      <c r="CC286" s="213"/>
      <c r="CD286" s="213"/>
      <c r="CE286" s="213"/>
      <c r="CF286" s="213"/>
      <c r="CG286" s="213"/>
      <c r="CH286" s="213"/>
      <c r="CI286" s="213"/>
      <c r="CJ286" s="213"/>
      <c r="CK286" s="213"/>
      <c r="CL286" s="213"/>
      <c r="CM286" s="213"/>
      <c r="CN286" s="213"/>
      <c r="CO286" s="213"/>
      <c r="CP286" s="213"/>
      <c r="CQ286" s="213"/>
    </row>
    <row r="287" ht="15.75" customHeight="1">
      <c r="A287" s="213"/>
      <c r="B287" s="213"/>
      <c r="C287" s="213"/>
      <c r="D287" s="213"/>
      <c r="E287" s="213"/>
      <c r="F287" s="213"/>
      <c r="G287" s="213"/>
      <c r="H287" s="213"/>
      <c r="I287" s="213"/>
      <c r="J287" s="213"/>
      <c r="K287" s="213"/>
      <c r="L287" s="213"/>
      <c r="M287" s="213"/>
      <c r="N287" s="213"/>
      <c r="O287" s="213"/>
      <c r="P287" s="213"/>
      <c r="Q287" s="238"/>
      <c r="R287" s="213"/>
      <c r="S287" s="213"/>
      <c r="T287" s="213"/>
      <c r="U287" s="213"/>
      <c r="V287" s="213"/>
      <c r="W287" s="213"/>
      <c r="X287" s="215"/>
      <c r="Y287" s="213"/>
      <c r="Z287" s="213"/>
      <c r="AA287" s="213"/>
      <c r="AB287" s="213"/>
      <c r="AC287" s="213"/>
      <c r="AD287" s="215"/>
      <c r="AE287" s="213"/>
      <c r="AF287" s="213"/>
      <c r="AG287" s="213"/>
      <c r="AH287" s="947"/>
      <c r="AI287" s="213"/>
      <c r="AJ287" s="215"/>
      <c r="AK287" s="213"/>
      <c r="AL287" s="213"/>
      <c r="AM287" s="213"/>
      <c r="AN287" s="947"/>
      <c r="AO287" s="213"/>
      <c r="AP287" s="215"/>
      <c r="AQ287" s="213"/>
      <c r="AR287" s="213"/>
      <c r="AS287" s="213"/>
      <c r="AT287" s="947"/>
      <c r="AU287" s="213"/>
      <c r="AV287" s="215"/>
      <c r="AW287" s="213"/>
      <c r="AX287" s="213"/>
      <c r="AY287" s="213"/>
      <c r="AZ287" s="947"/>
      <c r="BA287" s="213"/>
      <c r="BB287" s="215"/>
      <c r="BC287" s="213"/>
      <c r="BD287" s="213"/>
      <c r="BE287" s="213"/>
      <c r="BF287" s="947"/>
      <c r="BG287" s="213"/>
      <c r="BH287" s="215"/>
      <c r="BI287" s="213"/>
      <c r="BJ287" s="213"/>
      <c r="BK287" s="213"/>
      <c r="BL287" s="948"/>
      <c r="BM287" s="213"/>
      <c r="BN287" s="213"/>
      <c r="BO287" s="213"/>
      <c r="BP287" s="213"/>
      <c r="BQ287" s="213"/>
      <c r="BR287" s="326"/>
      <c r="BS287" s="213"/>
      <c r="BT287" s="215"/>
      <c r="BU287" s="213"/>
      <c r="BV287" s="213"/>
      <c r="BW287" s="213"/>
      <c r="BX287" s="213"/>
      <c r="BY287" s="213"/>
      <c r="BZ287" s="213"/>
      <c r="CA287" s="213"/>
      <c r="CB287" s="213"/>
      <c r="CC287" s="213"/>
      <c r="CD287" s="213"/>
      <c r="CE287" s="213"/>
      <c r="CF287" s="213"/>
      <c r="CG287" s="213"/>
      <c r="CH287" s="213"/>
      <c r="CI287" s="213"/>
      <c r="CJ287" s="213"/>
      <c r="CK287" s="213"/>
      <c r="CL287" s="213"/>
      <c r="CM287" s="213"/>
      <c r="CN287" s="213"/>
      <c r="CO287" s="213"/>
      <c r="CP287" s="213"/>
      <c r="CQ287" s="213"/>
    </row>
    <row r="288" ht="15.75" customHeight="1">
      <c r="A288" s="213"/>
      <c r="B288" s="213"/>
      <c r="C288" s="213"/>
      <c r="D288" s="213"/>
      <c r="E288" s="213"/>
      <c r="F288" s="213"/>
      <c r="G288" s="213"/>
      <c r="H288" s="213"/>
      <c r="I288" s="213"/>
      <c r="J288" s="213"/>
      <c r="K288" s="213"/>
      <c r="L288" s="213"/>
      <c r="M288" s="213"/>
      <c r="N288" s="213"/>
      <c r="O288" s="213"/>
      <c r="P288" s="213"/>
      <c r="Q288" s="238"/>
      <c r="R288" s="213"/>
      <c r="S288" s="213"/>
      <c r="T288" s="213"/>
      <c r="U288" s="213"/>
      <c r="V288" s="213"/>
      <c r="W288" s="213"/>
      <c r="X288" s="215"/>
      <c r="Y288" s="213"/>
      <c r="Z288" s="213"/>
      <c r="AA288" s="213"/>
      <c r="AB288" s="213"/>
      <c r="AC288" s="213"/>
      <c r="AD288" s="215"/>
      <c r="AE288" s="213"/>
      <c r="AF288" s="213"/>
      <c r="AG288" s="213"/>
      <c r="AH288" s="947"/>
      <c r="AI288" s="213"/>
      <c r="AJ288" s="215"/>
      <c r="AK288" s="213"/>
      <c r="AL288" s="213"/>
      <c r="AM288" s="213"/>
      <c r="AN288" s="947"/>
      <c r="AO288" s="213"/>
      <c r="AP288" s="215"/>
      <c r="AQ288" s="213"/>
      <c r="AR288" s="213"/>
      <c r="AS288" s="213"/>
      <c r="AT288" s="947"/>
      <c r="AU288" s="213"/>
      <c r="AV288" s="215"/>
      <c r="AW288" s="213"/>
      <c r="AX288" s="213"/>
      <c r="AY288" s="213"/>
      <c r="AZ288" s="947"/>
      <c r="BA288" s="213"/>
      <c r="BB288" s="215"/>
      <c r="BC288" s="213"/>
      <c r="BD288" s="213"/>
      <c r="BE288" s="213"/>
      <c r="BF288" s="947"/>
      <c r="BG288" s="213"/>
      <c r="BH288" s="215"/>
      <c r="BI288" s="213"/>
      <c r="BJ288" s="213"/>
      <c r="BK288" s="213"/>
      <c r="BL288" s="948"/>
      <c r="BM288" s="213"/>
      <c r="BN288" s="213"/>
      <c r="BO288" s="213"/>
      <c r="BP288" s="213"/>
      <c r="BQ288" s="213"/>
      <c r="BR288" s="326"/>
      <c r="BS288" s="213"/>
      <c r="BT288" s="215"/>
      <c r="BU288" s="213"/>
      <c r="BV288" s="213"/>
      <c r="BW288" s="213"/>
      <c r="BX288" s="213"/>
      <c r="BY288" s="213"/>
      <c r="BZ288" s="213"/>
      <c r="CA288" s="213"/>
      <c r="CB288" s="213"/>
      <c r="CC288" s="213"/>
      <c r="CD288" s="213"/>
      <c r="CE288" s="213"/>
      <c r="CF288" s="213"/>
      <c r="CG288" s="213"/>
      <c r="CH288" s="213"/>
      <c r="CI288" s="213"/>
      <c r="CJ288" s="213"/>
      <c r="CK288" s="213"/>
      <c r="CL288" s="213"/>
      <c r="CM288" s="213"/>
      <c r="CN288" s="213"/>
      <c r="CO288" s="213"/>
      <c r="CP288" s="213"/>
      <c r="CQ288" s="213"/>
    </row>
    <row r="289" ht="15.75" customHeight="1">
      <c r="A289" s="213"/>
      <c r="B289" s="213"/>
      <c r="C289" s="213"/>
      <c r="D289" s="213"/>
      <c r="E289" s="213"/>
      <c r="F289" s="213"/>
      <c r="G289" s="213"/>
      <c r="H289" s="213"/>
      <c r="I289" s="213"/>
      <c r="J289" s="213"/>
      <c r="K289" s="213"/>
      <c r="L289" s="213"/>
      <c r="M289" s="213"/>
      <c r="N289" s="213"/>
      <c r="O289" s="213"/>
      <c r="P289" s="213"/>
      <c r="Q289" s="238"/>
      <c r="R289" s="213"/>
      <c r="S289" s="213"/>
      <c r="T289" s="213"/>
      <c r="U289" s="213"/>
      <c r="V289" s="213"/>
      <c r="W289" s="213"/>
      <c r="X289" s="215"/>
      <c r="Y289" s="213"/>
      <c r="Z289" s="213"/>
      <c r="AA289" s="213"/>
      <c r="AB289" s="213"/>
      <c r="AC289" s="213"/>
      <c r="AD289" s="215"/>
      <c r="AE289" s="213"/>
      <c r="AF289" s="213"/>
      <c r="AG289" s="213"/>
      <c r="AH289" s="947"/>
      <c r="AI289" s="213"/>
      <c r="AJ289" s="215"/>
      <c r="AK289" s="213"/>
      <c r="AL289" s="213"/>
      <c r="AM289" s="213"/>
      <c r="AN289" s="947"/>
      <c r="AO289" s="213"/>
      <c r="AP289" s="215"/>
      <c r="AQ289" s="213"/>
      <c r="AR289" s="213"/>
      <c r="AS289" s="213"/>
      <c r="AT289" s="947"/>
      <c r="AU289" s="213"/>
      <c r="AV289" s="215"/>
      <c r="AW289" s="213"/>
      <c r="AX289" s="213"/>
      <c r="AY289" s="213"/>
      <c r="AZ289" s="947"/>
      <c r="BA289" s="213"/>
      <c r="BB289" s="215"/>
      <c r="BC289" s="213"/>
      <c r="BD289" s="213"/>
      <c r="BE289" s="213"/>
      <c r="BF289" s="947"/>
      <c r="BG289" s="213"/>
      <c r="BH289" s="215"/>
      <c r="BI289" s="213"/>
      <c r="BJ289" s="213"/>
      <c r="BK289" s="213"/>
      <c r="BL289" s="948"/>
      <c r="BM289" s="213"/>
      <c r="BN289" s="213"/>
      <c r="BO289" s="213"/>
      <c r="BP289" s="213"/>
      <c r="BQ289" s="213"/>
      <c r="BR289" s="326"/>
      <c r="BS289" s="213"/>
      <c r="BT289" s="215"/>
      <c r="BU289" s="213"/>
      <c r="BV289" s="213"/>
      <c r="BW289" s="213"/>
      <c r="BX289" s="213"/>
      <c r="BY289" s="213"/>
      <c r="BZ289" s="213"/>
      <c r="CA289" s="213"/>
      <c r="CB289" s="213"/>
      <c r="CC289" s="213"/>
      <c r="CD289" s="213"/>
      <c r="CE289" s="213"/>
      <c r="CF289" s="213"/>
      <c r="CG289" s="213"/>
      <c r="CH289" s="213"/>
      <c r="CI289" s="213"/>
      <c r="CJ289" s="213"/>
      <c r="CK289" s="213"/>
      <c r="CL289" s="213"/>
      <c r="CM289" s="213"/>
      <c r="CN289" s="213"/>
      <c r="CO289" s="213"/>
      <c r="CP289" s="213"/>
      <c r="CQ289" s="213"/>
    </row>
    <row r="290" ht="15.75" customHeight="1">
      <c r="A290" s="213"/>
      <c r="B290" s="213"/>
      <c r="C290" s="213"/>
      <c r="D290" s="213"/>
      <c r="E290" s="213"/>
      <c r="F290" s="213"/>
      <c r="G290" s="213"/>
      <c r="H290" s="213"/>
      <c r="I290" s="213"/>
      <c r="J290" s="213"/>
      <c r="K290" s="213"/>
      <c r="L290" s="213"/>
      <c r="M290" s="213"/>
      <c r="N290" s="213"/>
      <c r="O290" s="213"/>
      <c r="P290" s="213"/>
      <c r="Q290" s="238"/>
      <c r="R290" s="213"/>
      <c r="S290" s="213"/>
      <c r="T290" s="213"/>
      <c r="U290" s="213"/>
      <c r="V290" s="213"/>
      <c r="W290" s="213"/>
      <c r="X290" s="215"/>
      <c r="Y290" s="213"/>
      <c r="Z290" s="213"/>
      <c r="AA290" s="213"/>
      <c r="AB290" s="213"/>
      <c r="AC290" s="213"/>
      <c r="AD290" s="215"/>
      <c r="AE290" s="213"/>
      <c r="AF290" s="213"/>
      <c r="AG290" s="213"/>
      <c r="AH290" s="947"/>
      <c r="AI290" s="213"/>
      <c r="AJ290" s="215"/>
      <c r="AK290" s="213"/>
      <c r="AL290" s="213"/>
      <c r="AM290" s="213"/>
      <c r="AN290" s="947"/>
      <c r="AO290" s="213"/>
      <c r="AP290" s="215"/>
      <c r="AQ290" s="213"/>
      <c r="AR290" s="213"/>
      <c r="AS290" s="213"/>
      <c r="AT290" s="947"/>
      <c r="AU290" s="213"/>
      <c r="AV290" s="215"/>
      <c r="AW290" s="213"/>
      <c r="AX290" s="213"/>
      <c r="AY290" s="213"/>
      <c r="AZ290" s="947"/>
      <c r="BA290" s="213"/>
      <c r="BB290" s="215"/>
      <c r="BC290" s="213"/>
      <c r="BD290" s="213"/>
      <c r="BE290" s="213"/>
      <c r="BF290" s="947"/>
      <c r="BG290" s="213"/>
      <c r="BH290" s="215"/>
      <c r="BI290" s="213"/>
      <c r="BJ290" s="213"/>
      <c r="BK290" s="213"/>
      <c r="BL290" s="948"/>
      <c r="BM290" s="213"/>
      <c r="BN290" s="213"/>
      <c r="BO290" s="213"/>
      <c r="BP290" s="213"/>
      <c r="BQ290" s="213"/>
      <c r="BR290" s="326"/>
      <c r="BS290" s="213"/>
      <c r="BT290" s="215"/>
      <c r="BU290" s="213"/>
      <c r="BV290" s="213"/>
      <c r="BW290" s="213"/>
      <c r="BX290" s="213"/>
      <c r="BY290" s="213"/>
      <c r="BZ290" s="213"/>
      <c r="CA290" s="213"/>
      <c r="CB290" s="213"/>
      <c r="CC290" s="213"/>
      <c r="CD290" s="213"/>
      <c r="CE290" s="213"/>
      <c r="CF290" s="213"/>
      <c r="CG290" s="213"/>
      <c r="CH290" s="213"/>
      <c r="CI290" s="213"/>
      <c r="CJ290" s="213"/>
      <c r="CK290" s="213"/>
      <c r="CL290" s="213"/>
      <c r="CM290" s="213"/>
      <c r="CN290" s="213"/>
      <c r="CO290" s="213"/>
      <c r="CP290" s="213"/>
      <c r="CQ290" s="213"/>
    </row>
    <row r="291" ht="15.75" customHeight="1">
      <c r="A291" s="213"/>
      <c r="B291" s="213"/>
      <c r="C291" s="213"/>
      <c r="D291" s="213"/>
      <c r="E291" s="213"/>
      <c r="F291" s="213"/>
      <c r="G291" s="213"/>
      <c r="H291" s="213"/>
      <c r="I291" s="213"/>
      <c r="J291" s="213"/>
      <c r="K291" s="213"/>
      <c r="L291" s="213"/>
      <c r="M291" s="213"/>
      <c r="N291" s="213"/>
      <c r="O291" s="213"/>
      <c r="P291" s="213"/>
      <c r="Q291" s="238"/>
      <c r="R291" s="213"/>
      <c r="S291" s="213"/>
      <c r="T291" s="213"/>
      <c r="U291" s="213"/>
      <c r="V291" s="213"/>
      <c r="W291" s="213"/>
      <c r="X291" s="215"/>
      <c r="Y291" s="213"/>
      <c r="Z291" s="213"/>
      <c r="AA291" s="213"/>
      <c r="AB291" s="213"/>
      <c r="AC291" s="213"/>
      <c r="AD291" s="215"/>
      <c r="AE291" s="213"/>
      <c r="AF291" s="213"/>
      <c r="AG291" s="213"/>
      <c r="AH291" s="947"/>
      <c r="AI291" s="213"/>
      <c r="AJ291" s="215"/>
      <c r="AK291" s="213"/>
      <c r="AL291" s="213"/>
      <c r="AM291" s="213"/>
      <c r="AN291" s="947"/>
      <c r="AO291" s="213"/>
      <c r="AP291" s="215"/>
      <c r="AQ291" s="213"/>
      <c r="AR291" s="213"/>
      <c r="AS291" s="213"/>
      <c r="AT291" s="947"/>
      <c r="AU291" s="213"/>
      <c r="AV291" s="215"/>
      <c r="AW291" s="213"/>
      <c r="AX291" s="213"/>
      <c r="AY291" s="213"/>
      <c r="AZ291" s="947"/>
      <c r="BA291" s="213"/>
      <c r="BB291" s="215"/>
      <c r="BC291" s="213"/>
      <c r="BD291" s="213"/>
      <c r="BE291" s="213"/>
      <c r="BF291" s="947"/>
      <c r="BG291" s="213"/>
      <c r="BH291" s="215"/>
      <c r="BI291" s="213"/>
      <c r="BJ291" s="213"/>
      <c r="BK291" s="213"/>
      <c r="BL291" s="948"/>
      <c r="BM291" s="213"/>
      <c r="BN291" s="213"/>
      <c r="BO291" s="213"/>
      <c r="BP291" s="213"/>
      <c r="BQ291" s="213"/>
      <c r="BR291" s="326"/>
      <c r="BS291" s="213"/>
      <c r="BT291" s="215"/>
      <c r="BU291" s="213"/>
      <c r="BV291" s="213"/>
      <c r="BW291" s="213"/>
      <c r="BX291" s="213"/>
      <c r="BY291" s="213"/>
      <c r="BZ291" s="213"/>
      <c r="CA291" s="213"/>
      <c r="CB291" s="213"/>
      <c r="CC291" s="213"/>
      <c r="CD291" s="213"/>
      <c r="CE291" s="213"/>
      <c r="CF291" s="213"/>
      <c r="CG291" s="213"/>
      <c r="CH291" s="213"/>
      <c r="CI291" s="213"/>
      <c r="CJ291" s="213"/>
      <c r="CK291" s="213"/>
      <c r="CL291" s="213"/>
      <c r="CM291" s="213"/>
      <c r="CN291" s="213"/>
      <c r="CO291" s="213"/>
      <c r="CP291" s="213"/>
      <c r="CQ291" s="213"/>
    </row>
    <row r="292" ht="15.75" customHeight="1">
      <c r="A292" s="213"/>
      <c r="B292" s="213"/>
      <c r="C292" s="213"/>
      <c r="D292" s="213"/>
      <c r="E292" s="213"/>
      <c r="F292" s="213"/>
      <c r="G292" s="213"/>
      <c r="H292" s="213"/>
      <c r="I292" s="213"/>
      <c r="J292" s="213"/>
      <c r="K292" s="213"/>
      <c r="L292" s="213"/>
      <c r="M292" s="213"/>
      <c r="N292" s="213"/>
      <c r="O292" s="213"/>
      <c r="P292" s="213"/>
      <c r="Q292" s="238"/>
      <c r="R292" s="213"/>
      <c r="S292" s="213"/>
      <c r="T292" s="213"/>
      <c r="U292" s="213"/>
      <c r="V292" s="213"/>
      <c r="W292" s="213"/>
      <c r="X292" s="215"/>
      <c r="Y292" s="213"/>
      <c r="Z292" s="213"/>
      <c r="AA292" s="213"/>
      <c r="AB292" s="213"/>
      <c r="AC292" s="213"/>
      <c r="AD292" s="215"/>
      <c r="AE292" s="213"/>
      <c r="AF292" s="213"/>
      <c r="AG292" s="213"/>
      <c r="AH292" s="947"/>
      <c r="AI292" s="213"/>
      <c r="AJ292" s="215"/>
      <c r="AK292" s="213"/>
      <c r="AL292" s="213"/>
      <c r="AM292" s="213"/>
      <c r="AN292" s="947"/>
      <c r="AO292" s="213"/>
      <c r="AP292" s="215"/>
      <c r="AQ292" s="213"/>
      <c r="AR292" s="213"/>
      <c r="AS292" s="213"/>
      <c r="AT292" s="947"/>
      <c r="AU292" s="213"/>
      <c r="AV292" s="215"/>
      <c r="AW292" s="213"/>
      <c r="AX292" s="213"/>
      <c r="AY292" s="213"/>
      <c r="AZ292" s="947"/>
      <c r="BA292" s="213"/>
      <c r="BB292" s="215"/>
      <c r="BC292" s="213"/>
      <c r="BD292" s="213"/>
      <c r="BE292" s="213"/>
      <c r="BF292" s="947"/>
      <c r="BG292" s="213"/>
      <c r="BH292" s="215"/>
      <c r="BI292" s="213"/>
      <c r="BJ292" s="213"/>
      <c r="BK292" s="213"/>
      <c r="BL292" s="948"/>
      <c r="BM292" s="213"/>
      <c r="BN292" s="213"/>
      <c r="BO292" s="213"/>
      <c r="BP292" s="213"/>
      <c r="BQ292" s="213"/>
      <c r="BR292" s="326"/>
      <c r="BS292" s="213"/>
      <c r="BT292" s="215"/>
      <c r="BU292" s="213"/>
      <c r="BV292" s="213"/>
      <c r="BW292" s="213"/>
      <c r="BX292" s="213"/>
      <c r="BY292" s="213"/>
      <c r="BZ292" s="213"/>
      <c r="CA292" s="213"/>
      <c r="CB292" s="213"/>
      <c r="CC292" s="213"/>
      <c r="CD292" s="213"/>
      <c r="CE292" s="213"/>
      <c r="CF292" s="213"/>
      <c r="CG292" s="213"/>
      <c r="CH292" s="213"/>
      <c r="CI292" s="213"/>
      <c r="CJ292" s="213"/>
      <c r="CK292" s="213"/>
      <c r="CL292" s="213"/>
      <c r="CM292" s="213"/>
      <c r="CN292" s="213"/>
      <c r="CO292" s="213"/>
      <c r="CP292" s="213"/>
      <c r="CQ292" s="213"/>
    </row>
    <row r="293" ht="15.75" customHeight="1">
      <c r="A293" s="213"/>
      <c r="B293" s="213"/>
      <c r="C293" s="213"/>
      <c r="D293" s="213"/>
      <c r="E293" s="213"/>
      <c r="F293" s="213"/>
      <c r="G293" s="213"/>
      <c r="H293" s="213"/>
      <c r="I293" s="213"/>
      <c r="J293" s="213"/>
      <c r="K293" s="213"/>
      <c r="L293" s="213"/>
      <c r="M293" s="213"/>
      <c r="N293" s="213"/>
      <c r="O293" s="213"/>
      <c r="P293" s="213"/>
      <c r="Q293" s="238"/>
      <c r="R293" s="213"/>
      <c r="S293" s="213"/>
      <c r="T293" s="213"/>
      <c r="U293" s="213"/>
      <c r="V293" s="213"/>
      <c r="W293" s="213"/>
      <c r="X293" s="215"/>
      <c r="Y293" s="213"/>
      <c r="Z293" s="213"/>
      <c r="AA293" s="213"/>
      <c r="AB293" s="213"/>
      <c r="AC293" s="213"/>
      <c r="AD293" s="215"/>
      <c r="AE293" s="213"/>
      <c r="AF293" s="213"/>
      <c r="AG293" s="213"/>
      <c r="AH293" s="947"/>
      <c r="AI293" s="213"/>
      <c r="AJ293" s="215"/>
      <c r="AK293" s="213"/>
      <c r="AL293" s="213"/>
      <c r="AM293" s="213"/>
      <c r="AN293" s="947"/>
      <c r="AO293" s="213"/>
      <c r="AP293" s="215"/>
      <c r="AQ293" s="213"/>
      <c r="AR293" s="213"/>
      <c r="AS293" s="213"/>
      <c r="AT293" s="947"/>
      <c r="AU293" s="213"/>
      <c r="AV293" s="215"/>
      <c r="AW293" s="213"/>
      <c r="AX293" s="213"/>
      <c r="AY293" s="213"/>
      <c r="AZ293" s="947"/>
      <c r="BA293" s="213"/>
      <c r="BB293" s="215"/>
      <c r="BC293" s="213"/>
      <c r="BD293" s="213"/>
      <c r="BE293" s="213"/>
      <c r="BF293" s="947"/>
      <c r="BG293" s="213"/>
      <c r="BH293" s="215"/>
      <c r="BI293" s="213"/>
      <c r="BJ293" s="213"/>
      <c r="BK293" s="213"/>
      <c r="BL293" s="948"/>
      <c r="BM293" s="213"/>
      <c r="BN293" s="213"/>
      <c r="BO293" s="213"/>
      <c r="BP293" s="213"/>
      <c r="BQ293" s="213"/>
      <c r="BR293" s="326"/>
      <c r="BS293" s="213"/>
      <c r="BT293" s="215"/>
      <c r="BU293" s="213"/>
      <c r="BV293" s="213"/>
      <c r="BW293" s="213"/>
      <c r="BX293" s="213"/>
      <c r="BY293" s="213"/>
      <c r="BZ293" s="213"/>
      <c r="CA293" s="213"/>
      <c r="CB293" s="213"/>
      <c r="CC293" s="213"/>
      <c r="CD293" s="213"/>
      <c r="CE293" s="213"/>
      <c r="CF293" s="213"/>
      <c r="CG293" s="213"/>
      <c r="CH293" s="213"/>
      <c r="CI293" s="213"/>
      <c r="CJ293" s="213"/>
      <c r="CK293" s="213"/>
      <c r="CL293" s="213"/>
      <c r="CM293" s="213"/>
      <c r="CN293" s="213"/>
      <c r="CO293" s="213"/>
      <c r="CP293" s="213"/>
      <c r="CQ293" s="213"/>
    </row>
    <row r="294" ht="15.75" customHeight="1">
      <c r="A294" s="213"/>
      <c r="B294" s="213"/>
      <c r="C294" s="213"/>
      <c r="D294" s="213"/>
      <c r="E294" s="213"/>
      <c r="F294" s="213"/>
      <c r="G294" s="213"/>
      <c r="H294" s="213"/>
      <c r="I294" s="213"/>
      <c r="J294" s="213"/>
      <c r="K294" s="213"/>
      <c r="L294" s="213"/>
      <c r="M294" s="213"/>
      <c r="N294" s="213"/>
      <c r="O294" s="213"/>
      <c r="P294" s="213"/>
      <c r="Q294" s="238"/>
      <c r="R294" s="213"/>
      <c r="S294" s="213"/>
      <c r="T294" s="213"/>
      <c r="U294" s="213"/>
      <c r="V294" s="213"/>
      <c r="W294" s="213"/>
      <c r="X294" s="215"/>
      <c r="Y294" s="213"/>
      <c r="Z294" s="213"/>
      <c r="AA294" s="213"/>
      <c r="AB294" s="213"/>
      <c r="AC294" s="213"/>
      <c r="AD294" s="215"/>
      <c r="AE294" s="213"/>
      <c r="AF294" s="213"/>
      <c r="AG294" s="213"/>
      <c r="AH294" s="947"/>
      <c r="AI294" s="213"/>
      <c r="AJ294" s="215"/>
      <c r="AK294" s="213"/>
      <c r="AL294" s="213"/>
      <c r="AM294" s="213"/>
      <c r="AN294" s="947"/>
      <c r="AO294" s="213"/>
      <c r="AP294" s="215"/>
      <c r="AQ294" s="213"/>
      <c r="AR294" s="213"/>
      <c r="AS294" s="213"/>
      <c r="AT294" s="947"/>
      <c r="AU294" s="213"/>
      <c r="AV294" s="215"/>
      <c r="AW294" s="213"/>
      <c r="AX294" s="213"/>
      <c r="AY294" s="213"/>
      <c r="AZ294" s="947"/>
      <c r="BA294" s="213"/>
      <c r="BB294" s="215"/>
      <c r="BC294" s="213"/>
      <c r="BD294" s="213"/>
      <c r="BE294" s="213"/>
      <c r="BF294" s="947"/>
      <c r="BG294" s="213"/>
      <c r="BH294" s="215"/>
      <c r="BI294" s="213"/>
      <c r="BJ294" s="213"/>
      <c r="BK294" s="213"/>
      <c r="BL294" s="948"/>
      <c r="BM294" s="213"/>
      <c r="BN294" s="213"/>
      <c r="BO294" s="213"/>
      <c r="BP294" s="213"/>
      <c r="BQ294" s="213"/>
      <c r="BR294" s="326"/>
      <c r="BS294" s="213"/>
      <c r="BT294" s="215"/>
      <c r="BU294" s="213"/>
      <c r="BV294" s="213"/>
      <c r="BW294" s="213"/>
      <c r="BX294" s="213"/>
      <c r="BY294" s="213"/>
      <c r="BZ294" s="213"/>
      <c r="CA294" s="213"/>
      <c r="CB294" s="213"/>
      <c r="CC294" s="213"/>
      <c r="CD294" s="213"/>
      <c r="CE294" s="213"/>
      <c r="CF294" s="213"/>
      <c r="CG294" s="213"/>
      <c r="CH294" s="213"/>
      <c r="CI294" s="213"/>
      <c r="CJ294" s="213"/>
      <c r="CK294" s="213"/>
      <c r="CL294" s="213"/>
      <c r="CM294" s="213"/>
      <c r="CN294" s="213"/>
      <c r="CO294" s="213"/>
      <c r="CP294" s="213"/>
      <c r="CQ294" s="213"/>
    </row>
    <row r="295" ht="15.75" customHeight="1">
      <c r="A295" s="213"/>
      <c r="B295" s="213"/>
      <c r="C295" s="213"/>
      <c r="D295" s="213"/>
      <c r="E295" s="213"/>
      <c r="F295" s="213"/>
      <c r="G295" s="213"/>
      <c r="H295" s="213"/>
      <c r="I295" s="213"/>
      <c r="J295" s="213"/>
      <c r="K295" s="213"/>
      <c r="L295" s="213"/>
      <c r="M295" s="213"/>
      <c r="N295" s="213"/>
      <c r="O295" s="213"/>
      <c r="P295" s="213"/>
      <c r="Q295" s="238"/>
      <c r="R295" s="213"/>
      <c r="S295" s="213"/>
      <c r="T295" s="213"/>
      <c r="U295" s="213"/>
      <c r="V295" s="213"/>
      <c r="W295" s="213"/>
      <c r="X295" s="215"/>
      <c r="Y295" s="213"/>
      <c r="Z295" s="213"/>
      <c r="AA295" s="213"/>
      <c r="AB295" s="213"/>
      <c r="AC295" s="213"/>
      <c r="AD295" s="215"/>
      <c r="AE295" s="213"/>
      <c r="AF295" s="213"/>
      <c r="AG295" s="213"/>
      <c r="AH295" s="947"/>
      <c r="AI295" s="213"/>
      <c r="AJ295" s="215"/>
      <c r="AK295" s="213"/>
      <c r="AL295" s="213"/>
      <c r="AM295" s="213"/>
      <c r="AN295" s="947"/>
      <c r="AO295" s="213"/>
      <c r="AP295" s="215"/>
      <c r="AQ295" s="213"/>
      <c r="AR295" s="213"/>
      <c r="AS295" s="213"/>
      <c r="AT295" s="947"/>
      <c r="AU295" s="213"/>
      <c r="AV295" s="215"/>
      <c r="AW295" s="213"/>
      <c r="AX295" s="213"/>
      <c r="AY295" s="213"/>
      <c r="AZ295" s="947"/>
      <c r="BA295" s="213"/>
      <c r="BB295" s="215"/>
      <c r="BC295" s="213"/>
      <c r="BD295" s="213"/>
      <c r="BE295" s="213"/>
      <c r="BF295" s="947"/>
      <c r="BG295" s="213"/>
      <c r="BH295" s="215"/>
      <c r="BI295" s="213"/>
      <c r="BJ295" s="213"/>
      <c r="BK295" s="213"/>
      <c r="BL295" s="948"/>
      <c r="BM295" s="213"/>
      <c r="BN295" s="213"/>
      <c r="BO295" s="213"/>
      <c r="BP295" s="213"/>
      <c r="BQ295" s="213"/>
      <c r="BR295" s="326"/>
      <c r="BS295" s="213"/>
      <c r="BT295" s="215"/>
      <c r="BU295" s="213"/>
      <c r="BV295" s="213"/>
      <c r="BW295" s="213"/>
      <c r="BX295" s="213"/>
      <c r="BY295" s="213"/>
      <c r="BZ295" s="213"/>
      <c r="CA295" s="213"/>
      <c r="CB295" s="213"/>
      <c r="CC295" s="213"/>
      <c r="CD295" s="213"/>
      <c r="CE295" s="213"/>
      <c r="CF295" s="213"/>
      <c r="CG295" s="213"/>
      <c r="CH295" s="213"/>
      <c r="CI295" s="213"/>
      <c r="CJ295" s="213"/>
      <c r="CK295" s="213"/>
      <c r="CL295" s="213"/>
      <c r="CM295" s="213"/>
      <c r="CN295" s="213"/>
      <c r="CO295" s="213"/>
      <c r="CP295" s="213"/>
      <c r="CQ295" s="213"/>
    </row>
    <row r="296" ht="15.75" customHeight="1">
      <c r="A296" s="213"/>
      <c r="B296" s="213"/>
      <c r="C296" s="213"/>
      <c r="D296" s="213"/>
      <c r="E296" s="213"/>
      <c r="F296" s="213"/>
      <c r="G296" s="213"/>
      <c r="H296" s="213"/>
      <c r="I296" s="213"/>
      <c r="J296" s="213"/>
      <c r="K296" s="213"/>
      <c r="L296" s="213"/>
      <c r="M296" s="213"/>
      <c r="N296" s="213"/>
      <c r="O296" s="213"/>
      <c r="P296" s="213"/>
      <c r="Q296" s="238"/>
      <c r="R296" s="213"/>
      <c r="S296" s="213"/>
      <c r="T296" s="213"/>
      <c r="U296" s="213"/>
      <c r="V296" s="213"/>
      <c r="W296" s="213"/>
      <c r="X296" s="215"/>
      <c r="Y296" s="213"/>
      <c r="Z296" s="213"/>
      <c r="AA296" s="213"/>
      <c r="AB296" s="213"/>
      <c r="AC296" s="213"/>
      <c r="AD296" s="215"/>
      <c r="AE296" s="213"/>
      <c r="AF296" s="213"/>
      <c r="AG296" s="213"/>
      <c r="AH296" s="947"/>
      <c r="AI296" s="213"/>
      <c r="AJ296" s="215"/>
      <c r="AK296" s="213"/>
      <c r="AL296" s="213"/>
      <c r="AM296" s="213"/>
      <c r="AN296" s="947"/>
      <c r="AO296" s="213"/>
      <c r="AP296" s="215"/>
      <c r="AQ296" s="213"/>
      <c r="AR296" s="213"/>
      <c r="AS296" s="213"/>
      <c r="AT296" s="947"/>
      <c r="AU296" s="213"/>
      <c r="AV296" s="215"/>
      <c r="AW296" s="213"/>
      <c r="AX296" s="213"/>
      <c r="AY296" s="213"/>
      <c r="AZ296" s="947"/>
      <c r="BA296" s="213"/>
      <c r="BB296" s="215"/>
      <c r="BC296" s="213"/>
      <c r="BD296" s="213"/>
      <c r="BE296" s="213"/>
      <c r="BF296" s="947"/>
      <c r="BG296" s="213"/>
      <c r="BH296" s="215"/>
      <c r="BI296" s="213"/>
      <c r="BJ296" s="213"/>
      <c r="BK296" s="213"/>
      <c r="BL296" s="948"/>
      <c r="BM296" s="213"/>
      <c r="BN296" s="213"/>
      <c r="BO296" s="213"/>
      <c r="BP296" s="213"/>
      <c r="BQ296" s="213"/>
      <c r="BR296" s="326"/>
      <c r="BS296" s="213"/>
      <c r="BT296" s="215"/>
      <c r="BU296" s="213"/>
      <c r="BV296" s="213"/>
      <c r="BW296" s="213"/>
      <c r="BX296" s="213"/>
      <c r="BY296" s="213"/>
      <c r="BZ296" s="213"/>
      <c r="CA296" s="213"/>
      <c r="CB296" s="213"/>
      <c r="CC296" s="213"/>
      <c r="CD296" s="213"/>
      <c r="CE296" s="213"/>
      <c r="CF296" s="213"/>
      <c r="CG296" s="213"/>
      <c r="CH296" s="213"/>
      <c r="CI296" s="213"/>
      <c r="CJ296" s="213"/>
      <c r="CK296" s="213"/>
      <c r="CL296" s="213"/>
      <c r="CM296" s="213"/>
      <c r="CN296" s="213"/>
      <c r="CO296" s="213"/>
      <c r="CP296" s="213"/>
      <c r="CQ296" s="213"/>
    </row>
    <row r="297" ht="15.75" customHeight="1">
      <c r="A297" s="213"/>
      <c r="B297" s="213"/>
      <c r="C297" s="213"/>
      <c r="D297" s="213"/>
      <c r="E297" s="213"/>
      <c r="F297" s="213"/>
      <c r="G297" s="213"/>
      <c r="H297" s="213"/>
      <c r="I297" s="213"/>
      <c r="J297" s="213"/>
      <c r="K297" s="213"/>
      <c r="L297" s="213"/>
      <c r="M297" s="213"/>
      <c r="N297" s="213"/>
      <c r="O297" s="213"/>
      <c r="P297" s="213"/>
      <c r="Q297" s="238"/>
      <c r="R297" s="213"/>
      <c r="S297" s="213"/>
      <c r="T297" s="213"/>
      <c r="U297" s="213"/>
      <c r="V297" s="213"/>
      <c r="W297" s="213"/>
      <c r="X297" s="215"/>
      <c r="Y297" s="213"/>
      <c r="Z297" s="213"/>
      <c r="AA297" s="213"/>
      <c r="AB297" s="213"/>
      <c r="AC297" s="213"/>
      <c r="AD297" s="215"/>
      <c r="AE297" s="213"/>
      <c r="AF297" s="213"/>
      <c r="AG297" s="213"/>
      <c r="AH297" s="947"/>
      <c r="AI297" s="213"/>
      <c r="AJ297" s="215"/>
      <c r="AK297" s="213"/>
      <c r="AL297" s="213"/>
      <c r="AM297" s="213"/>
      <c r="AN297" s="947"/>
      <c r="AO297" s="213"/>
      <c r="AP297" s="215"/>
      <c r="AQ297" s="213"/>
      <c r="AR297" s="213"/>
      <c r="AS297" s="213"/>
      <c r="AT297" s="947"/>
      <c r="AU297" s="213"/>
      <c r="AV297" s="215"/>
      <c r="AW297" s="213"/>
      <c r="AX297" s="213"/>
      <c r="AY297" s="213"/>
      <c r="AZ297" s="947"/>
      <c r="BA297" s="213"/>
      <c r="BB297" s="215"/>
      <c r="BC297" s="213"/>
      <c r="BD297" s="213"/>
      <c r="BE297" s="213"/>
      <c r="BF297" s="947"/>
      <c r="BG297" s="213"/>
      <c r="BH297" s="215"/>
      <c r="BI297" s="213"/>
      <c r="BJ297" s="213"/>
      <c r="BK297" s="213"/>
      <c r="BL297" s="948"/>
      <c r="BM297" s="213"/>
      <c r="BN297" s="213"/>
      <c r="BO297" s="213"/>
      <c r="BP297" s="213"/>
      <c r="BQ297" s="213"/>
      <c r="BR297" s="326"/>
      <c r="BS297" s="213"/>
      <c r="BT297" s="215"/>
      <c r="BU297" s="213"/>
      <c r="BV297" s="213"/>
      <c r="BW297" s="213"/>
      <c r="BX297" s="213"/>
      <c r="BY297" s="213"/>
      <c r="BZ297" s="213"/>
      <c r="CA297" s="213"/>
      <c r="CB297" s="213"/>
      <c r="CC297" s="213"/>
      <c r="CD297" s="213"/>
      <c r="CE297" s="213"/>
      <c r="CF297" s="213"/>
      <c r="CG297" s="213"/>
      <c r="CH297" s="213"/>
      <c r="CI297" s="213"/>
      <c r="CJ297" s="213"/>
      <c r="CK297" s="213"/>
      <c r="CL297" s="213"/>
      <c r="CM297" s="213"/>
      <c r="CN297" s="213"/>
      <c r="CO297" s="213"/>
      <c r="CP297" s="213"/>
      <c r="CQ297" s="213"/>
    </row>
    <row r="298" ht="15.75" customHeight="1">
      <c r="A298" s="213"/>
      <c r="B298" s="213"/>
      <c r="C298" s="213"/>
      <c r="D298" s="213"/>
      <c r="E298" s="213"/>
      <c r="F298" s="213"/>
      <c r="G298" s="213"/>
      <c r="H298" s="213"/>
      <c r="I298" s="213"/>
      <c r="J298" s="213"/>
      <c r="K298" s="213"/>
      <c r="L298" s="213"/>
      <c r="M298" s="213"/>
      <c r="N298" s="213"/>
      <c r="O298" s="213"/>
      <c r="P298" s="213"/>
      <c r="Q298" s="238"/>
      <c r="R298" s="213"/>
      <c r="S298" s="213"/>
      <c r="T298" s="213"/>
      <c r="U298" s="213"/>
      <c r="V298" s="213"/>
      <c r="W298" s="213"/>
      <c r="X298" s="215"/>
      <c r="Y298" s="213"/>
      <c r="Z298" s="213"/>
      <c r="AA298" s="213"/>
      <c r="AB298" s="213"/>
      <c r="AC298" s="213"/>
      <c r="AD298" s="215"/>
      <c r="AE298" s="213"/>
      <c r="AF298" s="213"/>
      <c r="AG298" s="213"/>
      <c r="AH298" s="947"/>
      <c r="AI298" s="213"/>
      <c r="AJ298" s="215"/>
      <c r="AK298" s="213"/>
      <c r="AL298" s="213"/>
      <c r="AM298" s="213"/>
      <c r="AN298" s="947"/>
      <c r="AO298" s="213"/>
      <c r="AP298" s="215"/>
      <c r="AQ298" s="213"/>
      <c r="AR298" s="213"/>
      <c r="AS298" s="213"/>
      <c r="AT298" s="947"/>
      <c r="AU298" s="213"/>
      <c r="AV298" s="215"/>
      <c r="AW298" s="213"/>
      <c r="AX298" s="213"/>
      <c r="AY298" s="213"/>
      <c r="AZ298" s="947"/>
      <c r="BA298" s="213"/>
      <c r="BB298" s="215"/>
      <c r="BC298" s="213"/>
      <c r="BD298" s="213"/>
      <c r="BE298" s="213"/>
      <c r="BF298" s="947"/>
      <c r="BG298" s="213"/>
      <c r="BH298" s="215"/>
      <c r="BI298" s="213"/>
      <c r="BJ298" s="213"/>
      <c r="BK298" s="213"/>
      <c r="BL298" s="948"/>
      <c r="BM298" s="213"/>
      <c r="BN298" s="213"/>
      <c r="BO298" s="213"/>
      <c r="BP298" s="213"/>
      <c r="BQ298" s="213"/>
      <c r="BR298" s="326"/>
      <c r="BS298" s="213"/>
      <c r="BT298" s="215"/>
      <c r="BU298" s="213"/>
      <c r="BV298" s="213"/>
      <c r="BW298" s="213"/>
      <c r="BX298" s="213"/>
      <c r="BY298" s="213"/>
      <c r="BZ298" s="213"/>
      <c r="CA298" s="213"/>
      <c r="CB298" s="213"/>
      <c r="CC298" s="213"/>
      <c r="CD298" s="213"/>
      <c r="CE298" s="213"/>
      <c r="CF298" s="213"/>
      <c r="CG298" s="213"/>
      <c r="CH298" s="213"/>
      <c r="CI298" s="213"/>
      <c r="CJ298" s="213"/>
      <c r="CK298" s="213"/>
      <c r="CL298" s="213"/>
      <c r="CM298" s="213"/>
      <c r="CN298" s="213"/>
      <c r="CO298" s="213"/>
      <c r="CP298" s="213"/>
      <c r="CQ298" s="213"/>
    </row>
    <row r="299" ht="15.75" customHeight="1">
      <c r="A299" s="213"/>
      <c r="B299" s="213"/>
      <c r="C299" s="213"/>
      <c r="D299" s="213"/>
      <c r="E299" s="213"/>
      <c r="F299" s="213"/>
      <c r="G299" s="213"/>
      <c r="H299" s="213"/>
      <c r="I299" s="213"/>
      <c r="J299" s="213"/>
      <c r="K299" s="213"/>
      <c r="L299" s="213"/>
      <c r="M299" s="213"/>
      <c r="N299" s="213"/>
      <c r="O299" s="213"/>
      <c r="P299" s="213"/>
      <c r="Q299" s="238"/>
      <c r="R299" s="213"/>
      <c r="S299" s="213"/>
      <c r="T299" s="213"/>
      <c r="U299" s="213"/>
      <c r="V299" s="213"/>
      <c r="W299" s="213"/>
      <c r="X299" s="215"/>
      <c r="Y299" s="213"/>
      <c r="Z299" s="213"/>
      <c r="AA299" s="213"/>
      <c r="AB299" s="213"/>
      <c r="AC299" s="213"/>
      <c r="AD299" s="215"/>
      <c r="AE299" s="213"/>
      <c r="AF299" s="213"/>
      <c r="AG299" s="213"/>
      <c r="AH299" s="947"/>
      <c r="AI299" s="213"/>
      <c r="AJ299" s="215"/>
      <c r="AK299" s="213"/>
      <c r="AL299" s="213"/>
      <c r="AM299" s="213"/>
      <c r="AN299" s="947"/>
      <c r="AO299" s="213"/>
      <c r="AP299" s="215"/>
      <c r="AQ299" s="213"/>
      <c r="AR299" s="213"/>
      <c r="AS299" s="213"/>
      <c r="AT299" s="947"/>
      <c r="AU299" s="213"/>
      <c r="AV299" s="215"/>
      <c r="AW299" s="213"/>
      <c r="AX299" s="213"/>
      <c r="AY299" s="213"/>
      <c r="AZ299" s="947"/>
      <c r="BA299" s="213"/>
      <c r="BB299" s="215"/>
      <c r="BC299" s="213"/>
      <c r="BD299" s="213"/>
      <c r="BE299" s="213"/>
      <c r="BF299" s="947"/>
      <c r="BG299" s="213"/>
      <c r="BH299" s="215"/>
      <c r="BI299" s="213"/>
      <c r="BJ299" s="213"/>
      <c r="BK299" s="213"/>
      <c r="BL299" s="948"/>
      <c r="BM299" s="213"/>
      <c r="BN299" s="213"/>
      <c r="BO299" s="213"/>
      <c r="BP299" s="213"/>
      <c r="BQ299" s="213"/>
      <c r="BR299" s="326"/>
      <c r="BS299" s="213"/>
      <c r="BT299" s="215"/>
      <c r="BU299" s="213"/>
      <c r="BV299" s="213"/>
      <c r="BW299" s="213"/>
      <c r="BX299" s="213"/>
      <c r="BY299" s="213"/>
      <c r="BZ299" s="213"/>
      <c r="CA299" s="213"/>
      <c r="CB299" s="213"/>
      <c r="CC299" s="213"/>
      <c r="CD299" s="213"/>
      <c r="CE299" s="213"/>
      <c r="CF299" s="213"/>
      <c r="CG299" s="213"/>
      <c r="CH299" s="213"/>
      <c r="CI299" s="213"/>
      <c r="CJ299" s="213"/>
      <c r="CK299" s="213"/>
      <c r="CL299" s="213"/>
      <c r="CM299" s="213"/>
      <c r="CN299" s="213"/>
      <c r="CO299" s="213"/>
      <c r="CP299" s="213"/>
      <c r="CQ299" s="213"/>
    </row>
    <row r="300" ht="15.75" customHeight="1">
      <c r="A300" s="213"/>
      <c r="B300" s="213"/>
      <c r="C300" s="213"/>
      <c r="D300" s="213"/>
      <c r="E300" s="213"/>
      <c r="F300" s="213"/>
      <c r="G300" s="213"/>
      <c r="H300" s="213"/>
      <c r="I300" s="213"/>
      <c r="J300" s="213"/>
      <c r="K300" s="213"/>
      <c r="L300" s="213"/>
      <c r="M300" s="213"/>
      <c r="N300" s="213"/>
      <c r="O300" s="213"/>
      <c r="P300" s="213"/>
      <c r="Q300" s="238"/>
      <c r="R300" s="213"/>
      <c r="S300" s="213"/>
      <c r="T300" s="213"/>
      <c r="U300" s="213"/>
      <c r="V300" s="213"/>
      <c r="W300" s="213"/>
      <c r="X300" s="215"/>
      <c r="Y300" s="213"/>
      <c r="Z300" s="213"/>
      <c r="AA300" s="213"/>
      <c r="AB300" s="213"/>
      <c r="AC300" s="213"/>
      <c r="AD300" s="215"/>
      <c r="AE300" s="213"/>
      <c r="AF300" s="213"/>
      <c r="AG300" s="213"/>
      <c r="AH300" s="947"/>
      <c r="AI300" s="213"/>
      <c r="AJ300" s="215"/>
      <c r="AK300" s="213"/>
      <c r="AL300" s="213"/>
      <c r="AM300" s="213"/>
      <c r="AN300" s="947"/>
      <c r="AO300" s="213"/>
      <c r="AP300" s="215"/>
      <c r="AQ300" s="213"/>
      <c r="AR300" s="213"/>
      <c r="AS300" s="213"/>
      <c r="AT300" s="947"/>
      <c r="AU300" s="213"/>
      <c r="AV300" s="215"/>
      <c r="AW300" s="213"/>
      <c r="AX300" s="213"/>
      <c r="AY300" s="213"/>
      <c r="AZ300" s="947"/>
      <c r="BA300" s="213"/>
      <c r="BB300" s="215"/>
      <c r="BC300" s="213"/>
      <c r="BD300" s="213"/>
      <c r="BE300" s="213"/>
      <c r="BF300" s="947"/>
      <c r="BG300" s="213"/>
      <c r="BH300" s="215"/>
      <c r="BI300" s="213"/>
      <c r="BJ300" s="213"/>
      <c r="BK300" s="213"/>
      <c r="BL300" s="948"/>
      <c r="BM300" s="213"/>
      <c r="BN300" s="213"/>
      <c r="BO300" s="213"/>
      <c r="BP300" s="213"/>
      <c r="BQ300" s="213"/>
      <c r="BR300" s="326"/>
      <c r="BS300" s="213"/>
      <c r="BT300" s="215"/>
      <c r="BU300" s="213"/>
      <c r="BV300" s="213"/>
      <c r="BW300" s="213"/>
      <c r="BX300" s="213"/>
      <c r="BY300" s="213"/>
      <c r="BZ300" s="213"/>
      <c r="CA300" s="213"/>
      <c r="CB300" s="213"/>
      <c r="CC300" s="213"/>
      <c r="CD300" s="213"/>
      <c r="CE300" s="213"/>
      <c r="CF300" s="213"/>
      <c r="CG300" s="213"/>
      <c r="CH300" s="213"/>
      <c r="CI300" s="213"/>
      <c r="CJ300" s="213"/>
      <c r="CK300" s="213"/>
      <c r="CL300" s="213"/>
      <c r="CM300" s="213"/>
      <c r="CN300" s="213"/>
      <c r="CO300" s="213"/>
      <c r="CP300" s="213"/>
      <c r="CQ300" s="213"/>
    </row>
    <row r="301" ht="15.75" customHeight="1">
      <c r="A301" s="213"/>
      <c r="B301" s="213"/>
      <c r="C301" s="213"/>
      <c r="D301" s="213"/>
      <c r="E301" s="213"/>
      <c r="F301" s="213"/>
      <c r="G301" s="213"/>
      <c r="H301" s="213"/>
      <c r="I301" s="213"/>
      <c r="J301" s="213"/>
      <c r="K301" s="213"/>
      <c r="L301" s="213"/>
      <c r="M301" s="213"/>
      <c r="N301" s="213"/>
      <c r="O301" s="213"/>
      <c r="P301" s="213"/>
      <c r="Q301" s="238"/>
      <c r="R301" s="213"/>
      <c r="S301" s="213"/>
      <c r="T301" s="213"/>
      <c r="U301" s="213"/>
      <c r="V301" s="213"/>
      <c r="W301" s="213"/>
      <c r="X301" s="215"/>
      <c r="Y301" s="213"/>
      <c r="Z301" s="213"/>
      <c r="AA301" s="213"/>
      <c r="AB301" s="213"/>
      <c r="AC301" s="213"/>
      <c r="AD301" s="215"/>
      <c r="AE301" s="213"/>
      <c r="AF301" s="213"/>
      <c r="AG301" s="213"/>
      <c r="AH301" s="947"/>
      <c r="AI301" s="213"/>
      <c r="AJ301" s="215"/>
      <c r="AK301" s="213"/>
      <c r="AL301" s="213"/>
      <c r="AM301" s="213"/>
      <c r="AN301" s="947"/>
      <c r="AO301" s="213"/>
      <c r="AP301" s="215"/>
      <c r="AQ301" s="213"/>
      <c r="AR301" s="213"/>
      <c r="AS301" s="213"/>
      <c r="AT301" s="947"/>
      <c r="AU301" s="213"/>
      <c r="AV301" s="215"/>
      <c r="AW301" s="213"/>
      <c r="AX301" s="213"/>
      <c r="AY301" s="213"/>
      <c r="AZ301" s="947"/>
      <c r="BA301" s="213"/>
      <c r="BB301" s="215"/>
      <c r="BC301" s="213"/>
      <c r="BD301" s="213"/>
      <c r="BE301" s="213"/>
      <c r="BF301" s="947"/>
      <c r="BG301" s="213"/>
      <c r="BH301" s="215"/>
      <c r="BI301" s="213"/>
      <c r="BJ301" s="213"/>
      <c r="BK301" s="213"/>
      <c r="BL301" s="948"/>
      <c r="BM301" s="213"/>
      <c r="BN301" s="213"/>
      <c r="BO301" s="213"/>
      <c r="BP301" s="213"/>
      <c r="BQ301" s="213"/>
      <c r="BR301" s="326"/>
      <c r="BS301" s="213"/>
      <c r="BT301" s="215"/>
      <c r="BU301" s="213"/>
      <c r="BV301" s="213"/>
      <c r="BW301" s="213"/>
      <c r="BX301" s="213"/>
      <c r="BY301" s="213"/>
      <c r="BZ301" s="213"/>
      <c r="CA301" s="213"/>
      <c r="CB301" s="213"/>
      <c r="CC301" s="213"/>
      <c r="CD301" s="213"/>
      <c r="CE301" s="213"/>
      <c r="CF301" s="213"/>
      <c r="CG301" s="213"/>
      <c r="CH301" s="213"/>
      <c r="CI301" s="213"/>
      <c r="CJ301" s="213"/>
      <c r="CK301" s="213"/>
      <c r="CL301" s="213"/>
      <c r="CM301" s="213"/>
      <c r="CN301" s="213"/>
      <c r="CO301" s="213"/>
      <c r="CP301" s="213"/>
      <c r="CQ301" s="213"/>
    </row>
    <row r="302" ht="15.75" customHeight="1">
      <c r="A302" s="213"/>
      <c r="B302" s="213"/>
      <c r="C302" s="213"/>
      <c r="D302" s="213"/>
      <c r="E302" s="213"/>
      <c r="F302" s="213"/>
      <c r="G302" s="213"/>
      <c r="H302" s="213"/>
      <c r="I302" s="213"/>
      <c r="J302" s="213"/>
      <c r="K302" s="213"/>
      <c r="L302" s="213"/>
      <c r="M302" s="213"/>
      <c r="N302" s="213"/>
      <c r="O302" s="213"/>
      <c r="P302" s="213"/>
      <c r="Q302" s="238"/>
      <c r="R302" s="213"/>
      <c r="S302" s="213"/>
      <c r="T302" s="213"/>
      <c r="U302" s="213"/>
      <c r="V302" s="213"/>
      <c r="W302" s="213"/>
      <c r="X302" s="215"/>
      <c r="Y302" s="213"/>
      <c r="Z302" s="213"/>
      <c r="AA302" s="213"/>
      <c r="AB302" s="213"/>
      <c r="AC302" s="213"/>
      <c r="AD302" s="215"/>
      <c r="AE302" s="213"/>
      <c r="AF302" s="213"/>
      <c r="AG302" s="213"/>
      <c r="AH302" s="947"/>
      <c r="AI302" s="213"/>
      <c r="AJ302" s="215"/>
      <c r="AK302" s="213"/>
      <c r="AL302" s="213"/>
      <c r="AM302" s="213"/>
      <c r="AN302" s="947"/>
      <c r="AO302" s="213"/>
      <c r="AP302" s="215"/>
      <c r="AQ302" s="213"/>
      <c r="AR302" s="213"/>
      <c r="AS302" s="213"/>
      <c r="AT302" s="947"/>
      <c r="AU302" s="213"/>
      <c r="AV302" s="215"/>
      <c r="AW302" s="213"/>
      <c r="AX302" s="213"/>
      <c r="AY302" s="213"/>
      <c r="AZ302" s="947"/>
      <c r="BA302" s="213"/>
      <c r="BB302" s="215"/>
      <c r="BC302" s="213"/>
      <c r="BD302" s="213"/>
      <c r="BE302" s="213"/>
      <c r="BF302" s="947"/>
      <c r="BG302" s="213"/>
      <c r="BH302" s="215"/>
      <c r="BI302" s="213"/>
      <c r="BJ302" s="213"/>
      <c r="BK302" s="213"/>
      <c r="BL302" s="948"/>
      <c r="BM302" s="213"/>
      <c r="BN302" s="213"/>
      <c r="BO302" s="213"/>
      <c r="BP302" s="213"/>
      <c r="BQ302" s="213"/>
      <c r="BR302" s="326"/>
      <c r="BS302" s="213"/>
      <c r="BT302" s="215"/>
      <c r="BU302" s="213"/>
      <c r="BV302" s="213"/>
      <c r="BW302" s="213"/>
      <c r="BX302" s="213"/>
      <c r="BY302" s="213"/>
      <c r="BZ302" s="213"/>
      <c r="CA302" s="213"/>
      <c r="CB302" s="213"/>
      <c r="CC302" s="213"/>
      <c r="CD302" s="213"/>
      <c r="CE302" s="213"/>
      <c r="CF302" s="213"/>
      <c r="CG302" s="213"/>
      <c r="CH302" s="213"/>
      <c r="CI302" s="213"/>
      <c r="CJ302" s="213"/>
      <c r="CK302" s="213"/>
      <c r="CL302" s="213"/>
      <c r="CM302" s="213"/>
      <c r="CN302" s="213"/>
      <c r="CO302" s="213"/>
      <c r="CP302" s="213"/>
      <c r="CQ302" s="213"/>
    </row>
    <row r="303" ht="15.75" customHeight="1">
      <c r="A303" s="213"/>
      <c r="B303" s="213"/>
      <c r="C303" s="213"/>
      <c r="D303" s="213"/>
      <c r="E303" s="213"/>
      <c r="F303" s="213"/>
      <c r="G303" s="213"/>
      <c r="H303" s="213"/>
      <c r="I303" s="213"/>
      <c r="J303" s="213"/>
      <c r="K303" s="213"/>
      <c r="L303" s="213"/>
      <c r="M303" s="213"/>
      <c r="N303" s="213"/>
      <c r="O303" s="213"/>
      <c r="P303" s="213"/>
      <c r="Q303" s="238"/>
      <c r="R303" s="213"/>
      <c r="S303" s="213"/>
      <c r="T303" s="213"/>
      <c r="U303" s="213"/>
      <c r="V303" s="213"/>
      <c r="W303" s="213"/>
      <c r="X303" s="215"/>
      <c r="Y303" s="213"/>
      <c r="Z303" s="213"/>
      <c r="AA303" s="213"/>
      <c r="AB303" s="213"/>
      <c r="AC303" s="213"/>
      <c r="AD303" s="215"/>
      <c r="AE303" s="213"/>
      <c r="AF303" s="213"/>
      <c r="AG303" s="213"/>
      <c r="AH303" s="947"/>
      <c r="AI303" s="213"/>
      <c r="AJ303" s="215"/>
      <c r="AK303" s="213"/>
      <c r="AL303" s="213"/>
      <c r="AM303" s="213"/>
      <c r="AN303" s="947"/>
      <c r="AO303" s="213"/>
      <c r="AP303" s="215"/>
      <c r="AQ303" s="213"/>
      <c r="AR303" s="213"/>
      <c r="AS303" s="213"/>
      <c r="AT303" s="947"/>
      <c r="AU303" s="213"/>
      <c r="AV303" s="215"/>
      <c r="AW303" s="213"/>
      <c r="AX303" s="213"/>
      <c r="AY303" s="213"/>
      <c r="AZ303" s="947"/>
      <c r="BA303" s="213"/>
      <c r="BB303" s="215"/>
      <c r="BC303" s="213"/>
      <c r="BD303" s="213"/>
      <c r="BE303" s="213"/>
      <c r="BF303" s="947"/>
      <c r="BG303" s="213"/>
      <c r="BH303" s="215"/>
      <c r="BI303" s="213"/>
      <c r="BJ303" s="213"/>
      <c r="BK303" s="213"/>
      <c r="BL303" s="948"/>
      <c r="BM303" s="213"/>
      <c r="BN303" s="213"/>
      <c r="BO303" s="213"/>
      <c r="BP303" s="213"/>
      <c r="BQ303" s="213"/>
      <c r="BR303" s="326"/>
      <c r="BS303" s="213"/>
      <c r="BT303" s="215"/>
      <c r="BU303" s="213"/>
      <c r="BV303" s="213"/>
      <c r="BW303" s="213"/>
      <c r="BX303" s="213"/>
      <c r="BY303" s="213"/>
      <c r="BZ303" s="213"/>
      <c r="CA303" s="213"/>
      <c r="CB303" s="213"/>
      <c r="CC303" s="213"/>
      <c r="CD303" s="213"/>
      <c r="CE303" s="213"/>
      <c r="CF303" s="213"/>
      <c r="CG303" s="213"/>
      <c r="CH303" s="213"/>
      <c r="CI303" s="213"/>
      <c r="CJ303" s="213"/>
      <c r="CK303" s="213"/>
      <c r="CL303" s="213"/>
      <c r="CM303" s="213"/>
      <c r="CN303" s="213"/>
      <c r="CO303" s="213"/>
      <c r="CP303" s="213"/>
      <c r="CQ303" s="213"/>
    </row>
    <row r="304" ht="15.75" customHeight="1">
      <c r="A304" s="213"/>
      <c r="B304" s="213"/>
      <c r="C304" s="213"/>
      <c r="D304" s="213"/>
      <c r="E304" s="213"/>
      <c r="F304" s="213"/>
      <c r="G304" s="213"/>
      <c r="H304" s="213"/>
      <c r="I304" s="213"/>
      <c r="J304" s="213"/>
      <c r="K304" s="213"/>
      <c r="L304" s="213"/>
      <c r="M304" s="213"/>
      <c r="N304" s="213"/>
      <c r="O304" s="213"/>
      <c r="P304" s="213"/>
      <c r="Q304" s="238"/>
      <c r="R304" s="213"/>
      <c r="S304" s="213"/>
      <c r="T304" s="213"/>
      <c r="U304" s="213"/>
      <c r="V304" s="213"/>
      <c r="W304" s="213"/>
      <c r="X304" s="215"/>
      <c r="Y304" s="213"/>
      <c r="Z304" s="213"/>
      <c r="AA304" s="213"/>
      <c r="AB304" s="213"/>
      <c r="AC304" s="213"/>
      <c r="AD304" s="215"/>
      <c r="AE304" s="213"/>
      <c r="AF304" s="213"/>
      <c r="AG304" s="213"/>
      <c r="AH304" s="947"/>
      <c r="AI304" s="213"/>
      <c r="AJ304" s="215"/>
      <c r="AK304" s="213"/>
      <c r="AL304" s="213"/>
      <c r="AM304" s="213"/>
      <c r="AN304" s="947"/>
      <c r="AO304" s="213"/>
      <c r="AP304" s="215"/>
      <c r="AQ304" s="213"/>
      <c r="AR304" s="213"/>
      <c r="AS304" s="213"/>
      <c r="AT304" s="947"/>
      <c r="AU304" s="213"/>
      <c r="AV304" s="215"/>
      <c r="AW304" s="213"/>
      <c r="AX304" s="213"/>
      <c r="AY304" s="213"/>
      <c r="AZ304" s="947"/>
      <c r="BA304" s="213"/>
      <c r="BB304" s="215"/>
      <c r="BC304" s="213"/>
      <c r="BD304" s="213"/>
      <c r="BE304" s="213"/>
      <c r="BF304" s="947"/>
      <c r="BG304" s="213"/>
      <c r="BH304" s="215"/>
      <c r="BI304" s="213"/>
      <c r="BJ304" s="213"/>
      <c r="BK304" s="213"/>
      <c r="BL304" s="948"/>
      <c r="BM304" s="213"/>
      <c r="BN304" s="213"/>
      <c r="BO304" s="213"/>
      <c r="BP304" s="213"/>
      <c r="BQ304" s="213"/>
      <c r="BR304" s="326"/>
      <c r="BS304" s="213"/>
      <c r="BT304" s="215"/>
      <c r="BU304" s="213"/>
      <c r="BV304" s="213"/>
      <c r="BW304" s="213"/>
      <c r="BX304" s="213"/>
      <c r="BY304" s="213"/>
      <c r="BZ304" s="213"/>
      <c r="CA304" s="213"/>
      <c r="CB304" s="213"/>
      <c r="CC304" s="213"/>
      <c r="CD304" s="213"/>
      <c r="CE304" s="213"/>
      <c r="CF304" s="213"/>
      <c r="CG304" s="213"/>
      <c r="CH304" s="213"/>
      <c r="CI304" s="213"/>
      <c r="CJ304" s="213"/>
      <c r="CK304" s="213"/>
      <c r="CL304" s="213"/>
      <c r="CM304" s="213"/>
      <c r="CN304" s="213"/>
      <c r="CO304" s="213"/>
      <c r="CP304" s="213"/>
      <c r="CQ304" s="213"/>
    </row>
    <row r="305" ht="15.75" customHeight="1">
      <c r="A305" s="213"/>
      <c r="B305" s="213"/>
      <c r="C305" s="213"/>
      <c r="D305" s="213"/>
      <c r="E305" s="213"/>
      <c r="F305" s="213"/>
      <c r="G305" s="213"/>
      <c r="H305" s="213"/>
      <c r="I305" s="213"/>
      <c r="J305" s="213"/>
      <c r="K305" s="213"/>
      <c r="L305" s="213"/>
      <c r="M305" s="213"/>
      <c r="N305" s="213"/>
      <c r="O305" s="213"/>
      <c r="P305" s="213"/>
      <c r="Q305" s="238"/>
      <c r="R305" s="213"/>
      <c r="S305" s="213"/>
      <c r="T305" s="213"/>
      <c r="U305" s="213"/>
      <c r="V305" s="213"/>
      <c r="W305" s="213"/>
      <c r="X305" s="215"/>
      <c r="Y305" s="213"/>
      <c r="Z305" s="213"/>
      <c r="AA305" s="213"/>
      <c r="AB305" s="213"/>
      <c r="AC305" s="213"/>
      <c r="AD305" s="215"/>
      <c r="AE305" s="213"/>
      <c r="AF305" s="213"/>
      <c r="AG305" s="213"/>
      <c r="AH305" s="947"/>
      <c r="AI305" s="213"/>
      <c r="AJ305" s="215"/>
      <c r="AK305" s="213"/>
      <c r="AL305" s="213"/>
      <c r="AM305" s="213"/>
      <c r="AN305" s="947"/>
      <c r="AO305" s="213"/>
      <c r="AP305" s="215"/>
      <c r="AQ305" s="213"/>
      <c r="AR305" s="213"/>
      <c r="AS305" s="213"/>
      <c r="AT305" s="947"/>
      <c r="AU305" s="213"/>
      <c r="AV305" s="215"/>
      <c r="AW305" s="213"/>
      <c r="AX305" s="213"/>
      <c r="AY305" s="213"/>
      <c r="AZ305" s="947"/>
      <c r="BA305" s="213"/>
      <c r="BB305" s="215"/>
      <c r="BC305" s="213"/>
      <c r="BD305" s="213"/>
      <c r="BE305" s="213"/>
      <c r="BF305" s="947"/>
      <c r="BG305" s="213"/>
      <c r="BH305" s="215"/>
      <c r="BI305" s="213"/>
      <c r="BJ305" s="213"/>
      <c r="BK305" s="213"/>
      <c r="BL305" s="948"/>
      <c r="BM305" s="213"/>
      <c r="BN305" s="213"/>
      <c r="BO305" s="213"/>
      <c r="BP305" s="213"/>
      <c r="BQ305" s="213"/>
      <c r="BR305" s="326"/>
      <c r="BS305" s="213"/>
      <c r="BT305" s="215"/>
      <c r="BU305" s="213"/>
      <c r="BV305" s="213"/>
      <c r="BW305" s="213"/>
      <c r="BX305" s="213"/>
      <c r="BY305" s="213"/>
      <c r="BZ305" s="213"/>
      <c r="CA305" s="213"/>
      <c r="CB305" s="213"/>
      <c r="CC305" s="213"/>
      <c r="CD305" s="213"/>
      <c r="CE305" s="213"/>
      <c r="CF305" s="213"/>
      <c r="CG305" s="213"/>
      <c r="CH305" s="213"/>
      <c r="CI305" s="213"/>
      <c r="CJ305" s="213"/>
      <c r="CK305" s="213"/>
      <c r="CL305" s="213"/>
      <c r="CM305" s="213"/>
      <c r="CN305" s="213"/>
      <c r="CO305" s="213"/>
      <c r="CP305" s="213"/>
      <c r="CQ305" s="213"/>
    </row>
    <row r="306" ht="15.75" customHeight="1">
      <c r="A306" s="213"/>
      <c r="B306" s="213"/>
      <c r="C306" s="213"/>
      <c r="D306" s="213"/>
      <c r="E306" s="213"/>
      <c r="F306" s="213"/>
      <c r="G306" s="213"/>
      <c r="H306" s="213"/>
      <c r="I306" s="213"/>
      <c r="J306" s="213"/>
      <c r="K306" s="213"/>
      <c r="L306" s="213"/>
      <c r="M306" s="213"/>
      <c r="N306" s="213"/>
      <c r="O306" s="213"/>
      <c r="P306" s="213"/>
      <c r="Q306" s="238"/>
      <c r="R306" s="213"/>
      <c r="S306" s="213"/>
      <c r="T306" s="213"/>
      <c r="U306" s="213"/>
      <c r="V306" s="213"/>
      <c r="W306" s="213"/>
      <c r="X306" s="215"/>
      <c r="Y306" s="213"/>
      <c r="Z306" s="213"/>
      <c r="AA306" s="213"/>
      <c r="AB306" s="213"/>
      <c r="AC306" s="213"/>
      <c r="AD306" s="215"/>
      <c r="AE306" s="213"/>
      <c r="AF306" s="213"/>
      <c r="AG306" s="213"/>
      <c r="AH306" s="947"/>
      <c r="AI306" s="213"/>
      <c r="AJ306" s="215"/>
      <c r="AK306" s="213"/>
      <c r="AL306" s="213"/>
      <c r="AM306" s="213"/>
      <c r="AN306" s="947"/>
      <c r="AO306" s="213"/>
      <c r="AP306" s="215"/>
      <c r="AQ306" s="213"/>
      <c r="AR306" s="213"/>
      <c r="AS306" s="213"/>
      <c r="AT306" s="947"/>
      <c r="AU306" s="213"/>
      <c r="AV306" s="215"/>
      <c r="AW306" s="213"/>
      <c r="AX306" s="213"/>
      <c r="AY306" s="213"/>
      <c r="AZ306" s="947"/>
      <c r="BA306" s="213"/>
      <c r="BB306" s="215"/>
      <c r="BC306" s="213"/>
      <c r="BD306" s="213"/>
      <c r="BE306" s="213"/>
      <c r="BF306" s="947"/>
      <c r="BG306" s="213"/>
      <c r="BH306" s="215"/>
      <c r="BI306" s="213"/>
      <c r="BJ306" s="213"/>
      <c r="BK306" s="213"/>
      <c r="BL306" s="948"/>
      <c r="BM306" s="213"/>
      <c r="BN306" s="213"/>
      <c r="BO306" s="213"/>
      <c r="BP306" s="213"/>
      <c r="BQ306" s="213"/>
      <c r="BR306" s="326"/>
      <c r="BS306" s="213"/>
      <c r="BT306" s="215"/>
      <c r="BU306" s="213"/>
      <c r="BV306" s="213"/>
      <c r="BW306" s="213"/>
      <c r="BX306" s="213"/>
      <c r="BY306" s="213"/>
      <c r="BZ306" s="213"/>
      <c r="CA306" s="213"/>
      <c r="CB306" s="213"/>
      <c r="CC306" s="213"/>
      <c r="CD306" s="213"/>
      <c r="CE306" s="213"/>
      <c r="CF306" s="213"/>
      <c r="CG306" s="213"/>
      <c r="CH306" s="213"/>
      <c r="CI306" s="213"/>
      <c r="CJ306" s="213"/>
      <c r="CK306" s="213"/>
      <c r="CL306" s="213"/>
      <c r="CM306" s="213"/>
      <c r="CN306" s="213"/>
      <c r="CO306" s="213"/>
      <c r="CP306" s="213"/>
      <c r="CQ306" s="213"/>
    </row>
    <row r="307" ht="15.75" customHeight="1">
      <c r="A307" s="213"/>
      <c r="B307" s="213"/>
      <c r="C307" s="213"/>
      <c r="D307" s="213"/>
      <c r="E307" s="213"/>
      <c r="F307" s="213"/>
      <c r="G307" s="213"/>
      <c r="H307" s="213"/>
      <c r="I307" s="213"/>
      <c r="J307" s="213"/>
      <c r="K307" s="213"/>
      <c r="L307" s="213"/>
      <c r="M307" s="213"/>
      <c r="N307" s="213"/>
      <c r="O307" s="213"/>
      <c r="P307" s="213"/>
      <c r="Q307" s="238"/>
      <c r="R307" s="213"/>
      <c r="S307" s="213"/>
      <c r="T307" s="213"/>
      <c r="U307" s="213"/>
      <c r="V307" s="213"/>
      <c r="W307" s="213"/>
      <c r="X307" s="215"/>
      <c r="Y307" s="213"/>
      <c r="Z307" s="213"/>
      <c r="AA307" s="213"/>
      <c r="AB307" s="213"/>
      <c r="AC307" s="213"/>
      <c r="AD307" s="215"/>
      <c r="AE307" s="213"/>
      <c r="AF307" s="213"/>
      <c r="AG307" s="213"/>
      <c r="AH307" s="947"/>
      <c r="AI307" s="213"/>
      <c r="AJ307" s="215"/>
      <c r="AK307" s="213"/>
      <c r="AL307" s="213"/>
      <c r="AM307" s="213"/>
      <c r="AN307" s="947"/>
      <c r="AO307" s="213"/>
      <c r="AP307" s="215"/>
      <c r="AQ307" s="213"/>
      <c r="AR307" s="213"/>
      <c r="AS307" s="213"/>
      <c r="AT307" s="947"/>
      <c r="AU307" s="213"/>
      <c r="AV307" s="215"/>
      <c r="AW307" s="213"/>
      <c r="AX307" s="213"/>
      <c r="AY307" s="213"/>
      <c r="AZ307" s="947"/>
      <c r="BA307" s="213"/>
      <c r="BB307" s="215"/>
      <c r="BC307" s="213"/>
      <c r="BD307" s="213"/>
      <c r="BE307" s="213"/>
      <c r="BF307" s="947"/>
      <c r="BG307" s="213"/>
      <c r="BH307" s="215"/>
      <c r="BI307" s="213"/>
      <c r="BJ307" s="213"/>
      <c r="BK307" s="213"/>
      <c r="BL307" s="948"/>
      <c r="BM307" s="213"/>
      <c r="BN307" s="213"/>
      <c r="BO307" s="213"/>
      <c r="BP307" s="213"/>
      <c r="BQ307" s="213"/>
      <c r="BR307" s="326"/>
      <c r="BS307" s="213"/>
      <c r="BT307" s="215"/>
      <c r="BU307" s="213"/>
      <c r="BV307" s="213"/>
      <c r="BW307" s="213"/>
      <c r="BX307" s="213"/>
      <c r="BY307" s="213"/>
      <c r="BZ307" s="213"/>
      <c r="CA307" s="213"/>
      <c r="CB307" s="213"/>
      <c r="CC307" s="213"/>
      <c r="CD307" s="213"/>
      <c r="CE307" s="213"/>
      <c r="CF307" s="213"/>
      <c r="CG307" s="213"/>
      <c r="CH307" s="213"/>
      <c r="CI307" s="213"/>
      <c r="CJ307" s="213"/>
      <c r="CK307" s="213"/>
      <c r="CL307" s="213"/>
      <c r="CM307" s="213"/>
      <c r="CN307" s="213"/>
      <c r="CO307" s="213"/>
      <c r="CP307" s="213"/>
      <c r="CQ307" s="213"/>
    </row>
    <row r="308" ht="15.75" customHeight="1">
      <c r="A308" s="213"/>
      <c r="B308" s="213"/>
      <c r="C308" s="213"/>
      <c r="D308" s="213"/>
      <c r="E308" s="213"/>
      <c r="F308" s="213"/>
      <c r="G308" s="213"/>
      <c r="H308" s="213"/>
      <c r="I308" s="213"/>
      <c r="J308" s="213"/>
      <c r="K308" s="213"/>
      <c r="L308" s="213"/>
      <c r="M308" s="213"/>
      <c r="N308" s="213"/>
      <c r="O308" s="213"/>
      <c r="P308" s="213"/>
      <c r="Q308" s="238"/>
      <c r="R308" s="213"/>
      <c r="S308" s="213"/>
      <c r="T308" s="213"/>
      <c r="U308" s="213"/>
      <c r="V308" s="213"/>
      <c r="W308" s="213"/>
      <c r="X308" s="215"/>
      <c r="Y308" s="213"/>
      <c r="Z308" s="213"/>
      <c r="AA308" s="213"/>
      <c r="AB308" s="213"/>
      <c r="AC308" s="213"/>
      <c r="AD308" s="215"/>
      <c r="AE308" s="213"/>
      <c r="AF308" s="213"/>
      <c r="AG308" s="213"/>
      <c r="AH308" s="947"/>
      <c r="AI308" s="213"/>
      <c r="AJ308" s="215"/>
      <c r="AK308" s="213"/>
      <c r="AL308" s="213"/>
      <c r="AM308" s="213"/>
      <c r="AN308" s="947"/>
      <c r="AO308" s="213"/>
      <c r="AP308" s="215"/>
      <c r="AQ308" s="213"/>
      <c r="AR308" s="213"/>
      <c r="AS308" s="213"/>
      <c r="AT308" s="947"/>
      <c r="AU308" s="213"/>
      <c r="AV308" s="215"/>
      <c r="AW308" s="213"/>
      <c r="AX308" s="213"/>
      <c r="AY308" s="213"/>
      <c r="AZ308" s="947"/>
      <c r="BA308" s="213"/>
      <c r="BB308" s="215"/>
      <c r="BC308" s="213"/>
      <c r="BD308" s="213"/>
      <c r="BE308" s="213"/>
      <c r="BF308" s="947"/>
      <c r="BG308" s="213"/>
      <c r="BH308" s="215"/>
      <c r="BI308" s="213"/>
      <c r="BJ308" s="213"/>
      <c r="BK308" s="213"/>
      <c r="BL308" s="948"/>
      <c r="BM308" s="213"/>
      <c r="BN308" s="213"/>
      <c r="BO308" s="213"/>
      <c r="BP308" s="213"/>
      <c r="BQ308" s="213"/>
      <c r="BR308" s="326"/>
      <c r="BS308" s="213"/>
      <c r="BT308" s="215"/>
      <c r="BU308" s="213"/>
      <c r="BV308" s="213"/>
      <c r="BW308" s="213"/>
      <c r="BX308" s="213"/>
      <c r="BY308" s="213"/>
      <c r="BZ308" s="213"/>
      <c r="CA308" s="213"/>
      <c r="CB308" s="213"/>
      <c r="CC308" s="213"/>
      <c r="CD308" s="213"/>
      <c r="CE308" s="213"/>
      <c r="CF308" s="213"/>
      <c r="CG308" s="213"/>
      <c r="CH308" s="213"/>
      <c r="CI308" s="213"/>
      <c r="CJ308" s="213"/>
      <c r="CK308" s="213"/>
      <c r="CL308" s="213"/>
      <c r="CM308" s="213"/>
      <c r="CN308" s="213"/>
      <c r="CO308" s="213"/>
      <c r="CP308" s="213"/>
      <c r="CQ308" s="213"/>
    </row>
    <row r="309" ht="15.75" customHeight="1">
      <c r="A309" s="213"/>
      <c r="B309" s="213"/>
      <c r="C309" s="213"/>
      <c r="D309" s="213"/>
      <c r="E309" s="213"/>
      <c r="F309" s="213"/>
      <c r="G309" s="213"/>
      <c r="H309" s="213"/>
      <c r="I309" s="213"/>
      <c r="J309" s="213"/>
      <c r="K309" s="213"/>
      <c r="L309" s="213"/>
      <c r="M309" s="213"/>
      <c r="N309" s="213"/>
      <c r="O309" s="213"/>
      <c r="P309" s="213"/>
      <c r="Q309" s="238"/>
      <c r="R309" s="213"/>
      <c r="S309" s="213"/>
      <c r="T309" s="213"/>
      <c r="U309" s="213"/>
      <c r="V309" s="213"/>
      <c r="W309" s="213"/>
      <c r="X309" s="215"/>
      <c r="Y309" s="213"/>
      <c r="Z309" s="213"/>
      <c r="AA309" s="213"/>
      <c r="AB309" s="213"/>
      <c r="AC309" s="213"/>
      <c r="AD309" s="215"/>
      <c r="AE309" s="213"/>
      <c r="AF309" s="213"/>
      <c r="AG309" s="213"/>
      <c r="AH309" s="947"/>
      <c r="AI309" s="213"/>
      <c r="AJ309" s="215"/>
      <c r="AK309" s="213"/>
      <c r="AL309" s="213"/>
      <c r="AM309" s="213"/>
      <c r="AN309" s="947"/>
      <c r="AO309" s="213"/>
      <c r="AP309" s="215"/>
      <c r="AQ309" s="213"/>
      <c r="AR309" s="213"/>
      <c r="AS309" s="213"/>
      <c r="AT309" s="947"/>
      <c r="AU309" s="213"/>
      <c r="AV309" s="215"/>
      <c r="AW309" s="213"/>
      <c r="AX309" s="213"/>
      <c r="AY309" s="213"/>
      <c r="AZ309" s="947"/>
      <c r="BA309" s="213"/>
      <c r="BB309" s="215"/>
      <c r="BC309" s="213"/>
      <c r="BD309" s="213"/>
      <c r="BE309" s="213"/>
      <c r="BF309" s="947"/>
      <c r="BG309" s="213"/>
      <c r="BH309" s="215"/>
      <c r="BI309" s="213"/>
      <c r="BJ309" s="213"/>
      <c r="BK309" s="213"/>
      <c r="BL309" s="948"/>
      <c r="BM309" s="213"/>
      <c r="BN309" s="213"/>
      <c r="BO309" s="213"/>
      <c r="BP309" s="213"/>
      <c r="BQ309" s="213"/>
      <c r="BR309" s="326"/>
      <c r="BS309" s="213"/>
      <c r="BT309" s="215"/>
      <c r="BU309" s="213"/>
      <c r="BV309" s="213"/>
      <c r="BW309" s="213"/>
      <c r="BX309" s="213"/>
      <c r="BY309" s="213"/>
      <c r="BZ309" s="213"/>
      <c r="CA309" s="213"/>
      <c r="CB309" s="213"/>
      <c r="CC309" s="213"/>
      <c r="CD309" s="213"/>
      <c r="CE309" s="213"/>
      <c r="CF309" s="213"/>
      <c r="CG309" s="213"/>
      <c r="CH309" s="213"/>
      <c r="CI309" s="213"/>
      <c r="CJ309" s="213"/>
      <c r="CK309" s="213"/>
      <c r="CL309" s="213"/>
      <c r="CM309" s="213"/>
      <c r="CN309" s="213"/>
      <c r="CO309" s="213"/>
      <c r="CP309" s="213"/>
      <c r="CQ309" s="213"/>
    </row>
    <row r="310" ht="15.75" customHeight="1">
      <c r="A310" s="213"/>
      <c r="B310" s="213"/>
      <c r="C310" s="213"/>
      <c r="D310" s="213"/>
      <c r="E310" s="213"/>
      <c r="F310" s="213"/>
      <c r="G310" s="213"/>
      <c r="H310" s="213"/>
      <c r="I310" s="213"/>
      <c r="J310" s="213"/>
      <c r="K310" s="213"/>
      <c r="L310" s="213"/>
      <c r="M310" s="213"/>
      <c r="N310" s="213"/>
      <c r="O310" s="213"/>
      <c r="P310" s="213"/>
      <c r="Q310" s="238"/>
      <c r="R310" s="213"/>
      <c r="S310" s="213"/>
      <c r="T310" s="213"/>
      <c r="U310" s="213"/>
      <c r="V310" s="213"/>
      <c r="W310" s="213"/>
      <c r="X310" s="215"/>
      <c r="Y310" s="213"/>
      <c r="Z310" s="213"/>
      <c r="AA310" s="213"/>
      <c r="AB310" s="213"/>
      <c r="AC310" s="213"/>
      <c r="AD310" s="215"/>
      <c r="AE310" s="213"/>
      <c r="AF310" s="213"/>
      <c r="AG310" s="213"/>
      <c r="AH310" s="947"/>
      <c r="AI310" s="213"/>
      <c r="AJ310" s="215"/>
      <c r="AK310" s="213"/>
      <c r="AL310" s="213"/>
      <c r="AM310" s="213"/>
      <c r="AN310" s="947"/>
      <c r="AO310" s="213"/>
      <c r="AP310" s="215"/>
      <c r="AQ310" s="213"/>
      <c r="AR310" s="213"/>
      <c r="AS310" s="213"/>
      <c r="AT310" s="947"/>
      <c r="AU310" s="213"/>
      <c r="AV310" s="215"/>
      <c r="AW310" s="213"/>
      <c r="AX310" s="213"/>
      <c r="AY310" s="213"/>
      <c r="AZ310" s="947"/>
      <c r="BA310" s="213"/>
      <c r="BB310" s="215"/>
      <c r="BC310" s="213"/>
      <c r="BD310" s="213"/>
      <c r="BE310" s="213"/>
      <c r="BF310" s="947"/>
      <c r="BG310" s="213"/>
      <c r="BH310" s="215"/>
      <c r="BI310" s="213"/>
      <c r="BJ310" s="213"/>
      <c r="BK310" s="213"/>
      <c r="BL310" s="948"/>
      <c r="BM310" s="213"/>
      <c r="BN310" s="213"/>
      <c r="BO310" s="213"/>
      <c r="BP310" s="213"/>
      <c r="BQ310" s="213"/>
      <c r="BR310" s="326"/>
      <c r="BS310" s="213"/>
      <c r="BT310" s="215"/>
      <c r="BU310" s="213"/>
      <c r="BV310" s="213"/>
      <c r="BW310" s="213"/>
      <c r="BX310" s="213"/>
      <c r="BY310" s="213"/>
      <c r="BZ310" s="213"/>
      <c r="CA310" s="213"/>
      <c r="CB310" s="213"/>
      <c r="CC310" s="213"/>
      <c r="CD310" s="213"/>
      <c r="CE310" s="213"/>
      <c r="CF310" s="213"/>
      <c r="CG310" s="213"/>
      <c r="CH310" s="213"/>
      <c r="CI310" s="213"/>
      <c r="CJ310" s="213"/>
      <c r="CK310" s="213"/>
      <c r="CL310" s="213"/>
      <c r="CM310" s="213"/>
      <c r="CN310" s="213"/>
      <c r="CO310" s="213"/>
      <c r="CP310" s="213"/>
      <c r="CQ310" s="213"/>
    </row>
    <row r="311" ht="15.75" customHeight="1">
      <c r="A311" s="213"/>
      <c r="B311" s="213"/>
      <c r="C311" s="213"/>
      <c r="D311" s="213"/>
      <c r="E311" s="213"/>
      <c r="F311" s="213"/>
      <c r="G311" s="213"/>
      <c r="H311" s="213"/>
      <c r="I311" s="213"/>
      <c r="J311" s="213"/>
      <c r="K311" s="213"/>
      <c r="L311" s="213"/>
      <c r="M311" s="213"/>
      <c r="N311" s="213"/>
      <c r="O311" s="213"/>
      <c r="P311" s="213"/>
      <c r="Q311" s="238"/>
      <c r="R311" s="213"/>
      <c r="S311" s="213"/>
      <c r="T311" s="213"/>
      <c r="U311" s="213"/>
      <c r="V311" s="213"/>
      <c r="W311" s="213"/>
      <c r="X311" s="215"/>
      <c r="Y311" s="213"/>
      <c r="Z311" s="213"/>
      <c r="AA311" s="213"/>
      <c r="AB311" s="213"/>
      <c r="AC311" s="213"/>
      <c r="AD311" s="215"/>
      <c r="AE311" s="213"/>
      <c r="AF311" s="213"/>
      <c r="AG311" s="213"/>
      <c r="AH311" s="947"/>
      <c r="AI311" s="213"/>
      <c r="AJ311" s="215"/>
      <c r="AK311" s="213"/>
      <c r="AL311" s="213"/>
      <c r="AM311" s="213"/>
      <c r="AN311" s="947"/>
      <c r="AO311" s="213"/>
      <c r="AP311" s="215"/>
      <c r="AQ311" s="213"/>
      <c r="AR311" s="213"/>
      <c r="AS311" s="213"/>
      <c r="AT311" s="947"/>
      <c r="AU311" s="213"/>
      <c r="AV311" s="215"/>
      <c r="AW311" s="213"/>
      <c r="AX311" s="213"/>
      <c r="AY311" s="213"/>
      <c r="AZ311" s="947"/>
      <c r="BA311" s="213"/>
      <c r="BB311" s="215"/>
      <c r="BC311" s="213"/>
      <c r="BD311" s="213"/>
      <c r="BE311" s="213"/>
      <c r="BF311" s="947"/>
      <c r="BG311" s="213"/>
      <c r="BH311" s="215"/>
      <c r="BI311" s="213"/>
      <c r="BJ311" s="213"/>
      <c r="BK311" s="213"/>
      <c r="BL311" s="948"/>
      <c r="BM311" s="213"/>
      <c r="BN311" s="213"/>
      <c r="BO311" s="213"/>
      <c r="BP311" s="213"/>
      <c r="BQ311" s="213"/>
      <c r="BR311" s="326"/>
      <c r="BS311" s="213"/>
      <c r="BT311" s="215"/>
      <c r="BU311" s="213"/>
      <c r="BV311" s="213"/>
      <c r="BW311" s="213"/>
      <c r="BX311" s="213"/>
      <c r="BY311" s="213"/>
      <c r="BZ311" s="213"/>
      <c r="CA311" s="213"/>
      <c r="CB311" s="213"/>
      <c r="CC311" s="213"/>
      <c r="CD311" s="213"/>
      <c r="CE311" s="213"/>
      <c r="CF311" s="213"/>
      <c r="CG311" s="213"/>
      <c r="CH311" s="213"/>
      <c r="CI311" s="213"/>
      <c r="CJ311" s="213"/>
      <c r="CK311" s="213"/>
      <c r="CL311" s="213"/>
      <c r="CM311" s="213"/>
      <c r="CN311" s="213"/>
      <c r="CO311" s="213"/>
      <c r="CP311" s="213"/>
      <c r="CQ311" s="213"/>
    </row>
    <row r="312" ht="15.75" customHeight="1">
      <c r="A312" s="213"/>
      <c r="B312" s="213"/>
      <c r="C312" s="213"/>
      <c r="D312" s="213"/>
      <c r="E312" s="213"/>
      <c r="F312" s="213"/>
      <c r="G312" s="213"/>
      <c r="H312" s="213"/>
      <c r="I312" s="213"/>
      <c r="J312" s="213"/>
      <c r="K312" s="213"/>
      <c r="L312" s="213"/>
      <c r="M312" s="213"/>
      <c r="N312" s="213"/>
      <c r="O312" s="213"/>
      <c r="P312" s="213"/>
      <c r="Q312" s="238"/>
      <c r="R312" s="213"/>
      <c r="S312" s="213"/>
      <c r="T312" s="213"/>
      <c r="U312" s="213"/>
      <c r="V312" s="213"/>
      <c r="W312" s="213"/>
      <c r="X312" s="215"/>
      <c r="Y312" s="213"/>
      <c r="Z312" s="213"/>
      <c r="AA312" s="213"/>
      <c r="AB312" s="213"/>
      <c r="AC312" s="213"/>
      <c r="AD312" s="215"/>
      <c r="AE312" s="213"/>
      <c r="AF312" s="213"/>
      <c r="AG312" s="213"/>
      <c r="AH312" s="947"/>
      <c r="AI312" s="213"/>
      <c r="AJ312" s="215"/>
      <c r="AK312" s="213"/>
      <c r="AL312" s="213"/>
      <c r="AM312" s="213"/>
      <c r="AN312" s="947"/>
      <c r="AO312" s="213"/>
      <c r="AP312" s="215"/>
      <c r="AQ312" s="213"/>
      <c r="AR312" s="213"/>
      <c r="AS312" s="213"/>
      <c r="AT312" s="947"/>
      <c r="AU312" s="213"/>
      <c r="AV312" s="215"/>
      <c r="AW312" s="213"/>
      <c r="AX312" s="213"/>
      <c r="AY312" s="213"/>
      <c r="AZ312" s="947"/>
      <c r="BA312" s="213"/>
      <c r="BB312" s="215"/>
      <c r="BC312" s="213"/>
      <c r="BD312" s="213"/>
      <c r="BE312" s="213"/>
      <c r="BF312" s="947"/>
      <c r="BG312" s="213"/>
      <c r="BH312" s="215"/>
      <c r="BI312" s="213"/>
      <c r="BJ312" s="213"/>
      <c r="BK312" s="213"/>
      <c r="BL312" s="948"/>
      <c r="BM312" s="213"/>
      <c r="BN312" s="213"/>
      <c r="BO312" s="213"/>
      <c r="BP312" s="213"/>
      <c r="BQ312" s="213"/>
      <c r="BR312" s="326"/>
      <c r="BS312" s="213"/>
      <c r="BT312" s="215"/>
      <c r="BU312" s="213"/>
      <c r="BV312" s="213"/>
      <c r="BW312" s="213"/>
      <c r="BX312" s="213"/>
      <c r="BY312" s="213"/>
      <c r="BZ312" s="213"/>
      <c r="CA312" s="213"/>
      <c r="CB312" s="213"/>
      <c r="CC312" s="213"/>
      <c r="CD312" s="213"/>
      <c r="CE312" s="213"/>
      <c r="CF312" s="213"/>
      <c r="CG312" s="213"/>
      <c r="CH312" s="213"/>
      <c r="CI312" s="213"/>
      <c r="CJ312" s="213"/>
      <c r="CK312" s="213"/>
      <c r="CL312" s="213"/>
      <c r="CM312" s="213"/>
      <c r="CN312" s="213"/>
      <c r="CO312" s="213"/>
      <c r="CP312" s="213"/>
      <c r="CQ312" s="213"/>
    </row>
    <row r="313" ht="15.75" customHeight="1">
      <c r="A313" s="213"/>
      <c r="B313" s="213"/>
      <c r="C313" s="213"/>
      <c r="D313" s="213"/>
      <c r="E313" s="213"/>
      <c r="F313" s="213"/>
      <c r="G313" s="213"/>
      <c r="H313" s="213"/>
      <c r="I313" s="213"/>
      <c r="J313" s="213"/>
      <c r="K313" s="213"/>
      <c r="L313" s="213"/>
      <c r="M313" s="213"/>
      <c r="N313" s="213"/>
      <c r="O313" s="213"/>
      <c r="P313" s="213"/>
      <c r="Q313" s="238"/>
      <c r="R313" s="213"/>
      <c r="S313" s="213"/>
      <c r="T313" s="213"/>
      <c r="U313" s="213"/>
      <c r="V313" s="213"/>
      <c r="W313" s="213"/>
      <c r="X313" s="215"/>
      <c r="Y313" s="213"/>
      <c r="Z313" s="213"/>
      <c r="AA313" s="213"/>
      <c r="AB313" s="213"/>
      <c r="AC313" s="213"/>
      <c r="AD313" s="215"/>
      <c r="AE313" s="213"/>
      <c r="AF313" s="213"/>
      <c r="AG313" s="213"/>
      <c r="AH313" s="947"/>
      <c r="AI313" s="213"/>
      <c r="AJ313" s="215"/>
      <c r="AK313" s="213"/>
      <c r="AL313" s="213"/>
      <c r="AM313" s="213"/>
      <c r="AN313" s="947"/>
      <c r="AO313" s="213"/>
      <c r="AP313" s="215"/>
      <c r="AQ313" s="213"/>
      <c r="AR313" s="213"/>
      <c r="AS313" s="213"/>
      <c r="AT313" s="947"/>
      <c r="AU313" s="213"/>
      <c r="AV313" s="215"/>
      <c r="AW313" s="213"/>
      <c r="AX313" s="213"/>
      <c r="AY313" s="213"/>
      <c r="AZ313" s="947"/>
      <c r="BA313" s="213"/>
      <c r="BB313" s="215"/>
      <c r="BC313" s="213"/>
      <c r="BD313" s="213"/>
      <c r="BE313" s="213"/>
      <c r="BF313" s="947"/>
      <c r="BG313" s="213"/>
      <c r="BH313" s="215"/>
      <c r="BI313" s="213"/>
      <c r="BJ313" s="213"/>
      <c r="BK313" s="213"/>
      <c r="BL313" s="948"/>
      <c r="BM313" s="213"/>
      <c r="BN313" s="213"/>
      <c r="BO313" s="213"/>
      <c r="BP313" s="213"/>
      <c r="BQ313" s="213"/>
      <c r="BR313" s="326"/>
      <c r="BS313" s="213"/>
      <c r="BT313" s="215"/>
      <c r="BU313" s="213"/>
      <c r="BV313" s="213"/>
      <c r="BW313" s="213"/>
      <c r="BX313" s="213"/>
      <c r="BY313" s="213"/>
      <c r="BZ313" s="213"/>
      <c r="CA313" s="213"/>
      <c r="CB313" s="213"/>
      <c r="CC313" s="213"/>
      <c r="CD313" s="213"/>
      <c r="CE313" s="213"/>
      <c r="CF313" s="213"/>
      <c r="CG313" s="213"/>
      <c r="CH313" s="213"/>
      <c r="CI313" s="213"/>
      <c r="CJ313" s="213"/>
      <c r="CK313" s="213"/>
      <c r="CL313" s="213"/>
      <c r="CM313" s="213"/>
      <c r="CN313" s="213"/>
      <c r="CO313" s="213"/>
      <c r="CP313" s="213"/>
      <c r="CQ313" s="213"/>
    </row>
    <row r="314" ht="15.75" customHeight="1">
      <c r="A314" s="213"/>
      <c r="B314" s="213"/>
      <c r="C314" s="213"/>
      <c r="D314" s="213"/>
      <c r="E314" s="213"/>
      <c r="F314" s="213"/>
      <c r="G314" s="213"/>
      <c r="H314" s="213"/>
      <c r="I314" s="213"/>
      <c r="J314" s="213"/>
      <c r="K314" s="213"/>
      <c r="L314" s="213"/>
      <c r="M314" s="213"/>
      <c r="N314" s="213"/>
      <c r="O314" s="213"/>
      <c r="P314" s="213"/>
      <c r="Q314" s="238"/>
      <c r="R314" s="213"/>
      <c r="S314" s="213"/>
      <c r="T314" s="213"/>
      <c r="U314" s="213"/>
      <c r="V314" s="213"/>
      <c r="W314" s="213"/>
      <c r="X314" s="215"/>
      <c r="Y314" s="213"/>
      <c r="Z314" s="213"/>
      <c r="AA314" s="213"/>
      <c r="AB314" s="213"/>
      <c r="AC314" s="213"/>
      <c r="AD314" s="215"/>
      <c r="AE314" s="213"/>
      <c r="AF314" s="213"/>
      <c r="AG314" s="213"/>
      <c r="AH314" s="947"/>
      <c r="AI314" s="213"/>
      <c r="AJ314" s="215"/>
      <c r="AK314" s="213"/>
      <c r="AL314" s="213"/>
      <c r="AM314" s="213"/>
      <c r="AN314" s="947"/>
      <c r="AO314" s="213"/>
      <c r="AP314" s="215"/>
      <c r="AQ314" s="213"/>
      <c r="AR314" s="213"/>
      <c r="AS314" s="213"/>
      <c r="AT314" s="947"/>
      <c r="AU314" s="213"/>
      <c r="AV314" s="215"/>
      <c r="AW314" s="213"/>
      <c r="AX314" s="213"/>
      <c r="AY314" s="213"/>
      <c r="AZ314" s="947"/>
      <c r="BA314" s="213"/>
      <c r="BB314" s="215"/>
      <c r="BC314" s="213"/>
      <c r="BD314" s="213"/>
      <c r="BE314" s="213"/>
      <c r="BF314" s="947"/>
      <c r="BG314" s="213"/>
      <c r="BH314" s="215"/>
      <c r="BI314" s="213"/>
      <c r="BJ314" s="213"/>
      <c r="BK314" s="213"/>
      <c r="BL314" s="948"/>
      <c r="BM314" s="213"/>
      <c r="BN314" s="213"/>
      <c r="BO314" s="213"/>
      <c r="BP314" s="213"/>
      <c r="BQ314" s="213"/>
      <c r="BR314" s="326"/>
      <c r="BS314" s="213"/>
      <c r="BT314" s="215"/>
      <c r="BU314" s="213"/>
      <c r="BV314" s="213"/>
      <c r="BW314" s="213"/>
      <c r="BX314" s="213"/>
      <c r="BY314" s="213"/>
      <c r="BZ314" s="213"/>
      <c r="CA314" s="213"/>
      <c r="CB314" s="213"/>
      <c r="CC314" s="213"/>
      <c r="CD314" s="213"/>
      <c r="CE314" s="213"/>
      <c r="CF314" s="213"/>
      <c r="CG314" s="213"/>
      <c r="CH314" s="213"/>
      <c r="CI314" s="213"/>
      <c r="CJ314" s="213"/>
      <c r="CK314" s="213"/>
      <c r="CL314" s="213"/>
      <c r="CM314" s="213"/>
      <c r="CN314" s="213"/>
      <c r="CO314" s="213"/>
      <c r="CP314" s="213"/>
      <c r="CQ314" s="213"/>
    </row>
    <row r="315" ht="15.75" customHeight="1">
      <c r="A315" s="213"/>
      <c r="B315" s="213"/>
      <c r="C315" s="213"/>
      <c r="D315" s="213"/>
      <c r="E315" s="213"/>
      <c r="F315" s="213"/>
      <c r="G315" s="213"/>
      <c r="H315" s="213"/>
      <c r="I315" s="213"/>
      <c r="J315" s="213"/>
      <c r="K315" s="213"/>
      <c r="L315" s="213"/>
      <c r="M315" s="213"/>
      <c r="N315" s="213"/>
      <c r="O315" s="213"/>
      <c r="P315" s="213"/>
      <c r="Q315" s="238"/>
      <c r="R315" s="213"/>
      <c r="S315" s="213"/>
      <c r="T315" s="213"/>
      <c r="U315" s="213"/>
      <c r="V315" s="213"/>
      <c r="W315" s="213"/>
      <c r="X315" s="215"/>
      <c r="Y315" s="213"/>
      <c r="Z315" s="213"/>
      <c r="AA315" s="213"/>
      <c r="AB315" s="213"/>
      <c r="AC315" s="213"/>
      <c r="AD315" s="215"/>
      <c r="AE315" s="213"/>
      <c r="AF315" s="213"/>
      <c r="AG315" s="213"/>
      <c r="AH315" s="947"/>
      <c r="AI315" s="213"/>
      <c r="AJ315" s="215"/>
      <c r="AK315" s="213"/>
      <c r="AL315" s="213"/>
      <c r="AM315" s="213"/>
      <c r="AN315" s="947"/>
      <c r="AO315" s="213"/>
      <c r="AP315" s="215"/>
      <c r="AQ315" s="213"/>
      <c r="AR315" s="213"/>
      <c r="AS315" s="213"/>
      <c r="AT315" s="947"/>
      <c r="AU315" s="213"/>
      <c r="AV315" s="215"/>
      <c r="AW315" s="213"/>
      <c r="AX315" s="213"/>
      <c r="AY315" s="213"/>
      <c r="AZ315" s="947"/>
      <c r="BA315" s="213"/>
      <c r="BB315" s="215"/>
      <c r="BC315" s="213"/>
      <c r="BD315" s="213"/>
      <c r="BE315" s="213"/>
      <c r="BF315" s="947"/>
      <c r="BG315" s="213"/>
      <c r="BH315" s="215"/>
      <c r="BI315" s="213"/>
      <c r="BJ315" s="213"/>
      <c r="BK315" s="213"/>
      <c r="BL315" s="948"/>
      <c r="BM315" s="213"/>
      <c r="BN315" s="213"/>
      <c r="BO315" s="213"/>
      <c r="BP315" s="213"/>
      <c r="BQ315" s="213"/>
      <c r="BR315" s="326"/>
      <c r="BS315" s="213"/>
      <c r="BT315" s="215"/>
      <c r="BU315" s="213"/>
      <c r="BV315" s="213"/>
      <c r="BW315" s="213"/>
      <c r="BX315" s="213"/>
      <c r="BY315" s="213"/>
      <c r="BZ315" s="213"/>
      <c r="CA315" s="213"/>
      <c r="CB315" s="213"/>
      <c r="CC315" s="213"/>
      <c r="CD315" s="213"/>
      <c r="CE315" s="213"/>
      <c r="CF315" s="213"/>
      <c r="CG315" s="213"/>
      <c r="CH315" s="213"/>
      <c r="CI315" s="213"/>
      <c r="CJ315" s="213"/>
      <c r="CK315" s="213"/>
      <c r="CL315" s="213"/>
      <c r="CM315" s="213"/>
      <c r="CN315" s="213"/>
      <c r="CO315" s="213"/>
      <c r="CP315" s="213"/>
      <c r="CQ315" s="213"/>
    </row>
    <row r="316" ht="15.75" customHeight="1">
      <c r="A316" s="213"/>
      <c r="B316" s="213"/>
      <c r="C316" s="213"/>
      <c r="D316" s="213"/>
      <c r="E316" s="213"/>
      <c r="F316" s="213"/>
      <c r="G316" s="213"/>
      <c r="H316" s="213"/>
      <c r="I316" s="213"/>
      <c r="J316" s="213"/>
      <c r="K316" s="213"/>
      <c r="L316" s="213"/>
      <c r="M316" s="213"/>
      <c r="N316" s="213"/>
      <c r="O316" s="213"/>
      <c r="P316" s="213"/>
      <c r="Q316" s="238"/>
      <c r="R316" s="213"/>
      <c r="S316" s="213"/>
      <c r="T316" s="213"/>
      <c r="U316" s="213"/>
      <c r="V316" s="213"/>
      <c r="W316" s="213"/>
      <c r="X316" s="215"/>
      <c r="Y316" s="213"/>
      <c r="Z316" s="213"/>
      <c r="AA316" s="213"/>
      <c r="AB316" s="213"/>
      <c r="AC316" s="213"/>
      <c r="AD316" s="215"/>
      <c r="AE316" s="213"/>
      <c r="AF316" s="213"/>
      <c r="AG316" s="213"/>
      <c r="AH316" s="947"/>
      <c r="AI316" s="213"/>
      <c r="AJ316" s="215"/>
      <c r="AK316" s="213"/>
      <c r="AL316" s="213"/>
      <c r="AM316" s="213"/>
      <c r="AN316" s="947"/>
      <c r="AO316" s="213"/>
      <c r="AP316" s="215"/>
      <c r="AQ316" s="213"/>
      <c r="AR316" s="213"/>
      <c r="AS316" s="213"/>
      <c r="AT316" s="947"/>
      <c r="AU316" s="213"/>
      <c r="AV316" s="215"/>
      <c r="AW316" s="213"/>
      <c r="AX316" s="213"/>
      <c r="AY316" s="213"/>
      <c r="AZ316" s="947"/>
      <c r="BA316" s="213"/>
      <c r="BB316" s="215"/>
      <c r="BC316" s="213"/>
      <c r="BD316" s="213"/>
      <c r="BE316" s="213"/>
      <c r="BF316" s="947"/>
      <c r="BG316" s="213"/>
      <c r="BH316" s="215"/>
      <c r="BI316" s="213"/>
      <c r="BJ316" s="213"/>
      <c r="BK316" s="213"/>
      <c r="BL316" s="948"/>
      <c r="BM316" s="213"/>
      <c r="BN316" s="213"/>
      <c r="BO316" s="213"/>
      <c r="BP316" s="213"/>
      <c r="BQ316" s="213"/>
      <c r="BR316" s="326"/>
      <c r="BS316" s="213"/>
      <c r="BT316" s="215"/>
      <c r="BU316" s="213"/>
      <c r="BV316" s="213"/>
      <c r="BW316" s="213"/>
      <c r="BX316" s="213"/>
      <c r="BY316" s="213"/>
      <c r="BZ316" s="213"/>
      <c r="CA316" s="213"/>
      <c r="CB316" s="213"/>
      <c r="CC316" s="213"/>
      <c r="CD316" s="213"/>
      <c r="CE316" s="213"/>
      <c r="CF316" s="213"/>
      <c r="CG316" s="213"/>
      <c r="CH316" s="213"/>
      <c r="CI316" s="213"/>
      <c r="CJ316" s="213"/>
      <c r="CK316" s="213"/>
      <c r="CL316" s="213"/>
      <c r="CM316" s="213"/>
      <c r="CN316" s="213"/>
      <c r="CO316" s="213"/>
      <c r="CP316" s="213"/>
      <c r="CQ316" s="213"/>
    </row>
    <row r="317" ht="15.75" customHeight="1">
      <c r="A317" s="213"/>
      <c r="B317" s="213"/>
      <c r="C317" s="213"/>
      <c r="D317" s="213"/>
      <c r="E317" s="213"/>
      <c r="F317" s="213"/>
      <c r="G317" s="213"/>
      <c r="H317" s="213"/>
      <c r="I317" s="213"/>
      <c r="J317" s="213"/>
      <c r="K317" s="213"/>
      <c r="L317" s="213"/>
      <c r="M317" s="213"/>
      <c r="N317" s="213"/>
      <c r="O317" s="213"/>
      <c r="P317" s="213"/>
      <c r="Q317" s="238"/>
      <c r="R317" s="213"/>
      <c r="S317" s="213"/>
      <c r="T317" s="213"/>
      <c r="U317" s="213"/>
      <c r="V317" s="213"/>
      <c r="W317" s="213"/>
      <c r="X317" s="215"/>
      <c r="Y317" s="213"/>
      <c r="Z317" s="213"/>
      <c r="AA317" s="213"/>
      <c r="AB317" s="213"/>
      <c r="AC317" s="213"/>
      <c r="AD317" s="215"/>
      <c r="AE317" s="213"/>
      <c r="AF317" s="213"/>
      <c r="AG317" s="213"/>
      <c r="AH317" s="947"/>
      <c r="AI317" s="213"/>
      <c r="AJ317" s="215"/>
      <c r="AK317" s="213"/>
      <c r="AL317" s="213"/>
      <c r="AM317" s="213"/>
      <c r="AN317" s="947"/>
      <c r="AO317" s="213"/>
      <c r="AP317" s="215"/>
      <c r="AQ317" s="213"/>
      <c r="AR317" s="213"/>
      <c r="AS317" s="213"/>
      <c r="AT317" s="947"/>
      <c r="AU317" s="213"/>
      <c r="AV317" s="215"/>
      <c r="AW317" s="213"/>
      <c r="AX317" s="213"/>
      <c r="AY317" s="213"/>
      <c r="AZ317" s="947"/>
      <c r="BA317" s="213"/>
      <c r="BB317" s="215"/>
      <c r="BC317" s="213"/>
      <c r="BD317" s="213"/>
      <c r="BE317" s="213"/>
      <c r="BF317" s="947"/>
      <c r="BG317" s="213"/>
      <c r="BH317" s="215"/>
      <c r="BI317" s="213"/>
      <c r="BJ317" s="213"/>
      <c r="BK317" s="213"/>
      <c r="BL317" s="948"/>
      <c r="BM317" s="213"/>
      <c r="BN317" s="213"/>
      <c r="BO317" s="213"/>
      <c r="BP317" s="213"/>
      <c r="BQ317" s="213"/>
      <c r="BR317" s="326"/>
      <c r="BS317" s="213"/>
      <c r="BT317" s="215"/>
      <c r="BU317" s="213"/>
      <c r="BV317" s="213"/>
      <c r="BW317" s="213"/>
      <c r="BX317" s="213"/>
      <c r="BY317" s="213"/>
      <c r="BZ317" s="213"/>
      <c r="CA317" s="213"/>
      <c r="CB317" s="213"/>
      <c r="CC317" s="213"/>
      <c r="CD317" s="213"/>
      <c r="CE317" s="213"/>
      <c r="CF317" s="213"/>
      <c r="CG317" s="213"/>
      <c r="CH317" s="213"/>
      <c r="CI317" s="213"/>
      <c r="CJ317" s="213"/>
      <c r="CK317" s="213"/>
      <c r="CL317" s="213"/>
      <c r="CM317" s="213"/>
      <c r="CN317" s="213"/>
      <c r="CO317" s="213"/>
      <c r="CP317" s="213"/>
      <c r="CQ317" s="213"/>
    </row>
    <row r="318" ht="15.75" customHeight="1">
      <c r="A318" s="213"/>
      <c r="B318" s="213"/>
      <c r="C318" s="213"/>
      <c r="D318" s="213"/>
      <c r="E318" s="213"/>
      <c r="F318" s="213"/>
      <c r="G318" s="213"/>
      <c r="H318" s="213"/>
      <c r="I318" s="213"/>
      <c r="J318" s="213"/>
      <c r="K318" s="213"/>
      <c r="L318" s="213"/>
      <c r="M318" s="213"/>
      <c r="N318" s="213"/>
      <c r="O318" s="213"/>
      <c r="P318" s="213"/>
      <c r="Q318" s="238"/>
      <c r="R318" s="213"/>
      <c r="S318" s="213"/>
      <c r="T318" s="213"/>
      <c r="U318" s="213"/>
      <c r="V318" s="213"/>
      <c r="W318" s="213"/>
      <c r="X318" s="215"/>
      <c r="Y318" s="213"/>
      <c r="Z318" s="213"/>
      <c r="AA318" s="213"/>
      <c r="AB318" s="213"/>
      <c r="AC318" s="213"/>
      <c r="AD318" s="215"/>
      <c r="AE318" s="213"/>
      <c r="AF318" s="213"/>
      <c r="AG318" s="213"/>
      <c r="AH318" s="947"/>
      <c r="AI318" s="213"/>
      <c r="AJ318" s="215"/>
      <c r="AK318" s="213"/>
      <c r="AL318" s="213"/>
      <c r="AM318" s="213"/>
      <c r="AN318" s="947"/>
      <c r="AO318" s="213"/>
      <c r="AP318" s="215"/>
      <c r="AQ318" s="213"/>
      <c r="AR318" s="213"/>
      <c r="AS318" s="213"/>
      <c r="AT318" s="947"/>
      <c r="AU318" s="213"/>
      <c r="AV318" s="215"/>
      <c r="AW318" s="213"/>
      <c r="AX318" s="213"/>
      <c r="AY318" s="213"/>
      <c r="AZ318" s="947"/>
      <c r="BA318" s="213"/>
      <c r="BB318" s="215"/>
      <c r="BC318" s="213"/>
      <c r="BD318" s="213"/>
      <c r="BE318" s="213"/>
      <c r="BF318" s="947"/>
      <c r="BG318" s="213"/>
      <c r="BH318" s="215"/>
      <c r="BI318" s="213"/>
      <c r="BJ318" s="213"/>
      <c r="BK318" s="213"/>
      <c r="BL318" s="948"/>
      <c r="BM318" s="213"/>
      <c r="BN318" s="213"/>
      <c r="BO318" s="213"/>
      <c r="BP318" s="213"/>
      <c r="BQ318" s="213"/>
      <c r="BR318" s="326"/>
      <c r="BS318" s="213"/>
      <c r="BT318" s="215"/>
      <c r="BU318" s="213"/>
      <c r="BV318" s="213"/>
      <c r="BW318" s="213"/>
      <c r="BX318" s="213"/>
      <c r="BY318" s="213"/>
      <c r="BZ318" s="213"/>
      <c r="CA318" s="213"/>
      <c r="CB318" s="213"/>
      <c r="CC318" s="213"/>
      <c r="CD318" s="213"/>
      <c r="CE318" s="213"/>
      <c r="CF318" s="213"/>
      <c r="CG318" s="213"/>
      <c r="CH318" s="213"/>
      <c r="CI318" s="213"/>
      <c r="CJ318" s="213"/>
      <c r="CK318" s="213"/>
      <c r="CL318" s="213"/>
      <c r="CM318" s="213"/>
      <c r="CN318" s="213"/>
      <c r="CO318" s="213"/>
      <c r="CP318" s="213"/>
      <c r="CQ318" s="213"/>
    </row>
    <row r="319" ht="15.75" customHeight="1">
      <c r="A319" s="213"/>
      <c r="B319" s="213"/>
      <c r="C319" s="213"/>
      <c r="D319" s="213"/>
      <c r="E319" s="213"/>
      <c r="F319" s="213"/>
      <c r="G319" s="213"/>
      <c r="H319" s="213"/>
      <c r="I319" s="213"/>
      <c r="J319" s="213"/>
      <c r="K319" s="213"/>
      <c r="L319" s="213"/>
      <c r="M319" s="213"/>
      <c r="N319" s="213"/>
      <c r="O319" s="213"/>
      <c r="P319" s="213"/>
      <c r="Q319" s="238"/>
      <c r="R319" s="213"/>
      <c r="S319" s="213"/>
      <c r="T319" s="213"/>
      <c r="U319" s="213"/>
      <c r="V319" s="213"/>
      <c r="W319" s="213"/>
      <c r="X319" s="215"/>
      <c r="Y319" s="213"/>
      <c r="Z319" s="213"/>
      <c r="AA319" s="213"/>
      <c r="AB319" s="213"/>
      <c r="AC319" s="213"/>
      <c r="AD319" s="215"/>
      <c r="AE319" s="213"/>
      <c r="AF319" s="213"/>
      <c r="AG319" s="213"/>
      <c r="AH319" s="947"/>
      <c r="AI319" s="213"/>
      <c r="AJ319" s="215"/>
      <c r="AK319" s="213"/>
      <c r="AL319" s="213"/>
      <c r="AM319" s="213"/>
      <c r="AN319" s="947"/>
      <c r="AO319" s="213"/>
      <c r="AP319" s="215"/>
      <c r="AQ319" s="213"/>
      <c r="AR319" s="213"/>
      <c r="AS319" s="213"/>
      <c r="AT319" s="947"/>
      <c r="AU319" s="213"/>
      <c r="AV319" s="215"/>
      <c r="AW319" s="213"/>
      <c r="AX319" s="213"/>
      <c r="AY319" s="213"/>
      <c r="AZ319" s="947"/>
      <c r="BA319" s="213"/>
      <c r="BB319" s="215"/>
      <c r="BC319" s="213"/>
      <c r="BD319" s="213"/>
      <c r="BE319" s="213"/>
      <c r="BF319" s="947"/>
      <c r="BG319" s="213"/>
      <c r="BH319" s="215"/>
      <c r="BI319" s="213"/>
      <c r="BJ319" s="213"/>
      <c r="BK319" s="213"/>
      <c r="BL319" s="948"/>
      <c r="BM319" s="213"/>
      <c r="BN319" s="213"/>
      <c r="BO319" s="213"/>
      <c r="BP319" s="213"/>
      <c r="BQ319" s="213"/>
      <c r="BR319" s="326"/>
      <c r="BS319" s="213"/>
      <c r="BT319" s="215"/>
      <c r="BU319" s="213"/>
      <c r="BV319" s="213"/>
      <c r="BW319" s="213"/>
      <c r="BX319" s="213"/>
      <c r="BY319" s="213"/>
      <c r="BZ319" s="213"/>
      <c r="CA319" s="213"/>
      <c r="CB319" s="213"/>
      <c r="CC319" s="213"/>
      <c r="CD319" s="213"/>
      <c r="CE319" s="213"/>
      <c r="CF319" s="213"/>
      <c r="CG319" s="213"/>
      <c r="CH319" s="213"/>
      <c r="CI319" s="213"/>
      <c r="CJ319" s="213"/>
      <c r="CK319" s="213"/>
      <c r="CL319" s="213"/>
      <c r="CM319" s="213"/>
      <c r="CN319" s="213"/>
      <c r="CO319" s="213"/>
      <c r="CP319" s="213"/>
      <c r="CQ319" s="213"/>
    </row>
    <row r="320" ht="15.75" customHeight="1">
      <c r="A320" s="213"/>
      <c r="B320" s="213"/>
      <c r="C320" s="213"/>
      <c r="D320" s="213"/>
      <c r="E320" s="213"/>
      <c r="F320" s="213"/>
      <c r="G320" s="213"/>
      <c r="H320" s="213"/>
      <c r="I320" s="213"/>
      <c r="J320" s="213"/>
      <c r="K320" s="213"/>
      <c r="L320" s="213"/>
      <c r="M320" s="213"/>
      <c r="N320" s="213"/>
      <c r="O320" s="213"/>
      <c r="P320" s="213"/>
      <c r="Q320" s="238"/>
      <c r="R320" s="213"/>
      <c r="S320" s="213"/>
      <c r="T320" s="213"/>
      <c r="U320" s="213"/>
      <c r="V320" s="213"/>
      <c r="W320" s="213"/>
      <c r="X320" s="215"/>
      <c r="Y320" s="213"/>
      <c r="Z320" s="213"/>
      <c r="AA320" s="213"/>
      <c r="AB320" s="213"/>
      <c r="AC320" s="213"/>
      <c r="AD320" s="215"/>
      <c r="AE320" s="213"/>
      <c r="AF320" s="213"/>
      <c r="AG320" s="213"/>
      <c r="AH320" s="947"/>
      <c r="AI320" s="213"/>
      <c r="AJ320" s="215"/>
      <c r="AK320" s="213"/>
      <c r="AL320" s="213"/>
      <c r="AM320" s="213"/>
      <c r="AN320" s="947"/>
      <c r="AO320" s="213"/>
      <c r="AP320" s="215"/>
      <c r="AQ320" s="213"/>
      <c r="AR320" s="213"/>
      <c r="AS320" s="213"/>
      <c r="AT320" s="947"/>
      <c r="AU320" s="213"/>
      <c r="AV320" s="215"/>
      <c r="AW320" s="213"/>
      <c r="AX320" s="213"/>
      <c r="AY320" s="213"/>
      <c r="AZ320" s="947"/>
      <c r="BA320" s="213"/>
      <c r="BB320" s="215"/>
      <c r="BC320" s="213"/>
      <c r="BD320" s="213"/>
      <c r="BE320" s="213"/>
      <c r="BF320" s="947"/>
      <c r="BG320" s="213"/>
      <c r="BH320" s="215"/>
      <c r="BI320" s="213"/>
      <c r="BJ320" s="213"/>
      <c r="BK320" s="213"/>
      <c r="BL320" s="948"/>
      <c r="BM320" s="213"/>
      <c r="BN320" s="213"/>
      <c r="BO320" s="213"/>
      <c r="BP320" s="213"/>
      <c r="BQ320" s="213"/>
      <c r="BR320" s="326"/>
      <c r="BS320" s="213"/>
      <c r="BT320" s="215"/>
      <c r="BU320" s="213"/>
      <c r="BV320" s="213"/>
      <c r="BW320" s="213"/>
      <c r="BX320" s="213"/>
      <c r="BY320" s="213"/>
      <c r="BZ320" s="213"/>
      <c r="CA320" s="213"/>
      <c r="CB320" s="213"/>
      <c r="CC320" s="213"/>
      <c r="CD320" s="213"/>
      <c r="CE320" s="213"/>
      <c r="CF320" s="213"/>
      <c r="CG320" s="213"/>
      <c r="CH320" s="213"/>
      <c r="CI320" s="213"/>
      <c r="CJ320" s="213"/>
      <c r="CK320" s="213"/>
      <c r="CL320" s="213"/>
      <c r="CM320" s="213"/>
      <c r="CN320" s="213"/>
      <c r="CO320" s="213"/>
      <c r="CP320" s="213"/>
      <c r="CQ320" s="213"/>
    </row>
    <row r="321" ht="15.75" customHeight="1">
      <c r="A321" s="213"/>
      <c r="B321" s="213"/>
      <c r="C321" s="213"/>
      <c r="D321" s="213"/>
      <c r="E321" s="213"/>
      <c r="F321" s="213"/>
      <c r="G321" s="213"/>
      <c r="H321" s="213"/>
      <c r="I321" s="213"/>
      <c r="J321" s="213"/>
      <c r="K321" s="213"/>
      <c r="L321" s="213"/>
      <c r="M321" s="213"/>
      <c r="N321" s="213"/>
      <c r="O321" s="213"/>
      <c r="P321" s="213"/>
      <c r="Q321" s="238"/>
      <c r="R321" s="213"/>
      <c r="S321" s="213"/>
      <c r="T321" s="213"/>
      <c r="U321" s="213"/>
      <c r="V321" s="213"/>
      <c r="W321" s="213"/>
      <c r="X321" s="215"/>
      <c r="Y321" s="213"/>
      <c r="Z321" s="213"/>
      <c r="AA321" s="213"/>
      <c r="AB321" s="213"/>
      <c r="AC321" s="213"/>
      <c r="AD321" s="215"/>
      <c r="AE321" s="213"/>
      <c r="AF321" s="213"/>
      <c r="AG321" s="213"/>
      <c r="AH321" s="947"/>
      <c r="AI321" s="213"/>
      <c r="AJ321" s="215"/>
      <c r="AK321" s="213"/>
      <c r="AL321" s="213"/>
      <c r="AM321" s="213"/>
      <c r="AN321" s="947"/>
      <c r="AO321" s="213"/>
      <c r="AP321" s="215"/>
      <c r="AQ321" s="213"/>
      <c r="AR321" s="213"/>
      <c r="AS321" s="213"/>
      <c r="AT321" s="947"/>
      <c r="AU321" s="213"/>
      <c r="AV321" s="215"/>
      <c r="AW321" s="213"/>
      <c r="AX321" s="213"/>
      <c r="AY321" s="213"/>
      <c r="AZ321" s="947"/>
      <c r="BA321" s="213"/>
      <c r="BB321" s="215"/>
      <c r="BC321" s="213"/>
      <c r="BD321" s="213"/>
      <c r="BE321" s="213"/>
      <c r="BF321" s="947"/>
      <c r="BG321" s="213"/>
      <c r="BH321" s="215"/>
      <c r="BI321" s="213"/>
      <c r="BJ321" s="213"/>
      <c r="BK321" s="213"/>
      <c r="BL321" s="948"/>
      <c r="BM321" s="213"/>
      <c r="BN321" s="213"/>
      <c r="BO321" s="213"/>
      <c r="BP321" s="213"/>
      <c r="BQ321" s="213"/>
      <c r="BR321" s="326"/>
      <c r="BS321" s="213"/>
      <c r="BT321" s="215"/>
      <c r="BU321" s="213"/>
      <c r="BV321" s="213"/>
      <c r="BW321" s="213"/>
      <c r="BX321" s="213"/>
      <c r="BY321" s="213"/>
      <c r="BZ321" s="213"/>
      <c r="CA321" s="213"/>
      <c r="CB321" s="213"/>
      <c r="CC321" s="213"/>
      <c r="CD321" s="213"/>
      <c r="CE321" s="213"/>
      <c r="CF321" s="213"/>
      <c r="CG321" s="213"/>
      <c r="CH321" s="213"/>
      <c r="CI321" s="213"/>
      <c r="CJ321" s="213"/>
      <c r="CK321" s="213"/>
      <c r="CL321" s="213"/>
      <c r="CM321" s="213"/>
      <c r="CN321" s="213"/>
      <c r="CO321" s="213"/>
      <c r="CP321" s="213"/>
      <c r="CQ321" s="213"/>
    </row>
    <row r="322" ht="15.75" customHeight="1">
      <c r="A322" s="213"/>
      <c r="B322" s="213"/>
      <c r="C322" s="213"/>
      <c r="D322" s="213"/>
      <c r="E322" s="213"/>
      <c r="F322" s="213"/>
      <c r="G322" s="213"/>
      <c r="H322" s="213"/>
      <c r="I322" s="213"/>
      <c r="J322" s="213"/>
      <c r="K322" s="213"/>
      <c r="L322" s="213"/>
      <c r="M322" s="213"/>
      <c r="N322" s="213"/>
      <c r="O322" s="213"/>
      <c r="P322" s="213"/>
      <c r="Q322" s="238"/>
      <c r="R322" s="213"/>
      <c r="S322" s="213"/>
      <c r="T322" s="213"/>
      <c r="U322" s="213"/>
      <c r="V322" s="213"/>
      <c r="W322" s="213"/>
      <c r="X322" s="215"/>
      <c r="Y322" s="213"/>
      <c r="Z322" s="213"/>
      <c r="AA322" s="213"/>
      <c r="AB322" s="213"/>
      <c r="AC322" s="213"/>
      <c r="AD322" s="215"/>
      <c r="AE322" s="213"/>
      <c r="AF322" s="213"/>
      <c r="AG322" s="213"/>
      <c r="AH322" s="947"/>
      <c r="AI322" s="213"/>
      <c r="AJ322" s="215"/>
      <c r="AK322" s="213"/>
      <c r="AL322" s="213"/>
      <c r="AM322" s="213"/>
      <c r="AN322" s="947"/>
      <c r="AO322" s="213"/>
      <c r="AP322" s="215"/>
      <c r="AQ322" s="213"/>
      <c r="AR322" s="213"/>
      <c r="AS322" s="213"/>
      <c r="AT322" s="947"/>
      <c r="AU322" s="213"/>
      <c r="AV322" s="215"/>
      <c r="AW322" s="213"/>
      <c r="AX322" s="213"/>
      <c r="AY322" s="213"/>
      <c r="AZ322" s="947"/>
      <c r="BA322" s="213"/>
      <c r="BB322" s="215"/>
      <c r="BC322" s="213"/>
      <c r="BD322" s="213"/>
      <c r="BE322" s="213"/>
      <c r="BF322" s="947"/>
      <c r="BG322" s="213"/>
      <c r="BH322" s="215"/>
      <c r="BI322" s="213"/>
      <c r="BJ322" s="213"/>
      <c r="BK322" s="213"/>
      <c r="BL322" s="948"/>
      <c r="BM322" s="213"/>
      <c r="BN322" s="213"/>
      <c r="BO322" s="213"/>
      <c r="BP322" s="213"/>
      <c r="BQ322" s="213"/>
      <c r="BR322" s="326"/>
      <c r="BS322" s="213"/>
      <c r="BT322" s="215"/>
      <c r="BU322" s="213"/>
      <c r="BV322" s="213"/>
      <c r="BW322" s="213"/>
      <c r="BX322" s="213"/>
      <c r="BY322" s="213"/>
      <c r="BZ322" s="213"/>
      <c r="CA322" s="213"/>
      <c r="CB322" s="213"/>
      <c r="CC322" s="213"/>
      <c r="CD322" s="213"/>
      <c r="CE322" s="213"/>
      <c r="CF322" s="213"/>
      <c r="CG322" s="213"/>
      <c r="CH322" s="213"/>
      <c r="CI322" s="213"/>
      <c r="CJ322" s="213"/>
      <c r="CK322" s="213"/>
      <c r="CL322" s="213"/>
      <c r="CM322" s="213"/>
      <c r="CN322" s="213"/>
      <c r="CO322" s="213"/>
      <c r="CP322" s="213"/>
      <c r="CQ322" s="213"/>
    </row>
    <row r="323" ht="15.75" customHeight="1">
      <c r="A323" s="213"/>
      <c r="B323" s="213"/>
      <c r="C323" s="213"/>
      <c r="D323" s="213"/>
      <c r="E323" s="213"/>
      <c r="F323" s="213"/>
      <c r="G323" s="213"/>
      <c r="H323" s="213"/>
      <c r="I323" s="213"/>
      <c r="J323" s="213"/>
      <c r="K323" s="213"/>
      <c r="L323" s="213"/>
      <c r="M323" s="213"/>
      <c r="N323" s="213"/>
      <c r="O323" s="213"/>
      <c r="P323" s="213"/>
      <c r="Q323" s="238"/>
      <c r="R323" s="213"/>
      <c r="S323" s="213"/>
      <c r="T323" s="213"/>
      <c r="U323" s="213"/>
      <c r="V323" s="213"/>
      <c r="W323" s="213"/>
      <c r="X323" s="215"/>
      <c r="Y323" s="213"/>
      <c r="Z323" s="213"/>
      <c r="AA323" s="213"/>
      <c r="AB323" s="213"/>
      <c r="AC323" s="213"/>
      <c r="AD323" s="215"/>
      <c r="AE323" s="213"/>
      <c r="AF323" s="213"/>
      <c r="AG323" s="213"/>
      <c r="AH323" s="947"/>
      <c r="AI323" s="213"/>
      <c r="AJ323" s="215"/>
      <c r="AK323" s="213"/>
      <c r="AL323" s="213"/>
      <c r="AM323" s="213"/>
      <c r="AN323" s="947"/>
      <c r="AO323" s="213"/>
      <c r="AP323" s="215"/>
      <c r="AQ323" s="213"/>
      <c r="AR323" s="213"/>
      <c r="AS323" s="213"/>
      <c r="AT323" s="947"/>
      <c r="AU323" s="213"/>
      <c r="AV323" s="215"/>
      <c r="AW323" s="213"/>
      <c r="AX323" s="213"/>
      <c r="AY323" s="213"/>
      <c r="AZ323" s="947"/>
      <c r="BA323" s="213"/>
      <c r="BB323" s="215"/>
      <c r="BC323" s="213"/>
      <c r="BD323" s="213"/>
      <c r="BE323" s="213"/>
      <c r="BF323" s="947"/>
      <c r="BG323" s="213"/>
      <c r="BH323" s="215"/>
      <c r="BI323" s="213"/>
      <c r="BJ323" s="213"/>
      <c r="BK323" s="213"/>
      <c r="BL323" s="948"/>
      <c r="BM323" s="213"/>
      <c r="BN323" s="213"/>
      <c r="BO323" s="213"/>
      <c r="BP323" s="213"/>
      <c r="BQ323" s="213"/>
      <c r="BR323" s="326"/>
      <c r="BS323" s="213"/>
      <c r="BT323" s="215"/>
      <c r="BU323" s="213"/>
      <c r="BV323" s="213"/>
      <c r="BW323" s="213"/>
      <c r="BX323" s="213"/>
      <c r="BY323" s="213"/>
      <c r="BZ323" s="213"/>
      <c r="CA323" s="213"/>
      <c r="CB323" s="213"/>
      <c r="CC323" s="213"/>
      <c r="CD323" s="213"/>
      <c r="CE323" s="213"/>
      <c r="CF323" s="213"/>
      <c r="CG323" s="213"/>
      <c r="CH323" s="213"/>
      <c r="CI323" s="213"/>
      <c r="CJ323" s="213"/>
      <c r="CK323" s="213"/>
      <c r="CL323" s="213"/>
      <c r="CM323" s="213"/>
      <c r="CN323" s="213"/>
      <c r="CO323" s="213"/>
      <c r="CP323" s="213"/>
      <c r="CQ323" s="213"/>
    </row>
    <row r="324" ht="15.75" customHeight="1">
      <c r="A324" s="213"/>
      <c r="B324" s="213"/>
      <c r="C324" s="213"/>
      <c r="D324" s="213"/>
      <c r="E324" s="213"/>
      <c r="F324" s="213"/>
      <c r="G324" s="213"/>
      <c r="H324" s="213"/>
      <c r="I324" s="213"/>
      <c r="J324" s="213"/>
      <c r="K324" s="213"/>
      <c r="L324" s="213"/>
      <c r="M324" s="213"/>
      <c r="N324" s="213"/>
      <c r="O324" s="213"/>
      <c r="P324" s="213"/>
      <c r="Q324" s="238"/>
      <c r="R324" s="213"/>
      <c r="S324" s="213"/>
      <c r="T324" s="213"/>
      <c r="U324" s="213"/>
      <c r="V324" s="213"/>
      <c r="W324" s="213"/>
      <c r="X324" s="215"/>
      <c r="Y324" s="213"/>
      <c r="Z324" s="213"/>
      <c r="AA324" s="213"/>
      <c r="AB324" s="213"/>
      <c r="AC324" s="213"/>
      <c r="AD324" s="215"/>
      <c r="AE324" s="213"/>
      <c r="AF324" s="213"/>
      <c r="AG324" s="213"/>
      <c r="AH324" s="947"/>
      <c r="AI324" s="213"/>
      <c r="AJ324" s="215"/>
      <c r="AK324" s="213"/>
      <c r="AL324" s="213"/>
      <c r="AM324" s="213"/>
      <c r="AN324" s="947"/>
      <c r="AO324" s="213"/>
      <c r="AP324" s="215"/>
      <c r="AQ324" s="213"/>
      <c r="AR324" s="213"/>
      <c r="AS324" s="213"/>
      <c r="AT324" s="947"/>
      <c r="AU324" s="213"/>
      <c r="AV324" s="215"/>
      <c r="AW324" s="213"/>
      <c r="AX324" s="213"/>
      <c r="AY324" s="213"/>
      <c r="AZ324" s="947"/>
      <c r="BA324" s="213"/>
      <c r="BB324" s="215"/>
      <c r="BC324" s="213"/>
      <c r="BD324" s="213"/>
      <c r="BE324" s="213"/>
      <c r="BF324" s="947"/>
      <c r="BG324" s="213"/>
      <c r="BH324" s="215"/>
      <c r="BI324" s="213"/>
      <c r="BJ324" s="213"/>
      <c r="BK324" s="213"/>
      <c r="BL324" s="948"/>
      <c r="BM324" s="213"/>
      <c r="BN324" s="213"/>
      <c r="BO324" s="213"/>
      <c r="BP324" s="213"/>
      <c r="BQ324" s="213"/>
      <c r="BR324" s="326"/>
      <c r="BS324" s="213"/>
      <c r="BT324" s="215"/>
      <c r="BU324" s="213"/>
      <c r="BV324" s="213"/>
      <c r="BW324" s="213"/>
      <c r="BX324" s="213"/>
      <c r="BY324" s="213"/>
      <c r="BZ324" s="213"/>
      <c r="CA324" s="213"/>
      <c r="CB324" s="213"/>
      <c r="CC324" s="213"/>
      <c r="CD324" s="213"/>
      <c r="CE324" s="213"/>
      <c r="CF324" s="213"/>
      <c r="CG324" s="213"/>
      <c r="CH324" s="213"/>
      <c r="CI324" s="213"/>
      <c r="CJ324" s="213"/>
      <c r="CK324" s="213"/>
      <c r="CL324" s="213"/>
      <c r="CM324" s="213"/>
      <c r="CN324" s="213"/>
      <c r="CO324" s="213"/>
      <c r="CP324" s="213"/>
      <c r="CQ324" s="213"/>
    </row>
    <row r="325" ht="15.75" customHeight="1">
      <c r="A325" s="213"/>
      <c r="B325" s="213"/>
      <c r="C325" s="213"/>
      <c r="D325" s="213"/>
      <c r="E325" s="213"/>
      <c r="F325" s="213"/>
      <c r="G325" s="213"/>
      <c r="H325" s="213"/>
      <c r="I325" s="213"/>
      <c r="J325" s="213"/>
      <c r="K325" s="213"/>
      <c r="L325" s="213"/>
      <c r="M325" s="213"/>
      <c r="N325" s="213"/>
      <c r="O325" s="213"/>
      <c r="P325" s="213"/>
      <c r="Q325" s="238"/>
      <c r="R325" s="213"/>
      <c r="S325" s="213"/>
      <c r="T325" s="213"/>
      <c r="U325" s="213"/>
      <c r="V325" s="213"/>
      <c r="W325" s="213"/>
      <c r="X325" s="215"/>
      <c r="Y325" s="213"/>
      <c r="Z325" s="213"/>
      <c r="AA325" s="213"/>
      <c r="AB325" s="213"/>
      <c r="AC325" s="213"/>
      <c r="AD325" s="215"/>
      <c r="AE325" s="213"/>
      <c r="AF325" s="213"/>
      <c r="AG325" s="213"/>
      <c r="AH325" s="947"/>
      <c r="AI325" s="213"/>
      <c r="AJ325" s="215"/>
      <c r="AK325" s="213"/>
      <c r="AL325" s="213"/>
      <c r="AM325" s="213"/>
      <c r="AN325" s="947"/>
      <c r="AO325" s="213"/>
      <c r="AP325" s="215"/>
      <c r="AQ325" s="213"/>
      <c r="AR325" s="213"/>
      <c r="AS325" s="213"/>
      <c r="AT325" s="947"/>
      <c r="AU325" s="213"/>
      <c r="AV325" s="215"/>
      <c r="AW325" s="213"/>
      <c r="AX325" s="213"/>
      <c r="AY325" s="213"/>
      <c r="AZ325" s="947"/>
      <c r="BA325" s="213"/>
      <c r="BB325" s="215"/>
      <c r="BC325" s="213"/>
      <c r="BD325" s="213"/>
      <c r="BE325" s="213"/>
      <c r="BF325" s="947"/>
      <c r="BG325" s="213"/>
      <c r="BH325" s="215"/>
      <c r="BI325" s="213"/>
      <c r="BJ325" s="213"/>
      <c r="BK325" s="213"/>
      <c r="BL325" s="948"/>
      <c r="BM325" s="213"/>
      <c r="BN325" s="213"/>
      <c r="BO325" s="213"/>
      <c r="BP325" s="213"/>
      <c r="BQ325" s="213"/>
      <c r="BR325" s="326"/>
      <c r="BS325" s="213"/>
      <c r="BT325" s="215"/>
      <c r="BU325" s="213"/>
      <c r="BV325" s="213"/>
      <c r="BW325" s="213"/>
      <c r="BX325" s="213"/>
      <c r="BY325" s="213"/>
      <c r="BZ325" s="213"/>
      <c r="CA325" s="213"/>
      <c r="CB325" s="213"/>
      <c r="CC325" s="213"/>
      <c r="CD325" s="213"/>
      <c r="CE325" s="213"/>
      <c r="CF325" s="213"/>
      <c r="CG325" s="213"/>
      <c r="CH325" s="213"/>
      <c r="CI325" s="213"/>
      <c r="CJ325" s="213"/>
      <c r="CK325" s="213"/>
      <c r="CL325" s="213"/>
      <c r="CM325" s="213"/>
      <c r="CN325" s="213"/>
      <c r="CO325" s="213"/>
      <c r="CP325" s="213"/>
      <c r="CQ325" s="213"/>
    </row>
    <row r="326" ht="15.75" customHeight="1">
      <c r="A326" s="213"/>
      <c r="B326" s="213"/>
      <c r="C326" s="213"/>
      <c r="D326" s="213"/>
      <c r="E326" s="213"/>
      <c r="F326" s="213"/>
      <c r="G326" s="213"/>
      <c r="H326" s="213"/>
      <c r="I326" s="213"/>
      <c r="J326" s="213"/>
      <c r="K326" s="213"/>
      <c r="L326" s="213"/>
      <c r="M326" s="213"/>
      <c r="N326" s="213"/>
      <c r="O326" s="213"/>
      <c r="P326" s="213"/>
      <c r="Q326" s="238"/>
      <c r="R326" s="213"/>
      <c r="S326" s="213"/>
      <c r="T326" s="213"/>
      <c r="U326" s="213"/>
      <c r="V326" s="213"/>
      <c r="W326" s="213"/>
      <c r="X326" s="215"/>
      <c r="Y326" s="213"/>
      <c r="Z326" s="213"/>
      <c r="AA326" s="213"/>
      <c r="AB326" s="213"/>
      <c r="AC326" s="213"/>
      <c r="AD326" s="215"/>
      <c r="AE326" s="213"/>
      <c r="AF326" s="213"/>
      <c r="AG326" s="213"/>
      <c r="AH326" s="947"/>
      <c r="AI326" s="213"/>
      <c r="AJ326" s="215"/>
      <c r="AK326" s="213"/>
      <c r="AL326" s="213"/>
      <c r="AM326" s="213"/>
      <c r="AN326" s="947"/>
      <c r="AO326" s="213"/>
      <c r="AP326" s="215"/>
      <c r="AQ326" s="213"/>
      <c r="AR326" s="213"/>
      <c r="AS326" s="213"/>
      <c r="AT326" s="947"/>
      <c r="AU326" s="213"/>
      <c r="AV326" s="215"/>
      <c r="AW326" s="213"/>
      <c r="AX326" s="213"/>
      <c r="AY326" s="213"/>
      <c r="AZ326" s="947"/>
      <c r="BA326" s="213"/>
      <c r="BB326" s="215"/>
      <c r="BC326" s="213"/>
      <c r="BD326" s="213"/>
      <c r="BE326" s="213"/>
      <c r="BF326" s="947"/>
      <c r="BG326" s="213"/>
      <c r="BH326" s="215"/>
      <c r="BI326" s="213"/>
      <c r="BJ326" s="213"/>
      <c r="BK326" s="213"/>
      <c r="BL326" s="948"/>
      <c r="BM326" s="213"/>
      <c r="BN326" s="213"/>
      <c r="BO326" s="213"/>
      <c r="BP326" s="213"/>
      <c r="BQ326" s="213"/>
      <c r="BR326" s="326"/>
      <c r="BS326" s="213"/>
      <c r="BT326" s="215"/>
      <c r="BU326" s="213"/>
      <c r="BV326" s="213"/>
      <c r="BW326" s="213"/>
      <c r="BX326" s="213"/>
      <c r="BY326" s="213"/>
      <c r="BZ326" s="213"/>
      <c r="CA326" s="213"/>
      <c r="CB326" s="213"/>
      <c r="CC326" s="213"/>
      <c r="CD326" s="213"/>
      <c r="CE326" s="213"/>
      <c r="CF326" s="213"/>
      <c r="CG326" s="213"/>
      <c r="CH326" s="213"/>
      <c r="CI326" s="213"/>
      <c r="CJ326" s="213"/>
      <c r="CK326" s="213"/>
      <c r="CL326" s="213"/>
      <c r="CM326" s="213"/>
      <c r="CN326" s="213"/>
      <c r="CO326" s="213"/>
      <c r="CP326" s="213"/>
      <c r="CQ326" s="213"/>
    </row>
    <row r="327" ht="15.75" customHeight="1">
      <c r="A327" s="213"/>
      <c r="B327" s="213"/>
      <c r="C327" s="213"/>
      <c r="D327" s="213"/>
      <c r="E327" s="213"/>
      <c r="F327" s="213"/>
      <c r="G327" s="213"/>
      <c r="H327" s="213"/>
      <c r="I327" s="213"/>
      <c r="J327" s="213"/>
      <c r="K327" s="213"/>
      <c r="L327" s="213"/>
      <c r="M327" s="213"/>
      <c r="N327" s="213"/>
      <c r="O327" s="213"/>
      <c r="P327" s="213"/>
      <c r="Q327" s="238"/>
      <c r="R327" s="213"/>
      <c r="S327" s="213"/>
      <c r="T327" s="213"/>
      <c r="U327" s="213"/>
      <c r="V327" s="213"/>
      <c r="W327" s="213"/>
      <c r="X327" s="215"/>
      <c r="Y327" s="213"/>
      <c r="Z327" s="213"/>
      <c r="AA327" s="213"/>
      <c r="AB327" s="213"/>
      <c r="AC327" s="213"/>
      <c r="AD327" s="215"/>
      <c r="AE327" s="213"/>
      <c r="AF327" s="213"/>
      <c r="AG327" s="213"/>
      <c r="AH327" s="947"/>
      <c r="AI327" s="213"/>
      <c r="AJ327" s="215"/>
      <c r="AK327" s="213"/>
      <c r="AL327" s="213"/>
      <c r="AM327" s="213"/>
      <c r="AN327" s="947"/>
      <c r="AO327" s="213"/>
      <c r="AP327" s="215"/>
      <c r="AQ327" s="213"/>
      <c r="AR327" s="213"/>
      <c r="AS327" s="213"/>
      <c r="AT327" s="947"/>
      <c r="AU327" s="213"/>
      <c r="AV327" s="215"/>
      <c r="AW327" s="213"/>
      <c r="AX327" s="213"/>
      <c r="AY327" s="213"/>
      <c r="AZ327" s="947"/>
      <c r="BA327" s="213"/>
      <c r="BB327" s="215"/>
      <c r="BC327" s="213"/>
      <c r="BD327" s="213"/>
      <c r="BE327" s="213"/>
      <c r="BF327" s="947"/>
      <c r="BG327" s="213"/>
      <c r="BH327" s="215"/>
      <c r="BI327" s="213"/>
      <c r="BJ327" s="213"/>
      <c r="BK327" s="213"/>
      <c r="BL327" s="948"/>
      <c r="BM327" s="213"/>
      <c r="BN327" s="213"/>
      <c r="BO327" s="213"/>
      <c r="BP327" s="213"/>
      <c r="BQ327" s="213"/>
      <c r="BR327" s="326"/>
      <c r="BS327" s="213"/>
      <c r="BT327" s="215"/>
      <c r="BU327" s="213"/>
      <c r="BV327" s="213"/>
      <c r="BW327" s="213"/>
      <c r="BX327" s="213"/>
      <c r="BY327" s="213"/>
      <c r="BZ327" s="213"/>
      <c r="CA327" s="213"/>
      <c r="CB327" s="213"/>
      <c r="CC327" s="213"/>
      <c r="CD327" s="213"/>
      <c r="CE327" s="213"/>
      <c r="CF327" s="213"/>
      <c r="CG327" s="213"/>
      <c r="CH327" s="213"/>
      <c r="CI327" s="213"/>
      <c r="CJ327" s="213"/>
      <c r="CK327" s="213"/>
      <c r="CL327" s="213"/>
      <c r="CM327" s="213"/>
      <c r="CN327" s="213"/>
      <c r="CO327" s="213"/>
      <c r="CP327" s="213"/>
      <c r="CQ327" s="213"/>
    </row>
    <row r="328" ht="15.75" customHeight="1">
      <c r="A328" s="213"/>
      <c r="B328" s="213"/>
      <c r="C328" s="213"/>
      <c r="D328" s="213"/>
      <c r="E328" s="213"/>
      <c r="F328" s="213"/>
      <c r="G328" s="213"/>
      <c r="H328" s="213"/>
      <c r="I328" s="213"/>
      <c r="J328" s="213"/>
      <c r="K328" s="213"/>
      <c r="L328" s="213"/>
      <c r="M328" s="213"/>
      <c r="N328" s="213"/>
      <c r="O328" s="213"/>
      <c r="P328" s="213"/>
      <c r="Q328" s="238"/>
      <c r="R328" s="213"/>
      <c r="S328" s="213"/>
      <c r="T328" s="213"/>
      <c r="U328" s="213"/>
      <c r="V328" s="213"/>
      <c r="W328" s="213"/>
      <c r="X328" s="215"/>
      <c r="Y328" s="213"/>
      <c r="Z328" s="213"/>
      <c r="AA328" s="213"/>
      <c r="AB328" s="213"/>
      <c r="AC328" s="213"/>
      <c r="AD328" s="215"/>
      <c r="AE328" s="213"/>
      <c r="AF328" s="213"/>
      <c r="AG328" s="213"/>
      <c r="AH328" s="947"/>
      <c r="AI328" s="213"/>
      <c r="AJ328" s="215"/>
      <c r="AK328" s="213"/>
      <c r="AL328" s="213"/>
      <c r="AM328" s="213"/>
      <c r="AN328" s="947"/>
      <c r="AO328" s="213"/>
      <c r="AP328" s="215"/>
      <c r="AQ328" s="213"/>
      <c r="AR328" s="213"/>
      <c r="AS328" s="213"/>
      <c r="AT328" s="947"/>
      <c r="AU328" s="213"/>
      <c r="AV328" s="215"/>
      <c r="AW328" s="213"/>
      <c r="AX328" s="213"/>
      <c r="AY328" s="213"/>
      <c r="AZ328" s="947"/>
      <c r="BA328" s="213"/>
      <c r="BB328" s="215"/>
      <c r="BC328" s="213"/>
      <c r="BD328" s="213"/>
      <c r="BE328" s="213"/>
      <c r="BF328" s="947"/>
      <c r="BG328" s="213"/>
      <c r="BH328" s="215"/>
      <c r="BI328" s="213"/>
      <c r="BJ328" s="213"/>
      <c r="BK328" s="213"/>
      <c r="BL328" s="948"/>
      <c r="BM328" s="213"/>
      <c r="BN328" s="213"/>
      <c r="BO328" s="213"/>
      <c r="BP328" s="213"/>
      <c r="BQ328" s="213"/>
      <c r="BR328" s="326"/>
      <c r="BS328" s="213"/>
      <c r="BT328" s="215"/>
      <c r="BU328" s="213"/>
      <c r="BV328" s="213"/>
      <c r="BW328" s="213"/>
      <c r="BX328" s="213"/>
      <c r="BY328" s="213"/>
      <c r="BZ328" s="213"/>
      <c r="CA328" s="213"/>
      <c r="CB328" s="213"/>
      <c r="CC328" s="213"/>
      <c r="CD328" s="213"/>
      <c r="CE328" s="213"/>
      <c r="CF328" s="213"/>
      <c r="CG328" s="213"/>
      <c r="CH328" s="213"/>
      <c r="CI328" s="213"/>
      <c r="CJ328" s="213"/>
      <c r="CK328" s="213"/>
      <c r="CL328" s="213"/>
      <c r="CM328" s="213"/>
      <c r="CN328" s="213"/>
      <c r="CO328" s="213"/>
      <c r="CP328" s="213"/>
      <c r="CQ328" s="213"/>
    </row>
    <row r="329" ht="15.75" customHeight="1">
      <c r="A329" s="213"/>
      <c r="B329" s="213"/>
      <c r="C329" s="213"/>
      <c r="D329" s="213"/>
      <c r="E329" s="213"/>
      <c r="F329" s="213"/>
      <c r="G329" s="213"/>
      <c r="H329" s="213"/>
      <c r="I329" s="213"/>
      <c r="J329" s="213"/>
      <c r="K329" s="213"/>
      <c r="L329" s="213"/>
      <c r="M329" s="213"/>
      <c r="N329" s="213"/>
      <c r="O329" s="213"/>
      <c r="P329" s="213"/>
      <c r="Q329" s="238"/>
      <c r="R329" s="213"/>
      <c r="S329" s="213"/>
      <c r="T329" s="213"/>
      <c r="U329" s="213"/>
      <c r="V329" s="213"/>
      <c r="W329" s="213"/>
      <c r="X329" s="215"/>
      <c r="Y329" s="213"/>
      <c r="Z329" s="213"/>
      <c r="AA329" s="213"/>
      <c r="AB329" s="213"/>
      <c r="AC329" s="213"/>
      <c r="AD329" s="215"/>
      <c r="AE329" s="213"/>
      <c r="AF329" s="213"/>
      <c r="AG329" s="213"/>
      <c r="AH329" s="947"/>
      <c r="AI329" s="213"/>
      <c r="AJ329" s="215"/>
      <c r="AK329" s="213"/>
      <c r="AL329" s="213"/>
      <c r="AM329" s="213"/>
      <c r="AN329" s="947"/>
      <c r="AO329" s="213"/>
      <c r="AP329" s="215"/>
      <c r="AQ329" s="213"/>
      <c r="AR329" s="213"/>
      <c r="AS329" s="213"/>
      <c r="AT329" s="947"/>
      <c r="AU329" s="213"/>
      <c r="AV329" s="215"/>
      <c r="AW329" s="213"/>
      <c r="AX329" s="213"/>
      <c r="AY329" s="213"/>
      <c r="AZ329" s="947"/>
      <c r="BA329" s="213"/>
      <c r="BB329" s="215"/>
      <c r="BC329" s="213"/>
      <c r="BD329" s="213"/>
      <c r="BE329" s="213"/>
      <c r="BF329" s="947"/>
      <c r="BG329" s="213"/>
      <c r="BH329" s="215"/>
      <c r="BI329" s="213"/>
      <c r="BJ329" s="213"/>
      <c r="BK329" s="213"/>
      <c r="BL329" s="948"/>
      <c r="BM329" s="213"/>
      <c r="BN329" s="213"/>
      <c r="BO329" s="213"/>
      <c r="BP329" s="213"/>
      <c r="BQ329" s="213"/>
      <c r="BR329" s="326"/>
      <c r="BS329" s="213"/>
      <c r="BT329" s="215"/>
      <c r="BU329" s="213"/>
      <c r="BV329" s="213"/>
      <c r="BW329" s="213"/>
      <c r="BX329" s="213"/>
      <c r="BY329" s="213"/>
      <c r="BZ329" s="213"/>
      <c r="CA329" s="213"/>
      <c r="CB329" s="213"/>
      <c r="CC329" s="213"/>
      <c r="CD329" s="213"/>
      <c r="CE329" s="213"/>
      <c r="CF329" s="213"/>
      <c r="CG329" s="213"/>
      <c r="CH329" s="213"/>
      <c r="CI329" s="213"/>
      <c r="CJ329" s="213"/>
      <c r="CK329" s="213"/>
      <c r="CL329" s="213"/>
      <c r="CM329" s="213"/>
      <c r="CN329" s="213"/>
      <c r="CO329" s="213"/>
      <c r="CP329" s="213"/>
      <c r="CQ329" s="213"/>
    </row>
    <row r="330" ht="15.75" customHeight="1">
      <c r="A330" s="213"/>
      <c r="B330" s="213"/>
      <c r="C330" s="213"/>
      <c r="D330" s="213"/>
      <c r="E330" s="213"/>
      <c r="F330" s="213"/>
      <c r="G330" s="213"/>
      <c r="H330" s="213"/>
      <c r="I330" s="213"/>
      <c r="J330" s="213"/>
      <c r="K330" s="213"/>
      <c r="L330" s="213"/>
      <c r="M330" s="213"/>
      <c r="N330" s="213"/>
      <c r="O330" s="213"/>
      <c r="P330" s="213"/>
      <c r="Q330" s="238"/>
      <c r="R330" s="213"/>
      <c r="S330" s="213"/>
      <c r="T330" s="213"/>
      <c r="U330" s="213"/>
      <c r="V330" s="213"/>
      <c r="W330" s="213"/>
      <c r="X330" s="215"/>
      <c r="Y330" s="213"/>
      <c r="Z330" s="213"/>
      <c r="AA330" s="213"/>
      <c r="AB330" s="213"/>
      <c r="AC330" s="213"/>
      <c r="AD330" s="215"/>
      <c r="AE330" s="213"/>
      <c r="AF330" s="213"/>
      <c r="AG330" s="213"/>
      <c r="AH330" s="947"/>
      <c r="AI330" s="213"/>
      <c r="AJ330" s="215"/>
      <c r="AK330" s="213"/>
      <c r="AL330" s="213"/>
      <c r="AM330" s="213"/>
      <c r="AN330" s="947"/>
      <c r="AO330" s="213"/>
      <c r="AP330" s="215"/>
      <c r="AQ330" s="213"/>
      <c r="AR330" s="213"/>
      <c r="AS330" s="213"/>
      <c r="AT330" s="947"/>
      <c r="AU330" s="213"/>
      <c r="AV330" s="215"/>
      <c r="AW330" s="213"/>
      <c r="AX330" s="213"/>
      <c r="AY330" s="213"/>
      <c r="AZ330" s="947"/>
      <c r="BA330" s="213"/>
      <c r="BB330" s="215"/>
      <c r="BC330" s="213"/>
      <c r="BD330" s="213"/>
      <c r="BE330" s="213"/>
      <c r="BF330" s="947"/>
      <c r="BG330" s="213"/>
      <c r="BH330" s="215"/>
      <c r="BI330" s="213"/>
      <c r="BJ330" s="213"/>
      <c r="BK330" s="213"/>
      <c r="BL330" s="948"/>
      <c r="BM330" s="213"/>
      <c r="BN330" s="213"/>
      <c r="BO330" s="213"/>
      <c r="BP330" s="213"/>
      <c r="BQ330" s="213"/>
      <c r="BR330" s="326"/>
      <c r="BS330" s="213"/>
      <c r="BT330" s="215"/>
      <c r="BU330" s="213"/>
      <c r="BV330" s="213"/>
      <c r="BW330" s="213"/>
      <c r="BX330" s="213"/>
      <c r="BY330" s="213"/>
      <c r="BZ330" s="213"/>
      <c r="CA330" s="213"/>
      <c r="CB330" s="213"/>
      <c r="CC330" s="213"/>
      <c r="CD330" s="213"/>
      <c r="CE330" s="213"/>
      <c r="CF330" s="213"/>
      <c r="CG330" s="213"/>
      <c r="CH330" s="213"/>
      <c r="CI330" s="213"/>
      <c r="CJ330" s="213"/>
      <c r="CK330" s="213"/>
      <c r="CL330" s="213"/>
      <c r="CM330" s="213"/>
      <c r="CN330" s="213"/>
      <c r="CO330" s="213"/>
      <c r="CP330" s="213"/>
      <c r="CQ330" s="213"/>
    </row>
    <row r="331" ht="15.75" customHeight="1">
      <c r="A331" s="213"/>
      <c r="B331" s="213"/>
      <c r="C331" s="213"/>
      <c r="D331" s="213"/>
      <c r="E331" s="213"/>
      <c r="F331" s="213"/>
      <c r="G331" s="213"/>
      <c r="H331" s="213"/>
      <c r="I331" s="213"/>
      <c r="J331" s="213"/>
      <c r="K331" s="213"/>
      <c r="L331" s="213"/>
      <c r="M331" s="213"/>
      <c r="N331" s="213"/>
      <c r="O331" s="213"/>
      <c r="P331" s="213"/>
      <c r="Q331" s="238"/>
      <c r="R331" s="213"/>
      <c r="S331" s="213"/>
      <c r="T331" s="213"/>
      <c r="U331" s="213"/>
      <c r="V331" s="213"/>
      <c r="W331" s="213"/>
      <c r="X331" s="215"/>
      <c r="Y331" s="213"/>
      <c r="Z331" s="213"/>
      <c r="AA331" s="213"/>
      <c r="AB331" s="213"/>
      <c r="AC331" s="213"/>
      <c r="AD331" s="215"/>
      <c r="AE331" s="213"/>
      <c r="AF331" s="213"/>
      <c r="AG331" s="213"/>
      <c r="AH331" s="947"/>
      <c r="AI331" s="213"/>
      <c r="AJ331" s="215"/>
      <c r="AK331" s="213"/>
      <c r="AL331" s="213"/>
      <c r="AM331" s="213"/>
      <c r="AN331" s="947"/>
      <c r="AO331" s="213"/>
      <c r="AP331" s="215"/>
      <c r="AQ331" s="213"/>
      <c r="AR331" s="213"/>
      <c r="AS331" s="213"/>
      <c r="AT331" s="947"/>
      <c r="AU331" s="213"/>
      <c r="AV331" s="215"/>
      <c r="AW331" s="213"/>
      <c r="AX331" s="213"/>
      <c r="AY331" s="213"/>
      <c r="AZ331" s="947"/>
      <c r="BA331" s="213"/>
      <c r="BB331" s="215"/>
      <c r="BC331" s="213"/>
      <c r="BD331" s="213"/>
      <c r="BE331" s="213"/>
      <c r="BF331" s="947"/>
      <c r="BG331" s="213"/>
      <c r="BH331" s="215"/>
      <c r="BI331" s="213"/>
      <c r="BJ331" s="213"/>
      <c r="BK331" s="213"/>
      <c r="BL331" s="948"/>
      <c r="BM331" s="213"/>
      <c r="BN331" s="213"/>
      <c r="BO331" s="213"/>
      <c r="BP331" s="213"/>
      <c r="BQ331" s="213"/>
      <c r="BR331" s="326"/>
      <c r="BS331" s="213"/>
      <c r="BT331" s="215"/>
      <c r="BU331" s="213"/>
      <c r="BV331" s="213"/>
      <c r="BW331" s="213"/>
      <c r="BX331" s="213"/>
      <c r="BY331" s="213"/>
      <c r="BZ331" s="213"/>
      <c r="CA331" s="213"/>
      <c r="CB331" s="213"/>
      <c r="CC331" s="213"/>
      <c r="CD331" s="213"/>
      <c r="CE331" s="213"/>
      <c r="CF331" s="213"/>
      <c r="CG331" s="213"/>
      <c r="CH331" s="213"/>
      <c r="CI331" s="213"/>
      <c r="CJ331" s="213"/>
      <c r="CK331" s="213"/>
      <c r="CL331" s="213"/>
      <c r="CM331" s="213"/>
      <c r="CN331" s="213"/>
      <c r="CO331" s="213"/>
      <c r="CP331" s="213"/>
      <c r="CQ331" s="213"/>
    </row>
    <row r="332" ht="15.75" customHeight="1">
      <c r="A332" s="213"/>
      <c r="B332" s="213"/>
      <c r="C332" s="213"/>
      <c r="D332" s="213"/>
      <c r="E332" s="213"/>
      <c r="F332" s="213"/>
      <c r="G332" s="213"/>
      <c r="H332" s="213"/>
      <c r="I332" s="213"/>
      <c r="J332" s="213"/>
      <c r="K332" s="213"/>
      <c r="L332" s="213"/>
      <c r="M332" s="213"/>
      <c r="N332" s="213"/>
      <c r="O332" s="213"/>
      <c r="P332" s="213"/>
      <c r="Q332" s="238"/>
      <c r="R332" s="213"/>
      <c r="S332" s="213"/>
      <c r="T332" s="213"/>
      <c r="U332" s="213"/>
      <c r="V332" s="213"/>
      <c r="W332" s="213"/>
      <c r="X332" s="215"/>
      <c r="Y332" s="213"/>
      <c r="Z332" s="213"/>
      <c r="AA332" s="213"/>
      <c r="AB332" s="213"/>
      <c r="AC332" s="213"/>
      <c r="AD332" s="215"/>
      <c r="AE332" s="213"/>
      <c r="AF332" s="213"/>
      <c r="AG332" s="213"/>
      <c r="AH332" s="947"/>
      <c r="AI332" s="213"/>
      <c r="AJ332" s="215"/>
      <c r="AK332" s="213"/>
      <c r="AL332" s="213"/>
      <c r="AM332" s="213"/>
      <c r="AN332" s="947"/>
      <c r="AO332" s="213"/>
      <c r="AP332" s="215"/>
      <c r="AQ332" s="213"/>
      <c r="AR332" s="213"/>
      <c r="AS332" s="213"/>
      <c r="AT332" s="947"/>
      <c r="AU332" s="213"/>
      <c r="AV332" s="215"/>
      <c r="AW332" s="213"/>
      <c r="AX332" s="213"/>
      <c r="AY332" s="213"/>
      <c r="AZ332" s="947"/>
      <c r="BA332" s="213"/>
      <c r="BB332" s="215"/>
      <c r="BC332" s="213"/>
      <c r="BD332" s="213"/>
      <c r="BE332" s="213"/>
      <c r="BF332" s="947"/>
      <c r="BG332" s="213"/>
      <c r="BH332" s="215"/>
      <c r="BI332" s="213"/>
      <c r="BJ332" s="213"/>
      <c r="BK332" s="213"/>
      <c r="BL332" s="948"/>
      <c r="BM332" s="213"/>
      <c r="BN332" s="213"/>
      <c r="BO332" s="213"/>
      <c r="BP332" s="213"/>
      <c r="BQ332" s="213"/>
      <c r="BR332" s="326"/>
      <c r="BS332" s="213"/>
      <c r="BT332" s="215"/>
      <c r="BU332" s="213"/>
      <c r="BV332" s="213"/>
      <c r="BW332" s="213"/>
      <c r="BX332" s="213"/>
      <c r="BY332" s="213"/>
      <c r="BZ332" s="213"/>
      <c r="CA332" s="213"/>
      <c r="CB332" s="213"/>
      <c r="CC332" s="213"/>
      <c r="CD332" s="213"/>
      <c r="CE332" s="213"/>
      <c r="CF332" s="213"/>
      <c r="CG332" s="213"/>
      <c r="CH332" s="213"/>
      <c r="CI332" s="213"/>
      <c r="CJ332" s="213"/>
      <c r="CK332" s="213"/>
      <c r="CL332" s="213"/>
      <c r="CM332" s="213"/>
      <c r="CN332" s="213"/>
      <c r="CO332" s="213"/>
      <c r="CP332" s="213"/>
      <c r="CQ332" s="213"/>
    </row>
    <row r="333" ht="15.75" customHeight="1">
      <c r="A333" s="213"/>
      <c r="B333" s="213"/>
      <c r="C333" s="213"/>
      <c r="D333" s="213"/>
      <c r="E333" s="213"/>
      <c r="F333" s="213"/>
      <c r="G333" s="213"/>
      <c r="H333" s="213"/>
      <c r="I333" s="213"/>
      <c r="J333" s="213"/>
      <c r="K333" s="213"/>
      <c r="L333" s="213"/>
      <c r="M333" s="213"/>
      <c r="N333" s="213"/>
      <c r="O333" s="213"/>
      <c r="P333" s="213"/>
      <c r="Q333" s="238"/>
      <c r="R333" s="213"/>
      <c r="S333" s="213"/>
      <c r="T333" s="213"/>
      <c r="U333" s="213"/>
      <c r="V333" s="213"/>
      <c r="W333" s="213"/>
      <c r="X333" s="215"/>
      <c r="Y333" s="213"/>
      <c r="Z333" s="213"/>
      <c r="AA333" s="213"/>
      <c r="AB333" s="213"/>
      <c r="AC333" s="213"/>
      <c r="AD333" s="215"/>
      <c r="AE333" s="213"/>
      <c r="AF333" s="213"/>
      <c r="AG333" s="213"/>
      <c r="AH333" s="947"/>
      <c r="AI333" s="213"/>
      <c r="AJ333" s="215"/>
      <c r="AK333" s="213"/>
      <c r="AL333" s="213"/>
      <c r="AM333" s="213"/>
      <c r="AN333" s="947"/>
      <c r="AO333" s="213"/>
      <c r="AP333" s="215"/>
      <c r="AQ333" s="213"/>
      <c r="AR333" s="213"/>
      <c r="AS333" s="213"/>
      <c r="AT333" s="947"/>
      <c r="AU333" s="213"/>
      <c r="AV333" s="215"/>
      <c r="AW333" s="213"/>
      <c r="AX333" s="213"/>
      <c r="AY333" s="213"/>
      <c r="AZ333" s="947"/>
      <c r="BA333" s="213"/>
      <c r="BB333" s="215"/>
      <c r="BC333" s="213"/>
      <c r="BD333" s="213"/>
      <c r="BE333" s="213"/>
      <c r="BF333" s="947"/>
      <c r="BG333" s="213"/>
      <c r="BH333" s="215"/>
      <c r="BI333" s="213"/>
      <c r="BJ333" s="213"/>
      <c r="BK333" s="213"/>
      <c r="BL333" s="948"/>
      <c r="BM333" s="213"/>
      <c r="BN333" s="213"/>
      <c r="BO333" s="213"/>
      <c r="BP333" s="213"/>
      <c r="BQ333" s="213"/>
      <c r="BR333" s="326"/>
      <c r="BS333" s="213"/>
      <c r="BT333" s="215"/>
      <c r="BU333" s="213"/>
      <c r="BV333" s="213"/>
      <c r="BW333" s="213"/>
      <c r="BX333" s="213"/>
      <c r="BY333" s="213"/>
      <c r="BZ333" s="213"/>
      <c r="CA333" s="213"/>
      <c r="CB333" s="213"/>
      <c r="CC333" s="213"/>
      <c r="CD333" s="213"/>
      <c r="CE333" s="213"/>
      <c r="CF333" s="213"/>
      <c r="CG333" s="213"/>
      <c r="CH333" s="213"/>
      <c r="CI333" s="213"/>
      <c r="CJ333" s="213"/>
      <c r="CK333" s="213"/>
      <c r="CL333" s="213"/>
      <c r="CM333" s="213"/>
      <c r="CN333" s="213"/>
      <c r="CO333" s="213"/>
      <c r="CP333" s="213"/>
      <c r="CQ333" s="213"/>
    </row>
    <row r="334" ht="15.75" customHeight="1">
      <c r="A334" s="213"/>
      <c r="B334" s="213"/>
      <c r="C334" s="213"/>
      <c r="D334" s="213"/>
      <c r="E334" s="213"/>
      <c r="F334" s="213"/>
      <c r="G334" s="213"/>
      <c r="H334" s="213"/>
      <c r="I334" s="213"/>
      <c r="J334" s="213"/>
      <c r="K334" s="213"/>
      <c r="L334" s="213"/>
      <c r="M334" s="213"/>
      <c r="N334" s="213"/>
      <c r="O334" s="213"/>
      <c r="P334" s="213"/>
      <c r="Q334" s="238"/>
      <c r="R334" s="213"/>
      <c r="S334" s="213"/>
      <c r="T334" s="213"/>
      <c r="U334" s="213"/>
      <c r="V334" s="213"/>
      <c r="W334" s="213"/>
      <c r="X334" s="215"/>
      <c r="Y334" s="213"/>
      <c r="Z334" s="213"/>
      <c r="AA334" s="213"/>
      <c r="AB334" s="213"/>
      <c r="AC334" s="213"/>
      <c r="AD334" s="215"/>
      <c r="AE334" s="213"/>
      <c r="AF334" s="213"/>
      <c r="AG334" s="213"/>
      <c r="AH334" s="947"/>
      <c r="AI334" s="213"/>
      <c r="AJ334" s="215"/>
      <c r="AK334" s="213"/>
      <c r="AL334" s="213"/>
      <c r="AM334" s="213"/>
      <c r="AN334" s="947"/>
      <c r="AO334" s="213"/>
      <c r="AP334" s="215"/>
      <c r="AQ334" s="213"/>
      <c r="AR334" s="213"/>
      <c r="AS334" s="213"/>
      <c r="AT334" s="947"/>
      <c r="AU334" s="213"/>
      <c r="AV334" s="215"/>
      <c r="AW334" s="213"/>
      <c r="AX334" s="213"/>
      <c r="AY334" s="213"/>
      <c r="AZ334" s="947"/>
      <c r="BA334" s="213"/>
      <c r="BB334" s="215"/>
      <c r="BC334" s="213"/>
      <c r="BD334" s="213"/>
      <c r="BE334" s="213"/>
      <c r="BF334" s="947"/>
      <c r="BG334" s="213"/>
      <c r="BH334" s="215"/>
      <c r="BI334" s="213"/>
      <c r="BJ334" s="213"/>
      <c r="BK334" s="213"/>
      <c r="BL334" s="948"/>
      <c r="BM334" s="213"/>
      <c r="BN334" s="213"/>
      <c r="BO334" s="213"/>
      <c r="BP334" s="213"/>
      <c r="BQ334" s="213"/>
      <c r="BR334" s="326"/>
      <c r="BS334" s="213"/>
      <c r="BT334" s="215"/>
      <c r="BU334" s="213"/>
      <c r="BV334" s="213"/>
      <c r="BW334" s="213"/>
      <c r="BX334" s="213"/>
      <c r="BY334" s="213"/>
      <c r="BZ334" s="213"/>
      <c r="CA334" s="213"/>
      <c r="CB334" s="213"/>
      <c r="CC334" s="213"/>
      <c r="CD334" s="213"/>
      <c r="CE334" s="213"/>
      <c r="CF334" s="213"/>
      <c r="CG334" s="213"/>
      <c r="CH334" s="213"/>
      <c r="CI334" s="213"/>
      <c r="CJ334" s="213"/>
      <c r="CK334" s="213"/>
      <c r="CL334" s="213"/>
      <c r="CM334" s="213"/>
      <c r="CN334" s="213"/>
      <c r="CO334" s="213"/>
      <c r="CP334" s="213"/>
      <c r="CQ334" s="213"/>
    </row>
    <row r="335" ht="15.75" customHeight="1">
      <c r="A335" s="213"/>
      <c r="B335" s="213"/>
      <c r="C335" s="213"/>
      <c r="D335" s="213"/>
      <c r="E335" s="213"/>
      <c r="F335" s="213"/>
      <c r="G335" s="213"/>
      <c r="H335" s="213"/>
      <c r="I335" s="213"/>
      <c r="J335" s="213"/>
      <c r="K335" s="213"/>
      <c r="L335" s="213"/>
      <c r="M335" s="213"/>
      <c r="N335" s="213"/>
      <c r="O335" s="213"/>
      <c r="P335" s="213"/>
      <c r="Q335" s="238"/>
      <c r="R335" s="213"/>
      <c r="S335" s="213"/>
      <c r="T335" s="213"/>
      <c r="U335" s="213"/>
      <c r="V335" s="213"/>
      <c r="W335" s="213"/>
      <c r="X335" s="215"/>
      <c r="Y335" s="213"/>
      <c r="Z335" s="213"/>
      <c r="AA335" s="213"/>
      <c r="AB335" s="213"/>
      <c r="AC335" s="213"/>
      <c r="AD335" s="215"/>
      <c r="AE335" s="213"/>
      <c r="AF335" s="213"/>
      <c r="AG335" s="213"/>
      <c r="AH335" s="947"/>
      <c r="AI335" s="213"/>
      <c r="AJ335" s="215"/>
      <c r="AK335" s="213"/>
      <c r="AL335" s="213"/>
      <c r="AM335" s="213"/>
      <c r="AN335" s="947"/>
      <c r="AO335" s="213"/>
      <c r="AP335" s="215"/>
      <c r="AQ335" s="213"/>
      <c r="AR335" s="213"/>
      <c r="AS335" s="213"/>
      <c r="AT335" s="947"/>
      <c r="AU335" s="213"/>
      <c r="AV335" s="215"/>
      <c r="AW335" s="213"/>
      <c r="AX335" s="213"/>
      <c r="AY335" s="213"/>
      <c r="AZ335" s="947"/>
      <c r="BA335" s="213"/>
      <c r="BB335" s="215"/>
      <c r="BC335" s="213"/>
      <c r="BD335" s="213"/>
      <c r="BE335" s="213"/>
      <c r="BF335" s="947"/>
      <c r="BG335" s="213"/>
      <c r="BH335" s="215"/>
      <c r="BI335" s="213"/>
      <c r="BJ335" s="213"/>
      <c r="BK335" s="213"/>
      <c r="BL335" s="948"/>
      <c r="BM335" s="213"/>
      <c r="BN335" s="213"/>
      <c r="BO335" s="213"/>
      <c r="BP335" s="213"/>
      <c r="BQ335" s="213"/>
      <c r="BR335" s="326"/>
      <c r="BS335" s="213"/>
      <c r="BT335" s="215"/>
      <c r="BU335" s="213"/>
      <c r="BV335" s="213"/>
      <c r="BW335" s="213"/>
      <c r="BX335" s="213"/>
      <c r="BY335" s="213"/>
      <c r="BZ335" s="213"/>
      <c r="CA335" s="213"/>
      <c r="CB335" s="213"/>
      <c r="CC335" s="213"/>
      <c r="CD335" s="213"/>
      <c r="CE335" s="213"/>
      <c r="CF335" s="213"/>
      <c r="CG335" s="213"/>
      <c r="CH335" s="213"/>
      <c r="CI335" s="213"/>
      <c r="CJ335" s="213"/>
      <c r="CK335" s="213"/>
      <c r="CL335" s="213"/>
      <c r="CM335" s="213"/>
      <c r="CN335" s="213"/>
      <c r="CO335" s="213"/>
      <c r="CP335" s="213"/>
      <c r="CQ335" s="213"/>
    </row>
    <row r="336" ht="15.75" customHeight="1">
      <c r="A336" s="213"/>
      <c r="B336" s="213"/>
      <c r="C336" s="213"/>
      <c r="D336" s="213"/>
      <c r="E336" s="213"/>
      <c r="F336" s="213"/>
      <c r="G336" s="213"/>
      <c r="H336" s="213"/>
      <c r="I336" s="213"/>
      <c r="J336" s="213"/>
      <c r="K336" s="213"/>
      <c r="L336" s="213"/>
      <c r="M336" s="213"/>
      <c r="N336" s="213"/>
      <c r="O336" s="213"/>
      <c r="P336" s="213"/>
      <c r="Q336" s="238"/>
      <c r="R336" s="213"/>
      <c r="S336" s="213"/>
      <c r="T336" s="213"/>
      <c r="U336" s="213"/>
      <c r="V336" s="213"/>
      <c r="W336" s="213"/>
      <c r="X336" s="215"/>
      <c r="Y336" s="213"/>
      <c r="Z336" s="213"/>
      <c r="AA336" s="213"/>
      <c r="AB336" s="213"/>
      <c r="AC336" s="213"/>
      <c r="AD336" s="215"/>
      <c r="AE336" s="213"/>
      <c r="AF336" s="213"/>
      <c r="AG336" s="213"/>
      <c r="AH336" s="947"/>
      <c r="AI336" s="213"/>
      <c r="AJ336" s="215"/>
      <c r="AK336" s="213"/>
      <c r="AL336" s="213"/>
      <c r="AM336" s="213"/>
      <c r="AN336" s="947"/>
      <c r="AO336" s="213"/>
      <c r="AP336" s="215"/>
      <c r="AQ336" s="213"/>
      <c r="AR336" s="213"/>
      <c r="AS336" s="213"/>
      <c r="AT336" s="947"/>
      <c r="AU336" s="213"/>
      <c r="AV336" s="215"/>
      <c r="AW336" s="213"/>
      <c r="AX336" s="213"/>
      <c r="AY336" s="213"/>
      <c r="AZ336" s="947"/>
      <c r="BA336" s="213"/>
      <c r="BB336" s="215"/>
      <c r="BC336" s="213"/>
      <c r="BD336" s="213"/>
      <c r="BE336" s="213"/>
      <c r="BF336" s="947"/>
      <c r="BG336" s="213"/>
      <c r="BH336" s="215"/>
      <c r="BI336" s="213"/>
      <c r="BJ336" s="213"/>
      <c r="BK336" s="213"/>
      <c r="BL336" s="948"/>
      <c r="BM336" s="213"/>
      <c r="BN336" s="213"/>
      <c r="BO336" s="213"/>
      <c r="BP336" s="213"/>
      <c r="BQ336" s="213"/>
      <c r="BR336" s="326"/>
      <c r="BS336" s="213"/>
      <c r="BT336" s="215"/>
      <c r="BU336" s="213"/>
      <c r="BV336" s="213"/>
      <c r="BW336" s="213"/>
      <c r="BX336" s="213"/>
      <c r="BY336" s="213"/>
      <c r="BZ336" s="213"/>
      <c r="CA336" s="213"/>
      <c r="CB336" s="213"/>
      <c r="CC336" s="213"/>
      <c r="CD336" s="213"/>
      <c r="CE336" s="213"/>
      <c r="CF336" s="213"/>
      <c r="CG336" s="213"/>
      <c r="CH336" s="213"/>
      <c r="CI336" s="213"/>
      <c r="CJ336" s="213"/>
      <c r="CK336" s="213"/>
      <c r="CL336" s="213"/>
      <c r="CM336" s="213"/>
      <c r="CN336" s="213"/>
      <c r="CO336" s="213"/>
      <c r="CP336" s="213"/>
      <c r="CQ336" s="213"/>
    </row>
    <row r="337" ht="15.75" customHeight="1">
      <c r="A337" s="213"/>
      <c r="B337" s="213"/>
      <c r="C337" s="213"/>
      <c r="D337" s="213"/>
      <c r="E337" s="213"/>
      <c r="F337" s="213"/>
      <c r="G337" s="213"/>
      <c r="H337" s="213"/>
      <c r="I337" s="213"/>
      <c r="J337" s="213"/>
      <c r="K337" s="213"/>
      <c r="L337" s="213"/>
      <c r="M337" s="213"/>
      <c r="N337" s="213"/>
      <c r="O337" s="213"/>
      <c r="P337" s="213"/>
      <c r="Q337" s="238"/>
      <c r="R337" s="213"/>
      <c r="S337" s="213"/>
      <c r="T337" s="213"/>
      <c r="U337" s="213"/>
      <c r="V337" s="213"/>
      <c r="W337" s="213"/>
      <c r="X337" s="215"/>
      <c r="Y337" s="213"/>
      <c r="Z337" s="213"/>
      <c r="AA337" s="213"/>
      <c r="AB337" s="213"/>
      <c r="AC337" s="213"/>
      <c r="AD337" s="215"/>
      <c r="AE337" s="213"/>
      <c r="AF337" s="213"/>
      <c r="AG337" s="213"/>
      <c r="AH337" s="947"/>
      <c r="AI337" s="213"/>
      <c r="AJ337" s="215"/>
      <c r="AK337" s="213"/>
      <c r="AL337" s="213"/>
      <c r="AM337" s="213"/>
      <c r="AN337" s="947"/>
      <c r="AO337" s="213"/>
      <c r="AP337" s="215"/>
      <c r="AQ337" s="213"/>
      <c r="AR337" s="213"/>
      <c r="AS337" s="213"/>
      <c r="AT337" s="947"/>
      <c r="AU337" s="213"/>
      <c r="AV337" s="215"/>
      <c r="AW337" s="213"/>
      <c r="AX337" s="213"/>
      <c r="AY337" s="213"/>
      <c r="AZ337" s="947"/>
      <c r="BA337" s="213"/>
      <c r="BB337" s="215"/>
      <c r="BC337" s="213"/>
      <c r="BD337" s="213"/>
      <c r="BE337" s="213"/>
      <c r="BF337" s="947"/>
      <c r="BG337" s="213"/>
      <c r="BH337" s="215"/>
      <c r="BI337" s="213"/>
      <c r="BJ337" s="213"/>
      <c r="BK337" s="213"/>
      <c r="BL337" s="948"/>
      <c r="BM337" s="213"/>
      <c r="BN337" s="213"/>
      <c r="BO337" s="213"/>
      <c r="BP337" s="213"/>
      <c r="BQ337" s="213"/>
      <c r="BR337" s="326"/>
      <c r="BS337" s="213"/>
      <c r="BT337" s="215"/>
      <c r="BU337" s="213"/>
      <c r="BV337" s="213"/>
      <c r="BW337" s="213"/>
      <c r="BX337" s="213"/>
      <c r="BY337" s="213"/>
      <c r="BZ337" s="213"/>
      <c r="CA337" s="213"/>
      <c r="CB337" s="213"/>
      <c r="CC337" s="213"/>
      <c r="CD337" s="213"/>
      <c r="CE337" s="213"/>
      <c r="CF337" s="213"/>
      <c r="CG337" s="213"/>
      <c r="CH337" s="213"/>
      <c r="CI337" s="213"/>
      <c r="CJ337" s="213"/>
      <c r="CK337" s="213"/>
      <c r="CL337" s="213"/>
      <c r="CM337" s="213"/>
      <c r="CN337" s="213"/>
      <c r="CO337" s="213"/>
      <c r="CP337" s="213"/>
      <c r="CQ337" s="213"/>
    </row>
    <row r="338" ht="15.75" customHeight="1">
      <c r="A338" s="213"/>
      <c r="B338" s="213"/>
      <c r="C338" s="213"/>
      <c r="D338" s="213"/>
      <c r="E338" s="213"/>
      <c r="F338" s="213"/>
      <c r="G338" s="213"/>
      <c r="H338" s="213"/>
      <c r="I338" s="213"/>
      <c r="J338" s="213"/>
      <c r="K338" s="213"/>
      <c r="L338" s="213"/>
      <c r="M338" s="213"/>
      <c r="N338" s="213"/>
      <c r="O338" s="213"/>
      <c r="P338" s="213"/>
      <c r="Q338" s="238"/>
      <c r="R338" s="213"/>
      <c r="S338" s="213"/>
      <c r="T338" s="213"/>
      <c r="U338" s="213"/>
      <c r="V338" s="213"/>
      <c r="W338" s="213"/>
      <c r="X338" s="215"/>
      <c r="Y338" s="213"/>
      <c r="Z338" s="213"/>
      <c r="AA338" s="213"/>
      <c r="AB338" s="213"/>
      <c r="AC338" s="213"/>
      <c r="AD338" s="215"/>
      <c r="AE338" s="213"/>
      <c r="AF338" s="213"/>
      <c r="AG338" s="213"/>
      <c r="AH338" s="947"/>
      <c r="AI338" s="213"/>
      <c r="AJ338" s="215"/>
      <c r="AK338" s="213"/>
      <c r="AL338" s="213"/>
      <c r="AM338" s="213"/>
      <c r="AN338" s="947"/>
      <c r="AO338" s="213"/>
      <c r="AP338" s="215"/>
      <c r="AQ338" s="213"/>
      <c r="AR338" s="213"/>
      <c r="AS338" s="213"/>
      <c r="AT338" s="947"/>
      <c r="AU338" s="213"/>
      <c r="AV338" s="215"/>
      <c r="AW338" s="213"/>
      <c r="AX338" s="213"/>
      <c r="AY338" s="213"/>
      <c r="AZ338" s="947"/>
      <c r="BA338" s="213"/>
      <c r="BB338" s="215"/>
      <c r="BC338" s="213"/>
      <c r="BD338" s="213"/>
      <c r="BE338" s="213"/>
      <c r="BF338" s="947"/>
      <c r="BG338" s="213"/>
      <c r="BH338" s="215"/>
      <c r="BI338" s="213"/>
      <c r="BJ338" s="213"/>
      <c r="BK338" s="213"/>
      <c r="BL338" s="948"/>
      <c r="BM338" s="213"/>
      <c r="BN338" s="213"/>
      <c r="BO338" s="213"/>
      <c r="BP338" s="213"/>
      <c r="BQ338" s="213"/>
      <c r="BR338" s="326"/>
      <c r="BS338" s="213"/>
      <c r="BT338" s="215"/>
      <c r="BU338" s="213"/>
      <c r="BV338" s="213"/>
      <c r="BW338" s="213"/>
      <c r="BX338" s="213"/>
      <c r="BY338" s="213"/>
      <c r="BZ338" s="213"/>
      <c r="CA338" s="213"/>
      <c r="CB338" s="213"/>
      <c r="CC338" s="213"/>
      <c r="CD338" s="213"/>
      <c r="CE338" s="213"/>
      <c r="CF338" s="213"/>
      <c r="CG338" s="213"/>
      <c r="CH338" s="213"/>
      <c r="CI338" s="213"/>
      <c r="CJ338" s="213"/>
      <c r="CK338" s="213"/>
      <c r="CL338" s="213"/>
      <c r="CM338" s="213"/>
      <c r="CN338" s="213"/>
      <c r="CO338" s="213"/>
      <c r="CP338" s="213"/>
      <c r="CQ338" s="213"/>
    </row>
    <row r="339" ht="15.75" customHeight="1">
      <c r="A339" s="213"/>
      <c r="B339" s="213"/>
      <c r="C339" s="213"/>
      <c r="D339" s="213"/>
      <c r="E339" s="213"/>
      <c r="F339" s="213"/>
      <c r="G339" s="213"/>
      <c r="H339" s="213"/>
      <c r="I339" s="213"/>
      <c r="J339" s="213"/>
      <c r="K339" s="213"/>
      <c r="L339" s="213"/>
      <c r="M339" s="213"/>
      <c r="N339" s="213"/>
      <c r="O339" s="213"/>
      <c r="P339" s="213"/>
      <c r="Q339" s="238"/>
      <c r="R339" s="213"/>
      <c r="S339" s="213"/>
      <c r="T339" s="213"/>
      <c r="U339" s="213"/>
      <c r="V339" s="213"/>
      <c r="W339" s="213"/>
      <c r="X339" s="215"/>
      <c r="Y339" s="213"/>
      <c r="Z339" s="213"/>
      <c r="AA339" s="213"/>
      <c r="AB339" s="213"/>
      <c r="AC339" s="213"/>
      <c r="AD339" s="215"/>
      <c r="AE339" s="213"/>
      <c r="AF339" s="213"/>
      <c r="AG339" s="213"/>
      <c r="AH339" s="947"/>
      <c r="AI339" s="213"/>
      <c r="AJ339" s="215"/>
      <c r="AK339" s="213"/>
      <c r="AL339" s="213"/>
      <c r="AM339" s="213"/>
      <c r="AN339" s="947"/>
      <c r="AO339" s="213"/>
      <c r="AP339" s="215"/>
      <c r="AQ339" s="213"/>
      <c r="AR339" s="213"/>
      <c r="AS339" s="213"/>
      <c r="AT339" s="947"/>
      <c r="AU339" s="213"/>
      <c r="AV339" s="215"/>
      <c r="AW339" s="213"/>
      <c r="AX339" s="213"/>
      <c r="AY339" s="213"/>
      <c r="AZ339" s="947"/>
      <c r="BA339" s="213"/>
      <c r="BB339" s="215"/>
      <c r="BC339" s="213"/>
      <c r="BD339" s="213"/>
      <c r="BE339" s="213"/>
      <c r="BF339" s="947"/>
      <c r="BG339" s="213"/>
      <c r="BH339" s="215"/>
      <c r="BI339" s="213"/>
      <c r="BJ339" s="213"/>
      <c r="BK339" s="213"/>
      <c r="BL339" s="948"/>
      <c r="BM339" s="213"/>
      <c r="BN339" s="213"/>
      <c r="BO339" s="213"/>
      <c r="BP339" s="213"/>
      <c r="BQ339" s="213"/>
      <c r="BR339" s="326"/>
      <c r="BS339" s="213"/>
      <c r="BT339" s="215"/>
      <c r="BU339" s="213"/>
      <c r="BV339" s="213"/>
      <c r="BW339" s="213"/>
      <c r="BX339" s="213"/>
      <c r="BY339" s="213"/>
      <c r="BZ339" s="213"/>
      <c r="CA339" s="213"/>
      <c r="CB339" s="213"/>
      <c r="CC339" s="213"/>
      <c r="CD339" s="213"/>
      <c r="CE339" s="213"/>
      <c r="CF339" s="213"/>
      <c r="CG339" s="213"/>
      <c r="CH339" s="213"/>
      <c r="CI339" s="213"/>
      <c r="CJ339" s="213"/>
      <c r="CK339" s="213"/>
      <c r="CL339" s="213"/>
      <c r="CM339" s="213"/>
      <c r="CN339" s="213"/>
      <c r="CO339" s="213"/>
      <c r="CP339" s="213"/>
      <c r="CQ339" s="213"/>
    </row>
    <row r="340" ht="15.75" customHeight="1">
      <c r="A340" s="213"/>
      <c r="B340" s="213"/>
      <c r="C340" s="213"/>
      <c r="D340" s="213"/>
      <c r="E340" s="213"/>
      <c r="F340" s="213"/>
      <c r="G340" s="213"/>
      <c r="H340" s="213"/>
      <c r="I340" s="213"/>
      <c r="J340" s="213"/>
      <c r="K340" s="213"/>
      <c r="L340" s="213"/>
      <c r="M340" s="213"/>
      <c r="N340" s="213"/>
      <c r="O340" s="213"/>
      <c r="P340" s="213"/>
      <c r="Q340" s="238"/>
      <c r="R340" s="213"/>
      <c r="S340" s="213"/>
      <c r="T340" s="213"/>
      <c r="U340" s="213"/>
      <c r="V340" s="213"/>
      <c r="W340" s="213"/>
      <c r="X340" s="215"/>
      <c r="Y340" s="213"/>
      <c r="Z340" s="213"/>
      <c r="AA340" s="213"/>
      <c r="AB340" s="213"/>
      <c r="AC340" s="213"/>
      <c r="AD340" s="215"/>
      <c r="AE340" s="213"/>
      <c r="AF340" s="213"/>
      <c r="AG340" s="213"/>
      <c r="AH340" s="947"/>
      <c r="AI340" s="213"/>
      <c r="AJ340" s="215"/>
      <c r="AK340" s="213"/>
      <c r="AL340" s="213"/>
      <c r="AM340" s="213"/>
      <c r="AN340" s="947"/>
      <c r="AO340" s="213"/>
      <c r="AP340" s="215"/>
      <c r="AQ340" s="213"/>
      <c r="AR340" s="213"/>
      <c r="AS340" s="213"/>
      <c r="AT340" s="947"/>
      <c r="AU340" s="213"/>
      <c r="AV340" s="215"/>
      <c r="AW340" s="213"/>
      <c r="AX340" s="213"/>
      <c r="AY340" s="213"/>
      <c r="AZ340" s="947"/>
      <c r="BA340" s="213"/>
      <c r="BB340" s="215"/>
      <c r="BC340" s="213"/>
      <c r="BD340" s="213"/>
      <c r="BE340" s="213"/>
      <c r="BF340" s="947"/>
      <c r="BG340" s="213"/>
      <c r="BH340" s="215"/>
      <c r="BI340" s="213"/>
      <c r="BJ340" s="213"/>
      <c r="BK340" s="213"/>
      <c r="BL340" s="948"/>
      <c r="BM340" s="213"/>
      <c r="BN340" s="213"/>
      <c r="BO340" s="213"/>
      <c r="BP340" s="213"/>
      <c r="BQ340" s="213"/>
      <c r="BR340" s="326"/>
      <c r="BS340" s="213"/>
      <c r="BT340" s="215"/>
      <c r="BU340" s="213"/>
      <c r="BV340" s="213"/>
      <c r="BW340" s="213"/>
      <c r="BX340" s="213"/>
      <c r="BY340" s="213"/>
      <c r="BZ340" s="213"/>
      <c r="CA340" s="213"/>
      <c r="CB340" s="213"/>
      <c r="CC340" s="213"/>
      <c r="CD340" s="213"/>
      <c r="CE340" s="213"/>
      <c r="CF340" s="213"/>
      <c r="CG340" s="213"/>
      <c r="CH340" s="213"/>
      <c r="CI340" s="213"/>
      <c r="CJ340" s="213"/>
      <c r="CK340" s="213"/>
      <c r="CL340" s="213"/>
      <c r="CM340" s="213"/>
      <c r="CN340" s="213"/>
      <c r="CO340" s="213"/>
      <c r="CP340" s="213"/>
      <c r="CQ340" s="213"/>
    </row>
    <row r="341" ht="15.75" customHeight="1">
      <c r="A341" s="213"/>
      <c r="B341" s="213"/>
      <c r="C341" s="213"/>
      <c r="D341" s="213"/>
      <c r="E341" s="213"/>
      <c r="F341" s="213"/>
      <c r="G341" s="213"/>
      <c r="H341" s="213"/>
      <c r="I341" s="213"/>
      <c r="J341" s="213"/>
      <c r="K341" s="213"/>
      <c r="L341" s="213"/>
      <c r="M341" s="213"/>
      <c r="N341" s="213"/>
      <c r="O341" s="213"/>
      <c r="P341" s="213"/>
      <c r="Q341" s="238"/>
      <c r="R341" s="213"/>
      <c r="S341" s="213"/>
      <c r="T341" s="213"/>
      <c r="U341" s="213"/>
      <c r="V341" s="213"/>
      <c r="W341" s="213"/>
      <c r="X341" s="215"/>
      <c r="Y341" s="213"/>
      <c r="Z341" s="213"/>
      <c r="AA341" s="213"/>
      <c r="AB341" s="213"/>
      <c r="AC341" s="213"/>
      <c r="AD341" s="215"/>
      <c r="AE341" s="213"/>
      <c r="AF341" s="213"/>
      <c r="AG341" s="213"/>
      <c r="AH341" s="947"/>
      <c r="AI341" s="213"/>
      <c r="AJ341" s="215"/>
      <c r="AK341" s="213"/>
      <c r="AL341" s="213"/>
      <c r="AM341" s="213"/>
      <c r="AN341" s="947"/>
      <c r="AO341" s="213"/>
      <c r="AP341" s="215"/>
      <c r="AQ341" s="213"/>
      <c r="AR341" s="213"/>
      <c r="AS341" s="213"/>
      <c r="AT341" s="947"/>
      <c r="AU341" s="213"/>
      <c r="AV341" s="215"/>
      <c r="AW341" s="213"/>
      <c r="AX341" s="213"/>
      <c r="AY341" s="213"/>
      <c r="AZ341" s="947"/>
      <c r="BA341" s="213"/>
      <c r="BB341" s="215"/>
      <c r="BC341" s="213"/>
      <c r="BD341" s="213"/>
      <c r="BE341" s="213"/>
      <c r="BF341" s="947"/>
      <c r="BG341" s="213"/>
      <c r="BH341" s="215"/>
      <c r="BI341" s="213"/>
      <c r="BJ341" s="213"/>
      <c r="BK341" s="213"/>
      <c r="BL341" s="948"/>
      <c r="BM341" s="213"/>
      <c r="BN341" s="213"/>
      <c r="BO341" s="213"/>
      <c r="BP341" s="213"/>
      <c r="BQ341" s="213"/>
      <c r="BR341" s="326"/>
      <c r="BS341" s="213"/>
      <c r="BT341" s="215"/>
      <c r="BU341" s="213"/>
      <c r="BV341" s="213"/>
      <c r="BW341" s="213"/>
      <c r="BX341" s="213"/>
      <c r="BY341" s="213"/>
      <c r="BZ341" s="213"/>
      <c r="CA341" s="213"/>
      <c r="CB341" s="213"/>
      <c r="CC341" s="213"/>
      <c r="CD341" s="213"/>
      <c r="CE341" s="213"/>
      <c r="CF341" s="213"/>
      <c r="CG341" s="213"/>
      <c r="CH341" s="213"/>
      <c r="CI341" s="213"/>
      <c r="CJ341" s="213"/>
      <c r="CK341" s="213"/>
      <c r="CL341" s="213"/>
      <c r="CM341" s="213"/>
      <c r="CN341" s="213"/>
      <c r="CO341" s="213"/>
      <c r="CP341" s="213"/>
      <c r="CQ341" s="213"/>
    </row>
    <row r="342" ht="15.75" customHeight="1">
      <c r="A342" s="213"/>
      <c r="B342" s="213"/>
      <c r="C342" s="213"/>
      <c r="D342" s="213"/>
      <c r="E342" s="213"/>
      <c r="F342" s="213"/>
      <c r="G342" s="213"/>
      <c r="H342" s="213"/>
      <c r="I342" s="213"/>
      <c r="J342" s="213"/>
      <c r="K342" s="213"/>
      <c r="L342" s="213"/>
      <c r="M342" s="213"/>
      <c r="N342" s="213"/>
      <c r="O342" s="213"/>
      <c r="P342" s="213"/>
      <c r="Q342" s="238"/>
      <c r="R342" s="213"/>
      <c r="S342" s="213"/>
      <c r="T342" s="213"/>
      <c r="U342" s="213"/>
      <c r="V342" s="213"/>
      <c r="W342" s="213"/>
      <c r="X342" s="215"/>
      <c r="Y342" s="213"/>
      <c r="Z342" s="213"/>
      <c r="AA342" s="213"/>
      <c r="AB342" s="213"/>
      <c r="AC342" s="213"/>
      <c r="AD342" s="215"/>
      <c r="AE342" s="213"/>
      <c r="AF342" s="213"/>
      <c r="AG342" s="213"/>
      <c r="AH342" s="947"/>
      <c r="AI342" s="213"/>
      <c r="AJ342" s="215"/>
      <c r="AK342" s="213"/>
      <c r="AL342" s="213"/>
      <c r="AM342" s="213"/>
      <c r="AN342" s="947"/>
      <c r="AO342" s="213"/>
      <c r="AP342" s="215"/>
      <c r="AQ342" s="213"/>
      <c r="AR342" s="213"/>
      <c r="AS342" s="213"/>
      <c r="AT342" s="947"/>
      <c r="AU342" s="213"/>
      <c r="AV342" s="215"/>
      <c r="AW342" s="213"/>
      <c r="AX342" s="213"/>
      <c r="AY342" s="213"/>
      <c r="AZ342" s="947"/>
      <c r="BA342" s="213"/>
      <c r="BB342" s="215"/>
      <c r="BC342" s="213"/>
      <c r="BD342" s="213"/>
      <c r="BE342" s="213"/>
      <c r="BF342" s="947"/>
      <c r="BG342" s="213"/>
      <c r="BH342" s="215"/>
      <c r="BI342" s="213"/>
      <c r="BJ342" s="213"/>
      <c r="BK342" s="213"/>
      <c r="BL342" s="948"/>
      <c r="BM342" s="213"/>
      <c r="BN342" s="213"/>
      <c r="BO342" s="213"/>
      <c r="BP342" s="213"/>
      <c r="BQ342" s="213"/>
      <c r="BR342" s="326"/>
      <c r="BS342" s="213"/>
      <c r="BT342" s="215"/>
      <c r="BU342" s="213"/>
      <c r="BV342" s="213"/>
      <c r="BW342" s="213"/>
      <c r="BX342" s="213"/>
      <c r="BY342" s="213"/>
      <c r="BZ342" s="213"/>
      <c r="CA342" s="213"/>
      <c r="CB342" s="213"/>
      <c r="CC342" s="213"/>
      <c r="CD342" s="213"/>
      <c r="CE342" s="213"/>
      <c r="CF342" s="213"/>
      <c r="CG342" s="213"/>
      <c r="CH342" s="213"/>
      <c r="CI342" s="213"/>
      <c r="CJ342" s="213"/>
      <c r="CK342" s="213"/>
      <c r="CL342" s="213"/>
      <c r="CM342" s="213"/>
      <c r="CN342" s="213"/>
      <c r="CO342" s="213"/>
      <c r="CP342" s="213"/>
      <c r="CQ342" s="213"/>
    </row>
  </sheetData>
  <mergeCells count="16">
    <mergeCell ref="AH4:AM4"/>
    <mergeCell ref="AN4:AS4"/>
    <mergeCell ref="AT4:AY4"/>
    <mergeCell ref="AZ4:BE4"/>
    <mergeCell ref="BF4:BK4"/>
    <mergeCell ref="BL4:BQ4"/>
    <mergeCell ref="BR4:BW4"/>
    <mergeCell ref="B64:C64"/>
    <mergeCell ref="B74:C74"/>
    <mergeCell ref="B4:B5"/>
    <mergeCell ref="C4:C5"/>
    <mergeCell ref="D4:I4"/>
    <mergeCell ref="J4:O4"/>
    <mergeCell ref="P4:U4"/>
    <mergeCell ref="V4:AA4"/>
    <mergeCell ref="AB4:AG4"/>
  </mergeCells>
  <printOptions/>
  <pageMargins bottom="0.75" footer="0.0" header="0.0" left="0.7" right="0.7" top="0.75"/>
  <pageSetup orientation="landscape"/>
  <drawing r:id="rId2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>
      <pane xSplit="3.0" ySplit="13.0" topLeftCell="D14" activePane="bottomRight" state="frozen"/>
      <selection activeCell="D1" sqref="D1" pane="topRight"/>
      <selection activeCell="A14" sqref="A14" pane="bottomLeft"/>
      <selection activeCell="D14" sqref="D14" pane="bottomRight"/>
    </sheetView>
  </sheetViews>
  <sheetFormatPr customHeight="1" defaultColWidth="12.63" defaultRowHeight="15.0"/>
  <cols>
    <col customWidth="1" min="1" max="1" width="5.63"/>
    <col customWidth="1" min="2" max="2" width="9.75"/>
    <col customWidth="1" min="3" max="3" width="47.38"/>
    <col customWidth="1" min="4" max="4" width="15.0"/>
    <col customWidth="1" hidden="1" min="5" max="6" width="12.63"/>
    <col hidden="1" min="7" max="7" width="12.63"/>
    <col customWidth="1" min="8" max="8" width="13.13"/>
    <col hidden="1" min="9" max="11" width="12.63"/>
    <col customWidth="1" min="12" max="12" width="13.13"/>
    <col hidden="1" min="13" max="15" width="12.63"/>
    <col customWidth="1" min="16" max="16" width="14.25"/>
    <col hidden="1" min="17" max="17" width="12.63"/>
    <col customWidth="1" hidden="1" min="18" max="18" width="13.75"/>
    <col hidden="1" min="19" max="19" width="12.63"/>
    <col customWidth="1" min="20" max="20" width="13.13"/>
    <col hidden="1" min="21" max="21" width="12.63"/>
    <col customWidth="1" hidden="1" min="22" max="22" width="11.25"/>
    <col hidden="1" min="23" max="23" width="12.63"/>
    <col customWidth="1" min="24" max="24" width="13.13"/>
    <col hidden="1" min="25" max="25" width="12.63"/>
    <col customWidth="1" hidden="1" min="26" max="26" width="14.25"/>
    <col hidden="1" min="27" max="27" width="12.63"/>
    <col customWidth="1" min="28" max="28" width="14.25"/>
    <col hidden="1" min="29" max="29" width="12.63"/>
    <col customWidth="1" hidden="1" min="30" max="30" width="14.25"/>
    <col hidden="1" min="31" max="31" width="12.63"/>
    <col customWidth="1" min="32" max="32" width="14.25"/>
    <col hidden="1" min="33" max="33" width="12.63"/>
    <col customWidth="1" hidden="1" min="34" max="34" width="14.25"/>
    <col hidden="1" min="35" max="35" width="12.63"/>
    <col customWidth="1" min="36" max="36" width="14.25"/>
    <col hidden="1" min="37" max="37" width="12.63"/>
    <col customWidth="1" hidden="1" min="38" max="38" width="14.25"/>
    <col hidden="1" min="39" max="39" width="12.63"/>
    <col customWidth="1" min="40" max="40" width="14.25"/>
    <col hidden="1" min="41" max="41" width="12.63"/>
    <col customWidth="1" hidden="1" min="42" max="42" width="11.25"/>
    <col hidden="1" min="43" max="45" width="12.63"/>
    <col customWidth="1" min="46" max="46" width="14.25"/>
    <col customWidth="1" hidden="1" min="47" max="47" width="7.0"/>
    <col customWidth="1" hidden="1" min="48" max="48" width="14.25"/>
    <col customWidth="1" hidden="1" min="49" max="51" width="12.63"/>
    <col customWidth="1" min="52" max="52" width="14.25"/>
    <col customWidth="1" hidden="1" min="53" max="53" width="7.0"/>
    <col customWidth="1" hidden="1" min="54" max="54" width="14.25"/>
    <col customWidth="1" hidden="1" min="55" max="55" width="12.63"/>
    <col customWidth="1" min="56" max="75" width="12.63"/>
  </cols>
  <sheetData>
    <row r="1" ht="15.75" customHeight="1">
      <c r="A1" s="213"/>
      <c r="B1" s="214" t="s">
        <v>1</v>
      </c>
      <c r="C1" s="213"/>
      <c r="D1" s="213"/>
      <c r="E1" s="213"/>
      <c r="F1" s="215"/>
      <c r="G1" s="213"/>
      <c r="H1" s="325"/>
      <c r="I1" s="213"/>
      <c r="J1" s="325"/>
      <c r="K1" s="213"/>
      <c r="L1" s="215"/>
      <c r="M1" s="213"/>
      <c r="N1" s="215"/>
      <c r="O1" s="213"/>
      <c r="P1" s="215"/>
      <c r="Q1" s="213"/>
      <c r="R1" s="949"/>
      <c r="S1" s="213"/>
      <c r="T1" s="215"/>
      <c r="U1" s="213"/>
      <c r="V1" s="215"/>
      <c r="W1" s="213"/>
      <c r="X1" s="325"/>
      <c r="Y1" s="213"/>
      <c r="Z1" s="215"/>
      <c r="AA1" s="213"/>
      <c r="AB1" s="215"/>
      <c r="AC1" s="213"/>
      <c r="AD1" s="215"/>
      <c r="AE1" s="213"/>
      <c r="AF1" s="215"/>
      <c r="AG1" s="950" t="s">
        <v>436</v>
      </c>
      <c r="AH1" s="215"/>
      <c r="AI1" s="950" t="s">
        <v>437</v>
      </c>
      <c r="AJ1" s="951"/>
      <c r="AK1" s="213"/>
      <c r="AL1" s="952" t="s">
        <v>438</v>
      </c>
      <c r="AM1" s="213"/>
      <c r="AN1" s="215"/>
      <c r="AO1" s="213"/>
      <c r="AP1" s="215"/>
      <c r="AQ1" s="213"/>
      <c r="AR1" s="215"/>
      <c r="AS1" s="213"/>
      <c r="AT1" s="215"/>
      <c r="AU1" s="213"/>
      <c r="AV1" s="215"/>
      <c r="AW1" s="213"/>
      <c r="AX1" s="213"/>
      <c r="AY1" s="213"/>
      <c r="AZ1" s="326"/>
      <c r="BA1" s="213"/>
      <c r="BB1" s="215"/>
      <c r="BC1" s="213"/>
      <c r="BD1" s="213"/>
      <c r="BE1" s="213"/>
      <c r="BF1" s="213"/>
      <c r="BG1" s="213"/>
      <c r="BH1" s="213"/>
      <c r="BI1" s="213"/>
      <c r="BJ1" s="213"/>
      <c r="BK1" s="213"/>
      <c r="BL1" s="213"/>
      <c r="BM1" s="213"/>
      <c r="BN1" s="213"/>
      <c r="BO1" s="213"/>
      <c r="BP1" s="213"/>
      <c r="BQ1" s="213"/>
      <c r="BR1" s="213"/>
      <c r="BS1" s="213"/>
      <c r="BT1" s="213"/>
      <c r="BU1" s="213"/>
      <c r="BV1" s="213"/>
      <c r="BW1" s="213"/>
    </row>
    <row r="2" ht="15.75" customHeight="1">
      <c r="A2" s="213"/>
      <c r="B2" s="780" t="s">
        <v>439</v>
      </c>
      <c r="C2" s="213"/>
      <c r="D2" s="213"/>
      <c r="E2" s="213"/>
      <c r="F2" s="215"/>
      <c r="G2" s="213"/>
      <c r="H2" s="325"/>
      <c r="I2" s="213"/>
      <c r="J2" s="325"/>
      <c r="K2" s="213"/>
      <c r="L2" s="215"/>
      <c r="M2" s="213"/>
      <c r="N2" s="215"/>
      <c r="O2" s="213"/>
      <c r="P2" s="215"/>
      <c r="Q2" s="213"/>
      <c r="R2" s="949"/>
      <c r="S2" s="213"/>
      <c r="T2" s="215"/>
      <c r="U2" s="213"/>
      <c r="V2" s="215"/>
      <c r="W2" s="213"/>
      <c r="X2" s="325"/>
      <c r="Y2" s="213"/>
      <c r="Z2" s="215"/>
      <c r="AA2" s="213"/>
      <c r="AB2" s="215"/>
      <c r="AC2" s="213"/>
      <c r="AD2" s="215"/>
      <c r="AE2" s="213"/>
      <c r="AF2" s="215"/>
      <c r="AG2" s="950" t="s">
        <v>440</v>
      </c>
      <c r="AH2" s="215"/>
      <c r="AI2" s="953" t="s">
        <v>441</v>
      </c>
      <c r="AJ2" s="951"/>
      <c r="AK2" s="213"/>
      <c r="AL2" s="952" t="s">
        <v>442</v>
      </c>
      <c r="AM2" s="213"/>
      <c r="AN2" s="215"/>
      <c r="AO2" s="213"/>
      <c r="AP2" s="215"/>
      <c r="AQ2" s="213"/>
      <c r="AR2" s="215"/>
      <c r="AS2" s="213"/>
      <c r="AT2" s="215"/>
      <c r="AU2" s="213"/>
      <c r="AV2" s="215"/>
      <c r="AW2" s="213"/>
      <c r="AX2" s="213"/>
      <c r="AY2" s="213"/>
      <c r="AZ2" s="326"/>
      <c r="BA2" s="213"/>
      <c r="BB2" s="215"/>
      <c r="BC2" s="213"/>
      <c r="BD2" s="213"/>
      <c r="BE2" s="213"/>
      <c r="BF2" s="213"/>
      <c r="BG2" s="213"/>
      <c r="BH2" s="213"/>
      <c r="BI2" s="213"/>
      <c r="BJ2" s="213"/>
      <c r="BK2" s="213"/>
      <c r="BL2" s="213"/>
      <c r="BM2" s="213"/>
      <c r="BN2" s="213"/>
      <c r="BO2" s="213"/>
      <c r="BP2" s="213"/>
      <c r="BQ2" s="213"/>
      <c r="BR2" s="213"/>
      <c r="BS2" s="213"/>
      <c r="BT2" s="213"/>
      <c r="BU2" s="213"/>
      <c r="BV2" s="213"/>
      <c r="BW2" s="213"/>
    </row>
    <row r="3" ht="15.75" customHeight="1">
      <c r="A3" s="213"/>
      <c r="B3" s="213"/>
      <c r="C3" s="213"/>
      <c r="D3" s="213"/>
      <c r="E3" s="213"/>
      <c r="F3" s="215"/>
      <c r="G3" s="213"/>
      <c r="H3" s="325"/>
      <c r="I3" s="213"/>
      <c r="J3" s="325"/>
      <c r="K3" s="213"/>
      <c r="L3" s="215"/>
      <c r="M3" s="213"/>
      <c r="N3" s="215"/>
      <c r="O3" s="213"/>
      <c r="P3" s="215"/>
      <c r="Q3" s="213"/>
      <c r="R3" s="949"/>
      <c r="S3" s="213"/>
      <c r="T3" s="215"/>
      <c r="U3" s="213"/>
      <c r="V3" s="215"/>
      <c r="W3" s="213"/>
      <c r="X3" s="325"/>
      <c r="Y3" s="213"/>
      <c r="Z3" s="215"/>
      <c r="AA3" s="213"/>
      <c r="AB3" s="215"/>
      <c r="AC3" s="213"/>
      <c r="AD3" s="215"/>
      <c r="AE3" s="213"/>
      <c r="AF3" s="215"/>
      <c r="AG3" s="213"/>
      <c r="AH3" s="215"/>
      <c r="AI3" s="213"/>
      <c r="AJ3" s="215"/>
      <c r="AK3" s="213"/>
      <c r="AL3" s="215"/>
      <c r="AM3" s="213"/>
      <c r="AN3" s="215"/>
      <c r="AO3" s="213"/>
      <c r="AP3" s="215"/>
      <c r="AQ3" s="213"/>
      <c r="AR3" s="215"/>
      <c r="AS3" s="213"/>
      <c r="AT3" s="215"/>
      <c r="AU3" s="213"/>
      <c r="AV3" s="215"/>
      <c r="AW3" s="213"/>
      <c r="AX3" s="213"/>
      <c r="AY3" s="213"/>
      <c r="AZ3" s="326"/>
      <c r="BA3" s="213"/>
      <c r="BB3" s="215"/>
      <c r="BC3" s="213"/>
      <c r="BD3" s="213"/>
      <c r="BE3" s="213"/>
      <c r="BF3" s="213"/>
      <c r="BG3" s="213"/>
      <c r="BH3" s="213"/>
      <c r="BI3" s="213"/>
      <c r="BJ3" s="213"/>
      <c r="BK3" s="213"/>
      <c r="BL3" s="213"/>
      <c r="BM3" s="213"/>
      <c r="BN3" s="213"/>
      <c r="BO3" s="213"/>
      <c r="BP3" s="213"/>
      <c r="BQ3" s="213"/>
      <c r="BR3" s="213"/>
      <c r="BS3" s="213"/>
      <c r="BT3" s="213"/>
      <c r="BU3" s="213"/>
      <c r="BV3" s="213"/>
      <c r="BW3" s="213"/>
    </row>
    <row r="4" ht="15.75" customHeight="1">
      <c r="A4" s="213"/>
      <c r="B4" s="954" t="s">
        <v>201</v>
      </c>
      <c r="C4" s="955" t="s">
        <v>47</v>
      </c>
      <c r="D4" s="956" t="s">
        <v>202</v>
      </c>
      <c r="E4" s="260"/>
      <c r="F4" s="260"/>
      <c r="G4" s="261"/>
      <c r="H4" s="956" t="s">
        <v>203</v>
      </c>
      <c r="I4" s="260"/>
      <c r="J4" s="260"/>
      <c r="K4" s="261"/>
      <c r="L4" s="956" t="s">
        <v>204</v>
      </c>
      <c r="M4" s="260"/>
      <c r="N4" s="260"/>
      <c r="O4" s="261"/>
      <c r="P4" s="956" t="s">
        <v>205</v>
      </c>
      <c r="Q4" s="260"/>
      <c r="R4" s="260"/>
      <c r="S4" s="261"/>
      <c r="T4" s="956" t="s">
        <v>206</v>
      </c>
      <c r="U4" s="260"/>
      <c r="V4" s="260"/>
      <c r="W4" s="261"/>
      <c r="X4" s="956" t="s">
        <v>207</v>
      </c>
      <c r="Y4" s="260"/>
      <c r="Z4" s="260"/>
      <c r="AA4" s="261"/>
      <c r="AB4" s="956" t="s">
        <v>208</v>
      </c>
      <c r="AC4" s="260"/>
      <c r="AD4" s="260"/>
      <c r="AE4" s="261"/>
      <c r="AF4" s="956" t="s">
        <v>209</v>
      </c>
      <c r="AG4" s="260"/>
      <c r="AH4" s="260"/>
      <c r="AI4" s="261"/>
      <c r="AJ4" s="956" t="s">
        <v>210</v>
      </c>
      <c r="AK4" s="260"/>
      <c r="AL4" s="260"/>
      <c r="AM4" s="261"/>
      <c r="AN4" s="956" t="s">
        <v>211</v>
      </c>
      <c r="AO4" s="260"/>
      <c r="AP4" s="260"/>
      <c r="AQ4" s="260"/>
      <c r="AR4" s="260"/>
      <c r="AS4" s="261"/>
      <c r="AT4" s="956" t="s">
        <v>212</v>
      </c>
      <c r="AU4" s="260"/>
      <c r="AV4" s="260"/>
      <c r="AW4" s="260"/>
      <c r="AX4" s="260"/>
      <c r="AY4" s="261"/>
      <c r="AZ4" s="957" t="s">
        <v>213</v>
      </c>
      <c r="BA4" s="260"/>
      <c r="BB4" s="260"/>
      <c r="BC4" s="261"/>
      <c r="BD4" s="334"/>
      <c r="BE4" s="334"/>
      <c r="BF4" s="334"/>
      <c r="BG4" s="334"/>
      <c r="BH4" s="334"/>
      <c r="BI4" s="334"/>
      <c r="BJ4" s="334"/>
      <c r="BK4" s="334"/>
      <c r="BL4" s="334"/>
      <c r="BM4" s="334"/>
      <c r="BN4" s="334"/>
      <c r="BO4" s="334"/>
      <c r="BP4" s="334"/>
      <c r="BQ4" s="334"/>
      <c r="BR4" s="334"/>
      <c r="BS4" s="334"/>
      <c r="BT4" s="334"/>
      <c r="BU4" s="334"/>
      <c r="BV4" s="334"/>
      <c r="BW4" s="334"/>
    </row>
    <row r="5" ht="15.75" customHeight="1">
      <c r="A5" s="335"/>
      <c r="B5" s="958"/>
      <c r="C5" s="958"/>
      <c r="D5" s="959" t="s">
        <v>215</v>
      </c>
      <c r="E5" s="959" t="s">
        <v>19</v>
      </c>
      <c r="F5" s="960" t="s">
        <v>216</v>
      </c>
      <c r="G5" s="959" t="s">
        <v>19</v>
      </c>
      <c r="H5" s="961" t="s">
        <v>215</v>
      </c>
      <c r="I5" s="959" t="s">
        <v>19</v>
      </c>
      <c r="J5" s="961" t="s">
        <v>216</v>
      </c>
      <c r="K5" s="959" t="s">
        <v>19</v>
      </c>
      <c r="L5" s="960" t="s">
        <v>215</v>
      </c>
      <c r="M5" s="959" t="s">
        <v>19</v>
      </c>
      <c r="N5" s="960" t="s">
        <v>216</v>
      </c>
      <c r="O5" s="959" t="s">
        <v>19</v>
      </c>
      <c r="P5" s="960" t="s">
        <v>215</v>
      </c>
      <c r="Q5" s="959" t="s">
        <v>19</v>
      </c>
      <c r="R5" s="962" t="s">
        <v>216</v>
      </c>
      <c r="S5" s="959" t="s">
        <v>19</v>
      </c>
      <c r="T5" s="960" t="s">
        <v>215</v>
      </c>
      <c r="U5" s="959" t="s">
        <v>19</v>
      </c>
      <c r="V5" s="960" t="s">
        <v>216</v>
      </c>
      <c r="W5" s="959" t="s">
        <v>19</v>
      </c>
      <c r="X5" s="961" t="s">
        <v>215</v>
      </c>
      <c r="Y5" s="959" t="s">
        <v>19</v>
      </c>
      <c r="Z5" s="960" t="s">
        <v>216</v>
      </c>
      <c r="AA5" s="959" t="s">
        <v>19</v>
      </c>
      <c r="AB5" s="960" t="s">
        <v>215</v>
      </c>
      <c r="AC5" s="959" t="s">
        <v>19</v>
      </c>
      <c r="AD5" s="960" t="s">
        <v>216</v>
      </c>
      <c r="AE5" s="959" t="s">
        <v>19</v>
      </c>
      <c r="AF5" s="960" t="s">
        <v>215</v>
      </c>
      <c r="AG5" s="959" t="s">
        <v>19</v>
      </c>
      <c r="AH5" s="960" t="s">
        <v>216</v>
      </c>
      <c r="AI5" s="959" t="s">
        <v>19</v>
      </c>
      <c r="AJ5" s="960" t="s">
        <v>215</v>
      </c>
      <c r="AK5" s="959" t="s">
        <v>19</v>
      </c>
      <c r="AL5" s="960" t="s">
        <v>216</v>
      </c>
      <c r="AM5" s="959" t="s">
        <v>19</v>
      </c>
      <c r="AN5" s="960" t="s">
        <v>215</v>
      </c>
      <c r="AO5" s="959" t="s">
        <v>19</v>
      </c>
      <c r="AP5" s="960" t="s">
        <v>216</v>
      </c>
      <c r="AQ5" s="959" t="s">
        <v>19</v>
      </c>
      <c r="AR5" s="960" t="s">
        <v>217</v>
      </c>
      <c r="AS5" s="959" t="s">
        <v>218</v>
      </c>
      <c r="AT5" s="960" t="s">
        <v>215</v>
      </c>
      <c r="AU5" s="959" t="s">
        <v>19</v>
      </c>
      <c r="AV5" s="960" t="s">
        <v>216</v>
      </c>
      <c r="AW5" s="959" t="s">
        <v>19</v>
      </c>
      <c r="AX5" s="959" t="s">
        <v>217</v>
      </c>
      <c r="AY5" s="959" t="s">
        <v>218</v>
      </c>
      <c r="AZ5" s="963" t="s">
        <v>215</v>
      </c>
      <c r="BA5" s="964" t="s">
        <v>19</v>
      </c>
      <c r="BB5" s="963" t="s">
        <v>216</v>
      </c>
      <c r="BC5" s="964" t="s">
        <v>19</v>
      </c>
      <c r="BD5" s="348"/>
      <c r="BE5" s="348"/>
      <c r="BF5" s="348"/>
      <c r="BG5" s="348"/>
      <c r="BH5" s="348"/>
      <c r="BI5" s="348"/>
      <c r="BJ5" s="348"/>
      <c r="BK5" s="348"/>
      <c r="BL5" s="348"/>
      <c r="BM5" s="348"/>
      <c r="BN5" s="348"/>
      <c r="BO5" s="348"/>
      <c r="BP5" s="348"/>
      <c r="BQ5" s="348"/>
      <c r="BR5" s="348"/>
      <c r="BS5" s="348"/>
      <c r="BT5" s="348"/>
      <c r="BU5" s="348"/>
      <c r="BV5" s="348"/>
      <c r="BW5" s="348"/>
    </row>
    <row r="6" ht="15.75" hidden="1" customHeight="1">
      <c r="A6" s="213"/>
      <c r="B6" s="352"/>
      <c r="C6" s="245" t="s">
        <v>85</v>
      </c>
      <c r="D6" s="357">
        <v>0.0</v>
      </c>
      <c r="E6" s="352"/>
      <c r="F6" s="353"/>
      <c r="G6" s="352"/>
      <c r="H6" s="359">
        <v>0.0</v>
      </c>
      <c r="I6" s="355" t="str">
        <f t="shared" ref="I6:I9" si="1">(H6-D6)/D6</f>
        <v>#DIV/0!</v>
      </c>
      <c r="J6" s="965"/>
      <c r="K6" s="352"/>
      <c r="L6" s="353"/>
      <c r="M6" s="352"/>
      <c r="N6" s="353"/>
      <c r="O6" s="352"/>
      <c r="P6" s="353"/>
      <c r="Q6" s="352"/>
      <c r="R6" s="966"/>
      <c r="S6" s="352"/>
      <c r="T6" s="353"/>
      <c r="U6" s="352"/>
      <c r="V6" s="353"/>
      <c r="W6" s="352"/>
      <c r="X6" s="359"/>
      <c r="Y6" s="352"/>
      <c r="Z6" s="353"/>
      <c r="AA6" s="352"/>
      <c r="AB6" s="353"/>
      <c r="AC6" s="352"/>
      <c r="AD6" s="353"/>
      <c r="AE6" s="352"/>
      <c r="AF6" s="353"/>
      <c r="AG6" s="352"/>
      <c r="AH6" s="353"/>
      <c r="AI6" s="352"/>
      <c r="AJ6" s="353"/>
      <c r="AK6" s="352"/>
      <c r="AL6" s="353"/>
      <c r="AM6" s="352"/>
      <c r="AN6" s="353"/>
      <c r="AO6" s="352"/>
      <c r="AP6" s="353"/>
      <c r="AQ6" s="352"/>
      <c r="AR6" s="353"/>
      <c r="AS6" s="352"/>
      <c r="AT6" s="353"/>
      <c r="AU6" s="352"/>
      <c r="AV6" s="353"/>
      <c r="AW6" s="352"/>
      <c r="AX6" s="357"/>
      <c r="AY6" s="352"/>
      <c r="AZ6" s="353"/>
      <c r="BA6" s="352"/>
      <c r="BB6" s="353"/>
      <c r="BC6" s="352"/>
      <c r="BD6" s="213"/>
      <c r="BE6" s="213"/>
      <c r="BF6" s="213"/>
      <c r="BG6" s="213"/>
      <c r="BH6" s="213"/>
      <c r="BI6" s="213"/>
      <c r="BJ6" s="213"/>
      <c r="BK6" s="213"/>
      <c r="BL6" s="213"/>
      <c r="BM6" s="213"/>
      <c r="BN6" s="213"/>
      <c r="BO6" s="213"/>
      <c r="BP6" s="213"/>
      <c r="BQ6" s="213"/>
      <c r="BR6" s="213"/>
      <c r="BS6" s="213"/>
      <c r="BT6" s="213"/>
      <c r="BU6" s="213"/>
      <c r="BV6" s="213"/>
      <c r="BW6" s="213"/>
    </row>
    <row r="7" ht="15.75" hidden="1" customHeight="1">
      <c r="A7" s="213"/>
      <c r="B7" s="352"/>
      <c r="C7" s="245" t="s">
        <v>92</v>
      </c>
      <c r="D7" s="357">
        <v>0.0</v>
      </c>
      <c r="E7" s="352"/>
      <c r="F7" s="353"/>
      <c r="G7" s="352"/>
      <c r="H7" s="359">
        <v>0.0</v>
      </c>
      <c r="I7" s="355" t="str">
        <f t="shared" si="1"/>
        <v>#DIV/0!</v>
      </c>
      <c r="J7" s="965"/>
      <c r="K7" s="352"/>
      <c r="L7" s="353"/>
      <c r="M7" s="352"/>
      <c r="N7" s="353"/>
      <c r="O7" s="352"/>
      <c r="P7" s="353"/>
      <c r="Q7" s="352"/>
      <c r="R7" s="966"/>
      <c r="S7" s="352"/>
      <c r="T7" s="353"/>
      <c r="U7" s="352"/>
      <c r="V7" s="353"/>
      <c r="W7" s="352"/>
      <c r="X7" s="359"/>
      <c r="Y7" s="352"/>
      <c r="Z7" s="353"/>
      <c r="AA7" s="352"/>
      <c r="AB7" s="353"/>
      <c r="AC7" s="352"/>
      <c r="AD7" s="353"/>
      <c r="AE7" s="352"/>
      <c r="AF7" s="353"/>
      <c r="AG7" s="352"/>
      <c r="AH7" s="353"/>
      <c r="AI7" s="352"/>
      <c r="AJ7" s="353"/>
      <c r="AK7" s="352"/>
      <c r="AL7" s="353"/>
      <c r="AM7" s="352"/>
      <c r="AN7" s="353"/>
      <c r="AO7" s="352"/>
      <c r="AP7" s="353"/>
      <c r="AQ7" s="352"/>
      <c r="AR7" s="353"/>
      <c r="AS7" s="352"/>
      <c r="AT7" s="353"/>
      <c r="AU7" s="352"/>
      <c r="AV7" s="353"/>
      <c r="AW7" s="352"/>
      <c r="AX7" s="357"/>
      <c r="AY7" s="352"/>
      <c r="AZ7" s="353"/>
      <c r="BA7" s="352"/>
      <c r="BB7" s="353"/>
      <c r="BC7" s="352"/>
      <c r="BD7" s="213"/>
      <c r="BE7" s="213"/>
      <c r="BF7" s="213"/>
      <c r="BG7" s="213"/>
      <c r="BH7" s="213"/>
      <c r="BI7" s="213"/>
      <c r="BJ7" s="213"/>
      <c r="BK7" s="213"/>
      <c r="BL7" s="213"/>
      <c r="BM7" s="213"/>
      <c r="BN7" s="213"/>
      <c r="BO7" s="213"/>
      <c r="BP7" s="213"/>
      <c r="BQ7" s="213"/>
      <c r="BR7" s="213"/>
      <c r="BS7" s="213"/>
      <c r="BT7" s="213"/>
      <c r="BU7" s="213"/>
      <c r="BV7" s="213"/>
      <c r="BW7" s="213"/>
    </row>
    <row r="8" ht="15.75" hidden="1" customHeight="1">
      <c r="A8" s="213"/>
      <c r="B8" s="352"/>
      <c r="C8" s="245" t="s">
        <v>99</v>
      </c>
      <c r="D8" s="357">
        <f>D16+D28+D29+D38</f>
        <v>0</v>
      </c>
      <c r="E8" s="352"/>
      <c r="F8" s="353"/>
      <c r="G8" s="352"/>
      <c r="H8" s="359">
        <f>H16+H28+H29+H38</f>
        <v>0</v>
      </c>
      <c r="I8" s="355" t="str">
        <f t="shared" si="1"/>
        <v>#DIV/0!</v>
      </c>
      <c r="J8" s="965"/>
      <c r="K8" s="352"/>
      <c r="L8" s="353"/>
      <c r="M8" s="352"/>
      <c r="N8" s="353"/>
      <c r="O8" s="352"/>
      <c r="P8" s="353"/>
      <c r="Q8" s="352"/>
      <c r="R8" s="966"/>
      <c r="S8" s="352"/>
      <c r="T8" s="353"/>
      <c r="U8" s="352"/>
      <c r="V8" s="353"/>
      <c r="W8" s="352"/>
      <c r="X8" s="359"/>
      <c r="Y8" s="352"/>
      <c r="Z8" s="353"/>
      <c r="AA8" s="352"/>
      <c r="AB8" s="353"/>
      <c r="AC8" s="352"/>
      <c r="AD8" s="353"/>
      <c r="AE8" s="352"/>
      <c r="AF8" s="353"/>
      <c r="AG8" s="352"/>
      <c r="AH8" s="353"/>
      <c r="AI8" s="352"/>
      <c r="AJ8" s="353"/>
      <c r="AK8" s="352"/>
      <c r="AL8" s="353"/>
      <c r="AM8" s="352"/>
      <c r="AN8" s="353"/>
      <c r="AO8" s="352"/>
      <c r="AP8" s="353"/>
      <c r="AQ8" s="352"/>
      <c r="AR8" s="353"/>
      <c r="AS8" s="352"/>
      <c r="AT8" s="353"/>
      <c r="AU8" s="352"/>
      <c r="AV8" s="353"/>
      <c r="AW8" s="352"/>
      <c r="AX8" s="357"/>
      <c r="AY8" s="352"/>
      <c r="AZ8" s="353"/>
      <c r="BA8" s="352"/>
      <c r="BB8" s="353"/>
      <c r="BC8" s="352"/>
      <c r="BD8" s="213"/>
      <c r="BE8" s="213"/>
      <c r="BF8" s="213"/>
      <c r="BG8" s="213"/>
      <c r="BH8" s="213"/>
      <c r="BI8" s="213"/>
      <c r="BJ8" s="213"/>
      <c r="BK8" s="213"/>
      <c r="BL8" s="213"/>
      <c r="BM8" s="213"/>
      <c r="BN8" s="213"/>
      <c r="BO8" s="213"/>
      <c r="BP8" s="213"/>
      <c r="BQ8" s="213"/>
      <c r="BR8" s="213"/>
      <c r="BS8" s="213"/>
      <c r="BT8" s="213"/>
      <c r="BU8" s="213"/>
      <c r="BV8" s="213"/>
      <c r="BW8" s="213"/>
    </row>
    <row r="9" ht="15.75" hidden="1" customHeight="1">
      <c r="A9" s="213"/>
      <c r="B9" s="352"/>
      <c r="C9" s="245" t="s">
        <v>106</v>
      </c>
      <c r="D9" s="357">
        <f>D17+D20+D24+D25</f>
        <v>0</v>
      </c>
      <c r="E9" s="352"/>
      <c r="F9" s="353"/>
      <c r="G9" s="352"/>
      <c r="H9" s="359">
        <f>H17+H20+H24+H25</f>
        <v>0</v>
      </c>
      <c r="I9" s="355" t="str">
        <f t="shared" si="1"/>
        <v>#DIV/0!</v>
      </c>
      <c r="J9" s="965"/>
      <c r="K9" s="352"/>
      <c r="L9" s="353"/>
      <c r="M9" s="352"/>
      <c r="N9" s="353"/>
      <c r="O9" s="352"/>
      <c r="P9" s="353"/>
      <c r="Q9" s="352"/>
      <c r="R9" s="966"/>
      <c r="S9" s="352"/>
      <c r="T9" s="353"/>
      <c r="U9" s="352"/>
      <c r="V9" s="353"/>
      <c r="W9" s="352"/>
      <c r="X9" s="359"/>
      <c r="Y9" s="352"/>
      <c r="Z9" s="353"/>
      <c r="AA9" s="352"/>
      <c r="AB9" s="353"/>
      <c r="AC9" s="352"/>
      <c r="AD9" s="353"/>
      <c r="AE9" s="352"/>
      <c r="AF9" s="353"/>
      <c r="AG9" s="352"/>
      <c r="AH9" s="353"/>
      <c r="AI9" s="352"/>
      <c r="AJ9" s="353"/>
      <c r="AK9" s="352"/>
      <c r="AL9" s="353"/>
      <c r="AM9" s="352"/>
      <c r="AN9" s="353"/>
      <c r="AO9" s="352"/>
      <c r="AP9" s="353"/>
      <c r="AQ9" s="352"/>
      <c r="AR9" s="353"/>
      <c r="AS9" s="352"/>
      <c r="AT9" s="353"/>
      <c r="AU9" s="352"/>
      <c r="AV9" s="353"/>
      <c r="AW9" s="352"/>
      <c r="AX9" s="357"/>
      <c r="AY9" s="352"/>
      <c r="AZ9" s="353"/>
      <c r="BA9" s="352"/>
      <c r="BB9" s="353"/>
      <c r="BC9" s="352"/>
      <c r="BD9" s="213"/>
      <c r="BE9" s="213"/>
      <c r="BF9" s="213"/>
      <c r="BG9" s="213"/>
      <c r="BH9" s="213"/>
      <c r="BI9" s="213"/>
      <c r="BJ9" s="213"/>
      <c r="BK9" s="213"/>
      <c r="BL9" s="213"/>
      <c r="BM9" s="213"/>
      <c r="BN9" s="213"/>
      <c r="BO9" s="213"/>
      <c r="BP9" s="213"/>
      <c r="BQ9" s="213"/>
      <c r="BR9" s="213"/>
      <c r="BS9" s="213"/>
      <c r="BT9" s="213"/>
      <c r="BU9" s="213"/>
      <c r="BV9" s="213"/>
      <c r="BW9" s="213"/>
    </row>
    <row r="10" ht="15.75" hidden="1" customHeight="1">
      <c r="A10" s="213"/>
      <c r="B10" s="352"/>
      <c r="C10" s="245" t="s">
        <v>113</v>
      </c>
      <c r="D10" s="357">
        <f>SUM(D8:D9)-D39</f>
        <v>0</v>
      </c>
      <c r="E10" s="352"/>
      <c r="F10" s="353"/>
      <c r="G10" s="352"/>
      <c r="H10" s="359">
        <f>SUM(H8:H9)-H39</f>
        <v>0</v>
      </c>
      <c r="I10" s="352"/>
      <c r="J10" s="359"/>
      <c r="K10" s="352"/>
      <c r="L10" s="353"/>
      <c r="M10" s="352"/>
      <c r="N10" s="353"/>
      <c r="O10" s="352"/>
      <c r="P10" s="353"/>
      <c r="Q10" s="352"/>
      <c r="R10" s="966"/>
      <c r="S10" s="352"/>
      <c r="T10" s="353"/>
      <c r="U10" s="352"/>
      <c r="V10" s="353"/>
      <c r="W10" s="352"/>
      <c r="X10" s="359"/>
      <c r="Y10" s="352"/>
      <c r="Z10" s="353"/>
      <c r="AA10" s="352"/>
      <c r="AB10" s="353"/>
      <c r="AC10" s="352"/>
      <c r="AD10" s="353"/>
      <c r="AE10" s="352"/>
      <c r="AF10" s="353"/>
      <c r="AG10" s="352"/>
      <c r="AH10" s="353"/>
      <c r="AI10" s="352"/>
      <c r="AJ10" s="353"/>
      <c r="AK10" s="352"/>
      <c r="AL10" s="353"/>
      <c r="AM10" s="352"/>
      <c r="AN10" s="353"/>
      <c r="AO10" s="352"/>
      <c r="AP10" s="353"/>
      <c r="AQ10" s="352"/>
      <c r="AR10" s="353"/>
      <c r="AS10" s="352"/>
      <c r="AT10" s="353"/>
      <c r="AU10" s="352"/>
      <c r="AV10" s="353"/>
      <c r="AW10" s="352"/>
      <c r="AX10" s="357"/>
      <c r="AY10" s="352"/>
      <c r="AZ10" s="353"/>
      <c r="BA10" s="352"/>
      <c r="BB10" s="353"/>
      <c r="BC10" s="352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  <c r="BQ10" s="213"/>
      <c r="BR10" s="213"/>
      <c r="BS10" s="213"/>
      <c r="BT10" s="213"/>
      <c r="BU10" s="213"/>
      <c r="BV10" s="213"/>
      <c r="BW10" s="213"/>
    </row>
    <row r="11" ht="15.75" hidden="1" customHeight="1">
      <c r="A11" s="213"/>
      <c r="B11" s="352"/>
      <c r="C11" s="245" t="s">
        <v>120</v>
      </c>
      <c r="D11" s="357" t="str">
        <f t="shared" ref="D11:D12" si="2">D8/D6</f>
        <v>#DIV/0!</v>
      </c>
      <c r="E11" s="352"/>
      <c r="F11" s="353"/>
      <c r="G11" s="352"/>
      <c r="H11" s="359" t="str">
        <f t="shared" ref="H11:H12" si="3">H8/H6</f>
        <v>#DIV/0!</v>
      </c>
      <c r="I11" s="355" t="str">
        <f t="shared" ref="I11:I12" si="4">(H11-D11)/D11</f>
        <v>#DIV/0!</v>
      </c>
      <c r="J11" s="359" t="s">
        <v>219</v>
      </c>
      <c r="K11" s="352"/>
      <c r="L11" s="353"/>
      <c r="M11" s="352"/>
      <c r="N11" s="353"/>
      <c r="O11" s="352"/>
      <c r="P11" s="353"/>
      <c r="Q11" s="352"/>
      <c r="R11" s="966"/>
      <c r="S11" s="352"/>
      <c r="T11" s="353"/>
      <c r="U11" s="352"/>
      <c r="V11" s="353"/>
      <c r="W11" s="352"/>
      <c r="X11" s="359"/>
      <c r="Y11" s="352"/>
      <c r="Z11" s="353"/>
      <c r="AA11" s="352"/>
      <c r="AB11" s="353"/>
      <c r="AC11" s="352"/>
      <c r="AD11" s="353"/>
      <c r="AE11" s="352"/>
      <c r="AF11" s="353"/>
      <c r="AG11" s="352"/>
      <c r="AH11" s="353"/>
      <c r="AI11" s="352"/>
      <c r="AJ11" s="353"/>
      <c r="AK11" s="352"/>
      <c r="AL11" s="353"/>
      <c r="AM11" s="352"/>
      <c r="AN11" s="353"/>
      <c r="AO11" s="352"/>
      <c r="AP11" s="353"/>
      <c r="AQ11" s="352"/>
      <c r="AR11" s="353"/>
      <c r="AS11" s="352"/>
      <c r="AT11" s="353"/>
      <c r="AU11" s="352"/>
      <c r="AV11" s="353"/>
      <c r="AW11" s="352"/>
      <c r="AX11" s="357"/>
      <c r="AY11" s="352"/>
      <c r="AZ11" s="353"/>
      <c r="BA11" s="352"/>
      <c r="BB11" s="353"/>
      <c r="BC11" s="352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  <c r="BQ11" s="213"/>
      <c r="BR11" s="213"/>
      <c r="BS11" s="213"/>
      <c r="BT11" s="213"/>
      <c r="BU11" s="213"/>
      <c r="BV11" s="213"/>
      <c r="BW11" s="213"/>
    </row>
    <row r="12" ht="15.75" hidden="1" customHeight="1">
      <c r="A12" s="213"/>
      <c r="B12" s="352"/>
      <c r="C12" s="245" t="s">
        <v>127</v>
      </c>
      <c r="D12" s="357" t="str">
        <f t="shared" si="2"/>
        <v>#DIV/0!</v>
      </c>
      <c r="E12" s="352"/>
      <c r="F12" s="353"/>
      <c r="G12" s="352"/>
      <c r="H12" s="359" t="str">
        <f t="shared" si="3"/>
        <v>#DIV/0!</v>
      </c>
      <c r="I12" s="355" t="str">
        <f t="shared" si="4"/>
        <v>#DIV/0!</v>
      </c>
      <c r="J12" s="359"/>
      <c r="K12" s="352"/>
      <c r="L12" s="353"/>
      <c r="M12" s="352"/>
      <c r="N12" s="353"/>
      <c r="O12" s="352"/>
      <c r="P12" s="353"/>
      <c r="Q12" s="352"/>
      <c r="R12" s="966"/>
      <c r="S12" s="352"/>
      <c r="T12" s="353"/>
      <c r="U12" s="352"/>
      <c r="V12" s="353"/>
      <c r="W12" s="352"/>
      <c r="X12" s="359"/>
      <c r="Y12" s="352"/>
      <c r="Z12" s="353"/>
      <c r="AA12" s="352"/>
      <c r="AB12" s="353"/>
      <c r="AC12" s="352"/>
      <c r="AD12" s="353"/>
      <c r="AE12" s="352"/>
      <c r="AF12" s="353"/>
      <c r="AG12" s="352"/>
      <c r="AH12" s="353"/>
      <c r="AI12" s="352"/>
      <c r="AJ12" s="353"/>
      <c r="AK12" s="352"/>
      <c r="AL12" s="353"/>
      <c r="AM12" s="352"/>
      <c r="AN12" s="353"/>
      <c r="AO12" s="352"/>
      <c r="AP12" s="353"/>
      <c r="AQ12" s="352"/>
      <c r="AR12" s="353"/>
      <c r="AS12" s="352"/>
      <c r="AT12" s="353"/>
      <c r="AU12" s="352"/>
      <c r="AV12" s="353"/>
      <c r="AW12" s="352"/>
      <c r="AX12" s="357"/>
      <c r="AY12" s="352"/>
      <c r="AZ12" s="353"/>
      <c r="BA12" s="352"/>
      <c r="BB12" s="353"/>
      <c r="BC12" s="352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  <c r="BQ12" s="213"/>
      <c r="BR12" s="213"/>
      <c r="BS12" s="213"/>
      <c r="BT12" s="213"/>
      <c r="BU12" s="213"/>
      <c r="BV12" s="213"/>
      <c r="BW12" s="213"/>
    </row>
    <row r="13" ht="15.75" hidden="1" customHeight="1">
      <c r="A13" s="213"/>
      <c r="B13" s="352"/>
      <c r="C13" s="245"/>
      <c r="D13" s="357"/>
      <c r="E13" s="352"/>
      <c r="F13" s="353"/>
      <c r="G13" s="352"/>
      <c r="H13" s="359"/>
      <c r="I13" s="352"/>
      <c r="J13" s="359"/>
      <c r="K13" s="352"/>
      <c r="L13" s="353"/>
      <c r="M13" s="352"/>
      <c r="N13" s="353"/>
      <c r="O13" s="352"/>
      <c r="P13" s="353"/>
      <c r="Q13" s="352"/>
      <c r="R13" s="966"/>
      <c r="S13" s="352"/>
      <c r="T13" s="353"/>
      <c r="U13" s="352"/>
      <c r="V13" s="353"/>
      <c r="W13" s="352"/>
      <c r="X13" s="359"/>
      <c r="Y13" s="352"/>
      <c r="Z13" s="353"/>
      <c r="AA13" s="352"/>
      <c r="AB13" s="353"/>
      <c r="AC13" s="352"/>
      <c r="AD13" s="353"/>
      <c r="AE13" s="352"/>
      <c r="AF13" s="353"/>
      <c r="AG13" s="352"/>
      <c r="AH13" s="353"/>
      <c r="AI13" s="352"/>
      <c r="AJ13" s="353"/>
      <c r="AK13" s="352"/>
      <c r="AL13" s="353"/>
      <c r="AM13" s="352"/>
      <c r="AN13" s="353"/>
      <c r="AO13" s="352"/>
      <c r="AP13" s="353"/>
      <c r="AQ13" s="352"/>
      <c r="AR13" s="353"/>
      <c r="AS13" s="352"/>
      <c r="AT13" s="353"/>
      <c r="AU13" s="352"/>
      <c r="AV13" s="353"/>
      <c r="AW13" s="352"/>
      <c r="AX13" s="357"/>
      <c r="AY13" s="352"/>
      <c r="AZ13" s="353"/>
      <c r="BA13" s="352"/>
      <c r="BB13" s="353"/>
      <c r="BC13" s="352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  <c r="BQ13" s="213"/>
      <c r="BR13" s="213"/>
      <c r="BS13" s="213"/>
      <c r="BT13" s="213"/>
      <c r="BU13" s="213"/>
      <c r="BV13" s="213"/>
      <c r="BW13" s="213"/>
    </row>
    <row r="14" ht="15.75" customHeight="1">
      <c r="A14" s="213"/>
      <c r="B14" s="371" t="s">
        <v>220</v>
      </c>
      <c r="C14" s="245"/>
      <c r="D14" s="357"/>
      <c r="E14" s="352"/>
      <c r="F14" s="353"/>
      <c r="G14" s="352"/>
      <c r="H14" s="359"/>
      <c r="I14" s="352"/>
      <c r="J14" s="359"/>
      <c r="K14" s="352"/>
      <c r="L14" s="353"/>
      <c r="M14" s="352"/>
      <c r="N14" s="353"/>
      <c r="O14" s="352"/>
      <c r="P14" s="353"/>
      <c r="Q14" s="352"/>
      <c r="R14" s="966"/>
      <c r="S14" s="352"/>
      <c r="T14" s="353"/>
      <c r="U14" s="352"/>
      <c r="V14" s="353"/>
      <c r="W14" s="352"/>
      <c r="X14" s="359"/>
      <c r="Y14" s="352"/>
      <c r="Z14" s="353"/>
      <c r="AA14" s="352"/>
      <c r="AB14" s="353"/>
      <c r="AC14" s="352"/>
      <c r="AD14" s="353"/>
      <c r="AE14" s="352"/>
      <c r="AF14" s="353"/>
      <c r="AG14" s="352"/>
      <c r="AH14" s="353"/>
      <c r="AI14" s="352"/>
      <c r="AJ14" s="353"/>
      <c r="AK14" s="352"/>
      <c r="AL14" s="353"/>
      <c r="AM14" s="352"/>
      <c r="AN14" s="353"/>
      <c r="AO14" s="352"/>
      <c r="AP14" s="353"/>
      <c r="AQ14" s="352"/>
      <c r="AR14" s="353"/>
      <c r="AS14" s="352"/>
      <c r="AT14" s="353"/>
      <c r="AU14" s="352"/>
      <c r="AV14" s="353"/>
      <c r="AW14" s="352"/>
      <c r="AX14" s="357"/>
      <c r="AY14" s="352"/>
      <c r="AZ14" s="353"/>
      <c r="BA14" s="352"/>
      <c r="BB14" s="353"/>
      <c r="BC14" s="352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  <c r="BQ14" s="213"/>
      <c r="BR14" s="213"/>
      <c r="BS14" s="213"/>
      <c r="BT14" s="213"/>
      <c r="BU14" s="213"/>
      <c r="BV14" s="213"/>
      <c r="BW14" s="213"/>
    </row>
    <row r="15" ht="15.75" customHeight="1">
      <c r="A15" s="213"/>
      <c r="B15" s="352" t="s">
        <v>173</v>
      </c>
      <c r="C15" s="245" t="s">
        <v>173</v>
      </c>
      <c r="D15" s="353">
        <f>SUM(D16:D20)</f>
        <v>0</v>
      </c>
      <c r="E15" s="352"/>
      <c r="F15" s="353">
        <f t="shared" ref="F15:H15" si="5">SUM(F16:F20)</f>
        <v>0</v>
      </c>
      <c r="G15" s="355" t="str">
        <f t="shared" si="5"/>
        <v>#DIV/0!</v>
      </c>
      <c r="H15" s="359">
        <f t="shared" si="5"/>
        <v>0</v>
      </c>
      <c r="I15" s="352"/>
      <c r="J15" s="359">
        <f t="shared" ref="J15:L15" si="6">SUM(J16:J20)</f>
        <v>0</v>
      </c>
      <c r="K15" s="355" t="str">
        <f t="shared" si="6"/>
        <v>#DIV/0!</v>
      </c>
      <c r="L15" s="353">
        <f t="shared" si="6"/>
        <v>0</v>
      </c>
      <c r="M15" s="352"/>
      <c r="N15" s="353">
        <f t="shared" ref="N15:P15" si="7">SUM(N16:N20)</f>
        <v>0</v>
      </c>
      <c r="O15" s="355" t="str">
        <f t="shared" si="7"/>
        <v>#DIV/0!</v>
      </c>
      <c r="P15" s="353">
        <f t="shared" si="7"/>
        <v>0</v>
      </c>
      <c r="Q15" s="352"/>
      <c r="R15" s="966">
        <f t="shared" ref="R15:T15" si="8">SUM(R16:R20)</f>
        <v>0</v>
      </c>
      <c r="S15" s="355" t="str">
        <f t="shared" si="8"/>
        <v>#DIV/0!</v>
      </c>
      <c r="T15" s="353">
        <f t="shared" si="8"/>
        <v>0</v>
      </c>
      <c r="U15" s="352"/>
      <c r="V15" s="353">
        <f t="shared" ref="V15:X15" si="9">SUM(V16:V20)</f>
        <v>0</v>
      </c>
      <c r="W15" s="355" t="str">
        <f t="shared" si="9"/>
        <v>#DIV/0!</v>
      </c>
      <c r="X15" s="359">
        <f t="shared" si="9"/>
        <v>0</v>
      </c>
      <c r="Y15" s="352"/>
      <c r="Z15" s="353">
        <f t="shared" ref="Z15:AB15" si="10">SUM(Z16:Z20)</f>
        <v>0</v>
      </c>
      <c r="AA15" s="355" t="str">
        <f t="shared" si="10"/>
        <v>#DIV/0!</v>
      </c>
      <c r="AB15" s="353">
        <f t="shared" si="10"/>
        <v>0</v>
      </c>
      <c r="AC15" s="352"/>
      <c r="AD15" s="353">
        <f t="shared" ref="AD15:AE15" si="11">SUM(AD16:AD20)</f>
        <v>0</v>
      </c>
      <c r="AE15" s="355" t="str">
        <f t="shared" si="11"/>
        <v>#DIV/0!</v>
      </c>
      <c r="AF15" s="353">
        <f>SUM(AF16:AF24)</f>
        <v>2912115</v>
      </c>
      <c r="AG15" s="352"/>
      <c r="AH15" s="353">
        <f t="shared" ref="AH15:AI15" si="12">SUM(AH16:AH20)</f>
        <v>0</v>
      </c>
      <c r="AI15" s="355" t="str">
        <f t="shared" si="12"/>
        <v>#DIV/0!</v>
      </c>
      <c r="AJ15" s="353">
        <f>SUM(AJ16:AJ24)</f>
        <v>4185376</v>
      </c>
      <c r="AK15" s="352"/>
      <c r="AL15" s="353">
        <f t="shared" ref="AL15:AM15" si="13">SUM(AL16:AL20)</f>
        <v>0</v>
      </c>
      <c r="AM15" s="355" t="str">
        <f t="shared" si="13"/>
        <v>#DIV/0!</v>
      </c>
      <c r="AN15" s="353">
        <f>SUM(AN16:AN24)</f>
        <v>4342452.5</v>
      </c>
      <c r="AO15" s="352"/>
      <c r="AP15" s="353">
        <f t="shared" ref="AP15:AR15" si="14">SUM(AP16:AP20)</f>
        <v>0</v>
      </c>
      <c r="AQ15" s="355" t="str">
        <f t="shared" si="14"/>
        <v>#DIV/0!</v>
      </c>
      <c r="AR15" s="353">
        <f t="shared" si="14"/>
        <v>0</v>
      </c>
      <c r="AS15" s="352"/>
      <c r="AT15" s="353">
        <f>SUM(AT16:AT24)</f>
        <v>3990142.5</v>
      </c>
      <c r="AU15" s="352"/>
      <c r="AV15" s="353">
        <f t="shared" ref="AV15:AX15" si="15">SUM(AV16:AV20)</f>
        <v>0</v>
      </c>
      <c r="AW15" s="355" t="str">
        <f t="shared" si="15"/>
        <v>#DIV/0!</v>
      </c>
      <c r="AX15" s="357">
        <f t="shared" si="15"/>
        <v>0</v>
      </c>
      <c r="AY15" s="352"/>
      <c r="AZ15" s="353">
        <f>SUM(AZ16:AZ24)</f>
        <v>4660178</v>
      </c>
      <c r="BA15" s="352"/>
      <c r="BB15" s="353">
        <f t="shared" ref="BB15:BC15" si="16">SUM(BB16:BB20)</f>
        <v>0</v>
      </c>
      <c r="BC15" s="355" t="str">
        <f t="shared" si="16"/>
        <v>#DIV/0!</v>
      </c>
      <c r="BD15" s="216"/>
      <c r="BE15" s="216"/>
      <c r="BF15" s="216"/>
      <c r="BG15" s="216"/>
      <c r="BH15" s="216"/>
      <c r="BI15" s="216"/>
      <c r="BJ15" s="216"/>
      <c r="BK15" s="216"/>
      <c r="BL15" s="216"/>
      <c r="BM15" s="216"/>
      <c r="BN15" s="216"/>
      <c r="BO15" s="216"/>
      <c r="BP15" s="216"/>
      <c r="BQ15" s="216"/>
      <c r="BR15" s="216"/>
      <c r="BS15" s="216"/>
      <c r="BT15" s="216"/>
      <c r="BU15" s="216"/>
      <c r="BV15" s="216"/>
      <c r="BW15" s="216"/>
    </row>
    <row r="16" ht="15.75" customHeight="1">
      <c r="A16" s="213"/>
      <c r="B16" s="352" t="s">
        <v>24</v>
      </c>
      <c r="C16" s="245" t="s">
        <v>221</v>
      </c>
      <c r="D16" s="353"/>
      <c r="E16" s="352"/>
      <c r="F16" s="353"/>
      <c r="G16" s="355" t="str">
        <f t="shared" ref="G16:G20" si="17">F16/$F$15</f>
        <v>#DIV/0!</v>
      </c>
      <c r="H16" s="359"/>
      <c r="I16" s="352"/>
      <c r="J16" s="359"/>
      <c r="K16" s="355" t="str">
        <f t="shared" ref="K16:K20" si="18">J16/$J$15</f>
        <v>#DIV/0!</v>
      </c>
      <c r="L16" s="353"/>
      <c r="M16" s="352"/>
      <c r="N16" s="353"/>
      <c r="O16" s="355" t="str">
        <f t="shared" ref="O16:O20" si="19">N16/$N$15</f>
        <v>#DIV/0!</v>
      </c>
      <c r="P16" s="353"/>
      <c r="Q16" s="352"/>
      <c r="R16" s="966"/>
      <c r="S16" s="355" t="str">
        <f t="shared" ref="S16:S20" si="20">R16/$R$15</f>
        <v>#DIV/0!</v>
      </c>
      <c r="T16" s="353"/>
      <c r="U16" s="352"/>
      <c r="V16" s="353"/>
      <c r="W16" s="355" t="str">
        <f t="shared" ref="W16:W20" si="21">V16/$V$15</f>
        <v>#DIV/0!</v>
      </c>
      <c r="X16" s="359"/>
      <c r="Y16" s="352"/>
      <c r="Z16" s="353"/>
      <c r="AA16" s="355" t="str">
        <f t="shared" ref="AA16:AA20" si="22">Z16/$Z$15</f>
        <v>#DIV/0!</v>
      </c>
      <c r="AB16" s="353"/>
      <c r="AC16" s="352"/>
      <c r="AD16" s="353"/>
      <c r="AE16" s="355" t="str">
        <f t="shared" ref="AE16:AE20" si="23">AD16/$AD$15</f>
        <v>#DIV/0!</v>
      </c>
      <c r="AF16" s="353">
        <v>2907975.0</v>
      </c>
      <c r="AG16" s="352"/>
      <c r="AH16" s="353"/>
      <c r="AI16" s="355" t="str">
        <f t="shared" ref="AI16:AI20" si="24">AH16/$AH$15</f>
        <v>#DIV/0!</v>
      </c>
      <c r="AJ16" s="353">
        <v>4171216.0</v>
      </c>
      <c r="AK16" s="352"/>
      <c r="AL16" s="353"/>
      <c r="AM16" s="355" t="str">
        <f t="shared" ref="AM16:AM20" si="25">AL16/$AL$15</f>
        <v>#DIV/0!</v>
      </c>
      <c r="AN16" s="353">
        <v>4342452.5</v>
      </c>
      <c r="AO16" s="352"/>
      <c r="AP16" s="353"/>
      <c r="AQ16" s="355" t="str">
        <f t="shared" ref="AQ16:AQ20" si="26">AP16/$AP$15</f>
        <v>#DIV/0!</v>
      </c>
      <c r="AR16" s="353"/>
      <c r="AS16" s="352"/>
      <c r="AT16" s="353">
        <v>3990142.5</v>
      </c>
      <c r="AU16" s="352"/>
      <c r="AV16" s="353"/>
      <c r="AW16" s="355" t="str">
        <f t="shared" ref="AW16:AW20" si="27">AV16/$AV$15</f>
        <v>#DIV/0!</v>
      </c>
      <c r="AX16" s="357"/>
      <c r="AY16" s="352"/>
      <c r="AZ16" s="353">
        <v>4646198.0</v>
      </c>
      <c r="BA16" s="352"/>
      <c r="BB16" s="353"/>
      <c r="BC16" s="355" t="str">
        <f t="shared" ref="BC16:BC20" si="28">BB16/$BB$15</f>
        <v>#DIV/0!</v>
      </c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  <c r="BQ16" s="213"/>
      <c r="BR16" s="213"/>
      <c r="BS16" s="213"/>
      <c r="BT16" s="213"/>
      <c r="BU16" s="213"/>
      <c r="BV16" s="213"/>
      <c r="BW16" s="213"/>
    </row>
    <row r="17" ht="15.75" hidden="1" customHeight="1">
      <c r="A17" s="213"/>
      <c r="B17" s="245"/>
      <c r="C17" s="245" t="s">
        <v>222</v>
      </c>
      <c r="D17" s="353"/>
      <c r="E17" s="352"/>
      <c r="F17" s="353"/>
      <c r="G17" s="355" t="str">
        <f t="shared" si="17"/>
        <v>#DIV/0!</v>
      </c>
      <c r="H17" s="359"/>
      <c r="I17" s="352"/>
      <c r="J17" s="359"/>
      <c r="K17" s="355" t="str">
        <f t="shared" si="18"/>
        <v>#DIV/0!</v>
      </c>
      <c r="L17" s="353"/>
      <c r="M17" s="352"/>
      <c r="N17" s="353"/>
      <c r="O17" s="355" t="str">
        <f t="shared" si="19"/>
        <v>#DIV/0!</v>
      </c>
      <c r="P17" s="353"/>
      <c r="Q17" s="352"/>
      <c r="R17" s="966"/>
      <c r="S17" s="355" t="str">
        <f t="shared" si="20"/>
        <v>#DIV/0!</v>
      </c>
      <c r="T17" s="353"/>
      <c r="U17" s="352"/>
      <c r="V17" s="353"/>
      <c r="W17" s="355" t="str">
        <f t="shared" si="21"/>
        <v>#DIV/0!</v>
      </c>
      <c r="X17" s="359"/>
      <c r="Y17" s="352"/>
      <c r="Z17" s="353"/>
      <c r="AA17" s="355" t="str">
        <f t="shared" si="22"/>
        <v>#DIV/0!</v>
      </c>
      <c r="AB17" s="353"/>
      <c r="AC17" s="352"/>
      <c r="AD17" s="353"/>
      <c r="AE17" s="355" t="str">
        <f t="shared" si="23"/>
        <v>#DIV/0!</v>
      </c>
      <c r="AF17" s="353"/>
      <c r="AG17" s="352"/>
      <c r="AH17" s="353"/>
      <c r="AI17" s="355" t="str">
        <f t="shared" si="24"/>
        <v>#DIV/0!</v>
      </c>
      <c r="AJ17" s="353"/>
      <c r="AK17" s="352"/>
      <c r="AL17" s="353"/>
      <c r="AM17" s="355" t="str">
        <f t="shared" si="25"/>
        <v>#DIV/0!</v>
      </c>
      <c r="AN17" s="353"/>
      <c r="AO17" s="352"/>
      <c r="AP17" s="353"/>
      <c r="AQ17" s="355" t="str">
        <f t="shared" si="26"/>
        <v>#DIV/0!</v>
      </c>
      <c r="AR17" s="353"/>
      <c r="AS17" s="352"/>
      <c r="AT17" s="353"/>
      <c r="AU17" s="352"/>
      <c r="AV17" s="353"/>
      <c r="AW17" s="355" t="str">
        <f t="shared" si="27"/>
        <v>#DIV/0!</v>
      </c>
      <c r="AX17" s="357"/>
      <c r="AY17" s="352"/>
      <c r="AZ17" s="353"/>
      <c r="BA17" s="352"/>
      <c r="BB17" s="353"/>
      <c r="BC17" s="355" t="str">
        <f t="shared" si="28"/>
        <v>#DIV/0!</v>
      </c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  <c r="BQ17" s="213"/>
      <c r="BR17" s="213"/>
      <c r="BS17" s="213"/>
      <c r="BT17" s="213"/>
      <c r="BU17" s="213"/>
      <c r="BV17" s="213"/>
      <c r="BW17" s="213"/>
    </row>
    <row r="18" ht="15.75" hidden="1" customHeight="1">
      <c r="A18" s="213"/>
      <c r="B18" s="245"/>
      <c r="C18" s="245" t="s">
        <v>297</v>
      </c>
      <c r="D18" s="353"/>
      <c r="E18" s="352"/>
      <c r="F18" s="353"/>
      <c r="G18" s="355" t="str">
        <f t="shared" si="17"/>
        <v>#DIV/0!</v>
      </c>
      <c r="H18" s="359"/>
      <c r="I18" s="352"/>
      <c r="J18" s="359"/>
      <c r="K18" s="355" t="str">
        <f t="shared" si="18"/>
        <v>#DIV/0!</v>
      </c>
      <c r="L18" s="353"/>
      <c r="M18" s="352"/>
      <c r="N18" s="353"/>
      <c r="O18" s="355" t="str">
        <f t="shared" si="19"/>
        <v>#DIV/0!</v>
      </c>
      <c r="P18" s="353"/>
      <c r="Q18" s="352"/>
      <c r="R18" s="966"/>
      <c r="S18" s="355" t="str">
        <f t="shared" si="20"/>
        <v>#DIV/0!</v>
      </c>
      <c r="T18" s="353"/>
      <c r="U18" s="352"/>
      <c r="V18" s="353"/>
      <c r="W18" s="355" t="str">
        <f t="shared" si="21"/>
        <v>#DIV/0!</v>
      </c>
      <c r="X18" s="359"/>
      <c r="Y18" s="352"/>
      <c r="Z18" s="353"/>
      <c r="AA18" s="355" t="str">
        <f t="shared" si="22"/>
        <v>#DIV/0!</v>
      </c>
      <c r="AB18" s="353"/>
      <c r="AC18" s="352"/>
      <c r="AD18" s="353"/>
      <c r="AE18" s="355" t="str">
        <f t="shared" si="23"/>
        <v>#DIV/0!</v>
      </c>
      <c r="AF18" s="353"/>
      <c r="AG18" s="352"/>
      <c r="AH18" s="353"/>
      <c r="AI18" s="355" t="str">
        <f t="shared" si="24"/>
        <v>#DIV/0!</v>
      </c>
      <c r="AJ18" s="353"/>
      <c r="AK18" s="352"/>
      <c r="AL18" s="353"/>
      <c r="AM18" s="355" t="str">
        <f t="shared" si="25"/>
        <v>#DIV/0!</v>
      </c>
      <c r="AN18" s="353"/>
      <c r="AO18" s="352"/>
      <c r="AP18" s="353"/>
      <c r="AQ18" s="355" t="str">
        <f t="shared" si="26"/>
        <v>#DIV/0!</v>
      </c>
      <c r="AR18" s="353"/>
      <c r="AS18" s="352"/>
      <c r="AT18" s="353"/>
      <c r="AU18" s="352"/>
      <c r="AV18" s="353"/>
      <c r="AW18" s="355" t="str">
        <f t="shared" si="27"/>
        <v>#DIV/0!</v>
      </c>
      <c r="AX18" s="357"/>
      <c r="AY18" s="352"/>
      <c r="AZ18" s="353"/>
      <c r="BA18" s="352"/>
      <c r="BB18" s="353"/>
      <c r="BC18" s="355" t="str">
        <f t="shared" si="28"/>
        <v>#DIV/0!</v>
      </c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  <c r="BQ18" s="213"/>
      <c r="BR18" s="213"/>
      <c r="BS18" s="213"/>
      <c r="BT18" s="213"/>
      <c r="BU18" s="213"/>
      <c r="BV18" s="213"/>
      <c r="BW18" s="213"/>
    </row>
    <row r="19" ht="15.75" hidden="1" customHeight="1">
      <c r="A19" s="213"/>
      <c r="B19" s="245"/>
      <c r="C19" s="245" t="s">
        <v>225</v>
      </c>
      <c r="D19" s="353"/>
      <c r="E19" s="352"/>
      <c r="F19" s="353"/>
      <c r="G19" s="355" t="str">
        <f t="shared" si="17"/>
        <v>#DIV/0!</v>
      </c>
      <c r="H19" s="359"/>
      <c r="I19" s="352"/>
      <c r="J19" s="359"/>
      <c r="K19" s="355" t="str">
        <f t="shared" si="18"/>
        <v>#DIV/0!</v>
      </c>
      <c r="L19" s="353"/>
      <c r="M19" s="352"/>
      <c r="N19" s="353"/>
      <c r="O19" s="355" t="str">
        <f t="shared" si="19"/>
        <v>#DIV/0!</v>
      </c>
      <c r="P19" s="353"/>
      <c r="Q19" s="352"/>
      <c r="R19" s="966"/>
      <c r="S19" s="355" t="str">
        <f t="shared" si="20"/>
        <v>#DIV/0!</v>
      </c>
      <c r="T19" s="353"/>
      <c r="U19" s="352"/>
      <c r="V19" s="353"/>
      <c r="W19" s="355" t="str">
        <f t="shared" si="21"/>
        <v>#DIV/0!</v>
      </c>
      <c r="X19" s="359"/>
      <c r="Y19" s="352"/>
      <c r="Z19" s="353"/>
      <c r="AA19" s="355" t="str">
        <f t="shared" si="22"/>
        <v>#DIV/0!</v>
      </c>
      <c r="AB19" s="353"/>
      <c r="AC19" s="352"/>
      <c r="AD19" s="353"/>
      <c r="AE19" s="355" t="str">
        <f t="shared" si="23"/>
        <v>#DIV/0!</v>
      </c>
      <c r="AF19" s="353"/>
      <c r="AG19" s="352"/>
      <c r="AH19" s="353"/>
      <c r="AI19" s="355" t="str">
        <f t="shared" si="24"/>
        <v>#DIV/0!</v>
      </c>
      <c r="AJ19" s="353"/>
      <c r="AK19" s="352"/>
      <c r="AL19" s="353"/>
      <c r="AM19" s="355" t="str">
        <f t="shared" si="25"/>
        <v>#DIV/0!</v>
      </c>
      <c r="AN19" s="353"/>
      <c r="AO19" s="352"/>
      <c r="AP19" s="353"/>
      <c r="AQ19" s="355" t="str">
        <f t="shared" si="26"/>
        <v>#DIV/0!</v>
      </c>
      <c r="AR19" s="353"/>
      <c r="AS19" s="352"/>
      <c r="AT19" s="353"/>
      <c r="AU19" s="352"/>
      <c r="AV19" s="353"/>
      <c r="AW19" s="355" t="str">
        <f t="shared" si="27"/>
        <v>#DIV/0!</v>
      </c>
      <c r="AX19" s="357"/>
      <c r="AY19" s="352"/>
      <c r="AZ19" s="353"/>
      <c r="BA19" s="352"/>
      <c r="BB19" s="353"/>
      <c r="BC19" s="355" t="str">
        <f t="shared" si="28"/>
        <v>#DIV/0!</v>
      </c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  <c r="BQ19" s="213"/>
      <c r="BR19" s="213"/>
      <c r="BS19" s="213"/>
      <c r="BT19" s="213"/>
      <c r="BU19" s="213"/>
      <c r="BV19" s="213"/>
      <c r="BW19" s="213"/>
    </row>
    <row r="20" ht="15.75" hidden="1" customHeight="1">
      <c r="A20" s="213"/>
      <c r="B20" s="245"/>
      <c r="C20" s="245" t="s">
        <v>226</v>
      </c>
      <c r="D20" s="353"/>
      <c r="E20" s="352"/>
      <c r="F20" s="353"/>
      <c r="G20" s="355" t="str">
        <f t="shared" si="17"/>
        <v>#DIV/0!</v>
      </c>
      <c r="H20" s="359"/>
      <c r="I20" s="352"/>
      <c r="J20" s="359"/>
      <c r="K20" s="355" t="str">
        <f t="shared" si="18"/>
        <v>#DIV/0!</v>
      </c>
      <c r="L20" s="353"/>
      <c r="M20" s="352"/>
      <c r="N20" s="353"/>
      <c r="O20" s="355" t="str">
        <f t="shared" si="19"/>
        <v>#DIV/0!</v>
      </c>
      <c r="P20" s="353"/>
      <c r="Q20" s="352"/>
      <c r="R20" s="966"/>
      <c r="S20" s="355" t="str">
        <f t="shared" si="20"/>
        <v>#DIV/0!</v>
      </c>
      <c r="T20" s="353"/>
      <c r="U20" s="352"/>
      <c r="V20" s="353"/>
      <c r="W20" s="355" t="str">
        <f t="shared" si="21"/>
        <v>#DIV/0!</v>
      </c>
      <c r="X20" s="359"/>
      <c r="Y20" s="352"/>
      <c r="Z20" s="353"/>
      <c r="AA20" s="355" t="str">
        <f t="shared" si="22"/>
        <v>#DIV/0!</v>
      </c>
      <c r="AB20" s="353"/>
      <c r="AC20" s="352"/>
      <c r="AD20" s="353"/>
      <c r="AE20" s="355" t="str">
        <f t="shared" si="23"/>
        <v>#DIV/0!</v>
      </c>
      <c r="AF20" s="353"/>
      <c r="AG20" s="352"/>
      <c r="AH20" s="353"/>
      <c r="AI20" s="355" t="str">
        <f t="shared" si="24"/>
        <v>#DIV/0!</v>
      </c>
      <c r="AJ20" s="353"/>
      <c r="AK20" s="352"/>
      <c r="AL20" s="353"/>
      <c r="AM20" s="355" t="str">
        <f t="shared" si="25"/>
        <v>#DIV/0!</v>
      </c>
      <c r="AN20" s="353"/>
      <c r="AO20" s="352"/>
      <c r="AP20" s="353"/>
      <c r="AQ20" s="355" t="str">
        <f t="shared" si="26"/>
        <v>#DIV/0!</v>
      </c>
      <c r="AR20" s="353"/>
      <c r="AS20" s="352"/>
      <c r="AT20" s="353"/>
      <c r="AU20" s="352"/>
      <c r="AV20" s="353"/>
      <c r="AW20" s="355" t="str">
        <f t="shared" si="27"/>
        <v>#DIV/0!</v>
      </c>
      <c r="AX20" s="357"/>
      <c r="AY20" s="352"/>
      <c r="AZ20" s="353"/>
      <c r="BA20" s="352"/>
      <c r="BB20" s="353"/>
      <c r="BC20" s="355" t="str">
        <f t="shared" si="28"/>
        <v>#DIV/0!</v>
      </c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  <c r="BQ20" s="213"/>
      <c r="BR20" s="213"/>
      <c r="BS20" s="213"/>
      <c r="BT20" s="213"/>
      <c r="BU20" s="213"/>
      <c r="BV20" s="213"/>
      <c r="BW20" s="213"/>
    </row>
    <row r="21" ht="15.75" hidden="1" customHeight="1">
      <c r="A21" s="213"/>
      <c r="B21" s="245"/>
      <c r="C21" s="245" t="s">
        <v>227</v>
      </c>
      <c r="D21" s="353">
        <v>0.0</v>
      </c>
      <c r="E21" s="355" t="str">
        <f>D21/$D$15</f>
        <v>#DIV/0!</v>
      </c>
      <c r="F21" s="353"/>
      <c r="G21" s="355"/>
      <c r="H21" s="359">
        <v>0.0</v>
      </c>
      <c r="I21" s="355" t="str">
        <f>H21/$H$15</f>
        <v>#DIV/0!</v>
      </c>
      <c r="J21" s="359"/>
      <c r="K21" s="245"/>
      <c r="L21" s="353">
        <v>0.0</v>
      </c>
      <c r="M21" s="355" t="str">
        <f>L21/L$15</f>
        <v>#DIV/0!</v>
      </c>
      <c r="N21" s="353"/>
      <c r="O21" s="245"/>
      <c r="P21" s="353">
        <v>0.0</v>
      </c>
      <c r="Q21" s="355" t="str">
        <f>P21/P$15</f>
        <v>#DIV/0!</v>
      </c>
      <c r="R21" s="966"/>
      <c r="S21" s="245"/>
      <c r="T21" s="353">
        <v>0.0</v>
      </c>
      <c r="U21" s="355" t="str">
        <f>T21/T$15</f>
        <v>#DIV/0!</v>
      </c>
      <c r="V21" s="353"/>
      <c r="W21" s="245"/>
      <c r="X21" s="359">
        <v>0.0</v>
      </c>
      <c r="Y21" s="355">
        <v>0.0</v>
      </c>
      <c r="Z21" s="353"/>
      <c r="AA21" s="245"/>
      <c r="AB21" s="353">
        <v>0.0</v>
      </c>
      <c r="AC21" s="245"/>
      <c r="AD21" s="353"/>
      <c r="AE21" s="245"/>
      <c r="AF21" s="353">
        <v>4140.0</v>
      </c>
      <c r="AG21" s="245"/>
      <c r="AH21" s="353"/>
      <c r="AI21" s="245"/>
      <c r="AJ21" s="353">
        <v>14160.0</v>
      </c>
      <c r="AK21" s="245"/>
      <c r="AL21" s="353"/>
      <c r="AM21" s="245"/>
      <c r="AN21" s="353"/>
      <c r="AO21" s="245"/>
      <c r="AP21" s="353"/>
      <c r="AQ21" s="245"/>
      <c r="AR21" s="353"/>
      <c r="AS21" s="245"/>
      <c r="AT21" s="353"/>
      <c r="AU21" s="245"/>
      <c r="AV21" s="353"/>
      <c r="AW21" s="245"/>
      <c r="AX21" s="357"/>
      <c r="AY21" s="245"/>
      <c r="AZ21" s="353">
        <v>13980.0</v>
      </c>
      <c r="BA21" s="245"/>
      <c r="BB21" s="353"/>
      <c r="BC21" s="245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  <c r="BQ21" s="213"/>
      <c r="BR21" s="213"/>
      <c r="BS21" s="213"/>
      <c r="BT21" s="213"/>
      <c r="BU21" s="213"/>
      <c r="BV21" s="213"/>
      <c r="BW21" s="213"/>
    </row>
    <row r="22" ht="15.75" hidden="1" customHeight="1">
      <c r="A22" s="213"/>
      <c r="B22" s="352"/>
      <c r="C22" s="245" t="s">
        <v>228</v>
      </c>
      <c r="D22" s="353"/>
      <c r="E22" s="355"/>
      <c r="F22" s="353"/>
      <c r="G22" s="355"/>
      <c r="H22" s="965"/>
      <c r="I22" s="245"/>
      <c r="J22" s="359"/>
      <c r="K22" s="245"/>
      <c r="L22" s="356"/>
      <c r="M22" s="245"/>
      <c r="N22" s="353"/>
      <c r="O22" s="245"/>
      <c r="P22" s="356"/>
      <c r="Q22" s="245"/>
      <c r="R22" s="966"/>
      <c r="S22" s="245"/>
      <c r="T22" s="353"/>
      <c r="U22" s="245"/>
      <c r="V22" s="353"/>
      <c r="W22" s="245"/>
      <c r="X22" s="359"/>
      <c r="Y22" s="245"/>
      <c r="Z22" s="353"/>
      <c r="AA22" s="245"/>
      <c r="AB22" s="353"/>
      <c r="AC22" s="245"/>
      <c r="AD22" s="353"/>
      <c r="AE22" s="245"/>
      <c r="AF22" s="353"/>
      <c r="AG22" s="245"/>
      <c r="AH22" s="353"/>
      <c r="AI22" s="245"/>
      <c r="AJ22" s="353"/>
      <c r="AK22" s="245"/>
      <c r="AL22" s="353"/>
      <c r="AM22" s="245"/>
      <c r="AN22" s="353"/>
      <c r="AO22" s="245"/>
      <c r="AP22" s="353"/>
      <c r="AQ22" s="245"/>
      <c r="AR22" s="353"/>
      <c r="AS22" s="245"/>
      <c r="AT22" s="353"/>
      <c r="AU22" s="245"/>
      <c r="AV22" s="353"/>
      <c r="AW22" s="245"/>
      <c r="AX22" s="357"/>
      <c r="AY22" s="245"/>
      <c r="AZ22" s="353"/>
      <c r="BA22" s="245"/>
      <c r="BB22" s="353"/>
      <c r="BC22" s="245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  <c r="BQ22" s="213"/>
      <c r="BR22" s="213"/>
      <c r="BS22" s="213"/>
      <c r="BT22" s="213"/>
      <c r="BU22" s="213"/>
      <c r="BV22" s="213"/>
      <c r="BW22" s="213"/>
    </row>
    <row r="23" ht="15.75" hidden="1" customHeight="1">
      <c r="A23" s="213"/>
      <c r="B23" s="352"/>
      <c r="C23" s="245" t="s">
        <v>229</v>
      </c>
      <c r="D23" s="353"/>
      <c r="E23" s="355"/>
      <c r="F23" s="353"/>
      <c r="G23" s="355"/>
      <c r="H23" s="965"/>
      <c r="I23" s="245"/>
      <c r="J23" s="359"/>
      <c r="K23" s="245"/>
      <c r="L23" s="356"/>
      <c r="M23" s="245"/>
      <c r="N23" s="353"/>
      <c r="O23" s="245"/>
      <c r="P23" s="356"/>
      <c r="Q23" s="245"/>
      <c r="R23" s="966"/>
      <c r="S23" s="245"/>
      <c r="T23" s="353"/>
      <c r="U23" s="245"/>
      <c r="V23" s="353"/>
      <c r="W23" s="245"/>
      <c r="X23" s="359"/>
      <c r="Y23" s="245"/>
      <c r="Z23" s="353"/>
      <c r="AA23" s="245"/>
      <c r="AB23" s="353"/>
      <c r="AC23" s="245"/>
      <c r="AD23" s="353"/>
      <c r="AE23" s="245"/>
      <c r="AF23" s="353"/>
      <c r="AG23" s="245"/>
      <c r="AH23" s="353"/>
      <c r="AI23" s="245"/>
      <c r="AJ23" s="353"/>
      <c r="AK23" s="245"/>
      <c r="AL23" s="353"/>
      <c r="AM23" s="245"/>
      <c r="AN23" s="353"/>
      <c r="AO23" s="245"/>
      <c r="AP23" s="353"/>
      <c r="AQ23" s="245"/>
      <c r="AR23" s="353"/>
      <c r="AS23" s="245"/>
      <c r="AT23" s="353"/>
      <c r="AU23" s="245"/>
      <c r="AV23" s="353"/>
      <c r="AW23" s="245"/>
      <c r="AX23" s="357"/>
      <c r="AY23" s="245"/>
      <c r="AZ23" s="353"/>
      <c r="BA23" s="245"/>
      <c r="BB23" s="353"/>
      <c r="BC23" s="245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  <c r="BQ23" s="213"/>
      <c r="BR23" s="213"/>
      <c r="BS23" s="213"/>
      <c r="BT23" s="213"/>
      <c r="BU23" s="213"/>
      <c r="BV23" s="213"/>
      <c r="BW23" s="213"/>
    </row>
    <row r="24" ht="15.75" customHeight="1">
      <c r="A24" s="213"/>
      <c r="B24" s="245"/>
      <c r="C24" s="245"/>
      <c r="D24" s="353"/>
      <c r="E24" s="352"/>
      <c r="F24" s="353"/>
      <c r="G24" s="352"/>
      <c r="H24" s="359"/>
      <c r="I24" s="352"/>
      <c r="J24" s="359"/>
      <c r="K24" s="352"/>
      <c r="L24" s="353"/>
      <c r="M24" s="352"/>
      <c r="N24" s="353"/>
      <c r="O24" s="352"/>
      <c r="P24" s="353"/>
      <c r="Q24" s="352"/>
      <c r="R24" s="966"/>
      <c r="S24" s="352"/>
      <c r="T24" s="353"/>
      <c r="U24" s="352"/>
      <c r="V24" s="353"/>
      <c r="W24" s="352"/>
      <c r="X24" s="359"/>
      <c r="Y24" s="352"/>
      <c r="Z24" s="353"/>
      <c r="AA24" s="352"/>
      <c r="AB24" s="353"/>
      <c r="AC24" s="352"/>
      <c r="AD24" s="353"/>
      <c r="AE24" s="352"/>
      <c r="AF24" s="353"/>
      <c r="AG24" s="352"/>
      <c r="AH24" s="353"/>
      <c r="AI24" s="352"/>
      <c r="AJ24" s="353"/>
      <c r="AK24" s="352"/>
      <c r="AL24" s="353"/>
      <c r="AM24" s="352"/>
      <c r="AN24" s="353"/>
      <c r="AO24" s="352"/>
      <c r="AP24" s="353"/>
      <c r="AQ24" s="352"/>
      <c r="AR24" s="353"/>
      <c r="AS24" s="352"/>
      <c r="AT24" s="353"/>
      <c r="AU24" s="352"/>
      <c r="AV24" s="353"/>
      <c r="AW24" s="352"/>
      <c r="AX24" s="357"/>
      <c r="AY24" s="352"/>
      <c r="AZ24" s="353"/>
      <c r="BA24" s="352"/>
      <c r="BB24" s="353"/>
      <c r="BC24" s="352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  <c r="BQ24" s="213"/>
      <c r="BR24" s="213"/>
      <c r="BS24" s="213"/>
      <c r="BT24" s="213"/>
      <c r="BU24" s="213"/>
      <c r="BV24" s="213"/>
      <c r="BW24" s="213"/>
    </row>
    <row r="25" ht="15.75" customHeight="1">
      <c r="A25" s="213"/>
      <c r="B25" s="352"/>
      <c r="C25" s="245"/>
      <c r="D25" s="353"/>
      <c r="E25" s="352"/>
      <c r="F25" s="353"/>
      <c r="G25" s="352"/>
      <c r="H25" s="359"/>
      <c r="I25" s="352"/>
      <c r="J25" s="359"/>
      <c r="K25" s="352"/>
      <c r="L25" s="353"/>
      <c r="M25" s="352"/>
      <c r="N25" s="353"/>
      <c r="O25" s="352"/>
      <c r="P25" s="353"/>
      <c r="Q25" s="352"/>
      <c r="R25" s="966"/>
      <c r="S25" s="352"/>
      <c r="T25" s="353"/>
      <c r="U25" s="352"/>
      <c r="V25" s="353"/>
      <c r="W25" s="352"/>
      <c r="X25" s="359"/>
      <c r="Y25" s="352"/>
      <c r="Z25" s="353"/>
      <c r="AA25" s="355"/>
      <c r="AB25" s="353"/>
      <c r="AC25" s="352"/>
      <c r="AD25" s="353"/>
      <c r="AE25" s="352"/>
      <c r="AF25" s="353"/>
      <c r="AG25" s="352"/>
      <c r="AH25" s="353"/>
      <c r="AI25" s="352"/>
      <c r="AJ25" s="353"/>
      <c r="AK25" s="352"/>
      <c r="AL25" s="353"/>
      <c r="AM25" s="352"/>
      <c r="AN25" s="353"/>
      <c r="AO25" s="352"/>
      <c r="AP25" s="353"/>
      <c r="AQ25" s="352"/>
      <c r="AR25" s="353"/>
      <c r="AS25" s="352"/>
      <c r="AT25" s="353"/>
      <c r="AU25" s="352"/>
      <c r="AV25" s="353"/>
      <c r="AW25" s="352"/>
      <c r="AX25" s="357"/>
      <c r="AY25" s="352"/>
      <c r="AZ25" s="353"/>
      <c r="BA25" s="352"/>
      <c r="BB25" s="353"/>
      <c r="BC25" s="352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  <c r="BQ25" s="213"/>
      <c r="BR25" s="213"/>
      <c r="BS25" s="213"/>
      <c r="BT25" s="213"/>
      <c r="BU25" s="213"/>
      <c r="BV25" s="213"/>
      <c r="BW25" s="213"/>
    </row>
    <row r="26" ht="15.75" customHeight="1">
      <c r="A26" s="213"/>
      <c r="B26" s="352" t="s">
        <v>22</v>
      </c>
      <c r="C26" s="245" t="s">
        <v>22</v>
      </c>
      <c r="D26" s="353">
        <v>0.0</v>
      </c>
      <c r="E26" s="352"/>
      <c r="F26" s="353"/>
      <c r="G26" s="355" t="str">
        <f>F26/F31</f>
        <v>#DIV/0!</v>
      </c>
      <c r="H26" s="359">
        <v>0.0</v>
      </c>
      <c r="I26" s="352"/>
      <c r="J26" s="359"/>
      <c r="K26" s="355" t="str">
        <f t="shared" ref="K26:K28" si="29">J26/$J$31</f>
        <v>#DIV/0!</v>
      </c>
      <c r="L26" s="353">
        <v>0.0</v>
      </c>
      <c r="M26" s="352"/>
      <c r="N26" s="353"/>
      <c r="O26" s="355" t="str">
        <f t="shared" ref="O26:O28" si="30">N26/$N$31</f>
        <v>#DIV/0!</v>
      </c>
      <c r="P26" s="353">
        <v>0.0</v>
      </c>
      <c r="Q26" s="352"/>
      <c r="R26" s="966"/>
      <c r="S26" s="355" t="str">
        <f t="shared" ref="S26:S28" si="31">R26/$R$31</f>
        <v>#DIV/0!</v>
      </c>
      <c r="T26" s="353">
        <v>0.0</v>
      </c>
      <c r="U26" s="352"/>
      <c r="V26" s="353">
        <v>1000000.0</v>
      </c>
      <c r="W26" s="355">
        <f t="shared" ref="W26:W28" si="32">V26/$V$31</f>
        <v>0.2</v>
      </c>
      <c r="X26" s="359">
        <v>0.0</v>
      </c>
      <c r="Y26" s="352"/>
      <c r="Z26" s="353">
        <v>1000000.0</v>
      </c>
      <c r="AA26" s="355">
        <f t="shared" ref="AA26:AA28" si="33">Z26/$Z$31</f>
        <v>0.2</v>
      </c>
      <c r="AB26" s="353">
        <v>0.0</v>
      </c>
      <c r="AC26" s="352"/>
      <c r="AD26" s="353">
        <v>1000000.0</v>
      </c>
      <c r="AE26" s="355">
        <f t="shared" ref="AE26:AE28" si="34">AD26/$AD$31</f>
        <v>0.2</v>
      </c>
      <c r="AF26" s="353">
        <v>134900.0</v>
      </c>
      <c r="AG26" s="352"/>
      <c r="AH26" s="353">
        <v>1000000.0</v>
      </c>
      <c r="AI26" s="355">
        <f t="shared" ref="AI26:AI28" si="35">AH26/$AH$31</f>
        <v>0.2</v>
      </c>
      <c r="AJ26" s="353">
        <v>227900.0</v>
      </c>
      <c r="AK26" s="355">
        <f t="shared" ref="AK26:AK28" si="36">AJ26/AJ$31</f>
        <v>0.02655886494</v>
      </c>
      <c r="AL26" s="353">
        <v>1000000.0</v>
      </c>
      <c r="AM26" s="355">
        <f t="shared" ref="AM26:AM28" si="37">AL26/$AL$31</f>
        <v>0.2</v>
      </c>
      <c r="AN26" s="353">
        <v>369275.0</v>
      </c>
      <c r="AO26" s="352"/>
      <c r="AP26" s="353">
        <v>1000000.0</v>
      </c>
      <c r="AQ26" s="355">
        <f t="shared" ref="AQ26:AQ28" si="38">AP26/$AP$31</f>
        <v>0.2</v>
      </c>
      <c r="AR26" s="353">
        <v>0.0</v>
      </c>
      <c r="AS26" s="352"/>
      <c r="AT26" s="353">
        <v>287275.0</v>
      </c>
      <c r="AU26" s="352"/>
      <c r="AV26" s="353">
        <v>1000000.0</v>
      </c>
      <c r="AW26" s="355">
        <f t="shared" ref="AW26:AW28" si="39">AV26/$AV$31</f>
        <v>0.2</v>
      </c>
      <c r="AX26" s="357">
        <v>0.0</v>
      </c>
      <c r="AY26" s="352"/>
      <c r="AZ26" s="353">
        <v>299825.0</v>
      </c>
      <c r="BA26" s="352"/>
      <c r="BB26" s="353">
        <v>1000000.0</v>
      </c>
      <c r="BC26" s="355">
        <f t="shared" ref="BC26:BC28" si="40">BB26/$BB$31</f>
        <v>0.2</v>
      </c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  <c r="BQ26" s="213"/>
      <c r="BR26" s="213"/>
      <c r="BS26" s="213"/>
      <c r="BT26" s="213"/>
      <c r="BU26" s="213"/>
      <c r="BV26" s="213"/>
      <c r="BW26" s="213"/>
    </row>
    <row r="27" ht="15.75" customHeight="1">
      <c r="A27" s="213"/>
      <c r="B27" s="352" t="s">
        <v>23</v>
      </c>
      <c r="C27" s="245" t="s">
        <v>23</v>
      </c>
      <c r="D27" s="353">
        <v>0.0</v>
      </c>
      <c r="E27" s="352"/>
      <c r="F27" s="353"/>
      <c r="G27" s="355" t="str">
        <f>F27/F31</f>
        <v>#DIV/0!</v>
      </c>
      <c r="H27" s="359">
        <v>0.0</v>
      </c>
      <c r="I27" s="352"/>
      <c r="J27" s="359"/>
      <c r="K27" s="355" t="str">
        <f t="shared" si="29"/>
        <v>#DIV/0!</v>
      </c>
      <c r="L27" s="353">
        <v>0.0</v>
      </c>
      <c r="M27" s="352"/>
      <c r="N27" s="353"/>
      <c r="O27" s="355" t="str">
        <f t="shared" si="30"/>
        <v>#DIV/0!</v>
      </c>
      <c r="P27" s="353">
        <v>0.0</v>
      </c>
      <c r="Q27" s="352"/>
      <c r="R27" s="966"/>
      <c r="S27" s="355" t="str">
        <f t="shared" si="31"/>
        <v>#DIV/0!</v>
      </c>
      <c r="T27" s="353">
        <v>0.0</v>
      </c>
      <c r="U27" s="352"/>
      <c r="V27" s="353"/>
      <c r="W27" s="355">
        <f t="shared" si="32"/>
        <v>0</v>
      </c>
      <c r="X27" s="359">
        <v>0.0</v>
      </c>
      <c r="Y27" s="352"/>
      <c r="Z27" s="353"/>
      <c r="AA27" s="355">
        <f t="shared" si="33"/>
        <v>0</v>
      </c>
      <c r="AB27" s="353">
        <v>0.0</v>
      </c>
      <c r="AC27" s="352"/>
      <c r="AD27" s="353"/>
      <c r="AE27" s="355">
        <f t="shared" si="34"/>
        <v>0</v>
      </c>
      <c r="AF27" s="353">
        <v>2020249.0</v>
      </c>
      <c r="AG27" s="352"/>
      <c r="AH27" s="353"/>
      <c r="AI27" s="355">
        <f t="shared" si="35"/>
        <v>0</v>
      </c>
      <c r="AJ27" s="353">
        <v>3431842.0</v>
      </c>
      <c r="AK27" s="355">
        <f t="shared" si="36"/>
        <v>0.3999378157</v>
      </c>
      <c r="AL27" s="353"/>
      <c r="AM27" s="355">
        <f t="shared" si="37"/>
        <v>0</v>
      </c>
      <c r="AN27" s="353">
        <v>2878650.0</v>
      </c>
      <c r="AO27" s="352"/>
      <c r="AP27" s="353"/>
      <c r="AQ27" s="355">
        <f t="shared" si="38"/>
        <v>0</v>
      </c>
      <c r="AR27" s="353">
        <v>0.0</v>
      </c>
      <c r="AS27" s="352"/>
      <c r="AT27" s="353">
        <v>3025765.0</v>
      </c>
      <c r="AU27" s="352"/>
      <c r="AV27" s="353"/>
      <c r="AW27" s="355">
        <f t="shared" si="39"/>
        <v>0</v>
      </c>
      <c r="AX27" s="357">
        <v>0.0</v>
      </c>
      <c r="AY27" s="352"/>
      <c r="AZ27" s="353">
        <v>3814960.0</v>
      </c>
      <c r="BA27" s="352"/>
      <c r="BB27" s="353"/>
      <c r="BC27" s="355">
        <f t="shared" si="40"/>
        <v>0</v>
      </c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  <c r="BQ27" s="213"/>
      <c r="BR27" s="213"/>
      <c r="BS27" s="213"/>
      <c r="BT27" s="213"/>
      <c r="BU27" s="213"/>
      <c r="BV27" s="213"/>
      <c r="BW27" s="213"/>
    </row>
    <row r="28" ht="15.75" customHeight="1">
      <c r="A28" s="213"/>
      <c r="B28" s="352" t="s">
        <v>24</v>
      </c>
      <c r="C28" s="245" t="s">
        <v>230</v>
      </c>
      <c r="D28" s="399">
        <f>SUM(D16:D20)</f>
        <v>0</v>
      </c>
      <c r="E28" s="352"/>
      <c r="F28" s="353">
        <f>SUM(F16:F20)</f>
        <v>0</v>
      </c>
      <c r="G28" s="355" t="str">
        <f>F28/F31</f>
        <v>#DIV/0!</v>
      </c>
      <c r="H28" s="401">
        <f>SUM(H16:H20)</f>
        <v>0</v>
      </c>
      <c r="I28" s="352"/>
      <c r="J28" s="401"/>
      <c r="K28" s="355" t="str">
        <f t="shared" si="29"/>
        <v>#DIV/0!</v>
      </c>
      <c r="L28" s="399">
        <f>SUM(L16:L20)</f>
        <v>0</v>
      </c>
      <c r="M28" s="352"/>
      <c r="N28" s="399"/>
      <c r="O28" s="355" t="str">
        <f t="shared" si="30"/>
        <v>#DIV/0!</v>
      </c>
      <c r="P28" s="399">
        <f>SUM(P16:P20)</f>
        <v>0</v>
      </c>
      <c r="Q28" s="352"/>
      <c r="R28" s="967"/>
      <c r="S28" s="355" t="str">
        <f t="shared" si="31"/>
        <v>#DIV/0!</v>
      </c>
      <c r="T28" s="399">
        <f>SUM(T16:T20)</f>
        <v>0</v>
      </c>
      <c r="U28" s="352"/>
      <c r="V28" s="353">
        <v>4000000.0</v>
      </c>
      <c r="W28" s="355">
        <f t="shared" si="32"/>
        <v>0.8</v>
      </c>
      <c r="X28" s="401">
        <f>SUM(X16:X20)</f>
        <v>0</v>
      </c>
      <c r="Y28" s="352"/>
      <c r="Z28" s="353">
        <v>4000000.0</v>
      </c>
      <c r="AA28" s="355">
        <f t="shared" si="33"/>
        <v>0.8</v>
      </c>
      <c r="AB28" s="399">
        <f>SUM(AB16:AB20)</f>
        <v>0</v>
      </c>
      <c r="AC28" s="352"/>
      <c r="AD28" s="353">
        <v>4000000.0</v>
      </c>
      <c r="AE28" s="355">
        <f t="shared" si="34"/>
        <v>0.8</v>
      </c>
      <c r="AF28" s="399">
        <f>SUM(AF16:AF20)</f>
        <v>2907975</v>
      </c>
      <c r="AG28" s="352"/>
      <c r="AH28" s="353">
        <v>4000000.0</v>
      </c>
      <c r="AI28" s="355">
        <f t="shared" si="35"/>
        <v>0.8</v>
      </c>
      <c r="AJ28" s="399">
        <f>SUM(AJ16:AJ20)</f>
        <v>4171216</v>
      </c>
      <c r="AK28" s="355">
        <f t="shared" si="36"/>
        <v>0.4861025116</v>
      </c>
      <c r="AL28" s="353">
        <v>4000000.0</v>
      </c>
      <c r="AM28" s="355">
        <f t="shared" si="37"/>
        <v>0.8</v>
      </c>
      <c r="AN28" s="399">
        <f>SUM(AN16:AN20)</f>
        <v>4342452.5</v>
      </c>
      <c r="AO28" s="352"/>
      <c r="AP28" s="353">
        <v>4000000.0</v>
      </c>
      <c r="AQ28" s="355">
        <f t="shared" si="38"/>
        <v>0.8</v>
      </c>
      <c r="AR28" s="399">
        <f>SUM(AR16:AR20)</f>
        <v>0</v>
      </c>
      <c r="AS28" s="352"/>
      <c r="AT28" s="399">
        <f>SUM(AT16:AT20)</f>
        <v>3990142.5</v>
      </c>
      <c r="AU28" s="352"/>
      <c r="AV28" s="353">
        <v>4000000.0</v>
      </c>
      <c r="AW28" s="355">
        <f t="shared" si="39"/>
        <v>0.8</v>
      </c>
      <c r="AX28" s="400">
        <f>SUM(AX16:AX20)</f>
        <v>0</v>
      </c>
      <c r="AY28" s="352"/>
      <c r="AZ28" s="399">
        <f>SUM(AZ16:AZ20)</f>
        <v>4646198</v>
      </c>
      <c r="BA28" s="352"/>
      <c r="BB28" s="353">
        <v>4000000.0</v>
      </c>
      <c r="BC28" s="355">
        <f t="shared" si="40"/>
        <v>0.8</v>
      </c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  <c r="BQ28" s="213"/>
      <c r="BR28" s="213"/>
      <c r="BS28" s="213"/>
      <c r="BT28" s="213"/>
      <c r="BU28" s="213"/>
      <c r="BV28" s="213"/>
      <c r="BW28" s="213"/>
    </row>
    <row r="29" ht="15.75" customHeight="1">
      <c r="A29" s="213"/>
      <c r="B29" s="245"/>
      <c r="C29" s="245"/>
      <c r="D29" s="353"/>
      <c r="E29" s="352"/>
      <c r="F29" s="353"/>
      <c r="G29" s="355"/>
      <c r="H29" s="359"/>
      <c r="I29" s="352"/>
      <c r="J29" s="359"/>
      <c r="K29" s="355"/>
      <c r="L29" s="353"/>
      <c r="M29" s="352"/>
      <c r="N29" s="353"/>
      <c r="O29" s="355"/>
      <c r="P29" s="353"/>
      <c r="Q29" s="352"/>
      <c r="R29" s="966"/>
      <c r="S29" s="352"/>
      <c r="T29" s="353"/>
      <c r="U29" s="352"/>
      <c r="V29" s="353"/>
      <c r="W29" s="352"/>
      <c r="X29" s="359"/>
      <c r="Y29" s="352"/>
      <c r="Z29" s="353"/>
      <c r="AA29" s="355"/>
      <c r="AB29" s="353"/>
      <c r="AC29" s="352"/>
      <c r="AD29" s="353"/>
      <c r="AE29" s="355"/>
      <c r="AF29" s="353"/>
      <c r="AG29" s="352"/>
      <c r="AH29" s="353"/>
      <c r="AI29" s="352"/>
      <c r="AJ29" s="353"/>
      <c r="AK29" s="352"/>
      <c r="AL29" s="353"/>
      <c r="AM29" s="355"/>
      <c r="AN29" s="353"/>
      <c r="AO29" s="352"/>
      <c r="AP29" s="353"/>
      <c r="AQ29" s="355"/>
      <c r="AR29" s="353"/>
      <c r="AS29" s="352"/>
      <c r="AT29" s="353"/>
      <c r="AU29" s="352"/>
      <c r="AV29" s="353"/>
      <c r="AW29" s="352"/>
      <c r="AX29" s="352"/>
      <c r="AY29" s="352"/>
      <c r="AZ29" s="353"/>
      <c r="BA29" s="352"/>
      <c r="BB29" s="353"/>
      <c r="BC29" s="355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  <c r="BQ29" s="213"/>
      <c r="BR29" s="213"/>
      <c r="BS29" s="213"/>
      <c r="BT29" s="213"/>
      <c r="BU29" s="213"/>
      <c r="BV29" s="213"/>
      <c r="BW29" s="213"/>
    </row>
    <row r="30" ht="15.75" customHeight="1">
      <c r="A30" s="213"/>
      <c r="B30" s="245"/>
      <c r="C30" s="245" t="s">
        <v>231</v>
      </c>
      <c r="D30" s="353"/>
      <c r="E30" s="352"/>
      <c r="F30" s="353"/>
      <c r="G30" s="355" t="str">
        <f>F30/F31</f>
        <v>#DIV/0!</v>
      </c>
      <c r="H30" s="359"/>
      <c r="I30" s="352"/>
      <c r="J30" s="359"/>
      <c r="K30" s="355" t="str">
        <f>J30/$J$31</f>
        <v>#DIV/0!</v>
      </c>
      <c r="L30" s="353"/>
      <c r="M30" s="352"/>
      <c r="N30" s="353"/>
      <c r="O30" s="355" t="str">
        <f>N30/$N$31</f>
        <v>#DIV/0!</v>
      </c>
      <c r="P30" s="353"/>
      <c r="Q30" s="352"/>
      <c r="R30" s="966"/>
      <c r="S30" s="355" t="str">
        <f>R30/$R$31</f>
        <v>#DIV/0!</v>
      </c>
      <c r="T30" s="353"/>
      <c r="U30" s="352"/>
      <c r="V30" s="353"/>
      <c r="W30" s="355">
        <f>V30/$V$31</f>
        <v>0</v>
      </c>
      <c r="X30" s="359"/>
      <c r="Y30" s="352"/>
      <c r="Z30" s="353"/>
      <c r="AA30" s="355">
        <f>Z30/$Z$31</f>
        <v>0</v>
      </c>
      <c r="AB30" s="353"/>
      <c r="AC30" s="352"/>
      <c r="AD30" s="353"/>
      <c r="AE30" s="355">
        <f>AD30/$AD$31</f>
        <v>0</v>
      </c>
      <c r="AF30" s="353">
        <v>413804.0</v>
      </c>
      <c r="AG30" s="352"/>
      <c r="AH30" s="353"/>
      <c r="AI30" s="355">
        <f>AH30/$AH$31</f>
        <v>0</v>
      </c>
      <c r="AJ30" s="353">
        <f>397788+338033</f>
        <v>735821</v>
      </c>
      <c r="AK30" s="355">
        <f>AJ30/AJ$31</f>
        <v>0.08575063871</v>
      </c>
      <c r="AL30" s="353"/>
      <c r="AM30" s="355">
        <f>AL30/$AL$31</f>
        <v>0</v>
      </c>
      <c r="AN30" s="353">
        <f>465656.75+282959</f>
        <v>748615.75</v>
      </c>
      <c r="AO30" s="352"/>
      <c r="AP30" s="353"/>
      <c r="AQ30" s="355">
        <f>AP30/$AP$31</f>
        <v>0</v>
      </c>
      <c r="AR30" s="353"/>
      <c r="AS30" s="352"/>
      <c r="AT30" s="353">
        <f>421426.25+300262</f>
        <v>721688.25</v>
      </c>
      <c r="AU30" s="352"/>
      <c r="AV30" s="353"/>
      <c r="AW30" s="355">
        <f>AV30/$AV$31</f>
        <v>0</v>
      </c>
      <c r="AX30" s="352"/>
      <c r="AY30" s="352"/>
      <c r="AZ30" s="353">
        <f>481321+369712</f>
        <v>851033</v>
      </c>
      <c r="BA30" s="352"/>
      <c r="BB30" s="353"/>
      <c r="BC30" s="355">
        <f>BB30/$BB$31</f>
        <v>0</v>
      </c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  <c r="BQ30" s="213"/>
      <c r="BR30" s="213"/>
      <c r="BS30" s="213"/>
      <c r="BT30" s="213"/>
      <c r="BU30" s="213"/>
      <c r="BV30" s="213"/>
      <c r="BW30" s="213"/>
    </row>
    <row r="31" ht="15.75" customHeight="1">
      <c r="A31" s="740"/>
      <c r="B31" s="667"/>
      <c r="C31" s="667" t="s">
        <v>232</v>
      </c>
      <c r="D31" s="657">
        <f>D26+D27+D28+D30</f>
        <v>0</v>
      </c>
      <c r="E31" s="658"/>
      <c r="F31" s="657">
        <f>F26+F27+F28+F30</f>
        <v>0</v>
      </c>
      <c r="G31" s="658"/>
      <c r="H31" s="968">
        <f>H26+H27+H28+H30</f>
        <v>0</v>
      </c>
      <c r="I31" s="658"/>
      <c r="J31" s="968">
        <f>J26+J27+J28+J30</f>
        <v>0</v>
      </c>
      <c r="K31" s="658"/>
      <c r="L31" s="657">
        <f>L26+L27+L28+L30</f>
        <v>0</v>
      </c>
      <c r="M31" s="658"/>
      <c r="N31" s="657">
        <f>N26+N27+N28+N30</f>
        <v>0</v>
      </c>
      <c r="O31" s="658"/>
      <c r="P31" s="657">
        <f>P26+P27+P28+P30</f>
        <v>0</v>
      </c>
      <c r="Q31" s="658"/>
      <c r="R31" s="969">
        <f>R26+R27+R28+R30</f>
        <v>0</v>
      </c>
      <c r="S31" s="658"/>
      <c r="T31" s="657">
        <f>T26+T27+T28+T30</f>
        <v>0</v>
      </c>
      <c r="U31" s="658"/>
      <c r="V31" s="657">
        <f>V26+V27+V28+V30</f>
        <v>5000000</v>
      </c>
      <c r="W31" s="658"/>
      <c r="X31" s="968">
        <f>X26+X27+X28+X30</f>
        <v>0</v>
      </c>
      <c r="Y31" s="658"/>
      <c r="Z31" s="657">
        <f>Z26+Z27+Z28+Z30</f>
        <v>5000000</v>
      </c>
      <c r="AA31" s="658"/>
      <c r="AB31" s="657">
        <f>AB26+AB27+AB28+AB30</f>
        <v>0</v>
      </c>
      <c r="AC31" s="658"/>
      <c r="AD31" s="657">
        <f>AD26+AD27+AD28+AD30</f>
        <v>5000000</v>
      </c>
      <c r="AE31" s="658"/>
      <c r="AF31" s="657">
        <f>AF26+AF27+AF28+AF30+AF21</f>
        <v>5481068</v>
      </c>
      <c r="AG31" s="658"/>
      <c r="AH31" s="657">
        <f>AH26+AH27+AH28+AH30</f>
        <v>5000000</v>
      </c>
      <c r="AI31" s="658"/>
      <c r="AJ31" s="657">
        <f>AJ26+AJ27+AJ28+AJ30+AJ21</f>
        <v>8580939</v>
      </c>
      <c r="AK31" s="726">
        <f>AJ31/AJ31</f>
        <v>1</v>
      </c>
      <c r="AL31" s="657">
        <f>AL26+AL27+AL28+AL30</f>
        <v>5000000</v>
      </c>
      <c r="AM31" s="658"/>
      <c r="AN31" s="657">
        <f>AN26+AN27+AN28+AN30+AN21</f>
        <v>8338993.25</v>
      </c>
      <c r="AO31" s="658"/>
      <c r="AP31" s="657">
        <f>AP26+AP27+AP28+AP30</f>
        <v>5000000</v>
      </c>
      <c r="AQ31" s="658"/>
      <c r="AR31" s="657">
        <f>AR26+AR27+AR28+AR30</f>
        <v>0</v>
      </c>
      <c r="AS31" s="658"/>
      <c r="AT31" s="657">
        <f>AT26+AT27+AT28+AT30+AT21</f>
        <v>8024870.75</v>
      </c>
      <c r="AU31" s="658"/>
      <c r="AV31" s="657">
        <f>AV26+AV27+AV28+AV30</f>
        <v>5000000</v>
      </c>
      <c r="AW31" s="658"/>
      <c r="AX31" s="655">
        <f>AX26+AX27+AX28+AX30</f>
        <v>0</v>
      </c>
      <c r="AY31" s="658"/>
      <c r="AZ31" s="657">
        <f>AZ26+AZ27+AZ28+AZ30+AZ21</f>
        <v>9625996</v>
      </c>
      <c r="BA31" s="658"/>
      <c r="BB31" s="657">
        <f>BB26+BB27+BB28+BB30</f>
        <v>5000000</v>
      </c>
      <c r="BC31" s="658"/>
      <c r="BD31" s="215">
        <f>D31+H31+L31+P31+T31+X31+AB31+AF31+AJ31+AN31+AT31+AZ31</f>
        <v>40051867</v>
      </c>
      <c r="BE31" s="327"/>
      <c r="BF31" s="327"/>
      <c r="BG31" s="327"/>
      <c r="BH31" s="327"/>
      <c r="BI31" s="327"/>
      <c r="BJ31" s="327"/>
      <c r="BK31" s="327"/>
      <c r="BL31" s="327"/>
      <c r="BM31" s="327"/>
      <c r="BN31" s="327"/>
      <c r="BO31" s="327"/>
      <c r="BP31" s="327"/>
      <c r="BQ31" s="327"/>
      <c r="BR31" s="327"/>
      <c r="BS31" s="327"/>
      <c r="BT31" s="327"/>
      <c r="BU31" s="327"/>
      <c r="BV31" s="327"/>
      <c r="BW31" s="327"/>
    </row>
    <row r="32" ht="15.75" customHeight="1">
      <c r="A32" s="213"/>
      <c r="B32" s="352"/>
      <c r="C32" s="245"/>
      <c r="D32" s="353"/>
      <c r="E32" s="352"/>
      <c r="F32" s="353"/>
      <c r="G32" s="352"/>
      <c r="H32" s="359"/>
      <c r="I32" s="352"/>
      <c r="J32" s="359"/>
      <c r="K32" s="352"/>
      <c r="L32" s="353"/>
      <c r="M32" s="352"/>
      <c r="N32" s="353"/>
      <c r="O32" s="352"/>
      <c r="P32" s="353"/>
      <c r="Q32" s="352"/>
      <c r="R32" s="966"/>
      <c r="S32" s="352"/>
      <c r="T32" s="353"/>
      <c r="U32" s="352"/>
      <c r="V32" s="353"/>
      <c r="W32" s="352"/>
      <c r="X32" s="359"/>
      <c r="Y32" s="352"/>
      <c r="Z32" s="353"/>
      <c r="AA32" s="352"/>
      <c r="AB32" s="353"/>
      <c r="AC32" s="352"/>
      <c r="AD32" s="353"/>
      <c r="AE32" s="352"/>
      <c r="AF32" s="353"/>
      <c r="AG32" s="352"/>
      <c r="AH32" s="353"/>
      <c r="AI32" s="352"/>
      <c r="AJ32" s="353"/>
      <c r="AK32" s="352"/>
      <c r="AL32" s="353"/>
      <c r="AM32" s="352"/>
      <c r="AN32" s="353"/>
      <c r="AO32" s="352"/>
      <c r="AP32" s="353"/>
      <c r="AQ32" s="352"/>
      <c r="AR32" s="353"/>
      <c r="AS32" s="352"/>
      <c r="AT32" s="353"/>
      <c r="AU32" s="352"/>
      <c r="AV32" s="353"/>
      <c r="AW32" s="352"/>
      <c r="AX32" s="352"/>
      <c r="AY32" s="352"/>
      <c r="AZ32" s="353"/>
      <c r="BA32" s="352"/>
      <c r="BB32" s="353"/>
      <c r="BC32" s="352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  <c r="BQ32" s="213"/>
      <c r="BR32" s="213"/>
      <c r="BS32" s="213"/>
      <c r="BT32" s="213"/>
      <c r="BU32" s="213"/>
      <c r="BV32" s="213"/>
      <c r="BW32" s="213"/>
    </row>
    <row r="33" ht="15.75" hidden="1" customHeight="1">
      <c r="A33" s="213"/>
      <c r="B33" s="245"/>
      <c r="C33" s="245"/>
      <c r="D33" s="353"/>
      <c r="E33" s="355"/>
      <c r="F33" s="353"/>
      <c r="G33" s="357"/>
      <c r="H33" s="359"/>
      <c r="I33" s="355"/>
      <c r="J33" s="359"/>
      <c r="K33" s="352"/>
      <c r="L33" s="353"/>
      <c r="M33" s="352"/>
      <c r="N33" s="353"/>
      <c r="O33" s="352"/>
      <c r="P33" s="353"/>
      <c r="Q33" s="352"/>
      <c r="R33" s="966"/>
      <c r="S33" s="352"/>
      <c r="T33" s="353"/>
      <c r="U33" s="352"/>
      <c r="V33" s="353"/>
      <c r="W33" s="352"/>
      <c r="X33" s="359"/>
      <c r="Y33" s="352"/>
      <c r="Z33" s="353"/>
      <c r="AA33" s="352"/>
      <c r="AB33" s="353"/>
      <c r="AC33" s="352"/>
      <c r="AD33" s="353"/>
      <c r="AE33" s="352"/>
      <c r="AF33" s="353"/>
      <c r="AG33" s="352"/>
      <c r="AH33" s="353"/>
      <c r="AI33" s="352"/>
      <c r="AJ33" s="353"/>
      <c r="AK33" s="352"/>
      <c r="AL33" s="353"/>
      <c r="AM33" s="352"/>
      <c r="AN33" s="353"/>
      <c r="AO33" s="352"/>
      <c r="AP33" s="353"/>
      <c r="AQ33" s="352"/>
      <c r="AR33" s="353"/>
      <c r="AS33" s="352"/>
      <c r="AT33" s="353"/>
      <c r="AU33" s="352"/>
      <c r="AV33" s="353"/>
      <c r="AW33" s="352"/>
      <c r="AX33" s="352"/>
      <c r="AY33" s="352"/>
      <c r="AZ33" s="353"/>
      <c r="BA33" s="352"/>
      <c r="BB33" s="353"/>
      <c r="BC33" s="352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  <c r="BQ33" s="213"/>
      <c r="BR33" s="213"/>
      <c r="BS33" s="213"/>
      <c r="BT33" s="213"/>
      <c r="BU33" s="213"/>
      <c r="BV33" s="213"/>
      <c r="BW33" s="213"/>
    </row>
    <row r="34" ht="15.75" hidden="1" customHeight="1">
      <c r="A34" s="213"/>
      <c r="B34" s="245"/>
      <c r="C34" s="245"/>
      <c r="D34" s="353"/>
      <c r="E34" s="355"/>
      <c r="F34" s="353"/>
      <c r="G34" s="357"/>
      <c r="H34" s="359"/>
      <c r="I34" s="355"/>
      <c r="J34" s="359"/>
      <c r="K34" s="352"/>
      <c r="L34" s="353"/>
      <c r="M34" s="352"/>
      <c r="N34" s="353"/>
      <c r="O34" s="352"/>
      <c r="P34" s="353"/>
      <c r="Q34" s="352"/>
      <c r="R34" s="966"/>
      <c r="S34" s="352"/>
      <c r="T34" s="353"/>
      <c r="U34" s="352"/>
      <c r="V34" s="353"/>
      <c r="W34" s="352"/>
      <c r="X34" s="359"/>
      <c r="Y34" s="352"/>
      <c r="Z34" s="353"/>
      <c r="AA34" s="352"/>
      <c r="AB34" s="353"/>
      <c r="AC34" s="352"/>
      <c r="AD34" s="353"/>
      <c r="AE34" s="352"/>
      <c r="AF34" s="353"/>
      <c r="AG34" s="352"/>
      <c r="AH34" s="353"/>
      <c r="AI34" s="352"/>
      <c r="AJ34" s="353"/>
      <c r="AK34" s="352"/>
      <c r="AL34" s="353"/>
      <c r="AM34" s="352"/>
      <c r="AN34" s="353"/>
      <c r="AO34" s="352"/>
      <c r="AP34" s="353"/>
      <c r="AQ34" s="352"/>
      <c r="AR34" s="353"/>
      <c r="AS34" s="352"/>
      <c r="AT34" s="353"/>
      <c r="AU34" s="352"/>
      <c r="AV34" s="353"/>
      <c r="AW34" s="352"/>
      <c r="AX34" s="352"/>
      <c r="AY34" s="352"/>
      <c r="AZ34" s="353"/>
      <c r="BA34" s="352"/>
      <c r="BB34" s="353"/>
      <c r="BC34" s="352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  <c r="BQ34" s="213"/>
      <c r="BR34" s="213"/>
      <c r="BS34" s="213"/>
      <c r="BT34" s="213"/>
      <c r="BU34" s="213"/>
      <c r="BV34" s="213"/>
      <c r="BW34" s="213"/>
    </row>
    <row r="35" ht="15.75" hidden="1" customHeight="1">
      <c r="A35" s="213"/>
      <c r="B35" s="245"/>
      <c r="C35" s="245"/>
      <c r="D35" s="353"/>
      <c r="E35" s="355"/>
      <c r="F35" s="353"/>
      <c r="G35" s="357"/>
      <c r="H35" s="359"/>
      <c r="I35" s="355"/>
      <c r="J35" s="359"/>
      <c r="K35" s="352"/>
      <c r="L35" s="353"/>
      <c r="M35" s="352"/>
      <c r="N35" s="353"/>
      <c r="O35" s="352"/>
      <c r="P35" s="353"/>
      <c r="Q35" s="352"/>
      <c r="R35" s="966"/>
      <c r="S35" s="352"/>
      <c r="T35" s="353"/>
      <c r="U35" s="352"/>
      <c r="V35" s="353"/>
      <c r="W35" s="352"/>
      <c r="X35" s="359"/>
      <c r="Y35" s="352"/>
      <c r="Z35" s="353"/>
      <c r="AA35" s="352"/>
      <c r="AB35" s="353"/>
      <c r="AC35" s="352"/>
      <c r="AD35" s="353"/>
      <c r="AE35" s="352"/>
      <c r="AF35" s="353"/>
      <c r="AG35" s="352"/>
      <c r="AH35" s="353"/>
      <c r="AI35" s="352"/>
      <c r="AJ35" s="353"/>
      <c r="AK35" s="352"/>
      <c r="AL35" s="353"/>
      <c r="AM35" s="352"/>
      <c r="AN35" s="353"/>
      <c r="AO35" s="352"/>
      <c r="AP35" s="353"/>
      <c r="AQ35" s="352"/>
      <c r="AR35" s="353"/>
      <c r="AS35" s="352"/>
      <c r="AT35" s="353"/>
      <c r="AU35" s="352"/>
      <c r="AV35" s="353"/>
      <c r="AW35" s="352"/>
      <c r="AX35" s="352"/>
      <c r="AY35" s="352"/>
      <c r="AZ35" s="353"/>
      <c r="BA35" s="352"/>
      <c r="BB35" s="353"/>
      <c r="BC35" s="352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  <c r="BQ35" s="213"/>
      <c r="BR35" s="213"/>
      <c r="BS35" s="213"/>
      <c r="BT35" s="213"/>
      <c r="BU35" s="213"/>
      <c r="BV35" s="213"/>
      <c r="BW35" s="213"/>
    </row>
    <row r="36" ht="15.75" hidden="1" customHeight="1">
      <c r="A36" s="213"/>
      <c r="B36" s="245"/>
      <c r="C36" s="245"/>
      <c r="D36" s="353"/>
      <c r="E36" s="355"/>
      <c r="F36" s="353"/>
      <c r="G36" s="357"/>
      <c r="H36" s="359"/>
      <c r="I36" s="355"/>
      <c r="J36" s="359"/>
      <c r="K36" s="352"/>
      <c r="L36" s="353"/>
      <c r="M36" s="352"/>
      <c r="N36" s="353"/>
      <c r="O36" s="352"/>
      <c r="P36" s="353"/>
      <c r="Q36" s="352"/>
      <c r="R36" s="966"/>
      <c r="S36" s="352"/>
      <c r="T36" s="353"/>
      <c r="U36" s="352"/>
      <c r="V36" s="353"/>
      <c r="W36" s="352"/>
      <c r="X36" s="359"/>
      <c r="Y36" s="352"/>
      <c r="Z36" s="353"/>
      <c r="AA36" s="352"/>
      <c r="AB36" s="353"/>
      <c r="AC36" s="352"/>
      <c r="AD36" s="353"/>
      <c r="AE36" s="352"/>
      <c r="AF36" s="353"/>
      <c r="AG36" s="352"/>
      <c r="AH36" s="353"/>
      <c r="AI36" s="352"/>
      <c r="AJ36" s="353"/>
      <c r="AK36" s="352"/>
      <c r="AL36" s="353"/>
      <c r="AM36" s="352"/>
      <c r="AN36" s="353"/>
      <c r="AO36" s="352"/>
      <c r="AP36" s="353"/>
      <c r="AQ36" s="352"/>
      <c r="AR36" s="353"/>
      <c r="AS36" s="352"/>
      <c r="AT36" s="353"/>
      <c r="AU36" s="352"/>
      <c r="AV36" s="353"/>
      <c r="AW36" s="352"/>
      <c r="AX36" s="352"/>
      <c r="AY36" s="352"/>
      <c r="AZ36" s="353"/>
      <c r="BA36" s="352"/>
      <c r="BB36" s="353"/>
      <c r="BC36" s="352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  <c r="BQ36" s="213"/>
      <c r="BR36" s="213"/>
      <c r="BS36" s="213"/>
      <c r="BT36" s="213"/>
      <c r="BU36" s="213"/>
      <c r="BV36" s="213"/>
      <c r="BW36" s="213"/>
    </row>
    <row r="37" ht="15.75" hidden="1" customHeight="1">
      <c r="A37" s="213"/>
      <c r="B37" s="245"/>
      <c r="C37" s="245"/>
      <c r="D37" s="353"/>
      <c r="E37" s="355"/>
      <c r="F37" s="353"/>
      <c r="G37" s="357"/>
      <c r="H37" s="359"/>
      <c r="I37" s="355"/>
      <c r="J37" s="359"/>
      <c r="K37" s="352"/>
      <c r="L37" s="353"/>
      <c r="M37" s="352"/>
      <c r="N37" s="353"/>
      <c r="O37" s="352"/>
      <c r="P37" s="353"/>
      <c r="Q37" s="352"/>
      <c r="R37" s="966"/>
      <c r="S37" s="352"/>
      <c r="T37" s="353"/>
      <c r="U37" s="352"/>
      <c r="V37" s="353"/>
      <c r="W37" s="352"/>
      <c r="X37" s="359"/>
      <c r="Y37" s="352"/>
      <c r="Z37" s="353"/>
      <c r="AA37" s="352"/>
      <c r="AB37" s="353"/>
      <c r="AC37" s="352"/>
      <c r="AD37" s="353"/>
      <c r="AE37" s="352"/>
      <c r="AF37" s="353"/>
      <c r="AG37" s="352"/>
      <c r="AH37" s="353"/>
      <c r="AI37" s="352"/>
      <c r="AJ37" s="353"/>
      <c r="AK37" s="352"/>
      <c r="AL37" s="353"/>
      <c r="AM37" s="352"/>
      <c r="AN37" s="353"/>
      <c r="AO37" s="352"/>
      <c r="AP37" s="353"/>
      <c r="AQ37" s="352"/>
      <c r="AR37" s="353"/>
      <c r="AS37" s="352"/>
      <c r="AT37" s="353"/>
      <c r="AU37" s="352"/>
      <c r="AV37" s="353"/>
      <c r="AW37" s="352"/>
      <c r="AX37" s="352"/>
      <c r="AY37" s="352"/>
      <c r="AZ37" s="353"/>
      <c r="BA37" s="352"/>
      <c r="BB37" s="353"/>
      <c r="BC37" s="352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  <c r="BQ37" s="213"/>
      <c r="BR37" s="213"/>
      <c r="BS37" s="213"/>
      <c r="BT37" s="213"/>
      <c r="BU37" s="213"/>
      <c r="BV37" s="213"/>
      <c r="BW37" s="213"/>
    </row>
    <row r="38" ht="15.75" hidden="1" customHeight="1">
      <c r="A38" s="213"/>
      <c r="B38" s="245"/>
      <c r="C38" s="245"/>
      <c r="D38" s="353"/>
      <c r="E38" s="355"/>
      <c r="F38" s="353"/>
      <c r="G38" s="357"/>
      <c r="H38" s="359"/>
      <c r="I38" s="355"/>
      <c r="J38" s="359"/>
      <c r="K38" s="352"/>
      <c r="L38" s="353"/>
      <c r="M38" s="352"/>
      <c r="N38" s="353"/>
      <c r="O38" s="352"/>
      <c r="P38" s="353"/>
      <c r="Q38" s="352"/>
      <c r="R38" s="966"/>
      <c r="S38" s="352"/>
      <c r="T38" s="353"/>
      <c r="U38" s="352"/>
      <c r="V38" s="353"/>
      <c r="W38" s="352"/>
      <c r="X38" s="359"/>
      <c r="Y38" s="352"/>
      <c r="Z38" s="353"/>
      <c r="AA38" s="352"/>
      <c r="AB38" s="353"/>
      <c r="AC38" s="352"/>
      <c r="AD38" s="353"/>
      <c r="AE38" s="352"/>
      <c r="AF38" s="353"/>
      <c r="AG38" s="352"/>
      <c r="AH38" s="353"/>
      <c r="AI38" s="352"/>
      <c r="AJ38" s="353"/>
      <c r="AK38" s="352"/>
      <c r="AL38" s="353"/>
      <c r="AM38" s="352"/>
      <c r="AN38" s="353"/>
      <c r="AO38" s="352"/>
      <c r="AP38" s="353"/>
      <c r="AQ38" s="352"/>
      <c r="AR38" s="353"/>
      <c r="AS38" s="352"/>
      <c r="AT38" s="353"/>
      <c r="AU38" s="352"/>
      <c r="AV38" s="353"/>
      <c r="AW38" s="352"/>
      <c r="AX38" s="352"/>
      <c r="AY38" s="352"/>
      <c r="AZ38" s="353"/>
      <c r="BA38" s="352"/>
      <c r="BB38" s="353"/>
      <c r="BC38" s="352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  <c r="BQ38" s="213"/>
      <c r="BR38" s="213"/>
      <c r="BS38" s="213"/>
      <c r="BT38" s="213"/>
      <c r="BU38" s="213"/>
      <c r="BV38" s="213"/>
      <c r="BW38" s="213"/>
    </row>
    <row r="39" ht="15.75" hidden="1" customHeight="1">
      <c r="A39" s="213"/>
      <c r="B39" s="245"/>
      <c r="C39" s="245"/>
      <c r="D39" s="353"/>
      <c r="E39" s="355"/>
      <c r="F39" s="353"/>
      <c r="G39" s="357"/>
      <c r="H39" s="359"/>
      <c r="I39" s="355"/>
      <c r="J39" s="359"/>
      <c r="K39" s="352"/>
      <c r="L39" s="353"/>
      <c r="M39" s="352"/>
      <c r="N39" s="353"/>
      <c r="O39" s="352"/>
      <c r="P39" s="353"/>
      <c r="Q39" s="352"/>
      <c r="R39" s="966"/>
      <c r="S39" s="352"/>
      <c r="T39" s="353"/>
      <c r="U39" s="352"/>
      <c r="V39" s="353"/>
      <c r="W39" s="352"/>
      <c r="X39" s="359"/>
      <c r="Y39" s="352"/>
      <c r="Z39" s="353"/>
      <c r="AA39" s="352"/>
      <c r="AB39" s="353"/>
      <c r="AC39" s="352"/>
      <c r="AD39" s="353"/>
      <c r="AE39" s="352"/>
      <c r="AF39" s="353"/>
      <c r="AG39" s="352"/>
      <c r="AH39" s="353"/>
      <c r="AI39" s="352"/>
      <c r="AJ39" s="353"/>
      <c r="AK39" s="352"/>
      <c r="AL39" s="353"/>
      <c r="AM39" s="352"/>
      <c r="AN39" s="353"/>
      <c r="AO39" s="352"/>
      <c r="AP39" s="353"/>
      <c r="AQ39" s="352"/>
      <c r="AR39" s="353"/>
      <c r="AS39" s="352"/>
      <c r="AT39" s="353"/>
      <c r="AU39" s="352"/>
      <c r="AV39" s="353"/>
      <c r="AW39" s="352"/>
      <c r="AX39" s="352"/>
      <c r="AY39" s="352"/>
      <c r="AZ39" s="353"/>
      <c r="BA39" s="352"/>
      <c r="BB39" s="353"/>
      <c r="BC39" s="352"/>
      <c r="BD39" s="216"/>
      <c r="BE39" s="216"/>
      <c r="BF39" s="216"/>
      <c r="BG39" s="216"/>
      <c r="BH39" s="216"/>
      <c r="BI39" s="216"/>
      <c r="BJ39" s="216"/>
      <c r="BK39" s="216"/>
      <c r="BL39" s="216"/>
      <c r="BM39" s="216"/>
      <c r="BN39" s="216"/>
      <c r="BO39" s="216"/>
      <c r="BP39" s="216"/>
      <c r="BQ39" s="216"/>
      <c r="BR39" s="216"/>
      <c r="BS39" s="216"/>
      <c r="BT39" s="216"/>
      <c r="BU39" s="216"/>
      <c r="BV39" s="216"/>
      <c r="BW39" s="216"/>
    </row>
    <row r="40" ht="15.75" customHeight="1">
      <c r="A40" s="213"/>
      <c r="B40" s="352"/>
      <c r="C40" s="352"/>
      <c r="D40" s="353"/>
      <c r="E40" s="352"/>
      <c r="F40" s="353"/>
      <c r="G40" s="352"/>
      <c r="H40" s="359"/>
      <c r="I40" s="352"/>
      <c r="J40" s="359"/>
      <c r="K40" s="352"/>
      <c r="L40" s="353"/>
      <c r="M40" s="352"/>
      <c r="N40" s="353"/>
      <c r="O40" s="352"/>
      <c r="P40" s="353"/>
      <c r="Q40" s="352"/>
      <c r="R40" s="966"/>
      <c r="S40" s="352"/>
      <c r="T40" s="353"/>
      <c r="U40" s="352"/>
      <c r="V40" s="353"/>
      <c r="W40" s="352"/>
      <c r="X40" s="359"/>
      <c r="Y40" s="352"/>
      <c r="Z40" s="353"/>
      <c r="AA40" s="352"/>
      <c r="AB40" s="353"/>
      <c r="AC40" s="352"/>
      <c r="AD40" s="353"/>
      <c r="AE40" s="352"/>
      <c r="AF40" s="353"/>
      <c r="AG40" s="352"/>
      <c r="AH40" s="353"/>
      <c r="AI40" s="352"/>
      <c r="AJ40" s="353"/>
      <c r="AK40" s="352"/>
      <c r="AL40" s="353"/>
      <c r="AM40" s="352"/>
      <c r="AN40" s="353"/>
      <c r="AO40" s="352"/>
      <c r="AP40" s="353"/>
      <c r="AQ40" s="352"/>
      <c r="AR40" s="353"/>
      <c r="AS40" s="352"/>
      <c r="AT40" s="353"/>
      <c r="AU40" s="352"/>
      <c r="AV40" s="353"/>
      <c r="AW40" s="352"/>
      <c r="AX40" s="352"/>
      <c r="AY40" s="352"/>
      <c r="AZ40" s="353"/>
      <c r="BA40" s="352"/>
      <c r="BB40" s="353"/>
      <c r="BC40" s="352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  <c r="BQ40" s="213"/>
      <c r="BR40" s="213"/>
      <c r="BS40" s="213"/>
      <c r="BT40" s="213"/>
      <c r="BU40" s="213"/>
      <c r="BV40" s="213"/>
      <c r="BW40" s="213"/>
    </row>
    <row r="41" ht="15.75" customHeight="1">
      <c r="A41" s="213"/>
      <c r="B41" s="970" t="s">
        <v>233</v>
      </c>
      <c r="C41" s="971"/>
      <c r="D41" s="353"/>
      <c r="E41" s="352"/>
      <c r="F41" s="353"/>
      <c r="G41" s="352"/>
      <c r="H41" s="359"/>
      <c r="I41" s="352"/>
      <c r="J41" s="359"/>
      <c r="K41" s="352"/>
      <c r="L41" s="353"/>
      <c r="M41" s="352"/>
      <c r="N41" s="353"/>
      <c r="O41" s="352"/>
      <c r="P41" s="353"/>
      <c r="Q41" s="352"/>
      <c r="R41" s="966"/>
      <c r="S41" s="352"/>
      <c r="T41" s="353"/>
      <c r="U41" s="352"/>
      <c r="V41" s="353"/>
      <c r="W41" s="352"/>
      <c r="X41" s="359"/>
      <c r="Y41" s="352"/>
      <c r="Z41" s="353"/>
      <c r="AA41" s="352"/>
      <c r="AB41" s="353"/>
      <c r="AC41" s="352"/>
      <c r="AD41" s="353"/>
      <c r="AE41" s="352"/>
      <c r="AF41" s="353"/>
      <c r="AG41" s="352"/>
      <c r="AH41" s="353"/>
      <c r="AI41" s="352"/>
      <c r="AJ41" s="353"/>
      <c r="AK41" s="352"/>
      <c r="AL41" s="353"/>
      <c r="AM41" s="352"/>
      <c r="AN41" s="353"/>
      <c r="AO41" s="352"/>
      <c r="AP41" s="353"/>
      <c r="AQ41" s="352"/>
      <c r="AR41" s="353"/>
      <c r="AS41" s="352"/>
      <c r="AT41" s="353"/>
      <c r="AU41" s="352"/>
      <c r="AV41" s="353"/>
      <c r="AW41" s="352"/>
      <c r="AX41" s="352"/>
      <c r="AY41" s="352"/>
      <c r="AZ41" s="353"/>
      <c r="BA41" s="352"/>
      <c r="BB41" s="353"/>
      <c r="BC41" s="352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  <c r="BQ41" s="213"/>
      <c r="BR41" s="213"/>
      <c r="BS41" s="213"/>
      <c r="BT41" s="213"/>
      <c r="BU41" s="213"/>
      <c r="BV41" s="213"/>
      <c r="BW41" s="213"/>
    </row>
    <row r="42" ht="15.75" customHeight="1">
      <c r="A42" s="213"/>
      <c r="B42" s="352" t="s">
        <v>29</v>
      </c>
      <c r="C42" s="245"/>
      <c r="D42" s="353"/>
      <c r="E42" s="352"/>
      <c r="F42" s="353"/>
      <c r="G42" s="352"/>
      <c r="H42" s="359"/>
      <c r="I42" s="352"/>
      <c r="J42" s="359"/>
      <c r="K42" s="352"/>
      <c r="L42" s="353"/>
      <c r="M42" s="352"/>
      <c r="N42" s="353"/>
      <c r="O42" s="352"/>
      <c r="P42" s="353"/>
      <c r="Q42" s="352"/>
      <c r="R42" s="966"/>
      <c r="S42" s="352"/>
      <c r="T42" s="353"/>
      <c r="U42" s="352"/>
      <c r="V42" s="353"/>
      <c r="W42" s="352"/>
      <c r="X42" s="359"/>
      <c r="Y42" s="352"/>
      <c r="Z42" s="353"/>
      <c r="AA42" s="352"/>
      <c r="AB42" s="353"/>
      <c r="AC42" s="352"/>
      <c r="AD42" s="353"/>
      <c r="AE42" s="352"/>
      <c r="AF42" s="353"/>
      <c r="AG42" s="352"/>
      <c r="AH42" s="353"/>
      <c r="AI42" s="352"/>
      <c r="AJ42" s="353"/>
      <c r="AK42" s="352"/>
      <c r="AL42" s="353"/>
      <c r="AM42" s="352"/>
      <c r="AN42" s="353"/>
      <c r="AO42" s="352"/>
      <c r="AP42" s="353"/>
      <c r="AQ42" s="352"/>
      <c r="AR42" s="353"/>
      <c r="AS42" s="352"/>
      <c r="AT42" s="353"/>
      <c r="AU42" s="352"/>
      <c r="AV42" s="353"/>
      <c r="AW42" s="352"/>
      <c r="AX42" s="352"/>
      <c r="AY42" s="352"/>
      <c r="AZ42" s="353"/>
      <c r="BA42" s="352"/>
      <c r="BB42" s="353"/>
      <c r="BC42" s="352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  <c r="BQ42" s="213"/>
      <c r="BR42" s="213"/>
      <c r="BS42" s="213"/>
      <c r="BT42" s="213"/>
      <c r="BU42" s="213"/>
      <c r="BV42" s="213"/>
      <c r="BW42" s="213"/>
    </row>
    <row r="43" ht="15.75" customHeight="1">
      <c r="A43" s="213"/>
      <c r="B43" s="245"/>
      <c r="C43" s="972" t="s">
        <v>234</v>
      </c>
      <c r="D43" s="353"/>
      <c r="E43" s="352"/>
      <c r="F43" s="353"/>
      <c r="G43" s="352"/>
      <c r="H43" s="359"/>
      <c r="I43" s="352"/>
      <c r="J43" s="359"/>
      <c r="K43" s="352"/>
      <c r="L43" s="353"/>
      <c r="M43" s="352"/>
      <c r="N43" s="353"/>
      <c r="O43" s="352"/>
      <c r="P43" s="353"/>
      <c r="Q43" s="352"/>
      <c r="R43" s="966"/>
      <c r="S43" s="352"/>
      <c r="T43" s="353"/>
      <c r="U43" s="352"/>
      <c r="V43" s="353"/>
      <c r="W43" s="352"/>
      <c r="X43" s="359"/>
      <c r="Y43" s="352"/>
      <c r="Z43" s="353"/>
      <c r="AA43" s="352"/>
      <c r="AB43" s="353"/>
      <c r="AC43" s="352"/>
      <c r="AD43" s="353"/>
      <c r="AE43" s="352"/>
      <c r="AF43" s="353"/>
      <c r="AG43" s="352"/>
      <c r="AH43" s="353"/>
      <c r="AI43" s="352"/>
      <c r="AJ43" s="353"/>
      <c r="AK43" s="352"/>
      <c r="AL43" s="353"/>
      <c r="AM43" s="352"/>
      <c r="AN43" s="353"/>
      <c r="AO43" s="352"/>
      <c r="AP43" s="353"/>
      <c r="AQ43" s="352"/>
      <c r="AR43" s="353"/>
      <c r="AS43" s="352"/>
      <c r="AT43" s="353"/>
      <c r="AU43" s="352"/>
      <c r="AV43" s="353"/>
      <c r="AW43" s="352"/>
      <c r="AX43" s="352"/>
      <c r="AY43" s="352"/>
      <c r="AZ43" s="353"/>
      <c r="BA43" s="352"/>
      <c r="BB43" s="353"/>
      <c r="BC43" s="352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</row>
    <row r="44" ht="15.75" customHeight="1">
      <c r="A44" s="213"/>
      <c r="B44" s="245"/>
      <c r="C44" s="245" t="s">
        <v>235</v>
      </c>
      <c r="D44" s="353"/>
      <c r="E44" s="352"/>
      <c r="F44" s="353">
        <f>G44*F28</f>
        <v>0</v>
      </c>
      <c r="G44" s="355"/>
      <c r="H44" s="359"/>
      <c r="I44" s="352"/>
      <c r="J44" s="359">
        <f>K44*J28</f>
        <v>0</v>
      </c>
      <c r="K44" s="355">
        <v>0.02</v>
      </c>
      <c r="L44" s="353"/>
      <c r="M44" s="352"/>
      <c r="N44" s="353">
        <f>O44*N28</f>
        <v>0</v>
      </c>
      <c r="O44" s="355">
        <v>0.02</v>
      </c>
      <c r="P44" s="353"/>
      <c r="Q44" s="352"/>
      <c r="R44" s="966">
        <f>S44*R28</f>
        <v>0</v>
      </c>
      <c r="S44" s="355">
        <v>0.02</v>
      </c>
      <c r="T44" s="353"/>
      <c r="U44" s="352"/>
      <c r="V44" s="353">
        <f>W44*V28</f>
        <v>80000</v>
      </c>
      <c r="W44" s="355">
        <v>0.02</v>
      </c>
      <c r="X44" s="359"/>
      <c r="Y44" s="352"/>
      <c r="Z44" s="353">
        <f>AA44*Z28</f>
        <v>80000</v>
      </c>
      <c r="AA44" s="355">
        <v>0.02</v>
      </c>
      <c r="AB44" s="353"/>
      <c r="AC44" s="352"/>
      <c r="AD44" s="353">
        <f>AE44*AD28</f>
        <v>80000</v>
      </c>
      <c r="AE44" s="355">
        <v>0.02</v>
      </c>
      <c r="AF44" s="353">
        <f>'MSBC CK Allocation'!J31</f>
        <v>177934.0993</v>
      </c>
      <c r="AG44" s="352"/>
      <c r="AH44" s="353">
        <f>AI44*AH28</f>
        <v>80000</v>
      </c>
      <c r="AI44" s="355">
        <v>0.02</v>
      </c>
      <c r="AJ44" s="353">
        <f>'MSBC CK Allocation'!K31</f>
        <v>205179.2875</v>
      </c>
      <c r="AK44" s="355">
        <f>AJ44/AJ28</f>
        <v>0.04918932214</v>
      </c>
      <c r="AL44" s="353">
        <f>AM44*AL28</f>
        <v>80000</v>
      </c>
      <c r="AM44" s="355">
        <v>0.02</v>
      </c>
      <c r="AN44" s="353">
        <f>AO44*AN28</f>
        <v>213648.663</v>
      </c>
      <c r="AO44" s="413">
        <v>0.0492</v>
      </c>
      <c r="AP44" s="353">
        <f>AQ44*AP28</f>
        <v>80000</v>
      </c>
      <c r="AQ44" s="355">
        <v>0.02</v>
      </c>
      <c r="AR44" s="353"/>
      <c r="AS44" s="352"/>
      <c r="AT44" s="353">
        <f>AU44*AT28</f>
        <v>196315.011</v>
      </c>
      <c r="AU44" s="413">
        <v>0.0492</v>
      </c>
      <c r="AV44" s="353">
        <f>AW44*AV28</f>
        <v>80000</v>
      </c>
      <c r="AW44" s="355">
        <v>0.02</v>
      </c>
      <c r="AX44" s="352"/>
      <c r="AY44" s="352"/>
      <c r="AZ44" s="353">
        <f>BA44*AZ28</f>
        <v>228592.9416</v>
      </c>
      <c r="BA44" s="413">
        <v>0.0492</v>
      </c>
      <c r="BB44" s="353">
        <f>BC44*BB28</f>
        <v>80000</v>
      </c>
      <c r="BC44" s="355">
        <v>0.02</v>
      </c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  <c r="BQ44" s="213"/>
      <c r="BR44" s="213"/>
      <c r="BS44" s="213"/>
      <c r="BT44" s="213"/>
      <c r="BU44" s="213"/>
      <c r="BV44" s="213"/>
      <c r="BW44" s="213"/>
    </row>
    <row r="45" ht="15.75" customHeight="1">
      <c r="A45" s="213"/>
      <c r="B45" s="245"/>
      <c r="C45" s="245" t="s">
        <v>301</v>
      </c>
      <c r="D45" s="353"/>
      <c r="E45" s="352"/>
      <c r="F45" s="353">
        <f>G45*F28</f>
        <v>0</v>
      </c>
      <c r="G45" s="355"/>
      <c r="H45" s="359"/>
      <c r="I45" s="352"/>
      <c r="J45" s="359">
        <f>K45*J28</f>
        <v>0</v>
      </c>
      <c r="K45" s="355">
        <v>0.34</v>
      </c>
      <c r="L45" s="353"/>
      <c r="M45" s="352"/>
      <c r="N45" s="353">
        <f>O45*N28</f>
        <v>0</v>
      </c>
      <c r="O45" s="355">
        <v>0.34</v>
      </c>
      <c r="P45" s="353"/>
      <c r="Q45" s="352"/>
      <c r="R45" s="966">
        <f>S45*R28</f>
        <v>0</v>
      </c>
      <c r="S45" s="355">
        <v>0.34</v>
      </c>
      <c r="T45" s="353"/>
      <c r="U45" s="352"/>
      <c r="V45" s="353">
        <f>W45*V28</f>
        <v>1360000</v>
      </c>
      <c r="W45" s="355">
        <v>0.34</v>
      </c>
      <c r="X45" s="359"/>
      <c r="Y45" s="352"/>
      <c r="Z45" s="353">
        <f>AA45*Z28</f>
        <v>1360000</v>
      </c>
      <c r="AA45" s="355">
        <v>0.34</v>
      </c>
      <c r="AB45" s="353"/>
      <c r="AC45" s="352"/>
      <c r="AD45" s="353">
        <f>AE45*AD28</f>
        <v>1360000</v>
      </c>
      <c r="AE45" s="355">
        <v>0.34</v>
      </c>
      <c r="AF45" s="353">
        <v>1868212.52</v>
      </c>
      <c r="AG45" s="355">
        <f>AF45/AF28</f>
        <v>0.6424444914</v>
      </c>
      <c r="AH45" s="353">
        <f>AI45*AH28</f>
        <v>1360000</v>
      </c>
      <c r="AI45" s="355">
        <v>0.34</v>
      </c>
      <c r="AJ45" s="353">
        <v>1971509.47</v>
      </c>
      <c r="AK45" s="355">
        <f>AJ45/AJ28</f>
        <v>0.4726462188</v>
      </c>
      <c r="AL45" s="353">
        <f>AM45*AL28</f>
        <v>1360000</v>
      </c>
      <c r="AM45" s="355">
        <v>0.34</v>
      </c>
      <c r="AN45" s="353">
        <v>2027967.64</v>
      </c>
      <c r="AO45" s="352"/>
      <c r="AP45" s="353">
        <f>AQ45*AP28</f>
        <v>1360000</v>
      </c>
      <c r="AQ45" s="355">
        <v>0.34</v>
      </c>
      <c r="AR45" s="353"/>
      <c r="AS45" s="352"/>
      <c r="AT45" s="353">
        <v>1736866.0</v>
      </c>
      <c r="AU45" s="352"/>
      <c r="AV45" s="353">
        <f>AW45*AV28</f>
        <v>1360000</v>
      </c>
      <c r="AW45" s="355">
        <v>0.34</v>
      </c>
      <c r="AX45" s="352"/>
      <c r="AY45" s="352"/>
      <c r="AZ45" s="353">
        <v>2380015.8819828294</v>
      </c>
      <c r="BA45" s="352"/>
      <c r="BB45" s="353">
        <f>BC45*BB28</f>
        <v>1360000</v>
      </c>
      <c r="BC45" s="355">
        <v>0.34</v>
      </c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  <c r="BQ45" s="213"/>
      <c r="BR45" s="213"/>
      <c r="BS45" s="213"/>
      <c r="BT45" s="213"/>
      <c r="BU45" s="213"/>
      <c r="BV45" s="213"/>
      <c r="BW45" s="213"/>
    </row>
    <row r="46" ht="15.75" customHeight="1">
      <c r="A46" s="213"/>
      <c r="B46" s="245"/>
      <c r="C46" s="245" t="s">
        <v>22</v>
      </c>
      <c r="D46" s="353"/>
      <c r="E46" s="352"/>
      <c r="F46" s="353">
        <f t="shared" ref="F46:F47" si="41">G46*F26</f>
        <v>0</v>
      </c>
      <c r="G46" s="355"/>
      <c r="H46" s="359"/>
      <c r="I46" s="352"/>
      <c r="J46" s="359">
        <f t="shared" ref="J46:J47" si="42">K46*J26</f>
        <v>0</v>
      </c>
      <c r="K46" s="355">
        <v>0.25</v>
      </c>
      <c r="L46" s="353"/>
      <c r="M46" s="352"/>
      <c r="N46" s="353">
        <f t="shared" ref="N46:N47" si="43">O46*N26</f>
        <v>0</v>
      </c>
      <c r="O46" s="355">
        <v>0.25</v>
      </c>
      <c r="P46" s="353"/>
      <c r="Q46" s="352"/>
      <c r="R46" s="966">
        <f t="shared" ref="R46:R47" si="44">S46*R26</f>
        <v>0</v>
      </c>
      <c r="S46" s="355">
        <v>0.25</v>
      </c>
      <c r="T46" s="353"/>
      <c r="U46" s="352"/>
      <c r="V46" s="353">
        <f t="shared" ref="V46:V47" si="45">W46*V26</f>
        <v>250000</v>
      </c>
      <c r="W46" s="355">
        <v>0.25</v>
      </c>
      <c r="X46" s="359"/>
      <c r="Y46" s="352"/>
      <c r="Z46" s="353">
        <f t="shared" ref="Z46:Z47" si="46">AA46*Z26</f>
        <v>250000</v>
      </c>
      <c r="AA46" s="355">
        <v>0.25</v>
      </c>
      <c r="AB46" s="353"/>
      <c r="AC46" s="352"/>
      <c r="AD46" s="353">
        <f t="shared" ref="AD46:AD47" si="47">AE46*AD26</f>
        <v>250000</v>
      </c>
      <c r="AE46" s="355">
        <v>0.25</v>
      </c>
      <c r="AF46" s="353">
        <v>63687.06</v>
      </c>
      <c r="AG46" s="355">
        <f t="shared" ref="AG46:AG47" si="48">AF46/AF26</f>
        <v>0.4721057079</v>
      </c>
      <c r="AH46" s="353">
        <f t="shared" ref="AH46:AH47" si="49">AI46*AH26</f>
        <v>250000</v>
      </c>
      <c r="AI46" s="355">
        <v>0.25</v>
      </c>
      <c r="AJ46" s="353">
        <v>69920.0</v>
      </c>
      <c r="AK46" s="355">
        <f t="shared" ref="AK46:AK48" si="50">AJ46/AJ26</f>
        <v>0.3068012286</v>
      </c>
      <c r="AL46" s="353">
        <f t="shared" ref="AL46:AL47" si="51">AM46*AL26</f>
        <v>250000</v>
      </c>
      <c r="AM46" s="355">
        <v>0.25</v>
      </c>
      <c r="AN46" s="353">
        <f>108022+2356.9</f>
        <v>110378.9</v>
      </c>
      <c r="AO46" s="352"/>
      <c r="AP46" s="353">
        <f t="shared" ref="AP46:AP47" si="52">AQ46*AP26</f>
        <v>250000</v>
      </c>
      <c r="AQ46" s="355">
        <v>0.25</v>
      </c>
      <c r="AR46" s="353"/>
      <c r="AS46" s="352"/>
      <c r="AT46" s="353">
        <f>87892</f>
        <v>87892</v>
      </c>
      <c r="AU46" s="352"/>
      <c r="AV46" s="353">
        <f t="shared" ref="AV46:AV47" si="53">AW46*AV26</f>
        <v>250000</v>
      </c>
      <c r="AW46" s="355">
        <v>0.25</v>
      </c>
      <c r="AX46" s="352"/>
      <c r="AY46" s="352"/>
      <c r="AZ46" s="353">
        <f>(100410.695428571)</f>
        <v>100410.6954</v>
      </c>
      <c r="BA46" s="352"/>
      <c r="BB46" s="353">
        <f t="shared" ref="BB46:BB47" si="54">BC46*BB26</f>
        <v>250000</v>
      </c>
      <c r="BC46" s="355">
        <v>0.25</v>
      </c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  <c r="BQ46" s="213"/>
      <c r="BR46" s="213"/>
      <c r="BS46" s="213"/>
      <c r="BT46" s="213"/>
      <c r="BU46" s="213"/>
      <c r="BV46" s="213"/>
      <c r="BW46" s="213"/>
    </row>
    <row r="47" ht="15.75" customHeight="1">
      <c r="A47" s="213"/>
      <c r="B47" s="245"/>
      <c r="C47" s="245" t="s">
        <v>23</v>
      </c>
      <c r="D47" s="353"/>
      <c r="E47" s="352"/>
      <c r="F47" s="353">
        <f t="shared" si="41"/>
        <v>0</v>
      </c>
      <c r="G47" s="355"/>
      <c r="H47" s="359"/>
      <c r="I47" s="352"/>
      <c r="J47" s="359">
        <f t="shared" si="42"/>
        <v>0</v>
      </c>
      <c r="K47" s="355">
        <v>0.27</v>
      </c>
      <c r="L47" s="353"/>
      <c r="M47" s="352"/>
      <c r="N47" s="353">
        <f t="shared" si="43"/>
        <v>0</v>
      </c>
      <c r="O47" s="355">
        <v>0.27</v>
      </c>
      <c r="P47" s="353"/>
      <c r="Q47" s="352"/>
      <c r="R47" s="966">
        <f t="shared" si="44"/>
        <v>0</v>
      </c>
      <c r="S47" s="355">
        <v>0.27</v>
      </c>
      <c r="T47" s="353"/>
      <c r="U47" s="352"/>
      <c r="V47" s="353">
        <f t="shared" si="45"/>
        <v>0</v>
      </c>
      <c r="W47" s="355">
        <v>0.27</v>
      </c>
      <c r="X47" s="359"/>
      <c r="Y47" s="352"/>
      <c r="Z47" s="353">
        <f t="shared" si="46"/>
        <v>0</v>
      </c>
      <c r="AA47" s="355">
        <v>0.29</v>
      </c>
      <c r="AB47" s="353"/>
      <c r="AC47" s="352"/>
      <c r="AD47" s="353">
        <f t="shared" si="47"/>
        <v>0</v>
      </c>
      <c r="AE47" s="355">
        <v>0.27</v>
      </c>
      <c r="AF47" s="353">
        <v>682232.28</v>
      </c>
      <c r="AG47" s="355">
        <f t="shared" si="48"/>
        <v>0.3376971255</v>
      </c>
      <c r="AH47" s="353">
        <f t="shared" si="49"/>
        <v>0</v>
      </c>
      <c r="AI47" s="355">
        <v>0.29</v>
      </c>
      <c r="AJ47" s="353">
        <v>1097323.18</v>
      </c>
      <c r="AK47" s="355">
        <f t="shared" si="50"/>
        <v>0.3197475816</v>
      </c>
      <c r="AL47" s="353">
        <f t="shared" si="51"/>
        <v>0</v>
      </c>
      <c r="AM47" s="355">
        <v>0.27</v>
      </c>
      <c r="AN47" s="353">
        <v>1004751.18</v>
      </c>
      <c r="AO47" s="352"/>
      <c r="AP47" s="353">
        <f t="shared" si="52"/>
        <v>0</v>
      </c>
      <c r="AQ47" s="355">
        <v>0.29</v>
      </c>
      <c r="AR47" s="353"/>
      <c r="AS47" s="352"/>
      <c r="AT47" s="353">
        <v>982477.0</v>
      </c>
      <c r="AU47" s="352"/>
      <c r="AV47" s="353">
        <f t="shared" si="53"/>
        <v>0</v>
      </c>
      <c r="AW47" s="355">
        <v>0.27</v>
      </c>
      <c r="AX47" s="352"/>
      <c r="AY47" s="352"/>
      <c r="AZ47" s="353">
        <v>1120840.7999999998</v>
      </c>
      <c r="BA47" s="352"/>
      <c r="BB47" s="353">
        <f t="shared" si="54"/>
        <v>0</v>
      </c>
      <c r="BC47" s="355">
        <v>0.27</v>
      </c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  <c r="BQ47" s="213"/>
      <c r="BR47" s="213"/>
      <c r="BS47" s="213"/>
      <c r="BT47" s="213"/>
      <c r="BU47" s="213"/>
      <c r="BV47" s="213"/>
      <c r="BW47" s="213"/>
    </row>
    <row r="48" ht="15.75" customHeight="1">
      <c r="A48" s="213"/>
      <c r="B48" s="245"/>
      <c r="C48" s="245" t="s">
        <v>302</v>
      </c>
      <c r="D48" s="353"/>
      <c r="E48" s="352"/>
      <c r="F48" s="353">
        <f>G48*SUM(F26:F28)</f>
        <v>0</v>
      </c>
      <c r="G48" s="355"/>
      <c r="H48" s="359"/>
      <c r="I48" s="352"/>
      <c r="J48" s="359">
        <f>K48*SUM(J26:J28)</f>
        <v>0</v>
      </c>
      <c r="K48" s="355">
        <v>0.0907</v>
      </c>
      <c r="L48" s="353"/>
      <c r="M48" s="352"/>
      <c r="N48" s="353">
        <f>O48*SUM(N26:N28)</f>
        <v>0</v>
      </c>
      <c r="O48" s="355">
        <v>0.0907</v>
      </c>
      <c r="P48" s="353"/>
      <c r="Q48" s="352"/>
      <c r="R48" s="966">
        <f>S48*SUM(R26:R28)</f>
        <v>0</v>
      </c>
      <c r="S48" s="355">
        <v>0.0907</v>
      </c>
      <c r="T48" s="353"/>
      <c r="U48" s="352"/>
      <c r="V48" s="353">
        <f>W48*SUM(V26:V28)</f>
        <v>453500</v>
      </c>
      <c r="W48" s="355">
        <v>0.0907</v>
      </c>
      <c r="X48" s="359"/>
      <c r="Y48" s="352"/>
      <c r="Z48" s="353">
        <f>AA48*SUM(Z26:Z28)</f>
        <v>453500</v>
      </c>
      <c r="AA48" s="355">
        <v>0.0907</v>
      </c>
      <c r="AB48" s="353"/>
      <c r="AC48" s="352"/>
      <c r="AD48" s="353">
        <f>AE48*SUM(AD26:AD28)</f>
        <v>453500</v>
      </c>
      <c r="AE48" s="355">
        <v>0.0907</v>
      </c>
      <c r="AF48" s="353">
        <f>'Calculation Sheet for GST on Pu'!J26</f>
        <v>168504.624</v>
      </c>
      <c r="AG48" s="352"/>
      <c r="AH48" s="353">
        <f>AI48*SUM(AH26:AH28)</f>
        <v>453500</v>
      </c>
      <c r="AI48" s="355">
        <v>0.0907</v>
      </c>
      <c r="AJ48" s="353">
        <f>'Calculation Sheet for GST on Pu'!K26</f>
        <v>192242.8391</v>
      </c>
      <c r="AK48" s="355">
        <f t="shared" si="50"/>
        <v>0.0460879607</v>
      </c>
      <c r="AL48" s="353">
        <f>AM48*SUM(AL26:AL28)</f>
        <v>453500</v>
      </c>
      <c r="AM48" s="355">
        <v>0.0907</v>
      </c>
      <c r="AN48" s="353">
        <f>'Calculation Sheet for GST on Pu'!L26</f>
        <v>167411.7422</v>
      </c>
      <c r="AO48" s="352"/>
      <c r="AP48" s="353">
        <f>AQ48*SUM(AP26:AP28)</f>
        <v>453500</v>
      </c>
      <c r="AQ48" s="355">
        <v>0.0907</v>
      </c>
      <c r="AR48" s="353"/>
      <c r="AS48" s="352"/>
      <c r="AT48" s="353">
        <f>'Calculation Sheet for GST on Pu'!M26</f>
        <v>183447.2834</v>
      </c>
      <c r="AU48" s="352"/>
      <c r="AV48" s="353">
        <f>AW48*SUM(AV26:AV28)</f>
        <v>453500</v>
      </c>
      <c r="AW48" s="355">
        <v>0.0907</v>
      </c>
      <c r="AX48" s="352"/>
      <c r="AY48" s="352"/>
      <c r="AZ48" s="353">
        <f>'Calculation Sheet for GST on Pu'!N26</f>
        <v>181131.6851</v>
      </c>
      <c r="BA48" s="352"/>
      <c r="BB48" s="353">
        <f>BC48*SUM(BB26:BB28)</f>
        <v>453500</v>
      </c>
      <c r="BC48" s="355">
        <v>0.0907</v>
      </c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  <c r="BQ48" s="213"/>
      <c r="BR48" s="213"/>
      <c r="BS48" s="213"/>
      <c r="BT48" s="213"/>
      <c r="BU48" s="213"/>
      <c r="BV48" s="213"/>
      <c r="BW48" s="213"/>
    </row>
    <row r="49" ht="15.75" customHeight="1">
      <c r="A49" s="213"/>
      <c r="B49" s="245"/>
      <c r="C49" s="667" t="s">
        <v>238</v>
      </c>
      <c r="D49" s="353">
        <f>SUM(D44:D48)</f>
        <v>0</v>
      </c>
      <c r="E49" s="352"/>
      <c r="F49" s="353">
        <f>SUM(F44:F48)</f>
        <v>0</v>
      </c>
      <c r="G49" s="355" t="str">
        <f>F49/F31</f>
        <v>#DIV/0!</v>
      </c>
      <c r="H49" s="359">
        <f>SUM(H44:H48)</f>
        <v>0</v>
      </c>
      <c r="I49" s="352"/>
      <c r="J49" s="359">
        <f>SUM(J44:J48)</f>
        <v>0</v>
      </c>
      <c r="K49" s="355" t="str">
        <f>J49/J31</f>
        <v>#DIV/0!</v>
      </c>
      <c r="L49" s="353">
        <f>SUM(L44:L48)</f>
        <v>0</v>
      </c>
      <c r="M49" s="352"/>
      <c r="N49" s="353">
        <f>SUM(N44:N48)</f>
        <v>0</v>
      </c>
      <c r="O49" s="355" t="str">
        <f>N49/N31</f>
        <v>#DIV/0!</v>
      </c>
      <c r="P49" s="353">
        <f>SUM(P44:P48)</f>
        <v>0</v>
      </c>
      <c r="Q49" s="352"/>
      <c r="R49" s="966">
        <f>SUM(R44:R48)</f>
        <v>0</v>
      </c>
      <c r="S49" s="355" t="str">
        <f>R49/R31</f>
        <v>#DIV/0!</v>
      </c>
      <c r="T49" s="353">
        <f>SUM(T44:T48)</f>
        <v>0</v>
      </c>
      <c r="U49" s="352"/>
      <c r="V49" s="353">
        <f>SUM(V44:V48)</f>
        <v>2143500</v>
      </c>
      <c r="W49" s="355">
        <f>V49/V31</f>
        <v>0.4287</v>
      </c>
      <c r="X49" s="359">
        <f>SUM(X44:X48)</f>
        <v>0</v>
      </c>
      <c r="Y49" s="352"/>
      <c r="Z49" s="353">
        <f>SUM(Z44:Z48)</f>
        <v>2143500</v>
      </c>
      <c r="AA49" s="355">
        <f>Z49/Z31</f>
        <v>0.4287</v>
      </c>
      <c r="AB49" s="353">
        <f>SUM(AB44:AB48)</f>
        <v>0</v>
      </c>
      <c r="AC49" s="352"/>
      <c r="AD49" s="353">
        <f>SUM(AD44:AD48)</f>
        <v>2143500</v>
      </c>
      <c r="AE49" s="355">
        <f>AD49/AD31</f>
        <v>0.4287</v>
      </c>
      <c r="AF49" s="353">
        <f>SUM(AF44:AF48)</f>
        <v>2960570.583</v>
      </c>
      <c r="AG49" s="355">
        <f>AF49/AF31</f>
        <v>0.5401448373</v>
      </c>
      <c r="AH49" s="353">
        <f>SUM(AH44:AH48)</f>
        <v>2143500</v>
      </c>
      <c r="AI49" s="355">
        <f>AH49/AH31</f>
        <v>0.4287</v>
      </c>
      <c r="AJ49" s="353">
        <f>SUM(AJ44:AJ48)</f>
        <v>3536174.777</v>
      </c>
      <c r="AK49" s="355">
        <f t="shared" ref="AK49:AK51" si="55">AJ49/AJ$31</f>
        <v>0.4120964823</v>
      </c>
      <c r="AL49" s="353">
        <f>SUM(AL44:AL48)</f>
        <v>2143500</v>
      </c>
      <c r="AM49" s="355">
        <f>AL49/AL31</f>
        <v>0.4287</v>
      </c>
      <c r="AN49" s="353">
        <f>SUM(AN44:AN48)</f>
        <v>3524158.125</v>
      </c>
      <c r="AO49" s="352"/>
      <c r="AP49" s="353">
        <f>SUM(AP44:AP48)</f>
        <v>2143500</v>
      </c>
      <c r="AQ49" s="355">
        <f>AP49/AP31</f>
        <v>0.4287</v>
      </c>
      <c r="AR49" s="353">
        <f>SUM(AR44:AR48)</f>
        <v>0</v>
      </c>
      <c r="AS49" s="352"/>
      <c r="AT49" s="353">
        <f>SUM(AT44:AT48)</f>
        <v>3186997.294</v>
      </c>
      <c r="AU49" s="352"/>
      <c r="AV49" s="353">
        <f>SUM(AV44:AV48)</f>
        <v>2143500</v>
      </c>
      <c r="AW49" s="355">
        <f>AV49/AV31</f>
        <v>0.4287</v>
      </c>
      <c r="AX49" s="352">
        <f>SUM(AX44:AX48)</f>
        <v>0</v>
      </c>
      <c r="AY49" s="352"/>
      <c r="AZ49" s="353">
        <f>SUM(AZ44:AZ48)</f>
        <v>4010992.004</v>
      </c>
      <c r="BA49" s="352"/>
      <c r="BB49" s="353">
        <f>SUM(BB44:BB48)</f>
        <v>2143500</v>
      </c>
      <c r="BC49" s="355">
        <f>BB49/BB31</f>
        <v>0.4287</v>
      </c>
      <c r="BD49" s="215">
        <f t="shared" ref="BD49:BD52" si="56">D49+H49+L49+P49+T49+X49+AB49+AF49+AJ49+AN49+AT49+AZ49</f>
        <v>17218892.78</v>
      </c>
      <c r="BE49" s="216"/>
      <c r="BF49" s="216"/>
      <c r="BG49" s="216"/>
      <c r="BH49" s="216"/>
      <c r="BI49" s="216"/>
      <c r="BJ49" s="216"/>
      <c r="BK49" s="216"/>
      <c r="BL49" s="216"/>
      <c r="BM49" s="216"/>
      <c r="BN49" s="216"/>
      <c r="BO49" s="216"/>
      <c r="BP49" s="216"/>
      <c r="BQ49" s="216"/>
      <c r="BR49" s="216"/>
      <c r="BS49" s="216"/>
      <c r="BT49" s="216"/>
      <c r="BU49" s="216"/>
      <c r="BV49" s="216"/>
      <c r="BW49" s="216"/>
    </row>
    <row r="50" ht="15.75" customHeight="1">
      <c r="A50" s="213"/>
      <c r="B50" s="245"/>
      <c r="C50" s="667" t="s">
        <v>239</v>
      </c>
      <c r="D50" s="353"/>
      <c r="E50" s="352"/>
      <c r="F50" s="353">
        <f>G50*SUM(F26:F28)</f>
        <v>0</v>
      </c>
      <c r="G50" s="355"/>
      <c r="H50" s="359"/>
      <c r="I50" s="352"/>
      <c r="J50" s="359">
        <f>K50*SUM(J26:J28)</f>
        <v>0</v>
      </c>
      <c r="K50" s="355">
        <v>0.0031</v>
      </c>
      <c r="L50" s="353"/>
      <c r="M50" s="352"/>
      <c r="N50" s="353">
        <f>O50*SUM(N26:N28)</f>
        <v>0</v>
      </c>
      <c r="O50" s="355">
        <v>0.0031</v>
      </c>
      <c r="P50" s="353"/>
      <c r="Q50" s="352"/>
      <c r="R50" s="966">
        <f>S50*SUM(R26:R28)</f>
        <v>0</v>
      </c>
      <c r="S50" s="355">
        <v>0.0031</v>
      </c>
      <c r="T50" s="353"/>
      <c r="U50" s="352"/>
      <c r="V50" s="353">
        <f>W50*SUM(V26:V28)</f>
        <v>15500</v>
      </c>
      <c r="W50" s="355">
        <v>0.0031</v>
      </c>
      <c r="X50" s="359"/>
      <c r="Y50" s="352"/>
      <c r="Z50" s="353">
        <f>AA50*SUM(Z26:Z28)</f>
        <v>15500</v>
      </c>
      <c r="AA50" s="355">
        <v>0.0031</v>
      </c>
      <c r="AB50" s="353"/>
      <c r="AC50" s="352"/>
      <c r="AD50" s="353">
        <f>AE50*SUM(AD26:AD28)</f>
        <v>15500</v>
      </c>
      <c r="AE50" s="355">
        <v>0.0031</v>
      </c>
      <c r="AF50" s="536">
        <v>48343.28</v>
      </c>
      <c r="AG50" s="352"/>
      <c r="AH50" s="353">
        <f>AI50*SUM(AH26:AH28)</f>
        <v>15500</v>
      </c>
      <c r="AI50" s="355">
        <v>0.0031</v>
      </c>
      <c r="AJ50" s="353">
        <v>113923.0</v>
      </c>
      <c r="AK50" s="355">
        <f t="shared" si="55"/>
        <v>0.01327628596</v>
      </c>
      <c r="AL50" s="353">
        <f>AM50*SUM(AL26:AL28)</f>
        <v>15500</v>
      </c>
      <c r="AM50" s="355">
        <v>0.0031</v>
      </c>
      <c r="AN50" s="536">
        <v>39707.3</v>
      </c>
      <c r="AO50" s="355">
        <v>0.0031</v>
      </c>
      <c r="AP50" s="353">
        <f>AQ50*SUM(AP26:AP28)</f>
        <v>15500</v>
      </c>
      <c r="AQ50" s="355">
        <v>0.0031</v>
      </c>
      <c r="AR50" s="353"/>
      <c r="AS50" s="352"/>
      <c r="AT50" s="536">
        <v>193872.7</v>
      </c>
      <c r="AU50" s="352"/>
      <c r="AV50" s="353">
        <f>AW50*SUM(AV26:AV28)</f>
        <v>15500</v>
      </c>
      <c r="AW50" s="355">
        <v>0.0031</v>
      </c>
      <c r="AX50" s="352"/>
      <c r="AY50" s="352"/>
      <c r="AZ50" s="536">
        <v>167314.7</v>
      </c>
      <c r="BA50" s="352"/>
      <c r="BB50" s="353">
        <f>BC50*SUM(BB26:BB28)</f>
        <v>15500</v>
      </c>
      <c r="BC50" s="355">
        <v>0.0031</v>
      </c>
      <c r="BD50" s="215">
        <f t="shared" si="56"/>
        <v>563160.98</v>
      </c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  <c r="BQ50" s="213"/>
      <c r="BR50" s="213"/>
      <c r="BS50" s="213"/>
      <c r="BT50" s="213"/>
      <c r="BU50" s="213"/>
      <c r="BV50" s="213"/>
      <c r="BW50" s="213"/>
    </row>
    <row r="51" ht="15.75" customHeight="1">
      <c r="A51" s="213"/>
      <c r="B51" s="245"/>
      <c r="C51" s="667" t="s">
        <v>240</v>
      </c>
      <c r="D51" s="353">
        <f>D49+D50</f>
        <v>0</v>
      </c>
      <c r="E51" s="352"/>
      <c r="F51" s="353">
        <f>F49+F50</f>
        <v>0</v>
      </c>
      <c r="G51" s="355" t="str">
        <f>F51/F31</f>
        <v>#DIV/0!</v>
      </c>
      <c r="H51" s="359">
        <f>H49+H50</f>
        <v>0</v>
      </c>
      <c r="I51" s="352"/>
      <c r="J51" s="359">
        <f>J49+J50</f>
        <v>0</v>
      </c>
      <c r="K51" s="352"/>
      <c r="L51" s="353">
        <f>L49+L50</f>
        <v>0</v>
      </c>
      <c r="M51" s="352"/>
      <c r="N51" s="353">
        <f>N49+N50</f>
        <v>0</v>
      </c>
      <c r="O51" s="352"/>
      <c r="P51" s="353">
        <f>P49+P50</f>
        <v>0</v>
      </c>
      <c r="Q51" s="352"/>
      <c r="R51" s="966">
        <f>R49+R50</f>
        <v>0</v>
      </c>
      <c r="S51" s="352"/>
      <c r="T51" s="353">
        <f>T49+T50</f>
        <v>0</v>
      </c>
      <c r="U51" s="352"/>
      <c r="V51" s="353">
        <f>V49+V50</f>
        <v>2159000</v>
      </c>
      <c r="W51" s="352"/>
      <c r="X51" s="359">
        <f>X49+X50</f>
        <v>0</v>
      </c>
      <c r="Y51" s="352"/>
      <c r="Z51" s="353">
        <f>Z49+Z50</f>
        <v>2159000</v>
      </c>
      <c r="AA51" s="352"/>
      <c r="AB51" s="353">
        <f>AB49+AB50</f>
        <v>0</v>
      </c>
      <c r="AC51" s="352"/>
      <c r="AD51" s="353">
        <f>AD49+AD50</f>
        <v>2159000</v>
      </c>
      <c r="AE51" s="352"/>
      <c r="AF51" s="353">
        <f>AF49+AF50</f>
        <v>3008913.863</v>
      </c>
      <c r="AG51" s="355">
        <f>AF51/AF31</f>
        <v>0.5489648848</v>
      </c>
      <c r="AH51" s="353">
        <f>AH49+AH50</f>
        <v>2159000</v>
      </c>
      <c r="AI51" s="355">
        <f>AH51/AH31</f>
        <v>0.4318</v>
      </c>
      <c r="AJ51" s="353">
        <f>AJ49+AJ50</f>
        <v>3650097.777</v>
      </c>
      <c r="AK51" s="355">
        <f t="shared" si="55"/>
        <v>0.4253727683</v>
      </c>
      <c r="AL51" s="353">
        <f>AL49+AL50</f>
        <v>2159000</v>
      </c>
      <c r="AM51" s="352"/>
      <c r="AN51" s="353">
        <f>AN49+AN50</f>
        <v>3563865.425</v>
      </c>
      <c r="AO51" s="352"/>
      <c r="AP51" s="353">
        <f>AP49+AP50</f>
        <v>2159000</v>
      </c>
      <c r="AQ51" s="352"/>
      <c r="AR51" s="353">
        <f>AR49+AR50</f>
        <v>0</v>
      </c>
      <c r="AS51" s="352"/>
      <c r="AT51" s="353">
        <f>AT49+AT50</f>
        <v>3380869.994</v>
      </c>
      <c r="AU51" s="352"/>
      <c r="AV51" s="353">
        <f>AV49+AV50</f>
        <v>2159000</v>
      </c>
      <c r="AW51" s="352"/>
      <c r="AX51" s="352">
        <f>AX49+AX50</f>
        <v>0</v>
      </c>
      <c r="AY51" s="352"/>
      <c r="AZ51" s="353">
        <f>AZ49+AZ50</f>
        <v>4178306.704</v>
      </c>
      <c r="BA51" s="352"/>
      <c r="BB51" s="353">
        <f>BB49+BB50</f>
        <v>2159000</v>
      </c>
      <c r="BC51" s="352"/>
      <c r="BD51" s="215">
        <f t="shared" si="56"/>
        <v>17782053.76</v>
      </c>
      <c r="BE51" s="216"/>
      <c r="BF51" s="216"/>
      <c r="BG51" s="216"/>
      <c r="BH51" s="216"/>
      <c r="BI51" s="216"/>
      <c r="BJ51" s="216"/>
      <c r="BK51" s="216"/>
      <c r="BL51" s="216"/>
      <c r="BM51" s="216"/>
      <c r="BN51" s="216"/>
      <c r="BO51" s="216"/>
      <c r="BP51" s="216"/>
      <c r="BQ51" s="216"/>
      <c r="BR51" s="216"/>
      <c r="BS51" s="216"/>
      <c r="BT51" s="216"/>
      <c r="BU51" s="216"/>
      <c r="BV51" s="216"/>
      <c r="BW51" s="216"/>
    </row>
    <row r="52" ht="15.75" customHeight="1">
      <c r="A52" s="740"/>
      <c r="B52" s="667"/>
      <c r="C52" s="437" t="s">
        <v>33</v>
      </c>
      <c r="D52" s="657">
        <f>+D31-D51</f>
        <v>0</v>
      </c>
      <c r="E52" s="658"/>
      <c r="F52" s="657">
        <f>+F31-F51</f>
        <v>0</v>
      </c>
      <c r="G52" s="658"/>
      <c r="H52" s="968">
        <f>+H31-H51</f>
        <v>0</v>
      </c>
      <c r="I52" s="658"/>
      <c r="J52" s="968">
        <f>+J31-J51</f>
        <v>0</v>
      </c>
      <c r="K52" s="658"/>
      <c r="L52" s="657"/>
      <c r="M52" s="658"/>
      <c r="N52" s="657"/>
      <c r="O52" s="658"/>
      <c r="P52" s="657"/>
      <c r="Q52" s="658"/>
      <c r="R52" s="969"/>
      <c r="S52" s="658"/>
      <c r="T52" s="657"/>
      <c r="U52" s="658"/>
      <c r="V52" s="657"/>
      <c r="W52" s="658"/>
      <c r="X52" s="968"/>
      <c r="Y52" s="658"/>
      <c r="Z52" s="657"/>
      <c r="AA52" s="658"/>
      <c r="AB52" s="657"/>
      <c r="AC52" s="658"/>
      <c r="AD52" s="657"/>
      <c r="AE52" s="658"/>
      <c r="AF52" s="657">
        <f>AF31-AF51</f>
        <v>2472154.137</v>
      </c>
      <c r="AG52" s="658"/>
      <c r="AH52" s="657">
        <f>AH31-AH51</f>
        <v>2841000</v>
      </c>
      <c r="AI52" s="658"/>
      <c r="AJ52" s="657">
        <f>AJ31-AJ51</f>
        <v>4930841.223</v>
      </c>
      <c r="AK52" s="658"/>
      <c r="AL52" s="657">
        <f>AL31-AL51</f>
        <v>2841000</v>
      </c>
      <c r="AM52" s="658"/>
      <c r="AN52" s="657">
        <f>AN31-AN51</f>
        <v>4775127.825</v>
      </c>
      <c r="AO52" s="658"/>
      <c r="AP52" s="657">
        <f>AP31-AP51</f>
        <v>2841000</v>
      </c>
      <c r="AQ52" s="658"/>
      <c r="AR52" s="657"/>
      <c r="AS52" s="658"/>
      <c r="AT52" s="657">
        <f>AT31-AT51</f>
        <v>4644000.756</v>
      </c>
      <c r="AU52" s="658"/>
      <c r="AV52" s="657">
        <f>AV31-AV51</f>
        <v>2841000</v>
      </c>
      <c r="AW52" s="658"/>
      <c r="AX52" s="658"/>
      <c r="AY52" s="658"/>
      <c r="AZ52" s="657">
        <f>AZ31-AZ51</f>
        <v>5447689.296</v>
      </c>
      <c r="BA52" s="658"/>
      <c r="BB52" s="657">
        <f>BB31-BB51</f>
        <v>2841000</v>
      </c>
      <c r="BC52" s="658"/>
      <c r="BD52" s="215">
        <f t="shared" si="56"/>
        <v>22269813.24</v>
      </c>
      <c r="BE52" s="740"/>
      <c r="BF52" s="740"/>
      <c r="BG52" s="740"/>
      <c r="BH52" s="740"/>
      <c r="BI52" s="740"/>
      <c r="BJ52" s="740"/>
      <c r="BK52" s="740"/>
      <c r="BL52" s="740"/>
      <c r="BM52" s="740"/>
      <c r="BN52" s="740"/>
      <c r="BO52" s="740"/>
      <c r="BP52" s="740"/>
      <c r="BQ52" s="740"/>
      <c r="BR52" s="740"/>
      <c r="BS52" s="740"/>
      <c r="BT52" s="740"/>
      <c r="BU52" s="740"/>
      <c r="BV52" s="740"/>
      <c r="BW52" s="740"/>
    </row>
    <row r="53" ht="15.75" customHeight="1">
      <c r="A53" s="213"/>
      <c r="B53" s="245"/>
      <c r="C53" s="245"/>
      <c r="D53" s="353"/>
      <c r="E53" s="352"/>
      <c r="F53" s="353"/>
      <c r="G53" s="352"/>
      <c r="H53" s="359"/>
      <c r="I53" s="352"/>
      <c r="J53" s="359"/>
      <c r="K53" s="352"/>
      <c r="L53" s="353"/>
      <c r="M53" s="352"/>
      <c r="N53" s="353"/>
      <c r="O53" s="352"/>
      <c r="P53" s="353"/>
      <c r="Q53" s="352"/>
      <c r="R53" s="966"/>
      <c r="S53" s="352"/>
      <c r="T53" s="353"/>
      <c r="U53" s="352"/>
      <c r="V53" s="353"/>
      <c r="W53" s="352"/>
      <c r="X53" s="359"/>
      <c r="Y53" s="352"/>
      <c r="Z53" s="353"/>
      <c r="AA53" s="352"/>
      <c r="AB53" s="353"/>
      <c r="AC53" s="352"/>
      <c r="AD53" s="353"/>
      <c r="AE53" s="352"/>
      <c r="AF53" s="353"/>
      <c r="AG53" s="352"/>
      <c r="AH53" s="353"/>
      <c r="AI53" s="352"/>
      <c r="AJ53" s="353"/>
      <c r="AK53" s="352"/>
      <c r="AL53" s="353"/>
      <c r="AM53" s="352"/>
      <c r="AN53" s="353"/>
      <c r="AO53" s="352"/>
      <c r="AP53" s="353"/>
      <c r="AQ53" s="352"/>
      <c r="AR53" s="353"/>
      <c r="AS53" s="352"/>
      <c r="AT53" s="353"/>
      <c r="AU53" s="352"/>
      <c r="AV53" s="353"/>
      <c r="AW53" s="352"/>
      <c r="AX53" s="352"/>
      <c r="AY53" s="352"/>
      <c r="AZ53" s="353"/>
      <c r="BA53" s="352"/>
      <c r="BB53" s="353"/>
      <c r="BC53" s="352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  <c r="BQ53" s="213"/>
      <c r="BR53" s="213"/>
      <c r="BS53" s="213"/>
      <c r="BT53" s="213"/>
      <c r="BU53" s="213"/>
      <c r="BV53" s="213"/>
      <c r="BW53" s="213"/>
    </row>
    <row r="54" ht="15.75" customHeight="1">
      <c r="A54" s="213"/>
      <c r="B54" s="245"/>
      <c r="C54" s="245"/>
      <c r="D54" s="353"/>
      <c r="E54" s="352"/>
      <c r="F54" s="353"/>
      <c r="G54" s="352"/>
      <c r="H54" s="359"/>
      <c r="I54" s="352"/>
      <c r="J54" s="359"/>
      <c r="K54" s="352"/>
      <c r="L54" s="353"/>
      <c r="M54" s="352"/>
      <c r="N54" s="353"/>
      <c r="O54" s="352"/>
      <c r="P54" s="353"/>
      <c r="Q54" s="352"/>
      <c r="R54" s="966"/>
      <c r="S54" s="352"/>
      <c r="T54" s="353"/>
      <c r="U54" s="352"/>
      <c r="V54" s="353"/>
      <c r="W54" s="352"/>
      <c r="X54" s="359"/>
      <c r="Y54" s="352"/>
      <c r="Z54" s="353"/>
      <c r="AA54" s="352"/>
      <c r="AB54" s="353"/>
      <c r="AC54" s="352"/>
      <c r="AD54" s="353"/>
      <c r="AE54" s="352"/>
      <c r="AF54" s="353"/>
      <c r="AG54" s="352"/>
      <c r="AH54" s="353"/>
      <c r="AI54" s="352"/>
      <c r="AJ54" s="353"/>
      <c r="AK54" s="352"/>
      <c r="AL54" s="353"/>
      <c r="AM54" s="352"/>
      <c r="AN54" s="353"/>
      <c r="AO54" s="352"/>
      <c r="AP54" s="353"/>
      <c r="AQ54" s="352"/>
      <c r="AR54" s="353"/>
      <c r="AS54" s="352"/>
      <c r="AT54" s="353"/>
      <c r="AU54" s="352"/>
      <c r="AV54" s="353"/>
      <c r="AW54" s="352"/>
      <c r="AX54" s="352"/>
      <c r="AY54" s="352"/>
      <c r="AZ54" s="353"/>
      <c r="BA54" s="352"/>
      <c r="BB54" s="353"/>
      <c r="BC54" s="352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  <c r="BQ54" s="213"/>
      <c r="BR54" s="213"/>
      <c r="BS54" s="213"/>
      <c r="BT54" s="213"/>
      <c r="BU54" s="213"/>
      <c r="BV54" s="213"/>
      <c r="BW54" s="213"/>
    </row>
    <row r="55" ht="15.75" customHeight="1">
      <c r="A55" s="213"/>
      <c r="B55" s="245"/>
      <c r="C55" s="245"/>
      <c r="D55" s="353"/>
      <c r="E55" s="352"/>
      <c r="F55" s="353"/>
      <c r="G55" s="352"/>
      <c r="H55" s="359"/>
      <c r="I55" s="352"/>
      <c r="J55" s="359"/>
      <c r="K55" s="352"/>
      <c r="L55" s="353"/>
      <c r="M55" s="352"/>
      <c r="N55" s="353"/>
      <c r="O55" s="352"/>
      <c r="P55" s="353"/>
      <c r="Q55" s="352"/>
      <c r="R55" s="966"/>
      <c r="S55" s="352"/>
      <c r="T55" s="353"/>
      <c r="U55" s="352"/>
      <c r="V55" s="353"/>
      <c r="W55" s="352"/>
      <c r="X55" s="359"/>
      <c r="Y55" s="352"/>
      <c r="Z55" s="353"/>
      <c r="AA55" s="352"/>
      <c r="AB55" s="353"/>
      <c r="AC55" s="352"/>
      <c r="AD55" s="353"/>
      <c r="AE55" s="352"/>
      <c r="AF55" s="353"/>
      <c r="AG55" s="352"/>
      <c r="AH55" s="353"/>
      <c r="AI55" s="352"/>
      <c r="AJ55" s="353"/>
      <c r="AK55" s="352"/>
      <c r="AL55" s="353"/>
      <c r="AM55" s="352"/>
      <c r="AN55" s="353"/>
      <c r="AO55" s="352"/>
      <c r="AP55" s="353"/>
      <c r="AQ55" s="352"/>
      <c r="AR55" s="353"/>
      <c r="AS55" s="352"/>
      <c r="AT55" s="353"/>
      <c r="AU55" s="352"/>
      <c r="AV55" s="353"/>
      <c r="AW55" s="352"/>
      <c r="AX55" s="352"/>
      <c r="AY55" s="352"/>
      <c r="AZ55" s="353"/>
      <c r="BA55" s="352"/>
      <c r="BB55" s="353"/>
      <c r="BC55" s="352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  <c r="BQ55" s="213"/>
      <c r="BR55" s="213"/>
      <c r="BS55" s="213"/>
      <c r="BT55" s="213"/>
      <c r="BU55" s="213"/>
      <c r="BV55" s="213"/>
      <c r="BW55" s="213"/>
    </row>
    <row r="56" ht="15.75" customHeight="1">
      <c r="A56" s="213"/>
      <c r="B56" s="245"/>
      <c r="C56" s="245"/>
      <c r="D56" s="353"/>
      <c r="E56" s="352"/>
      <c r="F56" s="353"/>
      <c r="G56" s="352"/>
      <c r="H56" s="359"/>
      <c r="I56" s="352"/>
      <c r="J56" s="359"/>
      <c r="K56" s="352"/>
      <c r="L56" s="353"/>
      <c r="M56" s="352"/>
      <c r="N56" s="353"/>
      <c r="O56" s="352"/>
      <c r="P56" s="353"/>
      <c r="Q56" s="352"/>
      <c r="R56" s="966"/>
      <c r="S56" s="352"/>
      <c r="T56" s="353"/>
      <c r="U56" s="352"/>
      <c r="V56" s="353"/>
      <c r="W56" s="352"/>
      <c r="X56" s="359"/>
      <c r="Y56" s="352"/>
      <c r="Z56" s="353"/>
      <c r="AA56" s="352"/>
      <c r="AB56" s="353"/>
      <c r="AC56" s="352"/>
      <c r="AD56" s="353"/>
      <c r="AE56" s="352"/>
      <c r="AF56" s="353"/>
      <c r="AG56" s="352"/>
      <c r="AH56" s="353"/>
      <c r="AI56" s="352"/>
      <c r="AJ56" s="353"/>
      <c r="AK56" s="352"/>
      <c r="AL56" s="353"/>
      <c r="AM56" s="352"/>
      <c r="AN56" s="353"/>
      <c r="AO56" s="352"/>
      <c r="AP56" s="353"/>
      <c r="AQ56" s="352"/>
      <c r="AR56" s="353"/>
      <c r="AS56" s="352"/>
      <c r="AT56" s="353"/>
      <c r="AU56" s="352"/>
      <c r="AV56" s="353"/>
      <c r="AW56" s="352"/>
      <c r="AX56" s="352"/>
      <c r="AY56" s="352"/>
      <c r="AZ56" s="353"/>
      <c r="BA56" s="352"/>
      <c r="BB56" s="353"/>
      <c r="BC56" s="352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  <c r="BQ56" s="213"/>
      <c r="BR56" s="213"/>
      <c r="BS56" s="213"/>
      <c r="BT56" s="213"/>
      <c r="BU56" s="213"/>
      <c r="BV56" s="213"/>
      <c r="BW56" s="213"/>
    </row>
    <row r="57" ht="15.75" customHeight="1">
      <c r="A57" s="213"/>
      <c r="B57" s="245"/>
      <c r="C57" s="973" t="s">
        <v>241</v>
      </c>
      <c r="D57" s="353"/>
      <c r="E57" s="352"/>
      <c r="F57" s="353"/>
      <c r="G57" s="352"/>
      <c r="H57" s="359"/>
      <c r="I57" s="352"/>
      <c r="J57" s="359"/>
      <c r="K57" s="352"/>
      <c r="L57" s="353"/>
      <c r="M57" s="352"/>
      <c r="N57" s="353"/>
      <c r="O57" s="352"/>
      <c r="P57" s="353"/>
      <c r="Q57" s="352"/>
      <c r="R57" s="966"/>
      <c r="S57" s="352"/>
      <c r="T57" s="353"/>
      <c r="U57" s="352"/>
      <c r="V57" s="353"/>
      <c r="W57" s="352"/>
      <c r="X57" s="359"/>
      <c r="Y57" s="352"/>
      <c r="Z57" s="353"/>
      <c r="AA57" s="352"/>
      <c r="AB57" s="353"/>
      <c r="AC57" s="352"/>
      <c r="AD57" s="353"/>
      <c r="AE57" s="352"/>
      <c r="AF57" s="353"/>
      <c r="AG57" s="352"/>
      <c r="AH57" s="353"/>
      <c r="AI57" s="352"/>
      <c r="AJ57" s="353"/>
      <c r="AK57" s="352"/>
      <c r="AL57" s="353"/>
      <c r="AM57" s="352"/>
      <c r="AN57" s="353"/>
      <c r="AO57" s="352"/>
      <c r="AP57" s="353"/>
      <c r="AQ57" s="352"/>
      <c r="AR57" s="353"/>
      <c r="AS57" s="352"/>
      <c r="AT57" s="353"/>
      <c r="AU57" s="352"/>
      <c r="AV57" s="353"/>
      <c r="AW57" s="352"/>
      <c r="AX57" s="352"/>
      <c r="AY57" s="352"/>
      <c r="AZ57" s="353"/>
      <c r="BA57" s="352"/>
      <c r="BB57" s="353"/>
      <c r="BC57" s="352"/>
      <c r="BD57" s="215">
        <f>D57+H57+L57+P57+T57+X57+AB57+AF57+AJ57+AN57+AT57+AZ57</f>
        <v>0</v>
      </c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  <c r="BQ57" s="213"/>
      <c r="BR57" s="213"/>
      <c r="BS57" s="213"/>
      <c r="BT57" s="213"/>
      <c r="BU57" s="213"/>
      <c r="BV57" s="213"/>
      <c r="BW57" s="213"/>
    </row>
    <row r="58" ht="15.75" customHeight="1">
      <c r="A58" s="213"/>
      <c r="B58" s="245"/>
      <c r="C58" s="245" t="s">
        <v>242</v>
      </c>
      <c r="D58" s="353"/>
      <c r="E58" s="352"/>
      <c r="F58" s="353">
        <f t="shared" ref="F58:F63" si="57">G58*F$31</f>
        <v>0</v>
      </c>
      <c r="G58" s="355">
        <v>0.003</v>
      </c>
      <c r="H58" s="359"/>
      <c r="I58" s="352"/>
      <c r="J58" s="359">
        <f t="shared" ref="J58:J63" si="58">K58*J$31</f>
        <v>0</v>
      </c>
      <c r="K58" s="355">
        <v>0.003</v>
      </c>
      <c r="L58" s="353"/>
      <c r="M58" s="352"/>
      <c r="N58" s="353">
        <f t="shared" ref="N58:N63" si="59">O58*N$31</f>
        <v>0</v>
      </c>
      <c r="O58" s="355">
        <v>0.003</v>
      </c>
      <c r="P58" s="353"/>
      <c r="Q58" s="352"/>
      <c r="R58" s="966">
        <f t="shared" ref="R58:R63" si="60">S58*R$31</f>
        <v>0</v>
      </c>
      <c r="S58" s="355">
        <v>0.003</v>
      </c>
      <c r="T58" s="353"/>
      <c r="U58" s="352"/>
      <c r="V58" s="353">
        <f t="shared" ref="V58:V63" si="61">W58*V$31</f>
        <v>15000</v>
      </c>
      <c r="W58" s="355">
        <v>0.003</v>
      </c>
      <c r="X58" s="359"/>
      <c r="Y58" s="352"/>
      <c r="Z58" s="353">
        <f t="shared" ref="Z58:Z63" si="62">AA58*Z$31</f>
        <v>15000</v>
      </c>
      <c r="AA58" s="355">
        <v>0.003</v>
      </c>
      <c r="AB58" s="353">
        <v>13996.0</v>
      </c>
      <c r="AC58" s="352"/>
      <c r="AD58" s="353">
        <f t="shared" ref="AD58:AD63" si="63">AE58*AD$31</f>
        <v>15000</v>
      </c>
      <c r="AE58" s="355">
        <v>0.003</v>
      </c>
      <c r="AF58" s="536">
        <v>37165.0</v>
      </c>
      <c r="AG58" s="352"/>
      <c r="AH58" s="353">
        <f t="shared" ref="AH58:AH63" si="64">AI58*AH$31</f>
        <v>15000</v>
      </c>
      <c r="AI58" s="355">
        <v>0.003</v>
      </c>
      <c r="AJ58" s="353">
        <v>30561.0</v>
      </c>
      <c r="AK58" s="355">
        <f t="shared" ref="AK58:AK63" si="65">AJ58/AJ$31</f>
        <v>0.00356149834</v>
      </c>
      <c r="AL58" s="353">
        <f t="shared" ref="AL58:AL63" si="66">AM58*AL$31</f>
        <v>15000</v>
      </c>
      <c r="AM58" s="355">
        <v>0.003</v>
      </c>
      <c r="AN58" s="536">
        <v>39843.54</v>
      </c>
      <c r="AO58" s="352"/>
      <c r="AP58" s="353">
        <f t="shared" ref="AP58:AP63" si="67">AQ58*AP$31</f>
        <v>15000</v>
      </c>
      <c r="AQ58" s="355">
        <v>0.003</v>
      </c>
      <c r="AR58" s="353"/>
      <c r="AS58" s="352"/>
      <c r="AT58" s="536">
        <v>32500.62</v>
      </c>
      <c r="AU58" s="352"/>
      <c r="AV58" s="353">
        <f t="shared" ref="AV58:AV63" si="68">AW58*AV$31</f>
        <v>15000</v>
      </c>
      <c r="AW58" s="355">
        <v>0.003</v>
      </c>
      <c r="AX58" s="352"/>
      <c r="AY58" s="352"/>
      <c r="AZ58" s="536">
        <v>42254.36</v>
      </c>
      <c r="BA58" s="352"/>
      <c r="BB58" s="353">
        <f t="shared" ref="BB58:BB63" si="69">BC58*BB$31</f>
        <v>15000</v>
      </c>
      <c r="BC58" s="355">
        <v>0.003</v>
      </c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  <c r="BQ58" s="213"/>
      <c r="BR58" s="213"/>
      <c r="BS58" s="213"/>
      <c r="BT58" s="213"/>
      <c r="BU58" s="213"/>
      <c r="BV58" s="213"/>
      <c r="BW58" s="213"/>
    </row>
    <row r="59" ht="15.75" customHeight="1">
      <c r="A59" s="213"/>
      <c r="B59" s="245"/>
      <c r="C59" s="245" t="s">
        <v>243</v>
      </c>
      <c r="D59" s="353"/>
      <c r="E59" s="352"/>
      <c r="F59" s="353">
        <f t="shared" si="57"/>
        <v>0</v>
      </c>
      <c r="G59" s="355">
        <v>0.0076</v>
      </c>
      <c r="H59" s="359"/>
      <c r="I59" s="352"/>
      <c r="J59" s="359">
        <f t="shared" si="58"/>
        <v>0</v>
      </c>
      <c r="K59" s="355">
        <v>0.0076</v>
      </c>
      <c r="L59" s="353"/>
      <c r="M59" s="352"/>
      <c r="N59" s="353">
        <f t="shared" si="59"/>
        <v>0</v>
      </c>
      <c r="O59" s="355">
        <v>0.0076</v>
      </c>
      <c r="P59" s="353"/>
      <c r="Q59" s="352"/>
      <c r="R59" s="966">
        <f t="shared" si="60"/>
        <v>0</v>
      </c>
      <c r="S59" s="355">
        <v>0.0076</v>
      </c>
      <c r="T59" s="353"/>
      <c r="U59" s="352"/>
      <c r="V59" s="353">
        <f t="shared" si="61"/>
        <v>38000</v>
      </c>
      <c r="W59" s="355">
        <v>0.0076</v>
      </c>
      <c r="X59" s="359"/>
      <c r="Y59" s="352"/>
      <c r="Z59" s="353">
        <f t="shared" si="62"/>
        <v>38000</v>
      </c>
      <c r="AA59" s="355">
        <v>0.0076</v>
      </c>
      <c r="AB59" s="353">
        <v>0.0</v>
      </c>
      <c r="AC59" s="352"/>
      <c r="AD59" s="353">
        <f t="shared" si="63"/>
        <v>38000</v>
      </c>
      <c r="AE59" s="355">
        <v>0.0076</v>
      </c>
      <c r="AF59" s="536">
        <v>6210.0</v>
      </c>
      <c r="AG59" s="352"/>
      <c r="AH59" s="353">
        <f t="shared" si="64"/>
        <v>38000</v>
      </c>
      <c r="AI59" s="355">
        <v>0.0076</v>
      </c>
      <c r="AJ59" s="353">
        <v>14217.0</v>
      </c>
      <c r="AK59" s="355">
        <f t="shared" si="65"/>
        <v>0.001656811685</v>
      </c>
      <c r="AL59" s="353">
        <f t="shared" si="66"/>
        <v>38000</v>
      </c>
      <c r="AM59" s="355">
        <v>0.0076</v>
      </c>
      <c r="AN59" s="536">
        <v>15875.38</v>
      </c>
      <c r="AO59" s="352"/>
      <c r="AP59" s="353">
        <f t="shared" si="67"/>
        <v>38000</v>
      </c>
      <c r="AQ59" s="355">
        <v>0.0076</v>
      </c>
      <c r="AR59" s="353"/>
      <c r="AS59" s="352"/>
      <c r="AT59" s="536">
        <v>6815.72</v>
      </c>
      <c r="AU59" s="352"/>
      <c r="AV59" s="353">
        <f t="shared" si="68"/>
        <v>38000</v>
      </c>
      <c r="AW59" s="355">
        <v>0.0076</v>
      </c>
      <c r="AX59" s="352"/>
      <c r="AY59" s="352"/>
      <c r="AZ59" s="536">
        <v>7754.86</v>
      </c>
      <c r="BA59" s="352"/>
      <c r="BB59" s="353">
        <f t="shared" si="69"/>
        <v>38000</v>
      </c>
      <c r="BC59" s="355">
        <v>0.0076</v>
      </c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  <c r="BQ59" s="213"/>
      <c r="BR59" s="213"/>
      <c r="BS59" s="213"/>
      <c r="BT59" s="213"/>
      <c r="BU59" s="213"/>
      <c r="BV59" s="213"/>
      <c r="BW59" s="213"/>
    </row>
    <row r="60" ht="15.75" customHeight="1">
      <c r="A60" s="213"/>
      <c r="B60" s="245"/>
      <c r="C60" s="245" t="s">
        <v>244</v>
      </c>
      <c r="D60" s="353"/>
      <c r="E60" s="352"/>
      <c r="F60" s="353">
        <f t="shared" si="57"/>
        <v>0</v>
      </c>
      <c r="G60" s="355">
        <v>0.0039</v>
      </c>
      <c r="H60" s="359">
        <v>115728.0</v>
      </c>
      <c r="I60" s="352"/>
      <c r="J60" s="359">
        <f t="shared" si="58"/>
        <v>0</v>
      </c>
      <c r="K60" s="355">
        <v>0.0039</v>
      </c>
      <c r="L60" s="353"/>
      <c r="M60" s="352"/>
      <c r="N60" s="353">
        <f t="shared" si="59"/>
        <v>0</v>
      </c>
      <c r="O60" s="355">
        <v>0.0039</v>
      </c>
      <c r="P60" s="353"/>
      <c r="Q60" s="352"/>
      <c r="R60" s="966">
        <f t="shared" si="60"/>
        <v>0</v>
      </c>
      <c r="S60" s="355">
        <v>0.0039</v>
      </c>
      <c r="T60" s="353"/>
      <c r="U60" s="352"/>
      <c r="V60" s="353">
        <f t="shared" si="61"/>
        <v>19500</v>
      </c>
      <c r="W60" s="355">
        <v>0.0039</v>
      </c>
      <c r="X60" s="359"/>
      <c r="Y60" s="352"/>
      <c r="Z60" s="353">
        <f t="shared" si="62"/>
        <v>19500</v>
      </c>
      <c r="AA60" s="355">
        <v>0.0039</v>
      </c>
      <c r="AB60" s="353">
        <v>26540.0</v>
      </c>
      <c r="AC60" s="352"/>
      <c r="AD60" s="353">
        <f t="shared" si="63"/>
        <v>19500</v>
      </c>
      <c r="AE60" s="355">
        <v>0.0039</v>
      </c>
      <c r="AF60" s="353"/>
      <c r="AG60" s="352"/>
      <c r="AH60" s="353">
        <f t="shared" si="64"/>
        <v>19500</v>
      </c>
      <c r="AI60" s="355">
        <v>0.0039</v>
      </c>
      <c r="AJ60" s="353">
        <v>31343.0</v>
      </c>
      <c r="AK60" s="355">
        <f t="shared" si="65"/>
        <v>0.003652630557</v>
      </c>
      <c r="AL60" s="353">
        <f t="shared" si="66"/>
        <v>19500</v>
      </c>
      <c r="AM60" s="355">
        <v>0.0039</v>
      </c>
      <c r="AN60" s="536">
        <v>18043.5</v>
      </c>
      <c r="AO60" s="352"/>
      <c r="AP60" s="353">
        <f t="shared" si="67"/>
        <v>19500</v>
      </c>
      <c r="AQ60" s="355">
        <v>0.0039</v>
      </c>
      <c r="AR60" s="353"/>
      <c r="AS60" s="352"/>
      <c r="AT60" s="536"/>
      <c r="AU60" s="352"/>
      <c r="AV60" s="353">
        <f t="shared" si="68"/>
        <v>19500</v>
      </c>
      <c r="AW60" s="355">
        <v>0.0039</v>
      </c>
      <c r="AX60" s="352"/>
      <c r="AY60" s="352"/>
      <c r="AZ60" s="536">
        <v>84671.0</v>
      </c>
      <c r="BA60" s="352"/>
      <c r="BB60" s="353">
        <f t="shared" si="69"/>
        <v>19500</v>
      </c>
      <c r="BC60" s="355">
        <v>0.0039</v>
      </c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  <c r="BQ60" s="213"/>
      <c r="BR60" s="213"/>
      <c r="BS60" s="213"/>
      <c r="BT60" s="213"/>
      <c r="BU60" s="213"/>
      <c r="BV60" s="213"/>
      <c r="BW60" s="213"/>
    </row>
    <row r="61" ht="15.75" customHeight="1">
      <c r="A61" s="213"/>
      <c r="B61" s="245"/>
      <c r="C61" s="245" t="s">
        <v>303</v>
      </c>
      <c r="D61" s="353"/>
      <c r="E61" s="352"/>
      <c r="F61" s="353">
        <f t="shared" si="57"/>
        <v>0</v>
      </c>
      <c r="G61" s="355">
        <v>7.0E-4</v>
      </c>
      <c r="H61" s="359"/>
      <c r="I61" s="352"/>
      <c r="J61" s="359">
        <f t="shared" si="58"/>
        <v>0</v>
      </c>
      <c r="K61" s="355">
        <v>7.0E-4</v>
      </c>
      <c r="L61" s="353"/>
      <c r="M61" s="352"/>
      <c r="N61" s="353">
        <f t="shared" si="59"/>
        <v>0</v>
      </c>
      <c r="O61" s="355">
        <v>7.0E-4</v>
      </c>
      <c r="P61" s="536">
        <v>18200.0</v>
      </c>
      <c r="Q61" s="352"/>
      <c r="R61" s="966">
        <f t="shared" si="60"/>
        <v>0</v>
      </c>
      <c r="S61" s="355">
        <v>7.0E-4</v>
      </c>
      <c r="T61" s="353"/>
      <c r="U61" s="352"/>
      <c r="V61" s="353">
        <f t="shared" si="61"/>
        <v>3500</v>
      </c>
      <c r="W61" s="355">
        <v>7.0E-4</v>
      </c>
      <c r="X61" s="359"/>
      <c r="Y61" s="352"/>
      <c r="Z61" s="353">
        <f t="shared" si="62"/>
        <v>3500</v>
      </c>
      <c r="AA61" s="355">
        <v>7.0E-4</v>
      </c>
      <c r="AB61" s="353">
        <v>7516.0</v>
      </c>
      <c r="AC61" s="352"/>
      <c r="AD61" s="353">
        <f t="shared" si="63"/>
        <v>3500</v>
      </c>
      <c r="AE61" s="355">
        <v>7.0E-4</v>
      </c>
      <c r="AF61" s="536">
        <v>127276.23</v>
      </c>
      <c r="AG61" s="352"/>
      <c r="AH61" s="353">
        <f t="shared" si="64"/>
        <v>3500</v>
      </c>
      <c r="AI61" s="355">
        <v>7.0E-4</v>
      </c>
      <c r="AJ61" s="353">
        <v>62182.0</v>
      </c>
      <c r="AK61" s="355">
        <f t="shared" si="65"/>
        <v>0.007246526283</v>
      </c>
      <c r="AL61" s="353">
        <f t="shared" si="66"/>
        <v>3500</v>
      </c>
      <c r="AM61" s="355">
        <v>7.0E-4</v>
      </c>
      <c r="AN61" s="536">
        <v>24081.5</v>
      </c>
      <c r="AO61" s="352"/>
      <c r="AP61" s="353">
        <f t="shared" si="67"/>
        <v>3500</v>
      </c>
      <c r="AQ61" s="355">
        <v>7.0E-4</v>
      </c>
      <c r="AR61" s="353"/>
      <c r="AS61" s="352"/>
      <c r="AT61" s="536">
        <v>17969.3</v>
      </c>
      <c r="AU61" s="352"/>
      <c r="AV61" s="353">
        <f t="shared" si="68"/>
        <v>3500</v>
      </c>
      <c r="AW61" s="355">
        <v>7.0E-4</v>
      </c>
      <c r="AX61" s="352"/>
      <c r="AY61" s="352"/>
      <c r="AZ61" s="536">
        <v>49063.7</v>
      </c>
      <c r="BA61" s="352"/>
      <c r="BB61" s="353">
        <f t="shared" si="69"/>
        <v>3500</v>
      </c>
      <c r="BC61" s="355">
        <v>7.0E-4</v>
      </c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  <c r="BQ61" s="213"/>
      <c r="BR61" s="213"/>
      <c r="BS61" s="213"/>
      <c r="BT61" s="213"/>
      <c r="BU61" s="213"/>
      <c r="BV61" s="213"/>
      <c r="BW61" s="213"/>
    </row>
    <row r="62" ht="15.75" customHeight="1">
      <c r="A62" s="213"/>
      <c r="B62" s="245"/>
      <c r="C62" s="245" t="s">
        <v>246</v>
      </c>
      <c r="D62" s="353"/>
      <c r="E62" s="352"/>
      <c r="F62" s="353">
        <f t="shared" si="57"/>
        <v>0</v>
      </c>
      <c r="G62" s="355">
        <v>4.0E-4</v>
      </c>
      <c r="H62" s="359"/>
      <c r="I62" s="352"/>
      <c r="J62" s="359">
        <f t="shared" si="58"/>
        <v>0</v>
      </c>
      <c r="K62" s="355">
        <v>4.0E-4</v>
      </c>
      <c r="L62" s="353"/>
      <c r="M62" s="352"/>
      <c r="N62" s="353">
        <f t="shared" si="59"/>
        <v>0</v>
      </c>
      <c r="O62" s="355">
        <v>4.0E-4</v>
      </c>
      <c r="P62" s="353"/>
      <c r="Q62" s="352"/>
      <c r="R62" s="966">
        <f t="shared" si="60"/>
        <v>0</v>
      </c>
      <c r="S62" s="355">
        <v>4.0E-4</v>
      </c>
      <c r="T62" s="353"/>
      <c r="U62" s="352"/>
      <c r="V62" s="353">
        <f t="shared" si="61"/>
        <v>2000</v>
      </c>
      <c r="W62" s="355">
        <v>4.0E-4</v>
      </c>
      <c r="X62" s="359"/>
      <c r="Y62" s="352"/>
      <c r="Z62" s="353">
        <f t="shared" si="62"/>
        <v>2000</v>
      </c>
      <c r="AA62" s="355">
        <v>4.0E-4</v>
      </c>
      <c r="AB62" s="353">
        <v>0.0</v>
      </c>
      <c r="AC62" s="352"/>
      <c r="AD62" s="353">
        <f t="shared" si="63"/>
        <v>2000</v>
      </c>
      <c r="AE62" s="355">
        <v>4.0E-4</v>
      </c>
      <c r="AF62" s="353"/>
      <c r="AG62" s="352"/>
      <c r="AH62" s="353">
        <f t="shared" si="64"/>
        <v>2000</v>
      </c>
      <c r="AI62" s="355">
        <v>4.0E-4</v>
      </c>
      <c r="AJ62" s="353">
        <v>0.0</v>
      </c>
      <c r="AK62" s="355">
        <f t="shared" si="65"/>
        <v>0</v>
      </c>
      <c r="AL62" s="353">
        <f t="shared" si="66"/>
        <v>2000</v>
      </c>
      <c r="AM62" s="355">
        <v>4.0E-4</v>
      </c>
      <c r="AN62" s="353"/>
      <c r="AO62" s="352"/>
      <c r="AP62" s="353">
        <f t="shared" si="67"/>
        <v>2000</v>
      </c>
      <c r="AQ62" s="355">
        <v>4.0E-4</v>
      </c>
      <c r="AR62" s="353"/>
      <c r="AS62" s="352"/>
      <c r="AT62" s="536">
        <v>19407.5</v>
      </c>
      <c r="AU62" s="352"/>
      <c r="AV62" s="353">
        <f t="shared" si="68"/>
        <v>2000</v>
      </c>
      <c r="AW62" s="355">
        <v>4.0E-4</v>
      </c>
      <c r="AX62" s="352"/>
      <c r="AY62" s="352"/>
      <c r="AZ62" s="536"/>
      <c r="BA62" s="352"/>
      <c r="BB62" s="353">
        <f t="shared" si="69"/>
        <v>2000</v>
      </c>
      <c r="BC62" s="355">
        <v>4.0E-4</v>
      </c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  <c r="BQ62" s="213"/>
      <c r="BR62" s="213"/>
      <c r="BS62" s="213"/>
      <c r="BT62" s="213"/>
      <c r="BU62" s="213"/>
      <c r="BV62" s="213"/>
      <c r="BW62" s="213"/>
    </row>
    <row r="63" ht="15.75" customHeight="1">
      <c r="A63" s="213"/>
      <c r="B63" s="245"/>
      <c r="C63" s="245" t="s">
        <v>247</v>
      </c>
      <c r="D63" s="353"/>
      <c r="E63" s="352"/>
      <c r="F63" s="353">
        <f t="shared" si="57"/>
        <v>0</v>
      </c>
      <c r="G63" s="355">
        <v>4.0E-4</v>
      </c>
      <c r="H63" s="359"/>
      <c r="I63" s="352"/>
      <c r="J63" s="359">
        <f t="shared" si="58"/>
        <v>0</v>
      </c>
      <c r="K63" s="355">
        <v>4.0E-4</v>
      </c>
      <c r="L63" s="353"/>
      <c r="M63" s="352"/>
      <c r="N63" s="353">
        <f t="shared" si="59"/>
        <v>0</v>
      </c>
      <c r="O63" s="355">
        <v>4.0E-4</v>
      </c>
      <c r="P63" s="353"/>
      <c r="Q63" s="352"/>
      <c r="R63" s="966">
        <f t="shared" si="60"/>
        <v>0</v>
      </c>
      <c r="S63" s="355">
        <v>4.0E-4</v>
      </c>
      <c r="T63" s="353"/>
      <c r="U63" s="352"/>
      <c r="V63" s="353">
        <f t="shared" si="61"/>
        <v>2000</v>
      </c>
      <c r="W63" s="355">
        <v>4.0E-4</v>
      </c>
      <c r="X63" s="359"/>
      <c r="Y63" s="352"/>
      <c r="Z63" s="353">
        <f t="shared" si="62"/>
        <v>2000</v>
      </c>
      <c r="AA63" s="355">
        <v>4.0E-4</v>
      </c>
      <c r="AB63" s="353">
        <v>1906.0</v>
      </c>
      <c r="AC63" s="352"/>
      <c r="AD63" s="353">
        <f t="shared" si="63"/>
        <v>2000</v>
      </c>
      <c r="AE63" s="355">
        <v>4.0E-4</v>
      </c>
      <c r="AF63" s="536">
        <f>5841.93+7263</f>
        <v>13104.93</v>
      </c>
      <c r="AG63" s="352"/>
      <c r="AH63" s="353">
        <f t="shared" si="64"/>
        <v>2000</v>
      </c>
      <c r="AI63" s="355">
        <v>4.0E-4</v>
      </c>
      <c r="AJ63" s="536">
        <v>1710.0</v>
      </c>
      <c r="AK63" s="355">
        <f t="shared" si="65"/>
        <v>0.0001992788901</v>
      </c>
      <c r="AL63" s="353">
        <f t="shared" si="66"/>
        <v>2000</v>
      </c>
      <c r="AM63" s="355">
        <v>4.0E-4</v>
      </c>
      <c r="AN63" s="536">
        <v>3506.51</v>
      </c>
      <c r="AO63" s="352"/>
      <c r="AP63" s="353">
        <f t="shared" si="67"/>
        <v>2000</v>
      </c>
      <c r="AQ63" s="355">
        <v>4.0E-4</v>
      </c>
      <c r="AR63" s="353"/>
      <c r="AS63" s="352"/>
      <c r="AT63" s="353"/>
      <c r="AU63" s="352"/>
      <c r="AV63" s="353">
        <f t="shared" si="68"/>
        <v>2000</v>
      </c>
      <c r="AW63" s="355">
        <v>4.0E-4</v>
      </c>
      <c r="AX63" s="352"/>
      <c r="AY63" s="352"/>
      <c r="AZ63" s="536">
        <v>910.0</v>
      </c>
      <c r="BA63" s="352"/>
      <c r="BB63" s="353">
        <f t="shared" si="69"/>
        <v>2000</v>
      </c>
      <c r="BC63" s="355">
        <v>4.0E-4</v>
      </c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  <c r="BQ63" s="213"/>
      <c r="BR63" s="213"/>
      <c r="BS63" s="213"/>
      <c r="BT63" s="213"/>
      <c r="BU63" s="213"/>
      <c r="BV63" s="213"/>
      <c r="BW63" s="213"/>
    </row>
    <row r="64" ht="15.75" customHeight="1">
      <c r="A64" s="213"/>
      <c r="B64" s="245"/>
      <c r="C64" s="245" t="s">
        <v>248</v>
      </c>
      <c r="D64" s="353">
        <f>SUM(D58:D63)</f>
        <v>0</v>
      </c>
      <c r="E64" s="352"/>
      <c r="F64" s="353">
        <f>SUM(F58:F63)</f>
        <v>0</v>
      </c>
      <c r="G64" s="355" t="str">
        <f>F64/F31</f>
        <v>#DIV/0!</v>
      </c>
      <c r="H64" s="359">
        <f>SUM(H58:H63)</f>
        <v>115728</v>
      </c>
      <c r="I64" s="352"/>
      <c r="J64" s="359">
        <f>SUM(J58:J63)</f>
        <v>0</v>
      </c>
      <c r="K64" s="355" t="str">
        <f>J64/J31</f>
        <v>#DIV/0!</v>
      </c>
      <c r="L64" s="353">
        <f>SUM(L58:L63)</f>
        <v>0</v>
      </c>
      <c r="M64" s="352"/>
      <c r="N64" s="353">
        <f>SUM(N58:N63)</f>
        <v>0</v>
      </c>
      <c r="O64" s="355" t="str">
        <f>N64/N31</f>
        <v>#DIV/0!</v>
      </c>
      <c r="P64" s="353">
        <f>SUM(P58:P63)</f>
        <v>18200</v>
      </c>
      <c r="Q64" s="352"/>
      <c r="R64" s="966">
        <f>SUM(R58:R63)</f>
        <v>0</v>
      </c>
      <c r="S64" s="355" t="str">
        <f>R64/R31</f>
        <v>#DIV/0!</v>
      </c>
      <c r="T64" s="353">
        <f>SUM(T58:T63)</f>
        <v>0</v>
      </c>
      <c r="U64" s="352"/>
      <c r="V64" s="353">
        <f>SUM(V58:V63)</f>
        <v>80000</v>
      </c>
      <c r="W64" s="355">
        <f>V64/V31</f>
        <v>0.016</v>
      </c>
      <c r="X64" s="359">
        <f>SUM(X58:X63)</f>
        <v>0</v>
      </c>
      <c r="Y64" s="352"/>
      <c r="Z64" s="353">
        <f>SUM(Z58:Z63)</f>
        <v>80000</v>
      </c>
      <c r="AA64" s="355">
        <f>Z64/Z31</f>
        <v>0.016</v>
      </c>
      <c r="AB64" s="353">
        <f>SUM(AB58:AB63)</f>
        <v>49958</v>
      </c>
      <c r="AC64" s="352"/>
      <c r="AD64" s="353">
        <f>SUM(AD58:AD63)</f>
        <v>80000</v>
      </c>
      <c r="AE64" s="355">
        <f>AD64/AD31</f>
        <v>0.016</v>
      </c>
      <c r="AF64" s="353">
        <f>SUM(AF58:AF63)</f>
        <v>183756.16</v>
      </c>
      <c r="AG64" s="352"/>
      <c r="AH64" s="353">
        <f>SUM(AH58:AH63)</f>
        <v>80000</v>
      </c>
      <c r="AI64" s="355">
        <f>AH64/AH31</f>
        <v>0.016</v>
      </c>
      <c r="AJ64" s="353">
        <f>SUM(AJ58:AJ63)</f>
        <v>140013</v>
      </c>
      <c r="AK64" s="352"/>
      <c r="AL64" s="353">
        <f>SUM(AL58:AL63)</f>
        <v>80000</v>
      </c>
      <c r="AM64" s="355">
        <f>AL64/AL31</f>
        <v>0.016</v>
      </c>
      <c r="AN64" s="353">
        <f>SUM(AN58:AN63)</f>
        <v>101350.43</v>
      </c>
      <c r="AO64" s="352"/>
      <c r="AP64" s="353">
        <f>SUM(AP58:AP63)</f>
        <v>80000</v>
      </c>
      <c r="AQ64" s="355">
        <f>AP64/AP31</f>
        <v>0.016</v>
      </c>
      <c r="AR64" s="353">
        <f>SUM(AR58:AR63)</f>
        <v>0</v>
      </c>
      <c r="AS64" s="352"/>
      <c r="AT64" s="353">
        <f>SUM(AT58:AT63)</f>
        <v>76693.14</v>
      </c>
      <c r="AU64" s="352"/>
      <c r="AV64" s="353">
        <f>SUM(AV58:AV63)</f>
        <v>80000</v>
      </c>
      <c r="AW64" s="355">
        <f>AV64/AV31</f>
        <v>0.016</v>
      </c>
      <c r="AX64" s="352">
        <f>SUM(AX58:AX63)</f>
        <v>0</v>
      </c>
      <c r="AY64" s="352"/>
      <c r="AZ64" s="353">
        <f>SUM(AZ58:AZ63)</f>
        <v>184653.92</v>
      </c>
      <c r="BA64" s="352"/>
      <c r="BB64" s="353">
        <f>SUM(BB58:BB63)</f>
        <v>80000</v>
      </c>
      <c r="BC64" s="355">
        <f>BB64/BB31</f>
        <v>0.016</v>
      </c>
      <c r="BD64" s="215">
        <f>D64+H64+L64+P64+T64+X64+AB64+AF64+AJ64+AN64+AT64+AZ64</f>
        <v>870352.65</v>
      </c>
      <c r="BE64" s="216"/>
      <c r="BF64" s="216"/>
      <c r="BG64" s="216"/>
      <c r="BH64" s="216"/>
      <c r="BI64" s="216"/>
      <c r="BJ64" s="216"/>
      <c r="BK64" s="216"/>
      <c r="BL64" s="216"/>
      <c r="BM64" s="216"/>
      <c r="BN64" s="216"/>
      <c r="BO64" s="216"/>
      <c r="BP64" s="216"/>
      <c r="BQ64" s="216"/>
      <c r="BR64" s="216"/>
      <c r="BS64" s="216"/>
      <c r="BT64" s="216"/>
      <c r="BU64" s="216"/>
      <c r="BV64" s="216"/>
      <c r="BW64" s="216"/>
    </row>
    <row r="65" ht="15.75" hidden="1" customHeight="1">
      <c r="A65" s="213"/>
      <c r="B65" s="245"/>
      <c r="C65" s="245"/>
      <c r="D65" s="353"/>
      <c r="E65" s="352"/>
      <c r="F65" s="353"/>
      <c r="G65" s="352"/>
      <c r="H65" s="359"/>
      <c r="I65" s="352"/>
      <c r="J65" s="359"/>
      <c r="K65" s="352"/>
      <c r="L65" s="353"/>
      <c r="M65" s="352"/>
      <c r="N65" s="353"/>
      <c r="O65" s="352"/>
      <c r="P65" s="353"/>
      <c r="Q65" s="352"/>
      <c r="R65" s="966"/>
      <c r="S65" s="352"/>
      <c r="T65" s="353"/>
      <c r="U65" s="352"/>
      <c r="V65" s="353"/>
      <c r="W65" s="352"/>
      <c r="X65" s="359"/>
      <c r="Y65" s="352"/>
      <c r="Z65" s="353"/>
      <c r="AA65" s="352"/>
      <c r="AB65" s="353"/>
      <c r="AC65" s="352"/>
      <c r="AD65" s="353"/>
      <c r="AE65" s="352"/>
      <c r="AF65" s="353"/>
      <c r="AG65" s="352"/>
      <c r="AH65" s="353"/>
      <c r="AI65" s="352"/>
      <c r="AJ65" s="353"/>
      <c r="AK65" s="352"/>
      <c r="AL65" s="353"/>
      <c r="AM65" s="352"/>
      <c r="AN65" s="353"/>
      <c r="AO65" s="352"/>
      <c r="AP65" s="353"/>
      <c r="AQ65" s="352"/>
      <c r="AR65" s="353"/>
      <c r="AS65" s="352"/>
      <c r="AT65" s="353"/>
      <c r="AU65" s="352"/>
      <c r="AV65" s="353"/>
      <c r="AW65" s="352"/>
      <c r="AX65" s="352"/>
      <c r="AY65" s="352"/>
      <c r="AZ65" s="353"/>
      <c r="BA65" s="352"/>
      <c r="BB65" s="353"/>
      <c r="BC65" s="352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  <c r="BQ65" s="213"/>
      <c r="BR65" s="213"/>
      <c r="BS65" s="213"/>
      <c r="BT65" s="213"/>
      <c r="BU65" s="213"/>
      <c r="BV65" s="213"/>
      <c r="BW65" s="213"/>
    </row>
    <row r="66" ht="15.75" hidden="1" customHeight="1">
      <c r="A66" s="213"/>
      <c r="B66" s="245"/>
      <c r="C66" s="245"/>
      <c r="D66" s="353"/>
      <c r="E66" s="352"/>
      <c r="F66" s="353"/>
      <c r="G66" s="352"/>
      <c r="H66" s="359"/>
      <c r="I66" s="352"/>
      <c r="J66" s="359"/>
      <c r="K66" s="352"/>
      <c r="L66" s="353"/>
      <c r="M66" s="352"/>
      <c r="N66" s="353"/>
      <c r="O66" s="352"/>
      <c r="P66" s="353"/>
      <c r="Q66" s="352"/>
      <c r="R66" s="966"/>
      <c r="S66" s="352"/>
      <c r="T66" s="353"/>
      <c r="U66" s="352"/>
      <c r="V66" s="353"/>
      <c r="W66" s="352"/>
      <c r="X66" s="359"/>
      <c r="Y66" s="352"/>
      <c r="Z66" s="353"/>
      <c r="AA66" s="352"/>
      <c r="AB66" s="353"/>
      <c r="AC66" s="352"/>
      <c r="AD66" s="353"/>
      <c r="AE66" s="352"/>
      <c r="AF66" s="353"/>
      <c r="AG66" s="352"/>
      <c r="AH66" s="353"/>
      <c r="AI66" s="352"/>
      <c r="AJ66" s="353"/>
      <c r="AK66" s="352"/>
      <c r="AL66" s="353"/>
      <c r="AM66" s="352"/>
      <c r="AN66" s="353"/>
      <c r="AO66" s="352"/>
      <c r="AP66" s="353"/>
      <c r="AQ66" s="352"/>
      <c r="AR66" s="353"/>
      <c r="AS66" s="352"/>
      <c r="AT66" s="353"/>
      <c r="AU66" s="352"/>
      <c r="AV66" s="353"/>
      <c r="AW66" s="352"/>
      <c r="AX66" s="352"/>
      <c r="AY66" s="352"/>
      <c r="AZ66" s="353"/>
      <c r="BA66" s="352"/>
      <c r="BB66" s="353"/>
      <c r="BC66" s="352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  <c r="BQ66" s="213"/>
      <c r="BR66" s="213"/>
      <c r="BS66" s="213"/>
      <c r="BT66" s="213"/>
      <c r="BU66" s="213"/>
      <c r="BV66" s="213"/>
      <c r="BW66" s="213"/>
    </row>
    <row r="67" ht="15.75" hidden="1" customHeight="1">
      <c r="A67" s="213"/>
      <c r="B67" s="245"/>
      <c r="C67" s="245"/>
      <c r="D67" s="353"/>
      <c r="E67" s="352"/>
      <c r="F67" s="353"/>
      <c r="G67" s="352"/>
      <c r="H67" s="359"/>
      <c r="I67" s="352"/>
      <c r="J67" s="359"/>
      <c r="K67" s="352"/>
      <c r="L67" s="353"/>
      <c r="M67" s="352"/>
      <c r="N67" s="353"/>
      <c r="O67" s="352"/>
      <c r="P67" s="353"/>
      <c r="Q67" s="352"/>
      <c r="R67" s="966"/>
      <c r="S67" s="352"/>
      <c r="T67" s="353"/>
      <c r="U67" s="352"/>
      <c r="V67" s="353"/>
      <c r="W67" s="352"/>
      <c r="X67" s="359"/>
      <c r="Y67" s="352"/>
      <c r="Z67" s="353"/>
      <c r="AA67" s="352"/>
      <c r="AB67" s="353"/>
      <c r="AC67" s="352"/>
      <c r="AD67" s="353"/>
      <c r="AE67" s="352"/>
      <c r="AF67" s="353"/>
      <c r="AG67" s="352"/>
      <c r="AH67" s="353"/>
      <c r="AI67" s="352"/>
      <c r="AJ67" s="353"/>
      <c r="AK67" s="352"/>
      <c r="AL67" s="353"/>
      <c r="AM67" s="352"/>
      <c r="AN67" s="353"/>
      <c r="AO67" s="352"/>
      <c r="AP67" s="353"/>
      <c r="AQ67" s="352"/>
      <c r="AR67" s="353"/>
      <c r="AS67" s="352"/>
      <c r="AT67" s="353"/>
      <c r="AU67" s="352"/>
      <c r="AV67" s="353"/>
      <c r="AW67" s="352"/>
      <c r="AX67" s="352"/>
      <c r="AY67" s="352"/>
      <c r="AZ67" s="353"/>
      <c r="BA67" s="352"/>
      <c r="BB67" s="353"/>
      <c r="BC67" s="352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  <c r="BQ67" s="213"/>
      <c r="BR67" s="213"/>
      <c r="BS67" s="213"/>
      <c r="BT67" s="213"/>
      <c r="BU67" s="213"/>
      <c r="BV67" s="213"/>
      <c r="BW67" s="213"/>
    </row>
    <row r="68" ht="15.75" hidden="1" customHeight="1">
      <c r="A68" s="213"/>
      <c r="B68" s="245"/>
      <c r="C68" s="245"/>
      <c r="D68" s="353"/>
      <c r="E68" s="352"/>
      <c r="F68" s="353"/>
      <c r="G68" s="352"/>
      <c r="H68" s="359"/>
      <c r="I68" s="352"/>
      <c r="J68" s="359"/>
      <c r="K68" s="352"/>
      <c r="L68" s="353"/>
      <c r="M68" s="352"/>
      <c r="N68" s="353"/>
      <c r="O68" s="352"/>
      <c r="P68" s="353"/>
      <c r="Q68" s="352"/>
      <c r="R68" s="966"/>
      <c r="S68" s="352"/>
      <c r="T68" s="353"/>
      <c r="U68" s="352"/>
      <c r="V68" s="353"/>
      <c r="W68" s="352"/>
      <c r="X68" s="359"/>
      <c r="Y68" s="352"/>
      <c r="Z68" s="353"/>
      <c r="AA68" s="352"/>
      <c r="AB68" s="353"/>
      <c r="AC68" s="352"/>
      <c r="AD68" s="353"/>
      <c r="AE68" s="352"/>
      <c r="AF68" s="353"/>
      <c r="AG68" s="352"/>
      <c r="AH68" s="353"/>
      <c r="AI68" s="352"/>
      <c r="AJ68" s="353"/>
      <c r="AK68" s="352"/>
      <c r="AL68" s="353"/>
      <c r="AM68" s="352"/>
      <c r="AN68" s="353"/>
      <c r="AO68" s="352"/>
      <c r="AP68" s="353"/>
      <c r="AQ68" s="352"/>
      <c r="AR68" s="353"/>
      <c r="AS68" s="352"/>
      <c r="AT68" s="353"/>
      <c r="AU68" s="352"/>
      <c r="AV68" s="353"/>
      <c r="AW68" s="352"/>
      <c r="AX68" s="352"/>
      <c r="AY68" s="352"/>
      <c r="AZ68" s="353"/>
      <c r="BA68" s="352"/>
      <c r="BB68" s="353"/>
      <c r="BC68" s="352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  <c r="BQ68" s="213"/>
      <c r="BR68" s="213"/>
      <c r="BS68" s="213"/>
      <c r="BT68" s="213"/>
      <c r="BU68" s="213"/>
      <c r="BV68" s="213"/>
      <c r="BW68" s="213"/>
    </row>
    <row r="69" ht="15.75" hidden="1" customHeight="1">
      <c r="A69" s="213"/>
      <c r="B69" s="245"/>
      <c r="C69" s="245"/>
      <c r="D69" s="353"/>
      <c r="E69" s="352"/>
      <c r="F69" s="353"/>
      <c r="G69" s="352"/>
      <c r="H69" s="359"/>
      <c r="I69" s="352"/>
      <c r="J69" s="359"/>
      <c r="K69" s="352"/>
      <c r="L69" s="353"/>
      <c r="M69" s="352"/>
      <c r="N69" s="353"/>
      <c r="O69" s="352"/>
      <c r="P69" s="353"/>
      <c r="Q69" s="352"/>
      <c r="R69" s="966"/>
      <c r="S69" s="352"/>
      <c r="T69" s="353"/>
      <c r="U69" s="352"/>
      <c r="V69" s="353"/>
      <c r="W69" s="352"/>
      <c r="X69" s="359"/>
      <c r="Y69" s="352"/>
      <c r="Z69" s="353"/>
      <c r="AA69" s="352"/>
      <c r="AB69" s="353"/>
      <c r="AC69" s="352"/>
      <c r="AD69" s="353"/>
      <c r="AE69" s="352"/>
      <c r="AF69" s="353"/>
      <c r="AG69" s="352"/>
      <c r="AH69" s="353"/>
      <c r="AI69" s="352"/>
      <c r="AJ69" s="353"/>
      <c r="AK69" s="352"/>
      <c r="AL69" s="353"/>
      <c r="AM69" s="352"/>
      <c r="AN69" s="353"/>
      <c r="AO69" s="352"/>
      <c r="AP69" s="353"/>
      <c r="AQ69" s="352"/>
      <c r="AR69" s="353"/>
      <c r="AS69" s="352"/>
      <c r="AT69" s="353"/>
      <c r="AU69" s="352"/>
      <c r="AV69" s="353"/>
      <c r="AW69" s="352"/>
      <c r="AX69" s="352"/>
      <c r="AY69" s="352"/>
      <c r="AZ69" s="353"/>
      <c r="BA69" s="352"/>
      <c r="BB69" s="353"/>
      <c r="BC69" s="352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  <c r="BQ69" s="213"/>
      <c r="BR69" s="213"/>
      <c r="BS69" s="213"/>
      <c r="BT69" s="213"/>
      <c r="BU69" s="213"/>
      <c r="BV69" s="213"/>
      <c r="BW69" s="213"/>
    </row>
    <row r="70" ht="15.75" hidden="1" customHeight="1">
      <c r="A70" s="213"/>
      <c r="B70" s="245"/>
      <c r="C70" s="245"/>
      <c r="D70" s="353"/>
      <c r="E70" s="352"/>
      <c r="F70" s="353"/>
      <c r="G70" s="352"/>
      <c r="H70" s="359"/>
      <c r="I70" s="352"/>
      <c r="J70" s="359"/>
      <c r="K70" s="352"/>
      <c r="L70" s="353"/>
      <c r="M70" s="352"/>
      <c r="N70" s="353"/>
      <c r="O70" s="352"/>
      <c r="P70" s="353"/>
      <c r="Q70" s="352"/>
      <c r="R70" s="966"/>
      <c r="S70" s="352"/>
      <c r="T70" s="353"/>
      <c r="U70" s="352"/>
      <c r="V70" s="353"/>
      <c r="W70" s="352"/>
      <c r="X70" s="359"/>
      <c r="Y70" s="352"/>
      <c r="Z70" s="353"/>
      <c r="AA70" s="352"/>
      <c r="AB70" s="353"/>
      <c r="AC70" s="352"/>
      <c r="AD70" s="353"/>
      <c r="AE70" s="352"/>
      <c r="AF70" s="353"/>
      <c r="AG70" s="352"/>
      <c r="AH70" s="353"/>
      <c r="AI70" s="352"/>
      <c r="AJ70" s="353"/>
      <c r="AK70" s="352"/>
      <c r="AL70" s="353"/>
      <c r="AM70" s="352"/>
      <c r="AN70" s="353"/>
      <c r="AO70" s="352"/>
      <c r="AP70" s="353"/>
      <c r="AQ70" s="352"/>
      <c r="AR70" s="353"/>
      <c r="AS70" s="352"/>
      <c r="AT70" s="353"/>
      <c r="AU70" s="352"/>
      <c r="AV70" s="353"/>
      <c r="AW70" s="352"/>
      <c r="AX70" s="352"/>
      <c r="AY70" s="352"/>
      <c r="AZ70" s="353"/>
      <c r="BA70" s="352"/>
      <c r="BB70" s="353"/>
      <c r="BC70" s="352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  <c r="BQ70" s="213"/>
      <c r="BR70" s="213"/>
      <c r="BS70" s="213"/>
      <c r="BT70" s="213"/>
      <c r="BU70" s="213"/>
      <c r="BV70" s="213"/>
      <c r="BW70" s="213"/>
    </row>
    <row r="71" ht="15.75" hidden="1" customHeight="1">
      <c r="A71" s="213"/>
      <c r="B71" s="245"/>
      <c r="C71" s="245"/>
      <c r="D71" s="353"/>
      <c r="E71" s="352"/>
      <c r="F71" s="353"/>
      <c r="G71" s="352"/>
      <c r="H71" s="359"/>
      <c r="I71" s="352"/>
      <c r="J71" s="359"/>
      <c r="K71" s="352"/>
      <c r="L71" s="353"/>
      <c r="M71" s="352"/>
      <c r="N71" s="353"/>
      <c r="O71" s="352"/>
      <c r="P71" s="353"/>
      <c r="Q71" s="352"/>
      <c r="R71" s="966"/>
      <c r="S71" s="352"/>
      <c r="T71" s="353"/>
      <c r="U71" s="352"/>
      <c r="V71" s="353"/>
      <c r="W71" s="352"/>
      <c r="X71" s="359"/>
      <c r="Y71" s="352"/>
      <c r="Z71" s="353"/>
      <c r="AA71" s="352"/>
      <c r="AB71" s="353"/>
      <c r="AC71" s="352"/>
      <c r="AD71" s="353"/>
      <c r="AE71" s="352"/>
      <c r="AF71" s="353"/>
      <c r="AG71" s="352"/>
      <c r="AH71" s="353"/>
      <c r="AI71" s="352"/>
      <c r="AJ71" s="353"/>
      <c r="AK71" s="352"/>
      <c r="AL71" s="353"/>
      <c r="AM71" s="352"/>
      <c r="AN71" s="353"/>
      <c r="AO71" s="352"/>
      <c r="AP71" s="353"/>
      <c r="AQ71" s="352"/>
      <c r="AR71" s="353"/>
      <c r="AS71" s="352"/>
      <c r="AT71" s="353"/>
      <c r="AU71" s="352"/>
      <c r="AV71" s="353"/>
      <c r="AW71" s="352"/>
      <c r="AX71" s="352"/>
      <c r="AY71" s="352"/>
      <c r="AZ71" s="353"/>
      <c r="BA71" s="352"/>
      <c r="BB71" s="353"/>
      <c r="BC71" s="352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  <c r="BQ71" s="213"/>
      <c r="BR71" s="213"/>
      <c r="BS71" s="213"/>
      <c r="BT71" s="213"/>
      <c r="BU71" s="213"/>
      <c r="BV71" s="213"/>
      <c r="BW71" s="213"/>
    </row>
    <row r="72" ht="15.75" hidden="1" customHeight="1">
      <c r="A72" s="213"/>
      <c r="B72" s="245"/>
      <c r="C72" s="245"/>
      <c r="D72" s="353"/>
      <c r="E72" s="352"/>
      <c r="F72" s="353"/>
      <c r="G72" s="352"/>
      <c r="H72" s="359"/>
      <c r="I72" s="352"/>
      <c r="J72" s="359"/>
      <c r="K72" s="352"/>
      <c r="L72" s="353"/>
      <c r="M72" s="352"/>
      <c r="N72" s="353"/>
      <c r="O72" s="352"/>
      <c r="P72" s="353"/>
      <c r="Q72" s="352"/>
      <c r="R72" s="966"/>
      <c r="S72" s="352"/>
      <c r="T72" s="353"/>
      <c r="U72" s="352"/>
      <c r="V72" s="353"/>
      <c r="W72" s="352"/>
      <c r="X72" s="359"/>
      <c r="Y72" s="352"/>
      <c r="Z72" s="353"/>
      <c r="AA72" s="352"/>
      <c r="AB72" s="353"/>
      <c r="AC72" s="352"/>
      <c r="AD72" s="353"/>
      <c r="AE72" s="352"/>
      <c r="AF72" s="353"/>
      <c r="AG72" s="352"/>
      <c r="AH72" s="353"/>
      <c r="AI72" s="352"/>
      <c r="AJ72" s="353"/>
      <c r="AK72" s="352"/>
      <c r="AL72" s="353"/>
      <c r="AM72" s="352"/>
      <c r="AN72" s="353"/>
      <c r="AO72" s="352"/>
      <c r="AP72" s="353"/>
      <c r="AQ72" s="352"/>
      <c r="AR72" s="353"/>
      <c r="AS72" s="352"/>
      <c r="AT72" s="353"/>
      <c r="AU72" s="352"/>
      <c r="AV72" s="353"/>
      <c r="AW72" s="352"/>
      <c r="AX72" s="352"/>
      <c r="AY72" s="352"/>
      <c r="AZ72" s="353"/>
      <c r="BA72" s="352"/>
      <c r="BB72" s="353"/>
      <c r="BC72" s="352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  <c r="BQ72" s="213"/>
      <c r="BR72" s="213"/>
      <c r="BS72" s="213"/>
      <c r="BT72" s="213"/>
      <c r="BU72" s="213"/>
      <c r="BV72" s="213"/>
      <c r="BW72" s="213"/>
    </row>
    <row r="73" ht="15.75" hidden="1" customHeight="1">
      <c r="A73" s="213"/>
      <c r="B73" s="245"/>
      <c r="C73" s="245"/>
      <c r="D73" s="353"/>
      <c r="E73" s="355"/>
      <c r="F73" s="353"/>
      <c r="G73" s="355"/>
      <c r="H73" s="359"/>
      <c r="I73" s="352"/>
      <c r="J73" s="359"/>
      <c r="K73" s="355"/>
      <c r="L73" s="353"/>
      <c r="M73" s="352"/>
      <c r="N73" s="353"/>
      <c r="O73" s="355"/>
      <c r="P73" s="353"/>
      <c r="Q73" s="352"/>
      <c r="R73" s="966"/>
      <c r="S73" s="355"/>
      <c r="T73" s="353"/>
      <c r="U73" s="352"/>
      <c r="V73" s="353"/>
      <c r="W73" s="355"/>
      <c r="X73" s="359"/>
      <c r="Y73" s="352"/>
      <c r="Z73" s="353"/>
      <c r="AA73" s="355"/>
      <c r="AB73" s="353"/>
      <c r="AC73" s="352"/>
      <c r="AD73" s="353"/>
      <c r="AE73" s="355"/>
      <c r="AF73" s="353"/>
      <c r="AG73" s="352"/>
      <c r="AH73" s="353"/>
      <c r="AI73" s="355"/>
      <c r="AJ73" s="353"/>
      <c r="AK73" s="352"/>
      <c r="AL73" s="353"/>
      <c r="AM73" s="355"/>
      <c r="AN73" s="353"/>
      <c r="AO73" s="352"/>
      <c r="AP73" s="353"/>
      <c r="AQ73" s="355"/>
      <c r="AR73" s="353"/>
      <c r="AS73" s="352"/>
      <c r="AT73" s="353"/>
      <c r="AU73" s="352"/>
      <c r="AV73" s="353"/>
      <c r="AW73" s="355"/>
      <c r="AX73" s="352"/>
      <c r="AY73" s="352"/>
      <c r="AZ73" s="353"/>
      <c r="BA73" s="352"/>
      <c r="BB73" s="353"/>
      <c r="BC73" s="355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  <c r="BQ73" s="213"/>
      <c r="BR73" s="213"/>
      <c r="BS73" s="213"/>
      <c r="BT73" s="213"/>
      <c r="BU73" s="213"/>
      <c r="BV73" s="213"/>
      <c r="BW73" s="213"/>
    </row>
    <row r="74" ht="15.75" customHeight="1">
      <c r="A74" s="213"/>
      <c r="B74" s="245"/>
      <c r="C74" s="245"/>
      <c r="D74" s="353"/>
      <c r="E74" s="352"/>
      <c r="F74" s="353"/>
      <c r="G74" s="352"/>
      <c r="H74" s="359"/>
      <c r="I74" s="352"/>
      <c r="J74" s="359"/>
      <c r="K74" s="352"/>
      <c r="L74" s="353"/>
      <c r="M74" s="352"/>
      <c r="N74" s="353"/>
      <c r="O74" s="352"/>
      <c r="P74" s="353"/>
      <c r="Q74" s="352"/>
      <c r="R74" s="966"/>
      <c r="S74" s="352"/>
      <c r="T74" s="353"/>
      <c r="U74" s="352"/>
      <c r="V74" s="353"/>
      <c r="W74" s="352"/>
      <c r="X74" s="359"/>
      <c r="Y74" s="352"/>
      <c r="Z74" s="353"/>
      <c r="AA74" s="352"/>
      <c r="AB74" s="353"/>
      <c r="AC74" s="352"/>
      <c r="AD74" s="353"/>
      <c r="AE74" s="352"/>
      <c r="AF74" s="353"/>
      <c r="AG74" s="352"/>
      <c r="AH74" s="353"/>
      <c r="AI74" s="352"/>
      <c r="AJ74" s="353"/>
      <c r="AK74" s="352"/>
      <c r="AL74" s="353"/>
      <c r="AM74" s="352"/>
      <c r="AN74" s="353"/>
      <c r="AO74" s="352"/>
      <c r="AP74" s="353"/>
      <c r="AQ74" s="352"/>
      <c r="AR74" s="353"/>
      <c r="AS74" s="352"/>
      <c r="AT74" s="353"/>
      <c r="AU74" s="352"/>
      <c r="AV74" s="353"/>
      <c r="AW74" s="352"/>
      <c r="AX74" s="352"/>
      <c r="AY74" s="352"/>
      <c r="AZ74" s="353"/>
      <c r="BA74" s="352"/>
      <c r="BB74" s="353"/>
      <c r="BC74" s="352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  <c r="BQ74" s="213"/>
      <c r="BR74" s="213"/>
      <c r="BS74" s="213"/>
      <c r="BT74" s="213"/>
      <c r="BU74" s="213"/>
      <c r="BV74" s="213"/>
      <c r="BW74" s="213"/>
    </row>
    <row r="75" ht="15.75" customHeight="1">
      <c r="A75" s="213"/>
      <c r="B75" s="974" t="s">
        <v>249</v>
      </c>
      <c r="C75" s="261"/>
      <c r="D75" s="353"/>
      <c r="E75" s="352"/>
      <c r="F75" s="353"/>
      <c r="G75" s="352"/>
      <c r="H75" s="359"/>
      <c r="I75" s="352"/>
      <c r="J75" s="359"/>
      <c r="K75" s="352"/>
      <c r="L75" s="353"/>
      <c r="M75" s="352"/>
      <c r="N75" s="353"/>
      <c r="O75" s="352"/>
      <c r="P75" s="353"/>
      <c r="Q75" s="352"/>
      <c r="R75" s="966"/>
      <c r="S75" s="352"/>
      <c r="T75" s="353"/>
      <c r="U75" s="352"/>
      <c r="V75" s="353"/>
      <c r="W75" s="352"/>
      <c r="X75" s="359"/>
      <c r="Y75" s="352"/>
      <c r="Z75" s="353"/>
      <c r="AA75" s="352"/>
      <c r="AB75" s="353"/>
      <c r="AC75" s="352"/>
      <c r="AD75" s="353"/>
      <c r="AE75" s="352"/>
      <c r="AF75" s="353"/>
      <c r="AG75" s="352"/>
      <c r="AH75" s="353"/>
      <c r="AI75" s="352"/>
      <c r="AJ75" s="353"/>
      <c r="AK75" s="352"/>
      <c r="AL75" s="353"/>
      <c r="AM75" s="352"/>
      <c r="AN75" s="353"/>
      <c r="AO75" s="352"/>
      <c r="AP75" s="353"/>
      <c r="AQ75" s="352"/>
      <c r="AR75" s="353"/>
      <c r="AS75" s="352"/>
      <c r="AT75" s="353"/>
      <c r="AU75" s="352"/>
      <c r="AV75" s="353"/>
      <c r="AW75" s="352"/>
      <c r="AX75" s="352"/>
      <c r="AY75" s="352"/>
      <c r="AZ75" s="353"/>
      <c r="BA75" s="352"/>
      <c r="BB75" s="353"/>
      <c r="BC75" s="352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  <c r="BQ75" s="213"/>
      <c r="BR75" s="213"/>
      <c r="BS75" s="213"/>
      <c r="BT75" s="213"/>
      <c r="BU75" s="213"/>
      <c r="BV75" s="213"/>
      <c r="BW75" s="213"/>
    </row>
    <row r="76" ht="15.75" customHeight="1">
      <c r="A76" s="213"/>
      <c r="B76" s="245"/>
      <c r="C76" s="972" t="s">
        <v>250</v>
      </c>
      <c r="D76" s="353">
        <f>SUM(D77:D81)</f>
        <v>0</v>
      </c>
      <c r="E76" s="352"/>
      <c r="F76" s="353">
        <f>SUM(F77:F82)</f>
        <v>26833.33333</v>
      </c>
      <c r="G76" s="355" t="str">
        <f t="shared" ref="G76:G79" si="70">F76/F$31</f>
        <v>#DIV/0!</v>
      </c>
      <c r="H76" s="359">
        <f>SUM(H77:H81)</f>
        <v>0</v>
      </c>
      <c r="I76" s="352"/>
      <c r="J76" s="359">
        <f>SUM(J77:J82)</f>
        <v>26833.33333</v>
      </c>
      <c r="K76" s="355" t="str">
        <f t="shared" ref="K76:K79" si="71">J76/J$31</f>
        <v>#DIV/0!</v>
      </c>
      <c r="L76" s="353">
        <f>SUM(L77:L81)</f>
        <v>0</v>
      </c>
      <c r="M76" s="352"/>
      <c r="N76" s="353">
        <f>SUM(N77:N82)</f>
        <v>26833.33333</v>
      </c>
      <c r="O76" s="355" t="str">
        <f t="shared" ref="O76:O79" si="72">N76/N$31</f>
        <v>#DIV/0!</v>
      </c>
      <c r="P76" s="353">
        <f>SUM(P77:P81)</f>
        <v>3210</v>
      </c>
      <c r="Q76" s="352"/>
      <c r="R76" s="966">
        <f>SUM(R77:R82)</f>
        <v>26833.33333</v>
      </c>
      <c r="S76" s="355" t="str">
        <f t="shared" ref="S76:S79" si="73">R76/R$31</f>
        <v>#DIV/0!</v>
      </c>
      <c r="T76" s="353">
        <f>SUM(T77:T81)</f>
        <v>0</v>
      </c>
      <c r="U76" s="352"/>
      <c r="V76" s="353">
        <f>SUM(V77:V82)</f>
        <v>26833.33333</v>
      </c>
      <c r="W76" s="355">
        <f t="shared" ref="W76:W79" si="74">V76/V$31</f>
        <v>0.005366666667</v>
      </c>
      <c r="X76" s="359">
        <f>SUM(X77:X81)</f>
        <v>0</v>
      </c>
      <c r="Y76" s="352"/>
      <c r="Z76" s="353">
        <f>SUM(Z77:Z81)</f>
        <v>26833.33333</v>
      </c>
      <c r="AA76" s="355">
        <f t="shared" ref="AA76:AA79" si="75">Z76/Z$31</f>
        <v>0.005366666667</v>
      </c>
      <c r="AB76" s="353">
        <f>SUM(AB77:AB81)</f>
        <v>48767</v>
      </c>
      <c r="AC76" s="352"/>
      <c r="AD76" s="353">
        <f>SUM(AD77:AD82)</f>
        <v>26833.33333</v>
      </c>
      <c r="AE76" s="355">
        <f t="shared" ref="AE76:AE79" si="76">AD76/AD$31</f>
        <v>0.005366666667</v>
      </c>
      <c r="AF76" s="353">
        <f>SUM(AF77:AF81)</f>
        <v>246107.3333</v>
      </c>
      <c r="AG76" s="352"/>
      <c r="AH76" s="353">
        <f>SUM(AH77:AH82)</f>
        <v>28996.66667</v>
      </c>
      <c r="AI76" s="355">
        <f t="shared" ref="AI76:AI79" si="77">AH76/AH$31</f>
        <v>0.005799333333</v>
      </c>
      <c r="AJ76" s="353">
        <f>SUM(AJ77:AJ81)</f>
        <v>5937.333333</v>
      </c>
      <c r="AK76" s="352"/>
      <c r="AL76" s="353">
        <f>SUM(AL77:AL82)</f>
        <v>126833.3333</v>
      </c>
      <c r="AM76" s="355">
        <f t="shared" ref="AM76:AM79" si="78">AL76/AL$31</f>
        <v>0.02536666667</v>
      </c>
      <c r="AN76" s="353">
        <f>SUM(AN77:AN81)</f>
        <v>190263.3333</v>
      </c>
      <c r="AO76" s="352"/>
      <c r="AP76" s="353">
        <f>SUM(AP77:AP82)</f>
        <v>28996.66667</v>
      </c>
      <c r="AQ76" s="355">
        <f t="shared" ref="AQ76:AQ79" si="79">AP76/AP$31</f>
        <v>0.005799333333</v>
      </c>
      <c r="AR76" s="353">
        <f>SUM(AR77:AR79)</f>
        <v>0</v>
      </c>
      <c r="AS76" s="352"/>
      <c r="AT76" s="353">
        <f>SUM(AT77:AT81)</f>
        <v>6701.333333</v>
      </c>
      <c r="AU76" s="352"/>
      <c r="AV76" s="353">
        <f>SUM(AV77:AV82)</f>
        <v>28996.66667</v>
      </c>
      <c r="AW76" s="355">
        <f t="shared" ref="AW76:AW79" si="80">AV76/AV$31</f>
        <v>0.005799333333</v>
      </c>
      <c r="AX76" s="352">
        <f>SUM(AX77:AX79)</f>
        <v>0</v>
      </c>
      <c r="AY76" s="352"/>
      <c r="AZ76" s="353">
        <f>SUM(AZ77:AZ81)</f>
        <v>2465.333333</v>
      </c>
      <c r="BA76" s="352"/>
      <c r="BB76" s="353">
        <f>SUM(BB77:BB82)</f>
        <v>28996.66667</v>
      </c>
      <c r="BC76" s="355">
        <f t="shared" ref="BC76:BC79" si="81">BB76/BB$31</f>
        <v>0.005799333333</v>
      </c>
      <c r="BD76" s="215">
        <f>D76+H76+L76+P76+T76+X76+AB76+AF76+AJ76+AN76+AT76+AZ76</f>
        <v>503451.6667</v>
      </c>
      <c r="BE76" s="216"/>
      <c r="BF76" s="216"/>
      <c r="BG76" s="216"/>
      <c r="BH76" s="216"/>
      <c r="BI76" s="216"/>
      <c r="BJ76" s="216"/>
      <c r="BK76" s="216"/>
      <c r="BL76" s="216"/>
      <c r="BM76" s="216"/>
      <c r="BN76" s="216"/>
      <c r="BO76" s="216"/>
      <c r="BP76" s="216"/>
      <c r="BQ76" s="216"/>
      <c r="BR76" s="216"/>
      <c r="BS76" s="216"/>
      <c r="BT76" s="216"/>
      <c r="BU76" s="216"/>
      <c r="BV76" s="216"/>
      <c r="BW76" s="216"/>
    </row>
    <row r="77" ht="15.75" customHeight="1">
      <c r="A77" s="213"/>
      <c r="B77" s="245"/>
      <c r="C77" s="245" t="s">
        <v>251</v>
      </c>
      <c r="D77" s="353"/>
      <c r="E77" s="352"/>
      <c r="F77" s="353"/>
      <c r="G77" s="355" t="str">
        <f t="shared" si="70"/>
        <v>#DIV/0!</v>
      </c>
      <c r="H77" s="359"/>
      <c r="I77" s="352"/>
      <c r="J77" s="359"/>
      <c r="K77" s="355" t="str">
        <f t="shared" si="71"/>
        <v>#DIV/0!</v>
      </c>
      <c r="L77" s="353"/>
      <c r="M77" s="352"/>
      <c r="N77" s="353"/>
      <c r="O77" s="355" t="str">
        <f t="shared" si="72"/>
        <v>#DIV/0!</v>
      </c>
      <c r="P77" s="353">
        <v>3210.0</v>
      </c>
      <c r="Q77" s="352"/>
      <c r="R77" s="966"/>
      <c r="S77" s="355" t="str">
        <f t="shared" si="73"/>
        <v>#DIV/0!</v>
      </c>
      <c r="T77" s="353"/>
      <c r="U77" s="352"/>
      <c r="V77" s="353">
        <v>0.0</v>
      </c>
      <c r="W77" s="355">
        <f t="shared" si="74"/>
        <v>0</v>
      </c>
      <c r="X77" s="359"/>
      <c r="Y77" s="352"/>
      <c r="Z77" s="353"/>
      <c r="AA77" s="355">
        <f t="shared" si="75"/>
        <v>0</v>
      </c>
      <c r="AB77" s="353">
        <f>17492+5554</f>
        <v>23046</v>
      </c>
      <c r="AC77" s="352"/>
      <c r="AD77" s="353"/>
      <c r="AE77" s="355">
        <f t="shared" si="76"/>
        <v>0</v>
      </c>
      <c r="AF77" s="353">
        <v>170170.0</v>
      </c>
      <c r="AG77" s="352"/>
      <c r="AH77" s="353"/>
      <c r="AI77" s="355">
        <f t="shared" si="77"/>
        <v>0</v>
      </c>
      <c r="AJ77" s="353"/>
      <c r="AK77" s="355">
        <f t="shared" ref="AK77:AK82" si="82">AJ77/AJ$31</f>
        <v>0</v>
      </c>
      <c r="AL77" s="353">
        <v>100000.0</v>
      </c>
      <c r="AM77" s="355">
        <f t="shared" si="78"/>
        <v>0.02</v>
      </c>
      <c r="AN77" s="353">
        <v>182740.0</v>
      </c>
      <c r="AO77" s="352"/>
      <c r="AP77" s="353"/>
      <c r="AQ77" s="355">
        <f t="shared" si="79"/>
        <v>0</v>
      </c>
      <c r="AR77" s="353"/>
      <c r="AS77" s="352"/>
      <c r="AT77" s="353"/>
      <c r="AU77" s="352"/>
      <c r="AV77" s="353"/>
      <c r="AW77" s="355">
        <f t="shared" si="80"/>
        <v>0</v>
      </c>
      <c r="AX77" s="352"/>
      <c r="AY77" s="352"/>
      <c r="AZ77" s="353"/>
      <c r="BA77" s="352"/>
      <c r="BB77" s="353"/>
      <c r="BC77" s="355">
        <f t="shared" si="81"/>
        <v>0</v>
      </c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  <c r="BQ77" s="213"/>
      <c r="BR77" s="213"/>
      <c r="BS77" s="213"/>
      <c r="BT77" s="213"/>
      <c r="BU77" s="213"/>
      <c r="BV77" s="213"/>
      <c r="BW77" s="213"/>
    </row>
    <row r="78" ht="15.75" customHeight="1">
      <c r="A78" s="213"/>
      <c r="B78" s="245"/>
      <c r="C78" s="245" t="s">
        <v>254</v>
      </c>
      <c r="D78" s="353"/>
      <c r="E78" s="352"/>
      <c r="F78" s="353"/>
      <c r="G78" s="355" t="str">
        <f t="shared" si="70"/>
        <v>#DIV/0!</v>
      </c>
      <c r="H78" s="359"/>
      <c r="I78" s="352"/>
      <c r="J78" s="359"/>
      <c r="K78" s="355" t="str">
        <f t="shared" si="71"/>
        <v>#DIV/0!</v>
      </c>
      <c r="L78" s="353"/>
      <c r="M78" s="352"/>
      <c r="N78" s="353"/>
      <c r="O78" s="355" t="str">
        <f t="shared" si="72"/>
        <v>#DIV/0!</v>
      </c>
      <c r="P78" s="353"/>
      <c r="Q78" s="352"/>
      <c r="R78" s="966"/>
      <c r="S78" s="355" t="str">
        <f t="shared" si="73"/>
        <v>#DIV/0!</v>
      </c>
      <c r="T78" s="353"/>
      <c r="U78" s="352"/>
      <c r="V78" s="353"/>
      <c r="W78" s="355">
        <f t="shared" si="74"/>
        <v>0</v>
      </c>
      <c r="X78" s="359"/>
      <c r="Y78" s="352"/>
      <c r="Z78" s="353"/>
      <c r="AA78" s="355">
        <f t="shared" si="75"/>
        <v>0</v>
      </c>
      <c r="AB78" s="353">
        <v>25721.0</v>
      </c>
      <c r="AC78" s="352"/>
      <c r="AD78" s="353"/>
      <c r="AE78" s="355">
        <f t="shared" si="76"/>
        <v>0</v>
      </c>
      <c r="AF78" s="353">
        <v>6274.0</v>
      </c>
      <c r="AG78" s="352"/>
      <c r="AH78" s="353"/>
      <c r="AI78" s="355">
        <f t="shared" si="77"/>
        <v>0</v>
      </c>
      <c r="AJ78" s="353">
        <v>3774.0</v>
      </c>
      <c r="AK78" s="355">
        <f t="shared" si="82"/>
        <v>0.0004398120066</v>
      </c>
      <c r="AL78" s="353"/>
      <c r="AM78" s="355">
        <f t="shared" si="78"/>
        <v>0</v>
      </c>
      <c r="AN78" s="353">
        <v>5360.0</v>
      </c>
      <c r="AO78" s="352"/>
      <c r="AP78" s="353"/>
      <c r="AQ78" s="355">
        <f t="shared" si="79"/>
        <v>0</v>
      </c>
      <c r="AR78" s="353"/>
      <c r="AS78" s="352"/>
      <c r="AT78" s="536">
        <v>4538.0</v>
      </c>
      <c r="AU78" s="352"/>
      <c r="AV78" s="536"/>
      <c r="AW78" s="355">
        <f t="shared" si="80"/>
        <v>0</v>
      </c>
      <c r="AX78" s="352"/>
      <c r="AY78" s="352"/>
      <c r="AZ78" s="536">
        <v>302.0</v>
      </c>
      <c r="BA78" s="352"/>
      <c r="BB78" s="353"/>
      <c r="BC78" s="355">
        <f t="shared" si="81"/>
        <v>0</v>
      </c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  <c r="BQ78" s="213"/>
      <c r="BR78" s="213"/>
      <c r="BS78" s="213"/>
      <c r="BT78" s="213"/>
      <c r="BU78" s="213"/>
      <c r="BV78" s="213"/>
      <c r="BW78" s="213"/>
    </row>
    <row r="79" ht="15.75" customHeight="1">
      <c r="A79" s="213"/>
      <c r="B79" s="245"/>
      <c r="C79" s="216" t="s">
        <v>253</v>
      </c>
      <c r="D79" s="353">
        <v>0.0</v>
      </c>
      <c r="E79" s="352"/>
      <c r="F79" s="353">
        <f>250000/12</f>
        <v>20833.33333</v>
      </c>
      <c r="G79" s="355" t="str">
        <f t="shared" si="70"/>
        <v>#DIV/0!</v>
      </c>
      <c r="H79" s="359"/>
      <c r="I79" s="352"/>
      <c r="J79" s="359">
        <f>250000/12</f>
        <v>20833.33333</v>
      </c>
      <c r="K79" s="355" t="str">
        <f t="shared" si="71"/>
        <v>#DIV/0!</v>
      </c>
      <c r="L79" s="353"/>
      <c r="M79" s="352"/>
      <c r="N79" s="353">
        <f>250000/12</f>
        <v>20833.33333</v>
      </c>
      <c r="O79" s="355" t="str">
        <f t="shared" si="72"/>
        <v>#DIV/0!</v>
      </c>
      <c r="P79" s="353"/>
      <c r="Q79" s="352"/>
      <c r="R79" s="966">
        <f>250000/12</f>
        <v>20833.33333</v>
      </c>
      <c r="S79" s="355" t="str">
        <f t="shared" si="73"/>
        <v>#DIV/0!</v>
      </c>
      <c r="T79" s="353"/>
      <c r="U79" s="352"/>
      <c r="V79" s="353">
        <f>250000/12</f>
        <v>20833.33333</v>
      </c>
      <c r="W79" s="355">
        <f t="shared" si="74"/>
        <v>0.004166666667</v>
      </c>
      <c r="X79" s="359"/>
      <c r="Y79" s="352"/>
      <c r="Z79" s="353">
        <f>250000/12</f>
        <v>20833.33333</v>
      </c>
      <c r="AA79" s="355">
        <f t="shared" si="75"/>
        <v>0.004166666667</v>
      </c>
      <c r="AB79" s="353"/>
      <c r="AC79" s="352"/>
      <c r="AD79" s="353">
        <f>250000/12</f>
        <v>20833.33333</v>
      </c>
      <c r="AE79" s="355">
        <f t="shared" si="76"/>
        <v>0.004166666667</v>
      </c>
      <c r="AF79" s="353">
        <v>67500.0</v>
      </c>
      <c r="AG79" s="352"/>
      <c r="AH79" s="353">
        <f>250000/12</f>
        <v>20833.33333</v>
      </c>
      <c r="AI79" s="355">
        <f t="shared" si="77"/>
        <v>0.004166666667</v>
      </c>
      <c r="AJ79" s="353"/>
      <c r="AK79" s="355">
        <f t="shared" si="82"/>
        <v>0</v>
      </c>
      <c r="AL79" s="353">
        <f>250000/12</f>
        <v>20833.33333</v>
      </c>
      <c r="AM79" s="355">
        <f t="shared" si="78"/>
        <v>0.004166666667</v>
      </c>
      <c r="AN79" s="353"/>
      <c r="AO79" s="352"/>
      <c r="AP79" s="353">
        <f>250000/12</f>
        <v>20833.33333</v>
      </c>
      <c r="AQ79" s="355">
        <f t="shared" si="79"/>
        <v>0.004166666667</v>
      </c>
      <c r="AR79" s="353"/>
      <c r="AS79" s="352"/>
      <c r="AT79" s="353"/>
      <c r="AU79" s="352"/>
      <c r="AV79" s="353">
        <f>250000/12</f>
        <v>20833.33333</v>
      </c>
      <c r="AW79" s="355">
        <f t="shared" si="80"/>
        <v>0.004166666667</v>
      </c>
      <c r="AX79" s="352"/>
      <c r="AY79" s="352"/>
      <c r="AZ79" s="353"/>
      <c r="BA79" s="352"/>
      <c r="BB79" s="353">
        <f>250000/12</f>
        <v>20833.33333</v>
      </c>
      <c r="BC79" s="355">
        <f t="shared" si="81"/>
        <v>0.004166666667</v>
      </c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  <c r="BQ79" s="213"/>
      <c r="BR79" s="213"/>
      <c r="BS79" s="213"/>
      <c r="BT79" s="213"/>
      <c r="BU79" s="213"/>
      <c r="BV79" s="213"/>
      <c r="BW79" s="213"/>
    </row>
    <row r="80" ht="15.75" customHeight="1">
      <c r="A80" s="213"/>
      <c r="B80" s="245"/>
      <c r="C80" s="975" t="s">
        <v>430</v>
      </c>
      <c r="D80" s="353"/>
      <c r="E80" s="352"/>
      <c r="F80" s="353"/>
      <c r="G80" s="355"/>
      <c r="H80" s="359"/>
      <c r="I80" s="352"/>
      <c r="J80" s="359"/>
      <c r="K80" s="355"/>
      <c r="L80" s="353"/>
      <c r="M80" s="352"/>
      <c r="N80" s="353"/>
      <c r="O80" s="355"/>
      <c r="P80" s="353"/>
      <c r="Q80" s="352"/>
      <c r="R80" s="966"/>
      <c r="S80" s="355"/>
      <c r="T80" s="353"/>
      <c r="U80" s="352"/>
      <c r="V80" s="353"/>
      <c r="W80" s="355"/>
      <c r="X80" s="359"/>
      <c r="Y80" s="352"/>
      <c r="Z80" s="353"/>
      <c r="AA80" s="355"/>
      <c r="AB80" s="353"/>
      <c r="AC80" s="352"/>
      <c r="AD80" s="353"/>
      <c r="AE80" s="355"/>
      <c r="AF80" s="353">
        <f>(10384/12)+(15576/12)</f>
        <v>2163.333333</v>
      </c>
      <c r="AG80" s="352"/>
      <c r="AH80" s="353">
        <f>(10384/12)+(15576/12)</f>
        <v>2163.333333</v>
      </c>
      <c r="AI80" s="355"/>
      <c r="AJ80" s="353">
        <f>(10384/12)+(15576/12)</f>
        <v>2163.333333</v>
      </c>
      <c r="AK80" s="355">
        <f t="shared" si="82"/>
        <v>0.0002521091612</v>
      </c>
      <c r="AL80" s="353"/>
      <c r="AM80" s="355"/>
      <c r="AN80" s="353">
        <f>(10384/12)+(15576/12)</f>
        <v>2163.333333</v>
      </c>
      <c r="AO80" s="352"/>
      <c r="AP80" s="353">
        <f>(10384/12)+(15576/12)</f>
        <v>2163.333333</v>
      </c>
      <c r="AQ80" s="355"/>
      <c r="AR80" s="353"/>
      <c r="AS80" s="352"/>
      <c r="AT80" s="353">
        <f>(10384/12)+(15576/12)</f>
        <v>2163.333333</v>
      </c>
      <c r="AU80" s="352"/>
      <c r="AV80" s="353">
        <f>(10384/12)+(15576/12)</f>
        <v>2163.333333</v>
      </c>
      <c r="AW80" s="355"/>
      <c r="AX80" s="352"/>
      <c r="AY80" s="352"/>
      <c r="AZ80" s="353">
        <f>(10384/12)+(15576/12)</f>
        <v>2163.333333</v>
      </c>
      <c r="BA80" s="352"/>
      <c r="BB80" s="353">
        <f>(10384/12)+(15576/12)</f>
        <v>2163.333333</v>
      </c>
      <c r="BC80" s="355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  <c r="BQ80" s="213"/>
      <c r="BR80" s="213"/>
      <c r="BS80" s="213"/>
      <c r="BT80" s="213"/>
      <c r="BU80" s="213"/>
      <c r="BV80" s="213"/>
      <c r="BW80" s="213"/>
    </row>
    <row r="81" ht="15.75" customHeight="1">
      <c r="A81" s="213"/>
      <c r="B81" s="245"/>
      <c r="C81" s="245" t="s">
        <v>421</v>
      </c>
      <c r="D81" s="353">
        <v>0.0</v>
      </c>
      <c r="E81" s="352"/>
      <c r="F81" s="353">
        <v>6000.0</v>
      </c>
      <c r="G81" s="355" t="str">
        <f>F81/F$31</f>
        <v>#DIV/0!</v>
      </c>
      <c r="H81" s="359"/>
      <c r="I81" s="352"/>
      <c r="J81" s="359">
        <v>6000.0</v>
      </c>
      <c r="K81" s="355" t="str">
        <f>J81/J$31</f>
        <v>#DIV/0!</v>
      </c>
      <c r="L81" s="353"/>
      <c r="M81" s="352"/>
      <c r="N81" s="353">
        <v>6000.0</v>
      </c>
      <c r="O81" s="355" t="str">
        <f>N81/N$31</f>
        <v>#DIV/0!</v>
      </c>
      <c r="P81" s="353"/>
      <c r="Q81" s="352"/>
      <c r="R81" s="966">
        <v>6000.0</v>
      </c>
      <c r="S81" s="355" t="str">
        <f>R81/R$31</f>
        <v>#DIV/0!</v>
      </c>
      <c r="T81" s="353"/>
      <c r="U81" s="352"/>
      <c r="V81" s="353">
        <v>6000.0</v>
      </c>
      <c r="W81" s="355">
        <f>V81/V$31</f>
        <v>0.0012</v>
      </c>
      <c r="X81" s="359"/>
      <c r="Y81" s="352"/>
      <c r="Z81" s="353">
        <v>6000.0</v>
      </c>
      <c r="AA81" s="355">
        <f>Z81/Z$31</f>
        <v>0.0012</v>
      </c>
      <c r="AB81" s="353"/>
      <c r="AC81" s="352"/>
      <c r="AD81" s="353">
        <v>6000.0</v>
      </c>
      <c r="AE81" s="355">
        <f>AD81/AD$31</f>
        <v>0.0012</v>
      </c>
      <c r="AF81" s="353"/>
      <c r="AG81" s="352"/>
      <c r="AH81" s="353">
        <v>6000.0</v>
      </c>
      <c r="AI81" s="355">
        <f>AH81/AH$31</f>
        <v>0.0012</v>
      </c>
      <c r="AJ81" s="353"/>
      <c r="AK81" s="355">
        <f t="shared" si="82"/>
        <v>0</v>
      </c>
      <c r="AL81" s="353">
        <v>6000.0</v>
      </c>
      <c r="AM81" s="355">
        <f>AL81/AL$31</f>
        <v>0.0012</v>
      </c>
      <c r="AN81" s="353"/>
      <c r="AO81" s="352"/>
      <c r="AP81" s="353">
        <v>6000.0</v>
      </c>
      <c r="AQ81" s="355">
        <f>AP81/AP$31</f>
        <v>0.0012</v>
      </c>
      <c r="AR81" s="353"/>
      <c r="AS81" s="352"/>
      <c r="AT81" s="353"/>
      <c r="AU81" s="352"/>
      <c r="AV81" s="353">
        <v>6000.0</v>
      </c>
      <c r="AW81" s="355">
        <f>AV81/AV$31</f>
        <v>0.0012</v>
      </c>
      <c r="AX81" s="352"/>
      <c r="AY81" s="352"/>
      <c r="AZ81" s="353"/>
      <c r="BA81" s="352"/>
      <c r="BB81" s="353">
        <v>6000.0</v>
      </c>
      <c r="BC81" s="355">
        <f>BB81/BB$31</f>
        <v>0.0012</v>
      </c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  <c r="BQ81" s="213"/>
      <c r="BR81" s="213"/>
      <c r="BS81" s="213"/>
      <c r="BT81" s="213"/>
      <c r="BU81" s="213"/>
      <c r="BV81" s="213"/>
      <c r="BW81" s="213"/>
    </row>
    <row r="82" ht="15.75" customHeight="1">
      <c r="A82" s="213"/>
      <c r="B82" s="245"/>
      <c r="C82" s="972"/>
      <c r="D82" s="353"/>
      <c r="E82" s="352"/>
      <c r="F82" s="353"/>
      <c r="G82" s="352"/>
      <c r="H82" s="359"/>
      <c r="I82" s="352"/>
      <c r="J82" s="359"/>
      <c r="K82" s="352"/>
      <c r="L82" s="353"/>
      <c r="M82" s="352"/>
      <c r="N82" s="353"/>
      <c r="O82" s="352"/>
      <c r="P82" s="353"/>
      <c r="Q82" s="352"/>
      <c r="R82" s="966"/>
      <c r="S82" s="352"/>
      <c r="T82" s="353"/>
      <c r="U82" s="352"/>
      <c r="V82" s="353"/>
      <c r="W82" s="352"/>
      <c r="X82" s="359"/>
      <c r="Y82" s="352"/>
      <c r="Z82" s="353"/>
      <c r="AA82" s="352"/>
      <c r="AB82" s="353"/>
      <c r="AC82" s="352"/>
      <c r="AD82" s="353"/>
      <c r="AE82" s="352"/>
      <c r="AF82" s="353"/>
      <c r="AG82" s="352"/>
      <c r="AH82" s="353"/>
      <c r="AI82" s="352"/>
      <c r="AJ82" s="353"/>
      <c r="AK82" s="355">
        <f t="shared" si="82"/>
        <v>0</v>
      </c>
      <c r="AL82" s="353"/>
      <c r="AM82" s="352"/>
      <c r="AN82" s="353"/>
      <c r="AO82" s="352"/>
      <c r="AP82" s="353"/>
      <c r="AQ82" s="352"/>
      <c r="AR82" s="353"/>
      <c r="AS82" s="352"/>
      <c r="AT82" s="353"/>
      <c r="AU82" s="352"/>
      <c r="AV82" s="353"/>
      <c r="AW82" s="352"/>
      <c r="AX82" s="352"/>
      <c r="AY82" s="352"/>
      <c r="AZ82" s="353"/>
      <c r="BA82" s="352"/>
      <c r="BB82" s="353"/>
      <c r="BC82" s="352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  <c r="BQ82" s="213"/>
      <c r="BR82" s="213"/>
      <c r="BS82" s="213"/>
      <c r="BT82" s="213"/>
      <c r="BU82" s="213"/>
      <c r="BV82" s="213"/>
      <c r="BW82" s="213"/>
    </row>
    <row r="83" ht="15.75" hidden="1" customHeight="1">
      <c r="A83" s="213"/>
      <c r="B83" s="976" t="s">
        <v>443</v>
      </c>
      <c r="C83" s="972" t="s">
        <v>36</v>
      </c>
      <c r="D83" s="353">
        <f>SUM(D84:D87)</f>
        <v>0</v>
      </c>
      <c r="E83" s="352"/>
      <c r="F83" s="353">
        <f>SUM(F84:F87)</f>
        <v>0</v>
      </c>
      <c r="G83" s="355" t="str">
        <f>F83/F31</f>
        <v>#DIV/0!</v>
      </c>
      <c r="H83" s="359">
        <f>SUM(H84:H87)</f>
        <v>0</v>
      </c>
      <c r="I83" s="352"/>
      <c r="J83" s="359">
        <f>SUM(J84:J87)</f>
        <v>0</v>
      </c>
      <c r="K83" s="355" t="str">
        <f>J83/J31</f>
        <v>#DIV/0!</v>
      </c>
      <c r="L83" s="353">
        <f>SUM(L84:L87)</f>
        <v>0</v>
      </c>
      <c r="M83" s="352"/>
      <c r="N83" s="353">
        <f>SUM(N84:N87)</f>
        <v>0</v>
      </c>
      <c r="O83" s="355" t="str">
        <f>N83/N31</f>
        <v>#DIV/0!</v>
      </c>
      <c r="P83" s="353">
        <f>SUM(P84:P87)</f>
        <v>0</v>
      </c>
      <c r="Q83" s="352"/>
      <c r="R83" s="966">
        <f>SUM(R84:R87)</f>
        <v>0</v>
      </c>
      <c r="S83" s="355" t="str">
        <f>R83/R31</f>
        <v>#DIV/0!</v>
      </c>
      <c r="T83" s="353">
        <f>SUM(T84:T87)</f>
        <v>0</v>
      </c>
      <c r="U83" s="352"/>
      <c r="V83" s="353">
        <f>SUM(V84:V87)</f>
        <v>0</v>
      </c>
      <c r="W83" s="355">
        <f>V83/V31</f>
        <v>0</v>
      </c>
      <c r="X83" s="359">
        <f>SUM(X84:X87)</f>
        <v>0</v>
      </c>
      <c r="Y83" s="352"/>
      <c r="Z83" s="353">
        <f>SUM(Z84:Z87)</f>
        <v>0</v>
      </c>
      <c r="AA83" s="355">
        <f>Z83/Z31</f>
        <v>0</v>
      </c>
      <c r="AB83" s="353">
        <f>SUM(AB84:AB87)</f>
        <v>0</v>
      </c>
      <c r="AC83" s="352"/>
      <c r="AD83" s="353">
        <f>SUM(AD84:AD87)</f>
        <v>0</v>
      </c>
      <c r="AE83" s="355">
        <f>AD83/AD31</f>
        <v>0</v>
      </c>
      <c r="AF83" s="353">
        <f>SUM(AF84:AF87)</f>
        <v>0</v>
      </c>
      <c r="AG83" s="352"/>
      <c r="AH83" s="353">
        <f>SUM(AH84:AH87)</f>
        <v>0</v>
      </c>
      <c r="AI83" s="355">
        <f>AH83/AH31</f>
        <v>0</v>
      </c>
      <c r="AJ83" s="353">
        <f>SUM(AJ84:AJ87)</f>
        <v>0</v>
      </c>
      <c r="AK83" s="352"/>
      <c r="AL83" s="353">
        <f>SUM(AL84:AL87)</f>
        <v>0</v>
      </c>
      <c r="AM83" s="355">
        <f>AL83/AL31</f>
        <v>0</v>
      </c>
      <c r="AN83" s="353">
        <f>SUM(AN84:AN87)</f>
        <v>0</v>
      </c>
      <c r="AO83" s="352"/>
      <c r="AP83" s="353">
        <f>SUM(AP84:AP87)</f>
        <v>0</v>
      </c>
      <c r="AQ83" s="355">
        <f>AP83/AP31</f>
        <v>0</v>
      </c>
      <c r="AR83" s="353">
        <f>SUM(AR84:AR87)</f>
        <v>0</v>
      </c>
      <c r="AS83" s="352"/>
      <c r="AT83" s="353">
        <f>SUM(AT84:AT87)</f>
        <v>0</v>
      </c>
      <c r="AU83" s="352"/>
      <c r="AV83" s="353">
        <f>SUM(AV84:AV87)</f>
        <v>0</v>
      </c>
      <c r="AW83" s="355">
        <f>AV83/AV31</f>
        <v>0</v>
      </c>
      <c r="AX83" s="352">
        <f>SUM(AX84:AX87)</f>
        <v>0</v>
      </c>
      <c r="AY83" s="352"/>
      <c r="AZ83" s="353">
        <f>SUM(AZ84:AZ87)</f>
        <v>0</v>
      </c>
      <c r="BA83" s="352"/>
      <c r="BB83" s="353">
        <f>SUM(BB84:BB87)</f>
        <v>0</v>
      </c>
      <c r="BC83" s="355">
        <f>BB83/BB31</f>
        <v>0</v>
      </c>
      <c r="BD83" s="216"/>
      <c r="BE83" s="216"/>
      <c r="BF83" s="216"/>
      <c r="BG83" s="216"/>
      <c r="BH83" s="216"/>
      <c r="BI83" s="216"/>
      <c r="BJ83" s="216"/>
      <c r="BK83" s="216"/>
      <c r="BL83" s="216"/>
      <c r="BM83" s="216"/>
      <c r="BN83" s="216"/>
      <c r="BO83" s="216"/>
      <c r="BP83" s="216"/>
      <c r="BQ83" s="216"/>
      <c r="BR83" s="216"/>
      <c r="BS83" s="216"/>
      <c r="BT83" s="216"/>
      <c r="BU83" s="216"/>
      <c r="BV83" s="216"/>
      <c r="BW83" s="216"/>
    </row>
    <row r="84" ht="15.75" hidden="1" customHeight="1">
      <c r="A84" s="213"/>
      <c r="B84" s="245"/>
      <c r="C84" s="245" t="s">
        <v>257</v>
      </c>
      <c r="D84" s="353"/>
      <c r="E84" s="352"/>
      <c r="F84" s="353"/>
      <c r="G84" s="352"/>
      <c r="H84" s="359"/>
      <c r="I84" s="352"/>
      <c r="J84" s="359"/>
      <c r="K84" s="352"/>
      <c r="L84" s="353"/>
      <c r="M84" s="352"/>
      <c r="N84" s="353"/>
      <c r="O84" s="352"/>
      <c r="P84" s="353"/>
      <c r="Q84" s="352"/>
      <c r="R84" s="966"/>
      <c r="S84" s="352"/>
      <c r="T84" s="353"/>
      <c r="U84" s="352"/>
      <c r="V84" s="353"/>
      <c r="W84" s="352"/>
      <c r="X84" s="359"/>
      <c r="Y84" s="352"/>
      <c r="Z84" s="353"/>
      <c r="AA84" s="352"/>
      <c r="AB84" s="353"/>
      <c r="AC84" s="352"/>
      <c r="AD84" s="353"/>
      <c r="AE84" s="352"/>
      <c r="AF84" s="353"/>
      <c r="AG84" s="352"/>
      <c r="AH84" s="353"/>
      <c r="AI84" s="352"/>
      <c r="AJ84" s="353"/>
      <c r="AK84" s="355">
        <f t="shared" ref="AK84:AK88" si="83">AJ84/AJ$31</f>
        <v>0</v>
      </c>
      <c r="AL84" s="353"/>
      <c r="AM84" s="352"/>
      <c r="AN84" s="353"/>
      <c r="AO84" s="352"/>
      <c r="AP84" s="353"/>
      <c r="AQ84" s="352"/>
      <c r="AR84" s="353"/>
      <c r="AS84" s="352"/>
      <c r="AT84" s="353"/>
      <c r="AU84" s="352"/>
      <c r="AV84" s="353"/>
      <c r="AW84" s="352"/>
      <c r="AX84" s="352"/>
      <c r="AY84" s="352"/>
      <c r="AZ84" s="353"/>
      <c r="BA84" s="352"/>
      <c r="BB84" s="353"/>
      <c r="BC84" s="352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  <c r="BQ84" s="213"/>
      <c r="BR84" s="213"/>
      <c r="BS84" s="213"/>
      <c r="BT84" s="213"/>
      <c r="BU84" s="213"/>
      <c r="BV84" s="213"/>
      <c r="BW84" s="213"/>
    </row>
    <row r="85" ht="15.75" hidden="1" customHeight="1">
      <c r="A85" s="213"/>
      <c r="B85" s="245"/>
      <c r="C85" s="245" t="s">
        <v>258</v>
      </c>
      <c r="D85" s="353"/>
      <c r="E85" s="352"/>
      <c r="F85" s="353"/>
      <c r="G85" s="352"/>
      <c r="H85" s="359"/>
      <c r="I85" s="352"/>
      <c r="J85" s="359"/>
      <c r="K85" s="352"/>
      <c r="L85" s="353"/>
      <c r="M85" s="352"/>
      <c r="N85" s="353"/>
      <c r="O85" s="352"/>
      <c r="P85" s="353"/>
      <c r="Q85" s="352"/>
      <c r="R85" s="966"/>
      <c r="S85" s="352"/>
      <c r="T85" s="353"/>
      <c r="U85" s="352"/>
      <c r="V85" s="353"/>
      <c r="W85" s="352"/>
      <c r="X85" s="359"/>
      <c r="Y85" s="352"/>
      <c r="Z85" s="353"/>
      <c r="AA85" s="352"/>
      <c r="AB85" s="353"/>
      <c r="AC85" s="352"/>
      <c r="AD85" s="353"/>
      <c r="AE85" s="352"/>
      <c r="AF85" s="353"/>
      <c r="AG85" s="352"/>
      <c r="AH85" s="353"/>
      <c r="AI85" s="352"/>
      <c r="AJ85" s="353"/>
      <c r="AK85" s="355">
        <f t="shared" si="83"/>
        <v>0</v>
      </c>
      <c r="AL85" s="353"/>
      <c r="AM85" s="352"/>
      <c r="AN85" s="353"/>
      <c r="AO85" s="352"/>
      <c r="AP85" s="353"/>
      <c r="AQ85" s="352"/>
      <c r="AR85" s="353"/>
      <c r="AS85" s="352"/>
      <c r="AT85" s="353"/>
      <c r="AU85" s="352"/>
      <c r="AV85" s="353"/>
      <c r="AW85" s="352"/>
      <c r="AX85" s="352"/>
      <c r="AY85" s="352"/>
      <c r="AZ85" s="353"/>
      <c r="BA85" s="352"/>
      <c r="BB85" s="353"/>
      <c r="BC85" s="352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  <c r="BQ85" s="213"/>
      <c r="BR85" s="213"/>
      <c r="BS85" s="213"/>
      <c r="BT85" s="213"/>
      <c r="BU85" s="213"/>
      <c r="BV85" s="213"/>
      <c r="BW85" s="213"/>
    </row>
    <row r="86" ht="15.75" hidden="1" customHeight="1">
      <c r="A86" s="213"/>
      <c r="B86" s="245"/>
      <c r="C86" s="245" t="s">
        <v>259</v>
      </c>
      <c r="D86" s="353"/>
      <c r="E86" s="352"/>
      <c r="F86" s="353">
        <f>G86*F$17</f>
        <v>0</v>
      </c>
      <c r="G86" s="355">
        <f>15%</f>
        <v>0.15</v>
      </c>
      <c r="H86" s="359"/>
      <c r="I86" s="352"/>
      <c r="J86" s="359">
        <f>K86*J$17</f>
        <v>0</v>
      </c>
      <c r="K86" s="355">
        <f>15%</f>
        <v>0.15</v>
      </c>
      <c r="L86" s="353"/>
      <c r="M86" s="352"/>
      <c r="N86" s="353">
        <f>O86*N$17</f>
        <v>0</v>
      </c>
      <c r="O86" s="355">
        <f>15%</f>
        <v>0.15</v>
      </c>
      <c r="P86" s="353"/>
      <c r="Q86" s="352"/>
      <c r="R86" s="966">
        <f>S86*R$17</f>
        <v>0</v>
      </c>
      <c r="S86" s="355">
        <f>15%</f>
        <v>0.15</v>
      </c>
      <c r="T86" s="353"/>
      <c r="U86" s="352"/>
      <c r="V86" s="353">
        <f>W86*V$17</f>
        <v>0</v>
      </c>
      <c r="W86" s="355">
        <f>15%</f>
        <v>0.15</v>
      </c>
      <c r="X86" s="359"/>
      <c r="Y86" s="352"/>
      <c r="Z86" s="353">
        <f>AA86*Z$17</f>
        <v>0</v>
      </c>
      <c r="AA86" s="355">
        <f>15%</f>
        <v>0.15</v>
      </c>
      <c r="AB86" s="353"/>
      <c r="AC86" s="352"/>
      <c r="AD86" s="353">
        <f>AE86*AD$17</f>
        <v>0</v>
      </c>
      <c r="AE86" s="355">
        <f>15%</f>
        <v>0.15</v>
      </c>
      <c r="AF86" s="353"/>
      <c r="AG86" s="352"/>
      <c r="AH86" s="353">
        <f>AI86*AH$17</f>
        <v>0</v>
      </c>
      <c r="AI86" s="355">
        <f>15%</f>
        <v>0.15</v>
      </c>
      <c r="AJ86" s="353"/>
      <c r="AK86" s="355">
        <f t="shared" si="83"/>
        <v>0</v>
      </c>
      <c r="AL86" s="353">
        <f>AM86*AL$17</f>
        <v>0</v>
      </c>
      <c r="AM86" s="355">
        <f>15%</f>
        <v>0.15</v>
      </c>
      <c r="AN86" s="353"/>
      <c r="AO86" s="352"/>
      <c r="AP86" s="353">
        <f>AQ86*AP$17</f>
        <v>0</v>
      </c>
      <c r="AQ86" s="355">
        <f>15%</f>
        <v>0.15</v>
      </c>
      <c r="AR86" s="353"/>
      <c r="AS86" s="352"/>
      <c r="AT86" s="353"/>
      <c r="AU86" s="352"/>
      <c r="AV86" s="353">
        <f>AW86*AV$17</f>
        <v>0</v>
      </c>
      <c r="AW86" s="355">
        <f>15%</f>
        <v>0.15</v>
      </c>
      <c r="AX86" s="352"/>
      <c r="AY86" s="352"/>
      <c r="AZ86" s="353"/>
      <c r="BA86" s="352"/>
      <c r="BB86" s="353">
        <f>BC86*BB$17</f>
        <v>0</v>
      </c>
      <c r="BC86" s="355">
        <f>15%</f>
        <v>0.15</v>
      </c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  <c r="BQ86" s="213"/>
      <c r="BR86" s="213"/>
      <c r="BS86" s="213"/>
      <c r="BT86" s="213"/>
      <c r="BU86" s="213"/>
      <c r="BV86" s="213"/>
      <c r="BW86" s="213"/>
    </row>
    <row r="87" ht="15.75" hidden="1" customHeight="1">
      <c r="A87" s="213"/>
      <c r="B87" s="245"/>
      <c r="C87" s="245" t="s">
        <v>260</v>
      </c>
      <c r="D87" s="353"/>
      <c r="E87" s="352"/>
      <c r="F87" s="353"/>
      <c r="G87" s="352"/>
      <c r="H87" s="359"/>
      <c r="I87" s="352"/>
      <c r="J87" s="359"/>
      <c r="K87" s="352"/>
      <c r="L87" s="353"/>
      <c r="M87" s="352"/>
      <c r="N87" s="353"/>
      <c r="O87" s="352"/>
      <c r="P87" s="353"/>
      <c r="Q87" s="352"/>
      <c r="R87" s="966"/>
      <c r="S87" s="352"/>
      <c r="T87" s="353"/>
      <c r="U87" s="352"/>
      <c r="V87" s="353"/>
      <c r="W87" s="352"/>
      <c r="X87" s="359"/>
      <c r="Y87" s="352"/>
      <c r="Z87" s="353"/>
      <c r="AA87" s="352"/>
      <c r="AB87" s="353"/>
      <c r="AC87" s="352"/>
      <c r="AD87" s="353"/>
      <c r="AE87" s="352"/>
      <c r="AF87" s="353"/>
      <c r="AG87" s="352"/>
      <c r="AH87" s="353"/>
      <c r="AI87" s="352"/>
      <c r="AJ87" s="353"/>
      <c r="AK87" s="355">
        <f t="shared" si="83"/>
        <v>0</v>
      </c>
      <c r="AL87" s="353"/>
      <c r="AM87" s="352"/>
      <c r="AN87" s="353"/>
      <c r="AO87" s="352"/>
      <c r="AP87" s="353"/>
      <c r="AQ87" s="352"/>
      <c r="AR87" s="353"/>
      <c r="AS87" s="352"/>
      <c r="AT87" s="353"/>
      <c r="AU87" s="352"/>
      <c r="AV87" s="353"/>
      <c r="AW87" s="352"/>
      <c r="AX87" s="352"/>
      <c r="AY87" s="352"/>
      <c r="AZ87" s="353"/>
      <c r="BA87" s="352"/>
      <c r="BB87" s="353"/>
      <c r="BC87" s="352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  <c r="BQ87" s="213"/>
      <c r="BR87" s="213"/>
      <c r="BS87" s="213"/>
      <c r="BT87" s="213"/>
      <c r="BU87" s="213"/>
      <c r="BV87" s="213"/>
      <c r="BW87" s="213"/>
    </row>
    <row r="88" ht="15.75" customHeight="1">
      <c r="A88" s="213"/>
      <c r="B88" s="245"/>
      <c r="C88" s="245"/>
      <c r="D88" s="353"/>
      <c r="E88" s="352"/>
      <c r="F88" s="353"/>
      <c r="G88" s="352"/>
      <c r="H88" s="359"/>
      <c r="I88" s="352"/>
      <c r="J88" s="359"/>
      <c r="K88" s="352"/>
      <c r="L88" s="353"/>
      <c r="M88" s="352"/>
      <c r="N88" s="353"/>
      <c r="O88" s="352"/>
      <c r="P88" s="353"/>
      <c r="Q88" s="352"/>
      <c r="R88" s="966"/>
      <c r="S88" s="352"/>
      <c r="T88" s="353"/>
      <c r="U88" s="352"/>
      <c r="V88" s="353"/>
      <c r="W88" s="352"/>
      <c r="X88" s="359"/>
      <c r="Y88" s="352"/>
      <c r="Z88" s="353"/>
      <c r="AA88" s="352"/>
      <c r="AB88" s="353"/>
      <c r="AC88" s="352"/>
      <c r="AD88" s="353"/>
      <c r="AE88" s="352"/>
      <c r="AF88" s="353"/>
      <c r="AG88" s="352"/>
      <c r="AH88" s="353"/>
      <c r="AI88" s="352"/>
      <c r="AJ88" s="353"/>
      <c r="AK88" s="355">
        <f t="shared" si="83"/>
        <v>0</v>
      </c>
      <c r="AL88" s="353"/>
      <c r="AM88" s="352"/>
      <c r="AN88" s="353"/>
      <c r="AO88" s="352"/>
      <c r="AP88" s="353"/>
      <c r="AQ88" s="352"/>
      <c r="AR88" s="353"/>
      <c r="AS88" s="352"/>
      <c r="AT88" s="353"/>
      <c r="AU88" s="352"/>
      <c r="AV88" s="353"/>
      <c r="AW88" s="352"/>
      <c r="AX88" s="352"/>
      <c r="AY88" s="352"/>
      <c r="AZ88" s="353"/>
      <c r="BA88" s="352"/>
      <c r="BB88" s="353"/>
      <c r="BC88" s="352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  <c r="BQ88" s="213"/>
      <c r="BR88" s="213"/>
      <c r="BS88" s="213"/>
      <c r="BT88" s="213"/>
      <c r="BU88" s="213"/>
      <c r="BV88" s="213"/>
      <c r="BW88" s="213"/>
    </row>
    <row r="89" ht="15.75" customHeight="1">
      <c r="A89" s="213"/>
      <c r="B89" s="245"/>
      <c r="C89" s="245"/>
      <c r="D89" s="353"/>
      <c r="E89" s="352"/>
      <c r="F89" s="353"/>
      <c r="G89" s="352"/>
      <c r="H89" s="359"/>
      <c r="I89" s="352"/>
      <c r="J89" s="359"/>
      <c r="K89" s="352"/>
      <c r="L89" s="353"/>
      <c r="M89" s="352"/>
      <c r="N89" s="353"/>
      <c r="O89" s="352"/>
      <c r="P89" s="353"/>
      <c r="Q89" s="352"/>
      <c r="R89" s="966"/>
      <c r="S89" s="352"/>
      <c r="T89" s="353"/>
      <c r="U89" s="352"/>
      <c r="V89" s="353"/>
      <c r="W89" s="352"/>
      <c r="X89" s="359"/>
      <c r="Y89" s="352"/>
      <c r="Z89" s="353"/>
      <c r="AA89" s="352"/>
      <c r="AB89" s="353"/>
      <c r="AC89" s="352"/>
      <c r="AD89" s="353"/>
      <c r="AE89" s="352"/>
      <c r="AF89" s="353"/>
      <c r="AG89" s="352"/>
      <c r="AH89" s="353"/>
      <c r="AI89" s="352"/>
      <c r="AJ89" s="353"/>
      <c r="AK89" s="352"/>
      <c r="AL89" s="353"/>
      <c r="AM89" s="352"/>
      <c r="AN89" s="353"/>
      <c r="AO89" s="352"/>
      <c r="AP89" s="353"/>
      <c r="AQ89" s="352"/>
      <c r="AR89" s="353"/>
      <c r="AS89" s="352"/>
      <c r="AT89" s="353"/>
      <c r="AU89" s="352"/>
      <c r="AV89" s="353"/>
      <c r="AW89" s="352"/>
      <c r="AX89" s="352"/>
      <c r="AY89" s="352"/>
      <c r="AZ89" s="353"/>
      <c r="BA89" s="352"/>
      <c r="BB89" s="353"/>
      <c r="BC89" s="352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  <c r="BQ89" s="213"/>
      <c r="BR89" s="213"/>
      <c r="BS89" s="213"/>
      <c r="BT89" s="213"/>
      <c r="BU89" s="213"/>
      <c r="BV89" s="213"/>
      <c r="BW89" s="213"/>
    </row>
    <row r="90" ht="15.75" customHeight="1">
      <c r="A90" s="213"/>
      <c r="B90" s="245"/>
      <c r="C90" s="972" t="s">
        <v>37</v>
      </c>
      <c r="D90" s="353">
        <f>SUM(D91:D95)</f>
        <v>42812.66667</v>
      </c>
      <c r="E90" s="352"/>
      <c r="F90" s="353">
        <f>SUM(F91:F95)</f>
        <v>0</v>
      </c>
      <c r="G90" s="355" t="str">
        <f t="shared" ref="G90:G93" si="84">F90/F$31</f>
        <v>#DIV/0!</v>
      </c>
      <c r="H90" s="359">
        <f>SUM(H91:H95)</f>
        <v>45522.66667</v>
      </c>
      <c r="I90" s="352"/>
      <c r="J90" s="359">
        <f>SUM(J91:J95)</f>
        <v>0</v>
      </c>
      <c r="K90" s="355" t="str">
        <f t="shared" ref="K90:K93" si="85">J90/J$31</f>
        <v>#DIV/0!</v>
      </c>
      <c r="L90" s="353">
        <f>SUM(L91:L95)</f>
        <v>30842.66667</v>
      </c>
      <c r="M90" s="352"/>
      <c r="N90" s="353">
        <f>SUM(N91:N95)</f>
        <v>0</v>
      </c>
      <c r="O90" s="355" t="str">
        <f t="shared" ref="O90:O93" si="86">N90/N$31</f>
        <v>#DIV/0!</v>
      </c>
      <c r="P90" s="353">
        <f>SUM(P91:P95)</f>
        <v>43206.66667</v>
      </c>
      <c r="Q90" s="352"/>
      <c r="R90" s="966">
        <f>SUM(R91:R95)</f>
        <v>0</v>
      </c>
      <c r="S90" s="355" t="str">
        <f t="shared" ref="S90:S93" si="87">R90/R$31</f>
        <v>#DIV/0!</v>
      </c>
      <c r="T90" s="353">
        <f>SUM(T91:T95)</f>
        <v>53889.08333</v>
      </c>
      <c r="U90" s="352"/>
      <c r="V90" s="353">
        <f>SUM(V91:V95)</f>
        <v>0</v>
      </c>
      <c r="W90" s="355">
        <f t="shared" ref="W90:W93" si="88">V90/V$31</f>
        <v>0</v>
      </c>
      <c r="X90" s="359">
        <f>SUM(X91:X95)</f>
        <v>157936.0833</v>
      </c>
      <c r="Y90" s="352"/>
      <c r="Z90" s="353">
        <f>SUM(Z91:Z95)</f>
        <v>0</v>
      </c>
      <c r="AA90" s="355">
        <f t="shared" ref="AA90:AA93" si="89">Z90/Z$31</f>
        <v>0</v>
      </c>
      <c r="AB90" s="353">
        <f>SUM(AB91:AB95)</f>
        <v>323331.4167</v>
      </c>
      <c r="AC90" s="352"/>
      <c r="AD90" s="353">
        <f>SUM(AD91:AD95)</f>
        <v>0</v>
      </c>
      <c r="AE90" s="355">
        <f t="shared" ref="AE90:AE93" si="90">AD90/AD$31</f>
        <v>0</v>
      </c>
      <c r="AF90" s="353">
        <f>SUM(AF91:AF95)</f>
        <v>332425.4167</v>
      </c>
      <c r="AG90" s="352"/>
      <c r="AH90" s="353">
        <f>SUM(AH91:AH95)</f>
        <v>0</v>
      </c>
      <c r="AI90" s="355">
        <f t="shared" ref="AI90:AI93" si="91">AH90/AH$31</f>
        <v>0</v>
      </c>
      <c r="AJ90" s="353">
        <f>SUM(AJ91:AJ95)</f>
        <v>375686.4167</v>
      </c>
      <c r="AK90" s="352"/>
      <c r="AL90" s="353">
        <f>SUM(AL91:AL95)</f>
        <v>0</v>
      </c>
      <c r="AM90" s="355">
        <f t="shared" ref="AM90:AM93" si="92">AL90/AL$31</f>
        <v>0</v>
      </c>
      <c r="AN90" s="353">
        <f>SUM(AN91:AN95)</f>
        <v>378681.4167</v>
      </c>
      <c r="AO90" s="352"/>
      <c r="AP90" s="353">
        <f>SUM(AP91:AP95)</f>
        <v>0</v>
      </c>
      <c r="AQ90" s="355">
        <f t="shared" ref="AQ90:AQ93" si="93">AP90/AP$31</f>
        <v>0</v>
      </c>
      <c r="AR90" s="353">
        <f>SUM(AR91:AR95)</f>
        <v>0</v>
      </c>
      <c r="AS90" s="352"/>
      <c r="AT90" s="353">
        <f>SUM(AT91:AT95)</f>
        <v>379549.4167</v>
      </c>
      <c r="AU90" s="352"/>
      <c r="AV90" s="353">
        <f>SUM(AV91:AV95)</f>
        <v>1756900</v>
      </c>
      <c r="AW90" s="355">
        <f t="shared" ref="AW90:AW93" si="94">AV90/AV$31</f>
        <v>0.35138</v>
      </c>
      <c r="AX90" s="352">
        <f>SUM(AX91:AX95)</f>
        <v>0</v>
      </c>
      <c r="AY90" s="352"/>
      <c r="AZ90" s="353">
        <f>SUM(AZ91:AZ95)</f>
        <v>395827.4167</v>
      </c>
      <c r="BA90" s="352"/>
      <c r="BB90" s="353">
        <f>SUM(BB91:BB95)</f>
        <v>0</v>
      </c>
      <c r="BC90" s="355">
        <f t="shared" ref="BC90:BC93" si="95">BB90/BB$31</f>
        <v>0</v>
      </c>
      <c r="BD90" s="215">
        <f>D90+H90+L90+P90+T90+X90+AB90+AF90+AJ90+AN90+AT90+AZ90</f>
        <v>2559711.333</v>
      </c>
      <c r="BE90" s="216"/>
      <c r="BF90" s="216"/>
      <c r="BG90" s="216"/>
      <c r="BH90" s="216"/>
      <c r="BI90" s="216"/>
      <c r="BJ90" s="216"/>
      <c r="BK90" s="216"/>
      <c r="BL90" s="216"/>
      <c r="BM90" s="216"/>
      <c r="BN90" s="216"/>
      <c r="BO90" s="216"/>
      <c r="BP90" s="216"/>
      <c r="BQ90" s="216"/>
      <c r="BR90" s="216"/>
      <c r="BS90" s="216"/>
      <c r="BT90" s="216"/>
      <c r="BU90" s="216"/>
      <c r="BV90" s="216"/>
      <c r="BW90" s="216"/>
    </row>
    <row r="91" ht="15.75" customHeight="1">
      <c r="A91" s="213"/>
      <c r="B91" s="245"/>
      <c r="C91" s="976" t="s">
        <v>444</v>
      </c>
      <c r="D91" s="353">
        <f>59948/3</f>
        <v>19982.66667</v>
      </c>
      <c r="E91" s="352"/>
      <c r="F91" s="353"/>
      <c r="G91" s="355" t="str">
        <f t="shared" si="84"/>
        <v>#DIV/0!</v>
      </c>
      <c r="H91" s="359">
        <f>59948/3</f>
        <v>19982.66667</v>
      </c>
      <c r="I91" s="352"/>
      <c r="J91" s="359"/>
      <c r="K91" s="355" t="str">
        <f t="shared" si="85"/>
        <v>#DIV/0!</v>
      </c>
      <c r="L91" s="353">
        <f>59948/3</f>
        <v>19982.66667</v>
      </c>
      <c r="M91" s="352"/>
      <c r="N91" s="353"/>
      <c r="O91" s="355" t="str">
        <f t="shared" si="86"/>
        <v>#DIV/0!</v>
      </c>
      <c r="P91" s="353">
        <f>75350/3</f>
        <v>25116.66667</v>
      </c>
      <c r="Q91" s="352"/>
      <c r="R91" s="966"/>
      <c r="S91" s="355" t="str">
        <f t="shared" si="87"/>
        <v>#DIV/0!</v>
      </c>
      <c r="T91" s="353">
        <f>75350/3</f>
        <v>25116.66667</v>
      </c>
      <c r="U91" s="352"/>
      <c r="V91" s="353"/>
      <c r="W91" s="355">
        <f t="shared" si="88"/>
        <v>0</v>
      </c>
      <c r="X91" s="359">
        <f>75350/3+114067</f>
        <v>139183.6667</v>
      </c>
      <c r="Y91" s="352"/>
      <c r="Z91" s="353"/>
      <c r="AA91" s="355">
        <f t="shared" si="89"/>
        <v>0</v>
      </c>
      <c r="AB91" s="353">
        <f>67650/3+171100</f>
        <v>193650</v>
      </c>
      <c r="AC91" s="352"/>
      <c r="AD91" s="353"/>
      <c r="AE91" s="355">
        <f t="shared" si="90"/>
        <v>0</v>
      </c>
      <c r="AF91" s="353">
        <f>171100+67650/3</f>
        <v>193650</v>
      </c>
      <c r="AG91" s="352"/>
      <c r="AH91" s="353"/>
      <c r="AI91" s="355">
        <f t="shared" si="91"/>
        <v>0</v>
      </c>
      <c r="AJ91" s="353">
        <f>171100+67650/3</f>
        <v>193650</v>
      </c>
      <c r="AK91" s="355">
        <f t="shared" ref="AK91:AK95" si="96">AJ91/AJ$31</f>
        <v>0.02256746027</v>
      </c>
      <c r="AL91" s="353"/>
      <c r="AM91" s="355">
        <f t="shared" si="92"/>
        <v>0</v>
      </c>
      <c r="AN91" s="353">
        <f>171100+67650/3</f>
        <v>193650</v>
      </c>
      <c r="AO91" s="352"/>
      <c r="AP91" s="353"/>
      <c r="AQ91" s="355">
        <f t="shared" si="93"/>
        <v>0</v>
      </c>
      <c r="AR91" s="353"/>
      <c r="AS91" s="352"/>
      <c r="AT91" s="353">
        <f>171100+67650/3</f>
        <v>193650</v>
      </c>
      <c r="AU91" s="352"/>
      <c r="AV91" s="353">
        <v>1504900.0</v>
      </c>
      <c r="AW91" s="355">
        <f t="shared" si="94"/>
        <v>0.30098</v>
      </c>
      <c r="AX91" s="352"/>
      <c r="AY91" s="352"/>
      <c r="AZ91" s="353">
        <f>171100+67650/3</f>
        <v>193650</v>
      </c>
      <c r="BA91" s="352"/>
      <c r="BB91" s="353"/>
      <c r="BC91" s="355">
        <f t="shared" si="95"/>
        <v>0</v>
      </c>
      <c r="BD91" s="213"/>
      <c r="BE91" s="213"/>
      <c r="BF91" s="213"/>
      <c r="BG91" s="213"/>
      <c r="BH91" s="213"/>
      <c r="BI91" s="213"/>
      <c r="BJ91" s="213"/>
      <c r="BK91" s="213"/>
      <c r="BL91" s="213"/>
      <c r="BM91" s="213"/>
      <c r="BN91" s="213"/>
      <c r="BO91" s="213"/>
      <c r="BP91" s="213"/>
      <c r="BQ91" s="213"/>
      <c r="BR91" s="213"/>
      <c r="BS91" s="213"/>
      <c r="BT91" s="213"/>
      <c r="BU91" s="213"/>
      <c r="BV91" s="213"/>
      <c r="BW91" s="213"/>
    </row>
    <row r="92" ht="15.75" customHeight="1">
      <c r="A92" s="213"/>
      <c r="B92" s="245"/>
      <c r="C92" s="976" t="s">
        <v>445</v>
      </c>
      <c r="D92" s="353">
        <v>22830.0</v>
      </c>
      <c r="E92" s="352"/>
      <c r="F92" s="353"/>
      <c r="G92" s="355" t="str">
        <f t="shared" si="84"/>
        <v>#DIV/0!</v>
      </c>
      <c r="H92" s="359">
        <v>25540.0</v>
      </c>
      <c r="I92" s="352"/>
      <c r="J92" s="359"/>
      <c r="K92" s="355" t="str">
        <f t="shared" si="85"/>
        <v>#DIV/0!</v>
      </c>
      <c r="L92" s="353">
        <v>10860.0</v>
      </c>
      <c r="M92" s="352"/>
      <c r="N92" s="353"/>
      <c r="O92" s="355" t="str">
        <f t="shared" si="86"/>
        <v>#DIV/0!</v>
      </c>
      <c r="P92" s="353">
        <f>17520+570</f>
        <v>18090</v>
      </c>
      <c r="Q92" s="352"/>
      <c r="R92" s="966"/>
      <c r="S92" s="355" t="str">
        <f t="shared" si="87"/>
        <v>#DIV/0!</v>
      </c>
      <c r="T92" s="353">
        <f>16620+560</f>
        <v>17180</v>
      </c>
      <c r="U92" s="352"/>
      <c r="V92" s="353"/>
      <c r="W92" s="355">
        <f t="shared" si="88"/>
        <v>0</v>
      </c>
      <c r="X92" s="359">
        <f>16620+570</f>
        <v>17190</v>
      </c>
      <c r="Y92" s="352"/>
      <c r="Z92" s="353"/>
      <c r="AA92" s="355">
        <f t="shared" si="89"/>
        <v>0</v>
      </c>
      <c r="AB92" s="353">
        <f>81020+40330</f>
        <v>121350</v>
      </c>
      <c r="AC92" s="352"/>
      <c r="AD92" s="353"/>
      <c r="AE92" s="355">
        <f t="shared" si="90"/>
        <v>0</v>
      </c>
      <c r="AF92" s="353">
        <f>81020+40330</f>
        <v>121350</v>
      </c>
      <c r="AG92" s="352"/>
      <c r="AH92" s="353"/>
      <c r="AI92" s="355">
        <f t="shared" si="91"/>
        <v>0</v>
      </c>
      <c r="AJ92" s="353">
        <f>94800+40130</f>
        <v>134930</v>
      </c>
      <c r="AK92" s="355">
        <f t="shared" si="96"/>
        <v>0.01572438634</v>
      </c>
      <c r="AL92" s="353"/>
      <c r="AM92" s="355">
        <f t="shared" si="92"/>
        <v>0</v>
      </c>
      <c r="AN92" s="353">
        <f>96210+40473</f>
        <v>136683</v>
      </c>
      <c r="AO92" s="352"/>
      <c r="AP92" s="353"/>
      <c r="AQ92" s="355">
        <f t="shared" si="93"/>
        <v>0</v>
      </c>
      <c r="AR92" s="353"/>
      <c r="AS92" s="352"/>
      <c r="AT92" s="536">
        <f>95940+57250</f>
        <v>153190</v>
      </c>
      <c r="AU92" s="352"/>
      <c r="AV92" s="353">
        <v>252000.0</v>
      </c>
      <c r="AW92" s="355">
        <f t="shared" si="94"/>
        <v>0.0504</v>
      </c>
      <c r="AX92" s="352"/>
      <c r="AY92" s="352"/>
      <c r="AZ92" s="536">
        <f>64170+104150</f>
        <v>168320</v>
      </c>
      <c r="BA92" s="352"/>
      <c r="BB92" s="353"/>
      <c r="BC92" s="355">
        <f t="shared" si="95"/>
        <v>0</v>
      </c>
      <c r="BD92" s="213"/>
      <c r="BE92" s="213"/>
      <c r="BF92" s="213"/>
      <c r="BG92" s="213"/>
      <c r="BH92" s="213"/>
      <c r="BI92" s="213"/>
      <c r="BJ92" s="213"/>
      <c r="BK92" s="213"/>
      <c r="BL92" s="213"/>
      <c r="BM92" s="213"/>
      <c r="BN92" s="213"/>
      <c r="BO92" s="213"/>
      <c r="BP92" s="213"/>
      <c r="BQ92" s="213"/>
      <c r="BR92" s="213"/>
      <c r="BS92" s="213"/>
      <c r="BT92" s="213"/>
      <c r="BU92" s="213"/>
      <c r="BV92" s="213"/>
      <c r="BW92" s="213"/>
    </row>
    <row r="93" ht="15.75" customHeight="1">
      <c r="A93" s="213"/>
      <c r="B93" s="245"/>
      <c r="C93" s="245" t="s">
        <v>263</v>
      </c>
      <c r="D93" s="353"/>
      <c r="E93" s="352"/>
      <c r="F93" s="353"/>
      <c r="G93" s="355" t="str">
        <f t="shared" si="84"/>
        <v>#DIV/0!</v>
      </c>
      <c r="H93" s="359"/>
      <c r="I93" s="352"/>
      <c r="J93" s="359"/>
      <c r="K93" s="355" t="str">
        <f t="shared" si="85"/>
        <v>#DIV/0!</v>
      </c>
      <c r="L93" s="353"/>
      <c r="M93" s="352"/>
      <c r="N93" s="353"/>
      <c r="O93" s="355" t="str">
        <f t="shared" si="86"/>
        <v>#DIV/0!</v>
      </c>
      <c r="P93" s="353"/>
      <c r="Q93" s="352"/>
      <c r="R93" s="966"/>
      <c r="S93" s="355" t="str">
        <f t="shared" si="87"/>
        <v>#DIV/0!</v>
      </c>
      <c r="T93" s="353"/>
      <c r="U93" s="352"/>
      <c r="V93" s="353"/>
      <c r="W93" s="355">
        <f t="shared" si="88"/>
        <v>0</v>
      </c>
      <c r="X93" s="359"/>
      <c r="Y93" s="352"/>
      <c r="Z93" s="353"/>
      <c r="AA93" s="355">
        <f t="shared" si="89"/>
        <v>0</v>
      </c>
      <c r="AB93" s="353"/>
      <c r="AC93" s="352"/>
      <c r="AD93" s="353"/>
      <c r="AE93" s="355">
        <f t="shared" si="90"/>
        <v>0</v>
      </c>
      <c r="AF93" s="353"/>
      <c r="AG93" s="352"/>
      <c r="AH93" s="353"/>
      <c r="AI93" s="355">
        <f t="shared" si="91"/>
        <v>0</v>
      </c>
      <c r="AJ93" s="353"/>
      <c r="AK93" s="355">
        <f t="shared" si="96"/>
        <v>0</v>
      </c>
      <c r="AL93" s="353"/>
      <c r="AM93" s="355">
        <f t="shared" si="92"/>
        <v>0</v>
      </c>
      <c r="AN93" s="353"/>
      <c r="AO93" s="352"/>
      <c r="AP93" s="353"/>
      <c r="AQ93" s="355">
        <f t="shared" si="93"/>
        <v>0</v>
      </c>
      <c r="AR93" s="353"/>
      <c r="AS93" s="352"/>
      <c r="AT93" s="353"/>
      <c r="AU93" s="352"/>
      <c r="AV93" s="353"/>
      <c r="AW93" s="355">
        <f t="shared" si="94"/>
        <v>0</v>
      </c>
      <c r="AX93" s="352"/>
      <c r="AY93" s="352"/>
      <c r="AZ93" s="353"/>
      <c r="BA93" s="352"/>
      <c r="BB93" s="353"/>
      <c r="BC93" s="355">
        <f t="shared" si="95"/>
        <v>0</v>
      </c>
      <c r="BD93" s="213"/>
      <c r="BE93" s="213"/>
      <c r="BF93" s="213"/>
      <c r="BG93" s="213"/>
      <c r="BH93" s="213"/>
      <c r="BI93" s="213"/>
      <c r="BJ93" s="213"/>
      <c r="BK93" s="213"/>
      <c r="BL93" s="213"/>
      <c r="BM93" s="213"/>
      <c r="BN93" s="213"/>
      <c r="BO93" s="213"/>
      <c r="BP93" s="213"/>
      <c r="BQ93" s="213"/>
      <c r="BR93" s="213"/>
      <c r="BS93" s="213"/>
      <c r="BT93" s="213"/>
      <c r="BU93" s="213"/>
      <c r="BV93" s="213"/>
      <c r="BW93" s="213"/>
    </row>
    <row r="94" ht="15.75" customHeight="1">
      <c r="A94" s="213"/>
      <c r="B94" s="245"/>
      <c r="C94" s="245" t="s">
        <v>417</v>
      </c>
      <c r="D94" s="353"/>
      <c r="E94" s="352"/>
      <c r="F94" s="353"/>
      <c r="G94" s="355"/>
      <c r="H94" s="359"/>
      <c r="I94" s="352"/>
      <c r="J94" s="359"/>
      <c r="K94" s="355"/>
      <c r="L94" s="353"/>
      <c r="M94" s="352"/>
      <c r="N94" s="353"/>
      <c r="O94" s="355"/>
      <c r="P94" s="353"/>
      <c r="Q94" s="352"/>
      <c r="R94" s="966"/>
      <c r="S94" s="355"/>
      <c r="T94" s="353">
        <v>10030.0</v>
      </c>
      <c r="U94" s="352"/>
      <c r="V94" s="353"/>
      <c r="W94" s="355"/>
      <c r="X94" s="359">
        <v>0.0</v>
      </c>
      <c r="Y94" s="352"/>
      <c r="Z94" s="353"/>
      <c r="AA94" s="355"/>
      <c r="AB94" s="353">
        <v>6769.0</v>
      </c>
      <c r="AC94" s="352"/>
      <c r="AD94" s="353"/>
      <c r="AE94" s="355"/>
      <c r="AF94" s="353">
        <v>15863.0</v>
      </c>
      <c r="AG94" s="352"/>
      <c r="AH94" s="353"/>
      <c r="AI94" s="355"/>
      <c r="AJ94" s="353">
        <f>28343+15431+1770</f>
        <v>45544</v>
      </c>
      <c r="AK94" s="355">
        <f t="shared" si="96"/>
        <v>0.005307577644</v>
      </c>
      <c r="AL94" s="353"/>
      <c r="AM94" s="355"/>
      <c r="AN94" s="536">
        <v>46786.0</v>
      </c>
      <c r="AO94" s="352"/>
      <c r="AP94" s="353"/>
      <c r="AQ94" s="355"/>
      <c r="AR94" s="353"/>
      <c r="AS94" s="352"/>
      <c r="AT94" s="353">
        <v>31147.0</v>
      </c>
      <c r="AU94" s="352"/>
      <c r="AV94" s="353"/>
      <c r="AW94" s="355"/>
      <c r="AX94" s="352"/>
      <c r="AY94" s="352"/>
      <c r="AZ94" s="536">
        <v>32295.0</v>
      </c>
      <c r="BA94" s="352"/>
      <c r="BB94" s="353"/>
      <c r="BC94" s="355"/>
      <c r="BD94" s="213"/>
      <c r="BE94" s="213"/>
      <c r="BF94" s="531"/>
      <c r="BG94" s="213"/>
      <c r="BH94" s="213"/>
      <c r="BI94" s="213"/>
      <c r="BJ94" s="213"/>
      <c r="BK94" s="213"/>
      <c r="BL94" s="213"/>
      <c r="BM94" s="213"/>
      <c r="BN94" s="213"/>
      <c r="BO94" s="213"/>
      <c r="BP94" s="213"/>
      <c r="BQ94" s="213"/>
      <c r="BR94" s="213"/>
      <c r="BS94" s="213"/>
      <c r="BT94" s="213"/>
      <c r="BU94" s="213"/>
      <c r="BV94" s="213"/>
      <c r="BW94" s="213"/>
    </row>
    <row r="95" ht="15.75" customHeight="1">
      <c r="A95" s="213"/>
      <c r="B95" s="245"/>
      <c r="C95" s="245" t="s">
        <v>264</v>
      </c>
      <c r="D95" s="353"/>
      <c r="E95" s="352"/>
      <c r="F95" s="353"/>
      <c r="G95" s="355" t="str">
        <f>F95/F$31</f>
        <v>#DIV/0!</v>
      </c>
      <c r="H95" s="359"/>
      <c r="I95" s="352"/>
      <c r="J95" s="359"/>
      <c r="K95" s="355" t="str">
        <f>J95/J$31</f>
        <v>#DIV/0!</v>
      </c>
      <c r="L95" s="353"/>
      <c r="M95" s="352"/>
      <c r="N95" s="353"/>
      <c r="O95" s="355" t="str">
        <f>N95/N$31</f>
        <v>#DIV/0!</v>
      </c>
      <c r="P95" s="353"/>
      <c r="Q95" s="352"/>
      <c r="R95" s="966"/>
      <c r="S95" s="355" t="str">
        <f>R95/R$31</f>
        <v>#DIV/0!</v>
      </c>
      <c r="T95" s="353">
        <f>(9600+2999+6150)/12</f>
        <v>1562.416667</v>
      </c>
      <c r="U95" s="352"/>
      <c r="V95" s="353"/>
      <c r="W95" s="355">
        <f>V95/V$31</f>
        <v>0</v>
      </c>
      <c r="X95" s="353">
        <f>T95</f>
        <v>1562.416667</v>
      </c>
      <c r="Y95" s="352"/>
      <c r="Z95" s="353"/>
      <c r="AA95" s="355">
        <f>Z95/Z$31</f>
        <v>0</v>
      </c>
      <c r="AB95" s="353">
        <f>X95</f>
        <v>1562.416667</v>
      </c>
      <c r="AC95" s="352"/>
      <c r="AD95" s="353"/>
      <c r="AE95" s="355">
        <f>AD95/AD$31</f>
        <v>0</v>
      </c>
      <c r="AF95" s="353">
        <f>AB95</f>
        <v>1562.416667</v>
      </c>
      <c r="AG95" s="352"/>
      <c r="AH95" s="353"/>
      <c r="AI95" s="355">
        <f>AH95/AH$31</f>
        <v>0</v>
      </c>
      <c r="AJ95" s="353">
        <f>AF95</f>
        <v>1562.416667</v>
      </c>
      <c r="AK95" s="355">
        <f t="shared" si="96"/>
        <v>0.0001820799177</v>
      </c>
      <c r="AL95" s="353"/>
      <c r="AM95" s="355">
        <f>AL95/AL$31</f>
        <v>0</v>
      </c>
      <c r="AN95" s="353">
        <f>AJ95</f>
        <v>1562.416667</v>
      </c>
      <c r="AO95" s="352"/>
      <c r="AP95" s="353"/>
      <c r="AQ95" s="355">
        <f>AP95/AP$31</f>
        <v>0</v>
      </c>
      <c r="AR95" s="353"/>
      <c r="AS95" s="352"/>
      <c r="AT95" s="353">
        <f>AN95</f>
        <v>1562.416667</v>
      </c>
      <c r="AU95" s="352"/>
      <c r="AV95" s="353" t="str">
        <f>$AH$95</f>
        <v/>
      </c>
      <c r="AW95" s="355">
        <f>AV95/AV$31</f>
        <v>0</v>
      </c>
      <c r="AX95" s="352"/>
      <c r="AY95" s="352"/>
      <c r="AZ95" s="353">
        <f>AT95</f>
        <v>1562.416667</v>
      </c>
      <c r="BA95" s="352"/>
      <c r="BB95" s="353"/>
      <c r="BC95" s="355">
        <f>BB95/BB$31</f>
        <v>0</v>
      </c>
      <c r="BD95" s="213"/>
      <c r="BE95" s="213"/>
      <c r="BF95" s="213"/>
      <c r="BG95" s="213"/>
      <c r="BH95" s="213"/>
      <c r="BI95" s="213"/>
      <c r="BJ95" s="213"/>
      <c r="BK95" s="213"/>
      <c r="BL95" s="213"/>
      <c r="BM95" s="213"/>
      <c r="BN95" s="213"/>
      <c r="BO95" s="213"/>
      <c r="BP95" s="213"/>
      <c r="BQ95" s="213"/>
      <c r="BR95" s="213"/>
      <c r="BS95" s="213"/>
      <c r="BT95" s="213"/>
      <c r="BU95" s="213"/>
      <c r="BV95" s="213"/>
      <c r="BW95" s="213"/>
    </row>
    <row r="96" ht="15.75" customHeight="1">
      <c r="A96" s="213"/>
      <c r="B96" s="245"/>
      <c r="C96" s="972"/>
      <c r="D96" s="353"/>
      <c r="E96" s="352"/>
      <c r="F96" s="353"/>
      <c r="G96" s="352"/>
      <c r="H96" s="359"/>
      <c r="I96" s="352"/>
      <c r="J96" s="359"/>
      <c r="K96" s="352"/>
      <c r="L96" s="353"/>
      <c r="M96" s="352"/>
      <c r="N96" s="353"/>
      <c r="O96" s="352"/>
      <c r="P96" s="353"/>
      <c r="Q96" s="352"/>
      <c r="R96" s="966"/>
      <c r="S96" s="352"/>
      <c r="T96" s="353"/>
      <c r="U96" s="352"/>
      <c r="V96" s="353"/>
      <c r="W96" s="352"/>
      <c r="X96" s="359"/>
      <c r="Y96" s="352"/>
      <c r="Z96" s="353"/>
      <c r="AA96" s="352"/>
      <c r="AB96" s="353"/>
      <c r="AC96" s="352"/>
      <c r="AD96" s="353"/>
      <c r="AE96" s="352"/>
      <c r="AF96" s="353"/>
      <c r="AG96" s="352"/>
      <c r="AH96" s="353"/>
      <c r="AI96" s="352"/>
      <c r="AJ96" s="353"/>
      <c r="AK96" s="352"/>
      <c r="AL96" s="353"/>
      <c r="AM96" s="352"/>
      <c r="AN96" s="353"/>
      <c r="AO96" s="352"/>
      <c r="AP96" s="353"/>
      <c r="AQ96" s="352"/>
      <c r="AR96" s="353"/>
      <c r="AS96" s="352"/>
      <c r="AT96" s="353"/>
      <c r="AU96" s="352"/>
      <c r="AV96" s="353"/>
      <c r="AW96" s="352"/>
      <c r="AX96" s="352"/>
      <c r="AY96" s="352"/>
      <c r="AZ96" s="353"/>
      <c r="BA96" s="352"/>
      <c r="BB96" s="353"/>
      <c r="BC96" s="352"/>
      <c r="BD96" s="213"/>
      <c r="BE96" s="213"/>
      <c r="BF96" s="213"/>
      <c r="BG96" s="213"/>
      <c r="BH96" s="213"/>
      <c r="BI96" s="213"/>
      <c r="BJ96" s="213"/>
      <c r="BK96" s="213"/>
      <c r="BL96" s="213"/>
      <c r="BM96" s="213"/>
      <c r="BN96" s="213"/>
      <c r="BO96" s="213"/>
      <c r="BP96" s="213"/>
      <c r="BQ96" s="213"/>
      <c r="BR96" s="213"/>
      <c r="BS96" s="213"/>
      <c r="BT96" s="213"/>
      <c r="BU96" s="213"/>
      <c r="BV96" s="213"/>
      <c r="BW96" s="213"/>
    </row>
    <row r="97" ht="15.75" customHeight="1">
      <c r="A97" s="213"/>
      <c r="B97" s="245"/>
      <c r="C97" s="972" t="s">
        <v>38</v>
      </c>
      <c r="D97" s="353">
        <f>SUM(D98:D106)</f>
        <v>0</v>
      </c>
      <c r="E97" s="352"/>
      <c r="F97" s="353">
        <f>SUM(F98:F106)</f>
        <v>0</v>
      </c>
      <c r="G97" s="355" t="str">
        <f>F97/F$31</f>
        <v>#DIV/0!</v>
      </c>
      <c r="H97" s="359">
        <f>SUM(H98:H106)</f>
        <v>0</v>
      </c>
      <c r="I97" s="352"/>
      <c r="J97" s="359">
        <f>SUM(J98:J106)</f>
        <v>0</v>
      </c>
      <c r="K97" s="355" t="str">
        <f>J97/J$31</f>
        <v>#DIV/0!</v>
      </c>
      <c r="L97" s="353">
        <f>SUM(L98:L106)</f>
        <v>59394</v>
      </c>
      <c r="M97" s="352"/>
      <c r="N97" s="353">
        <f>SUM(N98:N106)</f>
        <v>0</v>
      </c>
      <c r="O97" s="355" t="str">
        <f>N97/N$31</f>
        <v>#DIV/0!</v>
      </c>
      <c r="P97" s="353">
        <f>SUM(P98:P107)</f>
        <v>657981</v>
      </c>
      <c r="Q97" s="352"/>
      <c r="R97" s="966">
        <f>SUM(R98:R106)</f>
        <v>0</v>
      </c>
      <c r="S97" s="355" t="str">
        <f>R97/R$31</f>
        <v>#DIV/0!</v>
      </c>
      <c r="T97" s="353">
        <f>SUM(T98:T107)</f>
        <v>25911</v>
      </c>
      <c r="U97" s="352"/>
      <c r="V97" s="353">
        <f>SUM(V98:V106)</f>
        <v>0</v>
      </c>
      <c r="W97" s="355">
        <f>V97/V$31</f>
        <v>0</v>
      </c>
      <c r="X97" s="359">
        <f>SUM(X98:X107)</f>
        <v>37582</v>
      </c>
      <c r="Y97" s="352"/>
      <c r="Z97" s="353">
        <f>SUM(Z98:Z106)</f>
        <v>0</v>
      </c>
      <c r="AA97" s="355">
        <f>Z97/Z$31</f>
        <v>0</v>
      </c>
      <c r="AB97" s="353">
        <f>SUM(AB98:AB107)</f>
        <v>1345573</v>
      </c>
      <c r="AC97" s="352"/>
      <c r="AD97" s="353">
        <f>SUM(AD98:AD106)</f>
        <v>0</v>
      </c>
      <c r="AE97" s="355">
        <f>AD97/AD$31</f>
        <v>0</v>
      </c>
      <c r="AF97" s="353">
        <f>SUM(AF98:AF107)</f>
        <v>2386450</v>
      </c>
      <c r="AG97" s="352"/>
      <c r="AH97" s="353">
        <f>SUM(AH98:AH106)</f>
        <v>0</v>
      </c>
      <c r="AI97" s="355">
        <f>AH97/AH$31</f>
        <v>0</v>
      </c>
      <c r="AJ97" s="353">
        <f>SUM(AJ98:AJ107)</f>
        <v>2733940</v>
      </c>
      <c r="AK97" s="352"/>
      <c r="AL97" s="353">
        <f>SUM(AL98:AL106)</f>
        <v>0</v>
      </c>
      <c r="AM97" s="355">
        <f>AL97/AL$31</f>
        <v>0</v>
      </c>
      <c r="AN97" s="353">
        <f>SUM(AN98:AN107)</f>
        <v>2821922</v>
      </c>
      <c r="AO97" s="352"/>
      <c r="AP97" s="353">
        <f>SUM(AP98:AP106)</f>
        <v>0</v>
      </c>
      <c r="AQ97" s="355">
        <f>AP97/AP$31</f>
        <v>0</v>
      </c>
      <c r="AR97" s="353">
        <f>SUM(AR98:AR106)</f>
        <v>0</v>
      </c>
      <c r="AS97" s="352"/>
      <c r="AT97" s="353">
        <f>SUM(AT98:AT107)</f>
        <v>3168915.18</v>
      </c>
      <c r="AU97" s="352"/>
      <c r="AV97" s="353">
        <f>SUM(AV98:AV106)</f>
        <v>0</v>
      </c>
      <c r="AW97" s="355">
        <f>AV97/AV$31</f>
        <v>0</v>
      </c>
      <c r="AX97" s="352">
        <f>SUM(AX98:AX106)</f>
        <v>0</v>
      </c>
      <c r="AY97" s="352"/>
      <c r="AZ97" s="353">
        <f>SUM(AZ98:AZ107)</f>
        <v>3497094.6</v>
      </c>
      <c r="BA97" s="352"/>
      <c r="BB97" s="353">
        <f>SUM(BB98:BB106)</f>
        <v>0</v>
      </c>
      <c r="BC97" s="355">
        <f>BB97/BB$31</f>
        <v>0</v>
      </c>
      <c r="BD97" s="215">
        <f>D97+H97+L97+P97+T97+X97+AB97+AF97+AJ97+AN97+AT97+AZ97</f>
        <v>16734762.78</v>
      </c>
      <c r="BE97" s="216"/>
      <c r="BF97" s="216"/>
      <c r="BG97" s="216"/>
      <c r="BH97" s="216"/>
      <c r="BI97" s="216"/>
      <c r="BJ97" s="216"/>
      <c r="BK97" s="216"/>
      <c r="BL97" s="216"/>
      <c r="BM97" s="216"/>
      <c r="BN97" s="216"/>
      <c r="BO97" s="216"/>
      <c r="BP97" s="216"/>
      <c r="BQ97" s="216"/>
      <c r="BR97" s="216"/>
      <c r="BS97" s="216"/>
      <c r="BT97" s="216"/>
      <c r="BU97" s="216"/>
      <c r="BV97" s="216"/>
      <c r="BW97" s="216"/>
    </row>
    <row r="98" ht="15.75" customHeight="1">
      <c r="A98" s="213"/>
      <c r="B98" s="245"/>
      <c r="C98" s="245" t="s">
        <v>318</v>
      </c>
      <c r="D98" s="353"/>
      <c r="E98" s="352"/>
      <c r="F98" s="353"/>
      <c r="G98" s="355" t="str">
        <f t="shared" ref="G98:G104" si="97">F98/$F$31</f>
        <v>#DIV/0!</v>
      </c>
      <c r="H98" s="359"/>
      <c r="I98" s="352"/>
      <c r="J98" s="359"/>
      <c r="K98" s="355" t="str">
        <f t="shared" ref="K98:K104" si="98">J98/$F$31</f>
        <v>#DIV/0!</v>
      </c>
      <c r="L98" s="353"/>
      <c r="M98" s="352"/>
      <c r="N98" s="353"/>
      <c r="O98" s="355" t="str">
        <f t="shared" ref="O98:O104" si="99">N98/$F$31</f>
        <v>#DIV/0!</v>
      </c>
      <c r="P98" s="353"/>
      <c r="Q98" s="352"/>
      <c r="R98" s="966"/>
      <c r="S98" s="355" t="str">
        <f t="shared" ref="S98:S104" si="100">R98/$F$31</f>
        <v>#DIV/0!</v>
      </c>
      <c r="T98" s="353"/>
      <c r="U98" s="352"/>
      <c r="V98" s="353"/>
      <c r="W98" s="355" t="str">
        <f t="shared" ref="W98:W104" si="101">V98/$F$31</f>
        <v>#DIV/0!</v>
      </c>
      <c r="X98" s="359"/>
      <c r="Y98" s="352"/>
      <c r="Z98" s="353"/>
      <c r="AA98" s="355" t="str">
        <f t="shared" ref="AA98:AA104" si="102">Z98/$F$31</f>
        <v>#DIV/0!</v>
      </c>
      <c r="AB98" s="353"/>
      <c r="AC98" s="352"/>
      <c r="AD98" s="353"/>
      <c r="AE98" s="355" t="str">
        <f t="shared" ref="AE98:AE104" si="103">AD98/$F$31</f>
        <v>#DIV/0!</v>
      </c>
      <c r="AF98" s="353"/>
      <c r="AG98" s="352"/>
      <c r="AH98" s="353"/>
      <c r="AI98" s="355" t="str">
        <f t="shared" ref="AI98:AI104" si="104">AH98/$F$31</f>
        <v>#DIV/0!</v>
      </c>
      <c r="AJ98" s="353"/>
      <c r="AK98" s="355">
        <f t="shared" ref="AK98:AK104" si="105">AJ98/AJ$31</f>
        <v>0</v>
      </c>
      <c r="AL98" s="353"/>
      <c r="AM98" s="355" t="str">
        <f t="shared" ref="AM98:AM104" si="106">AL98/$F$31</f>
        <v>#DIV/0!</v>
      </c>
      <c r="AN98" s="353"/>
      <c r="AO98" s="352"/>
      <c r="AP98" s="353"/>
      <c r="AQ98" s="355" t="str">
        <f t="shared" ref="AQ98:AQ104" si="107">AP98/$F$31</f>
        <v>#DIV/0!</v>
      </c>
      <c r="AR98" s="353"/>
      <c r="AS98" s="352"/>
      <c r="AT98" s="353"/>
      <c r="AU98" s="352"/>
      <c r="AV98" s="353"/>
      <c r="AW98" s="355" t="str">
        <f t="shared" ref="AW98:AW104" si="108">AV98/$F$31</f>
        <v>#DIV/0!</v>
      </c>
      <c r="AX98" s="352"/>
      <c r="AY98" s="352"/>
      <c r="AZ98" s="353"/>
      <c r="BA98" s="352"/>
      <c r="BB98" s="353"/>
      <c r="BC98" s="355" t="str">
        <f t="shared" ref="BC98:BC104" si="109">BB98/$F$31</f>
        <v>#DIV/0!</v>
      </c>
      <c r="BD98" s="213"/>
      <c r="BE98" s="213"/>
      <c r="BF98" s="213"/>
      <c r="BG98" s="213"/>
      <c r="BH98" s="213"/>
      <c r="BI98" s="213"/>
      <c r="BJ98" s="213"/>
      <c r="BK98" s="213"/>
      <c r="BL98" s="213"/>
      <c r="BM98" s="213"/>
      <c r="BN98" s="213"/>
      <c r="BO98" s="213"/>
      <c r="BP98" s="213"/>
      <c r="BQ98" s="213"/>
      <c r="BR98" s="213"/>
      <c r="BS98" s="213"/>
      <c r="BT98" s="213"/>
      <c r="BU98" s="213"/>
      <c r="BV98" s="213"/>
      <c r="BW98" s="213"/>
    </row>
    <row r="99" ht="15.75" customHeight="1">
      <c r="A99" s="213"/>
      <c r="B99" s="245"/>
      <c r="C99" s="245" t="s">
        <v>265</v>
      </c>
      <c r="D99" s="353">
        <v>0.0</v>
      </c>
      <c r="E99" s="352"/>
      <c r="F99" s="353"/>
      <c r="G99" s="355" t="str">
        <f t="shared" si="97"/>
        <v>#DIV/0!</v>
      </c>
      <c r="H99" s="359">
        <v>0.0</v>
      </c>
      <c r="I99" s="352"/>
      <c r="J99" s="359"/>
      <c r="K99" s="355" t="str">
        <f t="shared" si="98"/>
        <v>#DIV/0!</v>
      </c>
      <c r="L99" s="353">
        <v>40085.0</v>
      </c>
      <c r="M99" s="352"/>
      <c r="N99" s="353"/>
      <c r="O99" s="355" t="str">
        <f t="shared" si="99"/>
        <v>#DIV/0!</v>
      </c>
      <c r="P99" s="353">
        <v>358383.0</v>
      </c>
      <c r="Q99" s="352"/>
      <c r="R99" s="966"/>
      <c r="S99" s="355" t="str">
        <f t="shared" si="100"/>
        <v>#DIV/0!</v>
      </c>
      <c r="T99" s="353"/>
      <c r="U99" s="352"/>
      <c r="V99" s="353"/>
      <c r="W99" s="355" t="str">
        <f t="shared" si="101"/>
        <v>#DIV/0!</v>
      </c>
      <c r="X99" s="359"/>
      <c r="Y99" s="352"/>
      <c r="Z99" s="353"/>
      <c r="AA99" s="355" t="str">
        <f t="shared" si="102"/>
        <v>#DIV/0!</v>
      </c>
      <c r="AB99" s="353">
        <v>1143615.0</v>
      </c>
      <c r="AC99" s="352"/>
      <c r="AD99" s="353"/>
      <c r="AE99" s="355" t="str">
        <f t="shared" si="103"/>
        <v>#DIV/0!</v>
      </c>
      <c r="AF99" s="353">
        <f>1465079+(1327500/2)</f>
        <v>2128829</v>
      </c>
      <c r="AG99" s="352"/>
      <c r="AH99" s="353"/>
      <c r="AI99" s="355" t="str">
        <f t="shared" si="104"/>
        <v>#DIV/0!</v>
      </c>
      <c r="AJ99" s="353">
        <f>1842431+(1327500/2)</f>
        <v>2506181</v>
      </c>
      <c r="AK99" s="355">
        <f t="shared" si="105"/>
        <v>0.292063724</v>
      </c>
      <c r="AL99" s="353"/>
      <c r="AM99" s="355" t="str">
        <f t="shared" si="106"/>
        <v>#DIV/0!</v>
      </c>
      <c r="AN99" s="353">
        <f>+(1944931)+1327500/2</f>
        <v>2608681</v>
      </c>
      <c r="AO99" s="352"/>
      <c r="AP99" s="353"/>
      <c r="AQ99" s="355" t="str">
        <f t="shared" si="107"/>
        <v>#DIV/0!</v>
      </c>
      <c r="AR99" s="353"/>
      <c r="AS99" s="352"/>
      <c r="AT99" s="353">
        <f>1327500/2+2254082</f>
        <v>2917832</v>
      </c>
      <c r="AU99" s="352"/>
      <c r="AV99" s="353"/>
      <c r="AW99" s="355" t="str">
        <f t="shared" si="108"/>
        <v>#DIV/0!</v>
      </c>
      <c r="AX99" s="352"/>
      <c r="AY99" s="352"/>
      <c r="AZ99" s="353">
        <f>2558540+1327500/2</f>
        <v>3222290</v>
      </c>
      <c r="BA99" s="352"/>
      <c r="BB99" s="353"/>
      <c r="BC99" s="355" t="str">
        <f t="shared" si="109"/>
        <v>#DIV/0!</v>
      </c>
      <c r="BD99" s="213"/>
      <c r="BE99" s="213"/>
      <c r="BF99" s="213"/>
      <c r="BG99" s="213"/>
      <c r="BH99" s="213"/>
      <c r="BI99" s="213"/>
      <c r="BJ99" s="213"/>
      <c r="BK99" s="213"/>
      <c r="BL99" s="213"/>
      <c r="BM99" s="213"/>
      <c r="BN99" s="213"/>
      <c r="BO99" s="213"/>
      <c r="BP99" s="213"/>
      <c r="BQ99" s="213"/>
      <c r="BR99" s="213"/>
      <c r="BS99" s="213"/>
      <c r="BT99" s="213"/>
      <c r="BU99" s="213"/>
      <c r="BV99" s="213"/>
      <c r="BW99" s="213"/>
    </row>
    <row r="100" ht="15.75" customHeight="1">
      <c r="A100" s="213"/>
      <c r="B100" s="245"/>
      <c r="C100" s="245" t="s">
        <v>446</v>
      </c>
      <c r="D100" s="353"/>
      <c r="E100" s="352"/>
      <c r="F100" s="353"/>
      <c r="G100" s="355" t="str">
        <f t="shared" si="97"/>
        <v>#DIV/0!</v>
      </c>
      <c r="H100" s="359"/>
      <c r="I100" s="352"/>
      <c r="J100" s="359"/>
      <c r="K100" s="355" t="str">
        <f t="shared" si="98"/>
        <v>#DIV/0!</v>
      </c>
      <c r="L100" s="353"/>
      <c r="M100" s="352"/>
      <c r="N100" s="353"/>
      <c r="O100" s="355" t="str">
        <f t="shared" si="99"/>
        <v>#DIV/0!</v>
      </c>
      <c r="P100" s="353">
        <f>104977+2700</f>
        <v>107677</v>
      </c>
      <c r="Q100" s="352"/>
      <c r="R100" s="966"/>
      <c r="S100" s="355" t="str">
        <f t="shared" si="100"/>
        <v>#DIV/0!</v>
      </c>
      <c r="T100" s="353">
        <v>22411.0</v>
      </c>
      <c r="U100" s="352"/>
      <c r="V100" s="353"/>
      <c r="W100" s="355" t="str">
        <f t="shared" si="101"/>
        <v>#DIV/0!</v>
      </c>
      <c r="X100" s="353">
        <f>31847+2900</f>
        <v>34747</v>
      </c>
      <c r="Y100" s="352"/>
      <c r="Z100" s="353"/>
      <c r="AA100" s="355" t="str">
        <f t="shared" si="102"/>
        <v>#DIV/0!</v>
      </c>
      <c r="AB100" s="353">
        <f>140364</f>
        <v>140364</v>
      </c>
      <c r="AC100" s="352"/>
      <c r="AD100" s="353"/>
      <c r="AE100" s="355" t="str">
        <f t="shared" si="103"/>
        <v>#DIV/0!</v>
      </c>
      <c r="AF100" s="353">
        <f>42463+5538+11800</f>
        <v>59801</v>
      </c>
      <c r="AG100" s="352"/>
      <c r="AH100" s="353"/>
      <c r="AI100" s="355" t="str">
        <f t="shared" si="104"/>
        <v>#DIV/0!</v>
      </c>
      <c r="AJ100" s="353"/>
      <c r="AK100" s="355">
        <f t="shared" si="105"/>
        <v>0</v>
      </c>
      <c r="AL100" s="353"/>
      <c r="AM100" s="355" t="str">
        <f t="shared" si="106"/>
        <v>#DIV/0!</v>
      </c>
      <c r="AN100" s="353"/>
      <c r="AO100" s="352"/>
      <c r="AP100" s="353"/>
      <c r="AQ100" s="355" t="str">
        <f t="shared" si="107"/>
        <v>#DIV/0!</v>
      </c>
      <c r="AR100" s="353"/>
      <c r="AS100" s="352"/>
      <c r="AT100" s="353">
        <v>8110.0</v>
      </c>
      <c r="AU100" s="352"/>
      <c r="AV100" s="353"/>
      <c r="AW100" s="355" t="str">
        <f t="shared" si="108"/>
        <v>#DIV/0!</v>
      </c>
      <c r="AX100" s="352"/>
      <c r="AY100" s="352"/>
      <c r="AZ100" s="536">
        <v>21591.0</v>
      </c>
      <c r="BA100" s="352"/>
      <c r="BB100" s="353"/>
      <c r="BC100" s="355" t="str">
        <f t="shared" si="109"/>
        <v>#DIV/0!</v>
      </c>
      <c r="BD100" s="213"/>
      <c r="BE100" s="213"/>
      <c r="BF100" s="213"/>
      <c r="BG100" s="213"/>
      <c r="BH100" s="213"/>
      <c r="BI100" s="213"/>
      <c r="BJ100" s="213"/>
      <c r="BK100" s="213"/>
      <c r="BL100" s="213"/>
      <c r="BM100" s="213"/>
      <c r="BN100" s="213"/>
      <c r="BO100" s="213"/>
      <c r="BP100" s="213"/>
      <c r="BQ100" s="213"/>
      <c r="BR100" s="213"/>
      <c r="BS100" s="213"/>
      <c r="BT100" s="213"/>
      <c r="BU100" s="213"/>
      <c r="BV100" s="213"/>
      <c r="BW100" s="213"/>
    </row>
    <row r="101" ht="15.75" customHeight="1">
      <c r="A101" s="213"/>
      <c r="B101" s="245"/>
      <c r="C101" s="245" t="s">
        <v>267</v>
      </c>
      <c r="D101" s="353"/>
      <c r="E101" s="352"/>
      <c r="F101" s="353"/>
      <c r="G101" s="355" t="str">
        <f t="shared" si="97"/>
        <v>#DIV/0!</v>
      </c>
      <c r="H101" s="359"/>
      <c r="I101" s="352"/>
      <c r="J101" s="359"/>
      <c r="K101" s="355" t="str">
        <f t="shared" si="98"/>
        <v>#DIV/0!</v>
      </c>
      <c r="L101" s="353"/>
      <c r="M101" s="352"/>
      <c r="N101" s="353"/>
      <c r="O101" s="355" t="str">
        <f t="shared" si="99"/>
        <v>#DIV/0!</v>
      </c>
      <c r="P101" s="353"/>
      <c r="Q101" s="352"/>
      <c r="R101" s="966"/>
      <c r="S101" s="355" t="str">
        <f t="shared" si="100"/>
        <v>#DIV/0!</v>
      </c>
      <c r="T101" s="353"/>
      <c r="U101" s="352"/>
      <c r="V101" s="353"/>
      <c r="W101" s="355" t="str">
        <f t="shared" si="101"/>
        <v>#DIV/0!</v>
      </c>
      <c r="X101" s="359"/>
      <c r="Y101" s="352"/>
      <c r="Z101" s="353"/>
      <c r="AA101" s="355" t="str">
        <f t="shared" si="102"/>
        <v>#DIV/0!</v>
      </c>
      <c r="AB101" s="353">
        <v>13000.0</v>
      </c>
      <c r="AC101" s="352"/>
      <c r="AD101" s="353"/>
      <c r="AE101" s="355" t="str">
        <f t="shared" si="103"/>
        <v>#DIV/0!</v>
      </c>
      <c r="AF101" s="353">
        <v>155200.0</v>
      </c>
      <c r="AG101" s="352"/>
      <c r="AH101" s="353"/>
      <c r="AI101" s="355" t="str">
        <f t="shared" si="104"/>
        <v>#DIV/0!</v>
      </c>
      <c r="AJ101" s="353">
        <v>192160.0</v>
      </c>
      <c r="AK101" s="355">
        <f t="shared" si="105"/>
        <v>0.0223938196</v>
      </c>
      <c r="AL101" s="353"/>
      <c r="AM101" s="355" t="str">
        <f t="shared" si="106"/>
        <v>#DIV/0!</v>
      </c>
      <c r="AN101" s="353">
        <f>192160+6130</f>
        <v>198290</v>
      </c>
      <c r="AO101" s="352"/>
      <c r="AP101" s="353"/>
      <c r="AQ101" s="355" t="str">
        <f t="shared" si="107"/>
        <v>#DIV/0!</v>
      </c>
      <c r="AR101" s="353"/>
      <c r="AS101" s="352"/>
      <c r="AT101" s="536">
        <f>5451.18+200960</f>
        <v>206411.18</v>
      </c>
      <c r="AU101" s="352"/>
      <c r="AV101" s="353"/>
      <c r="AW101" s="355" t="str">
        <f t="shared" si="108"/>
        <v>#DIV/0!</v>
      </c>
      <c r="AX101" s="352"/>
      <c r="AY101" s="352"/>
      <c r="AZ101" s="536">
        <f>6399.6+202600</f>
        <v>208999.6</v>
      </c>
      <c r="BA101" s="352"/>
      <c r="BB101" s="353"/>
      <c r="BC101" s="355" t="str">
        <f t="shared" si="109"/>
        <v>#DIV/0!</v>
      </c>
      <c r="BD101" s="213"/>
      <c r="BE101" s="213"/>
      <c r="BF101" s="213"/>
      <c r="BG101" s="213"/>
      <c r="BH101" s="213"/>
      <c r="BI101" s="213"/>
      <c r="BJ101" s="213"/>
      <c r="BK101" s="213"/>
      <c r="BL101" s="213"/>
      <c r="BM101" s="213"/>
      <c r="BN101" s="213"/>
      <c r="BO101" s="213"/>
      <c r="BP101" s="213"/>
      <c r="BQ101" s="213"/>
      <c r="BR101" s="213"/>
      <c r="BS101" s="213"/>
      <c r="BT101" s="213"/>
      <c r="BU101" s="213"/>
      <c r="BV101" s="213"/>
      <c r="BW101" s="213"/>
    </row>
    <row r="102" ht="15.75" hidden="1" customHeight="1">
      <c r="A102" s="213"/>
      <c r="B102" s="245"/>
      <c r="C102" s="245" t="s">
        <v>268</v>
      </c>
      <c r="D102" s="353"/>
      <c r="E102" s="352"/>
      <c r="F102" s="353"/>
      <c r="G102" s="355" t="str">
        <f t="shared" si="97"/>
        <v>#DIV/0!</v>
      </c>
      <c r="H102" s="359"/>
      <c r="I102" s="352"/>
      <c r="J102" s="359"/>
      <c r="K102" s="355" t="str">
        <f t="shared" si="98"/>
        <v>#DIV/0!</v>
      </c>
      <c r="L102" s="353"/>
      <c r="M102" s="352"/>
      <c r="N102" s="353"/>
      <c r="O102" s="355" t="str">
        <f t="shared" si="99"/>
        <v>#DIV/0!</v>
      </c>
      <c r="P102" s="353"/>
      <c r="Q102" s="352"/>
      <c r="R102" s="966"/>
      <c r="S102" s="355" t="str">
        <f t="shared" si="100"/>
        <v>#DIV/0!</v>
      </c>
      <c r="T102" s="353"/>
      <c r="U102" s="352"/>
      <c r="V102" s="353"/>
      <c r="W102" s="355" t="str">
        <f t="shared" si="101"/>
        <v>#DIV/0!</v>
      </c>
      <c r="X102" s="359"/>
      <c r="Y102" s="352"/>
      <c r="Z102" s="353"/>
      <c r="AA102" s="355" t="str">
        <f t="shared" si="102"/>
        <v>#DIV/0!</v>
      </c>
      <c r="AB102" s="353"/>
      <c r="AC102" s="352"/>
      <c r="AD102" s="353"/>
      <c r="AE102" s="355" t="str">
        <f t="shared" si="103"/>
        <v>#DIV/0!</v>
      </c>
      <c r="AF102" s="353"/>
      <c r="AG102" s="352"/>
      <c r="AH102" s="353"/>
      <c r="AI102" s="355" t="str">
        <f t="shared" si="104"/>
        <v>#DIV/0!</v>
      </c>
      <c r="AJ102" s="353"/>
      <c r="AK102" s="355">
        <f t="shared" si="105"/>
        <v>0</v>
      </c>
      <c r="AL102" s="353"/>
      <c r="AM102" s="355" t="str">
        <f t="shared" si="106"/>
        <v>#DIV/0!</v>
      </c>
      <c r="AN102" s="353"/>
      <c r="AO102" s="352"/>
      <c r="AP102" s="353"/>
      <c r="AQ102" s="355" t="str">
        <f t="shared" si="107"/>
        <v>#DIV/0!</v>
      </c>
      <c r="AR102" s="353"/>
      <c r="AS102" s="352"/>
      <c r="AT102" s="353"/>
      <c r="AU102" s="352"/>
      <c r="AV102" s="353"/>
      <c r="AW102" s="355" t="str">
        <f t="shared" si="108"/>
        <v>#DIV/0!</v>
      </c>
      <c r="AX102" s="352"/>
      <c r="AY102" s="352"/>
      <c r="AZ102" s="353"/>
      <c r="BA102" s="352"/>
      <c r="BB102" s="353"/>
      <c r="BC102" s="355" t="str">
        <f t="shared" si="109"/>
        <v>#DIV/0!</v>
      </c>
      <c r="BD102" s="213"/>
      <c r="BE102" s="213"/>
      <c r="BF102" s="213"/>
      <c r="BG102" s="213"/>
      <c r="BH102" s="213"/>
      <c r="BI102" s="213"/>
      <c r="BJ102" s="213"/>
      <c r="BK102" s="213"/>
      <c r="BL102" s="213"/>
      <c r="BM102" s="213"/>
      <c r="BN102" s="213"/>
      <c r="BO102" s="213"/>
      <c r="BP102" s="213"/>
      <c r="BQ102" s="213"/>
      <c r="BR102" s="213"/>
      <c r="BS102" s="213"/>
      <c r="BT102" s="213"/>
      <c r="BU102" s="213"/>
      <c r="BV102" s="213"/>
      <c r="BW102" s="213"/>
    </row>
    <row r="103" ht="15.75" hidden="1" customHeight="1">
      <c r="A103" s="213"/>
      <c r="B103" s="245"/>
      <c r="C103" s="245" t="s">
        <v>396</v>
      </c>
      <c r="D103" s="353"/>
      <c r="E103" s="352"/>
      <c r="F103" s="353"/>
      <c r="G103" s="355" t="str">
        <f t="shared" si="97"/>
        <v>#DIV/0!</v>
      </c>
      <c r="H103" s="359"/>
      <c r="I103" s="352"/>
      <c r="J103" s="359"/>
      <c r="K103" s="355" t="str">
        <f t="shared" si="98"/>
        <v>#DIV/0!</v>
      </c>
      <c r="L103" s="353"/>
      <c r="M103" s="352"/>
      <c r="N103" s="353"/>
      <c r="O103" s="355" t="str">
        <f t="shared" si="99"/>
        <v>#DIV/0!</v>
      </c>
      <c r="P103" s="353"/>
      <c r="Q103" s="352"/>
      <c r="R103" s="966"/>
      <c r="S103" s="355" t="str">
        <f t="shared" si="100"/>
        <v>#DIV/0!</v>
      </c>
      <c r="T103" s="353"/>
      <c r="U103" s="352"/>
      <c r="V103" s="353"/>
      <c r="W103" s="355" t="str">
        <f t="shared" si="101"/>
        <v>#DIV/0!</v>
      </c>
      <c r="X103" s="359"/>
      <c r="Y103" s="352"/>
      <c r="Z103" s="353"/>
      <c r="AA103" s="355" t="str">
        <f t="shared" si="102"/>
        <v>#DIV/0!</v>
      </c>
      <c r="AB103" s="353"/>
      <c r="AC103" s="352"/>
      <c r="AD103" s="353"/>
      <c r="AE103" s="355" t="str">
        <f t="shared" si="103"/>
        <v>#DIV/0!</v>
      </c>
      <c r="AF103" s="353"/>
      <c r="AG103" s="352"/>
      <c r="AH103" s="353"/>
      <c r="AI103" s="355" t="str">
        <f t="shared" si="104"/>
        <v>#DIV/0!</v>
      </c>
      <c r="AJ103" s="353"/>
      <c r="AK103" s="355">
        <f t="shared" si="105"/>
        <v>0</v>
      </c>
      <c r="AL103" s="353"/>
      <c r="AM103" s="355" t="str">
        <f t="shared" si="106"/>
        <v>#DIV/0!</v>
      </c>
      <c r="AN103" s="353"/>
      <c r="AO103" s="352"/>
      <c r="AP103" s="353"/>
      <c r="AQ103" s="355" t="str">
        <f t="shared" si="107"/>
        <v>#DIV/0!</v>
      </c>
      <c r="AR103" s="353"/>
      <c r="AS103" s="352"/>
      <c r="AT103" s="353"/>
      <c r="AU103" s="352"/>
      <c r="AV103" s="353"/>
      <c r="AW103" s="355" t="str">
        <f t="shared" si="108"/>
        <v>#DIV/0!</v>
      </c>
      <c r="AX103" s="352"/>
      <c r="AY103" s="352"/>
      <c r="AZ103" s="353"/>
      <c r="BA103" s="352"/>
      <c r="BB103" s="353"/>
      <c r="BC103" s="355" t="str">
        <f t="shared" si="109"/>
        <v>#DIV/0!</v>
      </c>
      <c r="BD103" s="213"/>
      <c r="BE103" s="213"/>
      <c r="BF103" s="213"/>
      <c r="BG103" s="213"/>
      <c r="BH103" s="213"/>
      <c r="BI103" s="213"/>
      <c r="BJ103" s="213"/>
      <c r="BK103" s="213"/>
      <c r="BL103" s="213"/>
      <c r="BM103" s="213"/>
      <c r="BN103" s="213"/>
      <c r="BO103" s="213"/>
      <c r="BP103" s="213"/>
      <c r="BQ103" s="213"/>
      <c r="BR103" s="213"/>
      <c r="BS103" s="213"/>
      <c r="BT103" s="213"/>
      <c r="BU103" s="213"/>
      <c r="BV103" s="213"/>
      <c r="BW103" s="213"/>
    </row>
    <row r="104" ht="15.75" customHeight="1">
      <c r="A104" s="213"/>
      <c r="B104" s="245"/>
      <c r="C104" s="245" t="s">
        <v>269</v>
      </c>
      <c r="D104" s="353"/>
      <c r="E104" s="352"/>
      <c r="F104" s="353"/>
      <c r="G104" s="355" t="str">
        <f t="shared" si="97"/>
        <v>#DIV/0!</v>
      </c>
      <c r="H104" s="359"/>
      <c r="I104" s="352"/>
      <c r="J104" s="359"/>
      <c r="K104" s="355" t="str">
        <f t="shared" si="98"/>
        <v>#DIV/0!</v>
      </c>
      <c r="L104" s="353">
        <f>6456+12853</f>
        <v>19309</v>
      </c>
      <c r="M104" s="352"/>
      <c r="N104" s="353"/>
      <c r="O104" s="355" t="str">
        <f t="shared" si="99"/>
        <v>#DIV/0!</v>
      </c>
      <c r="P104" s="353">
        <v>10449.0</v>
      </c>
      <c r="Q104" s="352"/>
      <c r="R104" s="966"/>
      <c r="S104" s="355" t="str">
        <f t="shared" si="100"/>
        <v>#DIV/0!</v>
      </c>
      <c r="T104" s="353">
        <v>3500.0</v>
      </c>
      <c r="U104" s="352"/>
      <c r="V104" s="353"/>
      <c r="W104" s="355" t="str">
        <f t="shared" si="101"/>
        <v>#DIV/0!</v>
      </c>
      <c r="X104" s="977">
        <v>2835.0</v>
      </c>
      <c r="Y104" s="352"/>
      <c r="Z104" s="353"/>
      <c r="AA104" s="355" t="str">
        <f t="shared" si="102"/>
        <v>#DIV/0!</v>
      </c>
      <c r="AB104" s="536">
        <v>14881.0</v>
      </c>
      <c r="AC104" s="352"/>
      <c r="AD104" s="353"/>
      <c r="AE104" s="355" t="str">
        <f t="shared" si="103"/>
        <v>#DIV/0!</v>
      </c>
      <c r="AF104" s="536">
        <v>42620.0</v>
      </c>
      <c r="AG104" s="352"/>
      <c r="AH104" s="353"/>
      <c r="AI104" s="355" t="str">
        <f t="shared" si="104"/>
        <v>#DIV/0!</v>
      </c>
      <c r="AJ104" s="536">
        <v>35599.0</v>
      </c>
      <c r="AK104" s="355">
        <f t="shared" si="105"/>
        <v>0.004148613572</v>
      </c>
      <c r="AL104" s="353"/>
      <c r="AM104" s="355" t="str">
        <f t="shared" si="106"/>
        <v>#DIV/0!</v>
      </c>
      <c r="AN104" s="536">
        <v>14951.0</v>
      </c>
      <c r="AO104" s="352"/>
      <c r="AP104" s="353"/>
      <c r="AQ104" s="355" t="str">
        <f t="shared" si="107"/>
        <v>#DIV/0!</v>
      </c>
      <c r="AR104" s="353"/>
      <c r="AS104" s="352"/>
      <c r="AT104" s="536">
        <v>28452.0</v>
      </c>
      <c r="AU104" s="352"/>
      <c r="AV104" s="353"/>
      <c r="AW104" s="355" t="str">
        <f t="shared" si="108"/>
        <v>#DIV/0!</v>
      </c>
      <c r="AX104" s="352"/>
      <c r="AY104" s="352"/>
      <c r="AZ104" s="536">
        <v>27282.0</v>
      </c>
      <c r="BA104" s="352"/>
      <c r="BB104" s="353"/>
      <c r="BC104" s="355" t="str">
        <f t="shared" si="109"/>
        <v>#DIV/0!</v>
      </c>
      <c r="BD104" s="213"/>
      <c r="BE104" s="213"/>
      <c r="BF104" s="213"/>
      <c r="BG104" s="213"/>
      <c r="BH104" s="213"/>
      <c r="BI104" s="213"/>
      <c r="BJ104" s="213"/>
      <c r="BK104" s="213"/>
      <c r="BL104" s="213"/>
      <c r="BM104" s="213"/>
      <c r="BN104" s="213"/>
      <c r="BO104" s="213"/>
      <c r="BP104" s="213"/>
      <c r="BQ104" s="213"/>
      <c r="BR104" s="213"/>
      <c r="BS104" s="213"/>
      <c r="BT104" s="213"/>
      <c r="BU104" s="213"/>
      <c r="BV104" s="213"/>
      <c r="BW104" s="213"/>
    </row>
    <row r="105" ht="15.75" customHeight="1">
      <c r="A105" s="213"/>
      <c r="B105" s="245"/>
      <c r="C105" s="976" t="s">
        <v>447</v>
      </c>
      <c r="D105" s="353"/>
      <c r="E105" s="352"/>
      <c r="F105" s="353"/>
      <c r="G105" s="355"/>
      <c r="H105" s="359"/>
      <c r="I105" s="352"/>
      <c r="J105" s="359"/>
      <c r="K105" s="355"/>
      <c r="L105" s="353"/>
      <c r="M105" s="352"/>
      <c r="N105" s="353"/>
      <c r="O105" s="355"/>
      <c r="P105" s="353"/>
      <c r="Q105" s="352"/>
      <c r="R105" s="966"/>
      <c r="S105" s="355"/>
      <c r="T105" s="353"/>
      <c r="U105" s="352"/>
      <c r="V105" s="353"/>
      <c r="W105" s="355"/>
      <c r="X105" s="359"/>
      <c r="Y105" s="352"/>
      <c r="Z105" s="353"/>
      <c r="AA105" s="355"/>
      <c r="AB105" s="536">
        <v>3725.0</v>
      </c>
      <c r="AC105" s="352"/>
      <c r="AD105" s="353"/>
      <c r="AE105" s="355"/>
      <c r="AF105" s="353"/>
      <c r="AG105" s="352"/>
      <c r="AH105" s="353"/>
      <c r="AI105" s="355"/>
      <c r="AJ105" s="353"/>
      <c r="AK105" s="355"/>
      <c r="AL105" s="353"/>
      <c r="AM105" s="355"/>
      <c r="AN105" s="353"/>
      <c r="AO105" s="352"/>
      <c r="AP105" s="353"/>
      <c r="AQ105" s="355"/>
      <c r="AR105" s="353"/>
      <c r="AS105" s="352"/>
      <c r="AT105" s="536">
        <v>8110.0</v>
      </c>
      <c r="AU105" s="352"/>
      <c r="AV105" s="353"/>
      <c r="AW105" s="355"/>
      <c r="AX105" s="352"/>
      <c r="AY105" s="352"/>
      <c r="AZ105" s="353">
        <f>6097+10835</f>
        <v>16932</v>
      </c>
      <c r="BA105" s="352"/>
      <c r="BB105" s="353"/>
      <c r="BC105" s="355"/>
      <c r="BD105" s="213"/>
      <c r="BE105" s="213"/>
      <c r="BF105" s="213"/>
      <c r="BG105" s="213"/>
      <c r="BH105" s="213"/>
      <c r="BI105" s="213"/>
      <c r="BJ105" s="213"/>
      <c r="BK105" s="213"/>
      <c r="BL105" s="213"/>
      <c r="BM105" s="213"/>
      <c r="BN105" s="213"/>
      <c r="BO105" s="213"/>
      <c r="BP105" s="213"/>
      <c r="BQ105" s="213"/>
      <c r="BR105" s="213"/>
      <c r="BS105" s="213"/>
      <c r="BT105" s="213"/>
      <c r="BU105" s="213"/>
      <c r="BV105" s="213"/>
      <c r="BW105" s="213"/>
    </row>
    <row r="106" ht="15.75" customHeight="1">
      <c r="A106" s="213"/>
      <c r="B106" s="245"/>
      <c r="C106" s="245" t="s">
        <v>270</v>
      </c>
      <c r="D106" s="353"/>
      <c r="E106" s="352"/>
      <c r="F106" s="353"/>
      <c r="G106" s="355" t="str">
        <f>F106/$F$31</f>
        <v>#DIV/0!</v>
      </c>
      <c r="H106" s="359"/>
      <c r="I106" s="352"/>
      <c r="J106" s="359"/>
      <c r="K106" s="355" t="str">
        <f>J106/$F$31</f>
        <v>#DIV/0!</v>
      </c>
      <c r="L106" s="353"/>
      <c r="M106" s="352"/>
      <c r="N106" s="353"/>
      <c r="O106" s="355" t="str">
        <f>N106/$F$31</f>
        <v>#DIV/0!</v>
      </c>
      <c r="P106" s="353">
        <f>15680+165792</f>
        <v>181472</v>
      </c>
      <c r="Q106" s="352"/>
      <c r="R106" s="966"/>
      <c r="S106" s="355" t="str">
        <f>R106/$F$31</f>
        <v>#DIV/0!</v>
      </c>
      <c r="T106" s="353"/>
      <c r="U106" s="352"/>
      <c r="V106" s="353"/>
      <c r="W106" s="355" t="str">
        <f>V106/$F$31</f>
        <v>#DIV/0!</v>
      </c>
      <c r="X106" s="359"/>
      <c r="Y106" s="352"/>
      <c r="Z106" s="353"/>
      <c r="AA106" s="355" t="str">
        <f>Z106/$F$31</f>
        <v>#DIV/0!</v>
      </c>
      <c r="AB106" s="353"/>
      <c r="AC106" s="352"/>
      <c r="AD106" s="353"/>
      <c r="AE106" s="355" t="str">
        <f>AD106/$F$31</f>
        <v>#DIV/0!</v>
      </c>
      <c r="AF106" s="353"/>
      <c r="AG106" s="352"/>
      <c r="AH106" s="353"/>
      <c r="AI106" s="355" t="str">
        <f>AH106/$F$31</f>
        <v>#DIV/0!</v>
      </c>
      <c r="AJ106" s="353"/>
      <c r="AK106" s="355">
        <f>AJ106/AJ$31</f>
        <v>0</v>
      </c>
      <c r="AL106" s="353"/>
      <c r="AM106" s="355" t="str">
        <f>AL106/$F$31</f>
        <v>#DIV/0!</v>
      </c>
      <c r="AN106" s="353"/>
      <c r="AO106" s="352"/>
      <c r="AP106" s="353"/>
      <c r="AQ106" s="355" t="str">
        <f>AP106/$F$31</f>
        <v>#DIV/0!</v>
      </c>
      <c r="AR106" s="353"/>
      <c r="AS106" s="352"/>
      <c r="AT106" s="353"/>
      <c r="AU106" s="352"/>
      <c r="AV106" s="353"/>
      <c r="AW106" s="355" t="str">
        <f>AV106/$F$31</f>
        <v>#DIV/0!</v>
      </c>
      <c r="AX106" s="352"/>
      <c r="AY106" s="352"/>
      <c r="AZ106" s="353"/>
      <c r="BA106" s="352"/>
      <c r="BB106" s="353"/>
      <c r="BC106" s="355" t="str">
        <f>BB106/$F$31</f>
        <v>#DIV/0!</v>
      </c>
      <c r="BD106" s="213"/>
      <c r="BE106" s="213"/>
      <c r="BF106" s="213"/>
      <c r="BG106" s="213"/>
      <c r="BH106" s="213"/>
      <c r="BI106" s="213"/>
      <c r="BJ106" s="213"/>
      <c r="BK106" s="213"/>
      <c r="BL106" s="213"/>
      <c r="BM106" s="213"/>
      <c r="BN106" s="213"/>
      <c r="BO106" s="213"/>
      <c r="BP106" s="213"/>
      <c r="BQ106" s="213"/>
      <c r="BR106" s="213"/>
      <c r="BS106" s="213"/>
      <c r="BT106" s="213"/>
      <c r="BU106" s="213"/>
      <c r="BV106" s="213"/>
      <c r="BW106" s="213"/>
    </row>
    <row r="107" ht="15.75" customHeight="1">
      <c r="A107" s="213"/>
      <c r="B107" s="245"/>
      <c r="C107" s="978" t="s">
        <v>271</v>
      </c>
      <c r="D107" s="353"/>
      <c r="E107" s="352"/>
      <c r="F107" s="353"/>
      <c r="G107" s="352"/>
      <c r="H107" s="359"/>
      <c r="I107" s="352"/>
      <c r="J107" s="359"/>
      <c r="K107" s="352"/>
      <c r="L107" s="353"/>
      <c r="M107" s="352"/>
      <c r="N107" s="353"/>
      <c r="O107" s="352"/>
      <c r="P107" s="353"/>
      <c r="Q107" s="352"/>
      <c r="R107" s="966"/>
      <c r="S107" s="352"/>
      <c r="T107" s="353"/>
      <c r="U107" s="352"/>
      <c r="V107" s="353"/>
      <c r="W107" s="352"/>
      <c r="X107" s="359"/>
      <c r="Y107" s="352"/>
      <c r="Z107" s="353"/>
      <c r="AA107" s="352"/>
      <c r="AB107" s="353">
        <v>29988.0</v>
      </c>
      <c r="AC107" s="352"/>
      <c r="AD107" s="353"/>
      <c r="AE107" s="352"/>
      <c r="AF107" s="353"/>
      <c r="AG107" s="352"/>
      <c r="AH107" s="353"/>
      <c r="AI107" s="352"/>
      <c r="AJ107" s="353"/>
      <c r="AK107" s="352"/>
      <c r="AL107" s="353"/>
      <c r="AM107" s="352"/>
      <c r="AN107" s="353"/>
      <c r="AO107" s="352"/>
      <c r="AP107" s="353"/>
      <c r="AQ107" s="352"/>
      <c r="AR107" s="353"/>
      <c r="AS107" s="352"/>
      <c r="AT107" s="353"/>
      <c r="AU107" s="352"/>
      <c r="AV107" s="353"/>
      <c r="AW107" s="352"/>
      <c r="AX107" s="352"/>
      <c r="AY107" s="352"/>
      <c r="AZ107" s="353"/>
      <c r="BA107" s="352"/>
      <c r="BB107" s="353"/>
      <c r="BC107" s="352"/>
      <c r="BD107" s="213"/>
      <c r="BE107" s="213"/>
      <c r="BF107" s="213"/>
      <c r="BG107" s="213"/>
      <c r="BH107" s="213"/>
      <c r="BI107" s="213"/>
      <c r="BJ107" s="213"/>
      <c r="BK107" s="213"/>
      <c r="BL107" s="213"/>
      <c r="BM107" s="213"/>
      <c r="BN107" s="213"/>
      <c r="BO107" s="213"/>
      <c r="BP107" s="213"/>
      <c r="BQ107" s="213"/>
      <c r="BR107" s="213"/>
      <c r="BS107" s="213"/>
      <c r="BT107" s="213"/>
      <c r="BU107" s="213"/>
      <c r="BV107" s="213"/>
      <c r="BW107" s="213"/>
    </row>
    <row r="108" ht="15.75" customHeight="1">
      <c r="A108" s="213"/>
      <c r="B108" s="245"/>
      <c r="C108" s="972"/>
      <c r="D108" s="353"/>
      <c r="E108" s="352"/>
      <c r="F108" s="353"/>
      <c r="G108" s="352"/>
      <c r="H108" s="359"/>
      <c r="I108" s="352"/>
      <c r="J108" s="359"/>
      <c r="K108" s="352"/>
      <c r="L108" s="353"/>
      <c r="M108" s="352"/>
      <c r="N108" s="353"/>
      <c r="O108" s="352"/>
      <c r="P108" s="353"/>
      <c r="Q108" s="352"/>
      <c r="R108" s="966"/>
      <c r="S108" s="352"/>
      <c r="T108" s="353"/>
      <c r="U108" s="352"/>
      <c r="V108" s="353"/>
      <c r="W108" s="352"/>
      <c r="X108" s="359"/>
      <c r="Y108" s="352"/>
      <c r="Z108" s="353"/>
      <c r="AA108" s="352"/>
      <c r="AB108" s="353"/>
      <c r="AC108" s="352"/>
      <c r="AD108" s="353"/>
      <c r="AE108" s="352"/>
      <c r="AF108" s="353"/>
      <c r="AG108" s="352"/>
      <c r="AH108" s="353"/>
      <c r="AI108" s="352"/>
      <c r="AJ108" s="353"/>
      <c r="AK108" s="352"/>
      <c r="AL108" s="353"/>
      <c r="AM108" s="352"/>
      <c r="AN108" s="353"/>
      <c r="AO108" s="352"/>
      <c r="AP108" s="353"/>
      <c r="AQ108" s="352"/>
      <c r="AR108" s="353"/>
      <c r="AS108" s="352"/>
      <c r="AT108" s="353"/>
      <c r="AU108" s="352"/>
      <c r="AV108" s="353"/>
      <c r="AW108" s="352"/>
      <c r="AX108" s="352"/>
      <c r="AY108" s="352"/>
      <c r="AZ108" s="353"/>
      <c r="BA108" s="352"/>
      <c r="BB108" s="353"/>
      <c r="BC108" s="352"/>
      <c r="BD108" s="213"/>
      <c r="BE108" s="213"/>
      <c r="BF108" s="213"/>
      <c r="BG108" s="213"/>
      <c r="BH108" s="213"/>
      <c r="BI108" s="213"/>
      <c r="BJ108" s="213"/>
      <c r="BK108" s="213"/>
      <c r="BL108" s="213"/>
      <c r="BM108" s="213"/>
      <c r="BN108" s="213"/>
      <c r="BO108" s="213"/>
      <c r="BP108" s="213"/>
      <c r="BQ108" s="213"/>
      <c r="BR108" s="213"/>
      <c r="BS108" s="213"/>
      <c r="BT108" s="213"/>
      <c r="BU108" s="213"/>
      <c r="BV108" s="213"/>
      <c r="BW108" s="213"/>
    </row>
    <row r="109" ht="15.75" customHeight="1">
      <c r="A109" s="213"/>
      <c r="B109" s="245"/>
      <c r="C109" s="972" t="s">
        <v>39</v>
      </c>
      <c r="D109" s="353">
        <f>SUM(D110:D111)</f>
        <v>0</v>
      </c>
      <c r="E109" s="352"/>
      <c r="F109" s="353">
        <f>SUM(F110:F111)</f>
        <v>0</v>
      </c>
      <c r="G109" s="355" t="str">
        <f>F109/F$31</f>
        <v>#DIV/0!</v>
      </c>
      <c r="H109" s="359">
        <f>SUM(H110:H111)</f>
        <v>19351</v>
      </c>
      <c r="I109" s="352"/>
      <c r="J109" s="359">
        <f>SUM(J110:J111)</f>
        <v>0</v>
      </c>
      <c r="K109" s="355" t="str">
        <f>J109/J$31</f>
        <v>#DIV/0!</v>
      </c>
      <c r="L109" s="353">
        <f>SUM(L110:L111)</f>
        <v>0</v>
      </c>
      <c r="M109" s="352"/>
      <c r="N109" s="353">
        <f>SUM(N110:N111)</f>
        <v>0</v>
      </c>
      <c r="O109" s="355" t="str">
        <f>N109/N$31</f>
        <v>#DIV/0!</v>
      </c>
      <c r="P109" s="353">
        <f>SUM(P110:P111)</f>
        <v>0</v>
      </c>
      <c r="Q109" s="352"/>
      <c r="R109" s="966">
        <f>SUM(R110:R111)</f>
        <v>0</v>
      </c>
      <c r="S109" s="355" t="str">
        <f>R109/R$31</f>
        <v>#DIV/0!</v>
      </c>
      <c r="T109" s="353">
        <f>SUM(T110:T111)</f>
        <v>0</v>
      </c>
      <c r="U109" s="352"/>
      <c r="V109" s="353">
        <f>SUM(V110:V111)</f>
        <v>0</v>
      </c>
      <c r="W109" s="355">
        <f>V109/V$31</f>
        <v>0</v>
      </c>
      <c r="X109" s="359">
        <f>SUM(X110:X111)</f>
        <v>901</v>
      </c>
      <c r="Y109" s="352"/>
      <c r="Z109" s="353">
        <f>SUM(Z110:Z111)</f>
        <v>0</v>
      </c>
      <c r="AA109" s="355">
        <f>Z109/Z$31</f>
        <v>0</v>
      </c>
      <c r="AB109" s="353">
        <f>SUM(AB110:AB111)</f>
        <v>0</v>
      </c>
      <c r="AC109" s="352"/>
      <c r="AD109" s="353">
        <f>SUM(AD110:AD111)</f>
        <v>0</v>
      </c>
      <c r="AE109" s="355">
        <f>AD109/AD$31</f>
        <v>0</v>
      </c>
      <c r="AF109" s="353">
        <f>SUM(AF110:AF111)</f>
        <v>80141.11</v>
      </c>
      <c r="AG109" s="352"/>
      <c r="AH109" s="353">
        <f>SUM(AH110:AH111)</f>
        <v>0</v>
      </c>
      <c r="AI109" s="355">
        <f>AH109/AH$31</f>
        <v>0</v>
      </c>
      <c r="AJ109" s="353">
        <f>SUM(AJ110:AJ111)</f>
        <v>126952.82</v>
      </c>
      <c r="AK109" s="352"/>
      <c r="AL109" s="353">
        <f>SUM(AL110:AL111)</f>
        <v>0</v>
      </c>
      <c r="AM109" s="355">
        <f>AL109/AL$31</f>
        <v>0</v>
      </c>
      <c r="AN109" s="353">
        <f>SUM(AN110:AN111)</f>
        <v>125796.74</v>
      </c>
      <c r="AO109" s="352"/>
      <c r="AP109" s="353">
        <f>SUM(AP110:AP111)</f>
        <v>0</v>
      </c>
      <c r="AQ109" s="355">
        <f>AP109/AP$31</f>
        <v>0</v>
      </c>
      <c r="AR109" s="353">
        <f>SUM(AR110:AR111)</f>
        <v>0</v>
      </c>
      <c r="AS109" s="352"/>
      <c r="AT109" s="353">
        <f>SUM(AT110:AT111)</f>
        <v>26040.67</v>
      </c>
      <c r="AU109" s="352"/>
      <c r="AV109" s="353">
        <f>SUM(AV110:AV111)</f>
        <v>0</v>
      </c>
      <c r="AW109" s="355">
        <f>AV109/AV$31</f>
        <v>0</v>
      </c>
      <c r="AX109" s="352">
        <f>SUM(AX110:AX111)</f>
        <v>0</v>
      </c>
      <c r="AY109" s="352"/>
      <c r="AZ109" s="353">
        <f>SUM(AZ110:AZ111)</f>
        <v>30641.6</v>
      </c>
      <c r="BA109" s="352"/>
      <c r="BB109" s="353">
        <f>SUM(BB110:BB111)</f>
        <v>0</v>
      </c>
      <c r="BC109" s="355">
        <f>BB109/BB$31</f>
        <v>0</v>
      </c>
      <c r="BD109" s="215">
        <f>D109+H109+L109+P109+T109+X109+AB109+AF109+AJ109+AN109+AT109+AZ109</f>
        <v>409824.94</v>
      </c>
      <c r="BE109" s="216"/>
      <c r="BF109" s="216"/>
      <c r="BG109" s="216"/>
      <c r="BH109" s="216"/>
      <c r="BI109" s="216"/>
      <c r="BJ109" s="216"/>
      <c r="BK109" s="216"/>
      <c r="BL109" s="216"/>
      <c r="BM109" s="216"/>
      <c r="BN109" s="216"/>
      <c r="BO109" s="216"/>
      <c r="BP109" s="216"/>
      <c r="BQ109" s="216"/>
      <c r="BR109" s="216"/>
      <c r="BS109" s="216"/>
      <c r="BT109" s="216"/>
      <c r="BU109" s="216"/>
      <c r="BV109" s="216"/>
      <c r="BW109" s="216"/>
    </row>
    <row r="110" ht="15.75" customHeight="1">
      <c r="A110" s="213"/>
      <c r="B110" s="245"/>
      <c r="C110" s="245" t="s">
        <v>448</v>
      </c>
      <c r="D110" s="353"/>
      <c r="E110" s="352"/>
      <c r="F110" s="353"/>
      <c r="G110" s="355"/>
      <c r="H110" s="359">
        <v>19351.0</v>
      </c>
      <c r="I110" s="352"/>
      <c r="J110" s="359"/>
      <c r="K110" s="355"/>
      <c r="L110" s="353"/>
      <c r="M110" s="352"/>
      <c r="N110" s="353"/>
      <c r="O110" s="355"/>
      <c r="P110" s="353"/>
      <c r="Q110" s="352"/>
      <c r="R110" s="966"/>
      <c r="S110" s="355"/>
      <c r="T110" s="353"/>
      <c r="U110" s="352"/>
      <c r="V110" s="353"/>
      <c r="W110" s="355"/>
      <c r="X110" s="359">
        <v>901.0</v>
      </c>
      <c r="Y110" s="352"/>
      <c r="Z110" s="353"/>
      <c r="AA110" s="355"/>
      <c r="AB110" s="353">
        <v>0.0</v>
      </c>
      <c r="AC110" s="352"/>
      <c r="AD110" s="353"/>
      <c r="AE110" s="355"/>
      <c r="AF110" s="353">
        <v>60224.56</v>
      </c>
      <c r="AG110" s="352"/>
      <c r="AH110" s="353"/>
      <c r="AI110" s="355"/>
      <c r="AJ110" s="353">
        <v>104736.65</v>
      </c>
      <c r="AK110" s="355">
        <f>AJ110/AJ$31</f>
        <v>0.01220573296</v>
      </c>
      <c r="AL110" s="353"/>
      <c r="AM110" s="355"/>
      <c r="AN110" s="353">
        <v>97197.08</v>
      </c>
      <c r="AO110" s="352"/>
      <c r="AP110" s="353"/>
      <c r="AQ110" s="355"/>
      <c r="AR110" s="353"/>
      <c r="AS110" s="352"/>
      <c r="AT110" s="353"/>
      <c r="AU110" s="352"/>
      <c r="AV110" s="353"/>
      <c r="AW110" s="355"/>
      <c r="AX110" s="352"/>
      <c r="AY110" s="352"/>
      <c r="AZ110" s="353"/>
      <c r="BA110" s="352"/>
      <c r="BB110" s="353"/>
      <c r="BC110" s="355"/>
      <c r="BD110" s="213"/>
      <c r="BE110" s="213"/>
      <c r="BF110" s="213"/>
      <c r="BG110" s="213"/>
      <c r="BH110" s="213"/>
      <c r="BI110" s="213"/>
      <c r="BJ110" s="213"/>
      <c r="BK110" s="213"/>
      <c r="BL110" s="213"/>
      <c r="BM110" s="213"/>
      <c r="BN110" s="213"/>
      <c r="BO110" s="213"/>
      <c r="BP110" s="213"/>
      <c r="BQ110" s="213"/>
      <c r="BR110" s="213"/>
      <c r="BS110" s="213"/>
      <c r="BT110" s="213"/>
      <c r="BU110" s="213"/>
      <c r="BV110" s="213"/>
      <c r="BW110" s="213"/>
    </row>
    <row r="111" ht="15.75" customHeight="1">
      <c r="A111" s="213"/>
      <c r="B111" s="245"/>
      <c r="C111" s="976" t="s">
        <v>449</v>
      </c>
      <c r="D111" s="353"/>
      <c r="E111" s="352"/>
      <c r="F111" s="353"/>
      <c r="G111" s="355"/>
      <c r="H111" s="359"/>
      <c r="I111" s="352"/>
      <c r="J111" s="359"/>
      <c r="K111" s="355"/>
      <c r="L111" s="353"/>
      <c r="M111" s="352"/>
      <c r="N111" s="353"/>
      <c r="O111" s="355"/>
      <c r="P111" s="353"/>
      <c r="Q111" s="352"/>
      <c r="R111" s="966"/>
      <c r="S111" s="355"/>
      <c r="T111" s="353"/>
      <c r="U111" s="352"/>
      <c r="V111" s="353"/>
      <c r="W111" s="355"/>
      <c r="X111" s="359"/>
      <c r="Y111" s="352"/>
      <c r="Z111" s="353"/>
      <c r="AA111" s="355"/>
      <c r="AB111" s="353"/>
      <c r="AC111" s="352"/>
      <c r="AD111" s="353"/>
      <c r="AE111" s="355"/>
      <c r="AF111" s="536">
        <v>19916.55</v>
      </c>
      <c r="AG111" s="352"/>
      <c r="AH111" s="353"/>
      <c r="AI111" s="355"/>
      <c r="AJ111" s="536">
        <v>22216.17</v>
      </c>
      <c r="AK111" s="355"/>
      <c r="AL111" s="353"/>
      <c r="AM111" s="355"/>
      <c r="AN111" s="536">
        <v>28599.66</v>
      </c>
      <c r="AO111" s="352"/>
      <c r="AP111" s="353"/>
      <c r="AQ111" s="355"/>
      <c r="AR111" s="353"/>
      <c r="AS111" s="352"/>
      <c r="AT111" s="536">
        <v>26040.67</v>
      </c>
      <c r="AU111" s="352"/>
      <c r="AV111" s="353"/>
      <c r="AW111" s="355"/>
      <c r="AX111" s="352"/>
      <c r="AY111" s="352"/>
      <c r="AZ111" s="536">
        <v>30641.6</v>
      </c>
      <c r="BA111" s="352"/>
      <c r="BB111" s="353"/>
      <c r="BC111" s="355"/>
      <c r="BD111" s="213"/>
      <c r="BE111" s="213"/>
      <c r="BF111" s="213"/>
      <c r="BG111" s="213"/>
      <c r="BH111" s="213"/>
      <c r="BI111" s="213"/>
      <c r="BJ111" s="213"/>
      <c r="BK111" s="213"/>
      <c r="BL111" s="213"/>
      <c r="BM111" s="213"/>
      <c r="BN111" s="213"/>
      <c r="BO111" s="213"/>
      <c r="BP111" s="213"/>
      <c r="BQ111" s="213"/>
      <c r="BR111" s="213"/>
      <c r="BS111" s="213"/>
      <c r="BT111" s="213"/>
      <c r="BU111" s="213"/>
      <c r="BV111" s="213"/>
      <c r="BW111" s="213"/>
    </row>
    <row r="112" ht="15.75" customHeight="1">
      <c r="A112" s="213"/>
      <c r="B112" s="245"/>
      <c r="C112" s="245"/>
      <c r="D112" s="353"/>
      <c r="E112" s="352"/>
      <c r="F112" s="353"/>
      <c r="G112" s="352"/>
      <c r="H112" s="359"/>
      <c r="I112" s="352"/>
      <c r="J112" s="359"/>
      <c r="K112" s="352"/>
      <c r="L112" s="353"/>
      <c r="M112" s="352"/>
      <c r="N112" s="353"/>
      <c r="O112" s="352"/>
      <c r="P112" s="353"/>
      <c r="Q112" s="352"/>
      <c r="R112" s="966"/>
      <c r="S112" s="352"/>
      <c r="T112" s="353"/>
      <c r="U112" s="352"/>
      <c r="V112" s="353"/>
      <c r="W112" s="352"/>
      <c r="X112" s="359"/>
      <c r="Y112" s="352"/>
      <c r="Z112" s="353"/>
      <c r="AA112" s="352"/>
      <c r="AB112" s="353"/>
      <c r="AC112" s="352"/>
      <c r="AD112" s="353"/>
      <c r="AE112" s="352"/>
      <c r="AF112" s="353"/>
      <c r="AG112" s="352"/>
      <c r="AH112" s="353"/>
      <c r="AI112" s="352"/>
      <c r="AJ112" s="353"/>
      <c r="AK112" s="355">
        <f>AJ112/AJ$31</f>
        <v>0</v>
      </c>
      <c r="AL112" s="353"/>
      <c r="AM112" s="352"/>
      <c r="AN112" s="353"/>
      <c r="AO112" s="352"/>
      <c r="AP112" s="353"/>
      <c r="AQ112" s="352"/>
      <c r="AR112" s="353"/>
      <c r="AS112" s="352"/>
      <c r="AT112" s="353"/>
      <c r="AU112" s="352"/>
      <c r="AV112" s="353"/>
      <c r="AW112" s="352"/>
      <c r="AX112" s="352"/>
      <c r="AY112" s="352"/>
      <c r="AZ112" s="353"/>
      <c r="BA112" s="352"/>
      <c r="BB112" s="353"/>
      <c r="BC112" s="352"/>
      <c r="BD112" s="213"/>
      <c r="BE112" s="213"/>
      <c r="BF112" s="213"/>
      <c r="BG112" s="213"/>
      <c r="BH112" s="213"/>
      <c r="BI112" s="213"/>
      <c r="BJ112" s="213"/>
      <c r="BK112" s="213"/>
      <c r="BL112" s="213"/>
      <c r="BM112" s="213"/>
      <c r="BN112" s="213"/>
      <c r="BO112" s="213"/>
      <c r="BP112" s="213"/>
      <c r="BQ112" s="213"/>
      <c r="BR112" s="213"/>
      <c r="BS112" s="213"/>
      <c r="BT112" s="213"/>
      <c r="BU112" s="213"/>
      <c r="BV112" s="213"/>
      <c r="BW112" s="213"/>
    </row>
    <row r="113" ht="15.75" customHeight="1">
      <c r="A113" s="213"/>
      <c r="B113" s="245"/>
      <c r="C113" s="972" t="s">
        <v>273</v>
      </c>
      <c r="D113" s="353">
        <f>SUM(D114:D115)</f>
        <v>0</v>
      </c>
      <c r="E113" s="352"/>
      <c r="F113" s="353">
        <f>SUM(F114:F115)</f>
        <v>0</v>
      </c>
      <c r="G113" s="355" t="str">
        <f>F113/F$31</f>
        <v>#DIV/0!</v>
      </c>
      <c r="H113" s="359">
        <f>SUM(H114:H115)</f>
        <v>0</v>
      </c>
      <c r="I113" s="352"/>
      <c r="J113" s="359">
        <f>SUM(J114:J115)</f>
        <v>0</v>
      </c>
      <c r="K113" s="355" t="str">
        <f>J113/J$31</f>
        <v>#DIV/0!</v>
      </c>
      <c r="L113" s="353">
        <f>SUM(L114:L115)</f>
        <v>0</v>
      </c>
      <c r="M113" s="352"/>
      <c r="N113" s="353">
        <f>SUM(N114:N115)</f>
        <v>0</v>
      </c>
      <c r="O113" s="355" t="str">
        <f>N113/N$31</f>
        <v>#DIV/0!</v>
      </c>
      <c r="P113" s="353">
        <f>SUM(P114:P115)</f>
        <v>0</v>
      </c>
      <c r="Q113" s="352"/>
      <c r="R113" s="966">
        <f>SUM(R114:R115)</f>
        <v>0</v>
      </c>
      <c r="S113" s="355" t="str">
        <f>R113/R$31</f>
        <v>#DIV/0!</v>
      </c>
      <c r="T113" s="353">
        <f>SUM(T114:T115)</f>
        <v>0</v>
      </c>
      <c r="U113" s="352"/>
      <c r="V113" s="353">
        <f>SUM(V114:V115)</f>
        <v>0</v>
      </c>
      <c r="W113" s="355">
        <f>V113/V$31</f>
        <v>0</v>
      </c>
      <c r="X113" s="359">
        <f>SUM(X114:X115)</f>
        <v>18172</v>
      </c>
      <c r="Y113" s="352"/>
      <c r="Z113" s="353">
        <f>SUM(Z114:Z115)</f>
        <v>0</v>
      </c>
      <c r="AA113" s="355">
        <f>Z113/Z$31</f>
        <v>0</v>
      </c>
      <c r="AB113" s="353">
        <f>SUM(AB114:AB115)</f>
        <v>19326.83333</v>
      </c>
      <c r="AC113" s="352"/>
      <c r="AD113" s="353">
        <f>SUM(AD114:AD115)</f>
        <v>0</v>
      </c>
      <c r="AE113" s="355">
        <f>AD113/AD$31</f>
        <v>0</v>
      </c>
      <c r="AF113" s="353">
        <f>SUM(AF114:AF115)</f>
        <v>23550.83333</v>
      </c>
      <c r="AG113" s="352"/>
      <c r="AH113" s="353">
        <f>SUM(AH114:AH115)</f>
        <v>0</v>
      </c>
      <c r="AI113" s="355">
        <f>AH113/AH$31</f>
        <v>0</v>
      </c>
      <c r="AJ113" s="353">
        <f>SUM(AJ114:AJ115)</f>
        <v>22075.83333</v>
      </c>
      <c r="AK113" s="352"/>
      <c r="AL113" s="353">
        <f>SUM(AL114:AL115)</f>
        <v>0</v>
      </c>
      <c r="AM113" s="355">
        <f>AL113/AL$31</f>
        <v>0</v>
      </c>
      <c r="AN113" s="353">
        <f>SUM(AN114:AN115)</f>
        <v>34465.83333</v>
      </c>
      <c r="AO113" s="352"/>
      <c r="AP113" s="353">
        <f>SUM(AP114:AP115)</f>
        <v>0</v>
      </c>
      <c r="AQ113" s="355">
        <f>AP113/AP$31</f>
        <v>0</v>
      </c>
      <c r="AR113" s="353">
        <f>SUM(AR114:AR115)</f>
        <v>0</v>
      </c>
      <c r="AS113" s="352"/>
      <c r="AT113" s="353">
        <f>SUM(AT114:AT115)</f>
        <v>26613.83333</v>
      </c>
      <c r="AU113" s="352"/>
      <c r="AV113" s="353">
        <f>SUM(AV114:AV115)</f>
        <v>0</v>
      </c>
      <c r="AW113" s="355">
        <f>AV113/AV$31</f>
        <v>0</v>
      </c>
      <c r="AX113" s="352">
        <f>SUM(AX114:AX115)</f>
        <v>0</v>
      </c>
      <c r="AY113" s="352"/>
      <c r="AZ113" s="353">
        <f>SUM(AZ114:AZ115)</f>
        <v>22076</v>
      </c>
      <c r="BA113" s="352"/>
      <c r="BB113" s="353">
        <f>SUM(BB114:BB115)</f>
        <v>0</v>
      </c>
      <c r="BC113" s="355">
        <f>BB113/BB$31</f>
        <v>0</v>
      </c>
      <c r="BD113" s="215">
        <f>D113+H113+L113+P113+T113+X113+AB113+AF113+AJ113+AN113+AT113+AZ113</f>
        <v>166281.1667</v>
      </c>
      <c r="BE113" s="216"/>
      <c r="BF113" s="216"/>
      <c r="BG113" s="216"/>
      <c r="BH113" s="216"/>
      <c r="BI113" s="216"/>
      <c r="BJ113" s="216"/>
      <c r="BK113" s="216"/>
      <c r="BL113" s="216"/>
      <c r="BM113" s="216"/>
      <c r="BN113" s="216"/>
      <c r="BO113" s="216"/>
      <c r="BP113" s="216"/>
      <c r="BQ113" s="216"/>
      <c r="BR113" s="216"/>
      <c r="BS113" s="216"/>
      <c r="BT113" s="216"/>
      <c r="BU113" s="216"/>
      <c r="BV113" s="216"/>
      <c r="BW113" s="216"/>
    </row>
    <row r="114" ht="15.75" customHeight="1">
      <c r="A114" s="213"/>
      <c r="B114" s="245"/>
      <c r="C114" s="245" t="s">
        <v>274</v>
      </c>
      <c r="D114" s="353"/>
      <c r="E114" s="352"/>
      <c r="F114" s="353"/>
      <c r="G114" s="352"/>
      <c r="H114" s="359"/>
      <c r="I114" s="352"/>
      <c r="J114" s="359"/>
      <c r="K114" s="352"/>
      <c r="L114" s="353"/>
      <c r="M114" s="352"/>
      <c r="N114" s="353"/>
      <c r="O114" s="352"/>
      <c r="P114" s="353"/>
      <c r="Q114" s="352"/>
      <c r="R114" s="966"/>
      <c r="S114" s="352"/>
      <c r="T114" s="353"/>
      <c r="U114" s="352"/>
      <c r="V114" s="353"/>
      <c r="W114" s="352"/>
      <c r="X114" s="359">
        <v>18172.0</v>
      </c>
      <c r="Y114" s="352"/>
      <c r="Z114" s="353"/>
      <c r="AA114" s="352"/>
      <c r="AB114" s="353">
        <v>14818.0</v>
      </c>
      <c r="AC114" s="352"/>
      <c r="AD114" s="353"/>
      <c r="AE114" s="352"/>
      <c r="AF114" s="353">
        <v>1475.0</v>
      </c>
      <c r="AG114" s="352"/>
      <c r="AH114" s="353"/>
      <c r="AI114" s="352"/>
      <c r="AJ114" s="353"/>
      <c r="AK114" s="355">
        <f t="shared" ref="AK114:AK116" si="110">AJ114/AJ$31</f>
        <v>0</v>
      </c>
      <c r="AL114" s="353"/>
      <c r="AM114" s="352"/>
      <c r="AN114" s="353">
        <v>12390.0</v>
      </c>
      <c r="AO114" s="352"/>
      <c r="AP114" s="353"/>
      <c r="AQ114" s="352"/>
      <c r="AR114" s="353"/>
      <c r="AS114" s="352"/>
      <c r="AT114" s="353">
        <v>4538.0</v>
      </c>
      <c r="AU114" s="352"/>
      <c r="AV114" s="353"/>
      <c r="AW114" s="352"/>
      <c r="AX114" s="352"/>
      <c r="AY114" s="352"/>
      <c r="AZ114" s="353"/>
      <c r="BA114" s="352"/>
      <c r="BB114" s="353"/>
      <c r="BC114" s="352"/>
      <c r="BD114" s="213"/>
      <c r="BE114" s="213"/>
      <c r="BF114" s="213"/>
      <c r="BG114" s="213"/>
      <c r="BH114" s="213"/>
      <c r="BI114" s="213"/>
      <c r="BJ114" s="213"/>
      <c r="BK114" s="213"/>
      <c r="BL114" s="213"/>
      <c r="BM114" s="213"/>
      <c r="BN114" s="213"/>
      <c r="BO114" s="213"/>
      <c r="BP114" s="213"/>
      <c r="BQ114" s="213"/>
      <c r="BR114" s="213"/>
      <c r="BS114" s="213"/>
      <c r="BT114" s="213"/>
      <c r="BU114" s="213"/>
      <c r="BV114" s="213"/>
      <c r="BW114" s="213"/>
    </row>
    <row r="115" ht="15.75" customHeight="1">
      <c r="A115" s="213"/>
      <c r="B115" s="245"/>
      <c r="C115" s="245" t="s">
        <v>450</v>
      </c>
      <c r="D115" s="353"/>
      <c r="E115" s="352"/>
      <c r="F115" s="353"/>
      <c r="G115" s="355" t="str">
        <f>F115/F$31</f>
        <v>#DIV/0!</v>
      </c>
      <c r="H115" s="359"/>
      <c r="I115" s="352"/>
      <c r="J115" s="359"/>
      <c r="K115" s="355" t="str">
        <f>J115/J$31</f>
        <v>#DIV/0!</v>
      </c>
      <c r="L115" s="353"/>
      <c r="M115" s="352"/>
      <c r="N115" s="353"/>
      <c r="O115" s="355" t="str">
        <f>N115/N$31</f>
        <v>#DIV/0!</v>
      </c>
      <c r="P115" s="353"/>
      <c r="Q115" s="352"/>
      <c r="R115" s="966"/>
      <c r="S115" s="355" t="str">
        <f>R115/R$31</f>
        <v>#DIV/0!</v>
      </c>
      <c r="T115" s="353"/>
      <c r="U115" s="352"/>
      <c r="V115" s="353"/>
      <c r="W115" s="355">
        <f>V115/V$31</f>
        <v>0</v>
      </c>
      <c r="X115" s="359"/>
      <c r="Y115" s="352"/>
      <c r="Z115" s="353"/>
      <c r="AA115" s="355">
        <f>Z115/Z$31</f>
        <v>0</v>
      </c>
      <c r="AB115" s="353">
        <f>3083+(17110/12)</f>
        <v>4508.833333</v>
      </c>
      <c r="AC115" s="352"/>
      <c r="AD115" s="353"/>
      <c r="AE115" s="355">
        <f>AD115/AD$31</f>
        <v>0</v>
      </c>
      <c r="AF115" s="353">
        <f>8260+(17110/12)+12390</f>
        <v>22075.83333</v>
      </c>
      <c r="AG115" s="352"/>
      <c r="AH115" s="353"/>
      <c r="AI115" s="355">
        <f>AH115/AH$31</f>
        <v>0</v>
      </c>
      <c r="AJ115" s="353">
        <f>8260+(17110/12)+12390</f>
        <v>22075.83333</v>
      </c>
      <c r="AK115" s="355">
        <f t="shared" si="110"/>
        <v>0.002572659395</v>
      </c>
      <c r="AL115" s="353"/>
      <c r="AM115" s="355">
        <f>AL115/AL$31</f>
        <v>0</v>
      </c>
      <c r="AN115" s="353">
        <f>8260+(17110/12)+12390</f>
        <v>22075.83333</v>
      </c>
      <c r="AO115" s="352"/>
      <c r="AP115" s="353"/>
      <c r="AQ115" s="355">
        <f>AP115/AP$31</f>
        <v>0</v>
      </c>
      <c r="AR115" s="353"/>
      <c r="AS115" s="352"/>
      <c r="AT115" s="353">
        <f>8260+(17110/12)+12390</f>
        <v>22075.83333</v>
      </c>
      <c r="AU115" s="352"/>
      <c r="AV115" s="353"/>
      <c r="AW115" s="355">
        <f>AV115/AV$31</f>
        <v>0</v>
      </c>
      <c r="AX115" s="352"/>
      <c r="AY115" s="352"/>
      <c r="AZ115" s="536">
        <v>22076.0</v>
      </c>
      <c r="BA115" s="352"/>
      <c r="BB115" s="353"/>
      <c r="BC115" s="355">
        <f>BB115/BB$31</f>
        <v>0</v>
      </c>
      <c r="BD115" s="213"/>
      <c r="BE115" s="213"/>
      <c r="BF115" s="213"/>
      <c r="BG115" s="213"/>
      <c r="BH115" s="213"/>
      <c r="BI115" s="213"/>
      <c r="BJ115" s="213"/>
      <c r="BK115" s="213"/>
      <c r="BL115" s="213"/>
      <c r="BM115" s="213"/>
      <c r="BN115" s="213"/>
      <c r="BO115" s="213"/>
      <c r="BP115" s="213"/>
      <c r="BQ115" s="213"/>
      <c r="BR115" s="213"/>
      <c r="BS115" s="213"/>
      <c r="BT115" s="213"/>
      <c r="BU115" s="213"/>
      <c r="BV115" s="213"/>
      <c r="BW115" s="213"/>
    </row>
    <row r="116" ht="15.75" customHeight="1">
      <c r="A116" s="213"/>
      <c r="B116" s="245"/>
      <c r="C116" s="245"/>
      <c r="D116" s="353"/>
      <c r="E116" s="352"/>
      <c r="F116" s="353"/>
      <c r="G116" s="352"/>
      <c r="H116" s="359"/>
      <c r="I116" s="352"/>
      <c r="J116" s="359"/>
      <c r="K116" s="352"/>
      <c r="L116" s="353"/>
      <c r="M116" s="352"/>
      <c r="N116" s="353"/>
      <c r="O116" s="352"/>
      <c r="P116" s="353"/>
      <c r="Q116" s="352"/>
      <c r="R116" s="966"/>
      <c r="S116" s="352"/>
      <c r="T116" s="353"/>
      <c r="U116" s="352"/>
      <c r="V116" s="353"/>
      <c r="W116" s="352"/>
      <c r="X116" s="359"/>
      <c r="Y116" s="352"/>
      <c r="Z116" s="353"/>
      <c r="AA116" s="352"/>
      <c r="AB116" s="353"/>
      <c r="AC116" s="352"/>
      <c r="AD116" s="353"/>
      <c r="AE116" s="352"/>
      <c r="AF116" s="353"/>
      <c r="AG116" s="352"/>
      <c r="AH116" s="353"/>
      <c r="AI116" s="352"/>
      <c r="AJ116" s="353"/>
      <c r="AK116" s="355">
        <f t="shared" si="110"/>
        <v>0</v>
      </c>
      <c r="AL116" s="353"/>
      <c r="AM116" s="352"/>
      <c r="AN116" s="353"/>
      <c r="AO116" s="352"/>
      <c r="AP116" s="353"/>
      <c r="AQ116" s="352"/>
      <c r="AR116" s="353"/>
      <c r="AS116" s="352"/>
      <c r="AT116" s="353"/>
      <c r="AU116" s="352"/>
      <c r="AV116" s="353"/>
      <c r="AW116" s="352"/>
      <c r="AX116" s="352"/>
      <c r="AY116" s="352"/>
      <c r="AZ116" s="353"/>
      <c r="BA116" s="352"/>
      <c r="BB116" s="353"/>
      <c r="BC116" s="352"/>
      <c r="BD116" s="213"/>
      <c r="BE116" s="213"/>
      <c r="BF116" s="213"/>
      <c r="BG116" s="213"/>
      <c r="BH116" s="213"/>
      <c r="BI116" s="213"/>
      <c r="BJ116" s="213"/>
      <c r="BK116" s="213"/>
      <c r="BL116" s="213"/>
      <c r="BM116" s="213"/>
      <c r="BN116" s="213"/>
      <c r="BO116" s="213"/>
      <c r="BP116" s="213"/>
      <c r="BQ116" s="213"/>
      <c r="BR116" s="213"/>
      <c r="BS116" s="213"/>
      <c r="BT116" s="213"/>
      <c r="BU116" s="213"/>
      <c r="BV116" s="213"/>
      <c r="BW116" s="213"/>
    </row>
    <row r="117" ht="15.75" customHeight="1">
      <c r="A117" s="213"/>
      <c r="B117" s="245"/>
      <c r="C117" s="972" t="s">
        <v>41</v>
      </c>
      <c r="D117" s="353">
        <f>SUM(D118:D138)</f>
        <v>461257</v>
      </c>
      <c r="E117" s="352"/>
      <c r="F117" s="353">
        <f>SUM(F118:F138)</f>
        <v>0</v>
      </c>
      <c r="G117" s="355" t="str">
        <f t="shared" ref="G117:G122" si="112">F117/F$31</f>
        <v>#DIV/0!</v>
      </c>
      <c r="H117" s="359">
        <f>SUM(H118:H138)</f>
        <v>101364</v>
      </c>
      <c r="I117" s="352"/>
      <c r="J117" s="359">
        <f>SUM(J118:J138)</f>
        <v>0</v>
      </c>
      <c r="K117" s="355" t="str">
        <f t="shared" ref="K117:K122" si="113">J117/J$31</f>
        <v>#DIV/0!</v>
      </c>
      <c r="L117" s="353">
        <f>SUM(L118:L138)</f>
        <v>938643</v>
      </c>
      <c r="M117" s="352"/>
      <c r="N117" s="353">
        <f>SUM(N118:N138)</f>
        <v>0</v>
      </c>
      <c r="O117" s="355" t="str">
        <f t="shared" ref="O117:O122" si="114">N117/N$31</f>
        <v>#DIV/0!</v>
      </c>
      <c r="P117" s="353">
        <f>SUM(P118:P138)</f>
        <v>335822</v>
      </c>
      <c r="Q117" s="352"/>
      <c r="R117" s="966">
        <f>SUM(R118:R138)</f>
        <v>0</v>
      </c>
      <c r="S117" s="355" t="str">
        <f t="shared" ref="S117:S122" si="115">R117/R$31</f>
        <v>#DIV/0!</v>
      </c>
      <c r="T117" s="353">
        <f>SUM(T118:T138)</f>
        <v>220150</v>
      </c>
      <c r="U117" s="352"/>
      <c r="V117" s="353">
        <f>SUM(V118:V138)</f>
        <v>0</v>
      </c>
      <c r="W117" s="355">
        <f t="shared" ref="W117:W122" si="116">V117/V$31</f>
        <v>0</v>
      </c>
      <c r="X117" s="359">
        <f>SUM(X118:X138)</f>
        <v>715199</v>
      </c>
      <c r="Y117" s="352"/>
      <c r="Z117" s="353">
        <f>SUM(Z118:Z138)</f>
        <v>0</v>
      </c>
      <c r="AA117" s="355">
        <f t="shared" ref="AA117:AA122" si="117">Z117/Z$31</f>
        <v>0</v>
      </c>
      <c r="AB117" s="359">
        <f t="shared" ref="AB117:AZ117" si="111">SUM(AB118:AB138)</f>
        <v>664326.6667</v>
      </c>
      <c r="AC117" s="359">
        <f t="shared" si="111"/>
        <v>0</v>
      </c>
      <c r="AD117" s="359">
        <f t="shared" si="111"/>
        <v>0</v>
      </c>
      <c r="AE117" s="359">
        <f t="shared" si="111"/>
        <v>0</v>
      </c>
      <c r="AF117" s="359">
        <f t="shared" si="111"/>
        <v>786450</v>
      </c>
      <c r="AG117" s="359">
        <f t="shared" si="111"/>
        <v>0</v>
      </c>
      <c r="AH117" s="359">
        <f t="shared" si="111"/>
        <v>0</v>
      </c>
      <c r="AI117" s="359">
        <f t="shared" si="111"/>
        <v>0</v>
      </c>
      <c r="AJ117" s="359">
        <f t="shared" si="111"/>
        <v>723703</v>
      </c>
      <c r="AK117" s="359">
        <f t="shared" si="111"/>
        <v>0.08078599168</v>
      </c>
      <c r="AL117" s="359">
        <f t="shared" si="111"/>
        <v>0</v>
      </c>
      <c r="AM117" s="359">
        <f t="shared" si="111"/>
        <v>0</v>
      </c>
      <c r="AN117" s="359">
        <f t="shared" si="111"/>
        <v>219177</v>
      </c>
      <c r="AO117" s="359">
        <f t="shared" si="111"/>
        <v>0</v>
      </c>
      <c r="AP117" s="359">
        <f t="shared" si="111"/>
        <v>0</v>
      </c>
      <c r="AQ117" s="359">
        <f t="shared" si="111"/>
        <v>0</v>
      </c>
      <c r="AR117" s="359">
        <f t="shared" si="111"/>
        <v>0</v>
      </c>
      <c r="AS117" s="359">
        <f t="shared" si="111"/>
        <v>0</v>
      </c>
      <c r="AT117" s="359">
        <f t="shared" si="111"/>
        <v>566207.46</v>
      </c>
      <c r="AU117" s="359">
        <f t="shared" si="111"/>
        <v>0</v>
      </c>
      <c r="AV117" s="359">
        <f t="shared" si="111"/>
        <v>0</v>
      </c>
      <c r="AW117" s="359">
        <f t="shared" si="111"/>
        <v>0</v>
      </c>
      <c r="AX117" s="359">
        <f t="shared" si="111"/>
        <v>0</v>
      </c>
      <c r="AY117" s="359">
        <f t="shared" si="111"/>
        <v>0</v>
      </c>
      <c r="AZ117" s="359">
        <f t="shared" si="111"/>
        <v>260662.9167</v>
      </c>
      <c r="BA117" s="352"/>
      <c r="BB117" s="353">
        <f>SUM(BB118:BB138)</f>
        <v>0</v>
      </c>
      <c r="BC117" s="355">
        <f t="shared" ref="BC117:BC122" si="118">BB117/BB$31</f>
        <v>0</v>
      </c>
      <c r="BD117" s="215">
        <f>D117+H117+L117+P117+T117+X117+AB117+AF117+AJ117+AN117+AT117+AZ117</f>
        <v>5992962.043</v>
      </c>
      <c r="BE117" s="216"/>
      <c r="BF117" s="216"/>
      <c r="BG117" s="216"/>
      <c r="BH117" s="216"/>
      <c r="BI117" s="216"/>
      <c r="BJ117" s="216"/>
      <c r="BK117" s="216"/>
      <c r="BL117" s="216"/>
      <c r="BM117" s="216"/>
      <c r="BN117" s="216"/>
      <c r="BO117" s="216"/>
      <c r="BP117" s="216"/>
      <c r="BQ117" s="216"/>
      <c r="BR117" s="216"/>
      <c r="BS117" s="216"/>
      <c r="BT117" s="216"/>
      <c r="BU117" s="216"/>
      <c r="BV117" s="216"/>
      <c r="BW117" s="216"/>
    </row>
    <row r="118" ht="15.75" customHeight="1">
      <c r="A118" s="213"/>
      <c r="B118" s="245"/>
      <c r="C118" s="245" t="s">
        <v>277</v>
      </c>
      <c r="D118" s="353"/>
      <c r="E118" s="352"/>
      <c r="F118" s="353"/>
      <c r="G118" s="355" t="str">
        <f t="shared" si="112"/>
        <v>#DIV/0!</v>
      </c>
      <c r="H118" s="359"/>
      <c r="I118" s="352"/>
      <c r="J118" s="359"/>
      <c r="K118" s="355" t="str">
        <f t="shared" si="113"/>
        <v>#DIV/0!</v>
      </c>
      <c r="L118" s="353"/>
      <c r="M118" s="352"/>
      <c r="N118" s="353"/>
      <c r="O118" s="355" t="str">
        <f t="shared" si="114"/>
        <v>#DIV/0!</v>
      </c>
      <c r="P118" s="353"/>
      <c r="Q118" s="352"/>
      <c r="R118" s="966"/>
      <c r="S118" s="355" t="str">
        <f t="shared" si="115"/>
        <v>#DIV/0!</v>
      </c>
      <c r="T118" s="353"/>
      <c r="U118" s="352"/>
      <c r="V118" s="353"/>
      <c r="W118" s="355">
        <f t="shared" si="116"/>
        <v>0</v>
      </c>
      <c r="X118" s="359"/>
      <c r="Y118" s="352"/>
      <c r="Z118" s="353"/>
      <c r="AA118" s="355">
        <f t="shared" si="117"/>
        <v>0</v>
      </c>
      <c r="AB118" s="353"/>
      <c r="AC118" s="352"/>
      <c r="AD118" s="353"/>
      <c r="AE118" s="355">
        <f t="shared" ref="AE118:AE122" si="119">AD118/AD$31</f>
        <v>0</v>
      </c>
      <c r="AF118" s="353"/>
      <c r="AG118" s="352"/>
      <c r="AH118" s="353"/>
      <c r="AI118" s="355">
        <f t="shared" ref="AI118:AI122" si="120">AH118/AH$31</f>
        <v>0</v>
      </c>
      <c r="AJ118" s="353"/>
      <c r="AK118" s="355">
        <f t="shared" ref="AK118:AK122" si="121">AJ118/AJ$31</f>
        <v>0</v>
      </c>
      <c r="AL118" s="353"/>
      <c r="AM118" s="355">
        <f t="shared" ref="AM118:AM122" si="122">AL118/AL$31</f>
        <v>0</v>
      </c>
      <c r="AN118" s="353"/>
      <c r="AO118" s="352"/>
      <c r="AP118" s="353"/>
      <c r="AQ118" s="355">
        <f t="shared" ref="AQ118:AQ122" si="123">AP118/AP$31</f>
        <v>0</v>
      </c>
      <c r="AR118" s="353"/>
      <c r="AS118" s="352"/>
      <c r="AT118" s="353"/>
      <c r="AU118" s="352"/>
      <c r="AV118" s="353"/>
      <c r="AW118" s="355">
        <f t="shared" ref="AW118:AW122" si="124">AV118/AV$31</f>
        <v>0</v>
      </c>
      <c r="AX118" s="352"/>
      <c r="AY118" s="352"/>
      <c r="AZ118" s="353"/>
      <c r="BA118" s="352"/>
      <c r="BB118" s="353"/>
      <c r="BC118" s="355">
        <f t="shared" si="118"/>
        <v>0</v>
      </c>
      <c r="BD118" s="213"/>
      <c r="BE118" s="213"/>
      <c r="BF118" s="213"/>
      <c r="BG118" s="213"/>
      <c r="BH118" s="213"/>
      <c r="BI118" s="213"/>
      <c r="BJ118" s="213"/>
      <c r="BK118" s="213"/>
      <c r="BL118" s="213"/>
      <c r="BM118" s="213"/>
      <c r="BN118" s="213"/>
      <c r="BO118" s="213"/>
      <c r="BP118" s="213"/>
      <c r="BQ118" s="213"/>
      <c r="BR118" s="213"/>
      <c r="BS118" s="213"/>
      <c r="BT118" s="213"/>
      <c r="BU118" s="213"/>
      <c r="BV118" s="213"/>
      <c r="BW118" s="213"/>
    </row>
    <row r="119" ht="15.75" customHeight="1">
      <c r="A119" s="213"/>
      <c r="B119" s="245"/>
      <c r="C119" s="245" t="s">
        <v>278</v>
      </c>
      <c r="D119" s="353"/>
      <c r="E119" s="352"/>
      <c r="F119" s="353"/>
      <c r="G119" s="355" t="str">
        <f t="shared" si="112"/>
        <v>#DIV/0!</v>
      </c>
      <c r="H119" s="359"/>
      <c r="I119" s="352"/>
      <c r="J119" s="359"/>
      <c r="K119" s="355" t="str">
        <f t="shared" si="113"/>
        <v>#DIV/0!</v>
      </c>
      <c r="L119" s="353"/>
      <c r="M119" s="352"/>
      <c r="N119" s="353"/>
      <c r="O119" s="355" t="str">
        <f t="shared" si="114"/>
        <v>#DIV/0!</v>
      </c>
      <c r="P119" s="353"/>
      <c r="Q119" s="352"/>
      <c r="R119" s="966"/>
      <c r="S119" s="355" t="str">
        <f t="shared" si="115"/>
        <v>#DIV/0!</v>
      </c>
      <c r="T119" s="353"/>
      <c r="U119" s="352"/>
      <c r="V119" s="353"/>
      <c r="W119" s="355">
        <f t="shared" si="116"/>
        <v>0</v>
      </c>
      <c r="X119" s="359"/>
      <c r="Y119" s="352"/>
      <c r="Z119" s="353"/>
      <c r="AA119" s="355">
        <f t="shared" si="117"/>
        <v>0</v>
      </c>
      <c r="AB119" s="353">
        <f>32400/4</f>
        <v>8100</v>
      </c>
      <c r="AC119" s="352"/>
      <c r="AD119" s="353"/>
      <c r="AE119" s="355">
        <f t="shared" si="119"/>
        <v>0</v>
      </c>
      <c r="AF119" s="353">
        <f>5414+32400/4</f>
        <v>13514</v>
      </c>
      <c r="AG119" s="352"/>
      <c r="AH119" s="353"/>
      <c r="AI119" s="355">
        <f t="shared" si="120"/>
        <v>0</v>
      </c>
      <c r="AJ119" s="353">
        <f>32400/4</f>
        <v>8100</v>
      </c>
      <c r="AK119" s="355">
        <f t="shared" si="121"/>
        <v>0.0009439526374</v>
      </c>
      <c r="AL119" s="353"/>
      <c r="AM119" s="355">
        <f t="shared" si="122"/>
        <v>0</v>
      </c>
      <c r="AN119" s="353"/>
      <c r="AO119" s="352"/>
      <c r="AP119" s="353"/>
      <c r="AQ119" s="355">
        <f t="shared" si="123"/>
        <v>0</v>
      </c>
      <c r="AR119" s="353"/>
      <c r="AS119" s="352"/>
      <c r="AT119" s="353"/>
      <c r="AU119" s="352"/>
      <c r="AV119" s="353"/>
      <c r="AW119" s="355">
        <f t="shared" si="124"/>
        <v>0</v>
      </c>
      <c r="AX119" s="352"/>
      <c r="AY119" s="352"/>
      <c r="AZ119" s="353"/>
      <c r="BA119" s="352"/>
      <c r="BB119" s="353"/>
      <c r="BC119" s="355">
        <f t="shared" si="118"/>
        <v>0</v>
      </c>
      <c r="BD119" s="213"/>
      <c r="BE119" s="213"/>
      <c r="BF119" s="213"/>
      <c r="BG119" s="213"/>
      <c r="BH119" s="213"/>
      <c r="BI119" s="213"/>
      <c r="BJ119" s="213"/>
      <c r="BK119" s="213"/>
      <c r="BL119" s="213"/>
      <c r="BM119" s="213"/>
      <c r="BN119" s="213"/>
      <c r="BO119" s="213"/>
      <c r="BP119" s="213"/>
      <c r="BQ119" s="213"/>
      <c r="BR119" s="213"/>
      <c r="BS119" s="213"/>
      <c r="BT119" s="213"/>
      <c r="BU119" s="213"/>
      <c r="BV119" s="213"/>
      <c r="BW119" s="213"/>
    </row>
    <row r="120" ht="15.75" customHeight="1">
      <c r="A120" s="213"/>
      <c r="B120" s="245"/>
      <c r="C120" s="245" t="s">
        <v>280</v>
      </c>
      <c r="D120" s="353">
        <f>1036800/12</f>
        <v>86400</v>
      </c>
      <c r="E120" s="352"/>
      <c r="F120" s="353"/>
      <c r="G120" s="355" t="str">
        <f t="shared" si="112"/>
        <v>#DIV/0!</v>
      </c>
      <c r="H120" s="353">
        <f>7664+86400</f>
        <v>94064</v>
      </c>
      <c r="I120" s="352"/>
      <c r="J120" s="359"/>
      <c r="K120" s="355" t="str">
        <f t="shared" si="113"/>
        <v>#DIV/0!</v>
      </c>
      <c r="L120" s="353">
        <v>86400.0</v>
      </c>
      <c r="M120" s="352"/>
      <c r="N120" s="353"/>
      <c r="O120" s="355" t="str">
        <f t="shared" si="114"/>
        <v>#DIV/0!</v>
      </c>
      <c r="P120" s="353">
        <v>86400.0</v>
      </c>
      <c r="Q120" s="352"/>
      <c r="R120" s="966"/>
      <c r="S120" s="355" t="str">
        <f t="shared" si="115"/>
        <v>#DIV/0!</v>
      </c>
      <c r="T120" s="353">
        <v>86400.0</v>
      </c>
      <c r="U120" s="352"/>
      <c r="V120" s="353"/>
      <c r="W120" s="355">
        <f t="shared" si="116"/>
        <v>0</v>
      </c>
      <c r="X120" s="359">
        <f>1036800/12</f>
        <v>86400</v>
      </c>
      <c r="Y120" s="352"/>
      <c r="Z120" s="353"/>
      <c r="AA120" s="355">
        <f t="shared" si="117"/>
        <v>0</v>
      </c>
      <c r="AB120" s="353">
        <f>1036800/12+(8000/12)</f>
        <v>87066.66667</v>
      </c>
      <c r="AC120" s="352"/>
      <c r="AD120" s="353"/>
      <c r="AE120" s="355">
        <f t="shared" si="119"/>
        <v>0</v>
      </c>
      <c r="AF120" s="353">
        <f>1036800/12+(8000/12)+1500</f>
        <v>88566.66667</v>
      </c>
      <c r="AG120" s="352"/>
      <c r="AH120" s="353"/>
      <c r="AI120" s="355">
        <f t="shared" si="120"/>
        <v>0</v>
      </c>
      <c r="AJ120" s="353">
        <f>1036800/12+(8000/12)</f>
        <v>87066.66667</v>
      </c>
      <c r="AK120" s="355">
        <f t="shared" si="121"/>
        <v>0.01014651971</v>
      </c>
      <c r="AL120" s="353"/>
      <c r="AM120" s="355">
        <f t="shared" si="122"/>
        <v>0</v>
      </c>
      <c r="AN120" s="353">
        <f>1036800/12+(8000/12)</f>
        <v>87066.66667</v>
      </c>
      <c r="AO120" s="352"/>
      <c r="AP120" s="353"/>
      <c r="AQ120" s="355">
        <f t="shared" si="123"/>
        <v>0</v>
      </c>
      <c r="AR120" s="353"/>
      <c r="AS120" s="352"/>
      <c r="AT120" s="353">
        <f>1036800/12+(8000/12)</f>
        <v>87066.66667</v>
      </c>
      <c r="AU120" s="352"/>
      <c r="AV120" s="353"/>
      <c r="AW120" s="355">
        <f t="shared" si="124"/>
        <v>0</v>
      </c>
      <c r="AX120" s="352"/>
      <c r="AY120" s="352"/>
      <c r="AZ120" s="353">
        <f>1036800/12+(60710/24)+3000</f>
        <v>91929.58333</v>
      </c>
      <c r="BA120" s="352"/>
      <c r="BB120" s="353"/>
      <c r="BC120" s="355">
        <f t="shared" si="118"/>
        <v>0</v>
      </c>
      <c r="BD120" s="213"/>
      <c r="BE120" s="213"/>
      <c r="BF120" s="213"/>
      <c r="BG120" s="213"/>
      <c r="BH120" s="213"/>
      <c r="BI120" s="213"/>
      <c r="BJ120" s="213"/>
      <c r="BK120" s="213"/>
      <c r="BL120" s="213"/>
      <c r="BM120" s="213"/>
      <c r="BN120" s="213"/>
      <c r="BO120" s="213"/>
      <c r="BP120" s="213"/>
      <c r="BQ120" s="213"/>
      <c r="BR120" s="213"/>
      <c r="BS120" s="213"/>
      <c r="BT120" s="213"/>
      <c r="BU120" s="213"/>
      <c r="BV120" s="213"/>
      <c r="BW120" s="213"/>
    </row>
    <row r="121" ht="15.75" customHeight="1">
      <c r="A121" s="213"/>
      <c r="B121" s="245"/>
      <c r="C121" s="245" t="s">
        <v>334</v>
      </c>
      <c r="D121" s="353"/>
      <c r="E121" s="352"/>
      <c r="F121" s="353"/>
      <c r="G121" s="355" t="str">
        <f t="shared" si="112"/>
        <v>#DIV/0!</v>
      </c>
      <c r="H121" s="359"/>
      <c r="I121" s="352"/>
      <c r="J121" s="359"/>
      <c r="K121" s="355" t="str">
        <f t="shared" si="113"/>
        <v>#DIV/0!</v>
      </c>
      <c r="L121" s="353"/>
      <c r="M121" s="352"/>
      <c r="N121" s="353"/>
      <c r="O121" s="355" t="str">
        <f t="shared" si="114"/>
        <v>#DIV/0!</v>
      </c>
      <c r="P121" s="353"/>
      <c r="Q121" s="352"/>
      <c r="R121" s="966"/>
      <c r="S121" s="355" t="str">
        <f t="shared" si="115"/>
        <v>#DIV/0!</v>
      </c>
      <c r="T121" s="353"/>
      <c r="U121" s="352"/>
      <c r="V121" s="353"/>
      <c r="W121" s="355">
        <f t="shared" si="116"/>
        <v>0</v>
      </c>
      <c r="X121" s="359"/>
      <c r="Y121" s="352"/>
      <c r="Z121" s="353"/>
      <c r="AA121" s="355">
        <f t="shared" si="117"/>
        <v>0</v>
      </c>
      <c r="AB121" s="353"/>
      <c r="AC121" s="352"/>
      <c r="AD121" s="353"/>
      <c r="AE121" s="355">
        <f t="shared" si="119"/>
        <v>0</v>
      </c>
      <c r="AF121" s="536">
        <v>0.0</v>
      </c>
      <c r="AG121" s="352"/>
      <c r="AH121" s="353"/>
      <c r="AI121" s="355">
        <f t="shared" si="120"/>
        <v>0</v>
      </c>
      <c r="AJ121" s="536">
        <v>35000.0</v>
      </c>
      <c r="AK121" s="355">
        <f t="shared" si="121"/>
        <v>0.004078807692</v>
      </c>
      <c r="AL121" s="353"/>
      <c r="AM121" s="355">
        <f t="shared" si="122"/>
        <v>0</v>
      </c>
      <c r="AN121" s="536">
        <v>35000.0</v>
      </c>
      <c r="AO121" s="352"/>
      <c r="AP121" s="353"/>
      <c r="AQ121" s="355">
        <f t="shared" si="123"/>
        <v>0</v>
      </c>
      <c r="AR121" s="353"/>
      <c r="AS121" s="352"/>
      <c r="AT121" s="536">
        <v>35000.0</v>
      </c>
      <c r="AU121" s="352"/>
      <c r="AV121" s="353"/>
      <c r="AW121" s="355">
        <f t="shared" si="124"/>
        <v>0</v>
      </c>
      <c r="AX121" s="352"/>
      <c r="AY121" s="352"/>
      <c r="AZ121" s="536">
        <v>35000.0</v>
      </c>
      <c r="BA121" s="352"/>
      <c r="BB121" s="353"/>
      <c r="BC121" s="355">
        <f t="shared" si="118"/>
        <v>0</v>
      </c>
      <c r="BD121" s="213"/>
      <c r="BE121" s="213"/>
      <c r="BF121" s="213"/>
      <c r="BG121" s="213"/>
      <c r="BH121" s="213"/>
      <c r="BI121" s="213"/>
      <c r="BJ121" s="213"/>
      <c r="BK121" s="213"/>
      <c r="BL121" s="213"/>
      <c r="BM121" s="213"/>
      <c r="BN121" s="213"/>
      <c r="BO121" s="213"/>
      <c r="BP121" s="213"/>
      <c r="BQ121" s="213"/>
      <c r="BR121" s="213"/>
      <c r="BS121" s="213"/>
      <c r="BT121" s="213"/>
      <c r="BU121" s="213"/>
      <c r="BV121" s="213"/>
      <c r="BW121" s="213"/>
    </row>
    <row r="122" ht="15.75" customHeight="1">
      <c r="A122" s="213"/>
      <c r="B122" s="245"/>
      <c r="C122" s="245" t="s">
        <v>335</v>
      </c>
      <c r="D122" s="353"/>
      <c r="E122" s="352"/>
      <c r="F122" s="353"/>
      <c r="G122" s="355" t="str">
        <f t="shared" si="112"/>
        <v>#DIV/0!</v>
      </c>
      <c r="H122" s="359"/>
      <c r="I122" s="352"/>
      <c r="J122" s="359"/>
      <c r="K122" s="355" t="str">
        <f t="shared" si="113"/>
        <v>#DIV/0!</v>
      </c>
      <c r="L122" s="353"/>
      <c r="M122" s="352"/>
      <c r="N122" s="353"/>
      <c r="O122" s="355" t="str">
        <f t="shared" si="114"/>
        <v>#DIV/0!</v>
      </c>
      <c r="P122" s="353"/>
      <c r="Q122" s="352"/>
      <c r="R122" s="966"/>
      <c r="S122" s="355" t="str">
        <f t="shared" si="115"/>
        <v>#DIV/0!</v>
      </c>
      <c r="T122" s="353"/>
      <c r="U122" s="352"/>
      <c r="V122" s="353"/>
      <c r="W122" s="355">
        <f t="shared" si="116"/>
        <v>0</v>
      </c>
      <c r="X122" s="359"/>
      <c r="Y122" s="352"/>
      <c r="Z122" s="353"/>
      <c r="AA122" s="355">
        <f t="shared" si="117"/>
        <v>0</v>
      </c>
      <c r="AB122" s="353"/>
      <c r="AC122" s="352"/>
      <c r="AD122" s="353"/>
      <c r="AE122" s="355">
        <f t="shared" si="119"/>
        <v>0</v>
      </c>
      <c r="AF122" s="353">
        <v>4012.0</v>
      </c>
      <c r="AG122" s="352"/>
      <c r="AH122" s="353"/>
      <c r="AI122" s="355">
        <f t="shared" si="120"/>
        <v>0</v>
      </c>
      <c r="AJ122" s="353"/>
      <c r="AK122" s="355">
        <f t="shared" si="121"/>
        <v>0</v>
      </c>
      <c r="AL122" s="353"/>
      <c r="AM122" s="355">
        <f t="shared" si="122"/>
        <v>0</v>
      </c>
      <c r="AN122" s="353"/>
      <c r="AO122" s="352"/>
      <c r="AP122" s="353"/>
      <c r="AQ122" s="355">
        <f t="shared" si="123"/>
        <v>0</v>
      </c>
      <c r="AR122" s="353"/>
      <c r="AS122" s="352"/>
      <c r="AT122" s="353"/>
      <c r="AU122" s="352"/>
      <c r="AV122" s="353"/>
      <c r="AW122" s="355">
        <f t="shared" si="124"/>
        <v>0</v>
      </c>
      <c r="AX122" s="352"/>
      <c r="AY122" s="352"/>
      <c r="AZ122" s="353"/>
      <c r="BA122" s="352"/>
      <c r="BB122" s="353"/>
      <c r="BC122" s="355">
        <f t="shared" si="118"/>
        <v>0</v>
      </c>
      <c r="BD122" s="213"/>
      <c r="BE122" s="213"/>
      <c r="BF122" s="213"/>
      <c r="BG122" s="213"/>
      <c r="BH122" s="213"/>
      <c r="BI122" s="213"/>
      <c r="BJ122" s="213"/>
      <c r="BK122" s="213"/>
      <c r="BL122" s="213"/>
      <c r="BM122" s="213"/>
      <c r="BN122" s="213"/>
      <c r="BO122" s="213"/>
      <c r="BP122" s="213"/>
      <c r="BQ122" s="213"/>
      <c r="BR122" s="213"/>
      <c r="BS122" s="213"/>
      <c r="BT122" s="213"/>
      <c r="BU122" s="213"/>
      <c r="BV122" s="213"/>
      <c r="BW122" s="213"/>
    </row>
    <row r="123" ht="15.75" customHeight="1">
      <c r="A123" s="213"/>
      <c r="B123" s="245"/>
      <c r="C123" s="245"/>
      <c r="D123" s="353"/>
      <c r="E123" s="352"/>
      <c r="F123" s="353"/>
      <c r="G123" s="355"/>
      <c r="H123" s="359"/>
      <c r="I123" s="352"/>
      <c r="J123" s="359"/>
      <c r="K123" s="355"/>
      <c r="L123" s="353"/>
      <c r="M123" s="352"/>
      <c r="N123" s="353"/>
      <c r="O123" s="355"/>
      <c r="P123" s="353"/>
      <c r="Q123" s="352"/>
      <c r="R123" s="966"/>
      <c r="S123" s="355"/>
      <c r="T123" s="353"/>
      <c r="U123" s="352"/>
      <c r="V123" s="353"/>
      <c r="W123" s="355"/>
      <c r="X123" s="359"/>
      <c r="Y123" s="352"/>
      <c r="Z123" s="353"/>
      <c r="AA123" s="355"/>
      <c r="AB123" s="353"/>
      <c r="AC123" s="352"/>
      <c r="AD123" s="353"/>
      <c r="AE123" s="355"/>
      <c r="AF123" s="353"/>
      <c r="AG123" s="352"/>
      <c r="AH123" s="353"/>
      <c r="AI123" s="355"/>
      <c r="AJ123" s="353"/>
      <c r="AK123" s="355"/>
      <c r="AL123" s="353"/>
      <c r="AM123" s="355"/>
      <c r="AN123" s="353"/>
      <c r="AO123" s="352"/>
      <c r="AP123" s="353"/>
      <c r="AQ123" s="355"/>
      <c r="AR123" s="353"/>
      <c r="AS123" s="352"/>
      <c r="AT123" s="353"/>
      <c r="AU123" s="352"/>
      <c r="AV123" s="353"/>
      <c r="AW123" s="355"/>
      <c r="AX123" s="352"/>
      <c r="AY123" s="352"/>
      <c r="AZ123" s="353"/>
      <c r="BA123" s="352"/>
      <c r="BB123" s="353"/>
      <c r="BC123" s="355"/>
      <c r="BD123" s="213"/>
      <c r="BE123" s="213"/>
      <c r="BF123" s="213"/>
      <c r="BG123" s="213"/>
      <c r="BH123" s="213"/>
      <c r="BI123" s="213"/>
      <c r="BJ123" s="213"/>
      <c r="BK123" s="213"/>
      <c r="BL123" s="213"/>
      <c r="BM123" s="213"/>
      <c r="BN123" s="213"/>
      <c r="BO123" s="213"/>
      <c r="BP123" s="213"/>
      <c r="BQ123" s="213"/>
      <c r="BR123" s="213"/>
      <c r="BS123" s="213"/>
      <c r="BT123" s="213"/>
      <c r="BU123" s="213"/>
      <c r="BV123" s="213"/>
      <c r="BW123" s="213"/>
    </row>
    <row r="124" ht="15.75" customHeight="1">
      <c r="A124" s="213"/>
      <c r="B124" s="245"/>
      <c r="C124" s="245" t="s">
        <v>282</v>
      </c>
      <c r="D124" s="536">
        <v>79062.0</v>
      </c>
      <c r="E124" s="352"/>
      <c r="F124" s="353"/>
      <c r="G124" s="355" t="str">
        <f>F124/F$31</f>
        <v>#DIV/0!</v>
      </c>
      <c r="H124" s="353">
        <v>7300.0</v>
      </c>
      <c r="I124" s="352"/>
      <c r="J124" s="359"/>
      <c r="K124" s="355" t="str">
        <f>J124/J$31</f>
        <v>#DIV/0!</v>
      </c>
      <c r="L124" s="536">
        <v>0.0</v>
      </c>
      <c r="M124" s="352"/>
      <c r="N124" s="353"/>
      <c r="O124" s="355" t="str">
        <f>N124/N$31</f>
        <v>#DIV/0!</v>
      </c>
      <c r="P124" s="536">
        <v>40175.0</v>
      </c>
      <c r="Q124" s="352"/>
      <c r="R124" s="966"/>
      <c r="S124" s="355" t="str">
        <f>R124/R$31</f>
        <v>#DIV/0!</v>
      </c>
      <c r="T124" s="536">
        <v>119000.0</v>
      </c>
      <c r="U124" s="352"/>
      <c r="V124" s="353"/>
      <c r="W124" s="355">
        <f>V124/V$31</f>
        <v>0</v>
      </c>
      <c r="X124" s="536">
        <v>130799.0</v>
      </c>
      <c r="Y124" s="352"/>
      <c r="Z124" s="353"/>
      <c r="AA124" s="355">
        <f>Z124/Z$31</f>
        <v>0</v>
      </c>
      <c r="AB124" s="536">
        <v>455411.0</v>
      </c>
      <c r="AC124" s="352"/>
      <c r="AD124" s="353"/>
      <c r="AE124" s="355">
        <f>AD124/AD$31</f>
        <v>0</v>
      </c>
      <c r="AF124" s="353">
        <f>22406+303353+300140</f>
        <v>625899</v>
      </c>
      <c r="AG124" s="352"/>
      <c r="AH124" s="353"/>
      <c r="AI124" s="355">
        <f>AH124/AH$31</f>
        <v>0</v>
      </c>
      <c r="AJ124" s="353">
        <f>119982+62921</f>
        <v>182903</v>
      </c>
      <c r="AK124" s="355">
        <f>AJ124/AJ$31</f>
        <v>0.02131503324</v>
      </c>
      <c r="AL124" s="353"/>
      <c r="AM124" s="355">
        <f>AL124/AL$31</f>
        <v>0</v>
      </c>
      <c r="AN124" s="353">
        <f>15139+17416</f>
        <v>32555</v>
      </c>
      <c r="AO124" s="352"/>
      <c r="AP124" s="353"/>
      <c r="AQ124" s="355">
        <f>AP124/AP$31</f>
        <v>0</v>
      </c>
      <c r="AR124" s="353"/>
      <c r="AS124" s="352"/>
      <c r="AT124" s="353">
        <f>9391+82941</f>
        <v>92332</v>
      </c>
      <c r="AU124" s="352"/>
      <c r="AV124" s="353"/>
      <c r="AW124" s="355">
        <f>AV124/AV$31</f>
        <v>0</v>
      </c>
      <c r="AX124" s="352"/>
      <c r="AY124" s="352"/>
      <c r="AZ124" s="536">
        <f>69920+10000</f>
        <v>79920</v>
      </c>
      <c r="BA124" s="352"/>
      <c r="BB124" s="353"/>
      <c r="BC124" s="355">
        <f>BB124/BB$31</f>
        <v>0</v>
      </c>
      <c r="BD124" s="213"/>
      <c r="BE124" s="213"/>
      <c r="BF124" s="213"/>
      <c r="BG124" s="213"/>
      <c r="BH124" s="213"/>
      <c r="BI124" s="213"/>
      <c r="BJ124" s="213"/>
      <c r="BK124" s="213"/>
      <c r="BL124" s="213"/>
      <c r="BM124" s="213"/>
      <c r="BN124" s="213"/>
      <c r="BO124" s="213"/>
      <c r="BP124" s="213"/>
      <c r="BQ124" s="213"/>
      <c r="BR124" s="213"/>
      <c r="BS124" s="213"/>
      <c r="BT124" s="213"/>
      <c r="BU124" s="213"/>
      <c r="BV124" s="213"/>
      <c r="BW124" s="213"/>
    </row>
    <row r="125" ht="15.75" customHeight="1">
      <c r="A125" s="213"/>
      <c r="B125" s="245"/>
      <c r="C125" s="245" t="s">
        <v>283</v>
      </c>
      <c r="D125" s="353"/>
      <c r="E125" s="352"/>
      <c r="F125" s="353"/>
      <c r="G125" s="355"/>
      <c r="H125" s="359"/>
      <c r="I125" s="352"/>
      <c r="J125" s="359"/>
      <c r="K125" s="355"/>
      <c r="L125" s="353"/>
      <c r="M125" s="352"/>
      <c r="N125" s="353"/>
      <c r="O125" s="355"/>
      <c r="P125" s="353"/>
      <c r="Q125" s="352"/>
      <c r="R125" s="966"/>
      <c r="S125" s="355"/>
      <c r="T125" s="353">
        <f>177000/12</f>
        <v>14750</v>
      </c>
      <c r="U125" s="352"/>
      <c r="V125" s="353"/>
      <c r="W125" s="355"/>
      <c r="X125" s="353">
        <f>177000/12</f>
        <v>14750</v>
      </c>
      <c r="Y125" s="352"/>
      <c r="Z125" s="353"/>
      <c r="AA125" s="355"/>
      <c r="AB125" s="353">
        <f>177000/12</f>
        <v>14750</v>
      </c>
      <c r="AC125" s="352"/>
      <c r="AD125" s="353"/>
      <c r="AE125" s="355"/>
      <c r="AF125" s="353">
        <f>94400/12+94400/12+14750</f>
        <v>30483.33333</v>
      </c>
      <c r="AG125" s="352"/>
      <c r="AH125" s="353"/>
      <c r="AI125" s="355"/>
      <c r="AJ125" s="353">
        <f>94400/12+94400/12+14750</f>
        <v>30483.33333</v>
      </c>
      <c r="AK125" s="355"/>
      <c r="AL125" s="353"/>
      <c r="AM125" s="355"/>
      <c r="AN125" s="353">
        <f>94400/12+94400/12+14750</f>
        <v>30483.33333</v>
      </c>
      <c r="AO125" s="352"/>
      <c r="AP125" s="353"/>
      <c r="AQ125" s="355"/>
      <c r="AR125" s="353"/>
      <c r="AS125" s="352"/>
      <c r="AT125" s="353">
        <f>94400/12+94400/12</f>
        <v>15733.33333</v>
      </c>
      <c r="AU125" s="352"/>
      <c r="AV125" s="353"/>
      <c r="AW125" s="355"/>
      <c r="AX125" s="352"/>
      <c r="AY125" s="352"/>
      <c r="AZ125" s="353">
        <f>94400/12+94400/12</f>
        <v>15733.33333</v>
      </c>
      <c r="BA125" s="352"/>
      <c r="BB125" s="353"/>
      <c r="BC125" s="355"/>
      <c r="BD125" s="213"/>
      <c r="BE125" s="213"/>
      <c r="BF125" s="213"/>
      <c r="BG125" s="213"/>
      <c r="BH125" s="213"/>
      <c r="BI125" s="213"/>
      <c r="BJ125" s="213"/>
      <c r="BK125" s="213"/>
      <c r="BL125" s="213"/>
      <c r="BM125" s="213"/>
      <c r="BN125" s="213"/>
      <c r="BO125" s="213"/>
      <c r="BP125" s="213"/>
      <c r="BQ125" s="213"/>
      <c r="BR125" s="213"/>
      <c r="BS125" s="213"/>
      <c r="BT125" s="213"/>
      <c r="BU125" s="213"/>
      <c r="BV125" s="213"/>
      <c r="BW125" s="213"/>
    </row>
    <row r="126" ht="15.75" customHeight="1">
      <c r="A126" s="213"/>
      <c r="B126" s="245"/>
      <c r="C126" s="245"/>
      <c r="D126" s="353"/>
      <c r="E126" s="352"/>
      <c r="F126" s="353"/>
      <c r="G126" s="355"/>
      <c r="H126" s="359"/>
      <c r="I126" s="352"/>
      <c r="J126" s="359"/>
      <c r="K126" s="355"/>
      <c r="L126" s="353"/>
      <c r="M126" s="352"/>
      <c r="N126" s="353"/>
      <c r="O126" s="355"/>
      <c r="P126" s="353"/>
      <c r="Q126" s="352"/>
      <c r="R126" s="966"/>
      <c r="S126" s="355"/>
      <c r="T126" s="353"/>
      <c r="U126" s="352"/>
      <c r="V126" s="353"/>
      <c r="W126" s="355"/>
      <c r="X126" s="359"/>
      <c r="Y126" s="352"/>
      <c r="Z126" s="353"/>
      <c r="AA126" s="355"/>
      <c r="AB126" s="353"/>
      <c r="AC126" s="352"/>
      <c r="AD126" s="353"/>
      <c r="AE126" s="355"/>
      <c r="AF126" s="536"/>
      <c r="AG126" s="352"/>
      <c r="AH126" s="353"/>
      <c r="AI126" s="355"/>
      <c r="AJ126" s="536"/>
      <c r="AK126" s="355"/>
      <c r="AL126" s="353"/>
      <c r="AM126" s="355"/>
      <c r="AN126" s="536"/>
      <c r="AO126" s="352"/>
      <c r="AP126" s="353"/>
      <c r="AQ126" s="355"/>
      <c r="AR126" s="353"/>
      <c r="AS126" s="352"/>
      <c r="AT126" s="536"/>
      <c r="AU126" s="352"/>
      <c r="AV126" s="353"/>
      <c r="AW126" s="355"/>
      <c r="AX126" s="352"/>
      <c r="AY126" s="352"/>
      <c r="AZ126" s="536"/>
      <c r="BA126" s="352"/>
      <c r="BB126" s="353"/>
      <c r="BC126" s="355"/>
      <c r="BD126" s="213"/>
      <c r="BE126" s="213"/>
      <c r="BF126" s="213"/>
      <c r="BG126" s="213"/>
      <c r="BH126" s="213"/>
      <c r="BI126" s="213"/>
      <c r="BJ126" s="213"/>
      <c r="BK126" s="213"/>
      <c r="BL126" s="213"/>
      <c r="BM126" s="213"/>
      <c r="BN126" s="213"/>
      <c r="BO126" s="213"/>
      <c r="BP126" s="213"/>
      <c r="BQ126" s="213"/>
      <c r="BR126" s="213"/>
      <c r="BS126" s="213"/>
      <c r="BT126" s="213"/>
      <c r="BU126" s="213"/>
      <c r="BV126" s="213"/>
      <c r="BW126" s="213"/>
    </row>
    <row r="127" ht="15.75" customHeight="1">
      <c r="A127" s="213"/>
      <c r="B127" s="245" t="s">
        <v>400</v>
      </c>
      <c r="C127" s="245" t="s">
        <v>285</v>
      </c>
      <c r="D127" s="353"/>
      <c r="E127" s="352"/>
      <c r="F127" s="353"/>
      <c r="G127" s="355" t="str">
        <f>F127/F$31</f>
        <v>#DIV/0!</v>
      </c>
      <c r="H127" s="359"/>
      <c r="I127" s="352"/>
      <c r="J127" s="359"/>
      <c r="K127" s="355" t="str">
        <f>J127/J$31</f>
        <v>#DIV/0!</v>
      </c>
      <c r="L127" s="353"/>
      <c r="M127" s="352"/>
      <c r="N127" s="353"/>
      <c r="O127" s="355" t="str">
        <f>N127/N$31</f>
        <v>#DIV/0!</v>
      </c>
      <c r="P127" s="353"/>
      <c r="Q127" s="352"/>
      <c r="R127" s="966"/>
      <c r="S127" s="355" t="str">
        <f>R127/R$31</f>
        <v>#DIV/0!</v>
      </c>
      <c r="T127" s="353"/>
      <c r="U127" s="352"/>
      <c r="V127" s="353"/>
      <c r="W127" s="355">
        <f>V127/V$31</f>
        <v>0</v>
      </c>
      <c r="X127" s="359"/>
      <c r="Y127" s="352"/>
      <c r="Z127" s="353"/>
      <c r="AA127" s="355">
        <f>Z127/Z$31</f>
        <v>0</v>
      </c>
      <c r="AB127" s="353"/>
      <c r="AC127" s="352"/>
      <c r="AD127" s="353"/>
      <c r="AE127" s="355">
        <f>AD127/AD$31</f>
        <v>0</v>
      </c>
      <c r="AF127" s="536"/>
      <c r="AG127" s="352"/>
      <c r="AH127" s="353"/>
      <c r="AI127" s="355">
        <f>AH127/AH$31</f>
        <v>0</v>
      </c>
      <c r="AJ127" s="536"/>
      <c r="AK127" s="355">
        <f>AJ127/AJ$31</f>
        <v>0</v>
      </c>
      <c r="AL127" s="353"/>
      <c r="AM127" s="355">
        <f>AL127/AL$31</f>
        <v>0</v>
      </c>
      <c r="AN127" s="536"/>
      <c r="AO127" s="352"/>
      <c r="AP127" s="353"/>
      <c r="AQ127" s="355">
        <f>AP127/AP$31</f>
        <v>0</v>
      </c>
      <c r="AR127" s="353"/>
      <c r="AS127" s="352"/>
      <c r="AT127" s="536"/>
      <c r="AU127" s="352"/>
      <c r="AV127" s="353"/>
      <c r="AW127" s="355">
        <f>AV127/AV$31</f>
        <v>0</v>
      </c>
      <c r="AX127" s="352"/>
      <c r="AY127" s="352"/>
      <c r="AZ127" s="536">
        <v>6097.0</v>
      </c>
      <c r="BA127" s="352"/>
      <c r="BB127" s="353"/>
      <c r="BC127" s="355">
        <f>BB127/BB$31</f>
        <v>0</v>
      </c>
      <c r="BD127" s="213"/>
      <c r="BE127" s="213"/>
      <c r="BF127" s="213"/>
      <c r="BG127" s="213"/>
      <c r="BH127" s="213"/>
      <c r="BI127" s="213"/>
      <c r="BJ127" s="213"/>
      <c r="BK127" s="213"/>
      <c r="BL127" s="213"/>
      <c r="BM127" s="213"/>
      <c r="BN127" s="213"/>
      <c r="BO127" s="213"/>
      <c r="BP127" s="213"/>
      <c r="BQ127" s="213"/>
      <c r="BR127" s="213"/>
      <c r="BS127" s="213"/>
      <c r="BT127" s="213"/>
      <c r="BU127" s="213"/>
      <c r="BV127" s="213"/>
      <c r="BW127" s="213"/>
    </row>
    <row r="128" ht="15.75" customHeight="1">
      <c r="A128" s="213"/>
      <c r="B128" s="245"/>
      <c r="C128" s="245"/>
      <c r="D128" s="353"/>
      <c r="E128" s="352"/>
      <c r="F128" s="353"/>
      <c r="G128" s="355"/>
      <c r="H128" s="359"/>
      <c r="I128" s="352"/>
      <c r="J128" s="359"/>
      <c r="K128" s="355"/>
      <c r="L128" s="353"/>
      <c r="M128" s="352"/>
      <c r="N128" s="353"/>
      <c r="O128" s="355"/>
      <c r="P128" s="353"/>
      <c r="Q128" s="352"/>
      <c r="R128" s="966"/>
      <c r="S128" s="355"/>
      <c r="T128" s="353"/>
      <c r="U128" s="352"/>
      <c r="V128" s="353"/>
      <c r="W128" s="355"/>
      <c r="X128" s="359"/>
      <c r="Y128" s="352"/>
      <c r="Z128" s="353"/>
      <c r="AA128" s="355"/>
      <c r="AB128" s="353"/>
      <c r="AC128" s="352"/>
      <c r="AD128" s="353"/>
      <c r="AE128" s="355"/>
      <c r="AF128" s="353"/>
      <c r="AG128" s="352"/>
      <c r="AH128" s="353"/>
      <c r="AI128" s="355"/>
      <c r="AJ128" s="353"/>
      <c r="AK128" s="355"/>
      <c r="AL128" s="353"/>
      <c r="AM128" s="355"/>
      <c r="AN128" s="353"/>
      <c r="AO128" s="352"/>
      <c r="AP128" s="353"/>
      <c r="AQ128" s="355"/>
      <c r="AR128" s="353"/>
      <c r="AS128" s="352"/>
      <c r="AT128" s="353"/>
      <c r="AU128" s="352"/>
      <c r="AV128" s="353"/>
      <c r="AW128" s="355"/>
      <c r="AX128" s="352"/>
      <c r="AY128" s="352"/>
      <c r="AZ128" s="353"/>
      <c r="BA128" s="352"/>
      <c r="BB128" s="353"/>
      <c r="BC128" s="355"/>
      <c r="BD128" s="213"/>
      <c r="BE128" s="213"/>
      <c r="BF128" s="213"/>
      <c r="BG128" s="213"/>
      <c r="BH128" s="213"/>
      <c r="BI128" s="213"/>
      <c r="BJ128" s="213"/>
      <c r="BK128" s="213"/>
      <c r="BL128" s="213"/>
      <c r="BM128" s="213"/>
      <c r="BN128" s="213"/>
      <c r="BO128" s="213"/>
      <c r="BP128" s="213"/>
      <c r="BQ128" s="213"/>
      <c r="BR128" s="213"/>
      <c r="BS128" s="213"/>
      <c r="BT128" s="213"/>
      <c r="BU128" s="213"/>
      <c r="BV128" s="213"/>
      <c r="BW128" s="213"/>
    </row>
    <row r="129" ht="15.75" customHeight="1">
      <c r="A129" s="213"/>
      <c r="B129" s="245" t="s">
        <v>400</v>
      </c>
      <c r="C129" s="245" t="s">
        <v>286</v>
      </c>
      <c r="D129" s="353"/>
      <c r="E129" s="352"/>
      <c r="F129" s="353"/>
      <c r="G129" s="355" t="str">
        <f>F129/F$31</f>
        <v>#DIV/0!</v>
      </c>
      <c r="H129" s="359"/>
      <c r="I129" s="352"/>
      <c r="J129" s="359"/>
      <c r="K129" s="355" t="str">
        <f>J129/J$31</f>
        <v>#DIV/0!</v>
      </c>
      <c r="L129" s="353"/>
      <c r="M129" s="352"/>
      <c r="N129" s="353"/>
      <c r="O129" s="355" t="str">
        <f>N129/N$31</f>
        <v>#DIV/0!</v>
      </c>
      <c r="P129" s="353"/>
      <c r="Q129" s="352"/>
      <c r="R129" s="966"/>
      <c r="S129" s="355" t="str">
        <f>R129/R$31</f>
        <v>#DIV/0!</v>
      </c>
      <c r="T129" s="353"/>
      <c r="U129" s="352"/>
      <c r="V129" s="353"/>
      <c r="W129" s="355">
        <f>V129/V$31</f>
        <v>0</v>
      </c>
      <c r="X129" s="359"/>
      <c r="Y129" s="352"/>
      <c r="Z129" s="353"/>
      <c r="AA129" s="355">
        <f>Z129/Z$31</f>
        <v>0</v>
      </c>
      <c r="AB129" s="353">
        <v>11499.0</v>
      </c>
      <c r="AC129" s="352"/>
      <c r="AD129" s="353"/>
      <c r="AE129" s="355">
        <f>AD129/AD$31</f>
        <v>0</v>
      </c>
      <c r="AF129" s="536">
        <v>23975.0</v>
      </c>
      <c r="AG129" s="352"/>
      <c r="AH129" s="353"/>
      <c r="AI129" s="355">
        <f>AH129/AH$31</f>
        <v>0</v>
      </c>
      <c r="AJ129" s="353">
        <v>29100.0</v>
      </c>
      <c r="AK129" s="355">
        <f>AJ129/AJ$31</f>
        <v>0.003391237253</v>
      </c>
      <c r="AL129" s="353"/>
      <c r="AM129" s="355">
        <f>AL129/AL$31</f>
        <v>0</v>
      </c>
      <c r="AN129" s="353">
        <v>34072.0</v>
      </c>
      <c r="AO129" s="352"/>
      <c r="AP129" s="353"/>
      <c r="AQ129" s="355">
        <f>AP129/AP$31</f>
        <v>0</v>
      </c>
      <c r="AR129" s="353"/>
      <c r="AS129" s="352"/>
      <c r="AT129" s="353">
        <v>30883.0</v>
      </c>
      <c r="AU129" s="352"/>
      <c r="AV129" s="353"/>
      <c r="AW129" s="355">
        <f>AV129/AV$31</f>
        <v>0</v>
      </c>
      <c r="AX129" s="352"/>
      <c r="AY129" s="352"/>
      <c r="AZ129" s="536">
        <v>31983.0</v>
      </c>
      <c r="BA129" s="352"/>
      <c r="BB129" s="353"/>
      <c r="BC129" s="355">
        <f>BB129/BB$31</f>
        <v>0</v>
      </c>
      <c r="BD129" s="213"/>
      <c r="BE129" s="213"/>
      <c r="BF129" s="213"/>
      <c r="BG129" s="213"/>
      <c r="BH129" s="213"/>
      <c r="BI129" s="213"/>
      <c r="BJ129" s="213"/>
      <c r="BK129" s="213"/>
      <c r="BL129" s="213"/>
      <c r="BM129" s="213"/>
      <c r="BN129" s="213"/>
      <c r="BO129" s="213"/>
      <c r="BP129" s="213"/>
      <c r="BQ129" s="213"/>
      <c r="BR129" s="213"/>
      <c r="BS129" s="213"/>
      <c r="BT129" s="213"/>
      <c r="BU129" s="213"/>
      <c r="BV129" s="213"/>
      <c r="BW129" s="213"/>
    </row>
    <row r="130" ht="15.75" customHeight="1">
      <c r="A130" s="213"/>
      <c r="B130" s="245"/>
      <c r="C130" s="245"/>
      <c r="D130" s="353"/>
      <c r="E130" s="352"/>
      <c r="F130" s="353"/>
      <c r="G130" s="355"/>
      <c r="H130" s="359"/>
      <c r="I130" s="352"/>
      <c r="J130" s="359"/>
      <c r="K130" s="355"/>
      <c r="L130" s="353"/>
      <c r="M130" s="352"/>
      <c r="N130" s="353"/>
      <c r="O130" s="355"/>
      <c r="P130" s="353"/>
      <c r="Q130" s="352"/>
      <c r="R130" s="966"/>
      <c r="S130" s="355"/>
      <c r="T130" s="353"/>
      <c r="U130" s="352"/>
      <c r="V130" s="353"/>
      <c r="W130" s="355"/>
      <c r="X130" s="359"/>
      <c r="Y130" s="352"/>
      <c r="Z130" s="353"/>
      <c r="AA130" s="355"/>
      <c r="AB130" s="353"/>
      <c r="AC130" s="352"/>
      <c r="AD130" s="353"/>
      <c r="AE130" s="355"/>
      <c r="AF130" s="353"/>
      <c r="AG130" s="352"/>
      <c r="AH130" s="353"/>
      <c r="AI130" s="355"/>
      <c r="AJ130" s="353"/>
      <c r="AK130" s="355"/>
      <c r="AL130" s="353"/>
      <c r="AM130" s="355"/>
      <c r="AN130" s="353"/>
      <c r="AO130" s="352"/>
      <c r="AP130" s="353"/>
      <c r="AQ130" s="355"/>
      <c r="AR130" s="353"/>
      <c r="AS130" s="352"/>
      <c r="AT130" s="353"/>
      <c r="AU130" s="352"/>
      <c r="AV130" s="353"/>
      <c r="AW130" s="355"/>
      <c r="AX130" s="352"/>
      <c r="AY130" s="352"/>
      <c r="AZ130" s="353"/>
      <c r="BA130" s="352"/>
      <c r="BB130" s="353"/>
      <c r="BC130" s="355"/>
      <c r="BD130" s="213"/>
      <c r="BE130" s="213"/>
      <c r="BF130" s="213"/>
      <c r="BG130" s="213"/>
      <c r="BH130" s="213"/>
      <c r="BI130" s="213"/>
      <c r="BJ130" s="213"/>
      <c r="BK130" s="213"/>
      <c r="BL130" s="213"/>
      <c r="BM130" s="213"/>
      <c r="BN130" s="213"/>
      <c r="BO130" s="213"/>
      <c r="BP130" s="213"/>
      <c r="BQ130" s="213"/>
      <c r="BR130" s="213"/>
      <c r="BS130" s="213"/>
      <c r="BT130" s="213"/>
      <c r="BU130" s="213"/>
      <c r="BV130" s="213"/>
      <c r="BW130" s="213"/>
    </row>
    <row r="131" ht="15.75" customHeight="1">
      <c r="A131" s="213"/>
      <c r="B131" s="245"/>
      <c r="C131" s="976" t="s">
        <v>451</v>
      </c>
      <c r="D131" s="353">
        <v>6695.0</v>
      </c>
      <c r="E131" s="352"/>
      <c r="F131" s="353"/>
      <c r="G131" s="355" t="str">
        <f>F131/F$31</f>
        <v>#DIV/0!</v>
      </c>
      <c r="H131" s="359"/>
      <c r="I131" s="352"/>
      <c r="J131" s="359"/>
      <c r="K131" s="355" t="str">
        <f>J131/J$31</f>
        <v>#DIV/0!</v>
      </c>
      <c r="L131" s="353">
        <f>5177+38766</f>
        <v>43943</v>
      </c>
      <c r="M131" s="352"/>
      <c r="N131" s="353"/>
      <c r="O131" s="355" t="str">
        <f>N131/N$31</f>
        <v>#DIV/0!</v>
      </c>
      <c r="P131" s="353">
        <f>205762+3485</f>
        <v>209247</v>
      </c>
      <c r="Q131" s="352"/>
      <c r="R131" s="966"/>
      <c r="S131" s="355" t="str">
        <f>R131/R$31</f>
        <v>#DIV/0!</v>
      </c>
      <c r="T131" s="353"/>
      <c r="U131" s="352"/>
      <c r="V131" s="353"/>
      <c r="W131" s="355">
        <f>V131/V$31</f>
        <v>0</v>
      </c>
      <c r="X131" s="359"/>
      <c r="Y131" s="352"/>
      <c r="Z131" s="353"/>
      <c r="AA131" s="355">
        <f>Z131/Z$31</f>
        <v>0</v>
      </c>
      <c r="AB131" s="353"/>
      <c r="AC131" s="352"/>
      <c r="AD131" s="353"/>
      <c r="AE131" s="355">
        <f>AD131/AD$31</f>
        <v>0</v>
      </c>
      <c r="AF131" s="353"/>
      <c r="AG131" s="352"/>
      <c r="AH131" s="353"/>
      <c r="AI131" s="355">
        <f>AH131/AH$31</f>
        <v>0</v>
      </c>
      <c r="AJ131" s="353"/>
      <c r="AK131" s="355">
        <f>AJ131/AJ$31</f>
        <v>0</v>
      </c>
      <c r="AL131" s="353"/>
      <c r="AM131" s="355">
        <f>AL131/AL$31</f>
        <v>0</v>
      </c>
      <c r="AN131" s="353"/>
      <c r="AO131" s="352"/>
      <c r="AP131" s="353"/>
      <c r="AQ131" s="355">
        <f>AP131/AP$31</f>
        <v>0</v>
      </c>
      <c r="AR131" s="353"/>
      <c r="AS131" s="352"/>
      <c r="AT131" s="536">
        <v>305192.46</v>
      </c>
      <c r="AU131" s="352"/>
      <c r="AV131" s="353"/>
      <c r="AW131" s="355">
        <f>AV131/AV$31</f>
        <v>0</v>
      </c>
      <c r="AX131" s="352"/>
      <c r="AY131" s="352"/>
      <c r="AZ131" s="353"/>
      <c r="BA131" s="352"/>
      <c r="BB131" s="353"/>
      <c r="BC131" s="355">
        <f>BB131/BB$31</f>
        <v>0</v>
      </c>
      <c r="BD131" s="213"/>
      <c r="BE131" s="213"/>
      <c r="BF131" s="213"/>
      <c r="BG131" s="213"/>
      <c r="BH131" s="213"/>
      <c r="BI131" s="213"/>
      <c r="BJ131" s="213"/>
      <c r="BK131" s="213"/>
      <c r="BL131" s="213"/>
      <c r="BM131" s="213"/>
      <c r="BN131" s="213"/>
      <c r="BO131" s="213"/>
      <c r="BP131" s="213"/>
      <c r="BQ131" s="213"/>
      <c r="BR131" s="213"/>
      <c r="BS131" s="213"/>
      <c r="BT131" s="213"/>
      <c r="BU131" s="213"/>
      <c r="BV131" s="213"/>
      <c r="BW131" s="213"/>
    </row>
    <row r="132" ht="15.75" customHeight="1">
      <c r="A132" s="213"/>
      <c r="B132" s="245"/>
      <c r="C132" s="245"/>
      <c r="D132" s="353"/>
      <c r="E132" s="352"/>
      <c r="F132" s="353"/>
      <c r="G132" s="355"/>
      <c r="H132" s="359"/>
      <c r="I132" s="352"/>
      <c r="J132" s="359"/>
      <c r="K132" s="355"/>
      <c r="L132" s="353"/>
      <c r="M132" s="352"/>
      <c r="N132" s="353"/>
      <c r="O132" s="355"/>
      <c r="P132" s="353"/>
      <c r="Q132" s="352"/>
      <c r="R132" s="966"/>
      <c r="S132" s="355"/>
      <c r="T132" s="353"/>
      <c r="U132" s="352"/>
      <c r="V132" s="353"/>
      <c r="W132" s="355"/>
      <c r="X132" s="359"/>
      <c r="Y132" s="352"/>
      <c r="Z132" s="353"/>
      <c r="AA132" s="355"/>
      <c r="AB132" s="353"/>
      <c r="AC132" s="352"/>
      <c r="AD132" s="353"/>
      <c r="AE132" s="355"/>
      <c r="AF132" s="353"/>
      <c r="AG132" s="352"/>
      <c r="AH132" s="353"/>
      <c r="AI132" s="355"/>
      <c r="AJ132" s="353"/>
      <c r="AK132" s="355"/>
      <c r="AL132" s="353"/>
      <c r="AM132" s="355"/>
      <c r="AN132" s="353"/>
      <c r="AO132" s="352"/>
      <c r="AP132" s="353"/>
      <c r="AQ132" s="355"/>
      <c r="AR132" s="353"/>
      <c r="AS132" s="352"/>
      <c r="AT132" s="353"/>
      <c r="AU132" s="352"/>
      <c r="AV132" s="353"/>
      <c r="AW132" s="355"/>
      <c r="AX132" s="352"/>
      <c r="AY132" s="352"/>
      <c r="AZ132" s="353"/>
      <c r="BA132" s="352"/>
      <c r="BB132" s="353"/>
      <c r="BC132" s="355"/>
      <c r="BD132" s="213"/>
      <c r="BE132" s="213"/>
      <c r="BF132" s="213"/>
      <c r="BG132" s="213"/>
      <c r="BH132" s="213"/>
      <c r="BI132" s="213"/>
      <c r="BJ132" s="213"/>
      <c r="BK132" s="213"/>
      <c r="BL132" s="213"/>
      <c r="BM132" s="213"/>
      <c r="BN132" s="213"/>
      <c r="BO132" s="213"/>
      <c r="BP132" s="213"/>
      <c r="BQ132" s="213"/>
      <c r="BR132" s="213"/>
      <c r="BS132" s="213"/>
      <c r="BT132" s="213"/>
      <c r="BU132" s="213"/>
      <c r="BV132" s="213"/>
      <c r="BW132" s="213"/>
    </row>
    <row r="133" ht="15.75" customHeight="1">
      <c r="A133" s="213"/>
      <c r="B133" s="245"/>
      <c r="C133" s="245" t="s">
        <v>401</v>
      </c>
      <c r="D133" s="353"/>
      <c r="E133" s="352"/>
      <c r="F133" s="353"/>
      <c r="G133" s="355" t="str">
        <f>F133/F$31</f>
        <v>#DIV/0!</v>
      </c>
      <c r="H133" s="359"/>
      <c r="I133" s="352"/>
      <c r="J133" s="359"/>
      <c r="K133" s="355" t="str">
        <f>J133/J$31</f>
        <v>#DIV/0!</v>
      </c>
      <c r="L133" s="353"/>
      <c r="M133" s="352"/>
      <c r="N133" s="353"/>
      <c r="O133" s="355" t="str">
        <f>N133/N$31</f>
        <v>#DIV/0!</v>
      </c>
      <c r="P133" s="353"/>
      <c r="Q133" s="352"/>
      <c r="R133" s="966"/>
      <c r="S133" s="355" t="str">
        <f>R133/R$31</f>
        <v>#DIV/0!</v>
      </c>
      <c r="T133" s="353"/>
      <c r="U133" s="352"/>
      <c r="V133" s="353"/>
      <c r="W133" s="355">
        <f>V133/V$31</f>
        <v>0</v>
      </c>
      <c r="X133" s="359"/>
      <c r="Y133" s="352"/>
      <c r="Z133" s="353"/>
      <c r="AA133" s="355">
        <f>Z133/Z$31</f>
        <v>0</v>
      </c>
      <c r="AB133" s="353"/>
      <c r="AC133" s="352"/>
      <c r="AD133" s="353"/>
      <c r="AE133" s="355">
        <f>AD133/AD$31</f>
        <v>0</v>
      </c>
      <c r="AF133" s="353"/>
      <c r="AG133" s="352"/>
      <c r="AH133" s="353"/>
      <c r="AI133" s="355">
        <f>AH133/AH$31</f>
        <v>0</v>
      </c>
      <c r="AJ133" s="353"/>
      <c r="AK133" s="355">
        <f>AJ133/AJ$31</f>
        <v>0</v>
      </c>
      <c r="AL133" s="353"/>
      <c r="AM133" s="355">
        <f>AL133/AL$31</f>
        <v>0</v>
      </c>
      <c r="AN133" s="353"/>
      <c r="AO133" s="352"/>
      <c r="AP133" s="353"/>
      <c r="AQ133" s="355">
        <f>AP133/AP$31</f>
        <v>0</v>
      </c>
      <c r="AR133" s="353"/>
      <c r="AS133" s="352"/>
      <c r="AT133" s="353"/>
      <c r="AU133" s="352"/>
      <c r="AV133" s="353"/>
      <c r="AW133" s="355">
        <f>AV133/AV$31</f>
        <v>0</v>
      </c>
      <c r="AX133" s="352"/>
      <c r="AY133" s="352"/>
      <c r="AZ133" s="353"/>
      <c r="BA133" s="352"/>
      <c r="BB133" s="353"/>
      <c r="BC133" s="355">
        <f>BB133/BB$31</f>
        <v>0</v>
      </c>
      <c r="BD133" s="213"/>
      <c r="BE133" s="213"/>
      <c r="BF133" s="213"/>
      <c r="BG133" s="213"/>
      <c r="BH133" s="213"/>
      <c r="BI133" s="213"/>
      <c r="BJ133" s="213"/>
      <c r="BK133" s="213"/>
      <c r="BL133" s="213"/>
      <c r="BM133" s="213"/>
      <c r="BN133" s="213"/>
      <c r="BO133" s="213"/>
      <c r="BP133" s="213"/>
      <c r="BQ133" s="213"/>
      <c r="BR133" s="213"/>
      <c r="BS133" s="213"/>
      <c r="BT133" s="213"/>
      <c r="BU133" s="213"/>
      <c r="BV133" s="213"/>
      <c r="BW133" s="213"/>
    </row>
    <row r="134" ht="15.75" customHeight="1">
      <c r="A134" s="213"/>
      <c r="B134" s="245"/>
      <c r="C134" s="245"/>
      <c r="D134" s="353"/>
      <c r="E134" s="352"/>
      <c r="F134" s="353"/>
      <c r="G134" s="355"/>
      <c r="H134" s="359"/>
      <c r="I134" s="352"/>
      <c r="J134" s="359"/>
      <c r="K134" s="355"/>
      <c r="L134" s="353"/>
      <c r="M134" s="352"/>
      <c r="N134" s="353"/>
      <c r="O134" s="355"/>
      <c r="P134" s="353"/>
      <c r="Q134" s="352"/>
      <c r="R134" s="966"/>
      <c r="S134" s="355"/>
      <c r="T134" s="353"/>
      <c r="U134" s="352"/>
      <c r="V134" s="353"/>
      <c r="W134" s="355"/>
      <c r="X134" s="359"/>
      <c r="Y134" s="352"/>
      <c r="Z134" s="353"/>
      <c r="AA134" s="355"/>
      <c r="AB134" s="353"/>
      <c r="AC134" s="352"/>
      <c r="AD134" s="353"/>
      <c r="AE134" s="355"/>
      <c r="AF134" s="353"/>
      <c r="AG134" s="352"/>
      <c r="AH134" s="353"/>
      <c r="AI134" s="355"/>
      <c r="AJ134" s="353"/>
      <c r="AK134" s="355"/>
      <c r="AL134" s="353"/>
      <c r="AM134" s="355"/>
      <c r="AN134" s="353"/>
      <c r="AO134" s="352"/>
      <c r="AP134" s="353"/>
      <c r="AQ134" s="355"/>
      <c r="AR134" s="353"/>
      <c r="AS134" s="352"/>
      <c r="AT134" s="353"/>
      <c r="AU134" s="352"/>
      <c r="AV134" s="353"/>
      <c r="AW134" s="355"/>
      <c r="AX134" s="352"/>
      <c r="AY134" s="352"/>
      <c r="AZ134" s="353"/>
      <c r="BA134" s="352"/>
      <c r="BB134" s="353"/>
      <c r="BC134" s="355"/>
      <c r="BD134" s="213"/>
      <c r="BE134" s="213"/>
      <c r="BF134" s="213"/>
      <c r="BG134" s="213"/>
      <c r="BH134" s="213"/>
      <c r="BI134" s="213"/>
      <c r="BJ134" s="213"/>
      <c r="BK134" s="213"/>
      <c r="BL134" s="213"/>
      <c r="BM134" s="213"/>
      <c r="BN134" s="213"/>
      <c r="BO134" s="213"/>
      <c r="BP134" s="213"/>
      <c r="BQ134" s="213"/>
      <c r="BR134" s="213"/>
      <c r="BS134" s="213"/>
      <c r="BT134" s="213"/>
      <c r="BU134" s="213"/>
      <c r="BV134" s="213"/>
      <c r="BW134" s="213"/>
    </row>
    <row r="135" ht="15.75" customHeight="1">
      <c r="A135" s="213"/>
      <c r="B135" s="245"/>
      <c r="C135" s="245" t="s">
        <v>452</v>
      </c>
      <c r="D135" s="353"/>
      <c r="E135" s="352"/>
      <c r="F135" s="353"/>
      <c r="G135" s="355"/>
      <c r="H135" s="359"/>
      <c r="I135" s="352"/>
      <c r="J135" s="359"/>
      <c r="K135" s="355"/>
      <c r="L135" s="353"/>
      <c r="M135" s="352"/>
      <c r="N135" s="353"/>
      <c r="O135" s="355"/>
      <c r="P135" s="353"/>
      <c r="Q135" s="352"/>
      <c r="R135" s="966"/>
      <c r="S135" s="355"/>
      <c r="T135" s="353"/>
      <c r="U135" s="352"/>
      <c r="V135" s="353"/>
      <c r="W135" s="355"/>
      <c r="X135" s="359">
        <v>145000.0</v>
      </c>
      <c r="Y135" s="352"/>
      <c r="Z135" s="353"/>
      <c r="AA135" s="355"/>
      <c r="AB135" s="353"/>
      <c r="AC135" s="352"/>
      <c r="AD135" s="353"/>
      <c r="AE135" s="355"/>
      <c r="AF135" s="353"/>
      <c r="AG135" s="352"/>
      <c r="AH135" s="353"/>
      <c r="AI135" s="355"/>
      <c r="AJ135" s="353"/>
      <c r="AK135" s="355">
        <f>AJ135/AJ$31</f>
        <v>0</v>
      </c>
      <c r="AL135" s="353"/>
      <c r="AM135" s="355"/>
      <c r="AN135" s="353"/>
      <c r="AO135" s="352"/>
      <c r="AP135" s="353"/>
      <c r="AQ135" s="355"/>
      <c r="AR135" s="353"/>
      <c r="AS135" s="352"/>
      <c r="AT135" s="353"/>
      <c r="AU135" s="352"/>
      <c r="AV135" s="353"/>
      <c r="AW135" s="355"/>
      <c r="AX135" s="352"/>
      <c r="AY135" s="352"/>
      <c r="AZ135" s="353"/>
      <c r="BA135" s="352"/>
      <c r="BB135" s="353"/>
      <c r="BC135" s="355"/>
      <c r="BD135" s="213"/>
      <c r="BE135" s="213"/>
      <c r="BF135" s="213"/>
      <c r="BG135" s="213"/>
      <c r="BH135" s="213"/>
      <c r="BI135" s="213"/>
      <c r="BJ135" s="213"/>
      <c r="BK135" s="213"/>
      <c r="BL135" s="213"/>
      <c r="BM135" s="213"/>
      <c r="BN135" s="213"/>
      <c r="BO135" s="213"/>
      <c r="BP135" s="213"/>
      <c r="BQ135" s="213"/>
      <c r="BR135" s="213"/>
      <c r="BS135" s="213"/>
      <c r="BT135" s="213"/>
      <c r="BU135" s="213"/>
      <c r="BV135" s="213"/>
      <c r="BW135" s="213"/>
    </row>
    <row r="136" ht="15.75" customHeight="1">
      <c r="A136" s="213"/>
      <c r="B136" s="245"/>
      <c r="C136" s="245" t="s">
        <v>386</v>
      </c>
      <c r="D136" s="353"/>
      <c r="E136" s="352"/>
      <c r="F136" s="353"/>
      <c r="G136" s="355"/>
      <c r="H136" s="359"/>
      <c r="I136" s="352"/>
      <c r="J136" s="359"/>
      <c r="K136" s="355"/>
      <c r="L136" s="353"/>
      <c r="M136" s="352"/>
      <c r="N136" s="353"/>
      <c r="O136" s="355"/>
      <c r="P136" s="353"/>
      <c r="Q136" s="352"/>
      <c r="R136" s="966"/>
      <c r="S136" s="355"/>
      <c r="T136" s="353"/>
      <c r="U136" s="352"/>
      <c r="V136" s="353"/>
      <c r="W136" s="355"/>
      <c r="X136" s="359"/>
      <c r="Y136" s="352"/>
      <c r="Z136" s="353"/>
      <c r="AA136" s="355"/>
      <c r="AB136" s="353"/>
      <c r="AC136" s="352"/>
      <c r="AD136" s="353"/>
      <c r="AE136" s="355"/>
      <c r="AF136" s="353"/>
      <c r="AG136" s="352"/>
      <c r="AH136" s="353"/>
      <c r="AI136" s="355"/>
      <c r="AJ136" s="353"/>
      <c r="AK136" s="355"/>
      <c r="AL136" s="353"/>
      <c r="AM136" s="355"/>
      <c r="AN136" s="353"/>
      <c r="AO136" s="352"/>
      <c r="AP136" s="353"/>
      <c r="AQ136" s="355"/>
      <c r="AR136" s="353"/>
      <c r="AS136" s="352"/>
      <c r="AT136" s="353"/>
      <c r="AU136" s="352"/>
      <c r="AV136" s="353"/>
      <c r="AW136" s="355"/>
      <c r="AX136" s="352"/>
      <c r="AY136" s="352"/>
      <c r="AZ136" s="353"/>
      <c r="BA136" s="352"/>
      <c r="BB136" s="353"/>
      <c r="BC136" s="355"/>
      <c r="BD136" s="213"/>
      <c r="BE136" s="213"/>
      <c r="BF136" s="213"/>
      <c r="BG136" s="213"/>
      <c r="BH136" s="213"/>
      <c r="BI136" s="213"/>
      <c r="BJ136" s="213"/>
      <c r="BK136" s="213"/>
      <c r="BL136" s="213"/>
      <c r="BM136" s="213"/>
      <c r="BN136" s="213"/>
      <c r="BO136" s="213"/>
      <c r="BP136" s="213"/>
      <c r="BQ136" s="213"/>
      <c r="BR136" s="213"/>
      <c r="BS136" s="213"/>
      <c r="BT136" s="213"/>
      <c r="BU136" s="213"/>
      <c r="BV136" s="213"/>
      <c r="BW136" s="213"/>
    </row>
    <row r="137" ht="15.75" customHeight="1">
      <c r="A137" s="213"/>
      <c r="B137" s="245"/>
      <c r="C137" s="245"/>
      <c r="D137" s="353"/>
      <c r="E137" s="352"/>
      <c r="F137" s="353"/>
      <c r="G137" s="355"/>
      <c r="H137" s="359"/>
      <c r="I137" s="352"/>
      <c r="J137" s="359"/>
      <c r="K137" s="355"/>
      <c r="L137" s="353"/>
      <c r="M137" s="352"/>
      <c r="N137" s="353"/>
      <c r="O137" s="355"/>
      <c r="P137" s="353"/>
      <c r="Q137" s="352"/>
      <c r="R137" s="966"/>
      <c r="S137" s="355"/>
      <c r="T137" s="353"/>
      <c r="U137" s="352"/>
      <c r="V137" s="353"/>
      <c r="W137" s="355"/>
      <c r="X137" s="359"/>
      <c r="Y137" s="352"/>
      <c r="Z137" s="353"/>
      <c r="AA137" s="355"/>
      <c r="AB137" s="353"/>
      <c r="AC137" s="352"/>
      <c r="AD137" s="353"/>
      <c r="AE137" s="355"/>
      <c r="AF137" s="353"/>
      <c r="AG137" s="352"/>
      <c r="AH137" s="353"/>
      <c r="AI137" s="355"/>
      <c r="AJ137" s="353"/>
      <c r="AK137" s="355"/>
      <c r="AL137" s="353"/>
      <c r="AM137" s="355"/>
      <c r="AN137" s="353"/>
      <c r="AO137" s="352"/>
      <c r="AP137" s="353"/>
      <c r="AQ137" s="355"/>
      <c r="AR137" s="353"/>
      <c r="AS137" s="352"/>
      <c r="AT137" s="353"/>
      <c r="AU137" s="352"/>
      <c r="AV137" s="353"/>
      <c r="AW137" s="355"/>
      <c r="AX137" s="352"/>
      <c r="AY137" s="352"/>
      <c r="AZ137" s="353"/>
      <c r="BA137" s="352"/>
      <c r="BB137" s="353"/>
      <c r="BC137" s="355"/>
      <c r="BD137" s="213"/>
      <c r="BE137" s="213"/>
      <c r="BF137" s="213"/>
      <c r="BG137" s="213"/>
      <c r="BH137" s="213"/>
      <c r="BI137" s="213"/>
      <c r="BJ137" s="213"/>
      <c r="BK137" s="213"/>
      <c r="BL137" s="213"/>
      <c r="BM137" s="213"/>
      <c r="BN137" s="213"/>
      <c r="BO137" s="213"/>
      <c r="BP137" s="213"/>
      <c r="BQ137" s="213"/>
      <c r="BR137" s="213"/>
      <c r="BS137" s="213"/>
      <c r="BT137" s="213"/>
      <c r="BU137" s="213"/>
      <c r="BV137" s="213"/>
      <c r="BW137" s="213"/>
    </row>
    <row r="138" ht="15.75" customHeight="1">
      <c r="A138" s="213"/>
      <c r="B138" s="245"/>
      <c r="C138" s="245" t="s">
        <v>453</v>
      </c>
      <c r="D138" s="353">
        <v>289100.0</v>
      </c>
      <c r="E138" s="352"/>
      <c r="F138" s="353"/>
      <c r="G138" s="355" t="str">
        <f>F138/F$31</f>
        <v>#DIV/0!</v>
      </c>
      <c r="H138" s="359"/>
      <c r="I138" s="352"/>
      <c r="J138" s="359"/>
      <c r="K138" s="355" t="str">
        <f>J138/J$31</f>
        <v>#DIV/0!</v>
      </c>
      <c r="L138" s="353">
        <v>808300.0</v>
      </c>
      <c r="M138" s="352"/>
      <c r="N138" s="353"/>
      <c r="O138" s="355" t="str">
        <f>N138/N$31</f>
        <v>#DIV/0!</v>
      </c>
      <c r="P138" s="353"/>
      <c r="Q138" s="352"/>
      <c r="R138" s="966"/>
      <c r="S138" s="355" t="str">
        <f>R138/R$31</f>
        <v>#DIV/0!</v>
      </c>
      <c r="T138" s="353"/>
      <c r="U138" s="352"/>
      <c r="V138" s="353"/>
      <c r="W138" s="355">
        <f>V138/V$31</f>
        <v>0</v>
      </c>
      <c r="X138" s="353">
        <f>250750+87500</f>
        <v>338250</v>
      </c>
      <c r="Y138" s="352"/>
      <c r="Z138" s="353"/>
      <c r="AA138" s="355">
        <f>Z138/Z$31</f>
        <v>0</v>
      </c>
      <c r="AB138" s="353">
        <v>87500.0</v>
      </c>
      <c r="AC138" s="352"/>
      <c r="AD138" s="353"/>
      <c r="AE138" s="355">
        <f>AD138/AD$31</f>
        <v>0</v>
      </c>
      <c r="AF138" s="353"/>
      <c r="AG138" s="352"/>
      <c r="AH138" s="353"/>
      <c r="AI138" s="355">
        <f>AH138/AH$31</f>
        <v>0</v>
      </c>
      <c r="AJ138" s="353">
        <f>309750+41300</f>
        <v>351050</v>
      </c>
      <c r="AK138" s="355">
        <f>AJ138/AJ$31</f>
        <v>0.04091044115</v>
      </c>
      <c r="AL138" s="353"/>
      <c r="AM138" s="355">
        <f>AL138/AL$31</f>
        <v>0</v>
      </c>
      <c r="AN138" s="353"/>
      <c r="AO138" s="352"/>
      <c r="AP138" s="353"/>
      <c r="AQ138" s="355">
        <f>AP138/AP$31</f>
        <v>0</v>
      </c>
      <c r="AR138" s="353"/>
      <c r="AS138" s="352"/>
      <c r="AT138" s="353"/>
      <c r="AU138" s="352"/>
      <c r="AV138" s="353"/>
      <c r="AW138" s="355">
        <f>AV138/AV$31</f>
        <v>0</v>
      </c>
      <c r="AX138" s="352"/>
      <c r="AY138" s="352"/>
      <c r="AZ138" s="353"/>
      <c r="BA138" s="352"/>
      <c r="BB138" s="353"/>
      <c r="BC138" s="355">
        <f>BB138/BB$31</f>
        <v>0</v>
      </c>
      <c r="BD138" s="213"/>
      <c r="BE138" s="213"/>
      <c r="BF138" s="213"/>
      <c r="BG138" s="213"/>
      <c r="BH138" s="213"/>
      <c r="BI138" s="213"/>
      <c r="BJ138" s="213"/>
      <c r="BK138" s="213"/>
      <c r="BL138" s="213"/>
      <c r="BM138" s="213"/>
      <c r="BN138" s="213"/>
      <c r="BO138" s="213"/>
      <c r="BP138" s="213"/>
      <c r="BQ138" s="213"/>
      <c r="BR138" s="213"/>
      <c r="BS138" s="213"/>
      <c r="BT138" s="213"/>
      <c r="BU138" s="213"/>
      <c r="BV138" s="213"/>
      <c r="BW138" s="213"/>
    </row>
    <row r="139" ht="15.75" customHeight="1">
      <c r="A139" s="213"/>
      <c r="B139" s="245"/>
      <c r="C139" s="245"/>
      <c r="D139" s="353"/>
      <c r="E139" s="352"/>
      <c r="F139" s="353"/>
      <c r="G139" s="352"/>
      <c r="H139" s="359"/>
      <c r="I139" s="352"/>
      <c r="J139" s="359"/>
      <c r="K139" s="352"/>
      <c r="L139" s="353"/>
      <c r="M139" s="352"/>
      <c r="N139" s="353"/>
      <c r="O139" s="352"/>
      <c r="P139" s="353"/>
      <c r="Q139" s="352"/>
      <c r="R139" s="966"/>
      <c r="S139" s="352"/>
      <c r="T139" s="353"/>
      <c r="U139" s="352"/>
      <c r="V139" s="353"/>
      <c r="W139" s="352"/>
      <c r="X139" s="359"/>
      <c r="Y139" s="352"/>
      <c r="Z139" s="353"/>
      <c r="AA139" s="352"/>
      <c r="AB139" s="353"/>
      <c r="AC139" s="352"/>
      <c r="AD139" s="353"/>
      <c r="AE139" s="352"/>
      <c r="AF139" s="353"/>
      <c r="AG139" s="352"/>
      <c r="AH139" s="353"/>
      <c r="AI139" s="352"/>
      <c r="AJ139" s="353"/>
      <c r="AK139" s="352"/>
      <c r="AL139" s="353"/>
      <c r="AM139" s="352"/>
      <c r="AN139" s="353"/>
      <c r="AO139" s="352"/>
      <c r="AP139" s="353"/>
      <c r="AQ139" s="352"/>
      <c r="AR139" s="353"/>
      <c r="AS139" s="352"/>
      <c r="AT139" s="353"/>
      <c r="AU139" s="352"/>
      <c r="AV139" s="353"/>
      <c r="AW139" s="352"/>
      <c r="AX139" s="352"/>
      <c r="AY139" s="352"/>
      <c r="AZ139" s="353"/>
      <c r="BA139" s="352"/>
      <c r="BB139" s="353"/>
      <c r="BC139" s="352"/>
      <c r="BD139" s="213"/>
      <c r="BE139" s="213"/>
      <c r="BF139" s="213"/>
      <c r="BG139" s="213"/>
      <c r="BH139" s="213"/>
      <c r="BI139" s="213"/>
      <c r="BJ139" s="213"/>
      <c r="BK139" s="213"/>
      <c r="BL139" s="213"/>
      <c r="BM139" s="213"/>
      <c r="BN139" s="213"/>
      <c r="BO139" s="213"/>
      <c r="BP139" s="213"/>
      <c r="BQ139" s="213"/>
      <c r="BR139" s="213"/>
      <c r="BS139" s="213"/>
      <c r="BT139" s="213"/>
      <c r="BU139" s="213"/>
      <c r="BV139" s="213"/>
      <c r="BW139" s="213"/>
    </row>
    <row r="140" ht="15.75" customHeight="1">
      <c r="A140" s="213"/>
      <c r="B140" s="245"/>
      <c r="C140" s="213"/>
      <c r="D140" s="353"/>
      <c r="E140" s="352"/>
      <c r="F140" s="353"/>
      <c r="G140" s="352"/>
      <c r="H140" s="359"/>
      <c r="I140" s="352"/>
      <c r="J140" s="359"/>
      <c r="K140" s="352"/>
      <c r="L140" s="353"/>
      <c r="M140" s="352"/>
      <c r="N140" s="353"/>
      <c r="O140" s="352"/>
      <c r="P140" s="353"/>
      <c r="Q140" s="352"/>
      <c r="R140" s="966"/>
      <c r="S140" s="352"/>
      <c r="T140" s="353"/>
      <c r="U140" s="352"/>
      <c r="V140" s="353"/>
      <c r="W140" s="352"/>
      <c r="X140" s="359"/>
      <c r="Y140" s="352"/>
      <c r="Z140" s="353"/>
      <c r="AA140" s="352"/>
      <c r="AB140" s="353"/>
      <c r="AC140" s="352"/>
      <c r="AD140" s="353"/>
      <c r="AE140" s="352"/>
      <c r="AF140" s="353"/>
      <c r="AG140" s="352"/>
      <c r="AH140" s="353"/>
      <c r="AI140" s="352"/>
      <c r="AJ140" s="353"/>
      <c r="AK140" s="352"/>
      <c r="AL140" s="353"/>
      <c r="AM140" s="352"/>
      <c r="AN140" s="353"/>
      <c r="AO140" s="352"/>
      <c r="AP140" s="353"/>
      <c r="AQ140" s="352"/>
      <c r="AR140" s="353"/>
      <c r="AS140" s="352"/>
      <c r="AT140" s="353"/>
      <c r="AU140" s="352"/>
      <c r="AV140" s="353"/>
      <c r="AW140" s="352"/>
      <c r="AX140" s="352"/>
      <c r="AY140" s="352"/>
      <c r="AZ140" s="353"/>
      <c r="BA140" s="352"/>
      <c r="BB140" s="353"/>
      <c r="BC140" s="352"/>
      <c r="BD140" s="213"/>
      <c r="BE140" s="213"/>
      <c r="BF140" s="213"/>
      <c r="BG140" s="213"/>
      <c r="BH140" s="213"/>
      <c r="BI140" s="213"/>
      <c r="BJ140" s="213"/>
      <c r="BK140" s="213"/>
      <c r="BL140" s="213"/>
      <c r="BM140" s="213"/>
      <c r="BN140" s="213"/>
      <c r="BO140" s="213"/>
      <c r="BP140" s="213"/>
      <c r="BQ140" s="213"/>
      <c r="BR140" s="213"/>
      <c r="BS140" s="213"/>
      <c r="BT140" s="213"/>
      <c r="BU140" s="213"/>
      <c r="BV140" s="213"/>
      <c r="BW140" s="213"/>
    </row>
    <row r="141" ht="15.75" customHeight="1">
      <c r="A141" s="213"/>
      <c r="B141" s="245"/>
      <c r="C141" s="972" t="s">
        <v>42</v>
      </c>
      <c r="D141" s="353">
        <f>SUM(D142:D143)</f>
        <v>0</v>
      </c>
      <c r="E141" s="352"/>
      <c r="F141" s="353">
        <f>SUM(F142:F143)</f>
        <v>0</v>
      </c>
      <c r="G141" s="352"/>
      <c r="H141" s="359">
        <f>SUM(H142:H143)</f>
        <v>0</v>
      </c>
      <c r="I141" s="352"/>
      <c r="J141" s="359">
        <f>SUM(J142:J143)</f>
        <v>0</v>
      </c>
      <c r="K141" s="352"/>
      <c r="L141" s="353">
        <f>SUM(L142:L143)</f>
        <v>0</v>
      </c>
      <c r="M141" s="352"/>
      <c r="N141" s="353">
        <f>SUM(N142:N143)</f>
        <v>0</v>
      </c>
      <c r="O141" s="352"/>
      <c r="P141" s="353">
        <f>SUM(P142:P143)</f>
        <v>60120</v>
      </c>
      <c r="Q141" s="352"/>
      <c r="R141" s="966">
        <f>SUM(R142:R143)</f>
        <v>0</v>
      </c>
      <c r="S141" s="352"/>
      <c r="T141" s="353">
        <f>SUM(T142:T143)</f>
        <v>32000</v>
      </c>
      <c r="U141" s="352"/>
      <c r="V141" s="353">
        <f>SUM(V142:V143)</f>
        <v>0</v>
      </c>
      <c r="W141" s="352"/>
      <c r="X141" s="359">
        <f>SUM(X142:X143)</f>
        <v>0</v>
      </c>
      <c r="Y141" s="352"/>
      <c r="Z141" s="353">
        <f>SUM(Z142:Z143)</f>
        <v>0</v>
      </c>
      <c r="AA141" s="352"/>
      <c r="AB141" s="353">
        <f>SUM(AB142:AB143)</f>
        <v>0</v>
      </c>
      <c r="AC141" s="352"/>
      <c r="AD141" s="353">
        <f>SUM(AD142:AD143)</f>
        <v>0</v>
      </c>
      <c r="AE141" s="352"/>
      <c r="AF141" s="353">
        <f>SUM(AF142:AF143)</f>
        <v>0</v>
      </c>
      <c r="AG141" s="352"/>
      <c r="AH141" s="353">
        <f>SUM(AH142:AH143)</f>
        <v>0</v>
      </c>
      <c r="AI141" s="352"/>
      <c r="AJ141" s="353">
        <f>SUM(AJ142:AJ143)</f>
        <v>25500</v>
      </c>
      <c r="AK141" s="352"/>
      <c r="AL141" s="353">
        <f>SUM(AL142:AL143)</f>
        <v>0</v>
      </c>
      <c r="AM141" s="352"/>
      <c r="AN141" s="353">
        <f>SUM(AN142:AN143)</f>
        <v>0</v>
      </c>
      <c r="AO141" s="352"/>
      <c r="AP141" s="353">
        <f>SUM(AP142:AP143)</f>
        <v>0</v>
      </c>
      <c r="AQ141" s="352"/>
      <c r="AR141" s="353">
        <f>SUM(AR142:AR143)</f>
        <v>0</v>
      </c>
      <c r="AS141" s="352"/>
      <c r="AT141" s="353">
        <f>SUM(AT142:AT143)</f>
        <v>0</v>
      </c>
      <c r="AU141" s="352"/>
      <c r="AV141" s="353">
        <f>SUM(AV142:AV143)</f>
        <v>0</v>
      </c>
      <c r="AW141" s="352"/>
      <c r="AX141" s="352">
        <f>SUM(AX142:AX143)</f>
        <v>0</v>
      </c>
      <c r="AY141" s="352"/>
      <c r="AZ141" s="353">
        <f>SUM(AZ142:AZ143)</f>
        <v>0</v>
      </c>
      <c r="BA141" s="352"/>
      <c r="BB141" s="353">
        <f>SUM(BB142:BB143)</f>
        <v>0</v>
      </c>
      <c r="BC141" s="352"/>
      <c r="BD141" s="215">
        <f>D141+H141+L141+P141+T141+X141+AB141+AF141+AJ141+AN141+AT141+AZ141</f>
        <v>117620</v>
      </c>
      <c r="BE141" s="216"/>
      <c r="BF141" s="216"/>
      <c r="BG141" s="216"/>
      <c r="BH141" s="216"/>
      <c r="BI141" s="216"/>
      <c r="BJ141" s="216"/>
      <c r="BK141" s="216"/>
      <c r="BL141" s="216"/>
      <c r="BM141" s="216"/>
      <c r="BN141" s="216"/>
      <c r="BO141" s="216"/>
      <c r="BP141" s="216"/>
      <c r="BQ141" s="216"/>
      <c r="BR141" s="216"/>
      <c r="BS141" s="216"/>
      <c r="BT141" s="216"/>
      <c r="BU141" s="216"/>
      <c r="BV141" s="216"/>
      <c r="BW141" s="216"/>
    </row>
    <row r="142" ht="15.75" customHeight="1">
      <c r="A142" s="213"/>
      <c r="B142" s="245"/>
      <c r="C142" s="245" t="s">
        <v>454</v>
      </c>
      <c r="D142" s="353"/>
      <c r="E142" s="352"/>
      <c r="F142" s="353"/>
      <c r="G142" s="355" t="str">
        <f t="shared" ref="G142:G143" si="125">F142/F$31</f>
        <v>#DIV/0!</v>
      </c>
      <c r="H142" s="359"/>
      <c r="I142" s="352"/>
      <c r="J142" s="359"/>
      <c r="K142" s="352"/>
      <c r="L142" s="353"/>
      <c r="M142" s="352"/>
      <c r="N142" s="353"/>
      <c r="O142" s="352"/>
      <c r="P142" s="353">
        <f>40120+20000</f>
        <v>60120</v>
      </c>
      <c r="Q142" s="352"/>
      <c r="R142" s="966"/>
      <c r="S142" s="355" t="str">
        <f t="shared" ref="S142:S143" si="126">R142/R$31</f>
        <v>#DIV/0!</v>
      </c>
      <c r="T142" s="353">
        <v>32000.0</v>
      </c>
      <c r="U142" s="352"/>
      <c r="V142" s="353"/>
      <c r="W142" s="355">
        <f t="shared" ref="W142:W143" si="127">V142/V$31</f>
        <v>0</v>
      </c>
      <c r="X142" s="359"/>
      <c r="Y142" s="352"/>
      <c r="Z142" s="353"/>
      <c r="AA142" s="355">
        <f t="shared" ref="AA142:AA143" si="128">Z142/Z$31</f>
        <v>0</v>
      </c>
      <c r="AB142" s="353"/>
      <c r="AC142" s="352"/>
      <c r="AD142" s="353"/>
      <c r="AE142" s="355">
        <f t="shared" ref="AE142:AE143" si="129">AD142/AD$31</f>
        <v>0</v>
      </c>
      <c r="AF142" s="353"/>
      <c r="AG142" s="352"/>
      <c r="AH142" s="353"/>
      <c r="AI142" s="355">
        <f t="shared" ref="AI142:AI143" si="130">AH142/AH$31</f>
        <v>0</v>
      </c>
      <c r="AJ142" s="353">
        <f>5000+20500</f>
        <v>25500</v>
      </c>
      <c r="AK142" s="355">
        <f>AJ142/AJ$31</f>
        <v>0.002971702747</v>
      </c>
      <c r="AL142" s="353"/>
      <c r="AM142" s="355">
        <f t="shared" ref="AM142:AM143" si="131">AL142/AL$31</f>
        <v>0</v>
      </c>
      <c r="AN142" s="353"/>
      <c r="AO142" s="352"/>
      <c r="AP142" s="353"/>
      <c r="AQ142" s="355">
        <f t="shared" ref="AQ142:AQ143" si="132">AP142/AP$31</f>
        <v>0</v>
      </c>
      <c r="AR142" s="353"/>
      <c r="AS142" s="352"/>
      <c r="AT142" s="353"/>
      <c r="AU142" s="352"/>
      <c r="AV142" s="353"/>
      <c r="AW142" s="355">
        <f t="shared" ref="AW142:AW143" si="133">AV142/AV$31</f>
        <v>0</v>
      </c>
      <c r="AX142" s="352"/>
      <c r="AY142" s="352"/>
      <c r="AZ142" s="353"/>
      <c r="BA142" s="352"/>
      <c r="BB142" s="353"/>
      <c r="BC142" s="355">
        <f t="shared" ref="BC142:BC143" si="134">BB142/BB$31</f>
        <v>0</v>
      </c>
      <c r="BD142" s="213"/>
      <c r="BE142" s="213"/>
      <c r="BF142" s="213"/>
      <c r="BG142" s="213"/>
      <c r="BH142" s="213"/>
      <c r="BI142" s="213"/>
      <c r="BJ142" s="213"/>
      <c r="BK142" s="213"/>
      <c r="BL142" s="213"/>
      <c r="BM142" s="213"/>
      <c r="BN142" s="213"/>
      <c r="BO142" s="213"/>
      <c r="BP142" s="213"/>
      <c r="BQ142" s="213"/>
      <c r="BR142" s="213"/>
      <c r="BS142" s="213"/>
      <c r="BT142" s="213"/>
      <c r="BU142" s="213"/>
      <c r="BV142" s="213"/>
      <c r="BW142" s="213"/>
    </row>
    <row r="143" ht="15.75" customHeight="1">
      <c r="A143" s="213"/>
      <c r="B143" s="245"/>
      <c r="C143" s="245" t="s">
        <v>291</v>
      </c>
      <c r="D143" s="353">
        <v>0.0</v>
      </c>
      <c r="E143" s="352"/>
      <c r="F143" s="353"/>
      <c r="G143" s="355" t="str">
        <f t="shared" si="125"/>
        <v>#DIV/0!</v>
      </c>
      <c r="H143" s="359"/>
      <c r="I143" s="352"/>
      <c r="J143" s="359"/>
      <c r="K143" s="352"/>
      <c r="L143" s="353"/>
      <c r="M143" s="352"/>
      <c r="N143" s="353"/>
      <c r="O143" s="352"/>
      <c r="P143" s="353"/>
      <c r="Q143" s="352"/>
      <c r="R143" s="966"/>
      <c r="S143" s="355" t="str">
        <f t="shared" si="126"/>
        <v>#DIV/0!</v>
      </c>
      <c r="T143" s="353"/>
      <c r="U143" s="352"/>
      <c r="V143" s="353"/>
      <c r="W143" s="355">
        <f t="shared" si="127"/>
        <v>0</v>
      </c>
      <c r="X143" s="359"/>
      <c r="Y143" s="352"/>
      <c r="Z143" s="353"/>
      <c r="AA143" s="355">
        <f t="shared" si="128"/>
        <v>0</v>
      </c>
      <c r="AB143" s="353"/>
      <c r="AC143" s="352"/>
      <c r="AD143" s="353"/>
      <c r="AE143" s="355">
        <f t="shared" si="129"/>
        <v>0</v>
      </c>
      <c r="AF143" s="353"/>
      <c r="AG143" s="352"/>
      <c r="AH143" s="353"/>
      <c r="AI143" s="355">
        <f t="shared" si="130"/>
        <v>0</v>
      </c>
      <c r="AJ143" s="353"/>
      <c r="AK143" s="352"/>
      <c r="AL143" s="353"/>
      <c r="AM143" s="355">
        <f t="shared" si="131"/>
        <v>0</v>
      </c>
      <c r="AN143" s="353"/>
      <c r="AO143" s="352"/>
      <c r="AP143" s="353"/>
      <c r="AQ143" s="355">
        <f t="shared" si="132"/>
        <v>0</v>
      </c>
      <c r="AR143" s="353"/>
      <c r="AS143" s="352"/>
      <c r="AT143" s="353"/>
      <c r="AU143" s="352"/>
      <c r="AV143" s="353"/>
      <c r="AW143" s="355">
        <f t="shared" si="133"/>
        <v>0</v>
      </c>
      <c r="AX143" s="352"/>
      <c r="AY143" s="352"/>
      <c r="AZ143" s="353"/>
      <c r="BA143" s="352"/>
      <c r="BB143" s="353"/>
      <c r="BC143" s="355">
        <f t="shared" si="134"/>
        <v>0</v>
      </c>
      <c r="BD143" s="213"/>
      <c r="BE143" s="213"/>
      <c r="BF143" s="213"/>
      <c r="BG143" s="213"/>
      <c r="BH143" s="213"/>
      <c r="BI143" s="213"/>
      <c r="BJ143" s="213"/>
      <c r="BK143" s="213"/>
      <c r="BL143" s="213"/>
      <c r="BM143" s="213"/>
      <c r="BN143" s="213"/>
      <c r="BO143" s="213"/>
      <c r="BP143" s="213"/>
      <c r="BQ143" s="213"/>
      <c r="BR143" s="213"/>
      <c r="BS143" s="213"/>
      <c r="BT143" s="213"/>
      <c r="BU143" s="213"/>
      <c r="BV143" s="213"/>
      <c r="BW143" s="213"/>
    </row>
    <row r="144" ht="15.75" customHeight="1">
      <c r="A144" s="213"/>
      <c r="B144" s="245"/>
      <c r="C144" s="245"/>
      <c r="D144" s="353"/>
      <c r="E144" s="352"/>
      <c r="F144" s="353"/>
      <c r="G144" s="352"/>
      <c r="H144" s="359"/>
      <c r="I144" s="352"/>
      <c r="J144" s="359"/>
      <c r="K144" s="352"/>
      <c r="L144" s="353"/>
      <c r="M144" s="352"/>
      <c r="N144" s="353"/>
      <c r="O144" s="352"/>
      <c r="P144" s="353"/>
      <c r="Q144" s="352"/>
      <c r="R144" s="966"/>
      <c r="S144" s="352"/>
      <c r="T144" s="353"/>
      <c r="U144" s="352"/>
      <c r="V144" s="353"/>
      <c r="W144" s="352"/>
      <c r="X144" s="359"/>
      <c r="Y144" s="352"/>
      <c r="Z144" s="353"/>
      <c r="AA144" s="352"/>
      <c r="AB144" s="353"/>
      <c r="AC144" s="352"/>
      <c r="AD144" s="353"/>
      <c r="AE144" s="352"/>
      <c r="AF144" s="353"/>
      <c r="AG144" s="352"/>
      <c r="AH144" s="353"/>
      <c r="AI144" s="352"/>
      <c r="AJ144" s="353"/>
      <c r="AK144" s="352"/>
      <c r="AL144" s="353"/>
      <c r="AM144" s="352"/>
      <c r="AN144" s="353"/>
      <c r="AO144" s="352"/>
      <c r="AP144" s="353"/>
      <c r="AQ144" s="352"/>
      <c r="AR144" s="353"/>
      <c r="AS144" s="352"/>
      <c r="AT144" s="353"/>
      <c r="AU144" s="352"/>
      <c r="AV144" s="353"/>
      <c r="AW144" s="352"/>
      <c r="AX144" s="352"/>
      <c r="AY144" s="352"/>
      <c r="AZ144" s="353"/>
      <c r="BA144" s="352"/>
      <c r="BB144" s="353"/>
      <c r="BC144" s="352"/>
      <c r="BD144" s="213"/>
      <c r="BE144" s="213"/>
      <c r="BF144" s="213"/>
      <c r="BG144" s="213"/>
      <c r="BH144" s="213"/>
      <c r="BI144" s="213"/>
      <c r="BJ144" s="213"/>
      <c r="BK144" s="213"/>
      <c r="BL144" s="213"/>
      <c r="BM144" s="213"/>
      <c r="BN144" s="213"/>
      <c r="BO144" s="213"/>
      <c r="BP144" s="213"/>
      <c r="BQ144" s="213"/>
      <c r="BR144" s="213"/>
      <c r="BS144" s="213"/>
      <c r="BT144" s="213"/>
      <c r="BU144" s="213"/>
      <c r="BV144" s="213"/>
      <c r="BW144" s="213"/>
    </row>
    <row r="145" ht="15.75" customHeight="1">
      <c r="A145" s="213"/>
      <c r="B145" s="245"/>
      <c r="C145" s="972" t="s">
        <v>43</v>
      </c>
      <c r="D145" s="353">
        <f>SUM(D146:D147)</f>
        <v>0</v>
      </c>
      <c r="E145" s="352"/>
      <c r="F145" s="353">
        <f>SUM(F146:F147)</f>
        <v>0</v>
      </c>
      <c r="G145" s="355" t="str">
        <f>F145/F$31</f>
        <v>#DIV/0!</v>
      </c>
      <c r="H145" s="359">
        <f>SUM(H146:H147)</f>
        <v>0</v>
      </c>
      <c r="I145" s="352"/>
      <c r="J145" s="359">
        <f>SUM(J146:J147)</f>
        <v>0</v>
      </c>
      <c r="K145" s="355" t="str">
        <f>J145/J$31</f>
        <v>#DIV/0!</v>
      </c>
      <c r="L145" s="353">
        <f>SUM(L146:L147)</f>
        <v>0</v>
      </c>
      <c r="M145" s="352"/>
      <c r="N145" s="353">
        <f>SUM(N146:N147)</f>
        <v>0</v>
      </c>
      <c r="O145" s="355" t="str">
        <f>N145/N$31</f>
        <v>#DIV/0!</v>
      </c>
      <c r="P145" s="353">
        <f>SUM(P146:P147)</f>
        <v>0</v>
      </c>
      <c r="Q145" s="352"/>
      <c r="R145" s="966">
        <f>SUM(R146:R147)</f>
        <v>0</v>
      </c>
      <c r="S145" s="355" t="str">
        <f>R145/R$31</f>
        <v>#DIV/0!</v>
      </c>
      <c r="T145" s="353">
        <f>SUM(T146:T147)</f>
        <v>0</v>
      </c>
      <c r="U145" s="352"/>
      <c r="V145" s="353">
        <f>SUM(V146:V147)</f>
        <v>25000</v>
      </c>
      <c r="W145" s="355">
        <f>V145/V$31</f>
        <v>0.005</v>
      </c>
      <c r="X145" s="359">
        <f>SUM(X146:X147)</f>
        <v>0</v>
      </c>
      <c r="Y145" s="352"/>
      <c r="Z145" s="353">
        <f>SUM(Z146:Z147)</f>
        <v>25000</v>
      </c>
      <c r="AA145" s="355">
        <f>Z145/Z$31</f>
        <v>0.005</v>
      </c>
      <c r="AB145" s="353">
        <f>SUM(AB146:AB147)</f>
        <v>0</v>
      </c>
      <c r="AC145" s="352"/>
      <c r="AD145" s="353">
        <f>SUM(AD146:AD147)</f>
        <v>25000</v>
      </c>
      <c r="AE145" s="355">
        <f>AD145/AD$31</f>
        <v>0.005</v>
      </c>
      <c r="AF145" s="353">
        <f>SUM(AF146:AF147)</f>
        <v>0</v>
      </c>
      <c r="AG145" s="352"/>
      <c r="AH145" s="353">
        <f>SUM(AH146:AH147)</f>
        <v>25000</v>
      </c>
      <c r="AI145" s="355">
        <f>AH145/AH$31</f>
        <v>0.005</v>
      </c>
      <c r="AJ145" s="353">
        <f>SUM(AJ146:AJ147)</f>
        <v>0</v>
      </c>
      <c r="AK145" s="352"/>
      <c r="AL145" s="353">
        <f>SUM(AL146:AL147)</f>
        <v>25000</v>
      </c>
      <c r="AM145" s="355">
        <f>AL145/AL$31</f>
        <v>0.005</v>
      </c>
      <c r="AN145" s="353">
        <f>SUM(AN146:AN147)</f>
        <v>0</v>
      </c>
      <c r="AO145" s="352"/>
      <c r="AP145" s="353">
        <f>SUM(AP146:AP147)</f>
        <v>25000</v>
      </c>
      <c r="AQ145" s="355">
        <f>AP145/AP$31</f>
        <v>0.005</v>
      </c>
      <c r="AR145" s="353">
        <f>SUM(AR146:AR147)</f>
        <v>0</v>
      </c>
      <c r="AS145" s="352"/>
      <c r="AT145" s="353">
        <f>SUM(AT146:AT147)</f>
        <v>0</v>
      </c>
      <c r="AU145" s="352"/>
      <c r="AV145" s="353">
        <f>SUM(AV146:AV147)</f>
        <v>25000</v>
      </c>
      <c r="AW145" s="355">
        <f>AV145/AV$31</f>
        <v>0.005</v>
      </c>
      <c r="AX145" s="352">
        <f>SUM(AX146:AX147)</f>
        <v>0</v>
      </c>
      <c r="AY145" s="352"/>
      <c r="AZ145" s="353">
        <f>SUM(AZ146:AZ147)</f>
        <v>0</v>
      </c>
      <c r="BA145" s="352"/>
      <c r="BB145" s="353">
        <f>SUM(BB146:BB147)</f>
        <v>25000</v>
      </c>
      <c r="BC145" s="355">
        <f>BB145/BB$31</f>
        <v>0.005</v>
      </c>
      <c r="BD145" s="215">
        <f>D145+H145+L145+P145+T145+X145+AB145+AF145+AJ145+AN145+AT145+AZ145</f>
        <v>0</v>
      </c>
      <c r="BE145" s="216"/>
      <c r="BF145" s="216"/>
      <c r="BG145" s="216"/>
      <c r="BH145" s="216"/>
      <c r="BI145" s="216"/>
      <c r="BJ145" s="216"/>
      <c r="BK145" s="216"/>
      <c r="BL145" s="216"/>
      <c r="BM145" s="216"/>
      <c r="BN145" s="216"/>
      <c r="BO145" s="216"/>
      <c r="BP145" s="216"/>
      <c r="BQ145" s="216"/>
      <c r="BR145" s="216"/>
      <c r="BS145" s="216"/>
      <c r="BT145" s="216"/>
      <c r="BU145" s="216"/>
      <c r="BV145" s="216"/>
      <c r="BW145" s="216"/>
    </row>
    <row r="146" ht="15.75" customHeight="1">
      <c r="A146" s="213"/>
      <c r="B146" s="245"/>
      <c r="C146" s="245" t="s">
        <v>292</v>
      </c>
      <c r="D146" s="353"/>
      <c r="E146" s="352"/>
      <c r="F146" s="353"/>
      <c r="G146" s="352"/>
      <c r="H146" s="359"/>
      <c r="I146" s="352"/>
      <c r="J146" s="359"/>
      <c r="K146" s="352"/>
      <c r="L146" s="353"/>
      <c r="M146" s="352"/>
      <c r="N146" s="353"/>
      <c r="O146" s="352"/>
      <c r="P146" s="353"/>
      <c r="Q146" s="352"/>
      <c r="R146" s="966"/>
      <c r="S146" s="352"/>
      <c r="T146" s="353"/>
      <c r="U146" s="352"/>
      <c r="V146" s="353"/>
      <c r="W146" s="352"/>
      <c r="X146" s="359"/>
      <c r="Y146" s="352"/>
      <c r="Z146" s="353"/>
      <c r="AA146" s="352"/>
      <c r="AB146" s="353"/>
      <c r="AC146" s="352"/>
      <c r="AD146" s="353"/>
      <c r="AE146" s="352"/>
      <c r="AF146" s="353"/>
      <c r="AG146" s="352"/>
      <c r="AH146" s="353"/>
      <c r="AI146" s="352"/>
      <c r="AJ146" s="353"/>
      <c r="AK146" s="352"/>
      <c r="AL146" s="353"/>
      <c r="AM146" s="352"/>
      <c r="AN146" s="353"/>
      <c r="AO146" s="352"/>
      <c r="AP146" s="353"/>
      <c r="AQ146" s="352"/>
      <c r="AR146" s="353"/>
      <c r="AS146" s="352"/>
      <c r="AT146" s="353"/>
      <c r="AU146" s="352"/>
      <c r="AV146" s="353"/>
      <c r="AW146" s="352"/>
      <c r="AX146" s="352"/>
      <c r="AY146" s="352"/>
      <c r="AZ146" s="353"/>
      <c r="BA146" s="352"/>
      <c r="BB146" s="353"/>
      <c r="BC146" s="352"/>
      <c r="BD146" s="213"/>
      <c r="BE146" s="213"/>
      <c r="BF146" s="213"/>
      <c r="BG146" s="213"/>
      <c r="BH146" s="213"/>
      <c r="BI146" s="213"/>
      <c r="BJ146" s="213"/>
      <c r="BK146" s="213"/>
      <c r="BL146" s="213"/>
      <c r="BM146" s="213"/>
      <c r="BN146" s="213"/>
      <c r="BO146" s="213"/>
      <c r="BP146" s="213"/>
      <c r="BQ146" s="213"/>
      <c r="BR146" s="213"/>
      <c r="BS146" s="213"/>
      <c r="BT146" s="213"/>
      <c r="BU146" s="213"/>
      <c r="BV146" s="213"/>
      <c r="BW146" s="213"/>
    </row>
    <row r="147" ht="15.75" customHeight="1">
      <c r="A147" s="213"/>
      <c r="B147" s="245"/>
      <c r="C147" s="245" t="s">
        <v>344</v>
      </c>
      <c r="D147" s="353"/>
      <c r="E147" s="352"/>
      <c r="F147" s="353">
        <f>G147*F$31</f>
        <v>0</v>
      </c>
      <c r="G147" s="355">
        <v>0.005</v>
      </c>
      <c r="H147" s="359"/>
      <c r="I147" s="352"/>
      <c r="J147" s="359">
        <f>K147*J$31</f>
        <v>0</v>
      </c>
      <c r="K147" s="355">
        <v>0.005</v>
      </c>
      <c r="L147" s="353"/>
      <c r="M147" s="352"/>
      <c r="N147" s="353">
        <f>O147*N$31</f>
        <v>0</v>
      </c>
      <c r="O147" s="355">
        <v>0.005</v>
      </c>
      <c r="P147" s="353"/>
      <c r="Q147" s="352"/>
      <c r="R147" s="966">
        <f>S147*R$31</f>
        <v>0</v>
      </c>
      <c r="S147" s="355">
        <v>0.005</v>
      </c>
      <c r="T147" s="353"/>
      <c r="U147" s="352"/>
      <c r="V147" s="353">
        <f>W147*V$31</f>
        <v>25000</v>
      </c>
      <c r="W147" s="355">
        <v>0.005</v>
      </c>
      <c r="X147" s="359"/>
      <c r="Y147" s="352"/>
      <c r="Z147" s="353">
        <f>AA147*Z$31</f>
        <v>25000</v>
      </c>
      <c r="AA147" s="355">
        <v>0.005</v>
      </c>
      <c r="AB147" s="353"/>
      <c r="AC147" s="352"/>
      <c r="AD147" s="353">
        <f>AE147*AD$31</f>
        <v>25000</v>
      </c>
      <c r="AE147" s="355">
        <v>0.005</v>
      </c>
      <c r="AF147" s="353"/>
      <c r="AG147" s="352"/>
      <c r="AH147" s="353">
        <f>AI147*AH$31</f>
        <v>25000</v>
      </c>
      <c r="AI147" s="355">
        <v>0.005</v>
      </c>
      <c r="AJ147" s="353"/>
      <c r="AK147" s="352"/>
      <c r="AL147" s="353">
        <f>AM147*AL$31</f>
        <v>25000</v>
      </c>
      <c r="AM147" s="355">
        <v>0.005</v>
      </c>
      <c r="AN147" s="353"/>
      <c r="AO147" s="352"/>
      <c r="AP147" s="353">
        <f>AQ147*AP$31</f>
        <v>25000</v>
      </c>
      <c r="AQ147" s="355">
        <v>0.005</v>
      </c>
      <c r="AR147" s="353"/>
      <c r="AS147" s="352"/>
      <c r="AT147" s="353"/>
      <c r="AU147" s="352"/>
      <c r="AV147" s="353">
        <f>AW147*AV$31</f>
        <v>25000</v>
      </c>
      <c r="AW147" s="355">
        <v>0.005</v>
      </c>
      <c r="AX147" s="352"/>
      <c r="AY147" s="352"/>
      <c r="AZ147" s="353"/>
      <c r="BA147" s="352"/>
      <c r="BB147" s="353">
        <f>BC147*BB$31</f>
        <v>25000</v>
      </c>
      <c r="BC147" s="355">
        <v>0.005</v>
      </c>
      <c r="BD147" s="213"/>
      <c r="BE147" s="213"/>
      <c r="BF147" s="213"/>
      <c r="BG147" s="213"/>
      <c r="BH147" s="213"/>
      <c r="BI147" s="213"/>
      <c r="BJ147" s="213"/>
      <c r="BK147" s="213"/>
      <c r="BL147" s="213"/>
      <c r="BM147" s="213"/>
      <c r="BN147" s="213"/>
      <c r="BO147" s="213"/>
      <c r="BP147" s="213"/>
      <c r="BQ147" s="213"/>
      <c r="BR147" s="213"/>
      <c r="BS147" s="213"/>
      <c r="BT147" s="213"/>
      <c r="BU147" s="213"/>
      <c r="BV147" s="213"/>
      <c r="BW147" s="213"/>
    </row>
    <row r="148" ht="15.75" customHeight="1">
      <c r="A148" s="213"/>
      <c r="B148" s="245"/>
      <c r="C148" s="245"/>
      <c r="D148" s="353"/>
      <c r="E148" s="352"/>
      <c r="F148" s="353"/>
      <c r="G148" s="352"/>
      <c r="H148" s="359"/>
      <c r="I148" s="352"/>
      <c r="J148" s="359"/>
      <c r="K148" s="352"/>
      <c r="L148" s="353"/>
      <c r="M148" s="352"/>
      <c r="N148" s="353"/>
      <c r="O148" s="352"/>
      <c r="P148" s="353"/>
      <c r="Q148" s="352"/>
      <c r="R148" s="966"/>
      <c r="S148" s="352"/>
      <c r="T148" s="353"/>
      <c r="U148" s="352"/>
      <c r="V148" s="353"/>
      <c r="W148" s="352"/>
      <c r="X148" s="359"/>
      <c r="Y148" s="352"/>
      <c r="Z148" s="353"/>
      <c r="AA148" s="352"/>
      <c r="AB148" s="353"/>
      <c r="AC148" s="352"/>
      <c r="AD148" s="353"/>
      <c r="AE148" s="352"/>
      <c r="AF148" s="353"/>
      <c r="AG148" s="352"/>
      <c r="AH148" s="353"/>
      <c r="AI148" s="352"/>
      <c r="AJ148" s="353"/>
      <c r="AK148" s="352"/>
      <c r="AL148" s="353"/>
      <c r="AM148" s="352"/>
      <c r="AN148" s="353"/>
      <c r="AO148" s="352"/>
      <c r="AP148" s="353"/>
      <c r="AQ148" s="352"/>
      <c r="AR148" s="353"/>
      <c r="AS148" s="352"/>
      <c r="AT148" s="353"/>
      <c r="AU148" s="352"/>
      <c r="AV148" s="353"/>
      <c r="AW148" s="352"/>
      <c r="AX148" s="352"/>
      <c r="AY148" s="352"/>
      <c r="AZ148" s="353"/>
      <c r="BA148" s="352"/>
      <c r="BB148" s="353"/>
      <c r="BC148" s="352"/>
      <c r="BD148" s="213"/>
      <c r="BE148" s="213"/>
      <c r="BF148" s="213"/>
      <c r="BG148" s="213"/>
      <c r="BH148" s="213"/>
      <c r="BI148" s="213"/>
      <c r="BJ148" s="213"/>
      <c r="BK148" s="213"/>
      <c r="BL148" s="213"/>
      <c r="BM148" s="213"/>
      <c r="BN148" s="213"/>
      <c r="BO148" s="213"/>
      <c r="BP148" s="213"/>
      <c r="BQ148" s="213"/>
      <c r="BR148" s="213"/>
      <c r="BS148" s="213"/>
      <c r="BT148" s="213"/>
      <c r="BU148" s="213"/>
      <c r="BV148" s="213"/>
      <c r="BW148" s="213"/>
    </row>
    <row r="149" ht="15.75" customHeight="1">
      <c r="A149" s="213"/>
      <c r="B149" s="245"/>
      <c r="C149" s="245"/>
      <c r="D149" s="353"/>
      <c r="E149" s="352"/>
      <c r="F149" s="353"/>
      <c r="G149" s="352"/>
      <c r="H149" s="359"/>
      <c r="I149" s="352"/>
      <c r="J149" s="359"/>
      <c r="K149" s="352"/>
      <c r="L149" s="353"/>
      <c r="M149" s="352"/>
      <c r="N149" s="353"/>
      <c r="O149" s="352"/>
      <c r="P149" s="353"/>
      <c r="Q149" s="352"/>
      <c r="R149" s="966"/>
      <c r="S149" s="352"/>
      <c r="T149" s="353"/>
      <c r="U149" s="352"/>
      <c r="V149" s="353"/>
      <c r="W149" s="352"/>
      <c r="X149" s="359"/>
      <c r="Y149" s="352"/>
      <c r="Z149" s="353"/>
      <c r="AA149" s="352"/>
      <c r="AB149" s="353"/>
      <c r="AC149" s="352"/>
      <c r="AD149" s="353"/>
      <c r="AE149" s="352"/>
      <c r="AF149" s="353"/>
      <c r="AG149" s="352"/>
      <c r="AH149" s="353"/>
      <c r="AI149" s="352"/>
      <c r="AJ149" s="353"/>
      <c r="AK149" s="352"/>
      <c r="AL149" s="353"/>
      <c r="AM149" s="352"/>
      <c r="AN149" s="353"/>
      <c r="AO149" s="352"/>
      <c r="AP149" s="353"/>
      <c r="AQ149" s="352"/>
      <c r="AR149" s="353"/>
      <c r="AS149" s="352"/>
      <c r="AT149" s="353"/>
      <c r="AU149" s="352"/>
      <c r="AV149" s="353"/>
      <c r="AW149" s="352"/>
      <c r="AX149" s="352"/>
      <c r="AY149" s="352"/>
      <c r="AZ149" s="353"/>
      <c r="BA149" s="352"/>
      <c r="BB149" s="353"/>
      <c r="BC149" s="352"/>
      <c r="BD149" s="213"/>
      <c r="BE149" s="213"/>
      <c r="BF149" s="213"/>
      <c r="BG149" s="213"/>
      <c r="BH149" s="213"/>
      <c r="BI149" s="213"/>
      <c r="BJ149" s="213"/>
      <c r="BK149" s="213"/>
      <c r="BL149" s="213"/>
      <c r="BM149" s="213"/>
      <c r="BN149" s="213"/>
      <c r="BO149" s="213"/>
      <c r="BP149" s="213"/>
      <c r="BQ149" s="213"/>
      <c r="BR149" s="213"/>
      <c r="BS149" s="213"/>
      <c r="BT149" s="213"/>
      <c r="BU149" s="213"/>
      <c r="BV149" s="213"/>
      <c r="BW149" s="213"/>
    </row>
    <row r="150" ht="15.75" customHeight="1">
      <c r="A150" s="213"/>
      <c r="B150" s="245"/>
      <c r="C150" s="245" t="s">
        <v>293</v>
      </c>
      <c r="D150" s="353">
        <f>D64+D76+D83+D90+D97+D109+D113+D117+D141+D145</f>
        <v>504069.6667</v>
      </c>
      <c r="E150" s="352"/>
      <c r="F150" s="353">
        <f>F64+F76+F83+F90+F97+F109+F113+F117+F141+F145</f>
        <v>26833.33333</v>
      </c>
      <c r="G150" s="355" t="str">
        <f>F150/F$31</f>
        <v>#DIV/0!</v>
      </c>
      <c r="H150" s="353">
        <f>H64+H76+H83+H90+H97+H109+H113+H117+H141+H145</f>
        <v>281965.6667</v>
      </c>
      <c r="I150" s="352"/>
      <c r="J150" s="353">
        <f>J64+J76+J83+J90+J97+J109+J113+J117+J141+J145</f>
        <v>26833.33333</v>
      </c>
      <c r="K150" s="355"/>
      <c r="L150" s="353">
        <f>L64+L76+L83+L90+L97+L109+L113+L117+L141+L145</f>
        <v>1028879.667</v>
      </c>
      <c r="M150" s="352"/>
      <c r="N150" s="353">
        <f>N64+N76+N83+N90+N97+N109+N113+N117+N141+N145</f>
        <v>26833.33333</v>
      </c>
      <c r="O150" s="355" t="str">
        <f>N150/N$31</f>
        <v>#DIV/0!</v>
      </c>
      <c r="P150" s="353">
        <f>P64+P76+P83+P90+P97+P109+P113+P117+P141+P145</f>
        <v>1118539.667</v>
      </c>
      <c r="Q150" s="352"/>
      <c r="R150" s="353">
        <f>R64+R76+R83+R90+R97+R109+R113+R117+R141+R145</f>
        <v>26833.33333</v>
      </c>
      <c r="S150" s="355" t="str">
        <f>R150/R$31</f>
        <v>#DIV/0!</v>
      </c>
      <c r="T150" s="353">
        <f>T64+T76+T83+T90+T97+T109+T113+T117+T141+T145</f>
        <v>331950.0833</v>
      </c>
      <c r="U150" s="352"/>
      <c r="V150" s="353">
        <f>V64+V76+V83+V90+V97+V109+V113+V117+V141+V145</f>
        <v>131833.3333</v>
      </c>
      <c r="W150" s="355">
        <f>V150/V$31</f>
        <v>0.02636666667</v>
      </c>
      <c r="X150" s="353">
        <f>X64+X76+X83+X90+X97+X109+X113+X117+X141+X145</f>
        <v>929790.0833</v>
      </c>
      <c r="Y150" s="352"/>
      <c r="Z150" s="353">
        <f>Z64+Z76+Z83+Z90+Z97+Z109+Z113+Z117+Z141+Z145</f>
        <v>131833.3333</v>
      </c>
      <c r="AA150" s="355">
        <f>Z150/Z$31</f>
        <v>0.02636666667</v>
      </c>
      <c r="AB150" s="353">
        <f>AB64+AB76+AB83+AB90+AB97+AB109+AB113+AB117+AB141+AB145</f>
        <v>2451282.917</v>
      </c>
      <c r="AC150" s="352"/>
      <c r="AD150" s="353">
        <f>AD64+AD76+AD83+AD90+AD97+AD109+AD113+AD117+AD141+AD145</f>
        <v>131833.3333</v>
      </c>
      <c r="AE150" s="355">
        <f>AD150/AD$31</f>
        <v>0.02636666667</v>
      </c>
      <c r="AF150" s="353">
        <f>AF64+AF76+AF83+AF90+AF97+AF109+AF113+AF117+AF141+AF145+AF138</f>
        <v>4038880.853</v>
      </c>
      <c r="AG150" s="355">
        <f>AF150/AF$31</f>
        <v>0.7368784429</v>
      </c>
      <c r="AH150" s="353">
        <f>AH64+AH76+AH83+AH90+AH97+AH109+AH113+AH117+AH141+AH145</f>
        <v>133996.6667</v>
      </c>
      <c r="AI150" s="355">
        <f>AH150/AH$31</f>
        <v>0.02679933333</v>
      </c>
      <c r="AJ150" s="353">
        <f>AJ64+AJ76+AJ83+AJ90+AJ97+AJ109+AJ113+AJ117+AJ141+AJ145</f>
        <v>4153808.403</v>
      </c>
      <c r="AK150" s="355">
        <f>AJ150/AJ$31</f>
        <v>0.4840738762</v>
      </c>
      <c r="AL150" s="353">
        <f>AL64+AL76+AL83+AL90+AL97+AL109+AL113+AL117+AL141+AL145</f>
        <v>231833.3333</v>
      </c>
      <c r="AM150" s="355">
        <f>AL150/AL$31</f>
        <v>0.04636666667</v>
      </c>
      <c r="AN150" s="353">
        <f>AN64+AN76+AN83+AN90+AN97+AN109+AN113+AN117+AN141+AN145</f>
        <v>3871656.753</v>
      </c>
      <c r="AO150" s="352"/>
      <c r="AP150" s="353">
        <f>AP64+AP76+AP83+AP90+AP97+AP109+AP113+AP117+AP141+AP145</f>
        <v>133996.6667</v>
      </c>
      <c r="AQ150" s="355">
        <f>AP150/AP$31</f>
        <v>0.02679933333</v>
      </c>
      <c r="AR150" s="353">
        <f>AR64+AR76+AR83+AR90+AR97+AR109+AR113+AR117+AR141+AR145</f>
        <v>0</v>
      </c>
      <c r="AS150" s="352"/>
      <c r="AT150" s="353">
        <f>AT64+AT76+AT83+AT90+AT97+AT109+AT113+AT117+AT141+AT145</f>
        <v>4250721.033</v>
      </c>
      <c r="AU150" s="355">
        <f>AT150/AT$31</f>
        <v>0.5296933952</v>
      </c>
      <c r="AV150" s="353">
        <f>AV64+AV76+AV83+AV90+AV97+AV109+AV113+AV117+AV141+AV145</f>
        <v>1890896.667</v>
      </c>
      <c r="AW150" s="355">
        <f>AV150/AV$31</f>
        <v>0.3781793333</v>
      </c>
      <c r="AX150" s="359">
        <f>AX64+AX76+AX83+AX90+AX97+AX109+AX113+AX117+AX141+AX145</f>
        <v>0</v>
      </c>
      <c r="AY150" s="352"/>
      <c r="AZ150" s="353">
        <f>AZ64+AZ76+AZ83+AZ90+AZ97+AZ109+AZ113+AZ117+AZ141+AZ145</f>
        <v>4393421.787</v>
      </c>
      <c r="BA150" s="355">
        <f>AZ150/AZ$31</f>
        <v>0.4564121766</v>
      </c>
      <c r="BB150" s="353">
        <f>BB64+BB76+BB83+BB90+BB97+BB109+BB113+BB117+BB141+BB145</f>
        <v>133996.6667</v>
      </c>
      <c r="BC150" s="355">
        <f>BB150/BB$31</f>
        <v>0.02679933333</v>
      </c>
      <c r="BD150" s="215">
        <f>D150+H150+L150+P150+T150+X150+AB150+AF150+AJ150+AN150+AT150+AZ150</f>
        <v>27354966.58</v>
      </c>
      <c r="BE150" s="213"/>
      <c r="BF150" s="213"/>
      <c r="BG150" s="213"/>
      <c r="BH150" s="213"/>
      <c r="BI150" s="213"/>
      <c r="BJ150" s="213"/>
      <c r="BK150" s="213"/>
      <c r="BL150" s="213"/>
      <c r="BM150" s="213"/>
      <c r="BN150" s="213"/>
      <c r="BO150" s="213"/>
      <c r="BP150" s="213"/>
      <c r="BQ150" s="213"/>
      <c r="BR150" s="213"/>
      <c r="BS150" s="213"/>
      <c r="BT150" s="213"/>
      <c r="BU150" s="213"/>
      <c r="BV150" s="213"/>
      <c r="BW150" s="213"/>
    </row>
    <row r="151" ht="15.75" customHeight="1">
      <c r="A151" s="213"/>
      <c r="B151" s="245"/>
      <c r="C151" s="245"/>
      <c r="D151" s="353"/>
      <c r="E151" s="352"/>
      <c r="F151" s="353"/>
      <c r="G151" s="352"/>
      <c r="H151" s="359"/>
      <c r="I151" s="352"/>
      <c r="J151" s="359"/>
      <c r="K151" s="352"/>
      <c r="L151" s="353"/>
      <c r="M151" s="352"/>
      <c r="N151" s="353"/>
      <c r="O151" s="352"/>
      <c r="P151" s="353"/>
      <c r="Q151" s="352"/>
      <c r="R151" s="966"/>
      <c r="S151" s="352"/>
      <c r="T151" s="353"/>
      <c r="U151" s="352"/>
      <c r="V151" s="353"/>
      <c r="W151" s="352"/>
      <c r="X151" s="359"/>
      <c r="Y151" s="352"/>
      <c r="Z151" s="353"/>
      <c r="AA151" s="352"/>
      <c r="AB151" s="353"/>
      <c r="AC151" s="352"/>
      <c r="AD151" s="353"/>
      <c r="AE151" s="352"/>
      <c r="AF151" s="353"/>
      <c r="AG151" s="352"/>
      <c r="AH151" s="353"/>
      <c r="AI151" s="352"/>
      <c r="AJ151" s="353"/>
      <c r="AK151" s="352"/>
      <c r="AL151" s="353"/>
      <c r="AM151" s="352"/>
      <c r="AN151" s="353"/>
      <c r="AO151" s="352"/>
      <c r="AP151" s="353"/>
      <c r="AQ151" s="352"/>
      <c r="AR151" s="353"/>
      <c r="AS151" s="352"/>
      <c r="AT151" s="353"/>
      <c r="AU151" s="352"/>
      <c r="AV151" s="353"/>
      <c r="AW151" s="352"/>
      <c r="AX151" s="352"/>
      <c r="AY151" s="352"/>
      <c r="AZ151" s="353"/>
      <c r="BA151" s="352"/>
      <c r="BB151" s="353"/>
      <c r="BC151" s="352"/>
      <c r="BD151" s="213"/>
      <c r="BE151" s="213"/>
      <c r="BF151" s="213"/>
      <c r="BG151" s="213"/>
      <c r="BH151" s="213"/>
      <c r="BI151" s="213"/>
      <c r="BJ151" s="213"/>
      <c r="BK151" s="213"/>
      <c r="BL151" s="213"/>
      <c r="BM151" s="213"/>
      <c r="BN151" s="213"/>
      <c r="BO151" s="213"/>
      <c r="BP151" s="213"/>
      <c r="BQ151" s="213"/>
      <c r="BR151" s="213"/>
      <c r="BS151" s="213"/>
      <c r="BT151" s="213"/>
      <c r="BU151" s="213"/>
      <c r="BV151" s="213"/>
      <c r="BW151" s="213"/>
    </row>
    <row r="152" ht="15.75" customHeight="1">
      <c r="A152" s="213"/>
      <c r="B152" s="245"/>
      <c r="C152" s="245" t="s">
        <v>294</v>
      </c>
      <c r="D152" s="353">
        <f>D52-D150</f>
        <v>-504069.6667</v>
      </c>
      <c r="E152" s="352"/>
      <c r="F152" s="353">
        <f>F52-F150</f>
        <v>-26833.33333</v>
      </c>
      <c r="G152" s="355"/>
      <c r="H152" s="353">
        <f>H52-H150</f>
        <v>-281965.6667</v>
      </c>
      <c r="I152" s="352"/>
      <c r="J152" s="359" t="str">
        <f>#REF!-J150</f>
        <v>#REF!</v>
      </c>
      <c r="K152" s="355" t="str">
        <f>J152/J$31</f>
        <v>#REF!</v>
      </c>
      <c r="L152" s="353">
        <f>L52-L150</f>
        <v>-1028879.667</v>
      </c>
      <c r="M152" s="352"/>
      <c r="N152" s="353" t="str">
        <f>#REF!-N150</f>
        <v>#REF!</v>
      </c>
      <c r="O152" s="355" t="str">
        <f>N152/N$31</f>
        <v>#REF!</v>
      </c>
      <c r="P152" s="353">
        <f>P52-P150</f>
        <v>-1118539.667</v>
      </c>
      <c r="Q152" s="352"/>
      <c r="R152" s="966" t="str">
        <f>#REF!-R150</f>
        <v>#REF!</v>
      </c>
      <c r="S152" s="355" t="str">
        <f>R152/R$31</f>
        <v>#REF!</v>
      </c>
      <c r="T152" s="353">
        <f>T52-T150</f>
        <v>-331950.0833</v>
      </c>
      <c r="U152" s="352"/>
      <c r="V152" s="353" t="str">
        <f>#REF!-V150</f>
        <v>#REF!</v>
      </c>
      <c r="W152" s="355" t="str">
        <f>V152/V$31</f>
        <v>#REF!</v>
      </c>
      <c r="X152" s="353">
        <f>X52-X150</f>
        <v>-929790.0833</v>
      </c>
      <c r="Y152" s="352"/>
      <c r="Z152" s="353" t="str">
        <f>#REF!-Z150</f>
        <v>#REF!</v>
      </c>
      <c r="AA152" s="355" t="str">
        <f>Z152/Z$31</f>
        <v>#REF!</v>
      </c>
      <c r="AB152" s="353">
        <f>AB52-AB150</f>
        <v>-2451282.917</v>
      </c>
      <c r="AC152" s="352"/>
      <c r="AD152" s="353" t="str">
        <f>#REF!-AD150</f>
        <v>#REF!</v>
      </c>
      <c r="AE152" s="355" t="str">
        <f>AD152/AD$31</f>
        <v>#REF!</v>
      </c>
      <c r="AF152" s="353">
        <f>AF52-AF150</f>
        <v>-1566726.717</v>
      </c>
      <c r="AG152" s="355">
        <f>AF152/AF$31</f>
        <v>-0.2858433277</v>
      </c>
      <c r="AH152" s="353">
        <f>AH52-AH150</f>
        <v>2707003.333</v>
      </c>
      <c r="AI152" s="355">
        <f>AH152/AH$31</f>
        <v>0.5414006667</v>
      </c>
      <c r="AJ152" s="353">
        <f>AJ52-AJ150</f>
        <v>777032.82</v>
      </c>
      <c r="AK152" s="355">
        <f>AJ152/AJ$31</f>
        <v>0.09055335553</v>
      </c>
      <c r="AL152" s="353">
        <f>AL52-AL150</f>
        <v>2609166.667</v>
      </c>
      <c r="AM152" s="355">
        <f>AL152/AL$31</f>
        <v>0.5218333333</v>
      </c>
      <c r="AN152" s="353">
        <f>AN52-AN150</f>
        <v>903471.0714</v>
      </c>
      <c r="AO152" s="352"/>
      <c r="AP152" s="353">
        <f>AP52-AP150</f>
        <v>2707003.333</v>
      </c>
      <c r="AQ152" s="355">
        <f>AP152/AP$31</f>
        <v>0.5414006667</v>
      </c>
      <c r="AR152" s="353"/>
      <c r="AS152" s="352"/>
      <c r="AT152" s="353">
        <f>AT52-AT150</f>
        <v>393279.7222</v>
      </c>
      <c r="AU152" s="355">
        <f>AT152/AT$31</f>
        <v>0.04900760828</v>
      </c>
      <c r="AV152" s="353">
        <f>AV52-AV150</f>
        <v>950103.3333</v>
      </c>
      <c r="AW152" s="355">
        <f>AV152/AV$31</f>
        <v>0.1900206667</v>
      </c>
      <c r="AX152" s="352"/>
      <c r="AY152" s="352"/>
      <c r="AZ152" s="353">
        <f>AZ52-AZ150</f>
        <v>1054267.509</v>
      </c>
      <c r="BA152" s="355">
        <f>AZ152/AZ$31</f>
        <v>0.1095229532</v>
      </c>
      <c r="BB152" s="353">
        <f>BB52-BB150</f>
        <v>2707003.333</v>
      </c>
      <c r="BC152" s="355">
        <f>BB152/BB31</f>
        <v>0.5414006667</v>
      </c>
      <c r="BD152" s="215">
        <f>D152+H152+L152+P152+T152+X152+AB152+AF152+AJ152+AN152+AT152+AZ152</f>
        <v>-5085153.344</v>
      </c>
      <c r="BE152" s="215">
        <f>BD152-'FY25-26'!AQ30</f>
        <v>0.000000002793967724</v>
      </c>
      <c r="BF152" s="213"/>
      <c r="BG152" s="213"/>
      <c r="BH152" s="213"/>
      <c r="BI152" s="213"/>
      <c r="BJ152" s="213"/>
      <c r="BK152" s="213"/>
      <c r="BL152" s="213"/>
      <c r="BM152" s="213"/>
      <c r="BN152" s="213"/>
      <c r="BO152" s="213"/>
      <c r="BP152" s="213"/>
      <c r="BQ152" s="213"/>
      <c r="BR152" s="213"/>
      <c r="BS152" s="213"/>
      <c r="BT152" s="213"/>
      <c r="BU152" s="213"/>
      <c r="BV152" s="213"/>
      <c r="BW152" s="213"/>
    </row>
    <row r="153" ht="15.75" customHeight="1">
      <c r="A153" s="213"/>
      <c r="B153" s="213"/>
      <c r="C153" s="213"/>
      <c r="D153" s="213"/>
      <c r="E153" s="213"/>
      <c r="F153" s="215"/>
      <c r="G153" s="213"/>
      <c r="H153" s="325"/>
      <c r="I153" s="213"/>
      <c r="J153" s="325"/>
      <c r="K153" s="213"/>
      <c r="L153" s="215"/>
      <c r="M153" s="213"/>
      <c r="N153" s="215"/>
      <c r="O153" s="213"/>
      <c r="P153" s="215"/>
      <c r="Q153" s="213"/>
      <c r="R153" s="949"/>
      <c r="S153" s="213"/>
      <c r="T153" s="215"/>
      <c r="U153" s="213"/>
      <c r="V153" s="215"/>
      <c r="W153" s="213"/>
      <c r="X153" s="325"/>
      <c r="Y153" s="213"/>
      <c r="Z153" s="215"/>
      <c r="AA153" s="213"/>
      <c r="AB153" s="215"/>
      <c r="AC153" s="213"/>
      <c r="AD153" s="215"/>
      <c r="AE153" s="213"/>
      <c r="AF153" s="328"/>
      <c r="AG153" s="213"/>
      <c r="AH153" s="215"/>
      <c r="AI153" s="213"/>
      <c r="AJ153" s="328"/>
      <c r="AK153" s="213"/>
      <c r="AL153" s="215"/>
      <c r="AM153" s="213"/>
      <c r="AN153" s="328"/>
      <c r="AO153" s="213"/>
      <c r="AP153" s="215"/>
      <c r="AQ153" s="213"/>
      <c r="AR153" s="215"/>
      <c r="AS153" s="213"/>
      <c r="AT153" s="328"/>
      <c r="AU153" s="213"/>
      <c r="AV153" s="215"/>
      <c r="AW153" s="213"/>
      <c r="AX153" s="213"/>
      <c r="AY153" s="213"/>
      <c r="AZ153" s="326"/>
      <c r="BA153" s="213"/>
      <c r="BB153" s="215"/>
      <c r="BC153" s="213"/>
      <c r="BD153" s="213"/>
      <c r="BE153" s="213"/>
      <c r="BF153" s="213"/>
      <c r="BG153" s="213"/>
      <c r="BH153" s="213"/>
      <c r="BI153" s="213"/>
      <c r="BJ153" s="213"/>
      <c r="BK153" s="213"/>
      <c r="BL153" s="213"/>
      <c r="BM153" s="213"/>
      <c r="BN153" s="213"/>
      <c r="BO153" s="213"/>
      <c r="BP153" s="213"/>
      <c r="BQ153" s="213"/>
      <c r="BR153" s="213"/>
      <c r="BS153" s="213"/>
      <c r="BT153" s="213"/>
      <c r="BU153" s="213"/>
      <c r="BV153" s="213"/>
      <c r="BW153" s="213"/>
    </row>
    <row r="154" ht="15.75" customHeight="1">
      <c r="A154" s="213"/>
      <c r="B154" s="213"/>
      <c r="C154" s="213"/>
      <c r="D154" s="213"/>
      <c r="E154" s="213"/>
      <c r="F154" s="215"/>
      <c r="G154" s="213"/>
      <c r="H154" s="325"/>
      <c r="I154" s="213"/>
      <c r="J154" s="325"/>
      <c r="K154" s="213"/>
      <c r="L154" s="215"/>
      <c r="M154" s="213"/>
      <c r="N154" s="215"/>
      <c r="O154" s="213"/>
      <c r="P154" s="215"/>
      <c r="Q154" s="213"/>
      <c r="R154" s="949"/>
      <c r="S154" s="213"/>
      <c r="T154" s="215"/>
      <c r="U154" s="213"/>
      <c r="V154" s="215"/>
      <c r="W154" s="213"/>
      <c r="X154" s="325"/>
      <c r="Y154" s="213"/>
      <c r="Z154" s="215"/>
      <c r="AA154" s="213"/>
      <c r="AB154" s="215"/>
      <c r="AC154" s="213"/>
      <c r="AD154" s="215"/>
      <c r="AE154" s="213"/>
      <c r="AF154" s="328"/>
      <c r="AG154" s="213"/>
      <c r="AH154" s="215"/>
      <c r="AI154" s="213"/>
      <c r="AJ154" s="328"/>
      <c r="AK154" s="213"/>
      <c r="AL154" s="215"/>
      <c r="AM154" s="213"/>
      <c r="AN154" s="328"/>
      <c r="AO154" s="213"/>
      <c r="AP154" s="215"/>
      <c r="AQ154" s="213"/>
      <c r="AR154" s="215"/>
      <c r="AS154" s="213"/>
      <c r="AT154" s="328"/>
      <c r="AU154" s="213"/>
      <c r="AV154" s="215"/>
      <c r="AW154" s="213"/>
      <c r="AX154" s="213"/>
      <c r="AY154" s="213"/>
      <c r="AZ154" s="326"/>
      <c r="BA154" s="213"/>
      <c r="BB154" s="215"/>
      <c r="BC154" s="213"/>
      <c r="BD154" s="213"/>
      <c r="BE154" s="213"/>
      <c r="BF154" s="213"/>
      <c r="BG154" s="213"/>
      <c r="BH154" s="213"/>
      <c r="BI154" s="213"/>
      <c r="BJ154" s="213"/>
      <c r="BK154" s="213"/>
      <c r="BL154" s="213"/>
      <c r="BM154" s="213"/>
      <c r="BN154" s="213"/>
      <c r="BO154" s="213"/>
      <c r="BP154" s="213"/>
      <c r="BQ154" s="213"/>
      <c r="BR154" s="213"/>
      <c r="BS154" s="213"/>
      <c r="BT154" s="213"/>
      <c r="BU154" s="213"/>
      <c r="BV154" s="213"/>
      <c r="BW154" s="213"/>
    </row>
    <row r="155" ht="15.75" customHeight="1">
      <c r="A155" s="213"/>
      <c r="B155" s="531" t="s">
        <v>455</v>
      </c>
      <c r="C155" s="531" t="s">
        <v>456</v>
      </c>
      <c r="D155" s="213"/>
      <c r="E155" s="213"/>
      <c r="F155" s="215"/>
      <c r="G155" s="213"/>
      <c r="H155" s="325"/>
      <c r="I155" s="213"/>
      <c r="J155" s="325"/>
      <c r="K155" s="213"/>
      <c r="L155" s="215"/>
      <c r="M155" s="213"/>
      <c r="N155" s="215"/>
      <c r="O155" s="213"/>
      <c r="P155" s="215"/>
      <c r="Q155" s="213"/>
      <c r="R155" s="949"/>
      <c r="S155" s="213"/>
      <c r="T155" s="215"/>
      <c r="U155" s="213"/>
      <c r="V155" s="215"/>
      <c r="W155" s="213"/>
      <c r="X155" s="325"/>
      <c r="Y155" s="213"/>
      <c r="Z155" s="215"/>
      <c r="AA155" s="213"/>
      <c r="AB155" s="215"/>
      <c r="AC155" s="213"/>
      <c r="AD155" s="215"/>
      <c r="AE155" s="213"/>
      <c r="AF155" s="328"/>
      <c r="AG155" s="213"/>
      <c r="AH155" s="215"/>
      <c r="AI155" s="213"/>
      <c r="AJ155" s="328"/>
      <c r="AK155" s="213"/>
      <c r="AL155" s="215"/>
      <c r="AM155" s="213"/>
      <c r="AN155" s="328"/>
      <c r="AO155" s="213"/>
      <c r="AP155" s="215"/>
      <c r="AQ155" s="213"/>
      <c r="AR155" s="215"/>
      <c r="AS155" s="213"/>
      <c r="AT155" s="328"/>
      <c r="AU155" s="213"/>
      <c r="AV155" s="215"/>
      <c r="AW155" s="213"/>
      <c r="AX155" s="213"/>
      <c r="AY155" s="213"/>
      <c r="AZ155" s="326"/>
      <c r="BA155" s="213"/>
      <c r="BB155" s="215"/>
      <c r="BC155" s="213"/>
      <c r="BD155" s="213"/>
      <c r="BE155" s="213"/>
      <c r="BF155" s="213"/>
      <c r="BG155" s="213"/>
      <c r="BH155" s="213"/>
      <c r="BI155" s="213"/>
      <c r="BJ155" s="213"/>
      <c r="BK155" s="213"/>
      <c r="BL155" s="213"/>
      <c r="BM155" s="213"/>
      <c r="BN155" s="213"/>
      <c r="BO155" s="213"/>
      <c r="BP155" s="213"/>
      <c r="BQ155" s="213"/>
      <c r="BR155" s="213"/>
      <c r="BS155" s="213"/>
      <c r="BT155" s="213"/>
      <c r="BU155" s="213"/>
      <c r="BV155" s="213"/>
      <c r="BW155" s="213"/>
    </row>
    <row r="156" ht="15.75" customHeight="1">
      <c r="A156" s="213"/>
      <c r="B156" s="213"/>
      <c r="C156" s="979" t="s">
        <v>457</v>
      </c>
      <c r="D156" s="213"/>
      <c r="E156" s="213"/>
      <c r="F156" s="215"/>
      <c r="G156" s="213"/>
      <c r="H156" s="325"/>
      <c r="I156" s="213"/>
      <c r="J156" s="325"/>
      <c r="K156" s="213"/>
      <c r="L156" s="215"/>
      <c r="M156" s="213"/>
      <c r="N156" s="215"/>
      <c r="O156" s="213"/>
      <c r="P156" s="215"/>
      <c r="Q156" s="213"/>
      <c r="R156" s="949"/>
      <c r="S156" s="213"/>
      <c r="T156" s="215"/>
      <c r="U156" s="213"/>
      <c r="V156" s="215"/>
      <c r="W156" s="213"/>
      <c r="X156" s="325"/>
      <c r="Y156" s="213"/>
      <c r="Z156" s="215"/>
      <c r="AA156" s="213"/>
      <c r="AB156" s="215"/>
      <c r="AC156" s="213"/>
      <c r="AD156" s="215"/>
      <c r="AE156" s="213"/>
      <c r="AF156" s="328"/>
      <c r="AG156" s="213"/>
      <c r="AH156" s="215">
        <f>517500*1.18</f>
        <v>610650</v>
      </c>
      <c r="AI156" s="213"/>
      <c r="AJ156" s="215">
        <f>517500*1.18</f>
        <v>610650</v>
      </c>
      <c r="AK156" s="213"/>
      <c r="AL156" s="215"/>
      <c r="AM156" s="213"/>
      <c r="AN156" s="215">
        <f>517500*1.18</f>
        <v>610650</v>
      </c>
      <c r="AO156" s="213"/>
      <c r="AP156" s="215"/>
      <c r="AQ156" s="213"/>
      <c r="AR156" s="215"/>
      <c r="AS156" s="213"/>
      <c r="AT156" s="215">
        <f>517500*1.18</f>
        <v>610650</v>
      </c>
      <c r="AU156" s="213"/>
      <c r="AV156" s="215"/>
      <c r="AW156" s="213"/>
      <c r="AX156" s="213"/>
      <c r="AY156" s="213"/>
      <c r="AZ156" s="215">
        <f>517500*1.18</f>
        <v>610650</v>
      </c>
      <c r="BA156" s="213"/>
      <c r="BB156" s="215"/>
      <c r="BC156" s="213"/>
      <c r="BD156" s="213"/>
      <c r="BE156" s="213"/>
      <c r="BF156" s="213"/>
      <c r="BG156" s="213"/>
      <c r="BH156" s="213"/>
      <c r="BI156" s="213"/>
      <c r="BJ156" s="213"/>
      <c r="BK156" s="213"/>
      <c r="BL156" s="213"/>
      <c r="BM156" s="213"/>
      <c r="BN156" s="213"/>
      <c r="BO156" s="213"/>
      <c r="BP156" s="213"/>
      <c r="BQ156" s="213"/>
      <c r="BR156" s="213"/>
      <c r="BS156" s="213"/>
      <c r="BT156" s="213"/>
      <c r="BU156" s="213"/>
      <c r="BV156" s="213"/>
      <c r="BW156" s="213"/>
    </row>
    <row r="157" ht="15.75" customHeight="1">
      <c r="A157" s="213"/>
      <c r="B157" s="213"/>
      <c r="C157" s="213"/>
      <c r="D157" s="213"/>
      <c r="E157" s="213"/>
      <c r="F157" s="215"/>
      <c r="G157" s="213"/>
      <c r="H157" s="325"/>
      <c r="I157" s="213"/>
      <c r="J157" s="325"/>
      <c r="K157" s="213"/>
      <c r="L157" s="215"/>
      <c r="M157" s="213"/>
      <c r="N157" s="215"/>
      <c r="O157" s="213"/>
      <c r="P157" s="215"/>
      <c r="Q157" s="213"/>
      <c r="R157" s="949"/>
      <c r="S157" s="213"/>
      <c r="T157" s="215"/>
      <c r="U157" s="213"/>
      <c r="V157" s="215"/>
      <c r="W157" s="213"/>
      <c r="X157" s="325"/>
      <c r="Y157" s="213"/>
      <c r="Z157" s="215"/>
      <c r="AA157" s="213"/>
      <c r="AB157" s="215"/>
      <c r="AC157" s="213"/>
      <c r="AD157" s="215"/>
      <c r="AE157" s="213"/>
      <c r="AF157" s="328"/>
      <c r="AG157" s="213"/>
      <c r="AH157" s="215"/>
      <c r="AI157" s="213"/>
      <c r="AJ157" s="328"/>
      <c r="AK157" s="213"/>
      <c r="AL157" s="215"/>
      <c r="AM157" s="213"/>
      <c r="AN157" s="328"/>
      <c r="AO157" s="213"/>
      <c r="AP157" s="215"/>
      <c r="AQ157" s="213"/>
      <c r="AR157" s="215"/>
      <c r="AS157" s="213"/>
      <c r="AT157" s="328"/>
      <c r="AU157" s="213"/>
      <c r="AV157" s="215"/>
      <c r="AW157" s="213"/>
      <c r="AX157" s="213"/>
      <c r="AY157" s="213"/>
      <c r="AZ157" s="326"/>
      <c r="BA157" s="213"/>
      <c r="BB157" s="215"/>
      <c r="BC157" s="213"/>
      <c r="BD157" s="213"/>
      <c r="BE157" s="213"/>
      <c r="BF157" s="213"/>
      <c r="BG157" s="213"/>
      <c r="BH157" s="213"/>
      <c r="BI157" s="213"/>
      <c r="BJ157" s="213"/>
      <c r="BK157" s="213"/>
      <c r="BL157" s="213"/>
      <c r="BM157" s="213"/>
      <c r="BN157" s="213"/>
      <c r="BO157" s="213"/>
      <c r="BP157" s="213"/>
      <c r="BQ157" s="213"/>
      <c r="BR157" s="213"/>
      <c r="BS157" s="213"/>
      <c r="BT157" s="213"/>
      <c r="BU157" s="213"/>
      <c r="BV157" s="213"/>
      <c r="BW157" s="213"/>
    </row>
    <row r="158" ht="15.75" customHeight="1">
      <c r="A158" s="213"/>
      <c r="B158" s="213"/>
      <c r="C158" s="979" t="s">
        <v>458</v>
      </c>
      <c r="D158" s="213"/>
      <c r="E158" s="213"/>
      <c r="F158" s="215"/>
      <c r="G158" s="213"/>
      <c r="H158" s="325"/>
      <c r="I158" s="213"/>
      <c r="J158" s="325"/>
      <c r="K158" s="213"/>
      <c r="L158" s="215"/>
      <c r="M158" s="213"/>
      <c r="N158" s="215"/>
      <c r="O158" s="213"/>
      <c r="P158" s="215"/>
      <c r="Q158" s="213"/>
      <c r="R158" s="949"/>
      <c r="S158" s="213"/>
      <c r="T158" s="215"/>
      <c r="U158" s="213"/>
      <c r="V158" s="215"/>
      <c r="W158" s="213"/>
      <c r="X158" s="325"/>
      <c r="Y158" s="213"/>
      <c r="Z158" s="215"/>
      <c r="AA158" s="213"/>
      <c r="AB158" s="215"/>
      <c r="AC158" s="213"/>
      <c r="AD158" s="215"/>
      <c r="AE158" s="213"/>
      <c r="AF158" s="328"/>
      <c r="AG158" s="213"/>
      <c r="AH158" s="215"/>
      <c r="AI158" s="213"/>
      <c r="AJ158" s="328"/>
      <c r="AK158" s="213"/>
      <c r="AL158" s="215"/>
      <c r="AM158" s="213"/>
      <c r="AN158" s="328"/>
      <c r="AO158" s="213"/>
      <c r="AP158" s="215"/>
      <c r="AQ158" s="213"/>
      <c r="AR158" s="215"/>
      <c r="AS158" s="213"/>
      <c r="AT158" s="328"/>
      <c r="AU158" s="213"/>
      <c r="AV158" s="215"/>
      <c r="AW158" s="213"/>
      <c r="AX158" s="213"/>
      <c r="AY158" s="213"/>
      <c r="AZ158" s="326"/>
      <c r="BA158" s="213"/>
      <c r="BB158" s="215"/>
      <c r="BC158" s="213"/>
      <c r="BD158" s="213"/>
      <c r="BE158" s="213"/>
      <c r="BF158" s="213"/>
      <c r="BG158" s="213"/>
      <c r="BH158" s="213"/>
      <c r="BI158" s="213"/>
      <c r="BJ158" s="213"/>
      <c r="BK158" s="213"/>
      <c r="BL158" s="213"/>
      <c r="BM158" s="213"/>
      <c r="BN158" s="213"/>
      <c r="BO158" s="213"/>
      <c r="BP158" s="213"/>
      <c r="BQ158" s="213"/>
      <c r="BR158" s="213"/>
      <c r="BS158" s="213"/>
      <c r="BT158" s="213"/>
      <c r="BU158" s="213"/>
      <c r="BV158" s="213"/>
      <c r="BW158" s="213"/>
    </row>
    <row r="159" ht="15.75" customHeight="1">
      <c r="A159" s="213"/>
      <c r="B159" s="213"/>
      <c r="C159" s="213"/>
      <c r="D159" s="213"/>
      <c r="E159" s="213"/>
      <c r="F159" s="215"/>
      <c r="G159" s="213"/>
      <c r="H159" s="325"/>
      <c r="I159" s="213"/>
      <c r="J159" s="325"/>
      <c r="K159" s="213"/>
      <c r="L159" s="215"/>
      <c r="M159" s="213"/>
      <c r="N159" s="215"/>
      <c r="O159" s="213"/>
      <c r="P159" s="215"/>
      <c r="Q159" s="213"/>
      <c r="R159" s="949"/>
      <c r="S159" s="213"/>
      <c r="T159" s="215"/>
      <c r="U159" s="213"/>
      <c r="V159" s="215"/>
      <c r="W159" s="213"/>
      <c r="X159" s="325"/>
      <c r="Y159" s="213"/>
      <c r="Z159" s="215"/>
      <c r="AA159" s="213"/>
      <c r="AB159" s="215"/>
      <c r="AC159" s="213"/>
      <c r="AD159" s="215"/>
      <c r="AE159" s="213"/>
      <c r="AF159" s="328"/>
      <c r="AG159" s="213"/>
      <c r="AH159" s="215"/>
      <c r="AI159" s="213"/>
      <c r="AJ159" s="328"/>
      <c r="AK159" s="213"/>
      <c r="AL159" s="215"/>
      <c r="AM159" s="213"/>
      <c r="AN159" s="328"/>
      <c r="AO159" s="213"/>
      <c r="AP159" s="215"/>
      <c r="AQ159" s="213"/>
      <c r="AR159" s="215"/>
      <c r="AS159" s="213"/>
      <c r="AT159" s="328"/>
      <c r="AU159" s="213"/>
      <c r="AV159" s="215"/>
      <c r="AW159" s="213"/>
      <c r="AX159" s="213"/>
      <c r="AY159" s="213"/>
      <c r="AZ159" s="326"/>
      <c r="BA159" s="213"/>
      <c r="BB159" s="215"/>
      <c r="BC159" s="213"/>
      <c r="BD159" s="213"/>
      <c r="BE159" s="213"/>
      <c r="BF159" s="213"/>
      <c r="BG159" s="213"/>
      <c r="BH159" s="213"/>
      <c r="BI159" s="213"/>
      <c r="BJ159" s="213"/>
      <c r="BK159" s="213"/>
      <c r="BL159" s="213"/>
      <c r="BM159" s="213"/>
      <c r="BN159" s="213"/>
      <c r="BO159" s="213"/>
      <c r="BP159" s="213"/>
      <c r="BQ159" s="213"/>
      <c r="BR159" s="213"/>
      <c r="BS159" s="213"/>
      <c r="BT159" s="213"/>
      <c r="BU159" s="213"/>
      <c r="BV159" s="213"/>
      <c r="BW159" s="213"/>
    </row>
    <row r="160" ht="15.75" customHeight="1">
      <c r="A160" s="213"/>
      <c r="B160" s="213"/>
      <c r="C160" s="531" t="s">
        <v>459</v>
      </c>
      <c r="D160" s="213"/>
      <c r="E160" s="213"/>
      <c r="F160" s="215"/>
      <c r="G160" s="213"/>
      <c r="H160" s="325"/>
      <c r="I160" s="213"/>
      <c r="J160" s="325"/>
      <c r="K160" s="213"/>
      <c r="L160" s="215"/>
      <c r="M160" s="213"/>
      <c r="N160" s="215"/>
      <c r="O160" s="213"/>
      <c r="P160" s="215"/>
      <c r="Q160" s="213"/>
      <c r="R160" s="949"/>
      <c r="S160" s="213"/>
      <c r="T160" s="215"/>
      <c r="U160" s="213"/>
      <c r="V160" s="215"/>
      <c r="W160" s="213"/>
      <c r="X160" s="325"/>
      <c r="Y160" s="213"/>
      <c r="Z160" s="215"/>
      <c r="AA160" s="213"/>
      <c r="AB160" s="215"/>
      <c r="AC160" s="213"/>
      <c r="AD160" s="215"/>
      <c r="AE160" s="213"/>
      <c r="AF160" s="328"/>
      <c r="AG160" s="213"/>
      <c r="AH160" s="215"/>
      <c r="AI160" s="213"/>
      <c r="AJ160" s="328"/>
      <c r="AK160" s="213"/>
      <c r="AL160" s="215"/>
      <c r="AM160" s="213"/>
      <c r="AN160" s="328"/>
      <c r="AO160" s="213"/>
      <c r="AP160" s="215"/>
      <c r="AQ160" s="213"/>
      <c r="AR160" s="215"/>
      <c r="AS160" s="213"/>
      <c r="AT160" s="328"/>
      <c r="AU160" s="213"/>
      <c r="AV160" s="215"/>
      <c r="AW160" s="213"/>
      <c r="AX160" s="213"/>
      <c r="AY160" s="213"/>
      <c r="AZ160" s="326"/>
      <c r="BA160" s="213"/>
      <c r="BB160" s="215"/>
      <c r="BC160" s="213"/>
      <c r="BD160" s="213"/>
      <c r="BE160" s="213"/>
      <c r="BF160" s="213"/>
      <c r="BG160" s="213"/>
      <c r="BH160" s="213"/>
      <c r="BI160" s="213"/>
      <c r="BJ160" s="213"/>
      <c r="BK160" s="213"/>
      <c r="BL160" s="213"/>
      <c r="BM160" s="213"/>
      <c r="BN160" s="213"/>
      <c r="BO160" s="213"/>
      <c r="BP160" s="213"/>
      <c r="BQ160" s="213"/>
      <c r="BR160" s="213"/>
      <c r="BS160" s="213"/>
      <c r="BT160" s="213"/>
      <c r="BU160" s="213"/>
      <c r="BV160" s="213"/>
      <c r="BW160" s="213"/>
    </row>
    <row r="161" ht="15.75" customHeight="1">
      <c r="A161" s="213"/>
      <c r="B161" s="213"/>
      <c r="C161" s="213"/>
      <c r="D161" s="213"/>
      <c r="E161" s="213"/>
      <c r="F161" s="215"/>
      <c r="G161" s="213"/>
      <c r="H161" s="325"/>
      <c r="I161" s="213"/>
      <c r="J161" s="325"/>
      <c r="K161" s="213"/>
      <c r="L161" s="215"/>
      <c r="M161" s="213"/>
      <c r="N161" s="215"/>
      <c r="O161" s="213"/>
      <c r="P161" s="215"/>
      <c r="Q161" s="213"/>
      <c r="R161" s="949"/>
      <c r="S161" s="213"/>
      <c r="T161" s="215"/>
      <c r="U161" s="213"/>
      <c r="V161" s="215"/>
      <c r="W161" s="213"/>
      <c r="X161" s="325"/>
      <c r="Y161" s="213"/>
      <c r="Z161" s="215"/>
      <c r="AA161" s="213"/>
      <c r="AB161" s="215"/>
      <c r="AC161" s="213"/>
      <c r="AD161" s="215"/>
      <c r="AE161" s="213"/>
      <c r="AF161" s="328"/>
      <c r="AG161" s="213"/>
      <c r="AH161" s="215"/>
      <c r="AI161" s="213"/>
      <c r="AJ161" s="328"/>
      <c r="AK161" s="213"/>
      <c r="AL161" s="215"/>
      <c r="AM161" s="213"/>
      <c r="AN161" s="328"/>
      <c r="AO161" s="213"/>
      <c r="AP161" s="215"/>
      <c r="AQ161" s="213"/>
      <c r="AR161" s="215"/>
      <c r="AS161" s="213"/>
      <c r="AT161" s="328"/>
      <c r="AU161" s="213"/>
      <c r="AV161" s="215"/>
      <c r="AW161" s="213"/>
      <c r="AX161" s="213"/>
      <c r="AY161" s="213"/>
      <c r="AZ161" s="326"/>
      <c r="BA161" s="213"/>
      <c r="BB161" s="215"/>
      <c r="BC161" s="213"/>
      <c r="BD161" s="213"/>
      <c r="BE161" s="213"/>
      <c r="BF161" s="213"/>
      <c r="BG161" s="213"/>
      <c r="BH161" s="213"/>
      <c r="BI161" s="213"/>
      <c r="BJ161" s="213"/>
      <c r="BK161" s="213"/>
      <c r="BL161" s="213"/>
      <c r="BM161" s="213"/>
      <c r="BN161" s="213"/>
      <c r="BO161" s="213"/>
      <c r="BP161" s="213"/>
      <c r="BQ161" s="213"/>
      <c r="BR161" s="213"/>
      <c r="BS161" s="213"/>
      <c r="BT161" s="213"/>
      <c r="BU161" s="213"/>
      <c r="BV161" s="213"/>
      <c r="BW161" s="213"/>
    </row>
    <row r="162" ht="15.75" customHeight="1">
      <c r="A162" s="213"/>
      <c r="B162" s="213"/>
      <c r="C162" s="213"/>
      <c r="D162" s="213"/>
      <c r="E162" s="213"/>
      <c r="F162" s="215"/>
      <c r="G162" s="213"/>
      <c r="H162" s="325"/>
      <c r="I162" s="213"/>
      <c r="J162" s="325"/>
      <c r="K162" s="213"/>
      <c r="L162" s="215"/>
      <c r="M162" s="213"/>
      <c r="N162" s="215"/>
      <c r="O162" s="213"/>
      <c r="P162" s="215"/>
      <c r="Q162" s="213"/>
      <c r="R162" s="949"/>
      <c r="S162" s="213"/>
      <c r="T162" s="215"/>
      <c r="U162" s="213"/>
      <c r="V162" s="215"/>
      <c r="W162" s="213"/>
      <c r="X162" s="325"/>
      <c r="Y162" s="213"/>
      <c r="Z162" s="215"/>
      <c r="AA162" s="213"/>
      <c r="AB162" s="215"/>
      <c r="AC162" s="213"/>
      <c r="AD162" s="215"/>
      <c r="AE162" s="213"/>
      <c r="AF162" s="328"/>
      <c r="AG162" s="213"/>
      <c r="AH162" s="215"/>
      <c r="AI162" s="213"/>
      <c r="AJ162" s="328"/>
      <c r="AK162" s="213"/>
      <c r="AL162" s="215"/>
      <c r="AM162" s="213"/>
      <c r="AN162" s="328"/>
      <c r="AO162" s="213"/>
      <c r="AP162" s="215"/>
      <c r="AQ162" s="213"/>
      <c r="AR162" s="215"/>
      <c r="AS162" s="213"/>
      <c r="AT162" s="328"/>
      <c r="AU162" s="213"/>
      <c r="AV162" s="215"/>
      <c r="AW162" s="213"/>
      <c r="AX162" s="213"/>
      <c r="AY162" s="213"/>
      <c r="AZ162" s="326"/>
      <c r="BA162" s="213"/>
      <c r="BB162" s="215"/>
      <c r="BC162" s="213"/>
      <c r="BD162" s="213"/>
      <c r="BE162" s="213"/>
      <c r="BF162" s="213"/>
      <c r="BG162" s="213"/>
      <c r="BH162" s="213"/>
      <c r="BI162" s="213"/>
      <c r="BJ162" s="213"/>
      <c r="BK162" s="213"/>
      <c r="BL162" s="213"/>
      <c r="BM162" s="213"/>
      <c r="BN162" s="213"/>
      <c r="BO162" s="213"/>
      <c r="BP162" s="213"/>
      <c r="BQ162" s="213"/>
      <c r="BR162" s="213"/>
      <c r="BS162" s="213"/>
      <c r="BT162" s="213"/>
      <c r="BU162" s="213"/>
      <c r="BV162" s="213"/>
      <c r="BW162" s="213"/>
    </row>
    <row r="163" ht="15.75" customHeight="1">
      <c r="A163" s="213"/>
      <c r="B163" s="213"/>
      <c r="C163" s="213"/>
      <c r="D163" s="213"/>
      <c r="E163" s="213"/>
      <c r="F163" s="215"/>
      <c r="G163" s="213"/>
      <c r="H163" s="325"/>
      <c r="I163" s="213"/>
      <c r="J163" s="325"/>
      <c r="K163" s="213"/>
      <c r="L163" s="215"/>
      <c r="M163" s="213"/>
      <c r="N163" s="215"/>
      <c r="O163" s="213"/>
      <c r="P163" s="215"/>
      <c r="Q163" s="213"/>
      <c r="R163" s="949"/>
      <c r="S163" s="213"/>
      <c r="T163" s="215"/>
      <c r="U163" s="213"/>
      <c r="V163" s="215"/>
      <c r="W163" s="213"/>
      <c r="X163" s="325"/>
      <c r="Y163" s="213"/>
      <c r="Z163" s="215"/>
      <c r="AA163" s="213"/>
      <c r="AB163" s="215"/>
      <c r="AC163" s="213"/>
      <c r="AD163" s="215"/>
      <c r="AE163" s="213"/>
      <c r="AF163" s="328"/>
      <c r="AG163" s="213"/>
      <c r="AH163" s="215"/>
      <c r="AI163" s="213"/>
      <c r="AJ163" s="328"/>
      <c r="AK163" s="213"/>
      <c r="AL163" s="215"/>
      <c r="AM163" s="213"/>
      <c r="AN163" s="328"/>
      <c r="AO163" s="213"/>
      <c r="AP163" s="215"/>
      <c r="AQ163" s="213"/>
      <c r="AR163" s="215"/>
      <c r="AS163" s="213"/>
      <c r="AT163" s="328"/>
      <c r="AU163" s="213"/>
      <c r="AV163" s="215"/>
      <c r="AW163" s="213"/>
      <c r="AX163" s="213"/>
      <c r="AY163" s="213"/>
      <c r="AZ163" s="326"/>
      <c r="BA163" s="213"/>
      <c r="BB163" s="215"/>
      <c r="BC163" s="213"/>
      <c r="BD163" s="213"/>
      <c r="BE163" s="213"/>
      <c r="BF163" s="213"/>
      <c r="BG163" s="213"/>
      <c r="BH163" s="213"/>
      <c r="BI163" s="213"/>
      <c r="BJ163" s="213"/>
      <c r="BK163" s="213"/>
      <c r="BL163" s="213"/>
      <c r="BM163" s="213"/>
      <c r="BN163" s="213"/>
      <c r="BO163" s="213"/>
      <c r="BP163" s="213"/>
      <c r="BQ163" s="213"/>
      <c r="BR163" s="213"/>
      <c r="BS163" s="213"/>
      <c r="BT163" s="213"/>
      <c r="BU163" s="213"/>
      <c r="BV163" s="213"/>
      <c r="BW163" s="213"/>
    </row>
    <row r="164" ht="15.75" customHeight="1">
      <c r="A164" s="213"/>
      <c r="B164" s="213"/>
      <c r="C164" s="213"/>
      <c r="D164" s="213"/>
      <c r="E164" s="213"/>
      <c r="F164" s="215"/>
      <c r="G164" s="213"/>
      <c r="H164" s="325"/>
      <c r="I164" s="213"/>
      <c r="J164" s="325"/>
      <c r="K164" s="213"/>
      <c r="L164" s="215"/>
      <c r="M164" s="213"/>
      <c r="N164" s="215"/>
      <c r="O164" s="213"/>
      <c r="P164" s="215"/>
      <c r="Q164" s="213"/>
      <c r="R164" s="949"/>
      <c r="S164" s="213"/>
      <c r="T164" s="215"/>
      <c r="U164" s="213"/>
      <c r="V164" s="215"/>
      <c r="W164" s="213"/>
      <c r="X164" s="325"/>
      <c r="Y164" s="213"/>
      <c r="Z164" s="215"/>
      <c r="AA164" s="213"/>
      <c r="AB164" s="215"/>
      <c r="AC164" s="213"/>
      <c r="AD164" s="215"/>
      <c r="AE164" s="213"/>
      <c r="AF164" s="328"/>
      <c r="AG164" s="213"/>
      <c r="AH164" s="215"/>
      <c r="AI164" s="213"/>
      <c r="AJ164" s="328"/>
      <c r="AK164" s="213"/>
      <c r="AL164" s="215"/>
      <c r="AM164" s="213"/>
      <c r="AN164" s="328"/>
      <c r="AO164" s="213"/>
      <c r="AP164" s="215"/>
      <c r="AQ164" s="213"/>
      <c r="AR164" s="215"/>
      <c r="AS164" s="213"/>
      <c r="AT164" s="328"/>
      <c r="AU164" s="213"/>
      <c r="AV164" s="215"/>
      <c r="AW164" s="213"/>
      <c r="AX164" s="213"/>
      <c r="AY164" s="213"/>
      <c r="AZ164" s="326"/>
      <c r="BA164" s="213"/>
      <c r="BB164" s="215"/>
      <c r="BC164" s="213"/>
      <c r="BD164" s="213"/>
      <c r="BE164" s="213"/>
      <c r="BF164" s="213"/>
      <c r="BG164" s="213"/>
      <c r="BH164" s="213"/>
      <c r="BI164" s="213"/>
      <c r="BJ164" s="213"/>
      <c r="BK164" s="213"/>
      <c r="BL164" s="213"/>
      <c r="BM164" s="213"/>
      <c r="BN164" s="213"/>
      <c r="BO164" s="213"/>
      <c r="BP164" s="213"/>
      <c r="BQ164" s="213"/>
      <c r="BR164" s="213"/>
      <c r="BS164" s="213"/>
      <c r="BT164" s="213"/>
      <c r="BU164" s="213"/>
      <c r="BV164" s="213"/>
      <c r="BW164" s="213"/>
    </row>
    <row r="165" ht="15.75" customHeight="1">
      <c r="A165" s="213"/>
      <c r="B165" s="213"/>
      <c r="C165" s="213"/>
      <c r="D165" s="213"/>
      <c r="E165" s="213"/>
      <c r="F165" s="215"/>
      <c r="G165" s="213"/>
      <c r="H165" s="325"/>
      <c r="I165" s="213"/>
      <c r="J165" s="325"/>
      <c r="K165" s="213"/>
      <c r="L165" s="215"/>
      <c r="M165" s="213"/>
      <c r="N165" s="215"/>
      <c r="O165" s="213"/>
      <c r="P165" s="215"/>
      <c r="Q165" s="213"/>
      <c r="R165" s="949"/>
      <c r="S165" s="213"/>
      <c r="T165" s="215"/>
      <c r="U165" s="213"/>
      <c r="V165" s="215"/>
      <c r="W165" s="213"/>
      <c r="X165" s="325"/>
      <c r="Y165" s="213"/>
      <c r="Z165" s="215"/>
      <c r="AA165" s="213"/>
      <c r="AB165" s="215"/>
      <c r="AC165" s="213"/>
      <c r="AD165" s="215"/>
      <c r="AE165" s="213"/>
      <c r="AF165" s="328"/>
      <c r="AG165" s="213"/>
      <c r="AH165" s="215"/>
      <c r="AI165" s="213"/>
      <c r="AJ165" s="328"/>
      <c r="AK165" s="213"/>
      <c r="AL165" s="215"/>
      <c r="AM165" s="213"/>
      <c r="AN165" s="328"/>
      <c r="AO165" s="213"/>
      <c r="AP165" s="215"/>
      <c r="AQ165" s="213"/>
      <c r="AR165" s="215"/>
      <c r="AS165" s="213"/>
      <c r="AT165" s="328"/>
      <c r="AU165" s="213"/>
      <c r="AV165" s="215"/>
      <c r="AW165" s="213"/>
      <c r="AX165" s="213"/>
      <c r="AY165" s="213"/>
      <c r="AZ165" s="326"/>
      <c r="BA165" s="213"/>
      <c r="BB165" s="215"/>
      <c r="BC165" s="213"/>
      <c r="BD165" s="213"/>
      <c r="BE165" s="213"/>
      <c r="BF165" s="213"/>
      <c r="BG165" s="213"/>
      <c r="BH165" s="213"/>
      <c r="BI165" s="213"/>
      <c r="BJ165" s="213"/>
      <c r="BK165" s="213"/>
      <c r="BL165" s="213"/>
      <c r="BM165" s="213"/>
      <c r="BN165" s="213"/>
      <c r="BO165" s="213"/>
      <c r="BP165" s="213"/>
      <c r="BQ165" s="213"/>
      <c r="BR165" s="213"/>
      <c r="BS165" s="213"/>
      <c r="BT165" s="213"/>
      <c r="BU165" s="213"/>
      <c r="BV165" s="213"/>
      <c r="BW165" s="213"/>
    </row>
    <row r="166" ht="15.75" customHeight="1">
      <c r="A166" s="213"/>
      <c r="B166" s="213"/>
      <c r="C166" s="213"/>
      <c r="D166" s="213"/>
      <c r="E166" s="213"/>
      <c r="F166" s="215"/>
      <c r="G166" s="213"/>
      <c r="H166" s="325"/>
      <c r="I166" s="213"/>
      <c r="J166" s="325"/>
      <c r="K166" s="213"/>
      <c r="L166" s="215"/>
      <c r="M166" s="213"/>
      <c r="N166" s="215"/>
      <c r="O166" s="213"/>
      <c r="P166" s="215"/>
      <c r="Q166" s="213"/>
      <c r="R166" s="949"/>
      <c r="S166" s="213"/>
      <c r="T166" s="215"/>
      <c r="U166" s="213"/>
      <c r="V166" s="215"/>
      <c r="W166" s="213"/>
      <c r="X166" s="325"/>
      <c r="Y166" s="213"/>
      <c r="Z166" s="215"/>
      <c r="AA166" s="213"/>
      <c r="AB166" s="215"/>
      <c r="AC166" s="213"/>
      <c r="AD166" s="215"/>
      <c r="AE166" s="213"/>
      <c r="AF166" s="328"/>
      <c r="AG166" s="213"/>
      <c r="AH166" s="215"/>
      <c r="AI166" s="213"/>
      <c r="AJ166" s="328"/>
      <c r="AK166" s="213"/>
      <c r="AL166" s="215"/>
      <c r="AM166" s="213"/>
      <c r="AN166" s="328"/>
      <c r="AO166" s="213"/>
      <c r="AP166" s="215"/>
      <c r="AQ166" s="213"/>
      <c r="AR166" s="215"/>
      <c r="AS166" s="213"/>
      <c r="AT166" s="328"/>
      <c r="AU166" s="213"/>
      <c r="AV166" s="215"/>
      <c r="AW166" s="213"/>
      <c r="AX166" s="213"/>
      <c r="AY166" s="213"/>
      <c r="AZ166" s="326"/>
      <c r="BA166" s="213"/>
      <c r="BB166" s="215"/>
      <c r="BC166" s="213"/>
      <c r="BD166" s="213"/>
      <c r="BE166" s="213"/>
      <c r="BF166" s="213"/>
      <c r="BG166" s="213"/>
      <c r="BH166" s="213"/>
      <c r="BI166" s="213"/>
      <c r="BJ166" s="213"/>
      <c r="BK166" s="213"/>
      <c r="BL166" s="213"/>
      <c r="BM166" s="213"/>
      <c r="BN166" s="213"/>
      <c r="BO166" s="213"/>
      <c r="BP166" s="213"/>
      <c r="BQ166" s="213"/>
      <c r="BR166" s="213"/>
      <c r="BS166" s="213"/>
      <c r="BT166" s="213"/>
      <c r="BU166" s="213"/>
      <c r="BV166" s="213"/>
      <c r="BW166" s="213"/>
    </row>
    <row r="167" ht="15.75" customHeight="1">
      <c r="A167" s="213"/>
      <c r="B167" s="213"/>
      <c r="C167" s="213"/>
      <c r="D167" s="213"/>
      <c r="E167" s="213"/>
      <c r="F167" s="215"/>
      <c r="G167" s="213"/>
      <c r="H167" s="325"/>
      <c r="I167" s="213"/>
      <c r="J167" s="325"/>
      <c r="K167" s="213"/>
      <c r="L167" s="215"/>
      <c r="M167" s="213"/>
      <c r="N167" s="215"/>
      <c r="O167" s="213"/>
      <c r="P167" s="215"/>
      <c r="Q167" s="213"/>
      <c r="R167" s="949"/>
      <c r="S167" s="213"/>
      <c r="T167" s="215"/>
      <c r="U167" s="213"/>
      <c r="V167" s="215"/>
      <c r="W167" s="213"/>
      <c r="X167" s="325"/>
      <c r="Y167" s="213"/>
      <c r="Z167" s="215"/>
      <c r="AA167" s="213"/>
      <c r="AB167" s="215"/>
      <c r="AC167" s="213"/>
      <c r="AD167" s="215"/>
      <c r="AE167" s="213"/>
      <c r="AF167" s="328"/>
      <c r="AG167" s="213"/>
      <c r="AH167" s="215"/>
      <c r="AI167" s="213"/>
      <c r="AJ167" s="328"/>
      <c r="AK167" s="213"/>
      <c r="AL167" s="215"/>
      <c r="AM167" s="213"/>
      <c r="AN167" s="328"/>
      <c r="AO167" s="213"/>
      <c r="AP167" s="215"/>
      <c r="AQ167" s="213"/>
      <c r="AR167" s="215"/>
      <c r="AS167" s="213"/>
      <c r="AT167" s="328"/>
      <c r="AU167" s="213"/>
      <c r="AV167" s="215"/>
      <c r="AW167" s="213"/>
      <c r="AX167" s="213"/>
      <c r="AY167" s="213"/>
      <c r="AZ167" s="326"/>
      <c r="BA167" s="213"/>
      <c r="BB167" s="215"/>
      <c r="BC167" s="213"/>
      <c r="BD167" s="213"/>
      <c r="BE167" s="213"/>
      <c r="BF167" s="213"/>
      <c r="BG167" s="213"/>
      <c r="BH167" s="213"/>
      <c r="BI167" s="213"/>
      <c r="BJ167" s="213"/>
      <c r="BK167" s="213"/>
      <c r="BL167" s="213"/>
      <c r="BM167" s="213"/>
      <c r="BN167" s="213"/>
      <c r="BO167" s="213"/>
      <c r="BP167" s="213"/>
      <c r="BQ167" s="213"/>
      <c r="BR167" s="213"/>
      <c r="BS167" s="213"/>
      <c r="BT167" s="213"/>
      <c r="BU167" s="213"/>
      <c r="BV167" s="213"/>
      <c r="BW167" s="213"/>
    </row>
    <row r="168" ht="15.75" customHeight="1">
      <c r="A168" s="213"/>
      <c r="B168" s="213"/>
      <c r="C168" s="213"/>
      <c r="D168" s="213"/>
      <c r="E168" s="213"/>
      <c r="F168" s="215"/>
      <c r="G168" s="213"/>
      <c r="H168" s="325"/>
      <c r="I168" s="213"/>
      <c r="J168" s="325"/>
      <c r="K168" s="213"/>
      <c r="L168" s="215"/>
      <c r="M168" s="213"/>
      <c r="N168" s="215"/>
      <c r="O168" s="213"/>
      <c r="P168" s="215"/>
      <c r="Q168" s="213"/>
      <c r="R168" s="949"/>
      <c r="S168" s="213"/>
      <c r="T168" s="215"/>
      <c r="U168" s="213"/>
      <c r="V168" s="215"/>
      <c r="W168" s="213"/>
      <c r="X168" s="325"/>
      <c r="Y168" s="213"/>
      <c r="Z168" s="215"/>
      <c r="AA168" s="213"/>
      <c r="AB168" s="215"/>
      <c r="AC168" s="213"/>
      <c r="AD168" s="215"/>
      <c r="AE168" s="213"/>
      <c r="AF168" s="328"/>
      <c r="AG168" s="213"/>
      <c r="AH168" s="215"/>
      <c r="AI168" s="213"/>
      <c r="AJ168" s="328"/>
      <c r="AK168" s="213"/>
      <c r="AL168" s="215"/>
      <c r="AM168" s="213"/>
      <c r="AN168" s="328"/>
      <c r="AO168" s="213"/>
      <c r="AP168" s="215"/>
      <c r="AQ168" s="213"/>
      <c r="AR168" s="215"/>
      <c r="AS168" s="213"/>
      <c r="AT168" s="328"/>
      <c r="AU168" s="213"/>
      <c r="AV168" s="215"/>
      <c r="AW168" s="213"/>
      <c r="AX168" s="213"/>
      <c r="AY168" s="213"/>
      <c r="AZ168" s="326"/>
      <c r="BA168" s="213"/>
      <c r="BB168" s="215"/>
      <c r="BC168" s="213"/>
      <c r="BD168" s="213"/>
      <c r="BE168" s="213"/>
      <c r="BF168" s="213"/>
      <c r="BG168" s="213"/>
      <c r="BH168" s="213"/>
      <c r="BI168" s="213"/>
      <c r="BJ168" s="213"/>
      <c r="BK168" s="213"/>
      <c r="BL168" s="213"/>
      <c r="BM168" s="213"/>
      <c r="BN168" s="213"/>
      <c r="BO168" s="213"/>
      <c r="BP168" s="213"/>
      <c r="BQ168" s="213"/>
      <c r="BR168" s="213"/>
      <c r="BS168" s="213"/>
      <c r="BT168" s="213"/>
      <c r="BU168" s="213"/>
      <c r="BV168" s="213"/>
      <c r="BW168" s="213"/>
    </row>
    <row r="169" ht="15.75" customHeight="1">
      <c r="A169" s="213"/>
      <c r="B169" s="213"/>
      <c r="C169" s="213"/>
      <c r="D169" s="213"/>
      <c r="E169" s="213"/>
      <c r="F169" s="215"/>
      <c r="G169" s="213"/>
      <c r="H169" s="325"/>
      <c r="I169" s="213"/>
      <c r="J169" s="325"/>
      <c r="K169" s="213"/>
      <c r="L169" s="215"/>
      <c r="M169" s="213"/>
      <c r="N169" s="215"/>
      <c r="O169" s="213"/>
      <c r="P169" s="215"/>
      <c r="Q169" s="213"/>
      <c r="R169" s="949"/>
      <c r="S169" s="213"/>
      <c r="T169" s="215"/>
      <c r="U169" s="213"/>
      <c r="V169" s="215"/>
      <c r="W169" s="213"/>
      <c r="X169" s="325"/>
      <c r="Y169" s="213"/>
      <c r="Z169" s="215"/>
      <c r="AA169" s="213"/>
      <c r="AB169" s="215"/>
      <c r="AC169" s="213"/>
      <c r="AD169" s="215"/>
      <c r="AE169" s="213"/>
      <c r="AF169" s="328"/>
      <c r="AG169" s="213"/>
      <c r="AH169" s="215"/>
      <c r="AI169" s="213"/>
      <c r="AJ169" s="328"/>
      <c r="AK169" s="213"/>
      <c r="AL169" s="215"/>
      <c r="AM169" s="213"/>
      <c r="AN169" s="328"/>
      <c r="AO169" s="213"/>
      <c r="AP169" s="215"/>
      <c r="AQ169" s="213"/>
      <c r="AR169" s="215"/>
      <c r="AS169" s="213"/>
      <c r="AT169" s="328"/>
      <c r="AU169" s="213"/>
      <c r="AV169" s="215"/>
      <c r="AW169" s="213"/>
      <c r="AX169" s="213"/>
      <c r="AY169" s="213"/>
      <c r="AZ169" s="326"/>
      <c r="BA169" s="213"/>
      <c r="BB169" s="215"/>
      <c r="BC169" s="213"/>
      <c r="BD169" s="213"/>
      <c r="BE169" s="213"/>
      <c r="BF169" s="213"/>
      <c r="BG169" s="213"/>
      <c r="BH169" s="213"/>
      <c r="BI169" s="213"/>
      <c r="BJ169" s="213"/>
      <c r="BK169" s="213"/>
      <c r="BL169" s="213"/>
      <c r="BM169" s="213"/>
      <c r="BN169" s="213"/>
      <c r="BO169" s="213"/>
      <c r="BP169" s="213"/>
      <c r="BQ169" s="213"/>
      <c r="BR169" s="213"/>
      <c r="BS169" s="213"/>
      <c r="BT169" s="213"/>
      <c r="BU169" s="213"/>
      <c r="BV169" s="213"/>
      <c r="BW169" s="213"/>
    </row>
    <row r="170" ht="15.75" customHeight="1">
      <c r="A170" s="213"/>
      <c r="B170" s="213"/>
      <c r="C170" s="213"/>
      <c r="D170" s="213"/>
      <c r="E170" s="213"/>
      <c r="F170" s="215"/>
      <c r="G170" s="213"/>
      <c r="H170" s="325"/>
      <c r="I170" s="213"/>
      <c r="J170" s="325"/>
      <c r="K170" s="213"/>
      <c r="L170" s="215"/>
      <c r="M170" s="213"/>
      <c r="N170" s="215"/>
      <c r="O170" s="213"/>
      <c r="P170" s="215"/>
      <c r="Q170" s="213"/>
      <c r="R170" s="949"/>
      <c r="S170" s="213"/>
      <c r="T170" s="215"/>
      <c r="U170" s="213"/>
      <c r="V170" s="215"/>
      <c r="W170" s="213"/>
      <c r="X170" s="325"/>
      <c r="Y170" s="213"/>
      <c r="Z170" s="215"/>
      <c r="AA170" s="213"/>
      <c r="AB170" s="215"/>
      <c r="AC170" s="213"/>
      <c r="AD170" s="215"/>
      <c r="AE170" s="213"/>
      <c r="AF170" s="328"/>
      <c r="AG170" s="213"/>
      <c r="AH170" s="215"/>
      <c r="AI170" s="213"/>
      <c r="AJ170" s="328"/>
      <c r="AK170" s="213"/>
      <c r="AL170" s="215"/>
      <c r="AM170" s="213"/>
      <c r="AN170" s="328"/>
      <c r="AO170" s="213"/>
      <c r="AP170" s="215"/>
      <c r="AQ170" s="213"/>
      <c r="AR170" s="215"/>
      <c r="AS170" s="213"/>
      <c r="AT170" s="328"/>
      <c r="AU170" s="213"/>
      <c r="AV170" s="215"/>
      <c r="AW170" s="213"/>
      <c r="AX170" s="213"/>
      <c r="AY170" s="213"/>
      <c r="AZ170" s="326"/>
      <c r="BA170" s="213"/>
      <c r="BB170" s="215"/>
      <c r="BC170" s="213"/>
      <c r="BD170" s="213"/>
      <c r="BE170" s="213"/>
      <c r="BF170" s="213"/>
      <c r="BG170" s="213"/>
      <c r="BH170" s="213"/>
      <c r="BI170" s="213"/>
      <c r="BJ170" s="213"/>
      <c r="BK170" s="213"/>
      <c r="BL170" s="213"/>
      <c r="BM170" s="213"/>
      <c r="BN170" s="213"/>
      <c r="BO170" s="213"/>
      <c r="BP170" s="213"/>
      <c r="BQ170" s="213"/>
      <c r="BR170" s="213"/>
      <c r="BS170" s="213"/>
      <c r="BT170" s="213"/>
      <c r="BU170" s="213"/>
      <c r="BV170" s="213"/>
      <c r="BW170" s="213"/>
    </row>
    <row r="171" ht="15.75" customHeight="1">
      <c r="A171" s="213"/>
      <c r="B171" s="213"/>
      <c r="C171" s="213"/>
      <c r="D171" s="213"/>
      <c r="E171" s="213"/>
      <c r="F171" s="215"/>
      <c r="G171" s="213"/>
      <c r="H171" s="325"/>
      <c r="I171" s="213"/>
      <c r="J171" s="325"/>
      <c r="K171" s="213"/>
      <c r="L171" s="215"/>
      <c r="M171" s="213"/>
      <c r="N171" s="215"/>
      <c r="O171" s="213"/>
      <c r="P171" s="215"/>
      <c r="Q171" s="213"/>
      <c r="R171" s="949"/>
      <c r="S171" s="213"/>
      <c r="T171" s="215"/>
      <c r="U171" s="213"/>
      <c r="V171" s="215"/>
      <c r="W171" s="213"/>
      <c r="X171" s="325"/>
      <c r="Y171" s="213"/>
      <c r="Z171" s="215"/>
      <c r="AA171" s="213"/>
      <c r="AB171" s="215"/>
      <c r="AC171" s="213"/>
      <c r="AD171" s="215"/>
      <c r="AE171" s="213"/>
      <c r="AF171" s="328"/>
      <c r="AG171" s="213"/>
      <c r="AH171" s="215"/>
      <c r="AI171" s="213"/>
      <c r="AJ171" s="328"/>
      <c r="AK171" s="213"/>
      <c r="AL171" s="215"/>
      <c r="AM171" s="213"/>
      <c r="AN171" s="328"/>
      <c r="AO171" s="213"/>
      <c r="AP171" s="215"/>
      <c r="AQ171" s="213"/>
      <c r="AR171" s="215"/>
      <c r="AS171" s="213"/>
      <c r="AT171" s="328"/>
      <c r="AU171" s="213"/>
      <c r="AV171" s="215"/>
      <c r="AW171" s="213"/>
      <c r="AX171" s="213"/>
      <c r="AY171" s="213"/>
      <c r="AZ171" s="326"/>
      <c r="BA171" s="213"/>
      <c r="BB171" s="215"/>
      <c r="BC171" s="213"/>
      <c r="BD171" s="213"/>
      <c r="BE171" s="213"/>
      <c r="BF171" s="213"/>
      <c r="BG171" s="213"/>
      <c r="BH171" s="213"/>
      <c r="BI171" s="213"/>
      <c r="BJ171" s="213"/>
      <c r="BK171" s="213"/>
      <c r="BL171" s="213"/>
      <c r="BM171" s="213"/>
      <c r="BN171" s="213"/>
      <c r="BO171" s="213"/>
      <c r="BP171" s="213"/>
      <c r="BQ171" s="213"/>
      <c r="BR171" s="213"/>
      <c r="BS171" s="213"/>
      <c r="BT171" s="213"/>
      <c r="BU171" s="213"/>
      <c r="BV171" s="213"/>
      <c r="BW171" s="213"/>
    </row>
    <row r="172" ht="15.75" customHeight="1">
      <c r="A172" s="213"/>
      <c r="B172" s="213"/>
      <c r="C172" s="213"/>
      <c r="D172" s="213"/>
      <c r="E172" s="213"/>
      <c r="F172" s="215"/>
      <c r="G172" s="213"/>
      <c r="H172" s="325"/>
      <c r="I172" s="213"/>
      <c r="J172" s="325"/>
      <c r="K172" s="213"/>
      <c r="L172" s="215"/>
      <c r="M172" s="213"/>
      <c r="N172" s="215"/>
      <c r="O172" s="213"/>
      <c r="P172" s="215"/>
      <c r="Q172" s="213"/>
      <c r="R172" s="949"/>
      <c r="S172" s="213"/>
      <c r="T172" s="215"/>
      <c r="U172" s="213"/>
      <c r="V172" s="215"/>
      <c r="W172" s="213"/>
      <c r="X172" s="325"/>
      <c r="Y172" s="213"/>
      <c r="Z172" s="215"/>
      <c r="AA172" s="213"/>
      <c r="AB172" s="215"/>
      <c r="AC172" s="213"/>
      <c r="AD172" s="215"/>
      <c r="AE172" s="213"/>
      <c r="AF172" s="328"/>
      <c r="AG172" s="213"/>
      <c r="AH172" s="215"/>
      <c r="AI172" s="213"/>
      <c r="AJ172" s="328"/>
      <c r="AK172" s="213"/>
      <c r="AL172" s="215"/>
      <c r="AM172" s="213"/>
      <c r="AN172" s="328"/>
      <c r="AO172" s="213"/>
      <c r="AP172" s="215"/>
      <c r="AQ172" s="213"/>
      <c r="AR172" s="215"/>
      <c r="AS172" s="213"/>
      <c r="AT172" s="328"/>
      <c r="AU172" s="213"/>
      <c r="AV172" s="215"/>
      <c r="AW172" s="213"/>
      <c r="AX172" s="213"/>
      <c r="AY172" s="213"/>
      <c r="AZ172" s="326"/>
      <c r="BA172" s="213"/>
      <c r="BB172" s="215"/>
      <c r="BC172" s="213"/>
      <c r="BD172" s="213"/>
      <c r="BE172" s="213"/>
      <c r="BF172" s="213"/>
      <c r="BG172" s="213"/>
      <c r="BH172" s="213"/>
      <c r="BI172" s="213"/>
      <c r="BJ172" s="213"/>
      <c r="BK172" s="213"/>
      <c r="BL172" s="213"/>
      <c r="BM172" s="213"/>
      <c r="BN172" s="213"/>
      <c r="BO172" s="213"/>
      <c r="BP172" s="213"/>
      <c r="BQ172" s="213"/>
      <c r="BR172" s="213"/>
      <c r="BS172" s="213"/>
      <c r="BT172" s="213"/>
      <c r="BU172" s="213"/>
      <c r="BV172" s="213"/>
      <c r="BW172" s="213"/>
    </row>
    <row r="173" ht="15.75" customHeight="1">
      <c r="A173" s="213"/>
      <c r="B173" s="213"/>
      <c r="C173" s="213"/>
      <c r="D173" s="213"/>
      <c r="E173" s="213"/>
      <c r="F173" s="215"/>
      <c r="G173" s="213"/>
      <c r="H173" s="325"/>
      <c r="I173" s="213"/>
      <c r="J173" s="325"/>
      <c r="K173" s="213"/>
      <c r="L173" s="215"/>
      <c r="M173" s="213"/>
      <c r="N173" s="215"/>
      <c r="O173" s="213"/>
      <c r="P173" s="215"/>
      <c r="Q173" s="213"/>
      <c r="R173" s="949"/>
      <c r="S173" s="213"/>
      <c r="T173" s="215"/>
      <c r="U173" s="213"/>
      <c r="V173" s="215"/>
      <c r="W173" s="213"/>
      <c r="X173" s="325"/>
      <c r="Y173" s="213"/>
      <c r="Z173" s="215"/>
      <c r="AA173" s="213"/>
      <c r="AB173" s="215"/>
      <c r="AC173" s="213"/>
      <c r="AD173" s="215"/>
      <c r="AE173" s="213"/>
      <c r="AF173" s="328"/>
      <c r="AG173" s="213"/>
      <c r="AH173" s="215"/>
      <c r="AI173" s="213"/>
      <c r="AJ173" s="328"/>
      <c r="AK173" s="213"/>
      <c r="AL173" s="215"/>
      <c r="AM173" s="213"/>
      <c r="AN173" s="328"/>
      <c r="AO173" s="213"/>
      <c r="AP173" s="215"/>
      <c r="AQ173" s="213"/>
      <c r="AR173" s="215"/>
      <c r="AS173" s="213"/>
      <c r="AT173" s="328"/>
      <c r="AU173" s="213"/>
      <c r="AV173" s="215"/>
      <c r="AW173" s="213"/>
      <c r="AX173" s="213"/>
      <c r="AY173" s="213"/>
      <c r="AZ173" s="326"/>
      <c r="BA173" s="213"/>
      <c r="BB173" s="215"/>
      <c r="BC173" s="213"/>
      <c r="BD173" s="213"/>
      <c r="BE173" s="213"/>
      <c r="BF173" s="213"/>
      <c r="BG173" s="213"/>
      <c r="BH173" s="213"/>
      <c r="BI173" s="213"/>
      <c r="BJ173" s="213"/>
      <c r="BK173" s="213"/>
      <c r="BL173" s="213"/>
      <c r="BM173" s="213"/>
      <c r="BN173" s="213"/>
      <c r="BO173" s="213"/>
      <c r="BP173" s="213"/>
      <c r="BQ173" s="213"/>
      <c r="BR173" s="213"/>
      <c r="BS173" s="213"/>
      <c r="BT173" s="213"/>
      <c r="BU173" s="213"/>
      <c r="BV173" s="213"/>
      <c r="BW173" s="213"/>
    </row>
    <row r="174" ht="15.75" customHeight="1">
      <c r="A174" s="213"/>
      <c r="B174" s="213"/>
      <c r="C174" s="213"/>
      <c r="D174" s="213"/>
      <c r="E174" s="213"/>
      <c r="F174" s="215"/>
      <c r="G174" s="213"/>
      <c r="H174" s="325"/>
      <c r="I174" s="213"/>
      <c r="J174" s="325"/>
      <c r="K174" s="213"/>
      <c r="L174" s="215"/>
      <c r="M174" s="213"/>
      <c r="N174" s="215"/>
      <c r="O174" s="213"/>
      <c r="P174" s="215"/>
      <c r="Q174" s="213"/>
      <c r="R174" s="949"/>
      <c r="S174" s="213"/>
      <c r="T174" s="215"/>
      <c r="U174" s="213"/>
      <c r="V174" s="215"/>
      <c r="W174" s="213"/>
      <c r="X174" s="325"/>
      <c r="Y174" s="213"/>
      <c r="Z174" s="215"/>
      <c r="AA174" s="213"/>
      <c r="AB174" s="215"/>
      <c r="AC174" s="213"/>
      <c r="AD174" s="215"/>
      <c r="AE174" s="213"/>
      <c r="AF174" s="328"/>
      <c r="AG174" s="213"/>
      <c r="AH174" s="215"/>
      <c r="AI174" s="213"/>
      <c r="AJ174" s="328"/>
      <c r="AK174" s="213"/>
      <c r="AL174" s="215"/>
      <c r="AM174" s="213"/>
      <c r="AN174" s="328"/>
      <c r="AO174" s="213"/>
      <c r="AP174" s="215"/>
      <c r="AQ174" s="213"/>
      <c r="AR174" s="215"/>
      <c r="AS174" s="213"/>
      <c r="AT174" s="328"/>
      <c r="AU174" s="213"/>
      <c r="AV174" s="215"/>
      <c r="AW174" s="213"/>
      <c r="AX174" s="213"/>
      <c r="AY174" s="213"/>
      <c r="AZ174" s="326"/>
      <c r="BA174" s="213"/>
      <c r="BB174" s="215"/>
      <c r="BC174" s="213"/>
      <c r="BD174" s="213"/>
      <c r="BE174" s="213"/>
      <c r="BF174" s="213"/>
      <c r="BG174" s="213"/>
      <c r="BH174" s="213"/>
      <c r="BI174" s="213"/>
      <c r="BJ174" s="213"/>
      <c r="BK174" s="213"/>
      <c r="BL174" s="213"/>
      <c r="BM174" s="213"/>
      <c r="BN174" s="213"/>
      <c r="BO174" s="213"/>
      <c r="BP174" s="213"/>
      <c r="BQ174" s="213"/>
      <c r="BR174" s="213"/>
      <c r="BS174" s="213"/>
      <c r="BT174" s="213"/>
      <c r="BU174" s="213"/>
      <c r="BV174" s="213"/>
      <c r="BW174" s="213"/>
    </row>
    <row r="175" ht="15.75" customHeight="1">
      <c r="A175" s="213"/>
      <c r="B175" s="213"/>
      <c r="C175" s="213"/>
      <c r="D175" s="213"/>
      <c r="E175" s="213"/>
      <c r="F175" s="215"/>
      <c r="G175" s="213"/>
      <c r="H175" s="325"/>
      <c r="I175" s="213"/>
      <c r="J175" s="325"/>
      <c r="K175" s="213"/>
      <c r="L175" s="215"/>
      <c r="M175" s="213"/>
      <c r="N175" s="215"/>
      <c r="O175" s="213"/>
      <c r="P175" s="215"/>
      <c r="Q175" s="213"/>
      <c r="R175" s="949"/>
      <c r="S175" s="213"/>
      <c r="T175" s="215"/>
      <c r="U175" s="213"/>
      <c r="V175" s="215"/>
      <c r="W175" s="213"/>
      <c r="X175" s="325"/>
      <c r="Y175" s="213"/>
      <c r="Z175" s="215"/>
      <c r="AA175" s="213"/>
      <c r="AB175" s="215"/>
      <c r="AC175" s="213"/>
      <c r="AD175" s="215"/>
      <c r="AE175" s="213"/>
      <c r="AF175" s="328"/>
      <c r="AG175" s="213"/>
      <c r="AH175" s="215"/>
      <c r="AI175" s="213"/>
      <c r="AJ175" s="328"/>
      <c r="AK175" s="213"/>
      <c r="AL175" s="215"/>
      <c r="AM175" s="213"/>
      <c r="AN175" s="328"/>
      <c r="AO175" s="213"/>
      <c r="AP175" s="215"/>
      <c r="AQ175" s="213"/>
      <c r="AR175" s="215"/>
      <c r="AS175" s="213"/>
      <c r="AT175" s="328"/>
      <c r="AU175" s="213"/>
      <c r="AV175" s="215"/>
      <c r="AW175" s="213"/>
      <c r="AX175" s="213"/>
      <c r="AY175" s="213"/>
      <c r="AZ175" s="326"/>
      <c r="BA175" s="213"/>
      <c r="BB175" s="215"/>
      <c r="BC175" s="213"/>
      <c r="BD175" s="213"/>
      <c r="BE175" s="213"/>
      <c r="BF175" s="213"/>
      <c r="BG175" s="213"/>
      <c r="BH175" s="213"/>
      <c r="BI175" s="213"/>
      <c r="BJ175" s="213"/>
      <c r="BK175" s="213"/>
      <c r="BL175" s="213"/>
      <c r="BM175" s="213"/>
      <c r="BN175" s="213"/>
      <c r="BO175" s="213"/>
      <c r="BP175" s="213"/>
      <c r="BQ175" s="213"/>
      <c r="BR175" s="213"/>
      <c r="BS175" s="213"/>
      <c r="BT175" s="213"/>
      <c r="BU175" s="213"/>
      <c r="BV175" s="213"/>
      <c r="BW175" s="213"/>
    </row>
    <row r="176" ht="15.75" customHeight="1">
      <c r="A176" s="213"/>
      <c r="B176" s="213"/>
      <c r="C176" s="213"/>
      <c r="D176" s="213"/>
      <c r="E176" s="213"/>
      <c r="F176" s="215"/>
      <c r="G176" s="213"/>
      <c r="H176" s="325"/>
      <c r="I176" s="213"/>
      <c r="J176" s="325"/>
      <c r="K176" s="213"/>
      <c r="L176" s="215"/>
      <c r="M176" s="213"/>
      <c r="N176" s="215"/>
      <c r="O176" s="213"/>
      <c r="P176" s="215"/>
      <c r="Q176" s="213"/>
      <c r="R176" s="949"/>
      <c r="S176" s="213"/>
      <c r="T176" s="215"/>
      <c r="U176" s="213"/>
      <c r="V176" s="215"/>
      <c r="W176" s="213"/>
      <c r="X176" s="325"/>
      <c r="Y176" s="213"/>
      <c r="Z176" s="215"/>
      <c r="AA176" s="213"/>
      <c r="AB176" s="215"/>
      <c r="AC176" s="213"/>
      <c r="AD176" s="215"/>
      <c r="AE176" s="213"/>
      <c r="AF176" s="215"/>
      <c r="AG176" s="213"/>
      <c r="AH176" s="215"/>
      <c r="AI176" s="213"/>
      <c r="AJ176" s="215"/>
      <c r="AK176" s="213"/>
      <c r="AL176" s="215"/>
      <c r="AM176" s="213"/>
      <c r="AN176" s="215"/>
      <c r="AO176" s="213"/>
      <c r="AP176" s="215"/>
      <c r="AQ176" s="213"/>
      <c r="AR176" s="215"/>
      <c r="AS176" s="213"/>
      <c r="AT176" s="215"/>
      <c r="AU176" s="213"/>
      <c r="AV176" s="215"/>
      <c r="AW176" s="213"/>
      <c r="AX176" s="213"/>
      <c r="AY176" s="213"/>
      <c r="AZ176" s="326"/>
      <c r="BA176" s="213"/>
      <c r="BB176" s="215"/>
      <c r="BC176" s="213"/>
      <c r="BD176" s="213"/>
      <c r="BE176" s="213"/>
      <c r="BF176" s="213"/>
      <c r="BG176" s="213"/>
      <c r="BH176" s="213"/>
      <c r="BI176" s="213"/>
      <c r="BJ176" s="213"/>
      <c r="BK176" s="213"/>
      <c r="BL176" s="213"/>
      <c r="BM176" s="213"/>
      <c r="BN176" s="213"/>
      <c r="BO176" s="213"/>
      <c r="BP176" s="213"/>
      <c r="BQ176" s="213"/>
      <c r="BR176" s="213"/>
      <c r="BS176" s="213"/>
      <c r="BT176" s="213"/>
      <c r="BU176" s="213"/>
      <c r="BV176" s="213"/>
      <c r="BW176" s="213"/>
    </row>
    <row r="177" ht="15.75" customHeight="1">
      <c r="A177" s="213"/>
      <c r="B177" s="213"/>
      <c r="C177" s="213"/>
      <c r="D177" s="213"/>
      <c r="E177" s="213"/>
      <c r="F177" s="215"/>
      <c r="G177" s="213"/>
      <c r="H177" s="325"/>
      <c r="I177" s="213"/>
      <c r="J177" s="325"/>
      <c r="K177" s="213"/>
      <c r="L177" s="215"/>
      <c r="M177" s="213"/>
      <c r="N177" s="215"/>
      <c r="O177" s="213"/>
      <c r="P177" s="215"/>
      <c r="Q177" s="213"/>
      <c r="R177" s="949"/>
      <c r="S177" s="213"/>
      <c r="T177" s="215"/>
      <c r="U177" s="213"/>
      <c r="V177" s="215"/>
      <c r="W177" s="213"/>
      <c r="X177" s="325"/>
      <c r="Y177" s="213"/>
      <c r="Z177" s="215"/>
      <c r="AA177" s="213"/>
      <c r="AB177" s="215"/>
      <c r="AC177" s="213"/>
      <c r="AD177" s="215"/>
      <c r="AE177" s="213"/>
      <c r="AF177" s="215"/>
      <c r="AG177" s="213"/>
      <c r="AH177" s="215"/>
      <c r="AI177" s="213"/>
      <c r="AJ177" s="215"/>
      <c r="AK177" s="213"/>
      <c r="AL177" s="215"/>
      <c r="AM177" s="213"/>
      <c r="AN177" s="215"/>
      <c r="AO177" s="213"/>
      <c r="AP177" s="215"/>
      <c r="AQ177" s="213"/>
      <c r="AR177" s="215"/>
      <c r="AS177" s="213"/>
      <c r="AT177" s="215"/>
      <c r="AU177" s="213"/>
      <c r="AV177" s="215"/>
      <c r="AW177" s="213"/>
      <c r="AX177" s="213"/>
      <c r="AY177" s="213"/>
      <c r="AZ177" s="326"/>
      <c r="BA177" s="213"/>
      <c r="BB177" s="215"/>
      <c r="BC177" s="213"/>
      <c r="BD177" s="213"/>
      <c r="BE177" s="213"/>
      <c r="BF177" s="213"/>
      <c r="BG177" s="213"/>
      <c r="BH177" s="213"/>
      <c r="BI177" s="213"/>
      <c r="BJ177" s="213"/>
      <c r="BK177" s="213"/>
      <c r="BL177" s="213"/>
      <c r="BM177" s="213"/>
      <c r="BN177" s="213"/>
      <c r="BO177" s="213"/>
      <c r="BP177" s="213"/>
      <c r="BQ177" s="213"/>
      <c r="BR177" s="213"/>
      <c r="BS177" s="213"/>
      <c r="BT177" s="213"/>
      <c r="BU177" s="213"/>
      <c r="BV177" s="213"/>
      <c r="BW177" s="213"/>
    </row>
    <row r="178" ht="15.75" customHeight="1">
      <c r="A178" s="213"/>
      <c r="B178" s="213"/>
      <c r="C178" s="213"/>
      <c r="D178" s="213"/>
      <c r="E178" s="213"/>
      <c r="F178" s="215"/>
      <c r="G178" s="213"/>
      <c r="H178" s="325"/>
      <c r="I178" s="213"/>
      <c r="J178" s="325"/>
      <c r="K178" s="213"/>
      <c r="L178" s="215"/>
      <c r="M178" s="213"/>
      <c r="N178" s="215"/>
      <c r="O178" s="213"/>
      <c r="P178" s="215"/>
      <c r="Q178" s="213"/>
      <c r="R178" s="949"/>
      <c r="S178" s="213"/>
      <c r="T178" s="215"/>
      <c r="U178" s="213"/>
      <c r="V178" s="215"/>
      <c r="W178" s="213"/>
      <c r="X178" s="325"/>
      <c r="Y178" s="213"/>
      <c r="Z178" s="215"/>
      <c r="AA178" s="213"/>
      <c r="AB178" s="215"/>
      <c r="AC178" s="213"/>
      <c r="AD178" s="215"/>
      <c r="AE178" s="213"/>
      <c r="AF178" s="215"/>
      <c r="AG178" s="213"/>
      <c r="AH178" s="215"/>
      <c r="AI178" s="213"/>
      <c r="AJ178" s="215"/>
      <c r="AK178" s="213"/>
      <c r="AL178" s="215"/>
      <c r="AM178" s="213"/>
      <c r="AN178" s="215"/>
      <c r="AO178" s="213"/>
      <c r="AP178" s="215"/>
      <c r="AQ178" s="213"/>
      <c r="AR178" s="215"/>
      <c r="AS178" s="213"/>
      <c r="AT178" s="215"/>
      <c r="AU178" s="213"/>
      <c r="AV178" s="215"/>
      <c r="AW178" s="213"/>
      <c r="AX178" s="213"/>
      <c r="AY178" s="213"/>
      <c r="AZ178" s="326"/>
      <c r="BA178" s="213"/>
      <c r="BB178" s="215"/>
      <c r="BC178" s="213"/>
      <c r="BD178" s="213"/>
      <c r="BE178" s="213"/>
      <c r="BF178" s="213"/>
      <c r="BG178" s="213"/>
      <c r="BH178" s="213"/>
      <c r="BI178" s="213"/>
      <c r="BJ178" s="213"/>
      <c r="BK178" s="213"/>
      <c r="BL178" s="213"/>
      <c r="BM178" s="213"/>
      <c r="BN178" s="213"/>
      <c r="BO178" s="213"/>
      <c r="BP178" s="213"/>
      <c r="BQ178" s="213"/>
      <c r="BR178" s="213"/>
      <c r="BS178" s="213"/>
      <c r="BT178" s="213"/>
      <c r="BU178" s="213"/>
      <c r="BV178" s="213"/>
      <c r="BW178" s="213"/>
    </row>
    <row r="179" ht="15.75" customHeight="1">
      <c r="A179" s="213"/>
      <c r="B179" s="213"/>
      <c r="C179" s="213"/>
      <c r="D179" s="213"/>
      <c r="E179" s="213"/>
      <c r="F179" s="215"/>
      <c r="G179" s="213"/>
      <c r="H179" s="325"/>
      <c r="I179" s="213"/>
      <c r="J179" s="325"/>
      <c r="K179" s="213"/>
      <c r="L179" s="215"/>
      <c r="M179" s="213"/>
      <c r="N179" s="215"/>
      <c r="O179" s="213"/>
      <c r="P179" s="215"/>
      <c r="Q179" s="213"/>
      <c r="R179" s="949"/>
      <c r="S179" s="213"/>
      <c r="T179" s="215"/>
      <c r="U179" s="213"/>
      <c r="V179" s="215"/>
      <c r="W179" s="213"/>
      <c r="X179" s="325"/>
      <c r="Y179" s="213"/>
      <c r="Z179" s="215"/>
      <c r="AA179" s="213"/>
      <c r="AB179" s="215"/>
      <c r="AC179" s="213"/>
      <c r="AD179" s="215"/>
      <c r="AE179" s="213"/>
      <c r="AF179" s="215"/>
      <c r="AG179" s="213"/>
      <c r="AH179" s="215"/>
      <c r="AI179" s="213"/>
      <c r="AJ179" s="215"/>
      <c r="AK179" s="213"/>
      <c r="AL179" s="215"/>
      <c r="AM179" s="213"/>
      <c r="AN179" s="215"/>
      <c r="AO179" s="213"/>
      <c r="AP179" s="215"/>
      <c r="AQ179" s="213"/>
      <c r="AR179" s="215"/>
      <c r="AS179" s="213"/>
      <c r="AT179" s="215"/>
      <c r="AU179" s="213"/>
      <c r="AV179" s="215"/>
      <c r="AW179" s="213"/>
      <c r="AX179" s="213"/>
      <c r="AY179" s="213"/>
      <c r="AZ179" s="326"/>
      <c r="BA179" s="213"/>
      <c r="BB179" s="215"/>
      <c r="BC179" s="213"/>
      <c r="BD179" s="213"/>
      <c r="BE179" s="213"/>
      <c r="BF179" s="213"/>
      <c r="BG179" s="213"/>
      <c r="BH179" s="213"/>
      <c r="BI179" s="213"/>
      <c r="BJ179" s="213"/>
      <c r="BK179" s="213"/>
      <c r="BL179" s="213"/>
      <c r="BM179" s="213"/>
      <c r="BN179" s="213"/>
      <c r="BO179" s="213"/>
      <c r="BP179" s="213"/>
      <c r="BQ179" s="213"/>
      <c r="BR179" s="213"/>
      <c r="BS179" s="213"/>
      <c r="BT179" s="213"/>
      <c r="BU179" s="213"/>
      <c r="BV179" s="213"/>
      <c r="BW179" s="213"/>
    </row>
    <row r="180" ht="15.75" customHeight="1">
      <c r="A180" s="213"/>
      <c r="B180" s="213"/>
      <c r="C180" s="213"/>
      <c r="D180" s="213"/>
      <c r="E180" s="213"/>
      <c r="F180" s="215"/>
      <c r="G180" s="213"/>
      <c r="H180" s="325"/>
      <c r="I180" s="213"/>
      <c r="J180" s="325"/>
      <c r="K180" s="213"/>
      <c r="L180" s="215"/>
      <c r="M180" s="213"/>
      <c r="N180" s="215"/>
      <c r="O180" s="213"/>
      <c r="P180" s="215"/>
      <c r="Q180" s="213"/>
      <c r="R180" s="949"/>
      <c r="S180" s="213"/>
      <c r="T180" s="215"/>
      <c r="U180" s="213"/>
      <c r="V180" s="215"/>
      <c r="W180" s="213"/>
      <c r="X180" s="325"/>
      <c r="Y180" s="213"/>
      <c r="Z180" s="215"/>
      <c r="AA180" s="213"/>
      <c r="AB180" s="215"/>
      <c r="AC180" s="213"/>
      <c r="AD180" s="215"/>
      <c r="AE180" s="213"/>
      <c r="AF180" s="215"/>
      <c r="AG180" s="213"/>
      <c r="AH180" s="215"/>
      <c r="AI180" s="213"/>
      <c r="AJ180" s="215"/>
      <c r="AK180" s="213"/>
      <c r="AL180" s="215"/>
      <c r="AM180" s="213"/>
      <c r="AN180" s="215"/>
      <c r="AO180" s="213"/>
      <c r="AP180" s="215"/>
      <c r="AQ180" s="213"/>
      <c r="AR180" s="215"/>
      <c r="AS180" s="213"/>
      <c r="AT180" s="215"/>
      <c r="AU180" s="213"/>
      <c r="AV180" s="215"/>
      <c r="AW180" s="213"/>
      <c r="AX180" s="213"/>
      <c r="AY180" s="213"/>
      <c r="AZ180" s="326"/>
      <c r="BA180" s="213"/>
      <c r="BB180" s="215"/>
      <c r="BC180" s="213"/>
      <c r="BD180" s="213"/>
      <c r="BE180" s="213"/>
      <c r="BF180" s="213"/>
      <c r="BG180" s="213"/>
      <c r="BH180" s="213"/>
      <c r="BI180" s="213"/>
      <c r="BJ180" s="213"/>
      <c r="BK180" s="213"/>
      <c r="BL180" s="213"/>
      <c r="BM180" s="213"/>
      <c r="BN180" s="213"/>
      <c r="BO180" s="213"/>
      <c r="BP180" s="213"/>
      <c r="BQ180" s="213"/>
      <c r="BR180" s="213"/>
      <c r="BS180" s="213"/>
      <c r="BT180" s="213"/>
      <c r="BU180" s="213"/>
      <c r="BV180" s="213"/>
      <c r="BW180" s="213"/>
    </row>
    <row r="181" ht="15.75" customHeight="1">
      <c r="A181" s="213"/>
      <c r="B181" s="213"/>
      <c r="C181" s="213"/>
      <c r="D181" s="213"/>
      <c r="E181" s="213"/>
      <c r="F181" s="215"/>
      <c r="G181" s="213"/>
      <c r="H181" s="325"/>
      <c r="I181" s="213"/>
      <c r="J181" s="325"/>
      <c r="K181" s="213"/>
      <c r="L181" s="215"/>
      <c r="M181" s="213"/>
      <c r="N181" s="215"/>
      <c r="O181" s="213"/>
      <c r="P181" s="215"/>
      <c r="Q181" s="213"/>
      <c r="R181" s="949"/>
      <c r="S181" s="213"/>
      <c r="T181" s="215"/>
      <c r="U181" s="213"/>
      <c r="V181" s="215"/>
      <c r="W181" s="213"/>
      <c r="X181" s="325"/>
      <c r="Y181" s="213"/>
      <c r="Z181" s="215"/>
      <c r="AA181" s="213"/>
      <c r="AB181" s="215"/>
      <c r="AC181" s="213"/>
      <c r="AD181" s="215"/>
      <c r="AE181" s="213"/>
      <c r="AF181" s="215"/>
      <c r="AG181" s="213"/>
      <c r="AH181" s="215"/>
      <c r="AI181" s="213"/>
      <c r="AJ181" s="215"/>
      <c r="AK181" s="213"/>
      <c r="AL181" s="215"/>
      <c r="AM181" s="213"/>
      <c r="AN181" s="215"/>
      <c r="AO181" s="213"/>
      <c r="AP181" s="215"/>
      <c r="AQ181" s="213"/>
      <c r="AR181" s="215"/>
      <c r="AS181" s="213"/>
      <c r="AT181" s="215"/>
      <c r="AU181" s="213"/>
      <c r="AV181" s="215"/>
      <c r="AW181" s="213"/>
      <c r="AX181" s="213"/>
      <c r="AY181" s="213"/>
      <c r="AZ181" s="326"/>
      <c r="BA181" s="213"/>
      <c r="BB181" s="215"/>
      <c r="BC181" s="213"/>
      <c r="BD181" s="213"/>
      <c r="BE181" s="213"/>
      <c r="BF181" s="213"/>
      <c r="BG181" s="213"/>
      <c r="BH181" s="213"/>
      <c r="BI181" s="213"/>
      <c r="BJ181" s="213"/>
      <c r="BK181" s="213"/>
      <c r="BL181" s="213"/>
      <c r="BM181" s="213"/>
      <c r="BN181" s="213"/>
      <c r="BO181" s="213"/>
      <c r="BP181" s="213"/>
      <c r="BQ181" s="213"/>
      <c r="BR181" s="213"/>
      <c r="BS181" s="213"/>
      <c r="BT181" s="213"/>
      <c r="BU181" s="213"/>
      <c r="BV181" s="213"/>
      <c r="BW181" s="213"/>
    </row>
    <row r="182" ht="15.75" customHeight="1">
      <c r="A182" s="213"/>
      <c r="B182" s="213"/>
      <c r="C182" s="213"/>
      <c r="D182" s="213"/>
      <c r="E182" s="213"/>
      <c r="F182" s="215"/>
      <c r="G182" s="213"/>
      <c r="H182" s="325"/>
      <c r="I182" s="213"/>
      <c r="J182" s="325"/>
      <c r="K182" s="213"/>
      <c r="L182" s="215"/>
      <c r="M182" s="213"/>
      <c r="N182" s="215"/>
      <c r="O182" s="213"/>
      <c r="P182" s="215"/>
      <c r="Q182" s="213"/>
      <c r="R182" s="949"/>
      <c r="S182" s="213"/>
      <c r="T182" s="215"/>
      <c r="U182" s="213"/>
      <c r="V182" s="215"/>
      <c r="W182" s="213"/>
      <c r="X182" s="325"/>
      <c r="Y182" s="213"/>
      <c r="Z182" s="215"/>
      <c r="AA182" s="213"/>
      <c r="AB182" s="215"/>
      <c r="AC182" s="213"/>
      <c r="AD182" s="215"/>
      <c r="AE182" s="213"/>
      <c r="AF182" s="215"/>
      <c r="AG182" s="213"/>
      <c r="AH182" s="215"/>
      <c r="AI182" s="213"/>
      <c r="AJ182" s="215"/>
      <c r="AK182" s="213"/>
      <c r="AL182" s="215"/>
      <c r="AM182" s="213"/>
      <c r="AN182" s="215"/>
      <c r="AO182" s="213"/>
      <c r="AP182" s="215"/>
      <c r="AQ182" s="213"/>
      <c r="AR182" s="215"/>
      <c r="AS182" s="213"/>
      <c r="AT182" s="215"/>
      <c r="AU182" s="213"/>
      <c r="AV182" s="215"/>
      <c r="AW182" s="213"/>
      <c r="AX182" s="213"/>
      <c r="AY182" s="213"/>
      <c r="AZ182" s="326"/>
      <c r="BA182" s="213"/>
      <c r="BB182" s="215"/>
      <c r="BC182" s="213"/>
      <c r="BD182" s="213"/>
      <c r="BE182" s="213"/>
      <c r="BF182" s="213"/>
      <c r="BG182" s="213"/>
      <c r="BH182" s="213"/>
      <c r="BI182" s="213"/>
      <c r="BJ182" s="213"/>
      <c r="BK182" s="213"/>
      <c r="BL182" s="213"/>
      <c r="BM182" s="213"/>
      <c r="BN182" s="213"/>
      <c r="BO182" s="213"/>
      <c r="BP182" s="213"/>
      <c r="BQ182" s="213"/>
      <c r="BR182" s="213"/>
      <c r="BS182" s="213"/>
      <c r="BT182" s="213"/>
      <c r="BU182" s="213"/>
      <c r="BV182" s="213"/>
      <c r="BW182" s="213"/>
    </row>
    <row r="183" ht="15.75" customHeight="1">
      <c r="A183" s="213"/>
      <c r="B183" s="213"/>
      <c r="C183" s="213"/>
      <c r="D183" s="213"/>
      <c r="E183" s="213"/>
      <c r="F183" s="215"/>
      <c r="G183" s="213"/>
      <c r="H183" s="325"/>
      <c r="I183" s="213"/>
      <c r="J183" s="325"/>
      <c r="K183" s="213"/>
      <c r="L183" s="215"/>
      <c r="M183" s="213"/>
      <c r="N183" s="215"/>
      <c r="O183" s="213"/>
      <c r="P183" s="215"/>
      <c r="Q183" s="213"/>
      <c r="R183" s="949"/>
      <c r="S183" s="213"/>
      <c r="T183" s="215"/>
      <c r="U183" s="213"/>
      <c r="V183" s="215"/>
      <c r="W183" s="213"/>
      <c r="X183" s="325"/>
      <c r="Y183" s="213"/>
      <c r="Z183" s="215"/>
      <c r="AA183" s="213"/>
      <c r="AB183" s="215"/>
      <c r="AC183" s="213"/>
      <c r="AD183" s="215"/>
      <c r="AE183" s="213"/>
      <c r="AF183" s="215"/>
      <c r="AG183" s="213"/>
      <c r="AH183" s="215"/>
      <c r="AI183" s="213"/>
      <c r="AJ183" s="215"/>
      <c r="AK183" s="213"/>
      <c r="AL183" s="215"/>
      <c r="AM183" s="213"/>
      <c r="AN183" s="215"/>
      <c r="AO183" s="213"/>
      <c r="AP183" s="215"/>
      <c r="AQ183" s="213"/>
      <c r="AR183" s="215"/>
      <c r="AS183" s="213"/>
      <c r="AT183" s="215"/>
      <c r="AU183" s="213"/>
      <c r="AV183" s="215"/>
      <c r="AW183" s="213"/>
      <c r="AX183" s="213"/>
      <c r="AY183" s="213"/>
      <c r="AZ183" s="326"/>
      <c r="BA183" s="213"/>
      <c r="BB183" s="215"/>
      <c r="BC183" s="213"/>
      <c r="BD183" s="213"/>
      <c r="BE183" s="213"/>
      <c r="BF183" s="213"/>
      <c r="BG183" s="213"/>
      <c r="BH183" s="213"/>
      <c r="BI183" s="213"/>
      <c r="BJ183" s="213"/>
      <c r="BK183" s="213"/>
      <c r="BL183" s="213"/>
      <c r="BM183" s="213"/>
      <c r="BN183" s="213"/>
      <c r="BO183" s="213"/>
      <c r="BP183" s="213"/>
      <c r="BQ183" s="213"/>
      <c r="BR183" s="213"/>
      <c r="BS183" s="213"/>
      <c r="BT183" s="213"/>
      <c r="BU183" s="213"/>
      <c r="BV183" s="213"/>
      <c r="BW183" s="213"/>
    </row>
    <row r="184" ht="15.75" customHeight="1">
      <c r="A184" s="213"/>
      <c r="B184" s="213"/>
      <c r="C184" s="213"/>
      <c r="D184" s="213"/>
      <c r="E184" s="213"/>
      <c r="F184" s="215"/>
      <c r="G184" s="213"/>
      <c r="H184" s="325"/>
      <c r="I184" s="213"/>
      <c r="J184" s="325"/>
      <c r="K184" s="213"/>
      <c r="L184" s="215"/>
      <c r="M184" s="213"/>
      <c r="N184" s="215"/>
      <c r="O184" s="213"/>
      <c r="P184" s="215"/>
      <c r="Q184" s="213"/>
      <c r="R184" s="949"/>
      <c r="S184" s="213"/>
      <c r="T184" s="215"/>
      <c r="U184" s="213"/>
      <c r="V184" s="215"/>
      <c r="W184" s="213"/>
      <c r="X184" s="325"/>
      <c r="Y184" s="213"/>
      <c r="Z184" s="215"/>
      <c r="AA184" s="213"/>
      <c r="AB184" s="215"/>
      <c r="AC184" s="213"/>
      <c r="AD184" s="215"/>
      <c r="AE184" s="213"/>
      <c r="AF184" s="215"/>
      <c r="AG184" s="213"/>
      <c r="AH184" s="215"/>
      <c r="AI184" s="213"/>
      <c r="AJ184" s="215"/>
      <c r="AK184" s="213"/>
      <c r="AL184" s="215"/>
      <c r="AM184" s="213"/>
      <c r="AN184" s="215"/>
      <c r="AO184" s="213"/>
      <c r="AP184" s="215"/>
      <c r="AQ184" s="213"/>
      <c r="AR184" s="215"/>
      <c r="AS184" s="213"/>
      <c r="AT184" s="215"/>
      <c r="AU184" s="213"/>
      <c r="AV184" s="215"/>
      <c r="AW184" s="213"/>
      <c r="AX184" s="213"/>
      <c r="AY184" s="213"/>
      <c r="AZ184" s="326"/>
      <c r="BA184" s="213"/>
      <c r="BB184" s="215"/>
      <c r="BC184" s="213"/>
      <c r="BD184" s="213"/>
      <c r="BE184" s="213"/>
      <c r="BF184" s="213"/>
      <c r="BG184" s="213"/>
      <c r="BH184" s="213"/>
      <c r="BI184" s="213"/>
      <c r="BJ184" s="213"/>
      <c r="BK184" s="213"/>
      <c r="BL184" s="213"/>
      <c r="BM184" s="213"/>
      <c r="BN184" s="213"/>
      <c r="BO184" s="213"/>
      <c r="BP184" s="213"/>
      <c r="BQ184" s="213"/>
      <c r="BR184" s="213"/>
      <c r="BS184" s="213"/>
      <c r="BT184" s="213"/>
      <c r="BU184" s="213"/>
      <c r="BV184" s="213"/>
      <c r="BW184" s="213"/>
    </row>
    <row r="185" ht="15.75" customHeight="1">
      <c r="A185" s="213"/>
      <c r="B185" s="213"/>
      <c r="C185" s="213"/>
      <c r="D185" s="213"/>
      <c r="E185" s="213"/>
      <c r="F185" s="215"/>
      <c r="G185" s="213"/>
      <c r="H185" s="325"/>
      <c r="I185" s="213"/>
      <c r="J185" s="325"/>
      <c r="K185" s="213"/>
      <c r="L185" s="215"/>
      <c r="M185" s="213"/>
      <c r="N185" s="215"/>
      <c r="O185" s="213"/>
      <c r="P185" s="215"/>
      <c r="Q185" s="213"/>
      <c r="R185" s="949"/>
      <c r="S185" s="213"/>
      <c r="T185" s="215"/>
      <c r="U185" s="213"/>
      <c r="V185" s="215"/>
      <c r="W185" s="213"/>
      <c r="X185" s="325"/>
      <c r="Y185" s="213"/>
      <c r="Z185" s="215"/>
      <c r="AA185" s="213"/>
      <c r="AB185" s="215"/>
      <c r="AC185" s="213"/>
      <c r="AD185" s="215"/>
      <c r="AE185" s="213"/>
      <c r="AF185" s="215"/>
      <c r="AG185" s="213"/>
      <c r="AH185" s="215"/>
      <c r="AI185" s="213"/>
      <c r="AJ185" s="215"/>
      <c r="AK185" s="213"/>
      <c r="AL185" s="215"/>
      <c r="AM185" s="213"/>
      <c r="AN185" s="215"/>
      <c r="AO185" s="213"/>
      <c r="AP185" s="215"/>
      <c r="AQ185" s="213"/>
      <c r="AR185" s="215"/>
      <c r="AS185" s="213"/>
      <c r="AT185" s="215"/>
      <c r="AU185" s="213"/>
      <c r="AV185" s="215"/>
      <c r="AW185" s="213"/>
      <c r="AX185" s="213"/>
      <c r="AY185" s="213"/>
      <c r="AZ185" s="326"/>
      <c r="BA185" s="213"/>
      <c r="BB185" s="215"/>
      <c r="BC185" s="213"/>
      <c r="BD185" s="213"/>
      <c r="BE185" s="213"/>
      <c r="BF185" s="213"/>
      <c r="BG185" s="213"/>
      <c r="BH185" s="213"/>
      <c r="BI185" s="213"/>
      <c r="BJ185" s="213"/>
      <c r="BK185" s="213"/>
      <c r="BL185" s="213"/>
      <c r="BM185" s="213"/>
      <c r="BN185" s="213"/>
      <c r="BO185" s="213"/>
      <c r="BP185" s="213"/>
      <c r="BQ185" s="213"/>
      <c r="BR185" s="213"/>
      <c r="BS185" s="213"/>
      <c r="BT185" s="213"/>
      <c r="BU185" s="213"/>
      <c r="BV185" s="213"/>
      <c r="BW185" s="213"/>
    </row>
    <row r="186" ht="15.75" customHeight="1">
      <c r="A186" s="213"/>
      <c r="B186" s="213"/>
      <c r="C186" s="213"/>
      <c r="D186" s="213"/>
      <c r="E186" s="213"/>
      <c r="F186" s="215"/>
      <c r="G186" s="213"/>
      <c r="H186" s="325"/>
      <c r="I186" s="213"/>
      <c r="J186" s="325"/>
      <c r="K186" s="213"/>
      <c r="L186" s="215"/>
      <c r="M186" s="213"/>
      <c r="N186" s="215"/>
      <c r="O186" s="213"/>
      <c r="P186" s="215"/>
      <c r="Q186" s="213"/>
      <c r="R186" s="949"/>
      <c r="S186" s="213"/>
      <c r="T186" s="215"/>
      <c r="U186" s="213"/>
      <c r="V186" s="215"/>
      <c r="W186" s="213"/>
      <c r="X186" s="325"/>
      <c r="Y186" s="213"/>
      <c r="Z186" s="215"/>
      <c r="AA186" s="213"/>
      <c r="AB186" s="215"/>
      <c r="AC186" s="213"/>
      <c r="AD186" s="215"/>
      <c r="AE186" s="213"/>
      <c r="AF186" s="215"/>
      <c r="AG186" s="213"/>
      <c r="AH186" s="215"/>
      <c r="AI186" s="213"/>
      <c r="AJ186" s="215"/>
      <c r="AK186" s="213"/>
      <c r="AL186" s="215"/>
      <c r="AM186" s="213"/>
      <c r="AN186" s="215"/>
      <c r="AO186" s="213"/>
      <c r="AP186" s="215"/>
      <c r="AQ186" s="213"/>
      <c r="AR186" s="215"/>
      <c r="AS186" s="213"/>
      <c r="AT186" s="215"/>
      <c r="AU186" s="213"/>
      <c r="AV186" s="215"/>
      <c r="AW186" s="213"/>
      <c r="AX186" s="213"/>
      <c r="AY186" s="213"/>
      <c r="AZ186" s="326"/>
      <c r="BA186" s="213"/>
      <c r="BB186" s="215"/>
      <c r="BC186" s="213"/>
      <c r="BD186" s="213"/>
      <c r="BE186" s="213"/>
      <c r="BF186" s="213"/>
      <c r="BG186" s="213"/>
      <c r="BH186" s="213"/>
      <c r="BI186" s="213"/>
      <c r="BJ186" s="213"/>
      <c r="BK186" s="213"/>
      <c r="BL186" s="213"/>
      <c r="BM186" s="213"/>
      <c r="BN186" s="213"/>
      <c r="BO186" s="213"/>
      <c r="BP186" s="213"/>
      <c r="BQ186" s="213"/>
      <c r="BR186" s="213"/>
      <c r="BS186" s="213"/>
      <c r="BT186" s="213"/>
      <c r="BU186" s="213"/>
      <c r="BV186" s="213"/>
      <c r="BW186" s="213"/>
    </row>
    <row r="187" ht="15.75" customHeight="1">
      <c r="A187" s="213"/>
      <c r="B187" s="213"/>
      <c r="C187" s="213"/>
      <c r="D187" s="213"/>
      <c r="E187" s="213"/>
      <c r="F187" s="215"/>
      <c r="G187" s="213"/>
      <c r="H187" s="325"/>
      <c r="I187" s="213"/>
      <c r="J187" s="325"/>
      <c r="K187" s="213"/>
      <c r="L187" s="215"/>
      <c r="M187" s="213"/>
      <c r="N187" s="215"/>
      <c r="O187" s="213"/>
      <c r="P187" s="215"/>
      <c r="Q187" s="213"/>
      <c r="R187" s="949"/>
      <c r="S187" s="213"/>
      <c r="T187" s="215"/>
      <c r="U187" s="213"/>
      <c r="V187" s="215"/>
      <c r="W187" s="213"/>
      <c r="X187" s="325"/>
      <c r="Y187" s="213"/>
      <c r="Z187" s="215"/>
      <c r="AA187" s="213"/>
      <c r="AB187" s="215"/>
      <c r="AC187" s="213"/>
      <c r="AD187" s="215"/>
      <c r="AE187" s="213"/>
      <c r="AF187" s="215"/>
      <c r="AG187" s="213"/>
      <c r="AH187" s="215"/>
      <c r="AI187" s="213"/>
      <c r="AJ187" s="215"/>
      <c r="AK187" s="213"/>
      <c r="AL187" s="215"/>
      <c r="AM187" s="213"/>
      <c r="AN187" s="215"/>
      <c r="AO187" s="213"/>
      <c r="AP187" s="215"/>
      <c r="AQ187" s="213"/>
      <c r="AR187" s="215"/>
      <c r="AS187" s="213"/>
      <c r="AT187" s="215"/>
      <c r="AU187" s="213"/>
      <c r="AV187" s="215"/>
      <c r="AW187" s="213"/>
      <c r="AX187" s="213"/>
      <c r="AY187" s="213"/>
      <c r="AZ187" s="326"/>
      <c r="BA187" s="213"/>
      <c r="BB187" s="215"/>
      <c r="BC187" s="213"/>
      <c r="BD187" s="213"/>
      <c r="BE187" s="213"/>
      <c r="BF187" s="213"/>
      <c r="BG187" s="213"/>
      <c r="BH187" s="213"/>
      <c r="BI187" s="213"/>
      <c r="BJ187" s="213"/>
      <c r="BK187" s="213"/>
      <c r="BL187" s="213"/>
      <c r="BM187" s="213"/>
      <c r="BN187" s="213"/>
      <c r="BO187" s="213"/>
      <c r="BP187" s="213"/>
      <c r="BQ187" s="213"/>
      <c r="BR187" s="213"/>
      <c r="BS187" s="213"/>
      <c r="BT187" s="213"/>
      <c r="BU187" s="213"/>
      <c r="BV187" s="213"/>
      <c r="BW187" s="213"/>
    </row>
    <row r="188" ht="15.75" customHeight="1">
      <c r="A188" s="213"/>
      <c r="B188" s="213"/>
      <c r="C188" s="213"/>
      <c r="D188" s="213"/>
      <c r="E188" s="213"/>
      <c r="F188" s="215"/>
      <c r="G188" s="213"/>
      <c r="H188" s="325"/>
      <c r="I188" s="213"/>
      <c r="J188" s="325"/>
      <c r="K188" s="213"/>
      <c r="L188" s="215"/>
      <c r="M188" s="213"/>
      <c r="N188" s="215"/>
      <c r="O188" s="213"/>
      <c r="P188" s="215"/>
      <c r="Q188" s="213"/>
      <c r="R188" s="949"/>
      <c r="S188" s="213"/>
      <c r="T188" s="215"/>
      <c r="U188" s="213"/>
      <c r="V188" s="215"/>
      <c r="W188" s="213"/>
      <c r="X188" s="325"/>
      <c r="Y188" s="213"/>
      <c r="Z188" s="215"/>
      <c r="AA188" s="213"/>
      <c r="AB188" s="215"/>
      <c r="AC188" s="213"/>
      <c r="AD188" s="215"/>
      <c r="AE188" s="213"/>
      <c r="AF188" s="215"/>
      <c r="AG188" s="213"/>
      <c r="AH188" s="215"/>
      <c r="AI188" s="213"/>
      <c r="AJ188" s="215"/>
      <c r="AK188" s="213"/>
      <c r="AL188" s="215"/>
      <c r="AM188" s="213"/>
      <c r="AN188" s="215"/>
      <c r="AO188" s="213"/>
      <c r="AP188" s="215"/>
      <c r="AQ188" s="213"/>
      <c r="AR188" s="215"/>
      <c r="AS188" s="213"/>
      <c r="AT188" s="215"/>
      <c r="AU188" s="213"/>
      <c r="AV188" s="215"/>
      <c r="AW188" s="213"/>
      <c r="AX188" s="213"/>
      <c r="AY188" s="213"/>
      <c r="AZ188" s="326"/>
      <c r="BA188" s="213"/>
      <c r="BB188" s="215"/>
      <c r="BC188" s="213"/>
      <c r="BD188" s="213"/>
      <c r="BE188" s="213"/>
      <c r="BF188" s="213"/>
      <c r="BG188" s="213"/>
      <c r="BH188" s="213"/>
      <c r="BI188" s="213"/>
      <c r="BJ188" s="213"/>
      <c r="BK188" s="213"/>
      <c r="BL188" s="213"/>
      <c r="BM188" s="213"/>
      <c r="BN188" s="213"/>
      <c r="BO188" s="213"/>
      <c r="BP188" s="213"/>
      <c r="BQ188" s="213"/>
      <c r="BR188" s="213"/>
      <c r="BS188" s="213"/>
      <c r="BT188" s="213"/>
      <c r="BU188" s="213"/>
      <c r="BV188" s="213"/>
      <c r="BW188" s="213"/>
    </row>
    <row r="189" ht="15.75" customHeight="1">
      <c r="A189" s="213"/>
      <c r="B189" s="213"/>
      <c r="C189" s="213"/>
      <c r="D189" s="213"/>
      <c r="E189" s="213"/>
      <c r="F189" s="215"/>
      <c r="G189" s="213"/>
      <c r="H189" s="325"/>
      <c r="I189" s="213"/>
      <c r="J189" s="325"/>
      <c r="K189" s="213"/>
      <c r="L189" s="215"/>
      <c r="M189" s="213"/>
      <c r="N189" s="215"/>
      <c r="O189" s="213"/>
      <c r="P189" s="215"/>
      <c r="Q189" s="213"/>
      <c r="R189" s="949"/>
      <c r="S189" s="213"/>
      <c r="T189" s="215"/>
      <c r="U189" s="213"/>
      <c r="V189" s="215"/>
      <c r="W189" s="213"/>
      <c r="X189" s="325"/>
      <c r="Y189" s="213"/>
      <c r="Z189" s="215"/>
      <c r="AA189" s="213"/>
      <c r="AB189" s="215"/>
      <c r="AC189" s="213"/>
      <c r="AD189" s="215"/>
      <c r="AE189" s="213"/>
      <c r="AF189" s="215"/>
      <c r="AG189" s="213"/>
      <c r="AH189" s="215"/>
      <c r="AI189" s="213"/>
      <c r="AJ189" s="215"/>
      <c r="AK189" s="213"/>
      <c r="AL189" s="215"/>
      <c r="AM189" s="213"/>
      <c r="AN189" s="215"/>
      <c r="AO189" s="213"/>
      <c r="AP189" s="215"/>
      <c r="AQ189" s="213"/>
      <c r="AR189" s="215"/>
      <c r="AS189" s="213"/>
      <c r="AT189" s="215"/>
      <c r="AU189" s="213"/>
      <c r="AV189" s="215"/>
      <c r="AW189" s="213"/>
      <c r="AX189" s="213"/>
      <c r="AY189" s="213"/>
      <c r="AZ189" s="326"/>
      <c r="BA189" s="213"/>
      <c r="BB189" s="215"/>
      <c r="BC189" s="213"/>
      <c r="BD189" s="213"/>
      <c r="BE189" s="213"/>
      <c r="BF189" s="213"/>
      <c r="BG189" s="213"/>
      <c r="BH189" s="213"/>
      <c r="BI189" s="213"/>
      <c r="BJ189" s="213"/>
      <c r="BK189" s="213"/>
      <c r="BL189" s="213"/>
      <c r="BM189" s="213"/>
      <c r="BN189" s="213"/>
      <c r="BO189" s="213"/>
      <c r="BP189" s="213"/>
      <c r="BQ189" s="213"/>
      <c r="BR189" s="213"/>
      <c r="BS189" s="213"/>
      <c r="BT189" s="213"/>
      <c r="BU189" s="213"/>
      <c r="BV189" s="213"/>
      <c r="BW189" s="213"/>
    </row>
    <row r="190" ht="15.75" customHeight="1">
      <c r="A190" s="213"/>
      <c r="B190" s="213"/>
      <c r="C190" s="213"/>
      <c r="D190" s="213"/>
      <c r="E190" s="213"/>
      <c r="F190" s="215"/>
      <c r="G190" s="213"/>
      <c r="H190" s="325"/>
      <c r="I190" s="213"/>
      <c r="J190" s="325"/>
      <c r="K190" s="213"/>
      <c r="L190" s="215"/>
      <c r="M190" s="213"/>
      <c r="N190" s="215"/>
      <c r="O190" s="213"/>
      <c r="P190" s="215"/>
      <c r="Q190" s="213"/>
      <c r="R190" s="949"/>
      <c r="S190" s="213"/>
      <c r="T190" s="215"/>
      <c r="U190" s="213"/>
      <c r="V190" s="215"/>
      <c r="W190" s="213"/>
      <c r="X190" s="325"/>
      <c r="Y190" s="213"/>
      <c r="Z190" s="215"/>
      <c r="AA190" s="213"/>
      <c r="AB190" s="215"/>
      <c r="AC190" s="213"/>
      <c r="AD190" s="215"/>
      <c r="AE190" s="213"/>
      <c r="AF190" s="215"/>
      <c r="AG190" s="213"/>
      <c r="AH190" s="215"/>
      <c r="AI190" s="213"/>
      <c r="AJ190" s="215"/>
      <c r="AK190" s="213"/>
      <c r="AL190" s="215"/>
      <c r="AM190" s="213"/>
      <c r="AN190" s="215"/>
      <c r="AO190" s="213"/>
      <c r="AP190" s="215"/>
      <c r="AQ190" s="213"/>
      <c r="AR190" s="215"/>
      <c r="AS190" s="213"/>
      <c r="AT190" s="215"/>
      <c r="AU190" s="213"/>
      <c r="AV190" s="215"/>
      <c r="AW190" s="213"/>
      <c r="AX190" s="213"/>
      <c r="AY190" s="213"/>
      <c r="AZ190" s="326"/>
      <c r="BA190" s="213"/>
      <c r="BB190" s="215"/>
      <c r="BC190" s="213"/>
      <c r="BD190" s="213"/>
      <c r="BE190" s="213"/>
      <c r="BF190" s="213"/>
      <c r="BG190" s="213"/>
      <c r="BH190" s="213"/>
      <c r="BI190" s="213"/>
      <c r="BJ190" s="213"/>
      <c r="BK190" s="213"/>
      <c r="BL190" s="213"/>
      <c r="BM190" s="213"/>
      <c r="BN190" s="213"/>
      <c r="BO190" s="213"/>
      <c r="BP190" s="213"/>
      <c r="BQ190" s="213"/>
      <c r="BR190" s="213"/>
      <c r="BS190" s="213"/>
      <c r="BT190" s="213"/>
      <c r="BU190" s="213"/>
      <c r="BV190" s="213"/>
      <c r="BW190" s="213"/>
    </row>
    <row r="191" ht="15.75" customHeight="1">
      <c r="A191" s="213"/>
      <c r="B191" s="213"/>
      <c r="C191" s="213"/>
      <c r="D191" s="213"/>
      <c r="E191" s="213"/>
      <c r="F191" s="215"/>
      <c r="G191" s="213"/>
      <c r="H191" s="325"/>
      <c r="I191" s="213"/>
      <c r="J191" s="325"/>
      <c r="K191" s="213"/>
      <c r="L191" s="215"/>
      <c r="M191" s="213"/>
      <c r="N191" s="215"/>
      <c r="O191" s="213"/>
      <c r="P191" s="215"/>
      <c r="Q191" s="213"/>
      <c r="R191" s="949"/>
      <c r="S191" s="213"/>
      <c r="T191" s="215"/>
      <c r="U191" s="213"/>
      <c r="V191" s="215"/>
      <c r="W191" s="213"/>
      <c r="X191" s="325"/>
      <c r="Y191" s="213"/>
      <c r="Z191" s="215"/>
      <c r="AA191" s="213"/>
      <c r="AB191" s="215"/>
      <c r="AC191" s="213"/>
      <c r="AD191" s="215"/>
      <c r="AE191" s="213"/>
      <c r="AF191" s="215"/>
      <c r="AG191" s="213"/>
      <c r="AH191" s="215"/>
      <c r="AI191" s="213"/>
      <c r="AJ191" s="215"/>
      <c r="AK191" s="213"/>
      <c r="AL191" s="215"/>
      <c r="AM191" s="213"/>
      <c r="AN191" s="215"/>
      <c r="AO191" s="213"/>
      <c r="AP191" s="215"/>
      <c r="AQ191" s="213"/>
      <c r="AR191" s="215"/>
      <c r="AS191" s="213"/>
      <c r="AT191" s="215"/>
      <c r="AU191" s="213"/>
      <c r="AV191" s="215"/>
      <c r="AW191" s="213"/>
      <c r="AX191" s="213"/>
      <c r="AY191" s="213"/>
      <c r="AZ191" s="326"/>
      <c r="BA191" s="213"/>
      <c r="BB191" s="215"/>
      <c r="BC191" s="213"/>
      <c r="BD191" s="213"/>
      <c r="BE191" s="213"/>
      <c r="BF191" s="213"/>
      <c r="BG191" s="213"/>
      <c r="BH191" s="213"/>
      <c r="BI191" s="213"/>
      <c r="BJ191" s="213"/>
      <c r="BK191" s="213"/>
      <c r="BL191" s="213"/>
      <c r="BM191" s="213"/>
      <c r="BN191" s="213"/>
      <c r="BO191" s="213"/>
      <c r="BP191" s="213"/>
      <c r="BQ191" s="213"/>
      <c r="BR191" s="213"/>
      <c r="BS191" s="213"/>
      <c r="BT191" s="213"/>
      <c r="BU191" s="213"/>
      <c r="BV191" s="213"/>
      <c r="BW191" s="213"/>
    </row>
    <row r="192" ht="15.75" customHeight="1">
      <c r="A192" s="213"/>
      <c r="B192" s="213"/>
      <c r="C192" s="213"/>
      <c r="D192" s="213"/>
      <c r="E192" s="213"/>
      <c r="F192" s="215"/>
      <c r="G192" s="213"/>
      <c r="H192" s="325"/>
      <c r="I192" s="213"/>
      <c r="J192" s="325"/>
      <c r="K192" s="213"/>
      <c r="L192" s="215"/>
      <c r="M192" s="213"/>
      <c r="N192" s="215"/>
      <c r="O192" s="213"/>
      <c r="P192" s="215"/>
      <c r="Q192" s="213"/>
      <c r="R192" s="949"/>
      <c r="S192" s="213"/>
      <c r="T192" s="215"/>
      <c r="U192" s="213"/>
      <c r="V192" s="215"/>
      <c r="W192" s="213"/>
      <c r="X192" s="325"/>
      <c r="Y192" s="213"/>
      <c r="Z192" s="215"/>
      <c r="AA192" s="213"/>
      <c r="AB192" s="215"/>
      <c r="AC192" s="213"/>
      <c r="AD192" s="215"/>
      <c r="AE192" s="213"/>
      <c r="AF192" s="215"/>
      <c r="AG192" s="213"/>
      <c r="AH192" s="215"/>
      <c r="AI192" s="213"/>
      <c r="AJ192" s="215"/>
      <c r="AK192" s="213"/>
      <c r="AL192" s="215"/>
      <c r="AM192" s="213"/>
      <c r="AN192" s="215"/>
      <c r="AO192" s="213"/>
      <c r="AP192" s="215"/>
      <c r="AQ192" s="213"/>
      <c r="AR192" s="215"/>
      <c r="AS192" s="213"/>
      <c r="AT192" s="215"/>
      <c r="AU192" s="213"/>
      <c r="AV192" s="215"/>
      <c r="AW192" s="213"/>
      <c r="AX192" s="213"/>
      <c r="AY192" s="213"/>
      <c r="AZ192" s="326"/>
      <c r="BA192" s="213"/>
      <c r="BB192" s="215"/>
      <c r="BC192" s="213"/>
      <c r="BD192" s="213"/>
      <c r="BE192" s="213"/>
      <c r="BF192" s="213"/>
      <c r="BG192" s="213"/>
      <c r="BH192" s="213"/>
      <c r="BI192" s="213"/>
      <c r="BJ192" s="213"/>
      <c r="BK192" s="213"/>
      <c r="BL192" s="213"/>
      <c r="BM192" s="213"/>
      <c r="BN192" s="213"/>
      <c r="BO192" s="213"/>
      <c r="BP192" s="213"/>
      <c r="BQ192" s="213"/>
      <c r="BR192" s="213"/>
      <c r="BS192" s="213"/>
      <c r="BT192" s="213"/>
      <c r="BU192" s="213"/>
      <c r="BV192" s="213"/>
      <c r="BW192" s="213"/>
    </row>
    <row r="193" ht="15.75" customHeight="1">
      <c r="A193" s="213"/>
      <c r="B193" s="213"/>
      <c r="C193" s="213"/>
      <c r="D193" s="213"/>
      <c r="E193" s="213"/>
      <c r="F193" s="215"/>
      <c r="G193" s="213"/>
      <c r="H193" s="325"/>
      <c r="I193" s="213"/>
      <c r="J193" s="325"/>
      <c r="K193" s="213"/>
      <c r="L193" s="215"/>
      <c r="M193" s="213"/>
      <c r="N193" s="215"/>
      <c r="O193" s="213"/>
      <c r="P193" s="215"/>
      <c r="Q193" s="213"/>
      <c r="R193" s="949"/>
      <c r="S193" s="213"/>
      <c r="T193" s="215"/>
      <c r="U193" s="213"/>
      <c r="V193" s="215"/>
      <c r="W193" s="213"/>
      <c r="X193" s="325"/>
      <c r="Y193" s="213"/>
      <c r="Z193" s="215"/>
      <c r="AA193" s="213"/>
      <c r="AB193" s="215"/>
      <c r="AC193" s="213"/>
      <c r="AD193" s="215"/>
      <c r="AE193" s="213"/>
      <c r="AF193" s="215"/>
      <c r="AG193" s="213"/>
      <c r="AH193" s="215"/>
      <c r="AI193" s="213"/>
      <c r="AJ193" s="215"/>
      <c r="AK193" s="213"/>
      <c r="AL193" s="215"/>
      <c r="AM193" s="213"/>
      <c r="AN193" s="215"/>
      <c r="AO193" s="213"/>
      <c r="AP193" s="215"/>
      <c r="AQ193" s="213"/>
      <c r="AR193" s="215"/>
      <c r="AS193" s="213"/>
      <c r="AT193" s="215"/>
      <c r="AU193" s="213"/>
      <c r="AV193" s="215"/>
      <c r="AW193" s="213"/>
      <c r="AX193" s="213"/>
      <c r="AY193" s="213"/>
      <c r="AZ193" s="326"/>
      <c r="BA193" s="213"/>
      <c r="BB193" s="215"/>
      <c r="BC193" s="213"/>
      <c r="BD193" s="213"/>
      <c r="BE193" s="213"/>
      <c r="BF193" s="213"/>
      <c r="BG193" s="213"/>
      <c r="BH193" s="213"/>
      <c r="BI193" s="213"/>
      <c r="BJ193" s="213"/>
      <c r="BK193" s="213"/>
      <c r="BL193" s="213"/>
      <c r="BM193" s="213"/>
      <c r="BN193" s="213"/>
      <c r="BO193" s="213"/>
      <c r="BP193" s="213"/>
      <c r="BQ193" s="213"/>
      <c r="BR193" s="213"/>
      <c r="BS193" s="213"/>
      <c r="BT193" s="213"/>
      <c r="BU193" s="213"/>
      <c r="BV193" s="213"/>
      <c r="BW193" s="213"/>
    </row>
    <row r="194" ht="15.75" customHeight="1">
      <c r="A194" s="213"/>
      <c r="B194" s="213"/>
      <c r="C194" s="213"/>
      <c r="D194" s="213"/>
      <c r="E194" s="213"/>
      <c r="F194" s="215"/>
      <c r="G194" s="213"/>
      <c r="H194" s="325"/>
      <c r="I194" s="213"/>
      <c r="J194" s="325"/>
      <c r="K194" s="213"/>
      <c r="L194" s="215"/>
      <c r="M194" s="213"/>
      <c r="N194" s="215"/>
      <c r="O194" s="213"/>
      <c r="P194" s="215"/>
      <c r="Q194" s="213"/>
      <c r="R194" s="949"/>
      <c r="S194" s="213"/>
      <c r="T194" s="215"/>
      <c r="U194" s="213"/>
      <c r="V194" s="215"/>
      <c r="W194" s="213"/>
      <c r="X194" s="325"/>
      <c r="Y194" s="213"/>
      <c r="Z194" s="215"/>
      <c r="AA194" s="213"/>
      <c r="AB194" s="215"/>
      <c r="AC194" s="213"/>
      <c r="AD194" s="215"/>
      <c r="AE194" s="213"/>
      <c r="AF194" s="215"/>
      <c r="AG194" s="213"/>
      <c r="AH194" s="215"/>
      <c r="AI194" s="213"/>
      <c r="AJ194" s="215"/>
      <c r="AK194" s="213"/>
      <c r="AL194" s="215"/>
      <c r="AM194" s="213"/>
      <c r="AN194" s="215"/>
      <c r="AO194" s="213"/>
      <c r="AP194" s="215"/>
      <c r="AQ194" s="213"/>
      <c r="AR194" s="215"/>
      <c r="AS194" s="213"/>
      <c r="AT194" s="215"/>
      <c r="AU194" s="213"/>
      <c r="AV194" s="215"/>
      <c r="AW194" s="213"/>
      <c r="AX194" s="213"/>
      <c r="AY194" s="213"/>
      <c r="AZ194" s="326"/>
      <c r="BA194" s="213"/>
      <c r="BB194" s="215"/>
      <c r="BC194" s="213"/>
      <c r="BD194" s="213"/>
      <c r="BE194" s="213"/>
      <c r="BF194" s="213"/>
      <c r="BG194" s="213"/>
      <c r="BH194" s="213"/>
      <c r="BI194" s="213"/>
      <c r="BJ194" s="213"/>
      <c r="BK194" s="213"/>
      <c r="BL194" s="213"/>
      <c r="BM194" s="213"/>
      <c r="BN194" s="213"/>
      <c r="BO194" s="213"/>
      <c r="BP194" s="213"/>
      <c r="BQ194" s="213"/>
      <c r="BR194" s="213"/>
      <c r="BS194" s="213"/>
      <c r="BT194" s="213"/>
      <c r="BU194" s="213"/>
      <c r="BV194" s="213"/>
      <c r="BW194" s="213"/>
    </row>
    <row r="195" ht="15.75" customHeight="1">
      <c r="A195" s="213"/>
      <c r="B195" s="213"/>
      <c r="C195" s="213"/>
      <c r="D195" s="213"/>
      <c r="E195" s="213"/>
      <c r="F195" s="215"/>
      <c r="G195" s="213"/>
      <c r="H195" s="325"/>
      <c r="I195" s="213"/>
      <c r="J195" s="325"/>
      <c r="K195" s="213"/>
      <c r="L195" s="215"/>
      <c r="M195" s="213"/>
      <c r="N195" s="215"/>
      <c r="O195" s="213"/>
      <c r="P195" s="215"/>
      <c r="Q195" s="213"/>
      <c r="R195" s="949"/>
      <c r="S195" s="213"/>
      <c r="T195" s="215"/>
      <c r="U195" s="213"/>
      <c r="V195" s="215"/>
      <c r="W195" s="213"/>
      <c r="X195" s="325"/>
      <c r="Y195" s="213"/>
      <c r="Z195" s="215"/>
      <c r="AA195" s="213"/>
      <c r="AB195" s="215"/>
      <c r="AC195" s="213"/>
      <c r="AD195" s="215"/>
      <c r="AE195" s="213"/>
      <c r="AF195" s="215"/>
      <c r="AG195" s="213"/>
      <c r="AH195" s="215"/>
      <c r="AI195" s="213"/>
      <c r="AJ195" s="215"/>
      <c r="AK195" s="213"/>
      <c r="AL195" s="215"/>
      <c r="AM195" s="213"/>
      <c r="AN195" s="215"/>
      <c r="AO195" s="213"/>
      <c r="AP195" s="215"/>
      <c r="AQ195" s="213"/>
      <c r="AR195" s="215"/>
      <c r="AS195" s="213"/>
      <c r="AT195" s="215"/>
      <c r="AU195" s="213"/>
      <c r="AV195" s="215"/>
      <c r="AW195" s="213"/>
      <c r="AX195" s="213"/>
      <c r="AY195" s="213"/>
      <c r="AZ195" s="326"/>
      <c r="BA195" s="213"/>
      <c r="BB195" s="215"/>
      <c r="BC195" s="213"/>
      <c r="BD195" s="213"/>
      <c r="BE195" s="213"/>
      <c r="BF195" s="213"/>
      <c r="BG195" s="213"/>
      <c r="BH195" s="213"/>
      <c r="BI195" s="213"/>
      <c r="BJ195" s="213"/>
      <c r="BK195" s="213"/>
      <c r="BL195" s="213"/>
      <c r="BM195" s="213"/>
      <c r="BN195" s="213"/>
      <c r="BO195" s="213"/>
      <c r="BP195" s="213"/>
      <c r="BQ195" s="213"/>
      <c r="BR195" s="213"/>
      <c r="BS195" s="213"/>
      <c r="BT195" s="213"/>
      <c r="BU195" s="213"/>
      <c r="BV195" s="213"/>
      <c r="BW195" s="213"/>
    </row>
    <row r="196" ht="15.75" customHeight="1">
      <c r="A196" s="213"/>
      <c r="B196" s="213"/>
      <c r="C196" s="213"/>
      <c r="D196" s="213"/>
      <c r="E196" s="213"/>
      <c r="F196" s="215"/>
      <c r="G196" s="213"/>
      <c r="H196" s="325"/>
      <c r="I196" s="213"/>
      <c r="J196" s="325"/>
      <c r="K196" s="213"/>
      <c r="L196" s="215"/>
      <c r="M196" s="213"/>
      <c r="N196" s="215"/>
      <c r="O196" s="213"/>
      <c r="P196" s="215"/>
      <c r="Q196" s="213"/>
      <c r="R196" s="949"/>
      <c r="S196" s="213"/>
      <c r="T196" s="215"/>
      <c r="U196" s="213"/>
      <c r="V196" s="215"/>
      <c r="W196" s="213"/>
      <c r="X196" s="325"/>
      <c r="Y196" s="213"/>
      <c r="Z196" s="215"/>
      <c r="AA196" s="213"/>
      <c r="AB196" s="215"/>
      <c r="AC196" s="213"/>
      <c r="AD196" s="215"/>
      <c r="AE196" s="213"/>
      <c r="AF196" s="215"/>
      <c r="AG196" s="213"/>
      <c r="AH196" s="215"/>
      <c r="AI196" s="213"/>
      <c r="AJ196" s="215"/>
      <c r="AK196" s="213"/>
      <c r="AL196" s="215"/>
      <c r="AM196" s="213"/>
      <c r="AN196" s="215"/>
      <c r="AO196" s="213"/>
      <c r="AP196" s="215"/>
      <c r="AQ196" s="213"/>
      <c r="AR196" s="215"/>
      <c r="AS196" s="213"/>
      <c r="AT196" s="215"/>
      <c r="AU196" s="213"/>
      <c r="AV196" s="215"/>
      <c r="AW196" s="213"/>
      <c r="AX196" s="213"/>
      <c r="AY196" s="213"/>
      <c r="AZ196" s="326"/>
      <c r="BA196" s="213"/>
      <c r="BB196" s="215"/>
      <c r="BC196" s="213"/>
      <c r="BD196" s="213"/>
      <c r="BE196" s="213"/>
      <c r="BF196" s="213"/>
      <c r="BG196" s="213"/>
      <c r="BH196" s="213"/>
      <c r="BI196" s="213"/>
      <c r="BJ196" s="213"/>
      <c r="BK196" s="213"/>
      <c r="BL196" s="213"/>
      <c r="BM196" s="213"/>
      <c r="BN196" s="213"/>
      <c r="BO196" s="213"/>
      <c r="BP196" s="213"/>
      <c r="BQ196" s="213"/>
      <c r="BR196" s="213"/>
      <c r="BS196" s="213"/>
      <c r="BT196" s="213"/>
      <c r="BU196" s="213"/>
      <c r="BV196" s="213"/>
      <c r="BW196" s="213"/>
    </row>
    <row r="197" ht="15.75" customHeight="1">
      <c r="A197" s="213"/>
      <c r="B197" s="213"/>
      <c r="C197" s="213"/>
      <c r="D197" s="213"/>
      <c r="E197" s="213"/>
      <c r="F197" s="215"/>
      <c r="G197" s="213"/>
      <c r="H197" s="325"/>
      <c r="I197" s="213"/>
      <c r="J197" s="325"/>
      <c r="K197" s="213"/>
      <c r="L197" s="215"/>
      <c r="M197" s="213"/>
      <c r="N197" s="215"/>
      <c r="O197" s="213"/>
      <c r="P197" s="215"/>
      <c r="Q197" s="213"/>
      <c r="R197" s="949"/>
      <c r="S197" s="213"/>
      <c r="T197" s="215"/>
      <c r="U197" s="213"/>
      <c r="V197" s="215"/>
      <c r="W197" s="213"/>
      <c r="X197" s="325"/>
      <c r="Y197" s="213"/>
      <c r="Z197" s="215"/>
      <c r="AA197" s="213"/>
      <c r="AB197" s="215"/>
      <c r="AC197" s="213"/>
      <c r="AD197" s="215"/>
      <c r="AE197" s="213"/>
      <c r="AF197" s="215"/>
      <c r="AG197" s="213"/>
      <c r="AH197" s="215"/>
      <c r="AI197" s="213"/>
      <c r="AJ197" s="215"/>
      <c r="AK197" s="213"/>
      <c r="AL197" s="215"/>
      <c r="AM197" s="213"/>
      <c r="AN197" s="215"/>
      <c r="AO197" s="213"/>
      <c r="AP197" s="215"/>
      <c r="AQ197" s="213"/>
      <c r="AR197" s="215"/>
      <c r="AS197" s="213"/>
      <c r="AT197" s="215"/>
      <c r="AU197" s="213"/>
      <c r="AV197" s="215"/>
      <c r="AW197" s="213"/>
      <c r="AX197" s="213"/>
      <c r="AY197" s="213"/>
      <c r="AZ197" s="326"/>
      <c r="BA197" s="213"/>
      <c r="BB197" s="215"/>
      <c r="BC197" s="213"/>
      <c r="BD197" s="213"/>
      <c r="BE197" s="213"/>
      <c r="BF197" s="213"/>
      <c r="BG197" s="213"/>
      <c r="BH197" s="213"/>
      <c r="BI197" s="213"/>
      <c r="BJ197" s="213"/>
      <c r="BK197" s="213"/>
      <c r="BL197" s="213"/>
      <c r="BM197" s="213"/>
      <c r="BN197" s="213"/>
      <c r="BO197" s="213"/>
      <c r="BP197" s="213"/>
      <c r="BQ197" s="213"/>
      <c r="BR197" s="213"/>
      <c r="BS197" s="213"/>
      <c r="BT197" s="213"/>
      <c r="BU197" s="213"/>
      <c r="BV197" s="213"/>
      <c r="BW197" s="213"/>
    </row>
    <row r="198" ht="15.75" customHeight="1">
      <c r="A198" s="213"/>
      <c r="B198" s="213"/>
      <c r="C198" s="213"/>
      <c r="D198" s="213"/>
      <c r="E198" s="213"/>
      <c r="F198" s="215"/>
      <c r="G198" s="213"/>
      <c r="H198" s="325"/>
      <c r="I198" s="213"/>
      <c r="J198" s="325"/>
      <c r="K198" s="213"/>
      <c r="L198" s="215"/>
      <c r="M198" s="213"/>
      <c r="N198" s="215"/>
      <c r="O198" s="213"/>
      <c r="P198" s="215"/>
      <c r="Q198" s="213"/>
      <c r="R198" s="949"/>
      <c r="S198" s="213"/>
      <c r="T198" s="215"/>
      <c r="U198" s="213"/>
      <c r="V198" s="215"/>
      <c r="W198" s="213"/>
      <c r="X198" s="325"/>
      <c r="Y198" s="213"/>
      <c r="Z198" s="215"/>
      <c r="AA198" s="213"/>
      <c r="AB198" s="215"/>
      <c r="AC198" s="213"/>
      <c r="AD198" s="215"/>
      <c r="AE198" s="213"/>
      <c r="AF198" s="215"/>
      <c r="AG198" s="213"/>
      <c r="AH198" s="215"/>
      <c r="AI198" s="213"/>
      <c r="AJ198" s="215"/>
      <c r="AK198" s="213"/>
      <c r="AL198" s="215"/>
      <c r="AM198" s="213"/>
      <c r="AN198" s="215"/>
      <c r="AO198" s="213"/>
      <c r="AP198" s="215"/>
      <c r="AQ198" s="213"/>
      <c r="AR198" s="215"/>
      <c r="AS198" s="213"/>
      <c r="AT198" s="215"/>
      <c r="AU198" s="213"/>
      <c r="AV198" s="215"/>
      <c r="AW198" s="213"/>
      <c r="AX198" s="213"/>
      <c r="AY198" s="213"/>
      <c r="AZ198" s="326"/>
      <c r="BA198" s="213"/>
      <c r="BB198" s="215"/>
      <c r="BC198" s="213"/>
      <c r="BD198" s="213"/>
      <c r="BE198" s="213"/>
      <c r="BF198" s="213"/>
      <c r="BG198" s="213"/>
      <c r="BH198" s="213"/>
      <c r="BI198" s="213"/>
      <c r="BJ198" s="213"/>
      <c r="BK198" s="213"/>
      <c r="BL198" s="213"/>
      <c r="BM198" s="213"/>
      <c r="BN198" s="213"/>
      <c r="BO198" s="213"/>
      <c r="BP198" s="213"/>
      <c r="BQ198" s="213"/>
      <c r="BR198" s="213"/>
      <c r="BS198" s="213"/>
      <c r="BT198" s="213"/>
      <c r="BU198" s="213"/>
      <c r="BV198" s="213"/>
      <c r="BW198" s="213"/>
    </row>
    <row r="199" ht="15.75" customHeight="1">
      <c r="A199" s="213"/>
      <c r="B199" s="213"/>
      <c r="C199" s="213"/>
      <c r="D199" s="213"/>
      <c r="E199" s="213"/>
      <c r="F199" s="215"/>
      <c r="G199" s="213"/>
      <c r="H199" s="325"/>
      <c r="I199" s="213"/>
      <c r="J199" s="325"/>
      <c r="K199" s="213"/>
      <c r="L199" s="215"/>
      <c r="M199" s="213"/>
      <c r="N199" s="215"/>
      <c r="O199" s="213"/>
      <c r="P199" s="215"/>
      <c r="Q199" s="213"/>
      <c r="R199" s="949"/>
      <c r="S199" s="213"/>
      <c r="T199" s="215"/>
      <c r="U199" s="213"/>
      <c r="V199" s="215"/>
      <c r="W199" s="213"/>
      <c r="X199" s="325"/>
      <c r="Y199" s="213"/>
      <c r="Z199" s="215"/>
      <c r="AA199" s="213"/>
      <c r="AB199" s="215"/>
      <c r="AC199" s="213"/>
      <c r="AD199" s="215"/>
      <c r="AE199" s="213"/>
      <c r="AF199" s="215"/>
      <c r="AG199" s="213"/>
      <c r="AH199" s="215"/>
      <c r="AI199" s="213"/>
      <c r="AJ199" s="215"/>
      <c r="AK199" s="213"/>
      <c r="AL199" s="215"/>
      <c r="AM199" s="213"/>
      <c r="AN199" s="215"/>
      <c r="AO199" s="213"/>
      <c r="AP199" s="215"/>
      <c r="AQ199" s="213"/>
      <c r="AR199" s="215"/>
      <c r="AS199" s="213"/>
      <c r="AT199" s="215"/>
      <c r="AU199" s="213"/>
      <c r="AV199" s="215"/>
      <c r="AW199" s="213"/>
      <c r="AX199" s="213"/>
      <c r="AY199" s="213"/>
      <c r="AZ199" s="326"/>
      <c r="BA199" s="213"/>
      <c r="BB199" s="215"/>
      <c r="BC199" s="213"/>
      <c r="BD199" s="213"/>
      <c r="BE199" s="213"/>
      <c r="BF199" s="213"/>
      <c r="BG199" s="213"/>
      <c r="BH199" s="213"/>
      <c r="BI199" s="213"/>
      <c r="BJ199" s="213"/>
      <c r="BK199" s="213"/>
      <c r="BL199" s="213"/>
      <c r="BM199" s="213"/>
      <c r="BN199" s="213"/>
      <c r="BO199" s="213"/>
      <c r="BP199" s="213"/>
      <c r="BQ199" s="213"/>
      <c r="BR199" s="213"/>
      <c r="BS199" s="213"/>
      <c r="BT199" s="213"/>
      <c r="BU199" s="213"/>
      <c r="BV199" s="213"/>
      <c r="BW199" s="213"/>
    </row>
    <row r="200" ht="15.75" customHeight="1">
      <c r="A200" s="213"/>
      <c r="B200" s="213"/>
      <c r="C200" s="213"/>
      <c r="D200" s="213"/>
      <c r="E200" s="213"/>
      <c r="F200" s="215"/>
      <c r="G200" s="213"/>
      <c r="H200" s="325"/>
      <c r="I200" s="213"/>
      <c r="J200" s="325"/>
      <c r="K200" s="213"/>
      <c r="L200" s="215"/>
      <c r="M200" s="213"/>
      <c r="N200" s="215"/>
      <c r="O200" s="213"/>
      <c r="P200" s="215"/>
      <c r="Q200" s="213"/>
      <c r="R200" s="949"/>
      <c r="S200" s="213"/>
      <c r="T200" s="215"/>
      <c r="U200" s="213"/>
      <c r="V200" s="215"/>
      <c r="W200" s="213"/>
      <c r="X200" s="325"/>
      <c r="Y200" s="213"/>
      <c r="Z200" s="215"/>
      <c r="AA200" s="213"/>
      <c r="AB200" s="215"/>
      <c r="AC200" s="213"/>
      <c r="AD200" s="215"/>
      <c r="AE200" s="213"/>
      <c r="AF200" s="215"/>
      <c r="AG200" s="213"/>
      <c r="AH200" s="215"/>
      <c r="AI200" s="213"/>
      <c r="AJ200" s="215"/>
      <c r="AK200" s="213"/>
      <c r="AL200" s="215"/>
      <c r="AM200" s="213"/>
      <c r="AN200" s="215"/>
      <c r="AO200" s="213"/>
      <c r="AP200" s="215"/>
      <c r="AQ200" s="213"/>
      <c r="AR200" s="215"/>
      <c r="AS200" s="213"/>
      <c r="AT200" s="215"/>
      <c r="AU200" s="213"/>
      <c r="AV200" s="215"/>
      <c r="AW200" s="213"/>
      <c r="AX200" s="213"/>
      <c r="AY200" s="213"/>
      <c r="AZ200" s="326"/>
      <c r="BA200" s="213"/>
      <c r="BB200" s="215"/>
      <c r="BC200" s="213"/>
      <c r="BD200" s="213"/>
      <c r="BE200" s="213"/>
      <c r="BF200" s="213"/>
      <c r="BG200" s="213"/>
      <c r="BH200" s="213"/>
      <c r="BI200" s="213"/>
      <c r="BJ200" s="213"/>
      <c r="BK200" s="213"/>
      <c r="BL200" s="213"/>
      <c r="BM200" s="213"/>
      <c r="BN200" s="213"/>
      <c r="BO200" s="213"/>
      <c r="BP200" s="213"/>
      <c r="BQ200" s="213"/>
      <c r="BR200" s="213"/>
      <c r="BS200" s="213"/>
      <c r="BT200" s="213"/>
      <c r="BU200" s="213"/>
      <c r="BV200" s="213"/>
      <c r="BW200" s="213"/>
    </row>
    <row r="201" ht="15.75" customHeight="1">
      <c r="A201" s="213"/>
      <c r="B201" s="213"/>
      <c r="C201" s="213"/>
      <c r="D201" s="213"/>
      <c r="E201" s="213"/>
      <c r="F201" s="215"/>
      <c r="G201" s="213"/>
      <c r="H201" s="325"/>
      <c r="I201" s="213"/>
      <c r="J201" s="325"/>
      <c r="K201" s="213"/>
      <c r="L201" s="215"/>
      <c r="M201" s="213"/>
      <c r="N201" s="215"/>
      <c r="O201" s="213"/>
      <c r="P201" s="215"/>
      <c r="Q201" s="213"/>
      <c r="R201" s="949"/>
      <c r="S201" s="213"/>
      <c r="T201" s="215"/>
      <c r="U201" s="213"/>
      <c r="V201" s="215"/>
      <c r="W201" s="213"/>
      <c r="X201" s="325"/>
      <c r="Y201" s="213"/>
      <c r="Z201" s="215"/>
      <c r="AA201" s="213"/>
      <c r="AB201" s="215"/>
      <c r="AC201" s="213"/>
      <c r="AD201" s="215"/>
      <c r="AE201" s="213"/>
      <c r="AF201" s="215"/>
      <c r="AG201" s="213"/>
      <c r="AH201" s="215"/>
      <c r="AI201" s="213"/>
      <c r="AJ201" s="215"/>
      <c r="AK201" s="213"/>
      <c r="AL201" s="215"/>
      <c r="AM201" s="213"/>
      <c r="AN201" s="215"/>
      <c r="AO201" s="213"/>
      <c r="AP201" s="215"/>
      <c r="AQ201" s="213"/>
      <c r="AR201" s="215"/>
      <c r="AS201" s="213"/>
      <c r="AT201" s="215"/>
      <c r="AU201" s="213"/>
      <c r="AV201" s="215"/>
      <c r="AW201" s="213"/>
      <c r="AX201" s="213"/>
      <c r="AY201" s="213"/>
      <c r="AZ201" s="326"/>
      <c r="BA201" s="213"/>
      <c r="BB201" s="215"/>
      <c r="BC201" s="213"/>
      <c r="BD201" s="213"/>
      <c r="BE201" s="213"/>
      <c r="BF201" s="213"/>
      <c r="BG201" s="213"/>
      <c r="BH201" s="213"/>
      <c r="BI201" s="213"/>
      <c r="BJ201" s="213"/>
      <c r="BK201" s="213"/>
      <c r="BL201" s="213"/>
      <c r="BM201" s="213"/>
      <c r="BN201" s="213"/>
      <c r="BO201" s="213"/>
      <c r="BP201" s="213"/>
      <c r="BQ201" s="213"/>
      <c r="BR201" s="213"/>
      <c r="BS201" s="213"/>
      <c r="BT201" s="213"/>
      <c r="BU201" s="213"/>
      <c r="BV201" s="213"/>
      <c r="BW201" s="213"/>
    </row>
    <row r="202" ht="15.75" customHeight="1">
      <c r="A202" s="213"/>
      <c r="B202" s="213"/>
      <c r="C202" s="213"/>
      <c r="D202" s="213"/>
      <c r="E202" s="213"/>
      <c r="F202" s="215"/>
      <c r="G202" s="213"/>
      <c r="H202" s="325"/>
      <c r="I202" s="213"/>
      <c r="J202" s="325"/>
      <c r="K202" s="213"/>
      <c r="L202" s="215"/>
      <c r="M202" s="213"/>
      <c r="N202" s="215"/>
      <c r="O202" s="213"/>
      <c r="P202" s="215"/>
      <c r="Q202" s="213"/>
      <c r="R202" s="949"/>
      <c r="S202" s="213"/>
      <c r="T202" s="215"/>
      <c r="U202" s="213"/>
      <c r="V202" s="215"/>
      <c r="W202" s="213"/>
      <c r="X202" s="325"/>
      <c r="Y202" s="213"/>
      <c r="Z202" s="215"/>
      <c r="AA202" s="213"/>
      <c r="AB202" s="215"/>
      <c r="AC202" s="213"/>
      <c r="AD202" s="215"/>
      <c r="AE202" s="213"/>
      <c r="AF202" s="215"/>
      <c r="AG202" s="213"/>
      <c r="AH202" s="215"/>
      <c r="AI202" s="213"/>
      <c r="AJ202" s="215"/>
      <c r="AK202" s="213"/>
      <c r="AL202" s="215"/>
      <c r="AM202" s="213"/>
      <c r="AN202" s="215"/>
      <c r="AO202" s="213"/>
      <c r="AP202" s="215"/>
      <c r="AQ202" s="213"/>
      <c r="AR202" s="215"/>
      <c r="AS202" s="213"/>
      <c r="AT202" s="215"/>
      <c r="AU202" s="213"/>
      <c r="AV202" s="215"/>
      <c r="AW202" s="213"/>
      <c r="AX202" s="213"/>
      <c r="AY202" s="213"/>
      <c r="AZ202" s="326"/>
      <c r="BA202" s="213"/>
      <c r="BB202" s="215"/>
      <c r="BC202" s="213"/>
      <c r="BD202" s="213"/>
      <c r="BE202" s="213"/>
      <c r="BF202" s="213"/>
      <c r="BG202" s="213"/>
      <c r="BH202" s="213"/>
      <c r="BI202" s="213"/>
      <c r="BJ202" s="213"/>
      <c r="BK202" s="213"/>
      <c r="BL202" s="213"/>
      <c r="BM202" s="213"/>
      <c r="BN202" s="213"/>
      <c r="BO202" s="213"/>
      <c r="BP202" s="213"/>
      <c r="BQ202" s="213"/>
      <c r="BR202" s="213"/>
      <c r="BS202" s="213"/>
      <c r="BT202" s="213"/>
      <c r="BU202" s="213"/>
      <c r="BV202" s="213"/>
      <c r="BW202" s="213"/>
    </row>
    <row r="203" ht="15.75" customHeight="1">
      <c r="A203" s="213"/>
      <c r="B203" s="213"/>
      <c r="C203" s="213"/>
      <c r="D203" s="213"/>
      <c r="E203" s="213"/>
      <c r="F203" s="215"/>
      <c r="G203" s="213"/>
      <c r="H203" s="325"/>
      <c r="I203" s="213"/>
      <c r="J203" s="325"/>
      <c r="K203" s="213"/>
      <c r="L203" s="215"/>
      <c r="M203" s="213"/>
      <c r="N203" s="215"/>
      <c r="O203" s="213"/>
      <c r="P203" s="215"/>
      <c r="Q203" s="213"/>
      <c r="R203" s="949"/>
      <c r="S203" s="213"/>
      <c r="T203" s="215"/>
      <c r="U203" s="213"/>
      <c r="V203" s="215"/>
      <c r="W203" s="213"/>
      <c r="X203" s="325"/>
      <c r="Y203" s="213"/>
      <c r="Z203" s="215"/>
      <c r="AA203" s="213"/>
      <c r="AB203" s="215"/>
      <c r="AC203" s="213"/>
      <c r="AD203" s="215"/>
      <c r="AE203" s="213"/>
      <c r="AF203" s="215"/>
      <c r="AG203" s="213"/>
      <c r="AH203" s="215"/>
      <c r="AI203" s="213"/>
      <c r="AJ203" s="215"/>
      <c r="AK203" s="213"/>
      <c r="AL203" s="215"/>
      <c r="AM203" s="213"/>
      <c r="AN203" s="215"/>
      <c r="AO203" s="213"/>
      <c r="AP203" s="215"/>
      <c r="AQ203" s="213"/>
      <c r="AR203" s="215"/>
      <c r="AS203" s="213"/>
      <c r="AT203" s="215"/>
      <c r="AU203" s="213"/>
      <c r="AV203" s="215"/>
      <c r="AW203" s="213"/>
      <c r="AX203" s="213"/>
      <c r="AY203" s="213"/>
      <c r="AZ203" s="326"/>
      <c r="BA203" s="213"/>
      <c r="BB203" s="215"/>
      <c r="BC203" s="213"/>
      <c r="BD203" s="213"/>
      <c r="BE203" s="213"/>
      <c r="BF203" s="213"/>
      <c r="BG203" s="213"/>
      <c r="BH203" s="213"/>
      <c r="BI203" s="213"/>
      <c r="BJ203" s="213"/>
      <c r="BK203" s="213"/>
      <c r="BL203" s="213"/>
      <c r="BM203" s="213"/>
      <c r="BN203" s="213"/>
      <c r="BO203" s="213"/>
      <c r="BP203" s="213"/>
      <c r="BQ203" s="213"/>
      <c r="BR203" s="213"/>
      <c r="BS203" s="213"/>
      <c r="BT203" s="213"/>
      <c r="BU203" s="213"/>
      <c r="BV203" s="213"/>
      <c r="BW203" s="213"/>
    </row>
    <row r="204" ht="15.75" customHeight="1">
      <c r="A204" s="213"/>
      <c r="B204" s="213"/>
      <c r="C204" s="213"/>
      <c r="D204" s="213"/>
      <c r="E204" s="213"/>
      <c r="F204" s="215"/>
      <c r="G204" s="213"/>
      <c r="H204" s="325"/>
      <c r="I204" s="213"/>
      <c r="J204" s="325"/>
      <c r="K204" s="213"/>
      <c r="L204" s="215"/>
      <c r="M204" s="213"/>
      <c r="N204" s="215"/>
      <c r="O204" s="213"/>
      <c r="P204" s="215"/>
      <c r="Q204" s="213"/>
      <c r="R204" s="949"/>
      <c r="S204" s="213"/>
      <c r="T204" s="215"/>
      <c r="U204" s="213"/>
      <c r="V204" s="215"/>
      <c r="W204" s="213"/>
      <c r="X204" s="325"/>
      <c r="Y204" s="213"/>
      <c r="Z204" s="215"/>
      <c r="AA204" s="213"/>
      <c r="AB204" s="215"/>
      <c r="AC204" s="213"/>
      <c r="AD204" s="215"/>
      <c r="AE204" s="213"/>
      <c r="AF204" s="215"/>
      <c r="AG204" s="213"/>
      <c r="AH204" s="215"/>
      <c r="AI204" s="213"/>
      <c r="AJ204" s="215"/>
      <c r="AK204" s="213"/>
      <c r="AL204" s="215"/>
      <c r="AM204" s="213"/>
      <c r="AN204" s="215"/>
      <c r="AO204" s="213"/>
      <c r="AP204" s="215"/>
      <c r="AQ204" s="213"/>
      <c r="AR204" s="215"/>
      <c r="AS204" s="213"/>
      <c r="AT204" s="215"/>
      <c r="AU204" s="213"/>
      <c r="AV204" s="215"/>
      <c r="AW204" s="213"/>
      <c r="AX204" s="213"/>
      <c r="AY204" s="213"/>
      <c r="AZ204" s="326"/>
      <c r="BA204" s="213"/>
      <c r="BB204" s="215"/>
      <c r="BC204" s="213"/>
      <c r="BD204" s="213"/>
      <c r="BE204" s="213"/>
      <c r="BF204" s="213"/>
      <c r="BG204" s="213"/>
      <c r="BH204" s="213"/>
      <c r="BI204" s="213"/>
      <c r="BJ204" s="213"/>
      <c r="BK204" s="213"/>
      <c r="BL204" s="213"/>
      <c r="BM204" s="213"/>
      <c r="BN204" s="213"/>
      <c r="BO204" s="213"/>
      <c r="BP204" s="213"/>
      <c r="BQ204" s="213"/>
      <c r="BR204" s="213"/>
      <c r="BS204" s="213"/>
      <c r="BT204" s="213"/>
      <c r="BU204" s="213"/>
      <c r="BV204" s="213"/>
      <c r="BW204" s="213"/>
    </row>
    <row r="205" ht="15.75" customHeight="1">
      <c r="A205" s="213"/>
      <c r="B205" s="213"/>
      <c r="C205" s="213"/>
      <c r="D205" s="213"/>
      <c r="E205" s="213"/>
      <c r="F205" s="215"/>
      <c r="G205" s="213"/>
      <c r="H205" s="325"/>
      <c r="I205" s="213"/>
      <c r="J205" s="325"/>
      <c r="K205" s="213"/>
      <c r="L205" s="215"/>
      <c r="M205" s="213"/>
      <c r="N205" s="215"/>
      <c r="O205" s="213"/>
      <c r="P205" s="215"/>
      <c r="Q205" s="213"/>
      <c r="R205" s="949"/>
      <c r="S205" s="213"/>
      <c r="T205" s="215"/>
      <c r="U205" s="213"/>
      <c r="V205" s="215"/>
      <c r="W205" s="213"/>
      <c r="X205" s="325"/>
      <c r="Y205" s="213"/>
      <c r="Z205" s="215"/>
      <c r="AA205" s="213"/>
      <c r="AB205" s="215"/>
      <c r="AC205" s="213"/>
      <c r="AD205" s="215"/>
      <c r="AE205" s="213"/>
      <c r="AF205" s="215"/>
      <c r="AG205" s="213"/>
      <c r="AH205" s="215"/>
      <c r="AI205" s="213"/>
      <c r="AJ205" s="215"/>
      <c r="AK205" s="213"/>
      <c r="AL205" s="215"/>
      <c r="AM205" s="213"/>
      <c r="AN205" s="215"/>
      <c r="AO205" s="213"/>
      <c r="AP205" s="215"/>
      <c r="AQ205" s="213"/>
      <c r="AR205" s="215"/>
      <c r="AS205" s="213"/>
      <c r="AT205" s="215"/>
      <c r="AU205" s="213"/>
      <c r="AV205" s="215"/>
      <c r="AW205" s="213"/>
      <c r="AX205" s="213"/>
      <c r="AY205" s="213"/>
      <c r="AZ205" s="326"/>
      <c r="BA205" s="213"/>
      <c r="BB205" s="215"/>
      <c r="BC205" s="213"/>
      <c r="BD205" s="213"/>
      <c r="BE205" s="213"/>
      <c r="BF205" s="213"/>
      <c r="BG205" s="213"/>
      <c r="BH205" s="213"/>
      <c r="BI205" s="213"/>
      <c r="BJ205" s="213"/>
      <c r="BK205" s="213"/>
      <c r="BL205" s="213"/>
      <c r="BM205" s="213"/>
      <c r="BN205" s="213"/>
      <c r="BO205" s="213"/>
      <c r="BP205" s="213"/>
      <c r="BQ205" s="213"/>
      <c r="BR205" s="213"/>
      <c r="BS205" s="213"/>
      <c r="BT205" s="213"/>
      <c r="BU205" s="213"/>
      <c r="BV205" s="213"/>
      <c r="BW205" s="213"/>
    </row>
    <row r="206" ht="15.75" customHeight="1">
      <c r="A206" s="213"/>
      <c r="B206" s="213"/>
      <c r="C206" s="213"/>
      <c r="D206" s="213"/>
      <c r="E206" s="213"/>
      <c r="F206" s="215"/>
      <c r="G206" s="213"/>
      <c r="H206" s="325"/>
      <c r="I206" s="213"/>
      <c r="J206" s="325"/>
      <c r="K206" s="213"/>
      <c r="L206" s="215"/>
      <c r="M206" s="213"/>
      <c r="N206" s="215"/>
      <c r="O206" s="213"/>
      <c r="P206" s="215"/>
      <c r="Q206" s="213"/>
      <c r="R206" s="949"/>
      <c r="S206" s="213"/>
      <c r="T206" s="215"/>
      <c r="U206" s="213"/>
      <c r="V206" s="215"/>
      <c r="W206" s="213"/>
      <c r="X206" s="325"/>
      <c r="Y206" s="213"/>
      <c r="Z206" s="215"/>
      <c r="AA206" s="213"/>
      <c r="AB206" s="215"/>
      <c r="AC206" s="213"/>
      <c r="AD206" s="215"/>
      <c r="AE206" s="213"/>
      <c r="AF206" s="215"/>
      <c r="AG206" s="213"/>
      <c r="AH206" s="215"/>
      <c r="AI206" s="213"/>
      <c r="AJ206" s="215"/>
      <c r="AK206" s="213"/>
      <c r="AL206" s="215"/>
      <c r="AM206" s="213"/>
      <c r="AN206" s="215"/>
      <c r="AO206" s="213"/>
      <c r="AP206" s="215"/>
      <c r="AQ206" s="213"/>
      <c r="AR206" s="215"/>
      <c r="AS206" s="213"/>
      <c r="AT206" s="215"/>
      <c r="AU206" s="213"/>
      <c r="AV206" s="215"/>
      <c r="AW206" s="213"/>
      <c r="AX206" s="213"/>
      <c r="AY206" s="213"/>
      <c r="AZ206" s="326"/>
      <c r="BA206" s="213"/>
      <c r="BB206" s="215"/>
      <c r="BC206" s="213"/>
      <c r="BD206" s="213"/>
      <c r="BE206" s="213"/>
      <c r="BF206" s="213"/>
      <c r="BG206" s="213"/>
      <c r="BH206" s="213"/>
      <c r="BI206" s="213"/>
      <c r="BJ206" s="213"/>
      <c r="BK206" s="213"/>
      <c r="BL206" s="213"/>
      <c r="BM206" s="213"/>
      <c r="BN206" s="213"/>
      <c r="BO206" s="213"/>
      <c r="BP206" s="213"/>
      <c r="BQ206" s="213"/>
      <c r="BR206" s="213"/>
      <c r="BS206" s="213"/>
      <c r="BT206" s="213"/>
      <c r="BU206" s="213"/>
      <c r="BV206" s="213"/>
      <c r="BW206" s="213"/>
    </row>
    <row r="207" ht="15.75" customHeight="1">
      <c r="A207" s="213"/>
      <c r="B207" s="213"/>
      <c r="C207" s="213"/>
      <c r="D207" s="213"/>
      <c r="E207" s="213"/>
      <c r="F207" s="215"/>
      <c r="G207" s="213"/>
      <c r="H207" s="325"/>
      <c r="I207" s="213"/>
      <c r="J207" s="325"/>
      <c r="K207" s="213"/>
      <c r="L207" s="215"/>
      <c r="M207" s="213"/>
      <c r="N207" s="215"/>
      <c r="O207" s="213"/>
      <c r="P207" s="215"/>
      <c r="Q207" s="213"/>
      <c r="R207" s="949"/>
      <c r="S207" s="213"/>
      <c r="T207" s="215"/>
      <c r="U207" s="213"/>
      <c r="V207" s="215"/>
      <c r="W207" s="213"/>
      <c r="X207" s="325"/>
      <c r="Y207" s="213"/>
      <c r="Z207" s="215"/>
      <c r="AA207" s="213"/>
      <c r="AB207" s="215"/>
      <c r="AC207" s="213"/>
      <c r="AD207" s="215"/>
      <c r="AE207" s="213"/>
      <c r="AF207" s="215"/>
      <c r="AG207" s="213"/>
      <c r="AH207" s="215"/>
      <c r="AI207" s="213"/>
      <c r="AJ207" s="215"/>
      <c r="AK207" s="213"/>
      <c r="AL207" s="215"/>
      <c r="AM207" s="213"/>
      <c r="AN207" s="215"/>
      <c r="AO207" s="213"/>
      <c r="AP207" s="215"/>
      <c r="AQ207" s="213"/>
      <c r="AR207" s="215"/>
      <c r="AS207" s="213"/>
      <c r="AT207" s="215"/>
      <c r="AU207" s="213"/>
      <c r="AV207" s="215"/>
      <c r="AW207" s="213"/>
      <c r="AX207" s="213"/>
      <c r="AY207" s="213"/>
      <c r="AZ207" s="326"/>
      <c r="BA207" s="213"/>
      <c r="BB207" s="215"/>
      <c r="BC207" s="213"/>
      <c r="BD207" s="213"/>
      <c r="BE207" s="213"/>
      <c r="BF207" s="213"/>
      <c r="BG207" s="213"/>
      <c r="BH207" s="213"/>
      <c r="BI207" s="213"/>
      <c r="BJ207" s="213"/>
      <c r="BK207" s="213"/>
      <c r="BL207" s="213"/>
      <c r="BM207" s="213"/>
      <c r="BN207" s="213"/>
      <c r="BO207" s="213"/>
      <c r="BP207" s="213"/>
      <c r="BQ207" s="213"/>
      <c r="BR207" s="213"/>
      <c r="BS207" s="213"/>
      <c r="BT207" s="213"/>
      <c r="BU207" s="213"/>
      <c r="BV207" s="213"/>
      <c r="BW207" s="213"/>
    </row>
    <row r="208" ht="15.75" customHeight="1">
      <c r="A208" s="213"/>
      <c r="B208" s="213"/>
      <c r="C208" s="213"/>
      <c r="D208" s="213"/>
      <c r="E208" s="213"/>
      <c r="F208" s="215"/>
      <c r="G208" s="213"/>
      <c r="H208" s="325"/>
      <c r="I208" s="213"/>
      <c r="J208" s="325"/>
      <c r="K208" s="213"/>
      <c r="L208" s="215"/>
      <c r="M208" s="213"/>
      <c r="N208" s="215"/>
      <c r="O208" s="213"/>
      <c r="P208" s="215"/>
      <c r="Q208" s="213"/>
      <c r="R208" s="949"/>
      <c r="S208" s="213"/>
      <c r="T208" s="215"/>
      <c r="U208" s="213"/>
      <c r="V208" s="215"/>
      <c r="W208" s="213"/>
      <c r="X208" s="325"/>
      <c r="Y208" s="213"/>
      <c r="Z208" s="215"/>
      <c r="AA208" s="213"/>
      <c r="AB208" s="215"/>
      <c r="AC208" s="213"/>
      <c r="AD208" s="215"/>
      <c r="AE208" s="213"/>
      <c r="AF208" s="215"/>
      <c r="AG208" s="213"/>
      <c r="AH208" s="215"/>
      <c r="AI208" s="213"/>
      <c r="AJ208" s="215"/>
      <c r="AK208" s="213"/>
      <c r="AL208" s="215"/>
      <c r="AM208" s="213"/>
      <c r="AN208" s="215"/>
      <c r="AO208" s="213"/>
      <c r="AP208" s="215"/>
      <c r="AQ208" s="213"/>
      <c r="AR208" s="215"/>
      <c r="AS208" s="213"/>
      <c r="AT208" s="215"/>
      <c r="AU208" s="213"/>
      <c r="AV208" s="215"/>
      <c r="AW208" s="213"/>
      <c r="AX208" s="213"/>
      <c r="AY208" s="213"/>
      <c r="AZ208" s="326"/>
      <c r="BA208" s="213"/>
      <c r="BB208" s="215"/>
      <c r="BC208" s="213"/>
      <c r="BD208" s="213"/>
      <c r="BE208" s="213"/>
      <c r="BF208" s="213"/>
      <c r="BG208" s="213"/>
      <c r="BH208" s="213"/>
      <c r="BI208" s="213"/>
      <c r="BJ208" s="213"/>
      <c r="BK208" s="213"/>
      <c r="BL208" s="213"/>
      <c r="BM208" s="213"/>
      <c r="BN208" s="213"/>
      <c r="BO208" s="213"/>
      <c r="BP208" s="213"/>
      <c r="BQ208" s="213"/>
      <c r="BR208" s="213"/>
      <c r="BS208" s="213"/>
      <c r="BT208" s="213"/>
      <c r="BU208" s="213"/>
      <c r="BV208" s="213"/>
      <c r="BW208" s="213"/>
    </row>
    <row r="209" ht="15.75" customHeight="1">
      <c r="A209" s="213"/>
      <c r="B209" s="213"/>
      <c r="C209" s="213"/>
      <c r="D209" s="213"/>
      <c r="E209" s="213"/>
      <c r="F209" s="215"/>
      <c r="G209" s="213"/>
      <c r="H209" s="325"/>
      <c r="I209" s="213"/>
      <c r="J209" s="325"/>
      <c r="K209" s="213"/>
      <c r="L209" s="215"/>
      <c r="M209" s="213"/>
      <c r="N209" s="215"/>
      <c r="O209" s="213"/>
      <c r="P209" s="215"/>
      <c r="Q209" s="213"/>
      <c r="R209" s="949"/>
      <c r="S209" s="213"/>
      <c r="T209" s="215"/>
      <c r="U209" s="213"/>
      <c r="V209" s="215"/>
      <c r="W209" s="213"/>
      <c r="X209" s="325"/>
      <c r="Y209" s="213"/>
      <c r="Z209" s="215"/>
      <c r="AA209" s="213"/>
      <c r="AB209" s="215"/>
      <c r="AC209" s="213"/>
      <c r="AD209" s="215"/>
      <c r="AE209" s="213"/>
      <c r="AF209" s="215"/>
      <c r="AG209" s="213"/>
      <c r="AH209" s="215"/>
      <c r="AI209" s="213"/>
      <c r="AJ209" s="215"/>
      <c r="AK209" s="213"/>
      <c r="AL209" s="215"/>
      <c r="AM209" s="213"/>
      <c r="AN209" s="215"/>
      <c r="AO209" s="213"/>
      <c r="AP209" s="215"/>
      <c r="AQ209" s="213"/>
      <c r="AR209" s="215"/>
      <c r="AS209" s="213"/>
      <c r="AT209" s="215"/>
      <c r="AU209" s="213"/>
      <c r="AV209" s="215"/>
      <c r="AW209" s="213"/>
      <c r="AX209" s="213"/>
      <c r="AY209" s="213"/>
      <c r="AZ209" s="326"/>
      <c r="BA209" s="213"/>
      <c r="BB209" s="215"/>
      <c r="BC209" s="213"/>
      <c r="BD209" s="213"/>
      <c r="BE209" s="213"/>
      <c r="BF209" s="213"/>
      <c r="BG209" s="213"/>
      <c r="BH209" s="213"/>
      <c r="BI209" s="213"/>
      <c r="BJ209" s="213"/>
      <c r="BK209" s="213"/>
      <c r="BL209" s="213"/>
      <c r="BM209" s="213"/>
      <c r="BN209" s="213"/>
      <c r="BO209" s="213"/>
      <c r="BP209" s="213"/>
      <c r="BQ209" s="213"/>
      <c r="BR209" s="213"/>
      <c r="BS209" s="213"/>
      <c r="BT209" s="213"/>
      <c r="BU209" s="213"/>
      <c r="BV209" s="213"/>
      <c r="BW209" s="213"/>
    </row>
    <row r="210" ht="15.75" customHeight="1">
      <c r="A210" s="213"/>
      <c r="B210" s="213"/>
      <c r="C210" s="213"/>
      <c r="D210" s="213"/>
      <c r="E210" s="213"/>
      <c r="F210" s="215"/>
      <c r="G210" s="213"/>
      <c r="H210" s="325"/>
      <c r="I210" s="213"/>
      <c r="J210" s="325"/>
      <c r="K210" s="213"/>
      <c r="L210" s="215"/>
      <c r="M210" s="213"/>
      <c r="N210" s="215"/>
      <c r="O210" s="213"/>
      <c r="P210" s="215"/>
      <c r="Q210" s="213"/>
      <c r="R210" s="949"/>
      <c r="S210" s="213"/>
      <c r="T210" s="215"/>
      <c r="U210" s="213"/>
      <c r="V210" s="215"/>
      <c r="W210" s="213"/>
      <c r="X210" s="325"/>
      <c r="Y210" s="213"/>
      <c r="Z210" s="215"/>
      <c r="AA210" s="213"/>
      <c r="AB210" s="215"/>
      <c r="AC210" s="213"/>
      <c r="AD210" s="215"/>
      <c r="AE210" s="213"/>
      <c r="AF210" s="215"/>
      <c r="AG210" s="213"/>
      <c r="AH210" s="215"/>
      <c r="AI210" s="213"/>
      <c r="AJ210" s="215"/>
      <c r="AK210" s="213"/>
      <c r="AL210" s="215"/>
      <c r="AM210" s="213"/>
      <c r="AN210" s="215"/>
      <c r="AO210" s="213"/>
      <c r="AP210" s="215"/>
      <c r="AQ210" s="213"/>
      <c r="AR210" s="215"/>
      <c r="AS210" s="213"/>
      <c r="AT210" s="215"/>
      <c r="AU210" s="213"/>
      <c r="AV210" s="215"/>
      <c r="AW210" s="213"/>
      <c r="AX210" s="213"/>
      <c r="AY210" s="213"/>
      <c r="AZ210" s="326"/>
      <c r="BA210" s="213"/>
      <c r="BB210" s="215"/>
      <c r="BC210" s="213"/>
      <c r="BD210" s="213"/>
      <c r="BE210" s="213"/>
      <c r="BF210" s="213"/>
      <c r="BG210" s="213"/>
      <c r="BH210" s="213"/>
      <c r="BI210" s="213"/>
      <c r="BJ210" s="213"/>
      <c r="BK210" s="213"/>
      <c r="BL210" s="213"/>
      <c r="BM210" s="213"/>
      <c r="BN210" s="213"/>
      <c r="BO210" s="213"/>
      <c r="BP210" s="213"/>
      <c r="BQ210" s="213"/>
      <c r="BR210" s="213"/>
      <c r="BS210" s="213"/>
      <c r="BT210" s="213"/>
      <c r="BU210" s="213"/>
      <c r="BV210" s="213"/>
      <c r="BW210" s="213"/>
    </row>
    <row r="211" ht="15.75" customHeight="1">
      <c r="A211" s="213"/>
      <c r="B211" s="213"/>
      <c r="C211" s="213"/>
      <c r="D211" s="213"/>
      <c r="E211" s="213"/>
      <c r="F211" s="215"/>
      <c r="G211" s="213"/>
      <c r="H211" s="325"/>
      <c r="I211" s="213"/>
      <c r="J211" s="325"/>
      <c r="K211" s="213"/>
      <c r="L211" s="215"/>
      <c r="M211" s="213"/>
      <c r="N211" s="215"/>
      <c r="O211" s="213"/>
      <c r="P211" s="215"/>
      <c r="Q211" s="213"/>
      <c r="R211" s="949"/>
      <c r="S211" s="213"/>
      <c r="T211" s="215"/>
      <c r="U211" s="213"/>
      <c r="V211" s="215"/>
      <c r="W211" s="213"/>
      <c r="X211" s="325"/>
      <c r="Y211" s="213"/>
      <c r="Z211" s="215"/>
      <c r="AA211" s="213"/>
      <c r="AB211" s="215"/>
      <c r="AC211" s="213"/>
      <c r="AD211" s="215"/>
      <c r="AE211" s="213"/>
      <c r="AF211" s="215"/>
      <c r="AG211" s="213"/>
      <c r="AH211" s="215"/>
      <c r="AI211" s="213"/>
      <c r="AJ211" s="215"/>
      <c r="AK211" s="213"/>
      <c r="AL211" s="215"/>
      <c r="AM211" s="213"/>
      <c r="AN211" s="215"/>
      <c r="AO211" s="213"/>
      <c r="AP211" s="215"/>
      <c r="AQ211" s="213"/>
      <c r="AR211" s="215"/>
      <c r="AS211" s="213"/>
      <c r="AT211" s="215"/>
      <c r="AU211" s="213"/>
      <c r="AV211" s="215"/>
      <c r="AW211" s="213"/>
      <c r="AX211" s="213"/>
      <c r="AY211" s="213"/>
      <c r="AZ211" s="326"/>
      <c r="BA211" s="213"/>
      <c r="BB211" s="215"/>
      <c r="BC211" s="213"/>
      <c r="BD211" s="213"/>
      <c r="BE211" s="213"/>
      <c r="BF211" s="213"/>
      <c r="BG211" s="213"/>
      <c r="BH211" s="213"/>
      <c r="BI211" s="213"/>
      <c r="BJ211" s="213"/>
      <c r="BK211" s="213"/>
      <c r="BL211" s="213"/>
      <c r="BM211" s="213"/>
      <c r="BN211" s="213"/>
      <c r="BO211" s="213"/>
      <c r="BP211" s="213"/>
      <c r="BQ211" s="213"/>
      <c r="BR211" s="213"/>
      <c r="BS211" s="213"/>
      <c r="BT211" s="213"/>
      <c r="BU211" s="213"/>
      <c r="BV211" s="213"/>
      <c r="BW211" s="213"/>
    </row>
    <row r="212" ht="15.75" customHeight="1">
      <c r="A212" s="213"/>
      <c r="B212" s="213"/>
      <c r="C212" s="213"/>
      <c r="D212" s="213"/>
      <c r="E212" s="213"/>
      <c r="F212" s="215"/>
      <c r="G212" s="213"/>
      <c r="H212" s="325"/>
      <c r="I212" s="213"/>
      <c r="J212" s="325"/>
      <c r="K212" s="213"/>
      <c r="L212" s="215"/>
      <c r="M212" s="213"/>
      <c r="N212" s="215"/>
      <c r="O212" s="213"/>
      <c r="P212" s="215"/>
      <c r="Q212" s="213"/>
      <c r="R212" s="949"/>
      <c r="S212" s="213"/>
      <c r="T212" s="215"/>
      <c r="U212" s="213"/>
      <c r="V212" s="215"/>
      <c r="W212" s="213"/>
      <c r="X212" s="325"/>
      <c r="Y212" s="213"/>
      <c r="Z212" s="215"/>
      <c r="AA212" s="213"/>
      <c r="AB212" s="215"/>
      <c r="AC212" s="213"/>
      <c r="AD212" s="215"/>
      <c r="AE212" s="213"/>
      <c r="AF212" s="215"/>
      <c r="AG212" s="213"/>
      <c r="AH212" s="215"/>
      <c r="AI212" s="213"/>
      <c r="AJ212" s="215"/>
      <c r="AK212" s="213"/>
      <c r="AL212" s="215"/>
      <c r="AM212" s="213"/>
      <c r="AN212" s="215"/>
      <c r="AO212" s="213"/>
      <c r="AP212" s="215"/>
      <c r="AQ212" s="213"/>
      <c r="AR212" s="215"/>
      <c r="AS212" s="213"/>
      <c r="AT212" s="215"/>
      <c r="AU212" s="213"/>
      <c r="AV212" s="215"/>
      <c r="AW212" s="213"/>
      <c r="AX212" s="213"/>
      <c r="AY212" s="213"/>
      <c r="AZ212" s="326"/>
      <c r="BA212" s="213"/>
      <c r="BB212" s="215"/>
      <c r="BC212" s="213"/>
      <c r="BD212" s="213"/>
      <c r="BE212" s="213"/>
      <c r="BF212" s="213"/>
      <c r="BG212" s="213"/>
      <c r="BH212" s="213"/>
      <c r="BI212" s="213"/>
      <c r="BJ212" s="213"/>
      <c r="BK212" s="213"/>
      <c r="BL212" s="213"/>
      <c r="BM212" s="213"/>
      <c r="BN212" s="213"/>
      <c r="BO212" s="213"/>
      <c r="BP212" s="213"/>
      <c r="BQ212" s="213"/>
      <c r="BR212" s="213"/>
      <c r="BS212" s="213"/>
      <c r="BT212" s="213"/>
      <c r="BU212" s="213"/>
      <c r="BV212" s="213"/>
      <c r="BW212" s="213"/>
    </row>
    <row r="213" ht="15.75" customHeight="1">
      <c r="A213" s="213"/>
      <c r="B213" s="213"/>
      <c r="C213" s="213"/>
      <c r="D213" s="213"/>
      <c r="E213" s="213"/>
      <c r="F213" s="215"/>
      <c r="G213" s="213"/>
      <c r="H213" s="325"/>
      <c r="I213" s="213"/>
      <c r="J213" s="325"/>
      <c r="K213" s="213"/>
      <c r="L213" s="215"/>
      <c r="M213" s="213"/>
      <c r="N213" s="215"/>
      <c r="O213" s="213"/>
      <c r="P213" s="215"/>
      <c r="Q213" s="213"/>
      <c r="R213" s="949"/>
      <c r="S213" s="213"/>
      <c r="T213" s="215"/>
      <c r="U213" s="213"/>
      <c r="V213" s="215"/>
      <c r="W213" s="213"/>
      <c r="X213" s="325"/>
      <c r="Y213" s="213"/>
      <c r="Z213" s="215"/>
      <c r="AA213" s="213"/>
      <c r="AB213" s="215"/>
      <c r="AC213" s="213"/>
      <c r="AD213" s="215"/>
      <c r="AE213" s="213"/>
      <c r="AF213" s="215"/>
      <c r="AG213" s="213"/>
      <c r="AH213" s="215"/>
      <c r="AI213" s="213"/>
      <c r="AJ213" s="215"/>
      <c r="AK213" s="213"/>
      <c r="AL213" s="215"/>
      <c r="AM213" s="213"/>
      <c r="AN213" s="215"/>
      <c r="AO213" s="213"/>
      <c r="AP213" s="215"/>
      <c r="AQ213" s="213"/>
      <c r="AR213" s="215"/>
      <c r="AS213" s="213"/>
      <c r="AT213" s="215"/>
      <c r="AU213" s="213"/>
      <c r="AV213" s="215"/>
      <c r="AW213" s="213"/>
      <c r="AX213" s="213"/>
      <c r="AY213" s="213"/>
      <c r="AZ213" s="326"/>
      <c r="BA213" s="213"/>
      <c r="BB213" s="215"/>
      <c r="BC213" s="213"/>
      <c r="BD213" s="213"/>
      <c r="BE213" s="213"/>
      <c r="BF213" s="213"/>
      <c r="BG213" s="213"/>
      <c r="BH213" s="213"/>
      <c r="BI213" s="213"/>
      <c r="BJ213" s="213"/>
      <c r="BK213" s="213"/>
      <c r="BL213" s="213"/>
      <c r="BM213" s="213"/>
      <c r="BN213" s="213"/>
      <c r="BO213" s="213"/>
      <c r="BP213" s="213"/>
      <c r="BQ213" s="213"/>
      <c r="BR213" s="213"/>
      <c r="BS213" s="213"/>
      <c r="BT213" s="213"/>
      <c r="BU213" s="213"/>
      <c r="BV213" s="213"/>
      <c r="BW213" s="213"/>
    </row>
    <row r="214" ht="15.75" customHeight="1">
      <c r="A214" s="213"/>
      <c r="B214" s="213"/>
      <c r="C214" s="213"/>
      <c r="D214" s="213"/>
      <c r="E214" s="213"/>
      <c r="F214" s="215"/>
      <c r="G214" s="213"/>
      <c r="H214" s="325"/>
      <c r="I214" s="213"/>
      <c r="J214" s="325"/>
      <c r="K214" s="213"/>
      <c r="L214" s="215"/>
      <c r="M214" s="213"/>
      <c r="N214" s="215"/>
      <c r="O214" s="213"/>
      <c r="P214" s="215"/>
      <c r="Q214" s="213"/>
      <c r="R214" s="949"/>
      <c r="S214" s="213"/>
      <c r="T214" s="215"/>
      <c r="U214" s="213"/>
      <c r="V214" s="215"/>
      <c r="W214" s="213"/>
      <c r="X214" s="325"/>
      <c r="Y214" s="213"/>
      <c r="Z214" s="215"/>
      <c r="AA214" s="213"/>
      <c r="AB214" s="215"/>
      <c r="AC214" s="213"/>
      <c r="AD214" s="215"/>
      <c r="AE214" s="213"/>
      <c r="AF214" s="215"/>
      <c r="AG214" s="213"/>
      <c r="AH214" s="215"/>
      <c r="AI214" s="213"/>
      <c r="AJ214" s="215"/>
      <c r="AK214" s="213"/>
      <c r="AL214" s="215"/>
      <c r="AM214" s="213"/>
      <c r="AN214" s="215"/>
      <c r="AO214" s="213"/>
      <c r="AP214" s="215"/>
      <c r="AQ214" s="213"/>
      <c r="AR214" s="215"/>
      <c r="AS214" s="213"/>
      <c r="AT214" s="215"/>
      <c r="AU214" s="213"/>
      <c r="AV214" s="215"/>
      <c r="AW214" s="213"/>
      <c r="AX214" s="213"/>
      <c r="AY214" s="213"/>
      <c r="AZ214" s="326"/>
      <c r="BA214" s="213"/>
      <c r="BB214" s="215"/>
      <c r="BC214" s="213"/>
      <c r="BD214" s="213"/>
      <c r="BE214" s="213"/>
      <c r="BF214" s="213"/>
      <c r="BG214" s="213"/>
      <c r="BH214" s="213"/>
      <c r="BI214" s="213"/>
      <c r="BJ214" s="213"/>
      <c r="BK214" s="213"/>
      <c r="BL214" s="213"/>
      <c r="BM214" s="213"/>
      <c r="BN214" s="213"/>
      <c r="BO214" s="213"/>
      <c r="BP214" s="213"/>
      <c r="BQ214" s="213"/>
      <c r="BR214" s="213"/>
      <c r="BS214" s="213"/>
      <c r="BT214" s="213"/>
      <c r="BU214" s="213"/>
      <c r="BV214" s="213"/>
      <c r="BW214" s="213"/>
    </row>
    <row r="215" ht="15.75" customHeight="1">
      <c r="A215" s="213"/>
      <c r="B215" s="213"/>
      <c r="C215" s="213"/>
      <c r="D215" s="213"/>
      <c r="E215" s="213"/>
      <c r="F215" s="215"/>
      <c r="G215" s="213"/>
      <c r="H215" s="325"/>
      <c r="I215" s="213"/>
      <c r="J215" s="325"/>
      <c r="K215" s="213"/>
      <c r="L215" s="215"/>
      <c r="M215" s="213"/>
      <c r="N215" s="215"/>
      <c r="O215" s="213"/>
      <c r="P215" s="215"/>
      <c r="Q215" s="213"/>
      <c r="R215" s="949"/>
      <c r="S215" s="213"/>
      <c r="T215" s="215"/>
      <c r="U215" s="213"/>
      <c r="V215" s="215"/>
      <c r="W215" s="213"/>
      <c r="X215" s="325"/>
      <c r="Y215" s="213"/>
      <c r="Z215" s="215"/>
      <c r="AA215" s="213"/>
      <c r="AB215" s="215"/>
      <c r="AC215" s="213"/>
      <c r="AD215" s="215"/>
      <c r="AE215" s="213"/>
      <c r="AF215" s="215"/>
      <c r="AG215" s="213"/>
      <c r="AH215" s="215"/>
      <c r="AI215" s="213"/>
      <c r="AJ215" s="215"/>
      <c r="AK215" s="213"/>
      <c r="AL215" s="215"/>
      <c r="AM215" s="213"/>
      <c r="AN215" s="215"/>
      <c r="AO215" s="213"/>
      <c r="AP215" s="215"/>
      <c r="AQ215" s="213"/>
      <c r="AR215" s="215"/>
      <c r="AS215" s="213"/>
      <c r="AT215" s="215"/>
      <c r="AU215" s="213"/>
      <c r="AV215" s="215"/>
      <c r="AW215" s="213"/>
      <c r="AX215" s="213"/>
      <c r="AY215" s="213"/>
      <c r="AZ215" s="326"/>
      <c r="BA215" s="213"/>
      <c r="BB215" s="215"/>
      <c r="BC215" s="213"/>
      <c r="BD215" s="213"/>
      <c r="BE215" s="213"/>
      <c r="BF215" s="213"/>
      <c r="BG215" s="213"/>
      <c r="BH215" s="213"/>
      <c r="BI215" s="213"/>
      <c r="BJ215" s="213"/>
      <c r="BK215" s="213"/>
      <c r="BL215" s="213"/>
      <c r="BM215" s="213"/>
      <c r="BN215" s="213"/>
      <c r="BO215" s="213"/>
      <c r="BP215" s="213"/>
      <c r="BQ215" s="213"/>
      <c r="BR215" s="213"/>
      <c r="BS215" s="213"/>
      <c r="BT215" s="213"/>
      <c r="BU215" s="213"/>
      <c r="BV215" s="213"/>
      <c r="BW215" s="213"/>
    </row>
    <row r="216" ht="15.75" customHeight="1">
      <c r="A216" s="213"/>
      <c r="B216" s="213"/>
      <c r="C216" s="213"/>
      <c r="D216" s="213"/>
      <c r="E216" s="213"/>
      <c r="F216" s="215"/>
      <c r="G216" s="213"/>
      <c r="H216" s="325"/>
      <c r="I216" s="213"/>
      <c r="J216" s="325"/>
      <c r="K216" s="213"/>
      <c r="L216" s="215"/>
      <c r="M216" s="213"/>
      <c r="N216" s="215"/>
      <c r="O216" s="213"/>
      <c r="P216" s="215"/>
      <c r="Q216" s="213"/>
      <c r="R216" s="949"/>
      <c r="S216" s="213"/>
      <c r="T216" s="215"/>
      <c r="U216" s="213"/>
      <c r="V216" s="215"/>
      <c r="W216" s="213"/>
      <c r="X216" s="325"/>
      <c r="Y216" s="213"/>
      <c r="Z216" s="215"/>
      <c r="AA216" s="213"/>
      <c r="AB216" s="215"/>
      <c r="AC216" s="213"/>
      <c r="AD216" s="215"/>
      <c r="AE216" s="213"/>
      <c r="AF216" s="215"/>
      <c r="AG216" s="213"/>
      <c r="AH216" s="215"/>
      <c r="AI216" s="213"/>
      <c r="AJ216" s="215"/>
      <c r="AK216" s="213"/>
      <c r="AL216" s="215"/>
      <c r="AM216" s="213"/>
      <c r="AN216" s="215"/>
      <c r="AO216" s="213"/>
      <c r="AP216" s="215"/>
      <c r="AQ216" s="213"/>
      <c r="AR216" s="215"/>
      <c r="AS216" s="213"/>
      <c r="AT216" s="215"/>
      <c r="AU216" s="213"/>
      <c r="AV216" s="215"/>
      <c r="AW216" s="213"/>
      <c r="AX216" s="213"/>
      <c r="AY216" s="213"/>
      <c r="AZ216" s="326"/>
      <c r="BA216" s="213"/>
      <c r="BB216" s="215"/>
      <c r="BC216" s="213"/>
      <c r="BD216" s="213"/>
      <c r="BE216" s="213"/>
      <c r="BF216" s="213"/>
      <c r="BG216" s="213"/>
      <c r="BH216" s="213"/>
      <c r="BI216" s="213"/>
      <c r="BJ216" s="213"/>
      <c r="BK216" s="213"/>
      <c r="BL216" s="213"/>
      <c r="BM216" s="213"/>
      <c r="BN216" s="213"/>
      <c r="BO216" s="213"/>
      <c r="BP216" s="213"/>
      <c r="BQ216" s="213"/>
      <c r="BR216" s="213"/>
      <c r="BS216" s="213"/>
      <c r="BT216" s="213"/>
      <c r="BU216" s="213"/>
      <c r="BV216" s="213"/>
      <c r="BW216" s="213"/>
    </row>
    <row r="217" ht="15.75" customHeight="1">
      <c r="A217" s="213"/>
      <c r="B217" s="213"/>
      <c r="C217" s="213"/>
      <c r="D217" s="213"/>
      <c r="E217" s="213"/>
      <c r="F217" s="215"/>
      <c r="G217" s="213"/>
      <c r="H217" s="325"/>
      <c r="I217" s="213"/>
      <c r="J217" s="325"/>
      <c r="K217" s="213"/>
      <c r="L217" s="215"/>
      <c r="M217" s="213"/>
      <c r="N217" s="215"/>
      <c r="O217" s="213"/>
      <c r="P217" s="215"/>
      <c r="Q217" s="213"/>
      <c r="R217" s="949"/>
      <c r="S217" s="213"/>
      <c r="T217" s="215"/>
      <c r="U217" s="213"/>
      <c r="V217" s="215"/>
      <c r="W217" s="213"/>
      <c r="X217" s="325"/>
      <c r="Y217" s="213"/>
      <c r="Z217" s="215"/>
      <c r="AA217" s="213"/>
      <c r="AB217" s="215"/>
      <c r="AC217" s="213"/>
      <c r="AD217" s="215"/>
      <c r="AE217" s="213"/>
      <c r="AF217" s="215"/>
      <c r="AG217" s="213"/>
      <c r="AH217" s="215"/>
      <c r="AI217" s="213"/>
      <c r="AJ217" s="215"/>
      <c r="AK217" s="213"/>
      <c r="AL217" s="215"/>
      <c r="AM217" s="213"/>
      <c r="AN217" s="215"/>
      <c r="AO217" s="213"/>
      <c r="AP217" s="215"/>
      <c r="AQ217" s="213"/>
      <c r="AR217" s="215"/>
      <c r="AS217" s="213"/>
      <c r="AT217" s="215"/>
      <c r="AU217" s="213"/>
      <c r="AV217" s="215"/>
      <c r="AW217" s="213"/>
      <c r="AX217" s="213"/>
      <c r="AY217" s="213"/>
      <c r="AZ217" s="326"/>
      <c r="BA217" s="213"/>
      <c r="BB217" s="215"/>
      <c r="BC217" s="213"/>
      <c r="BD217" s="213"/>
      <c r="BE217" s="213"/>
      <c r="BF217" s="213"/>
      <c r="BG217" s="213"/>
      <c r="BH217" s="213"/>
      <c r="BI217" s="213"/>
      <c r="BJ217" s="213"/>
      <c r="BK217" s="213"/>
      <c r="BL217" s="213"/>
      <c r="BM217" s="213"/>
      <c r="BN217" s="213"/>
      <c r="BO217" s="213"/>
      <c r="BP217" s="213"/>
      <c r="BQ217" s="213"/>
      <c r="BR217" s="213"/>
      <c r="BS217" s="213"/>
      <c r="BT217" s="213"/>
      <c r="BU217" s="213"/>
      <c r="BV217" s="213"/>
      <c r="BW217" s="213"/>
    </row>
    <row r="218" ht="15.75" customHeight="1">
      <c r="A218" s="213"/>
      <c r="B218" s="213"/>
      <c r="C218" s="213"/>
      <c r="D218" s="213"/>
      <c r="E218" s="213"/>
      <c r="F218" s="215"/>
      <c r="G218" s="213"/>
      <c r="H218" s="325"/>
      <c r="I218" s="213"/>
      <c r="J218" s="325"/>
      <c r="K218" s="213"/>
      <c r="L218" s="215"/>
      <c r="M218" s="213"/>
      <c r="N218" s="215"/>
      <c r="O218" s="213"/>
      <c r="P218" s="215"/>
      <c r="Q218" s="213"/>
      <c r="R218" s="949"/>
      <c r="S218" s="213"/>
      <c r="T218" s="215"/>
      <c r="U218" s="213"/>
      <c r="V218" s="215"/>
      <c r="W218" s="213"/>
      <c r="X218" s="325"/>
      <c r="Y218" s="213"/>
      <c r="Z218" s="215"/>
      <c r="AA218" s="213"/>
      <c r="AB218" s="215"/>
      <c r="AC218" s="213"/>
      <c r="AD218" s="215"/>
      <c r="AE218" s="213"/>
      <c r="AF218" s="215"/>
      <c r="AG218" s="213"/>
      <c r="AH218" s="215"/>
      <c r="AI218" s="213"/>
      <c r="AJ218" s="215"/>
      <c r="AK218" s="213"/>
      <c r="AL218" s="215"/>
      <c r="AM218" s="213"/>
      <c r="AN218" s="215"/>
      <c r="AO218" s="213"/>
      <c r="AP218" s="215"/>
      <c r="AQ218" s="213"/>
      <c r="AR218" s="215"/>
      <c r="AS218" s="213"/>
      <c r="AT218" s="215"/>
      <c r="AU218" s="213"/>
      <c r="AV218" s="215"/>
      <c r="AW218" s="213"/>
      <c r="AX218" s="213"/>
      <c r="AY218" s="213"/>
      <c r="AZ218" s="326"/>
      <c r="BA218" s="213"/>
      <c r="BB218" s="215"/>
      <c r="BC218" s="213"/>
      <c r="BD218" s="213"/>
      <c r="BE218" s="213"/>
      <c r="BF218" s="213"/>
      <c r="BG218" s="213"/>
      <c r="BH218" s="213"/>
      <c r="BI218" s="213"/>
      <c r="BJ218" s="213"/>
      <c r="BK218" s="213"/>
      <c r="BL218" s="213"/>
      <c r="BM218" s="213"/>
      <c r="BN218" s="213"/>
      <c r="BO218" s="213"/>
      <c r="BP218" s="213"/>
      <c r="BQ218" s="213"/>
      <c r="BR218" s="213"/>
      <c r="BS218" s="213"/>
      <c r="BT218" s="213"/>
      <c r="BU218" s="213"/>
      <c r="BV218" s="213"/>
      <c r="BW218" s="213"/>
    </row>
    <row r="219" ht="15.75" customHeight="1">
      <c r="A219" s="213"/>
      <c r="B219" s="213"/>
      <c r="C219" s="213"/>
      <c r="D219" s="213"/>
      <c r="E219" s="213"/>
      <c r="F219" s="215"/>
      <c r="G219" s="213"/>
      <c r="H219" s="325"/>
      <c r="I219" s="213"/>
      <c r="J219" s="325"/>
      <c r="K219" s="213"/>
      <c r="L219" s="215"/>
      <c r="M219" s="213"/>
      <c r="N219" s="215"/>
      <c r="O219" s="213"/>
      <c r="P219" s="215"/>
      <c r="Q219" s="213"/>
      <c r="R219" s="949"/>
      <c r="S219" s="213"/>
      <c r="T219" s="215"/>
      <c r="U219" s="213"/>
      <c r="V219" s="215"/>
      <c r="W219" s="213"/>
      <c r="X219" s="325"/>
      <c r="Y219" s="213"/>
      <c r="Z219" s="215"/>
      <c r="AA219" s="213"/>
      <c r="AB219" s="215"/>
      <c r="AC219" s="213"/>
      <c r="AD219" s="215"/>
      <c r="AE219" s="213"/>
      <c r="AF219" s="215"/>
      <c r="AG219" s="213"/>
      <c r="AH219" s="215"/>
      <c r="AI219" s="213"/>
      <c r="AJ219" s="215"/>
      <c r="AK219" s="213"/>
      <c r="AL219" s="215"/>
      <c r="AM219" s="213"/>
      <c r="AN219" s="215"/>
      <c r="AO219" s="213"/>
      <c r="AP219" s="215"/>
      <c r="AQ219" s="213"/>
      <c r="AR219" s="215"/>
      <c r="AS219" s="213"/>
      <c r="AT219" s="215"/>
      <c r="AU219" s="213"/>
      <c r="AV219" s="215"/>
      <c r="AW219" s="213"/>
      <c r="AX219" s="213"/>
      <c r="AY219" s="213"/>
      <c r="AZ219" s="326"/>
      <c r="BA219" s="213"/>
      <c r="BB219" s="215"/>
      <c r="BC219" s="213"/>
      <c r="BD219" s="213"/>
      <c r="BE219" s="213"/>
      <c r="BF219" s="213"/>
      <c r="BG219" s="213"/>
      <c r="BH219" s="213"/>
      <c r="BI219" s="213"/>
      <c r="BJ219" s="213"/>
      <c r="BK219" s="213"/>
      <c r="BL219" s="213"/>
      <c r="BM219" s="213"/>
      <c r="BN219" s="213"/>
      <c r="BO219" s="213"/>
      <c r="BP219" s="213"/>
      <c r="BQ219" s="213"/>
      <c r="BR219" s="213"/>
      <c r="BS219" s="213"/>
      <c r="BT219" s="213"/>
      <c r="BU219" s="213"/>
      <c r="BV219" s="213"/>
      <c r="BW219" s="213"/>
    </row>
    <row r="220" ht="15.75" customHeight="1">
      <c r="A220" s="213"/>
      <c r="B220" s="213"/>
      <c r="C220" s="213"/>
      <c r="D220" s="213"/>
      <c r="E220" s="213"/>
      <c r="F220" s="215"/>
      <c r="G220" s="213"/>
      <c r="H220" s="325"/>
      <c r="I220" s="213"/>
      <c r="J220" s="325"/>
      <c r="K220" s="213"/>
      <c r="L220" s="215"/>
      <c r="M220" s="213"/>
      <c r="N220" s="215"/>
      <c r="O220" s="213"/>
      <c r="P220" s="215"/>
      <c r="Q220" s="213"/>
      <c r="R220" s="949"/>
      <c r="S220" s="213"/>
      <c r="T220" s="215"/>
      <c r="U220" s="213"/>
      <c r="V220" s="215"/>
      <c r="W220" s="213"/>
      <c r="X220" s="325"/>
      <c r="Y220" s="213"/>
      <c r="Z220" s="215"/>
      <c r="AA220" s="213"/>
      <c r="AB220" s="215"/>
      <c r="AC220" s="213"/>
      <c r="AD220" s="215"/>
      <c r="AE220" s="213"/>
      <c r="AF220" s="215"/>
      <c r="AG220" s="213"/>
      <c r="AH220" s="215"/>
      <c r="AI220" s="213"/>
      <c r="AJ220" s="215"/>
      <c r="AK220" s="213"/>
      <c r="AL220" s="215"/>
      <c r="AM220" s="213"/>
      <c r="AN220" s="215"/>
      <c r="AO220" s="213"/>
      <c r="AP220" s="215"/>
      <c r="AQ220" s="213"/>
      <c r="AR220" s="215"/>
      <c r="AS220" s="213"/>
      <c r="AT220" s="215"/>
      <c r="AU220" s="213"/>
      <c r="AV220" s="215"/>
      <c r="AW220" s="213"/>
      <c r="AX220" s="213"/>
      <c r="AY220" s="213"/>
      <c r="AZ220" s="326"/>
      <c r="BA220" s="213"/>
      <c r="BB220" s="215"/>
      <c r="BC220" s="213"/>
      <c r="BD220" s="213"/>
      <c r="BE220" s="213"/>
      <c r="BF220" s="213"/>
      <c r="BG220" s="213"/>
      <c r="BH220" s="213"/>
      <c r="BI220" s="213"/>
      <c r="BJ220" s="213"/>
      <c r="BK220" s="213"/>
      <c r="BL220" s="213"/>
      <c r="BM220" s="213"/>
      <c r="BN220" s="213"/>
      <c r="BO220" s="213"/>
      <c r="BP220" s="213"/>
      <c r="BQ220" s="213"/>
      <c r="BR220" s="213"/>
      <c r="BS220" s="213"/>
      <c r="BT220" s="213"/>
      <c r="BU220" s="213"/>
      <c r="BV220" s="213"/>
      <c r="BW220" s="213"/>
    </row>
    <row r="221" ht="15.75" customHeight="1">
      <c r="A221" s="213"/>
      <c r="B221" s="213"/>
      <c r="C221" s="213"/>
      <c r="D221" s="213"/>
      <c r="E221" s="213"/>
      <c r="F221" s="215"/>
      <c r="G221" s="213"/>
      <c r="H221" s="325"/>
      <c r="I221" s="213"/>
      <c r="J221" s="325"/>
      <c r="K221" s="213"/>
      <c r="L221" s="215"/>
      <c r="M221" s="213"/>
      <c r="N221" s="215"/>
      <c r="O221" s="213"/>
      <c r="P221" s="215"/>
      <c r="Q221" s="213"/>
      <c r="R221" s="949"/>
      <c r="S221" s="213"/>
      <c r="T221" s="215"/>
      <c r="U221" s="213"/>
      <c r="V221" s="215"/>
      <c r="W221" s="213"/>
      <c r="X221" s="325"/>
      <c r="Y221" s="213"/>
      <c r="Z221" s="215"/>
      <c r="AA221" s="213"/>
      <c r="AB221" s="215"/>
      <c r="AC221" s="213"/>
      <c r="AD221" s="215"/>
      <c r="AE221" s="213"/>
      <c r="AF221" s="215"/>
      <c r="AG221" s="213"/>
      <c r="AH221" s="215"/>
      <c r="AI221" s="213"/>
      <c r="AJ221" s="215"/>
      <c r="AK221" s="213"/>
      <c r="AL221" s="215"/>
      <c r="AM221" s="213"/>
      <c r="AN221" s="215"/>
      <c r="AO221" s="213"/>
      <c r="AP221" s="215"/>
      <c r="AQ221" s="213"/>
      <c r="AR221" s="215"/>
      <c r="AS221" s="213"/>
      <c r="AT221" s="215"/>
      <c r="AU221" s="213"/>
      <c r="AV221" s="215"/>
      <c r="AW221" s="213"/>
      <c r="AX221" s="213"/>
      <c r="AY221" s="213"/>
      <c r="AZ221" s="326"/>
      <c r="BA221" s="213"/>
      <c r="BB221" s="215"/>
      <c r="BC221" s="213"/>
      <c r="BD221" s="213"/>
      <c r="BE221" s="213"/>
      <c r="BF221" s="213"/>
      <c r="BG221" s="213"/>
      <c r="BH221" s="213"/>
      <c r="BI221" s="213"/>
      <c r="BJ221" s="213"/>
      <c r="BK221" s="213"/>
      <c r="BL221" s="213"/>
      <c r="BM221" s="213"/>
      <c r="BN221" s="213"/>
      <c r="BO221" s="213"/>
      <c r="BP221" s="213"/>
      <c r="BQ221" s="213"/>
      <c r="BR221" s="213"/>
      <c r="BS221" s="213"/>
      <c r="BT221" s="213"/>
      <c r="BU221" s="213"/>
      <c r="BV221" s="213"/>
      <c r="BW221" s="213"/>
    </row>
    <row r="222" ht="15.75" customHeight="1">
      <c r="A222" s="213"/>
      <c r="B222" s="213"/>
      <c r="C222" s="213"/>
      <c r="D222" s="213"/>
      <c r="E222" s="213"/>
      <c r="F222" s="215"/>
      <c r="G222" s="213"/>
      <c r="H222" s="325"/>
      <c r="I222" s="213"/>
      <c r="J222" s="325"/>
      <c r="K222" s="213"/>
      <c r="L222" s="215"/>
      <c r="M222" s="213"/>
      <c r="N222" s="215"/>
      <c r="O222" s="213"/>
      <c r="P222" s="215"/>
      <c r="Q222" s="213"/>
      <c r="R222" s="949"/>
      <c r="S222" s="213"/>
      <c r="T222" s="215"/>
      <c r="U222" s="213"/>
      <c r="V222" s="215"/>
      <c r="W222" s="213"/>
      <c r="X222" s="325"/>
      <c r="Y222" s="213"/>
      <c r="Z222" s="215"/>
      <c r="AA222" s="213"/>
      <c r="AB222" s="215"/>
      <c r="AC222" s="213"/>
      <c r="AD222" s="215"/>
      <c r="AE222" s="213"/>
      <c r="AF222" s="215"/>
      <c r="AG222" s="213"/>
      <c r="AH222" s="215"/>
      <c r="AI222" s="213"/>
      <c r="AJ222" s="215"/>
      <c r="AK222" s="213"/>
      <c r="AL222" s="215"/>
      <c r="AM222" s="213"/>
      <c r="AN222" s="215"/>
      <c r="AO222" s="213"/>
      <c r="AP222" s="215"/>
      <c r="AQ222" s="213"/>
      <c r="AR222" s="215"/>
      <c r="AS222" s="213"/>
      <c r="AT222" s="215"/>
      <c r="AU222" s="213"/>
      <c r="AV222" s="215"/>
      <c r="AW222" s="213"/>
      <c r="AX222" s="213"/>
      <c r="AY222" s="213"/>
      <c r="AZ222" s="326"/>
      <c r="BA222" s="213"/>
      <c r="BB222" s="215"/>
      <c r="BC222" s="213"/>
      <c r="BD222" s="213"/>
      <c r="BE222" s="213"/>
      <c r="BF222" s="213"/>
      <c r="BG222" s="213"/>
      <c r="BH222" s="213"/>
      <c r="BI222" s="213"/>
      <c r="BJ222" s="213"/>
      <c r="BK222" s="213"/>
      <c r="BL222" s="213"/>
      <c r="BM222" s="213"/>
      <c r="BN222" s="213"/>
      <c r="BO222" s="213"/>
      <c r="BP222" s="213"/>
      <c r="BQ222" s="213"/>
      <c r="BR222" s="213"/>
      <c r="BS222" s="213"/>
      <c r="BT222" s="213"/>
      <c r="BU222" s="213"/>
      <c r="BV222" s="213"/>
      <c r="BW222" s="213"/>
    </row>
    <row r="223" ht="15.75" customHeight="1">
      <c r="A223" s="213"/>
      <c r="B223" s="213"/>
      <c r="C223" s="213"/>
      <c r="D223" s="213"/>
      <c r="E223" s="213"/>
      <c r="F223" s="215"/>
      <c r="G223" s="213"/>
      <c r="H223" s="325"/>
      <c r="I223" s="213"/>
      <c r="J223" s="325"/>
      <c r="K223" s="213"/>
      <c r="L223" s="215"/>
      <c r="M223" s="213"/>
      <c r="N223" s="215"/>
      <c r="O223" s="213"/>
      <c r="P223" s="215"/>
      <c r="Q223" s="213"/>
      <c r="R223" s="949"/>
      <c r="S223" s="213"/>
      <c r="T223" s="215"/>
      <c r="U223" s="213"/>
      <c r="V223" s="215"/>
      <c r="W223" s="213"/>
      <c r="X223" s="325"/>
      <c r="Y223" s="213"/>
      <c r="Z223" s="215"/>
      <c r="AA223" s="213"/>
      <c r="AB223" s="215"/>
      <c r="AC223" s="213"/>
      <c r="AD223" s="215"/>
      <c r="AE223" s="213"/>
      <c r="AF223" s="215"/>
      <c r="AG223" s="213"/>
      <c r="AH223" s="215"/>
      <c r="AI223" s="213"/>
      <c r="AJ223" s="215"/>
      <c r="AK223" s="213"/>
      <c r="AL223" s="215"/>
      <c r="AM223" s="213"/>
      <c r="AN223" s="215"/>
      <c r="AO223" s="213"/>
      <c r="AP223" s="215"/>
      <c r="AQ223" s="213"/>
      <c r="AR223" s="215"/>
      <c r="AS223" s="213"/>
      <c r="AT223" s="215"/>
      <c r="AU223" s="213"/>
      <c r="AV223" s="215"/>
      <c r="AW223" s="213"/>
      <c r="AX223" s="213"/>
      <c r="AY223" s="213"/>
      <c r="AZ223" s="326"/>
      <c r="BA223" s="213"/>
      <c r="BB223" s="215"/>
      <c r="BC223" s="213"/>
      <c r="BD223" s="213"/>
      <c r="BE223" s="213"/>
      <c r="BF223" s="213"/>
      <c r="BG223" s="213"/>
      <c r="BH223" s="213"/>
      <c r="BI223" s="213"/>
      <c r="BJ223" s="213"/>
      <c r="BK223" s="213"/>
      <c r="BL223" s="213"/>
      <c r="BM223" s="213"/>
      <c r="BN223" s="213"/>
      <c r="BO223" s="213"/>
      <c r="BP223" s="213"/>
      <c r="BQ223" s="213"/>
      <c r="BR223" s="213"/>
      <c r="BS223" s="213"/>
      <c r="BT223" s="213"/>
      <c r="BU223" s="213"/>
      <c r="BV223" s="213"/>
      <c r="BW223" s="213"/>
    </row>
    <row r="224" ht="15.75" customHeight="1">
      <c r="A224" s="213"/>
      <c r="B224" s="213"/>
      <c r="C224" s="213"/>
      <c r="D224" s="213"/>
      <c r="E224" s="213"/>
      <c r="F224" s="215"/>
      <c r="G224" s="213"/>
      <c r="H224" s="325"/>
      <c r="I224" s="213"/>
      <c r="J224" s="325"/>
      <c r="K224" s="213"/>
      <c r="L224" s="215"/>
      <c r="M224" s="213"/>
      <c r="N224" s="215"/>
      <c r="O224" s="213"/>
      <c r="P224" s="215"/>
      <c r="Q224" s="213"/>
      <c r="R224" s="949"/>
      <c r="S224" s="213"/>
      <c r="T224" s="215"/>
      <c r="U224" s="213"/>
      <c r="V224" s="215"/>
      <c r="W224" s="213"/>
      <c r="X224" s="325"/>
      <c r="Y224" s="213"/>
      <c r="Z224" s="215"/>
      <c r="AA224" s="213"/>
      <c r="AB224" s="215"/>
      <c r="AC224" s="213"/>
      <c r="AD224" s="215"/>
      <c r="AE224" s="213"/>
      <c r="AF224" s="215"/>
      <c r="AG224" s="213"/>
      <c r="AH224" s="215"/>
      <c r="AI224" s="213"/>
      <c r="AJ224" s="215"/>
      <c r="AK224" s="213"/>
      <c r="AL224" s="215"/>
      <c r="AM224" s="213"/>
      <c r="AN224" s="215"/>
      <c r="AO224" s="213"/>
      <c r="AP224" s="215"/>
      <c r="AQ224" s="213"/>
      <c r="AR224" s="215"/>
      <c r="AS224" s="213"/>
      <c r="AT224" s="215"/>
      <c r="AU224" s="213"/>
      <c r="AV224" s="215"/>
      <c r="AW224" s="213"/>
      <c r="AX224" s="213"/>
      <c r="AY224" s="213"/>
      <c r="AZ224" s="326"/>
      <c r="BA224" s="213"/>
      <c r="BB224" s="215"/>
      <c r="BC224" s="213"/>
      <c r="BD224" s="213"/>
      <c r="BE224" s="213"/>
      <c r="BF224" s="213"/>
      <c r="BG224" s="213"/>
      <c r="BH224" s="213"/>
      <c r="BI224" s="213"/>
      <c r="BJ224" s="213"/>
      <c r="BK224" s="213"/>
      <c r="BL224" s="213"/>
      <c r="BM224" s="213"/>
      <c r="BN224" s="213"/>
      <c r="BO224" s="213"/>
      <c r="BP224" s="213"/>
      <c r="BQ224" s="213"/>
      <c r="BR224" s="213"/>
      <c r="BS224" s="213"/>
      <c r="BT224" s="213"/>
      <c r="BU224" s="213"/>
      <c r="BV224" s="213"/>
      <c r="BW224" s="213"/>
    </row>
    <row r="225" ht="15.75" customHeight="1">
      <c r="A225" s="213"/>
      <c r="B225" s="213"/>
      <c r="C225" s="213"/>
      <c r="D225" s="213"/>
      <c r="E225" s="213"/>
      <c r="F225" s="215"/>
      <c r="G225" s="213"/>
      <c r="H225" s="325"/>
      <c r="I225" s="213"/>
      <c r="J225" s="325"/>
      <c r="K225" s="213"/>
      <c r="L225" s="215"/>
      <c r="M225" s="213"/>
      <c r="N225" s="215"/>
      <c r="O225" s="213"/>
      <c r="P225" s="215"/>
      <c r="Q225" s="213"/>
      <c r="R225" s="949"/>
      <c r="S225" s="213"/>
      <c r="T225" s="215"/>
      <c r="U225" s="213"/>
      <c r="V225" s="215"/>
      <c r="W225" s="213"/>
      <c r="X225" s="325"/>
      <c r="Y225" s="213"/>
      <c r="Z225" s="215"/>
      <c r="AA225" s="213"/>
      <c r="AB225" s="215"/>
      <c r="AC225" s="213"/>
      <c r="AD225" s="215"/>
      <c r="AE225" s="213"/>
      <c r="AF225" s="215"/>
      <c r="AG225" s="213"/>
      <c r="AH225" s="215"/>
      <c r="AI225" s="213"/>
      <c r="AJ225" s="215"/>
      <c r="AK225" s="213"/>
      <c r="AL225" s="215"/>
      <c r="AM225" s="213"/>
      <c r="AN225" s="215"/>
      <c r="AO225" s="213"/>
      <c r="AP225" s="215"/>
      <c r="AQ225" s="213"/>
      <c r="AR225" s="215"/>
      <c r="AS225" s="213"/>
      <c r="AT225" s="215"/>
      <c r="AU225" s="213"/>
      <c r="AV225" s="215"/>
      <c r="AW225" s="213"/>
      <c r="AX225" s="213"/>
      <c r="AY225" s="213"/>
      <c r="AZ225" s="326"/>
      <c r="BA225" s="213"/>
      <c r="BB225" s="215"/>
      <c r="BC225" s="213"/>
      <c r="BD225" s="213"/>
      <c r="BE225" s="213"/>
      <c r="BF225" s="213"/>
      <c r="BG225" s="213"/>
      <c r="BH225" s="213"/>
      <c r="BI225" s="213"/>
      <c r="BJ225" s="213"/>
      <c r="BK225" s="213"/>
      <c r="BL225" s="213"/>
      <c r="BM225" s="213"/>
      <c r="BN225" s="213"/>
      <c r="BO225" s="213"/>
      <c r="BP225" s="213"/>
      <c r="BQ225" s="213"/>
      <c r="BR225" s="213"/>
      <c r="BS225" s="213"/>
      <c r="BT225" s="213"/>
      <c r="BU225" s="213"/>
      <c r="BV225" s="213"/>
      <c r="BW225" s="213"/>
    </row>
    <row r="226" ht="15.75" customHeight="1">
      <c r="A226" s="213"/>
      <c r="B226" s="213"/>
      <c r="C226" s="213"/>
      <c r="D226" s="213"/>
      <c r="E226" s="213"/>
      <c r="F226" s="215"/>
      <c r="G226" s="213"/>
      <c r="H226" s="325"/>
      <c r="I226" s="213"/>
      <c r="J226" s="325"/>
      <c r="K226" s="213"/>
      <c r="L226" s="215"/>
      <c r="M226" s="213"/>
      <c r="N226" s="215"/>
      <c r="O226" s="213"/>
      <c r="P226" s="215"/>
      <c r="Q226" s="213"/>
      <c r="R226" s="949"/>
      <c r="S226" s="213"/>
      <c r="T226" s="215"/>
      <c r="U226" s="213"/>
      <c r="V226" s="215"/>
      <c r="W226" s="213"/>
      <c r="X226" s="325"/>
      <c r="Y226" s="213"/>
      <c r="Z226" s="215"/>
      <c r="AA226" s="213"/>
      <c r="AB226" s="215"/>
      <c r="AC226" s="213"/>
      <c r="AD226" s="215"/>
      <c r="AE226" s="213"/>
      <c r="AF226" s="215"/>
      <c r="AG226" s="213"/>
      <c r="AH226" s="215"/>
      <c r="AI226" s="213"/>
      <c r="AJ226" s="215"/>
      <c r="AK226" s="213"/>
      <c r="AL226" s="215"/>
      <c r="AM226" s="213"/>
      <c r="AN226" s="215"/>
      <c r="AO226" s="213"/>
      <c r="AP226" s="215"/>
      <c r="AQ226" s="213"/>
      <c r="AR226" s="215"/>
      <c r="AS226" s="213"/>
      <c r="AT226" s="215"/>
      <c r="AU226" s="213"/>
      <c r="AV226" s="215"/>
      <c r="AW226" s="213"/>
      <c r="AX226" s="213"/>
      <c r="AY226" s="213"/>
      <c r="AZ226" s="326"/>
      <c r="BA226" s="213"/>
      <c r="BB226" s="215"/>
      <c r="BC226" s="213"/>
      <c r="BD226" s="213"/>
      <c r="BE226" s="213"/>
      <c r="BF226" s="213"/>
      <c r="BG226" s="213"/>
      <c r="BH226" s="213"/>
      <c r="BI226" s="213"/>
      <c r="BJ226" s="213"/>
      <c r="BK226" s="213"/>
      <c r="BL226" s="213"/>
      <c r="BM226" s="213"/>
      <c r="BN226" s="213"/>
      <c r="BO226" s="213"/>
      <c r="BP226" s="213"/>
      <c r="BQ226" s="213"/>
      <c r="BR226" s="213"/>
      <c r="BS226" s="213"/>
      <c r="BT226" s="213"/>
      <c r="BU226" s="213"/>
      <c r="BV226" s="213"/>
      <c r="BW226" s="213"/>
    </row>
    <row r="227" ht="15.75" customHeight="1">
      <c r="A227" s="213"/>
      <c r="B227" s="213"/>
      <c r="C227" s="213"/>
      <c r="D227" s="213"/>
      <c r="E227" s="213"/>
      <c r="F227" s="215"/>
      <c r="G227" s="213"/>
      <c r="H227" s="325"/>
      <c r="I227" s="213"/>
      <c r="J227" s="325"/>
      <c r="K227" s="213"/>
      <c r="L227" s="215"/>
      <c r="M227" s="213"/>
      <c r="N227" s="215"/>
      <c r="O227" s="213"/>
      <c r="P227" s="215"/>
      <c r="Q227" s="213"/>
      <c r="R227" s="949"/>
      <c r="S227" s="213"/>
      <c r="T227" s="215"/>
      <c r="U227" s="213"/>
      <c r="V227" s="215"/>
      <c r="W227" s="213"/>
      <c r="X227" s="325"/>
      <c r="Y227" s="213"/>
      <c r="Z227" s="215"/>
      <c r="AA227" s="213"/>
      <c r="AB227" s="215"/>
      <c r="AC227" s="213"/>
      <c r="AD227" s="215"/>
      <c r="AE227" s="213"/>
      <c r="AF227" s="215"/>
      <c r="AG227" s="213"/>
      <c r="AH227" s="215"/>
      <c r="AI227" s="213"/>
      <c r="AJ227" s="215"/>
      <c r="AK227" s="213"/>
      <c r="AL227" s="215"/>
      <c r="AM227" s="213"/>
      <c r="AN227" s="215"/>
      <c r="AO227" s="213"/>
      <c r="AP227" s="215"/>
      <c r="AQ227" s="213"/>
      <c r="AR227" s="215"/>
      <c r="AS227" s="213"/>
      <c r="AT227" s="215"/>
      <c r="AU227" s="213"/>
      <c r="AV227" s="215"/>
      <c r="AW227" s="213"/>
      <c r="AX227" s="213"/>
      <c r="AY227" s="213"/>
      <c r="AZ227" s="326"/>
      <c r="BA227" s="213"/>
      <c r="BB227" s="215"/>
      <c r="BC227" s="213"/>
      <c r="BD227" s="213"/>
      <c r="BE227" s="213"/>
      <c r="BF227" s="213"/>
      <c r="BG227" s="213"/>
      <c r="BH227" s="213"/>
      <c r="BI227" s="213"/>
      <c r="BJ227" s="213"/>
      <c r="BK227" s="213"/>
      <c r="BL227" s="213"/>
      <c r="BM227" s="213"/>
      <c r="BN227" s="213"/>
      <c r="BO227" s="213"/>
      <c r="BP227" s="213"/>
      <c r="BQ227" s="213"/>
      <c r="BR227" s="213"/>
      <c r="BS227" s="213"/>
      <c r="BT227" s="213"/>
      <c r="BU227" s="213"/>
      <c r="BV227" s="213"/>
      <c r="BW227" s="213"/>
    </row>
    <row r="228" ht="15.75" customHeight="1">
      <c r="A228" s="213"/>
      <c r="B228" s="213"/>
      <c r="C228" s="213"/>
      <c r="D228" s="213"/>
      <c r="E228" s="213"/>
      <c r="F228" s="215"/>
      <c r="G228" s="213"/>
      <c r="H228" s="325"/>
      <c r="I228" s="213"/>
      <c r="J228" s="325"/>
      <c r="K228" s="213"/>
      <c r="L228" s="215"/>
      <c r="M228" s="213"/>
      <c r="N228" s="215"/>
      <c r="O228" s="213"/>
      <c r="P228" s="215"/>
      <c r="Q228" s="213"/>
      <c r="R228" s="949"/>
      <c r="S228" s="213"/>
      <c r="T228" s="215"/>
      <c r="U228" s="213"/>
      <c r="V228" s="215"/>
      <c r="W228" s="213"/>
      <c r="X228" s="325"/>
      <c r="Y228" s="213"/>
      <c r="Z228" s="215"/>
      <c r="AA228" s="213"/>
      <c r="AB228" s="215"/>
      <c r="AC228" s="213"/>
      <c r="AD228" s="215"/>
      <c r="AE228" s="213"/>
      <c r="AF228" s="215"/>
      <c r="AG228" s="213"/>
      <c r="AH228" s="215"/>
      <c r="AI228" s="213"/>
      <c r="AJ228" s="215"/>
      <c r="AK228" s="213"/>
      <c r="AL228" s="215"/>
      <c r="AM228" s="213"/>
      <c r="AN228" s="215"/>
      <c r="AO228" s="213"/>
      <c r="AP228" s="215"/>
      <c r="AQ228" s="213"/>
      <c r="AR228" s="215"/>
      <c r="AS228" s="213"/>
      <c r="AT228" s="215"/>
      <c r="AU228" s="213"/>
      <c r="AV228" s="215"/>
      <c r="AW228" s="213"/>
      <c r="AX228" s="213"/>
      <c r="AY228" s="213"/>
      <c r="AZ228" s="326"/>
      <c r="BA228" s="213"/>
      <c r="BB228" s="215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</row>
    <row r="229" ht="15.75" customHeight="1">
      <c r="A229" s="213"/>
      <c r="B229" s="213"/>
      <c r="C229" s="213"/>
      <c r="D229" s="213"/>
      <c r="E229" s="213"/>
      <c r="F229" s="215"/>
      <c r="G229" s="213"/>
      <c r="H229" s="325"/>
      <c r="I229" s="213"/>
      <c r="J229" s="325"/>
      <c r="K229" s="213"/>
      <c r="L229" s="215"/>
      <c r="M229" s="213"/>
      <c r="N229" s="215"/>
      <c r="O229" s="213"/>
      <c r="P229" s="215"/>
      <c r="Q229" s="213"/>
      <c r="R229" s="949"/>
      <c r="S229" s="213"/>
      <c r="T229" s="215"/>
      <c r="U229" s="213"/>
      <c r="V229" s="215"/>
      <c r="W229" s="213"/>
      <c r="X229" s="325"/>
      <c r="Y229" s="213"/>
      <c r="Z229" s="215"/>
      <c r="AA229" s="213"/>
      <c r="AB229" s="215"/>
      <c r="AC229" s="213"/>
      <c r="AD229" s="215"/>
      <c r="AE229" s="213"/>
      <c r="AF229" s="215"/>
      <c r="AG229" s="213"/>
      <c r="AH229" s="215"/>
      <c r="AI229" s="213"/>
      <c r="AJ229" s="215"/>
      <c r="AK229" s="213"/>
      <c r="AL229" s="215"/>
      <c r="AM229" s="213"/>
      <c r="AN229" s="215"/>
      <c r="AO229" s="213"/>
      <c r="AP229" s="215"/>
      <c r="AQ229" s="213"/>
      <c r="AR229" s="215"/>
      <c r="AS229" s="213"/>
      <c r="AT229" s="215"/>
      <c r="AU229" s="213"/>
      <c r="AV229" s="215"/>
      <c r="AW229" s="213"/>
      <c r="AX229" s="213"/>
      <c r="AY229" s="213"/>
      <c r="AZ229" s="326"/>
      <c r="BA229" s="213"/>
      <c r="BB229" s="215"/>
      <c r="BC229" s="213"/>
      <c r="BD229" s="213"/>
      <c r="BE229" s="213"/>
      <c r="BF229" s="213"/>
      <c r="BG229" s="213"/>
      <c r="BH229" s="213"/>
      <c r="BI229" s="213"/>
      <c r="BJ229" s="213"/>
      <c r="BK229" s="213"/>
      <c r="BL229" s="213"/>
      <c r="BM229" s="213"/>
      <c r="BN229" s="213"/>
      <c r="BO229" s="213"/>
      <c r="BP229" s="213"/>
      <c r="BQ229" s="213"/>
      <c r="BR229" s="213"/>
      <c r="BS229" s="213"/>
      <c r="BT229" s="213"/>
      <c r="BU229" s="213"/>
      <c r="BV229" s="213"/>
      <c r="BW229" s="213"/>
    </row>
    <row r="230" ht="15.75" customHeight="1">
      <c r="A230" s="213"/>
      <c r="B230" s="213"/>
      <c r="C230" s="213"/>
      <c r="D230" s="213"/>
      <c r="E230" s="213"/>
      <c r="F230" s="215"/>
      <c r="G230" s="213"/>
      <c r="H230" s="325"/>
      <c r="I230" s="213"/>
      <c r="J230" s="325"/>
      <c r="K230" s="213"/>
      <c r="L230" s="215"/>
      <c r="M230" s="213"/>
      <c r="N230" s="215"/>
      <c r="O230" s="213"/>
      <c r="P230" s="215"/>
      <c r="Q230" s="213"/>
      <c r="R230" s="949"/>
      <c r="S230" s="213"/>
      <c r="T230" s="215"/>
      <c r="U230" s="213"/>
      <c r="V230" s="215"/>
      <c r="W230" s="213"/>
      <c r="X230" s="325"/>
      <c r="Y230" s="213"/>
      <c r="Z230" s="215"/>
      <c r="AA230" s="213"/>
      <c r="AB230" s="215"/>
      <c r="AC230" s="213"/>
      <c r="AD230" s="215"/>
      <c r="AE230" s="213"/>
      <c r="AF230" s="215"/>
      <c r="AG230" s="213"/>
      <c r="AH230" s="215"/>
      <c r="AI230" s="213"/>
      <c r="AJ230" s="215"/>
      <c r="AK230" s="213"/>
      <c r="AL230" s="215"/>
      <c r="AM230" s="213"/>
      <c r="AN230" s="215"/>
      <c r="AO230" s="213"/>
      <c r="AP230" s="215"/>
      <c r="AQ230" s="213"/>
      <c r="AR230" s="215"/>
      <c r="AS230" s="213"/>
      <c r="AT230" s="215"/>
      <c r="AU230" s="213"/>
      <c r="AV230" s="215"/>
      <c r="AW230" s="213"/>
      <c r="AX230" s="213"/>
      <c r="AY230" s="213"/>
      <c r="AZ230" s="326"/>
      <c r="BA230" s="213"/>
      <c r="BB230" s="215"/>
      <c r="BC230" s="213"/>
      <c r="BD230" s="213"/>
      <c r="BE230" s="213"/>
      <c r="BF230" s="213"/>
      <c r="BG230" s="213"/>
      <c r="BH230" s="213"/>
      <c r="BI230" s="213"/>
      <c r="BJ230" s="213"/>
      <c r="BK230" s="213"/>
      <c r="BL230" s="213"/>
      <c r="BM230" s="213"/>
      <c r="BN230" s="213"/>
      <c r="BO230" s="213"/>
      <c r="BP230" s="213"/>
      <c r="BQ230" s="213"/>
      <c r="BR230" s="213"/>
      <c r="BS230" s="213"/>
      <c r="BT230" s="213"/>
      <c r="BU230" s="213"/>
      <c r="BV230" s="213"/>
      <c r="BW230" s="213"/>
    </row>
    <row r="231" ht="15.75" customHeight="1">
      <c r="A231" s="213"/>
      <c r="B231" s="213"/>
      <c r="C231" s="213"/>
      <c r="D231" s="213"/>
      <c r="E231" s="213"/>
      <c r="F231" s="215"/>
      <c r="G231" s="213"/>
      <c r="H231" s="325"/>
      <c r="I231" s="213"/>
      <c r="J231" s="325"/>
      <c r="K231" s="213"/>
      <c r="L231" s="215"/>
      <c r="M231" s="213"/>
      <c r="N231" s="215"/>
      <c r="O231" s="213"/>
      <c r="P231" s="215"/>
      <c r="Q231" s="213"/>
      <c r="R231" s="949"/>
      <c r="S231" s="213"/>
      <c r="T231" s="215"/>
      <c r="U231" s="213"/>
      <c r="V231" s="215"/>
      <c r="W231" s="213"/>
      <c r="X231" s="325"/>
      <c r="Y231" s="213"/>
      <c r="Z231" s="215"/>
      <c r="AA231" s="213"/>
      <c r="AB231" s="215"/>
      <c r="AC231" s="213"/>
      <c r="AD231" s="215"/>
      <c r="AE231" s="213"/>
      <c r="AF231" s="215"/>
      <c r="AG231" s="213"/>
      <c r="AH231" s="215"/>
      <c r="AI231" s="213"/>
      <c r="AJ231" s="215"/>
      <c r="AK231" s="213"/>
      <c r="AL231" s="215"/>
      <c r="AM231" s="213"/>
      <c r="AN231" s="215"/>
      <c r="AO231" s="213"/>
      <c r="AP231" s="215"/>
      <c r="AQ231" s="213"/>
      <c r="AR231" s="215"/>
      <c r="AS231" s="213"/>
      <c r="AT231" s="215"/>
      <c r="AU231" s="213"/>
      <c r="AV231" s="215"/>
      <c r="AW231" s="213"/>
      <c r="AX231" s="213"/>
      <c r="AY231" s="213"/>
      <c r="AZ231" s="326"/>
      <c r="BA231" s="213"/>
      <c r="BB231" s="215"/>
      <c r="BC231" s="213"/>
      <c r="BD231" s="213"/>
      <c r="BE231" s="213"/>
      <c r="BF231" s="213"/>
      <c r="BG231" s="213"/>
      <c r="BH231" s="213"/>
      <c r="BI231" s="213"/>
      <c r="BJ231" s="213"/>
      <c r="BK231" s="213"/>
      <c r="BL231" s="213"/>
      <c r="BM231" s="213"/>
      <c r="BN231" s="213"/>
      <c r="BO231" s="213"/>
      <c r="BP231" s="213"/>
      <c r="BQ231" s="213"/>
      <c r="BR231" s="213"/>
      <c r="BS231" s="213"/>
      <c r="BT231" s="213"/>
      <c r="BU231" s="213"/>
      <c r="BV231" s="213"/>
      <c r="BW231" s="213"/>
    </row>
    <row r="232" ht="15.75" customHeight="1">
      <c r="A232" s="213"/>
      <c r="B232" s="213"/>
      <c r="C232" s="213"/>
      <c r="D232" s="213"/>
      <c r="E232" s="213"/>
      <c r="F232" s="215"/>
      <c r="G232" s="213"/>
      <c r="H232" s="325"/>
      <c r="I232" s="213"/>
      <c r="J232" s="325"/>
      <c r="K232" s="213"/>
      <c r="L232" s="215"/>
      <c r="M232" s="213"/>
      <c r="N232" s="215"/>
      <c r="O232" s="213"/>
      <c r="P232" s="215"/>
      <c r="Q232" s="213"/>
      <c r="R232" s="949"/>
      <c r="S232" s="213"/>
      <c r="T232" s="215"/>
      <c r="U232" s="213"/>
      <c r="V232" s="215"/>
      <c r="W232" s="213"/>
      <c r="X232" s="325"/>
      <c r="Y232" s="213"/>
      <c r="Z232" s="215"/>
      <c r="AA232" s="213"/>
      <c r="AB232" s="215"/>
      <c r="AC232" s="213"/>
      <c r="AD232" s="215"/>
      <c r="AE232" s="213"/>
      <c r="AF232" s="215"/>
      <c r="AG232" s="213"/>
      <c r="AH232" s="215"/>
      <c r="AI232" s="213"/>
      <c r="AJ232" s="215"/>
      <c r="AK232" s="213"/>
      <c r="AL232" s="215"/>
      <c r="AM232" s="213"/>
      <c r="AN232" s="215"/>
      <c r="AO232" s="213"/>
      <c r="AP232" s="215"/>
      <c r="AQ232" s="213"/>
      <c r="AR232" s="215"/>
      <c r="AS232" s="213"/>
      <c r="AT232" s="215"/>
      <c r="AU232" s="213"/>
      <c r="AV232" s="215"/>
      <c r="AW232" s="213"/>
      <c r="AX232" s="213"/>
      <c r="AY232" s="213"/>
      <c r="AZ232" s="326"/>
      <c r="BA232" s="213"/>
      <c r="BB232" s="215"/>
      <c r="BC232" s="213"/>
      <c r="BD232" s="213"/>
      <c r="BE232" s="213"/>
      <c r="BF232" s="213"/>
      <c r="BG232" s="213"/>
      <c r="BH232" s="213"/>
      <c r="BI232" s="213"/>
      <c r="BJ232" s="213"/>
      <c r="BK232" s="213"/>
      <c r="BL232" s="213"/>
      <c r="BM232" s="213"/>
      <c r="BN232" s="213"/>
      <c r="BO232" s="213"/>
      <c r="BP232" s="213"/>
      <c r="BQ232" s="213"/>
      <c r="BR232" s="213"/>
      <c r="BS232" s="213"/>
      <c r="BT232" s="213"/>
      <c r="BU232" s="213"/>
      <c r="BV232" s="213"/>
      <c r="BW232" s="213"/>
    </row>
    <row r="233" ht="15.75" customHeight="1">
      <c r="A233" s="213"/>
      <c r="B233" s="213"/>
      <c r="C233" s="213"/>
      <c r="D233" s="213"/>
      <c r="E233" s="213"/>
      <c r="F233" s="215"/>
      <c r="G233" s="213"/>
      <c r="H233" s="325"/>
      <c r="I233" s="213"/>
      <c r="J233" s="325"/>
      <c r="K233" s="213"/>
      <c r="L233" s="215"/>
      <c r="M233" s="213"/>
      <c r="N233" s="215"/>
      <c r="O233" s="213"/>
      <c r="P233" s="215"/>
      <c r="Q233" s="213"/>
      <c r="R233" s="949"/>
      <c r="S233" s="213"/>
      <c r="T233" s="215"/>
      <c r="U233" s="213"/>
      <c r="V233" s="215"/>
      <c r="W233" s="213"/>
      <c r="X233" s="325"/>
      <c r="Y233" s="213"/>
      <c r="Z233" s="215"/>
      <c r="AA233" s="213"/>
      <c r="AB233" s="215"/>
      <c r="AC233" s="213"/>
      <c r="AD233" s="215"/>
      <c r="AE233" s="213"/>
      <c r="AF233" s="215"/>
      <c r="AG233" s="213"/>
      <c r="AH233" s="215"/>
      <c r="AI233" s="213"/>
      <c r="AJ233" s="215"/>
      <c r="AK233" s="213"/>
      <c r="AL233" s="215"/>
      <c r="AM233" s="213"/>
      <c r="AN233" s="215"/>
      <c r="AO233" s="213"/>
      <c r="AP233" s="215"/>
      <c r="AQ233" s="213"/>
      <c r="AR233" s="215"/>
      <c r="AS233" s="213"/>
      <c r="AT233" s="215"/>
      <c r="AU233" s="213"/>
      <c r="AV233" s="215"/>
      <c r="AW233" s="213"/>
      <c r="AX233" s="213"/>
      <c r="AY233" s="213"/>
      <c r="AZ233" s="326"/>
      <c r="BA233" s="213"/>
      <c r="BB233" s="215"/>
      <c r="BC233" s="213"/>
      <c r="BD233" s="213"/>
      <c r="BE233" s="213"/>
      <c r="BF233" s="213"/>
      <c r="BG233" s="213"/>
      <c r="BH233" s="213"/>
      <c r="BI233" s="213"/>
      <c r="BJ233" s="213"/>
      <c r="BK233" s="213"/>
      <c r="BL233" s="213"/>
      <c r="BM233" s="213"/>
      <c r="BN233" s="213"/>
      <c r="BO233" s="213"/>
      <c r="BP233" s="213"/>
      <c r="BQ233" s="213"/>
      <c r="BR233" s="213"/>
      <c r="BS233" s="213"/>
      <c r="BT233" s="213"/>
      <c r="BU233" s="213"/>
      <c r="BV233" s="213"/>
      <c r="BW233" s="213"/>
    </row>
    <row r="234" ht="15.75" customHeight="1">
      <c r="A234" s="213"/>
      <c r="B234" s="213"/>
      <c r="C234" s="213"/>
      <c r="D234" s="213"/>
      <c r="E234" s="213"/>
      <c r="F234" s="215"/>
      <c r="G234" s="213"/>
      <c r="H234" s="325"/>
      <c r="I234" s="213"/>
      <c r="J234" s="325"/>
      <c r="K234" s="213"/>
      <c r="L234" s="215"/>
      <c r="M234" s="213"/>
      <c r="N234" s="215"/>
      <c r="O234" s="213"/>
      <c r="P234" s="215"/>
      <c r="Q234" s="213"/>
      <c r="R234" s="949"/>
      <c r="S234" s="213"/>
      <c r="T234" s="215"/>
      <c r="U234" s="213"/>
      <c r="V234" s="215"/>
      <c r="W234" s="213"/>
      <c r="X234" s="325"/>
      <c r="Y234" s="213"/>
      <c r="Z234" s="215"/>
      <c r="AA234" s="213"/>
      <c r="AB234" s="215"/>
      <c r="AC234" s="213"/>
      <c r="AD234" s="215"/>
      <c r="AE234" s="213"/>
      <c r="AF234" s="215"/>
      <c r="AG234" s="213"/>
      <c r="AH234" s="215"/>
      <c r="AI234" s="213"/>
      <c r="AJ234" s="215"/>
      <c r="AK234" s="213"/>
      <c r="AL234" s="215"/>
      <c r="AM234" s="213"/>
      <c r="AN234" s="215"/>
      <c r="AO234" s="213"/>
      <c r="AP234" s="215"/>
      <c r="AQ234" s="213"/>
      <c r="AR234" s="215"/>
      <c r="AS234" s="213"/>
      <c r="AT234" s="215"/>
      <c r="AU234" s="213"/>
      <c r="AV234" s="215"/>
      <c r="AW234" s="213"/>
      <c r="AX234" s="213"/>
      <c r="AY234" s="213"/>
      <c r="AZ234" s="326"/>
      <c r="BA234" s="213"/>
      <c r="BB234" s="215"/>
      <c r="BC234" s="213"/>
      <c r="BD234" s="213"/>
      <c r="BE234" s="213"/>
      <c r="BF234" s="213"/>
      <c r="BG234" s="213"/>
      <c r="BH234" s="213"/>
      <c r="BI234" s="213"/>
      <c r="BJ234" s="213"/>
      <c r="BK234" s="213"/>
      <c r="BL234" s="213"/>
      <c r="BM234" s="213"/>
      <c r="BN234" s="213"/>
      <c r="BO234" s="213"/>
      <c r="BP234" s="213"/>
      <c r="BQ234" s="213"/>
      <c r="BR234" s="213"/>
      <c r="BS234" s="213"/>
      <c r="BT234" s="213"/>
      <c r="BU234" s="213"/>
      <c r="BV234" s="213"/>
      <c r="BW234" s="213"/>
    </row>
    <row r="235" ht="15.75" customHeight="1">
      <c r="A235" s="213"/>
      <c r="B235" s="213"/>
      <c r="C235" s="213"/>
      <c r="D235" s="213"/>
      <c r="E235" s="213"/>
      <c r="F235" s="215"/>
      <c r="G235" s="213"/>
      <c r="H235" s="325"/>
      <c r="I235" s="213"/>
      <c r="J235" s="325"/>
      <c r="K235" s="213"/>
      <c r="L235" s="215"/>
      <c r="M235" s="213"/>
      <c r="N235" s="215"/>
      <c r="O235" s="213"/>
      <c r="P235" s="215"/>
      <c r="Q235" s="213"/>
      <c r="R235" s="949"/>
      <c r="S235" s="213"/>
      <c r="T235" s="215"/>
      <c r="U235" s="213"/>
      <c r="V235" s="215"/>
      <c r="W235" s="213"/>
      <c r="X235" s="325"/>
      <c r="Y235" s="213"/>
      <c r="Z235" s="215"/>
      <c r="AA235" s="213"/>
      <c r="AB235" s="215"/>
      <c r="AC235" s="213"/>
      <c r="AD235" s="215"/>
      <c r="AE235" s="213"/>
      <c r="AF235" s="215"/>
      <c r="AG235" s="213"/>
      <c r="AH235" s="215"/>
      <c r="AI235" s="213"/>
      <c r="AJ235" s="215"/>
      <c r="AK235" s="213"/>
      <c r="AL235" s="215"/>
      <c r="AM235" s="213"/>
      <c r="AN235" s="215"/>
      <c r="AO235" s="213"/>
      <c r="AP235" s="215"/>
      <c r="AQ235" s="213"/>
      <c r="AR235" s="215"/>
      <c r="AS235" s="213"/>
      <c r="AT235" s="215"/>
      <c r="AU235" s="213"/>
      <c r="AV235" s="215"/>
      <c r="AW235" s="213"/>
      <c r="AX235" s="213"/>
      <c r="AY235" s="213"/>
      <c r="AZ235" s="326"/>
      <c r="BA235" s="213"/>
      <c r="BB235" s="215"/>
      <c r="BC235" s="213"/>
      <c r="BD235" s="213"/>
      <c r="BE235" s="213"/>
      <c r="BF235" s="213"/>
      <c r="BG235" s="213"/>
      <c r="BH235" s="213"/>
      <c r="BI235" s="213"/>
      <c r="BJ235" s="213"/>
      <c r="BK235" s="213"/>
      <c r="BL235" s="213"/>
      <c r="BM235" s="213"/>
      <c r="BN235" s="213"/>
      <c r="BO235" s="213"/>
      <c r="BP235" s="213"/>
      <c r="BQ235" s="213"/>
      <c r="BR235" s="213"/>
      <c r="BS235" s="213"/>
      <c r="BT235" s="213"/>
      <c r="BU235" s="213"/>
      <c r="BV235" s="213"/>
      <c r="BW235" s="213"/>
    </row>
    <row r="236" ht="15.75" customHeight="1">
      <c r="A236" s="213"/>
      <c r="B236" s="213"/>
      <c r="C236" s="213"/>
      <c r="D236" s="213"/>
      <c r="E236" s="213"/>
      <c r="F236" s="215"/>
      <c r="G236" s="213"/>
      <c r="H236" s="325"/>
      <c r="I236" s="213"/>
      <c r="J236" s="325"/>
      <c r="K236" s="213"/>
      <c r="L236" s="215"/>
      <c r="M236" s="213"/>
      <c r="N236" s="215"/>
      <c r="O236" s="213"/>
      <c r="P236" s="215"/>
      <c r="Q236" s="213"/>
      <c r="R236" s="949"/>
      <c r="S236" s="213"/>
      <c r="T236" s="215"/>
      <c r="U236" s="213"/>
      <c r="V236" s="215"/>
      <c r="W236" s="213"/>
      <c r="X236" s="325"/>
      <c r="Y236" s="213"/>
      <c r="Z236" s="215"/>
      <c r="AA236" s="213"/>
      <c r="AB236" s="215"/>
      <c r="AC236" s="213"/>
      <c r="AD236" s="215"/>
      <c r="AE236" s="213"/>
      <c r="AF236" s="215"/>
      <c r="AG236" s="213"/>
      <c r="AH236" s="215"/>
      <c r="AI236" s="213"/>
      <c r="AJ236" s="215"/>
      <c r="AK236" s="213"/>
      <c r="AL236" s="215"/>
      <c r="AM236" s="213"/>
      <c r="AN236" s="215"/>
      <c r="AO236" s="213"/>
      <c r="AP236" s="215"/>
      <c r="AQ236" s="213"/>
      <c r="AR236" s="215"/>
      <c r="AS236" s="213"/>
      <c r="AT236" s="215"/>
      <c r="AU236" s="213"/>
      <c r="AV236" s="215"/>
      <c r="AW236" s="213"/>
      <c r="AX236" s="213"/>
      <c r="AY236" s="213"/>
      <c r="AZ236" s="326"/>
      <c r="BA236" s="213"/>
      <c r="BB236" s="215"/>
      <c r="BC236" s="213"/>
      <c r="BD236" s="213"/>
      <c r="BE236" s="213"/>
      <c r="BF236" s="213"/>
      <c r="BG236" s="213"/>
      <c r="BH236" s="213"/>
      <c r="BI236" s="213"/>
      <c r="BJ236" s="213"/>
      <c r="BK236" s="213"/>
      <c r="BL236" s="213"/>
      <c r="BM236" s="213"/>
      <c r="BN236" s="213"/>
      <c r="BO236" s="213"/>
      <c r="BP236" s="213"/>
      <c r="BQ236" s="213"/>
      <c r="BR236" s="213"/>
      <c r="BS236" s="213"/>
      <c r="BT236" s="213"/>
      <c r="BU236" s="213"/>
      <c r="BV236" s="213"/>
      <c r="BW236" s="213"/>
    </row>
    <row r="237" ht="15.75" customHeight="1">
      <c r="A237" s="213"/>
      <c r="B237" s="213"/>
      <c r="C237" s="213"/>
      <c r="D237" s="213"/>
      <c r="E237" s="213"/>
      <c r="F237" s="215"/>
      <c r="G237" s="213"/>
      <c r="H237" s="325"/>
      <c r="I237" s="213"/>
      <c r="J237" s="325"/>
      <c r="K237" s="213"/>
      <c r="L237" s="215"/>
      <c r="M237" s="213"/>
      <c r="N237" s="215"/>
      <c r="O237" s="213"/>
      <c r="P237" s="215"/>
      <c r="Q237" s="213"/>
      <c r="R237" s="949"/>
      <c r="S237" s="213"/>
      <c r="T237" s="215"/>
      <c r="U237" s="213"/>
      <c r="V237" s="215"/>
      <c r="W237" s="213"/>
      <c r="X237" s="325"/>
      <c r="Y237" s="213"/>
      <c r="Z237" s="215"/>
      <c r="AA237" s="213"/>
      <c r="AB237" s="215"/>
      <c r="AC237" s="213"/>
      <c r="AD237" s="215"/>
      <c r="AE237" s="213"/>
      <c r="AF237" s="215"/>
      <c r="AG237" s="213"/>
      <c r="AH237" s="215"/>
      <c r="AI237" s="213"/>
      <c r="AJ237" s="215"/>
      <c r="AK237" s="213"/>
      <c r="AL237" s="215"/>
      <c r="AM237" s="213"/>
      <c r="AN237" s="215"/>
      <c r="AO237" s="213"/>
      <c r="AP237" s="215"/>
      <c r="AQ237" s="213"/>
      <c r="AR237" s="215"/>
      <c r="AS237" s="213"/>
      <c r="AT237" s="215"/>
      <c r="AU237" s="213"/>
      <c r="AV237" s="215"/>
      <c r="AW237" s="213"/>
      <c r="AX237" s="213"/>
      <c r="AY237" s="213"/>
      <c r="AZ237" s="326"/>
      <c r="BA237" s="213"/>
      <c r="BB237" s="215"/>
      <c r="BC237" s="213"/>
      <c r="BD237" s="213"/>
      <c r="BE237" s="213"/>
      <c r="BF237" s="213"/>
      <c r="BG237" s="213"/>
      <c r="BH237" s="213"/>
      <c r="BI237" s="213"/>
      <c r="BJ237" s="213"/>
      <c r="BK237" s="213"/>
      <c r="BL237" s="213"/>
      <c r="BM237" s="213"/>
      <c r="BN237" s="213"/>
      <c r="BO237" s="213"/>
      <c r="BP237" s="213"/>
      <c r="BQ237" s="213"/>
      <c r="BR237" s="213"/>
      <c r="BS237" s="213"/>
      <c r="BT237" s="213"/>
      <c r="BU237" s="213"/>
      <c r="BV237" s="213"/>
      <c r="BW237" s="213"/>
    </row>
    <row r="238" ht="15.75" customHeight="1">
      <c r="A238" s="213"/>
      <c r="B238" s="213"/>
      <c r="C238" s="213"/>
      <c r="D238" s="213"/>
      <c r="E238" s="213"/>
      <c r="F238" s="215"/>
      <c r="G238" s="213"/>
      <c r="H238" s="325"/>
      <c r="I238" s="213"/>
      <c r="J238" s="325"/>
      <c r="K238" s="213"/>
      <c r="L238" s="215"/>
      <c r="M238" s="213"/>
      <c r="N238" s="215"/>
      <c r="O238" s="213"/>
      <c r="P238" s="215"/>
      <c r="Q238" s="213"/>
      <c r="R238" s="949"/>
      <c r="S238" s="213"/>
      <c r="T238" s="215"/>
      <c r="U238" s="213"/>
      <c r="V238" s="215"/>
      <c r="W238" s="213"/>
      <c r="X238" s="325"/>
      <c r="Y238" s="213"/>
      <c r="Z238" s="215"/>
      <c r="AA238" s="213"/>
      <c r="AB238" s="215"/>
      <c r="AC238" s="213"/>
      <c r="AD238" s="215"/>
      <c r="AE238" s="213"/>
      <c r="AF238" s="215"/>
      <c r="AG238" s="213"/>
      <c r="AH238" s="215"/>
      <c r="AI238" s="213"/>
      <c r="AJ238" s="215"/>
      <c r="AK238" s="213"/>
      <c r="AL238" s="215"/>
      <c r="AM238" s="213"/>
      <c r="AN238" s="215"/>
      <c r="AO238" s="213"/>
      <c r="AP238" s="215"/>
      <c r="AQ238" s="213"/>
      <c r="AR238" s="215"/>
      <c r="AS238" s="213"/>
      <c r="AT238" s="215"/>
      <c r="AU238" s="213"/>
      <c r="AV238" s="215"/>
      <c r="AW238" s="213"/>
      <c r="AX238" s="213"/>
      <c r="AY238" s="213"/>
      <c r="AZ238" s="326"/>
      <c r="BA238" s="213"/>
      <c r="BB238" s="215"/>
      <c r="BC238" s="213"/>
      <c r="BD238" s="213"/>
      <c r="BE238" s="213"/>
      <c r="BF238" s="213"/>
      <c r="BG238" s="213"/>
      <c r="BH238" s="213"/>
      <c r="BI238" s="213"/>
      <c r="BJ238" s="213"/>
      <c r="BK238" s="213"/>
      <c r="BL238" s="213"/>
      <c r="BM238" s="213"/>
      <c r="BN238" s="213"/>
      <c r="BO238" s="213"/>
      <c r="BP238" s="213"/>
      <c r="BQ238" s="213"/>
      <c r="BR238" s="213"/>
      <c r="BS238" s="213"/>
      <c r="BT238" s="213"/>
      <c r="BU238" s="213"/>
      <c r="BV238" s="213"/>
      <c r="BW238" s="213"/>
    </row>
    <row r="239" ht="15.75" customHeight="1">
      <c r="A239" s="213"/>
      <c r="B239" s="213"/>
      <c r="C239" s="213"/>
      <c r="D239" s="213"/>
      <c r="E239" s="213"/>
      <c r="F239" s="215"/>
      <c r="G239" s="213"/>
      <c r="H239" s="325"/>
      <c r="I239" s="213"/>
      <c r="J239" s="325"/>
      <c r="K239" s="213"/>
      <c r="L239" s="215"/>
      <c r="M239" s="213"/>
      <c r="N239" s="215"/>
      <c r="O239" s="213"/>
      <c r="P239" s="215"/>
      <c r="Q239" s="213"/>
      <c r="R239" s="949"/>
      <c r="S239" s="213"/>
      <c r="T239" s="215"/>
      <c r="U239" s="213"/>
      <c r="V239" s="215"/>
      <c r="W239" s="213"/>
      <c r="X239" s="325"/>
      <c r="Y239" s="213"/>
      <c r="Z239" s="215"/>
      <c r="AA239" s="213"/>
      <c r="AB239" s="215"/>
      <c r="AC239" s="213"/>
      <c r="AD239" s="215"/>
      <c r="AE239" s="213"/>
      <c r="AF239" s="215"/>
      <c r="AG239" s="213"/>
      <c r="AH239" s="215"/>
      <c r="AI239" s="213"/>
      <c r="AJ239" s="215"/>
      <c r="AK239" s="213"/>
      <c r="AL239" s="215"/>
      <c r="AM239" s="213"/>
      <c r="AN239" s="215"/>
      <c r="AO239" s="213"/>
      <c r="AP239" s="215"/>
      <c r="AQ239" s="213"/>
      <c r="AR239" s="215"/>
      <c r="AS239" s="213"/>
      <c r="AT239" s="215"/>
      <c r="AU239" s="213"/>
      <c r="AV239" s="215"/>
      <c r="AW239" s="213"/>
      <c r="AX239" s="213"/>
      <c r="AY239" s="213"/>
      <c r="AZ239" s="326"/>
      <c r="BA239" s="213"/>
      <c r="BB239" s="215"/>
      <c r="BC239" s="213"/>
      <c r="BD239" s="213"/>
      <c r="BE239" s="213"/>
      <c r="BF239" s="213"/>
      <c r="BG239" s="213"/>
      <c r="BH239" s="213"/>
      <c r="BI239" s="213"/>
      <c r="BJ239" s="213"/>
      <c r="BK239" s="213"/>
      <c r="BL239" s="213"/>
      <c r="BM239" s="213"/>
      <c r="BN239" s="213"/>
      <c r="BO239" s="213"/>
      <c r="BP239" s="213"/>
      <c r="BQ239" s="213"/>
      <c r="BR239" s="213"/>
      <c r="BS239" s="213"/>
      <c r="BT239" s="213"/>
      <c r="BU239" s="213"/>
      <c r="BV239" s="213"/>
      <c r="BW239" s="213"/>
    </row>
    <row r="240" ht="15.75" customHeight="1">
      <c r="A240" s="213"/>
      <c r="B240" s="213"/>
      <c r="C240" s="213"/>
      <c r="D240" s="213"/>
      <c r="E240" s="213"/>
      <c r="F240" s="215"/>
      <c r="G240" s="213"/>
      <c r="H240" s="325"/>
      <c r="I240" s="213"/>
      <c r="J240" s="325"/>
      <c r="K240" s="213"/>
      <c r="L240" s="215"/>
      <c r="M240" s="213"/>
      <c r="N240" s="215"/>
      <c r="O240" s="213"/>
      <c r="P240" s="215"/>
      <c r="Q240" s="213"/>
      <c r="R240" s="949"/>
      <c r="S240" s="213"/>
      <c r="T240" s="215"/>
      <c r="U240" s="213"/>
      <c r="V240" s="215"/>
      <c r="W240" s="213"/>
      <c r="X240" s="325"/>
      <c r="Y240" s="213"/>
      <c r="Z240" s="215"/>
      <c r="AA240" s="213"/>
      <c r="AB240" s="215"/>
      <c r="AC240" s="213"/>
      <c r="AD240" s="215"/>
      <c r="AE240" s="213"/>
      <c r="AF240" s="215"/>
      <c r="AG240" s="213"/>
      <c r="AH240" s="215"/>
      <c r="AI240" s="213"/>
      <c r="AJ240" s="215"/>
      <c r="AK240" s="213"/>
      <c r="AL240" s="215"/>
      <c r="AM240" s="213"/>
      <c r="AN240" s="215"/>
      <c r="AO240" s="213"/>
      <c r="AP240" s="215"/>
      <c r="AQ240" s="213"/>
      <c r="AR240" s="215"/>
      <c r="AS240" s="213"/>
      <c r="AT240" s="215"/>
      <c r="AU240" s="213"/>
      <c r="AV240" s="215"/>
      <c r="AW240" s="213"/>
      <c r="AX240" s="213"/>
      <c r="AY240" s="213"/>
      <c r="AZ240" s="326"/>
      <c r="BA240" s="213"/>
      <c r="BB240" s="215"/>
      <c r="BC240" s="213"/>
      <c r="BD240" s="213"/>
      <c r="BE240" s="213"/>
      <c r="BF240" s="213"/>
      <c r="BG240" s="213"/>
      <c r="BH240" s="213"/>
      <c r="BI240" s="213"/>
      <c r="BJ240" s="213"/>
      <c r="BK240" s="213"/>
      <c r="BL240" s="213"/>
      <c r="BM240" s="213"/>
      <c r="BN240" s="213"/>
      <c r="BO240" s="213"/>
      <c r="BP240" s="213"/>
      <c r="BQ240" s="213"/>
      <c r="BR240" s="213"/>
      <c r="BS240" s="213"/>
      <c r="BT240" s="213"/>
      <c r="BU240" s="213"/>
      <c r="BV240" s="213"/>
      <c r="BW240" s="213"/>
    </row>
    <row r="241" ht="15.75" customHeight="1">
      <c r="A241" s="213"/>
      <c r="B241" s="213"/>
      <c r="C241" s="213"/>
      <c r="D241" s="213"/>
      <c r="E241" s="213"/>
      <c r="F241" s="215"/>
      <c r="G241" s="213"/>
      <c r="H241" s="325"/>
      <c r="I241" s="213"/>
      <c r="J241" s="325"/>
      <c r="K241" s="213"/>
      <c r="L241" s="215"/>
      <c r="M241" s="213"/>
      <c r="N241" s="215"/>
      <c r="O241" s="213"/>
      <c r="P241" s="215"/>
      <c r="Q241" s="213"/>
      <c r="R241" s="949"/>
      <c r="S241" s="213"/>
      <c r="T241" s="215"/>
      <c r="U241" s="213"/>
      <c r="V241" s="215"/>
      <c r="W241" s="213"/>
      <c r="X241" s="325"/>
      <c r="Y241" s="213"/>
      <c r="Z241" s="215"/>
      <c r="AA241" s="213"/>
      <c r="AB241" s="215"/>
      <c r="AC241" s="213"/>
      <c r="AD241" s="215"/>
      <c r="AE241" s="213"/>
      <c r="AF241" s="215"/>
      <c r="AG241" s="213"/>
      <c r="AH241" s="215"/>
      <c r="AI241" s="213"/>
      <c r="AJ241" s="215"/>
      <c r="AK241" s="213"/>
      <c r="AL241" s="215"/>
      <c r="AM241" s="213"/>
      <c r="AN241" s="215"/>
      <c r="AO241" s="213"/>
      <c r="AP241" s="215"/>
      <c r="AQ241" s="213"/>
      <c r="AR241" s="215"/>
      <c r="AS241" s="213"/>
      <c r="AT241" s="215"/>
      <c r="AU241" s="213"/>
      <c r="AV241" s="215"/>
      <c r="AW241" s="213"/>
      <c r="AX241" s="213"/>
      <c r="AY241" s="213"/>
      <c r="AZ241" s="326"/>
      <c r="BA241" s="213"/>
      <c r="BB241" s="215"/>
      <c r="BC241" s="213"/>
      <c r="BD241" s="213"/>
      <c r="BE241" s="213"/>
      <c r="BF241" s="213"/>
      <c r="BG241" s="213"/>
      <c r="BH241" s="213"/>
      <c r="BI241" s="213"/>
      <c r="BJ241" s="213"/>
      <c r="BK241" s="213"/>
      <c r="BL241" s="213"/>
      <c r="BM241" s="213"/>
      <c r="BN241" s="213"/>
      <c r="BO241" s="213"/>
      <c r="BP241" s="213"/>
      <c r="BQ241" s="213"/>
      <c r="BR241" s="213"/>
      <c r="BS241" s="213"/>
      <c r="BT241" s="213"/>
      <c r="BU241" s="213"/>
      <c r="BV241" s="213"/>
      <c r="BW241" s="213"/>
    </row>
    <row r="242" ht="15.75" customHeight="1">
      <c r="A242" s="213"/>
      <c r="B242" s="213"/>
      <c r="C242" s="213"/>
      <c r="D242" s="213"/>
      <c r="E242" s="213"/>
      <c r="F242" s="215"/>
      <c r="G242" s="213"/>
      <c r="H242" s="325"/>
      <c r="I242" s="213"/>
      <c r="J242" s="325"/>
      <c r="K242" s="213"/>
      <c r="L242" s="215"/>
      <c r="M242" s="213"/>
      <c r="N242" s="215"/>
      <c r="O242" s="213"/>
      <c r="P242" s="215"/>
      <c r="Q242" s="213"/>
      <c r="R242" s="949"/>
      <c r="S242" s="213"/>
      <c r="T242" s="215"/>
      <c r="U242" s="213"/>
      <c r="V242" s="215"/>
      <c r="W242" s="213"/>
      <c r="X242" s="325"/>
      <c r="Y242" s="213"/>
      <c r="Z242" s="215"/>
      <c r="AA242" s="213"/>
      <c r="AB242" s="215"/>
      <c r="AC242" s="213"/>
      <c r="AD242" s="215"/>
      <c r="AE242" s="213"/>
      <c r="AF242" s="215"/>
      <c r="AG242" s="213"/>
      <c r="AH242" s="215"/>
      <c r="AI242" s="213"/>
      <c r="AJ242" s="215"/>
      <c r="AK242" s="213"/>
      <c r="AL242" s="215"/>
      <c r="AM242" s="213"/>
      <c r="AN242" s="215"/>
      <c r="AO242" s="213"/>
      <c r="AP242" s="215"/>
      <c r="AQ242" s="213"/>
      <c r="AR242" s="215"/>
      <c r="AS242" s="213"/>
      <c r="AT242" s="215"/>
      <c r="AU242" s="213"/>
      <c r="AV242" s="215"/>
      <c r="AW242" s="213"/>
      <c r="AX242" s="213"/>
      <c r="AY242" s="213"/>
      <c r="AZ242" s="326"/>
      <c r="BA242" s="213"/>
      <c r="BB242" s="215"/>
      <c r="BC242" s="213"/>
      <c r="BD242" s="213"/>
      <c r="BE242" s="213"/>
      <c r="BF242" s="213"/>
      <c r="BG242" s="213"/>
      <c r="BH242" s="213"/>
      <c r="BI242" s="213"/>
      <c r="BJ242" s="213"/>
      <c r="BK242" s="213"/>
      <c r="BL242" s="213"/>
      <c r="BM242" s="213"/>
      <c r="BN242" s="213"/>
      <c r="BO242" s="213"/>
      <c r="BP242" s="213"/>
      <c r="BQ242" s="213"/>
      <c r="BR242" s="213"/>
      <c r="BS242" s="213"/>
      <c r="BT242" s="213"/>
      <c r="BU242" s="213"/>
      <c r="BV242" s="213"/>
      <c r="BW242" s="213"/>
    </row>
    <row r="243" ht="15.75" customHeight="1">
      <c r="A243" s="213"/>
      <c r="B243" s="213"/>
      <c r="C243" s="213"/>
      <c r="D243" s="213"/>
      <c r="E243" s="213"/>
      <c r="F243" s="215"/>
      <c r="G243" s="213"/>
      <c r="H243" s="325"/>
      <c r="I243" s="213"/>
      <c r="J243" s="325"/>
      <c r="K243" s="213"/>
      <c r="L243" s="215"/>
      <c r="M243" s="213"/>
      <c r="N243" s="215"/>
      <c r="O243" s="213"/>
      <c r="P243" s="215"/>
      <c r="Q243" s="213"/>
      <c r="R243" s="949"/>
      <c r="S243" s="213"/>
      <c r="T243" s="215"/>
      <c r="U243" s="213"/>
      <c r="V243" s="215"/>
      <c r="W243" s="213"/>
      <c r="X243" s="325"/>
      <c r="Y243" s="213"/>
      <c r="Z243" s="215"/>
      <c r="AA243" s="213"/>
      <c r="AB243" s="215"/>
      <c r="AC243" s="213"/>
      <c r="AD243" s="215"/>
      <c r="AE243" s="213"/>
      <c r="AF243" s="215"/>
      <c r="AG243" s="213"/>
      <c r="AH243" s="215"/>
      <c r="AI243" s="213"/>
      <c r="AJ243" s="215"/>
      <c r="AK243" s="213"/>
      <c r="AL243" s="215"/>
      <c r="AM243" s="213"/>
      <c r="AN243" s="215"/>
      <c r="AO243" s="213"/>
      <c r="AP243" s="215"/>
      <c r="AQ243" s="213"/>
      <c r="AR243" s="215"/>
      <c r="AS243" s="213"/>
      <c r="AT243" s="215"/>
      <c r="AU243" s="213"/>
      <c r="AV243" s="215"/>
      <c r="AW243" s="213"/>
      <c r="AX243" s="213"/>
      <c r="AY243" s="213"/>
      <c r="AZ243" s="326"/>
      <c r="BA243" s="213"/>
      <c r="BB243" s="215"/>
      <c r="BC243" s="213"/>
      <c r="BD243" s="213"/>
      <c r="BE243" s="213"/>
      <c r="BF243" s="213"/>
      <c r="BG243" s="213"/>
      <c r="BH243" s="213"/>
      <c r="BI243" s="213"/>
      <c r="BJ243" s="213"/>
      <c r="BK243" s="213"/>
      <c r="BL243" s="213"/>
      <c r="BM243" s="213"/>
      <c r="BN243" s="213"/>
      <c r="BO243" s="213"/>
      <c r="BP243" s="213"/>
      <c r="BQ243" s="213"/>
      <c r="BR243" s="213"/>
      <c r="BS243" s="213"/>
      <c r="BT243" s="213"/>
      <c r="BU243" s="213"/>
      <c r="BV243" s="213"/>
      <c r="BW243" s="213"/>
    </row>
    <row r="244" ht="15.75" customHeight="1">
      <c r="A244" s="213"/>
      <c r="B244" s="213"/>
      <c r="C244" s="213"/>
      <c r="D244" s="213"/>
      <c r="E244" s="213"/>
      <c r="F244" s="215"/>
      <c r="G244" s="213"/>
      <c r="H244" s="325"/>
      <c r="I244" s="213"/>
      <c r="J244" s="325"/>
      <c r="K244" s="213"/>
      <c r="L244" s="215"/>
      <c r="M244" s="213"/>
      <c r="N244" s="215"/>
      <c r="O244" s="213"/>
      <c r="P244" s="215"/>
      <c r="Q244" s="213"/>
      <c r="R244" s="949"/>
      <c r="S244" s="213"/>
      <c r="T244" s="215"/>
      <c r="U244" s="213"/>
      <c r="V244" s="215"/>
      <c r="W244" s="213"/>
      <c r="X244" s="325"/>
      <c r="Y244" s="213"/>
      <c r="Z244" s="215"/>
      <c r="AA244" s="213"/>
      <c r="AB244" s="215"/>
      <c r="AC244" s="213"/>
      <c r="AD244" s="215"/>
      <c r="AE244" s="213"/>
      <c r="AF244" s="215"/>
      <c r="AG244" s="213"/>
      <c r="AH244" s="215"/>
      <c r="AI244" s="213"/>
      <c r="AJ244" s="215"/>
      <c r="AK244" s="213"/>
      <c r="AL244" s="215"/>
      <c r="AM244" s="213"/>
      <c r="AN244" s="215"/>
      <c r="AO244" s="213"/>
      <c r="AP244" s="215"/>
      <c r="AQ244" s="213"/>
      <c r="AR244" s="215"/>
      <c r="AS244" s="213"/>
      <c r="AT244" s="215"/>
      <c r="AU244" s="213"/>
      <c r="AV244" s="215"/>
      <c r="AW244" s="213"/>
      <c r="AX244" s="213"/>
      <c r="AY244" s="213"/>
      <c r="AZ244" s="326"/>
      <c r="BA244" s="213"/>
      <c r="BB244" s="215"/>
      <c r="BC244" s="213"/>
      <c r="BD244" s="213"/>
      <c r="BE244" s="213"/>
      <c r="BF244" s="213"/>
      <c r="BG244" s="213"/>
      <c r="BH244" s="213"/>
      <c r="BI244" s="213"/>
      <c r="BJ244" s="213"/>
      <c r="BK244" s="213"/>
      <c r="BL244" s="213"/>
      <c r="BM244" s="213"/>
      <c r="BN244" s="213"/>
      <c r="BO244" s="213"/>
      <c r="BP244" s="213"/>
      <c r="BQ244" s="213"/>
      <c r="BR244" s="213"/>
      <c r="BS244" s="213"/>
      <c r="BT244" s="213"/>
      <c r="BU244" s="213"/>
      <c r="BV244" s="213"/>
      <c r="BW244" s="213"/>
    </row>
    <row r="245" ht="15.75" customHeight="1">
      <c r="A245" s="213"/>
      <c r="B245" s="213"/>
      <c r="C245" s="213"/>
      <c r="D245" s="213"/>
      <c r="E245" s="213"/>
      <c r="F245" s="215"/>
      <c r="G245" s="213"/>
      <c r="H245" s="325"/>
      <c r="I245" s="213"/>
      <c r="J245" s="325"/>
      <c r="K245" s="213"/>
      <c r="L245" s="215"/>
      <c r="M245" s="213"/>
      <c r="N245" s="215"/>
      <c r="O245" s="213"/>
      <c r="P245" s="215"/>
      <c r="Q245" s="213"/>
      <c r="R245" s="949"/>
      <c r="S245" s="213"/>
      <c r="T245" s="215"/>
      <c r="U245" s="213"/>
      <c r="V245" s="215"/>
      <c r="W245" s="213"/>
      <c r="X245" s="325"/>
      <c r="Y245" s="213"/>
      <c r="Z245" s="215"/>
      <c r="AA245" s="213"/>
      <c r="AB245" s="215"/>
      <c r="AC245" s="213"/>
      <c r="AD245" s="215"/>
      <c r="AE245" s="213"/>
      <c r="AF245" s="215"/>
      <c r="AG245" s="213"/>
      <c r="AH245" s="215"/>
      <c r="AI245" s="213"/>
      <c r="AJ245" s="215"/>
      <c r="AK245" s="213"/>
      <c r="AL245" s="215"/>
      <c r="AM245" s="213"/>
      <c r="AN245" s="215"/>
      <c r="AO245" s="213"/>
      <c r="AP245" s="215"/>
      <c r="AQ245" s="213"/>
      <c r="AR245" s="215"/>
      <c r="AS245" s="213"/>
      <c r="AT245" s="215"/>
      <c r="AU245" s="213"/>
      <c r="AV245" s="215"/>
      <c r="AW245" s="213"/>
      <c r="AX245" s="213"/>
      <c r="AY245" s="213"/>
      <c r="AZ245" s="326"/>
      <c r="BA245" s="213"/>
      <c r="BB245" s="215"/>
      <c r="BC245" s="213"/>
      <c r="BD245" s="213"/>
      <c r="BE245" s="213"/>
      <c r="BF245" s="213"/>
      <c r="BG245" s="213"/>
      <c r="BH245" s="213"/>
      <c r="BI245" s="213"/>
      <c r="BJ245" s="213"/>
      <c r="BK245" s="213"/>
      <c r="BL245" s="213"/>
      <c r="BM245" s="213"/>
      <c r="BN245" s="213"/>
      <c r="BO245" s="213"/>
      <c r="BP245" s="213"/>
      <c r="BQ245" s="213"/>
      <c r="BR245" s="213"/>
      <c r="BS245" s="213"/>
      <c r="BT245" s="213"/>
      <c r="BU245" s="213"/>
      <c r="BV245" s="213"/>
      <c r="BW245" s="213"/>
    </row>
    <row r="246" ht="15.75" customHeight="1">
      <c r="A246" s="213"/>
      <c r="B246" s="213"/>
      <c r="C246" s="213"/>
      <c r="D246" s="213"/>
      <c r="E246" s="213"/>
      <c r="F246" s="215"/>
      <c r="G246" s="213"/>
      <c r="H246" s="325"/>
      <c r="I246" s="213"/>
      <c r="J246" s="325"/>
      <c r="K246" s="213"/>
      <c r="L246" s="215"/>
      <c r="M246" s="213"/>
      <c r="N246" s="215"/>
      <c r="O246" s="213"/>
      <c r="P246" s="215"/>
      <c r="Q246" s="213"/>
      <c r="R246" s="949"/>
      <c r="S246" s="213"/>
      <c r="T246" s="215"/>
      <c r="U246" s="213"/>
      <c r="V246" s="215"/>
      <c r="W246" s="213"/>
      <c r="X246" s="325"/>
      <c r="Y246" s="213"/>
      <c r="Z246" s="215"/>
      <c r="AA246" s="213"/>
      <c r="AB246" s="215"/>
      <c r="AC246" s="213"/>
      <c r="AD246" s="215"/>
      <c r="AE246" s="213"/>
      <c r="AF246" s="215"/>
      <c r="AG246" s="213"/>
      <c r="AH246" s="215"/>
      <c r="AI246" s="213"/>
      <c r="AJ246" s="215"/>
      <c r="AK246" s="213"/>
      <c r="AL246" s="215"/>
      <c r="AM246" s="213"/>
      <c r="AN246" s="215"/>
      <c r="AO246" s="213"/>
      <c r="AP246" s="215"/>
      <c r="AQ246" s="213"/>
      <c r="AR246" s="215"/>
      <c r="AS246" s="213"/>
      <c r="AT246" s="215"/>
      <c r="AU246" s="213"/>
      <c r="AV246" s="215"/>
      <c r="AW246" s="213"/>
      <c r="AX246" s="213"/>
      <c r="AY246" s="213"/>
      <c r="AZ246" s="326"/>
      <c r="BA246" s="213"/>
      <c r="BB246" s="215"/>
      <c r="BC246" s="213"/>
      <c r="BD246" s="213"/>
      <c r="BE246" s="213"/>
      <c r="BF246" s="213"/>
      <c r="BG246" s="213"/>
      <c r="BH246" s="213"/>
      <c r="BI246" s="213"/>
      <c r="BJ246" s="213"/>
      <c r="BK246" s="213"/>
      <c r="BL246" s="213"/>
      <c r="BM246" s="213"/>
      <c r="BN246" s="213"/>
      <c r="BO246" s="213"/>
      <c r="BP246" s="213"/>
      <c r="BQ246" s="213"/>
      <c r="BR246" s="213"/>
      <c r="BS246" s="213"/>
      <c r="BT246" s="213"/>
      <c r="BU246" s="213"/>
      <c r="BV246" s="213"/>
      <c r="BW246" s="213"/>
    </row>
    <row r="247" ht="15.75" customHeight="1">
      <c r="A247" s="213"/>
      <c r="B247" s="213"/>
      <c r="C247" s="213"/>
      <c r="D247" s="213"/>
      <c r="E247" s="213"/>
      <c r="F247" s="215"/>
      <c r="G247" s="213"/>
      <c r="H247" s="325"/>
      <c r="I247" s="213"/>
      <c r="J247" s="325"/>
      <c r="K247" s="213"/>
      <c r="L247" s="215"/>
      <c r="M247" s="213"/>
      <c r="N247" s="215"/>
      <c r="O247" s="213"/>
      <c r="P247" s="215"/>
      <c r="Q247" s="213"/>
      <c r="R247" s="949"/>
      <c r="S247" s="213"/>
      <c r="T247" s="215"/>
      <c r="U247" s="213"/>
      <c r="V247" s="215"/>
      <c r="W247" s="213"/>
      <c r="X247" s="325"/>
      <c r="Y247" s="213"/>
      <c r="Z247" s="215"/>
      <c r="AA247" s="213"/>
      <c r="AB247" s="215"/>
      <c r="AC247" s="213"/>
      <c r="AD247" s="215"/>
      <c r="AE247" s="213"/>
      <c r="AF247" s="215"/>
      <c r="AG247" s="213"/>
      <c r="AH247" s="215"/>
      <c r="AI247" s="213"/>
      <c r="AJ247" s="215"/>
      <c r="AK247" s="213"/>
      <c r="AL247" s="215"/>
      <c r="AM247" s="213"/>
      <c r="AN247" s="215"/>
      <c r="AO247" s="213"/>
      <c r="AP247" s="215"/>
      <c r="AQ247" s="213"/>
      <c r="AR247" s="215"/>
      <c r="AS247" s="213"/>
      <c r="AT247" s="215"/>
      <c r="AU247" s="213"/>
      <c r="AV247" s="215"/>
      <c r="AW247" s="213"/>
      <c r="AX247" s="213"/>
      <c r="AY247" s="213"/>
      <c r="AZ247" s="326"/>
      <c r="BA247" s="213"/>
      <c r="BB247" s="215"/>
      <c r="BC247" s="213"/>
      <c r="BD247" s="213"/>
      <c r="BE247" s="213"/>
      <c r="BF247" s="213"/>
      <c r="BG247" s="213"/>
      <c r="BH247" s="213"/>
      <c r="BI247" s="213"/>
      <c r="BJ247" s="213"/>
      <c r="BK247" s="213"/>
      <c r="BL247" s="213"/>
      <c r="BM247" s="213"/>
      <c r="BN247" s="213"/>
      <c r="BO247" s="213"/>
      <c r="BP247" s="213"/>
      <c r="BQ247" s="213"/>
      <c r="BR247" s="213"/>
      <c r="BS247" s="213"/>
      <c r="BT247" s="213"/>
      <c r="BU247" s="213"/>
      <c r="BV247" s="213"/>
      <c r="BW247" s="213"/>
    </row>
    <row r="248" ht="15.75" customHeight="1">
      <c r="A248" s="213"/>
      <c r="B248" s="213"/>
      <c r="C248" s="213"/>
      <c r="D248" s="213"/>
      <c r="E248" s="213"/>
      <c r="F248" s="215"/>
      <c r="G248" s="213"/>
      <c r="H248" s="325"/>
      <c r="I248" s="213"/>
      <c r="J248" s="325"/>
      <c r="K248" s="213"/>
      <c r="L248" s="215"/>
      <c r="M248" s="213"/>
      <c r="N248" s="215"/>
      <c r="O248" s="213"/>
      <c r="P248" s="215"/>
      <c r="Q248" s="213"/>
      <c r="R248" s="949"/>
      <c r="S248" s="213"/>
      <c r="T248" s="215"/>
      <c r="U248" s="213"/>
      <c r="V248" s="215"/>
      <c r="W248" s="213"/>
      <c r="X248" s="325"/>
      <c r="Y248" s="213"/>
      <c r="Z248" s="215"/>
      <c r="AA248" s="213"/>
      <c r="AB248" s="215"/>
      <c r="AC248" s="213"/>
      <c r="AD248" s="215"/>
      <c r="AE248" s="213"/>
      <c r="AF248" s="215"/>
      <c r="AG248" s="213"/>
      <c r="AH248" s="215"/>
      <c r="AI248" s="213"/>
      <c r="AJ248" s="215"/>
      <c r="AK248" s="213"/>
      <c r="AL248" s="215"/>
      <c r="AM248" s="213"/>
      <c r="AN248" s="215"/>
      <c r="AO248" s="213"/>
      <c r="AP248" s="215"/>
      <c r="AQ248" s="213"/>
      <c r="AR248" s="215"/>
      <c r="AS248" s="213"/>
      <c r="AT248" s="215"/>
      <c r="AU248" s="213"/>
      <c r="AV248" s="215"/>
      <c r="AW248" s="213"/>
      <c r="AX248" s="213"/>
      <c r="AY248" s="213"/>
      <c r="AZ248" s="326"/>
      <c r="BA248" s="213"/>
      <c r="BB248" s="215"/>
      <c r="BC248" s="213"/>
      <c r="BD248" s="213"/>
      <c r="BE248" s="213"/>
      <c r="BF248" s="213"/>
      <c r="BG248" s="213"/>
      <c r="BH248" s="213"/>
      <c r="BI248" s="213"/>
      <c r="BJ248" s="213"/>
      <c r="BK248" s="213"/>
      <c r="BL248" s="213"/>
      <c r="BM248" s="213"/>
      <c r="BN248" s="213"/>
      <c r="BO248" s="213"/>
      <c r="BP248" s="213"/>
      <c r="BQ248" s="213"/>
      <c r="BR248" s="213"/>
      <c r="BS248" s="213"/>
      <c r="BT248" s="213"/>
      <c r="BU248" s="213"/>
      <c r="BV248" s="213"/>
      <c r="BW248" s="213"/>
    </row>
    <row r="249" ht="15.75" customHeight="1">
      <c r="A249" s="213"/>
      <c r="B249" s="213"/>
      <c r="C249" s="213"/>
      <c r="D249" s="213"/>
      <c r="E249" s="213"/>
      <c r="F249" s="215"/>
      <c r="G249" s="213"/>
      <c r="H249" s="325"/>
      <c r="I249" s="213"/>
      <c r="J249" s="325"/>
      <c r="K249" s="213"/>
      <c r="L249" s="215"/>
      <c r="M249" s="213"/>
      <c r="N249" s="215"/>
      <c r="O249" s="213"/>
      <c r="P249" s="215"/>
      <c r="Q249" s="213"/>
      <c r="R249" s="949"/>
      <c r="S249" s="213"/>
      <c r="T249" s="215"/>
      <c r="U249" s="213"/>
      <c r="V249" s="215"/>
      <c r="W249" s="213"/>
      <c r="X249" s="325"/>
      <c r="Y249" s="213"/>
      <c r="Z249" s="215"/>
      <c r="AA249" s="213"/>
      <c r="AB249" s="215"/>
      <c r="AC249" s="213"/>
      <c r="AD249" s="215"/>
      <c r="AE249" s="213"/>
      <c r="AF249" s="215"/>
      <c r="AG249" s="213"/>
      <c r="AH249" s="215"/>
      <c r="AI249" s="213"/>
      <c r="AJ249" s="215"/>
      <c r="AK249" s="213"/>
      <c r="AL249" s="215"/>
      <c r="AM249" s="213"/>
      <c r="AN249" s="215"/>
      <c r="AO249" s="213"/>
      <c r="AP249" s="215"/>
      <c r="AQ249" s="213"/>
      <c r="AR249" s="215"/>
      <c r="AS249" s="213"/>
      <c r="AT249" s="215"/>
      <c r="AU249" s="213"/>
      <c r="AV249" s="215"/>
      <c r="AW249" s="213"/>
      <c r="AX249" s="213"/>
      <c r="AY249" s="213"/>
      <c r="AZ249" s="326"/>
      <c r="BA249" s="213"/>
      <c r="BB249" s="215"/>
      <c r="BC249" s="213"/>
      <c r="BD249" s="213"/>
      <c r="BE249" s="213"/>
      <c r="BF249" s="213"/>
      <c r="BG249" s="213"/>
      <c r="BH249" s="213"/>
      <c r="BI249" s="213"/>
      <c r="BJ249" s="213"/>
      <c r="BK249" s="213"/>
      <c r="BL249" s="213"/>
      <c r="BM249" s="213"/>
      <c r="BN249" s="213"/>
      <c r="BO249" s="213"/>
      <c r="BP249" s="213"/>
      <c r="BQ249" s="213"/>
      <c r="BR249" s="213"/>
      <c r="BS249" s="213"/>
      <c r="BT249" s="213"/>
      <c r="BU249" s="213"/>
      <c r="BV249" s="213"/>
      <c r="BW249" s="213"/>
    </row>
    <row r="250" ht="15.75" customHeight="1">
      <c r="A250" s="213"/>
      <c r="B250" s="213"/>
      <c r="C250" s="213"/>
      <c r="D250" s="213"/>
      <c r="E250" s="213"/>
      <c r="F250" s="215"/>
      <c r="G250" s="213"/>
      <c r="H250" s="325"/>
      <c r="I250" s="213"/>
      <c r="J250" s="325"/>
      <c r="K250" s="213"/>
      <c r="L250" s="215"/>
      <c r="M250" s="213"/>
      <c r="N250" s="215"/>
      <c r="O250" s="213"/>
      <c r="P250" s="215"/>
      <c r="Q250" s="213"/>
      <c r="R250" s="949"/>
      <c r="S250" s="213"/>
      <c r="T250" s="215"/>
      <c r="U250" s="213"/>
      <c r="V250" s="215"/>
      <c r="W250" s="213"/>
      <c r="X250" s="325"/>
      <c r="Y250" s="213"/>
      <c r="Z250" s="215"/>
      <c r="AA250" s="213"/>
      <c r="AB250" s="215"/>
      <c r="AC250" s="213"/>
      <c r="AD250" s="215"/>
      <c r="AE250" s="213"/>
      <c r="AF250" s="215"/>
      <c r="AG250" s="213"/>
      <c r="AH250" s="215"/>
      <c r="AI250" s="213"/>
      <c r="AJ250" s="215"/>
      <c r="AK250" s="213"/>
      <c r="AL250" s="215"/>
      <c r="AM250" s="213"/>
      <c r="AN250" s="215"/>
      <c r="AO250" s="213"/>
      <c r="AP250" s="215"/>
      <c r="AQ250" s="213"/>
      <c r="AR250" s="215"/>
      <c r="AS250" s="213"/>
      <c r="AT250" s="215"/>
      <c r="AU250" s="213"/>
      <c r="AV250" s="215"/>
      <c r="AW250" s="213"/>
      <c r="AX250" s="213"/>
      <c r="AY250" s="213"/>
      <c r="AZ250" s="326"/>
      <c r="BA250" s="213"/>
      <c r="BB250" s="215"/>
      <c r="BC250" s="213"/>
      <c r="BD250" s="213"/>
      <c r="BE250" s="213"/>
      <c r="BF250" s="213"/>
      <c r="BG250" s="213"/>
      <c r="BH250" s="213"/>
      <c r="BI250" s="213"/>
      <c r="BJ250" s="213"/>
      <c r="BK250" s="213"/>
      <c r="BL250" s="213"/>
      <c r="BM250" s="213"/>
      <c r="BN250" s="213"/>
      <c r="BO250" s="213"/>
      <c r="BP250" s="213"/>
      <c r="BQ250" s="213"/>
      <c r="BR250" s="213"/>
      <c r="BS250" s="213"/>
      <c r="BT250" s="213"/>
      <c r="BU250" s="213"/>
      <c r="BV250" s="213"/>
      <c r="BW250" s="213"/>
    </row>
    <row r="251" ht="15.75" customHeight="1">
      <c r="A251" s="213"/>
      <c r="B251" s="213"/>
      <c r="C251" s="213"/>
      <c r="D251" s="213"/>
      <c r="E251" s="213"/>
      <c r="F251" s="215"/>
      <c r="G251" s="213"/>
      <c r="H251" s="325"/>
      <c r="I251" s="213"/>
      <c r="J251" s="325"/>
      <c r="K251" s="213"/>
      <c r="L251" s="215"/>
      <c r="M251" s="213"/>
      <c r="N251" s="215"/>
      <c r="O251" s="213"/>
      <c r="P251" s="215"/>
      <c r="Q251" s="213"/>
      <c r="R251" s="949"/>
      <c r="S251" s="213"/>
      <c r="T251" s="215"/>
      <c r="U251" s="213"/>
      <c r="V251" s="215"/>
      <c r="W251" s="213"/>
      <c r="X251" s="325"/>
      <c r="Y251" s="213"/>
      <c r="Z251" s="215"/>
      <c r="AA251" s="213"/>
      <c r="AB251" s="215"/>
      <c r="AC251" s="213"/>
      <c r="AD251" s="215"/>
      <c r="AE251" s="213"/>
      <c r="AF251" s="215"/>
      <c r="AG251" s="213"/>
      <c r="AH251" s="215"/>
      <c r="AI251" s="213"/>
      <c r="AJ251" s="215"/>
      <c r="AK251" s="213"/>
      <c r="AL251" s="215"/>
      <c r="AM251" s="213"/>
      <c r="AN251" s="215"/>
      <c r="AO251" s="213"/>
      <c r="AP251" s="215"/>
      <c r="AQ251" s="213"/>
      <c r="AR251" s="215"/>
      <c r="AS251" s="213"/>
      <c r="AT251" s="215"/>
      <c r="AU251" s="213"/>
      <c r="AV251" s="215"/>
      <c r="AW251" s="213"/>
      <c r="AX251" s="213"/>
      <c r="AY251" s="213"/>
      <c r="AZ251" s="326"/>
      <c r="BA251" s="213"/>
      <c r="BB251" s="215"/>
      <c r="BC251" s="213"/>
      <c r="BD251" s="213"/>
      <c r="BE251" s="213"/>
      <c r="BF251" s="213"/>
      <c r="BG251" s="213"/>
      <c r="BH251" s="213"/>
      <c r="BI251" s="213"/>
      <c r="BJ251" s="213"/>
      <c r="BK251" s="213"/>
      <c r="BL251" s="213"/>
      <c r="BM251" s="213"/>
      <c r="BN251" s="213"/>
      <c r="BO251" s="213"/>
      <c r="BP251" s="213"/>
      <c r="BQ251" s="213"/>
      <c r="BR251" s="213"/>
      <c r="BS251" s="213"/>
      <c r="BT251" s="213"/>
      <c r="BU251" s="213"/>
      <c r="BV251" s="213"/>
      <c r="BW251" s="213"/>
    </row>
    <row r="252" ht="15.75" customHeight="1">
      <c r="A252" s="213"/>
      <c r="B252" s="213"/>
      <c r="C252" s="213"/>
      <c r="D252" s="213"/>
      <c r="E252" s="213"/>
      <c r="F252" s="215"/>
      <c r="G252" s="213"/>
      <c r="H252" s="325"/>
      <c r="I252" s="213"/>
      <c r="J252" s="325"/>
      <c r="K252" s="213"/>
      <c r="L252" s="215"/>
      <c r="M252" s="213"/>
      <c r="N252" s="215"/>
      <c r="O252" s="213"/>
      <c r="P252" s="215"/>
      <c r="Q252" s="213"/>
      <c r="R252" s="949"/>
      <c r="S252" s="213"/>
      <c r="T252" s="215"/>
      <c r="U252" s="213"/>
      <c r="V252" s="215"/>
      <c r="W252" s="213"/>
      <c r="X252" s="325"/>
      <c r="Y252" s="213"/>
      <c r="Z252" s="215"/>
      <c r="AA252" s="213"/>
      <c r="AB252" s="215"/>
      <c r="AC252" s="213"/>
      <c r="AD252" s="215"/>
      <c r="AE252" s="213"/>
      <c r="AF252" s="215"/>
      <c r="AG252" s="213"/>
      <c r="AH252" s="215"/>
      <c r="AI252" s="213"/>
      <c r="AJ252" s="215"/>
      <c r="AK252" s="213"/>
      <c r="AL252" s="215"/>
      <c r="AM252" s="213"/>
      <c r="AN252" s="215"/>
      <c r="AO252" s="213"/>
      <c r="AP252" s="215"/>
      <c r="AQ252" s="213"/>
      <c r="AR252" s="215"/>
      <c r="AS252" s="213"/>
      <c r="AT252" s="215"/>
      <c r="AU252" s="213"/>
      <c r="AV252" s="215"/>
      <c r="AW252" s="213"/>
      <c r="AX252" s="213"/>
      <c r="AY252" s="213"/>
      <c r="AZ252" s="326"/>
      <c r="BA252" s="213"/>
      <c r="BB252" s="215"/>
      <c r="BC252" s="213"/>
      <c r="BD252" s="213"/>
      <c r="BE252" s="213"/>
      <c r="BF252" s="213"/>
      <c r="BG252" s="213"/>
      <c r="BH252" s="213"/>
      <c r="BI252" s="213"/>
      <c r="BJ252" s="213"/>
      <c r="BK252" s="213"/>
      <c r="BL252" s="213"/>
      <c r="BM252" s="213"/>
      <c r="BN252" s="213"/>
      <c r="BO252" s="213"/>
      <c r="BP252" s="213"/>
      <c r="BQ252" s="213"/>
      <c r="BR252" s="213"/>
      <c r="BS252" s="213"/>
      <c r="BT252" s="213"/>
      <c r="BU252" s="213"/>
      <c r="BV252" s="213"/>
      <c r="BW252" s="213"/>
    </row>
    <row r="253" ht="15.75" customHeight="1">
      <c r="A253" s="213"/>
      <c r="B253" s="213"/>
      <c r="C253" s="213"/>
      <c r="D253" s="213"/>
      <c r="E253" s="213"/>
      <c r="F253" s="215"/>
      <c r="G253" s="213"/>
      <c r="H253" s="325"/>
      <c r="I253" s="213"/>
      <c r="J253" s="325"/>
      <c r="K253" s="213"/>
      <c r="L253" s="215"/>
      <c r="M253" s="213"/>
      <c r="N253" s="215"/>
      <c r="O253" s="213"/>
      <c r="P253" s="215"/>
      <c r="Q253" s="213"/>
      <c r="R253" s="949"/>
      <c r="S253" s="213"/>
      <c r="T253" s="215"/>
      <c r="U253" s="213"/>
      <c r="V253" s="215"/>
      <c r="W253" s="213"/>
      <c r="X253" s="325"/>
      <c r="Y253" s="213"/>
      <c r="Z253" s="215"/>
      <c r="AA253" s="213"/>
      <c r="AB253" s="215"/>
      <c r="AC253" s="213"/>
      <c r="AD253" s="215"/>
      <c r="AE253" s="213"/>
      <c r="AF253" s="215"/>
      <c r="AG253" s="213"/>
      <c r="AH253" s="215"/>
      <c r="AI253" s="213"/>
      <c r="AJ253" s="215"/>
      <c r="AK253" s="213"/>
      <c r="AL253" s="215"/>
      <c r="AM253" s="213"/>
      <c r="AN253" s="215"/>
      <c r="AO253" s="213"/>
      <c r="AP253" s="215"/>
      <c r="AQ253" s="213"/>
      <c r="AR253" s="215"/>
      <c r="AS253" s="213"/>
      <c r="AT253" s="215"/>
      <c r="AU253" s="213"/>
      <c r="AV253" s="215"/>
      <c r="AW253" s="213"/>
      <c r="AX253" s="213"/>
      <c r="AY253" s="213"/>
      <c r="AZ253" s="326"/>
      <c r="BA253" s="213"/>
      <c r="BB253" s="215"/>
      <c r="BC253" s="213"/>
      <c r="BD253" s="213"/>
      <c r="BE253" s="213"/>
      <c r="BF253" s="213"/>
      <c r="BG253" s="213"/>
      <c r="BH253" s="213"/>
      <c r="BI253" s="213"/>
      <c r="BJ253" s="213"/>
      <c r="BK253" s="213"/>
      <c r="BL253" s="213"/>
      <c r="BM253" s="213"/>
      <c r="BN253" s="213"/>
      <c r="BO253" s="213"/>
      <c r="BP253" s="213"/>
      <c r="BQ253" s="213"/>
      <c r="BR253" s="213"/>
      <c r="BS253" s="213"/>
      <c r="BT253" s="213"/>
      <c r="BU253" s="213"/>
      <c r="BV253" s="213"/>
      <c r="BW253" s="213"/>
    </row>
    <row r="254" ht="15.75" customHeight="1">
      <c r="A254" s="213"/>
      <c r="B254" s="213"/>
      <c r="C254" s="213"/>
      <c r="D254" s="213"/>
      <c r="E254" s="213"/>
      <c r="F254" s="215"/>
      <c r="G254" s="213"/>
      <c r="H254" s="325"/>
      <c r="I254" s="213"/>
      <c r="J254" s="325"/>
      <c r="K254" s="213"/>
      <c r="L254" s="215"/>
      <c r="M254" s="213"/>
      <c r="N254" s="215"/>
      <c r="O254" s="213"/>
      <c r="P254" s="215"/>
      <c r="Q254" s="213"/>
      <c r="R254" s="949"/>
      <c r="S254" s="213"/>
      <c r="T254" s="215"/>
      <c r="U254" s="213"/>
      <c r="V254" s="215"/>
      <c r="W254" s="213"/>
      <c r="X254" s="325"/>
      <c r="Y254" s="213"/>
      <c r="Z254" s="215"/>
      <c r="AA254" s="213"/>
      <c r="AB254" s="215"/>
      <c r="AC254" s="213"/>
      <c r="AD254" s="215"/>
      <c r="AE254" s="213"/>
      <c r="AF254" s="215"/>
      <c r="AG254" s="213"/>
      <c r="AH254" s="215"/>
      <c r="AI254" s="213"/>
      <c r="AJ254" s="215"/>
      <c r="AK254" s="213"/>
      <c r="AL254" s="215"/>
      <c r="AM254" s="213"/>
      <c r="AN254" s="215"/>
      <c r="AO254" s="213"/>
      <c r="AP254" s="215"/>
      <c r="AQ254" s="213"/>
      <c r="AR254" s="215"/>
      <c r="AS254" s="213"/>
      <c r="AT254" s="215"/>
      <c r="AU254" s="213"/>
      <c r="AV254" s="215"/>
      <c r="AW254" s="213"/>
      <c r="AX254" s="213"/>
      <c r="AY254" s="213"/>
      <c r="AZ254" s="326"/>
      <c r="BA254" s="213"/>
      <c r="BB254" s="215"/>
      <c r="BC254" s="213"/>
      <c r="BD254" s="213"/>
      <c r="BE254" s="213"/>
      <c r="BF254" s="213"/>
      <c r="BG254" s="213"/>
      <c r="BH254" s="213"/>
      <c r="BI254" s="213"/>
      <c r="BJ254" s="213"/>
      <c r="BK254" s="213"/>
      <c r="BL254" s="213"/>
      <c r="BM254" s="213"/>
      <c r="BN254" s="213"/>
      <c r="BO254" s="213"/>
      <c r="BP254" s="213"/>
      <c r="BQ254" s="213"/>
      <c r="BR254" s="213"/>
      <c r="BS254" s="213"/>
      <c r="BT254" s="213"/>
      <c r="BU254" s="213"/>
      <c r="BV254" s="213"/>
      <c r="BW254" s="213"/>
    </row>
    <row r="255" ht="15.75" customHeight="1">
      <c r="A255" s="213"/>
      <c r="B255" s="213"/>
      <c r="C255" s="213"/>
      <c r="D255" s="213"/>
      <c r="E255" s="213"/>
      <c r="F255" s="215"/>
      <c r="G255" s="213"/>
      <c r="H255" s="325"/>
      <c r="I255" s="213"/>
      <c r="J255" s="325"/>
      <c r="K255" s="213"/>
      <c r="L255" s="215"/>
      <c r="M255" s="213"/>
      <c r="N255" s="215"/>
      <c r="O255" s="213"/>
      <c r="P255" s="215"/>
      <c r="Q255" s="213"/>
      <c r="R255" s="949"/>
      <c r="S255" s="213"/>
      <c r="T255" s="215"/>
      <c r="U255" s="213"/>
      <c r="V255" s="215"/>
      <c r="W255" s="213"/>
      <c r="X255" s="325"/>
      <c r="Y255" s="213"/>
      <c r="Z255" s="215"/>
      <c r="AA255" s="213"/>
      <c r="AB255" s="215"/>
      <c r="AC255" s="213"/>
      <c r="AD255" s="215"/>
      <c r="AE255" s="213"/>
      <c r="AF255" s="215"/>
      <c r="AG255" s="213"/>
      <c r="AH255" s="215"/>
      <c r="AI255" s="213"/>
      <c r="AJ255" s="215"/>
      <c r="AK255" s="213"/>
      <c r="AL255" s="215"/>
      <c r="AM255" s="213"/>
      <c r="AN255" s="215"/>
      <c r="AO255" s="213"/>
      <c r="AP255" s="215"/>
      <c r="AQ255" s="213"/>
      <c r="AR255" s="215"/>
      <c r="AS255" s="213"/>
      <c r="AT255" s="215"/>
      <c r="AU255" s="213"/>
      <c r="AV255" s="215"/>
      <c r="AW255" s="213"/>
      <c r="AX255" s="213"/>
      <c r="AY255" s="213"/>
      <c r="AZ255" s="326"/>
      <c r="BA255" s="213"/>
      <c r="BB255" s="215"/>
      <c r="BC255" s="213"/>
      <c r="BD255" s="213"/>
      <c r="BE255" s="213"/>
      <c r="BF255" s="213"/>
      <c r="BG255" s="213"/>
      <c r="BH255" s="213"/>
      <c r="BI255" s="213"/>
      <c r="BJ255" s="213"/>
      <c r="BK255" s="213"/>
      <c r="BL255" s="213"/>
      <c r="BM255" s="213"/>
      <c r="BN255" s="213"/>
      <c r="BO255" s="213"/>
      <c r="BP255" s="213"/>
      <c r="BQ255" s="213"/>
      <c r="BR255" s="213"/>
      <c r="BS255" s="213"/>
      <c r="BT255" s="213"/>
      <c r="BU255" s="213"/>
      <c r="BV255" s="213"/>
      <c r="BW255" s="213"/>
    </row>
    <row r="256" ht="15.75" customHeight="1">
      <c r="A256" s="213"/>
      <c r="B256" s="213"/>
      <c r="C256" s="213"/>
      <c r="D256" s="213"/>
      <c r="E256" s="213"/>
      <c r="F256" s="215"/>
      <c r="G256" s="213"/>
      <c r="H256" s="325"/>
      <c r="I256" s="213"/>
      <c r="J256" s="325"/>
      <c r="K256" s="213"/>
      <c r="L256" s="215"/>
      <c r="M256" s="213"/>
      <c r="N256" s="215"/>
      <c r="O256" s="213"/>
      <c r="P256" s="215"/>
      <c r="Q256" s="213"/>
      <c r="R256" s="949"/>
      <c r="S256" s="213"/>
      <c r="T256" s="215"/>
      <c r="U256" s="213"/>
      <c r="V256" s="215"/>
      <c r="W256" s="213"/>
      <c r="X256" s="325"/>
      <c r="Y256" s="213"/>
      <c r="Z256" s="215"/>
      <c r="AA256" s="213"/>
      <c r="AB256" s="215"/>
      <c r="AC256" s="213"/>
      <c r="AD256" s="215"/>
      <c r="AE256" s="213"/>
      <c r="AF256" s="215"/>
      <c r="AG256" s="213"/>
      <c r="AH256" s="215"/>
      <c r="AI256" s="213"/>
      <c r="AJ256" s="215"/>
      <c r="AK256" s="213"/>
      <c r="AL256" s="215"/>
      <c r="AM256" s="213"/>
      <c r="AN256" s="215"/>
      <c r="AO256" s="213"/>
      <c r="AP256" s="215"/>
      <c r="AQ256" s="213"/>
      <c r="AR256" s="215"/>
      <c r="AS256" s="213"/>
      <c r="AT256" s="215"/>
      <c r="AU256" s="213"/>
      <c r="AV256" s="215"/>
      <c r="AW256" s="213"/>
      <c r="AX256" s="213"/>
      <c r="AY256" s="213"/>
      <c r="AZ256" s="326"/>
      <c r="BA256" s="213"/>
      <c r="BB256" s="215"/>
      <c r="BC256" s="213"/>
      <c r="BD256" s="213"/>
      <c r="BE256" s="213"/>
      <c r="BF256" s="213"/>
      <c r="BG256" s="213"/>
      <c r="BH256" s="213"/>
      <c r="BI256" s="213"/>
      <c r="BJ256" s="213"/>
      <c r="BK256" s="213"/>
      <c r="BL256" s="213"/>
      <c r="BM256" s="213"/>
      <c r="BN256" s="213"/>
      <c r="BO256" s="213"/>
      <c r="BP256" s="213"/>
      <c r="BQ256" s="213"/>
      <c r="BR256" s="213"/>
      <c r="BS256" s="213"/>
      <c r="BT256" s="213"/>
      <c r="BU256" s="213"/>
      <c r="BV256" s="213"/>
      <c r="BW256" s="213"/>
    </row>
    <row r="257" ht="15.75" customHeight="1">
      <c r="A257" s="213"/>
      <c r="B257" s="213"/>
      <c r="C257" s="213"/>
      <c r="D257" s="213"/>
      <c r="E257" s="213"/>
      <c r="F257" s="215"/>
      <c r="G257" s="213"/>
      <c r="H257" s="325"/>
      <c r="I257" s="213"/>
      <c r="J257" s="325"/>
      <c r="K257" s="213"/>
      <c r="L257" s="215"/>
      <c r="M257" s="213"/>
      <c r="N257" s="215"/>
      <c r="O257" s="213"/>
      <c r="P257" s="215"/>
      <c r="Q257" s="213"/>
      <c r="R257" s="949"/>
      <c r="S257" s="213"/>
      <c r="T257" s="215"/>
      <c r="U257" s="213"/>
      <c r="V257" s="215"/>
      <c r="W257" s="213"/>
      <c r="X257" s="325"/>
      <c r="Y257" s="213"/>
      <c r="Z257" s="215"/>
      <c r="AA257" s="213"/>
      <c r="AB257" s="215"/>
      <c r="AC257" s="213"/>
      <c r="AD257" s="215"/>
      <c r="AE257" s="213"/>
      <c r="AF257" s="215"/>
      <c r="AG257" s="213"/>
      <c r="AH257" s="215"/>
      <c r="AI257" s="213"/>
      <c r="AJ257" s="215"/>
      <c r="AK257" s="213"/>
      <c r="AL257" s="215"/>
      <c r="AM257" s="213"/>
      <c r="AN257" s="215"/>
      <c r="AO257" s="213"/>
      <c r="AP257" s="215"/>
      <c r="AQ257" s="213"/>
      <c r="AR257" s="215"/>
      <c r="AS257" s="213"/>
      <c r="AT257" s="215"/>
      <c r="AU257" s="213"/>
      <c r="AV257" s="215"/>
      <c r="AW257" s="213"/>
      <c r="AX257" s="213"/>
      <c r="AY257" s="213"/>
      <c r="AZ257" s="326"/>
      <c r="BA257" s="213"/>
      <c r="BB257" s="215"/>
      <c r="BC257" s="213"/>
      <c r="BD257" s="213"/>
      <c r="BE257" s="213"/>
      <c r="BF257" s="213"/>
      <c r="BG257" s="213"/>
      <c r="BH257" s="213"/>
      <c r="BI257" s="213"/>
      <c r="BJ257" s="213"/>
      <c r="BK257" s="213"/>
      <c r="BL257" s="213"/>
      <c r="BM257" s="213"/>
      <c r="BN257" s="213"/>
      <c r="BO257" s="213"/>
      <c r="BP257" s="213"/>
      <c r="BQ257" s="213"/>
      <c r="BR257" s="213"/>
      <c r="BS257" s="213"/>
      <c r="BT257" s="213"/>
      <c r="BU257" s="213"/>
      <c r="BV257" s="213"/>
      <c r="BW257" s="213"/>
    </row>
    <row r="258" ht="15.75" customHeight="1">
      <c r="A258" s="213"/>
      <c r="B258" s="213"/>
      <c r="C258" s="213"/>
      <c r="D258" s="213"/>
      <c r="E258" s="213"/>
      <c r="F258" s="215"/>
      <c r="G258" s="213"/>
      <c r="H258" s="325"/>
      <c r="I258" s="213"/>
      <c r="J258" s="325"/>
      <c r="K258" s="213"/>
      <c r="L258" s="215"/>
      <c r="M258" s="213"/>
      <c r="N258" s="215"/>
      <c r="O258" s="213"/>
      <c r="P258" s="215"/>
      <c r="Q258" s="213"/>
      <c r="R258" s="949"/>
      <c r="S258" s="213"/>
      <c r="T258" s="215"/>
      <c r="U258" s="213"/>
      <c r="V258" s="215"/>
      <c r="W258" s="213"/>
      <c r="X258" s="325"/>
      <c r="Y258" s="213"/>
      <c r="Z258" s="215"/>
      <c r="AA258" s="213"/>
      <c r="AB258" s="215"/>
      <c r="AC258" s="213"/>
      <c r="AD258" s="215"/>
      <c r="AE258" s="213"/>
      <c r="AF258" s="215"/>
      <c r="AG258" s="213"/>
      <c r="AH258" s="215"/>
      <c r="AI258" s="213"/>
      <c r="AJ258" s="215"/>
      <c r="AK258" s="213"/>
      <c r="AL258" s="215"/>
      <c r="AM258" s="213"/>
      <c r="AN258" s="215"/>
      <c r="AO258" s="213"/>
      <c r="AP258" s="215"/>
      <c r="AQ258" s="213"/>
      <c r="AR258" s="215"/>
      <c r="AS258" s="213"/>
      <c r="AT258" s="215"/>
      <c r="AU258" s="213"/>
      <c r="AV258" s="215"/>
      <c r="AW258" s="213"/>
      <c r="AX258" s="213"/>
      <c r="AY258" s="213"/>
      <c r="AZ258" s="326"/>
      <c r="BA258" s="213"/>
      <c r="BB258" s="215"/>
      <c r="BC258" s="213"/>
      <c r="BD258" s="213"/>
      <c r="BE258" s="213"/>
      <c r="BF258" s="213"/>
      <c r="BG258" s="213"/>
      <c r="BH258" s="213"/>
      <c r="BI258" s="213"/>
      <c r="BJ258" s="213"/>
      <c r="BK258" s="213"/>
      <c r="BL258" s="213"/>
      <c r="BM258" s="213"/>
      <c r="BN258" s="213"/>
      <c r="BO258" s="213"/>
      <c r="BP258" s="213"/>
      <c r="BQ258" s="213"/>
      <c r="BR258" s="213"/>
      <c r="BS258" s="213"/>
      <c r="BT258" s="213"/>
      <c r="BU258" s="213"/>
      <c r="BV258" s="213"/>
      <c r="BW258" s="213"/>
    </row>
    <row r="259" ht="15.75" customHeight="1">
      <c r="A259" s="213"/>
      <c r="B259" s="213"/>
      <c r="C259" s="213"/>
      <c r="D259" s="213"/>
      <c r="E259" s="213"/>
      <c r="F259" s="215"/>
      <c r="G259" s="213"/>
      <c r="H259" s="325"/>
      <c r="I259" s="213"/>
      <c r="J259" s="325"/>
      <c r="K259" s="213"/>
      <c r="L259" s="215"/>
      <c r="M259" s="213"/>
      <c r="N259" s="215"/>
      <c r="O259" s="213"/>
      <c r="P259" s="215"/>
      <c r="Q259" s="213"/>
      <c r="R259" s="949"/>
      <c r="S259" s="213"/>
      <c r="T259" s="215"/>
      <c r="U259" s="213"/>
      <c r="V259" s="215"/>
      <c r="W259" s="213"/>
      <c r="X259" s="325"/>
      <c r="Y259" s="213"/>
      <c r="Z259" s="215"/>
      <c r="AA259" s="213"/>
      <c r="AB259" s="215"/>
      <c r="AC259" s="213"/>
      <c r="AD259" s="215"/>
      <c r="AE259" s="213"/>
      <c r="AF259" s="215"/>
      <c r="AG259" s="213"/>
      <c r="AH259" s="215"/>
      <c r="AI259" s="213"/>
      <c r="AJ259" s="215"/>
      <c r="AK259" s="213"/>
      <c r="AL259" s="215"/>
      <c r="AM259" s="213"/>
      <c r="AN259" s="215"/>
      <c r="AO259" s="213"/>
      <c r="AP259" s="215"/>
      <c r="AQ259" s="213"/>
      <c r="AR259" s="215"/>
      <c r="AS259" s="213"/>
      <c r="AT259" s="215"/>
      <c r="AU259" s="213"/>
      <c r="AV259" s="215"/>
      <c r="AW259" s="213"/>
      <c r="AX259" s="213"/>
      <c r="AY259" s="213"/>
      <c r="AZ259" s="326"/>
      <c r="BA259" s="213"/>
      <c r="BB259" s="215"/>
      <c r="BC259" s="213"/>
      <c r="BD259" s="213"/>
      <c r="BE259" s="213"/>
      <c r="BF259" s="213"/>
      <c r="BG259" s="213"/>
      <c r="BH259" s="213"/>
      <c r="BI259" s="213"/>
      <c r="BJ259" s="213"/>
      <c r="BK259" s="213"/>
      <c r="BL259" s="213"/>
      <c r="BM259" s="213"/>
      <c r="BN259" s="213"/>
      <c r="BO259" s="213"/>
      <c r="BP259" s="213"/>
      <c r="BQ259" s="213"/>
      <c r="BR259" s="213"/>
      <c r="BS259" s="213"/>
      <c r="BT259" s="213"/>
      <c r="BU259" s="213"/>
      <c r="BV259" s="213"/>
      <c r="BW259" s="213"/>
    </row>
    <row r="260" ht="15.75" customHeight="1">
      <c r="A260" s="213"/>
      <c r="B260" s="213"/>
      <c r="C260" s="213"/>
      <c r="D260" s="213"/>
      <c r="E260" s="213"/>
      <c r="F260" s="215"/>
      <c r="G260" s="213"/>
      <c r="H260" s="325"/>
      <c r="I260" s="213"/>
      <c r="J260" s="325"/>
      <c r="K260" s="213"/>
      <c r="L260" s="215"/>
      <c r="M260" s="213"/>
      <c r="N260" s="215"/>
      <c r="O260" s="213"/>
      <c r="P260" s="215"/>
      <c r="Q260" s="213"/>
      <c r="R260" s="949"/>
      <c r="S260" s="213"/>
      <c r="T260" s="215"/>
      <c r="U260" s="213"/>
      <c r="V260" s="215"/>
      <c r="W260" s="213"/>
      <c r="X260" s="325"/>
      <c r="Y260" s="213"/>
      <c r="Z260" s="215"/>
      <c r="AA260" s="213"/>
      <c r="AB260" s="215"/>
      <c r="AC260" s="213"/>
      <c r="AD260" s="215"/>
      <c r="AE260" s="213"/>
      <c r="AF260" s="215"/>
      <c r="AG260" s="213"/>
      <c r="AH260" s="215"/>
      <c r="AI260" s="213"/>
      <c r="AJ260" s="215"/>
      <c r="AK260" s="213"/>
      <c r="AL260" s="215"/>
      <c r="AM260" s="213"/>
      <c r="AN260" s="215"/>
      <c r="AO260" s="213"/>
      <c r="AP260" s="215"/>
      <c r="AQ260" s="213"/>
      <c r="AR260" s="215"/>
      <c r="AS260" s="213"/>
      <c r="AT260" s="215"/>
      <c r="AU260" s="213"/>
      <c r="AV260" s="215"/>
      <c r="AW260" s="213"/>
      <c r="AX260" s="213"/>
      <c r="AY260" s="213"/>
      <c r="AZ260" s="326"/>
      <c r="BA260" s="213"/>
      <c r="BB260" s="215"/>
      <c r="BC260" s="213"/>
      <c r="BD260" s="213"/>
      <c r="BE260" s="213"/>
      <c r="BF260" s="213"/>
      <c r="BG260" s="213"/>
      <c r="BH260" s="213"/>
      <c r="BI260" s="213"/>
      <c r="BJ260" s="213"/>
      <c r="BK260" s="213"/>
      <c r="BL260" s="213"/>
      <c r="BM260" s="213"/>
      <c r="BN260" s="213"/>
      <c r="BO260" s="213"/>
      <c r="BP260" s="213"/>
      <c r="BQ260" s="213"/>
      <c r="BR260" s="213"/>
      <c r="BS260" s="213"/>
      <c r="BT260" s="213"/>
      <c r="BU260" s="213"/>
      <c r="BV260" s="213"/>
      <c r="BW260" s="213"/>
    </row>
    <row r="261" ht="15.75" customHeight="1">
      <c r="A261" s="213"/>
      <c r="B261" s="213"/>
      <c r="C261" s="213"/>
      <c r="D261" s="213"/>
      <c r="E261" s="213"/>
      <c r="F261" s="215"/>
      <c r="G261" s="213"/>
      <c r="H261" s="325"/>
      <c r="I261" s="213"/>
      <c r="J261" s="325"/>
      <c r="K261" s="213"/>
      <c r="L261" s="215"/>
      <c r="M261" s="213"/>
      <c r="N261" s="215"/>
      <c r="O261" s="213"/>
      <c r="P261" s="215"/>
      <c r="Q261" s="213"/>
      <c r="R261" s="949"/>
      <c r="S261" s="213"/>
      <c r="T261" s="215"/>
      <c r="U261" s="213"/>
      <c r="V261" s="215"/>
      <c r="W261" s="213"/>
      <c r="X261" s="325"/>
      <c r="Y261" s="213"/>
      <c r="Z261" s="215"/>
      <c r="AA261" s="213"/>
      <c r="AB261" s="215"/>
      <c r="AC261" s="213"/>
      <c r="AD261" s="215"/>
      <c r="AE261" s="213"/>
      <c r="AF261" s="215"/>
      <c r="AG261" s="213"/>
      <c r="AH261" s="215"/>
      <c r="AI261" s="213"/>
      <c r="AJ261" s="215"/>
      <c r="AK261" s="213"/>
      <c r="AL261" s="215"/>
      <c r="AM261" s="213"/>
      <c r="AN261" s="215"/>
      <c r="AO261" s="213"/>
      <c r="AP261" s="215"/>
      <c r="AQ261" s="213"/>
      <c r="AR261" s="215"/>
      <c r="AS261" s="213"/>
      <c r="AT261" s="215"/>
      <c r="AU261" s="213"/>
      <c r="AV261" s="215"/>
      <c r="AW261" s="213"/>
      <c r="AX261" s="213"/>
      <c r="AY261" s="213"/>
      <c r="AZ261" s="326"/>
      <c r="BA261" s="213"/>
      <c r="BB261" s="215"/>
      <c r="BC261" s="213"/>
      <c r="BD261" s="213"/>
      <c r="BE261" s="213"/>
      <c r="BF261" s="213"/>
      <c r="BG261" s="213"/>
      <c r="BH261" s="213"/>
      <c r="BI261" s="213"/>
      <c r="BJ261" s="213"/>
      <c r="BK261" s="213"/>
      <c r="BL261" s="213"/>
      <c r="BM261" s="213"/>
      <c r="BN261" s="213"/>
      <c r="BO261" s="213"/>
      <c r="BP261" s="213"/>
      <c r="BQ261" s="213"/>
      <c r="BR261" s="213"/>
      <c r="BS261" s="213"/>
      <c r="BT261" s="213"/>
      <c r="BU261" s="213"/>
      <c r="BV261" s="213"/>
      <c r="BW261" s="213"/>
    </row>
    <row r="262" ht="15.75" customHeight="1">
      <c r="A262" s="213"/>
      <c r="B262" s="213"/>
      <c r="C262" s="213"/>
      <c r="D262" s="213"/>
      <c r="E262" s="213"/>
      <c r="F262" s="215"/>
      <c r="G262" s="213"/>
      <c r="H262" s="325"/>
      <c r="I262" s="213"/>
      <c r="J262" s="325"/>
      <c r="K262" s="213"/>
      <c r="L262" s="215"/>
      <c r="M262" s="213"/>
      <c r="N262" s="215"/>
      <c r="O262" s="213"/>
      <c r="P262" s="215"/>
      <c r="Q262" s="213"/>
      <c r="R262" s="949"/>
      <c r="S262" s="213"/>
      <c r="T262" s="215"/>
      <c r="U262" s="213"/>
      <c r="V262" s="215"/>
      <c r="W262" s="213"/>
      <c r="X262" s="325"/>
      <c r="Y262" s="213"/>
      <c r="Z262" s="215"/>
      <c r="AA262" s="213"/>
      <c r="AB262" s="215"/>
      <c r="AC262" s="213"/>
      <c r="AD262" s="215"/>
      <c r="AE262" s="213"/>
      <c r="AF262" s="215"/>
      <c r="AG262" s="213"/>
      <c r="AH262" s="215"/>
      <c r="AI262" s="213"/>
      <c r="AJ262" s="215"/>
      <c r="AK262" s="213"/>
      <c r="AL262" s="215"/>
      <c r="AM262" s="213"/>
      <c r="AN262" s="215"/>
      <c r="AO262" s="213"/>
      <c r="AP262" s="215"/>
      <c r="AQ262" s="213"/>
      <c r="AR262" s="215"/>
      <c r="AS262" s="213"/>
      <c r="AT262" s="215"/>
      <c r="AU262" s="213"/>
      <c r="AV262" s="215"/>
      <c r="AW262" s="213"/>
      <c r="AX262" s="213"/>
      <c r="AY262" s="213"/>
      <c r="AZ262" s="326"/>
      <c r="BA262" s="213"/>
      <c r="BB262" s="215"/>
      <c r="BC262" s="213"/>
      <c r="BD262" s="213"/>
      <c r="BE262" s="213"/>
      <c r="BF262" s="213"/>
      <c r="BG262" s="213"/>
      <c r="BH262" s="213"/>
      <c r="BI262" s="213"/>
      <c r="BJ262" s="213"/>
      <c r="BK262" s="213"/>
      <c r="BL262" s="213"/>
      <c r="BM262" s="213"/>
      <c r="BN262" s="213"/>
      <c r="BO262" s="213"/>
      <c r="BP262" s="213"/>
      <c r="BQ262" s="213"/>
      <c r="BR262" s="213"/>
      <c r="BS262" s="213"/>
      <c r="BT262" s="213"/>
      <c r="BU262" s="213"/>
      <c r="BV262" s="213"/>
      <c r="BW262" s="213"/>
    </row>
    <row r="263" ht="15.75" customHeight="1">
      <c r="A263" s="213"/>
      <c r="B263" s="213"/>
      <c r="C263" s="213"/>
      <c r="D263" s="213"/>
      <c r="E263" s="213"/>
      <c r="F263" s="215"/>
      <c r="G263" s="213"/>
      <c r="H263" s="325"/>
      <c r="I263" s="213"/>
      <c r="J263" s="325"/>
      <c r="K263" s="213"/>
      <c r="L263" s="215"/>
      <c r="M263" s="213"/>
      <c r="N263" s="215"/>
      <c r="O263" s="213"/>
      <c r="P263" s="215"/>
      <c r="Q263" s="213"/>
      <c r="R263" s="949"/>
      <c r="S263" s="213"/>
      <c r="T263" s="215"/>
      <c r="U263" s="213"/>
      <c r="V263" s="215"/>
      <c r="W263" s="213"/>
      <c r="X263" s="325"/>
      <c r="Y263" s="213"/>
      <c r="Z263" s="215"/>
      <c r="AA263" s="213"/>
      <c r="AB263" s="215"/>
      <c r="AC263" s="213"/>
      <c r="AD263" s="215"/>
      <c r="AE263" s="213"/>
      <c r="AF263" s="215"/>
      <c r="AG263" s="213"/>
      <c r="AH263" s="215"/>
      <c r="AI263" s="213"/>
      <c r="AJ263" s="215"/>
      <c r="AK263" s="213"/>
      <c r="AL263" s="215"/>
      <c r="AM263" s="213"/>
      <c r="AN263" s="215"/>
      <c r="AO263" s="213"/>
      <c r="AP263" s="215"/>
      <c r="AQ263" s="213"/>
      <c r="AR263" s="215"/>
      <c r="AS263" s="213"/>
      <c r="AT263" s="215"/>
      <c r="AU263" s="213"/>
      <c r="AV263" s="215"/>
      <c r="AW263" s="213"/>
      <c r="AX263" s="213"/>
      <c r="AY263" s="213"/>
      <c r="AZ263" s="326"/>
      <c r="BA263" s="213"/>
      <c r="BB263" s="215"/>
      <c r="BC263" s="213"/>
      <c r="BD263" s="213"/>
      <c r="BE263" s="213"/>
      <c r="BF263" s="213"/>
      <c r="BG263" s="213"/>
      <c r="BH263" s="213"/>
      <c r="BI263" s="213"/>
      <c r="BJ263" s="213"/>
      <c r="BK263" s="213"/>
      <c r="BL263" s="213"/>
      <c r="BM263" s="213"/>
      <c r="BN263" s="213"/>
      <c r="BO263" s="213"/>
      <c r="BP263" s="213"/>
      <c r="BQ263" s="213"/>
      <c r="BR263" s="213"/>
      <c r="BS263" s="213"/>
      <c r="BT263" s="213"/>
      <c r="BU263" s="213"/>
      <c r="BV263" s="213"/>
      <c r="BW263" s="213"/>
    </row>
    <row r="264" ht="15.75" customHeight="1">
      <c r="A264" s="213"/>
      <c r="B264" s="213"/>
      <c r="C264" s="213"/>
      <c r="D264" s="213"/>
      <c r="E264" s="213"/>
      <c r="F264" s="215"/>
      <c r="G264" s="213"/>
      <c r="H264" s="325"/>
      <c r="I264" s="213"/>
      <c r="J264" s="325"/>
      <c r="K264" s="213"/>
      <c r="L264" s="215"/>
      <c r="M264" s="213"/>
      <c r="N264" s="215"/>
      <c r="O264" s="213"/>
      <c r="P264" s="215"/>
      <c r="Q264" s="213"/>
      <c r="R264" s="949"/>
      <c r="S264" s="213"/>
      <c r="T264" s="215"/>
      <c r="U264" s="213"/>
      <c r="V264" s="215"/>
      <c r="W264" s="213"/>
      <c r="X264" s="325"/>
      <c r="Y264" s="213"/>
      <c r="Z264" s="215"/>
      <c r="AA264" s="213"/>
      <c r="AB264" s="215"/>
      <c r="AC264" s="213"/>
      <c r="AD264" s="215"/>
      <c r="AE264" s="213"/>
      <c r="AF264" s="215"/>
      <c r="AG264" s="213"/>
      <c r="AH264" s="215"/>
      <c r="AI264" s="213"/>
      <c r="AJ264" s="215"/>
      <c r="AK264" s="213"/>
      <c r="AL264" s="215"/>
      <c r="AM264" s="213"/>
      <c r="AN264" s="215"/>
      <c r="AO264" s="213"/>
      <c r="AP264" s="215"/>
      <c r="AQ264" s="213"/>
      <c r="AR264" s="215"/>
      <c r="AS264" s="213"/>
      <c r="AT264" s="215"/>
      <c r="AU264" s="213"/>
      <c r="AV264" s="215"/>
      <c r="AW264" s="213"/>
      <c r="AX264" s="213"/>
      <c r="AY264" s="213"/>
      <c r="AZ264" s="326"/>
      <c r="BA264" s="213"/>
      <c r="BB264" s="215"/>
      <c r="BC264" s="213"/>
      <c r="BD264" s="213"/>
      <c r="BE264" s="213"/>
      <c r="BF264" s="213"/>
      <c r="BG264" s="213"/>
      <c r="BH264" s="213"/>
      <c r="BI264" s="213"/>
      <c r="BJ264" s="213"/>
      <c r="BK264" s="213"/>
      <c r="BL264" s="213"/>
      <c r="BM264" s="213"/>
      <c r="BN264" s="213"/>
      <c r="BO264" s="213"/>
      <c r="BP264" s="213"/>
      <c r="BQ264" s="213"/>
      <c r="BR264" s="213"/>
      <c r="BS264" s="213"/>
      <c r="BT264" s="213"/>
      <c r="BU264" s="213"/>
      <c r="BV264" s="213"/>
      <c r="BW264" s="213"/>
    </row>
    <row r="265" ht="15.75" customHeight="1">
      <c r="A265" s="213"/>
      <c r="B265" s="213"/>
      <c r="C265" s="213"/>
      <c r="D265" s="213"/>
      <c r="E265" s="213"/>
      <c r="F265" s="215"/>
      <c r="G265" s="213"/>
      <c r="H265" s="325"/>
      <c r="I265" s="213"/>
      <c r="J265" s="325"/>
      <c r="K265" s="213"/>
      <c r="L265" s="215"/>
      <c r="M265" s="213"/>
      <c r="N265" s="215"/>
      <c r="O265" s="213"/>
      <c r="P265" s="215"/>
      <c r="Q265" s="213"/>
      <c r="R265" s="949"/>
      <c r="S265" s="213"/>
      <c r="T265" s="215"/>
      <c r="U265" s="213"/>
      <c r="V265" s="215"/>
      <c r="W265" s="213"/>
      <c r="X265" s="325"/>
      <c r="Y265" s="213"/>
      <c r="Z265" s="215"/>
      <c r="AA265" s="213"/>
      <c r="AB265" s="215"/>
      <c r="AC265" s="213"/>
      <c r="AD265" s="215"/>
      <c r="AE265" s="213"/>
      <c r="AF265" s="215"/>
      <c r="AG265" s="213"/>
      <c r="AH265" s="215"/>
      <c r="AI265" s="213"/>
      <c r="AJ265" s="215"/>
      <c r="AK265" s="213"/>
      <c r="AL265" s="215"/>
      <c r="AM265" s="213"/>
      <c r="AN265" s="215"/>
      <c r="AO265" s="213"/>
      <c r="AP265" s="215"/>
      <c r="AQ265" s="213"/>
      <c r="AR265" s="215"/>
      <c r="AS265" s="213"/>
      <c r="AT265" s="215"/>
      <c r="AU265" s="213"/>
      <c r="AV265" s="215"/>
      <c r="AW265" s="213"/>
      <c r="AX265" s="213"/>
      <c r="AY265" s="213"/>
      <c r="AZ265" s="326"/>
      <c r="BA265" s="213"/>
      <c r="BB265" s="215"/>
      <c r="BC265" s="213"/>
      <c r="BD265" s="213"/>
      <c r="BE265" s="213"/>
      <c r="BF265" s="213"/>
      <c r="BG265" s="213"/>
      <c r="BH265" s="213"/>
      <c r="BI265" s="213"/>
      <c r="BJ265" s="213"/>
      <c r="BK265" s="213"/>
      <c r="BL265" s="213"/>
      <c r="BM265" s="213"/>
      <c r="BN265" s="213"/>
      <c r="BO265" s="213"/>
      <c r="BP265" s="213"/>
      <c r="BQ265" s="213"/>
      <c r="BR265" s="213"/>
      <c r="BS265" s="213"/>
      <c r="BT265" s="213"/>
      <c r="BU265" s="213"/>
      <c r="BV265" s="213"/>
      <c r="BW265" s="213"/>
    </row>
    <row r="266" ht="15.75" customHeight="1">
      <c r="A266" s="213"/>
      <c r="B266" s="213"/>
      <c r="C266" s="213"/>
      <c r="D266" s="213"/>
      <c r="E266" s="213"/>
      <c r="F266" s="215"/>
      <c r="G266" s="213"/>
      <c r="H266" s="325"/>
      <c r="I266" s="213"/>
      <c r="J266" s="325"/>
      <c r="K266" s="213"/>
      <c r="L266" s="215"/>
      <c r="M266" s="213"/>
      <c r="N266" s="215"/>
      <c r="O266" s="213"/>
      <c r="P266" s="215"/>
      <c r="Q266" s="213"/>
      <c r="R266" s="949"/>
      <c r="S266" s="213"/>
      <c r="T266" s="215"/>
      <c r="U266" s="213"/>
      <c r="V266" s="215"/>
      <c r="W266" s="213"/>
      <c r="X266" s="325"/>
      <c r="Y266" s="213"/>
      <c r="Z266" s="215"/>
      <c r="AA266" s="213"/>
      <c r="AB266" s="215"/>
      <c r="AC266" s="213"/>
      <c r="AD266" s="215"/>
      <c r="AE266" s="213"/>
      <c r="AF266" s="215"/>
      <c r="AG266" s="213"/>
      <c r="AH266" s="215"/>
      <c r="AI266" s="213"/>
      <c r="AJ266" s="215"/>
      <c r="AK266" s="213"/>
      <c r="AL266" s="215"/>
      <c r="AM266" s="213"/>
      <c r="AN266" s="215"/>
      <c r="AO266" s="213"/>
      <c r="AP266" s="215"/>
      <c r="AQ266" s="213"/>
      <c r="AR266" s="215"/>
      <c r="AS266" s="213"/>
      <c r="AT266" s="215"/>
      <c r="AU266" s="213"/>
      <c r="AV266" s="215"/>
      <c r="AW266" s="213"/>
      <c r="AX266" s="213"/>
      <c r="AY266" s="213"/>
      <c r="AZ266" s="326"/>
      <c r="BA266" s="213"/>
      <c r="BB266" s="215"/>
      <c r="BC266" s="213"/>
      <c r="BD266" s="213"/>
      <c r="BE266" s="213"/>
      <c r="BF266" s="213"/>
      <c r="BG266" s="213"/>
      <c r="BH266" s="213"/>
      <c r="BI266" s="213"/>
      <c r="BJ266" s="213"/>
      <c r="BK266" s="213"/>
      <c r="BL266" s="213"/>
      <c r="BM266" s="213"/>
      <c r="BN266" s="213"/>
      <c r="BO266" s="213"/>
      <c r="BP266" s="213"/>
      <c r="BQ266" s="213"/>
      <c r="BR266" s="213"/>
      <c r="BS266" s="213"/>
      <c r="BT266" s="213"/>
      <c r="BU266" s="213"/>
      <c r="BV266" s="213"/>
      <c r="BW266" s="213"/>
    </row>
    <row r="267" ht="15.75" customHeight="1">
      <c r="A267" s="213"/>
      <c r="B267" s="213"/>
      <c r="C267" s="213"/>
      <c r="D267" s="213"/>
      <c r="E267" s="213"/>
      <c r="F267" s="215"/>
      <c r="G267" s="213"/>
      <c r="H267" s="325"/>
      <c r="I267" s="213"/>
      <c r="J267" s="325"/>
      <c r="K267" s="213"/>
      <c r="L267" s="215"/>
      <c r="M267" s="213"/>
      <c r="N267" s="215"/>
      <c r="O267" s="213"/>
      <c r="P267" s="215"/>
      <c r="Q267" s="213"/>
      <c r="R267" s="949"/>
      <c r="S267" s="213"/>
      <c r="T267" s="215"/>
      <c r="U267" s="213"/>
      <c r="V267" s="215"/>
      <c r="W267" s="213"/>
      <c r="X267" s="325"/>
      <c r="Y267" s="213"/>
      <c r="Z267" s="215"/>
      <c r="AA267" s="213"/>
      <c r="AB267" s="215"/>
      <c r="AC267" s="213"/>
      <c r="AD267" s="215"/>
      <c r="AE267" s="213"/>
      <c r="AF267" s="215"/>
      <c r="AG267" s="213"/>
      <c r="AH267" s="215"/>
      <c r="AI267" s="213"/>
      <c r="AJ267" s="215"/>
      <c r="AK267" s="213"/>
      <c r="AL267" s="215"/>
      <c r="AM267" s="213"/>
      <c r="AN267" s="215"/>
      <c r="AO267" s="213"/>
      <c r="AP267" s="215"/>
      <c r="AQ267" s="213"/>
      <c r="AR267" s="215"/>
      <c r="AS267" s="213"/>
      <c r="AT267" s="215"/>
      <c r="AU267" s="213"/>
      <c r="AV267" s="215"/>
      <c r="AW267" s="213"/>
      <c r="AX267" s="213"/>
      <c r="AY267" s="213"/>
      <c r="AZ267" s="326"/>
      <c r="BA267" s="213"/>
      <c r="BB267" s="215"/>
      <c r="BC267" s="213"/>
      <c r="BD267" s="213"/>
      <c r="BE267" s="213"/>
      <c r="BF267" s="213"/>
      <c r="BG267" s="213"/>
      <c r="BH267" s="213"/>
      <c r="BI267" s="213"/>
      <c r="BJ267" s="213"/>
      <c r="BK267" s="213"/>
      <c r="BL267" s="213"/>
      <c r="BM267" s="213"/>
      <c r="BN267" s="213"/>
      <c r="BO267" s="213"/>
      <c r="BP267" s="213"/>
      <c r="BQ267" s="213"/>
      <c r="BR267" s="213"/>
      <c r="BS267" s="213"/>
      <c r="BT267" s="213"/>
      <c r="BU267" s="213"/>
      <c r="BV267" s="213"/>
      <c r="BW267" s="213"/>
    </row>
    <row r="268" ht="15.75" customHeight="1">
      <c r="A268" s="213"/>
      <c r="B268" s="213"/>
      <c r="C268" s="213"/>
      <c r="D268" s="213"/>
      <c r="E268" s="213"/>
      <c r="F268" s="215"/>
      <c r="G268" s="213"/>
      <c r="H268" s="325"/>
      <c r="I268" s="213"/>
      <c r="J268" s="325"/>
      <c r="K268" s="213"/>
      <c r="L268" s="215"/>
      <c r="M268" s="213"/>
      <c r="N268" s="215"/>
      <c r="O268" s="213"/>
      <c r="P268" s="215"/>
      <c r="Q268" s="213"/>
      <c r="R268" s="949"/>
      <c r="S268" s="213"/>
      <c r="T268" s="215"/>
      <c r="U268" s="213"/>
      <c r="V268" s="215"/>
      <c r="W268" s="213"/>
      <c r="X268" s="325"/>
      <c r="Y268" s="213"/>
      <c r="Z268" s="215"/>
      <c r="AA268" s="213"/>
      <c r="AB268" s="215"/>
      <c r="AC268" s="213"/>
      <c r="AD268" s="215"/>
      <c r="AE268" s="213"/>
      <c r="AF268" s="215"/>
      <c r="AG268" s="213"/>
      <c r="AH268" s="215"/>
      <c r="AI268" s="213"/>
      <c r="AJ268" s="215"/>
      <c r="AK268" s="213"/>
      <c r="AL268" s="215"/>
      <c r="AM268" s="213"/>
      <c r="AN268" s="215"/>
      <c r="AO268" s="213"/>
      <c r="AP268" s="215"/>
      <c r="AQ268" s="213"/>
      <c r="AR268" s="215"/>
      <c r="AS268" s="213"/>
      <c r="AT268" s="215"/>
      <c r="AU268" s="213"/>
      <c r="AV268" s="215"/>
      <c r="AW268" s="213"/>
      <c r="AX268" s="213"/>
      <c r="AY268" s="213"/>
      <c r="AZ268" s="326"/>
      <c r="BA268" s="213"/>
      <c r="BB268" s="215"/>
      <c r="BC268" s="213"/>
      <c r="BD268" s="213"/>
      <c r="BE268" s="213"/>
      <c r="BF268" s="213"/>
      <c r="BG268" s="213"/>
      <c r="BH268" s="213"/>
      <c r="BI268" s="213"/>
      <c r="BJ268" s="213"/>
      <c r="BK268" s="213"/>
      <c r="BL268" s="213"/>
      <c r="BM268" s="213"/>
      <c r="BN268" s="213"/>
      <c r="BO268" s="213"/>
      <c r="BP268" s="213"/>
      <c r="BQ268" s="213"/>
      <c r="BR268" s="213"/>
      <c r="BS268" s="213"/>
      <c r="BT268" s="213"/>
      <c r="BU268" s="213"/>
      <c r="BV268" s="213"/>
      <c r="BW268" s="213"/>
    </row>
    <row r="269" ht="15.75" customHeight="1">
      <c r="A269" s="213"/>
      <c r="B269" s="213"/>
      <c r="C269" s="213"/>
      <c r="D269" s="213"/>
      <c r="E269" s="213"/>
      <c r="F269" s="215"/>
      <c r="G269" s="213"/>
      <c r="H269" s="325"/>
      <c r="I269" s="213"/>
      <c r="J269" s="325"/>
      <c r="K269" s="213"/>
      <c r="L269" s="215"/>
      <c r="M269" s="213"/>
      <c r="N269" s="215"/>
      <c r="O269" s="213"/>
      <c r="P269" s="215"/>
      <c r="Q269" s="213"/>
      <c r="R269" s="949"/>
      <c r="S269" s="213"/>
      <c r="T269" s="215"/>
      <c r="U269" s="213"/>
      <c r="V269" s="215"/>
      <c r="W269" s="213"/>
      <c r="X269" s="325"/>
      <c r="Y269" s="213"/>
      <c r="Z269" s="215"/>
      <c r="AA269" s="213"/>
      <c r="AB269" s="215"/>
      <c r="AC269" s="213"/>
      <c r="AD269" s="215"/>
      <c r="AE269" s="213"/>
      <c r="AF269" s="215"/>
      <c r="AG269" s="213"/>
      <c r="AH269" s="215"/>
      <c r="AI269" s="213"/>
      <c r="AJ269" s="215"/>
      <c r="AK269" s="213"/>
      <c r="AL269" s="215"/>
      <c r="AM269" s="213"/>
      <c r="AN269" s="215"/>
      <c r="AO269" s="213"/>
      <c r="AP269" s="215"/>
      <c r="AQ269" s="213"/>
      <c r="AR269" s="215"/>
      <c r="AS269" s="213"/>
      <c r="AT269" s="215"/>
      <c r="AU269" s="213"/>
      <c r="AV269" s="215"/>
      <c r="AW269" s="213"/>
      <c r="AX269" s="213"/>
      <c r="AY269" s="213"/>
      <c r="AZ269" s="326"/>
      <c r="BA269" s="213"/>
      <c r="BB269" s="215"/>
      <c r="BC269" s="213"/>
      <c r="BD269" s="213"/>
      <c r="BE269" s="213"/>
      <c r="BF269" s="213"/>
      <c r="BG269" s="213"/>
      <c r="BH269" s="213"/>
      <c r="BI269" s="213"/>
      <c r="BJ269" s="213"/>
      <c r="BK269" s="213"/>
      <c r="BL269" s="213"/>
      <c r="BM269" s="213"/>
      <c r="BN269" s="213"/>
      <c r="BO269" s="213"/>
      <c r="BP269" s="213"/>
      <c r="BQ269" s="213"/>
      <c r="BR269" s="213"/>
      <c r="BS269" s="213"/>
      <c r="BT269" s="213"/>
      <c r="BU269" s="213"/>
      <c r="BV269" s="213"/>
      <c r="BW269" s="213"/>
    </row>
    <row r="270" ht="15.75" customHeight="1">
      <c r="A270" s="213"/>
      <c r="B270" s="213"/>
      <c r="C270" s="213"/>
      <c r="D270" s="213"/>
      <c r="E270" s="213"/>
      <c r="F270" s="215"/>
      <c r="G270" s="213"/>
      <c r="H270" s="325"/>
      <c r="I270" s="213"/>
      <c r="J270" s="325"/>
      <c r="K270" s="213"/>
      <c r="L270" s="215"/>
      <c r="M270" s="213"/>
      <c r="N270" s="215"/>
      <c r="O270" s="213"/>
      <c r="P270" s="215"/>
      <c r="Q270" s="213"/>
      <c r="R270" s="949"/>
      <c r="S270" s="213"/>
      <c r="T270" s="215"/>
      <c r="U270" s="213"/>
      <c r="V270" s="215"/>
      <c r="W270" s="213"/>
      <c r="X270" s="325"/>
      <c r="Y270" s="213"/>
      <c r="Z270" s="215"/>
      <c r="AA270" s="213"/>
      <c r="AB270" s="215"/>
      <c r="AC270" s="213"/>
      <c r="AD270" s="215"/>
      <c r="AE270" s="213"/>
      <c r="AF270" s="215"/>
      <c r="AG270" s="213"/>
      <c r="AH270" s="215"/>
      <c r="AI270" s="213"/>
      <c r="AJ270" s="215"/>
      <c r="AK270" s="213"/>
      <c r="AL270" s="215"/>
      <c r="AM270" s="213"/>
      <c r="AN270" s="215"/>
      <c r="AO270" s="213"/>
      <c r="AP270" s="215"/>
      <c r="AQ270" s="213"/>
      <c r="AR270" s="215"/>
      <c r="AS270" s="213"/>
      <c r="AT270" s="215"/>
      <c r="AU270" s="213"/>
      <c r="AV270" s="215"/>
      <c r="AW270" s="213"/>
      <c r="AX270" s="213"/>
      <c r="AY270" s="213"/>
      <c r="AZ270" s="326"/>
      <c r="BA270" s="213"/>
      <c r="BB270" s="215"/>
      <c r="BC270" s="213"/>
      <c r="BD270" s="213"/>
      <c r="BE270" s="213"/>
      <c r="BF270" s="213"/>
      <c r="BG270" s="213"/>
      <c r="BH270" s="213"/>
      <c r="BI270" s="213"/>
      <c r="BJ270" s="213"/>
      <c r="BK270" s="213"/>
      <c r="BL270" s="213"/>
      <c r="BM270" s="213"/>
      <c r="BN270" s="213"/>
      <c r="BO270" s="213"/>
      <c r="BP270" s="213"/>
      <c r="BQ270" s="213"/>
      <c r="BR270" s="213"/>
      <c r="BS270" s="213"/>
      <c r="BT270" s="213"/>
      <c r="BU270" s="213"/>
      <c r="BV270" s="213"/>
      <c r="BW270" s="213"/>
    </row>
    <row r="271" ht="15.75" customHeight="1">
      <c r="A271" s="213"/>
      <c r="B271" s="213"/>
      <c r="C271" s="213"/>
      <c r="D271" s="213"/>
      <c r="E271" s="213"/>
      <c r="F271" s="215"/>
      <c r="G271" s="213"/>
      <c r="H271" s="325"/>
      <c r="I271" s="213"/>
      <c r="J271" s="325"/>
      <c r="K271" s="213"/>
      <c r="L271" s="215"/>
      <c r="M271" s="213"/>
      <c r="N271" s="215"/>
      <c r="O271" s="213"/>
      <c r="P271" s="215"/>
      <c r="Q271" s="213"/>
      <c r="R271" s="949"/>
      <c r="S271" s="213"/>
      <c r="T271" s="215"/>
      <c r="U271" s="213"/>
      <c r="V271" s="215"/>
      <c r="W271" s="213"/>
      <c r="X271" s="325"/>
      <c r="Y271" s="213"/>
      <c r="Z271" s="215"/>
      <c r="AA271" s="213"/>
      <c r="AB271" s="215"/>
      <c r="AC271" s="213"/>
      <c r="AD271" s="215"/>
      <c r="AE271" s="213"/>
      <c r="AF271" s="215"/>
      <c r="AG271" s="213"/>
      <c r="AH271" s="215"/>
      <c r="AI271" s="213"/>
      <c r="AJ271" s="215"/>
      <c r="AK271" s="213"/>
      <c r="AL271" s="215"/>
      <c r="AM271" s="213"/>
      <c r="AN271" s="215"/>
      <c r="AO271" s="213"/>
      <c r="AP271" s="215"/>
      <c r="AQ271" s="213"/>
      <c r="AR271" s="215"/>
      <c r="AS271" s="213"/>
      <c r="AT271" s="215"/>
      <c r="AU271" s="213"/>
      <c r="AV271" s="215"/>
      <c r="AW271" s="213"/>
      <c r="AX271" s="213"/>
      <c r="AY271" s="213"/>
      <c r="AZ271" s="326"/>
      <c r="BA271" s="213"/>
      <c r="BB271" s="215"/>
      <c r="BC271" s="213"/>
      <c r="BD271" s="213"/>
      <c r="BE271" s="213"/>
      <c r="BF271" s="213"/>
      <c r="BG271" s="213"/>
      <c r="BH271" s="213"/>
      <c r="BI271" s="213"/>
      <c r="BJ271" s="213"/>
      <c r="BK271" s="213"/>
      <c r="BL271" s="213"/>
      <c r="BM271" s="213"/>
      <c r="BN271" s="213"/>
      <c r="BO271" s="213"/>
      <c r="BP271" s="213"/>
      <c r="BQ271" s="213"/>
      <c r="BR271" s="213"/>
      <c r="BS271" s="213"/>
      <c r="BT271" s="213"/>
      <c r="BU271" s="213"/>
      <c r="BV271" s="213"/>
      <c r="BW271" s="213"/>
    </row>
    <row r="272" ht="15.75" customHeight="1">
      <c r="A272" s="213"/>
      <c r="B272" s="213"/>
      <c r="C272" s="213"/>
      <c r="D272" s="213"/>
      <c r="E272" s="213"/>
      <c r="F272" s="215"/>
      <c r="G272" s="213"/>
      <c r="H272" s="325"/>
      <c r="I272" s="213"/>
      <c r="J272" s="325"/>
      <c r="K272" s="213"/>
      <c r="L272" s="215"/>
      <c r="M272" s="213"/>
      <c r="N272" s="215"/>
      <c r="O272" s="213"/>
      <c r="P272" s="215"/>
      <c r="Q272" s="213"/>
      <c r="R272" s="949"/>
      <c r="S272" s="213"/>
      <c r="T272" s="215"/>
      <c r="U272" s="213"/>
      <c r="V272" s="215"/>
      <c r="W272" s="213"/>
      <c r="X272" s="325"/>
      <c r="Y272" s="213"/>
      <c r="Z272" s="215"/>
      <c r="AA272" s="213"/>
      <c r="AB272" s="215"/>
      <c r="AC272" s="213"/>
      <c r="AD272" s="215"/>
      <c r="AE272" s="213"/>
      <c r="AF272" s="215"/>
      <c r="AG272" s="213"/>
      <c r="AH272" s="215"/>
      <c r="AI272" s="213"/>
      <c r="AJ272" s="215"/>
      <c r="AK272" s="213"/>
      <c r="AL272" s="215"/>
      <c r="AM272" s="213"/>
      <c r="AN272" s="215"/>
      <c r="AO272" s="213"/>
      <c r="AP272" s="215"/>
      <c r="AQ272" s="213"/>
      <c r="AR272" s="215"/>
      <c r="AS272" s="213"/>
      <c r="AT272" s="215"/>
      <c r="AU272" s="213"/>
      <c r="AV272" s="215"/>
      <c r="AW272" s="213"/>
      <c r="AX272" s="213"/>
      <c r="AY272" s="213"/>
      <c r="AZ272" s="326"/>
      <c r="BA272" s="213"/>
      <c r="BB272" s="215"/>
      <c r="BC272" s="213"/>
      <c r="BD272" s="213"/>
      <c r="BE272" s="213"/>
      <c r="BF272" s="213"/>
      <c r="BG272" s="213"/>
      <c r="BH272" s="213"/>
      <c r="BI272" s="213"/>
      <c r="BJ272" s="213"/>
      <c r="BK272" s="213"/>
      <c r="BL272" s="213"/>
      <c r="BM272" s="213"/>
      <c r="BN272" s="213"/>
      <c r="BO272" s="213"/>
      <c r="BP272" s="213"/>
      <c r="BQ272" s="213"/>
      <c r="BR272" s="213"/>
      <c r="BS272" s="213"/>
      <c r="BT272" s="213"/>
      <c r="BU272" s="213"/>
      <c r="BV272" s="213"/>
      <c r="BW272" s="213"/>
    </row>
    <row r="273" ht="15.75" customHeight="1">
      <c r="A273" s="213"/>
      <c r="B273" s="213"/>
      <c r="C273" s="213"/>
      <c r="D273" s="213"/>
      <c r="E273" s="213"/>
      <c r="F273" s="215"/>
      <c r="G273" s="213"/>
      <c r="H273" s="325"/>
      <c r="I273" s="213"/>
      <c r="J273" s="325"/>
      <c r="K273" s="213"/>
      <c r="L273" s="215"/>
      <c r="M273" s="213"/>
      <c r="N273" s="215"/>
      <c r="O273" s="213"/>
      <c r="P273" s="215"/>
      <c r="Q273" s="213"/>
      <c r="R273" s="949"/>
      <c r="S273" s="213"/>
      <c r="T273" s="215"/>
      <c r="U273" s="213"/>
      <c r="V273" s="215"/>
      <c r="W273" s="213"/>
      <c r="X273" s="325"/>
      <c r="Y273" s="213"/>
      <c r="Z273" s="215"/>
      <c r="AA273" s="213"/>
      <c r="AB273" s="215"/>
      <c r="AC273" s="213"/>
      <c r="AD273" s="215"/>
      <c r="AE273" s="213"/>
      <c r="AF273" s="215"/>
      <c r="AG273" s="213"/>
      <c r="AH273" s="215"/>
      <c r="AI273" s="213"/>
      <c r="AJ273" s="215"/>
      <c r="AK273" s="213"/>
      <c r="AL273" s="215"/>
      <c r="AM273" s="213"/>
      <c r="AN273" s="215"/>
      <c r="AO273" s="213"/>
      <c r="AP273" s="215"/>
      <c r="AQ273" s="213"/>
      <c r="AR273" s="215"/>
      <c r="AS273" s="213"/>
      <c r="AT273" s="215"/>
      <c r="AU273" s="213"/>
      <c r="AV273" s="215"/>
      <c r="AW273" s="213"/>
      <c r="AX273" s="213"/>
      <c r="AY273" s="213"/>
      <c r="AZ273" s="326"/>
      <c r="BA273" s="213"/>
      <c r="BB273" s="215"/>
      <c r="BC273" s="213"/>
      <c r="BD273" s="213"/>
      <c r="BE273" s="213"/>
      <c r="BF273" s="213"/>
      <c r="BG273" s="213"/>
      <c r="BH273" s="213"/>
      <c r="BI273" s="213"/>
      <c r="BJ273" s="213"/>
      <c r="BK273" s="213"/>
      <c r="BL273" s="213"/>
      <c r="BM273" s="213"/>
      <c r="BN273" s="213"/>
      <c r="BO273" s="213"/>
      <c r="BP273" s="213"/>
      <c r="BQ273" s="213"/>
      <c r="BR273" s="213"/>
      <c r="BS273" s="213"/>
      <c r="BT273" s="213"/>
      <c r="BU273" s="213"/>
      <c r="BV273" s="213"/>
      <c r="BW273" s="213"/>
    </row>
    <row r="274" ht="15.75" customHeight="1">
      <c r="A274" s="213"/>
      <c r="B274" s="213"/>
      <c r="C274" s="213"/>
      <c r="D274" s="213"/>
      <c r="E274" s="213"/>
      <c r="F274" s="215"/>
      <c r="G274" s="213"/>
      <c r="H274" s="325"/>
      <c r="I274" s="213"/>
      <c r="J274" s="325"/>
      <c r="K274" s="213"/>
      <c r="L274" s="215"/>
      <c r="M274" s="213"/>
      <c r="N274" s="215"/>
      <c r="O274" s="213"/>
      <c r="P274" s="215"/>
      <c r="Q274" s="213"/>
      <c r="R274" s="949"/>
      <c r="S274" s="213"/>
      <c r="T274" s="215"/>
      <c r="U274" s="213"/>
      <c r="V274" s="215"/>
      <c r="W274" s="213"/>
      <c r="X274" s="325"/>
      <c r="Y274" s="213"/>
      <c r="Z274" s="215"/>
      <c r="AA274" s="213"/>
      <c r="AB274" s="215"/>
      <c r="AC274" s="213"/>
      <c r="AD274" s="215"/>
      <c r="AE274" s="213"/>
      <c r="AF274" s="215"/>
      <c r="AG274" s="213"/>
      <c r="AH274" s="215"/>
      <c r="AI274" s="213"/>
      <c r="AJ274" s="215"/>
      <c r="AK274" s="213"/>
      <c r="AL274" s="215"/>
      <c r="AM274" s="213"/>
      <c r="AN274" s="215"/>
      <c r="AO274" s="213"/>
      <c r="AP274" s="215"/>
      <c r="AQ274" s="213"/>
      <c r="AR274" s="215"/>
      <c r="AS274" s="213"/>
      <c r="AT274" s="215"/>
      <c r="AU274" s="213"/>
      <c r="AV274" s="215"/>
      <c r="AW274" s="213"/>
      <c r="AX274" s="213"/>
      <c r="AY274" s="213"/>
      <c r="AZ274" s="326"/>
      <c r="BA274" s="213"/>
      <c r="BB274" s="215"/>
      <c r="BC274" s="213"/>
      <c r="BD274" s="213"/>
      <c r="BE274" s="213"/>
      <c r="BF274" s="213"/>
      <c r="BG274" s="213"/>
      <c r="BH274" s="213"/>
      <c r="BI274" s="213"/>
      <c r="BJ274" s="213"/>
      <c r="BK274" s="213"/>
      <c r="BL274" s="213"/>
      <c r="BM274" s="213"/>
      <c r="BN274" s="213"/>
      <c r="BO274" s="213"/>
      <c r="BP274" s="213"/>
      <c r="BQ274" s="213"/>
      <c r="BR274" s="213"/>
      <c r="BS274" s="213"/>
      <c r="BT274" s="213"/>
      <c r="BU274" s="213"/>
      <c r="BV274" s="213"/>
      <c r="BW274" s="213"/>
    </row>
    <row r="275" ht="15.75" customHeight="1">
      <c r="A275" s="213"/>
      <c r="B275" s="213"/>
      <c r="C275" s="213"/>
      <c r="D275" s="213"/>
      <c r="E275" s="213"/>
      <c r="F275" s="215"/>
      <c r="G275" s="213"/>
      <c r="H275" s="325"/>
      <c r="I275" s="213"/>
      <c r="J275" s="325"/>
      <c r="K275" s="213"/>
      <c r="L275" s="215"/>
      <c r="M275" s="213"/>
      <c r="N275" s="215"/>
      <c r="O275" s="213"/>
      <c r="P275" s="215"/>
      <c r="Q275" s="213"/>
      <c r="R275" s="949"/>
      <c r="S275" s="213"/>
      <c r="T275" s="215"/>
      <c r="U275" s="213"/>
      <c r="V275" s="215"/>
      <c r="W275" s="213"/>
      <c r="X275" s="325"/>
      <c r="Y275" s="213"/>
      <c r="Z275" s="215"/>
      <c r="AA275" s="213"/>
      <c r="AB275" s="215"/>
      <c r="AC275" s="213"/>
      <c r="AD275" s="215"/>
      <c r="AE275" s="213"/>
      <c r="AF275" s="215"/>
      <c r="AG275" s="213"/>
      <c r="AH275" s="215"/>
      <c r="AI275" s="213"/>
      <c r="AJ275" s="215"/>
      <c r="AK275" s="213"/>
      <c r="AL275" s="215"/>
      <c r="AM275" s="213"/>
      <c r="AN275" s="215"/>
      <c r="AO275" s="213"/>
      <c r="AP275" s="215"/>
      <c r="AQ275" s="213"/>
      <c r="AR275" s="215"/>
      <c r="AS275" s="213"/>
      <c r="AT275" s="215"/>
      <c r="AU275" s="213"/>
      <c r="AV275" s="215"/>
      <c r="AW275" s="213"/>
      <c r="AX275" s="213"/>
      <c r="AY275" s="213"/>
      <c r="AZ275" s="326"/>
      <c r="BA275" s="213"/>
      <c r="BB275" s="215"/>
      <c r="BC275" s="213"/>
      <c r="BD275" s="213"/>
      <c r="BE275" s="213"/>
      <c r="BF275" s="213"/>
      <c r="BG275" s="213"/>
      <c r="BH275" s="213"/>
      <c r="BI275" s="213"/>
      <c r="BJ275" s="213"/>
      <c r="BK275" s="213"/>
      <c r="BL275" s="213"/>
      <c r="BM275" s="213"/>
      <c r="BN275" s="213"/>
      <c r="BO275" s="213"/>
      <c r="BP275" s="213"/>
      <c r="BQ275" s="213"/>
      <c r="BR275" s="213"/>
      <c r="BS275" s="213"/>
      <c r="BT275" s="213"/>
      <c r="BU275" s="213"/>
      <c r="BV275" s="213"/>
      <c r="BW275" s="213"/>
    </row>
    <row r="276" ht="15.75" customHeight="1">
      <c r="A276" s="213"/>
      <c r="B276" s="213"/>
      <c r="C276" s="213"/>
      <c r="D276" s="213"/>
      <c r="E276" s="213"/>
      <c r="F276" s="215"/>
      <c r="G276" s="213"/>
      <c r="H276" s="325"/>
      <c r="I276" s="213"/>
      <c r="J276" s="325"/>
      <c r="K276" s="213"/>
      <c r="L276" s="215"/>
      <c r="M276" s="213"/>
      <c r="N276" s="215"/>
      <c r="O276" s="213"/>
      <c r="P276" s="215"/>
      <c r="Q276" s="213"/>
      <c r="R276" s="949"/>
      <c r="S276" s="213"/>
      <c r="T276" s="215"/>
      <c r="U276" s="213"/>
      <c r="V276" s="215"/>
      <c r="W276" s="213"/>
      <c r="X276" s="325"/>
      <c r="Y276" s="213"/>
      <c r="Z276" s="215"/>
      <c r="AA276" s="213"/>
      <c r="AB276" s="215"/>
      <c r="AC276" s="213"/>
      <c r="AD276" s="215"/>
      <c r="AE276" s="213"/>
      <c r="AF276" s="215"/>
      <c r="AG276" s="213"/>
      <c r="AH276" s="215"/>
      <c r="AI276" s="213"/>
      <c r="AJ276" s="215"/>
      <c r="AK276" s="213"/>
      <c r="AL276" s="215"/>
      <c r="AM276" s="213"/>
      <c r="AN276" s="215"/>
      <c r="AO276" s="213"/>
      <c r="AP276" s="215"/>
      <c r="AQ276" s="213"/>
      <c r="AR276" s="215"/>
      <c r="AS276" s="213"/>
      <c r="AT276" s="215"/>
      <c r="AU276" s="213"/>
      <c r="AV276" s="215"/>
      <c r="AW276" s="213"/>
      <c r="AX276" s="213"/>
      <c r="AY276" s="213"/>
      <c r="AZ276" s="326"/>
      <c r="BA276" s="213"/>
      <c r="BB276" s="215"/>
      <c r="BC276" s="213"/>
      <c r="BD276" s="213"/>
      <c r="BE276" s="213"/>
      <c r="BF276" s="213"/>
      <c r="BG276" s="213"/>
      <c r="BH276" s="213"/>
      <c r="BI276" s="213"/>
      <c r="BJ276" s="213"/>
      <c r="BK276" s="213"/>
      <c r="BL276" s="213"/>
      <c r="BM276" s="213"/>
      <c r="BN276" s="213"/>
      <c r="BO276" s="213"/>
      <c r="BP276" s="213"/>
      <c r="BQ276" s="213"/>
      <c r="BR276" s="213"/>
      <c r="BS276" s="213"/>
      <c r="BT276" s="213"/>
      <c r="BU276" s="213"/>
      <c r="BV276" s="213"/>
      <c r="BW276" s="213"/>
    </row>
    <row r="277" ht="15.75" customHeight="1">
      <c r="A277" s="213"/>
      <c r="B277" s="213"/>
      <c r="C277" s="213"/>
      <c r="D277" s="213"/>
      <c r="E277" s="213"/>
      <c r="F277" s="215"/>
      <c r="G277" s="213"/>
      <c r="H277" s="325"/>
      <c r="I277" s="213"/>
      <c r="J277" s="325"/>
      <c r="K277" s="213"/>
      <c r="L277" s="215"/>
      <c r="M277" s="213"/>
      <c r="N277" s="215"/>
      <c r="O277" s="213"/>
      <c r="P277" s="215"/>
      <c r="Q277" s="213"/>
      <c r="R277" s="949"/>
      <c r="S277" s="213"/>
      <c r="T277" s="215"/>
      <c r="U277" s="213"/>
      <c r="V277" s="215"/>
      <c r="W277" s="213"/>
      <c r="X277" s="325"/>
      <c r="Y277" s="213"/>
      <c r="Z277" s="215"/>
      <c r="AA277" s="213"/>
      <c r="AB277" s="215"/>
      <c r="AC277" s="213"/>
      <c r="AD277" s="215"/>
      <c r="AE277" s="213"/>
      <c r="AF277" s="215"/>
      <c r="AG277" s="213"/>
      <c r="AH277" s="215"/>
      <c r="AI277" s="213"/>
      <c r="AJ277" s="215"/>
      <c r="AK277" s="213"/>
      <c r="AL277" s="215"/>
      <c r="AM277" s="213"/>
      <c r="AN277" s="215"/>
      <c r="AO277" s="213"/>
      <c r="AP277" s="215"/>
      <c r="AQ277" s="213"/>
      <c r="AR277" s="215"/>
      <c r="AS277" s="213"/>
      <c r="AT277" s="215"/>
      <c r="AU277" s="213"/>
      <c r="AV277" s="215"/>
      <c r="AW277" s="213"/>
      <c r="AX277" s="213"/>
      <c r="AY277" s="213"/>
      <c r="AZ277" s="326"/>
      <c r="BA277" s="213"/>
      <c r="BB277" s="215"/>
      <c r="BC277" s="213"/>
      <c r="BD277" s="213"/>
      <c r="BE277" s="213"/>
      <c r="BF277" s="213"/>
      <c r="BG277" s="213"/>
      <c r="BH277" s="213"/>
      <c r="BI277" s="213"/>
      <c r="BJ277" s="213"/>
      <c r="BK277" s="213"/>
      <c r="BL277" s="213"/>
      <c r="BM277" s="213"/>
      <c r="BN277" s="213"/>
      <c r="BO277" s="213"/>
      <c r="BP277" s="213"/>
      <c r="BQ277" s="213"/>
      <c r="BR277" s="213"/>
      <c r="BS277" s="213"/>
      <c r="BT277" s="213"/>
      <c r="BU277" s="213"/>
      <c r="BV277" s="213"/>
      <c r="BW277" s="213"/>
    </row>
    <row r="278" ht="15.75" customHeight="1">
      <c r="A278" s="213"/>
      <c r="B278" s="213"/>
      <c r="C278" s="213"/>
      <c r="D278" s="213"/>
      <c r="E278" s="213"/>
      <c r="F278" s="215"/>
      <c r="G278" s="213"/>
      <c r="H278" s="325"/>
      <c r="I278" s="213"/>
      <c r="J278" s="325"/>
      <c r="K278" s="213"/>
      <c r="L278" s="215"/>
      <c r="M278" s="213"/>
      <c r="N278" s="215"/>
      <c r="O278" s="213"/>
      <c r="P278" s="215"/>
      <c r="Q278" s="213"/>
      <c r="R278" s="949"/>
      <c r="S278" s="213"/>
      <c r="T278" s="215"/>
      <c r="U278" s="213"/>
      <c r="V278" s="215"/>
      <c r="W278" s="213"/>
      <c r="X278" s="325"/>
      <c r="Y278" s="213"/>
      <c r="Z278" s="215"/>
      <c r="AA278" s="213"/>
      <c r="AB278" s="215"/>
      <c r="AC278" s="213"/>
      <c r="AD278" s="215"/>
      <c r="AE278" s="213"/>
      <c r="AF278" s="215"/>
      <c r="AG278" s="213"/>
      <c r="AH278" s="215"/>
      <c r="AI278" s="213"/>
      <c r="AJ278" s="215"/>
      <c r="AK278" s="213"/>
      <c r="AL278" s="215"/>
      <c r="AM278" s="213"/>
      <c r="AN278" s="215"/>
      <c r="AO278" s="213"/>
      <c r="AP278" s="215"/>
      <c r="AQ278" s="213"/>
      <c r="AR278" s="215"/>
      <c r="AS278" s="213"/>
      <c r="AT278" s="215"/>
      <c r="AU278" s="213"/>
      <c r="AV278" s="215"/>
      <c r="AW278" s="213"/>
      <c r="AX278" s="213"/>
      <c r="AY278" s="213"/>
      <c r="AZ278" s="326"/>
      <c r="BA278" s="213"/>
      <c r="BB278" s="215"/>
      <c r="BC278" s="213"/>
      <c r="BD278" s="213"/>
      <c r="BE278" s="213"/>
      <c r="BF278" s="213"/>
      <c r="BG278" s="213"/>
      <c r="BH278" s="213"/>
      <c r="BI278" s="213"/>
      <c r="BJ278" s="213"/>
      <c r="BK278" s="213"/>
      <c r="BL278" s="213"/>
      <c r="BM278" s="213"/>
      <c r="BN278" s="213"/>
      <c r="BO278" s="213"/>
      <c r="BP278" s="213"/>
      <c r="BQ278" s="213"/>
      <c r="BR278" s="213"/>
      <c r="BS278" s="213"/>
      <c r="BT278" s="213"/>
      <c r="BU278" s="213"/>
      <c r="BV278" s="213"/>
      <c r="BW278" s="213"/>
    </row>
    <row r="279" ht="15.75" customHeight="1">
      <c r="A279" s="213"/>
      <c r="B279" s="213"/>
      <c r="C279" s="213"/>
      <c r="D279" s="213"/>
      <c r="E279" s="213"/>
      <c r="F279" s="215"/>
      <c r="G279" s="213"/>
      <c r="H279" s="325"/>
      <c r="I279" s="213"/>
      <c r="J279" s="325"/>
      <c r="K279" s="213"/>
      <c r="L279" s="215"/>
      <c r="M279" s="213"/>
      <c r="N279" s="215"/>
      <c r="O279" s="213"/>
      <c r="P279" s="215"/>
      <c r="Q279" s="213"/>
      <c r="R279" s="949"/>
      <c r="S279" s="213"/>
      <c r="T279" s="215"/>
      <c r="U279" s="213"/>
      <c r="V279" s="215"/>
      <c r="W279" s="213"/>
      <c r="X279" s="325"/>
      <c r="Y279" s="213"/>
      <c r="Z279" s="215"/>
      <c r="AA279" s="213"/>
      <c r="AB279" s="215"/>
      <c r="AC279" s="213"/>
      <c r="AD279" s="215"/>
      <c r="AE279" s="213"/>
      <c r="AF279" s="215"/>
      <c r="AG279" s="213"/>
      <c r="AH279" s="215"/>
      <c r="AI279" s="213"/>
      <c r="AJ279" s="215"/>
      <c r="AK279" s="213"/>
      <c r="AL279" s="215"/>
      <c r="AM279" s="213"/>
      <c r="AN279" s="215"/>
      <c r="AO279" s="213"/>
      <c r="AP279" s="215"/>
      <c r="AQ279" s="213"/>
      <c r="AR279" s="215"/>
      <c r="AS279" s="213"/>
      <c r="AT279" s="215"/>
      <c r="AU279" s="213"/>
      <c r="AV279" s="215"/>
      <c r="AW279" s="213"/>
      <c r="AX279" s="213"/>
      <c r="AY279" s="213"/>
      <c r="AZ279" s="326"/>
      <c r="BA279" s="213"/>
      <c r="BB279" s="215"/>
      <c r="BC279" s="213"/>
      <c r="BD279" s="213"/>
      <c r="BE279" s="213"/>
      <c r="BF279" s="213"/>
      <c r="BG279" s="213"/>
      <c r="BH279" s="213"/>
      <c r="BI279" s="213"/>
      <c r="BJ279" s="213"/>
      <c r="BK279" s="213"/>
      <c r="BL279" s="213"/>
      <c r="BM279" s="213"/>
      <c r="BN279" s="213"/>
      <c r="BO279" s="213"/>
      <c r="BP279" s="213"/>
      <c r="BQ279" s="213"/>
      <c r="BR279" s="213"/>
      <c r="BS279" s="213"/>
      <c r="BT279" s="213"/>
      <c r="BU279" s="213"/>
      <c r="BV279" s="213"/>
      <c r="BW279" s="213"/>
    </row>
    <row r="280" ht="15.75" customHeight="1">
      <c r="A280" s="213"/>
      <c r="B280" s="213"/>
      <c r="C280" s="213"/>
      <c r="D280" s="213"/>
      <c r="E280" s="213"/>
      <c r="F280" s="215"/>
      <c r="G280" s="213"/>
      <c r="H280" s="325"/>
      <c r="I280" s="213"/>
      <c r="J280" s="325"/>
      <c r="K280" s="213"/>
      <c r="L280" s="215"/>
      <c r="M280" s="213"/>
      <c r="N280" s="215"/>
      <c r="O280" s="213"/>
      <c r="P280" s="215"/>
      <c r="Q280" s="213"/>
      <c r="R280" s="949"/>
      <c r="S280" s="213"/>
      <c r="T280" s="215"/>
      <c r="U280" s="213"/>
      <c r="V280" s="215"/>
      <c r="W280" s="213"/>
      <c r="X280" s="325"/>
      <c r="Y280" s="213"/>
      <c r="Z280" s="215"/>
      <c r="AA280" s="213"/>
      <c r="AB280" s="215"/>
      <c r="AC280" s="213"/>
      <c r="AD280" s="215"/>
      <c r="AE280" s="213"/>
      <c r="AF280" s="215"/>
      <c r="AG280" s="213"/>
      <c r="AH280" s="215"/>
      <c r="AI280" s="213"/>
      <c r="AJ280" s="215"/>
      <c r="AK280" s="213"/>
      <c r="AL280" s="215"/>
      <c r="AM280" s="213"/>
      <c r="AN280" s="215"/>
      <c r="AO280" s="213"/>
      <c r="AP280" s="215"/>
      <c r="AQ280" s="213"/>
      <c r="AR280" s="215"/>
      <c r="AS280" s="213"/>
      <c r="AT280" s="215"/>
      <c r="AU280" s="213"/>
      <c r="AV280" s="215"/>
      <c r="AW280" s="213"/>
      <c r="AX280" s="213"/>
      <c r="AY280" s="213"/>
      <c r="AZ280" s="326"/>
      <c r="BA280" s="213"/>
      <c r="BB280" s="215"/>
      <c r="BC280" s="213"/>
      <c r="BD280" s="213"/>
      <c r="BE280" s="213"/>
      <c r="BF280" s="213"/>
      <c r="BG280" s="213"/>
      <c r="BH280" s="213"/>
      <c r="BI280" s="213"/>
      <c r="BJ280" s="213"/>
      <c r="BK280" s="213"/>
      <c r="BL280" s="213"/>
      <c r="BM280" s="213"/>
      <c r="BN280" s="213"/>
      <c r="BO280" s="213"/>
      <c r="BP280" s="213"/>
      <c r="BQ280" s="213"/>
      <c r="BR280" s="213"/>
      <c r="BS280" s="213"/>
      <c r="BT280" s="213"/>
      <c r="BU280" s="213"/>
      <c r="BV280" s="213"/>
      <c r="BW280" s="213"/>
    </row>
    <row r="281" ht="15.75" customHeight="1">
      <c r="A281" s="213"/>
      <c r="B281" s="213"/>
      <c r="C281" s="213"/>
      <c r="D281" s="213"/>
      <c r="E281" s="213"/>
      <c r="F281" s="215"/>
      <c r="G281" s="213"/>
      <c r="H281" s="325"/>
      <c r="I281" s="213"/>
      <c r="J281" s="325"/>
      <c r="K281" s="213"/>
      <c r="L281" s="215"/>
      <c r="M281" s="213"/>
      <c r="N281" s="215"/>
      <c r="O281" s="213"/>
      <c r="P281" s="215"/>
      <c r="Q281" s="213"/>
      <c r="R281" s="949"/>
      <c r="S281" s="213"/>
      <c r="T281" s="215"/>
      <c r="U281" s="213"/>
      <c r="V281" s="215"/>
      <c r="W281" s="213"/>
      <c r="X281" s="325"/>
      <c r="Y281" s="213"/>
      <c r="Z281" s="215"/>
      <c r="AA281" s="213"/>
      <c r="AB281" s="215"/>
      <c r="AC281" s="213"/>
      <c r="AD281" s="215"/>
      <c r="AE281" s="213"/>
      <c r="AF281" s="215"/>
      <c r="AG281" s="213"/>
      <c r="AH281" s="215"/>
      <c r="AI281" s="213"/>
      <c r="AJ281" s="215"/>
      <c r="AK281" s="213"/>
      <c r="AL281" s="215"/>
      <c r="AM281" s="213"/>
      <c r="AN281" s="215"/>
      <c r="AO281" s="213"/>
      <c r="AP281" s="215"/>
      <c r="AQ281" s="213"/>
      <c r="AR281" s="215"/>
      <c r="AS281" s="213"/>
      <c r="AT281" s="215"/>
      <c r="AU281" s="213"/>
      <c r="AV281" s="215"/>
      <c r="AW281" s="213"/>
      <c r="AX281" s="213"/>
      <c r="AY281" s="213"/>
      <c r="AZ281" s="326"/>
      <c r="BA281" s="213"/>
      <c r="BB281" s="215"/>
      <c r="BC281" s="213"/>
      <c r="BD281" s="213"/>
      <c r="BE281" s="213"/>
      <c r="BF281" s="213"/>
      <c r="BG281" s="213"/>
      <c r="BH281" s="213"/>
      <c r="BI281" s="213"/>
      <c r="BJ281" s="213"/>
      <c r="BK281" s="213"/>
      <c r="BL281" s="213"/>
      <c r="BM281" s="213"/>
      <c r="BN281" s="213"/>
      <c r="BO281" s="213"/>
      <c r="BP281" s="213"/>
      <c r="BQ281" s="213"/>
      <c r="BR281" s="213"/>
      <c r="BS281" s="213"/>
      <c r="BT281" s="213"/>
      <c r="BU281" s="213"/>
      <c r="BV281" s="213"/>
      <c r="BW281" s="213"/>
    </row>
    <row r="282" ht="15.75" customHeight="1">
      <c r="A282" s="213"/>
      <c r="B282" s="213"/>
      <c r="C282" s="213"/>
      <c r="D282" s="213"/>
      <c r="E282" s="213"/>
      <c r="F282" s="215"/>
      <c r="G282" s="213"/>
      <c r="H282" s="325"/>
      <c r="I282" s="213"/>
      <c r="J282" s="325"/>
      <c r="K282" s="213"/>
      <c r="L282" s="215"/>
      <c r="M282" s="213"/>
      <c r="N282" s="215"/>
      <c r="O282" s="213"/>
      <c r="P282" s="215"/>
      <c r="Q282" s="213"/>
      <c r="R282" s="949"/>
      <c r="S282" s="213"/>
      <c r="T282" s="215"/>
      <c r="U282" s="213"/>
      <c r="V282" s="215"/>
      <c r="W282" s="213"/>
      <c r="X282" s="325"/>
      <c r="Y282" s="213"/>
      <c r="Z282" s="215"/>
      <c r="AA282" s="213"/>
      <c r="AB282" s="215"/>
      <c r="AC282" s="213"/>
      <c r="AD282" s="215"/>
      <c r="AE282" s="213"/>
      <c r="AF282" s="215"/>
      <c r="AG282" s="213"/>
      <c r="AH282" s="215"/>
      <c r="AI282" s="213"/>
      <c r="AJ282" s="215"/>
      <c r="AK282" s="213"/>
      <c r="AL282" s="215"/>
      <c r="AM282" s="213"/>
      <c r="AN282" s="215"/>
      <c r="AO282" s="213"/>
      <c r="AP282" s="215"/>
      <c r="AQ282" s="213"/>
      <c r="AR282" s="215"/>
      <c r="AS282" s="213"/>
      <c r="AT282" s="215"/>
      <c r="AU282" s="213"/>
      <c r="AV282" s="215"/>
      <c r="AW282" s="213"/>
      <c r="AX282" s="213"/>
      <c r="AY282" s="213"/>
      <c r="AZ282" s="326"/>
      <c r="BA282" s="213"/>
      <c r="BB282" s="215"/>
      <c r="BC282" s="213"/>
      <c r="BD282" s="213"/>
      <c r="BE282" s="213"/>
      <c r="BF282" s="213"/>
      <c r="BG282" s="213"/>
      <c r="BH282" s="213"/>
      <c r="BI282" s="213"/>
      <c r="BJ282" s="213"/>
      <c r="BK282" s="213"/>
      <c r="BL282" s="213"/>
      <c r="BM282" s="213"/>
      <c r="BN282" s="213"/>
      <c r="BO282" s="213"/>
      <c r="BP282" s="213"/>
      <c r="BQ282" s="213"/>
      <c r="BR282" s="213"/>
      <c r="BS282" s="213"/>
      <c r="BT282" s="213"/>
      <c r="BU282" s="213"/>
      <c r="BV282" s="213"/>
      <c r="BW282" s="213"/>
    </row>
    <row r="283" ht="15.75" customHeight="1">
      <c r="A283" s="213"/>
      <c r="B283" s="213"/>
      <c r="C283" s="213"/>
      <c r="D283" s="213"/>
      <c r="E283" s="213"/>
      <c r="F283" s="215"/>
      <c r="G283" s="213"/>
      <c r="H283" s="325"/>
      <c r="I283" s="213"/>
      <c r="J283" s="325"/>
      <c r="K283" s="213"/>
      <c r="L283" s="215"/>
      <c r="M283" s="213"/>
      <c r="N283" s="215"/>
      <c r="O283" s="213"/>
      <c r="P283" s="215"/>
      <c r="Q283" s="213"/>
      <c r="R283" s="949"/>
      <c r="S283" s="213"/>
      <c r="T283" s="215"/>
      <c r="U283" s="213"/>
      <c r="V283" s="215"/>
      <c r="W283" s="213"/>
      <c r="X283" s="325"/>
      <c r="Y283" s="213"/>
      <c r="Z283" s="215"/>
      <c r="AA283" s="213"/>
      <c r="AB283" s="215"/>
      <c r="AC283" s="213"/>
      <c r="AD283" s="215"/>
      <c r="AE283" s="213"/>
      <c r="AF283" s="215"/>
      <c r="AG283" s="213"/>
      <c r="AH283" s="215"/>
      <c r="AI283" s="213"/>
      <c r="AJ283" s="215"/>
      <c r="AK283" s="213"/>
      <c r="AL283" s="215"/>
      <c r="AM283" s="213"/>
      <c r="AN283" s="215"/>
      <c r="AO283" s="213"/>
      <c r="AP283" s="215"/>
      <c r="AQ283" s="213"/>
      <c r="AR283" s="215"/>
      <c r="AS283" s="213"/>
      <c r="AT283" s="215"/>
      <c r="AU283" s="213"/>
      <c r="AV283" s="215"/>
      <c r="AW283" s="213"/>
      <c r="AX283" s="213"/>
      <c r="AY283" s="213"/>
      <c r="AZ283" s="326"/>
      <c r="BA283" s="213"/>
      <c r="BB283" s="215"/>
      <c r="BC283" s="213"/>
      <c r="BD283" s="213"/>
      <c r="BE283" s="213"/>
      <c r="BF283" s="213"/>
      <c r="BG283" s="213"/>
      <c r="BH283" s="213"/>
      <c r="BI283" s="213"/>
      <c r="BJ283" s="213"/>
      <c r="BK283" s="213"/>
      <c r="BL283" s="213"/>
      <c r="BM283" s="213"/>
      <c r="BN283" s="213"/>
      <c r="BO283" s="213"/>
      <c r="BP283" s="213"/>
      <c r="BQ283" s="213"/>
      <c r="BR283" s="213"/>
      <c r="BS283" s="213"/>
      <c r="BT283" s="213"/>
      <c r="BU283" s="213"/>
      <c r="BV283" s="213"/>
      <c r="BW283" s="213"/>
    </row>
    <row r="284" ht="15.75" customHeight="1">
      <c r="A284" s="213"/>
      <c r="B284" s="213"/>
      <c r="C284" s="213"/>
      <c r="D284" s="213"/>
      <c r="E284" s="213"/>
      <c r="F284" s="215"/>
      <c r="G284" s="213"/>
      <c r="H284" s="325"/>
      <c r="I284" s="213"/>
      <c r="J284" s="325"/>
      <c r="K284" s="213"/>
      <c r="L284" s="215"/>
      <c r="M284" s="213"/>
      <c r="N284" s="215"/>
      <c r="O284" s="213"/>
      <c r="P284" s="215"/>
      <c r="Q284" s="213"/>
      <c r="R284" s="949"/>
      <c r="S284" s="213"/>
      <c r="T284" s="215"/>
      <c r="U284" s="213"/>
      <c r="V284" s="215"/>
      <c r="W284" s="213"/>
      <c r="X284" s="325"/>
      <c r="Y284" s="213"/>
      <c r="Z284" s="215"/>
      <c r="AA284" s="213"/>
      <c r="AB284" s="215"/>
      <c r="AC284" s="213"/>
      <c r="AD284" s="215"/>
      <c r="AE284" s="213"/>
      <c r="AF284" s="215"/>
      <c r="AG284" s="213"/>
      <c r="AH284" s="215"/>
      <c r="AI284" s="213"/>
      <c r="AJ284" s="215"/>
      <c r="AK284" s="213"/>
      <c r="AL284" s="215"/>
      <c r="AM284" s="213"/>
      <c r="AN284" s="215"/>
      <c r="AO284" s="213"/>
      <c r="AP284" s="215"/>
      <c r="AQ284" s="213"/>
      <c r="AR284" s="215"/>
      <c r="AS284" s="213"/>
      <c r="AT284" s="215"/>
      <c r="AU284" s="213"/>
      <c r="AV284" s="215"/>
      <c r="AW284" s="213"/>
      <c r="AX284" s="213"/>
      <c r="AY284" s="213"/>
      <c r="AZ284" s="326"/>
      <c r="BA284" s="213"/>
      <c r="BB284" s="215"/>
      <c r="BC284" s="213"/>
      <c r="BD284" s="213"/>
      <c r="BE284" s="213"/>
      <c r="BF284" s="213"/>
      <c r="BG284" s="213"/>
      <c r="BH284" s="213"/>
      <c r="BI284" s="213"/>
      <c r="BJ284" s="213"/>
      <c r="BK284" s="213"/>
      <c r="BL284" s="213"/>
      <c r="BM284" s="213"/>
      <c r="BN284" s="213"/>
      <c r="BO284" s="213"/>
      <c r="BP284" s="213"/>
      <c r="BQ284" s="213"/>
      <c r="BR284" s="213"/>
      <c r="BS284" s="213"/>
      <c r="BT284" s="213"/>
      <c r="BU284" s="213"/>
      <c r="BV284" s="213"/>
      <c r="BW284" s="213"/>
    </row>
    <row r="285" ht="15.75" customHeight="1">
      <c r="A285" s="213"/>
      <c r="B285" s="213"/>
      <c r="C285" s="213"/>
      <c r="D285" s="213"/>
      <c r="E285" s="213"/>
      <c r="F285" s="215"/>
      <c r="G285" s="213"/>
      <c r="H285" s="325"/>
      <c r="I285" s="213"/>
      <c r="J285" s="325"/>
      <c r="K285" s="213"/>
      <c r="L285" s="215"/>
      <c r="M285" s="213"/>
      <c r="N285" s="215"/>
      <c r="O285" s="213"/>
      <c r="P285" s="215"/>
      <c r="Q285" s="213"/>
      <c r="R285" s="949"/>
      <c r="S285" s="213"/>
      <c r="T285" s="215"/>
      <c r="U285" s="213"/>
      <c r="V285" s="215"/>
      <c r="W285" s="213"/>
      <c r="X285" s="325"/>
      <c r="Y285" s="213"/>
      <c r="Z285" s="215"/>
      <c r="AA285" s="213"/>
      <c r="AB285" s="215"/>
      <c r="AC285" s="213"/>
      <c r="AD285" s="215"/>
      <c r="AE285" s="213"/>
      <c r="AF285" s="215"/>
      <c r="AG285" s="213"/>
      <c r="AH285" s="215"/>
      <c r="AI285" s="213"/>
      <c r="AJ285" s="215"/>
      <c r="AK285" s="213"/>
      <c r="AL285" s="215"/>
      <c r="AM285" s="213"/>
      <c r="AN285" s="215"/>
      <c r="AO285" s="213"/>
      <c r="AP285" s="215"/>
      <c r="AQ285" s="213"/>
      <c r="AR285" s="215"/>
      <c r="AS285" s="213"/>
      <c r="AT285" s="215"/>
      <c r="AU285" s="213"/>
      <c r="AV285" s="215"/>
      <c r="AW285" s="213"/>
      <c r="AX285" s="213"/>
      <c r="AY285" s="213"/>
      <c r="AZ285" s="326"/>
      <c r="BA285" s="213"/>
      <c r="BB285" s="215"/>
      <c r="BC285" s="213"/>
      <c r="BD285" s="213"/>
      <c r="BE285" s="213"/>
      <c r="BF285" s="213"/>
      <c r="BG285" s="213"/>
      <c r="BH285" s="213"/>
      <c r="BI285" s="213"/>
      <c r="BJ285" s="213"/>
      <c r="BK285" s="213"/>
      <c r="BL285" s="213"/>
      <c r="BM285" s="213"/>
      <c r="BN285" s="213"/>
      <c r="BO285" s="213"/>
      <c r="BP285" s="213"/>
      <c r="BQ285" s="213"/>
      <c r="BR285" s="213"/>
      <c r="BS285" s="213"/>
      <c r="BT285" s="213"/>
      <c r="BU285" s="213"/>
      <c r="BV285" s="213"/>
      <c r="BW285" s="213"/>
    </row>
    <row r="286" ht="15.75" customHeight="1">
      <c r="A286" s="213"/>
      <c r="B286" s="213"/>
      <c r="C286" s="213"/>
      <c r="D286" s="213"/>
      <c r="E286" s="213"/>
      <c r="F286" s="215"/>
      <c r="G286" s="213"/>
      <c r="H286" s="325"/>
      <c r="I286" s="213"/>
      <c r="J286" s="325"/>
      <c r="K286" s="213"/>
      <c r="L286" s="215"/>
      <c r="M286" s="213"/>
      <c r="N286" s="215"/>
      <c r="O286" s="213"/>
      <c r="P286" s="215"/>
      <c r="Q286" s="213"/>
      <c r="R286" s="949"/>
      <c r="S286" s="213"/>
      <c r="T286" s="215"/>
      <c r="U286" s="213"/>
      <c r="V286" s="215"/>
      <c r="W286" s="213"/>
      <c r="X286" s="325"/>
      <c r="Y286" s="213"/>
      <c r="Z286" s="215"/>
      <c r="AA286" s="213"/>
      <c r="AB286" s="215"/>
      <c r="AC286" s="213"/>
      <c r="AD286" s="215"/>
      <c r="AE286" s="213"/>
      <c r="AF286" s="215"/>
      <c r="AG286" s="213"/>
      <c r="AH286" s="215"/>
      <c r="AI286" s="213"/>
      <c r="AJ286" s="215"/>
      <c r="AK286" s="213"/>
      <c r="AL286" s="215"/>
      <c r="AM286" s="213"/>
      <c r="AN286" s="215"/>
      <c r="AO286" s="213"/>
      <c r="AP286" s="215"/>
      <c r="AQ286" s="213"/>
      <c r="AR286" s="215"/>
      <c r="AS286" s="213"/>
      <c r="AT286" s="215"/>
      <c r="AU286" s="213"/>
      <c r="AV286" s="215"/>
      <c r="AW286" s="213"/>
      <c r="AX286" s="213"/>
      <c r="AY286" s="213"/>
      <c r="AZ286" s="326"/>
      <c r="BA286" s="213"/>
      <c r="BB286" s="215"/>
      <c r="BC286" s="213"/>
      <c r="BD286" s="213"/>
      <c r="BE286" s="213"/>
      <c r="BF286" s="213"/>
      <c r="BG286" s="213"/>
      <c r="BH286" s="213"/>
      <c r="BI286" s="213"/>
      <c r="BJ286" s="213"/>
      <c r="BK286" s="213"/>
      <c r="BL286" s="213"/>
      <c r="BM286" s="213"/>
      <c r="BN286" s="213"/>
      <c r="BO286" s="213"/>
      <c r="BP286" s="213"/>
      <c r="BQ286" s="213"/>
      <c r="BR286" s="213"/>
      <c r="BS286" s="213"/>
      <c r="BT286" s="213"/>
      <c r="BU286" s="213"/>
      <c r="BV286" s="213"/>
      <c r="BW286" s="213"/>
    </row>
    <row r="287" ht="15.75" customHeight="1">
      <c r="A287" s="213"/>
      <c r="B287" s="213"/>
      <c r="C287" s="213"/>
      <c r="D287" s="213"/>
      <c r="E287" s="213"/>
      <c r="F287" s="215"/>
      <c r="G287" s="213"/>
      <c r="H287" s="325"/>
      <c r="I287" s="213"/>
      <c r="J287" s="325"/>
      <c r="K287" s="213"/>
      <c r="L287" s="215"/>
      <c r="M287" s="213"/>
      <c r="N287" s="215"/>
      <c r="O287" s="213"/>
      <c r="P287" s="215"/>
      <c r="Q287" s="213"/>
      <c r="R287" s="949"/>
      <c r="S287" s="213"/>
      <c r="T287" s="215"/>
      <c r="U287" s="213"/>
      <c r="V287" s="215"/>
      <c r="W287" s="213"/>
      <c r="X287" s="325"/>
      <c r="Y287" s="213"/>
      <c r="Z287" s="215"/>
      <c r="AA287" s="213"/>
      <c r="AB287" s="215"/>
      <c r="AC287" s="213"/>
      <c r="AD287" s="215"/>
      <c r="AE287" s="213"/>
      <c r="AF287" s="215"/>
      <c r="AG287" s="213"/>
      <c r="AH287" s="215"/>
      <c r="AI287" s="213"/>
      <c r="AJ287" s="215"/>
      <c r="AK287" s="213"/>
      <c r="AL287" s="215"/>
      <c r="AM287" s="213"/>
      <c r="AN287" s="215"/>
      <c r="AO287" s="213"/>
      <c r="AP287" s="215"/>
      <c r="AQ287" s="213"/>
      <c r="AR287" s="215"/>
      <c r="AS287" s="213"/>
      <c r="AT287" s="215"/>
      <c r="AU287" s="213"/>
      <c r="AV287" s="215"/>
      <c r="AW287" s="213"/>
      <c r="AX287" s="213"/>
      <c r="AY287" s="213"/>
      <c r="AZ287" s="326"/>
      <c r="BA287" s="213"/>
      <c r="BB287" s="215"/>
      <c r="BC287" s="213"/>
      <c r="BD287" s="213"/>
      <c r="BE287" s="213"/>
      <c r="BF287" s="213"/>
      <c r="BG287" s="213"/>
      <c r="BH287" s="213"/>
      <c r="BI287" s="213"/>
      <c r="BJ287" s="213"/>
      <c r="BK287" s="213"/>
      <c r="BL287" s="213"/>
      <c r="BM287" s="213"/>
      <c r="BN287" s="213"/>
      <c r="BO287" s="213"/>
      <c r="BP287" s="213"/>
      <c r="BQ287" s="213"/>
      <c r="BR287" s="213"/>
      <c r="BS287" s="213"/>
      <c r="BT287" s="213"/>
      <c r="BU287" s="213"/>
      <c r="BV287" s="213"/>
      <c r="BW287" s="213"/>
    </row>
    <row r="288" ht="15.75" customHeight="1">
      <c r="A288" s="213"/>
      <c r="B288" s="213"/>
      <c r="C288" s="213"/>
      <c r="D288" s="213"/>
      <c r="E288" s="213"/>
      <c r="F288" s="215"/>
      <c r="G288" s="213"/>
      <c r="H288" s="325"/>
      <c r="I288" s="213"/>
      <c r="J288" s="325"/>
      <c r="K288" s="213"/>
      <c r="L288" s="215"/>
      <c r="M288" s="213"/>
      <c r="N288" s="215"/>
      <c r="O288" s="213"/>
      <c r="P288" s="215"/>
      <c r="Q288" s="213"/>
      <c r="R288" s="949"/>
      <c r="S288" s="213"/>
      <c r="T288" s="215"/>
      <c r="U288" s="213"/>
      <c r="V288" s="215"/>
      <c r="W288" s="213"/>
      <c r="X288" s="325"/>
      <c r="Y288" s="213"/>
      <c r="Z288" s="215"/>
      <c r="AA288" s="213"/>
      <c r="AB288" s="215"/>
      <c r="AC288" s="213"/>
      <c r="AD288" s="215"/>
      <c r="AE288" s="213"/>
      <c r="AF288" s="215"/>
      <c r="AG288" s="213"/>
      <c r="AH288" s="215"/>
      <c r="AI288" s="213"/>
      <c r="AJ288" s="215"/>
      <c r="AK288" s="213"/>
      <c r="AL288" s="215"/>
      <c r="AM288" s="213"/>
      <c r="AN288" s="215"/>
      <c r="AO288" s="213"/>
      <c r="AP288" s="215"/>
      <c r="AQ288" s="213"/>
      <c r="AR288" s="215"/>
      <c r="AS288" s="213"/>
      <c r="AT288" s="215"/>
      <c r="AU288" s="213"/>
      <c r="AV288" s="215"/>
      <c r="AW288" s="213"/>
      <c r="AX288" s="213"/>
      <c r="AY288" s="213"/>
      <c r="AZ288" s="326"/>
      <c r="BA288" s="213"/>
      <c r="BB288" s="215"/>
      <c r="BC288" s="213"/>
      <c r="BD288" s="213"/>
      <c r="BE288" s="213"/>
      <c r="BF288" s="213"/>
      <c r="BG288" s="213"/>
      <c r="BH288" s="213"/>
      <c r="BI288" s="213"/>
      <c r="BJ288" s="213"/>
      <c r="BK288" s="213"/>
      <c r="BL288" s="213"/>
      <c r="BM288" s="213"/>
      <c r="BN288" s="213"/>
      <c r="BO288" s="213"/>
      <c r="BP288" s="213"/>
      <c r="BQ288" s="213"/>
      <c r="BR288" s="213"/>
      <c r="BS288" s="213"/>
      <c r="BT288" s="213"/>
      <c r="BU288" s="213"/>
      <c r="BV288" s="213"/>
      <c r="BW288" s="213"/>
    </row>
    <row r="289" ht="15.75" customHeight="1">
      <c r="A289" s="213"/>
      <c r="B289" s="213"/>
      <c r="C289" s="213"/>
      <c r="D289" s="213"/>
      <c r="E289" s="213"/>
      <c r="F289" s="215"/>
      <c r="G289" s="213"/>
      <c r="H289" s="325"/>
      <c r="I289" s="213"/>
      <c r="J289" s="325"/>
      <c r="K289" s="213"/>
      <c r="L289" s="215"/>
      <c r="M289" s="213"/>
      <c r="N289" s="215"/>
      <c r="O289" s="213"/>
      <c r="P289" s="215"/>
      <c r="Q289" s="213"/>
      <c r="R289" s="949"/>
      <c r="S289" s="213"/>
      <c r="T289" s="215"/>
      <c r="U289" s="213"/>
      <c r="V289" s="215"/>
      <c r="W289" s="213"/>
      <c r="X289" s="325"/>
      <c r="Y289" s="213"/>
      <c r="Z289" s="215"/>
      <c r="AA289" s="213"/>
      <c r="AB289" s="215"/>
      <c r="AC289" s="213"/>
      <c r="AD289" s="215"/>
      <c r="AE289" s="213"/>
      <c r="AF289" s="215"/>
      <c r="AG289" s="213"/>
      <c r="AH289" s="215"/>
      <c r="AI289" s="213"/>
      <c r="AJ289" s="215"/>
      <c r="AK289" s="213"/>
      <c r="AL289" s="215"/>
      <c r="AM289" s="213"/>
      <c r="AN289" s="215"/>
      <c r="AO289" s="213"/>
      <c r="AP289" s="215"/>
      <c r="AQ289" s="213"/>
      <c r="AR289" s="215"/>
      <c r="AS289" s="213"/>
      <c r="AT289" s="215"/>
      <c r="AU289" s="213"/>
      <c r="AV289" s="215"/>
      <c r="AW289" s="213"/>
      <c r="AX289" s="213"/>
      <c r="AY289" s="213"/>
      <c r="AZ289" s="326"/>
      <c r="BA289" s="213"/>
      <c r="BB289" s="215"/>
      <c r="BC289" s="213"/>
      <c r="BD289" s="213"/>
      <c r="BE289" s="213"/>
      <c r="BF289" s="213"/>
      <c r="BG289" s="213"/>
      <c r="BH289" s="213"/>
      <c r="BI289" s="213"/>
      <c r="BJ289" s="213"/>
      <c r="BK289" s="213"/>
      <c r="BL289" s="213"/>
      <c r="BM289" s="213"/>
      <c r="BN289" s="213"/>
      <c r="BO289" s="213"/>
      <c r="BP289" s="213"/>
      <c r="BQ289" s="213"/>
      <c r="BR289" s="213"/>
      <c r="BS289" s="213"/>
      <c r="BT289" s="213"/>
      <c r="BU289" s="213"/>
      <c r="BV289" s="213"/>
      <c r="BW289" s="213"/>
    </row>
    <row r="290" ht="15.75" customHeight="1">
      <c r="A290" s="213"/>
      <c r="B290" s="213"/>
      <c r="C290" s="213"/>
      <c r="D290" s="213"/>
      <c r="E290" s="213"/>
      <c r="F290" s="215"/>
      <c r="G290" s="213"/>
      <c r="H290" s="325"/>
      <c r="I290" s="213"/>
      <c r="J290" s="325"/>
      <c r="K290" s="213"/>
      <c r="L290" s="215"/>
      <c r="M290" s="213"/>
      <c r="N290" s="215"/>
      <c r="O290" s="213"/>
      <c r="P290" s="215"/>
      <c r="Q290" s="213"/>
      <c r="R290" s="949"/>
      <c r="S290" s="213"/>
      <c r="T290" s="215"/>
      <c r="U290" s="213"/>
      <c r="V290" s="215"/>
      <c r="W290" s="213"/>
      <c r="X290" s="325"/>
      <c r="Y290" s="213"/>
      <c r="Z290" s="215"/>
      <c r="AA290" s="213"/>
      <c r="AB290" s="215"/>
      <c r="AC290" s="213"/>
      <c r="AD290" s="215"/>
      <c r="AE290" s="213"/>
      <c r="AF290" s="215"/>
      <c r="AG290" s="213"/>
      <c r="AH290" s="215"/>
      <c r="AI290" s="213"/>
      <c r="AJ290" s="215"/>
      <c r="AK290" s="213"/>
      <c r="AL290" s="215"/>
      <c r="AM290" s="213"/>
      <c r="AN290" s="215"/>
      <c r="AO290" s="213"/>
      <c r="AP290" s="215"/>
      <c r="AQ290" s="213"/>
      <c r="AR290" s="215"/>
      <c r="AS290" s="213"/>
      <c r="AT290" s="215"/>
      <c r="AU290" s="213"/>
      <c r="AV290" s="215"/>
      <c r="AW290" s="213"/>
      <c r="AX290" s="213"/>
      <c r="AY290" s="213"/>
      <c r="AZ290" s="326"/>
      <c r="BA290" s="213"/>
      <c r="BB290" s="215"/>
      <c r="BC290" s="213"/>
      <c r="BD290" s="213"/>
      <c r="BE290" s="213"/>
      <c r="BF290" s="213"/>
      <c r="BG290" s="213"/>
      <c r="BH290" s="213"/>
      <c r="BI290" s="213"/>
      <c r="BJ290" s="213"/>
      <c r="BK290" s="213"/>
      <c r="BL290" s="213"/>
      <c r="BM290" s="213"/>
      <c r="BN290" s="213"/>
      <c r="BO290" s="213"/>
      <c r="BP290" s="213"/>
      <c r="BQ290" s="213"/>
      <c r="BR290" s="213"/>
      <c r="BS290" s="213"/>
      <c r="BT290" s="213"/>
      <c r="BU290" s="213"/>
      <c r="BV290" s="213"/>
      <c r="BW290" s="213"/>
    </row>
    <row r="291" ht="15.75" customHeight="1">
      <c r="A291" s="213"/>
      <c r="B291" s="213"/>
      <c r="C291" s="213"/>
      <c r="D291" s="213"/>
      <c r="E291" s="213"/>
      <c r="F291" s="215"/>
      <c r="G291" s="213"/>
      <c r="H291" s="325"/>
      <c r="I291" s="213"/>
      <c r="J291" s="325"/>
      <c r="K291" s="213"/>
      <c r="L291" s="215"/>
      <c r="M291" s="213"/>
      <c r="N291" s="215"/>
      <c r="O291" s="213"/>
      <c r="P291" s="215"/>
      <c r="Q291" s="213"/>
      <c r="R291" s="949"/>
      <c r="S291" s="213"/>
      <c r="T291" s="215"/>
      <c r="U291" s="213"/>
      <c r="V291" s="215"/>
      <c r="W291" s="213"/>
      <c r="X291" s="325"/>
      <c r="Y291" s="213"/>
      <c r="Z291" s="215"/>
      <c r="AA291" s="213"/>
      <c r="AB291" s="215"/>
      <c r="AC291" s="213"/>
      <c r="AD291" s="215"/>
      <c r="AE291" s="213"/>
      <c r="AF291" s="215"/>
      <c r="AG291" s="213"/>
      <c r="AH291" s="215"/>
      <c r="AI291" s="213"/>
      <c r="AJ291" s="215"/>
      <c r="AK291" s="213"/>
      <c r="AL291" s="215"/>
      <c r="AM291" s="213"/>
      <c r="AN291" s="215"/>
      <c r="AO291" s="213"/>
      <c r="AP291" s="215"/>
      <c r="AQ291" s="213"/>
      <c r="AR291" s="215"/>
      <c r="AS291" s="213"/>
      <c r="AT291" s="215"/>
      <c r="AU291" s="213"/>
      <c r="AV291" s="215"/>
      <c r="AW291" s="213"/>
      <c r="AX291" s="213"/>
      <c r="AY291" s="213"/>
      <c r="AZ291" s="326"/>
      <c r="BA291" s="213"/>
      <c r="BB291" s="215"/>
      <c r="BC291" s="213"/>
      <c r="BD291" s="213"/>
      <c r="BE291" s="213"/>
      <c r="BF291" s="213"/>
      <c r="BG291" s="213"/>
      <c r="BH291" s="213"/>
      <c r="BI291" s="213"/>
      <c r="BJ291" s="213"/>
      <c r="BK291" s="213"/>
      <c r="BL291" s="213"/>
      <c r="BM291" s="213"/>
      <c r="BN291" s="213"/>
      <c r="BO291" s="213"/>
      <c r="BP291" s="213"/>
      <c r="BQ291" s="213"/>
      <c r="BR291" s="213"/>
      <c r="BS291" s="213"/>
      <c r="BT291" s="213"/>
      <c r="BU291" s="213"/>
      <c r="BV291" s="213"/>
      <c r="BW291" s="213"/>
    </row>
    <row r="292" ht="15.75" customHeight="1">
      <c r="A292" s="213"/>
      <c r="B292" s="213"/>
      <c r="C292" s="213"/>
      <c r="D292" s="213"/>
      <c r="E292" s="213"/>
      <c r="F292" s="215"/>
      <c r="G292" s="213"/>
      <c r="H292" s="325"/>
      <c r="I292" s="213"/>
      <c r="J292" s="325"/>
      <c r="K292" s="213"/>
      <c r="L292" s="215"/>
      <c r="M292" s="213"/>
      <c r="N292" s="215"/>
      <c r="O292" s="213"/>
      <c r="P292" s="215"/>
      <c r="Q292" s="213"/>
      <c r="R292" s="949"/>
      <c r="S292" s="213"/>
      <c r="T292" s="215"/>
      <c r="U292" s="213"/>
      <c r="V292" s="215"/>
      <c r="W292" s="213"/>
      <c r="X292" s="325"/>
      <c r="Y292" s="213"/>
      <c r="Z292" s="215"/>
      <c r="AA292" s="213"/>
      <c r="AB292" s="215"/>
      <c r="AC292" s="213"/>
      <c r="AD292" s="215"/>
      <c r="AE292" s="213"/>
      <c r="AF292" s="215"/>
      <c r="AG292" s="213"/>
      <c r="AH292" s="215"/>
      <c r="AI292" s="213"/>
      <c r="AJ292" s="215"/>
      <c r="AK292" s="213"/>
      <c r="AL292" s="215"/>
      <c r="AM292" s="213"/>
      <c r="AN292" s="215"/>
      <c r="AO292" s="213"/>
      <c r="AP292" s="215"/>
      <c r="AQ292" s="213"/>
      <c r="AR292" s="215"/>
      <c r="AS292" s="213"/>
      <c r="AT292" s="215"/>
      <c r="AU292" s="213"/>
      <c r="AV292" s="215"/>
      <c r="AW292" s="213"/>
      <c r="AX292" s="213"/>
      <c r="AY292" s="213"/>
      <c r="AZ292" s="326"/>
      <c r="BA292" s="213"/>
      <c r="BB292" s="215"/>
      <c r="BC292" s="213"/>
      <c r="BD292" s="213"/>
      <c r="BE292" s="213"/>
      <c r="BF292" s="213"/>
      <c r="BG292" s="213"/>
      <c r="BH292" s="213"/>
      <c r="BI292" s="213"/>
      <c r="BJ292" s="213"/>
      <c r="BK292" s="213"/>
      <c r="BL292" s="213"/>
      <c r="BM292" s="213"/>
      <c r="BN292" s="213"/>
      <c r="BO292" s="213"/>
      <c r="BP292" s="213"/>
      <c r="BQ292" s="213"/>
      <c r="BR292" s="213"/>
      <c r="BS292" s="213"/>
      <c r="BT292" s="213"/>
      <c r="BU292" s="213"/>
      <c r="BV292" s="213"/>
      <c r="BW292" s="213"/>
    </row>
    <row r="293" ht="15.75" customHeight="1">
      <c r="A293" s="213"/>
      <c r="B293" s="213"/>
      <c r="C293" s="213"/>
      <c r="D293" s="213"/>
      <c r="E293" s="213"/>
      <c r="F293" s="215"/>
      <c r="G293" s="213"/>
      <c r="H293" s="325"/>
      <c r="I293" s="213"/>
      <c r="J293" s="325"/>
      <c r="K293" s="213"/>
      <c r="L293" s="215"/>
      <c r="M293" s="213"/>
      <c r="N293" s="215"/>
      <c r="O293" s="213"/>
      <c r="P293" s="215"/>
      <c r="Q293" s="213"/>
      <c r="R293" s="949"/>
      <c r="S293" s="213"/>
      <c r="T293" s="215"/>
      <c r="U293" s="213"/>
      <c r="V293" s="215"/>
      <c r="W293" s="213"/>
      <c r="X293" s="325"/>
      <c r="Y293" s="213"/>
      <c r="Z293" s="215"/>
      <c r="AA293" s="213"/>
      <c r="AB293" s="215"/>
      <c r="AC293" s="213"/>
      <c r="AD293" s="215"/>
      <c r="AE293" s="213"/>
      <c r="AF293" s="215"/>
      <c r="AG293" s="213"/>
      <c r="AH293" s="215"/>
      <c r="AI293" s="213"/>
      <c r="AJ293" s="215"/>
      <c r="AK293" s="213"/>
      <c r="AL293" s="215"/>
      <c r="AM293" s="213"/>
      <c r="AN293" s="215"/>
      <c r="AO293" s="213"/>
      <c r="AP293" s="215"/>
      <c r="AQ293" s="213"/>
      <c r="AR293" s="215"/>
      <c r="AS293" s="213"/>
      <c r="AT293" s="215"/>
      <c r="AU293" s="213"/>
      <c r="AV293" s="215"/>
      <c r="AW293" s="213"/>
      <c r="AX293" s="213"/>
      <c r="AY293" s="213"/>
      <c r="AZ293" s="326"/>
      <c r="BA293" s="213"/>
      <c r="BB293" s="215"/>
      <c r="BC293" s="213"/>
      <c r="BD293" s="213"/>
      <c r="BE293" s="213"/>
      <c r="BF293" s="213"/>
      <c r="BG293" s="213"/>
      <c r="BH293" s="213"/>
      <c r="BI293" s="213"/>
      <c r="BJ293" s="213"/>
      <c r="BK293" s="213"/>
      <c r="BL293" s="213"/>
      <c r="BM293" s="213"/>
      <c r="BN293" s="213"/>
      <c r="BO293" s="213"/>
      <c r="BP293" s="213"/>
      <c r="BQ293" s="213"/>
      <c r="BR293" s="213"/>
      <c r="BS293" s="213"/>
      <c r="BT293" s="213"/>
      <c r="BU293" s="213"/>
      <c r="BV293" s="213"/>
      <c r="BW293" s="213"/>
    </row>
    <row r="294" ht="15.75" customHeight="1">
      <c r="A294" s="213"/>
      <c r="B294" s="213"/>
      <c r="C294" s="213"/>
      <c r="D294" s="213"/>
      <c r="E294" s="213"/>
      <c r="F294" s="215"/>
      <c r="G294" s="213"/>
      <c r="H294" s="325"/>
      <c r="I294" s="213"/>
      <c r="J294" s="325"/>
      <c r="K294" s="213"/>
      <c r="L294" s="215"/>
      <c r="M294" s="213"/>
      <c r="N294" s="215"/>
      <c r="O294" s="213"/>
      <c r="P294" s="215"/>
      <c r="Q294" s="213"/>
      <c r="R294" s="949"/>
      <c r="S294" s="213"/>
      <c r="T294" s="215"/>
      <c r="U294" s="213"/>
      <c r="V294" s="215"/>
      <c r="W294" s="213"/>
      <c r="X294" s="325"/>
      <c r="Y294" s="213"/>
      <c r="Z294" s="215"/>
      <c r="AA294" s="213"/>
      <c r="AB294" s="215"/>
      <c r="AC294" s="213"/>
      <c r="AD294" s="215"/>
      <c r="AE294" s="213"/>
      <c r="AF294" s="215"/>
      <c r="AG294" s="213"/>
      <c r="AH294" s="215"/>
      <c r="AI294" s="213"/>
      <c r="AJ294" s="215"/>
      <c r="AK294" s="213"/>
      <c r="AL294" s="215"/>
      <c r="AM294" s="213"/>
      <c r="AN294" s="215"/>
      <c r="AO294" s="213"/>
      <c r="AP294" s="215"/>
      <c r="AQ294" s="213"/>
      <c r="AR294" s="215"/>
      <c r="AS294" s="213"/>
      <c r="AT294" s="215"/>
      <c r="AU294" s="213"/>
      <c r="AV294" s="215"/>
      <c r="AW294" s="213"/>
      <c r="AX294" s="213"/>
      <c r="AY294" s="213"/>
      <c r="AZ294" s="326"/>
      <c r="BA294" s="213"/>
      <c r="BB294" s="215"/>
      <c r="BC294" s="213"/>
      <c r="BD294" s="213"/>
      <c r="BE294" s="213"/>
      <c r="BF294" s="213"/>
      <c r="BG294" s="213"/>
      <c r="BH294" s="213"/>
      <c r="BI294" s="213"/>
      <c r="BJ294" s="213"/>
      <c r="BK294" s="213"/>
      <c r="BL294" s="213"/>
      <c r="BM294" s="213"/>
      <c r="BN294" s="213"/>
      <c r="BO294" s="213"/>
      <c r="BP294" s="213"/>
      <c r="BQ294" s="213"/>
      <c r="BR294" s="213"/>
      <c r="BS294" s="213"/>
      <c r="BT294" s="213"/>
      <c r="BU294" s="213"/>
      <c r="BV294" s="213"/>
      <c r="BW294" s="213"/>
    </row>
    <row r="295" ht="15.75" customHeight="1">
      <c r="A295" s="213"/>
      <c r="B295" s="213"/>
      <c r="C295" s="213"/>
      <c r="D295" s="213"/>
      <c r="E295" s="213"/>
      <c r="F295" s="215"/>
      <c r="G295" s="213"/>
      <c r="H295" s="325"/>
      <c r="I295" s="213"/>
      <c r="J295" s="325"/>
      <c r="K295" s="213"/>
      <c r="L295" s="215"/>
      <c r="M295" s="213"/>
      <c r="N295" s="215"/>
      <c r="O295" s="213"/>
      <c r="P295" s="215"/>
      <c r="Q295" s="213"/>
      <c r="R295" s="949"/>
      <c r="S295" s="213"/>
      <c r="T295" s="215"/>
      <c r="U295" s="213"/>
      <c r="V295" s="215"/>
      <c r="W295" s="213"/>
      <c r="X295" s="325"/>
      <c r="Y295" s="213"/>
      <c r="Z295" s="215"/>
      <c r="AA295" s="213"/>
      <c r="AB295" s="215"/>
      <c r="AC295" s="213"/>
      <c r="AD295" s="215"/>
      <c r="AE295" s="213"/>
      <c r="AF295" s="215"/>
      <c r="AG295" s="213"/>
      <c r="AH295" s="215"/>
      <c r="AI295" s="213"/>
      <c r="AJ295" s="215"/>
      <c r="AK295" s="213"/>
      <c r="AL295" s="215"/>
      <c r="AM295" s="213"/>
      <c r="AN295" s="215"/>
      <c r="AO295" s="213"/>
      <c r="AP295" s="215"/>
      <c r="AQ295" s="213"/>
      <c r="AR295" s="215"/>
      <c r="AS295" s="213"/>
      <c r="AT295" s="215"/>
      <c r="AU295" s="213"/>
      <c r="AV295" s="215"/>
      <c r="AW295" s="213"/>
      <c r="AX295" s="213"/>
      <c r="AY295" s="213"/>
      <c r="AZ295" s="326"/>
      <c r="BA295" s="213"/>
      <c r="BB295" s="215"/>
      <c r="BC295" s="213"/>
      <c r="BD295" s="213"/>
      <c r="BE295" s="213"/>
      <c r="BF295" s="213"/>
      <c r="BG295" s="213"/>
      <c r="BH295" s="213"/>
      <c r="BI295" s="213"/>
      <c r="BJ295" s="213"/>
      <c r="BK295" s="213"/>
      <c r="BL295" s="213"/>
      <c r="BM295" s="213"/>
      <c r="BN295" s="213"/>
      <c r="BO295" s="213"/>
      <c r="BP295" s="213"/>
      <c r="BQ295" s="213"/>
      <c r="BR295" s="213"/>
      <c r="BS295" s="213"/>
      <c r="BT295" s="213"/>
      <c r="BU295" s="213"/>
      <c r="BV295" s="213"/>
      <c r="BW295" s="213"/>
    </row>
    <row r="296" ht="15.75" customHeight="1">
      <c r="A296" s="213"/>
      <c r="B296" s="213"/>
      <c r="C296" s="213"/>
      <c r="D296" s="213"/>
      <c r="E296" s="213"/>
      <c r="F296" s="215"/>
      <c r="G296" s="213"/>
      <c r="H296" s="325"/>
      <c r="I296" s="213"/>
      <c r="J296" s="325"/>
      <c r="K296" s="213"/>
      <c r="L296" s="215"/>
      <c r="M296" s="213"/>
      <c r="N296" s="215"/>
      <c r="O296" s="213"/>
      <c r="P296" s="215"/>
      <c r="Q296" s="213"/>
      <c r="R296" s="949"/>
      <c r="S296" s="213"/>
      <c r="T296" s="215"/>
      <c r="U296" s="213"/>
      <c r="V296" s="215"/>
      <c r="W296" s="213"/>
      <c r="X296" s="325"/>
      <c r="Y296" s="213"/>
      <c r="Z296" s="215"/>
      <c r="AA296" s="213"/>
      <c r="AB296" s="215"/>
      <c r="AC296" s="213"/>
      <c r="AD296" s="215"/>
      <c r="AE296" s="213"/>
      <c r="AF296" s="215"/>
      <c r="AG296" s="213"/>
      <c r="AH296" s="215"/>
      <c r="AI296" s="213"/>
      <c r="AJ296" s="215"/>
      <c r="AK296" s="213"/>
      <c r="AL296" s="215"/>
      <c r="AM296" s="213"/>
      <c r="AN296" s="215"/>
      <c r="AO296" s="213"/>
      <c r="AP296" s="215"/>
      <c r="AQ296" s="213"/>
      <c r="AR296" s="215"/>
      <c r="AS296" s="213"/>
      <c r="AT296" s="215"/>
      <c r="AU296" s="213"/>
      <c r="AV296" s="215"/>
      <c r="AW296" s="213"/>
      <c r="AX296" s="213"/>
      <c r="AY296" s="213"/>
      <c r="AZ296" s="326"/>
      <c r="BA296" s="213"/>
      <c r="BB296" s="215"/>
      <c r="BC296" s="213"/>
      <c r="BD296" s="213"/>
      <c r="BE296" s="213"/>
      <c r="BF296" s="213"/>
      <c r="BG296" s="213"/>
      <c r="BH296" s="213"/>
      <c r="BI296" s="213"/>
      <c r="BJ296" s="213"/>
      <c r="BK296" s="213"/>
      <c r="BL296" s="213"/>
      <c r="BM296" s="213"/>
      <c r="BN296" s="213"/>
      <c r="BO296" s="213"/>
      <c r="BP296" s="213"/>
      <c r="BQ296" s="213"/>
      <c r="BR296" s="213"/>
      <c r="BS296" s="213"/>
      <c r="BT296" s="213"/>
      <c r="BU296" s="213"/>
      <c r="BV296" s="213"/>
      <c r="BW296" s="213"/>
    </row>
    <row r="297" ht="15.75" customHeight="1">
      <c r="A297" s="213"/>
      <c r="B297" s="213"/>
      <c r="C297" s="213"/>
      <c r="D297" s="213"/>
      <c r="E297" s="213"/>
      <c r="F297" s="215"/>
      <c r="G297" s="213"/>
      <c r="H297" s="325"/>
      <c r="I297" s="213"/>
      <c r="J297" s="325"/>
      <c r="K297" s="213"/>
      <c r="L297" s="215"/>
      <c r="M297" s="213"/>
      <c r="N297" s="215"/>
      <c r="O297" s="213"/>
      <c r="P297" s="215"/>
      <c r="Q297" s="213"/>
      <c r="R297" s="949"/>
      <c r="S297" s="213"/>
      <c r="T297" s="215"/>
      <c r="U297" s="213"/>
      <c r="V297" s="215"/>
      <c r="W297" s="213"/>
      <c r="X297" s="325"/>
      <c r="Y297" s="213"/>
      <c r="Z297" s="215"/>
      <c r="AA297" s="213"/>
      <c r="AB297" s="215"/>
      <c r="AC297" s="213"/>
      <c r="AD297" s="215"/>
      <c r="AE297" s="213"/>
      <c r="AF297" s="215"/>
      <c r="AG297" s="213"/>
      <c r="AH297" s="215"/>
      <c r="AI297" s="213"/>
      <c r="AJ297" s="215"/>
      <c r="AK297" s="213"/>
      <c r="AL297" s="215"/>
      <c r="AM297" s="213"/>
      <c r="AN297" s="215"/>
      <c r="AO297" s="213"/>
      <c r="AP297" s="215"/>
      <c r="AQ297" s="213"/>
      <c r="AR297" s="215"/>
      <c r="AS297" s="213"/>
      <c r="AT297" s="215"/>
      <c r="AU297" s="213"/>
      <c r="AV297" s="215"/>
      <c r="AW297" s="213"/>
      <c r="AX297" s="213"/>
      <c r="AY297" s="213"/>
      <c r="AZ297" s="326"/>
      <c r="BA297" s="213"/>
      <c r="BB297" s="215"/>
      <c r="BC297" s="213"/>
      <c r="BD297" s="213"/>
      <c r="BE297" s="213"/>
      <c r="BF297" s="213"/>
      <c r="BG297" s="213"/>
      <c r="BH297" s="213"/>
      <c r="BI297" s="213"/>
      <c r="BJ297" s="213"/>
      <c r="BK297" s="213"/>
      <c r="BL297" s="213"/>
      <c r="BM297" s="213"/>
      <c r="BN297" s="213"/>
      <c r="BO297" s="213"/>
      <c r="BP297" s="213"/>
      <c r="BQ297" s="213"/>
      <c r="BR297" s="213"/>
      <c r="BS297" s="213"/>
      <c r="BT297" s="213"/>
      <c r="BU297" s="213"/>
      <c r="BV297" s="213"/>
      <c r="BW297" s="213"/>
    </row>
    <row r="298" ht="15.75" customHeight="1">
      <c r="A298" s="213"/>
      <c r="B298" s="213"/>
      <c r="C298" s="213"/>
      <c r="D298" s="213"/>
      <c r="E298" s="213"/>
      <c r="F298" s="215"/>
      <c r="G298" s="213"/>
      <c r="H298" s="325"/>
      <c r="I298" s="213"/>
      <c r="J298" s="325"/>
      <c r="K298" s="213"/>
      <c r="L298" s="215"/>
      <c r="M298" s="213"/>
      <c r="N298" s="215"/>
      <c r="O298" s="213"/>
      <c r="P298" s="215"/>
      <c r="Q298" s="213"/>
      <c r="R298" s="949"/>
      <c r="S298" s="213"/>
      <c r="T298" s="215"/>
      <c r="U298" s="213"/>
      <c r="V298" s="215"/>
      <c r="W298" s="213"/>
      <c r="X298" s="325"/>
      <c r="Y298" s="213"/>
      <c r="Z298" s="215"/>
      <c r="AA298" s="213"/>
      <c r="AB298" s="215"/>
      <c r="AC298" s="213"/>
      <c r="AD298" s="215"/>
      <c r="AE298" s="213"/>
      <c r="AF298" s="215"/>
      <c r="AG298" s="213"/>
      <c r="AH298" s="215"/>
      <c r="AI298" s="213"/>
      <c r="AJ298" s="215"/>
      <c r="AK298" s="213"/>
      <c r="AL298" s="215"/>
      <c r="AM298" s="213"/>
      <c r="AN298" s="215"/>
      <c r="AO298" s="213"/>
      <c r="AP298" s="215"/>
      <c r="AQ298" s="213"/>
      <c r="AR298" s="215"/>
      <c r="AS298" s="213"/>
      <c r="AT298" s="215"/>
      <c r="AU298" s="213"/>
      <c r="AV298" s="215"/>
      <c r="AW298" s="213"/>
      <c r="AX298" s="213"/>
      <c r="AY298" s="213"/>
      <c r="AZ298" s="326"/>
      <c r="BA298" s="213"/>
      <c r="BB298" s="215"/>
      <c r="BC298" s="213"/>
      <c r="BD298" s="213"/>
      <c r="BE298" s="213"/>
      <c r="BF298" s="213"/>
      <c r="BG298" s="213"/>
      <c r="BH298" s="213"/>
      <c r="BI298" s="213"/>
      <c r="BJ298" s="213"/>
      <c r="BK298" s="213"/>
      <c r="BL298" s="213"/>
      <c r="BM298" s="213"/>
      <c r="BN298" s="213"/>
      <c r="BO298" s="213"/>
      <c r="BP298" s="213"/>
      <c r="BQ298" s="213"/>
      <c r="BR298" s="213"/>
      <c r="BS298" s="213"/>
      <c r="BT298" s="213"/>
      <c r="BU298" s="213"/>
      <c r="BV298" s="213"/>
      <c r="BW298" s="213"/>
    </row>
    <row r="299" ht="15.75" customHeight="1">
      <c r="A299" s="213"/>
      <c r="B299" s="213"/>
      <c r="C299" s="213"/>
      <c r="D299" s="213"/>
      <c r="E299" s="213"/>
      <c r="F299" s="215"/>
      <c r="G299" s="213"/>
      <c r="H299" s="325"/>
      <c r="I299" s="213"/>
      <c r="J299" s="325"/>
      <c r="K299" s="213"/>
      <c r="L299" s="215"/>
      <c r="M299" s="213"/>
      <c r="N299" s="215"/>
      <c r="O299" s="213"/>
      <c r="P299" s="215"/>
      <c r="Q299" s="213"/>
      <c r="R299" s="949"/>
      <c r="S299" s="213"/>
      <c r="T299" s="215"/>
      <c r="U299" s="213"/>
      <c r="V299" s="215"/>
      <c r="W299" s="213"/>
      <c r="X299" s="325"/>
      <c r="Y299" s="213"/>
      <c r="Z299" s="215"/>
      <c r="AA299" s="213"/>
      <c r="AB299" s="215"/>
      <c r="AC299" s="213"/>
      <c r="AD299" s="215"/>
      <c r="AE299" s="213"/>
      <c r="AF299" s="215"/>
      <c r="AG299" s="213"/>
      <c r="AH299" s="215"/>
      <c r="AI299" s="213"/>
      <c r="AJ299" s="215"/>
      <c r="AK299" s="213"/>
      <c r="AL299" s="215"/>
      <c r="AM299" s="213"/>
      <c r="AN299" s="215"/>
      <c r="AO299" s="213"/>
      <c r="AP299" s="215"/>
      <c r="AQ299" s="213"/>
      <c r="AR299" s="215"/>
      <c r="AS299" s="213"/>
      <c r="AT299" s="215"/>
      <c r="AU299" s="213"/>
      <c r="AV299" s="215"/>
      <c r="AW299" s="213"/>
      <c r="AX299" s="213"/>
      <c r="AY299" s="213"/>
      <c r="AZ299" s="326"/>
      <c r="BA299" s="213"/>
      <c r="BB299" s="215"/>
      <c r="BC299" s="213"/>
      <c r="BD299" s="213"/>
      <c r="BE299" s="213"/>
      <c r="BF299" s="213"/>
      <c r="BG299" s="213"/>
      <c r="BH299" s="213"/>
      <c r="BI299" s="213"/>
      <c r="BJ299" s="213"/>
      <c r="BK299" s="213"/>
      <c r="BL299" s="213"/>
      <c r="BM299" s="213"/>
      <c r="BN299" s="213"/>
      <c r="BO299" s="213"/>
      <c r="BP299" s="213"/>
      <c r="BQ299" s="213"/>
      <c r="BR299" s="213"/>
      <c r="BS299" s="213"/>
      <c r="BT299" s="213"/>
      <c r="BU299" s="213"/>
      <c r="BV299" s="213"/>
      <c r="BW299" s="213"/>
    </row>
    <row r="300" ht="15.75" customHeight="1">
      <c r="A300" s="213"/>
      <c r="B300" s="213"/>
      <c r="C300" s="213"/>
      <c r="D300" s="213"/>
      <c r="E300" s="213"/>
      <c r="F300" s="215"/>
      <c r="G300" s="213"/>
      <c r="H300" s="325"/>
      <c r="I300" s="213"/>
      <c r="J300" s="325"/>
      <c r="K300" s="213"/>
      <c r="L300" s="215"/>
      <c r="M300" s="213"/>
      <c r="N300" s="215"/>
      <c r="O300" s="213"/>
      <c r="P300" s="215"/>
      <c r="Q300" s="213"/>
      <c r="R300" s="949"/>
      <c r="S300" s="213"/>
      <c r="T300" s="215"/>
      <c r="U300" s="213"/>
      <c r="V300" s="215"/>
      <c r="W300" s="213"/>
      <c r="X300" s="325"/>
      <c r="Y300" s="213"/>
      <c r="Z300" s="215"/>
      <c r="AA300" s="213"/>
      <c r="AB300" s="215"/>
      <c r="AC300" s="213"/>
      <c r="AD300" s="215"/>
      <c r="AE300" s="213"/>
      <c r="AF300" s="215"/>
      <c r="AG300" s="213"/>
      <c r="AH300" s="215"/>
      <c r="AI300" s="213"/>
      <c r="AJ300" s="215"/>
      <c r="AK300" s="213"/>
      <c r="AL300" s="215"/>
      <c r="AM300" s="213"/>
      <c r="AN300" s="215"/>
      <c r="AO300" s="213"/>
      <c r="AP300" s="215"/>
      <c r="AQ300" s="213"/>
      <c r="AR300" s="215"/>
      <c r="AS300" s="213"/>
      <c r="AT300" s="215"/>
      <c r="AU300" s="213"/>
      <c r="AV300" s="215"/>
      <c r="AW300" s="213"/>
      <c r="AX300" s="213"/>
      <c r="AY300" s="213"/>
      <c r="AZ300" s="326"/>
      <c r="BA300" s="213"/>
      <c r="BB300" s="215"/>
      <c r="BC300" s="213"/>
      <c r="BD300" s="213"/>
      <c r="BE300" s="213"/>
      <c r="BF300" s="213"/>
      <c r="BG300" s="213"/>
      <c r="BH300" s="213"/>
      <c r="BI300" s="213"/>
      <c r="BJ300" s="213"/>
      <c r="BK300" s="213"/>
      <c r="BL300" s="213"/>
      <c r="BM300" s="213"/>
      <c r="BN300" s="213"/>
      <c r="BO300" s="213"/>
      <c r="BP300" s="213"/>
      <c r="BQ300" s="213"/>
      <c r="BR300" s="213"/>
      <c r="BS300" s="213"/>
      <c r="BT300" s="213"/>
      <c r="BU300" s="213"/>
      <c r="BV300" s="213"/>
      <c r="BW300" s="213"/>
    </row>
    <row r="301" ht="15.75" customHeight="1">
      <c r="A301" s="213"/>
      <c r="B301" s="213"/>
      <c r="C301" s="213"/>
      <c r="D301" s="213"/>
      <c r="E301" s="213"/>
      <c r="F301" s="215"/>
      <c r="G301" s="213"/>
      <c r="H301" s="325"/>
      <c r="I301" s="213"/>
      <c r="J301" s="325"/>
      <c r="K301" s="213"/>
      <c r="L301" s="215"/>
      <c r="M301" s="213"/>
      <c r="N301" s="215"/>
      <c r="O301" s="213"/>
      <c r="P301" s="215"/>
      <c r="Q301" s="213"/>
      <c r="R301" s="949"/>
      <c r="S301" s="213"/>
      <c r="T301" s="215"/>
      <c r="U301" s="213"/>
      <c r="V301" s="215"/>
      <c r="W301" s="213"/>
      <c r="X301" s="325"/>
      <c r="Y301" s="213"/>
      <c r="Z301" s="215"/>
      <c r="AA301" s="213"/>
      <c r="AB301" s="215"/>
      <c r="AC301" s="213"/>
      <c r="AD301" s="215"/>
      <c r="AE301" s="213"/>
      <c r="AF301" s="215"/>
      <c r="AG301" s="213"/>
      <c r="AH301" s="215"/>
      <c r="AI301" s="213"/>
      <c r="AJ301" s="215"/>
      <c r="AK301" s="213"/>
      <c r="AL301" s="215"/>
      <c r="AM301" s="213"/>
      <c r="AN301" s="215"/>
      <c r="AO301" s="213"/>
      <c r="AP301" s="215"/>
      <c r="AQ301" s="213"/>
      <c r="AR301" s="215"/>
      <c r="AS301" s="213"/>
      <c r="AT301" s="215"/>
      <c r="AU301" s="213"/>
      <c r="AV301" s="215"/>
      <c r="AW301" s="213"/>
      <c r="AX301" s="213"/>
      <c r="AY301" s="213"/>
      <c r="AZ301" s="326"/>
      <c r="BA301" s="213"/>
      <c r="BB301" s="215"/>
      <c r="BC301" s="213"/>
      <c r="BD301" s="213"/>
      <c r="BE301" s="213"/>
      <c r="BF301" s="213"/>
      <c r="BG301" s="213"/>
      <c r="BH301" s="213"/>
      <c r="BI301" s="213"/>
      <c r="BJ301" s="213"/>
      <c r="BK301" s="213"/>
      <c r="BL301" s="213"/>
      <c r="BM301" s="213"/>
      <c r="BN301" s="213"/>
      <c r="BO301" s="213"/>
      <c r="BP301" s="213"/>
      <c r="BQ301" s="213"/>
      <c r="BR301" s="213"/>
      <c r="BS301" s="213"/>
      <c r="BT301" s="213"/>
      <c r="BU301" s="213"/>
      <c r="BV301" s="213"/>
      <c r="BW301" s="213"/>
    </row>
    <row r="302" ht="15.75" customHeight="1">
      <c r="A302" s="213"/>
      <c r="B302" s="213"/>
      <c r="C302" s="213"/>
      <c r="D302" s="213"/>
      <c r="E302" s="213"/>
      <c r="F302" s="215"/>
      <c r="G302" s="213"/>
      <c r="H302" s="325"/>
      <c r="I302" s="213"/>
      <c r="J302" s="325"/>
      <c r="K302" s="213"/>
      <c r="L302" s="215"/>
      <c r="M302" s="213"/>
      <c r="N302" s="215"/>
      <c r="O302" s="213"/>
      <c r="P302" s="215"/>
      <c r="Q302" s="213"/>
      <c r="R302" s="949"/>
      <c r="S302" s="213"/>
      <c r="T302" s="215"/>
      <c r="U302" s="213"/>
      <c r="V302" s="215"/>
      <c r="W302" s="213"/>
      <c r="X302" s="325"/>
      <c r="Y302" s="213"/>
      <c r="Z302" s="215"/>
      <c r="AA302" s="213"/>
      <c r="AB302" s="215"/>
      <c r="AC302" s="213"/>
      <c r="AD302" s="215"/>
      <c r="AE302" s="213"/>
      <c r="AF302" s="215"/>
      <c r="AG302" s="213"/>
      <c r="AH302" s="215"/>
      <c r="AI302" s="213"/>
      <c r="AJ302" s="215"/>
      <c r="AK302" s="213"/>
      <c r="AL302" s="215"/>
      <c r="AM302" s="213"/>
      <c r="AN302" s="215"/>
      <c r="AO302" s="213"/>
      <c r="AP302" s="215"/>
      <c r="AQ302" s="213"/>
      <c r="AR302" s="215"/>
      <c r="AS302" s="213"/>
      <c r="AT302" s="215"/>
      <c r="AU302" s="213"/>
      <c r="AV302" s="215"/>
      <c r="AW302" s="213"/>
      <c r="AX302" s="213"/>
      <c r="AY302" s="213"/>
      <c r="AZ302" s="326"/>
      <c r="BA302" s="213"/>
      <c r="BB302" s="215"/>
      <c r="BC302" s="213"/>
      <c r="BD302" s="213"/>
      <c r="BE302" s="213"/>
      <c r="BF302" s="213"/>
      <c r="BG302" s="213"/>
      <c r="BH302" s="213"/>
      <c r="BI302" s="213"/>
      <c r="BJ302" s="213"/>
      <c r="BK302" s="213"/>
      <c r="BL302" s="213"/>
      <c r="BM302" s="213"/>
      <c r="BN302" s="213"/>
      <c r="BO302" s="213"/>
      <c r="BP302" s="213"/>
      <c r="BQ302" s="213"/>
      <c r="BR302" s="213"/>
      <c r="BS302" s="213"/>
      <c r="BT302" s="213"/>
      <c r="BU302" s="213"/>
      <c r="BV302" s="213"/>
      <c r="BW302" s="213"/>
    </row>
    <row r="303" ht="15.75" customHeight="1">
      <c r="A303" s="213"/>
      <c r="B303" s="213"/>
      <c r="C303" s="213"/>
      <c r="D303" s="213"/>
      <c r="E303" s="213"/>
      <c r="F303" s="215"/>
      <c r="G303" s="213"/>
      <c r="H303" s="325"/>
      <c r="I303" s="213"/>
      <c r="J303" s="325"/>
      <c r="K303" s="213"/>
      <c r="L303" s="215"/>
      <c r="M303" s="213"/>
      <c r="N303" s="215"/>
      <c r="O303" s="213"/>
      <c r="P303" s="215"/>
      <c r="Q303" s="213"/>
      <c r="R303" s="949"/>
      <c r="S303" s="213"/>
      <c r="T303" s="215"/>
      <c r="U303" s="213"/>
      <c r="V303" s="215"/>
      <c r="W303" s="213"/>
      <c r="X303" s="325"/>
      <c r="Y303" s="213"/>
      <c r="Z303" s="215"/>
      <c r="AA303" s="213"/>
      <c r="AB303" s="215"/>
      <c r="AC303" s="213"/>
      <c r="AD303" s="215"/>
      <c r="AE303" s="213"/>
      <c r="AF303" s="215"/>
      <c r="AG303" s="213"/>
      <c r="AH303" s="215"/>
      <c r="AI303" s="213"/>
      <c r="AJ303" s="215"/>
      <c r="AK303" s="213"/>
      <c r="AL303" s="215"/>
      <c r="AM303" s="213"/>
      <c r="AN303" s="215"/>
      <c r="AO303" s="213"/>
      <c r="AP303" s="215"/>
      <c r="AQ303" s="213"/>
      <c r="AR303" s="215"/>
      <c r="AS303" s="213"/>
      <c r="AT303" s="215"/>
      <c r="AU303" s="213"/>
      <c r="AV303" s="215"/>
      <c r="AW303" s="213"/>
      <c r="AX303" s="213"/>
      <c r="AY303" s="213"/>
      <c r="AZ303" s="326"/>
      <c r="BA303" s="213"/>
      <c r="BB303" s="215"/>
      <c r="BC303" s="213"/>
      <c r="BD303" s="213"/>
      <c r="BE303" s="213"/>
      <c r="BF303" s="213"/>
      <c r="BG303" s="213"/>
      <c r="BH303" s="213"/>
      <c r="BI303" s="213"/>
      <c r="BJ303" s="213"/>
      <c r="BK303" s="213"/>
      <c r="BL303" s="213"/>
      <c r="BM303" s="213"/>
      <c r="BN303" s="213"/>
      <c r="BO303" s="213"/>
      <c r="BP303" s="213"/>
      <c r="BQ303" s="213"/>
      <c r="BR303" s="213"/>
      <c r="BS303" s="213"/>
      <c r="BT303" s="213"/>
      <c r="BU303" s="213"/>
      <c r="BV303" s="213"/>
      <c r="BW303" s="213"/>
    </row>
    <row r="304" ht="15.75" customHeight="1">
      <c r="A304" s="213"/>
      <c r="B304" s="213"/>
      <c r="C304" s="213"/>
      <c r="D304" s="213"/>
      <c r="E304" s="213"/>
      <c r="F304" s="215"/>
      <c r="G304" s="213"/>
      <c r="H304" s="325"/>
      <c r="I304" s="213"/>
      <c r="J304" s="325"/>
      <c r="K304" s="213"/>
      <c r="L304" s="215"/>
      <c r="M304" s="213"/>
      <c r="N304" s="215"/>
      <c r="O304" s="213"/>
      <c r="P304" s="215"/>
      <c r="Q304" s="213"/>
      <c r="R304" s="949"/>
      <c r="S304" s="213"/>
      <c r="T304" s="215"/>
      <c r="U304" s="213"/>
      <c r="V304" s="215"/>
      <c r="W304" s="213"/>
      <c r="X304" s="325"/>
      <c r="Y304" s="213"/>
      <c r="Z304" s="215"/>
      <c r="AA304" s="213"/>
      <c r="AB304" s="215"/>
      <c r="AC304" s="213"/>
      <c r="AD304" s="215"/>
      <c r="AE304" s="213"/>
      <c r="AF304" s="215"/>
      <c r="AG304" s="213"/>
      <c r="AH304" s="215"/>
      <c r="AI304" s="213"/>
      <c r="AJ304" s="215"/>
      <c r="AK304" s="213"/>
      <c r="AL304" s="215"/>
      <c r="AM304" s="213"/>
      <c r="AN304" s="215"/>
      <c r="AO304" s="213"/>
      <c r="AP304" s="215"/>
      <c r="AQ304" s="213"/>
      <c r="AR304" s="215"/>
      <c r="AS304" s="213"/>
      <c r="AT304" s="215"/>
      <c r="AU304" s="213"/>
      <c r="AV304" s="215"/>
      <c r="AW304" s="213"/>
      <c r="AX304" s="213"/>
      <c r="AY304" s="213"/>
      <c r="AZ304" s="326"/>
      <c r="BA304" s="213"/>
      <c r="BB304" s="215"/>
      <c r="BC304" s="213"/>
      <c r="BD304" s="213"/>
      <c r="BE304" s="213"/>
      <c r="BF304" s="213"/>
      <c r="BG304" s="213"/>
      <c r="BH304" s="213"/>
      <c r="BI304" s="213"/>
      <c r="BJ304" s="213"/>
      <c r="BK304" s="213"/>
      <c r="BL304" s="213"/>
      <c r="BM304" s="213"/>
      <c r="BN304" s="213"/>
      <c r="BO304" s="213"/>
      <c r="BP304" s="213"/>
      <c r="BQ304" s="213"/>
      <c r="BR304" s="213"/>
      <c r="BS304" s="213"/>
      <c r="BT304" s="213"/>
      <c r="BU304" s="213"/>
      <c r="BV304" s="213"/>
      <c r="BW304" s="213"/>
    </row>
    <row r="305" ht="15.75" customHeight="1">
      <c r="A305" s="213"/>
      <c r="B305" s="213"/>
      <c r="C305" s="213"/>
      <c r="D305" s="213"/>
      <c r="E305" s="213"/>
      <c r="F305" s="215"/>
      <c r="G305" s="213"/>
      <c r="H305" s="325"/>
      <c r="I305" s="213"/>
      <c r="J305" s="325"/>
      <c r="K305" s="213"/>
      <c r="L305" s="215"/>
      <c r="M305" s="213"/>
      <c r="N305" s="215"/>
      <c r="O305" s="213"/>
      <c r="P305" s="215"/>
      <c r="Q305" s="213"/>
      <c r="R305" s="949"/>
      <c r="S305" s="213"/>
      <c r="T305" s="215"/>
      <c r="U305" s="213"/>
      <c r="V305" s="215"/>
      <c r="W305" s="213"/>
      <c r="X305" s="325"/>
      <c r="Y305" s="213"/>
      <c r="Z305" s="215"/>
      <c r="AA305" s="213"/>
      <c r="AB305" s="215"/>
      <c r="AC305" s="213"/>
      <c r="AD305" s="215"/>
      <c r="AE305" s="213"/>
      <c r="AF305" s="215"/>
      <c r="AG305" s="213"/>
      <c r="AH305" s="215"/>
      <c r="AI305" s="213"/>
      <c r="AJ305" s="215"/>
      <c r="AK305" s="213"/>
      <c r="AL305" s="215"/>
      <c r="AM305" s="213"/>
      <c r="AN305" s="215"/>
      <c r="AO305" s="213"/>
      <c r="AP305" s="215"/>
      <c r="AQ305" s="213"/>
      <c r="AR305" s="215"/>
      <c r="AS305" s="213"/>
      <c r="AT305" s="215"/>
      <c r="AU305" s="213"/>
      <c r="AV305" s="215"/>
      <c r="AW305" s="213"/>
      <c r="AX305" s="213"/>
      <c r="AY305" s="213"/>
      <c r="AZ305" s="326"/>
      <c r="BA305" s="213"/>
      <c r="BB305" s="215"/>
      <c r="BC305" s="213"/>
      <c r="BD305" s="213"/>
      <c r="BE305" s="213"/>
      <c r="BF305" s="213"/>
      <c r="BG305" s="213"/>
      <c r="BH305" s="213"/>
      <c r="BI305" s="213"/>
      <c r="BJ305" s="213"/>
      <c r="BK305" s="213"/>
      <c r="BL305" s="213"/>
      <c r="BM305" s="213"/>
      <c r="BN305" s="213"/>
      <c r="BO305" s="213"/>
      <c r="BP305" s="213"/>
      <c r="BQ305" s="213"/>
      <c r="BR305" s="213"/>
      <c r="BS305" s="213"/>
      <c r="BT305" s="213"/>
      <c r="BU305" s="213"/>
      <c r="BV305" s="213"/>
      <c r="BW305" s="213"/>
    </row>
    <row r="306" ht="15.75" customHeight="1">
      <c r="A306" s="213"/>
      <c r="B306" s="213"/>
      <c r="C306" s="213"/>
      <c r="D306" s="213"/>
      <c r="E306" s="213"/>
      <c r="F306" s="215"/>
      <c r="G306" s="213"/>
      <c r="H306" s="325"/>
      <c r="I306" s="213"/>
      <c r="J306" s="325"/>
      <c r="K306" s="213"/>
      <c r="L306" s="215"/>
      <c r="M306" s="213"/>
      <c r="N306" s="215"/>
      <c r="O306" s="213"/>
      <c r="P306" s="215"/>
      <c r="Q306" s="213"/>
      <c r="R306" s="949"/>
      <c r="S306" s="213"/>
      <c r="T306" s="215"/>
      <c r="U306" s="213"/>
      <c r="V306" s="215"/>
      <c r="W306" s="213"/>
      <c r="X306" s="325"/>
      <c r="Y306" s="213"/>
      <c r="Z306" s="215"/>
      <c r="AA306" s="213"/>
      <c r="AB306" s="215"/>
      <c r="AC306" s="213"/>
      <c r="AD306" s="215"/>
      <c r="AE306" s="213"/>
      <c r="AF306" s="215"/>
      <c r="AG306" s="213"/>
      <c r="AH306" s="215"/>
      <c r="AI306" s="213"/>
      <c r="AJ306" s="215"/>
      <c r="AK306" s="213"/>
      <c r="AL306" s="215"/>
      <c r="AM306" s="213"/>
      <c r="AN306" s="215"/>
      <c r="AO306" s="213"/>
      <c r="AP306" s="215"/>
      <c r="AQ306" s="213"/>
      <c r="AR306" s="215"/>
      <c r="AS306" s="213"/>
      <c r="AT306" s="215"/>
      <c r="AU306" s="213"/>
      <c r="AV306" s="215"/>
      <c r="AW306" s="213"/>
      <c r="AX306" s="213"/>
      <c r="AY306" s="213"/>
      <c r="AZ306" s="326"/>
      <c r="BA306" s="213"/>
      <c r="BB306" s="215"/>
      <c r="BC306" s="213"/>
      <c r="BD306" s="213"/>
      <c r="BE306" s="213"/>
      <c r="BF306" s="213"/>
      <c r="BG306" s="213"/>
      <c r="BH306" s="213"/>
      <c r="BI306" s="213"/>
      <c r="BJ306" s="213"/>
      <c r="BK306" s="213"/>
      <c r="BL306" s="213"/>
      <c r="BM306" s="213"/>
      <c r="BN306" s="213"/>
      <c r="BO306" s="213"/>
      <c r="BP306" s="213"/>
      <c r="BQ306" s="213"/>
      <c r="BR306" s="213"/>
      <c r="BS306" s="213"/>
      <c r="BT306" s="213"/>
      <c r="BU306" s="213"/>
      <c r="BV306" s="213"/>
      <c r="BW306" s="213"/>
    </row>
    <row r="307" ht="15.75" customHeight="1">
      <c r="A307" s="213"/>
      <c r="B307" s="213"/>
      <c r="C307" s="213"/>
      <c r="D307" s="213"/>
      <c r="E307" s="213"/>
      <c r="F307" s="215"/>
      <c r="G307" s="213"/>
      <c r="H307" s="325"/>
      <c r="I307" s="213"/>
      <c r="J307" s="325"/>
      <c r="K307" s="213"/>
      <c r="L307" s="215"/>
      <c r="M307" s="213"/>
      <c r="N307" s="215"/>
      <c r="O307" s="213"/>
      <c r="P307" s="215"/>
      <c r="Q307" s="213"/>
      <c r="R307" s="949"/>
      <c r="S307" s="213"/>
      <c r="T307" s="215"/>
      <c r="U307" s="213"/>
      <c r="V307" s="215"/>
      <c r="W307" s="213"/>
      <c r="X307" s="325"/>
      <c r="Y307" s="213"/>
      <c r="Z307" s="215"/>
      <c r="AA307" s="213"/>
      <c r="AB307" s="215"/>
      <c r="AC307" s="213"/>
      <c r="AD307" s="215"/>
      <c r="AE307" s="213"/>
      <c r="AF307" s="215"/>
      <c r="AG307" s="213"/>
      <c r="AH307" s="215"/>
      <c r="AI307" s="213"/>
      <c r="AJ307" s="215"/>
      <c r="AK307" s="213"/>
      <c r="AL307" s="215"/>
      <c r="AM307" s="213"/>
      <c r="AN307" s="215"/>
      <c r="AO307" s="213"/>
      <c r="AP307" s="215"/>
      <c r="AQ307" s="213"/>
      <c r="AR307" s="215"/>
      <c r="AS307" s="213"/>
      <c r="AT307" s="215"/>
      <c r="AU307" s="213"/>
      <c r="AV307" s="215"/>
      <c r="AW307" s="213"/>
      <c r="AX307" s="213"/>
      <c r="AY307" s="213"/>
      <c r="AZ307" s="326"/>
      <c r="BA307" s="213"/>
      <c r="BB307" s="215"/>
      <c r="BC307" s="213"/>
      <c r="BD307" s="213"/>
      <c r="BE307" s="213"/>
      <c r="BF307" s="213"/>
      <c r="BG307" s="213"/>
      <c r="BH307" s="213"/>
      <c r="BI307" s="213"/>
      <c r="BJ307" s="213"/>
      <c r="BK307" s="213"/>
      <c r="BL307" s="213"/>
      <c r="BM307" s="213"/>
      <c r="BN307" s="213"/>
      <c r="BO307" s="213"/>
      <c r="BP307" s="213"/>
      <c r="BQ307" s="213"/>
      <c r="BR307" s="213"/>
      <c r="BS307" s="213"/>
      <c r="BT307" s="213"/>
      <c r="BU307" s="213"/>
      <c r="BV307" s="213"/>
      <c r="BW307" s="213"/>
    </row>
    <row r="308" ht="15.75" customHeight="1">
      <c r="A308" s="213"/>
      <c r="B308" s="213"/>
      <c r="C308" s="213"/>
      <c r="D308" s="213"/>
      <c r="E308" s="213"/>
      <c r="F308" s="215"/>
      <c r="G308" s="213"/>
      <c r="H308" s="325"/>
      <c r="I308" s="213"/>
      <c r="J308" s="325"/>
      <c r="K308" s="213"/>
      <c r="L308" s="215"/>
      <c r="M308" s="213"/>
      <c r="N308" s="215"/>
      <c r="O308" s="213"/>
      <c r="P308" s="215"/>
      <c r="Q308" s="213"/>
      <c r="R308" s="949"/>
      <c r="S308" s="213"/>
      <c r="T308" s="215"/>
      <c r="U308" s="213"/>
      <c r="V308" s="215"/>
      <c r="W308" s="213"/>
      <c r="X308" s="325"/>
      <c r="Y308" s="213"/>
      <c r="Z308" s="215"/>
      <c r="AA308" s="213"/>
      <c r="AB308" s="215"/>
      <c r="AC308" s="213"/>
      <c r="AD308" s="215"/>
      <c r="AE308" s="213"/>
      <c r="AF308" s="215"/>
      <c r="AG308" s="213"/>
      <c r="AH308" s="215"/>
      <c r="AI308" s="213"/>
      <c r="AJ308" s="215"/>
      <c r="AK308" s="213"/>
      <c r="AL308" s="215"/>
      <c r="AM308" s="213"/>
      <c r="AN308" s="215"/>
      <c r="AO308" s="213"/>
      <c r="AP308" s="215"/>
      <c r="AQ308" s="213"/>
      <c r="AR308" s="215"/>
      <c r="AS308" s="213"/>
      <c r="AT308" s="215"/>
      <c r="AU308" s="213"/>
      <c r="AV308" s="215"/>
      <c r="AW308" s="213"/>
      <c r="AX308" s="213"/>
      <c r="AY308" s="213"/>
      <c r="AZ308" s="326"/>
      <c r="BA308" s="213"/>
      <c r="BB308" s="215"/>
      <c r="BC308" s="213"/>
      <c r="BD308" s="213"/>
      <c r="BE308" s="213"/>
      <c r="BF308" s="213"/>
      <c r="BG308" s="213"/>
      <c r="BH308" s="213"/>
      <c r="BI308" s="213"/>
      <c r="BJ308" s="213"/>
      <c r="BK308" s="213"/>
      <c r="BL308" s="213"/>
      <c r="BM308" s="213"/>
      <c r="BN308" s="213"/>
      <c r="BO308" s="213"/>
      <c r="BP308" s="213"/>
      <c r="BQ308" s="213"/>
      <c r="BR308" s="213"/>
      <c r="BS308" s="213"/>
      <c r="BT308" s="213"/>
      <c r="BU308" s="213"/>
      <c r="BV308" s="213"/>
      <c r="BW308" s="213"/>
    </row>
    <row r="309" ht="15.75" customHeight="1">
      <c r="A309" s="213"/>
      <c r="B309" s="213"/>
      <c r="C309" s="213"/>
      <c r="D309" s="213"/>
      <c r="E309" s="213"/>
      <c r="F309" s="215"/>
      <c r="G309" s="213"/>
      <c r="H309" s="325"/>
      <c r="I309" s="213"/>
      <c r="J309" s="325"/>
      <c r="K309" s="213"/>
      <c r="L309" s="215"/>
      <c r="M309" s="213"/>
      <c r="N309" s="215"/>
      <c r="O309" s="213"/>
      <c r="P309" s="215"/>
      <c r="Q309" s="213"/>
      <c r="R309" s="949"/>
      <c r="S309" s="213"/>
      <c r="T309" s="215"/>
      <c r="U309" s="213"/>
      <c r="V309" s="215"/>
      <c r="W309" s="213"/>
      <c r="X309" s="325"/>
      <c r="Y309" s="213"/>
      <c r="Z309" s="215"/>
      <c r="AA309" s="213"/>
      <c r="AB309" s="215"/>
      <c r="AC309" s="213"/>
      <c r="AD309" s="215"/>
      <c r="AE309" s="213"/>
      <c r="AF309" s="215"/>
      <c r="AG309" s="213"/>
      <c r="AH309" s="215"/>
      <c r="AI309" s="213"/>
      <c r="AJ309" s="215"/>
      <c r="AK309" s="213"/>
      <c r="AL309" s="215"/>
      <c r="AM309" s="213"/>
      <c r="AN309" s="215"/>
      <c r="AO309" s="213"/>
      <c r="AP309" s="215"/>
      <c r="AQ309" s="213"/>
      <c r="AR309" s="215"/>
      <c r="AS309" s="213"/>
      <c r="AT309" s="215"/>
      <c r="AU309" s="213"/>
      <c r="AV309" s="215"/>
      <c r="AW309" s="213"/>
      <c r="AX309" s="213"/>
      <c r="AY309" s="213"/>
      <c r="AZ309" s="326"/>
      <c r="BA309" s="213"/>
      <c r="BB309" s="215"/>
      <c r="BC309" s="213"/>
      <c r="BD309" s="213"/>
      <c r="BE309" s="213"/>
      <c r="BF309" s="213"/>
      <c r="BG309" s="213"/>
      <c r="BH309" s="213"/>
      <c r="BI309" s="213"/>
      <c r="BJ309" s="213"/>
      <c r="BK309" s="213"/>
      <c r="BL309" s="213"/>
      <c r="BM309" s="213"/>
      <c r="BN309" s="213"/>
      <c r="BO309" s="213"/>
      <c r="BP309" s="213"/>
      <c r="BQ309" s="213"/>
      <c r="BR309" s="213"/>
      <c r="BS309" s="213"/>
      <c r="BT309" s="213"/>
      <c r="BU309" s="213"/>
      <c r="BV309" s="213"/>
      <c r="BW309" s="213"/>
    </row>
    <row r="310" ht="15.75" customHeight="1">
      <c r="A310" s="213"/>
      <c r="B310" s="213"/>
      <c r="C310" s="213"/>
      <c r="D310" s="213"/>
      <c r="E310" s="213"/>
      <c r="F310" s="215"/>
      <c r="G310" s="213"/>
      <c r="H310" s="325"/>
      <c r="I310" s="213"/>
      <c r="J310" s="325"/>
      <c r="K310" s="213"/>
      <c r="L310" s="215"/>
      <c r="M310" s="213"/>
      <c r="N310" s="215"/>
      <c r="O310" s="213"/>
      <c r="P310" s="215"/>
      <c r="Q310" s="213"/>
      <c r="R310" s="949"/>
      <c r="S310" s="213"/>
      <c r="T310" s="215"/>
      <c r="U310" s="213"/>
      <c r="V310" s="215"/>
      <c r="W310" s="213"/>
      <c r="X310" s="325"/>
      <c r="Y310" s="213"/>
      <c r="Z310" s="215"/>
      <c r="AA310" s="213"/>
      <c r="AB310" s="215"/>
      <c r="AC310" s="213"/>
      <c r="AD310" s="215"/>
      <c r="AE310" s="213"/>
      <c r="AF310" s="215"/>
      <c r="AG310" s="213"/>
      <c r="AH310" s="215"/>
      <c r="AI310" s="213"/>
      <c r="AJ310" s="215"/>
      <c r="AK310" s="213"/>
      <c r="AL310" s="215"/>
      <c r="AM310" s="213"/>
      <c r="AN310" s="215"/>
      <c r="AO310" s="213"/>
      <c r="AP310" s="215"/>
      <c r="AQ310" s="213"/>
      <c r="AR310" s="215"/>
      <c r="AS310" s="213"/>
      <c r="AT310" s="215"/>
      <c r="AU310" s="213"/>
      <c r="AV310" s="215"/>
      <c r="AW310" s="213"/>
      <c r="AX310" s="213"/>
      <c r="AY310" s="213"/>
      <c r="AZ310" s="326"/>
      <c r="BA310" s="213"/>
      <c r="BB310" s="215"/>
      <c r="BC310" s="213"/>
      <c r="BD310" s="213"/>
      <c r="BE310" s="213"/>
      <c r="BF310" s="213"/>
      <c r="BG310" s="213"/>
      <c r="BH310" s="213"/>
      <c r="BI310" s="213"/>
      <c r="BJ310" s="213"/>
      <c r="BK310" s="213"/>
      <c r="BL310" s="213"/>
      <c r="BM310" s="213"/>
      <c r="BN310" s="213"/>
      <c r="BO310" s="213"/>
      <c r="BP310" s="213"/>
      <c r="BQ310" s="213"/>
      <c r="BR310" s="213"/>
      <c r="BS310" s="213"/>
      <c r="BT310" s="213"/>
      <c r="BU310" s="213"/>
      <c r="BV310" s="213"/>
      <c r="BW310" s="213"/>
    </row>
    <row r="311" ht="15.75" customHeight="1">
      <c r="A311" s="213"/>
      <c r="B311" s="213"/>
      <c r="C311" s="213"/>
      <c r="D311" s="213"/>
      <c r="E311" s="213"/>
      <c r="F311" s="215"/>
      <c r="G311" s="213"/>
      <c r="H311" s="325"/>
      <c r="I311" s="213"/>
      <c r="J311" s="325"/>
      <c r="K311" s="213"/>
      <c r="L311" s="215"/>
      <c r="M311" s="213"/>
      <c r="N311" s="215"/>
      <c r="O311" s="213"/>
      <c r="P311" s="215"/>
      <c r="Q311" s="213"/>
      <c r="R311" s="949"/>
      <c r="S311" s="213"/>
      <c r="T311" s="215"/>
      <c r="U311" s="213"/>
      <c r="V311" s="215"/>
      <c r="W311" s="213"/>
      <c r="X311" s="325"/>
      <c r="Y311" s="213"/>
      <c r="Z311" s="215"/>
      <c r="AA311" s="213"/>
      <c r="AB311" s="215"/>
      <c r="AC311" s="213"/>
      <c r="AD311" s="215"/>
      <c r="AE311" s="213"/>
      <c r="AF311" s="215"/>
      <c r="AG311" s="213"/>
      <c r="AH311" s="215"/>
      <c r="AI311" s="213"/>
      <c r="AJ311" s="215"/>
      <c r="AK311" s="213"/>
      <c r="AL311" s="215"/>
      <c r="AM311" s="213"/>
      <c r="AN311" s="215"/>
      <c r="AO311" s="213"/>
      <c r="AP311" s="215"/>
      <c r="AQ311" s="213"/>
      <c r="AR311" s="215"/>
      <c r="AS311" s="213"/>
      <c r="AT311" s="215"/>
      <c r="AU311" s="213"/>
      <c r="AV311" s="215"/>
      <c r="AW311" s="213"/>
      <c r="AX311" s="213"/>
      <c r="AY311" s="213"/>
      <c r="AZ311" s="326"/>
      <c r="BA311" s="213"/>
      <c r="BB311" s="215"/>
      <c r="BC311" s="213"/>
      <c r="BD311" s="213"/>
      <c r="BE311" s="213"/>
      <c r="BF311" s="213"/>
      <c r="BG311" s="213"/>
      <c r="BH311" s="213"/>
      <c r="BI311" s="213"/>
      <c r="BJ311" s="213"/>
      <c r="BK311" s="213"/>
      <c r="BL311" s="213"/>
      <c r="BM311" s="213"/>
      <c r="BN311" s="213"/>
      <c r="BO311" s="213"/>
      <c r="BP311" s="213"/>
      <c r="BQ311" s="213"/>
      <c r="BR311" s="213"/>
      <c r="BS311" s="213"/>
      <c r="BT311" s="213"/>
      <c r="BU311" s="213"/>
      <c r="BV311" s="213"/>
      <c r="BW311" s="213"/>
    </row>
    <row r="312" ht="15.75" customHeight="1">
      <c r="A312" s="213"/>
      <c r="B312" s="213"/>
      <c r="C312" s="213"/>
      <c r="D312" s="213"/>
      <c r="E312" s="213"/>
      <c r="F312" s="215"/>
      <c r="G312" s="213"/>
      <c r="H312" s="325"/>
      <c r="I312" s="213"/>
      <c r="J312" s="325"/>
      <c r="K312" s="213"/>
      <c r="L312" s="215"/>
      <c r="M312" s="213"/>
      <c r="N312" s="215"/>
      <c r="O312" s="213"/>
      <c r="P312" s="215"/>
      <c r="Q312" s="213"/>
      <c r="R312" s="949"/>
      <c r="S312" s="213"/>
      <c r="T312" s="215"/>
      <c r="U312" s="213"/>
      <c r="V312" s="215"/>
      <c r="W312" s="213"/>
      <c r="X312" s="325"/>
      <c r="Y312" s="213"/>
      <c r="Z312" s="215"/>
      <c r="AA312" s="213"/>
      <c r="AB312" s="215"/>
      <c r="AC312" s="213"/>
      <c r="AD312" s="215"/>
      <c r="AE312" s="213"/>
      <c r="AF312" s="215"/>
      <c r="AG312" s="213"/>
      <c r="AH312" s="215"/>
      <c r="AI312" s="213"/>
      <c r="AJ312" s="215"/>
      <c r="AK312" s="213"/>
      <c r="AL312" s="215"/>
      <c r="AM312" s="213"/>
      <c r="AN312" s="215"/>
      <c r="AO312" s="213"/>
      <c r="AP312" s="215"/>
      <c r="AQ312" s="213"/>
      <c r="AR312" s="215"/>
      <c r="AS312" s="213"/>
      <c r="AT312" s="215"/>
      <c r="AU312" s="213"/>
      <c r="AV312" s="215"/>
      <c r="AW312" s="213"/>
      <c r="AX312" s="213"/>
      <c r="AY312" s="213"/>
      <c r="AZ312" s="326"/>
      <c r="BA312" s="213"/>
      <c r="BB312" s="215"/>
      <c r="BC312" s="213"/>
      <c r="BD312" s="213"/>
      <c r="BE312" s="213"/>
      <c r="BF312" s="213"/>
      <c r="BG312" s="213"/>
      <c r="BH312" s="213"/>
      <c r="BI312" s="213"/>
      <c r="BJ312" s="213"/>
      <c r="BK312" s="213"/>
      <c r="BL312" s="213"/>
      <c r="BM312" s="213"/>
      <c r="BN312" s="213"/>
      <c r="BO312" s="213"/>
      <c r="BP312" s="213"/>
      <c r="BQ312" s="213"/>
      <c r="BR312" s="213"/>
      <c r="BS312" s="213"/>
      <c r="BT312" s="213"/>
      <c r="BU312" s="213"/>
      <c r="BV312" s="213"/>
      <c r="BW312" s="213"/>
    </row>
    <row r="313" ht="15.75" customHeight="1">
      <c r="A313" s="213"/>
      <c r="B313" s="213"/>
      <c r="C313" s="213"/>
      <c r="D313" s="213"/>
      <c r="E313" s="213"/>
      <c r="F313" s="215"/>
      <c r="G313" s="213"/>
      <c r="H313" s="325"/>
      <c r="I313" s="213"/>
      <c r="J313" s="325"/>
      <c r="K313" s="213"/>
      <c r="L313" s="215"/>
      <c r="M313" s="213"/>
      <c r="N313" s="215"/>
      <c r="O313" s="213"/>
      <c r="P313" s="215"/>
      <c r="Q313" s="213"/>
      <c r="R313" s="949"/>
      <c r="S313" s="213"/>
      <c r="T313" s="215"/>
      <c r="U313" s="213"/>
      <c r="V313" s="215"/>
      <c r="W313" s="213"/>
      <c r="X313" s="325"/>
      <c r="Y313" s="213"/>
      <c r="Z313" s="215"/>
      <c r="AA313" s="213"/>
      <c r="AB313" s="215"/>
      <c r="AC313" s="213"/>
      <c r="AD313" s="215"/>
      <c r="AE313" s="213"/>
      <c r="AF313" s="215"/>
      <c r="AG313" s="213"/>
      <c r="AH313" s="215"/>
      <c r="AI313" s="213"/>
      <c r="AJ313" s="215"/>
      <c r="AK313" s="213"/>
      <c r="AL313" s="215"/>
      <c r="AM313" s="213"/>
      <c r="AN313" s="215"/>
      <c r="AO313" s="213"/>
      <c r="AP313" s="215"/>
      <c r="AQ313" s="213"/>
      <c r="AR313" s="215"/>
      <c r="AS313" s="213"/>
      <c r="AT313" s="215"/>
      <c r="AU313" s="213"/>
      <c r="AV313" s="215"/>
      <c r="AW313" s="213"/>
      <c r="AX313" s="213"/>
      <c r="AY313" s="213"/>
      <c r="AZ313" s="326"/>
      <c r="BA313" s="213"/>
      <c r="BB313" s="215"/>
      <c r="BC313" s="213"/>
      <c r="BD313" s="213"/>
      <c r="BE313" s="213"/>
      <c r="BF313" s="213"/>
      <c r="BG313" s="213"/>
      <c r="BH313" s="213"/>
      <c r="BI313" s="213"/>
      <c r="BJ313" s="213"/>
      <c r="BK313" s="213"/>
      <c r="BL313" s="213"/>
      <c r="BM313" s="213"/>
      <c r="BN313" s="213"/>
      <c r="BO313" s="213"/>
      <c r="BP313" s="213"/>
      <c r="BQ313" s="213"/>
      <c r="BR313" s="213"/>
      <c r="BS313" s="213"/>
      <c r="BT313" s="213"/>
      <c r="BU313" s="213"/>
      <c r="BV313" s="213"/>
      <c r="BW313" s="213"/>
    </row>
    <row r="314" ht="15.75" customHeight="1">
      <c r="A314" s="213"/>
      <c r="B314" s="213"/>
      <c r="C314" s="213"/>
      <c r="D314" s="213"/>
      <c r="E314" s="213"/>
      <c r="F314" s="215"/>
      <c r="G314" s="213"/>
      <c r="H314" s="325"/>
      <c r="I314" s="213"/>
      <c r="J314" s="325"/>
      <c r="K314" s="213"/>
      <c r="L314" s="215"/>
      <c r="M314" s="213"/>
      <c r="N314" s="215"/>
      <c r="O314" s="213"/>
      <c r="P314" s="215"/>
      <c r="Q314" s="213"/>
      <c r="R314" s="949"/>
      <c r="S314" s="213"/>
      <c r="T314" s="215"/>
      <c r="U314" s="213"/>
      <c r="V314" s="215"/>
      <c r="W314" s="213"/>
      <c r="X314" s="325"/>
      <c r="Y314" s="213"/>
      <c r="Z314" s="215"/>
      <c r="AA314" s="213"/>
      <c r="AB314" s="215"/>
      <c r="AC314" s="213"/>
      <c r="AD314" s="215"/>
      <c r="AE314" s="213"/>
      <c r="AF314" s="215"/>
      <c r="AG314" s="213"/>
      <c r="AH314" s="215"/>
      <c r="AI314" s="213"/>
      <c r="AJ314" s="215"/>
      <c r="AK314" s="213"/>
      <c r="AL314" s="215"/>
      <c r="AM314" s="213"/>
      <c r="AN314" s="215"/>
      <c r="AO314" s="213"/>
      <c r="AP314" s="215"/>
      <c r="AQ314" s="213"/>
      <c r="AR314" s="215"/>
      <c r="AS314" s="213"/>
      <c r="AT314" s="215"/>
      <c r="AU314" s="213"/>
      <c r="AV314" s="215"/>
      <c r="AW314" s="213"/>
      <c r="AX314" s="213"/>
      <c r="AY314" s="213"/>
      <c r="AZ314" s="326"/>
      <c r="BA314" s="213"/>
      <c r="BB314" s="215"/>
      <c r="BC314" s="213"/>
      <c r="BD314" s="213"/>
      <c r="BE314" s="213"/>
      <c r="BF314" s="213"/>
      <c r="BG314" s="213"/>
      <c r="BH314" s="213"/>
      <c r="BI314" s="213"/>
      <c r="BJ314" s="213"/>
      <c r="BK314" s="213"/>
      <c r="BL314" s="213"/>
      <c r="BM314" s="213"/>
      <c r="BN314" s="213"/>
      <c r="BO314" s="213"/>
      <c r="BP314" s="213"/>
      <c r="BQ314" s="213"/>
      <c r="BR314" s="213"/>
      <c r="BS314" s="213"/>
      <c r="BT314" s="213"/>
      <c r="BU314" s="213"/>
      <c r="BV314" s="213"/>
      <c r="BW314" s="213"/>
    </row>
    <row r="315" ht="15.75" customHeight="1">
      <c r="A315" s="213"/>
      <c r="B315" s="213"/>
      <c r="C315" s="213"/>
      <c r="D315" s="213"/>
      <c r="E315" s="213"/>
      <c r="F315" s="215"/>
      <c r="G315" s="213"/>
      <c r="H315" s="325"/>
      <c r="I315" s="213"/>
      <c r="J315" s="325"/>
      <c r="K315" s="213"/>
      <c r="L315" s="215"/>
      <c r="M315" s="213"/>
      <c r="N315" s="215"/>
      <c r="O315" s="213"/>
      <c r="P315" s="215"/>
      <c r="Q315" s="213"/>
      <c r="R315" s="949"/>
      <c r="S315" s="213"/>
      <c r="T315" s="215"/>
      <c r="U315" s="213"/>
      <c r="V315" s="215"/>
      <c r="W315" s="213"/>
      <c r="X315" s="325"/>
      <c r="Y315" s="213"/>
      <c r="Z315" s="215"/>
      <c r="AA315" s="213"/>
      <c r="AB315" s="215"/>
      <c r="AC315" s="213"/>
      <c r="AD315" s="215"/>
      <c r="AE315" s="213"/>
      <c r="AF315" s="215"/>
      <c r="AG315" s="213"/>
      <c r="AH315" s="215"/>
      <c r="AI315" s="213"/>
      <c r="AJ315" s="215"/>
      <c r="AK315" s="213"/>
      <c r="AL315" s="215"/>
      <c r="AM315" s="213"/>
      <c r="AN315" s="215"/>
      <c r="AO315" s="213"/>
      <c r="AP315" s="215"/>
      <c r="AQ315" s="213"/>
      <c r="AR315" s="215"/>
      <c r="AS315" s="213"/>
      <c r="AT315" s="215"/>
      <c r="AU315" s="213"/>
      <c r="AV315" s="215"/>
      <c r="AW315" s="213"/>
      <c r="AX315" s="213"/>
      <c r="AY315" s="213"/>
      <c r="AZ315" s="326"/>
      <c r="BA315" s="213"/>
      <c r="BB315" s="215"/>
      <c r="BC315" s="213"/>
      <c r="BD315" s="213"/>
      <c r="BE315" s="213"/>
      <c r="BF315" s="213"/>
      <c r="BG315" s="213"/>
      <c r="BH315" s="213"/>
      <c r="BI315" s="213"/>
      <c r="BJ315" s="213"/>
      <c r="BK315" s="213"/>
      <c r="BL315" s="213"/>
      <c r="BM315" s="213"/>
      <c r="BN315" s="213"/>
      <c r="BO315" s="213"/>
      <c r="BP315" s="213"/>
      <c r="BQ315" s="213"/>
      <c r="BR315" s="213"/>
      <c r="BS315" s="213"/>
      <c r="BT315" s="213"/>
      <c r="BU315" s="213"/>
      <c r="BV315" s="213"/>
      <c r="BW315" s="213"/>
    </row>
    <row r="316" ht="15.75" customHeight="1">
      <c r="A316" s="213"/>
      <c r="B316" s="213"/>
      <c r="C316" s="213"/>
      <c r="D316" s="213"/>
      <c r="E316" s="213"/>
      <c r="F316" s="215"/>
      <c r="G316" s="213"/>
      <c r="H316" s="325"/>
      <c r="I316" s="213"/>
      <c r="J316" s="325"/>
      <c r="K316" s="213"/>
      <c r="L316" s="215"/>
      <c r="M316" s="213"/>
      <c r="N316" s="215"/>
      <c r="O316" s="213"/>
      <c r="P316" s="215"/>
      <c r="Q316" s="213"/>
      <c r="R316" s="949"/>
      <c r="S316" s="213"/>
      <c r="T316" s="215"/>
      <c r="U316" s="213"/>
      <c r="V316" s="215"/>
      <c r="W316" s="213"/>
      <c r="X316" s="325"/>
      <c r="Y316" s="213"/>
      <c r="Z316" s="215"/>
      <c r="AA316" s="213"/>
      <c r="AB316" s="215"/>
      <c r="AC316" s="213"/>
      <c r="AD316" s="215"/>
      <c r="AE316" s="213"/>
      <c r="AF316" s="215"/>
      <c r="AG316" s="213"/>
      <c r="AH316" s="215"/>
      <c r="AI316" s="213"/>
      <c r="AJ316" s="215"/>
      <c r="AK316" s="213"/>
      <c r="AL316" s="215"/>
      <c r="AM316" s="213"/>
      <c r="AN316" s="215"/>
      <c r="AO316" s="213"/>
      <c r="AP316" s="215"/>
      <c r="AQ316" s="213"/>
      <c r="AR316" s="215"/>
      <c r="AS316" s="213"/>
      <c r="AT316" s="215"/>
      <c r="AU316" s="213"/>
      <c r="AV316" s="215"/>
      <c r="AW316" s="213"/>
      <c r="AX316" s="213"/>
      <c r="AY316" s="213"/>
      <c r="AZ316" s="326"/>
      <c r="BA316" s="213"/>
      <c r="BB316" s="215"/>
      <c r="BC316" s="213"/>
      <c r="BD316" s="213"/>
      <c r="BE316" s="213"/>
      <c r="BF316" s="213"/>
      <c r="BG316" s="213"/>
      <c r="BH316" s="213"/>
      <c r="BI316" s="213"/>
      <c r="BJ316" s="213"/>
      <c r="BK316" s="213"/>
      <c r="BL316" s="213"/>
      <c r="BM316" s="213"/>
      <c r="BN316" s="213"/>
      <c r="BO316" s="213"/>
      <c r="BP316" s="213"/>
      <c r="BQ316" s="213"/>
      <c r="BR316" s="213"/>
      <c r="BS316" s="213"/>
      <c r="BT316" s="213"/>
      <c r="BU316" s="213"/>
      <c r="BV316" s="213"/>
      <c r="BW316" s="213"/>
    </row>
    <row r="317" ht="15.75" customHeight="1">
      <c r="A317" s="213"/>
      <c r="B317" s="213"/>
      <c r="C317" s="213"/>
      <c r="D317" s="213"/>
      <c r="E317" s="213"/>
      <c r="F317" s="215"/>
      <c r="G317" s="213"/>
      <c r="H317" s="325"/>
      <c r="I317" s="213"/>
      <c r="J317" s="325"/>
      <c r="K317" s="213"/>
      <c r="L317" s="215"/>
      <c r="M317" s="213"/>
      <c r="N317" s="215"/>
      <c r="O317" s="213"/>
      <c r="P317" s="215"/>
      <c r="Q317" s="213"/>
      <c r="R317" s="949"/>
      <c r="S317" s="213"/>
      <c r="T317" s="215"/>
      <c r="U317" s="213"/>
      <c r="V317" s="215"/>
      <c r="W317" s="213"/>
      <c r="X317" s="325"/>
      <c r="Y317" s="213"/>
      <c r="Z317" s="215"/>
      <c r="AA317" s="213"/>
      <c r="AB317" s="215"/>
      <c r="AC317" s="213"/>
      <c r="AD317" s="215"/>
      <c r="AE317" s="213"/>
      <c r="AF317" s="215"/>
      <c r="AG317" s="213"/>
      <c r="AH317" s="215"/>
      <c r="AI317" s="213"/>
      <c r="AJ317" s="215"/>
      <c r="AK317" s="213"/>
      <c r="AL317" s="215"/>
      <c r="AM317" s="213"/>
      <c r="AN317" s="215"/>
      <c r="AO317" s="213"/>
      <c r="AP317" s="215"/>
      <c r="AQ317" s="213"/>
      <c r="AR317" s="215"/>
      <c r="AS317" s="213"/>
      <c r="AT317" s="215"/>
      <c r="AU317" s="213"/>
      <c r="AV317" s="215"/>
      <c r="AW317" s="213"/>
      <c r="AX317" s="213"/>
      <c r="AY317" s="213"/>
      <c r="AZ317" s="326"/>
      <c r="BA317" s="213"/>
      <c r="BB317" s="215"/>
      <c r="BC317" s="213"/>
      <c r="BD317" s="213"/>
      <c r="BE317" s="213"/>
      <c r="BF317" s="213"/>
      <c r="BG317" s="213"/>
      <c r="BH317" s="213"/>
      <c r="BI317" s="213"/>
      <c r="BJ317" s="213"/>
      <c r="BK317" s="213"/>
      <c r="BL317" s="213"/>
      <c r="BM317" s="213"/>
      <c r="BN317" s="213"/>
      <c r="BO317" s="213"/>
      <c r="BP317" s="213"/>
      <c r="BQ317" s="213"/>
      <c r="BR317" s="213"/>
      <c r="BS317" s="213"/>
      <c r="BT317" s="213"/>
      <c r="BU317" s="213"/>
      <c r="BV317" s="213"/>
      <c r="BW317" s="213"/>
    </row>
    <row r="318" ht="15.75" customHeight="1">
      <c r="A318" s="213"/>
      <c r="B318" s="213"/>
      <c r="C318" s="213"/>
      <c r="D318" s="213"/>
      <c r="E318" s="213"/>
      <c r="F318" s="215"/>
      <c r="G318" s="213"/>
      <c r="H318" s="325"/>
      <c r="I318" s="213"/>
      <c r="J318" s="325"/>
      <c r="K318" s="213"/>
      <c r="L318" s="215"/>
      <c r="M318" s="213"/>
      <c r="N318" s="215"/>
      <c r="O318" s="213"/>
      <c r="P318" s="215"/>
      <c r="Q318" s="213"/>
      <c r="R318" s="949"/>
      <c r="S318" s="213"/>
      <c r="T318" s="215"/>
      <c r="U318" s="213"/>
      <c r="V318" s="215"/>
      <c r="W318" s="213"/>
      <c r="X318" s="325"/>
      <c r="Y318" s="213"/>
      <c r="Z318" s="215"/>
      <c r="AA318" s="213"/>
      <c r="AB318" s="215"/>
      <c r="AC318" s="213"/>
      <c r="AD318" s="215"/>
      <c r="AE318" s="213"/>
      <c r="AF318" s="215"/>
      <c r="AG318" s="213"/>
      <c r="AH318" s="215"/>
      <c r="AI318" s="213"/>
      <c r="AJ318" s="215"/>
      <c r="AK318" s="213"/>
      <c r="AL318" s="215"/>
      <c r="AM318" s="213"/>
      <c r="AN318" s="215"/>
      <c r="AO318" s="213"/>
      <c r="AP318" s="215"/>
      <c r="AQ318" s="213"/>
      <c r="AR318" s="215"/>
      <c r="AS318" s="213"/>
      <c r="AT318" s="215"/>
      <c r="AU318" s="213"/>
      <c r="AV318" s="215"/>
      <c r="AW318" s="213"/>
      <c r="AX318" s="213"/>
      <c r="AY318" s="213"/>
      <c r="AZ318" s="326"/>
      <c r="BA318" s="213"/>
      <c r="BB318" s="215"/>
      <c r="BC318" s="213"/>
      <c r="BD318" s="213"/>
      <c r="BE318" s="213"/>
      <c r="BF318" s="213"/>
      <c r="BG318" s="213"/>
      <c r="BH318" s="213"/>
      <c r="BI318" s="213"/>
      <c r="BJ318" s="213"/>
      <c r="BK318" s="213"/>
      <c r="BL318" s="213"/>
      <c r="BM318" s="213"/>
      <c r="BN318" s="213"/>
      <c r="BO318" s="213"/>
      <c r="BP318" s="213"/>
      <c r="BQ318" s="213"/>
      <c r="BR318" s="213"/>
      <c r="BS318" s="213"/>
      <c r="BT318" s="213"/>
      <c r="BU318" s="213"/>
      <c r="BV318" s="213"/>
      <c r="BW318" s="213"/>
    </row>
    <row r="319" ht="15.75" customHeight="1">
      <c r="A319" s="213"/>
      <c r="B319" s="213"/>
      <c r="C319" s="213"/>
      <c r="D319" s="213"/>
      <c r="E319" s="213"/>
      <c r="F319" s="215"/>
      <c r="G319" s="213"/>
      <c r="H319" s="325"/>
      <c r="I319" s="213"/>
      <c r="J319" s="325"/>
      <c r="K319" s="213"/>
      <c r="L319" s="215"/>
      <c r="M319" s="213"/>
      <c r="N319" s="215"/>
      <c r="O319" s="213"/>
      <c r="P319" s="215"/>
      <c r="Q319" s="213"/>
      <c r="R319" s="949"/>
      <c r="S319" s="213"/>
      <c r="T319" s="215"/>
      <c r="U319" s="213"/>
      <c r="V319" s="215"/>
      <c r="W319" s="213"/>
      <c r="X319" s="325"/>
      <c r="Y319" s="213"/>
      <c r="Z319" s="215"/>
      <c r="AA319" s="213"/>
      <c r="AB319" s="215"/>
      <c r="AC319" s="213"/>
      <c r="AD319" s="215"/>
      <c r="AE319" s="213"/>
      <c r="AF319" s="215"/>
      <c r="AG319" s="213"/>
      <c r="AH319" s="215"/>
      <c r="AI319" s="213"/>
      <c r="AJ319" s="215"/>
      <c r="AK319" s="213"/>
      <c r="AL319" s="215"/>
      <c r="AM319" s="213"/>
      <c r="AN319" s="215"/>
      <c r="AO319" s="213"/>
      <c r="AP319" s="215"/>
      <c r="AQ319" s="213"/>
      <c r="AR319" s="215"/>
      <c r="AS319" s="213"/>
      <c r="AT319" s="215"/>
      <c r="AU319" s="213"/>
      <c r="AV319" s="215"/>
      <c r="AW319" s="213"/>
      <c r="AX319" s="213"/>
      <c r="AY319" s="213"/>
      <c r="AZ319" s="326"/>
      <c r="BA319" s="213"/>
      <c r="BB319" s="215"/>
      <c r="BC319" s="213"/>
      <c r="BD319" s="213"/>
      <c r="BE319" s="213"/>
      <c r="BF319" s="213"/>
      <c r="BG319" s="213"/>
      <c r="BH319" s="213"/>
      <c r="BI319" s="213"/>
      <c r="BJ319" s="213"/>
      <c r="BK319" s="213"/>
      <c r="BL319" s="213"/>
      <c r="BM319" s="213"/>
      <c r="BN319" s="213"/>
      <c r="BO319" s="213"/>
      <c r="BP319" s="213"/>
      <c r="BQ319" s="213"/>
      <c r="BR319" s="213"/>
      <c r="BS319" s="213"/>
      <c r="BT319" s="213"/>
      <c r="BU319" s="213"/>
      <c r="BV319" s="213"/>
      <c r="BW319" s="213"/>
    </row>
    <row r="320" ht="15.75" customHeight="1">
      <c r="A320" s="213"/>
      <c r="B320" s="213"/>
      <c r="C320" s="213"/>
      <c r="D320" s="213"/>
      <c r="E320" s="213"/>
      <c r="F320" s="215"/>
      <c r="G320" s="213"/>
      <c r="H320" s="325"/>
      <c r="I320" s="213"/>
      <c r="J320" s="325"/>
      <c r="K320" s="213"/>
      <c r="L320" s="215"/>
      <c r="M320" s="213"/>
      <c r="N320" s="215"/>
      <c r="O320" s="213"/>
      <c r="P320" s="215"/>
      <c r="Q320" s="213"/>
      <c r="R320" s="949"/>
      <c r="S320" s="213"/>
      <c r="T320" s="215"/>
      <c r="U320" s="213"/>
      <c r="V320" s="215"/>
      <c r="W320" s="213"/>
      <c r="X320" s="325"/>
      <c r="Y320" s="213"/>
      <c r="Z320" s="215"/>
      <c r="AA320" s="213"/>
      <c r="AB320" s="215"/>
      <c r="AC320" s="213"/>
      <c r="AD320" s="215"/>
      <c r="AE320" s="213"/>
      <c r="AF320" s="215"/>
      <c r="AG320" s="213"/>
      <c r="AH320" s="215"/>
      <c r="AI320" s="213"/>
      <c r="AJ320" s="215"/>
      <c r="AK320" s="213"/>
      <c r="AL320" s="215"/>
      <c r="AM320" s="213"/>
      <c r="AN320" s="215"/>
      <c r="AO320" s="213"/>
      <c r="AP320" s="215"/>
      <c r="AQ320" s="213"/>
      <c r="AR320" s="215"/>
      <c r="AS320" s="213"/>
      <c r="AT320" s="215"/>
      <c r="AU320" s="213"/>
      <c r="AV320" s="215"/>
      <c r="AW320" s="213"/>
      <c r="AX320" s="213"/>
      <c r="AY320" s="213"/>
      <c r="AZ320" s="326"/>
      <c r="BA320" s="213"/>
      <c r="BB320" s="215"/>
      <c r="BC320" s="213"/>
      <c r="BD320" s="213"/>
      <c r="BE320" s="213"/>
      <c r="BF320" s="213"/>
      <c r="BG320" s="213"/>
      <c r="BH320" s="213"/>
      <c r="BI320" s="213"/>
      <c r="BJ320" s="213"/>
      <c r="BK320" s="213"/>
      <c r="BL320" s="213"/>
      <c r="BM320" s="213"/>
      <c r="BN320" s="213"/>
      <c r="BO320" s="213"/>
      <c r="BP320" s="213"/>
      <c r="BQ320" s="213"/>
      <c r="BR320" s="213"/>
      <c r="BS320" s="213"/>
      <c r="BT320" s="213"/>
      <c r="BU320" s="213"/>
      <c r="BV320" s="213"/>
      <c r="BW320" s="213"/>
    </row>
    <row r="321" ht="15.75" customHeight="1">
      <c r="A321" s="213"/>
      <c r="B321" s="213"/>
      <c r="C321" s="213"/>
      <c r="D321" s="213"/>
      <c r="E321" s="213"/>
      <c r="F321" s="215"/>
      <c r="G321" s="213"/>
      <c r="H321" s="325"/>
      <c r="I321" s="213"/>
      <c r="J321" s="325"/>
      <c r="K321" s="213"/>
      <c r="L321" s="215"/>
      <c r="M321" s="213"/>
      <c r="N321" s="215"/>
      <c r="O321" s="213"/>
      <c r="P321" s="215"/>
      <c r="Q321" s="213"/>
      <c r="R321" s="949"/>
      <c r="S321" s="213"/>
      <c r="T321" s="215"/>
      <c r="U321" s="213"/>
      <c r="V321" s="215"/>
      <c r="W321" s="213"/>
      <c r="X321" s="325"/>
      <c r="Y321" s="213"/>
      <c r="Z321" s="215"/>
      <c r="AA321" s="213"/>
      <c r="AB321" s="215"/>
      <c r="AC321" s="213"/>
      <c r="AD321" s="215"/>
      <c r="AE321" s="213"/>
      <c r="AF321" s="215"/>
      <c r="AG321" s="213"/>
      <c r="AH321" s="215"/>
      <c r="AI321" s="213"/>
      <c r="AJ321" s="215"/>
      <c r="AK321" s="213"/>
      <c r="AL321" s="215"/>
      <c r="AM321" s="213"/>
      <c r="AN321" s="215"/>
      <c r="AO321" s="213"/>
      <c r="AP321" s="215"/>
      <c r="AQ321" s="213"/>
      <c r="AR321" s="215"/>
      <c r="AS321" s="213"/>
      <c r="AT321" s="215"/>
      <c r="AU321" s="213"/>
      <c r="AV321" s="215"/>
      <c r="AW321" s="213"/>
      <c r="AX321" s="213"/>
      <c r="AY321" s="213"/>
      <c r="AZ321" s="326"/>
      <c r="BA321" s="213"/>
      <c r="BB321" s="215"/>
      <c r="BC321" s="213"/>
      <c r="BD321" s="213"/>
      <c r="BE321" s="213"/>
      <c r="BF321" s="213"/>
      <c r="BG321" s="213"/>
      <c r="BH321" s="213"/>
      <c r="BI321" s="213"/>
      <c r="BJ321" s="213"/>
      <c r="BK321" s="213"/>
      <c r="BL321" s="213"/>
      <c r="BM321" s="213"/>
      <c r="BN321" s="213"/>
      <c r="BO321" s="213"/>
      <c r="BP321" s="213"/>
      <c r="BQ321" s="213"/>
      <c r="BR321" s="213"/>
      <c r="BS321" s="213"/>
      <c r="BT321" s="213"/>
      <c r="BU321" s="213"/>
      <c r="BV321" s="213"/>
      <c r="BW321" s="213"/>
    </row>
    <row r="322" ht="15.75" customHeight="1">
      <c r="A322" s="213"/>
      <c r="B322" s="213"/>
      <c r="C322" s="213"/>
      <c r="D322" s="213"/>
      <c r="E322" s="213"/>
      <c r="F322" s="215"/>
      <c r="G322" s="213"/>
      <c r="H322" s="325"/>
      <c r="I322" s="213"/>
      <c r="J322" s="325"/>
      <c r="K322" s="213"/>
      <c r="L322" s="215"/>
      <c r="M322" s="213"/>
      <c r="N322" s="215"/>
      <c r="O322" s="213"/>
      <c r="P322" s="215"/>
      <c r="Q322" s="213"/>
      <c r="R322" s="949"/>
      <c r="S322" s="213"/>
      <c r="T322" s="215"/>
      <c r="U322" s="213"/>
      <c r="V322" s="215"/>
      <c r="W322" s="213"/>
      <c r="X322" s="325"/>
      <c r="Y322" s="213"/>
      <c r="Z322" s="215"/>
      <c r="AA322" s="213"/>
      <c r="AB322" s="215"/>
      <c r="AC322" s="213"/>
      <c r="AD322" s="215"/>
      <c r="AE322" s="213"/>
      <c r="AF322" s="215"/>
      <c r="AG322" s="213"/>
      <c r="AH322" s="215"/>
      <c r="AI322" s="213"/>
      <c r="AJ322" s="215"/>
      <c r="AK322" s="213"/>
      <c r="AL322" s="215"/>
      <c r="AM322" s="213"/>
      <c r="AN322" s="215"/>
      <c r="AO322" s="213"/>
      <c r="AP322" s="215"/>
      <c r="AQ322" s="213"/>
      <c r="AR322" s="215"/>
      <c r="AS322" s="213"/>
      <c r="AT322" s="215"/>
      <c r="AU322" s="213"/>
      <c r="AV322" s="215"/>
      <c r="AW322" s="213"/>
      <c r="AX322" s="213"/>
      <c r="AY322" s="213"/>
      <c r="AZ322" s="326"/>
      <c r="BA322" s="213"/>
      <c r="BB322" s="215"/>
      <c r="BC322" s="213"/>
      <c r="BD322" s="213"/>
      <c r="BE322" s="213"/>
      <c r="BF322" s="213"/>
      <c r="BG322" s="213"/>
      <c r="BH322" s="213"/>
      <c r="BI322" s="213"/>
      <c r="BJ322" s="213"/>
      <c r="BK322" s="213"/>
      <c r="BL322" s="213"/>
      <c r="BM322" s="213"/>
      <c r="BN322" s="213"/>
      <c r="BO322" s="213"/>
      <c r="BP322" s="213"/>
      <c r="BQ322" s="213"/>
      <c r="BR322" s="213"/>
      <c r="BS322" s="213"/>
      <c r="BT322" s="213"/>
      <c r="BU322" s="213"/>
      <c r="BV322" s="213"/>
      <c r="BW322" s="213"/>
    </row>
    <row r="323" ht="15.75" customHeight="1">
      <c r="A323" s="213"/>
      <c r="B323" s="213"/>
      <c r="C323" s="213"/>
      <c r="D323" s="213"/>
      <c r="E323" s="213"/>
      <c r="F323" s="215"/>
      <c r="G323" s="213"/>
      <c r="H323" s="325"/>
      <c r="I323" s="213"/>
      <c r="J323" s="325"/>
      <c r="K323" s="213"/>
      <c r="L323" s="215"/>
      <c r="M323" s="213"/>
      <c r="N323" s="215"/>
      <c r="O323" s="213"/>
      <c r="P323" s="215"/>
      <c r="Q323" s="213"/>
      <c r="R323" s="949"/>
      <c r="S323" s="213"/>
      <c r="T323" s="215"/>
      <c r="U323" s="213"/>
      <c r="V323" s="215"/>
      <c r="W323" s="213"/>
      <c r="X323" s="325"/>
      <c r="Y323" s="213"/>
      <c r="Z323" s="215"/>
      <c r="AA323" s="213"/>
      <c r="AB323" s="215"/>
      <c r="AC323" s="213"/>
      <c r="AD323" s="215"/>
      <c r="AE323" s="213"/>
      <c r="AF323" s="215"/>
      <c r="AG323" s="213"/>
      <c r="AH323" s="215"/>
      <c r="AI323" s="213"/>
      <c r="AJ323" s="215"/>
      <c r="AK323" s="213"/>
      <c r="AL323" s="215"/>
      <c r="AM323" s="213"/>
      <c r="AN323" s="215"/>
      <c r="AO323" s="213"/>
      <c r="AP323" s="215"/>
      <c r="AQ323" s="213"/>
      <c r="AR323" s="215"/>
      <c r="AS323" s="213"/>
      <c r="AT323" s="215"/>
      <c r="AU323" s="213"/>
      <c r="AV323" s="215"/>
      <c r="AW323" s="213"/>
      <c r="AX323" s="213"/>
      <c r="AY323" s="213"/>
      <c r="AZ323" s="326"/>
      <c r="BA323" s="213"/>
      <c r="BB323" s="215"/>
      <c r="BC323" s="213"/>
      <c r="BD323" s="213"/>
      <c r="BE323" s="213"/>
      <c r="BF323" s="213"/>
      <c r="BG323" s="213"/>
      <c r="BH323" s="213"/>
      <c r="BI323" s="213"/>
      <c r="BJ323" s="213"/>
      <c r="BK323" s="213"/>
      <c r="BL323" s="213"/>
      <c r="BM323" s="213"/>
      <c r="BN323" s="213"/>
      <c r="BO323" s="213"/>
      <c r="BP323" s="213"/>
      <c r="BQ323" s="213"/>
      <c r="BR323" s="213"/>
      <c r="BS323" s="213"/>
      <c r="BT323" s="213"/>
      <c r="BU323" s="213"/>
      <c r="BV323" s="213"/>
      <c r="BW323" s="213"/>
    </row>
    <row r="324" ht="15.75" customHeight="1">
      <c r="A324" s="213"/>
      <c r="B324" s="213"/>
      <c r="C324" s="213"/>
      <c r="D324" s="213"/>
      <c r="E324" s="213"/>
      <c r="F324" s="215"/>
      <c r="G324" s="213"/>
      <c r="H324" s="325"/>
      <c r="I324" s="213"/>
      <c r="J324" s="325"/>
      <c r="K324" s="213"/>
      <c r="L324" s="215"/>
      <c r="M324" s="213"/>
      <c r="N324" s="215"/>
      <c r="O324" s="213"/>
      <c r="P324" s="215"/>
      <c r="Q324" s="213"/>
      <c r="R324" s="949"/>
      <c r="S324" s="213"/>
      <c r="T324" s="215"/>
      <c r="U324" s="213"/>
      <c r="V324" s="215"/>
      <c r="W324" s="213"/>
      <c r="X324" s="325"/>
      <c r="Y324" s="213"/>
      <c r="Z324" s="215"/>
      <c r="AA324" s="213"/>
      <c r="AB324" s="215"/>
      <c r="AC324" s="213"/>
      <c r="AD324" s="215"/>
      <c r="AE324" s="213"/>
      <c r="AF324" s="215"/>
      <c r="AG324" s="213"/>
      <c r="AH324" s="215"/>
      <c r="AI324" s="213"/>
      <c r="AJ324" s="215"/>
      <c r="AK324" s="213"/>
      <c r="AL324" s="215"/>
      <c r="AM324" s="213"/>
      <c r="AN324" s="215"/>
      <c r="AO324" s="213"/>
      <c r="AP324" s="215"/>
      <c r="AQ324" s="213"/>
      <c r="AR324" s="215"/>
      <c r="AS324" s="213"/>
      <c r="AT324" s="215"/>
      <c r="AU324" s="213"/>
      <c r="AV324" s="215"/>
      <c r="AW324" s="213"/>
      <c r="AX324" s="213"/>
      <c r="AY324" s="213"/>
      <c r="AZ324" s="326"/>
      <c r="BA324" s="213"/>
      <c r="BB324" s="215"/>
      <c r="BC324" s="213"/>
      <c r="BD324" s="213"/>
      <c r="BE324" s="213"/>
      <c r="BF324" s="213"/>
      <c r="BG324" s="213"/>
      <c r="BH324" s="213"/>
      <c r="BI324" s="213"/>
      <c r="BJ324" s="213"/>
      <c r="BK324" s="213"/>
      <c r="BL324" s="213"/>
      <c r="BM324" s="213"/>
      <c r="BN324" s="213"/>
      <c r="BO324" s="213"/>
      <c r="BP324" s="213"/>
      <c r="BQ324" s="213"/>
      <c r="BR324" s="213"/>
      <c r="BS324" s="213"/>
      <c r="BT324" s="213"/>
      <c r="BU324" s="213"/>
      <c r="BV324" s="213"/>
      <c r="BW324" s="213"/>
    </row>
    <row r="325" ht="15.75" customHeight="1">
      <c r="A325" s="213"/>
      <c r="B325" s="213"/>
      <c r="C325" s="213"/>
      <c r="D325" s="213"/>
      <c r="E325" s="213"/>
      <c r="F325" s="215"/>
      <c r="G325" s="213"/>
      <c r="H325" s="325"/>
      <c r="I325" s="213"/>
      <c r="J325" s="325"/>
      <c r="K325" s="213"/>
      <c r="L325" s="215"/>
      <c r="M325" s="213"/>
      <c r="N325" s="215"/>
      <c r="O325" s="213"/>
      <c r="P325" s="215"/>
      <c r="Q325" s="213"/>
      <c r="R325" s="949"/>
      <c r="S325" s="213"/>
      <c r="T325" s="215"/>
      <c r="U325" s="213"/>
      <c r="V325" s="215"/>
      <c r="W325" s="213"/>
      <c r="X325" s="325"/>
      <c r="Y325" s="213"/>
      <c r="Z325" s="215"/>
      <c r="AA325" s="213"/>
      <c r="AB325" s="215"/>
      <c r="AC325" s="213"/>
      <c r="AD325" s="215"/>
      <c r="AE325" s="213"/>
      <c r="AF325" s="215"/>
      <c r="AG325" s="213"/>
      <c r="AH325" s="215"/>
      <c r="AI325" s="213"/>
      <c r="AJ325" s="215"/>
      <c r="AK325" s="213"/>
      <c r="AL325" s="215"/>
      <c r="AM325" s="213"/>
      <c r="AN325" s="215"/>
      <c r="AO325" s="213"/>
      <c r="AP325" s="215"/>
      <c r="AQ325" s="213"/>
      <c r="AR325" s="215"/>
      <c r="AS325" s="213"/>
      <c r="AT325" s="215"/>
      <c r="AU325" s="213"/>
      <c r="AV325" s="215"/>
      <c r="AW325" s="213"/>
      <c r="AX325" s="213"/>
      <c r="AY325" s="213"/>
      <c r="AZ325" s="326"/>
      <c r="BA325" s="213"/>
      <c r="BB325" s="215"/>
      <c r="BC325" s="213"/>
      <c r="BD325" s="213"/>
      <c r="BE325" s="213"/>
      <c r="BF325" s="213"/>
      <c r="BG325" s="213"/>
      <c r="BH325" s="213"/>
      <c r="BI325" s="213"/>
      <c r="BJ325" s="213"/>
      <c r="BK325" s="213"/>
      <c r="BL325" s="213"/>
      <c r="BM325" s="213"/>
      <c r="BN325" s="213"/>
      <c r="BO325" s="213"/>
      <c r="BP325" s="213"/>
      <c r="BQ325" s="213"/>
      <c r="BR325" s="213"/>
      <c r="BS325" s="213"/>
      <c r="BT325" s="213"/>
      <c r="BU325" s="213"/>
      <c r="BV325" s="213"/>
      <c r="BW325" s="213"/>
    </row>
    <row r="326" ht="15.75" customHeight="1">
      <c r="A326" s="213"/>
      <c r="B326" s="213"/>
      <c r="C326" s="213"/>
      <c r="D326" s="213"/>
      <c r="E326" s="213"/>
      <c r="F326" s="215"/>
      <c r="G326" s="213"/>
      <c r="H326" s="325"/>
      <c r="I326" s="213"/>
      <c r="J326" s="325"/>
      <c r="K326" s="213"/>
      <c r="L326" s="215"/>
      <c r="M326" s="213"/>
      <c r="N326" s="215"/>
      <c r="O326" s="213"/>
      <c r="P326" s="215"/>
      <c r="Q326" s="213"/>
      <c r="R326" s="949"/>
      <c r="S326" s="213"/>
      <c r="T326" s="215"/>
      <c r="U326" s="213"/>
      <c r="V326" s="215"/>
      <c r="W326" s="213"/>
      <c r="X326" s="325"/>
      <c r="Y326" s="213"/>
      <c r="Z326" s="215"/>
      <c r="AA326" s="213"/>
      <c r="AB326" s="215"/>
      <c r="AC326" s="213"/>
      <c r="AD326" s="215"/>
      <c r="AE326" s="213"/>
      <c r="AF326" s="215"/>
      <c r="AG326" s="213"/>
      <c r="AH326" s="215"/>
      <c r="AI326" s="213"/>
      <c r="AJ326" s="215"/>
      <c r="AK326" s="213"/>
      <c r="AL326" s="215"/>
      <c r="AM326" s="213"/>
      <c r="AN326" s="215"/>
      <c r="AO326" s="213"/>
      <c r="AP326" s="215"/>
      <c r="AQ326" s="213"/>
      <c r="AR326" s="215"/>
      <c r="AS326" s="213"/>
      <c r="AT326" s="215"/>
      <c r="AU326" s="213"/>
      <c r="AV326" s="215"/>
      <c r="AW326" s="213"/>
      <c r="AX326" s="213"/>
      <c r="AY326" s="213"/>
      <c r="AZ326" s="326"/>
      <c r="BA326" s="213"/>
      <c r="BB326" s="215"/>
      <c r="BC326" s="213"/>
      <c r="BD326" s="213"/>
      <c r="BE326" s="213"/>
      <c r="BF326" s="213"/>
      <c r="BG326" s="213"/>
      <c r="BH326" s="213"/>
      <c r="BI326" s="213"/>
      <c r="BJ326" s="213"/>
      <c r="BK326" s="213"/>
      <c r="BL326" s="213"/>
      <c r="BM326" s="213"/>
      <c r="BN326" s="213"/>
      <c r="BO326" s="213"/>
      <c r="BP326" s="213"/>
      <c r="BQ326" s="213"/>
      <c r="BR326" s="213"/>
      <c r="BS326" s="213"/>
      <c r="BT326" s="213"/>
      <c r="BU326" s="213"/>
      <c r="BV326" s="213"/>
      <c r="BW326" s="213"/>
    </row>
    <row r="327" ht="15.75" customHeight="1">
      <c r="A327" s="213"/>
      <c r="B327" s="213"/>
      <c r="C327" s="213"/>
      <c r="D327" s="213"/>
      <c r="E327" s="213"/>
      <c r="F327" s="215"/>
      <c r="G327" s="213"/>
      <c r="H327" s="325"/>
      <c r="I327" s="213"/>
      <c r="J327" s="325"/>
      <c r="K327" s="213"/>
      <c r="L327" s="215"/>
      <c r="M327" s="213"/>
      <c r="N327" s="215"/>
      <c r="O327" s="213"/>
      <c r="P327" s="215"/>
      <c r="Q327" s="213"/>
      <c r="R327" s="949"/>
      <c r="S327" s="213"/>
      <c r="T327" s="215"/>
      <c r="U327" s="213"/>
      <c r="V327" s="215"/>
      <c r="W327" s="213"/>
      <c r="X327" s="325"/>
      <c r="Y327" s="213"/>
      <c r="Z327" s="215"/>
      <c r="AA327" s="213"/>
      <c r="AB327" s="215"/>
      <c r="AC327" s="213"/>
      <c r="AD327" s="215"/>
      <c r="AE327" s="213"/>
      <c r="AF327" s="215"/>
      <c r="AG327" s="213"/>
      <c r="AH327" s="215"/>
      <c r="AI327" s="213"/>
      <c r="AJ327" s="215"/>
      <c r="AK327" s="213"/>
      <c r="AL327" s="215"/>
      <c r="AM327" s="213"/>
      <c r="AN327" s="215"/>
      <c r="AO327" s="213"/>
      <c r="AP327" s="215"/>
      <c r="AQ327" s="213"/>
      <c r="AR327" s="215"/>
      <c r="AS327" s="213"/>
      <c r="AT327" s="215"/>
      <c r="AU327" s="213"/>
      <c r="AV327" s="215"/>
      <c r="AW327" s="213"/>
      <c r="AX327" s="213"/>
      <c r="AY327" s="213"/>
      <c r="AZ327" s="326"/>
      <c r="BA327" s="213"/>
      <c r="BB327" s="215"/>
      <c r="BC327" s="213"/>
      <c r="BD327" s="213"/>
      <c r="BE327" s="213"/>
      <c r="BF327" s="213"/>
      <c r="BG327" s="213"/>
      <c r="BH327" s="213"/>
      <c r="BI327" s="213"/>
      <c r="BJ327" s="213"/>
      <c r="BK327" s="213"/>
      <c r="BL327" s="213"/>
      <c r="BM327" s="213"/>
      <c r="BN327" s="213"/>
      <c r="BO327" s="213"/>
      <c r="BP327" s="213"/>
      <c r="BQ327" s="213"/>
      <c r="BR327" s="213"/>
      <c r="BS327" s="213"/>
      <c r="BT327" s="213"/>
      <c r="BU327" s="213"/>
      <c r="BV327" s="213"/>
      <c r="BW327" s="213"/>
    </row>
    <row r="328" ht="15.75" customHeight="1">
      <c r="A328" s="213"/>
      <c r="B328" s="213"/>
      <c r="C328" s="213"/>
      <c r="D328" s="213"/>
      <c r="E328" s="213"/>
      <c r="F328" s="215"/>
      <c r="G328" s="213"/>
      <c r="H328" s="325"/>
      <c r="I328" s="213"/>
      <c r="J328" s="325"/>
      <c r="K328" s="213"/>
      <c r="L328" s="215"/>
      <c r="M328" s="213"/>
      <c r="N328" s="215"/>
      <c r="O328" s="213"/>
      <c r="P328" s="215"/>
      <c r="Q328" s="213"/>
      <c r="R328" s="949"/>
      <c r="S328" s="213"/>
      <c r="T328" s="215"/>
      <c r="U328" s="213"/>
      <c r="V328" s="215"/>
      <c r="W328" s="213"/>
      <c r="X328" s="325"/>
      <c r="Y328" s="213"/>
      <c r="Z328" s="215"/>
      <c r="AA328" s="213"/>
      <c r="AB328" s="215"/>
      <c r="AC328" s="213"/>
      <c r="AD328" s="215"/>
      <c r="AE328" s="213"/>
      <c r="AF328" s="215"/>
      <c r="AG328" s="213"/>
      <c r="AH328" s="215"/>
      <c r="AI328" s="213"/>
      <c r="AJ328" s="215"/>
      <c r="AK328" s="213"/>
      <c r="AL328" s="215"/>
      <c r="AM328" s="213"/>
      <c r="AN328" s="215"/>
      <c r="AO328" s="213"/>
      <c r="AP328" s="215"/>
      <c r="AQ328" s="213"/>
      <c r="AR328" s="215"/>
      <c r="AS328" s="213"/>
      <c r="AT328" s="215"/>
      <c r="AU328" s="213"/>
      <c r="AV328" s="215"/>
      <c r="AW328" s="213"/>
      <c r="AX328" s="213"/>
      <c r="AY328" s="213"/>
      <c r="AZ328" s="326"/>
      <c r="BA328" s="213"/>
      <c r="BB328" s="215"/>
      <c r="BC328" s="213"/>
      <c r="BD328" s="213"/>
      <c r="BE328" s="213"/>
      <c r="BF328" s="213"/>
      <c r="BG328" s="213"/>
      <c r="BH328" s="213"/>
      <c r="BI328" s="213"/>
      <c r="BJ328" s="213"/>
      <c r="BK328" s="213"/>
      <c r="BL328" s="213"/>
      <c r="BM328" s="213"/>
      <c r="BN328" s="213"/>
      <c r="BO328" s="213"/>
      <c r="BP328" s="213"/>
      <c r="BQ328" s="213"/>
      <c r="BR328" s="213"/>
      <c r="BS328" s="213"/>
      <c r="BT328" s="213"/>
      <c r="BU328" s="213"/>
      <c r="BV328" s="213"/>
      <c r="BW328" s="213"/>
    </row>
    <row r="329" ht="15.75" customHeight="1">
      <c r="A329" s="213"/>
      <c r="B329" s="213"/>
      <c r="C329" s="213"/>
      <c r="D329" s="213"/>
      <c r="E329" s="213"/>
      <c r="F329" s="215"/>
      <c r="G329" s="213"/>
      <c r="H329" s="325"/>
      <c r="I329" s="213"/>
      <c r="J329" s="325"/>
      <c r="K329" s="213"/>
      <c r="L329" s="215"/>
      <c r="M329" s="213"/>
      <c r="N329" s="215"/>
      <c r="O329" s="213"/>
      <c r="P329" s="215"/>
      <c r="Q329" s="213"/>
      <c r="R329" s="949"/>
      <c r="S329" s="213"/>
      <c r="T329" s="215"/>
      <c r="U329" s="213"/>
      <c r="V329" s="215"/>
      <c r="W329" s="213"/>
      <c r="X329" s="325"/>
      <c r="Y329" s="213"/>
      <c r="Z329" s="215"/>
      <c r="AA329" s="213"/>
      <c r="AB329" s="215"/>
      <c r="AC329" s="213"/>
      <c r="AD329" s="215"/>
      <c r="AE329" s="213"/>
      <c r="AF329" s="215"/>
      <c r="AG329" s="213"/>
      <c r="AH329" s="215"/>
      <c r="AI329" s="213"/>
      <c r="AJ329" s="215"/>
      <c r="AK329" s="213"/>
      <c r="AL329" s="215"/>
      <c r="AM329" s="213"/>
      <c r="AN329" s="215"/>
      <c r="AO329" s="213"/>
      <c r="AP329" s="215"/>
      <c r="AQ329" s="213"/>
      <c r="AR329" s="215"/>
      <c r="AS329" s="213"/>
      <c r="AT329" s="215"/>
      <c r="AU329" s="213"/>
      <c r="AV329" s="215"/>
      <c r="AW329" s="213"/>
      <c r="AX329" s="213"/>
      <c r="AY329" s="213"/>
      <c r="AZ329" s="326"/>
      <c r="BA329" s="213"/>
      <c r="BB329" s="215"/>
      <c r="BC329" s="213"/>
      <c r="BD329" s="213"/>
      <c r="BE329" s="213"/>
      <c r="BF329" s="213"/>
      <c r="BG329" s="213"/>
      <c r="BH329" s="213"/>
      <c r="BI329" s="213"/>
      <c r="BJ329" s="213"/>
      <c r="BK329" s="213"/>
      <c r="BL329" s="213"/>
      <c r="BM329" s="213"/>
      <c r="BN329" s="213"/>
      <c r="BO329" s="213"/>
      <c r="BP329" s="213"/>
      <c r="BQ329" s="213"/>
      <c r="BR329" s="213"/>
      <c r="BS329" s="213"/>
      <c r="BT329" s="213"/>
      <c r="BU329" s="213"/>
      <c r="BV329" s="213"/>
      <c r="BW329" s="213"/>
    </row>
    <row r="330" ht="15.75" customHeight="1">
      <c r="A330" s="213"/>
      <c r="B330" s="213"/>
      <c r="C330" s="213"/>
      <c r="D330" s="213"/>
      <c r="E330" s="213"/>
      <c r="F330" s="215"/>
      <c r="G330" s="213"/>
      <c r="H330" s="325"/>
      <c r="I330" s="213"/>
      <c r="J330" s="325"/>
      <c r="K330" s="213"/>
      <c r="L330" s="215"/>
      <c r="M330" s="213"/>
      <c r="N330" s="215"/>
      <c r="O330" s="213"/>
      <c r="P330" s="215"/>
      <c r="Q330" s="213"/>
      <c r="R330" s="949"/>
      <c r="S330" s="213"/>
      <c r="T330" s="215"/>
      <c r="U330" s="213"/>
      <c r="V330" s="215"/>
      <c r="W330" s="213"/>
      <c r="X330" s="325"/>
      <c r="Y330" s="213"/>
      <c r="Z330" s="215"/>
      <c r="AA330" s="213"/>
      <c r="AB330" s="215"/>
      <c r="AC330" s="213"/>
      <c r="AD330" s="215"/>
      <c r="AE330" s="213"/>
      <c r="AF330" s="215"/>
      <c r="AG330" s="213"/>
      <c r="AH330" s="215"/>
      <c r="AI330" s="213"/>
      <c r="AJ330" s="215"/>
      <c r="AK330" s="213"/>
      <c r="AL330" s="215"/>
      <c r="AM330" s="213"/>
      <c r="AN330" s="215"/>
      <c r="AO330" s="213"/>
      <c r="AP330" s="215"/>
      <c r="AQ330" s="213"/>
      <c r="AR330" s="215"/>
      <c r="AS330" s="213"/>
      <c r="AT330" s="215"/>
      <c r="AU330" s="213"/>
      <c r="AV330" s="215"/>
      <c r="AW330" s="213"/>
      <c r="AX330" s="213"/>
      <c r="AY330" s="213"/>
      <c r="AZ330" s="326"/>
      <c r="BA330" s="213"/>
      <c r="BB330" s="215"/>
      <c r="BC330" s="213"/>
      <c r="BD330" s="213"/>
      <c r="BE330" s="213"/>
      <c r="BF330" s="213"/>
      <c r="BG330" s="213"/>
      <c r="BH330" s="213"/>
      <c r="BI330" s="213"/>
      <c r="BJ330" s="213"/>
      <c r="BK330" s="213"/>
      <c r="BL330" s="213"/>
      <c r="BM330" s="213"/>
      <c r="BN330" s="213"/>
      <c r="BO330" s="213"/>
      <c r="BP330" s="213"/>
      <c r="BQ330" s="213"/>
      <c r="BR330" s="213"/>
      <c r="BS330" s="213"/>
      <c r="BT330" s="213"/>
      <c r="BU330" s="213"/>
      <c r="BV330" s="213"/>
      <c r="BW330" s="213"/>
    </row>
    <row r="331" ht="15.75" customHeight="1">
      <c r="A331" s="213"/>
      <c r="B331" s="213"/>
      <c r="C331" s="213"/>
      <c r="D331" s="213"/>
      <c r="E331" s="213"/>
      <c r="F331" s="215"/>
      <c r="G331" s="213"/>
      <c r="H331" s="325"/>
      <c r="I331" s="213"/>
      <c r="J331" s="325"/>
      <c r="K331" s="213"/>
      <c r="L331" s="215"/>
      <c r="M331" s="213"/>
      <c r="N331" s="215"/>
      <c r="O331" s="213"/>
      <c r="P331" s="215"/>
      <c r="Q331" s="213"/>
      <c r="R331" s="949"/>
      <c r="S331" s="213"/>
      <c r="T331" s="215"/>
      <c r="U331" s="213"/>
      <c r="V331" s="215"/>
      <c r="W331" s="213"/>
      <c r="X331" s="325"/>
      <c r="Y331" s="213"/>
      <c r="Z331" s="215"/>
      <c r="AA331" s="213"/>
      <c r="AB331" s="215"/>
      <c r="AC331" s="213"/>
      <c r="AD331" s="215"/>
      <c r="AE331" s="213"/>
      <c r="AF331" s="215"/>
      <c r="AG331" s="213"/>
      <c r="AH331" s="215"/>
      <c r="AI331" s="213"/>
      <c r="AJ331" s="215"/>
      <c r="AK331" s="213"/>
      <c r="AL331" s="215"/>
      <c r="AM331" s="213"/>
      <c r="AN331" s="215"/>
      <c r="AO331" s="213"/>
      <c r="AP331" s="215"/>
      <c r="AQ331" s="213"/>
      <c r="AR331" s="215"/>
      <c r="AS331" s="213"/>
      <c r="AT331" s="215"/>
      <c r="AU331" s="213"/>
      <c r="AV331" s="215"/>
      <c r="AW331" s="213"/>
      <c r="AX331" s="213"/>
      <c r="AY331" s="213"/>
      <c r="AZ331" s="326"/>
      <c r="BA331" s="213"/>
      <c r="BB331" s="215"/>
      <c r="BC331" s="213"/>
      <c r="BD331" s="213"/>
      <c r="BE331" s="213"/>
      <c r="BF331" s="213"/>
      <c r="BG331" s="213"/>
      <c r="BH331" s="213"/>
      <c r="BI331" s="213"/>
      <c r="BJ331" s="213"/>
      <c r="BK331" s="213"/>
      <c r="BL331" s="213"/>
      <c r="BM331" s="213"/>
      <c r="BN331" s="213"/>
      <c r="BO331" s="213"/>
      <c r="BP331" s="213"/>
      <c r="BQ331" s="213"/>
      <c r="BR331" s="213"/>
      <c r="BS331" s="213"/>
      <c r="BT331" s="213"/>
      <c r="BU331" s="213"/>
      <c r="BV331" s="213"/>
      <c r="BW331" s="213"/>
    </row>
    <row r="332" ht="15.75" customHeight="1">
      <c r="A332" s="213"/>
      <c r="B332" s="213"/>
      <c r="C332" s="213"/>
      <c r="D332" s="213"/>
      <c r="E332" s="213"/>
      <c r="F332" s="215"/>
      <c r="G332" s="213"/>
      <c r="H332" s="325"/>
      <c r="I332" s="213"/>
      <c r="J332" s="325"/>
      <c r="K332" s="213"/>
      <c r="L332" s="215"/>
      <c r="M332" s="213"/>
      <c r="N332" s="215"/>
      <c r="O332" s="213"/>
      <c r="P332" s="215"/>
      <c r="Q332" s="213"/>
      <c r="R332" s="949"/>
      <c r="S332" s="213"/>
      <c r="T332" s="215"/>
      <c r="U332" s="213"/>
      <c r="V332" s="215"/>
      <c r="W332" s="213"/>
      <c r="X332" s="325"/>
      <c r="Y332" s="213"/>
      <c r="Z332" s="215"/>
      <c r="AA332" s="213"/>
      <c r="AB332" s="215"/>
      <c r="AC332" s="213"/>
      <c r="AD332" s="215"/>
      <c r="AE332" s="213"/>
      <c r="AF332" s="215"/>
      <c r="AG332" s="213"/>
      <c r="AH332" s="215"/>
      <c r="AI332" s="213"/>
      <c r="AJ332" s="215"/>
      <c r="AK332" s="213"/>
      <c r="AL332" s="215"/>
      <c r="AM332" s="213"/>
      <c r="AN332" s="215"/>
      <c r="AO332" s="213"/>
      <c r="AP332" s="215"/>
      <c r="AQ332" s="213"/>
      <c r="AR332" s="215"/>
      <c r="AS332" s="213"/>
      <c r="AT332" s="215"/>
      <c r="AU332" s="213"/>
      <c r="AV332" s="215"/>
      <c r="AW332" s="213"/>
      <c r="AX332" s="213"/>
      <c r="AY332" s="213"/>
      <c r="AZ332" s="326"/>
      <c r="BA332" s="213"/>
      <c r="BB332" s="215"/>
      <c r="BC332" s="213"/>
      <c r="BD332" s="213"/>
      <c r="BE332" s="213"/>
      <c r="BF332" s="213"/>
      <c r="BG332" s="213"/>
      <c r="BH332" s="213"/>
      <c r="BI332" s="213"/>
      <c r="BJ332" s="213"/>
      <c r="BK332" s="213"/>
      <c r="BL332" s="213"/>
      <c r="BM332" s="213"/>
      <c r="BN332" s="213"/>
      <c r="BO332" s="213"/>
      <c r="BP332" s="213"/>
      <c r="BQ332" s="213"/>
      <c r="BR332" s="213"/>
      <c r="BS332" s="213"/>
      <c r="BT332" s="213"/>
      <c r="BU332" s="213"/>
      <c r="BV332" s="213"/>
      <c r="BW332" s="213"/>
    </row>
    <row r="333" ht="15.75" customHeight="1">
      <c r="A333" s="213"/>
      <c r="B333" s="213"/>
      <c r="C333" s="213"/>
      <c r="D333" s="213"/>
      <c r="E333" s="213"/>
      <c r="F333" s="215"/>
      <c r="G333" s="213"/>
      <c r="H333" s="325"/>
      <c r="I333" s="213"/>
      <c r="J333" s="325"/>
      <c r="K333" s="213"/>
      <c r="L333" s="215"/>
      <c r="M333" s="213"/>
      <c r="N333" s="215"/>
      <c r="O333" s="213"/>
      <c r="P333" s="215"/>
      <c r="Q333" s="213"/>
      <c r="R333" s="949"/>
      <c r="S333" s="213"/>
      <c r="T333" s="215"/>
      <c r="U333" s="213"/>
      <c r="V333" s="215"/>
      <c r="W333" s="213"/>
      <c r="X333" s="325"/>
      <c r="Y333" s="213"/>
      <c r="Z333" s="215"/>
      <c r="AA333" s="213"/>
      <c r="AB333" s="215"/>
      <c r="AC333" s="213"/>
      <c r="AD333" s="215"/>
      <c r="AE333" s="213"/>
      <c r="AF333" s="215"/>
      <c r="AG333" s="213"/>
      <c r="AH333" s="215"/>
      <c r="AI333" s="213"/>
      <c r="AJ333" s="215"/>
      <c r="AK333" s="213"/>
      <c r="AL333" s="215"/>
      <c r="AM333" s="213"/>
      <c r="AN333" s="215"/>
      <c r="AO333" s="213"/>
      <c r="AP333" s="215"/>
      <c r="AQ333" s="213"/>
      <c r="AR333" s="215"/>
      <c r="AS333" s="213"/>
      <c r="AT333" s="215"/>
      <c r="AU333" s="213"/>
      <c r="AV333" s="215"/>
      <c r="AW333" s="213"/>
      <c r="AX333" s="213"/>
      <c r="AY333" s="213"/>
      <c r="AZ333" s="326"/>
      <c r="BA333" s="213"/>
      <c r="BB333" s="215"/>
      <c r="BC333" s="213"/>
      <c r="BD333" s="213"/>
      <c r="BE333" s="213"/>
      <c r="BF333" s="213"/>
      <c r="BG333" s="213"/>
      <c r="BH333" s="213"/>
      <c r="BI333" s="213"/>
      <c r="BJ333" s="213"/>
      <c r="BK333" s="213"/>
      <c r="BL333" s="213"/>
      <c r="BM333" s="213"/>
      <c r="BN333" s="213"/>
      <c r="BO333" s="213"/>
      <c r="BP333" s="213"/>
      <c r="BQ333" s="213"/>
      <c r="BR333" s="213"/>
      <c r="BS333" s="213"/>
      <c r="BT333" s="213"/>
      <c r="BU333" s="213"/>
      <c r="BV333" s="213"/>
      <c r="BW333" s="213"/>
    </row>
    <row r="334" ht="15.75" customHeight="1">
      <c r="A334" s="213"/>
      <c r="B334" s="213"/>
      <c r="C334" s="213"/>
      <c r="D334" s="213"/>
      <c r="E334" s="213"/>
      <c r="F334" s="215"/>
      <c r="G334" s="213"/>
      <c r="H334" s="325"/>
      <c r="I334" s="213"/>
      <c r="J334" s="325"/>
      <c r="K334" s="213"/>
      <c r="L334" s="215"/>
      <c r="M334" s="213"/>
      <c r="N334" s="215"/>
      <c r="O334" s="213"/>
      <c r="P334" s="215"/>
      <c r="Q334" s="213"/>
      <c r="R334" s="949"/>
      <c r="S334" s="213"/>
      <c r="T334" s="215"/>
      <c r="U334" s="213"/>
      <c r="V334" s="215"/>
      <c r="W334" s="213"/>
      <c r="X334" s="325"/>
      <c r="Y334" s="213"/>
      <c r="Z334" s="215"/>
      <c r="AA334" s="213"/>
      <c r="AB334" s="215"/>
      <c r="AC334" s="213"/>
      <c r="AD334" s="215"/>
      <c r="AE334" s="213"/>
      <c r="AF334" s="215"/>
      <c r="AG334" s="213"/>
      <c r="AH334" s="215"/>
      <c r="AI334" s="213"/>
      <c r="AJ334" s="215"/>
      <c r="AK334" s="213"/>
      <c r="AL334" s="215"/>
      <c r="AM334" s="213"/>
      <c r="AN334" s="215"/>
      <c r="AO334" s="213"/>
      <c r="AP334" s="215"/>
      <c r="AQ334" s="213"/>
      <c r="AR334" s="215"/>
      <c r="AS334" s="213"/>
      <c r="AT334" s="215"/>
      <c r="AU334" s="213"/>
      <c r="AV334" s="215"/>
      <c r="AW334" s="213"/>
      <c r="AX334" s="213"/>
      <c r="AY334" s="213"/>
      <c r="AZ334" s="326"/>
      <c r="BA334" s="213"/>
      <c r="BB334" s="215"/>
      <c r="BC334" s="213"/>
      <c r="BD334" s="213"/>
      <c r="BE334" s="213"/>
      <c r="BF334" s="213"/>
      <c r="BG334" s="213"/>
      <c r="BH334" s="213"/>
      <c r="BI334" s="213"/>
      <c r="BJ334" s="213"/>
      <c r="BK334" s="213"/>
      <c r="BL334" s="213"/>
      <c r="BM334" s="213"/>
      <c r="BN334" s="213"/>
      <c r="BO334" s="213"/>
      <c r="BP334" s="213"/>
      <c r="BQ334" s="213"/>
      <c r="BR334" s="213"/>
      <c r="BS334" s="213"/>
      <c r="BT334" s="213"/>
      <c r="BU334" s="213"/>
      <c r="BV334" s="213"/>
      <c r="BW334" s="213"/>
    </row>
    <row r="335" ht="15.75" customHeight="1">
      <c r="A335" s="213"/>
      <c r="B335" s="213"/>
      <c r="C335" s="213"/>
      <c r="D335" s="213"/>
      <c r="E335" s="213"/>
      <c r="F335" s="215"/>
      <c r="G335" s="213"/>
      <c r="H335" s="325"/>
      <c r="I335" s="213"/>
      <c r="J335" s="325"/>
      <c r="K335" s="213"/>
      <c r="L335" s="215"/>
      <c r="M335" s="213"/>
      <c r="N335" s="215"/>
      <c r="O335" s="213"/>
      <c r="P335" s="215"/>
      <c r="Q335" s="213"/>
      <c r="R335" s="949"/>
      <c r="S335" s="213"/>
      <c r="T335" s="215"/>
      <c r="U335" s="213"/>
      <c r="V335" s="215"/>
      <c r="W335" s="213"/>
      <c r="X335" s="325"/>
      <c r="Y335" s="213"/>
      <c r="Z335" s="215"/>
      <c r="AA335" s="213"/>
      <c r="AB335" s="215"/>
      <c r="AC335" s="213"/>
      <c r="AD335" s="215"/>
      <c r="AE335" s="213"/>
      <c r="AF335" s="215"/>
      <c r="AG335" s="213"/>
      <c r="AH335" s="215"/>
      <c r="AI335" s="213"/>
      <c r="AJ335" s="215"/>
      <c r="AK335" s="213"/>
      <c r="AL335" s="215"/>
      <c r="AM335" s="213"/>
      <c r="AN335" s="215"/>
      <c r="AO335" s="213"/>
      <c r="AP335" s="215"/>
      <c r="AQ335" s="213"/>
      <c r="AR335" s="215"/>
      <c r="AS335" s="213"/>
      <c r="AT335" s="215"/>
      <c r="AU335" s="213"/>
      <c r="AV335" s="215"/>
      <c r="AW335" s="213"/>
      <c r="AX335" s="213"/>
      <c r="AY335" s="213"/>
      <c r="AZ335" s="326"/>
      <c r="BA335" s="213"/>
      <c r="BB335" s="215"/>
      <c r="BC335" s="213"/>
      <c r="BD335" s="213"/>
      <c r="BE335" s="213"/>
      <c r="BF335" s="213"/>
      <c r="BG335" s="213"/>
      <c r="BH335" s="213"/>
      <c r="BI335" s="213"/>
      <c r="BJ335" s="213"/>
      <c r="BK335" s="213"/>
      <c r="BL335" s="213"/>
      <c r="BM335" s="213"/>
      <c r="BN335" s="213"/>
      <c r="BO335" s="213"/>
      <c r="BP335" s="213"/>
      <c r="BQ335" s="213"/>
      <c r="BR335" s="213"/>
      <c r="BS335" s="213"/>
      <c r="BT335" s="213"/>
      <c r="BU335" s="213"/>
      <c r="BV335" s="213"/>
      <c r="BW335" s="213"/>
    </row>
    <row r="336" ht="15.75" customHeight="1">
      <c r="A336" s="213"/>
      <c r="B336" s="213"/>
      <c r="C336" s="213"/>
      <c r="D336" s="213"/>
      <c r="E336" s="213"/>
      <c r="F336" s="215"/>
      <c r="G336" s="213"/>
      <c r="H336" s="325"/>
      <c r="I336" s="213"/>
      <c r="J336" s="325"/>
      <c r="K336" s="213"/>
      <c r="L336" s="215"/>
      <c r="M336" s="213"/>
      <c r="N336" s="215"/>
      <c r="O336" s="213"/>
      <c r="P336" s="215"/>
      <c r="Q336" s="213"/>
      <c r="R336" s="949"/>
      <c r="S336" s="213"/>
      <c r="T336" s="215"/>
      <c r="U336" s="213"/>
      <c r="V336" s="215"/>
      <c r="W336" s="213"/>
      <c r="X336" s="325"/>
      <c r="Y336" s="213"/>
      <c r="Z336" s="215"/>
      <c r="AA336" s="213"/>
      <c r="AB336" s="215"/>
      <c r="AC336" s="213"/>
      <c r="AD336" s="215"/>
      <c r="AE336" s="213"/>
      <c r="AF336" s="215"/>
      <c r="AG336" s="213"/>
      <c r="AH336" s="215"/>
      <c r="AI336" s="213"/>
      <c r="AJ336" s="215"/>
      <c r="AK336" s="213"/>
      <c r="AL336" s="215"/>
      <c r="AM336" s="213"/>
      <c r="AN336" s="215"/>
      <c r="AO336" s="213"/>
      <c r="AP336" s="215"/>
      <c r="AQ336" s="213"/>
      <c r="AR336" s="215"/>
      <c r="AS336" s="213"/>
      <c r="AT336" s="215"/>
      <c r="AU336" s="213"/>
      <c r="AV336" s="215"/>
      <c r="AW336" s="213"/>
      <c r="AX336" s="213"/>
      <c r="AY336" s="213"/>
      <c r="AZ336" s="326"/>
      <c r="BA336" s="213"/>
      <c r="BB336" s="215"/>
      <c r="BC336" s="213"/>
      <c r="BD336" s="213"/>
      <c r="BE336" s="213"/>
      <c r="BF336" s="213"/>
      <c r="BG336" s="213"/>
      <c r="BH336" s="213"/>
      <c r="BI336" s="213"/>
      <c r="BJ336" s="213"/>
      <c r="BK336" s="213"/>
      <c r="BL336" s="213"/>
      <c r="BM336" s="213"/>
      <c r="BN336" s="213"/>
      <c r="BO336" s="213"/>
      <c r="BP336" s="213"/>
      <c r="BQ336" s="213"/>
      <c r="BR336" s="213"/>
      <c r="BS336" s="213"/>
      <c r="BT336" s="213"/>
      <c r="BU336" s="213"/>
      <c r="BV336" s="213"/>
      <c r="BW336" s="213"/>
    </row>
    <row r="337" ht="15.75" customHeight="1">
      <c r="A337" s="213"/>
      <c r="B337" s="213"/>
      <c r="C337" s="213"/>
      <c r="D337" s="213"/>
      <c r="E337" s="213"/>
      <c r="F337" s="215"/>
      <c r="G337" s="213"/>
      <c r="H337" s="325"/>
      <c r="I337" s="213"/>
      <c r="J337" s="325"/>
      <c r="K337" s="213"/>
      <c r="L337" s="215"/>
      <c r="M337" s="213"/>
      <c r="N337" s="215"/>
      <c r="O337" s="213"/>
      <c r="P337" s="215"/>
      <c r="Q337" s="213"/>
      <c r="R337" s="949"/>
      <c r="S337" s="213"/>
      <c r="T337" s="215"/>
      <c r="U337" s="213"/>
      <c r="V337" s="215"/>
      <c r="W337" s="213"/>
      <c r="X337" s="325"/>
      <c r="Y337" s="213"/>
      <c r="Z337" s="215"/>
      <c r="AA337" s="213"/>
      <c r="AB337" s="215"/>
      <c r="AC337" s="213"/>
      <c r="AD337" s="215"/>
      <c r="AE337" s="213"/>
      <c r="AF337" s="215"/>
      <c r="AG337" s="213"/>
      <c r="AH337" s="215"/>
      <c r="AI337" s="213"/>
      <c r="AJ337" s="215"/>
      <c r="AK337" s="213"/>
      <c r="AL337" s="215"/>
      <c r="AM337" s="213"/>
      <c r="AN337" s="215"/>
      <c r="AO337" s="213"/>
      <c r="AP337" s="215"/>
      <c r="AQ337" s="213"/>
      <c r="AR337" s="215"/>
      <c r="AS337" s="213"/>
      <c r="AT337" s="215"/>
      <c r="AU337" s="213"/>
      <c r="AV337" s="215"/>
      <c r="AW337" s="213"/>
      <c r="AX337" s="213"/>
      <c r="AY337" s="213"/>
      <c r="AZ337" s="326"/>
      <c r="BA337" s="213"/>
      <c r="BB337" s="215"/>
      <c r="BC337" s="213"/>
      <c r="BD337" s="213"/>
      <c r="BE337" s="213"/>
      <c r="BF337" s="213"/>
      <c r="BG337" s="213"/>
      <c r="BH337" s="213"/>
      <c r="BI337" s="213"/>
      <c r="BJ337" s="213"/>
      <c r="BK337" s="213"/>
      <c r="BL337" s="213"/>
      <c r="BM337" s="213"/>
      <c r="BN337" s="213"/>
      <c r="BO337" s="213"/>
      <c r="BP337" s="213"/>
      <c r="BQ337" s="213"/>
      <c r="BR337" s="213"/>
      <c r="BS337" s="213"/>
      <c r="BT337" s="213"/>
      <c r="BU337" s="213"/>
      <c r="BV337" s="213"/>
      <c r="BW337" s="213"/>
    </row>
    <row r="338" ht="15.75" customHeight="1">
      <c r="A338" s="213"/>
      <c r="B338" s="213"/>
      <c r="C338" s="213"/>
      <c r="D338" s="213"/>
      <c r="E338" s="213"/>
      <c r="F338" s="215"/>
      <c r="G338" s="213"/>
      <c r="H338" s="325"/>
      <c r="I338" s="213"/>
      <c r="J338" s="325"/>
      <c r="K338" s="213"/>
      <c r="L338" s="215"/>
      <c r="M338" s="213"/>
      <c r="N338" s="215"/>
      <c r="O338" s="213"/>
      <c r="P338" s="215"/>
      <c r="Q338" s="213"/>
      <c r="R338" s="949"/>
      <c r="S338" s="213"/>
      <c r="T338" s="215"/>
      <c r="U338" s="213"/>
      <c r="V338" s="215"/>
      <c r="W338" s="213"/>
      <c r="X338" s="325"/>
      <c r="Y338" s="213"/>
      <c r="Z338" s="215"/>
      <c r="AA338" s="213"/>
      <c r="AB338" s="215"/>
      <c r="AC338" s="213"/>
      <c r="AD338" s="215"/>
      <c r="AE338" s="213"/>
      <c r="AF338" s="215"/>
      <c r="AG338" s="213"/>
      <c r="AH338" s="215"/>
      <c r="AI338" s="213"/>
      <c r="AJ338" s="215"/>
      <c r="AK338" s="213"/>
      <c r="AL338" s="215"/>
      <c r="AM338" s="213"/>
      <c r="AN338" s="215"/>
      <c r="AO338" s="213"/>
      <c r="AP338" s="215"/>
      <c r="AQ338" s="213"/>
      <c r="AR338" s="215"/>
      <c r="AS338" s="213"/>
      <c r="AT338" s="215"/>
      <c r="AU338" s="213"/>
      <c r="AV338" s="215"/>
      <c r="AW338" s="213"/>
      <c r="AX338" s="213"/>
      <c r="AY338" s="213"/>
      <c r="AZ338" s="326"/>
      <c r="BA338" s="213"/>
      <c r="BB338" s="215"/>
      <c r="BC338" s="213"/>
      <c r="BD338" s="213"/>
      <c r="BE338" s="213"/>
      <c r="BF338" s="213"/>
      <c r="BG338" s="213"/>
      <c r="BH338" s="213"/>
      <c r="BI338" s="213"/>
      <c r="BJ338" s="213"/>
      <c r="BK338" s="213"/>
      <c r="BL338" s="213"/>
      <c r="BM338" s="213"/>
      <c r="BN338" s="213"/>
      <c r="BO338" s="213"/>
      <c r="BP338" s="213"/>
      <c r="BQ338" s="213"/>
      <c r="BR338" s="213"/>
      <c r="BS338" s="213"/>
      <c r="BT338" s="213"/>
      <c r="BU338" s="213"/>
      <c r="BV338" s="213"/>
      <c r="BW338" s="213"/>
    </row>
    <row r="339" ht="15.75" customHeight="1">
      <c r="A339" s="213"/>
      <c r="B339" s="213"/>
      <c r="C339" s="213"/>
      <c r="D339" s="213"/>
      <c r="E339" s="213"/>
      <c r="F339" s="215"/>
      <c r="G339" s="213"/>
      <c r="H339" s="325"/>
      <c r="I339" s="213"/>
      <c r="J339" s="325"/>
      <c r="K339" s="213"/>
      <c r="L339" s="215"/>
      <c r="M339" s="213"/>
      <c r="N339" s="215"/>
      <c r="O339" s="213"/>
      <c r="P339" s="215"/>
      <c r="Q339" s="213"/>
      <c r="R339" s="949"/>
      <c r="S339" s="213"/>
      <c r="T339" s="215"/>
      <c r="U339" s="213"/>
      <c r="V339" s="215"/>
      <c r="W339" s="213"/>
      <c r="X339" s="325"/>
      <c r="Y339" s="213"/>
      <c r="Z339" s="215"/>
      <c r="AA339" s="213"/>
      <c r="AB339" s="215"/>
      <c r="AC339" s="213"/>
      <c r="AD339" s="215"/>
      <c r="AE339" s="213"/>
      <c r="AF339" s="215"/>
      <c r="AG339" s="213"/>
      <c r="AH339" s="215"/>
      <c r="AI339" s="213"/>
      <c r="AJ339" s="215"/>
      <c r="AK339" s="213"/>
      <c r="AL339" s="215"/>
      <c r="AM339" s="213"/>
      <c r="AN339" s="215"/>
      <c r="AO339" s="213"/>
      <c r="AP339" s="215"/>
      <c r="AQ339" s="213"/>
      <c r="AR339" s="215"/>
      <c r="AS339" s="213"/>
      <c r="AT339" s="215"/>
      <c r="AU339" s="213"/>
      <c r="AV339" s="215"/>
      <c r="AW339" s="213"/>
      <c r="AX339" s="213"/>
      <c r="AY339" s="213"/>
      <c r="AZ339" s="326"/>
      <c r="BA339" s="213"/>
      <c r="BB339" s="215"/>
      <c r="BC339" s="213"/>
      <c r="BD339" s="213"/>
      <c r="BE339" s="213"/>
      <c r="BF339" s="213"/>
      <c r="BG339" s="213"/>
      <c r="BH339" s="213"/>
      <c r="BI339" s="213"/>
      <c r="BJ339" s="213"/>
      <c r="BK339" s="213"/>
      <c r="BL339" s="213"/>
      <c r="BM339" s="213"/>
      <c r="BN339" s="213"/>
      <c r="BO339" s="213"/>
      <c r="BP339" s="213"/>
      <c r="BQ339" s="213"/>
      <c r="BR339" s="213"/>
      <c r="BS339" s="213"/>
      <c r="BT339" s="213"/>
      <c r="BU339" s="213"/>
      <c r="BV339" s="213"/>
      <c r="BW339" s="213"/>
    </row>
    <row r="340" ht="15.75" customHeight="1">
      <c r="A340" s="213"/>
      <c r="B340" s="213"/>
      <c r="C340" s="213"/>
      <c r="D340" s="213"/>
      <c r="E340" s="213"/>
      <c r="F340" s="215"/>
      <c r="G340" s="213"/>
      <c r="H340" s="325"/>
      <c r="I340" s="213"/>
      <c r="J340" s="325"/>
      <c r="K340" s="213"/>
      <c r="L340" s="215"/>
      <c r="M340" s="213"/>
      <c r="N340" s="215"/>
      <c r="O340" s="213"/>
      <c r="P340" s="215"/>
      <c r="Q340" s="213"/>
      <c r="R340" s="949"/>
      <c r="S340" s="213"/>
      <c r="T340" s="215"/>
      <c r="U340" s="213"/>
      <c r="V340" s="215"/>
      <c r="W340" s="213"/>
      <c r="X340" s="325"/>
      <c r="Y340" s="213"/>
      <c r="Z340" s="215"/>
      <c r="AA340" s="213"/>
      <c r="AB340" s="215"/>
      <c r="AC340" s="213"/>
      <c r="AD340" s="215"/>
      <c r="AE340" s="213"/>
      <c r="AF340" s="215"/>
      <c r="AG340" s="213"/>
      <c r="AH340" s="215"/>
      <c r="AI340" s="213"/>
      <c r="AJ340" s="215"/>
      <c r="AK340" s="213"/>
      <c r="AL340" s="215"/>
      <c r="AM340" s="213"/>
      <c r="AN340" s="215"/>
      <c r="AO340" s="213"/>
      <c r="AP340" s="215"/>
      <c r="AQ340" s="213"/>
      <c r="AR340" s="215"/>
      <c r="AS340" s="213"/>
      <c r="AT340" s="215"/>
      <c r="AU340" s="213"/>
      <c r="AV340" s="215"/>
      <c r="AW340" s="213"/>
      <c r="AX340" s="213"/>
      <c r="AY340" s="213"/>
      <c r="AZ340" s="326"/>
      <c r="BA340" s="213"/>
      <c r="BB340" s="215"/>
      <c r="BC340" s="213"/>
      <c r="BD340" s="213"/>
      <c r="BE340" s="213"/>
      <c r="BF340" s="213"/>
      <c r="BG340" s="213"/>
      <c r="BH340" s="213"/>
      <c r="BI340" s="213"/>
      <c r="BJ340" s="213"/>
      <c r="BK340" s="213"/>
      <c r="BL340" s="213"/>
      <c r="BM340" s="213"/>
      <c r="BN340" s="213"/>
      <c r="BO340" s="213"/>
      <c r="BP340" s="213"/>
      <c r="BQ340" s="213"/>
      <c r="BR340" s="213"/>
      <c r="BS340" s="213"/>
      <c r="BT340" s="213"/>
      <c r="BU340" s="213"/>
      <c r="BV340" s="213"/>
      <c r="BW340" s="213"/>
    </row>
    <row r="341" ht="15.75" customHeight="1">
      <c r="A341" s="213"/>
      <c r="B341" s="213"/>
      <c r="C341" s="213"/>
      <c r="D341" s="213"/>
      <c r="E341" s="213"/>
      <c r="F341" s="215"/>
      <c r="G341" s="213"/>
      <c r="H341" s="325"/>
      <c r="I341" s="213"/>
      <c r="J341" s="325"/>
      <c r="K341" s="213"/>
      <c r="L341" s="215"/>
      <c r="M341" s="213"/>
      <c r="N341" s="215"/>
      <c r="O341" s="213"/>
      <c r="P341" s="215"/>
      <c r="Q341" s="213"/>
      <c r="R341" s="949"/>
      <c r="S341" s="213"/>
      <c r="T341" s="215"/>
      <c r="U341" s="213"/>
      <c r="V341" s="215"/>
      <c r="W341" s="213"/>
      <c r="X341" s="325"/>
      <c r="Y341" s="213"/>
      <c r="Z341" s="215"/>
      <c r="AA341" s="213"/>
      <c r="AB341" s="215"/>
      <c r="AC341" s="213"/>
      <c r="AD341" s="215"/>
      <c r="AE341" s="213"/>
      <c r="AF341" s="215"/>
      <c r="AG341" s="213"/>
      <c r="AH341" s="215"/>
      <c r="AI341" s="213"/>
      <c r="AJ341" s="215"/>
      <c r="AK341" s="213"/>
      <c r="AL341" s="215"/>
      <c r="AM341" s="213"/>
      <c r="AN341" s="215"/>
      <c r="AO341" s="213"/>
      <c r="AP341" s="215"/>
      <c r="AQ341" s="213"/>
      <c r="AR341" s="215"/>
      <c r="AS341" s="213"/>
      <c r="AT341" s="215"/>
      <c r="AU341" s="213"/>
      <c r="AV341" s="215"/>
      <c r="AW341" s="213"/>
      <c r="AX341" s="213"/>
      <c r="AY341" s="213"/>
      <c r="AZ341" s="326"/>
      <c r="BA341" s="213"/>
      <c r="BB341" s="215"/>
      <c r="BC341" s="213"/>
      <c r="BD341" s="213"/>
      <c r="BE341" s="213"/>
      <c r="BF341" s="213"/>
      <c r="BG341" s="213"/>
      <c r="BH341" s="213"/>
      <c r="BI341" s="213"/>
      <c r="BJ341" s="213"/>
      <c r="BK341" s="213"/>
      <c r="BL341" s="213"/>
      <c r="BM341" s="213"/>
      <c r="BN341" s="213"/>
      <c r="BO341" s="213"/>
      <c r="BP341" s="213"/>
      <c r="BQ341" s="213"/>
      <c r="BR341" s="213"/>
      <c r="BS341" s="213"/>
      <c r="BT341" s="213"/>
      <c r="BU341" s="213"/>
      <c r="BV341" s="213"/>
      <c r="BW341" s="213"/>
    </row>
    <row r="342" ht="15.75" customHeight="1">
      <c r="A342" s="213"/>
      <c r="B342" s="213"/>
      <c r="C342" s="213"/>
      <c r="D342" s="213"/>
      <c r="E342" s="213"/>
      <c r="F342" s="215"/>
      <c r="G342" s="213"/>
      <c r="H342" s="325"/>
      <c r="I342" s="213"/>
      <c r="J342" s="325"/>
      <c r="K342" s="213"/>
      <c r="L342" s="215"/>
      <c r="M342" s="213"/>
      <c r="N342" s="215"/>
      <c r="O342" s="213"/>
      <c r="P342" s="215"/>
      <c r="Q342" s="213"/>
      <c r="R342" s="949"/>
      <c r="S342" s="213"/>
      <c r="T342" s="215"/>
      <c r="U342" s="213"/>
      <c r="V342" s="215"/>
      <c r="W342" s="213"/>
      <c r="X342" s="325"/>
      <c r="Y342" s="213"/>
      <c r="Z342" s="215"/>
      <c r="AA342" s="213"/>
      <c r="AB342" s="215"/>
      <c r="AC342" s="213"/>
      <c r="AD342" s="215"/>
      <c r="AE342" s="213"/>
      <c r="AF342" s="215"/>
      <c r="AG342" s="213"/>
      <c r="AH342" s="215"/>
      <c r="AI342" s="213"/>
      <c r="AJ342" s="215"/>
      <c r="AK342" s="213"/>
      <c r="AL342" s="215"/>
      <c r="AM342" s="213"/>
      <c r="AN342" s="215"/>
      <c r="AO342" s="213"/>
      <c r="AP342" s="215"/>
      <c r="AQ342" s="213"/>
      <c r="AR342" s="215"/>
      <c r="AS342" s="213"/>
      <c r="AT342" s="215"/>
      <c r="AU342" s="213"/>
      <c r="AV342" s="215"/>
      <c r="AW342" s="213"/>
      <c r="AX342" s="213"/>
      <c r="AY342" s="213"/>
      <c r="AZ342" s="326"/>
      <c r="BA342" s="213"/>
      <c r="BB342" s="215"/>
      <c r="BC342" s="213"/>
      <c r="BD342" s="213"/>
      <c r="BE342" s="213"/>
      <c r="BF342" s="213"/>
      <c r="BG342" s="213"/>
      <c r="BH342" s="213"/>
      <c r="BI342" s="213"/>
      <c r="BJ342" s="213"/>
      <c r="BK342" s="213"/>
      <c r="BL342" s="213"/>
      <c r="BM342" s="213"/>
      <c r="BN342" s="213"/>
      <c r="BO342" s="213"/>
      <c r="BP342" s="213"/>
      <c r="BQ342" s="213"/>
      <c r="BR342" s="213"/>
      <c r="BS342" s="213"/>
      <c r="BT342" s="213"/>
      <c r="BU342" s="213"/>
      <c r="BV342" s="213"/>
      <c r="BW342" s="213"/>
    </row>
    <row r="343" ht="15.75" customHeight="1">
      <c r="A343" s="213"/>
      <c r="B343" s="213"/>
      <c r="C343" s="213"/>
      <c r="D343" s="213"/>
      <c r="E343" s="213"/>
      <c r="F343" s="215"/>
      <c r="G343" s="213"/>
      <c r="H343" s="325"/>
      <c r="I343" s="213"/>
      <c r="J343" s="325"/>
      <c r="K343" s="213"/>
      <c r="L343" s="215"/>
      <c r="M343" s="213"/>
      <c r="N343" s="215"/>
      <c r="O343" s="213"/>
      <c r="P343" s="215"/>
      <c r="Q343" s="213"/>
      <c r="R343" s="949"/>
      <c r="S343" s="213"/>
      <c r="T343" s="215"/>
      <c r="U343" s="213"/>
      <c r="V343" s="215"/>
      <c r="W343" s="213"/>
      <c r="X343" s="325"/>
      <c r="Y343" s="213"/>
      <c r="Z343" s="215"/>
      <c r="AA343" s="213"/>
      <c r="AB343" s="215"/>
      <c r="AC343" s="213"/>
      <c r="AD343" s="215"/>
      <c r="AE343" s="213"/>
      <c r="AF343" s="215"/>
      <c r="AG343" s="213"/>
      <c r="AH343" s="215"/>
      <c r="AI343" s="213"/>
      <c r="AJ343" s="215"/>
      <c r="AK343" s="213"/>
      <c r="AL343" s="215"/>
      <c r="AM343" s="213"/>
      <c r="AN343" s="215"/>
      <c r="AO343" s="213"/>
      <c r="AP343" s="215"/>
      <c r="AQ343" s="213"/>
      <c r="AR343" s="215"/>
      <c r="AS343" s="213"/>
      <c r="AT343" s="215"/>
      <c r="AU343" s="213"/>
      <c r="AV343" s="215"/>
      <c r="AW343" s="213"/>
      <c r="AX343" s="213"/>
      <c r="AY343" s="213"/>
      <c r="AZ343" s="326"/>
      <c r="BA343" s="213"/>
      <c r="BB343" s="215"/>
      <c r="BC343" s="213"/>
      <c r="BD343" s="213"/>
      <c r="BE343" s="213"/>
      <c r="BF343" s="213"/>
      <c r="BG343" s="213"/>
      <c r="BH343" s="213"/>
      <c r="BI343" s="213"/>
      <c r="BJ343" s="213"/>
      <c r="BK343" s="213"/>
      <c r="BL343" s="213"/>
      <c r="BM343" s="213"/>
      <c r="BN343" s="213"/>
      <c r="BO343" s="213"/>
      <c r="BP343" s="213"/>
      <c r="BQ343" s="213"/>
      <c r="BR343" s="213"/>
      <c r="BS343" s="213"/>
      <c r="BT343" s="213"/>
      <c r="BU343" s="213"/>
      <c r="BV343" s="213"/>
      <c r="BW343" s="213"/>
    </row>
    <row r="344" ht="15.75" customHeight="1">
      <c r="A344" s="213"/>
      <c r="B344" s="213"/>
      <c r="C344" s="213"/>
      <c r="D344" s="213"/>
      <c r="E344" s="213"/>
      <c r="F344" s="215"/>
      <c r="G344" s="213"/>
      <c r="H344" s="325"/>
      <c r="I344" s="213"/>
      <c r="J344" s="325"/>
      <c r="K344" s="213"/>
      <c r="L344" s="215"/>
      <c r="M344" s="213"/>
      <c r="N344" s="215"/>
      <c r="O344" s="213"/>
      <c r="P344" s="215"/>
      <c r="Q344" s="213"/>
      <c r="R344" s="949"/>
      <c r="S344" s="213"/>
      <c r="T344" s="215"/>
      <c r="U344" s="213"/>
      <c r="V344" s="215"/>
      <c r="W344" s="213"/>
      <c r="X344" s="325"/>
      <c r="Y344" s="213"/>
      <c r="Z344" s="215"/>
      <c r="AA344" s="213"/>
      <c r="AB344" s="215"/>
      <c r="AC344" s="213"/>
      <c r="AD344" s="215"/>
      <c r="AE344" s="213"/>
      <c r="AF344" s="215"/>
      <c r="AG344" s="213"/>
      <c r="AH344" s="215"/>
      <c r="AI344" s="213"/>
      <c r="AJ344" s="215"/>
      <c r="AK344" s="213"/>
      <c r="AL344" s="215"/>
      <c r="AM344" s="213"/>
      <c r="AN344" s="215"/>
      <c r="AO344" s="213"/>
      <c r="AP344" s="215"/>
      <c r="AQ344" s="213"/>
      <c r="AR344" s="215"/>
      <c r="AS344" s="213"/>
      <c r="AT344" s="215"/>
      <c r="AU344" s="213"/>
      <c r="AV344" s="215"/>
      <c r="AW344" s="213"/>
      <c r="AX344" s="213"/>
      <c r="AY344" s="213"/>
      <c r="AZ344" s="326"/>
      <c r="BA344" s="213"/>
      <c r="BB344" s="215"/>
      <c r="BC344" s="213"/>
      <c r="BD344" s="213"/>
      <c r="BE344" s="213"/>
      <c r="BF344" s="213"/>
      <c r="BG344" s="213"/>
      <c r="BH344" s="213"/>
      <c r="BI344" s="213"/>
      <c r="BJ344" s="213"/>
      <c r="BK344" s="213"/>
      <c r="BL344" s="213"/>
      <c r="BM344" s="213"/>
      <c r="BN344" s="213"/>
      <c r="BO344" s="213"/>
      <c r="BP344" s="213"/>
      <c r="BQ344" s="213"/>
      <c r="BR344" s="213"/>
      <c r="BS344" s="213"/>
      <c r="BT344" s="213"/>
      <c r="BU344" s="213"/>
      <c r="BV344" s="213"/>
      <c r="BW344" s="213"/>
    </row>
    <row r="345" ht="15.75" customHeight="1">
      <c r="A345" s="213"/>
      <c r="B345" s="213"/>
      <c r="C345" s="213"/>
      <c r="D345" s="213"/>
      <c r="E345" s="213"/>
      <c r="F345" s="215"/>
      <c r="G345" s="213"/>
      <c r="H345" s="325"/>
      <c r="I345" s="213"/>
      <c r="J345" s="325"/>
      <c r="K345" s="213"/>
      <c r="L345" s="215"/>
      <c r="M345" s="213"/>
      <c r="N345" s="215"/>
      <c r="O345" s="213"/>
      <c r="P345" s="215"/>
      <c r="Q345" s="213"/>
      <c r="R345" s="949"/>
      <c r="S345" s="213"/>
      <c r="T345" s="215"/>
      <c r="U345" s="213"/>
      <c r="V345" s="215"/>
      <c r="W345" s="213"/>
      <c r="X345" s="325"/>
      <c r="Y345" s="213"/>
      <c r="Z345" s="215"/>
      <c r="AA345" s="213"/>
      <c r="AB345" s="215"/>
      <c r="AC345" s="213"/>
      <c r="AD345" s="215"/>
      <c r="AE345" s="213"/>
      <c r="AF345" s="215"/>
      <c r="AG345" s="213"/>
      <c r="AH345" s="215"/>
      <c r="AI345" s="213"/>
      <c r="AJ345" s="215"/>
      <c r="AK345" s="213"/>
      <c r="AL345" s="215"/>
      <c r="AM345" s="213"/>
      <c r="AN345" s="215"/>
      <c r="AO345" s="213"/>
      <c r="AP345" s="215"/>
      <c r="AQ345" s="213"/>
      <c r="AR345" s="215"/>
      <c r="AS345" s="213"/>
      <c r="AT345" s="215"/>
      <c r="AU345" s="213"/>
      <c r="AV345" s="215"/>
      <c r="AW345" s="213"/>
      <c r="AX345" s="213"/>
      <c r="AY345" s="213"/>
      <c r="AZ345" s="326"/>
      <c r="BA345" s="213"/>
      <c r="BB345" s="215"/>
      <c r="BC345" s="213"/>
      <c r="BD345" s="213"/>
      <c r="BE345" s="213"/>
      <c r="BF345" s="213"/>
      <c r="BG345" s="213"/>
      <c r="BH345" s="213"/>
      <c r="BI345" s="213"/>
      <c r="BJ345" s="213"/>
      <c r="BK345" s="213"/>
      <c r="BL345" s="213"/>
      <c r="BM345" s="213"/>
      <c r="BN345" s="213"/>
      <c r="BO345" s="213"/>
      <c r="BP345" s="213"/>
      <c r="BQ345" s="213"/>
      <c r="BR345" s="213"/>
      <c r="BS345" s="213"/>
      <c r="BT345" s="213"/>
      <c r="BU345" s="213"/>
      <c r="BV345" s="213"/>
      <c r="BW345" s="213"/>
    </row>
    <row r="346" ht="15.75" customHeight="1">
      <c r="A346" s="213"/>
      <c r="B346" s="213"/>
      <c r="C346" s="213"/>
      <c r="D346" s="213"/>
      <c r="E346" s="213"/>
      <c r="F346" s="215"/>
      <c r="G346" s="213"/>
      <c r="H346" s="325"/>
      <c r="I346" s="213"/>
      <c r="J346" s="325"/>
      <c r="K346" s="213"/>
      <c r="L346" s="215"/>
      <c r="M346" s="213"/>
      <c r="N346" s="215"/>
      <c r="O346" s="213"/>
      <c r="P346" s="215"/>
      <c r="Q346" s="213"/>
      <c r="R346" s="949"/>
      <c r="S346" s="213"/>
      <c r="T346" s="215"/>
      <c r="U346" s="213"/>
      <c r="V346" s="215"/>
      <c r="W346" s="213"/>
      <c r="X346" s="325"/>
      <c r="Y346" s="213"/>
      <c r="Z346" s="215"/>
      <c r="AA346" s="213"/>
      <c r="AB346" s="215"/>
      <c r="AC346" s="213"/>
      <c r="AD346" s="215"/>
      <c r="AE346" s="213"/>
      <c r="AF346" s="215"/>
      <c r="AG346" s="213"/>
      <c r="AH346" s="215"/>
      <c r="AI346" s="213"/>
      <c r="AJ346" s="215"/>
      <c r="AK346" s="213"/>
      <c r="AL346" s="215"/>
      <c r="AM346" s="213"/>
      <c r="AN346" s="215"/>
      <c r="AO346" s="213"/>
      <c r="AP346" s="215"/>
      <c r="AQ346" s="213"/>
      <c r="AR346" s="215"/>
      <c r="AS346" s="213"/>
      <c r="AT346" s="215"/>
      <c r="AU346" s="213"/>
      <c r="AV346" s="215"/>
      <c r="AW346" s="213"/>
      <c r="AX346" s="213"/>
      <c r="AY346" s="213"/>
      <c r="AZ346" s="326"/>
      <c r="BA346" s="213"/>
      <c r="BB346" s="215"/>
      <c r="BC346" s="213"/>
      <c r="BD346" s="213"/>
      <c r="BE346" s="213"/>
      <c r="BF346" s="213"/>
      <c r="BG346" s="213"/>
      <c r="BH346" s="213"/>
      <c r="BI346" s="213"/>
      <c r="BJ346" s="213"/>
      <c r="BK346" s="213"/>
      <c r="BL346" s="213"/>
      <c r="BM346" s="213"/>
      <c r="BN346" s="213"/>
      <c r="BO346" s="213"/>
      <c r="BP346" s="213"/>
      <c r="BQ346" s="213"/>
      <c r="BR346" s="213"/>
      <c r="BS346" s="213"/>
      <c r="BT346" s="213"/>
      <c r="BU346" s="213"/>
      <c r="BV346" s="213"/>
      <c r="BW346" s="213"/>
    </row>
    <row r="347" ht="15.75" customHeight="1">
      <c r="A347" s="213"/>
      <c r="B347" s="213"/>
      <c r="C347" s="213"/>
      <c r="D347" s="213"/>
      <c r="E347" s="213"/>
      <c r="F347" s="215"/>
      <c r="G347" s="213"/>
      <c r="H347" s="325"/>
      <c r="I347" s="213"/>
      <c r="J347" s="325"/>
      <c r="K347" s="213"/>
      <c r="L347" s="215"/>
      <c r="M347" s="213"/>
      <c r="N347" s="215"/>
      <c r="O347" s="213"/>
      <c r="P347" s="215"/>
      <c r="Q347" s="213"/>
      <c r="R347" s="949"/>
      <c r="S347" s="213"/>
      <c r="T347" s="215"/>
      <c r="U347" s="213"/>
      <c r="V347" s="215"/>
      <c r="W347" s="213"/>
      <c r="X347" s="325"/>
      <c r="Y347" s="213"/>
      <c r="Z347" s="215"/>
      <c r="AA347" s="213"/>
      <c r="AB347" s="215"/>
      <c r="AC347" s="213"/>
      <c r="AD347" s="215"/>
      <c r="AE347" s="213"/>
      <c r="AF347" s="215"/>
      <c r="AG347" s="213"/>
      <c r="AH347" s="215"/>
      <c r="AI347" s="213"/>
      <c r="AJ347" s="215"/>
      <c r="AK347" s="213"/>
      <c r="AL347" s="215"/>
      <c r="AM347" s="213"/>
      <c r="AN347" s="215"/>
      <c r="AO347" s="213"/>
      <c r="AP347" s="215"/>
      <c r="AQ347" s="213"/>
      <c r="AR347" s="215"/>
      <c r="AS347" s="213"/>
      <c r="AT347" s="215"/>
      <c r="AU347" s="213"/>
      <c r="AV347" s="215"/>
      <c r="AW347" s="213"/>
      <c r="AX347" s="213"/>
      <c r="AY347" s="213"/>
      <c r="AZ347" s="326"/>
      <c r="BA347" s="213"/>
      <c r="BB347" s="215"/>
      <c r="BC347" s="213"/>
      <c r="BD347" s="213"/>
      <c r="BE347" s="213"/>
      <c r="BF347" s="213"/>
      <c r="BG347" s="213"/>
      <c r="BH347" s="213"/>
      <c r="BI347" s="213"/>
      <c r="BJ347" s="213"/>
      <c r="BK347" s="213"/>
      <c r="BL347" s="213"/>
      <c r="BM347" s="213"/>
      <c r="BN347" s="213"/>
      <c r="BO347" s="213"/>
      <c r="BP347" s="213"/>
      <c r="BQ347" s="213"/>
      <c r="BR347" s="213"/>
      <c r="BS347" s="213"/>
      <c r="BT347" s="213"/>
      <c r="BU347" s="213"/>
      <c r="BV347" s="213"/>
      <c r="BW347" s="213"/>
    </row>
    <row r="348" ht="15.75" customHeight="1">
      <c r="A348" s="213"/>
      <c r="B348" s="213"/>
      <c r="C348" s="213"/>
      <c r="D348" s="213"/>
      <c r="E348" s="213"/>
      <c r="F348" s="215"/>
      <c r="G348" s="213"/>
      <c r="H348" s="325"/>
      <c r="I348" s="213"/>
      <c r="J348" s="325"/>
      <c r="K348" s="213"/>
      <c r="L348" s="215"/>
      <c r="M348" s="213"/>
      <c r="N348" s="215"/>
      <c r="O348" s="213"/>
      <c r="P348" s="215"/>
      <c r="Q348" s="213"/>
      <c r="R348" s="949"/>
      <c r="S348" s="213"/>
      <c r="T348" s="215"/>
      <c r="U348" s="213"/>
      <c r="V348" s="215"/>
      <c r="W348" s="213"/>
      <c r="X348" s="325"/>
      <c r="Y348" s="213"/>
      <c r="Z348" s="215"/>
      <c r="AA348" s="213"/>
      <c r="AB348" s="215"/>
      <c r="AC348" s="213"/>
      <c r="AD348" s="215"/>
      <c r="AE348" s="213"/>
      <c r="AF348" s="215"/>
      <c r="AG348" s="213"/>
      <c r="AH348" s="215"/>
      <c r="AI348" s="213"/>
      <c r="AJ348" s="215"/>
      <c r="AK348" s="213"/>
      <c r="AL348" s="215"/>
      <c r="AM348" s="213"/>
      <c r="AN348" s="215"/>
      <c r="AO348" s="213"/>
      <c r="AP348" s="215"/>
      <c r="AQ348" s="213"/>
      <c r="AR348" s="215"/>
      <c r="AS348" s="213"/>
      <c r="AT348" s="215"/>
      <c r="AU348" s="213"/>
      <c r="AV348" s="215"/>
      <c r="AW348" s="213"/>
      <c r="AX348" s="213"/>
      <c r="AY348" s="213"/>
      <c r="AZ348" s="326"/>
      <c r="BA348" s="213"/>
      <c r="BB348" s="215"/>
      <c r="BC348" s="213"/>
      <c r="BD348" s="213"/>
      <c r="BE348" s="213"/>
      <c r="BF348" s="213"/>
      <c r="BG348" s="213"/>
      <c r="BH348" s="213"/>
      <c r="BI348" s="213"/>
      <c r="BJ348" s="213"/>
      <c r="BK348" s="213"/>
      <c r="BL348" s="213"/>
      <c r="BM348" s="213"/>
      <c r="BN348" s="213"/>
      <c r="BO348" s="213"/>
      <c r="BP348" s="213"/>
      <c r="BQ348" s="213"/>
      <c r="BR348" s="213"/>
      <c r="BS348" s="213"/>
      <c r="BT348" s="213"/>
      <c r="BU348" s="213"/>
      <c r="BV348" s="213"/>
      <c r="BW348" s="213"/>
    </row>
    <row r="349" ht="15.75" customHeight="1">
      <c r="A349" s="213"/>
      <c r="B349" s="213"/>
      <c r="C349" s="213"/>
      <c r="D349" s="213"/>
      <c r="E349" s="213"/>
      <c r="F349" s="215"/>
      <c r="G349" s="213"/>
      <c r="H349" s="325"/>
      <c r="I349" s="213"/>
      <c r="J349" s="325"/>
      <c r="K349" s="213"/>
      <c r="L349" s="215"/>
      <c r="M349" s="213"/>
      <c r="N349" s="215"/>
      <c r="O349" s="213"/>
      <c r="P349" s="215"/>
      <c r="Q349" s="213"/>
      <c r="R349" s="949"/>
      <c r="S349" s="213"/>
      <c r="T349" s="215"/>
      <c r="U349" s="213"/>
      <c r="V349" s="215"/>
      <c r="W349" s="213"/>
      <c r="X349" s="325"/>
      <c r="Y349" s="213"/>
      <c r="Z349" s="215"/>
      <c r="AA349" s="213"/>
      <c r="AB349" s="215"/>
      <c r="AC349" s="213"/>
      <c r="AD349" s="215"/>
      <c r="AE349" s="213"/>
      <c r="AF349" s="215"/>
      <c r="AG349" s="213"/>
      <c r="AH349" s="215"/>
      <c r="AI349" s="213"/>
      <c r="AJ349" s="215"/>
      <c r="AK349" s="213"/>
      <c r="AL349" s="215"/>
      <c r="AM349" s="213"/>
      <c r="AN349" s="215"/>
      <c r="AO349" s="213"/>
      <c r="AP349" s="215"/>
      <c r="AQ349" s="213"/>
      <c r="AR349" s="215"/>
      <c r="AS349" s="213"/>
      <c r="AT349" s="215"/>
      <c r="AU349" s="213"/>
      <c r="AV349" s="215"/>
      <c r="AW349" s="213"/>
      <c r="AX349" s="213"/>
      <c r="AY349" s="213"/>
      <c r="AZ349" s="326"/>
      <c r="BA349" s="213"/>
      <c r="BB349" s="215"/>
      <c r="BC349" s="213"/>
      <c r="BD349" s="213"/>
      <c r="BE349" s="213"/>
      <c r="BF349" s="213"/>
      <c r="BG349" s="213"/>
      <c r="BH349" s="213"/>
      <c r="BI349" s="213"/>
      <c r="BJ349" s="213"/>
      <c r="BK349" s="213"/>
      <c r="BL349" s="213"/>
      <c r="BM349" s="213"/>
      <c r="BN349" s="213"/>
      <c r="BO349" s="213"/>
      <c r="BP349" s="213"/>
      <c r="BQ349" s="213"/>
      <c r="BR349" s="213"/>
      <c r="BS349" s="213"/>
      <c r="BT349" s="213"/>
      <c r="BU349" s="213"/>
      <c r="BV349" s="213"/>
      <c r="BW349" s="213"/>
    </row>
    <row r="350" ht="15.75" customHeight="1">
      <c r="A350" s="213"/>
      <c r="B350" s="213"/>
      <c r="C350" s="213"/>
      <c r="D350" s="213"/>
      <c r="E350" s="213"/>
      <c r="F350" s="215"/>
      <c r="G350" s="213"/>
      <c r="H350" s="325"/>
      <c r="I350" s="213"/>
      <c r="J350" s="325"/>
      <c r="K350" s="213"/>
      <c r="L350" s="215"/>
      <c r="M350" s="213"/>
      <c r="N350" s="215"/>
      <c r="O350" s="213"/>
      <c r="P350" s="215"/>
      <c r="Q350" s="213"/>
      <c r="R350" s="949"/>
      <c r="S350" s="213"/>
      <c r="T350" s="215"/>
      <c r="U350" s="213"/>
      <c r="V350" s="215"/>
      <c r="W350" s="213"/>
      <c r="X350" s="325"/>
      <c r="Y350" s="213"/>
      <c r="Z350" s="215"/>
      <c r="AA350" s="213"/>
      <c r="AB350" s="215"/>
      <c r="AC350" s="213"/>
      <c r="AD350" s="215"/>
      <c r="AE350" s="213"/>
      <c r="AF350" s="215"/>
      <c r="AG350" s="213"/>
      <c r="AH350" s="215"/>
      <c r="AI350" s="213"/>
      <c r="AJ350" s="215"/>
      <c r="AK350" s="213"/>
      <c r="AL350" s="215"/>
      <c r="AM350" s="213"/>
      <c r="AN350" s="215"/>
      <c r="AO350" s="213"/>
      <c r="AP350" s="215"/>
      <c r="AQ350" s="213"/>
      <c r="AR350" s="215"/>
      <c r="AS350" s="213"/>
      <c r="AT350" s="215"/>
      <c r="AU350" s="213"/>
      <c r="AV350" s="215"/>
      <c r="AW350" s="213"/>
      <c r="AX350" s="213"/>
      <c r="AY350" s="213"/>
      <c r="AZ350" s="326"/>
      <c r="BA350" s="213"/>
      <c r="BB350" s="215"/>
      <c r="BC350" s="213"/>
      <c r="BD350" s="213"/>
      <c r="BE350" s="213"/>
      <c r="BF350" s="213"/>
      <c r="BG350" s="213"/>
      <c r="BH350" s="213"/>
      <c r="BI350" s="213"/>
      <c r="BJ350" s="213"/>
      <c r="BK350" s="213"/>
      <c r="BL350" s="213"/>
      <c r="BM350" s="213"/>
      <c r="BN350" s="213"/>
      <c r="BO350" s="213"/>
      <c r="BP350" s="213"/>
      <c r="BQ350" s="213"/>
      <c r="BR350" s="213"/>
      <c r="BS350" s="213"/>
      <c r="BT350" s="213"/>
      <c r="BU350" s="213"/>
      <c r="BV350" s="213"/>
      <c r="BW350" s="213"/>
    </row>
    <row r="351" ht="15.75" customHeight="1">
      <c r="A351" s="213"/>
      <c r="B351" s="213"/>
      <c r="C351" s="213"/>
      <c r="D351" s="213"/>
      <c r="E351" s="213"/>
      <c r="F351" s="215"/>
      <c r="G351" s="213"/>
      <c r="H351" s="325"/>
      <c r="I351" s="213"/>
      <c r="J351" s="325"/>
      <c r="K351" s="213"/>
      <c r="L351" s="215"/>
      <c r="M351" s="213"/>
      <c r="N351" s="215"/>
      <c r="O351" s="213"/>
      <c r="P351" s="215"/>
      <c r="Q351" s="213"/>
      <c r="R351" s="949"/>
      <c r="S351" s="213"/>
      <c r="T351" s="215"/>
      <c r="U351" s="213"/>
      <c r="V351" s="215"/>
      <c r="W351" s="213"/>
      <c r="X351" s="325"/>
      <c r="Y351" s="213"/>
      <c r="Z351" s="215"/>
      <c r="AA351" s="213"/>
      <c r="AB351" s="215"/>
      <c r="AC351" s="213"/>
      <c r="AD351" s="215"/>
      <c r="AE351" s="213"/>
      <c r="AF351" s="215"/>
      <c r="AG351" s="213"/>
      <c r="AH351" s="215"/>
      <c r="AI351" s="213"/>
      <c r="AJ351" s="215"/>
      <c r="AK351" s="213"/>
      <c r="AL351" s="215"/>
      <c r="AM351" s="213"/>
      <c r="AN351" s="215"/>
      <c r="AO351" s="213"/>
      <c r="AP351" s="215"/>
      <c r="AQ351" s="213"/>
      <c r="AR351" s="215"/>
      <c r="AS351" s="213"/>
      <c r="AT351" s="215"/>
      <c r="AU351" s="213"/>
      <c r="AV351" s="215"/>
      <c r="AW351" s="213"/>
      <c r="AX351" s="213"/>
      <c r="AY351" s="213"/>
      <c r="AZ351" s="326"/>
      <c r="BA351" s="213"/>
      <c r="BB351" s="215"/>
      <c r="BC351" s="213"/>
      <c r="BD351" s="213"/>
      <c r="BE351" s="213"/>
      <c r="BF351" s="213"/>
      <c r="BG351" s="213"/>
      <c r="BH351" s="213"/>
      <c r="BI351" s="213"/>
      <c r="BJ351" s="213"/>
      <c r="BK351" s="213"/>
      <c r="BL351" s="213"/>
      <c r="BM351" s="213"/>
      <c r="BN351" s="213"/>
      <c r="BO351" s="213"/>
      <c r="BP351" s="213"/>
      <c r="BQ351" s="213"/>
      <c r="BR351" s="213"/>
      <c r="BS351" s="213"/>
      <c r="BT351" s="213"/>
      <c r="BU351" s="213"/>
      <c r="BV351" s="213"/>
      <c r="BW351" s="213"/>
    </row>
    <row r="352" ht="15.75" customHeight="1">
      <c r="A352" s="213"/>
      <c r="B352" s="213"/>
      <c r="C352" s="213"/>
      <c r="D352" s="213"/>
      <c r="E352" s="213"/>
      <c r="F352" s="215"/>
      <c r="G352" s="213"/>
      <c r="H352" s="325"/>
      <c r="I352" s="213"/>
      <c r="J352" s="325"/>
      <c r="K352" s="213"/>
      <c r="L352" s="215"/>
      <c r="M352" s="213"/>
      <c r="N352" s="215"/>
      <c r="O352" s="213"/>
      <c r="P352" s="215"/>
      <c r="Q352" s="213"/>
      <c r="R352" s="949"/>
      <c r="S352" s="213"/>
      <c r="T352" s="215"/>
      <c r="U352" s="213"/>
      <c r="V352" s="215"/>
      <c r="W352" s="213"/>
      <c r="X352" s="325"/>
      <c r="Y352" s="213"/>
      <c r="Z352" s="215"/>
      <c r="AA352" s="213"/>
      <c r="AB352" s="215"/>
      <c r="AC352" s="213"/>
      <c r="AD352" s="215"/>
      <c r="AE352" s="213"/>
      <c r="AF352" s="215"/>
      <c r="AG352" s="213"/>
      <c r="AH352" s="215"/>
      <c r="AI352" s="213"/>
      <c r="AJ352" s="215"/>
      <c r="AK352" s="213"/>
      <c r="AL352" s="215"/>
      <c r="AM352" s="213"/>
      <c r="AN352" s="215"/>
      <c r="AO352" s="213"/>
      <c r="AP352" s="215"/>
      <c r="AQ352" s="213"/>
      <c r="AR352" s="215"/>
      <c r="AS352" s="213"/>
      <c r="AT352" s="215"/>
      <c r="AU352" s="213"/>
      <c r="AV352" s="215"/>
      <c r="AW352" s="213"/>
      <c r="AX352" s="213"/>
      <c r="AY352" s="213"/>
      <c r="AZ352" s="326"/>
      <c r="BA352" s="213"/>
      <c r="BB352" s="215"/>
      <c r="BC352" s="213"/>
      <c r="BD352" s="213"/>
      <c r="BE352" s="213"/>
      <c r="BF352" s="213"/>
      <c r="BG352" s="213"/>
      <c r="BH352" s="213"/>
      <c r="BI352" s="213"/>
      <c r="BJ352" s="213"/>
      <c r="BK352" s="213"/>
      <c r="BL352" s="213"/>
      <c r="BM352" s="213"/>
      <c r="BN352" s="213"/>
      <c r="BO352" s="213"/>
      <c r="BP352" s="213"/>
      <c r="BQ352" s="213"/>
      <c r="BR352" s="213"/>
      <c r="BS352" s="213"/>
      <c r="BT352" s="213"/>
      <c r="BU352" s="213"/>
      <c r="BV352" s="213"/>
      <c r="BW352" s="213"/>
    </row>
  </sheetData>
  <mergeCells count="15">
    <mergeCell ref="X4:AA4"/>
    <mergeCell ref="AB4:AE4"/>
    <mergeCell ref="AF4:AI4"/>
    <mergeCell ref="AJ4:AM4"/>
    <mergeCell ref="AN4:AS4"/>
    <mergeCell ref="AT4:AY4"/>
    <mergeCell ref="AZ4:BC4"/>
    <mergeCell ref="B4:B5"/>
    <mergeCell ref="C4:C5"/>
    <mergeCell ref="D4:G4"/>
    <mergeCell ref="H4:K4"/>
    <mergeCell ref="L4:O4"/>
    <mergeCell ref="P4:S4"/>
    <mergeCell ref="T4:W4"/>
    <mergeCell ref="B75:C75"/>
  </mergeCells>
  <printOptions/>
  <pageMargins bottom="0.75" footer="0.0" header="0.0" left="0.7" right="0.7" top="0.75"/>
  <pageSetup orientation="landscape"/>
  <drawing r:id="rId2"/>
  <legacy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>
      <pane xSplit="3.0" ySplit="15.0" topLeftCell="D16" activePane="bottomRight" state="frozen"/>
      <selection activeCell="D1" sqref="D1" pane="topRight"/>
      <selection activeCell="A16" sqref="A16" pane="bottomLeft"/>
      <selection activeCell="D16" sqref="D16" pane="bottomRight"/>
    </sheetView>
  </sheetViews>
  <sheetFormatPr customHeight="1" defaultColWidth="12.63" defaultRowHeight="15.0"/>
  <cols>
    <col customWidth="1" min="1" max="1" width="5.63"/>
    <col customWidth="1" min="2" max="2" width="9.75"/>
    <col customWidth="1" min="3" max="3" width="42.63"/>
    <col customWidth="1" min="4" max="4" width="9.75"/>
    <col customWidth="1" min="5" max="15" width="13.13"/>
    <col customWidth="1" min="16" max="35" width="12.63"/>
  </cols>
  <sheetData>
    <row r="1" ht="15.75" customHeight="1">
      <c r="A1" s="213"/>
      <c r="B1" s="214" t="s">
        <v>1</v>
      </c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326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</row>
    <row r="2" ht="15.75" customHeight="1">
      <c r="A2" s="213"/>
      <c r="B2" s="216" t="s">
        <v>460</v>
      </c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326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  <c r="AA2" s="213"/>
      <c r="AB2" s="213"/>
      <c r="AC2" s="213"/>
      <c r="AD2" s="213"/>
      <c r="AE2" s="213"/>
      <c r="AF2" s="213"/>
      <c r="AG2" s="213"/>
      <c r="AH2" s="213"/>
      <c r="AI2" s="213"/>
    </row>
    <row r="3" ht="15.75" customHeight="1">
      <c r="A3" s="213"/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326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</row>
    <row r="4" ht="15.75" customHeight="1">
      <c r="A4" s="213"/>
      <c r="B4" s="980" t="s">
        <v>201</v>
      </c>
      <c r="C4" s="981" t="s">
        <v>47</v>
      </c>
      <c r="D4" s="982" t="s">
        <v>202</v>
      </c>
      <c r="E4" s="982" t="s">
        <v>203</v>
      </c>
      <c r="F4" s="982" t="s">
        <v>204</v>
      </c>
      <c r="G4" s="982" t="s">
        <v>205</v>
      </c>
      <c r="H4" s="982" t="s">
        <v>206</v>
      </c>
      <c r="I4" s="982" t="s">
        <v>207</v>
      </c>
      <c r="J4" s="982" t="s">
        <v>208</v>
      </c>
      <c r="K4" s="983" t="s">
        <v>209</v>
      </c>
      <c r="L4" s="982" t="s">
        <v>210</v>
      </c>
      <c r="M4" s="982" t="s">
        <v>211</v>
      </c>
      <c r="N4" s="982" t="s">
        <v>212</v>
      </c>
      <c r="O4" s="984" t="s">
        <v>213</v>
      </c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</row>
    <row r="5" ht="15.75" customHeight="1">
      <c r="A5" s="335"/>
      <c r="B5" s="566"/>
      <c r="C5" s="567"/>
      <c r="D5" s="985" t="s">
        <v>215</v>
      </c>
      <c r="E5" s="985" t="s">
        <v>215</v>
      </c>
      <c r="F5" s="985" t="s">
        <v>215</v>
      </c>
      <c r="G5" s="985" t="s">
        <v>215</v>
      </c>
      <c r="H5" s="985" t="s">
        <v>215</v>
      </c>
      <c r="I5" s="985" t="s">
        <v>215</v>
      </c>
      <c r="J5" s="985" t="s">
        <v>215</v>
      </c>
      <c r="K5" s="986" t="s">
        <v>215</v>
      </c>
      <c r="L5" s="985" t="s">
        <v>215</v>
      </c>
      <c r="M5" s="985" t="s">
        <v>215</v>
      </c>
      <c r="N5" s="985" t="s">
        <v>215</v>
      </c>
      <c r="O5" s="987" t="s">
        <v>215</v>
      </c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8"/>
      <c r="AC5" s="348"/>
      <c r="AD5" s="348"/>
      <c r="AE5" s="348"/>
      <c r="AF5" s="348"/>
      <c r="AG5" s="348"/>
      <c r="AH5" s="348"/>
      <c r="AI5" s="348"/>
    </row>
    <row r="6" ht="15.75" hidden="1" customHeight="1">
      <c r="A6" s="213"/>
      <c r="B6" s="382"/>
      <c r="C6" s="383" t="s">
        <v>85</v>
      </c>
      <c r="D6" s="708">
        <v>0.0</v>
      </c>
      <c r="E6" s="708">
        <v>0.0</v>
      </c>
      <c r="F6" s="708"/>
      <c r="G6" s="708"/>
      <c r="H6" s="708"/>
      <c r="I6" s="708"/>
      <c r="J6" s="708"/>
      <c r="K6" s="787"/>
      <c r="L6" s="708"/>
      <c r="M6" s="708"/>
      <c r="N6" s="708"/>
      <c r="O6" s="491"/>
      <c r="P6" s="213"/>
      <c r="Q6" s="213"/>
      <c r="R6" s="213"/>
      <c r="S6" s="213"/>
      <c r="T6" s="213"/>
      <c r="U6" s="213"/>
      <c r="V6" s="213"/>
      <c r="W6" s="213"/>
      <c r="X6" s="213"/>
      <c r="Y6" s="213"/>
      <c r="Z6" s="213"/>
      <c r="AA6" s="213"/>
      <c r="AB6" s="213"/>
      <c r="AC6" s="213"/>
      <c r="AD6" s="213"/>
      <c r="AE6" s="213"/>
      <c r="AF6" s="213"/>
      <c r="AG6" s="213"/>
      <c r="AH6" s="213"/>
      <c r="AI6" s="213"/>
    </row>
    <row r="7" ht="15.75" hidden="1" customHeight="1">
      <c r="A7" s="213"/>
      <c r="B7" s="349"/>
      <c r="C7" s="350" t="s">
        <v>92</v>
      </c>
      <c r="D7" s="604">
        <v>0.0</v>
      </c>
      <c r="E7" s="604">
        <v>0.0</v>
      </c>
      <c r="F7" s="604"/>
      <c r="G7" s="604"/>
      <c r="H7" s="604"/>
      <c r="I7" s="604"/>
      <c r="J7" s="604"/>
      <c r="K7" s="605"/>
      <c r="L7" s="604"/>
      <c r="M7" s="604"/>
      <c r="N7" s="604"/>
      <c r="O7" s="351"/>
      <c r="P7" s="213"/>
      <c r="Q7" s="213"/>
      <c r="R7" s="213"/>
      <c r="S7" s="213"/>
      <c r="T7" s="213"/>
      <c r="U7" s="213"/>
      <c r="V7" s="213"/>
      <c r="W7" s="213"/>
      <c r="X7" s="213"/>
      <c r="Y7" s="213"/>
      <c r="Z7" s="213"/>
      <c r="AA7" s="213"/>
      <c r="AB7" s="213"/>
      <c r="AC7" s="213"/>
      <c r="AD7" s="213"/>
      <c r="AE7" s="213"/>
      <c r="AF7" s="213"/>
      <c r="AG7" s="213"/>
      <c r="AH7" s="213"/>
      <c r="AI7" s="213"/>
    </row>
    <row r="8" ht="15.75" hidden="1" customHeight="1">
      <c r="A8" s="213"/>
      <c r="B8" s="349"/>
      <c r="C8" s="350" t="s">
        <v>99</v>
      </c>
      <c r="D8" s="604">
        <v>0.0</v>
      </c>
      <c r="E8" s="604">
        <v>0.0</v>
      </c>
      <c r="F8" s="604"/>
      <c r="G8" s="604"/>
      <c r="H8" s="604"/>
      <c r="I8" s="604"/>
      <c r="J8" s="604"/>
      <c r="K8" s="605"/>
      <c r="L8" s="604"/>
      <c r="M8" s="604"/>
      <c r="N8" s="604"/>
      <c r="O8" s="351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213"/>
      <c r="AC8" s="213"/>
      <c r="AD8" s="213"/>
      <c r="AE8" s="213"/>
      <c r="AF8" s="213"/>
      <c r="AG8" s="213"/>
      <c r="AH8" s="213"/>
      <c r="AI8" s="213"/>
    </row>
    <row r="9" ht="15.75" hidden="1" customHeight="1">
      <c r="A9" s="213"/>
      <c r="B9" s="349"/>
      <c r="C9" s="350" t="s">
        <v>106</v>
      </c>
      <c r="D9" s="604">
        <v>0.0</v>
      </c>
      <c r="E9" s="604">
        <v>451424.0</v>
      </c>
      <c r="F9" s="604"/>
      <c r="G9" s="604"/>
      <c r="H9" s="604"/>
      <c r="I9" s="604"/>
      <c r="J9" s="604"/>
      <c r="K9" s="605"/>
      <c r="L9" s="604"/>
      <c r="M9" s="604"/>
      <c r="N9" s="604"/>
      <c r="O9" s="351"/>
      <c r="P9" s="213"/>
      <c r="Q9" s="213"/>
      <c r="R9" s="213"/>
      <c r="S9" s="213"/>
      <c r="T9" s="213"/>
      <c r="U9" s="213"/>
      <c r="V9" s="213"/>
      <c r="W9" s="213"/>
      <c r="X9" s="213"/>
      <c r="Y9" s="213"/>
      <c r="Z9" s="213"/>
      <c r="AA9" s="213"/>
      <c r="AB9" s="213"/>
      <c r="AC9" s="213"/>
      <c r="AD9" s="213"/>
      <c r="AE9" s="213"/>
      <c r="AF9" s="213"/>
      <c r="AG9" s="213"/>
      <c r="AH9" s="213"/>
      <c r="AI9" s="213"/>
    </row>
    <row r="10" ht="15.75" hidden="1" customHeight="1">
      <c r="A10" s="213"/>
      <c r="B10" s="349"/>
      <c r="C10" s="350" t="s">
        <v>113</v>
      </c>
      <c r="D10" s="604">
        <f t="shared" ref="D10:E10" si="1">SUM(D8:D9)-D29</f>
        <v>-47013</v>
      </c>
      <c r="E10" s="604">
        <f t="shared" si="1"/>
        <v>-17601</v>
      </c>
      <c r="F10" s="604"/>
      <c r="G10" s="604"/>
      <c r="H10" s="604"/>
      <c r="I10" s="604"/>
      <c r="J10" s="604"/>
      <c r="K10" s="605"/>
      <c r="L10" s="604"/>
      <c r="M10" s="604"/>
      <c r="N10" s="604"/>
      <c r="O10" s="351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</row>
    <row r="11" ht="15.75" hidden="1" customHeight="1">
      <c r="A11" s="213"/>
      <c r="B11" s="349"/>
      <c r="C11" s="350" t="s">
        <v>120</v>
      </c>
      <c r="D11" s="604"/>
      <c r="E11" s="604"/>
      <c r="F11" s="604"/>
      <c r="G11" s="604"/>
      <c r="H11" s="604"/>
      <c r="I11" s="604"/>
      <c r="J11" s="604"/>
      <c r="K11" s="605"/>
      <c r="L11" s="604"/>
      <c r="M11" s="604"/>
      <c r="N11" s="604"/>
      <c r="O11" s="351"/>
      <c r="P11" s="213"/>
      <c r="Q11" s="213"/>
      <c r="R11" s="213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</row>
    <row r="12" ht="15.75" hidden="1" customHeight="1">
      <c r="A12" s="213"/>
      <c r="B12" s="349"/>
      <c r="C12" s="350" t="s">
        <v>127</v>
      </c>
      <c r="D12" s="604"/>
      <c r="E12" s="604"/>
      <c r="F12" s="604"/>
      <c r="G12" s="604"/>
      <c r="H12" s="604"/>
      <c r="I12" s="604"/>
      <c r="J12" s="604"/>
      <c r="K12" s="605"/>
      <c r="L12" s="604"/>
      <c r="M12" s="604"/>
      <c r="N12" s="604"/>
      <c r="O12" s="351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</row>
    <row r="13" ht="15.75" hidden="1" customHeight="1">
      <c r="A13" s="213"/>
      <c r="B13" s="349"/>
      <c r="C13" s="350"/>
      <c r="D13" s="604"/>
      <c r="E13" s="604"/>
      <c r="F13" s="604"/>
      <c r="G13" s="604"/>
      <c r="H13" s="604"/>
      <c r="I13" s="604"/>
      <c r="J13" s="604"/>
      <c r="K13" s="605"/>
      <c r="L13" s="604"/>
      <c r="M13" s="604"/>
      <c r="N13" s="604"/>
      <c r="O13" s="351"/>
      <c r="P13" s="213"/>
      <c r="Q13" s="213"/>
      <c r="R13" s="213"/>
      <c r="S13" s="213"/>
      <c r="T13" s="213"/>
      <c r="U13" s="213"/>
      <c r="V13" s="213"/>
      <c r="W13" s="213"/>
      <c r="X13" s="213"/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  <c r="AI13" s="213"/>
    </row>
    <row r="14" ht="15.75" hidden="1" customHeight="1">
      <c r="A14" s="213"/>
      <c r="B14" s="349"/>
      <c r="C14" s="350"/>
      <c r="D14" s="604"/>
      <c r="E14" s="604"/>
      <c r="F14" s="604"/>
      <c r="G14" s="604"/>
      <c r="H14" s="604"/>
      <c r="I14" s="604"/>
      <c r="J14" s="604"/>
      <c r="K14" s="605"/>
      <c r="L14" s="604"/>
      <c r="M14" s="604"/>
      <c r="N14" s="604"/>
      <c r="O14" s="351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  <c r="AC14" s="213"/>
      <c r="AD14" s="213"/>
      <c r="AE14" s="213"/>
      <c r="AF14" s="213"/>
      <c r="AG14" s="213"/>
      <c r="AH14" s="213"/>
      <c r="AI14" s="213"/>
    </row>
    <row r="15" ht="15.75" customHeight="1">
      <c r="A15" s="213"/>
      <c r="B15" s="673" t="s">
        <v>220</v>
      </c>
      <c r="C15" s="350"/>
      <c r="D15" s="604"/>
      <c r="E15" s="604"/>
      <c r="F15" s="604"/>
      <c r="G15" s="604"/>
      <c r="H15" s="604"/>
      <c r="I15" s="604"/>
      <c r="J15" s="604"/>
      <c r="K15" s="605"/>
      <c r="L15" s="604"/>
      <c r="M15" s="604"/>
      <c r="N15" s="604"/>
      <c r="O15" s="351"/>
      <c r="P15" s="213"/>
      <c r="Q15" s="213"/>
      <c r="R15" s="213"/>
      <c r="S15" s="213"/>
      <c r="T15" s="213"/>
      <c r="U15" s="213"/>
      <c r="V15" s="213"/>
      <c r="W15" s="213"/>
      <c r="X15" s="213"/>
      <c r="Y15" s="213"/>
      <c r="Z15" s="213"/>
      <c r="AA15" s="213"/>
      <c r="AB15" s="213"/>
      <c r="AC15" s="213"/>
      <c r="AD15" s="213"/>
      <c r="AE15" s="213"/>
      <c r="AF15" s="213"/>
      <c r="AG15" s="213"/>
      <c r="AH15" s="213"/>
      <c r="AI15" s="213"/>
    </row>
    <row r="16" ht="15.75" customHeight="1">
      <c r="A16" s="213"/>
      <c r="B16" s="349"/>
      <c r="C16" s="350"/>
      <c r="D16" s="604">
        <f t="shared" ref="D16:O16" si="2">SUM(D17:D21)</f>
        <v>47013</v>
      </c>
      <c r="E16" s="604">
        <f t="shared" si="2"/>
        <v>469025</v>
      </c>
      <c r="F16" s="604">
        <f t="shared" si="2"/>
        <v>317574</v>
      </c>
      <c r="G16" s="604">
        <f t="shared" si="2"/>
        <v>366682</v>
      </c>
      <c r="H16" s="604">
        <f t="shared" si="2"/>
        <v>324062</v>
      </c>
      <c r="I16" s="604">
        <f t="shared" si="2"/>
        <v>345464.23</v>
      </c>
      <c r="J16" s="604">
        <f t="shared" si="2"/>
        <v>320362.8</v>
      </c>
      <c r="K16" s="605">
        <f t="shared" si="2"/>
        <v>331047.62</v>
      </c>
      <c r="L16" s="604">
        <f t="shared" si="2"/>
        <v>396424.91</v>
      </c>
      <c r="M16" s="604">
        <f t="shared" si="2"/>
        <v>346455.74</v>
      </c>
      <c r="N16" s="604">
        <f t="shared" si="2"/>
        <v>316457.82</v>
      </c>
      <c r="O16" s="351">
        <f t="shared" si="2"/>
        <v>361565.09</v>
      </c>
      <c r="P16" s="216"/>
      <c r="Q16" s="216"/>
      <c r="R16" s="216"/>
      <c r="S16" s="216"/>
      <c r="T16" s="216"/>
      <c r="U16" s="216"/>
      <c r="V16" s="216"/>
      <c r="W16" s="216"/>
      <c r="X16" s="216"/>
      <c r="Y16" s="216"/>
      <c r="Z16" s="216"/>
      <c r="AA16" s="216"/>
      <c r="AB16" s="216"/>
      <c r="AC16" s="216"/>
      <c r="AD16" s="216"/>
      <c r="AE16" s="216"/>
      <c r="AF16" s="216"/>
      <c r="AG16" s="216"/>
      <c r="AH16" s="216"/>
      <c r="AI16" s="216"/>
    </row>
    <row r="17" ht="15.75" customHeight="1">
      <c r="A17" s="213"/>
      <c r="B17" s="349"/>
      <c r="C17" s="350"/>
      <c r="D17" s="604"/>
      <c r="E17" s="604"/>
      <c r="F17" s="604"/>
      <c r="G17" s="604"/>
      <c r="H17" s="604"/>
      <c r="I17" s="604"/>
      <c r="J17" s="604"/>
      <c r="K17" s="605"/>
      <c r="L17" s="604"/>
      <c r="M17" s="604"/>
      <c r="N17" s="604"/>
      <c r="O17" s="351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</row>
    <row r="18" ht="15.75" customHeight="1">
      <c r="A18" s="213"/>
      <c r="B18" s="349" t="s">
        <v>24</v>
      </c>
      <c r="C18" s="350" t="s">
        <v>461</v>
      </c>
      <c r="D18" s="604">
        <v>20563.0</v>
      </c>
      <c r="E18" s="604">
        <v>167998.0</v>
      </c>
      <c r="F18" s="604">
        <v>33150.0</v>
      </c>
      <c r="G18" s="604">
        <v>173155.0</v>
      </c>
      <c r="H18" s="604">
        <v>167211.0</v>
      </c>
      <c r="I18" s="604">
        <v>181745.0</v>
      </c>
      <c r="J18" s="604">
        <v>161618.5</v>
      </c>
      <c r="K18" s="605">
        <v>173515.0</v>
      </c>
      <c r="L18" s="604">
        <v>188040.0</v>
      </c>
      <c r="M18" s="604">
        <v>158611.75</v>
      </c>
      <c r="N18" s="604">
        <v>138265.3</v>
      </c>
      <c r="O18" s="351">
        <v>182277.0</v>
      </c>
      <c r="P18" s="213"/>
      <c r="Q18" s="213"/>
      <c r="R18" s="213"/>
      <c r="S18" s="213"/>
      <c r="T18" s="213"/>
      <c r="U18" s="213"/>
      <c r="V18" s="213"/>
      <c r="W18" s="213"/>
      <c r="X18" s="213"/>
      <c r="Y18" s="213"/>
      <c r="Z18" s="213"/>
      <c r="AA18" s="213"/>
      <c r="AB18" s="213"/>
      <c r="AC18" s="213"/>
      <c r="AD18" s="213"/>
      <c r="AE18" s="213"/>
      <c r="AF18" s="213"/>
      <c r="AG18" s="213"/>
      <c r="AH18" s="213"/>
      <c r="AI18" s="213"/>
    </row>
    <row r="19" ht="15.75" customHeight="1">
      <c r="A19" s="213"/>
      <c r="B19" s="924"/>
      <c r="C19" s="350" t="s">
        <v>462</v>
      </c>
      <c r="D19" s="604">
        <v>24867.0</v>
      </c>
      <c r="E19" s="604">
        <v>283426.0</v>
      </c>
      <c r="F19" s="604">
        <v>270047.0</v>
      </c>
      <c r="G19" s="604">
        <v>171641.0</v>
      </c>
      <c r="H19" s="604">
        <v>137495.0</v>
      </c>
      <c r="I19" s="604">
        <v>142554.0</v>
      </c>
      <c r="J19" s="604">
        <v>142341.0</v>
      </c>
      <c r="K19" s="605">
        <v>140837.0</v>
      </c>
      <c r="L19" s="604">
        <v>188287.0</v>
      </c>
      <c r="M19" s="604">
        <v>170112.0</v>
      </c>
      <c r="N19" s="604">
        <v>161851.0</v>
      </c>
      <c r="O19" s="351">
        <v>160489.0</v>
      </c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  <c r="AA19" s="213"/>
      <c r="AB19" s="213"/>
      <c r="AC19" s="213"/>
      <c r="AD19" s="213"/>
      <c r="AE19" s="213"/>
      <c r="AF19" s="213"/>
      <c r="AG19" s="213"/>
      <c r="AH19" s="213"/>
      <c r="AI19" s="213"/>
    </row>
    <row r="20" ht="15.75" customHeight="1">
      <c r="A20" s="213"/>
      <c r="B20" s="393"/>
      <c r="C20" s="350"/>
      <c r="D20" s="604"/>
      <c r="E20" s="604"/>
      <c r="F20" s="604"/>
      <c r="G20" s="604"/>
      <c r="H20" s="604"/>
      <c r="I20" s="604"/>
      <c r="J20" s="604"/>
      <c r="K20" s="605"/>
      <c r="L20" s="604"/>
      <c r="M20" s="604"/>
      <c r="N20" s="604"/>
      <c r="O20" s="351"/>
      <c r="P20" s="213"/>
      <c r="Q20" s="213"/>
      <c r="R20" s="213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</row>
    <row r="21" ht="15.75" customHeight="1">
      <c r="A21" s="213"/>
      <c r="B21" s="393"/>
      <c r="C21" s="350" t="s">
        <v>226</v>
      </c>
      <c r="D21" s="604">
        <v>1583.0</v>
      </c>
      <c r="E21" s="604">
        <v>17601.0</v>
      </c>
      <c r="F21" s="604">
        <v>14377.0</v>
      </c>
      <c r="G21" s="604">
        <v>21886.0</v>
      </c>
      <c r="H21" s="604">
        <f>12484+6872</f>
        <v>19356</v>
      </c>
      <c r="I21" s="604">
        <f>14037.5+7127.73</f>
        <v>21165.23</v>
      </c>
      <c r="J21" s="604">
        <f>9286.25+7117.05</f>
        <v>16403.3</v>
      </c>
      <c r="K21" s="605">
        <f>9653.75+7041.87</f>
        <v>16695.62</v>
      </c>
      <c r="L21" s="604">
        <v>20097.91</v>
      </c>
      <c r="M21" s="604">
        <v>17731.99</v>
      </c>
      <c r="N21" s="604">
        <f>8263.75+8077.77</f>
        <v>16341.52</v>
      </c>
      <c r="O21" s="351">
        <f>10774.5+8024.59</f>
        <v>18799.09</v>
      </c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  <c r="AA21" s="213"/>
      <c r="AB21" s="213"/>
      <c r="AC21" s="213"/>
      <c r="AD21" s="213"/>
      <c r="AE21" s="213"/>
      <c r="AF21" s="213"/>
      <c r="AG21" s="213"/>
      <c r="AH21" s="213"/>
      <c r="AI21" s="213"/>
    </row>
    <row r="22" ht="15.75" customHeight="1">
      <c r="A22" s="213"/>
      <c r="B22" s="393"/>
      <c r="C22" s="350"/>
      <c r="D22" s="604"/>
      <c r="E22" s="604"/>
      <c r="F22" s="604"/>
      <c r="G22" s="604"/>
      <c r="H22" s="604"/>
      <c r="I22" s="604"/>
      <c r="J22" s="604"/>
      <c r="K22" s="605"/>
      <c r="L22" s="604"/>
      <c r="M22" s="604"/>
      <c r="N22" s="604"/>
      <c r="O22" s="351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  <c r="AD22" s="213"/>
      <c r="AE22" s="213"/>
      <c r="AF22" s="213"/>
      <c r="AG22" s="213"/>
      <c r="AH22" s="213"/>
      <c r="AI22" s="213"/>
    </row>
    <row r="23" ht="15.75" customHeight="1">
      <c r="A23" s="213"/>
      <c r="B23" s="349"/>
      <c r="C23" s="350"/>
      <c r="D23" s="604"/>
      <c r="E23" s="604"/>
      <c r="F23" s="604"/>
      <c r="G23" s="604"/>
      <c r="H23" s="604"/>
      <c r="I23" s="604"/>
      <c r="J23" s="604"/>
      <c r="K23" s="605"/>
      <c r="L23" s="604"/>
      <c r="M23" s="604"/>
      <c r="N23" s="604"/>
      <c r="O23" s="351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  <c r="AA23" s="213"/>
      <c r="AB23" s="213"/>
      <c r="AC23" s="213"/>
      <c r="AD23" s="213"/>
      <c r="AE23" s="213"/>
      <c r="AF23" s="213"/>
      <c r="AG23" s="213"/>
      <c r="AH23" s="213"/>
      <c r="AI23" s="213"/>
    </row>
    <row r="24" ht="15.75" customHeight="1">
      <c r="A24" s="213"/>
      <c r="B24" s="349" t="s">
        <v>22</v>
      </c>
      <c r="C24" s="350" t="s">
        <v>22</v>
      </c>
      <c r="D24" s="351">
        <v>0.0</v>
      </c>
      <c r="E24" s="351">
        <v>0.0</v>
      </c>
      <c r="F24" s="351">
        <v>0.0</v>
      </c>
      <c r="G24" s="351">
        <v>0.0</v>
      </c>
      <c r="H24" s="351">
        <v>0.0</v>
      </c>
      <c r="I24" s="351">
        <v>0.0</v>
      </c>
      <c r="J24" s="351">
        <v>0.0</v>
      </c>
      <c r="K24" s="495">
        <v>0.0</v>
      </c>
      <c r="L24" s="351">
        <v>0.0</v>
      </c>
      <c r="M24" s="351">
        <v>0.0</v>
      </c>
      <c r="N24" s="351">
        <v>0.0</v>
      </c>
      <c r="O24" s="351">
        <v>0.0</v>
      </c>
      <c r="P24" s="213"/>
      <c r="Q24" s="213"/>
      <c r="R24" s="213"/>
      <c r="S24" s="213"/>
      <c r="T24" s="213"/>
      <c r="U24" s="213"/>
      <c r="V24" s="213"/>
      <c r="W24" s="213"/>
      <c r="X24" s="213"/>
      <c r="Y24" s="213"/>
      <c r="Z24" s="213"/>
      <c r="AA24" s="213"/>
      <c r="AB24" s="213"/>
      <c r="AC24" s="213"/>
      <c r="AD24" s="213"/>
      <c r="AE24" s="213"/>
      <c r="AF24" s="213"/>
      <c r="AG24" s="213"/>
      <c r="AH24" s="213"/>
      <c r="AI24" s="213"/>
    </row>
    <row r="25" ht="15.75" customHeight="1">
      <c r="A25" s="213"/>
      <c r="B25" s="349" t="s">
        <v>23</v>
      </c>
      <c r="C25" s="350" t="s">
        <v>23</v>
      </c>
      <c r="D25" s="351">
        <v>0.0</v>
      </c>
      <c r="E25" s="351">
        <v>0.0</v>
      </c>
      <c r="F25" s="351">
        <v>0.0</v>
      </c>
      <c r="G25" s="351">
        <v>0.0</v>
      </c>
      <c r="H25" s="351">
        <v>0.0</v>
      </c>
      <c r="I25" s="351">
        <v>0.0</v>
      </c>
      <c r="J25" s="351">
        <v>0.0</v>
      </c>
      <c r="K25" s="495">
        <v>0.0</v>
      </c>
      <c r="L25" s="351">
        <v>0.0</v>
      </c>
      <c r="M25" s="351">
        <v>0.0</v>
      </c>
      <c r="N25" s="351">
        <v>0.0</v>
      </c>
      <c r="O25" s="351">
        <v>0.0</v>
      </c>
      <c r="P25" s="213"/>
      <c r="Q25" s="213"/>
      <c r="R25" s="213"/>
      <c r="S25" s="213"/>
      <c r="T25" s="213"/>
      <c r="U25" s="213"/>
      <c r="V25" s="213"/>
      <c r="W25" s="213"/>
      <c r="X25" s="213"/>
      <c r="Y25" s="213"/>
      <c r="Z25" s="213"/>
      <c r="AA25" s="213"/>
      <c r="AB25" s="213"/>
      <c r="AC25" s="213"/>
      <c r="AD25" s="213"/>
      <c r="AE25" s="213"/>
      <c r="AF25" s="213"/>
      <c r="AG25" s="213"/>
      <c r="AH25" s="213"/>
      <c r="AI25" s="213"/>
    </row>
    <row r="26" ht="15.75" customHeight="1">
      <c r="A26" s="213"/>
      <c r="B26" s="349" t="s">
        <v>24</v>
      </c>
      <c r="C26" s="350" t="s">
        <v>230</v>
      </c>
      <c r="D26" s="609">
        <f t="shared" ref="D26:O26" si="3">SUM(D17:D21)</f>
        <v>47013</v>
      </c>
      <c r="E26" s="609">
        <f t="shared" si="3"/>
        <v>469025</v>
      </c>
      <c r="F26" s="609">
        <f t="shared" si="3"/>
        <v>317574</v>
      </c>
      <c r="G26" s="609">
        <f t="shared" si="3"/>
        <v>366682</v>
      </c>
      <c r="H26" s="609">
        <f t="shared" si="3"/>
        <v>324062</v>
      </c>
      <c r="I26" s="609">
        <f t="shared" si="3"/>
        <v>345464.23</v>
      </c>
      <c r="J26" s="609">
        <f t="shared" si="3"/>
        <v>320362.8</v>
      </c>
      <c r="K26" s="610">
        <f t="shared" si="3"/>
        <v>331047.62</v>
      </c>
      <c r="L26" s="609">
        <f t="shared" si="3"/>
        <v>396424.91</v>
      </c>
      <c r="M26" s="609">
        <f t="shared" si="3"/>
        <v>346455.74</v>
      </c>
      <c r="N26" s="609">
        <f t="shared" si="3"/>
        <v>316457.82</v>
      </c>
      <c r="O26" s="398">
        <f t="shared" si="3"/>
        <v>361565.09</v>
      </c>
      <c r="P26" s="213"/>
      <c r="Q26" s="213"/>
      <c r="R26" s="213"/>
      <c r="S26" s="213"/>
      <c r="T26" s="213"/>
      <c r="U26" s="213"/>
      <c r="V26" s="213"/>
      <c r="W26" s="213"/>
      <c r="X26" s="213"/>
      <c r="Y26" s="213"/>
      <c r="Z26" s="213"/>
      <c r="AA26" s="213"/>
      <c r="AB26" s="213"/>
      <c r="AC26" s="213"/>
      <c r="AD26" s="213"/>
      <c r="AE26" s="213"/>
      <c r="AF26" s="213"/>
      <c r="AG26" s="213"/>
      <c r="AH26" s="213"/>
      <c r="AI26" s="213"/>
    </row>
    <row r="27" ht="15.75" customHeight="1">
      <c r="A27" s="213"/>
      <c r="B27" s="393"/>
      <c r="C27" s="350"/>
      <c r="D27" s="604"/>
      <c r="E27" s="604"/>
      <c r="F27" s="604"/>
      <c r="G27" s="604"/>
      <c r="H27" s="604"/>
      <c r="I27" s="604"/>
      <c r="J27" s="604"/>
      <c r="K27" s="605"/>
      <c r="L27" s="604"/>
      <c r="M27" s="604"/>
      <c r="N27" s="604"/>
      <c r="O27" s="351"/>
      <c r="P27" s="213"/>
      <c r="Q27" s="213"/>
      <c r="R27" s="213"/>
      <c r="S27" s="213"/>
      <c r="T27" s="213"/>
      <c r="U27" s="213"/>
      <c r="V27" s="213"/>
      <c r="W27" s="213"/>
      <c r="X27" s="213"/>
      <c r="Y27" s="213"/>
      <c r="Z27" s="213"/>
      <c r="AA27" s="213"/>
      <c r="AB27" s="213"/>
      <c r="AC27" s="213"/>
      <c r="AD27" s="213"/>
      <c r="AE27" s="213"/>
      <c r="AF27" s="213"/>
      <c r="AG27" s="213"/>
      <c r="AH27" s="213"/>
      <c r="AI27" s="213"/>
    </row>
    <row r="28" ht="15.75" customHeight="1">
      <c r="A28" s="213"/>
      <c r="B28" s="403"/>
      <c r="C28" s="362" t="s">
        <v>231</v>
      </c>
      <c r="D28" s="619"/>
      <c r="E28" s="619"/>
      <c r="F28" s="619"/>
      <c r="G28" s="619"/>
      <c r="H28" s="619"/>
      <c r="I28" s="619"/>
      <c r="J28" s="619"/>
      <c r="K28" s="793"/>
      <c r="L28" s="619"/>
      <c r="M28" s="619"/>
      <c r="N28" s="619"/>
      <c r="O28" s="506"/>
      <c r="P28" s="213"/>
      <c r="Q28" s="213"/>
      <c r="R28" s="213"/>
      <c r="S28" s="213"/>
      <c r="T28" s="213"/>
      <c r="U28" s="213"/>
      <c r="V28" s="213"/>
      <c r="W28" s="213"/>
      <c r="X28" s="213"/>
      <c r="Y28" s="213"/>
      <c r="Z28" s="213"/>
      <c r="AA28" s="213"/>
      <c r="AB28" s="213"/>
      <c r="AC28" s="213"/>
      <c r="AD28" s="213"/>
      <c r="AE28" s="213"/>
      <c r="AF28" s="213"/>
      <c r="AG28" s="213"/>
      <c r="AH28" s="213"/>
      <c r="AI28" s="213"/>
    </row>
    <row r="29" ht="15.75" customHeight="1">
      <c r="A29" s="213"/>
      <c r="B29" s="407"/>
      <c r="C29" s="372" t="s">
        <v>232</v>
      </c>
      <c r="D29" s="600">
        <f t="shared" ref="D29:O29" si="4">D24+D25+D26+D28</f>
        <v>47013</v>
      </c>
      <c r="E29" s="600">
        <f t="shared" si="4"/>
        <v>469025</v>
      </c>
      <c r="F29" s="600">
        <f t="shared" si="4"/>
        <v>317574</v>
      </c>
      <c r="G29" s="600">
        <f t="shared" si="4"/>
        <v>366682</v>
      </c>
      <c r="H29" s="600">
        <f t="shared" si="4"/>
        <v>324062</v>
      </c>
      <c r="I29" s="600">
        <f t="shared" si="4"/>
        <v>345464.23</v>
      </c>
      <c r="J29" s="377">
        <f t="shared" si="4"/>
        <v>320362.8</v>
      </c>
      <c r="K29" s="601">
        <f t="shared" si="4"/>
        <v>331047.62</v>
      </c>
      <c r="L29" s="600">
        <f t="shared" si="4"/>
        <v>396424.91</v>
      </c>
      <c r="M29" s="600">
        <f t="shared" si="4"/>
        <v>346455.74</v>
      </c>
      <c r="N29" s="600">
        <f t="shared" si="4"/>
        <v>316457.82</v>
      </c>
      <c r="O29" s="373">
        <f t="shared" si="4"/>
        <v>361565.09</v>
      </c>
      <c r="P29" s="718">
        <f>SUM(D29:O29)</f>
        <v>3942134.21</v>
      </c>
      <c r="Q29" s="216"/>
      <c r="R29" s="216"/>
      <c r="S29" s="216"/>
      <c r="T29" s="216"/>
      <c r="U29" s="216"/>
      <c r="V29" s="216"/>
      <c r="W29" s="216"/>
      <c r="X29" s="216"/>
      <c r="Y29" s="216"/>
      <c r="Z29" s="216"/>
      <c r="AA29" s="216"/>
      <c r="AB29" s="216"/>
      <c r="AC29" s="216"/>
      <c r="AD29" s="216"/>
      <c r="AE29" s="216"/>
      <c r="AF29" s="216"/>
      <c r="AG29" s="216"/>
      <c r="AH29" s="216"/>
      <c r="AI29" s="216"/>
    </row>
    <row r="30" ht="15.75" hidden="1" customHeight="1">
      <c r="A30" s="213"/>
      <c r="B30" s="382"/>
      <c r="C30" s="383"/>
      <c r="D30" s="708"/>
      <c r="E30" s="708"/>
      <c r="F30" s="708"/>
      <c r="G30" s="708"/>
      <c r="H30" s="708"/>
      <c r="I30" s="708"/>
      <c r="J30" s="708"/>
      <c r="K30" s="787"/>
      <c r="L30" s="708"/>
      <c r="M30" s="708"/>
      <c r="N30" s="708"/>
      <c r="O30" s="491"/>
      <c r="P30" s="213"/>
      <c r="Q30" s="213"/>
      <c r="R30" s="213"/>
      <c r="S30" s="213"/>
      <c r="T30" s="213"/>
      <c r="U30" s="213"/>
      <c r="V30" s="213"/>
      <c r="W30" s="213"/>
      <c r="X30" s="213"/>
      <c r="Y30" s="213"/>
      <c r="Z30" s="213"/>
      <c r="AA30" s="213"/>
      <c r="AB30" s="213"/>
      <c r="AC30" s="213"/>
      <c r="AD30" s="213"/>
      <c r="AE30" s="213"/>
      <c r="AF30" s="213"/>
      <c r="AG30" s="213"/>
      <c r="AH30" s="213"/>
      <c r="AI30" s="213"/>
    </row>
    <row r="31" ht="15.75" hidden="1" customHeight="1">
      <c r="A31" s="213"/>
      <c r="B31" s="393"/>
      <c r="C31" s="350"/>
      <c r="D31" s="604"/>
      <c r="E31" s="604"/>
      <c r="F31" s="604"/>
      <c r="G31" s="604"/>
      <c r="H31" s="604"/>
      <c r="I31" s="604"/>
      <c r="J31" s="604"/>
      <c r="K31" s="605"/>
      <c r="L31" s="604"/>
      <c r="M31" s="604"/>
      <c r="N31" s="604"/>
      <c r="O31" s="351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  <c r="AC31" s="213"/>
      <c r="AD31" s="213"/>
      <c r="AE31" s="213"/>
      <c r="AF31" s="213"/>
      <c r="AG31" s="213"/>
      <c r="AH31" s="213"/>
      <c r="AI31" s="213"/>
    </row>
    <row r="32" ht="15.75" hidden="1" customHeight="1">
      <c r="A32" s="213"/>
      <c r="B32" s="393"/>
      <c r="C32" s="350"/>
      <c r="D32" s="604"/>
      <c r="E32" s="604"/>
      <c r="F32" s="604"/>
      <c r="G32" s="604"/>
      <c r="H32" s="604"/>
      <c r="I32" s="604"/>
      <c r="J32" s="604"/>
      <c r="K32" s="605"/>
      <c r="L32" s="604"/>
      <c r="M32" s="604"/>
      <c r="N32" s="604"/>
      <c r="O32" s="351"/>
      <c r="P32" s="213"/>
      <c r="Q32" s="213"/>
      <c r="R32" s="213"/>
      <c r="S32" s="213"/>
      <c r="T32" s="213"/>
      <c r="U32" s="213"/>
      <c r="V32" s="213"/>
      <c r="W32" s="213"/>
      <c r="X32" s="213"/>
      <c r="Y32" s="213"/>
      <c r="Z32" s="213"/>
      <c r="AA32" s="213"/>
      <c r="AB32" s="213"/>
      <c r="AC32" s="213"/>
      <c r="AD32" s="213"/>
      <c r="AE32" s="213"/>
      <c r="AF32" s="213"/>
      <c r="AG32" s="213"/>
      <c r="AH32" s="213"/>
      <c r="AI32" s="213"/>
    </row>
    <row r="33" ht="15.75" hidden="1" customHeight="1">
      <c r="A33" s="213"/>
      <c r="B33" s="393"/>
      <c r="C33" s="350"/>
      <c r="D33" s="604"/>
      <c r="E33" s="604"/>
      <c r="F33" s="604"/>
      <c r="G33" s="604"/>
      <c r="H33" s="604"/>
      <c r="I33" s="604"/>
      <c r="J33" s="604"/>
      <c r="K33" s="605"/>
      <c r="L33" s="604"/>
      <c r="M33" s="604"/>
      <c r="N33" s="604"/>
      <c r="O33" s="351"/>
      <c r="P33" s="213"/>
      <c r="Q33" s="213"/>
      <c r="R33" s="213"/>
      <c r="S33" s="213"/>
      <c r="T33" s="213"/>
      <c r="U33" s="213"/>
      <c r="V33" s="213"/>
      <c r="W33" s="213"/>
      <c r="X33" s="213"/>
      <c r="Y33" s="213"/>
      <c r="Z33" s="213"/>
      <c r="AA33" s="213"/>
      <c r="AB33" s="213"/>
      <c r="AC33" s="213"/>
      <c r="AD33" s="213"/>
      <c r="AE33" s="213"/>
      <c r="AF33" s="213"/>
      <c r="AG33" s="213"/>
      <c r="AH33" s="213"/>
      <c r="AI33" s="213"/>
    </row>
    <row r="34" ht="15.75" hidden="1" customHeight="1">
      <c r="A34" s="213"/>
      <c r="B34" s="393"/>
      <c r="C34" s="350"/>
      <c r="D34" s="604"/>
      <c r="E34" s="604"/>
      <c r="F34" s="604"/>
      <c r="G34" s="604"/>
      <c r="H34" s="604"/>
      <c r="I34" s="604"/>
      <c r="J34" s="604"/>
      <c r="K34" s="605"/>
      <c r="L34" s="604"/>
      <c r="M34" s="604"/>
      <c r="N34" s="604"/>
      <c r="O34" s="351"/>
      <c r="P34" s="213"/>
      <c r="Q34" s="213"/>
      <c r="R34" s="213"/>
      <c r="S34" s="213"/>
      <c r="T34" s="213"/>
      <c r="U34" s="213"/>
      <c r="V34" s="213"/>
      <c r="W34" s="213"/>
      <c r="X34" s="213"/>
      <c r="Y34" s="213"/>
      <c r="Z34" s="213"/>
      <c r="AA34" s="213"/>
      <c r="AB34" s="213"/>
      <c r="AC34" s="213"/>
      <c r="AD34" s="213"/>
      <c r="AE34" s="213"/>
      <c r="AF34" s="213"/>
      <c r="AG34" s="213"/>
      <c r="AH34" s="213"/>
      <c r="AI34" s="213"/>
    </row>
    <row r="35" ht="15.75" hidden="1" customHeight="1">
      <c r="A35" s="213"/>
      <c r="B35" s="393"/>
      <c r="C35" s="350"/>
      <c r="D35" s="604"/>
      <c r="E35" s="604"/>
      <c r="F35" s="604"/>
      <c r="G35" s="604"/>
      <c r="H35" s="604"/>
      <c r="I35" s="604"/>
      <c r="J35" s="604"/>
      <c r="K35" s="605"/>
      <c r="L35" s="604"/>
      <c r="M35" s="604"/>
      <c r="N35" s="604"/>
      <c r="O35" s="351"/>
      <c r="P35" s="213"/>
      <c r="Q35" s="213"/>
      <c r="R35" s="213"/>
      <c r="S35" s="213"/>
      <c r="T35" s="213"/>
      <c r="U35" s="213"/>
      <c r="V35" s="213"/>
      <c r="W35" s="213"/>
      <c r="X35" s="213"/>
      <c r="Y35" s="213"/>
      <c r="Z35" s="213"/>
      <c r="AA35" s="213"/>
      <c r="AB35" s="213"/>
      <c r="AC35" s="213"/>
      <c r="AD35" s="213"/>
      <c r="AE35" s="213"/>
      <c r="AF35" s="213"/>
      <c r="AG35" s="213"/>
      <c r="AH35" s="213"/>
      <c r="AI35" s="213"/>
    </row>
    <row r="36" ht="15.75" hidden="1" customHeight="1">
      <c r="A36" s="213"/>
      <c r="B36" s="393"/>
      <c r="C36" s="350"/>
      <c r="D36" s="604"/>
      <c r="E36" s="604"/>
      <c r="F36" s="604"/>
      <c r="G36" s="604"/>
      <c r="H36" s="604"/>
      <c r="I36" s="604"/>
      <c r="J36" s="604"/>
      <c r="K36" s="605"/>
      <c r="L36" s="604"/>
      <c r="M36" s="604"/>
      <c r="N36" s="604"/>
      <c r="O36" s="351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  <c r="AA36" s="213"/>
      <c r="AB36" s="213"/>
      <c r="AC36" s="213"/>
      <c r="AD36" s="213"/>
      <c r="AE36" s="213"/>
      <c r="AF36" s="213"/>
      <c r="AG36" s="213"/>
      <c r="AH36" s="213"/>
      <c r="AI36" s="213"/>
    </row>
    <row r="37" ht="15.75" hidden="1" customHeight="1">
      <c r="A37" s="213"/>
      <c r="B37" s="393"/>
      <c r="C37" s="350"/>
      <c r="D37" s="604"/>
      <c r="E37" s="604"/>
      <c r="F37" s="604"/>
      <c r="G37" s="604"/>
      <c r="H37" s="604"/>
      <c r="I37" s="604"/>
      <c r="J37" s="604"/>
      <c r="K37" s="605"/>
      <c r="L37" s="604"/>
      <c r="M37" s="604"/>
      <c r="N37" s="604"/>
      <c r="O37" s="351"/>
      <c r="P37" s="216"/>
      <c r="Q37" s="216"/>
      <c r="R37" s="216"/>
      <c r="S37" s="216"/>
      <c r="T37" s="216"/>
      <c r="U37" s="216"/>
      <c r="V37" s="216"/>
      <c r="W37" s="216"/>
      <c r="X37" s="216"/>
      <c r="Y37" s="216"/>
      <c r="Z37" s="216"/>
      <c r="AA37" s="216"/>
      <c r="AB37" s="216"/>
      <c r="AC37" s="216"/>
      <c r="AD37" s="216"/>
      <c r="AE37" s="216"/>
      <c r="AF37" s="216"/>
      <c r="AG37" s="216"/>
      <c r="AH37" s="216"/>
      <c r="AI37" s="216"/>
    </row>
    <row r="38" ht="15.75" customHeight="1">
      <c r="A38" s="213"/>
      <c r="B38" s="349"/>
      <c r="C38" s="358"/>
      <c r="D38" s="604"/>
      <c r="E38" s="604"/>
      <c r="F38" s="604"/>
      <c r="G38" s="604"/>
      <c r="H38" s="604"/>
      <c r="I38" s="604"/>
      <c r="J38" s="604"/>
      <c r="K38" s="605"/>
      <c r="L38" s="604"/>
      <c r="M38" s="604"/>
      <c r="N38" s="604"/>
      <c r="O38" s="664"/>
      <c r="P38" s="213"/>
      <c r="Q38" s="213"/>
      <c r="R38" s="213"/>
      <c r="S38" s="213"/>
      <c r="T38" s="213"/>
      <c r="U38" s="213"/>
      <c r="V38" s="213"/>
      <c r="W38" s="213"/>
      <c r="X38" s="213"/>
      <c r="Y38" s="213"/>
      <c r="Z38" s="213"/>
      <c r="AA38" s="213"/>
      <c r="AB38" s="213"/>
      <c r="AC38" s="213"/>
      <c r="AD38" s="213"/>
      <c r="AE38" s="213"/>
      <c r="AF38" s="213"/>
      <c r="AG38" s="213"/>
      <c r="AH38" s="213"/>
      <c r="AI38" s="213"/>
    </row>
    <row r="39" ht="15.75" customHeight="1">
      <c r="A39" s="213"/>
      <c r="B39" s="722" t="s">
        <v>233</v>
      </c>
      <c r="C39" s="616"/>
      <c r="D39" s="604"/>
      <c r="E39" s="604"/>
      <c r="F39" s="604"/>
      <c r="G39" s="604"/>
      <c r="H39" s="604"/>
      <c r="I39" s="604"/>
      <c r="J39" s="604"/>
      <c r="K39" s="605"/>
      <c r="L39" s="604"/>
      <c r="M39" s="604"/>
      <c r="N39" s="604"/>
      <c r="O39" s="664"/>
      <c r="P39" s="213"/>
      <c r="Q39" s="213"/>
      <c r="R39" s="213"/>
      <c r="S39" s="213"/>
      <c r="T39" s="213"/>
      <c r="U39" s="213"/>
      <c r="V39" s="213"/>
      <c r="W39" s="213"/>
      <c r="X39" s="213"/>
      <c r="Y39" s="213"/>
      <c r="Z39" s="213"/>
      <c r="AA39" s="213"/>
      <c r="AB39" s="213"/>
      <c r="AC39" s="213"/>
      <c r="AD39" s="213"/>
      <c r="AE39" s="213"/>
      <c r="AF39" s="213"/>
      <c r="AG39" s="213"/>
      <c r="AH39" s="213"/>
      <c r="AI39" s="213"/>
    </row>
    <row r="40" ht="15.75" customHeight="1">
      <c r="A40" s="213"/>
      <c r="B40" s="349" t="s">
        <v>29</v>
      </c>
      <c r="C40" s="350"/>
      <c r="D40" s="604"/>
      <c r="E40" s="604"/>
      <c r="F40" s="604"/>
      <c r="G40" s="604"/>
      <c r="H40" s="604"/>
      <c r="I40" s="604"/>
      <c r="J40" s="604"/>
      <c r="K40" s="605"/>
      <c r="L40" s="604"/>
      <c r="M40" s="604"/>
      <c r="N40" s="604"/>
      <c r="O40" s="664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</row>
    <row r="41" ht="15.75" customHeight="1">
      <c r="A41" s="213"/>
      <c r="B41" s="393"/>
      <c r="C41" s="411" t="s">
        <v>234</v>
      </c>
      <c r="D41" s="604"/>
      <c r="E41" s="604"/>
      <c r="F41" s="393"/>
      <c r="G41" s="393"/>
      <c r="H41" s="988"/>
      <c r="I41" s="988"/>
      <c r="J41" s="988"/>
      <c r="K41" s="946"/>
      <c r="L41" s="988"/>
      <c r="M41" s="988"/>
      <c r="N41" s="988"/>
      <c r="O41" s="664"/>
      <c r="P41" s="213"/>
      <c r="Q41" s="213"/>
      <c r="R41" s="213"/>
      <c r="S41" s="213"/>
      <c r="T41" s="213"/>
      <c r="U41" s="213"/>
      <c r="V41" s="213"/>
      <c r="W41" s="213"/>
      <c r="X41" s="213"/>
      <c r="Y41" s="213"/>
      <c r="Z41" s="213"/>
      <c r="AA41" s="213"/>
      <c r="AB41" s="213"/>
      <c r="AC41" s="213"/>
      <c r="AD41" s="213"/>
      <c r="AE41" s="213"/>
      <c r="AF41" s="213"/>
      <c r="AG41" s="213"/>
      <c r="AH41" s="213"/>
      <c r="AI41" s="213"/>
    </row>
    <row r="42" ht="15.75" customHeight="1">
      <c r="A42" s="213"/>
      <c r="B42" s="393"/>
      <c r="C42" s="350" t="s">
        <v>235</v>
      </c>
      <c r="D42" s="604"/>
      <c r="E42" s="604"/>
      <c r="F42" s="393"/>
      <c r="G42" s="393"/>
      <c r="H42" s="988"/>
      <c r="I42" s="988"/>
      <c r="J42" s="988"/>
      <c r="K42" s="946"/>
      <c r="L42" s="988"/>
      <c r="M42" s="988"/>
      <c r="N42" s="988"/>
      <c r="O42" s="664"/>
      <c r="P42" s="213"/>
      <c r="Q42" s="213"/>
      <c r="R42" s="213"/>
      <c r="S42" s="213"/>
      <c r="T42" s="213"/>
      <c r="U42" s="213"/>
      <c r="V42" s="213"/>
      <c r="W42" s="213"/>
      <c r="X42" s="213"/>
      <c r="Y42" s="213"/>
      <c r="Z42" s="213"/>
      <c r="AA42" s="213"/>
      <c r="AB42" s="213"/>
      <c r="AC42" s="213"/>
      <c r="AD42" s="213"/>
      <c r="AE42" s="213"/>
      <c r="AF42" s="213"/>
      <c r="AG42" s="213"/>
      <c r="AH42" s="213"/>
      <c r="AI42" s="213"/>
    </row>
    <row r="43" ht="15.75" customHeight="1">
      <c r="A43" s="213"/>
      <c r="B43" s="393"/>
      <c r="C43" s="350" t="s">
        <v>301</v>
      </c>
      <c r="D43" s="604"/>
      <c r="E43" s="604">
        <f>'MSBC CK Allocation'!D11</f>
        <v>74601.03</v>
      </c>
      <c r="F43" s="665">
        <f>'MSBC CK Allocation'!E11</f>
        <v>62249.41</v>
      </c>
      <c r="G43" s="664">
        <f>'MSBC CK Allocation'!F11</f>
        <v>91176.5</v>
      </c>
      <c r="H43" s="988">
        <f>'MSBC CK Allocation'!G11</f>
        <v>91225.97</v>
      </c>
      <c r="I43" s="988">
        <f>'MSBC CK Allocation'!H11</f>
        <v>96887.24</v>
      </c>
      <c r="J43" s="988">
        <f>'MSBC CK Allocation'!I11</f>
        <v>89805.22</v>
      </c>
      <c r="K43" s="946">
        <f>'MSBC CK Allocation'!J11</f>
        <v>120695.06</v>
      </c>
      <c r="L43" s="988">
        <f>'MSBC CK Allocation'!K11</f>
        <v>144703.14</v>
      </c>
      <c r="M43" s="989">
        <v>128752.0</v>
      </c>
      <c r="N43" s="989">
        <v>81369.51</v>
      </c>
      <c r="O43" s="664">
        <v>103491.36026745818</v>
      </c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</row>
    <row r="44" ht="15.75" customHeight="1">
      <c r="A44" s="213"/>
      <c r="B44" s="393"/>
      <c r="C44" s="350" t="s">
        <v>463</v>
      </c>
      <c r="D44" s="660"/>
      <c r="E44" s="660">
        <f>'MSBC CK Allocation'!D25</f>
        <v>194503.3871</v>
      </c>
      <c r="F44" s="660">
        <f>'MSBC CK Allocation'!E25</f>
        <v>132254.7284</v>
      </c>
      <c r="G44" s="660">
        <f>'MSBC CK Allocation'!F25</f>
        <v>130184.5127</v>
      </c>
      <c r="H44" s="660">
        <f>'MSBC CK Allocation'!G25</f>
        <v>122841.2483</v>
      </c>
      <c r="I44" s="660">
        <f>'MSBC CK Allocation'!H25</f>
        <v>121917.5376</v>
      </c>
      <c r="J44" s="660">
        <f>'MSBC CK Allocation'!I25</f>
        <v>136335.7891</v>
      </c>
      <c r="K44" s="687">
        <f>'MSBC CK Allocation'!J25</f>
        <v>145110.7458</v>
      </c>
      <c r="L44" s="660">
        <f>'MSBC CK Allocation'!K25</f>
        <v>145908.1479</v>
      </c>
      <c r="M44" s="660">
        <f>'MSBC CK Allocation'!L25</f>
        <v>121075.5401</v>
      </c>
      <c r="N44" s="660">
        <f>'MSBC CK Allocation'!M25</f>
        <v>132373.9289</v>
      </c>
      <c r="O44" s="660">
        <f>'MSBC CK Allocation'!N25</f>
        <v>92973.77814</v>
      </c>
      <c r="P44" s="213"/>
      <c r="Q44" s="213"/>
      <c r="R44" s="213"/>
      <c r="S44" s="213"/>
      <c r="T44" s="213"/>
      <c r="U44" s="213"/>
      <c r="V44" s="213"/>
      <c r="W44" s="213"/>
      <c r="X44" s="213"/>
      <c r="Y44" s="213"/>
      <c r="Z44" s="213"/>
      <c r="AA44" s="213"/>
      <c r="AB44" s="213"/>
      <c r="AC44" s="213"/>
      <c r="AD44" s="213"/>
      <c r="AE44" s="213"/>
      <c r="AF44" s="213"/>
      <c r="AG44" s="213"/>
      <c r="AH44" s="213"/>
      <c r="AI44" s="213"/>
    </row>
    <row r="45" ht="15.75" customHeight="1">
      <c r="A45" s="213"/>
      <c r="B45" s="393"/>
      <c r="C45" s="350" t="s">
        <v>23</v>
      </c>
      <c r="D45" s="660"/>
      <c r="E45" s="660"/>
      <c r="F45" s="660"/>
      <c r="G45" s="660"/>
      <c r="H45" s="660"/>
      <c r="I45" s="660"/>
      <c r="J45" s="660"/>
      <c r="K45" s="687"/>
      <c r="L45" s="660"/>
      <c r="M45" s="660"/>
      <c r="N45" s="660"/>
      <c r="O45" s="664"/>
      <c r="P45" s="213"/>
      <c r="Q45" s="213"/>
      <c r="R45" s="213"/>
      <c r="S45" s="213"/>
      <c r="T45" s="213"/>
      <c r="U45" s="213"/>
      <c r="V45" s="213"/>
      <c r="W45" s="213"/>
      <c r="X45" s="213"/>
      <c r="Y45" s="213"/>
      <c r="Z45" s="213"/>
      <c r="AA45" s="213"/>
      <c r="AB45" s="213"/>
      <c r="AC45" s="213"/>
      <c r="AD45" s="213"/>
      <c r="AE45" s="213"/>
      <c r="AF45" s="213"/>
      <c r="AG45" s="213"/>
      <c r="AH45" s="213"/>
      <c r="AI45" s="213"/>
    </row>
    <row r="46" ht="15.75" customHeight="1">
      <c r="A46" s="213"/>
      <c r="B46" s="393"/>
      <c r="C46" s="350" t="s">
        <v>302</v>
      </c>
      <c r="D46" s="604"/>
      <c r="E46" s="604">
        <v>7693.006813219296</v>
      </c>
      <c r="F46" s="604">
        <v>6899.535905833423</v>
      </c>
      <c r="G46" s="604">
        <v>5642.496534791014</v>
      </c>
      <c r="H46" s="604">
        <f>'Calculation Sheet for GST on Pu'!G28</f>
        <v>8541.590594</v>
      </c>
      <c r="I46" s="604">
        <f>'Calculation Sheet for GST on Pu'!H28</f>
        <v>8495.961779</v>
      </c>
      <c r="J46" s="604">
        <f>'Calculation Sheet for GST on Pu'!I28</f>
        <v>5596.345328</v>
      </c>
      <c r="K46" s="605">
        <f>'Calculation Sheet for GST on Pu'!J28</f>
        <v>7779.89665</v>
      </c>
      <c r="L46" s="604">
        <f>'Calculation Sheet for GST on Pu'!K28</f>
        <v>8862.801744</v>
      </c>
      <c r="M46" s="604">
        <f>'Calculation Sheet for GST on Pu'!L28</f>
        <v>6857.755806</v>
      </c>
      <c r="N46" s="604">
        <f>'Calculation Sheet for GST on Pu'!M28</f>
        <v>5317.337367</v>
      </c>
      <c r="O46" s="664">
        <f>'Calculation Sheet for GST on Pu'!N28</f>
        <v>5205.268734</v>
      </c>
      <c r="P46" s="213"/>
      <c r="Q46" s="213"/>
      <c r="R46" s="213"/>
      <c r="S46" s="213"/>
      <c r="T46" s="213"/>
      <c r="U46" s="213"/>
      <c r="V46" s="213"/>
      <c r="W46" s="213"/>
      <c r="X46" s="213"/>
      <c r="Y46" s="213"/>
      <c r="Z46" s="213"/>
      <c r="AA46" s="213"/>
      <c r="AB46" s="213"/>
      <c r="AC46" s="213"/>
      <c r="AD46" s="213"/>
      <c r="AE46" s="213"/>
      <c r="AF46" s="213"/>
      <c r="AG46" s="213"/>
      <c r="AH46" s="213"/>
      <c r="AI46" s="213"/>
    </row>
    <row r="47" ht="15.75" customHeight="1">
      <c r="A47" s="213"/>
      <c r="B47" s="393"/>
      <c r="C47" s="350" t="s">
        <v>238</v>
      </c>
      <c r="D47" s="604">
        <f t="shared" ref="D47:O47" si="5">SUM(D42:D46)</f>
        <v>0</v>
      </c>
      <c r="E47" s="604">
        <f t="shared" si="5"/>
        <v>276797.4239</v>
      </c>
      <c r="F47" s="604">
        <f t="shared" si="5"/>
        <v>201403.6743</v>
      </c>
      <c r="G47" s="604">
        <f t="shared" si="5"/>
        <v>227003.5092</v>
      </c>
      <c r="H47" s="604">
        <f t="shared" si="5"/>
        <v>222608.8089</v>
      </c>
      <c r="I47" s="604">
        <f t="shared" si="5"/>
        <v>227300.7394</v>
      </c>
      <c r="J47" s="604">
        <f t="shared" si="5"/>
        <v>231737.3545</v>
      </c>
      <c r="K47" s="605">
        <f t="shared" si="5"/>
        <v>273585.7024</v>
      </c>
      <c r="L47" s="604">
        <f t="shared" si="5"/>
        <v>299474.0896</v>
      </c>
      <c r="M47" s="604">
        <f t="shared" si="5"/>
        <v>256685.2959</v>
      </c>
      <c r="N47" s="604">
        <f t="shared" si="5"/>
        <v>219060.7763</v>
      </c>
      <c r="O47" s="664">
        <f t="shared" si="5"/>
        <v>201670.4071</v>
      </c>
      <c r="P47" s="718">
        <f t="shared" ref="P47:P49" si="6">SUM(D47:O47)</f>
        <v>2637327.781</v>
      </c>
      <c r="Q47" s="216"/>
      <c r="R47" s="216"/>
      <c r="S47" s="216"/>
      <c r="T47" s="216"/>
      <c r="U47" s="216"/>
      <c r="V47" s="216"/>
      <c r="W47" s="216"/>
      <c r="X47" s="216"/>
      <c r="Y47" s="216"/>
      <c r="Z47" s="216"/>
      <c r="AA47" s="216"/>
      <c r="AB47" s="216"/>
      <c r="AC47" s="216"/>
      <c r="AD47" s="216"/>
      <c r="AE47" s="216"/>
      <c r="AF47" s="216"/>
      <c r="AG47" s="216"/>
      <c r="AH47" s="216"/>
      <c r="AI47" s="216"/>
    </row>
    <row r="48" ht="15.75" customHeight="1">
      <c r="A48" s="213"/>
      <c r="B48" s="403"/>
      <c r="C48" s="362" t="s">
        <v>239</v>
      </c>
      <c r="D48" s="619"/>
      <c r="E48" s="619">
        <f>6900+1600</f>
        <v>8500</v>
      </c>
      <c r="F48" s="724">
        <v>0.0</v>
      </c>
      <c r="G48" s="724">
        <v>5055.0</v>
      </c>
      <c r="H48" s="724">
        <v>23230.0</v>
      </c>
      <c r="I48" s="724">
        <v>10233.0</v>
      </c>
      <c r="J48" s="724">
        <v>7218.0</v>
      </c>
      <c r="K48" s="990">
        <v>16115.0</v>
      </c>
      <c r="L48" s="724">
        <v>12058.0</v>
      </c>
      <c r="M48" s="724">
        <v>7897.0</v>
      </c>
      <c r="N48" s="724">
        <v>12208.0</v>
      </c>
      <c r="O48" s="991">
        <v>21462.0</v>
      </c>
      <c r="P48" s="718">
        <f t="shared" si="6"/>
        <v>123976</v>
      </c>
      <c r="Q48" s="213"/>
      <c r="R48" s="213"/>
      <c r="S48" s="213"/>
      <c r="T48" s="213"/>
      <c r="U48" s="213"/>
      <c r="V48" s="213"/>
      <c r="W48" s="213"/>
      <c r="X48" s="213"/>
      <c r="Y48" s="213"/>
      <c r="Z48" s="213"/>
      <c r="AA48" s="213"/>
      <c r="AB48" s="213"/>
      <c r="AC48" s="213"/>
      <c r="AD48" s="213"/>
      <c r="AE48" s="213"/>
      <c r="AF48" s="213"/>
      <c r="AG48" s="213"/>
      <c r="AH48" s="213"/>
      <c r="AI48" s="213"/>
    </row>
    <row r="49" ht="15.75" customHeight="1">
      <c r="A49" s="213"/>
      <c r="B49" s="693"/>
      <c r="C49" s="795" t="s">
        <v>240</v>
      </c>
      <c r="D49" s="373">
        <f t="shared" ref="D49:O49" si="7">D47+D48</f>
        <v>0</v>
      </c>
      <c r="E49" s="373">
        <f t="shared" si="7"/>
        <v>285297.4239</v>
      </c>
      <c r="F49" s="373">
        <f t="shared" si="7"/>
        <v>201403.6743</v>
      </c>
      <c r="G49" s="373">
        <f t="shared" si="7"/>
        <v>232058.5092</v>
      </c>
      <c r="H49" s="373">
        <f t="shared" si="7"/>
        <v>245838.8089</v>
      </c>
      <c r="I49" s="373">
        <f t="shared" si="7"/>
        <v>237533.7394</v>
      </c>
      <c r="J49" s="373">
        <f t="shared" si="7"/>
        <v>238955.3545</v>
      </c>
      <c r="K49" s="486">
        <f t="shared" si="7"/>
        <v>289700.7024</v>
      </c>
      <c r="L49" s="373">
        <f t="shared" si="7"/>
        <v>311532.0896</v>
      </c>
      <c r="M49" s="373">
        <f t="shared" si="7"/>
        <v>264582.2959</v>
      </c>
      <c r="N49" s="373">
        <f t="shared" si="7"/>
        <v>231268.7763</v>
      </c>
      <c r="O49" s="693">
        <f t="shared" si="7"/>
        <v>223132.4071</v>
      </c>
      <c r="P49" s="328">
        <f t="shared" si="6"/>
        <v>2761303.781</v>
      </c>
      <c r="Q49" s="216"/>
      <c r="R49" s="216"/>
      <c r="S49" s="216"/>
      <c r="T49" s="216"/>
      <c r="U49" s="216"/>
      <c r="V49" s="216"/>
      <c r="W49" s="216"/>
      <c r="X49" s="216"/>
      <c r="Y49" s="216"/>
      <c r="Z49" s="216"/>
      <c r="AA49" s="216"/>
      <c r="AB49" s="216"/>
      <c r="AC49" s="216"/>
      <c r="AD49" s="216"/>
      <c r="AE49" s="216"/>
      <c r="AF49" s="216"/>
      <c r="AG49" s="216"/>
      <c r="AH49" s="216"/>
      <c r="AI49" s="216"/>
    </row>
    <row r="50" ht="15.75" customHeight="1">
      <c r="A50" s="213"/>
      <c r="B50" s="992"/>
      <c r="C50" s="993"/>
      <c r="D50" s="537"/>
      <c r="E50" s="537"/>
      <c r="F50" s="537"/>
      <c r="G50" s="537"/>
      <c r="H50" s="537"/>
      <c r="I50" s="537"/>
      <c r="J50" s="537"/>
      <c r="K50" s="994"/>
      <c r="L50" s="537"/>
      <c r="M50" s="537"/>
      <c r="N50" s="537"/>
      <c r="O50" s="995"/>
      <c r="P50" s="213"/>
      <c r="Q50" s="213"/>
      <c r="R50" s="213"/>
      <c r="S50" s="213"/>
      <c r="T50" s="213"/>
      <c r="U50" s="213"/>
      <c r="V50" s="213"/>
      <c r="W50" s="213"/>
      <c r="X50" s="213"/>
      <c r="Y50" s="213"/>
      <c r="Z50" s="213"/>
      <c r="AA50" s="213"/>
      <c r="AB50" s="213"/>
      <c r="AC50" s="213"/>
      <c r="AD50" s="213"/>
      <c r="AE50" s="213"/>
      <c r="AF50" s="213"/>
      <c r="AG50" s="213"/>
      <c r="AH50" s="213"/>
      <c r="AI50" s="213"/>
    </row>
    <row r="51" ht="15.75" customHeight="1">
      <c r="A51" s="213"/>
      <c r="B51" s="670" t="s">
        <v>24</v>
      </c>
      <c r="C51" s="996" t="s">
        <v>305</v>
      </c>
      <c r="D51" s="654">
        <v>0.0</v>
      </c>
      <c r="E51" s="654">
        <v>0.0</v>
      </c>
      <c r="F51" s="654"/>
      <c r="G51" s="654"/>
      <c r="H51" s="654"/>
      <c r="I51" s="654"/>
      <c r="J51" s="654"/>
      <c r="K51" s="997"/>
      <c r="L51" s="654"/>
      <c r="M51" s="654"/>
      <c r="N51" s="654"/>
      <c r="O51" s="654"/>
      <c r="P51" s="213"/>
      <c r="Q51" s="213"/>
      <c r="R51" s="213"/>
      <c r="S51" s="213"/>
      <c r="T51" s="213"/>
      <c r="U51" s="213"/>
      <c r="V51" s="213"/>
      <c r="W51" s="213"/>
      <c r="X51" s="213"/>
      <c r="Y51" s="213"/>
      <c r="Z51" s="213"/>
      <c r="AA51" s="213"/>
      <c r="AB51" s="213"/>
      <c r="AC51" s="213"/>
      <c r="AD51" s="213"/>
      <c r="AE51" s="213"/>
      <c r="AF51" s="213"/>
      <c r="AG51" s="213"/>
      <c r="AH51" s="213"/>
      <c r="AI51" s="213"/>
    </row>
    <row r="52" ht="15.75" customHeight="1">
      <c r="A52" s="213"/>
      <c r="B52" s="670" t="s">
        <v>24</v>
      </c>
      <c r="C52" s="996" t="s">
        <v>304</v>
      </c>
      <c r="D52" s="654">
        <v>0.0</v>
      </c>
      <c r="E52" s="654">
        <v>57666.8</v>
      </c>
      <c r="F52" s="654">
        <v>46265.88</v>
      </c>
      <c r="G52" s="654">
        <v>34296.92</v>
      </c>
      <c r="H52" s="654">
        <v>40729.83</v>
      </c>
      <c r="I52" s="654"/>
      <c r="J52" s="654"/>
      <c r="K52" s="997"/>
      <c r="L52" s="654"/>
      <c r="M52" s="654"/>
      <c r="N52" s="654"/>
      <c r="O52" s="654"/>
      <c r="P52" s="213"/>
      <c r="Q52" s="213"/>
      <c r="R52" s="213"/>
      <c r="S52" s="213"/>
      <c r="T52" s="213"/>
      <c r="U52" s="213"/>
      <c r="V52" s="213"/>
      <c r="W52" s="213"/>
      <c r="X52" s="213"/>
      <c r="Y52" s="213"/>
      <c r="Z52" s="213"/>
      <c r="AA52" s="213"/>
      <c r="AB52" s="213"/>
      <c r="AC52" s="213"/>
      <c r="AD52" s="213"/>
      <c r="AE52" s="213"/>
      <c r="AF52" s="213"/>
      <c r="AG52" s="213"/>
      <c r="AH52" s="213"/>
      <c r="AI52" s="213"/>
    </row>
    <row r="53" ht="15.75" customHeight="1">
      <c r="A53" s="213"/>
      <c r="B53" s="670" t="s">
        <v>22</v>
      </c>
      <c r="C53" s="996" t="s">
        <v>305</v>
      </c>
      <c r="D53" s="654">
        <v>0.0</v>
      </c>
      <c r="E53" s="654">
        <v>0.0</v>
      </c>
      <c r="F53" s="654"/>
      <c r="G53" s="654"/>
      <c r="H53" s="654"/>
      <c r="I53" s="654"/>
      <c r="J53" s="654"/>
      <c r="K53" s="997"/>
      <c r="L53" s="654"/>
      <c r="M53" s="654"/>
      <c r="N53" s="654"/>
      <c r="O53" s="654"/>
      <c r="P53" s="213"/>
      <c r="Q53" s="213"/>
      <c r="R53" s="213"/>
      <c r="S53" s="213"/>
      <c r="T53" s="213"/>
      <c r="U53" s="213"/>
      <c r="V53" s="213"/>
      <c r="W53" s="213"/>
      <c r="X53" s="213"/>
      <c r="Y53" s="213"/>
      <c r="Z53" s="213"/>
      <c r="AA53" s="213"/>
      <c r="AB53" s="213"/>
      <c r="AC53" s="213"/>
      <c r="AD53" s="213"/>
      <c r="AE53" s="213"/>
      <c r="AF53" s="213"/>
      <c r="AG53" s="213"/>
      <c r="AH53" s="213"/>
      <c r="AI53" s="213"/>
    </row>
    <row r="54" ht="15.75" customHeight="1">
      <c r="A54" s="213"/>
      <c r="B54" s="670" t="s">
        <v>22</v>
      </c>
      <c r="C54" s="996" t="s">
        <v>304</v>
      </c>
      <c r="D54" s="654">
        <v>0.0</v>
      </c>
      <c r="E54" s="654">
        <v>0.0</v>
      </c>
      <c r="F54" s="654"/>
      <c r="G54" s="654"/>
      <c r="H54" s="654"/>
      <c r="I54" s="654"/>
      <c r="J54" s="654"/>
      <c r="K54" s="997"/>
      <c r="L54" s="654"/>
      <c r="M54" s="654"/>
      <c r="N54" s="654"/>
      <c r="O54" s="654"/>
      <c r="P54" s="213"/>
      <c r="Q54" s="213"/>
      <c r="R54" s="213"/>
      <c r="S54" s="213"/>
      <c r="T54" s="213"/>
      <c r="U54" s="213"/>
      <c r="V54" s="213"/>
      <c r="W54" s="213"/>
      <c r="X54" s="213"/>
      <c r="Y54" s="213"/>
      <c r="Z54" s="213"/>
      <c r="AA54" s="213"/>
      <c r="AB54" s="213"/>
      <c r="AC54" s="213"/>
      <c r="AD54" s="213"/>
      <c r="AE54" s="213"/>
      <c r="AF54" s="213"/>
      <c r="AG54" s="213"/>
      <c r="AH54" s="213"/>
      <c r="AI54" s="213"/>
    </row>
    <row r="55" ht="15.75" customHeight="1">
      <c r="A55" s="213"/>
      <c r="B55" s="670" t="s">
        <v>23</v>
      </c>
      <c r="C55" s="996" t="s">
        <v>305</v>
      </c>
      <c r="D55" s="654">
        <v>0.0</v>
      </c>
      <c r="E55" s="654">
        <v>0.0</v>
      </c>
      <c r="F55" s="654"/>
      <c r="G55" s="654"/>
      <c r="H55" s="654"/>
      <c r="I55" s="654"/>
      <c r="J55" s="654"/>
      <c r="K55" s="997"/>
      <c r="L55" s="654"/>
      <c r="M55" s="654"/>
      <c r="N55" s="654"/>
      <c r="O55" s="654"/>
      <c r="P55" s="213"/>
      <c r="Q55" s="213"/>
      <c r="R55" s="213"/>
      <c r="S55" s="213"/>
      <c r="T55" s="213"/>
      <c r="U55" s="213"/>
      <c r="V55" s="213"/>
      <c r="W55" s="213"/>
      <c r="X55" s="213"/>
      <c r="Y55" s="213"/>
      <c r="Z55" s="213"/>
      <c r="AA55" s="213"/>
      <c r="AB55" s="213"/>
      <c r="AC55" s="213"/>
      <c r="AD55" s="213"/>
      <c r="AE55" s="213"/>
      <c r="AF55" s="213"/>
      <c r="AG55" s="213"/>
      <c r="AH55" s="213"/>
      <c r="AI55" s="213"/>
    </row>
    <row r="56" ht="15.75" customHeight="1">
      <c r="A56" s="213"/>
      <c r="B56" s="670" t="s">
        <v>23</v>
      </c>
      <c r="C56" s="996" t="s">
        <v>304</v>
      </c>
      <c r="D56" s="654">
        <v>0.0</v>
      </c>
      <c r="E56" s="654">
        <v>0.0</v>
      </c>
      <c r="F56" s="654"/>
      <c r="G56" s="654"/>
      <c r="H56" s="654"/>
      <c r="I56" s="654"/>
      <c r="J56" s="654"/>
      <c r="K56" s="997"/>
      <c r="L56" s="654"/>
      <c r="M56" s="654"/>
      <c r="N56" s="654"/>
      <c r="O56" s="654"/>
      <c r="P56" s="213"/>
      <c r="Q56" s="213"/>
      <c r="R56" s="213"/>
      <c r="S56" s="213"/>
      <c r="T56" s="213"/>
      <c r="U56" s="213"/>
      <c r="V56" s="213"/>
      <c r="W56" s="213"/>
      <c r="X56" s="213"/>
      <c r="Y56" s="213"/>
      <c r="Z56" s="213"/>
      <c r="AA56" s="213"/>
      <c r="AB56" s="213"/>
      <c r="AC56" s="213"/>
      <c r="AD56" s="213"/>
      <c r="AE56" s="213"/>
      <c r="AF56" s="213"/>
      <c r="AG56" s="213"/>
      <c r="AH56" s="213"/>
      <c r="AI56" s="213"/>
    </row>
    <row r="57" ht="15.75" customHeight="1">
      <c r="A57" s="213"/>
      <c r="B57" s="670"/>
      <c r="C57" s="996"/>
      <c r="D57" s="654"/>
      <c r="E57" s="654"/>
      <c r="F57" s="654"/>
      <c r="G57" s="654"/>
      <c r="H57" s="654"/>
      <c r="I57" s="654"/>
      <c r="J57" s="654"/>
      <c r="K57" s="997"/>
      <c r="L57" s="654"/>
      <c r="M57" s="654"/>
      <c r="N57" s="654"/>
      <c r="O57" s="654"/>
      <c r="P57" s="213"/>
      <c r="Q57" s="213"/>
      <c r="R57" s="213"/>
      <c r="S57" s="213"/>
      <c r="T57" s="213"/>
      <c r="U57" s="213"/>
      <c r="V57" s="213"/>
      <c r="W57" s="213"/>
      <c r="X57" s="213"/>
      <c r="Y57" s="213"/>
      <c r="Z57" s="213"/>
      <c r="AA57" s="213"/>
      <c r="AB57" s="213"/>
      <c r="AC57" s="213"/>
      <c r="AD57" s="213"/>
      <c r="AE57" s="213"/>
      <c r="AF57" s="213"/>
      <c r="AG57" s="213"/>
      <c r="AH57" s="213"/>
      <c r="AI57" s="213"/>
    </row>
    <row r="58" ht="15.75" customHeight="1">
      <c r="A58" s="213"/>
      <c r="B58" s="670"/>
      <c r="C58" s="996"/>
      <c r="D58" s="654"/>
      <c r="E58" s="654"/>
      <c r="F58" s="654"/>
      <c r="G58" s="654"/>
      <c r="H58" s="654"/>
      <c r="I58" s="654"/>
      <c r="J58" s="654"/>
      <c r="K58" s="997"/>
      <c r="L58" s="654"/>
      <c r="M58" s="654"/>
      <c r="N58" s="654"/>
      <c r="O58" s="654"/>
      <c r="P58" s="213"/>
      <c r="Q58" s="213"/>
      <c r="R58" s="213"/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</row>
    <row r="59" ht="15.75" customHeight="1">
      <c r="A59" s="213"/>
      <c r="B59" s="670"/>
      <c r="C59" s="996"/>
      <c r="D59" s="654"/>
      <c r="E59" s="654"/>
      <c r="F59" s="654"/>
      <c r="G59" s="654"/>
      <c r="H59" s="654"/>
      <c r="I59" s="654"/>
      <c r="J59" s="654"/>
      <c r="K59" s="997"/>
      <c r="L59" s="654"/>
      <c r="M59" s="654"/>
      <c r="N59" s="654"/>
      <c r="O59" s="654"/>
      <c r="P59" s="213"/>
      <c r="Q59" s="213"/>
      <c r="R59" s="213"/>
      <c r="S59" s="213"/>
      <c r="T59" s="213"/>
      <c r="U59" s="213"/>
      <c r="V59" s="213"/>
      <c r="W59" s="213"/>
      <c r="X59" s="213"/>
      <c r="Y59" s="213"/>
      <c r="Z59" s="213"/>
      <c r="AA59" s="213"/>
      <c r="AB59" s="213"/>
      <c r="AC59" s="213"/>
      <c r="AD59" s="213"/>
      <c r="AE59" s="213"/>
      <c r="AF59" s="213"/>
      <c r="AG59" s="213"/>
      <c r="AH59" s="213"/>
      <c r="AI59" s="213"/>
    </row>
    <row r="60" ht="15.75" customHeight="1">
      <c r="A60" s="213"/>
      <c r="B60" s="670"/>
      <c r="C60" s="996" t="s">
        <v>464</v>
      </c>
      <c r="D60" s="654">
        <f t="shared" ref="D60:F60" si="8">SUM(D51:D57)</f>
        <v>0</v>
      </c>
      <c r="E60" s="654">
        <f t="shared" si="8"/>
        <v>57666.8</v>
      </c>
      <c r="F60" s="654">
        <f t="shared" si="8"/>
        <v>46265.88</v>
      </c>
      <c r="G60" s="654">
        <f t="shared" ref="G60:O60" si="9">SUM(G52:G57)</f>
        <v>34296.92</v>
      </c>
      <c r="H60" s="654">
        <f t="shared" si="9"/>
        <v>40729.83</v>
      </c>
      <c r="I60" s="654">
        <f t="shared" si="9"/>
        <v>0</v>
      </c>
      <c r="J60" s="654">
        <f t="shared" si="9"/>
        <v>0</v>
      </c>
      <c r="K60" s="997">
        <f t="shared" si="9"/>
        <v>0</v>
      </c>
      <c r="L60" s="654">
        <f t="shared" si="9"/>
        <v>0</v>
      </c>
      <c r="M60" s="654">
        <f t="shared" si="9"/>
        <v>0</v>
      </c>
      <c r="N60" s="654">
        <f t="shared" si="9"/>
        <v>0</v>
      </c>
      <c r="O60" s="654">
        <f t="shared" si="9"/>
        <v>0</v>
      </c>
      <c r="P60" s="213"/>
      <c r="Q60" s="213"/>
      <c r="R60" s="213"/>
      <c r="S60" s="213"/>
      <c r="T60" s="213"/>
      <c r="U60" s="213"/>
      <c r="V60" s="213"/>
      <c r="W60" s="213"/>
      <c r="X60" s="213"/>
      <c r="Y60" s="213"/>
      <c r="Z60" s="213"/>
      <c r="AA60" s="213"/>
      <c r="AB60" s="213"/>
      <c r="AC60" s="213"/>
      <c r="AD60" s="213"/>
      <c r="AE60" s="213"/>
      <c r="AF60" s="213"/>
      <c r="AG60" s="213"/>
      <c r="AH60" s="213"/>
      <c r="AI60" s="213"/>
    </row>
    <row r="61" ht="15.75" customHeight="1">
      <c r="A61" s="213"/>
      <c r="B61" s="670"/>
      <c r="C61" s="996"/>
      <c r="D61" s="654"/>
      <c r="E61" s="654"/>
      <c r="F61" s="654"/>
      <c r="G61" s="654"/>
      <c r="H61" s="654"/>
      <c r="I61" s="654"/>
      <c r="J61" s="654"/>
      <c r="K61" s="997"/>
      <c r="L61" s="654"/>
      <c r="M61" s="654"/>
      <c r="N61" s="654"/>
      <c r="O61" s="670"/>
      <c r="P61" s="213"/>
      <c r="Q61" s="213"/>
      <c r="R61" s="213"/>
      <c r="S61" s="213"/>
      <c r="T61" s="213"/>
      <c r="U61" s="213"/>
      <c r="V61" s="213"/>
      <c r="W61" s="213"/>
      <c r="X61" s="213"/>
      <c r="Y61" s="213"/>
      <c r="Z61" s="213"/>
      <c r="AA61" s="213"/>
      <c r="AB61" s="213"/>
      <c r="AC61" s="213"/>
      <c r="AD61" s="213"/>
      <c r="AE61" s="213"/>
      <c r="AF61" s="213"/>
      <c r="AG61" s="213"/>
      <c r="AH61" s="213"/>
      <c r="AI61" s="213"/>
    </row>
    <row r="62" ht="15.75" customHeight="1">
      <c r="A62" s="213"/>
      <c r="B62" s="670"/>
      <c r="C62" s="996"/>
      <c r="D62" s="654"/>
      <c r="E62" s="654"/>
      <c r="F62" s="654"/>
      <c r="G62" s="654"/>
      <c r="H62" s="654"/>
      <c r="I62" s="654"/>
      <c r="J62" s="654"/>
      <c r="K62" s="997"/>
      <c r="L62" s="654"/>
      <c r="M62" s="654"/>
      <c r="N62" s="654"/>
      <c r="O62" s="670"/>
      <c r="P62" s="213"/>
      <c r="Q62" s="213"/>
      <c r="R62" s="213"/>
      <c r="S62" s="213"/>
      <c r="T62" s="213"/>
      <c r="U62" s="213"/>
      <c r="V62" s="213"/>
      <c r="W62" s="213"/>
      <c r="X62" s="213"/>
      <c r="Y62" s="213"/>
      <c r="Z62" s="213"/>
      <c r="AA62" s="213"/>
      <c r="AB62" s="213"/>
      <c r="AC62" s="213"/>
      <c r="AD62" s="213"/>
      <c r="AE62" s="213"/>
      <c r="AF62" s="213"/>
      <c r="AG62" s="213"/>
      <c r="AH62" s="213"/>
      <c r="AI62" s="213"/>
    </row>
    <row r="63" ht="15.75" customHeight="1">
      <c r="A63" s="213"/>
      <c r="B63" s="998"/>
      <c r="C63" s="999"/>
      <c r="D63" s="1000"/>
      <c r="E63" s="1000"/>
      <c r="F63" s="1000"/>
      <c r="G63" s="1000"/>
      <c r="H63" s="1000"/>
      <c r="I63" s="1000"/>
      <c r="J63" s="1000"/>
      <c r="K63" s="1001"/>
      <c r="L63" s="1000"/>
      <c r="M63" s="1000"/>
      <c r="N63" s="1000"/>
      <c r="O63" s="1002"/>
      <c r="P63" s="213"/>
      <c r="Q63" s="213"/>
      <c r="R63" s="213"/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</row>
    <row r="64" ht="15.75" customHeight="1">
      <c r="A64" s="213"/>
      <c r="B64" s="1003" t="s">
        <v>33</v>
      </c>
      <c r="C64" s="14"/>
      <c r="D64" s="373">
        <f t="shared" ref="D64:O64" si="10">D29-D49</f>
        <v>47013</v>
      </c>
      <c r="E64" s="373">
        <f t="shared" si="10"/>
        <v>183727.5761</v>
      </c>
      <c r="F64" s="373">
        <f t="shared" si="10"/>
        <v>116170.3257</v>
      </c>
      <c r="G64" s="373">
        <f t="shared" si="10"/>
        <v>134623.4908</v>
      </c>
      <c r="H64" s="373">
        <f t="shared" si="10"/>
        <v>78223.1911</v>
      </c>
      <c r="I64" s="373">
        <f t="shared" si="10"/>
        <v>107930.4906</v>
      </c>
      <c r="J64" s="373">
        <f t="shared" si="10"/>
        <v>81407.44553</v>
      </c>
      <c r="K64" s="373">
        <f t="shared" si="10"/>
        <v>41346.91759</v>
      </c>
      <c r="L64" s="373">
        <f t="shared" si="10"/>
        <v>84892.82041</v>
      </c>
      <c r="M64" s="373">
        <f t="shared" si="10"/>
        <v>81873.44405</v>
      </c>
      <c r="N64" s="373">
        <f t="shared" si="10"/>
        <v>85189.04375</v>
      </c>
      <c r="O64" s="373">
        <f t="shared" si="10"/>
        <v>138432.6829</v>
      </c>
      <c r="P64" s="328">
        <f>SUM(D64:O64)</f>
        <v>1180830.429</v>
      </c>
      <c r="Q64" s="213"/>
      <c r="R64" s="213"/>
      <c r="S64" s="213"/>
      <c r="T64" s="213"/>
      <c r="U64" s="213"/>
      <c r="V64" s="213"/>
      <c r="W64" s="213"/>
      <c r="X64" s="213"/>
      <c r="Y64" s="213"/>
      <c r="Z64" s="213"/>
      <c r="AA64" s="213"/>
      <c r="AB64" s="213"/>
      <c r="AC64" s="213"/>
      <c r="AD64" s="213"/>
      <c r="AE64" s="213"/>
      <c r="AF64" s="213"/>
      <c r="AG64" s="213"/>
      <c r="AH64" s="213"/>
      <c r="AI64" s="213"/>
    </row>
    <row r="65" ht="15.75" customHeight="1">
      <c r="A65" s="213"/>
      <c r="B65" s="444"/>
      <c r="C65" s="383"/>
      <c r="D65" s="708"/>
      <c r="E65" s="708"/>
      <c r="F65" s="708"/>
      <c r="G65" s="708"/>
      <c r="H65" s="708"/>
      <c r="I65" s="708"/>
      <c r="J65" s="708"/>
      <c r="K65" s="787"/>
      <c r="L65" s="708"/>
      <c r="M65" s="708"/>
      <c r="N65" s="708"/>
      <c r="O65" s="1004"/>
      <c r="P65" s="213"/>
      <c r="Q65" s="213"/>
      <c r="R65" s="213"/>
      <c r="S65" s="213"/>
      <c r="T65" s="213"/>
      <c r="U65" s="213"/>
      <c r="V65" s="213"/>
      <c r="W65" s="213"/>
      <c r="X65" s="213"/>
      <c r="Y65" s="213"/>
      <c r="Z65" s="213"/>
      <c r="AA65" s="213"/>
      <c r="AB65" s="213"/>
      <c r="AC65" s="213"/>
      <c r="AD65" s="213"/>
      <c r="AE65" s="213"/>
      <c r="AF65" s="213"/>
      <c r="AG65" s="213"/>
      <c r="AH65" s="213"/>
      <c r="AI65" s="213"/>
    </row>
    <row r="66" ht="15.75" customHeight="1">
      <c r="A66" s="213"/>
      <c r="B66" s="393"/>
      <c r="C66" s="627" t="s">
        <v>241</v>
      </c>
      <c r="D66" s="609"/>
      <c r="E66" s="609"/>
      <c r="F66" s="609"/>
      <c r="G66" s="609"/>
      <c r="H66" s="609"/>
      <c r="I66" s="609"/>
      <c r="J66" s="609"/>
      <c r="K66" s="610"/>
      <c r="L66" s="609"/>
      <c r="M66" s="609"/>
      <c r="N66" s="609"/>
      <c r="O66" s="664"/>
      <c r="P66" s="213"/>
      <c r="Q66" s="213"/>
      <c r="R66" s="213"/>
      <c r="S66" s="213"/>
      <c r="T66" s="213"/>
      <c r="U66" s="213"/>
      <c r="V66" s="213"/>
      <c r="W66" s="213"/>
      <c r="X66" s="213"/>
      <c r="Y66" s="213"/>
      <c r="Z66" s="213"/>
      <c r="AA66" s="213"/>
      <c r="AB66" s="213"/>
      <c r="AC66" s="213"/>
      <c r="AD66" s="213"/>
      <c r="AE66" s="213"/>
      <c r="AF66" s="213"/>
      <c r="AG66" s="213"/>
      <c r="AH66" s="213"/>
      <c r="AI66" s="213"/>
    </row>
    <row r="67" ht="15.75" customHeight="1">
      <c r="A67" s="213"/>
      <c r="B67" s="393"/>
      <c r="C67" s="350" t="s">
        <v>242</v>
      </c>
      <c r="D67" s="604"/>
      <c r="E67" s="604"/>
      <c r="F67" s="604"/>
      <c r="G67" s="604"/>
      <c r="H67" s="604"/>
      <c r="I67" s="604"/>
      <c r="J67" s="604"/>
      <c r="K67" s="605"/>
      <c r="L67" s="604"/>
      <c r="M67" s="604"/>
      <c r="N67" s="604"/>
      <c r="O67" s="664"/>
      <c r="P67" s="213"/>
      <c r="Q67" s="213"/>
      <c r="R67" s="213"/>
      <c r="S67" s="213"/>
      <c r="T67" s="213"/>
      <c r="U67" s="213"/>
      <c r="V67" s="213"/>
      <c r="W67" s="213"/>
      <c r="X67" s="213"/>
      <c r="Y67" s="213"/>
      <c r="Z67" s="213"/>
      <c r="AA67" s="213"/>
      <c r="AB67" s="213"/>
      <c r="AC67" s="213"/>
      <c r="AD67" s="213"/>
      <c r="AE67" s="213"/>
      <c r="AF67" s="213"/>
      <c r="AG67" s="213"/>
      <c r="AH67" s="213"/>
      <c r="AI67" s="213"/>
    </row>
    <row r="68" ht="15.75" customHeight="1">
      <c r="A68" s="213"/>
      <c r="B68" s="393"/>
      <c r="C68" s="350" t="s">
        <v>243</v>
      </c>
      <c r="D68" s="604"/>
      <c r="E68" s="604"/>
      <c r="F68" s="604"/>
      <c r="G68" s="604"/>
      <c r="H68" s="604"/>
      <c r="I68" s="604"/>
      <c r="J68" s="604"/>
      <c r="K68" s="605"/>
      <c r="L68" s="604"/>
      <c r="M68" s="604"/>
      <c r="N68" s="604"/>
      <c r="O68" s="664"/>
      <c r="P68" s="213"/>
      <c r="Q68" s="213"/>
      <c r="R68" s="213"/>
      <c r="S68" s="213"/>
      <c r="T68" s="213"/>
      <c r="U68" s="213"/>
      <c r="V68" s="213"/>
      <c r="W68" s="213"/>
      <c r="X68" s="213"/>
      <c r="Y68" s="213"/>
      <c r="Z68" s="213"/>
      <c r="AA68" s="213"/>
      <c r="AB68" s="213"/>
      <c r="AC68" s="213"/>
      <c r="AD68" s="213"/>
      <c r="AE68" s="213"/>
      <c r="AF68" s="213"/>
      <c r="AG68" s="213"/>
      <c r="AH68" s="213"/>
      <c r="AI68" s="213"/>
    </row>
    <row r="69" ht="15.75" customHeight="1">
      <c r="A69" s="213"/>
      <c r="B69" s="393"/>
      <c r="C69" s="350" t="s">
        <v>244</v>
      </c>
      <c r="D69" s="604"/>
      <c r="E69" s="604"/>
      <c r="F69" s="604"/>
      <c r="G69" s="604"/>
      <c r="H69" s="604"/>
      <c r="I69" s="604"/>
      <c r="J69" s="604"/>
      <c r="K69" s="605"/>
      <c r="L69" s="604"/>
      <c r="M69" s="604"/>
      <c r="N69" s="604"/>
      <c r="O69" s="664"/>
      <c r="P69" s="213"/>
      <c r="Q69" s="213"/>
      <c r="R69" s="213"/>
      <c r="S69" s="213"/>
      <c r="T69" s="213"/>
      <c r="U69" s="213"/>
      <c r="V69" s="213"/>
      <c r="W69" s="213"/>
      <c r="X69" s="213"/>
      <c r="Y69" s="213"/>
      <c r="Z69" s="213"/>
      <c r="AA69" s="213"/>
      <c r="AB69" s="213"/>
      <c r="AC69" s="213"/>
      <c r="AD69" s="213"/>
      <c r="AE69" s="213"/>
      <c r="AF69" s="213"/>
      <c r="AG69" s="213"/>
      <c r="AH69" s="213"/>
      <c r="AI69" s="213"/>
    </row>
    <row r="70" ht="15.75" customHeight="1">
      <c r="A70" s="213"/>
      <c r="B70" s="393"/>
      <c r="C70" s="350" t="s">
        <v>303</v>
      </c>
      <c r="D70" s="604"/>
      <c r="E70" s="604"/>
      <c r="F70" s="604"/>
      <c r="G70" s="604"/>
      <c r="H70" s="604"/>
      <c r="I70" s="604"/>
      <c r="J70" s="604"/>
      <c r="K70" s="605"/>
      <c r="L70" s="604"/>
      <c r="M70" s="604"/>
      <c r="N70" s="604"/>
      <c r="O70" s="664"/>
      <c r="P70" s="213"/>
      <c r="Q70" s="213"/>
      <c r="R70" s="213"/>
      <c r="S70" s="213"/>
      <c r="T70" s="213"/>
      <c r="U70" s="213"/>
      <c r="V70" s="213"/>
      <c r="W70" s="213"/>
      <c r="X70" s="213"/>
      <c r="Y70" s="213"/>
      <c r="Z70" s="213"/>
      <c r="AA70" s="213"/>
      <c r="AB70" s="213"/>
      <c r="AC70" s="213"/>
      <c r="AD70" s="213"/>
      <c r="AE70" s="213"/>
      <c r="AF70" s="213"/>
      <c r="AG70" s="213"/>
      <c r="AH70" s="213"/>
      <c r="AI70" s="213"/>
    </row>
    <row r="71" ht="15.75" customHeight="1">
      <c r="A71" s="213"/>
      <c r="B71" s="393"/>
      <c r="C71" s="350" t="s">
        <v>246</v>
      </c>
      <c r="D71" s="604"/>
      <c r="E71" s="604"/>
      <c r="F71" s="604"/>
      <c r="G71" s="604"/>
      <c r="H71" s="604"/>
      <c r="I71" s="604"/>
      <c r="J71" s="604"/>
      <c r="K71" s="605"/>
      <c r="L71" s="604"/>
      <c r="M71" s="604"/>
      <c r="N71" s="604"/>
      <c r="O71" s="664"/>
      <c r="P71" s="213"/>
      <c r="Q71" s="213"/>
      <c r="R71" s="213"/>
      <c r="S71" s="213"/>
      <c r="T71" s="213"/>
      <c r="U71" s="213"/>
      <c r="V71" s="213"/>
      <c r="W71" s="213"/>
      <c r="X71" s="213"/>
      <c r="Y71" s="213"/>
      <c r="Z71" s="213"/>
      <c r="AA71" s="213"/>
      <c r="AB71" s="213"/>
      <c r="AC71" s="213"/>
      <c r="AD71" s="213"/>
      <c r="AE71" s="213"/>
      <c r="AF71" s="213"/>
      <c r="AG71" s="213"/>
      <c r="AH71" s="213"/>
      <c r="AI71" s="213"/>
    </row>
    <row r="72" ht="15.75" customHeight="1">
      <c r="A72" s="213"/>
      <c r="B72" s="393"/>
      <c r="C72" s="350" t="s">
        <v>247</v>
      </c>
      <c r="D72" s="604"/>
      <c r="E72" s="604"/>
      <c r="F72" s="604"/>
      <c r="G72" s="604"/>
      <c r="H72" s="604"/>
      <c r="I72" s="604"/>
      <c r="J72" s="604"/>
      <c r="K72" s="605"/>
      <c r="L72" s="604"/>
      <c r="M72" s="604"/>
      <c r="N72" s="604"/>
      <c r="O72" s="664"/>
      <c r="P72" s="213"/>
      <c r="Q72" s="213"/>
      <c r="R72" s="213"/>
      <c r="S72" s="213"/>
      <c r="T72" s="213"/>
      <c r="U72" s="213"/>
      <c r="V72" s="213"/>
      <c r="W72" s="213"/>
      <c r="X72" s="213"/>
      <c r="Y72" s="213"/>
      <c r="Z72" s="213"/>
      <c r="AA72" s="213"/>
      <c r="AB72" s="213"/>
      <c r="AC72" s="213"/>
      <c r="AD72" s="213"/>
      <c r="AE72" s="213"/>
      <c r="AF72" s="213"/>
      <c r="AG72" s="213"/>
      <c r="AH72" s="213"/>
      <c r="AI72" s="213"/>
    </row>
    <row r="73" ht="15.75" customHeight="1">
      <c r="A73" s="213"/>
      <c r="B73" s="393"/>
      <c r="C73" s="996" t="s">
        <v>248</v>
      </c>
      <c r="D73" s="654">
        <f t="shared" ref="D73:O73" si="11">SUM(D67:D72)</f>
        <v>0</v>
      </c>
      <c r="E73" s="654">
        <f t="shared" si="11"/>
        <v>0</v>
      </c>
      <c r="F73" s="654">
        <f t="shared" si="11"/>
        <v>0</v>
      </c>
      <c r="G73" s="654">
        <f t="shared" si="11"/>
        <v>0</v>
      </c>
      <c r="H73" s="654">
        <f t="shared" si="11"/>
        <v>0</v>
      </c>
      <c r="I73" s="654">
        <f t="shared" si="11"/>
        <v>0</v>
      </c>
      <c r="J73" s="654">
        <f t="shared" si="11"/>
        <v>0</v>
      </c>
      <c r="K73" s="997">
        <f t="shared" si="11"/>
        <v>0</v>
      </c>
      <c r="L73" s="654">
        <f t="shared" si="11"/>
        <v>0</v>
      </c>
      <c r="M73" s="654">
        <f t="shared" si="11"/>
        <v>0</v>
      </c>
      <c r="N73" s="654">
        <f t="shared" si="11"/>
        <v>0</v>
      </c>
      <c r="O73" s="670">
        <f t="shared" si="11"/>
        <v>0</v>
      </c>
      <c r="P73" s="328">
        <f>SUM(D73:O73)</f>
        <v>0</v>
      </c>
      <c r="Q73" s="216"/>
      <c r="R73" s="216"/>
      <c r="S73" s="216"/>
      <c r="T73" s="216"/>
      <c r="U73" s="216"/>
      <c r="V73" s="216"/>
      <c r="W73" s="216"/>
      <c r="X73" s="216"/>
      <c r="Y73" s="216"/>
      <c r="Z73" s="216"/>
      <c r="AA73" s="216"/>
      <c r="AB73" s="216"/>
      <c r="AC73" s="216"/>
      <c r="AD73" s="216"/>
      <c r="AE73" s="216"/>
      <c r="AF73" s="216"/>
      <c r="AG73" s="216"/>
      <c r="AH73" s="216"/>
      <c r="AI73" s="216"/>
    </row>
    <row r="74" ht="15.75" hidden="1" customHeight="1">
      <c r="A74" s="213"/>
      <c r="B74" s="393"/>
      <c r="C74" s="350"/>
      <c r="D74" s="604"/>
      <c r="E74" s="604"/>
      <c r="F74" s="604"/>
      <c r="G74" s="604"/>
      <c r="H74" s="604"/>
      <c r="I74" s="604"/>
      <c r="J74" s="604"/>
      <c r="K74" s="605"/>
      <c r="L74" s="604"/>
      <c r="M74" s="604"/>
      <c r="N74" s="604"/>
      <c r="O74" s="664"/>
      <c r="P74" s="213"/>
      <c r="Q74" s="213"/>
      <c r="R74" s="213"/>
      <c r="S74" s="213"/>
      <c r="T74" s="213"/>
      <c r="U74" s="213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</row>
    <row r="75" ht="15.75" hidden="1" customHeight="1">
      <c r="A75" s="213"/>
      <c r="B75" s="393"/>
      <c r="C75" s="350"/>
      <c r="D75" s="604"/>
      <c r="E75" s="604"/>
      <c r="F75" s="604"/>
      <c r="G75" s="604"/>
      <c r="H75" s="604"/>
      <c r="I75" s="604"/>
      <c r="J75" s="604"/>
      <c r="K75" s="605"/>
      <c r="L75" s="604"/>
      <c r="M75" s="604"/>
      <c r="N75" s="604"/>
      <c r="O75" s="351"/>
      <c r="P75" s="213"/>
      <c r="Q75" s="213"/>
      <c r="R75" s="213"/>
      <c r="S75" s="213"/>
      <c r="T75" s="213"/>
      <c r="U75" s="213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</row>
    <row r="76" ht="15.75" hidden="1" customHeight="1">
      <c r="A76" s="213"/>
      <c r="B76" s="393"/>
      <c r="C76" s="350"/>
      <c r="D76" s="604"/>
      <c r="E76" s="604"/>
      <c r="F76" s="604"/>
      <c r="G76" s="604"/>
      <c r="H76" s="604"/>
      <c r="I76" s="604"/>
      <c r="J76" s="604"/>
      <c r="K76" s="605"/>
      <c r="L76" s="604"/>
      <c r="M76" s="604"/>
      <c r="N76" s="604"/>
      <c r="O76" s="351"/>
      <c r="P76" s="213"/>
      <c r="Q76" s="213"/>
      <c r="R76" s="213"/>
      <c r="S76" s="213"/>
      <c r="T76" s="213"/>
      <c r="U76" s="213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</row>
    <row r="77" ht="15.75" hidden="1" customHeight="1">
      <c r="A77" s="213"/>
      <c r="B77" s="393"/>
      <c r="C77" s="350"/>
      <c r="D77" s="604"/>
      <c r="E77" s="604"/>
      <c r="F77" s="604"/>
      <c r="G77" s="604"/>
      <c r="H77" s="604"/>
      <c r="I77" s="604"/>
      <c r="J77" s="604"/>
      <c r="K77" s="605"/>
      <c r="L77" s="604"/>
      <c r="M77" s="604"/>
      <c r="N77" s="604"/>
      <c r="O77" s="351"/>
      <c r="P77" s="213"/>
      <c r="Q77" s="213"/>
      <c r="R77" s="213"/>
      <c r="S77" s="213"/>
      <c r="T77" s="213"/>
      <c r="U77" s="213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</row>
    <row r="78" ht="15.75" hidden="1" customHeight="1">
      <c r="A78" s="213"/>
      <c r="B78" s="393"/>
      <c r="C78" s="350"/>
      <c r="D78" s="604"/>
      <c r="E78" s="604"/>
      <c r="F78" s="604"/>
      <c r="G78" s="604"/>
      <c r="H78" s="604"/>
      <c r="I78" s="604"/>
      <c r="J78" s="604"/>
      <c r="K78" s="605"/>
      <c r="L78" s="604"/>
      <c r="M78" s="604"/>
      <c r="N78" s="604"/>
      <c r="O78" s="351"/>
      <c r="P78" s="213"/>
      <c r="Q78" s="213"/>
      <c r="R78" s="213"/>
      <c r="S78" s="213"/>
      <c r="T78" s="213"/>
      <c r="U78" s="213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</row>
    <row r="79" ht="15.75" hidden="1" customHeight="1">
      <c r="A79" s="213"/>
      <c r="B79" s="393"/>
      <c r="C79" s="350"/>
      <c r="D79" s="604"/>
      <c r="E79" s="604"/>
      <c r="F79" s="604"/>
      <c r="G79" s="604"/>
      <c r="H79" s="604"/>
      <c r="I79" s="604"/>
      <c r="J79" s="604"/>
      <c r="K79" s="605"/>
      <c r="L79" s="604"/>
      <c r="M79" s="604"/>
      <c r="N79" s="604"/>
      <c r="O79" s="351"/>
      <c r="P79" s="213"/>
      <c r="Q79" s="213"/>
      <c r="R79" s="213"/>
      <c r="S79" s="213"/>
      <c r="T79" s="213"/>
      <c r="U79" s="213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</row>
    <row r="80" ht="15.75" hidden="1" customHeight="1">
      <c r="A80" s="213"/>
      <c r="B80" s="393"/>
      <c r="C80" s="350"/>
      <c r="D80" s="604"/>
      <c r="E80" s="604"/>
      <c r="F80" s="604"/>
      <c r="G80" s="604"/>
      <c r="H80" s="604"/>
      <c r="I80" s="604"/>
      <c r="J80" s="604"/>
      <c r="K80" s="605"/>
      <c r="L80" s="604"/>
      <c r="M80" s="604"/>
      <c r="N80" s="604"/>
      <c r="O80" s="351"/>
      <c r="P80" s="213"/>
      <c r="Q80" s="213"/>
      <c r="R80" s="213"/>
      <c r="S80" s="213"/>
      <c r="T80" s="213"/>
      <c r="U80" s="213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</row>
    <row r="81" ht="15.75" hidden="1" customHeight="1">
      <c r="A81" s="213"/>
      <c r="B81" s="393"/>
      <c r="C81" s="350"/>
      <c r="D81" s="604"/>
      <c r="E81" s="604"/>
      <c r="F81" s="604"/>
      <c r="G81" s="604"/>
      <c r="H81" s="604"/>
      <c r="I81" s="604"/>
      <c r="J81" s="604"/>
      <c r="K81" s="605"/>
      <c r="L81" s="604"/>
      <c r="M81" s="604"/>
      <c r="N81" s="604"/>
      <c r="O81" s="351"/>
      <c r="P81" s="213"/>
      <c r="Q81" s="213"/>
      <c r="R81" s="213"/>
      <c r="S81" s="213"/>
      <c r="T81" s="213"/>
      <c r="U81" s="213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</row>
    <row r="82" ht="15.75" hidden="1" customHeight="1">
      <c r="A82" s="213"/>
      <c r="B82" s="393"/>
      <c r="C82" s="350"/>
      <c r="D82" s="604"/>
      <c r="E82" s="604"/>
      <c r="F82" s="604"/>
      <c r="G82" s="604"/>
      <c r="H82" s="604"/>
      <c r="I82" s="604"/>
      <c r="J82" s="604"/>
      <c r="K82" s="605"/>
      <c r="L82" s="604"/>
      <c r="M82" s="604"/>
      <c r="N82" s="604"/>
      <c r="O82" s="351"/>
      <c r="P82" s="213"/>
      <c r="Q82" s="213"/>
      <c r="R82" s="213"/>
      <c r="S82" s="213"/>
      <c r="T82" s="213"/>
      <c r="U82" s="213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</row>
    <row r="83" ht="15.75" hidden="1" customHeight="1">
      <c r="A83" s="213"/>
      <c r="B83" s="393"/>
      <c r="C83" s="350"/>
      <c r="D83" s="604"/>
      <c r="E83" s="604"/>
      <c r="F83" s="604"/>
      <c r="G83" s="604"/>
      <c r="H83" s="604"/>
      <c r="I83" s="604"/>
      <c r="J83" s="604"/>
      <c r="K83" s="605"/>
      <c r="L83" s="604"/>
      <c r="M83" s="604"/>
      <c r="N83" s="604"/>
      <c r="O83" s="664"/>
      <c r="P83" s="213"/>
      <c r="Q83" s="213"/>
      <c r="R83" s="213"/>
      <c r="S83" s="213"/>
      <c r="T83" s="213"/>
      <c r="U83" s="213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</row>
    <row r="84" ht="15.75" customHeight="1">
      <c r="A84" s="213"/>
      <c r="B84" s="733" t="s">
        <v>249</v>
      </c>
      <c r="C84" s="734"/>
      <c r="D84" s="619"/>
      <c r="E84" s="619"/>
      <c r="F84" s="619"/>
      <c r="G84" s="619"/>
      <c r="H84" s="619"/>
      <c r="I84" s="619"/>
      <c r="J84" s="619"/>
      <c r="K84" s="793"/>
      <c r="L84" s="619"/>
      <c r="M84" s="619"/>
      <c r="N84" s="619"/>
      <c r="O84" s="1005"/>
      <c r="P84" s="213"/>
      <c r="Q84" s="213"/>
      <c r="R84" s="213"/>
      <c r="S84" s="213"/>
      <c r="T84" s="213"/>
      <c r="U84" s="213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</row>
    <row r="85" ht="15.75" customHeight="1">
      <c r="A85" s="213"/>
      <c r="B85" s="735"/>
      <c r="C85" s="447" t="s">
        <v>250</v>
      </c>
      <c r="D85" s="600">
        <f t="shared" ref="D85:O85" si="12">SUM(D86:D91)</f>
        <v>14994.4</v>
      </c>
      <c r="E85" s="600">
        <f t="shared" si="12"/>
        <v>14837.93333</v>
      </c>
      <c r="F85" s="600">
        <f t="shared" si="12"/>
        <v>39472.8</v>
      </c>
      <c r="G85" s="600">
        <f t="shared" si="12"/>
        <v>46995</v>
      </c>
      <c r="H85" s="600">
        <f t="shared" si="12"/>
        <v>46001.85714</v>
      </c>
      <c r="I85" s="600">
        <f t="shared" si="12"/>
        <v>75996.28571</v>
      </c>
      <c r="J85" s="600">
        <f t="shared" si="12"/>
        <v>72867</v>
      </c>
      <c r="K85" s="600">
        <f t="shared" si="12"/>
        <v>75132.14286</v>
      </c>
      <c r="L85" s="600">
        <f t="shared" si="12"/>
        <v>81742</v>
      </c>
      <c r="M85" s="600">
        <f t="shared" si="12"/>
        <v>79144.42857</v>
      </c>
      <c r="N85" s="600">
        <f t="shared" si="12"/>
        <v>73023.14286</v>
      </c>
      <c r="O85" s="600">
        <f t="shared" si="12"/>
        <v>108747.2857</v>
      </c>
      <c r="P85" s="718">
        <f>SUM(D85:O85)</f>
        <v>728954.2762</v>
      </c>
      <c r="Q85" s="216"/>
      <c r="R85" s="216"/>
      <c r="S85" s="216"/>
      <c r="T85" s="216"/>
      <c r="U85" s="216"/>
      <c r="V85" s="216"/>
      <c r="W85" s="216"/>
      <c r="X85" s="216"/>
      <c r="Y85" s="216"/>
      <c r="Z85" s="216"/>
      <c r="AA85" s="216"/>
      <c r="AB85" s="216"/>
      <c r="AC85" s="216"/>
      <c r="AD85" s="216"/>
      <c r="AE85" s="216"/>
      <c r="AF85" s="216"/>
      <c r="AG85" s="216"/>
      <c r="AH85" s="216"/>
      <c r="AI85" s="216"/>
    </row>
    <row r="86" ht="15.75" customHeight="1">
      <c r="A86" s="213"/>
      <c r="B86" s="444"/>
      <c r="C86" s="383" t="s">
        <v>251</v>
      </c>
      <c r="D86" s="708">
        <v>0.0</v>
      </c>
      <c r="E86" s="708"/>
      <c r="F86" s="708"/>
      <c r="G86" s="708"/>
      <c r="H86" s="708"/>
      <c r="I86" s="708"/>
      <c r="J86" s="708"/>
      <c r="K86" s="787"/>
      <c r="L86" s="708"/>
      <c r="M86" s="708"/>
      <c r="N86" s="708"/>
      <c r="O86" s="1004"/>
      <c r="P86" s="213"/>
      <c r="Q86" s="213"/>
      <c r="R86" s="213"/>
      <c r="S86" s="213"/>
      <c r="T86" s="213"/>
      <c r="U86" s="213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</row>
    <row r="87" ht="15.75" customHeight="1">
      <c r="A87" s="213"/>
      <c r="B87" s="393"/>
      <c r="C87" s="934" t="s">
        <v>465</v>
      </c>
      <c r="D87" s="604">
        <f>(7669+67303)/5</f>
        <v>14994.4</v>
      </c>
      <c r="E87" s="604">
        <f>(12808+1700)/5</f>
        <v>2901.6</v>
      </c>
      <c r="F87" s="604">
        <f>(4798+10946)/5</f>
        <v>3148.8</v>
      </c>
      <c r="G87" s="604">
        <f>(15444+4807)/7+1805</f>
        <v>4698</v>
      </c>
      <c r="H87" s="604">
        <f>(35489+26768)/7+2212</f>
        <v>11105.85714</v>
      </c>
      <c r="I87" s="604">
        <f>38089/7+10483</f>
        <v>15924.28571</v>
      </c>
      <c r="J87" s="628">
        <v>11939.0</v>
      </c>
      <c r="K87" s="604">
        <f>(34288+7979)/7+12852</f>
        <v>18890.14286</v>
      </c>
      <c r="L87" s="357">
        <f>((17941+4788)/7)+6739</f>
        <v>9986</v>
      </c>
      <c r="M87" s="604">
        <f>24538/7+10814</f>
        <v>14319.42857</v>
      </c>
      <c r="N87" s="357">
        <f>12174/7+3046</f>
        <v>4785.142857</v>
      </c>
      <c r="O87" s="604">
        <f>11888/7+10897</f>
        <v>12595.28571</v>
      </c>
      <c r="P87" s="213"/>
      <c r="Q87" s="213"/>
      <c r="R87" s="213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</row>
    <row r="88" ht="15.75" customHeight="1">
      <c r="A88" s="213"/>
      <c r="B88" s="393"/>
      <c r="C88" s="350" t="s">
        <v>254</v>
      </c>
      <c r="D88" s="604">
        <v>0.0</v>
      </c>
      <c r="E88" s="604"/>
      <c r="F88" s="604"/>
      <c r="G88" s="604"/>
      <c r="H88" s="604"/>
      <c r="I88" s="604"/>
      <c r="J88" s="604"/>
      <c r="K88" s="605"/>
      <c r="L88" s="604"/>
      <c r="M88" s="604"/>
      <c r="N88" s="604"/>
      <c r="O88" s="664"/>
      <c r="P88" s="213"/>
      <c r="Q88" s="213"/>
      <c r="R88" s="213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</row>
    <row r="89" ht="15.75" customHeight="1">
      <c r="A89" s="213"/>
      <c r="B89" s="393"/>
      <c r="C89" s="350" t="s">
        <v>430</v>
      </c>
      <c r="D89" s="604">
        <v>0.0</v>
      </c>
      <c r="E89" s="604">
        <f>(38940/12)+(10384/12)+(15576/12)</f>
        <v>5408.333333</v>
      </c>
      <c r="F89" s="604">
        <f t="shared" ref="F89:O89" si="13">5408+21240</f>
        <v>26648</v>
      </c>
      <c r="G89" s="604">
        <f t="shared" si="13"/>
        <v>26648</v>
      </c>
      <c r="H89" s="604">
        <f t="shared" si="13"/>
        <v>26648</v>
      </c>
      <c r="I89" s="604">
        <f t="shared" si="13"/>
        <v>26648</v>
      </c>
      <c r="J89" s="604">
        <f t="shared" si="13"/>
        <v>26648</v>
      </c>
      <c r="K89" s="604">
        <f t="shared" si="13"/>
        <v>26648</v>
      </c>
      <c r="L89" s="604">
        <f t="shared" si="13"/>
        <v>26648</v>
      </c>
      <c r="M89" s="604">
        <f t="shared" si="13"/>
        <v>26648</v>
      </c>
      <c r="N89" s="604">
        <f t="shared" si="13"/>
        <v>26648</v>
      </c>
      <c r="O89" s="604">
        <f t="shared" si="13"/>
        <v>26648</v>
      </c>
      <c r="P89" s="213"/>
      <c r="Q89" s="213"/>
      <c r="R89" s="213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</row>
    <row r="90" ht="15.75" customHeight="1">
      <c r="A90" s="213"/>
      <c r="B90" s="393"/>
      <c r="C90" s="662" t="s">
        <v>466</v>
      </c>
      <c r="D90" s="604">
        <v>0.0</v>
      </c>
      <c r="E90" s="604">
        <v>6528.0</v>
      </c>
      <c r="F90" s="604">
        <v>9676.0</v>
      </c>
      <c r="G90" s="604">
        <v>15649.0</v>
      </c>
      <c r="H90" s="604">
        <v>8248.0</v>
      </c>
      <c r="I90" s="604">
        <v>33424.0</v>
      </c>
      <c r="J90" s="604">
        <v>34280.0</v>
      </c>
      <c r="K90" s="618">
        <v>29594.0</v>
      </c>
      <c r="L90" s="628">
        <v>45108.0</v>
      </c>
      <c r="M90" s="628">
        <v>38177.0</v>
      </c>
      <c r="N90" s="628">
        <v>41590.0</v>
      </c>
      <c r="O90" s="1006">
        <v>69504.0</v>
      </c>
      <c r="P90" s="213"/>
      <c r="Q90" s="213"/>
      <c r="R90" s="213"/>
      <c r="S90" s="213"/>
      <c r="T90" s="213"/>
      <c r="U90" s="213"/>
      <c r="V90" s="213"/>
      <c r="W90" s="213"/>
      <c r="X90" s="213"/>
      <c r="Y90" s="213"/>
      <c r="Z90" s="213"/>
      <c r="AA90" s="213"/>
      <c r="AB90" s="213"/>
      <c r="AC90" s="213"/>
      <c r="AD90" s="213"/>
      <c r="AE90" s="213"/>
      <c r="AF90" s="213"/>
      <c r="AG90" s="213"/>
      <c r="AH90" s="213"/>
      <c r="AI90" s="213"/>
    </row>
    <row r="91" ht="15.75" customHeight="1">
      <c r="A91" s="213"/>
      <c r="B91" s="393"/>
      <c r="C91" s="350" t="s">
        <v>406</v>
      </c>
      <c r="D91" s="604">
        <v>0.0</v>
      </c>
      <c r="E91" s="604">
        <v>0.0</v>
      </c>
      <c r="F91" s="604">
        <v>0.0</v>
      </c>
      <c r="G91" s="604">
        <v>0.0</v>
      </c>
      <c r="H91" s="604">
        <v>0.0</v>
      </c>
      <c r="I91" s="604">
        <v>0.0</v>
      </c>
      <c r="J91" s="604"/>
      <c r="K91" s="605"/>
      <c r="L91" s="604"/>
      <c r="M91" s="604"/>
      <c r="N91" s="604"/>
      <c r="O91" s="351"/>
      <c r="P91" s="213"/>
      <c r="Q91" s="213"/>
      <c r="R91" s="213"/>
      <c r="S91" s="213"/>
      <c r="T91" s="213"/>
      <c r="U91" s="213"/>
      <c r="V91" s="213"/>
      <c r="W91" s="213"/>
      <c r="X91" s="213"/>
      <c r="Y91" s="213"/>
      <c r="Z91" s="213"/>
      <c r="AA91" s="213"/>
      <c r="AB91" s="213"/>
      <c r="AC91" s="213"/>
      <c r="AD91" s="213"/>
      <c r="AE91" s="213"/>
      <c r="AF91" s="213"/>
      <c r="AG91" s="213"/>
      <c r="AH91" s="213"/>
      <c r="AI91" s="213"/>
    </row>
    <row r="92" ht="15.75" customHeight="1">
      <c r="A92" s="213"/>
      <c r="B92" s="403"/>
      <c r="C92" s="448"/>
      <c r="D92" s="619"/>
      <c r="E92" s="619"/>
      <c r="F92" s="619"/>
      <c r="G92" s="619"/>
      <c r="H92" s="619"/>
      <c r="I92" s="619"/>
      <c r="J92" s="619"/>
      <c r="K92" s="793"/>
      <c r="L92" s="619"/>
      <c r="M92" s="619"/>
      <c r="N92" s="619"/>
      <c r="O92" s="1005"/>
      <c r="P92" s="213"/>
      <c r="Q92" s="213"/>
      <c r="R92" s="213"/>
      <c r="S92" s="213"/>
      <c r="T92" s="213"/>
      <c r="U92" s="213"/>
      <c r="V92" s="213"/>
      <c r="W92" s="213"/>
      <c r="X92" s="213"/>
      <c r="Y92" s="213"/>
      <c r="Z92" s="213"/>
      <c r="AA92" s="213"/>
      <c r="AB92" s="213"/>
      <c r="AC92" s="213"/>
      <c r="AD92" s="213"/>
      <c r="AE92" s="213"/>
      <c r="AF92" s="213"/>
      <c r="AG92" s="213"/>
      <c r="AH92" s="213"/>
      <c r="AI92" s="213"/>
    </row>
    <row r="93" ht="15.75" customHeight="1">
      <c r="A93" s="213"/>
      <c r="B93" s="407"/>
      <c r="C93" s="447" t="s">
        <v>36</v>
      </c>
      <c r="D93" s="600">
        <f t="shared" ref="D93:O93" si="14">SUM(D94:D98)</f>
        <v>39857.6506</v>
      </c>
      <c r="E93" s="600">
        <f t="shared" si="14"/>
        <v>136988.728</v>
      </c>
      <c r="F93" s="600">
        <f t="shared" si="14"/>
        <v>88010.4314</v>
      </c>
      <c r="G93" s="600">
        <f t="shared" si="14"/>
        <v>101510.45</v>
      </c>
      <c r="H93" s="600">
        <f t="shared" si="14"/>
        <v>92163.54</v>
      </c>
      <c r="I93" s="600">
        <f t="shared" si="14"/>
        <v>97815.97</v>
      </c>
      <c r="J93" s="600">
        <f t="shared" si="14"/>
        <v>90727.21</v>
      </c>
      <c r="K93" s="601">
        <f t="shared" si="14"/>
        <v>93621.36</v>
      </c>
      <c r="L93" s="600">
        <f t="shared" si="14"/>
        <v>112782.59</v>
      </c>
      <c r="M93" s="600">
        <f t="shared" si="14"/>
        <v>99091.46</v>
      </c>
      <c r="N93" s="600">
        <f t="shared" si="14"/>
        <v>91033.02</v>
      </c>
      <c r="O93" s="373">
        <f t="shared" si="14"/>
        <v>84079.84</v>
      </c>
      <c r="P93" s="718">
        <f>SUM(D93:O93)</f>
        <v>1127682.25</v>
      </c>
      <c r="Q93" s="216"/>
      <c r="R93" s="216"/>
      <c r="S93" s="216"/>
      <c r="T93" s="216"/>
      <c r="U93" s="216"/>
      <c r="V93" s="216"/>
      <c r="W93" s="216"/>
      <c r="X93" s="216"/>
      <c r="Y93" s="216"/>
      <c r="Z93" s="216"/>
      <c r="AA93" s="216"/>
      <c r="AB93" s="216"/>
      <c r="AC93" s="216"/>
      <c r="AD93" s="216"/>
      <c r="AE93" s="216"/>
      <c r="AF93" s="216"/>
      <c r="AG93" s="216"/>
      <c r="AH93" s="216"/>
      <c r="AI93" s="216"/>
    </row>
    <row r="94" ht="15.75" customHeight="1">
      <c r="A94" s="213"/>
      <c r="B94" s="393"/>
      <c r="C94" s="350" t="s">
        <v>467</v>
      </c>
      <c r="D94" s="604">
        <f>(4146.12+(4146.12*18/100))</f>
        <v>4892.4216</v>
      </c>
      <c r="E94" s="604">
        <f>(26039.6+(26039.6*18/100))</f>
        <v>30726.728</v>
      </c>
      <c r="F94" s="604">
        <f>(4212.23+(4212.23*18/100))</f>
        <v>4970.4314</v>
      </c>
      <c r="G94" s="604">
        <f>33231.63-6636</f>
        <v>26595.63</v>
      </c>
      <c r="H94" s="604">
        <f>31980.13-6375</f>
        <v>25605.13</v>
      </c>
      <c r="I94" s="604">
        <f>30083.73-2174</f>
        <v>27909.73</v>
      </c>
      <c r="J94" s="604">
        <v>24372.16</v>
      </c>
      <c r="K94" s="605">
        <v>26170.71</v>
      </c>
      <c r="L94" s="604">
        <f>28207.15-72.89</f>
        <v>28134.26</v>
      </c>
      <c r="M94" s="604">
        <v>23885.06</v>
      </c>
      <c r="N94" s="604">
        <v>20851.84</v>
      </c>
      <c r="O94" s="664">
        <v>27537.77</v>
      </c>
      <c r="P94" s="213"/>
      <c r="Q94" s="213"/>
      <c r="R94" s="213"/>
      <c r="S94" s="213"/>
      <c r="T94" s="213"/>
      <c r="U94" s="213"/>
      <c r="V94" s="213"/>
      <c r="W94" s="213"/>
      <c r="X94" s="213"/>
      <c r="Y94" s="213"/>
      <c r="Z94" s="213"/>
      <c r="AA94" s="213"/>
      <c r="AB94" s="213"/>
      <c r="AC94" s="213"/>
      <c r="AD94" s="213"/>
      <c r="AE94" s="213"/>
      <c r="AF94" s="213"/>
      <c r="AG94" s="213"/>
      <c r="AH94" s="213"/>
      <c r="AI94" s="213"/>
    </row>
    <row r="95" ht="15.75" customHeight="1">
      <c r="A95" s="213"/>
      <c r="B95" s="393"/>
      <c r="C95" s="350" t="s">
        <v>468</v>
      </c>
      <c r="D95" s="604"/>
      <c r="E95" s="604"/>
      <c r="F95" s="604"/>
      <c r="G95" s="604"/>
      <c r="H95" s="604"/>
      <c r="I95" s="604"/>
      <c r="J95" s="604"/>
      <c r="K95" s="605"/>
      <c r="L95" s="604">
        <v>72.89</v>
      </c>
      <c r="M95" s="604"/>
      <c r="N95" s="604"/>
      <c r="O95" s="664"/>
      <c r="P95" s="213"/>
      <c r="Q95" s="213"/>
      <c r="R95" s="213"/>
      <c r="S95" s="213"/>
      <c r="T95" s="213"/>
      <c r="U95" s="213"/>
      <c r="V95" s="213"/>
      <c r="W95" s="213"/>
      <c r="X95" s="213"/>
      <c r="Y95" s="213"/>
      <c r="Z95" s="213"/>
      <c r="AA95" s="213"/>
      <c r="AB95" s="213"/>
      <c r="AC95" s="213"/>
      <c r="AD95" s="213"/>
      <c r="AE95" s="213"/>
      <c r="AF95" s="213"/>
      <c r="AG95" s="213"/>
      <c r="AH95" s="213"/>
      <c r="AI95" s="213"/>
    </row>
    <row r="96" ht="15.75" customHeight="1">
      <c r="A96" s="213"/>
      <c r="B96" s="393"/>
      <c r="C96" s="350" t="s">
        <v>260</v>
      </c>
      <c r="D96" s="604">
        <f>(4131.55+(4131.55*18/100))</f>
        <v>4875.229</v>
      </c>
      <c r="E96" s="604">
        <v>41901.0</v>
      </c>
      <c r="F96" s="604">
        <v>39696.0</v>
      </c>
      <c r="G96" s="604">
        <f>25374.64+387.18</f>
        <v>25761.82</v>
      </c>
      <c r="H96" s="604">
        <v>22207.41</v>
      </c>
      <c r="I96" s="604">
        <v>20993.24</v>
      </c>
      <c r="J96" s="604">
        <v>20873.05</v>
      </c>
      <c r="K96" s="605">
        <v>20820.65</v>
      </c>
      <c r="L96" s="604">
        <v>27835.44</v>
      </c>
      <c r="M96" s="604">
        <v>25148.4</v>
      </c>
      <c r="N96" s="604">
        <v>23925.18</v>
      </c>
      <c r="O96" s="664">
        <v>3619.07</v>
      </c>
      <c r="P96" s="213"/>
      <c r="Q96" s="213"/>
      <c r="R96" s="213"/>
      <c r="S96" s="213"/>
      <c r="T96" s="213"/>
      <c r="U96" s="213"/>
      <c r="V96" s="213"/>
      <c r="W96" s="213"/>
      <c r="X96" s="213"/>
      <c r="Y96" s="213"/>
      <c r="Z96" s="213"/>
      <c r="AA96" s="213"/>
      <c r="AB96" s="213"/>
      <c r="AC96" s="213"/>
      <c r="AD96" s="213"/>
      <c r="AE96" s="213"/>
      <c r="AF96" s="213"/>
      <c r="AG96" s="213"/>
      <c r="AH96" s="213"/>
      <c r="AI96" s="213"/>
    </row>
    <row r="97" ht="15.75" customHeight="1">
      <c r="A97" s="213"/>
      <c r="B97" s="393"/>
      <c r="C97" s="350" t="s">
        <v>469</v>
      </c>
      <c r="D97" s="604"/>
      <c r="E97" s="604"/>
      <c r="F97" s="604"/>
      <c r="G97" s="604"/>
      <c r="H97" s="604"/>
      <c r="I97" s="604"/>
      <c r="J97" s="604"/>
      <c r="K97" s="605"/>
      <c r="L97" s="604">
        <v>315.0</v>
      </c>
      <c r="M97" s="604"/>
      <c r="N97" s="604"/>
      <c r="O97" s="664"/>
      <c r="P97" s="213"/>
      <c r="Q97" s="213"/>
      <c r="R97" s="213"/>
      <c r="S97" s="213"/>
      <c r="T97" s="213"/>
      <c r="U97" s="213"/>
      <c r="V97" s="213"/>
      <c r="W97" s="213"/>
      <c r="X97" s="213"/>
      <c r="Y97" s="213"/>
      <c r="Z97" s="213"/>
      <c r="AA97" s="213"/>
      <c r="AB97" s="213"/>
      <c r="AC97" s="213"/>
      <c r="AD97" s="213"/>
      <c r="AE97" s="213"/>
      <c r="AF97" s="213"/>
      <c r="AG97" s="213"/>
      <c r="AH97" s="213"/>
      <c r="AI97" s="213"/>
    </row>
    <row r="98" ht="15.75" customHeight="1">
      <c r="A98" s="213"/>
      <c r="B98" s="393"/>
      <c r="C98" s="350" t="s">
        <v>470</v>
      </c>
      <c r="D98" s="604">
        <f>10500*1.18+15000*1.18</f>
        <v>30090</v>
      </c>
      <c r="E98" s="604">
        <f>23600+40761</f>
        <v>64361</v>
      </c>
      <c r="F98" s="604">
        <v>43344.0</v>
      </c>
      <c r="G98" s="604">
        <v>49153.0</v>
      </c>
      <c r="H98" s="604">
        <v>44351.0</v>
      </c>
      <c r="I98" s="604">
        <v>48913.0</v>
      </c>
      <c r="J98" s="604">
        <v>45482.0</v>
      </c>
      <c r="K98" s="605">
        <v>46630.0</v>
      </c>
      <c r="L98" s="604">
        <v>56425.0</v>
      </c>
      <c r="M98" s="604">
        <v>50058.0</v>
      </c>
      <c r="N98" s="604">
        <v>46256.0</v>
      </c>
      <c r="O98" s="664">
        <f>52923</f>
        <v>52923</v>
      </c>
      <c r="P98" s="213"/>
      <c r="Q98" s="213"/>
      <c r="R98" s="213"/>
      <c r="S98" s="213"/>
      <c r="T98" s="213"/>
      <c r="U98" s="213"/>
      <c r="V98" s="213"/>
      <c r="W98" s="213"/>
      <c r="X98" s="213"/>
      <c r="Y98" s="213"/>
      <c r="Z98" s="213"/>
      <c r="AA98" s="213"/>
      <c r="AB98" s="213"/>
      <c r="AC98" s="213"/>
      <c r="AD98" s="213"/>
      <c r="AE98" s="213"/>
      <c r="AF98" s="213"/>
      <c r="AG98" s="213"/>
      <c r="AH98" s="213"/>
      <c r="AI98" s="213"/>
    </row>
    <row r="99" ht="15.75" customHeight="1">
      <c r="A99" s="213"/>
      <c r="B99" s="403"/>
      <c r="C99" s="362"/>
      <c r="D99" s="619"/>
      <c r="E99" s="619"/>
      <c r="F99" s="619"/>
      <c r="G99" s="619"/>
      <c r="H99" s="619"/>
      <c r="I99" s="619"/>
      <c r="J99" s="619"/>
      <c r="K99" s="793"/>
      <c r="L99" s="619"/>
      <c r="M99" s="619"/>
      <c r="N99" s="619"/>
      <c r="O99" s="1005"/>
      <c r="P99" s="213"/>
      <c r="Q99" s="213"/>
      <c r="R99" s="213"/>
      <c r="S99" s="213"/>
      <c r="T99" s="213"/>
      <c r="U99" s="213"/>
      <c r="V99" s="213"/>
      <c r="W99" s="213"/>
      <c r="X99" s="213"/>
      <c r="Y99" s="213"/>
      <c r="Z99" s="213"/>
      <c r="AA99" s="213"/>
      <c r="AB99" s="213"/>
      <c r="AC99" s="213"/>
      <c r="AD99" s="213"/>
      <c r="AE99" s="213"/>
      <c r="AF99" s="213"/>
      <c r="AG99" s="213"/>
      <c r="AH99" s="213"/>
      <c r="AI99" s="213"/>
    </row>
    <row r="100" ht="15.75" customHeight="1">
      <c r="A100" s="213"/>
      <c r="B100" s="735"/>
      <c r="C100" s="447" t="s">
        <v>315</v>
      </c>
      <c r="D100" s="771">
        <f t="shared" ref="D100:O100" si="15">SUM(D101:D104)</f>
        <v>0</v>
      </c>
      <c r="E100" s="771">
        <f t="shared" si="15"/>
        <v>0</v>
      </c>
      <c r="F100" s="771">
        <f t="shared" si="15"/>
        <v>0</v>
      </c>
      <c r="G100" s="771">
        <f t="shared" si="15"/>
        <v>0</v>
      </c>
      <c r="H100" s="771">
        <f t="shared" si="15"/>
        <v>0</v>
      </c>
      <c r="I100" s="771">
        <f t="shared" si="15"/>
        <v>0</v>
      </c>
      <c r="J100" s="771">
        <f t="shared" si="15"/>
        <v>0</v>
      </c>
      <c r="K100" s="813">
        <f t="shared" si="15"/>
        <v>0</v>
      </c>
      <c r="L100" s="771">
        <f t="shared" si="15"/>
        <v>0</v>
      </c>
      <c r="M100" s="508">
        <f t="shared" si="15"/>
        <v>0</v>
      </c>
      <c r="N100" s="771">
        <f t="shared" si="15"/>
        <v>0</v>
      </c>
      <c r="O100" s="1007">
        <f t="shared" si="15"/>
        <v>0</v>
      </c>
      <c r="P100" s="718">
        <f>SUM(D100:O100)</f>
        <v>0</v>
      </c>
      <c r="Q100" s="216"/>
      <c r="R100" s="216"/>
      <c r="S100" s="216"/>
      <c r="T100" s="216"/>
      <c r="U100" s="216"/>
      <c r="V100" s="216"/>
      <c r="W100" s="216"/>
      <c r="X100" s="216"/>
      <c r="Y100" s="216"/>
      <c r="Z100" s="216"/>
      <c r="AA100" s="216"/>
      <c r="AB100" s="216"/>
      <c r="AC100" s="216"/>
      <c r="AD100" s="216"/>
      <c r="AE100" s="216"/>
      <c r="AF100" s="216"/>
      <c r="AG100" s="216"/>
      <c r="AH100" s="216"/>
      <c r="AI100" s="216"/>
    </row>
    <row r="101" ht="15.75" customHeight="1">
      <c r="A101" s="213"/>
      <c r="B101" s="444"/>
      <c r="C101" s="383" t="s">
        <v>261</v>
      </c>
      <c r="D101" s="708"/>
      <c r="E101" s="708"/>
      <c r="F101" s="708"/>
      <c r="G101" s="708"/>
      <c r="H101" s="708"/>
      <c r="I101" s="708"/>
      <c r="J101" s="708"/>
      <c r="K101" s="787"/>
      <c r="L101" s="708"/>
      <c r="M101" s="384"/>
      <c r="N101" s="708"/>
      <c r="O101" s="1004"/>
      <c r="P101" s="213"/>
      <c r="Q101" s="213"/>
      <c r="R101" s="213"/>
      <c r="S101" s="213"/>
      <c r="T101" s="213"/>
      <c r="U101" s="213"/>
      <c r="V101" s="213"/>
      <c r="W101" s="213"/>
      <c r="X101" s="213"/>
      <c r="Y101" s="213"/>
      <c r="Z101" s="213"/>
      <c r="AA101" s="213"/>
      <c r="AB101" s="213"/>
      <c r="AC101" s="213"/>
      <c r="AD101" s="213"/>
      <c r="AE101" s="213"/>
      <c r="AF101" s="213"/>
      <c r="AG101" s="213"/>
      <c r="AH101" s="213"/>
      <c r="AI101" s="213"/>
    </row>
    <row r="102" ht="15.75" customHeight="1">
      <c r="A102" s="213"/>
      <c r="B102" s="393"/>
      <c r="C102" s="350" t="s">
        <v>262</v>
      </c>
      <c r="D102" s="604"/>
      <c r="E102" s="604"/>
      <c r="F102" s="604"/>
      <c r="G102" s="604"/>
      <c r="H102" s="604"/>
      <c r="I102" s="604"/>
      <c r="J102" s="604"/>
      <c r="K102" s="605"/>
      <c r="L102" s="604"/>
      <c r="M102" s="351"/>
      <c r="N102" s="604"/>
      <c r="O102" s="664"/>
      <c r="P102" s="213"/>
      <c r="Q102" s="213"/>
      <c r="R102" s="213"/>
      <c r="S102" s="213"/>
      <c r="T102" s="213"/>
      <c r="U102" s="213"/>
      <c r="V102" s="213"/>
      <c r="W102" s="213"/>
      <c r="X102" s="213"/>
      <c r="Y102" s="213"/>
      <c r="Z102" s="213"/>
      <c r="AA102" s="213"/>
      <c r="AB102" s="213"/>
      <c r="AC102" s="213"/>
      <c r="AD102" s="213"/>
      <c r="AE102" s="213"/>
      <c r="AF102" s="213"/>
      <c r="AG102" s="213"/>
      <c r="AH102" s="213"/>
      <c r="AI102" s="213"/>
    </row>
    <row r="103" ht="15.75" customHeight="1">
      <c r="A103" s="213"/>
      <c r="B103" s="393"/>
      <c r="C103" s="350" t="s">
        <v>263</v>
      </c>
      <c r="D103" s="604"/>
      <c r="E103" s="604"/>
      <c r="F103" s="604"/>
      <c r="G103" s="604"/>
      <c r="H103" s="604"/>
      <c r="I103" s="604"/>
      <c r="J103" s="604"/>
      <c r="K103" s="605"/>
      <c r="L103" s="604"/>
      <c r="M103" s="351"/>
      <c r="N103" s="604"/>
      <c r="O103" s="664"/>
      <c r="P103" s="213"/>
      <c r="Q103" s="213"/>
      <c r="R103" s="213"/>
      <c r="S103" s="213"/>
      <c r="T103" s="213"/>
      <c r="U103" s="213"/>
      <c r="V103" s="213"/>
      <c r="W103" s="213"/>
      <c r="X103" s="213"/>
      <c r="Y103" s="213"/>
      <c r="Z103" s="213"/>
      <c r="AA103" s="213"/>
      <c r="AB103" s="213"/>
      <c r="AC103" s="213"/>
      <c r="AD103" s="213"/>
      <c r="AE103" s="213"/>
      <c r="AF103" s="213"/>
      <c r="AG103" s="213"/>
      <c r="AH103" s="213"/>
      <c r="AI103" s="213"/>
    </row>
    <row r="104" ht="15.75" customHeight="1">
      <c r="A104" s="213"/>
      <c r="B104" s="393"/>
      <c r="C104" s="350" t="s">
        <v>264</v>
      </c>
      <c r="D104" s="604"/>
      <c r="E104" s="604"/>
      <c r="F104" s="604"/>
      <c r="G104" s="604"/>
      <c r="H104" s="604"/>
      <c r="I104" s="604"/>
      <c r="J104" s="604"/>
      <c r="K104" s="605"/>
      <c r="L104" s="604"/>
      <c r="M104" s="351"/>
      <c r="N104" s="604"/>
      <c r="O104" s="664"/>
      <c r="P104" s="213"/>
      <c r="Q104" s="213"/>
      <c r="R104" s="213"/>
      <c r="S104" s="213"/>
      <c r="T104" s="213"/>
      <c r="U104" s="213"/>
      <c r="V104" s="213"/>
      <c r="W104" s="213"/>
      <c r="X104" s="213"/>
      <c r="Y104" s="213"/>
      <c r="Z104" s="213"/>
      <c r="AA104" s="213"/>
      <c r="AB104" s="213"/>
      <c r="AC104" s="213"/>
      <c r="AD104" s="213"/>
      <c r="AE104" s="213"/>
      <c r="AF104" s="213"/>
      <c r="AG104" s="213"/>
      <c r="AH104" s="213"/>
      <c r="AI104" s="213"/>
    </row>
    <row r="105" ht="15.75" customHeight="1">
      <c r="A105" s="213"/>
      <c r="B105" s="403"/>
      <c r="C105" s="448"/>
      <c r="D105" s="619"/>
      <c r="E105" s="619"/>
      <c r="F105" s="619"/>
      <c r="G105" s="619"/>
      <c r="H105" s="619"/>
      <c r="I105" s="619"/>
      <c r="J105" s="619"/>
      <c r="K105" s="793"/>
      <c r="L105" s="619"/>
      <c r="M105" s="619"/>
      <c r="N105" s="619"/>
      <c r="O105" s="1005"/>
      <c r="P105" s="213"/>
      <c r="Q105" s="213"/>
      <c r="R105" s="213"/>
      <c r="S105" s="213"/>
      <c r="T105" s="213"/>
      <c r="U105" s="213"/>
      <c r="V105" s="213"/>
      <c r="W105" s="213"/>
      <c r="X105" s="213"/>
      <c r="Y105" s="213"/>
      <c r="Z105" s="213"/>
      <c r="AA105" s="213"/>
      <c r="AB105" s="213"/>
      <c r="AC105" s="213"/>
      <c r="AD105" s="213"/>
      <c r="AE105" s="213"/>
      <c r="AF105" s="213"/>
      <c r="AG105" s="213"/>
      <c r="AH105" s="213"/>
      <c r="AI105" s="213"/>
    </row>
    <row r="106" ht="15.75" customHeight="1">
      <c r="A106" s="213"/>
      <c r="B106" s="735"/>
      <c r="C106" s="447" t="s">
        <v>38</v>
      </c>
      <c r="D106" s="771">
        <f t="shared" ref="D106:O106" si="16">SUM(D107:D113)</f>
        <v>0</v>
      </c>
      <c r="E106" s="771">
        <f t="shared" si="16"/>
        <v>0</v>
      </c>
      <c r="F106" s="771">
        <f t="shared" si="16"/>
        <v>0</v>
      </c>
      <c r="G106" s="771">
        <f t="shared" si="16"/>
        <v>0</v>
      </c>
      <c r="H106" s="771">
        <f t="shared" si="16"/>
        <v>0</v>
      </c>
      <c r="I106" s="771">
        <f t="shared" si="16"/>
        <v>0</v>
      </c>
      <c r="J106" s="771">
        <f t="shared" si="16"/>
        <v>0</v>
      </c>
      <c r="K106" s="813">
        <f t="shared" si="16"/>
        <v>0</v>
      </c>
      <c r="L106" s="771">
        <f t="shared" si="16"/>
        <v>0</v>
      </c>
      <c r="M106" s="508">
        <f t="shared" si="16"/>
        <v>0</v>
      </c>
      <c r="N106" s="771">
        <f t="shared" si="16"/>
        <v>0</v>
      </c>
      <c r="O106" s="1007">
        <f t="shared" si="16"/>
        <v>0</v>
      </c>
      <c r="P106" s="718">
        <f>SUM(D106:O106)</f>
        <v>0</v>
      </c>
      <c r="Q106" s="216"/>
      <c r="R106" s="216"/>
      <c r="S106" s="216"/>
      <c r="T106" s="216"/>
      <c r="U106" s="216"/>
      <c r="V106" s="216"/>
      <c r="W106" s="216"/>
      <c r="X106" s="216"/>
      <c r="Y106" s="216"/>
      <c r="Z106" s="216"/>
      <c r="AA106" s="216"/>
      <c r="AB106" s="216"/>
      <c r="AC106" s="216"/>
      <c r="AD106" s="216"/>
      <c r="AE106" s="216"/>
      <c r="AF106" s="216"/>
      <c r="AG106" s="216"/>
      <c r="AH106" s="216"/>
      <c r="AI106" s="216"/>
    </row>
    <row r="107" ht="15.75" customHeight="1">
      <c r="A107" s="213"/>
      <c r="B107" s="444"/>
      <c r="C107" s="383" t="s">
        <v>318</v>
      </c>
      <c r="D107" s="708"/>
      <c r="E107" s="708"/>
      <c r="F107" s="708"/>
      <c r="G107" s="708"/>
      <c r="H107" s="708"/>
      <c r="I107" s="708"/>
      <c r="J107" s="708"/>
      <c r="K107" s="787"/>
      <c r="L107" s="708"/>
      <c r="M107" s="384"/>
      <c r="N107" s="708"/>
      <c r="O107" s="1004"/>
      <c r="P107" s="213"/>
      <c r="Q107" s="213"/>
      <c r="R107" s="213"/>
      <c r="S107" s="213"/>
      <c r="T107" s="213"/>
      <c r="U107" s="213"/>
      <c r="V107" s="213"/>
      <c r="W107" s="213"/>
      <c r="X107" s="213"/>
      <c r="Y107" s="213"/>
      <c r="Z107" s="213"/>
      <c r="AA107" s="213"/>
      <c r="AB107" s="213"/>
      <c r="AC107" s="213"/>
      <c r="AD107" s="213"/>
      <c r="AE107" s="213"/>
      <c r="AF107" s="213"/>
      <c r="AG107" s="213"/>
      <c r="AH107" s="213"/>
      <c r="AI107" s="213"/>
    </row>
    <row r="108" ht="15.75" customHeight="1">
      <c r="A108" s="213"/>
      <c r="B108" s="393"/>
      <c r="C108" s="350" t="s">
        <v>265</v>
      </c>
      <c r="D108" s="604"/>
      <c r="E108" s="604"/>
      <c r="F108" s="604"/>
      <c r="G108" s="604"/>
      <c r="H108" s="604"/>
      <c r="I108" s="604"/>
      <c r="J108" s="604"/>
      <c r="K108" s="605"/>
      <c r="L108" s="604"/>
      <c r="M108" s="351"/>
      <c r="N108" s="604"/>
      <c r="O108" s="664"/>
      <c r="P108" s="213"/>
      <c r="Q108" s="213"/>
      <c r="R108" s="213"/>
      <c r="S108" s="213"/>
      <c r="T108" s="213"/>
      <c r="U108" s="213"/>
      <c r="V108" s="213"/>
      <c r="W108" s="213"/>
      <c r="X108" s="213"/>
      <c r="Y108" s="213"/>
      <c r="Z108" s="213"/>
      <c r="AA108" s="213"/>
      <c r="AB108" s="213"/>
      <c r="AC108" s="213"/>
      <c r="AD108" s="213"/>
      <c r="AE108" s="213"/>
      <c r="AF108" s="213"/>
      <c r="AG108" s="213"/>
      <c r="AH108" s="213"/>
      <c r="AI108" s="213"/>
    </row>
    <row r="109" ht="15.75" customHeight="1">
      <c r="A109" s="213"/>
      <c r="B109" s="393"/>
      <c r="C109" s="350" t="s">
        <v>266</v>
      </c>
      <c r="D109" s="604"/>
      <c r="E109" s="604"/>
      <c r="F109" s="604"/>
      <c r="G109" s="604"/>
      <c r="H109" s="604"/>
      <c r="I109" s="604"/>
      <c r="J109" s="604"/>
      <c r="K109" s="605"/>
      <c r="L109" s="604"/>
      <c r="M109" s="351"/>
      <c r="N109" s="604"/>
      <c r="O109" s="664"/>
      <c r="P109" s="213"/>
      <c r="Q109" s="213"/>
      <c r="R109" s="213"/>
      <c r="S109" s="213"/>
      <c r="T109" s="213"/>
      <c r="U109" s="213"/>
      <c r="V109" s="213"/>
      <c r="W109" s="213"/>
      <c r="X109" s="213"/>
      <c r="Y109" s="213"/>
      <c r="Z109" s="213"/>
      <c r="AA109" s="213"/>
      <c r="AB109" s="213"/>
      <c r="AC109" s="213"/>
      <c r="AD109" s="213"/>
      <c r="AE109" s="213"/>
      <c r="AF109" s="213"/>
      <c r="AG109" s="213"/>
      <c r="AH109" s="213"/>
      <c r="AI109" s="213"/>
    </row>
    <row r="110" ht="15.75" customHeight="1">
      <c r="A110" s="213"/>
      <c r="B110" s="393"/>
      <c r="C110" s="350" t="s">
        <v>267</v>
      </c>
      <c r="D110" s="604"/>
      <c r="E110" s="604"/>
      <c r="F110" s="604"/>
      <c r="G110" s="604"/>
      <c r="H110" s="604"/>
      <c r="I110" s="604"/>
      <c r="J110" s="604"/>
      <c r="K110" s="605"/>
      <c r="L110" s="604"/>
      <c r="M110" s="351"/>
      <c r="N110" s="604"/>
      <c r="O110" s="664"/>
      <c r="P110" s="213"/>
      <c r="Q110" s="213"/>
      <c r="R110" s="213"/>
      <c r="S110" s="213"/>
      <c r="T110" s="213"/>
      <c r="U110" s="213"/>
      <c r="V110" s="213"/>
      <c r="W110" s="213"/>
      <c r="X110" s="213"/>
      <c r="Y110" s="213"/>
      <c r="Z110" s="213"/>
      <c r="AA110" s="213"/>
      <c r="AB110" s="213"/>
      <c r="AC110" s="213"/>
      <c r="AD110" s="213"/>
      <c r="AE110" s="213"/>
      <c r="AF110" s="213"/>
      <c r="AG110" s="213"/>
      <c r="AH110" s="213"/>
      <c r="AI110" s="213"/>
    </row>
    <row r="111" ht="15.75" customHeight="1">
      <c r="A111" s="213"/>
      <c r="B111" s="393"/>
      <c r="C111" s="350" t="s">
        <v>268</v>
      </c>
      <c r="D111" s="604"/>
      <c r="E111" s="604"/>
      <c r="F111" s="604"/>
      <c r="G111" s="604"/>
      <c r="H111" s="604"/>
      <c r="I111" s="604"/>
      <c r="J111" s="604"/>
      <c r="K111" s="605"/>
      <c r="L111" s="604"/>
      <c r="M111" s="351"/>
      <c r="N111" s="604"/>
      <c r="O111" s="664"/>
      <c r="P111" s="213"/>
      <c r="Q111" s="213"/>
      <c r="R111" s="213"/>
      <c r="S111" s="213"/>
      <c r="T111" s="213"/>
      <c r="U111" s="213"/>
      <c r="V111" s="213"/>
      <c r="W111" s="213"/>
      <c r="X111" s="213"/>
      <c r="Y111" s="213"/>
      <c r="Z111" s="213"/>
      <c r="AA111" s="213"/>
      <c r="AB111" s="213"/>
      <c r="AC111" s="213"/>
      <c r="AD111" s="213"/>
      <c r="AE111" s="213"/>
      <c r="AF111" s="213"/>
      <c r="AG111" s="213"/>
      <c r="AH111" s="213"/>
      <c r="AI111" s="213"/>
    </row>
    <row r="112" ht="15.75" customHeight="1">
      <c r="A112" s="213"/>
      <c r="B112" s="393"/>
      <c r="C112" s="350" t="s">
        <v>269</v>
      </c>
      <c r="D112" s="604"/>
      <c r="E112" s="604"/>
      <c r="F112" s="604"/>
      <c r="G112" s="604"/>
      <c r="H112" s="604"/>
      <c r="I112" s="604"/>
      <c r="J112" s="604"/>
      <c r="K112" s="605"/>
      <c r="L112" s="604"/>
      <c r="M112" s="351"/>
      <c r="N112" s="604"/>
      <c r="O112" s="664"/>
      <c r="P112" s="213"/>
      <c r="Q112" s="213"/>
      <c r="R112" s="213"/>
      <c r="S112" s="213"/>
      <c r="T112" s="213"/>
      <c r="U112" s="213"/>
      <c r="V112" s="213"/>
      <c r="W112" s="213"/>
      <c r="X112" s="213"/>
      <c r="Y112" s="213"/>
      <c r="Z112" s="213"/>
      <c r="AA112" s="213"/>
      <c r="AB112" s="213"/>
      <c r="AC112" s="213"/>
      <c r="AD112" s="213"/>
      <c r="AE112" s="213"/>
      <c r="AF112" s="213"/>
      <c r="AG112" s="213"/>
      <c r="AH112" s="213"/>
      <c r="AI112" s="213"/>
    </row>
    <row r="113" ht="15.75" customHeight="1">
      <c r="A113" s="213"/>
      <c r="B113" s="393"/>
      <c r="C113" s="350" t="s">
        <v>270</v>
      </c>
      <c r="D113" s="604"/>
      <c r="E113" s="604"/>
      <c r="F113" s="604"/>
      <c r="G113" s="604"/>
      <c r="H113" s="604"/>
      <c r="I113" s="604"/>
      <c r="J113" s="604"/>
      <c r="K113" s="605"/>
      <c r="L113" s="604"/>
      <c r="M113" s="351"/>
      <c r="N113" s="604"/>
      <c r="O113" s="664"/>
      <c r="P113" s="213"/>
      <c r="Q113" s="213"/>
      <c r="R113" s="213"/>
      <c r="S113" s="213"/>
      <c r="T113" s="213"/>
      <c r="U113" s="213"/>
      <c r="V113" s="213"/>
      <c r="W113" s="213"/>
      <c r="X113" s="213"/>
      <c r="Y113" s="213"/>
      <c r="Z113" s="213"/>
      <c r="AA113" s="213"/>
      <c r="AB113" s="213"/>
      <c r="AC113" s="213"/>
      <c r="AD113" s="213"/>
      <c r="AE113" s="213"/>
      <c r="AF113" s="213"/>
      <c r="AG113" s="213"/>
      <c r="AH113" s="213"/>
      <c r="AI113" s="213"/>
    </row>
    <row r="114" ht="15.75" customHeight="1">
      <c r="A114" s="213"/>
      <c r="B114" s="393"/>
      <c r="C114" s="411"/>
      <c r="D114" s="604"/>
      <c r="E114" s="604"/>
      <c r="F114" s="604"/>
      <c r="G114" s="604"/>
      <c r="H114" s="604"/>
      <c r="I114" s="604"/>
      <c r="J114" s="604"/>
      <c r="K114" s="605"/>
      <c r="L114" s="604"/>
      <c r="M114" s="604"/>
      <c r="N114" s="604"/>
      <c r="O114" s="664"/>
      <c r="P114" s="213"/>
      <c r="Q114" s="213"/>
      <c r="R114" s="213"/>
      <c r="S114" s="213"/>
      <c r="T114" s="213"/>
      <c r="U114" s="213"/>
      <c r="V114" s="213"/>
      <c r="W114" s="213"/>
      <c r="X114" s="213"/>
      <c r="Y114" s="213"/>
      <c r="Z114" s="213"/>
      <c r="AA114" s="213"/>
      <c r="AB114" s="213"/>
      <c r="AC114" s="213"/>
      <c r="AD114" s="213"/>
      <c r="AE114" s="213"/>
      <c r="AF114" s="213"/>
      <c r="AG114" s="213"/>
      <c r="AH114" s="213"/>
      <c r="AI114" s="213"/>
    </row>
    <row r="115" ht="15.75" customHeight="1">
      <c r="A115" s="213"/>
      <c r="B115" s="403"/>
      <c r="C115" s="448"/>
      <c r="D115" s="619"/>
      <c r="E115" s="619"/>
      <c r="F115" s="619"/>
      <c r="G115" s="619"/>
      <c r="H115" s="619"/>
      <c r="I115" s="619"/>
      <c r="J115" s="619"/>
      <c r="K115" s="793"/>
      <c r="L115" s="619"/>
      <c r="M115" s="619"/>
      <c r="N115" s="619"/>
      <c r="O115" s="1005"/>
      <c r="P115" s="213"/>
      <c r="Q115" s="213"/>
      <c r="R115" s="213"/>
      <c r="S115" s="213"/>
      <c r="T115" s="213"/>
      <c r="U115" s="213"/>
      <c r="V115" s="213"/>
      <c r="W115" s="213"/>
      <c r="X115" s="213"/>
      <c r="Y115" s="213"/>
      <c r="Z115" s="213"/>
      <c r="AA115" s="213"/>
      <c r="AB115" s="213"/>
      <c r="AC115" s="213"/>
      <c r="AD115" s="213"/>
      <c r="AE115" s="213"/>
      <c r="AF115" s="213"/>
      <c r="AG115" s="213"/>
      <c r="AH115" s="213"/>
      <c r="AI115" s="213"/>
    </row>
    <row r="116" ht="15.75" customHeight="1">
      <c r="A116" s="213"/>
      <c r="B116" s="735"/>
      <c r="C116" s="447" t="s">
        <v>39</v>
      </c>
      <c r="D116" s="771">
        <f t="shared" ref="D116:O116" si="17">SUM(D117)</f>
        <v>0</v>
      </c>
      <c r="E116" s="771">
        <f t="shared" si="17"/>
        <v>0</v>
      </c>
      <c r="F116" s="771">
        <f t="shared" si="17"/>
        <v>0</v>
      </c>
      <c r="G116" s="771">
        <f t="shared" si="17"/>
        <v>0</v>
      </c>
      <c r="H116" s="771">
        <f t="shared" si="17"/>
        <v>0</v>
      </c>
      <c r="I116" s="771">
        <f t="shared" si="17"/>
        <v>0</v>
      </c>
      <c r="J116" s="771">
        <f t="shared" si="17"/>
        <v>0</v>
      </c>
      <c r="K116" s="813">
        <f t="shared" si="17"/>
        <v>0</v>
      </c>
      <c r="L116" s="771">
        <f t="shared" si="17"/>
        <v>0</v>
      </c>
      <c r="M116" s="508">
        <f t="shared" si="17"/>
        <v>0</v>
      </c>
      <c r="N116" s="771">
        <f t="shared" si="17"/>
        <v>0</v>
      </c>
      <c r="O116" s="1007">
        <f t="shared" si="17"/>
        <v>0</v>
      </c>
      <c r="P116" s="718">
        <f>SUM(D116:O116)</f>
        <v>0</v>
      </c>
      <c r="Q116" s="216"/>
      <c r="R116" s="216"/>
      <c r="S116" s="216"/>
      <c r="T116" s="216"/>
      <c r="U116" s="216"/>
      <c r="V116" s="216"/>
      <c r="W116" s="216"/>
      <c r="X116" s="216"/>
      <c r="Y116" s="216"/>
      <c r="Z116" s="216"/>
      <c r="AA116" s="216"/>
      <c r="AB116" s="216"/>
      <c r="AC116" s="216"/>
      <c r="AD116" s="216"/>
      <c r="AE116" s="216"/>
      <c r="AF116" s="216"/>
      <c r="AG116" s="216"/>
      <c r="AH116" s="216"/>
      <c r="AI116" s="216"/>
    </row>
    <row r="117" ht="15.75" customHeight="1">
      <c r="A117" s="213"/>
      <c r="B117" s="444"/>
      <c r="C117" s="383" t="s">
        <v>272</v>
      </c>
      <c r="D117" s="708">
        <v>0.0</v>
      </c>
      <c r="E117" s="708"/>
      <c r="F117" s="708"/>
      <c r="G117" s="708"/>
      <c r="H117" s="708"/>
      <c r="I117" s="708"/>
      <c r="J117" s="708"/>
      <c r="K117" s="787"/>
      <c r="L117" s="708"/>
      <c r="M117" s="384"/>
      <c r="N117" s="708"/>
      <c r="O117" s="1004"/>
      <c r="P117" s="213"/>
      <c r="Q117" s="213"/>
      <c r="R117" s="213"/>
      <c r="S117" s="213"/>
      <c r="T117" s="213"/>
      <c r="U117" s="213"/>
      <c r="V117" s="213"/>
      <c r="W117" s="213"/>
      <c r="X117" s="213"/>
      <c r="Y117" s="213"/>
      <c r="Z117" s="213"/>
      <c r="AA117" s="213"/>
      <c r="AB117" s="213"/>
      <c r="AC117" s="213"/>
      <c r="AD117" s="213"/>
      <c r="AE117" s="213"/>
      <c r="AF117" s="213"/>
      <c r="AG117" s="213"/>
      <c r="AH117" s="213"/>
      <c r="AI117" s="213"/>
    </row>
    <row r="118" ht="15.75" customHeight="1">
      <c r="A118" s="213"/>
      <c r="B118" s="403"/>
      <c r="C118" s="362"/>
      <c r="D118" s="619"/>
      <c r="E118" s="619"/>
      <c r="F118" s="619"/>
      <c r="G118" s="619"/>
      <c r="H118" s="619"/>
      <c r="I118" s="619"/>
      <c r="J118" s="619"/>
      <c r="K118" s="793"/>
      <c r="L118" s="619"/>
      <c r="M118" s="619"/>
      <c r="N118" s="619"/>
      <c r="O118" s="1005"/>
      <c r="P118" s="213"/>
      <c r="Q118" s="213"/>
      <c r="R118" s="213"/>
      <c r="S118" s="213"/>
      <c r="T118" s="213"/>
      <c r="U118" s="213"/>
      <c r="V118" s="213"/>
      <c r="W118" s="213"/>
      <c r="X118" s="213"/>
      <c r="Y118" s="213"/>
      <c r="Z118" s="213"/>
      <c r="AA118" s="213"/>
      <c r="AB118" s="213"/>
      <c r="AC118" s="213"/>
      <c r="AD118" s="213"/>
      <c r="AE118" s="213"/>
      <c r="AF118" s="213"/>
      <c r="AG118" s="213"/>
      <c r="AH118" s="213"/>
      <c r="AI118" s="213"/>
    </row>
    <row r="119" ht="15.75" customHeight="1">
      <c r="A119" s="213"/>
      <c r="B119" s="735"/>
      <c r="C119" s="447" t="s">
        <v>273</v>
      </c>
      <c r="D119" s="771">
        <f t="shared" ref="D119:O119" si="18">SUM(D120:D121)</f>
        <v>0</v>
      </c>
      <c r="E119" s="771">
        <f t="shared" si="18"/>
        <v>0</v>
      </c>
      <c r="F119" s="771">
        <f t="shared" si="18"/>
        <v>0</v>
      </c>
      <c r="G119" s="771">
        <f t="shared" si="18"/>
        <v>0</v>
      </c>
      <c r="H119" s="771">
        <f t="shared" si="18"/>
        <v>0</v>
      </c>
      <c r="I119" s="771">
        <f t="shared" si="18"/>
        <v>0</v>
      </c>
      <c r="J119" s="771">
        <f t="shared" si="18"/>
        <v>0</v>
      </c>
      <c r="K119" s="813">
        <f t="shared" si="18"/>
        <v>0</v>
      </c>
      <c r="L119" s="771">
        <f t="shared" si="18"/>
        <v>0</v>
      </c>
      <c r="M119" s="508">
        <f t="shared" si="18"/>
        <v>0</v>
      </c>
      <c r="N119" s="771">
        <f t="shared" si="18"/>
        <v>0</v>
      </c>
      <c r="O119" s="1007">
        <f t="shared" si="18"/>
        <v>0</v>
      </c>
      <c r="P119" s="718">
        <f>SUM(D119:O119)</f>
        <v>0</v>
      </c>
      <c r="Q119" s="216"/>
      <c r="R119" s="216"/>
      <c r="S119" s="216"/>
      <c r="T119" s="216"/>
      <c r="U119" s="216"/>
      <c r="V119" s="216"/>
      <c r="W119" s="216"/>
      <c r="X119" s="216"/>
      <c r="Y119" s="216"/>
      <c r="Z119" s="216"/>
      <c r="AA119" s="216"/>
      <c r="AB119" s="216"/>
      <c r="AC119" s="216"/>
      <c r="AD119" s="216"/>
      <c r="AE119" s="216"/>
      <c r="AF119" s="216"/>
      <c r="AG119" s="216"/>
      <c r="AH119" s="216"/>
      <c r="AI119" s="216"/>
    </row>
    <row r="120" ht="15.75" customHeight="1">
      <c r="A120" s="213"/>
      <c r="B120" s="444"/>
      <c r="C120" s="383" t="s">
        <v>274</v>
      </c>
      <c r="D120" s="708"/>
      <c r="E120" s="708"/>
      <c r="F120" s="708"/>
      <c r="G120" s="708"/>
      <c r="H120" s="708"/>
      <c r="I120" s="708"/>
      <c r="J120" s="708"/>
      <c r="K120" s="787"/>
      <c r="L120" s="708"/>
      <c r="M120" s="384"/>
      <c r="N120" s="708"/>
      <c r="O120" s="1004"/>
      <c r="P120" s="213"/>
      <c r="Q120" s="213"/>
      <c r="R120" s="213"/>
      <c r="S120" s="213"/>
      <c r="T120" s="213"/>
      <c r="U120" s="213"/>
      <c r="V120" s="213"/>
      <c r="W120" s="213"/>
      <c r="X120" s="213"/>
      <c r="Y120" s="213"/>
      <c r="Z120" s="213"/>
      <c r="AA120" s="213"/>
      <c r="AB120" s="213"/>
      <c r="AC120" s="213"/>
      <c r="AD120" s="213"/>
      <c r="AE120" s="213"/>
      <c r="AF120" s="213"/>
      <c r="AG120" s="213"/>
      <c r="AH120" s="213"/>
      <c r="AI120" s="213"/>
    </row>
    <row r="121" ht="15.75" customHeight="1">
      <c r="A121" s="213"/>
      <c r="B121" s="393"/>
      <c r="C121" s="350" t="s">
        <v>471</v>
      </c>
      <c r="D121" s="604"/>
      <c r="E121" s="604"/>
      <c r="F121" s="604"/>
      <c r="G121" s="604"/>
      <c r="H121" s="604"/>
      <c r="I121" s="604"/>
      <c r="J121" s="604"/>
      <c r="K121" s="605"/>
      <c r="L121" s="604"/>
      <c r="M121" s="351"/>
      <c r="N121" s="604"/>
      <c r="O121" s="1006">
        <v>0.0</v>
      </c>
      <c r="P121" s="213"/>
      <c r="Q121" s="213"/>
      <c r="R121" s="213"/>
      <c r="S121" s="213"/>
      <c r="T121" s="213"/>
      <c r="U121" s="213"/>
      <c r="V121" s="213"/>
      <c r="W121" s="213"/>
      <c r="X121" s="213"/>
      <c r="Y121" s="213"/>
      <c r="Z121" s="213"/>
      <c r="AA121" s="213"/>
      <c r="AB121" s="213"/>
      <c r="AC121" s="213"/>
      <c r="AD121" s="213"/>
      <c r="AE121" s="213"/>
      <c r="AF121" s="213"/>
      <c r="AG121" s="213"/>
      <c r="AH121" s="213"/>
      <c r="AI121" s="213"/>
    </row>
    <row r="122" ht="15.75" customHeight="1">
      <c r="A122" s="213"/>
      <c r="B122" s="403"/>
      <c r="C122" s="362"/>
      <c r="D122" s="619"/>
      <c r="E122" s="619"/>
      <c r="F122" s="619"/>
      <c r="G122" s="619"/>
      <c r="H122" s="619"/>
      <c r="I122" s="619"/>
      <c r="J122" s="619"/>
      <c r="K122" s="793"/>
      <c r="L122" s="619"/>
      <c r="M122" s="363"/>
      <c r="N122" s="619"/>
      <c r="O122" s="1005"/>
      <c r="P122" s="213"/>
      <c r="Q122" s="213"/>
      <c r="R122" s="213"/>
      <c r="S122" s="213"/>
      <c r="T122" s="213"/>
      <c r="U122" s="213"/>
      <c r="V122" s="213"/>
      <c r="W122" s="213"/>
      <c r="X122" s="213"/>
      <c r="Y122" s="213"/>
      <c r="Z122" s="213"/>
      <c r="AA122" s="213"/>
      <c r="AB122" s="213"/>
      <c r="AC122" s="213"/>
      <c r="AD122" s="213"/>
      <c r="AE122" s="213"/>
      <c r="AF122" s="213"/>
      <c r="AG122" s="213"/>
      <c r="AH122" s="213"/>
      <c r="AI122" s="213"/>
    </row>
    <row r="123" ht="15.75" customHeight="1">
      <c r="A123" s="213"/>
      <c r="B123" s="735"/>
      <c r="C123" s="447" t="s">
        <v>41</v>
      </c>
      <c r="D123" s="771">
        <f t="shared" ref="D123:O123" si="19">SUM(D124:D134)</f>
        <v>16200</v>
      </c>
      <c r="E123" s="771">
        <f t="shared" si="19"/>
        <v>16200</v>
      </c>
      <c r="F123" s="771">
        <f t="shared" si="19"/>
        <v>16200</v>
      </c>
      <c r="G123" s="771">
        <f t="shared" si="19"/>
        <v>10800</v>
      </c>
      <c r="H123" s="771">
        <f t="shared" si="19"/>
        <v>10800</v>
      </c>
      <c r="I123" s="771">
        <f t="shared" si="19"/>
        <v>10800</v>
      </c>
      <c r="J123" s="771">
        <f t="shared" si="19"/>
        <v>8100</v>
      </c>
      <c r="K123" s="813">
        <f t="shared" si="19"/>
        <v>8100</v>
      </c>
      <c r="L123" s="771">
        <f t="shared" si="19"/>
        <v>8100</v>
      </c>
      <c r="M123" s="508">
        <f t="shared" si="19"/>
        <v>8100</v>
      </c>
      <c r="N123" s="771">
        <f t="shared" si="19"/>
        <v>8100</v>
      </c>
      <c r="O123" s="1007">
        <f t="shared" si="19"/>
        <v>8100</v>
      </c>
      <c r="P123" s="718">
        <f>SUM(D123:O123)</f>
        <v>129600</v>
      </c>
      <c r="Q123" s="216"/>
      <c r="R123" s="216"/>
      <c r="S123" s="216"/>
      <c r="T123" s="216"/>
      <c r="U123" s="216"/>
      <c r="V123" s="216"/>
      <c r="W123" s="216"/>
      <c r="X123" s="216"/>
      <c r="Y123" s="216"/>
      <c r="Z123" s="216"/>
      <c r="AA123" s="216"/>
      <c r="AB123" s="216"/>
      <c r="AC123" s="216"/>
      <c r="AD123" s="216"/>
      <c r="AE123" s="216"/>
      <c r="AF123" s="216"/>
      <c r="AG123" s="216"/>
      <c r="AH123" s="216"/>
      <c r="AI123" s="216"/>
    </row>
    <row r="124" ht="15.75" customHeight="1">
      <c r="A124" s="213"/>
      <c r="B124" s="444"/>
      <c r="C124" s="383" t="s">
        <v>277</v>
      </c>
      <c r="D124" s="708"/>
      <c r="E124" s="708"/>
      <c r="F124" s="708"/>
      <c r="G124" s="708"/>
      <c r="H124" s="708"/>
      <c r="I124" s="708"/>
      <c r="J124" s="708"/>
      <c r="K124" s="787"/>
      <c r="L124" s="708"/>
      <c r="M124" s="384"/>
      <c r="N124" s="708"/>
      <c r="O124" s="1004"/>
      <c r="P124" s="213"/>
      <c r="Q124" s="213"/>
      <c r="R124" s="213"/>
      <c r="S124" s="213"/>
      <c r="T124" s="213"/>
      <c r="U124" s="213"/>
      <c r="V124" s="213"/>
      <c r="W124" s="213"/>
      <c r="X124" s="213"/>
      <c r="Y124" s="213"/>
      <c r="Z124" s="213"/>
      <c r="AA124" s="213"/>
      <c r="AB124" s="213"/>
      <c r="AC124" s="213"/>
      <c r="AD124" s="213"/>
      <c r="AE124" s="213"/>
      <c r="AF124" s="213"/>
      <c r="AG124" s="213"/>
      <c r="AH124" s="213"/>
      <c r="AI124" s="213"/>
    </row>
    <row r="125" ht="15.75" customHeight="1">
      <c r="A125" s="213"/>
      <c r="B125" s="393"/>
      <c r="C125" s="350" t="s">
        <v>472</v>
      </c>
      <c r="D125" s="604">
        <v>16200.0</v>
      </c>
      <c r="E125" s="604">
        <v>16200.0</v>
      </c>
      <c r="F125" s="604">
        <v>16200.0</v>
      </c>
      <c r="G125" s="604">
        <v>10800.0</v>
      </c>
      <c r="H125" s="604">
        <v>10800.0</v>
      </c>
      <c r="I125" s="604">
        <v>10800.0</v>
      </c>
      <c r="J125" s="604">
        <f t="shared" ref="J125:O125" si="20">32400/4</f>
        <v>8100</v>
      </c>
      <c r="K125" s="605">
        <f t="shared" si="20"/>
        <v>8100</v>
      </c>
      <c r="L125" s="604">
        <f t="shared" si="20"/>
        <v>8100</v>
      </c>
      <c r="M125" s="604">
        <f t="shared" si="20"/>
        <v>8100</v>
      </c>
      <c r="N125" s="604">
        <f t="shared" si="20"/>
        <v>8100</v>
      </c>
      <c r="O125" s="604">
        <f t="shared" si="20"/>
        <v>8100</v>
      </c>
      <c r="P125" s="213"/>
      <c r="Q125" s="213"/>
      <c r="R125" s="213"/>
      <c r="S125" s="213"/>
      <c r="T125" s="213"/>
      <c r="U125" s="213"/>
      <c r="V125" s="213"/>
      <c r="W125" s="213"/>
      <c r="X125" s="213"/>
      <c r="Y125" s="213"/>
      <c r="Z125" s="213"/>
      <c r="AA125" s="213"/>
      <c r="AB125" s="213"/>
      <c r="AC125" s="213"/>
      <c r="AD125" s="213"/>
      <c r="AE125" s="213"/>
      <c r="AF125" s="213"/>
      <c r="AG125" s="213"/>
      <c r="AH125" s="213"/>
      <c r="AI125" s="213"/>
    </row>
    <row r="126" ht="15.75" customHeight="1">
      <c r="A126" s="213"/>
      <c r="B126" s="393"/>
      <c r="C126" s="350" t="s">
        <v>280</v>
      </c>
      <c r="D126" s="604"/>
      <c r="E126" s="604"/>
      <c r="F126" s="604"/>
      <c r="G126" s="604"/>
      <c r="H126" s="604"/>
      <c r="I126" s="604"/>
      <c r="J126" s="604"/>
      <c r="K126" s="605"/>
      <c r="L126" s="604"/>
      <c r="M126" s="351"/>
      <c r="N126" s="604"/>
      <c r="O126" s="664"/>
      <c r="P126" s="213"/>
      <c r="Q126" s="213"/>
      <c r="R126" s="213"/>
      <c r="S126" s="213"/>
      <c r="T126" s="213"/>
      <c r="U126" s="213"/>
      <c r="V126" s="213"/>
      <c r="W126" s="213"/>
      <c r="X126" s="213"/>
      <c r="Y126" s="213"/>
      <c r="Z126" s="213"/>
      <c r="AA126" s="213"/>
      <c r="AB126" s="213"/>
      <c r="AC126" s="213"/>
      <c r="AD126" s="213"/>
      <c r="AE126" s="213"/>
      <c r="AF126" s="213"/>
      <c r="AG126" s="213"/>
      <c r="AH126" s="213"/>
      <c r="AI126" s="213"/>
    </row>
    <row r="127" ht="15.75" customHeight="1">
      <c r="A127" s="213"/>
      <c r="B127" s="393"/>
      <c r="C127" s="350" t="s">
        <v>334</v>
      </c>
      <c r="D127" s="604"/>
      <c r="E127" s="604"/>
      <c r="F127" s="604"/>
      <c r="G127" s="604"/>
      <c r="H127" s="604"/>
      <c r="I127" s="604"/>
      <c r="J127" s="604"/>
      <c r="K127" s="605"/>
      <c r="L127" s="604"/>
      <c r="M127" s="351"/>
      <c r="N127" s="604"/>
      <c r="O127" s="664"/>
      <c r="P127" s="213"/>
      <c r="Q127" s="213"/>
      <c r="R127" s="213"/>
      <c r="S127" s="213"/>
      <c r="T127" s="213"/>
      <c r="U127" s="213"/>
      <c r="V127" s="213"/>
      <c r="W127" s="213"/>
      <c r="X127" s="213"/>
      <c r="Y127" s="213"/>
      <c r="Z127" s="213"/>
      <c r="AA127" s="213"/>
      <c r="AB127" s="213"/>
      <c r="AC127" s="213"/>
      <c r="AD127" s="213"/>
      <c r="AE127" s="213"/>
      <c r="AF127" s="213"/>
      <c r="AG127" s="213"/>
      <c r="AH127" s="213"/>
      <c r="AI127" s="213"/>
    </row>
    <row r="128" ht="15.75" customHeight="1">
      <c r="A128" s="213"/>
      <c r="B128" s="393"/>
      <c r="C128" s="350" t="s">
        <v>335</v>
      </c>
      <c r="D128" s="604"/>
      <c r="E128" s="604"/>
      <c r="F128" s="604"/>
      <c r="G128" s="604"/>
      <c r="H128" s="604"/>
      <c r="I128" s="604"/>
      <c r="J128" s="604"/>
      <c r="K128" s="605"/>
      <c r="L128" s="604"/>
      <c r="M128" s="351"/>
      <c r="N128" s="604"/>
      <c r="O128" s="664"/>
      <c r="P128" s="213"/>
      <c r="Q128" s="213"/>
      <c r="R128" s="213"/>
      <c r="S128" s="213"/>
      <c r="T128" s="213"/>
      <c r="U128" s="213"/>
      <c r="V128" s="213"/>
      <c r="W128" s="213"/>
      <c r="X128" s="213"/>
      <c r="Y128" s="213"/>
      <c r="Z128" s="213"/>
      <c r="AA128" s="213"/>
      <c r="AB128" s="213"/>
      <c r="AC128" s="213"/>
      <c r="AD128" s="213"/>
      <c r="AE128" s="213"/>
      <c r="AF128" s="213"/>
      <c r="AG128" s="213"/>
      <c r="AH128" s="213"/>
      <c r="AI128" s="213"/>
    </row>
    <row r="129" ht="15.75" customHeight="1">
      <c r="A129" s="213"/>
      <c r="B129" s="393"/>
      <c r="C129" s="350" t="s">
        <v>282</v>
      </c>
      <c r="D129" s="604"/>
      <c r="E129" s="604"/>
      <c r="F129" s="604"/>
      <c r="G129" s="604"/>
      <c r="H129" s="604"/>
      <c r="I129" s="604"/>
      <c r="J129" s="604"/>
      <c r="K129" s="605"/>
      <c r="L129" s="604"/>
      <c r="M129" s="351"/>
      <c r="N129" s="604"/>
      <c r="O129" s="664"/>
      <c r="P129" s="213"/>
      <c r="Q129" s="213"/>
      <c r="R129" s="213"/>
      <c r="S129" s="213"/>
      <c r="T129" s="213"/>
      <c r="U129" s="213"/>
      <c r="V129" s="213"/>
      <c r="W129" s="213"/>
      <c r="X129" s="213"/>
      <c r="Y129" s="213"/>
      <c r="Z129" s="213"/>
      <c r="AA129" s="213"/>
      <c r="AB129" s="213"/>
      <c r="AC129" s="213"/>
      <c r="AD129" s="213"/>
      <c r="AE129" s="213"/>
      <c r="AF129" s="213"/>
      <c r="AG129" s="213"/>
      <c r="AH129" s="213"/>
      <c r="AI129" s="213"/>
    </row>
    <row r="130" ht="15.75" customHeight="1">
      <c r="A130" s="213"/>
      <c r="B130" s="393"/>
      <c r="C130" s="350" t="s">
        <v>285</v>
      </c>
      <c r="D130" s="604"/>
      <c r="E130" s="604"/>
      <c r="F130" s="604"/>
      <c r="G130" s="604"/>
      <c r="H130" s="604"/>
      <c r="I130" s="604"/>
      <c r="J130" s="604"/>
      <c r="K130" s="605"/>
      <c r="L130" s="604"/>
      <c r="M130" s="351"/>
      <c r="N130" s="604"/>
      <c r="O130" s="664"/>
      <c r="P130" s="213"/>
      <c r="Q130" s="213"/>
      <c r="R130" s="213"/>
      <c r="S130" s="213"/>
      <c r="T130" s="213"/>
      <c r="U130" s="213"/>
      <c r="V130" s="213"/>
      <c r="W130" s="213"/>
      <c r="X130" s="213"/>
      <c r="Y130" s="213"/>
      <c r="Z130" s="213"/>
      <c r="AA130" s="213"/>
      <c r="AB130" s="213"/>
      <c r="AC130" s="213"/>
      <c r="AD130" s="213"/>
      <c r="AE130" s="213"/>
      <c r="AF130" s="213"/>
      <c r="AG130" s="213"/>
      <c r="AH130" s="213"/>
      <c r="AI130" s="213"/>
    </row>
    <row r="131" ht="15.75" customHeight="1">
      <c r="A131" s="213"/>
      <c r="B131" s="393"/>
      <c r="C131" s="350" t="s">
        <v>286</v>
      </c>
      <c r="D131" s="604"/>
      <c r="E131" s="604"/>
      <c r="F131" s="604"/>
      <c r="G131" s="604"/>
      <c r="H131" s="604"/>
      <c r="I131" s="604"/>
      <c r="J131" s="604"/>
      <c r="K131" s="605"/>
      <c r="L131" s="604"/>
      <c r="M131" s="351"/>
      <c r="N131" s="604"/>
      <c r="O131" s="664"/>
      <c r="P131" s="213"/>
      <c r="Q131" s="213"/>
      <c r="R131" s="213"/>
      <c r="S131" s="213"/>
      <c r="T131" s="213"/>
      <c r="U131" s="213"/>
      <c r="V131" s="213"/>
      <c r="W131" s="213"/>
      <c r="X131" s="213"/>
      <c r="Y131" s="213"/>
      <c r="Z131" s="213"/>
      <c r="AA131" s="213"/>
      <c r="AB131" s="213"/>
      <c r="AC131" s="213"/>
      <c r="AD131" s="213"/>
      <c r="AE131" s="213"/>
      <c r="AF131" s="213"/>
      <c r="AG131" s="213"/>
      <c r="AH131" s="213"/>
      <c r="AI131" s="213"/>
    </row>
    <row r="132" ht="15.75" customHeight="1">
      <c r="A132" s="213"/>
      <c r="B132" s="393"/>
      <c r="C132" s="350" t="s">
        <v>279</v>
      </c>
      <c r="D132" s="604"/>
      <c r="E132" s="604"/>
      <c r="F132" s="604"/>
      <c r="G132" s="604"/>
      <c r="H132" s="604"/>
      <c r="I132" s="604"/>
      <c r="J132" s="604"/>
      <c r="K132" s="605"/>
      <c r="L132" s="604"/>
      <c r="M132" s="351"/>
      <c r="N132" s="604"/>
      <c r="O132" s="664"/>
      <c r="P132" s="213"/>
      <c r="Q132" s="213"/>
      <c r="R132" s="213"/>
      <c r="S132" s="213"/>
      <c r="T132" s="213"/>
      <c r="U132" s="213"/>
      <c r="V132" s="213"/>
      <c r="W132" s="213"/>
      <c r="X132" s="213"/>
      <c r="Y132" s="213"/>
      <c r="Z132" s="213"/>
      <c r="AA132" s="213"/>
      <c r="AB132" s="213"/>
      <c r="AC132" s="213"/>
      <c r="AD132" s="213"/>
      <c r="AE132" s="213"/>
      <c r="AF132" s="213"/>
      <c r="AG132" s="213"/>
      <c r="AH132" s="213"/>
      <c r="AI132" s="213"/>
    </row>
    <row r="133" ht="15.75" customHeight="1">
      <c r="A133" s="213"/>
      <c r="B133" s="393"/>
      <c r="C133" s="350" t="s">
        <v>287</v>
      </c>
      <c r="D133" s="604"/>
      <c r="E133" s="604"/>
      <c r="F133" s="604"/>
      <c r="G133" s="604"/>
      <c r="H133" s="604"/>
      <c r="I133" s="604"/>
      <c r="J133" s="604"/>
      <c r="K133" s="605"/>
      <c r="L133" s="604"/>
      <c r="M133" s="351"/>
      <c r="N133" s="604"/>
      <c r="O133" s="664"/>
      <c r="P133" s="213"/>
      <c r="Q133" s="213"/>
      <c r="R133" s="213"/>
      <c r="S133" s="213"/>
      <c r="T133" s="213"/>
      <c r="U133" s="213"/>
      <c r="V133" s="213"/>
      <c r="W133" s="213"/>
      <c r="X133" s="213"/>
      <c r="Y133" s="213"/>
      <c r="Z133" s="213"/>
      <c r="AA133" s="213"/>
      <c r="AB133" s="213"/>
      <c r="AC133" s="213"/>
      <c r="AD133" s="213"/>
      <c r="AE133" s="213"/>
      <c r="AF133" s="213"/>
      <c r="AG133" s="213"/>
      <c r="AH133" s="213"/>
      <c r="AI133" s="213"/>
    </row>
    <row r="134" ht="15.75" customHeight="1">
      <c r="A134" s="213"/>
      <c r="B134" s="393"/>
      <c r="C134" s="350" t="s">
        <v>401</v>
      </c>
      <c r="D134" s="604"/>
      <c r="E134" s="604"/>
      <c r="F134" s="604"/>
      <c r="G134" s="604"/>
      <c r="H134" s="604"/>
      <c r="I134" s="604"/>
      <c r="J134" s="604"/>
      <c r="K134" s="605"/>
      <c r="L134" s="604"/>
      <c r="M134" s="351"/>
      <c r="N134" s="604"/>
      <c r="O134" s="664"/>
      <c r="P134" s="213"/>
      <c r="Q134" s="213"/>
      <c r="R134" s="213"/>
      <c r="S134" s="213"/>
      <c r="T134" s="213"/>
      <c r="U134" s="213"/>
      <c r="V134" s="213"/>
      <c r="W134" s="213"/>
      <c r="X134" s="213"/>
      <c r="Y134" s="213"/>
      <c r="Z134" s="213"/>
      <c r="AA134" s="213"/>
      <c r="AB134" s="213"/>
      <c r="AC134" s="213"/>
      <c r="AD134" s="213"/>
      <c r="AE134" s="213"/>
      <c r="AF134" s="213"/>
      <c r="AG134" s="213"/>
      <c r="AH134" s="213"/>
      <c r="AI134" s="213"/>
    </row>
    <row r="135" ht="15.75" customHeight="1">
      <c r="A135" s="213"/>
      <c r="B135" s="393"/>
      <c r="C135" s="350" t="s">
        <v>288</v>
      </c>
      <c r="D135" s="604"/>
      <c r="E135" s="604"/>
      <c r="F135" s="604"/>
      <c r="G135" s="604"/>
      <c r="H135" s="604"/>
      <c r="I135" s="604"/>
      <c r="J135" s="604"/>
      <c r="K135" s="605"/>
      <c r="L135" s="604"/>
      <c r="M135" s="351"/>
      <c r="N135" s="604"/>
      <c r="O135" s="664"/>
      <c r="P135" s="213"/>
      <c r="Q135" s="213"/>
      <c r="R135" s="213"/>
      <c r="S135" s="213"/>
      <c r="T135" s="213"/>
      <c r="U135" s="213"/>
      <c r="V135" s="213"/>
      <c r="W135" s="213"/>
      <c r="X135" s="213"/>
      <c r="Y135" s="213"/>
      <c r="Z135" s="213"/>
      <c r="AA135" s="213"/>
      <c r="AB135" s="213"/>
      <c r="AC135" s="213"/>
      <c r="AD135" s="213"/>
      <c r="AE135" s="213"/>
      <c r="AF135" s="213"/>
      <c r="AG135" s="213"/>
      <c r="AH135" s="213"/>
      <c r="AI135" s="213"/>
    </row>
    <row r="136" ht="15.75" customHeight="1">
      <c r="A136" s="213"/>
      <c r="B136" s="393"/>
      <c r="C136" s="350"/>
      <c r="D136" s="604"/>
      <c r="E136" s="604"/>
      <c r="F136" s="604"/>
      <c r="G136" s="604"/>
      <c r="H136" s="604"/>
      <c r="I136" s="604"/>
      <c r="J136" s="604"/>
      <c r="K136" s="605"/>
      <c r="L136" s="604"/>
      <c r="M136" s="351"/>
      <c r="N136" s="604"/>
      <c r="O136" s="664"/>
      <c r="P136" s="213"/>
      <c r="Q136" s="213"/>
      <c r="R136" s="213"/>
      <c r="S136" s="213"/>
      <c r="T136" s="213"/>
      <c r="U136" s="213"/>
      <c r="V136" s="213"/>
      <c r="W136" s="213"/>
      <c r="X136" s="213"/>
      <c r="Y136" s="213"/>
      <c r="Z136" s="213"/>
      <c r="AA136" s="213"/>
      <c r="AB136" s="213"/>
      <c r="AC136" s="213"/>
      <c r="AD136" s="213"/>
      <c r="AE136" s="213"/>
      <c r="AF136" s="213"/>
      <c r="AG136" s="213"/>
      <c r="AH136" s="213"/>
      <c r="AI136" s="213"/>
    </row>
    <row r="137" ht="15.75" customHeight="1">
      <c r="A137" s="213"/>
      <c r="B137" s="403"/>
      <c r="C137" s="686"/>
      <c r="D137" s="619"/>
      <c r="E137" s="619"/>
      <c r="F137" s="619"/>
      <c r="G137" s="619"/>
      <c r="H137" s="619"/>
      <c r="I137" s="619"/>
      <c r="J137" s="619"/>
      <c r="K137" s="793"/>
      <c r="L137" s="619"/>
      <c r="M137" s="363"/>
      <c r="N137" s="619"/>
      <c r="O137" s="1005"/>
      <c r="P137" s="213"/>
      <c r="Q137" s="213"/>
      <c r="R137" s="213"/>
      <c r="S137" s="213"/>
      <c r="T137" s="213"/>
      <c r="U137" s="213"/>
      <c r="V137" s="213"/>
      <c r="W137" s="213"/>
      <c r="X137" s="213"/>
      <c r="Y137" s="213"/>
      <c r="Z137" s="213"/>
      <c r="AA137" s="213"/>
      <c r="AB137" s="213"/>
      <c r="AC137" s="213"/>
      <c r="AD137" s="213"/>
      <c r="AE137" s="213"/>
      <c r="AF137" s="213"/>
      <c r="AG137" s="213"/>
      <c r="AH137" s="213"/>
      <c r="AI137" s="213"/>
    </row>
    <row r="138" ht="15.75" customHeight="1">
      <c r="A138" s="213"/>
      <c r="B138" s="735"/>
      <c r="C138" s="447" t="s">
        <v>42</v>
      </c>
      <c r="D138" s="771">
        <f>SUM(D139:D140)</f>
        <v>0</v>
      </c>
      <c r="E138" s="771">
        <f t="shared" ref="E138:O138" si="21">SUM(E139)</f>
        <v>0</v>
      </c>
      <c r="F138" s="771">
        <f t="shared" si="21"/>
        <v>0</v>
      </c>
      <c r="G138" s="771">
        <f t="shared" si="21"/>
        <v>0</v>
      </c>
      <c r="H138" s="771">
        <f t="shared" si="21"/>
        <v>0</v>
      </c>
      <c r="I138" s="771">
        <f t="shared" si="21"/>
        <v>0</v>
      </c>
      <c r="J138" s="771">
        <f t="shared" si="21"/>
        <v>0</v>
      </c>
      <c r="K138" s="813">
        <f t="shared" si="21"/>
        <v>0</v>
      </c>
      <c r="L138" s="771">
        <f t="shared" si="21"/>
        <v>0</v>
      </c>
      <c r="M138" s="508">
        <f t="shared" si="21"/>
        <v>0</v>
      </c>
      <c r="N138" s="771">
        <f t="shared" si="21"/>
        <v>0</v>
      </c>
      <c r="O138" s="1007">
        <f t="shared" si="21"/>
        <v>0</v>
      </c>
      <c r="P138" s="718">
        <f>SUM(D138:O138)</f>
        <v>0</v>
      </c>
      <c r="Q138" s="216"/>
      <c r="R138" s="216"/>
      <c r="S138" s="216"/>
      <c r="T138" s="216"/>
      <c r="U138" s="216"/>
      <c r="V138" s="216"/>
      <c r="W138" s="216"/>
      <c r="X138" s="216"/>
      <c r="Y138" s="216"/>
      <c r="Z138" s="216"/>
      <c r="AA138" s="216"/>
      <c r="AB138" s="216"/>
      <c r="AC138" s="216"/>
      <c r="AD138" s="216"/>
      <c r="AE138" s="216"/>
      <c r="AF138" s="216"/>
      <c r="AG138" s="216"/>
      <c r="AH138" s="216"/>
      <c r="AI138" s="216"/>
    </row>
    <row r="139" ht="15.75" customHeight="1">
      <c r="A139" s="213"/>
      <c r="B139" s="444"/>
      <c r="C139" s="383" t="s">
        <v>340</v>
      </c>
      <c r="D139" s="708"/>
      <c r="E139" s="708"/>
      <c r="F139" s="708"/>
      <c r="G139" s="708"/>
      <c r="H139" s="708"/>
      <c r="I139" s="708"/>
      <c r="J139" s="708"/>
      <c r="K139" s="787"/>
      <c r="L139" s="708"/>
      <c r="M139" s="384"/>
      <c r="N139" s="708"/>
      <c r="O139" s="1004"/>
      <c r="P139" s="213"/>
      <c r="Q139" s="213"/>
      <c r="R139" s="213"/>
      <c r="S139" s="213"/>
      <c r="T139" s="213"/>
      <c r="U139" s="213"/>
      <c r="V139" s="213"/>
      <c r="W139" s="213"/>
      <c r="X139" s="213"/>
      <c r="Y139" s="213"/>
      <c r="Z139" s="213"/>
      <c r="AA139" s="213"/>
      <c r="AB139" s="213"/>
      <c r="AC139" s="213"/>
      <c r="AD139" s="213"/>
      <c r="AE139" s="213"/>
      <c r="AF139" s="213"/>
      <c r="AG139" s="213"/>
      <c r="AH139" s="213"/>
      <c r="AI139" s="213"/>
    </row>
    <row r="140" ht="15.75" customHeight="1">
      <c r="A140" s="213"/>
      <c r="B140" s="393"/>
      <c r="C140" s="350" t="s">
        <v>291</v>
      </c>
      <c r="D140" s="604"/>
      <c r="E140" s="604"/>
      <c r="F140" s="604"/>
      <c r="G140" s="604"/>
      <c r="H140" s="604"/>
      <c r="I140" s="604"/>
      <c r="J140" s="604"/>
      <c r="K140" s="605"/>
      <c r="L140" s="604"/>
      <c r="M140" s="351"/>
      <c r="N140" s="604"/>
      <c r="O140" s="664"/>
      <c r="P140" s="213"/>
      <c r="Q140" s="213"/>
      <c r="R140" s="213"/>
      <c r="S140" s="213"/>
      <c r="T140" s="213"/>
      <c r="U140" s="213"/>
      <c r="V140" s="213"/>
      <c r="W140" s="213"/>
      <c r="X140" s="213"/>
      <c r="Y140" s="213"/>
      <c r="Z140" s="213"/>
      <c r="AA140" s="213"/>
      <c r="AB140" s="213"/>
      <c r="AC140" s="213"/>
      <c r="AD140" s="213"/>
      <c r="AE140" s="213"/>
      <c r="AF140" s="213"/>
      <c r="AG140" s="213"/>
      <c r="AH140" s="213"/>
      <c r="AI140" s="213"/>
    </row>
    <row r="141" ht="15.75" customHeight="1">
      <c r="A141" s="213"/>
      <c r="B141" s="403"/>
      <c r="C141" s="362"/>
      <c r="D141" s="619"/>
      <c r="E141" s="619"/>
      <c r="F141" s="619"/>
      <c r="G141" s="619"/>
      <c r="H141" s="619"/>
      <c r="I141" s="619"/>
      <c r="J141" s="619"/>
      <c r="K141" s="793"/>
      <c r="L141" s="619"/>
      <c r="M141" s="363"/>
      <c r="N141" s="619"/>
      <c r="O141" s="1005"/>
      <c r="P141" s="213"/>
      <c r="Q141" s="213"/>
      <c r="R141" s="213"/>
      <c r="S141" s="213"/>
      <c r="T141" s="213"/>
      <c r="U141" s="213"/>
      <c r="V141" s="213"/>
      <c r="W141" s="213"/>
      <c r="X141" s="213"/>
      <c r="Y141" s="213"/>
      <c r="Z141" s="213"/>
      <c r="AA141" s="213"/>
      <c r="AB141" s="213"/>
      <c r="AC141" s="213"/>
      <c r="AD141" s="213"/>
      <c r="AE141" s="213"/>
      <c r="AF141" s="213"/>
      <c r="AG141" s="213"/>
      <c r="AH141" s="213"/>
      <c r="AI141" s="213"/>
    </row>
    <row r="142" ht="15.75" customHeight="1">
      <c r="A142" s="213"/>
      <c r="B142" s="735"/>
      <c r="C142" s="447" t="s">
        <v>43</v>
      </c>
      <c r="D142" s="771">
        <f t="shared" ref="D142:O142" si="22">SUM(D143:D144)</f>
        <v>0</v>
      </c>
      <c r="E142" s="771">
        <f t="shared" si="22"/>
        <v>0</v>
      </c>
      <c r="F142" s="771">
        <f t="shared" si="22"/>
        <v>0</v>
      </c>
      <c r="G142" s="771">
        <f t="shared" si="22"/>
        <v>0</v>
      </c>
      <c r="H142" s="771">
        <f t="shared" si="22"/>
        <v>0</v>
      </c>
      <c r="I142" s="771">
        <f t="shared" si="22"/>
        <v>0</v>
      </c>
      <c r="J142" s="771">
        <f t="shared" si="22"/>
        <v>0</v>
      </c>
      <c r="K142" s="813">
        <f t="shared" si="22"/>
        <v>0</v>
      </c>
      <c r="L142" s="771">
        <f t="shared" si="22"/>
        <v>0</v>
      </c>
      <c r="M142" s="508">
        <f t="shared" si="22"/>
        <v>0</v>
      </c>
      <c r="N142" s="771">
        <f t="shared" si="22"/>
        <v>0</v>
      </c>
      <c r="O142" s="1007">
        <f t="shared" si="22"/>
        <v>0</v>
      </c>
      <c r="P142" s="718">
        <f>SUM(D142:O142)</f>
        <v>0</v>
      </c>
      <c r="Q142" s="216"/>
      <c r="R142" s="216"/>
      <c r="S142" s="216"/>
      <c r="T142" s="216"/>
      <c r="U142" s="216"/>
      <c r="V142" s="216"/>
      <c r="W142" s="216"/>
      <c r="X142" s="216"/>
      <c r="Y142" s="216"/>
      <c r="Z142" s="216"/>
      <c r="AA142" s="216"/>
      <c r="AB142" s="216"/>
      <c r="AC142" s="216"/>
      <c r="AD142" s="216"/>
      <c r="AE142" s="216"/>
      <c r="AF142" s="216"/>
      <c r="AG142" s="216"/>
      <c r="AH142" s="216"/>
      <c r="AI142" s="216"/>
    </row>
    <row r="143" ht="15.75" customHeight="1">
      <c r="A143" s="213"/>
      <c r="B143" s="444"/>
      <c r="C143" s="383" t="s">
        <v>435</v>
      </c>
      <c r="D143" s="708"/>
      <c r="E143" s="708"/>
      <c r="F143" s="708"/>
      <c r="G143" s="708"/>
      <c r="H143" s="708"/>
      <c r="I143" s="708"/>
      <c r="J143" s="708"/>
      <c r="K143" s="787"/>
      <c r="L143" s="708"/>
      <c r="M143" s="384"/>
      <c r="N143" s="708"/>
      <c r="O143" s="1004"/>
      <c r="P143" s="213"/>
      <c r="Q143" s="213"/>
      <c r="R143" s="213"/>
      <c r="S143" s="213"/>
      <c r="T143" s="213"/>
      <c r="U143" s="213"/>
      <c r="V143" s="213"/>
      <c r="W143" s="213"/>
      <c r="X143" s="213"/>
      <c r="Y143" s="213"/>
      <c r="Z143" s="213"/>
      <c r="AA143" s="213"/>
      <c r="AB143" s="213"/>
      <c r="AC143" s="213"/>
      <c r="AD143" s="213"/>
      <c r="AE143" s="213"/>
      <c r="AF143" s="213"/>
      <c r="AG143" s="213"/>
      <c r="AH143" s="213"/>
      <c r="AI143" s="213"/>
    </row>
    <row r="144" ht="15.75" customHeight="1">
      <c r="A144" s="213"/>
      <c r="B144" s="393"/>
      <c r="C144" s="350" t="s">
        <v>344</v>
      </c>
      <c r="D144" s="604"/>
      <c r="E144" s="604"/>
      <c r="F144" s="604"/>
      <c r="G144" s="604"/>
      <c r="H144" s="604"/>
      <c r="I144" s="604"/>
      <c r="J144" s="604"/>
      <c r="K144" s="605"/>
      <c r="L144" s="604"/>
      <c r="M144" s="351"/>
      <c r="N144" s="604"/>
      <c r="O144" s="664"/>
      <c r="P144" s="213"/>
      <c r="Q144" s="213"/>
      <c r="R144" s="213"/>
      <c r="S144" s="213"/>
      <c r="T144" s="213"/>
      <c r="U144" s="213"/>
      <c r="V144" s="213"/>
      <c r="W144" s="213"/>
      <c r="X144" s="213"/>
      <c r="Y144" s="213"/>
      <c r="Z144" s="213"/>
      <c r="AA144" s="213"/>
      <c r="AB144" s="213"/>
      <c r="AC144" s="213"/>
      <c r="AD144" s="213"/>
      <c r="AE144" s="213"/>
      <c r="AF144" s="213"/>
      <c r="AG144" s="213"/>
      <c r="AH144" s="213"/>
      <c r="AI144" s="213"/>
    </row>
    <row r="145" ht="15.75" customHeight="1">
      <c r="A145" s="213"/>
      <c r="B145" s="393"/>
      <c r="C145" s="350"/>
      <c r="D145" s="604"/>
      <c r="E145" s="604"/>
      <c r="F145" s="604"/>
      <c r="G145" s="604"/>
      <c r="H145" s="604"/>
      <c r="I145" s="604"/>
      <c r="J145" s="604"/>
      <c r="K145" s="605"/>
      <c r="L145" s="604"/>
      <c r="M145" s="351"/>
      <c r="N145" s="604"/>
      <c r="O145" s="664"/>
      <c r="P145" s="213"/>
      <c r="Q145" s="213"/>
      <c r="R145" s="213"/>
      <c r="S145" s="213"/>
      <c r="T145" s="213"/>
      <c r="U145" s="213"/>
      <c r="V145" s="213"/>
      <c r="W145" s="213"/>
      <c r="X145" s="213"/>
      <c r="Y145" s="213"/>
      <c r="Z145" s="213"/>
      <c r="AA145" s="213"/>
      <c r="AB145" s="213"/>
      <c r="AC145" s="213"/>
      <c r="AD145" s="213"/>
      <c r="AE145" s="213"/>
      <c r="AF145" s="213"/>
      <c r="AG145" s="213"/>
      <c r="AH145" s="213"/>
      <c r="AI145" s="213"/>
    </row>
    <row r="146" ht="15.75" customHeight="1">
      <c r="A146" s="213"/>
      <c r="B146" s="403"/>
      <c r="C146" s="362"/>
      <c r="D146" s="619"/>
      <c r="E146" s="619"/>
      <c r="F146" s="619"/>
      <c r="G146" s="619"/>
      <c r="H146" s="619"/>
      <c r="I146" s="619"/>
      <c r="J146" s="619"/>
      <c r="K146" s="793"/>
      <c r="L146" s="619"/>
      <c r="M146" s="363"/>
      <c r="N146" s="619"/>
      <c r="O146" s="1005"/>
      <c r="P146" s="213"/>
      <c r="Q146" s="213"/>
      <c r="R146" s="213"/>
      <c r="S146" s="213"/>
      <c r="T146" s="213"/>
      <c r="U146" s="213"/>
      <c r="V146" s="213"/>
      <c r="W146" s="213"/>
      <c r="X146" s="213"/>
      <c r="Y146" s="213"/>
      <c r="Z146" s="213"/>
      <c r="AA146" s="213"/>
      <c r="AB146" s="213"/>
      <c r="AC146" s="213"/>
      <c r="AD146" s="213"/>
      <c r="AE146" s="213"/>
      <c r="AF146" s="213"/>
      <c r="AG146" s="213"/>
      <c r="AH146" s="213"/>
      <c r="AI146" s="213"/>
    </row>
    <row r="147" ht="15.75" customHeight="1">
      <c r="A147" s="213"/>
      <c r="B147" s="407"/>
      <c r="C147" s="372" t="s">
        <v>293</v>
      </c>
      <c r="D147" s="600">
        <f t="shared" ref="D147:O147" si="23">D142+D138+D123+D119+D116+D106+D100+D93+D85</f>
        <v>71052.0506</v>
      </c>
      <c r="E147" s="600">
        <f t="shared" si="23"/>
        <v>168026.6613</v>
      </c>
      <c r="F147" s="600">
        <f t="shared" si="23"/>
        <v>143683.2314</v>
      </c>
      <c r="G147" s="600">
        <f t="shared" si="23"/>
        <v>159305.45</v>
      </c>
      <c r="H147" s="600">
        <f t="shared" si="23"/>
        <v>148965.3971</v>
      </c>
      <c r="I147" s="600">
        <f t="shared" si="23"/>
        <v>184612.2557</v>
      </c>
      <c r="J147" s="600">
        <f t="shared" si="23"/>
        <v>171694.21</v>
      </c>
      <c r="K147" s="601">
        <f t="shared" si="23"/>
        <v>176853.5029</v>
      </c>
      <c r="L147" s="600">
        <f t="shared" si="23"/>
        <v>202624.59</v>
      </c>
      <c r="M147" s="373">
        <f t="shared" si="23"/>
        <v>186335.8886</v>
      </c>
      <c r="N147" s="600">
        <f t="shared" si="23"/>
        <v>172156.1629</v>
      </c>
      <c r="O147" s="373">
        <f t="shared" si="23"/>
        <v>200927.1257</v>
      </c>
      <c r="P147" s="718">
        <f>SUM(D147:O147)</f>
        <v>1986236.526</v>
      </c>
      <c r="Q147" s="213"/>
      <c r="R147" s="213"/>
      <c r="S147" s="213"/>
      <c r="T147" s="213"/>
      <c r="U147" s="213"/>
      <c r="V147" s="213"/>
      <c r="W147" s="213"/>
      <c r="X147" s="213"/>
      <c r="Y147" s="213"/>
      <c r="Z147" s="213"/>
      <c r="AA147" s="213"/>
      <c r="AB147" s="213"/>
      <c r="AC147" s="213"/>
      <c r="AD147" s="213"/>
      <c r="AE147" s="213"/>
      <c r="AF147" s="213"/>
      <c r="AG147" s="213"/>
      <c r="AH147" s="213"/>
      <c r="AI147" s="213"/>
    </row>
    <row r="148" ht="15.75" customHeight="1">
      <c r="A148" s="213"/>
      <c r="B148" s="415"/>
      <c r="C148" s="416"/>
      <c r="D148" s="477"/>
      <c r="E148" s="477"/>
      <c r="F148" s="477"/>
      <c r="G148" s="477"/>
      <c r="H148" s="477"/>
      <c r="I148" s="477"/>
      <c r="J148" s="477"/>
      <c r="K148" s="480"/>
      <c r="L148" s="477"/>
      <c r="M148" s="417"/>
      <c r="N148" s="477"/>
      <c r="O148" s="1008"/>
      <c r="P148" s="213"/>
      <c r="Q148" s="213"/>
      <c r="R148" s="213"/>
      <c r="S148" s="213"/>
      <c r="T148" s="213"/>
      <c r="U148" s="213"/>
      <c r="V148" s="213"/>
      <c r="W148" s="213"/>
      <c r="X148" s="213"/>
      <c r="Y148" s="213"/>
      <c r="Z148" s="213"/>
      <c r="AA148" s="213"/>
      <c r="AB148" s="213"/>
      <c r="AC148" s="213"/>
      <c r="AD148" s="213"/>
      <c r="AE148" s="213"/>
      <c r="AF148" s="213"/>
      <c r="AG148" s="213"/>
      <c r="AH148" s="213"/>
      <c r="AI148" s="213"/>
    </row>
    <row r="149" ht="15.75" customHeight="1">
      <c r="A149" s="213"/>
      <c r="B149" s="407"/>
      <c r="C149" s="372" t="s">
        <v>294</v>
      </c>
      <c r="D149" s="600">
        <f t="shared" ref="D149:O149" si="24">D64-D147</f>
        <v>-24039.0506</v>
      </c>
      <c r="E149" s="600">
        <f t="shared" si="24"/>
        <v>15700.91479</v>
      </c>
      <c r="F149" s="600">
        <f t="shared" si="24"/>
        <v>-27512.90573</v>
      </c>
      <c r="G149" s="600">
        <f t="shared" si="24"/>
        <v>-24681.95919</v>
      </c>
      <c r="H149" s="600">
        <f t="shared" si="24"/>
        <v>-70742.20604</v>
      </c>
      <c r="I149" s="600">
        <f t="shared" si="24"/>
        <v>-76681.76506</v>
      </c>
      <c r="J149" s="600">
        <f t="shared" si="24"/>
        <v>-90286.76447</v>
      </c>
      <c r="K149" s="601">
        <f t="shared" si="24"/>
        <v>-135506.5853</v>
      </c>
      <c r="L149" s="600">
        <f t="shared" si="24"/>
        <v>-117731.7696</v>
      </c>
      <c r="M149" s="373">
        <f t="shared" si="24"/>
        <v>-104462.4445</v>
      </c>
      <c r="N149" s="600">
        <f t="shared" si="24"/>
        <v>-86967.11911</v>
      </c>
      <c r="O149" s="373">
        <f t="shared" si="24"/>
        <v>-62494.44285</v>
      </c>
      <c r="P149" s="718">
        <f>SUM(D149:O149)</f>
        <v>-805406.0976</v>
      </c>
      <c r="Q149" s="237">
        <f>P149-'FY25-26'!AU30</f>
        <v>-0.0000000003492459655</v>
      </c>
      <c r="R149" s="213"/>
      <c r="S149" s="213"/>
      <c r="T149" s="213"/>
      <c r="U149" s="213"/>
      <c r="V149" s="213"/>
      <c r="W149" s="213"/>
      <c r="X149" s="213"/>
      <c r="Y149" s="213"/>
      <c r="Z149" s="213"/>
      <c r="AA149" s="213"/>
      <c r="AB149" s="213"/>
      <c r="AC149" s="213"/>
      <c r="AD149" s="213"/>
      <c r="AE149" s="213"/>
      <c r="AF149" s="213"/>
      <c r="AG149" s="213"/>
      <c r="AH149" s="213"/>
      <c r="AI149" s="213"/>
    </row>
    <row r="150" ht="15.75" customHeight="1">
      <c r="A150" s="213"/>
      <c r="B150" s="213"/>
      <c r="C150" s="213"/>
      <c r="D150" s="216"/>
      <c r="E150" s="216"/>
      <c r="F150" s="216"/>
      <c r="G150" s="216"/>
      <c r="H150" s="216"/>
      <c r="I150" s="216"/>
      <c r="J150" s="216"/>
      <c r="K150" s="216"/>
      <c r="L150" s="216"/>
      <c r="M150" s="216"/>
      <c r="N150" s="216"/>
      <c r="O150" s="326"/>
      <c r="P150" s="213"/>
      <c r="Q150" s="213"/>
      <c r="R150" s="213"/>
      <c r="S150" s="213"/>
      <c r="T150" s="213"/>
      <c r="U150" s="213"/>
      <c r="V150" s="213"/>
      <c r="W150" s="213"/>
      <c r="X150" s="213"/>
      <c r="Y150" s="213"/>
      <c r="Z150" s="213"/>
      <c r="AA150" s="213"/>
      <c r="AB150" s="213"/>
      <c r="AC150" s="213"/>
      <c r="AD150" s="213"/>
      <c r="AE150" s="213"/>
      <c r="AF150" s="213"/>
      <c r="AG150" s="213"/>
      <c r="AH150" s="213"/>
      <c r="AI150" s="213"/>
    </row>
    <row r="151" ht="15.75" customHeight="1">
      <c r="A151" s="213"/>
      <c r="B151" s="213"/>
      <c r="C151" s="213"/>
      <c r="D151" s="216"/>
      <c r="E151" s="216"/>
      <c r="F151" s="216"/>
      <c r="G151" s="216"/>
      <c r="H151" s="216"/>
      <c r="I151" s="216"/>
      <c r="J151" s="216"/>
      <c r="K151" s="216"/>
      <c r="L151" s="216"/>
      <c r="M151" s="216"/>
      <c r="N151" s="216"/>
      <c r="O151" s="326"/>
      <c r="P151" s="213"/>
      <c r="Q151" s="213"/>
      <c r="R151" s="213"/>
      <c r="S151" s="213"/>
      <c r="T151" s="213"/>
      <c r="U151" s="213"/>
      <c r="V151" s="213"/>
      <c r="W151" s="213"/>
      <c r="X151" s="213"/>
      <c r="Y151" s="213"/>
      <c r="Z151" s="213"/>
      <c r="AA151" s="213"/>
      <c r="AB151" s="213"/>
      <c r="AC151" s="213"/>
      <c r="AD151" s="213"/>
      <c r="AE151" s="213"/>
      <c r="AF151" s="213"/>
      <c r="AG151" s="213"/>
      <c r="AH151" s="213"/>
      <c r="AI151" s="213"/>
    </row>
    <row r="152" ht="15.75" customHeight="1">
      <c r="A152" s="213"/>
      <c r="B152" s="213"/>
      <c r="C152" s="213"/>
      <c r="D152" s="216"/>
      <c r="E152" s="216"/>
      <c r="F152" s="216"/>
      <c r="G152" s="216"/>
      <c r="H152" s="216"/>
      <c r="I152" s="216"/>
      <c r="J152" s="216"/>
      <c r="K152" s="216"/>
      <c r="L152" s="216"/>
      <c r="M152" s="216"/>
      <c r="N152" s="216"/>
      <c r="O152" s="326"/>
      <c r="P152" s="213"/>
      <c r="Q152" s="213"/>
      <c r="R152" s="213"/>
      <c r="S152" s="213"/>
      <c r="T152" s="213"/>
      <c r="U152" s="213"/>
      <c r="V152" s="213"/>
      <c r="W152" s="213"/>
      <c r="X152" s="213"/>
      <c r="Y152" s="213"/>
      <c r="Z152" s="213"/>
      <c r="AA152" s="213"/>
      <c r="AB152" s="213"/>
      <c r="AC152" s="213"/>
      <c r="AD152" s="213"/>
      <c r="AE152" s="213"/>
      <c r="AF152" s="213"/>
      <c r="AG152" s="213"/>
      <c r="AH152" s="213"/>
      <c r="AI152" s="213"/>
    </row>
    <row r="153" ht="15.75" customHeight="1">
      <c r="A153" s="213"/>
      <c r="B153" s="213"/>
      <c r="C153" s="213"/>
      <c r="D153" s="216"/>
      <c r="E153" s="216"/>
      <c r="F153" s="216"/>
      <c r="G153" s="216"/>
      <c r="H153" s="216"/>
      <c r="I153" s="216"/>
      <c r="J153" s="216"/>
      <c r="K153" s="216"/>
      <c r="L153" s="216"/>
      <c r="M153" s="216"/>
      <c r="N153" s="216"/>
      <c r="O153" s="326"/>
      <c r="P153" s="213"/>
      <c r="Q153" s="213"/>
      <c r="R153" s="213"/>
      <c r="S153" s="213"/>
      <c r="T153" s="213"/>
      <c r="U153" s="213"/>
      <c r="V153" s="213"/>
      <c r="W153" s="213"/>
      <c r="X153" s="213"/>
      <c r="Y153" s="213"/>
      <c r="Z153" s="213"/>
      <c r="AA153" s="213"/>
      <c r="AB153" s="213"/>
      <c r="AC153" s="213"/>
      <c r="AD153" s="213"/>
      <c r="AE153" s="213"/>
      <c r="AF153" s="213"/>
      <c r="AG153" s="213"/>
      <c r="AH153" s="213"/>
      <c r="AI153" s="213"/>
    </row>
    <row r="154" ht="15.75" customHeight="1">
      <c r="A154" s="213"/>
      <c r="B154" s="213"/>
      <c r="C154" s="213"/>
      <c r="D154" s="216"/>
      <c r="E154" s="216"/>
      <c r="F154" s="216"/>
      <c r="G154" s="216"/>
      <c r="H154" s="216"/>
      <c r="I154" s="216"/>
      <c r="J154" s="216"/>
      <c r="K154" s="216"/>
      <c r="L154" s="216"/>
      <c r="M154" s="216"/>
      <c r="N154" s="216"/>
      <c r="O154" s="326"/>
      <c r="P154" s="213"/>
      <c r="Q154" s="213"/>
      <c r="R154" s="213"/>
      <c r="S154" s="213"/>
      <c r="T154" s="213"/>
      <c r="U154" s="213"/>
      <c r="V154" s="213"/>
      <c r="W154" s="213"/>
      <c r="X154" s="213"/>
      <c r="Y154" s="213"/>
      <c r="Z154" s="213"/>
      <c r="AA154" s="213"/>
      <c r="AB154" s="213"/>
      <c r="AC154" s="213"/>
      <c r="AD154" s="213"/>
      <c r="AE154" s="213"/>
      <c r="AF154" s="213"/>
      <c r="AG154" s="213"/>
      <c r="AH154" s="213"/>
      <c r="AI154" s="213"/>
    </row>
    <row r="155" ht="15.75" customHeight="1">
      <c r="A155" s="213"/>
      <c r="B155" s="213"/>
      <c r="C155" s="213"/>
      <c r="D155" s="216"/>
      <c r="E155" s="216"/>
      <c r="F155" s="216"/>
      <c r="G155" s="216"/>
      <c r="H155" s="216"/>
      <c r="I155" s="216"/>
      <c r="J155" s="718"/>
      <c r="K155" s="216"/>
      <c r="L155" s="216"/>
      <c r="M155" s="216"/>
      <c r="N155" s="216"/>
      <c r="O155" s="326"/>
      <c r="P155" s="213"/>
      <c r="Q155" s="213"/>
      <c r="R155" s="213"/>
      <c r="S155" s="213"/>
      <c r="T155" s="213"/>
      <c r="U155" s="213"/>
      <c r="V155" s="213"/>
      <c r="W155" s="213"/>
      <c r="X155" s="213"/>
      <c r="Y155" s="213"/>
      <c r="Z155" s="213"/>
      <c r="AA155" s="213"/>
      <c r="AB155" s="213"/>
      <c r="AC155" s="213"/>
      <c r="AD155" s="213"/>
      <c r="AE155" s="213"/>
      <c r="AF155" s="213"/>
      <c r="AG155" s="213"/>
      <c r="AH155" s="213"/>
      <c r="AI155" s="213"/>
    </row>
    <row r="156" ht="15.75" customHeight="1">
      <c r="A156" s="213"/>
      <c r="B156" s="213"/>
      <c r="C156" s="213"/>
      <c r="D156" s="216"/>
      <c r="E156" s="216"/>
      <c r="F156" s="216"/>
      <c r="G156" s="216"/>
      <c r="H156" s="216"/>
      <c r="I156" s="216"/>
      <c r="J156" s="216"/>
      <c r="K156" s="216"/>
      <c r="L156" s="216"/>
      <c r="M156" s="216"/>
      <c r="N156" s="216"/>
      <c r="O156" s="326"/>
      <c r="P156" s="213"/>
      <c r="Q156" s="213"/>
      <c r="R156" s="213"/>
      <c r="S156" s="213"/>
      <c r="T156" s="213"/>
      <c r="U156" s="213"/>
      <c r="V156" s="213"/>
      <c r="W156" s="213"/>
      <c r="X156" s="213"/>
      <c r="Y156" s="213"/>
      <c r="Z156" s="213"/>
      <c r="AA156" s="213"/>
      <c r="AB156" s="213"/>
      <c r="AC156" s="213"/>
      <c r="AD156" s="213"/>
      <c r="AE156" s="213"/>
      <c r="AF156" s="213"/>
      <c r="AG156" s="213"/>
      <c r="AH156" s="213"/>
      <c r="AI156" s="213"/>
    </row>
    <row r="157" ht="15.75" customHeight="1">
      <c r="A157" s="213"/>
      <c r="B157" s="213"/>
      <c r="C157" s="213"/>
      <c r="D157" s="216"/>
      <c r="E157" s="216"/>
      <c r="F157" s="216"/>
      <c r="G157" s="216"/>
      <c r="H157" s="216"/>
      <c r="I157" s="216"/>
      <c r="J157" s="216"/>
      <c r="K157" s="216"/>
      <c r="L157" s="216"/>
      <c r="M157" s="216"/>
      <c r="N157" s="216"/>
      <c r="O157" s="326"/>
      <c r="P157" s="213"/>
      <c r="Q157" s="213"/>
      <c r="R157" s="213"/>
      <c r="S157" s="213"/>
      <c r="T157" s="213"/>
      <c r="U157" s="213"/>
      <c r="V157" s="213"/>
      <c r="W157" s="213"/>
      <c r="X157" s="213"/>
      <c r="Y157" s="213"/>
      <c r="Z157" s="213"/>
      <c r="AA157" s="213"/>
      <c r="AB157" s="213"/>
      <c r="AC157" s="213"/>
      <c r="AD157" s="213"/>
      <c r="AE157" s="213"/>
      <c r="AF157" s="213"/>
      <c r="AG157" s="213"/>
      <c r="AH157" s="213"/>
      <c r="AI157" s="213"/>
    </row>
    <row r="158" ht="15.75" customHeight="1">
      <c r="A158" s="213"/>
      <c r="B158" s="213"/>
      <c r="C158" s="213"/>
      <c r="D158" s="216"/>
      <c r="E158" s="216"/>
      <c r="F158" s="216"/>
      <c r="G158" s="216"/>
      <c r="H158" s="216"/>
      <c r="I158" s="216"/>
      <c r="J158" s="216"/>
      <c r="K158" s="216"/>
      <c r="L158" s="216"/>
      <c r="M158" s="216"/>
      <c r="N158" s="216"/>
      <c r="O158" s="326"/>
      <c r="P158" s="213"/>
      <c r="Q158" s="213"/>
      <c r="R158" s="213"/>
      <c r="S158" s="213"/>
      <c r="T158" s="213"/>
      <c r="U158" s="213"/>
      <c r="V158" s="213"/>
      <c r="W158" s="213"/>
      <c r="X158" s="213"/>
      <c r="Y158" s="213"/>
      <c r="Z158" s="213"/>
      <c r="AA158" s="213"/>
      <c r="AB158" s="213"/>
      <c r="AC158" s="213"/>
      <c r="AD158" s="213"/>
      <c r="AE158" s="213"/>
      <c r="AF158" s="213"/>
      <c r="AG158" s="213"/>
      <c r="AH158" s="213"/>
      <c r="AI158" s="213"/>
    </row>
    <row r="159" ht="15.75" customHeight="1">
      <c r="A159" s="213"/>
      <c r="B159" s="213"/>
      <c r="C159" s="213"/>
      <c r="D159" s="216"/>
      <c r="E159" s="216"/>
      <c r="F159" s="216"/>
      <c r="G159" s="216"/>
      <c r="H159" s="216"/>
      <c r="I159" s="216"/>
      <c r="J159" s="216"/>
      <c r="K159" s="216"/>
      <c r="L159" s="216"/>
      <c r="M159" s="216"/>
      <c r="N159" s="216"/>
      <c r="O159" s="326"/>
      <c r="P159" s="213"/>
      <c r="Q159" s="213"/>
      <c r="R159" s="213"/>
      <c r="S159" s="213"/>
      <c r="T159" s="213"/>
      <c r="U159" s="213"/>
      <c r="V159" s="213"/>
      <c r="W159" s="213"/>
      <c r="X159" s="213"/>
      <c r="Y159" s="213"/>
      <c r="Z159" s="213"/>
      <c r="AA159" s="213"/>
      <c r="AB159" s="213"/>
      <c r="AC159" s="213"/>
      <c r="AD159" s="213"/>
      <c r="AE159" s="213"/>
      <c r="AF159" s="213"/>
      <c r="AG159" s="213"/>
      <c r="AH159" s="213"/>
      <c r="AI159" s="213"/>
    </row>
    <row r="160" ht="15.75" customHeight="1">
      <c r="A160" s="213"/>
      <c r="B160" s="213"/>
      <c r="C160" s="213"/>
      <c r="D160" s="216"/>
      <c r="E160" s="216"/>
      <c r="F160" s="216"/>
      <c r="G160" s="216"/>
      <c r="H160" s="216"/>
      <c r="I160" s="216"/>
      <c r="J160" s="216"/>
      <c r="K160" s="216"/>
      <c r="L160" s="216"/>
      <c r="M160" s="216"/>
      <c r="N160" s="216"/>
      <c r="O160" s="326"/>
      <c r="P160" s="213"/>
      <c r="Q160" s="213"/>
      <c r="R160" s="213"/>
      <c r="S160" s="213"/>
      <c r="T160" s="213"/>
      <c r="U160" s="213"/>
      <c r="V160" s="213"/>
      <c r="W160" s="213"/>
      <c r="X160" s="213"/>
      <c r="Y160" s="213"/>
      <c r="Z160" s="213"/>
      <c r="AA160" s="213"/>
      <c r="AB160" s="213"/>
      <c r="AC160" s="213"/>
      <c r="AD160" s="213"/>
      <c r="AE160" s="213"/>
      <c r="AF160" s="213"/>
      <c r="AG160" s="213"/>
      <c r="AH160" s="213"/>
      <c r="AI160" s="213"/>
    </row>
    <row r="161" ht="15.75" customHeight="1">
      <c r="A161" s="213"/>
      <c r="B161" s="213"/>
      <c r="C161" s="213"/>
      <c r="D161" s="216"/>
      <c r="E161" s="216"/>
      <c r="F161" s="216"/>
      <c r="G161" s="216"/>
      <c r="H161" s="216"/>
      <c r="I161" s="216"/>
      <c r="J161" s="216"/>
      <c r="K161" s="216"/>
      <c r="L161" s="216"/>
      <c r="M161" s="216"/>
      <c r="N161" s="216"/>
      <c r="O161" s="326"/>
      <c r="P161" s="213"/>
      <c r="Q161" s="213"/>
      <c r="R161" s="213"/>
      <c r="S161" s="213"/>
      <c r="T161" s="213"/>
      <c r="U161" s="213"/>
      <c r="V161" s="213"/>
      <c r="W161" s="213"/>
      <c r="X161" s="213"/>
      <c r="Y161" s="213"/>
      <c r="Z161" s="213"/>
      <c r="AA161" s="213"/>
      <c r="AB161" s="213"/>
      <c r="AC161" s="213"/>
      <c r="AD161" s="213"/>
      <c r="AE161" s="213"/>
      <c r="AF161" s="213"/>
      <c r="AG161" s="213"/>
      <c r="AH161" s="213"/>
      <c r="AI161" s="213"/>
    </row>
    <row r="162" ht="15.75" customHeight="1">
      <c r="A162" s="213"/>
      <c r="B162" s="213"/>
      <c r="C162" s="213"/>
      <c r="D162" s="216"/>
      <c r="E162" s="216"/>
      <c r="F162" s="216"/>
      <c r="G162" s="216"/>
      <c r="H162" s="216"/>
      <c r="I162" s="216"/>
      <c r="J162" s="216"/>
      <c r="K162" s="216"/>
      <c r="L162" s="216"/>
      <c r="M162" s="216"/>
      <c r="N162" s="216"/>
      <c r="O162" s="326"/>
      <c r="P162" s="213"/>
      <c r="Q162" s="213"/>
      <c r="R162" s="213"/>
      <c r="S162" s="213"/>
      <c r="T162" s="213"/>
      <c r="U162" s="213"/>
      <c r="V162" s="213"/>
      <c r="W162" s="213"/>
      <c r="X162" s="213"/>
      <c r="Y162" s="213"/>
      <c r="Z162" s="213"/>
      <c r="AA162" s="213"/>
      <c r="AB162" s="213"/>
      <c r="AC162" s="213"/>
      <c r="AD162" s="213"/>
      <c r="AE162" s="213"/>
      <c r="AF162" s="213"/>
      <c r="AG162" s="213"/>
      <c r="AH162" s="213"/>
      <c r="AI162" s="213"/>
    </row>
    <row r="163" ht="15.75" customHeight="1">
      <c r="A163" s="213"/>
      <c r="B163" s="213"/>
      <c r="C163" s="213"/>
      <c r="D163" s="216"/>
      <c r="E163" s="216"/>
      <c r="F163" s="216"/>
      <c r="G163" s="216"/>
      <c r="H163" s="216"/>
      <c r="I163" s="216"/>
      <c r="J163" s="216"/>
      <c r="K163" s="216"/>
      <c r="L163" s="216"/>
      <c r="M163" s="216"/>
      <c r="N163" s="216"/>
      <c r="O163" s="326"/>
      <c r="P163" s="213"/>
      <c r="Q163" s="213"/>
      <c r="R163" s="213"/>
      <c r="S163" s="213"/>
      <c r="T163" s="213"/>
      <c r="U163" s="213"/>
      <c r="V163" s="213"/>
      <c r="W163" s="213"/>
      <c r="X163" s="213"/>
      <c r="Y163" s="213"/>
      <c r="Z163" s="213"/>
      <c r="AA163" s="213"/>
      <c r="AB163" s="213"/>
      <c r="AC163" s="213"/>
      <c r="AD163" s="213"/>
      <c r="AE163" s="213"/>
      <c r="AF163" s="213"/>
      <c r="AG163" s="213"/>
      <c r="AH163" s="213"/>
      <c r="AI163" s="213"/>
    </row>
    <row r="164" ht="15.75" customHeight="1">
      <c r="A164" s="213"/>
      <c r="B164" s="213"/>
      <c r="C164" s="213"/>
      <c r="D164" s="216"/>
      <c r="E164" s="216"/>
      <c r="F164" s="216"/>
      <c r="G164" s="216"/>
      <c r="H164" s="216"/>
      <c r="I164" s="216"/>
      <c r="J164" s="216"/>
      <c r="K164" s="216"/>
      <c r="L164" s="216"/>
      <c r="M164" s="216"/>
      <c r="N164" s="216"/>
      <c r="O164" s="326"/>
      <c r="P164" s="213"/>
      <c r="Q164" s="213"/>
      <c r="R164" s="213"/>
      <c r="S164" s="213"/>
      <c r="T164" s="213"/>
      <c r="U164" s="213"/>
      <c r="V164" s="213"/>
      <c r="W164" s="213"/>
      <c r="X164" s="213"/>
      <c r="Y164" s="213"/>
      <c r="Z164" s="213"/>
      <c r="AA164" s="213"/>
      <c r="AB164" s="213"/>
      <c r="AC164" s="213"/>
      <c r="AD164" s="213"/>
      <c r="AE164" s="213"/>
      <c r="AF164" s="213"/>
      <c r="AG164" s="213"/>
      <c r="AH164" s="213"/>
      <c r="AI164" s="213"/>
    </row>
    <row r="165" ht="15.75" customHeight="1">
      <c r="A165" s="213"/>
      <c r="B165" s="213"/>
      <c r="C165" s="213"/>
      <c r="D165" s="216"/>
      <c r="E165" s="216"/>
      <c r="F165" s="216"/>
      <c r="G165" s="216"/>
      <c r="H165" s="216"/>
      <c r="I165" s="216"/>
      <c r="J165" s="216"/>
      <c r="K165" s="216"/>
      <c r="L165" s="216"/>
      <c r="M165" s="216"/>
      <c r="N165" s="216"/>
      <c r="O165" s="326"/>
      <c r="P165" s="213"/>
      <c r="Q165" s="213"/>
      <c r="R165" s="213"/>
      <c r="S165" s="213"/>
      <c r="T165" s="213"/>
      <c r="U165" s="213"/>
      <c r="V165" s="213"/>
      <c r="W165" s="213"/>
      <c r="X165" s="213"/>
      <c r="Y165" s="213"/>
      <c r="Z165" s="213"/>
      <c r="AA165" s="213"/>
      <c r="AB165" s="213"/>
      <c r="AC165" s="213"/>
      <c r="AD165" s="213"/>
      <c r="AE165" s="213"/>
      <c r="AF165" s="213"/>
      <c r="AG165" s="213"/>
      <c r="AH165" s="213"/>
      <c r="AI165" s="213"/>
    </row>
    <row r="166" ht="15.75" customHeight="1">
      <c r="A166" s="213"/>
      <c r="B166" s="213"/>
      <c r="C166" s="213"/>
      <c r="D166" s="216"/>
      <c r="E166" s="216"/>
      <c r="F166" s="216"/>
      <c r="G166" s="216"/>
      <c r="H166" s="216"/>
      <c r="I166" s="216"/>
      <c r="J166" s="216"/>
      <c r="K166" s="216"/>
      <c r="L166" s="216"/>
      <c r="M166" s="216"/>
      <c r="N166" s="216"/>
      <c r="O166" s="326"/>
      <c r="P166" s="213"/>
      <c r="Q166" s="213"/>
      <c r="R166" s="213"/>
      <c r="S166" s="213"/>
      <c r="T166" s="213"/>
      <c r="U166" s="213"/>
      <c r="V166" s="213"/>
      <c r="W166" s="213"/>
      <c r="X166" s="213"/>
      <c r="Y166" s="213"/>
      <c r="Z166" s="213"/>
      <c r="AA166" s="213"/>
      <c r="AB166" s="213"/>
      <c r="AC166" s="213"/>
      <c r="AD166" s="213"/>
      <c r="AE166" s="213"/>
      <c r="AF166" s="213"/>
      <c r="AG166" s="213"/>
      <c r="AH166" s="213"/>
      <c r="AI166" s="213"/>
    </row>
    <row r="167" ht="15.75" customHeight="1">
      <c r="A167" s="213"/>
      <c r="B167" s="213"/>
      <c r="C167" s="213"/>
      <c r="D167" s="216"/>
      <c r="E167" s="216"/>
      <c r="F167" s="216"/>
      <c r="G167" s="216"/>
      <c r="H167" s="216"/>
      <c r="I167" s="216"/>
      <c r="J167" s="216"/>
      <c r="K167" s="216"/>
      <c r="L167" s="216"/>
      <c r="M167" s="216"/>
      <c r="N167" s="216"/>
      <c r="O167" s="326"/>
      <c r="P167" s="213"/>
      <c r="Q167" s="213"/>
      <c r="R167" s="213"/>
      <c r="S167" s="213"/>
      <c r="T167" s="213"/>
      <c r="U167" s="213"/>
      <c r="V167" s="213"/>
      <c r="W167" s="213"/>
      <c r="X167" s="213"/>
      <c r="Y167" s="213"/>
      <c r="Z167" s="213"/>
      <c r="AA167" s="213"/>
      <c r="AB167" s="213"/>
      <c r="AC167" s="213"/>
      <c r="AD167" s="213"/>
      <c r="AE167" s="213"/>
      <c r="AF167" s="213"/>
      <c r="AG167" s="213"/>
      <c r="AH167" s="213"/>
      <c r="AI167" s="213"/>
    </row>
    <row r="168" ht="15.75" customHeight="1">
      <c r="A168" s="213"/>
      <c r="B168" s="213"/>
      <c r="C168" s="213"/>
      <c r="D168" s="216"/>
      <c r="E168" s="216"/>
      <c r="F168" s="216"/>
      <c r="G168" s="216"/>
      <c r="H168" s="216"/>
      <c r="I168" s="216"/>
      <c r="J168" s="216"/>
      <c r="K168" s="216"/>
      <c r="L168" s="216"/>
      <c r="M168" s="216"/>
      <c r="N168" s="216"/>
      <c r="O168" s="326"/>
      <c r="P168" s="213"/>
      <c r="Q168" s="213"/>
      <c r="R168" s="213"/>
      <c r="S168" s="213"/>
      <c r="T168" s="213"/>
      <c r="U168" s="213"/>
      <c r="V168" s="213"/>
      <c r="W168" s="213"/>
      <c r="X168" s="213"/>
      <c r="Y168" s="213"/>
      <c r="Z168" s="213"/>
      <c r="AA168" s="213"/>
      <c r="AB168" s="213"/>
      <c r="AC168" s="213"/>
      <c r="AD168" s="213"/>
      <c r="AE168" s="213"/>
      <c r="AF168" s="213"/>
      <c r="AG168" s="213"/>
      <c r="AH168" s="213"/>
      <c r="AI168" s="213"/>
    </row>
    <row r="169" ht="15.75" customHeight="1">
      <c r="A169" s="213"/>
      <c r="B169" s="213"/>
      <c r="C169" s="213"/>
      <c r="D169" s="216"/>
      <c r="E169" s="216"/>
      <c r="F169" s="216"/>
      <c r="G169" s="216"/>
      <c r="H169" s="216"/>
      <c r="I169" s="216"/>
      <c r="J169" s="216"/>
      <c r="K169" s="216"/>
      <c r="L169" s="216"/>
      <c r="M169" s="216"/>
      <c r="N169" s="216"/>
      <c r="O169" s="326"/>
      <c r="P169" s="213"/>
      <c r="Q169" s="213"/>
      <c r="R169" s="213"/>
      <c r="S169" s="213"/>
      <c r="T169" s="213"/>
      <c r="U169" s="213"/>
      <c r="V169" s="213"/>
      <c r="W169" s="213"/>
      <c r="X169" s="213"/>
      <c r="Y169" s="213"/>
      <c r="Z169" s="213"/>
      <c r="AA169" s="213"/>
      <c r="AB169" s="213"/>
      <c r="AC169" s="213"/>
      <c r="AD169" s="213"/>
      <c r="AE169" s="213"/>
      <c r="AF169" s="213"/>
      <c r="AG169" s="213"/>
      <c r="AH169" s="213"/>
      <c r="AI169" s="213"/>
    </row>
    <row r="170" ht="15.75" customHeight="1">
      <c r="A170" s="213"/>
      <c r="B170" s="213"/>
      <c r="C170" s="213"/>
      <c r="D170" s="216"/>
      <c r="E170" s="216"/>
      <c r="F170" s="216"/>
      <c r="G170" s="216"/>
      <c r="H170" s="216"/>
      <c r="I170" s="216"/>
      <c r="J170" s="216"/>
      <c r="K170" s="216"/>
      <c r="L170" s="216"/>
      <c r="M170" s="216"/>
      <c r="N170" s="216"/>
      <c r="O170" s="326"/>
      <c r="P170" s="213"/>
      <c r="Q170" s="213"/>
      <c r="R170" s="213"/>
      <c r="S170" s="213"/>
      <c r="T170" s="213"/>
      <c r="U170" s="213"/>
      <c r="V170" s="213"/>
      <c r="W170" s="213"/>
      <c r="X170" s="213"/>
      <c r="Y170" s="213"/>
      <c r="Z170" s="213"/>
      <c r="AA170" s="213"/>
      <c r="AB170" s="213"/>
      <c r="AC170" s="213"/>
      <c r="AD170" s="213"/>
      <c r="AE170" s="213"/>
      <c r="AF170" s="213"/>
      <c r="AG170" s="213"/>
      <c r="AH170" s="213"/>
      <c r="AI170" s="213"/>
    </row>
    <row r="171" ht="15.75" customHeight="1">
      <c r="A171" s="213"/>
      <c r="B171" s="213"/>
      <c r="C171" s="213"/>
      <c r="D171" s="216"/>
      <c r="E171" s="216"/>
      <c r="F171" s="216"/>
      <c r="G171" s="216"/>
      <c r="H171" s="216"/>
      <c r="I171" s="216"/>
      <c r="J171" s="216"/>
      <c r="K171" s="216"/>
      <c r="L171" s="216"/>
      <c r="M171" s="216"/>
      <c r="N171" s="216"/>
      <c r="O171" s="326"/>
      <c r="P171" s="213"/>
      <c r="Q171" s="213"/>
      <c r="R171" s="213"/>
      <c r="S171" s="213"/>
      <c r="T171" s="213"/>
      <c r="U171" s="213"/>
      <c r="V171" s="213"/>
      <c r="W171" s="213"/>
      <c r="X171" s="213"/>
      <c r="Y171" s="213"/>
      <c r="Z171" s="213"/>
      <c r="AA171" s="213"/>
      <c r="AB171" s="213"/>
      <c r="AC171" s="213"/>
      <c r="AD171" s="213"/>
      <c r="AE171" s="213"/>
      <c r="AF171" s="213"/>
      <c r="AG171" s="213"/>
      <c r="AH171" s="213"/>
      <c r="AI171" s="213"/>
    </row>
    <row r="172" ht="15.75" customHeight="1">
      <c r="A172" s="213"/>
      <c r="B172" s="213"/>
      <c r="C172" s="213"/>
      <c r="D172" s="216"/>
      <c r="E172" s="216"/>
      <c r="F172" s="216"/>
      <c r="G172" s="216"/>
      <c r="H172" s="216"/>
      <c r="I172" s="216"/>
      <c r="J172" s="216"/>
      <c r="K172" s="216"/>
      <c r="L172" s="216"/>
      <c r="M172" s="216"/>
      <c r="N172" s="216"/>
      <c r="O172" s="326"/>
      <c r="P172" s="213"/>
      <c r="Q172" s="213"/>
      <c r="R172" s="213"/>
      <c r="S172" s="213"/>
      <c r="T172" s="213"/>
      <c r="U172" s="213"/>
      <c r="V172" s="213"/>
      <c r="W172" s="213"/>
      <c r="X172" s="213"/>
      <c r="Y172" s="213"/>
      <c r="Z172" s="213"/>
      <c r="AA172" s="213"/>
      <c r="AB172" s="213"/>
      <c r="AC172" s="213"/>
      <c r="AD172" s="213"/>
      <c r="AE172" s="213"/>
      <c r="AF172" s="213"/>
      <c r="AG172" s="213"/>
      <c r="AH172" s="213"/>
      <c r="AI172" s="213"/>
    </row>
    <row r="173" ht="15.75" customHeight="1">
      <c r="A173" s="213"/>
      <c r="B173" s="213"/>
      <c r="C173" s="213"/>
      <c r="D173" s="216"/>
      <c r="E173" s="216"/>
      <c r="F173" s="216"/>
      <c r="G173" s="216"/>
      <c r="H173" s="216"/>
      <c r="I173" s="216"/>
      <c r="J173" s="216"/>
      <c r="K173" s="216"/>
      <c r="L173" s="216"/>
      <c r="M173" s="216"/>
      <c r="N173" s="216"/>
      <c r="O173" s="326"/>
      <c r="P173" s="213"/>
      <c r="Q173" s="213"/>
      <c r="R173" s="213"/>
      <c r="S173" s="213"/>
      <c r="T173" s="213"/>
      <c r="U173" s="213"/>
      <c r="V173" s="213"/>
      <c r="W173" s="213"/>
      <c r="X173" s="213"/>
      <c r="Y173" s="213"/>
      <c r="Z173" s="213"/>
      <c r="AA173" s="213"/>
      <c r="AB173" s="213"/>
      <c r="AC173" s="213"/>
      <c r="AD173" s="213"/>
      <c r="AE173" s="213"/>
      <c r="AF173" s="213"/>
      <c r="AG173" s="213"/>
      <c r="AH173" s="213"/>
      <c r="AI173" s="213"/>
    </row>
    <row r="174" ht="15.75" customHeight="1">
      <c r="A174" s="213"/>
      <c r="B174" s="213"/>
      <c r="C174" s="213"/>
      <c r="D174" s="216"/>
      <c r="E174" s="216"/>
      <c r="F174" s="216"/>
      <c r="G174" s="216"/>
      <c r="H174" s="216"/>
      <c r="I174" s="216"/>
      <c r="J174" s="216"/>
      <c r="K174" s="216"/>
      <c r="L174" s="216"/>
      <c r="M174" s="216"/>
      <c r="N174" s="216"/>
      <c r="O174" s="326"/>
      <c r="P174" s="213"/>
      <c r="Q174" s="213"/>
      <c r="R174" s="213"/>
      <c r="S174" s="213"/>
      <c r="T174" s="213"/>
      <c r="U174" s="213"/>
      <c r="V174" s="213"/>
      <c r="W174" s="213"/>
      <c r="X174" s="213"/>
      <c r="Y174" s="213"/>
      <c r="Z174" s="213"/>
      <c r="AA174" s="213"/>
      <c r="AB174" s="213"/>
      <c r="AC174" s="213"/>
      <c r="AD174" s="213"/>
      <c r="AE174" s="213"/>
      <c r="AF174" s="213"/>
      <c r="AG174" s="213"/>
      <c r="AH174" s="213"/>
      <c r="AI174" s="213"/>
    </row>
    <row r="175" ht="15.75" customHeight="1">
      <c r="A175" s="213"/>
      <c r="B175" s="213"/>
      <c r="C175" s="213"/>
      <c r="D175" s="216"/>
      <c r="E175" s="216"/>
      <c r="F175" s="216"/>
      <c r="G175" s="216"/>
      <c r="H175" s="216"/>
      <c r="I175" s="216"/>
      <c r="J175" s="216"/>
      <c r="K175" s="216"/>
      <c r="L175" s="216"/>
      <c r="M175" s="216"/>
      <c r="N175" s="216"/>
      <c r="O175" s="326"/>
      <c r="P175" s="213"/>
      <c r="Q175" s="213"/>
      <c r="R175" s="213"/>
      <c r="S175" s="213"/>
      <c r="T175" s="213"/>
      <c r="U175" s="213"/>
      <c r="V175" s="213"/>
      <c r="W175" s="213"/>
      <c r="X175" s="213"/>
      <c r="Y175" s="213"/>
      <c r="Z175" s="213"/>
      <c r="AA175" s="213"/>
      <c r="AB175" s="213"/>
      <c r="AC175" s="213"/>
      <c r="AD175" s="213"/>
      <c r="AE175" s="213"/>
      <c r="AF175" s="213"/>
      <c r="AG175" s="213"/>
      <c r="AH175" s="213"/>
      <c r="AI175" s="213"/>
    </row>
    <row r="176" ht="15.75" customHeight="1">
      <c r="A176" s="213"/>
      <c r="B176" s="213"/>
      <c r="C176" s="213"/>
      <c r="D176" s="216"/>
      <c r="E176" s="216"/>
      <c r="F176" s="216"/>
      <c r="G176" s="216"/>
      <c r="H176" s="216"/>
      <c r="I176" s="216"/>
      <c r="J176" s="216"/>
      <c r="K176" s="216"/>
      <c r="L176" s="216"/>
      <c r="M176" s="216"/>
      <c r="N176" s="216"/>
      <c r="O176" s="326"/>
      <c r="P176" s="213"/>
      <c r="Q176" s="213"/>
      <c r="R176" s="213"/>
      <c r="S176" s="213"/>
      <c r="T176" s="213"/>
      <c r="U176" s="213"/>
      <c r="V176" s="213"/>
      <c r="W176" s="213"/>
      <c r="X176" s="213"/>
      <c r="Y176" s="213"/>
      <c r="Z176" s="213"/>
      <c r="AA176" s="213"/>
      <c r="AB176" s="213"/>
      <c r="AC176" s="213"/>
      <c r="AD176" s="213"/>
      <c r="AE176" s="213"/>
      <c r="AF176" s="213"/>
      <c r="AG176" s="213"/>
      <c r="AH176" s="213"/>
      <c r="AI176" s="213"/>
    </row>
    <row r="177" ht="15.75" customHeight="1">
      <c r="A177" s="213"/>
      <c r="B177" s="213"/>
      <c r="C177" s="213"/>
      <c r="D177" s="216"/>
      <c r="E177" s="216"/>
      <c r="F177" s="216"/>
      <c r="G177" s="216"/>
      <c r="H177" s="216"/>
      <c r="I177" s="216"/>
      <c r="J177" s="216"/>
      <c r="K177" s="216"/>
      <c r="L177" s="216"/>
      <c r="M177" s="216"/>
      <c r="N177" s="216"/>
      <c r="O177" s="326"/>
      <c r="P177" s="213"/>
      <c r="Q177" s="213"/>
      <c r="R177" s="213"/>
      <c r="S177" s="213"/>
      <c r="T177" s="213"/>
      <c r="U177" s="213"/>
      <c r="V177" s="213"/>
      <c r="W177" s="213"/>
      <c r="X177" s="213"/>
      <c r="Y177" s="213"/>
      <c r="Z177" s="213"/>
      <c r="AA177" s="213"/>
      <c r="AB177" s="213"/>
      <c r="AC177" s="213"/>
      <c r="AD177" s="213"/>
      <c r="AE177" s="213"/>
      <c r="AF177" s="213"/>
      <c r="AG177" s="213"/>
      <c r="AH177" s="213"/>
      <c r="AI177" s="213"/>
    </row>
    <row r="178" ht="15.75" customHeight="1">
      <c r="A178" s="213"/>
      <c r="B178" s="213"/>
      <c r="C178" s="213"/>
      <c r="D178" s="216"/>
      <c r="E178" s="216"/>
      <c r="F178" s="216"/>
      <c r="G178" s="216"/>
      <c r="H178" s="216"/>
      <c r="I178" s="216"/>
      <c r="J178" s="216"/>
      <c r="K178" s="216"/>
      <c r="L178" s="216"/>
      <c r="M178" s="216"/>
      <c r="N178" s="216"/>
      <c r="O178" s="326"/>
      <c r="P178" s="213"/>
      <c r="Q178" s="213"/>
      <c r="R178" s="213"/>
      <c r="S178" s="213"/>
      <c r="T178" s="213"/>
      <c r="U178" s="213"/>
      <c r="V178" s="213"/>
      <c r="W178" s="213"/>
      <c r="X178" s="213"/>
      <c r="Y178" s="213"/>
      <c r="Z178" s="213"/>
      <c r="AA178" s="213"/>
      <c r="AB178" s="213"/>
      <c r="AC178" s="213"/>
      <c r="AD178" s="213"/>
      <c r="AE178" s="213"/>
      <c r="AF178" s="213"/>
      <c r="AG178" s="213"/>
      <c r="AH178" s="213"/>
      <c r="AI178" s="213"/>
    </row>
    <row r="179" ht="15.75" customHeight="1">
      <c r="A179" s="213"/>
      <c r="B179" s="213"/>
      <c r="C179" s="213"/>
      <c r="D179" s="216"/>
      <c r="E179" s="216"/>
      <c r="F179" s="216"/>
      <c r="G179" s="216"/>
      <c r="H179" s="216"/>
      <c r="I179" s="216"/>
      <c r="J179" s="216"/>
      <c r="K179" s="216"/>
      <c r="L179" s="216"/>
      <c r="M179" s="216"/>
      <c r="N179" s="216"/>
      <c r="O179" s="326"/>
      <c r="P179" s="213"/>
      <c r="Q179" s="213"/>
      <c r="R179" s="213"/>
      <c r="S179" s="213"/>
      <c r="T179" s="213"/>
      <c r="U179" s="213"/>
      <c r="V179" s="213"/>
      <c r="W179" s="213"/>
      <c r="X179" s="213"/>
      <c r="Y179" s="213"/>
      <c r="Z179" s="213"/>
      <c r="AA179" s="213"/>
      <c r="AB179" s="213"/>
      <c r="AC179" s="213"/>
      <c r="AD179" s="213"/>
      <c r="AE179" s="213"/>
      <c r="AF179" s="213"/>
      <c r="AG179" s="213"/>
      <c r="AH179" s="213"/>
      <c r="AI179" s="213"/>
    </row>
    <row r="180" ht="15.75" customHeight="1">
      <c r="A180" s="213"/>
      <c r="B180" s="213"/>
      <c r="C180" s="213"/>
      <c r="D180" s="216"/>
      <c r="E180" s="216"/>
      <c r="F180" s="216"/>
      <c r="G180" s="216"/>
      <c r="H180" s="216"/>
      <c r="I180" s="216"/>
      <c r="J180" s="216"/>
      <c r="K180" s="216"/>
      <c r="L180" s="216"/>
      <c r="M180" s="216"/>
      <c r="N180" s="216"/>
      <c r="O180" s="326"/>
      <c r="P180" s="213"/>
      <c r="Q180" s="213"/>
      <c r="R180" s="213"/>
      <c r="S180" s="213"/>
      <c r="T180" s="213"/>
      <c r="U180" s="213"/>
      <c r="V180" s="213"/>
      <c r="W180" s="213"/>
      <c r="X180" s="213"/>
      <c r="Y180" s="213"/>
      <c r="Z180" s="213"/>
      <c r="AA180" s="213"/>
      <c r="AB180" s="213"/>
      <c r="AC180" s="213"/>
      <c r="AD180" s="213"/>
      <c r="AE180" s="213"/>
      <c r="AF180" s="213"/>
      <c r="AG180" s="213"/>
      <c r="AH180" s="213"/>
      <c r="AI180" s="213"/>
    </row>
    <row r="181" ht="15.75" customHeight="1">
      <c r="A181" s="213"/>
      <c r="B181" s="213"/>
      <c r="C181" s="213"/>
      <c r="D181" s="216"/>
      <c r="E181" s="216"/>
      <c r="F181" s="216"/>
      <c r="G181" s="216"/>
      <c r="H181" s="216"/>
      <c r="I181" s="216"/>
      <c r="J181" s="216"/>
      <c r="K181" s="216"/>
      <c r="L181" s="216"/>
      <c r="M181" s="216"/>
      <c r="N181" s="216"/>
      <c r="O181" s="326"/>
      <c r="P181" s="213"/>
      <c r="Q181" s="213"/>
      <c r="R181" s="213"/>
      <c r="S181" s="213"/>
      <c r="T181" s="213"/>
      <c r="U181" s="213"/>
      <c r="V181" s="213"/>
      <c r="W181" s="213"/>
      <c r="X181" s="213"/>
      <c r="Y181" s="213"/>
      <c r="Z181" s="213"/>
      <c r="AA181" s="213"/>
      <c r="AB181" s="213"/>
      <c r="AC181" s="213"/>
      <c r="AD181" s="213"/>
      <c r="AE181" s="213"/>
      <c r="AF181" s="213"/>
      <c r="AG181" s="213"/>
      <c r="AH181" s="213"/>
      <c r="AI181" s="213"/>
    </row>
    <row r="182" ht="15.75" customHeight="1">
      <c r="A182" s="213"/>
      <c r="B182" s="213"/>
      <c r="C182" s="213"/>
      <c r="D182" s="216"/>
      <c r="E182" s="216"/>
      <c r="F182" s="216"/>
      <c r="G182" s="216"/>
      <c r="H182" s="216"/>
      <c r="I182" s="216"/>
      <c r="J182" s="216"/>
      <c r="K182" s="216"/>
      <c r="L182" s="216"/>
      <c r="M182" s="216"/>
      <c r="N182" s="216"/>
      <c r="O182" s="326"/>
      <c r="P182" s="213"/>
      <c r="Q182" s="213"/>
      <c r="R182" s="213"/>
      <c r="S182" s="213"/>
      <c r="T182" s="213"/>
      <c r="U182" s="213"/>
      <c r="V182" s="213"/>
      <c r="W182" s="213"/>
      <c r="X182" s="213"/>
      <c r="Y182" s="213"/>
      <c r="Z182" s="213"/>
      <c r="AA182" s="213"/>
      <c r="AB182" s="213"/>
      <c r="AC182" s="213"/>
      <c r="AD182" s="213"/>
      <c r="AE182" s="213"/>
      <c r="AF182" s="213"/>
      <c r="AG182" s="213"/>
      <c r="AH182" s="213"/>
      <c r="AI182" s="213"/>
    </row>
    <row r="183" ht="15.75" customHeight="1">
      <c r="A183" s="213"/>
      <c r="B183" s="213"/>
      <c r="C183" s="213"/>
      <c r="D183" s="216"/>
      <c r="E183" s="216"/>
      <c r="F183" s="216"/>
      <c r="G183" s="216"/>
      <c r="H183" s="216"/>
      <c r="I183" s="216"/>
      <c r="J183" s="216"/>
      <c r="K183" s="216"/>
      <c r="L183" s="216"/>
      <c r="M183" s="216"/>
      <c r="N183" s="216"/>
      <c r="O183" s="326"/>
      <c r="P183" s="213"/>
      <c r="Q183" s="213"/>
      <c r="R183" s="213"/>
      <c r="S183" s="213"/>
      <c r="T183" s="213"/>
      <c r="U183" s="213"/>
      <c r="V183" s="213"/>
      <c r="W183" s="213"/>
      <c r="X183" s="213"/>
      <c r="Y183" s="213"/>
      <c r="Z183" s="213"/>
      <c r="AA183" s="213"/>
      <c r="AB183" s="213"/>
      <c r="AC183" s="213"/>
      <c r="AD183" s="213"/>
      <c r="AE183" s="213"/>
      <c r="AF183" s="213"/>
      <c r="AG183" s="213"/>
      <c r="AH183" s="213"/>
      <c r="AI183" s="213"/>
    </row>
    <row r="184" ht="15.75" customHeight="1">
      <c r="A184" s="213"/>
      <c r="B184" s="213"/>
      <c r="C184" s="213"/>
      <c r="D184" s="213"/>
      <c r="E184" s="213"/>
      <c r="F184" s="213"/>
      <c r="G184" s="213"/>
      <c r="H184" s="213"/>
      <c r="I184" s="213"/>
      <c r="J184" s="213"/>
      <c r="K184" s="213"/>
      <c r="L184" s="213"/>
      <c r="M184" s="213"/>
      <c r="N184" s="213"/>
      <c r="O184" s="326"/>
      <c r="P184" s="213"/>
      <c r="Q184" s="213"/>
      <c r="R184" s="213"/>
      <c r="S184" s="213"/>
      <c r="T184" s="213"/>
      <c r="U184" s="213"/>
      <c r="V184" s="213"/>
      <c r="W184" s="213"/>
      <c r="X184" s="213"/>
      <c r="Y184" s="213"/>
      <c r="Z184" s="213"/>
      <c r="AA184" s="213"/>
      <c r="AB184" s="213"/>
      <c r="AC184" s="213"/>
      <c r="AD184" s="213"/>
      <c r="AE184" s="213"/>
      <c r="AF184" s="213"/>
      <c r="AG184" s="213"/>
      <c r="AH184" s="213"/>
      <c r="AI184" s="213"/>
    </row>
    <row r="185" ht="15.75" customHeight="1">
      <c r="A185" s="213"/>
      <c r="B185" s="213"/>
      <c r="C185" s="213"/>
      <c r="D185" s="213"/>
      <c r="E185" s="213"/>
      <c r="F185" s="213"/>
      <c r="G185" s="213"/>
      <c r="H185" s="213"/>
      <c r="I185" s="213"/>
      <c r="J185" s="213"/>
      <c r="K185" s="213"/>
      <c r="L185" s="213"/>
      <c r="M185" s="213"/>
      <c r="N185" s="213"/>
      <c r="O185" s="326"/>
      <c r="P185" s="213"/>
      <c r="Q185" s="213"/>
      <c r="R185" s="213"/>
      <c r="S185" s="213"/>
      <c r="T185" s="213"/>
      <c r="U185" s="213"/>
      <c r="V185" s="213"/>
      <c r="W185" s="213"/>
      <c r="X185" s="213"/>
      <c r="Y185" s="213"/>
      <c r="Z185" s="213"/>
      <c r="AA185" s="213"/>
      <c r="AB185" s="213"/>
      <c r="AC185" s="213"/>
      <c r="AD185" s="213"/>
      <c r="AE185" s="213"/>
      <c r="AF185" s="213"/>
      <c r="AG185" s="213"/>
      <c r="AH185" s="213"/>
      <c r="AI185" s="213"/>
    </row>
    <row r="186" ht="15.75" customHeight="1">
      <c r="A186" s="213"/>
      <c r="B186" s="213"/>
      <c r="C186" s="213"/>
      <c r="D186" s="213"/>
      <c r="E186" s="213"/>
      <c r="F186" s="213"/>
      <c r="G186" s="213"/>
      <c r="H186" s="213"/>
      <c r="I186" s="213"/>
      <c r="J186" s="213"/>
      <c r="K186" s="213"/>
      <c r="L186" s="213"/>
      <c r="M186" s="213"/>
      <c r="N186" s="213"/>
      <c r="O186" s="326"/>
      <c r="P186" s="213"/>
      <c r="Q186" s="213"/>
      <c r="R186" s="213"/>
      <c r="S186" s="213"/>
      <c r="T186" s="213"/>
      <c r="U186" s="213"/>
      <c r="V186" s="213"/>
      <c r="W186" s="213"/>
      <c r="X186" s="213"/>
      <c r="Y186" s="213"/>
      <c r="Z186" s="213"/>
      <c r="AA186" s="213"/>
      <c r="AB186" s="213"/>
      <c r="AC186" s="213"/>
      <c r="AD186" s="213"/>
      <c r="AE186" s="213"/>
      <c r="AF186" s="213"/>
      <c r="AG186" s="213"/>
      <c r="AH186" s="213"/>
      <c r="AI186" s="213"/>
    </row>
    <row r="187" ht="15.75" customHeight="1">
      <c r="A187" s="213"/>
      <c r="B187" s="213"/>
      <c r="C187" s="213"/>
      <c r="D187" s="213"/>
      <c r="E187" s="213"/>
      <c r="F187" s="213"/>
      <c r="G187" s="213"/>
      <c r="H187" s="213"/>
      <c r="I187" s="213"/>
      <c r="J187" s="213"/>
      <c r="K187" s="213"/>
      <c r="L187" s="213"/>
      <c r="M187" s="213"/>
      <c r="N187" s="213"/>
      <c r="O187" s="326"/>
      <c r="P187" s="213"/>
      <c r="Q187" s="213"/>
      <c r="R187" s="213"/>
      <c r="S187" s="213"/>
      <c r="T187" s="213"/>
      <c r="U187" s="213"/>
      <c r="V187" s="213"/>
      <c r="W187" s="213"/>
      <c r="X187" s="213"/>
      <c r="Y187" s="213"/>
      <c r="Z187" s="213"/>
      <c r="AA187" s="213"/>
      <c r="AB187" s="213"/>
      <c r="AC187" s="213"/>
      <c r="AD187" s="213"/>
      <c r="AE187" s="213"/>
      <c r="AF187" s="213"/>
      <c r="AG187" s="213"/>
      <c r="AH187" s="213"/>
      <c r="AI187" s="213"/>
    </row>
    <row r="188" ht="15.75" customHeight="1">
      <c r="A188" s="213"/>
      <c r="B188" s="213"/>
      <c r="C188" s="213"/>
      <c r="D188" s="213"/>
      <c r="E188" s="213"/>
      <c r="F188" s="213"/>
      <c r="G188" s="213"/>
      <c r="H188" s="213"/>
      <c r="I188" s="213"/>
      <c r="J188" s="213"/>
      <c r="K188" s="213"/>
      <c r="L188" s="213"/>
      <c r="M188" s="213"/>
      <c r="N188" s="213"/>
      <c r="O188" s="326"/>
      <c r="P188" s="213"/>
      <c r="Q188" s="213"/>
      <c r="R188" s="213"/>
      <c r="S188" s="213"/>
      <c r="T188" s="213"/>
      <c r="U188" s="213"/>
      <c r="V188" s="213"/>
      <c r="W188" s="213"/>
      <c r="X188" s="213"/>
      <c r="Y188" s="213"/>
      <c r="Z188" s="213"/>
      <c r="AA188" s="213"/>
      <c r="AB188" s="213"/>
      <c r="AC188" s="213"/>
      <c r="AD188" s="213"/>
      <c r="AE188" s="213"/>
      <c r="AF188" s="213"/>
      <c r="AG188" s="213"/>
      <c r="AH188" s="213"/>
      <c r="AI188" s="213"/>
    </row>
    <row r="189" ht="15.75" customHeight="1">
      <c r="A189" s="213"/>
      <c r="B189" s="213"/>
      <c r="C189" s="213"/>
      <c r="D189" s="213"/>
      <c r="E189" s="213"/>
      <c r="F189" s="213"/>
      <c r="G189" s="213"/>
      <c r="H189" s="213"/>
      <c r="I189" s="213"/>
      <c r="J189" s="213"/>
      <c r="K189" s="213"/>
      <c r="L189" s="213"/>
      <c r="M189" s="213"/>
      <c r="N189" s="213"/>
      <c r="O189" s="326"/>
      <c r="P189" s="213"/>
      <c r="Q189" s="213"/>
      <c r="R189" s="213"/>
      <c r="S189" s="213"/>
      <c r="T189" s="213"/>
      <c r="U189" s="213"/>
      <c r="V189" s="213"/>
      <c r="W189" s="213"/>
      <c r="X189" s="213"/>
      <c r="Y189" s="213"/>
      <c r="Z189" s="213"/>
      <c r="AA189" s="213"/>
      <c r="AB189" s="213"/>
      <c r="AC189" s="213"/>
      <c r="AD189" s="213"/>
      <c r="AE189" s="213"/>
      <c r="AF189" s="213"/>
      <c r="AG189" s="213"/>
      <c r="AH189" s="213"/>
      <c r="AI189" s="213"/>
    </row>
    <row r="190" ht="15.75" customHeight="1">
      <c r="A190" s="213"/>
      <c r="B190" s="213"/>
      <c r="C190" s="213"/>
      <c r="D190" s="213"/>
      <c r="E190" s="213"/>
      <c r="F190" s="213"/>
      <c r="G190" s="213"/>
      <c r="H190" s="213"/>
      <c r="I190" s="213"/>
      <c r="J190" s="213"/>
      <c r="K190" s="213"/>
      <c r="L190" s="213"/>
      <c r="M190" s="213"/>
      <c r="N190" s="213"/>
      <c r="O190" s="326"/>
      <c r="P190" s="213"/>
      <c r="Q190" s="213"/>
      <c r="R190" s="213"/>
      <c r="S190" s="213"/>
      <c r="T190" s="213"/>
      <c r="U190" s="213"/>
      <c r="V190" s="213"/>
      <c r="W190" s="213"/>
      <c r="X190" s="213"/>
      <c r="Y190" s="213"/>
      <c r="Z190" s="213"/>
      <c r="AA190" s="213"/>
      <c r="AB190" s="213"/>
      <c r="AC190" s="213"/>
      <c r="AD190" s="213"/>
      <c r="AE190" s="213"/>
      <c r="AF190" s="213"/>
      <c r="AG190" s="213"/>
      <c r="AH190" s="213"/>
      <c r="AI190" s="213"/>
    </row>
    <row r="191" ht="15.75" customHeight="1">
      <c r="A191" s="213"/>
      <c r="B191" s="213"/>
      <c r="C191" s="213"/>
      <c r="D191" s="213"/>
      <c r="E191" s="213"/>
      <c r="F191" s="213"/>
      <c r="G191" s="213"/>
      <c r="H191" s="213"/>
      <c r="I191" s="213"/>
      <c r="J191" s="213"/>
      <c r="K191" s="213"/>
      <c r="L191" s="213"/>
      <c r="M191" s="213"/>
      <c r="N191" s="213"/>
      <c r="O191" s="326"/>
      <c r="P191" s="213"/>
      <c r="Q191" s="213"/>
      <c r="R191" s="213"/>
      <c r="S191" s="213"/>
      <c r="T191" s="213"/>
      <c r="U191" s="213"/>
      <c r="V191" s="213"/>
      <c r="W191" s="213"/>
      <c r="X191" s="213"/>
      <c r="Y191" s="213"/>
      <c r="Z191" s="213"/>
      <c r="AA191" s="213"/>
      <c r="AB191" s="213"/>
      <c r="AC191" s="213"/>
      <c r="AD191" s="213"/>
      <c r="AE191" s="213"/>
      <c r="AF191" s="213"/>
      <c r="AG191" s="213"/>
      <c r="AH191" s="213"/>
      <c r="AI191" s="213"/>
    </row>
    <row r="192" ht="15.75" customHeight="1">
      <c r="A192" s="213"/>
      <c r="B192" s="213"/>
      <c r="C192" s="213"/>
      <c r="D192" s="213"/>
      <c r="E192" s="213"/>
      <c r="F192" s="213"/>
      <c r="G192" s="213"/>
      <c r="H192" s="213"/>
      <c r="I192" s="213"/>
      <c r="J192" s="213"/>
      <c r="K192" s="213"/>
      <c r="L192" s="213"/>
      <c r="M192" s="213"/>
      <c r="N192" s="213"/>
      <c r="O192" s="326"/>
      <c r="P192" s="213"/>
      <c r="Q192" s="213"/>
      <c r="R192" s="213"/>
      <c r="S192" s="213"/>
      <c r="T192" s="213"/>
      <c r="U192" s="213"/>
      <c r="V192" s="213"/>
      <c r="W192" s="213"/>
      <c r="X192" s="213"/>
      <c r="Y192" s="213"/>
      <c r="Z192" s="213"/>
      <c r="AA192" s="213"/>
      <c r="AB192" s="213"/>
      <c r="AC192" s="213"/>
      <c r="AD192" s="213"/>
      <c r="AE192" s="213"/>
      <c r="AF192" s="213"/>
      <c r="AG192" s="213"/>
      <c r="AH192" s="213"/>
      <c r="AI192" s="213"/>
    </row>
    <row r="193" ht="15.75" customHeight="1">
      <c r="A193" s="213"/>
      <c r="B193" s="213"/>
      <c r="C193" s="213"/>
      <c r="D193" s="213"/>
      <c r="E193" s="213"/>
      <c r="F193" s="213"/>
      <c r="G193" s="213"/>
      <c r="H193" s="213"/>
      <c r="I193" s="213"/>
      <c r="J193" s="213"/>
      <c r="K193" s="213"/>
      <c r="L193" s="213"/>
      <c r="M193" s="213"/>
      <c r="N193" s="213"/>
      <c r="O193" s="326"/>
      <c r="P193" s="213"/>
      <c r="Q193" s="213"/>
      <c r="R193" s="213"/>
      <c r="S193" s="213"/>
      <c r="T193" s="213"/>
      <c r="U193" s="213"/>
      <c r="V193" s="213"/>
      <c r="W193" s="213"/>
      <c r="X193" s="213"/>
      <c r="Y193" s="213"/>
      <c r="Z193" s="213"/>
      <c r="AA193" s="213"/>
      <c r="AB193" s="213"/>
      <c r="AC193" s="213"/>
      <c r="AD193" s="213"/>
      <c r="AE193" s="213"/>
      <c r="AF193" s="213"/>
      <c r="AG193" s="213"/>
      <c r="AH193" s="213"/>
      <c r="AI193" s="213"/>
    </row>
    <row r="194" ht="15.75" customHeight="1">
      <c r="A194" s="213"/>
      <c r="B194" s="213"/>
      <c r="C194" s="213"/>
      <c r="D194" s="213"/>
      <c r="E194" s="213"/>
      <c r="F194" s="213"/>
      <c r="G194" s="213"/>
      <c r="H194" s="213"/>
      <c r="I194" s="213"/>
      <c r="J194" s="213"/>
      <c r="K194" s="213"/>
      <c r="L194" s="213"/>
      <c r="M194" s="213"/>
      <c r="N194" s="213"/>
      <c r="O194" s="326"/>
      <c r="P194" s="213"/>
      <c r="Q194" s="213"/>
      <c r="R194" s="213"/>
      <c r="S194" s="213"/>
      <c r="T194" s="213"/>
      <c r="U194" s="213"/>
      <c r="V194" s="213"/>
      <c r="W194" s="213"/>
      <c r="X194" s="213"/>
      <c r="Y194" s="213"/>
      <c r="Z194" s="213"/>
      <c r="AA194" s="213"/>
      <c r="AB194" s="213"/>
      <c r="AC194" s="213"/>
      <c r="AD194" s="213"/>
      <c r="AE194" s="213"/>
      <c r="AF194" s="213"/>
      <c r="AG194" s="213"/>
      <c r="AH194" s="213"/>
      <c r="AI194" s="213"/>
    </row>
    <row r="195" ht="15.75" customHeight="1">
      <c r="A195" s="213"/>
      <c r="B195" s="213"/>
      <c r="C195" s="213"/>
      <c r="D195" s="213"/>
      <c r="E195" s="213"/>
      <c r="F195" s="213"/>
      <c r="G195" s="213"/>
      <c r="H195" s="213"/>
      <c r="I195" s="213"/>
      <c r="J195" s="213"/>
      <c r="K195" s="213"/>
      <c r="L195" s="213"/>
      <c r="M195" s="213"/>
      <c r="N195" s="213"/>
      <c r="O195" s="326"/>
      <c r="P195" s="213"/>
      <c r="Q195" s="213"/>
      <c r="R195" s="213"/>
      <c r="S195" s="213"/>
      <c r="T195" s="213"/>
      <c r="U195" s="213"/>
      <c r="V195" s="213"/>
      <c r="W195" s="213"/>
      <c r="X195" s="213"/>
      <c r="Y195" s="213"/>
      <c r="Z195" s="213"/>
      <c r="AA195" s="213"/>
      <c r="AB195" s="213"/>
      <c r="AC195" s="213"/>
      <c r="AD195" s="213"/>
      <c r="AE195" s="213"/>
      <c r="AF195" s="213"/>
      <c r="AG195" s="213"/>
      <c r="AH195" s="213"/>
      <c r="AI195" s="213"/>
    </row>
    <row r="196" ht="15.75" customHeight="1">
      <c r="A196" s="213"/>
      <c r="B196" s="213"/>
      <c r="C196" s="213"/>
      <c r="D196" s="213"/>
      <c r="E196" s="213"/>
      <c r="F196" s="213"/>
      <c r="G196" s="213"/>
      <c r="H196" s="213"/>
      <c r="I196" s="213"/>
      <c r="J196" s="213"/>
      <c r="K196" s="213"/>
      <c r="L196" s="213"/>
      <c r="M196" s="213"/>
      <c r="N196" s="213"/>
      <c r="O196" s="326"/>
      <c r="P196" s="213"/>
      <c r="Q196" s="213"/>
      <c r="R196" s="213"/>
      <c r="S196" s="213"/>
      <c r="T196" s="213"/>
      <c r="U196" s="213"/>
      <c r="V196" s="213"/>
      <c r="W196" s="213"/>
      <c r="X196" s="213"/>
      <c r="Y196" s="213"/>
      <c r="Z196" s="213"/>
      <c r="AA196" s="213"/>
      <c r="AB196" s="213"/>
      <c r="AC196" s="213"/>
      <c r="AD196" s="213"/>
      <c r="AE196" s="213"/>
      <c r="AF196" s="213"/>
      <c r="AG196" s="213"/>
      <c r="AH196" s="213"/>
      <c r="AI196" s="213"/>
    </row>
    <row r="197" ht="15.75" customHeight="1">
      <c r="A197" s="213"/>
      <c r="B197" s="213"/>
      <c r="C197" s="213"/>
      <c r="D197" s="213"/>
      <c r="E197" s="213"/>
      <c r="F197" s="213"/>
      <c r="G197" s="213"/>
      <c r="H197" s="213"/>
      <c r="I197" s="213"/>
      <c r="J197" s="213"/>
      <c r="K197" s="213"/>
      <c r="L197" s="213"/>
      <c r="M197" s="213"/>
      <c r="N197" s="213"/>
      <c r="O197" s="326"/>
      <c r="P197" s="213"/>
      <c r="Q197" s="213"/>
      <c r="R197" s="213"/>
      <c r="S197" s="213"/>
      <c r="T197" s="213"/>
      <c r="U197" s="213"/>
      <c r="V197" s="213"/>
      <c r="W197" s="213"/>
      <c r="X197" s="213"/>
      <c r="Y197" s="213"/>
      <c r="Z197" s="213"/>
      <c r="AA197" s="213"/>
      <c r="AB197" s="213"/>
      <c r="AC197" s="213"/>
      <c r="AD197" s="213"/>
      <c r="AE197" s="213"/>
      <c r="AF197" s="213"/>
      <c r="AG197" s="213"/>
      <c r="AH197" s="213"/>
      <c r="AI197" s="213"/>
    </row>
    <row r="198" ht="15.75" customHeight="1">
      <c r="A198" s="213"/>
      <c r="B198" s="213"/>
      <c r="C198" s="213"/>
      <c r="D198" s="213"/>
      <c r="E198" s="213"/>
      <c r="F198" s="213"/>
      <c r="G198" s="213"/>
      <c r="H198" s="213"/>
      <c r="I198" s="213"/>
      <c r="J198" s="213"/>
      <c r="K198" s="213"/>
      <c r="L198" s="213"/>
      <c r="M198" s="213"/>
      <c r="N198" s="213"/>
      <c r="O198" s="326"/>
      <c r="P198" s="213"/>
      <c r="Q198" s="213"/>
      <c r="R198" s="213"/>
      <c r="S198" s="213"/>
      <c r="T198" s="213"/>
      <c r="U198" s="213"/>
      <c r="V198" s="213"/>
      <c r="W198" s="213"/>
      <c r="X198" s="213"/>
      <c r="Y198" s="213"/>
      <c r="Z198" s="213"/>
      <c r="AA198" s="213"/>
      <c r="AB198" s="213"/>
      <c r="AC198" s="213"/>
      <c r="AD198" s="213"/>
      <c r="AE198" s="213"/>
      <c r="AF198" s="213"/>
      <c r="AG198" s="213"/>
      <c r="AH198" s="213"/>
      <c r="AI198" s="213"/>
    </row>
    <row r="199" ht="15.75" customHeight="1">
      <c r="A199" s="213"/>
      <c r="B199" s="213"/>
      <c r="C199" s="213"/>
      <c r="D199" s="213"/>
      <c r="E199" s="213"/>
      <c r="F199" s="213"/>
      <c r="G199" s="213"/>
      <c r="H199" s="213"/>
      <c r="I199" s="213"/>
      <c r="J199" s="213"/>
      <c r="K199" s="213"/>
      <c r="L199" s="213"/>
      <c r="M199" s="213"/>
      <c r="N199" s="213"/>
      <c r="O199" s="326"/>
      <c r="P199" s="213"/>
      <c r="Q199" s="213"/>
      <c r="R199" s="213"/>
      <c r="S199" s="213"/>
      <c r="T199" s="213"/>
      <c r="U199" s="213"/>
      <c r="V199" s="213"/>
      <c r="W199" s="213"/>
      <c r="X199" s="213"/>
      <c r="Y199" s="213"/>
      <c r="Z199" s="213"/>
      <c r="AA199" s="213"/>
      <c r="AB199" s="213"/>
      <c r="AC199" s="213"/>
      <c r="AD199" s="213"/>
      <c r="AE199" s="213"/>
      <c r="AF199" s="213"/>
      <c r="AG199" s="213"/>
      <c r="AH199" s="213"/>
      <c r="AI199" s="213"/>
    </row>
    <row r="200" ht="15.75" customHeight="1">
      <c r="A200" s="213"/>
      <c r="B200" s="213"/>
      <c r="C200" s="213"/>
      <c r="D200" s="213"/>
      <c r="E200" s="213"/>
      <c r="F200" s="213"/>
      <c r="G200" s="213"/>
      <c r="H200" s="213"/>
      <c r="I200" s="213"/>
      <c r="J200" s="213"/>
      <c r="K200" s="213"/>
      <c r="L200" s="213"/>
      <c r="M200" s="213"/>
      <c r="N200" s="213"/>
      <c r="O200" s="326"/>
      <c r="P200" s="213"/>
      <c r="Q200" s="213"/>
      <c r="R200" s="213"/>
      <c r="S200" s="213"/>
      <c r="T200" s="213"/>
      <c r="U200" s="213"/>
      <c r="V200" s="213"/>
      <c r="W200" s="213"/>
      <c r="X200" s="213"/>
      <c r="Y200" s="213"/>
      <c r="Z200" s="213"/>
      <c r="AA200" s="213"/>
      <c r="AB200" s="213"/>
      <c r="AC200" s="213"/>
      <c r="AD200" s="213"/>
      <c r="AE200" s="213"/>
      <c r="AF200" s="213"/>
      <c r="AG200" s="213"/>
      <c r="AH200" s="213"/>
      <c r="AI200" s="213"/>
    </row>
    <row r="201" ht="15.75" customHeight="1">
      <c r="A201" s="213"/>
      <c r="B201" s="213"/>
      <c r="C201" s="213"/>
      <c r="D201" s="213"/>
      <c r="E201" s="213"/>
      <c r="F201" s="213"/>
      <c r="G201" s="213"/>
      <c r="H201" s="213"/>
      <c r="I201" s="213"/>
      <c r="J201" s="213"/>
      <c r="K201" s="213"/>
      <c r="L201" s="213"/>
      <c r="M201" s="213"/>
      <c r="N201" s="213"/>
      <c r="O201" s="326"/>
      <c r="P201" s="213"/>
      <c r="Q201" s="213"/>
      <c r="R201" s="213"/>
      <c r="S201" s="213"/>
      <c r="T201" s="213"/>
      <c r="U201" s="213"/>
      <c r="V201" s="213"/>
      <c r="W201" s="213"/>
      <c r="X201" s="213"/>
      <c r="Y201" s="213"/>
      <c r="Z201" s="213"/>
      <c r="AA201" s="213"/>
      <c r="AB201" s="213"/>
      <c r="AC201" s="213"/>
      <c r="AD201" s="213"/>
      <c r="AE201" s="213"/>
      <c r="AF201" s="213"/>
      <c r="AG201" s="213"/>
      <c r="AH201" s="213"/>
      <c r="AI201" s="213"/>
    </row>
    <row r="202" ht="15.75" customHeight="1">
      <c r="A202" s="213"/>
      <c r="B202" s="213"/>
      <c r="C202" s="213"/>
      <c r="D202" s="213"/>
      <c r="E202" s="213"/>
      <c r="F202" s="213"/>
      <c r="G202" s="213"/>
      <c r="H202" s="213"/>
      <c r="I202" s="213"/>
      <c r="J202" s="213"/>
      <c r="K202" s="213"/>
      <c r="L202" s="213"/>
      <c r="M202" s="213"/>
      <c r="N202" s="213"/>
      <c r="O202" s="326"/>
      <c r="P202" s="213"/>
      <c r="Q202" s="213"/>
      <c r="R202" s="213"/>
      <c r="S202" s="213"/>
      <c r="T202" s="213"/>
      <c r="U202" s="213"/>
      <c r="V202" s="213"/>
      <c r="W202" s="213"/>
      <c r="X202" s="213"/>
      <c r="Y202" s="213"/>
      <c r="Z202" s="213"/>
      <c r="AA202" s="213"/>
      <c r="AB202" s="213"/>
      <c r="AC202" s="213"/>
      <c r="AD202" s="213"/>
      <c r="AE202" s="213"/>
      <c r="AF202" s="213"/>
      <c r="AG202" s="213"/>
      <c r="AH202" s="213"/>
      <c r="AI202" s="213"/>
    </row>
    <row r="203" ht="15.75" customHeight="1">
      <c r="A203" s="213"/>
      <c r="B203" s="213"/>
      <c r="C203" s="213"/>
      <c r="D203" s="213"/>
      <c r="E203" s="213"/>
      <c r="F203" s="213"/>
      <c r="G203" s="213"/>
      <c r="H203" s="213"/>
      <c r="I203" s="213"/>
      <c r="J203" s="213"/>
      <c r="K203" s="213"/>
      <c r="L203" s="213"/>
      <c r="M203" s="213"/>
      <c r="N203" s="213"/>
      <c r="O203" s="326"/>
      <c r="P203" s="213"/>
      <c r="Q203" s="213"/>
      <c r="R203" s="213"/>
      <c r="S203" s="213"/>
      <c r="T203" s="213"/>
      <c r="U203" s="213"/>
      <c r="V203" s="213"/>
      <c r="W203" s="213"/>
      <c r="X203" s="213"/>
      <c r="Y203" s="213"/>
      <c r="Z203" s="213"/>
      <c r="AA203" s="213"/>
      <c r="AB203" s="213"/>
      <c r="AC203" s="213"/>
      <c r="AD203" s="213"/>
      <c r="AE203" s="213"/>
      <c r="AF203" s="213"/>
      <c r="AG203" s="213"/>
      <c r="AH203" s="213"/>
      <c r="AI203" s="213"/>
    </row>
    <row r="204" ht="15.75" customHeight="1">
      <c r="A204" s="213"/>
      <c r="B204" s="213"/>
      <c r="C204" s="213"/>
      <c r="D204" s="213"/>
      <c r="E204" s="213"/>
      <c r="F204" s="213"/>
      <c r="G204" s="213"/>
      <c r="H204" s="213"/>
      <c r="I204" s="213"/>
      <c r="J204" s="213"/>
      <c r="K204" s="213"/>
      <c r="L204" s="213"/>
      <c r="M204" s="213"/>
      <c r="N204" s="213"/>
      <c r="O204" s="326"/>
      <c r="P204" s="213"/>
      <c r="Q204" s="213"/>
      <c r="R204" s="213"/>
      <c r="S204" s="213"/>
      <c r="T204" s="213"/>
      <c r="U204" s="213"/>
      <c r="V204" s="213"/>
      <c r="W204" s="213"/>
      <c r="X204" s="213"/>
      <c r="Y204" s="213"/>
      <c r="Z204" s="213"/>
      <c r="AA204" s="213"/>
      <c r="AB204" s="213"/>
      <c r="AC204" s="213"/>
      <c r="AD204" s="213"/>
      <c r="AE204" s="213"/>
      <c r="AF204" s="213"/>
      <c r="AG204" s="213"/>
      <c r="AH204" s="213"/>
      <c r="AI204" s="213"/>
    </row>
    <row r="205" ht="15.75" customHeight="1">
      <c r="A205" s="213"/>
      <c r="B205" s="213"/>
      <c r="C205" s="213"/>
      <c r="D205" s="213"/>
      <c r="E205" s="213"/>
      <c r="F205" s="213"/>
      <c r="G205" s="213"/>
      <c r="H205" s="213"/>
      <c r="I205" s="213"/>
      <c r="J205" s="213"/>
      <c r="K205" s="213"/>
      <c r="L205" s="213"/>
      <c r="M205" s="213"/>
      <c r="N205" s="213"/>
      <c r="O205" s="326"/>
      <c r="P205" s="213"/>
      <c r="Q205" s="213"/>
      <c r="R205" s="213"/>
      <c r="S205" s="213"/>
      <c r="T205" s="213"/>
      <c r="U205" s="213"/>
      <c r="V205" s="213"/>
      <c r="W205" s="213"/>
      <c r="X205" s="213"/>
      <c r="Y205" s="213"/>
      <c r="Z205" s="213"/>
      <c r="AA205" s="213"/>
      <c r="AB205" s="213"/>
      <c r="AC205" s="213"/>
      <c r="AD205" s="213"/>
      <c r="AE205" s="213"/>
      <c r="AF205" s="213"/>
      <c r="AG205" s="213"/>
      <c r="AH205" s="213"/>
      <c r="AI205" s="213"/>
    </row>
    <row r="206" ht="15.75" customHeight="1">
      <c r="A206" s="213"/>
      <c r="B206" s="213"/>
      <c r="C206" s="213"/>
      <c r="D206" s="213"/>
      <c r="E206" s="213"/>
      <c r="F206" s="213"/>
      <c r="G206" s="213"/>
      <c r="H206" s="213"/>
      <c r="I206" s="213"/>
      <c r="J206" s="213"/>
      <c r="K206" s="213"/>
      <c r="L206" s="213"/>
      <c r="M206" s="213"/>
      <c r="N206" s="213"/>
      <c r="O206" s="326"/>
      <c r="P206" s="213"/>
      <c r="Q206" s="213"/>
      <c r="R206" s="213"/>
      <c r="S206" s="213"/>
      <c r="T206" s="213"/>
      <c r="U206" s="213"/>
      <c r="V206" s="213"/>
      <c r="W206" s="213"/>
      <c r="X206" s="213"/>
      <c r="Y206" s="213"/>
      <c r="Z206" s="213"/>
      <c r="AA206" s="213"/>
      <c r="AB206" s="213"/>
      <c r="AC206" s="213"/>
      <c r="AD206" s="213"/>
      <c r="AE206" s="213"/>
      <c r="AF206" s="213"/>
      <c r="AG206" s="213"/>
      <c r="AH206" s="213"/>
      <c r="AI206" s="213"/>
    </row>
    <row r="207" ht="15.75" customHeight="1">
      <c r="A207" s="213"/>
      <c r="B207" s="213"/>
      <c r="C207" s="213"/>
      <c r="D207" s="213"/>
      <c r="E207" s="213"/>
      <c r="F207" s="213"/>
      <c r="G207" s="213"/>
      <c r="H207" s="213"/>
      <c r="I207" s="213"/>
      <c r="J207" s="213"/>
      <c r="K207" s="213"/>
      <c r="L207" s="213"/>
      <c r="M207" s="213"/>
      <c r="N207" s="213"/>
      <c r="O207" s="326"/>
      <c r="P207" s="213"/>
      <c r="Q207" s="213"/>
      <c r="R207" s="213"/>
      <c r="S207" s="213"/>
      <c r="T207" s="213"/>
      <c r="U207" s="213"/>
      <c r="V207" s="213"/>
      <c r="W207" s="213"/>
      <c r="X207" s="213"/>
      <c r="Y207" s="213"/>
      <c r="Z207" s="213"/>
      <c r="AA207" s="213"/>
      <c r="AB207" s="213"/>
      <c r="AC207" s="213"/>
      <c r="AD207" s="213"/>
      <c r="AE207" s="213"/>
      <c r="AF207" s="213"/>
      <c r="AG207" s="213"/>
      <c r="AH207" s="213"/>
      <c r="AI207" s="213"/>
    </row>
    <row r="208" ht="15.75" customHeight="1">
      <c r="A208" s="213"/>
      <c r="B208" s="213"/>
      <c r="C208" s="213"/>
      <c r="D208" s="213"/>
      <c r="E208" s="213"/>
      <c r="F208" s="213"/>
      <c r="G208" s="213"/>
      <c r="H208" s="213"/>
      <c r="I208" s="213"/>
      <c r="J208" s="213"/>
      <c r="K208" s="213"/>
      <c r="L208" s="213"/>
      <c r="M208" s="213"/>
      <c r="N208" s="213"/>
      <c r="O208" s="326"/>
      <c r="P208" s="213"/>
      <c r="Q208" s="213"/>
      <c r="R208" s="213"/>
      <c r="S208" s="213"/>
      <c r="T208" s="213"/>
      <c r="U208" s="213"/>
      <c r="V208" s="213"/>
      <c r="W208" s="213"/>
      <c r="X208" s="213"/>
      <c r="Y208" s="213"/>
      <c r="Z208" s="213"/>
      <c r="AA208" s="213"/>
      <c r="AB208" s="213"/>
      <c r="AC208" s="213"/>
      <c r="AD208" s="213"/>
      <c r="AE208" s="213"/>
      <c r="AF208" s="213"/>
      <c r="AG208" s="213"/>
      <c r="AH208" s="213"/>
      <c r="AI208" s="213"/>
    </row>
    <row r="209" ht="15.75" customHeight="1">
      <c r="A209" s="213"/>
      <c r="B209" s="213"/>
      <c r="C209" s="213"/>
      <c r="D209" s="213"/>
      <c r="E209" s="213"/>
      <c r="F209" s="213"/>
      <c r="G209" s="213"/>
      <c r="H209" s="213"/>
      <c r="I209" s="213"/>
      <c r="J209" s="213"/>
      <c r="K209" s="213"/>
      <c r="L209" s="213"/>
      <c r="M209" s="213"/>
      <c r="N209" s="213"/>
      <c r="O209" s="326"/>
      <c r="P209" s="213"/>
      <c r="Q209" s="213"/>
      <c r="R209" s="213"/>
      <c r="S209" s="213"/>
      <c r="T209" s="213"/>
      <c r="U209" s="213"/>
      <c r="V209" s="213"/>
      <c r="W209" s="213"/>
      <c r="X209" s="213"/>
      <c r="Y209" s="213"/>
      <c r="Z209" s="213"/>
      <c r="AA209" s="213"/>
      <c r="AB209" s="213"/>
      <c r="AC209" s="213"/>
      <c r="AD209" s="213"/>
      <c r="AE209" s="213"/>
      <c r="AF209" s="213"/>
      <c r="AG209" s="213"/>
      <c r="AH209" s="213"/>
      <c r="AI209" s="213"/>
    </row>
    <row r="210" ht="15.75" customHeight="1">
      <c r="A210" s="213"/>
      <c r="B210" s="213"/>
      <c r="C210" s="213"/>
      <c r="D210" s="213"/>
      <c r="E210" s="213"/>
      <c r="F210" s="213"/>
      <c r="G210" s="213"/>
      <c r="H210" s="213"/>
      <c r="I210" s="213"/>
      <c r="J210" s="213"/>
      <c r="K210" s="213"/>
      <c r="L210" s="213"/>
      <c r="M210" s="213"/>
      <c r="N210" s="213"/>
      <c r="O210" s="326"/>
      <c r="P210" s="213"/>
      <c r="Q210" s="213"/>
      <c r="R210" s="213"/>
      <c r="S210" s="213"/>
      <c r="T210" s="213"/>
      <c r="U210" s="213"/>
      <c r="V210" s="213"/>
      <c r="W210" s="213"/>
      <c r="X210" s="213"/>
      <c r="Y210" s="213"/>
      <c r="Z210" s="213"/>
      <c r="AA210" s="213"/>
      <c r="AB210" s="213"/>
      <c r="AC210" s="213"/>
      <c r="AD210" s="213"/>
      <c r="AE210" s="213"/>
      <c r="AF210" s="213"/>
      <c r="AG210" s="213"/>
      <c r="AH210" s="213"/>
      <c r="AI210" s="213"/>
    </row>
    <row r="211" ht="15.75" customHeight="1">
      <c r="A211" s="213"/>
      <c r="B211" s="213"/>
      <c r="C211" s="213"/>
      <c r="D211" s="213"/>
      <c r="E211" s="213"/>
      <c r="F211" s="213"/>
      <c r="G211" s="213"/>
      <c r="H211" s="213"/>
      <c r="I211" s="213"/>
      <c r="J211" s="213"/>
      <c r="K211" s="213"/>
      <c r="L211" s="213"/>
      <c r="M211" s="213"/>
      <c r="N211" s="213"/>
      <c r="O211" s="326"/>
      <c r="P211" s="213"/>
      <c r="Q211" s="213"/>
      <c r="R211" s="213"/>
      <c r="S211" s="213"/>
      <c r="T211" s="213"/>
      <c r="U211" s="213"/>
      <c r="V211" s="213"/>
      <c r="W211" s="213"/>
      <c r="X211" s="213"/>
      <c r="Y211" s="213"/>
      <c r="Z211" s="213"/>
      <c r="AA211" s="213"/>
      <c r="AB211" s="213"/>
      <c r="AC211" s="213"/>
      <c r="AD211" s="213"/>
      <c r="AE211" s="213"/>
      <c r="AF211" s="213"/>
      <c r="AG211" s="213"/>
      <c r="AH211" s="213"/>
      <c r="AI211" s="213"/>
    </row>
    <row r="212" ht="15.75" customHeight="1">
      <c r="A212" s="213"/>
      <c r="B212" s="213"/>
      <c r="C212" s="213"/>
      <c r="D212" s="213"/>
      <c r="E212" s="213"/>
      <c r="F212" s="213"/>
      <c r="G212" s="213"/>
      <c r="H212" s="213"/>
      <c r="I212" s="213"/>
      <c r="J212" s="213"/>
      <c r="K212" s="213"/>
      <c r="L212" s="213"/>
      <c r="M212" s="213"/>
      <c r="N212" s="213"/>
      <c r="O212" s="326"/>
      <c r="P212" s="213"/>
      <c r="Q212" s="213"/>
      <c r="R212" s="213"/>
      <c r="S212" s="213"/>
      <c r="T212" s="213"/>
      <c r="U212" s="213"/>
      <c r="V212" s="213"/>
      <c r="W212" s="213"/>
      <c r="X212" s="213"/>
      <c r="Y212" s="213"/>
      <c r="Z212" s="213"/>
      <c r="AA212" s="213"/>
      <c r="AB212" s="213"/>
      <c r="AC212" s="213"/>
      <c r="AD212" s="213"/>
      <c r="AE212" s="213"/>
      <c r="AF212" s="213"/>
      <c r="AG212" s="213"/>
      <c r="AH212" s="213"/>
      <c r="AI212" s="213"/>
    </row>
    <row r="213" ht="15.75" customHeight="1">
      <c r="A213" s="213"/>
      <c r="B213" s="213"/>
      <c r="C213" s="213"/>
      <c r="D213" s="213"/>
      <c r="E213" s="213"/>
      <c r="F213" s="213"/>
      <c r="G213" s="213"/>
      <c r="H213" s="213"/>
      <c r="I213" s="213"/>
      <c r="J213" s="213"/>
      <c r="K213" s="213"/>
      <c r="L213" s="213"/>
      <c r="M213" s="213"/>
      <c r="N213" s="213"/>
      <c r="O213" s="326"/>
      <c r="P213" s="213"/>
      <c r="Q213" s="213"/>
      <c r="R213" s="213"/>
      <c r="S213" s="213"/>
      <c r="T213" s="213"/>
      <c r="U213" s="213"/>
      <c r="V213" s="213"/>
      <c r="W213" s="213"/>
      <c r="X213" s="213"/>
      <c r="Y213" s="213"/>
      <c r="Z213" s="213"/>
      <c r="AA213" s="213"/>
      <c r="AB213" s="213"/>
      <c r="AC213" s="213"/>
      <c r="AD213" s="213"/>
      <c r="AE213" s="213"/>
      <c r="AF213" s="213"/>
      <c r="AG213" s="213"/>
      <c r="AH213" s="213"/>
      <c r="AI213" s="213"/>
    </row>
    <row r="214" ht="15.75" customHeight="1">
      <c r="A214" s="213"/>
      <c r="B214" s="213"/>
      <c r="C214" s="213"/>
      <c r="D214" s="213"/>
      <c r="E214" s="213"/>
      <c r="F214" s="213"/>
      <c r="G214" s="213"/>
      <c r="H214" s="213"/>
      <c r="I214" s="213"/>
      <c r="J214" s="213"/>
      <c r="K214" s="213"/>
      <c r="L214" s="213"/>
      <c r="M214" s="213"/>
      <c r="N214" s="213"/>
      <c r="O214" s="326"/>
      <c r="P214" s="213"/>
      <c r="Q214" s="213"/>
      <c r="R214" s="213"/>
      <c r="S214" s="213"/>
      <c r="T214" s="213"/>
      <c r="U214" s="213"/>
      <c r="V214" s="213"/>
      <c r="W214" s="213"/>
      <c r="X214" s="213"/>
      <c r="Y214" s="213"/>
      <c r="Z214" s="213"/>
      <c r="AA214" s="213"/>
      <c r="AB214" s="213"/>
      <c r="AC214" s="213"/>
      <c r="AD214" s="213"/>
      <c r="AE214" s="213"/>
      <c r="AF214" s="213"/>
      <c r="AG214" s="213"/>
      <c r="AH214" s="213"/>
      <c r="AI214" s="213"/>
    </row>
    <row r="215" ht="15.75" customHeight="1">
      <c r="A215" s="213"/>
      <c r="B215" s="213"/>
      <c r="C215" s="213"/>
      <c r="D215" s="213"/>
      <c r="E215" s="213"/>
      <c r="F215" s="213"/>
      <c r="G215" s="213"/>
      <c r="H215" s="213"/>
      <c r="I215" s="213"/>
      <c r="J215" s="213"/>
      <c r="K215" s="213"/>
      <c r="L215" s="213"/>
      <c r="M215" s="213"/>
      <c r="N215" s="213"/>
      <c r="O215" s="326"/>
      <c r="P215" s="213"/>
      <c r="Q215" s="213"/>
      <c r="R215" s="213"/>
      <c r="S215" s="213"/>
      <c r="T215" s="213"/>
      <c r="U215" s="213"/>
      <c r="V215" s="213"/>
      <c r="W215" s="213"/>
      <c r="X215" s="213"/>
      <c r="Y215" s="213"/>
      <c r="Z215" s="213"/>
      <c r="AA215" s="213"/>
      <c r="AB215" s="213"/>
      <c r="AC215" s="213"/>
      <c r="AD215" s="213"/>
      <c r="AE215" s="213"/>
      <c r="AF215" s="213"/>
      <c r="AG215" s="213"/>
      <c r="AH215" s="213"/>
      <c r="AI215" s="213"/>
    </row>
    <row r="216" ht="15.75" customHeight="1">
      <c r="A216" s="213"/>
      <c r="B216" s="213"/>
      <c r="C216" s="213"/>
      <c r="D216" s="213"/>
      <c r="E216" s="213"/>
      <c r="F216" s="213"/>
      <c r="G216" s="213"/>
      <c r="H216" s="213"/>
      <c r="I216" s="213"/>
      <c r="J216" s="213"/>
      <c r="K216" s="213"/>
      <c r="L216" s="213"/>
      <c r="M216" s="213"/>
      <c r="N216" s="213"/>
      <c r="O216" s="326"/>
      <c r="P216" s="213"/>
      <c r="Q216" s="213"/>
      <c r="R216" s="213"/>
      <c r="S216" s="213"/>
      <c r="T216" s="213"/>
      <c r="U216" s="213"/>
      <c r="V216" s="213"/>
      <c r="W216" s="213"/>
      <c r="X216" s="213"/>
      <c r="Y216" s="213"/>
      <c r="Z216" s="213"/>
      <c r="AA216" s="213"/>
      <c r="AB216" s="213"/>
      <c r="AC216" s="213"/>
      <c r="AD216" s="213"/>
      <c r="AE216" s="213"/>
      <c r="AF216" s="213"/>
      <c r="AG216" s="213"/>
      <c r="AH216" s="213"/>
      <c r="AI216" s="213"/>
    </row>
    <row r="217" ht="15.75" customHeight="1">
      <c r="A217" s="213"/>
      <c r="B217" s="213"/>
      <c r="C217" s="213"/>
      <c r="D217" s="213"/>
      <c r="E217" s="213"/>
      <c r="F217" s="213"/>
      <c r="G217" s="213"/>
      <c r="H217" s="213"/>
      <c r="I217" s="213"/>
      <c r="J217" s="213"/>
      <c r="K217" s="213"/>
      <c r="L217" s="213"/>
      <c r="M217" s="213"/>
      <c r="N217" s="213"/>
      <c r="O217" s="326"/>
      <c r="P217" s="213"/>
      <c r="Q217" s="213"/>
      <c r="R217" s="213"/>
      <c r="S217" s="213"/>
      <c r="T217" s="213"/>
      <c r="U217" s="213"/>
      <c r="V217" s="213"/>
      <c r="W217" s="213"/>
      <c r="X217" s="213"/>
      <c r="Y217" s="213"/>
      <c r="Z217" s="213"/>
      <c r="AA217" s="213"/>
      <c r="AB217" s="213"/>
      <c r="AC217" s="213"/>
      <c r="AD217" s="213"/>
      <c r="AE217" s="213"/>
      <c r="AF217" s="213"/>
      <c r="AG217" s="213"/>
      <c r="AH217" s="213"/>
      <c r="AI217" s="213"/>
    </row>
    <row r="218" ht="15.75" customHeight="1">
      <c r="A218" s="213"/>
      <c r="B218" s="213"/>
      <c r="C218" s="213"/>
      <c r="D218" s="213"/>
      <c r="E218" s="213"/>
      <c r="F218" s="213"/>
      <c r="G218" s="213"/>
      <c r="H218" s="213"/>
      <c r="I218" s="213"/>
      <c r="J218" s="213"/>
      <c r="K218" s="213"/>
      <c r="L218" s="213"/>
      <c r="M218" s="213"/>
      <c r="N218" s="213"/>
      <c r="O218" s="326"/>
      <c r="P218" s="213"/>
      <c r="Q218" s="213"/>
      <c r="R218" s="213"/>
      <c r="S218" s="213"/>
      <c r="T218" s="213"/>
      <c r="U218" s="213"/>
      <c r="V218" s="213"/>
      <c r="W218" s="213"/>
      <c r="X218" s="213"/>
      <c r="Y218" s="213"/>
      <c r="Z218" s="213"/>
      <c r="AA218" s="213"/>
      <c r="AB218" s="213"/>
      <c r="AC218" s="213"/>
      <c r="AD218" s="213"/>
      <c r="AE218" s="213"/>
      <c r="AF218" s="213"/>
      <c r="AG218" s="213"/>
      <c r="AH218" s="213"/>
      <c r="AI218" s="213"/>
    </row>
    <row r="219" ht="15.75" customHeight="1">
      <c r="A219" s="213"/>
      <c r="B219" s="213"/>
      <c r="C219" s="213"/>
      <c r="D219" s="213"/>
      <c r="E219" s="213"/>
      <c r="F219" s="213"/>
      <c r="G219" s="213"/>
      <c r="H219" s="213"/>
      <c r="I219" s="213"/>
      <c r="J219" s="213"/>
      <c r="K219" s="213"/>
      <c r="L219" s="213"/>
      <c r="M219" s="213"/>
      <c r="N219" s="213"/>
      <c r="O219" s="326"/>
      <c r="P219" s="213"/>
      <c r="Q219" s="213"/>
      <c r="R219" s="213"/>
      <c r="S219" s="213"/>
      <c r="T219" s="213"/>
      <c r="U219" s="213"/>
      <c r="V219" s="213"/>
      <c r="W219" s="213"/>
      <c r="X219" s="213"/>
      <c r="Y219" s="213"/>
      <c r="Z219" s="213"/>
      <c r="AA219" s="213"/>
      <c r="AB219" s="213"/>
      <c r="AC219" s="213"/>
      <c r="AD219" s="213"/>
      <c r="AE219" s="213"/>
      <c r="AF219" s="213"/>
      <c r="AG219" s="213"/>
      <c r="AH219" s="213"/>
      <c r="AI219" s="213"/>
    </row>
    <row r="220" ht="15.75" customHeight="1">
      <c r="A220" s="213"/>
      <c r="B220" s="213"/>
      <c r="C220" s="213"/>
      <c r="D220" s="213"/>
      <c r="E220" s="213"/>
      <c r="F220" s="213"/>
      <c r="G220" s="213"/>
      <c r="H220" s="213"/>
      <c r="I220" s="213"/>
      <c r="J220" s="213"/>
      <c r="K220" s="213"/>
      <c r="L220" s="213"/>
      <c r="M220" s="213"/>
      <c r="N220" s="213"/>
      <c r="O220" s="326"/>
      <c r="P220" s="213"/>
      <c r="Q220" s="213"/>
      <c r="R220" s="213"/>
      <c r="S220" s="213"/>
      <c r="T220" s="213"/>
      <c r="U220" s="213"/>
      <c r="V220" s="213"/>
      <c r="W220" s="213"/>
      <c r="X220" s="213"/>
      <c r="Y220" s="213"/>
      <c r="Z220" s="213"/>
      <c r="AA220" s="213"/>
      <c r="AB220" s="213"/>
      <c r="AC220" s="213"/>
      <c r="AD220" s="213"/>
      <c r="AE220" s="213"/>
      <c r="AF220" s="213"/>
      <c r="AG220" s="213"/>
      <c r="AH220" s="213"/>
      <c r="AI220" s="213"/>
    </row>
    <row r="221" ht="15.75" customHeight="1">
      <c r="A221" s="213"/>
      <c r="B221" s="213"/>
      <c r="C221" s="213"/>
      <c r="D221" s="213"/>
      <c r="E221" s="213"/>
      <c r="F221" s="213"/>
      <c r="G221" s="213"/>
      <c r="H221" s="213"/>
      <c r="I221" s="213"/>
      <c r="J221" s="213"/>
      <c r="K221" s="213"/>
      <c r="L221" s="213"/>
      <c r="M221" s="213"/>
      <c r="N221" s="213"/>
      <c r="O221" s="326"/>
      <c r="P221" s="213"/>
      <c r="Q221" s="213"/>
      <c r="R221" s="213"/>
      <c r="S221" s="213"/>
      <c r="T221" s="213"/>
      <c r="U221" s="213"/>
      <c r="V221" s="213"/>
      <c r="W221" s="213"/>
      <c r="X221" s="213"/>
      <c r="Y221" s="213"/>
      <c r="Z221" s="213"/>
      <c r="AA221" s="213"/>
      <c r="AB221" s="213"/>
      <c r="AC221" s="213"/>
      <c r="AD221" s="213"/>
      <c r="AE221" s="213"/>
      <c r="AF221" s="213"/>
      <c r="AG221" s="213"/>
      <c r="AH221" s="213"/>
      <c r="AI221" s="213"/>
    </row>
    <row r="222" ht="15.75" customHeight="1">
      <c r="A222" s="213"/>
      <c r="B222" s="213"/>
      <c r="C222" s="213"/>
      <c r="D222" s="213"/>
      <c r="E222" s="213"/>
      <c r="F222" s="213"/>
      <c r="G222" s="213"/>
      <c r="H222" s="213"/>
      <c r="I222" s="213"/>
      <c r="J222" s="213"/>
      <c r="K222" s="213"/>
      <c r="L222" s="213"/>
      <c r="M222" s="213"/>
      <c r="N222" s="213"/>
      <c r="O222" s="326"/>
      <c r="P222" s="213"/>
      <c r="Q222" s="213"/>
      <c r="R222" s="213"/>
      <c r="S222" s="213"/>
      <c r="T222" s="213"/>
      <c r="U222" s="213"/>
      <c r="V222" s="213"/>
      <c r="W222" s="213"/>
      <c r="X222" s="213"/>
      <c r="Y222" s="213"/>
      <c r="Z222" s="213"/>
      <c r="AA222" s="213"/>
      <c r="AB222" s="213"/>
      <c r="AC222" s="213"/>
      <c r="AD222" s="213"/>
      <c r="AE222" s="213"/>
      <c r="AF222" s="213"/>
      <c r="AG222" s="213"/>
      <c r="AH222" s="213"/>
      <c r="AI222" s="213"/>
    </row>
    <row r="223" ht="15.75" customHeight="1">
      <c r="A223" s="213"/>
      <c r="B223" s="213"/>
      <c r="C223" s="213"/>
      <c r="D223" s="213"/>
      <c r="E223" s="213"/>
      <c r="F223" s="213"/>
      <c r="G223" s="213"/>
      <c r="H223" s="213"/>
      <c r="I223" s="213"/>
      <c r="J223" s="213"/>
      <c r="K223" s="213"/>
      <c r="L223" s="213"/>
      <c r="M223" s="213"/>
      <c r="N223" s="213"/>
      <c r="O223" s="326"/>
      <c r="P223" s="213"/>
      <c r="Q223" s="213"/>
      <c r="R223" s="213"/>
      <c r="S223" s="213"/>
      <c r="T223" s="213"/>
      <c r="U223" s="213"/>
      <c r="V223" s="213"/>
      <c r="W223" s="213"/>
      <c r="X223" s="213"/>
      <c r="Y223" s="213"/>
      <c r="Z223" s="213"/>
      <c r="AA223" s="213"/>
      <c r="AB223" s="213"/>
      <c r="AC223" s="213"/>
      <c r="AD223" s="213"/>
      <c r="AE223" s="213"/>
      <c r="AF223" s="213"/>
      <c r="AG223" s="213"/>
      <c r="AH223" s="213"/>
      <c r="AI223" s="213"/>
    </row>
    <row r="224" ht="15.75" customHeight="1">
      <c r="A224" s="213"/>
      <c r="B224" s="213"/>
      <c r="C224" s="213"/>
      <c r="D224" s="213"/>
      <c r="E224" s="213"/>
      <c r="F224" s="213"/>
      <c r="G224" s="213"/>
      <c r="H224" s="213"/>
      <c r="I224" s="213"/>
      <c r="J224" s="213"/>
      <c r="K224" s="213"/>
      <c r="L224" s="213"/>
      <c r="M224" s="213"/>
      <c r="N224" s="213"/>
      <c r="O224" s="326"/>
      <c r="P224" s="213"/>
      <c r="Q224" s="213"/>
      <c r="R224" s="213"/>
      <c r="S224" s="213"/>
      <c r="T224" s="213"/>
      <c r="U224" s="213"/>
      <c r="V224" s="213"/>
      <c r="W224" s="213"/>
      <c r="X224" s="213"/>
      <c r="Y224" s="213"/>
      <c r="Z224" s="213"/>
      <c r="AA224" s="213"/>
      <c r="AB224" s="213"/>
      <c r="AC224" s="213"/>
      <c r="AD224" s="213"/>
      <c r="AE224" s="213"/>
      <c r="AF224" s="213"/>
      <c r="AG224" s="213"/>
      <c r="AH224" s="213"/>
      <c r="AI224" s="213"/>
    </row>
    <row r="225" ht="15.75" customHeight="1">
      <c r="A225" s="213"/>
      <c r="B225" s="213"/>
      <c r="C225" s="213"/>
      <c r="D225" s="213"/>
      <c r="E225" s="213"/>
      <c r="F225" s="213"/>
      <c r="G225" s="213"/>
      <c r="H225" s="213"/>
      <c r="I225" s="213"/>
      <c r="J225" s="213"/>
      <c r="K225" s="213"/>
      <c r="L225" s="213"/>
      <c r="M225" s="213"/>
      <c r="N225" s="213"/>
      <c r="O225" s="326"/>
      <c r="P225" s="213"/>
      <c r="Q225" s="213"/>
      <c r="R225" s="213"/>
      <c r="S225" s="213"/>
      <c r="T225" s="213"/>
      <c r="U225" s="213"/>
      <c r="V225" s="213"/>
      <c r="W225" s="213"/>
      <c r="X225" s="213"/>
      <c r="Y225" s="213"/>
      <c r="Z225" s="213"/>
      <c r="AA225" s="213"/>
      <c r="AB225" s="213"/>
      <c r="AC225" s="213"/>
      <c r="AD225" s="213"/>
      <c r="AE225" s="213"/>
      <c r="AF225" s="213"/>
      <c r="AG225" s="213"/>
      <c r="AH225" s="213"/>
      <c r="AI225" s="213"/>
    </row>
    <row r="226" ht="15.75" customHeight="1">
      <c r="A226" s="213"/>
      <c r="B226" s="213"/>
      <c r="C226" s="213"/>
      <c r="D226" s="213"/>
      <c r="E226" s="213"/>
      <c r="F226" s="213"/>
      <c r="G226" s="213"/>
      <c r="H226" s="213"/>
      <c r="I226" s="213"/>
      <c r="J226" s="213"/>
      <c r="K226" s="213"/>
      <c r="L226" s="213"/>
      <c r="M226" s="213"/>
      <c r="N226" s="213"/>
      <c r="O226" s="326"/>
      <c r="P226" s="213"/>
      <c r="Q226" s="213"/>
      <c r="R226" s="213"/>
      <c r="S226" s="213"/>
      <c r="T226" s="213"/>
      <c r="U226" s="213"/>
      <c r="V226" s="213"/>
      <c r="W226" s="213"/>
      <c r="X226" s="213"/>
      <c r="Y226" s="213"/>
      <c r="Z226" s="213"/>
      <c r="AA226" s="213"/>
      <c r="AB226" s="213"/>
      <c r="AC226" s="213"/>
      <c r="AD226" s="213"/>
      <c r="AE226" s="213"/>
      <c r="AF226" s="213"/>
      <c r="AG226" s="213"/>
      <c r="AH226" s="213"/>
      <c r="AI226" s="213"/>
    </row>
    <row r="227" ht="15.75" customHeight="1">
      <c r="A227" s="213"/>
      <c r="B227" s="213"/>
      <c r="C227" s="213"/>
      <c r="D227" s="213"/>
      <c r="E227" s="213"/>
      <c r="F227" s="213"/>
      <c r="G227" s="213"/>
      <c r="H227" s="213"/>
      <c r="I227" s="213"/>
      <c r="J227" s="213"/>
      <c r="K227" s="213"/>
      <c r="L227" s="213"/>
      <c r="M227" s="213"/>
      <c r="N227" s="213"/>
      <c r="O227" s="326"/>
      <c r="P227" s="213"/>
      <c r="Q227" s="213"/>
      <c r="R227" s="213"/>
      <c r="S227" s="213"/>
      <c r="T227" s="213"/>
      <c r="U227" s="213"/>
      <c r="V227" s="213"/>
      <c r="W227" s="213"/>
      <c r="X227" s="213"/>
      <c r="Y227" s="213"/>
      <c r="Z227" s="213"/>
      <c r="AA227" s="213"/>
      <c r="AB227" s="213"/>
      <c r="AC227" s="213"/>
      <c r="AD227" s="213"/>
      <c r="AE227" s="213"/>
      <c r="AF227" s="213"/>
      <c r="AG227" s="213"/>
      <c r="AH227" s="213"/>
      <c r="AI227" s="213"/>
    </row>
    <row r="228" ht="15.75" customHeight="1">
      <c r="A228" s="213"/>
      <c r="B228" s="213"/>
      <c r="C228" s="213"/>
      <c r="D228" s="213"/>
      <c r="E228" s="213"/>
      <c r="F228" s="213"/>
      <c r="G228" s="213"/>
      <c r="H228" s="213"/>
      <c r="I228" s="213"/>
      <c r="J228" s="213"/>
      <c r="K228" s="213"/>
      <c r="L228" s="213"/>
      <c r="M228" s="213"/>
      <c r="N228" s="213"/>
      <c r="O228" s="326"/>
      <c r="P228" s="213"/>
      <c r="Q228" s="213"/>
      <c r="R228" s="213"/>
      <c r="S228" s="213"/>
      <c r="T228" s="213"/>
      <c r="U228" s="213"/>
      <c r="V228" s="213"/>
      <c r="W228" s="213"/>
      <c r="X228" s="213"/>
      <c r="Y228" s="213"/>
      <c r="Z228" s="213"/>
      <c r="AA228" s="213"/>
      <c r="AB228" s="213"/>
      <c r="AC228" s="213"/>
      <c r="AD228" s="213"/>
      <c r="AE228" s="213"/>
      <c r="AF228" s="213"/>
      <c r="AG228" s="213"/>
      <c r="AH228" s="213"/>
      <c r="AI228" s="213"/>
    </row>
    <row r="229" ht="15.75" customHeight="1">
      <c r="A229" s="213"/>
      <c r="B229" s="213"/>
      <c r="C229" s="213"/>
      <c r="D229" s="213"/>
      <c r="E229" s="213"/>
      <c r="F229" s="213"/>
      <c r="G229" s="213"/>
      <c r="H229" s="213"/>
      <c r="I229" s="213"/>
      <c r="J229" s="213"/>
      <c r="K229" s="213"/>
      <c r="L229" s="213"/>
      <c r="M229" s="213"/>
      <c r="N229" s="213"/>
      <c r="O229" s="326"/>
      <c r="P229" s="213"/>
      <c r="Q229" s="213"/>
      <c r="R229" s="213"/>
      <c r="S229" s="213"/>
      <c r="T229" s="213"/>
      <c r="U229" s="213"/>
      <c r="V229" s="213"/>
      <c r="W229" s="213"/>
      <c r="X229" s="213"/>
      <c r="Y229" s="213"/>
      <c r="Z229" s="213"/>
      <c r="AA229" s="213"/>
      <c r="AB229" s="213"/>
      <c r="AC229" s="213"/>
      <c r="AD229" s="213"/>
      <c r="AE229" s="213"/>
      <c r="AF229" s="213"/>
      <c r="AG229" s="213"/>
      <c r="AH229" s="213"/>
      <c r="AI229" s="213"/>
    </row>
    <row r="230" ht="15.75" customHeight="1">
      <c r="A230" s="213"/>
      <c r="B230" s="213"/>
      <c r="C230" s="213"/>
      <c r="D230" s="213"/>
      <c r="E230" s="213"/>
      <c r="F230" s="213"/>
      <c r="G230" s="213"/>
      <c r="H230" s="213"/>
      <c r="I230" s="213"/>
      <c r="J230" s="213"/>
      <c r="K230" s="213"/>
      <c r="L230" s="213"/>
      <c r="M230" s="213"/>
      <c r="N230" s="213"/>
      <c r="O230" s="326"/>
      <c r="P230" s="213"/>
      <c r="Q230" s="213"/>
      <c r="R230" s="213"/>
      <c r="S230" s="213"/>
      <c r="T230" s="213"/>
      <c r="U230" s="213"/>
      <c r="V230" s="213"/>
      <c r="W230" s="213"/>
      <c r="X230" s="213"/>
      <c r="Y230" s="213"/>
      <c r="Z230" s="213"/>
      <c r="AA230" s="213"/>
      <c r="AB230" s="213"/>
      <c r="AC230" s="213"/>
      <c r="AD230" s="213"/>
      <c r="AE230" s="213"/>
      <c r="AF230" s="213"/>
      <c r="AG230" s="213"/>
      <c r="AH230" s="213"/>
      <c r="AI230" s="213"/>
    </row>
    <row r="231" ht="15.75" customHeight="1">
      <c r="A231" s="213"/>
      <c r="B231" s="213"/>
      <c r="C231" s="213"/>
      <c r="D231" s="213"/>
      <c r="E231" s="213"/>
      <c r="F231" s="213"/>
      <c r="G231" s="213"/>
      <c r="H231" s="213"/>
      <c r="I231" s="213"/>
      <c r="J231" s="213"/>
      <c r="K231" s="213"/>
      <c r="L231" s="213"/>
      <c r="M231" s="213"/>
      <c r="N231" s="213"/>
      <c r="O231" s="326"/>
      <c r="P231" s="213"/>
      <c r="Q231" s="213"/>
      <c r="R231" s="213"/>
      <c r="S231" s="213"/>
      <c r="T231" s="213"/>
      <c r="U231" s="213"/>
      <c r="V231" s="213"/>
      <c r="W231" s="213"/>
      <c r="X231" s="213"/>
      <c r="Y231" s="213"/>
      <c r="Z231" s="213"/>
      <c r="AA231" s="213"/>
      <c r="AB231" s="213"/>
      <c r="AC231" s="213"/>
      <c r="AD231" s="213"/>
      <c r="AE231" s="213"/>
      <c r="AF231" s="213"/>
      <c r="AG231" s="213"/>
      <c r="AH231" s="213"/>
      <c r="AI231" s="213"/>
    </row>
    <row r="232" ht="15.75" customHeight="1">
      <c r="A232" s="213"/>
      <c r="B232" s="213"/>
      <c r="C232" s="213"/>
      <c r="D232" s="213"/>
      <c r="E232" s="213"/>
      <c r="F232" s="213"/>
      <c r="G232" s="213"/>
      <c r="H232" s="213"/>
      <c r="I232" s="213"/>
      <c r="J232" s="213"/>
      <c r="K232" s="213"/>
      <c r="L232" s="213"/>
      <c r="M232" s="213"/>
      <c r="N232" s="213"/>
      <c r="O232" s="326"/>
      <c r="P232" s="213"/>
      <c r="Q232" s="213"/>
      <c r="R232" s="213"/>
      <c r="S232" s="213"/>
      <c r="T232" s="213"/>
      <c r="U232" s="213"/>
      <c r="V232" s="213"/>
      <c r="W232" s="213"/>
      <c r="X232" s="213"/>
      <c r="Y232" s="213"/>
      <c r="Z232" s="213"/>
      <c r="AA232" s="213"/>
      <c r="AB232" s="213"/>
      <c r="AC232" s="213"/>
      <c r="AD232" s="213"/>
      <c r="AE232" s="213"/>
      <c r="AF232" s="213"/>
      <c r="AG232" s="213"/>
      <c r="AH232" s="213"/>
      <c r="AI232" s="213"/>
    </row>
    <row r="233" ht="15.75" customHeight="1">
      <c r="A233" s="213"/>
      <c r="B233" s="213"/>
      <c r="C233" s="213"/>
      <c r="D233" s="213"/>
      <c r="E233" s="213"/>
      <c r="F233" s="213"/>
      <c r="G233" s="213"/>
      <c r="H233" s="213"/>
      <c r="I233" s="213"/>
      <c r="J233" s="213"/>
      <c r="K233" s="213"/>
      <c r="L233" s="213"/>
      <c r="M233" s="213"/>
      <c r="N233" s="213"/>
      <c r="O233" s="326"/>
      <c r="P233" s="213"/>
      <c r="Q233" s="213"/>
      <c r="R233" s="213"/>
      <c r="S233" s="213"/>
      <c r="T233" s="213"/>
      <c r="U233" s="213"/>
      <c r="V233" s="213"/>
      <c r="W233" s="213"/>
      <c r="X233" s="213"/>
      <c r="Y233" s="213"/>
      <c r="Z233" s="213"/>
      <c r="AA233" s="213"/>
      <c r="AB233" s="213"/>
      <c r="AC233" s="213"/>
      <c r="AD233" s="213"/>
      <c r="AE233" s="213"/>
      <c r="AF233" s="213"/>
      <c r="AG233" s="213"/>
      <c r="AH233" s="213"/>
      <c r="AI233" s="213"/>
    </row>
    <row r="234" ht="15.75" customHeight="1">
      <c r="A234" s="213"/>
      <c r="B234" s="213"/>
      <c r="C234" s="213"/>
      <c r="D234" s="213"/>
      <c r="E234" s="213"/>
      <c r="F234" s="213"/>
      <c r="G234" s="213"/>
      <c r="H234" s="213"/>
      <c r="I234" s="213"/>
      <c r="J234" s="213"/>
      <c r="K234" s="213"/>
      <c r="L234" s="213"/>
      <c r="M234" s="213"/>
      <c r="N234" s="213"/>
      <c r="O234" s="326"/>
      <c r="P234" s="213"/>
      <c r="Q234" s="213"/>
      <c r="R234" s="213"/>
      <c r="S234" s="213"/>
      <c r="T234" s="213"/>
      <c r="U234" s="213"/>
      <c r="V234" s="213"/>
      <c r="W234" s="213"/>
      <c r="X234" s="213"/>
      <c r="Y234" s="213"/>
      <c r="Z234" s="213"/>
      <c r="AA234" s="213"/>
      <c r="AB234" s="213"/>
      <c r="AC234" s="213"/>
      <c r="AD234" s="213"/>
      <c r="AE234" s="213"/>
      <c r="AF234" s="213"/>
      <c r="AG234" s="213"/>
      <c r="AH234" s="213"/>
      <c r="AI234" s="213"/>
    </row>
    <row r="235" ht="15.75" customHeight="1">
      <c r="A235" s="213"/>
      <c r="B235" s="213"/>
      <c r="C235" s="213"/>
      <c r="D235" s="213"/>
      <c r="E235" s="213"/>
      <c r="F235" s="213"/>
      <c r="G235" s="213"/>
      <c r="H235" s="213"/>
      <c r="I235" s="213"/>
      <c r="J235" s="213"/>
      <c r="K235" s="213"/>
      <c r="L235" s="213"/>
      <c r="M235" s="213"/>
      <c r="N235" s="213"/>
      <c r="O235" s="326"/>
      <c r="P235" s="213"/>
      <c r="Q235" s="213"/>
      <c r="R235" s="213"/>
      <c r="S235" s="213"/>
      <c r="T235" s="213"/>
      <c r="U235" s="213"/>
      <c r="V235" s="213"/>
      <c r="W235" s="213"/>
      <c r="X235" s="213"/>
      <c r="Y235" s="213"/>
      <c r="Z235" s="213"/>
      <c r="AA235" s="213"/>
      <c r="AB235" s="213"/>
      <c r="AC235" s="213"/>
      <c r="AD235" s="213"/>
      <c r="AE235" s="213"/>
      <c r="AF235" s="213"/>
      <c r="AG235" s="213"/>
      <c r="AH235" s="213"/>
      <c r="AI235" s="213"/>
    </row>
    <row r="236" ht="15.75" customHeight="1">
      <c r="A236" s="213"/>
      <c r="B236" s="213"/>
      <c r="C236" s="213"/>
      <c r="D236" s="213"/>
      <c r="E236" s="213"/>
      <c r="F236" s="213"/>
      <c r="G236" s="213"/>
      <c r="H236" s="213"/>
      <c r="I236" s="213"/>
      <c r="J236" s="213"/>
      <c r="K236" s="213"/>
      <c r="L236" s="213"/>
      <c r="M236" s="213"/>
      <c r="N236" s="213"/>
      <c r="O236" s="326"/>
      <c r="P236" s="213"/>
      <c r="Q236" s="213"/>
      <c r="R236" s="213"/>
      <c r="S236" s="213"/>
      <c r="T236" s="213"/>
      <c r="U236" s="213"/>
      <c r="V236" s="213"/>
      <c r="W236" s="213"/>
      <c r="X236" s="213"/>
      <c r="Y236" s="213"/>
      <c r="Z236" s="213"/>
      <c r="AA236" s="213"/>
      <c r="AB236" s="213"/>
      <c r="AC236" s="213"/>
      <c r="AD236" s="213"/>
      <c r="AE236" s="213"/>
      <c r="AF236" s="213"/>
      <c r="AG236" s="213"/>
      <c r="AH236" s="213"/>
      <c r="AI236" s="213"/>
    </row>
    <row r="237" ht="15.75" customHeight="1">
      <c r="A237" s="213"/>
      <c r="B237" s="213"/>
      <c r="C237" s="213"/>
      <c r="D237" s="213"/>
      <c r="E237" s="213"/>
      <c r="F237" s="213"/>
      <c r="G237" s="213"/>
      <c r="H237" s="213"/>
      <c r="I237" s="213"/>
      <c r="J237" s="213"/>
      <c r="K237" s="213"/>
      <c r="L237" s="213"/>
      <c r="M237" s="213"/>
      <c r="N237" s="213"/>
      <c r="O237" s="326"/>
      <c r="P237" s="213"/>
      <c r="Q237" s="213"/>
      <c r="R237" s="213"/>
      <c r="S237" s="213"/>
      <c r="T237" s="213"/>
      <c r="U237" s="213"/>
      <c r="V237" s="213"/>
      <c r="W237" s="213"/>
      <c r="X237" s="213"/>
      <c r="Y237" s="213"/>
      <c r="Z237" s="213"/>
      <c r="AA237" s="213"/>
      <c r="AB237" s="213"/>
      <c r="AC237" s="213"/>
      <c r="AD237" s="213"/>
      <c r="AE237" s="213"/>
      <c r="AF237" s="213"/>
      <c r="AG237" s="213"/>
      <c r="AH237" s="213"/>
      <c r="AI237" s="213"/>
    </row>
    <row r="238" ht="15.75" customHeight="1">
      <c r="A238" s="213"/>
      <c r="B238" s="213"/>
      <c r="C238" s="213"/>
      <c r="D238" s="213"/>
      <c r="E238" s="213"/>
      <c r="F238" s="213"/>
      <c r="G238" s="213"/>
      <c r="H238" s="213"/>
      <c r="I238" s="213"/>
      <c r="J238" s="213"/>
      <c r="K238" s="213"/>
      <c r="L238" s="213"/>
      <c r="M238" s="213"/>
      <c r="N238" s="213"/>
      <c r="O238" s="326"/>
      <c r="P238" s="213"/>
      <c r="Q238" s="213"/>
      <c r="R238" s="213"/>
      <c r="S238" s="213"/>
      <c r="T238" s="213"/>
      <c r="U238" s="213"/>
      <c r="V238" s="213"/>
      <c r="W238" s="213"/>
      <c r="X238" s="213"/>
      <c r="Y238" s="213"/>
      <c r="Z238" s="213"/>
      <c r="AA238" s="213"/>
      <c r="AB238" s="213"/>
      <c r="AC238" s="213"/>
      <c r="AD238" s="213"/>
      <c r="AE238" s="213"/>
      <c r="AF238" s="213"/>
      <c r="AG238" s="213"/>
      <c r="AH238" s="213"/>
      <c r="AI238" s="213"/>
    </row>
    <row r="239" ht="15.75" customHeight="1">
      <c r="A239" s="213"/>
      <c r="B239" s="213"/>
      <c r="C239" s="213"/>
      <c r="D239" s="213"/>
      <c r="E239" s="213"/>
      <c r="F239" s="213"/>
      <c r="G239" s="213"/>
      <c r="H239" s="213"/>
      <c r="I239" s="213"/>
      <c r="J239" s="213"/>
      <c r="K239" s="213"/>
      <c r="L239" s="213"/>
      <c r="M239" s="213"/>
      <c r="N239" s="213"/>
      <c r="O239" s="326"/>
      <c r="P239" s="213"/>
      <c r="Q239" s="213"/>
      <c r="R239" s="213"/>
      <c r="S239" s="213"/>
      <c r="T239" s="213"/>
      <c r="U239" s="213"/>
      <c r="V239" s="213"/>
      <c r="W239" s="213"/>
      <c r="X239" s="213"/>
      <c r="Y239" s="213"/>
      <c r="Z239" s="213"/>
      <c r="AA239" s="213"/>
      <c r="AB239" s="213"/>
      <c r="AC239" s="213"/>
      <c r="AD239" s="213"/>
      <c r="AE239" s="213"/>
      <c r="AF239" s="213"/>
      <c r="AG239" s="213"/>
      <c r="AH239" s="213"/>
      <c r="AI239" s="213"/>
    </row>
    <row r="240" ht="15.75" customHeight="1">
      <c r="A240" s="213"/>
      <c r="B240" s="213"/>
      <c r="C240" s="213"/>
      <c r="D240" s="213"/>
      <c r="E240" s="213"/>
      <c r="F240" s="213"/>
      <c r="G240" s="213"/>
      <c r="H240" s="213"/>
      <c r="I240" s="213"/>
      <c r="J240" s="213"/>
      <c r="K240" s="213"/>
      <c r="L240" s="213"/>
      <c r="M240" s="213"/>
      <c r="N240" s="213"/>
      <c r="O240" s="326"/>
      <c r="P240" s="213"/>
      <c r="Q240" s="213"/>
      <c r="R240" s="213"/>
      <c r="S240" s="213"/>
      <c r="T240" s="213"/>
      <c r="U240" s="213"/>
      <c r="V240" s="213"/>
      <c r="W240" s="213"/>
      <c r="X240" s="213"/>
      <c r="Y240" s="213"/>
      <c r="Z240" s="213"/>
      <c r="AA240" s="213"/>
      <c r="AB240" s="213"/>
      <c r="AC240" s="213"/>
      <c r="AD240" s="213"/>
      <c r="AE240" s="213"/>
      <c r="AF240" s="213"/>
      <c r="AG240" s="213"/>
      <c r="AH240" s="213"/>
      <c r="AI240" s="213"/>
    </row>
    <row r="241" ht="15.75" customHeight="1">
      <c r="A241" s="213"/>
      <c r="B241" s="213"/>
      <c r="C241" s="213"/>
      <c r="D241" s="213"/>
      <c r="E241" s="213"/>
      <c r="F241" s="213"/>
      <c r="G241" s="213"/>
      <c r="H241" s="213"/>
      <c r="I241" s="213"/>
      <c r="J241" s="213"/>
      <c r="K241" s="213"/>
      <c r="L241" s="213"/>
      <c r="M241" s="213"/>
      <c r="N241" s="213"/>
      <c r="O241" s="326"/>
      <c r="P241" s="213"/>
      <c r="Q241" s="213"/>
      <c r="R241" s="213"/>
      <c r="S241" s="213"/>
      <c r="T241" s="213"/>
      <c r="U241" s="213"/>
      <c r="V241" s="213"/>
      <c r="W241" s="213"/>
      <c r="X241" s="213"/>
      <c r="Y241" s="213"/>
      <c r="Z241" s="213"/>
      <c r="AA241" s="213"/>
      <c r="AB241" s="213"/>
      <c r="AC241" s="213"/>
      <c r="AD241" s="213"/>
      <c r="AE241" s="213"/>
      <c r="AF241" s="213"/>
      <c r="AG241" s="213"/>
      <c r="AH241" s="213"/>
      <c r="AI241" s="213"/>
    </row>
    <row r="242" ht="15.75" customHeight="1">
      <c r="A242" s="213"/>
      <c r="B242" s="213"/>
      <c r="C242" s="213"/>
      <c r="D242" s="213"/>
      <c r="E242" s="213"/>
      <c r="F242" s="213"/>
      <c r="G242" s="213"/>
      <c r="H242" s="213"/>
      <c r="I242" s="213"/>
      <c r="J242" s="213"/>
      <c r="K242" s="213"/>
      <c r="L242" s="213"/>
      <c r="M242" s="213"/>
      <c r="N242" s="213"/>
      <c r="O242" s="326"/>
      <c r="P242" s="213"/>
      <c r="Q242" s="213"/>
      <c r="R242" s="213"/>
      <c r="S242" s="213"/>
      <c r="T242" s="213"/>
      <c r="U242" s="213"/>
      <c r="V242" s="213"/>
      <c r="W242" s="213"/>
      <c r="X242" s="213"/>
      <c r="Y242" s="213"/>
      <c r="Z242" s="213"/>
      <c r="AA242" s="213"/>
      <c r="AB242" s="213"/>
      <c r="AC242" s="213"/>
      <c r="AD242" s="213"/>
      <c r="AE242" s="213"/>
      <c r="AF242" s="213"/>
      <c r="AG242" s="213"/>
      <c r="AH242" s="213"/>
      <c r="AI242" s="213"/>
    </row>
    <row r="243" ht="15.75" customHeight="1">
      <c r="A243" s="213"/>
      <c r="B243" s="213"/>
      <c r="C243" s="213"/>
      <c r="D243" s="213"/>
      <c r="E243" s="213"/>
      <c r="F243" s="213"/>
      <c r="G243" s="213"/>
      <c r="H243" s="213"/>
      <c r="I243" s="213"/>
      <c r="J243" s="213"/>
      <c r="K243" s="213"/>
      <c r="L243" s="213"/>
      <c r="M243" s="213"/>
      <c r="N243" s="213"/>
      <c r="O243" s="326"/>
      <c r="P243" s="213"/>
      <c r="Q243" s="213"/>
      <c r="R243" s="213"/>
      <c r="S243" s="213"/>
      <c r="T243" s="213"/>
      <c r="U243" s="213"/>
      <c r="V243" s="213"/>
      <c r="W243" s="213"/>
      <c r="X243" s="213"/>
      <c r="Y243" s="213"/>
      <c r="Z243" s="213"/>
      <c r="AA243" s="213"/>
      <c r="AB243" s="213"/>
      <c r="AC243" s="213"/>
      <c r="AD243" s="213"/>
      <c r="AE243" s="213"/>
      <c r="AF243" s="213"/>
      <c r="AG243" s="213"/>
      <c r="AH243" s="213"/>
      <c r="AI243" s="213"/>
    </row>
    <row r="244" ht="15.75" customHeight="1">
      <c r="A244" s="213"/>
      <c r="B244" s="213"/>
      <c r="C244" s="213"/>
      <c r="D244" s="213"/>
      <c r="E244" s="213"/>
      <c r="F244" s="213"/>
      <c r="G244" s="213"/>
      <c r="H244" s="213"/>
      <c r="I244" s="213"/>
      <c r="J244" s="213"/>
      <c r="K244" s="213"/>
      <c r="L244" s="213"/>
      <c r="M244" s="213"/>
      <c r="N244" s="213"/>
      <c r="O244" s="326"/>
      <c r="P244" s="213"/>
      <c r="Q244" s="213"/>
      <c r="R244" s="213"/>
      <c r="S244" s="213"/>
      <c r="T244" s="213"/>
      <c r="U244" s="213"/>
      <c r="V244" s="213"/>
      <c r="W244" s="213"/>
      <c r="X244" s="213"/>
      <c r="Y244" s="213"/>
      <c r="Z244" s="213"/>
      <c r="AA244" s="213"/>
      <c r="AB244" s="213"/>
      <c r="AC244" s="213"/>
      <c r="AD244" s="213"/>
      <c r="AE244" s="213"/>
      <c r="AF244" s="213"/>
      <c r="AG244" s="213"/>
      <c r="AH244" s="213"/>
      <c r="AI244" s="213"/>
    </row>
    <row r="245" ht="15.75" customHeight="1">
      <c r="A245" s="213"/>
      <c r="B245" s="213"/>
      <c r="C245" s="213"/>
      <c r="D245" s="213"/>
      <c r="E245" s="213"/>
      <c r="F245" s="213"/>
      <c r="G245" s="213"/>
      <c r="H245" s="213"/>
      <c r="I245" s="213"/>
      <c r="J245" s="213"/>
      <c r="K245" s="213"/>
      <c r="L245" s="213"/>
      <c r="M245" s="213"/>
      <c r="N245" s="213"/>
      <c r="O245" s="326"/>
      <c r="P245" s="213"/>
      <c r="Q245" s="213"/>
      <c r="R245" s="213"/>
      <c r="S245" s="213"/>
      <c r="T245" s="213"/>
      <c r="U245" s="213"/>
      <c r="V245" s="213"/>
      <c r="W245" s="213"/>
      <c r="X245" s="213"/>
      <c r="Y245" s="213"/>
      <c r="Z245" s="213"/>
      <c r="AA245" s="213"/>
      <c r="AB245" s="213"/>
      <c r="AC245" s="213"/>
      <c r="AD245" s="213"/>
      <c r="AE245" s="213"/>
      <c r="AF245" s="213"/>
      <c r="AG245" s="213"/>
      <c r="AH245" s="213"/>
      <c r="AI245" s="213"/>
    </row>
    <row r="246" ht="15.75" customHeight="1">
      <c r="A246" s="213"/>
      <c r="B246" s="213"/>
      <c r="C246" s="213"/>
      <c r="D246" s="213"/>
      <c r="E246" s="213"/>
      <c r="F246" s="213"/>
      <c r="G246" s="213"/>
      <c r="H246" s="213"/>
      <c r="I246" s="213"/>
      <c r="J246" s="213"/>
      <c r="K246" s="213"/>
      <c r="L246" s="213"/>
      <c r="M246" s="213"/>
      <c r="N246" s="213"/>
      <c r="O246" s="326"/>
      <c r="P246" s="213"/>
      <c r="Q246" s="213"/>
      <c r="R246" s="213"/>
      <c r="S246" s="213"/>
      <c r="T246" s="213"/>
      <c r="U246" s="213"/>
      <c r="V246" s="213"/>
      <c r="W246" s="213"/>
      <c r="X246" s="213"/>
      <c r="Y246" s="213"/>
      <c r="Z246" s="213"/>
      <c r="AA246" s="213"/>
      <c r="AB246" s="213"/>
      <c r="AC246" s="213"/>
      <c r="AD246" s="213"/>
      <c r="AE246" s="213"/>
      <c r="AF246" s="213"/>
      <c r="AG246" s="213"/>
      <c r="AH246" s="213"/>
      <c r="AI246" s="213"/>
    </row>
    <row r="247" ht="15.75" customHeight="1">
      <c r="A247" s="213"/>
      <c r="B247" s="213"/>
      <c r="C247" s="213"/>
      <c r="D247" s="213"/>
      <c r="E247" s="213"/>
      <c r="F247" s="213"/>
      <c r="G247" s="213"/>
      <c r="H247" s="213"/>
      <c r="I247" s="213"/>
      <c r="J247" s="213"/>
      <c r="K247" s="213"/>
      <c r="L247" s="213"/>
      <c r="M247" s="213"/>
      <c r="N247" s="213"/>
      <c r="O247" s="326"/>
      <c r="P247" s="213"/>
      <c r="Q247" s="213"/>
      <c r="R247" s="213"/>
      <c r="S247" s="213"/>
      <c r="T247" s="213"/>
      <c r="U247" s="213"/>
      <c r="V247" s="213"/>
      <c r="W247" s="213"/>
      <c r="X247" s="213"/>
      <c r="Y247" s="213"/>
      <c r="Z247" s="213"/>
      <c r="AA247" s="213"/>
      <c r="AB247" s="213"/>
      <c r="AC247" s="213"/>
      <c r="AD247" s="213"/>
      <c r="AE247" s="213"/>
      <c r="AF247" s="213"/>
      <c r="AG247" s="213"/>
      <c r="AH247" s="213"/>
      <c r="AI247" s="213"/>
    </row>
    <row r="248" ht="15.75" customHeight="1">
      <c r="A248" s="213"/>
      <c r="B248" s="213"/>
      <c r="C248" s="213"/>
      <c r="D248" s="213"/>
      <c r="E248" s="213"/>
      <c r="F248" s="213"/>
      <c r="G248" s="213"/>
      <c r="H248" s="213"/>
      <c r="I248" s="213"/>
      <c r="J248" s="213"/>
      <c r="K248" s="213"/>
      <c r="L248" s="213"/>
      <c r="M248" s="213"/>
      <c r="N248" s="213"/>
      <c r="O248" s="326"/>
      <c r="P248" s="213"/>
      <c r="Q248" s="213"/>
      <c r="R248" s="213"/>
      <c r="S248" s="213"/>
      <c r="T248" s="213"/>
      <c r="U248" s="213"/>
      <c r="V248" s="213"/>
      <c r="W248" s="213"/>
      <c r="X248" s="213"/>
      <c r="Y248" s="213"/>
      <c r="Z248" s="213"/>
      <c r="AA248" s="213"/>
      <c r="AB248" s="213"/>
      <c r="AC248" s="213"/>
      <c r="AD248" s="213"/>
      <c r="AE248" s="213"/>
      <c r="AF248" s="213"/>
      <c r="AG248" s="213"/>
      <c r="AH248" s="213"/>
      <c r="AI248" s="213"/>
    </row>
    <row r="249" ht="15.75" customHeight="1">
      <c r="A249" s="213"/>
      <c r="B249" s="213"/>
      <c r="C249" s="213"/>
      <c r="D249" s="213"/>
      <c r="E249" s="213"/>
      <c r="F249" s="213"/>
      <c r="G249" s="213"/>
      <c r="H249" s="213"/>
      <c r="I249" s="213"/>
      <c r="J249" s="213"/>
      <c r="K249" s="213"/>
      <c r="L249" s="213"/>
      <c r="M249" s="213"/>
      <c r="N249" s="213"/>
      <c r="O249" s="326"/>
      <c r="P249" s="213"/>
      <c r="Q249" s="213"/>
      <c r="R249" s="213"/>
      <c r="S249" s="213"/>
      <c r="T249" s="213"/>
      <c r="U249" s="213"/>
      <c r="V249" s="213"/>
      <c r="W249" s="213"/>
      <c r="X249" s="213"/>
      <c r="Y249" s="213"/>
      <c r="Z249" s="213"/>
      <c r="AA249" s="213"/>
      <c r="AB249" s="213"/>
      <c r="AC249" s="213"/>
      <c r="AD249" s="213"/>
      <c r="AE249" s="213"/>
      <c r="AF249" s="213"/>
      <c r="AG249" s="213"/>
      <c r="AH249" s="213"/>
      <c r="AI249" s="213"/>
    </row>
    <row r="250" ht="15.75" customHeight="1">
      <c r="A250" s="213"/>
      <c r="B250" s="213"/>
      <c r="C250" s="213"/>
      <c r="D250" s="213"/>
      <c r="E250" s="213"/>
      <c r="F250" s="213"/>
      <c r="G250" s="213"/>
      <c r="H250" s="213"/>
      <c r="I250" s="213"/>
      <c r="J250" s="213"/>
      <c r="K250" s="213"/>
      <c r="L250" s="213"/>
      <c r="M250" s="213"/>
      <c r="N250" s="213"/>
      <c r="O250" s="326"/>
      <c r="P250" s="213"/>
      <c r="Q250" s="213"/>
      <c r="R250" s="213"/>
      <c r="S250" s="213"/>
      <c r="T250" s="213"/>
      <c r="U250" s="213"/>
      <c r="V250" s="213"/>
      <c r="W250" s="213"/>
      <c r="X250" s="213"/>
      <c r="Y250" s="213"/>
      <c r="Z250" s="213"/>
      <c r="AA250" s="213"/>
      <c r="AB250" s="213"/>
      <c r="AC250" s="213"/>
      <c r="AD250" s="213"/>
      <c r="AE250" s="213"/>
      <c r="AF250" s="213"/>
      <c r="AG250" s="213"/>
      <c r="AH250" s="213"/>
      <c r="AI250" s="213"/>
    </row>
    <row r="251" ht="15.75" customHeight="1">
      <c r="A251" s="213"/>
      <c r="B251" s="213"/>
      <c r="C251" s="213"/>
      <c r="D251" s="213"/>
      <c r="E251" s="213"/>
      <c r="F251" s="213"/>
      <c r="G251" s="213"/>
      <c r="H251" s="213"/>
      <c r="I251" s="213"/>
      <c r="J251" s="213"/>
      <c r="K251" s="213"/>
      <c r="L251" s="213"/>
      <c r="M251" s="213"/>
      <c r="N251" s="213"/>
      <c r="O251" s="326"/>
      <c r="P251" s="213"/>
      <c r="Q251" s="213"/>
      <c r="R251" s="213"/>
      <c r="S251" s="213"/>
      <c r="T251" s="213"/>
      <c r="U251" s="213"/>
      <c r="V251" s="213"/>
      <c r="W251" s="213"/>
      <c r="X251" s="213"/>
      <c r="Y251" s="213"/>
      <c r="Z251" s="213"/>
      <c r="AA251" s="213"/>
      <c r="AB251" s="213"/>
      <c r="AC251" s="213"/>
      <c r="AD251" s="213"/>
      <c r="AE251" s="213"/>
      <c r="AF251" s="213"/>
      <c r="AG251" s="213"/>
      <c r="AH251" s="213"/>
      <c r="AI251" s="213"/>
    </row>
    <row r="252" ht="15.75" customHeight="1">
      <c r="A252" s="213"/>
      <c r="B252" s="213"/>
      <c r="C252" s="213"/>
      <c r="D252" s="213"/>
      <c r="E252" s="213"/>
      <c r="F252" s="213"/>
      <c r="G252" s="213"/>
      <c r="H252" s="213"/>
      <c r="I252" s="213"/>
      <c r="J252" s="213"/>
      <c r="K252" s="213"/>
      <c r="L252" s="213"/>
      <c r="M252" s="213"/>
      <c r="N252" s="213"/>
      <c r="O252" s="326"/>
      <c r="P252" s="213"/>
      <c r="Q252" s="213"/>
      <c r="R252" s="213"/>
      <c r="S252" s="213"/>
      <c r="T252" s="213"/>
      <c r="U252" s="213"/>
      <c r="V252" s="213"/>
      <c r="W252" s="213"/>
      <c r="X252" s="213"/>
      <c r="Y252" s="213"/>
      <c r="Z252" s="213"/>
      <c r="AA252" s="213"/>
      <c r="AB252" s="213"/>
      <c r="AC252" s="213"/>
      <c r="AD252" s="213"/>
      <c r="AE252" s="213"/>
      <c r="AF252" s="213"/>
      <c r="AG252" s="213"/>
      <c r="AH252" s="213"/>
      <c r="AI252" s="213"/>
    </row>
    <row r="253" ht="15.75" customHeight="1">
      <c r="A253" s="213"/>
      <c r="B253" s="213"/>
      <c r="C253" s="213"/>
      <c r="D253" s="213"/>
      <c r="E253" s="213"/>
      <c r="F253" s="213"/>
      <c r="G253" s="213"/>
      <c r="H253" s="213"/>
      <c r="I253" s="213"/>
      <c r="J253" s="213"/>
      <c r="K253" s="213"/>
      <c r="L253" s="213"/>
      <c r="M253" s="213"/>
      <c r="N253" s="213"/>
      <c r="O253" s="326"/>
      <c r="P253" s="213"/>
      <c r="Q253" s="213"/>
      <c r="R253" s="213"/>
      <c r="S253" s="213"/>
      <c r="T253" s="213"/>
      <c r="U253" s="213"/>
      <c r="V253" s="213"/>
      <c r="W253" s="213"/>
      <c r="X253" s="213"/>
      <c r="Y253" s="213"/>
      <c r="Z253" s="213"/>
      <c r="AA253" s="213"/>
      <c r="AB253" s="213"/>
      <c r="AC253" s="213"/>
      <c r="AD253" s="213"/>
      <c r="AE253" s="213"/>
      <c r="AF253" s="213"/>
      <c r="AG253" s="213"/>
      <c r="AH253" s="213"/>
      <c r="AI253" s="213"/>
    </row>
    <row r="254" ht="15.75" customHeight="1">
      <c r="A254" s="213"/>
      <c r="B254" s="213"/>
      <c r="C254" s="213"/>
      <c r="D254" s="213"/>
      <c r="E254" s="213"/>
      <c r="F254" s="213"/>
      <c r="G254" s="213"/>
      <c r="H254" s="213"/>
      <c r="I254" s="213"/>
      <c r="J254" s="213"/>
      <c r="K254" s="213"/>
      <c r="L254" s="213"/>
      <c r="M254" s="213"/>
      <c r="N254" s="213"/>
      <c r="O254" s="326"/>
      <c r="P254" s="213"/>
      <c r="Q254" s="213"/>
      <c r="R254" s="213"/>
      <c r="S254" s="213"/>
      <c r="T254" s="213"/>
      <c r="U254" s="213"/>
      <c r="V254" s="213"/>
      <c r="W254" s="213"/>
      <c r="X254" s="213"/>
      <c r="Y254" s="213"/>
      <c r="Z254" s="213"/>
      <c r="AA254" s="213"/>
      <c r="AB254" s="213"/>
      <c r="AC254" s="213"/>
      <c r="AD254" s="213"/>
      <c r="AE254" s="213"/>
      <c r="AF254" s="213"/>
      <c r="AG254" s="213"/>
      <c r="AH254" s="213"/>
      <c r="AI254" s="213"/>
    </row>
    <row r="255" ht="15.75" customHeight="1">
      <c r="A255" s="213"/>
      <c r="B255" s="213"/>
      <c r="C255" s="213"/>
      <c r="D255" s="213"/>
      <c r="E255" s="213"/>
      <c r="F255" s="213"/>
      <c r="G255" s="213"/>
      <c r="H255" s="213"/>
      <c r="I255" s="213"/>
      <c r="J255" s="213"/>
      <c r="K255" s="213"/>
      <c r="L255" s="213"/>
      <c r="M255" s="213"/>
      <c r="N255" s="213"/>
      <c r="O255" s="326"/>
      <c r="P255" s="213"/>
      <c r="Q255" s="213"/>
      <c r="R255" s="213"/>
      <c r="S255" s="213"/>
      <c r="T255" s="213"/>
      <c r="U255" s="213"/>
      <c r="V255" s="213"/>
      <c r="W255" s="213"/>
      <c r="X255" s="213"/>
      <c r="Y255" s="213"/>
      <c r="Z255" s="213"/>
      <c r="AA255" s="213"/>
      <c r="AB255" s="213"/>
      <c r="AC255" s="213"/>
      <c r="AD255" s="213"/>
      <c r="AE255" s="213"/>
      <c r="AF255" s="213"/>
      <c r="AG255" s="213"/>
      <c r="AH255" s="213"/>
      <c r="AI255" s="213"/>
    </row>
    <row r="256" ht="15.75" customHeight="1">
      <c r="A256" s="213"/>
      <c r="B256" s="213"/>
      <c r="C256" s="213"/>
      <c r="D256" s="213"/>
      <c r="E256" s="213"/>
      <c r="F256" s="213"/>
      <c r="G256" s="213"/>
      <c r="H256" s="213"/>
      <c r="I256" s="213"/>
      <c r="J256" s="213"/>
      <c r="K256" s="213"/>
      <c r="L256" s="213"/>
      <c r="M256" s="213"/>
      <c r="N256" s="213"/>
      <c r="O256" s="326"/>
      <c r="P256" s="213"/>
      <c r="Q256" s="213"/>
      <c r="R256" s="213"/>
      <c r="S256" s="213"/>
      <c r="T256" s="213"/>
      <c r="U256" s="213"/>
      <c r="V256" s="213"/>
      <c r="W256" s="213"/>
      <c r="X256" s="213"/>
      <c r="Y256" s="213"/>
      <c r="Z256" s="213"/>
      <c r="AA256" s="213"/>
      <c r="AB256" s="213"/>
      <c r="AC256" s="213"/>
      <c r="AD256" s="213"/>
      <c r="AE256" s="213"/>
      <c r="AF256" s="213"/>
      <c r="AG256" s="213"/>
      <c r="AH256" s="213"/>
      <c r="AI256" s="213"/>
    </row>
    <row r="257" ht="15.75" customHeight="1">
      <c r="A257" s="213"/>
      <c r="B257" s="213"/>
      <c r="C257" s="213"/>
      <c r="D257" s="213"/>
      <c r="E257" s="213"/>
      <c r="F257" s="213"/>
      <c r="G257" s="213"/>
      <c r="H257" s="213"/>
      <c r="I257" s="213"/>
      <c r="J257" s="213"/>
      <c r="K257" s="213"/>
      <c r="L257" s="213"/>
      <c r="M257" s="213"/>
      <c r="N257" s="213"/>
      <c r="O257" s="326"/>
      <c r="P257" s="213"/>
      <c r="Q257" s="213"/>
      <c r="R257" s="213"/>
      <c r="S257" s="213"/>
      <c r="T257" s="213"/>
      <c r="U257" s="213"/>
      <c r="V257" s="213"/>
      <c r="W257" s="213"/>
      <c r="X257" s="213"/>
      <c r="Y257" s="213"/>
      <c r="Z257" s="213"/>
      <c r="AA257" s="213"/>
      <c r="AB257" s="213"/>
      <c r="AC257" s="213"/>
      <c r="AD257" s="213"/>
      <c r="AE257" s="213"/>
      <c r="AF257" s="213"/>
      <c r="AG257" s="213"/>
      <c r="AH257" s="213"/>
      <c r="AI257" s="213"/>
    </row>
    <row r="258" ht="15.75" customHeight="1">
      <c r="A258" s="213"/>
      <c r="B258" s="213"/>
      <c r="C258" s="213"/>
      <c r="D258" s="213"/>
      <c r="E258" s="213"/>
      <c r="F258" s="213"/>
      <c r="G258" s="213"/>
      <c r="H258" s="213"/>
      <c r="I258" s="213"/>
      <c r="J258" s="213"/>
      <c r="K258" s="213"/>
      <c r="L258" s="213"/>
      <c r="M258" s="213"/>
      <c r="N258" s="213"/>
      <c r="O258" s="326"/>
      <c r="P258" s="213"/>
      <c r="Q258" s="213"/>
      <c r="R258" s="213"/>
      <c r="S258" s="213"/>
      <c r="T258" s="213"/>
      <c r="U258" s="213"/>
      <c r="V258" s="213"/>
      <c r="W258" s="213"/>
      <c r="X258" s="213"/>
      <c r="Y258" s="213"/>
      <c r="Z258" s="213"/>
      <c r="AA258" s="213"/>
      <c r="AB258" s="213"/>
      <c r="AC258" s="213"/>
      <c r="AD258" s="213"/>
      <c r="AE258" s="213"/>
      <c r="AF258" s="213"/>
      <c r="AG258" s="213"/>
      <c r="AH258" s="213"/>
      <c r="AI258" s="213"/>
    </row>
    <row r="259" ht="15.75" customHeight="1">
      <c r="A259" s="213"/>
      <c r="B259" s="213"/>
      <c r="C259" s="213"/>
      <c r="D259" s="213"/>
      <c r="E259" s="213"/>
      <c r="F259" s="213"/>
      <c r="G259" s="213"/>
      <c r="H259" s="213"/>
      <c r="I259" s="213"/>
      <c r="J259" s="213"/>
      <c r="K259" s="213"/>
      <c r="L259" s="213"/>
      <c r="M259" s="213"/>
      <c r="N259" s="213"/>
      <c r="O259" s="326"/>
      <c r="P259" s="213"/>
      <c r="Q259" s="213"/>
      <c r="R259" s="213"/>
      <c r="S259" s="213"/>
      <c r="T259" s="213"/>
      <c r="U259" s="213"/>
      <c r="V259" s="213"/>
      <c r="W259" s="213"/>
      <c r="X259" s="213"/>
      <c r="Y259" s="213"/>
      <c r="Z259" s="213"/>
      <c r="AA259" s="213"/>
      <c r="AB259" s="213"/>
      <c r="AC259" s="213"/>
      <c r="AD259" s="213"/>
      <c r="AE259" s="213"/>
      <c r="AF259" s="213"/>
      <c r="AG259" s="213"/>
      <c r="AH259" s="213"/>
      <c r="AI259" s="213"/>
    </row>
    <row r="260" ht="15.75" customHeight="1">
      <c r="A260" s="213"/>
      <c r="B260" s="213"/>
      <c r="C260" s="213"/>
      <c r="D260" s="213"/>
      <c r="E260" s="213"/>
      <c r="F260" s="213"/>
      <c r="G260" s="213"/>
      <c r="H260" s="213"/>
      <c r="I260" s="213"/>
      <c r="J260" s="213"/>
      <c r="K260" s="213"/>
      <c r="L260" s="213"/>
      <c r="M260" s="213"/>
      <c r="N260" s="213"/>
      <c r="O260" s="326"/>
      <c r="P260" s="213"/>
      <c r="Q260" s="213"/>
      <c r="R260" s="213"/>
      <c r="S260" s="213"/>
      <c r="T260" s="213"/>
      <c r="U260" s="213"/>
      <c r="V260" s="213"/>
      <c r="W260" s="213"/>
      <c r="X260" s="213"/>
      <c r="Y260" s="213"/>
      <c r="Z260" s="213"/>
      <c r="AA260" s="213"/>
      <c r="AB260" s="213"/>
      <c r="AC260" s="213"/>
      <c r="AD260" s="213"/>
      <c r="AE260" s="213"/>
      <c r="AF260" s="213"/>
      <c r="AG260" s="213"/>
      <c r="AH260" s="213"/>
      <c r="AI260" s="213"/>
    </row>
    <row r="261" ht="15.75" customHeight="1">
      <c r="A261" s="213"/>
      <c r="B261" s="213"/>
      <c r="C261" s="213"/>
      <c r="D261" s="213"/>
      <c r="E261" s="213"/>
      <c r="F261" s="213"/>
      <c r="G261" s="213"/>
      <c r="H261" s="213"/>
      <c r="I261" s="213"/>
      <c r="J261" s="213"/>
      <c r="K261" s="213"/>
      <c r="L261" s="213"/>
      <c r="M261" s="213"/>
      <c r="N261" s="213"/>
      <c r="O261" s="326"/>
      <c r="P261" s="213"/>
      <c r="Q261" s="213"/>
      <c r="R261" s="213"/>
      <c r="S261" s="213"/>
      <c r="T261" s="213"/>
      <c r="U261" s="213"/>
      <c r="V261" s="213"/>
      <c r="W261" s="213"/>
      <c r="X261" s="213"/>
      <c r="Y261" s="213"/>
      <c r="Z261" s="213"/>
      <c r="AA261" s="213"/>
      <c r="AB261" s="213"/>
      <c r="AC261" s="213"/>
      <c r="AD261" s="213"/>
      <c r="AE261" s="213"/>
      <c r="AF261" s="213"/>
      <c r="AG261" s="213"/>
      <c r="AH261" s="213"/>
      <c r="AI261" s="213"/>
    </row>
    <row r="262" ht="15.75" customHeight="1">
      <c r="A262" s="213"/>
      <c r="B262" s="213"/>
      <c r="C262" s="213"/>
      <c r="D262" s="213"/>
      <c r="E262" s="213"/>
      <c r="F262" s="213"/>
      <c r="G262" s="213"/>
      <c r="H262" s="213"/>
      <c r="I262" s="213"/>
      <c r="J262" s="213"/>
      <c r="K262" s="213"/>
      <c r="L262" s="213"/>
      <c r="M262" s="213"/>
      <c r="N262" s="213"/>
      <c r="O262" s="326"/>
      <c r="P262" s="213"/>
      <c r="Q262" s="213"/>
      <c r="R262" s="213"/>
      <c r="S262" s="213"/>
      <c r="T262" s="213"/>
      <c r="U262" s="213"/>
      <c r="V262" s="213"/>
      <c r="W262" s="213"/>
      <c r="X262" s="213"/>
      <c r="Y262" s="213"/>
      <c r="Z262" s="213"/>
      <c r="AA262" s="213"/>
      <c r="AB262" s="213"/>
      <c r="AC262" s="213"/>
      <c r="AD262" s="213"/>
      <c r="AE262" s="213"/>
      <c r="AF262" s="213"/>
      <c r="AG262" s="213"/>
      <c r="AH262" s="213"/>
      <c r="AI262" s="213"/>
    </row>
    <row r="263" ht="15.75" customHeight="1">
      <c r="A263" s="213"/>
      <c r="B263" s="213"/>
      <c r="C263" s="213"/>
      <c r="D263" s="213"/>
      <c r="E263" s="213"/>
      <c r="F263" s="213"/>
      <c r="G263" s="213"/>
      <c r="H263" s="213"/>
      <c r="I263" s="213"/>
      <c r="J263" s="213"/>
      <c r="K263" s="213"/>
      <c r="L263" s="213"/>
      <c r="M263" s="213"/>
      <c r="N263" s="213"/>
      <c r="O263" s="326"/>
      <c r="P263" s="213"/>
      <c r="Q263" s="213"/>
      <c r="R263" s="213"/>
      <c r="S263" s="213"/>
      <c r="T263" s="213"/>
      <c r="U263" s="213"/>
      <c r="V263" s="213"/>
      <c r="W263" s="213"/>
      <c r="X263" s="213"/>
      <c r="Y263" s="213"/>
      <c r="Z263" s="213"/>
      <c r="AA263" s="213"/>
      <c r="AB263" s="213"/>
      <c r="AC263" s="213"/>
      <c r="AD263" s="213"/>
      <c r="AE263" s="213"/>
      <c r="AF263" s="213"/>
      <c r="AG263" s="213"/>
      <c r="AH263" s="213"/>
      <c r="AI263" s="213"/>
    </row>
    <row r="264" ht="15.75" customHeight="1">
      <c r="A264" s="213"/>
      <c r="B264" s="213"/>
      <c r="C264" s="213"/>
      <c r="D264" s="213"/>
      <c r="E264" s="213"/>
      <c r="F264" s="213"/>
      <c r="G264" s="213"/>
      <c r="H264" s="213"/>
      <c r="I264" s="213"/>
      <c r="J264" s="213"/>
      <c r="K264" s="213"/>
      <c r="L264" s="213"/>
      <c r="M264" s="213"/>
      <c r="N264" s="213"/>
      <c r="O264" s="326"/>
      <c r="P264" s="213"/>
      <c r="Q264" s="213"/>
      <c r="R264" s="213"/>
      <c r="S264" s="213"/>
      <c r="T264" s="213"/>
      <c r="U264" s="213"/>
      <c r="V264" s="213"/>
      <c r="W264" s="213"/>
      <c r="X264" s="213"/>
      <c r="Y264" s="213"/>
      <c r="Z264" s="213"/>
      <c r="AA264" s="213"/>
      <c r="AB264" s="213"/>
      <c r="AC264" s="213"/>
      <c r="AD264" s="213"/>
      <c r="AE264" s="213"/>
      <c r="AF264" s="213"/>
      <c r="AG264" s="213"/>
      <c r="AH264" s="213"/>
      <c r="AI264" s="213"/>
    </row>
    <row r="265" ht="15.75" customHeight="1">
      <c r="A265" s="213"/>
      <c r="B265" s="213"/>
      <c r="C265" s="213"/>
      <c r="D265" s="213"/>
      <c r="E265" s="213"/>
      <c r="F265" s="213"/>
      <c r="G265" s="213"/>
      <c r="H265" s="213"/>
      <c r="I265" s="213"/>
      <c r="J265" s="213"/>
      <c r="K265" s="213"/>
      <c r="L265" s="213"/>
      <c r="M265" s="213"/>
      <c r="N265" s="213"/>
      <c r="O265" s="326"/>
      <c r="P265" s="213"/>
      <c r="Q265" s="213"/>
      <c r="R265" s="213"/>
      <c r="S265" s="213"/>
      <c r="T265" s="213"/>
      <c r="U265" s="213"/>
      <c r="V265" s="213"/>
      <c r="W265" s="213"/>
      <c r="X265" s="213"/>
      <c r="Y265" s="213"/>
      <c r="Z265" s="213"/>
      <c r="AA265" s="213"/>
      <c r="AB265" s="213"/>
      <c r="AC265" s="213"/>
      <c r="AD265" s="213"/>
      <c r="AE265" s="213"/>
      <c r="AF265" s="213"/>
      <c r="AG265" s="213"/>
      <c r="AH265" s="213"/>
      <c r="AI265" s="213"/>
    </row>
    <row r="266" ht="15.75" customHeight="1">
      <c r="A266" s="213"/>
      <c r="B266" s="213"/>
      <c r="C266" s="213"/>
      <c r="D266" s="213"/>
      <c r="E266" s="213"/>
      <c r="F266" s="213"/>
      <c r="G266" s="213"/>
      <c r="H266" s="213"/>
      <c r="I266" s="213"/>
      <c r="J266" s="213"/>
      <c r="K266" s="213"/>
      <c r="L266" s="213"/>
      <c r="M266" s="213"/>
      <c r="N266" s="213"/>
      <c r="O266" s="326"/>
      <c r="P266" s="213"/>
      <c r="Q266" s="213"/>
      <c r="R266" s="213"/>
      <c r="S266" s="213"/>
      <c r="T266" s="213"/>
      <c r="U266" s="213"/>
      <c r="V266" s="213"/>
      <c r="W266" s="213"/>
      <c r="X266" s="213"/>
      <c r="Y266" s="213"/>
      <c r="Z266" s="213"/>
      <c r="AA266" s="213"/>
      <c r="AB266" s="213"/>
      <c r="AC266" s="213"/>
      <c r="AD266" s="213"/>
      <c r="AE266" s="213"/>
      <c r="AF266" s="213"/>
      <c r="AG266" s="213"/>
      <c r="AH266" s="213"/>
      <c r="AI266" s="213"/>
    </row>
    <row r="267" ht="15.75" customHeight="1">
      <c r="A267" s="213"/>
      <c r="B267" s="213"/>
      <c r="C267" s="213"/>
      <c r="D267" s="213"/>
      <c r="E267" s="213"/>
      <c r="F267" s="213"/>
      <c r="G267" s="213"/>
      <c r="H267" s="213"/>
      <c r="I267" s="213"/>
      <c r="J267" s="213"/>
      <c r="K267" s="213"/>
      <c r="L267" s="213"/>
      <c r="M267" s="213"/>
      <c r="N267" s="213"/>
      <c r="O267" s="326"/>
      <c r="P267" s="213"/>
      <c r="Q267" s="213"/>
      <c r="R267" s="213"/>
      <c r="S267" s="213"/>
      <c r="T267" s="213"/>
      <c r="U267" s="213"/>
      <c r="V267" s="213"/>
      <c r="W267" s="213"/>
      <c r="X267" s="213"/>
      <c r="Y267" s="213"/>
      <c r="Z267" s="213"/>
      <c r="AA267" s="213"/>
      <c r="AB267" s="213"/>
      <c r="AC267" s="213"/>
      <c r="AD267" s="213"/>
      <c r="AE267" s="213"/>
      <c r="AF267" s="213"/>
      <c r="AG267" s="213"/>
      <c r="AH267" s="213"/>
      <c r="AI267" s="213"/>
    </row>
    <row r="268" ht="15.75" customHeight="1">
      <c r="A268" s="213"/>
      <c r="B268" s="213"/>
      <c r="C268" s="213"/>
      <c r="D268" s="213"/>
      <c r="E268" s="213"/>
      <c r="F268" s="213"/>
      <c r="G268" s="213"/>
      <c r="H268" s="213"/>
      <c r="I268" s="213"/>
      <c r="J268" s="213"/>
      <c r="K268" s="213"/>
      <c r="L268" s="213"/>
      <c r="M268" s="213"/>
      <c r="N268" s="213"/>
      <c r="O268" s="326"/>
      <c r="P268" s="213"/>
      <c r="Q268" s="213"/>
      <c r="R268" s="213"/>
      <c r="S268" s="213"/>
      <c r="T268" s="213"/>
      <c r="U268" s="213"/>
      <c r="V268" s="213"/>
      <c r="W268" s="213"/>
      <c r="X268" s="213"/>
      <c r="Y268" s="213"/>
      <c r="Z268" s="213"/>
      <c r="AA268" s="213"/>
      <c r="AB268" s="213"/>
      <c r="AC268" s="213"/>
      <c r="AD268" s="213"/>
      <c r="AE268" s="213"/>
      <c r="AF268" s="213"/>
      <c r="AG268" s="213"/>
      <c r="AH268" s="213"/>
      <c r="AI268" s="213"/>
    </row>
    <row r="269" ht="15.75" customHeight="1">
      <c r="A269" s="213"/>
      <c r="B269" s="213"/>
      <c r="C269" s="213"/>
      <c r="D269" s="213"/>
      <c r="E269" s="213"/>
      <c r="F269" s="213"/>
      <c r="G269" s="213"/>
      <c r="H269" s="213"/>
      <c r="I269" s="213"/>
      <c r="J269" s="213"/>
      <c r="K269" s="213"/>
      <c r="L269" s="213"/>
      <c r="M269" s="213"/>
      <c r="N269" s="213"/>
      <c r="O269" s="326"/>
      <c r="P269" s="213"/>
      <c r="Q269" s="213"/>
      <c r="R269" s="213"/>
      <c r="S269" s="213"/>
      <c r="T269" s="213"/>
      <c r="U269" s="213"/>
      <c r="V269" s="213"/>
      <c r="W269" s="213"/>
      <c r="X269" s="213"/>
      <c r="Y269" s="213"/>
      <c r="Z269" s="213"/>
      <c r="AA269" s="213"/>
      <c r="AB269" s="213"/>
      <c r="AC269" s="213"/>
      <c r="AD269" s="213"/>
      <c r="AE269" s="213"/>
      <c r="AF269" s="213"/>
      <c r="AG269" s="213"/>
      <c r="AH269" s="213"/>
      <c r="AI269" s="213"/>
    </row>
    <row r="270" ht="15.75" customHeight="1">
      <c r="A270" s="213"/>
      <c r="B270" s="213"/>
      <c r="C270" s="213"/>
      <c r="D270" s="213"/>
      <c r="E270" s="213"/>
      <c r="F270" s="213"/>
      <c r="G270" s="213"/>
      <c r="H270" s="213"/>
      <c r="I270" s="213"/>
      <c r="J270" s="213"/>
      <c r="K270" s="213"/>
      <c r="L270" s="213"/>
      <c r="M270" s="213"/>
      <c r="N270" s="213"/>
      <c r="O270" s="326"/>
      <c r="P270" s="213"/>
      <c r="Q270" s="213"/>
      <c r="R270" s="213"/>
      <c r="S270" s="213"/>
      <c r="T270" s="213"/>
      <c r="U270" s="213"/>
      <c r="V270" s="213"/>
      <c r="W270" s="213"/>
      <c r="X270" s="213"/>
      <c r="Y270" s="213"/>
      <c r="Z270" s="213"/>
      <c r="AA270" s="213"/>
      <c r="AB270" s="213"/>
      <c r="AC270" s="213"/>
      <c r="AD270" s="213"/>
      <c r="AE270" s="213"/>
      <c r="AF270" s="213"/>
      <c r="AG270" s="213"/>
      <c r="AH270" s="213"/>
      <c r="AI270" s="213"/>
    </row>
    <row r="271" ht="15.75" customHeight="1">
      <c r="A271" s="213"/>
      <c r="B271" s="213"/>
      <c r="C271" s="213"/>
      <c r="D271" s="213"/>
      <c r="E271" s="213"/>
      <c r="F271" s="213"/>
      <c r="G271" s="213"/>
      <c r="H271" s="213"/>
      <c r="I271" s="213"/>
      <c r="J271" s="213"/>
      <c r="K271" s="213"/>
      <c r="L271" s="213"/>
      <c r="M271" s="213"/>
      <c r="N271" s="213"/>
      <c r="O271" s="326"/>
      <c r="P271" s="213"/>
      <c r="Q271" s="213"/>
      <c r="R271" s="213"/>
      <c r="S271" s="213"/>
      <c r="T271" s="213"/>
      <c r="U271" s="213"/>
      <c r="V271" s="213"/>
      <c r="W271" s="213"/>
      <c r="X271" s="213"/>
      <c r="Y271" s="213"/>
      <c r="Z271" s="213"/>
      <c r="AA271" s="213"/>
      <c r="AB271" s="213"/>
      <c r="AC271" s="213"/>
      <c r="AD271" s="213"/>
      <c r="AE271" s="213"/>
      <c r="AF271" s="213"/>
      <c r="AG271" s="213"/>
      <c r="AH271" s="213"/>
      <c r="AI271" s="213"/>
    </row>
    <row r="272" ht="15.75" customHeight="1">
      <c r="A272" s="213"/>
      <c r="B272" s="213"/>
      <c r="C272" s="213"/>
      <c r="D272" s="213"/>
      <c r="E272" s="213"/>
      <c r="F272" s="213"/>
      <c r="G272" s="213"/>
      <c r="H272" s="213"/>
      <c r="I272" s="213"/>
      <c r="J272" s="213"/>
      <c r="K272" s="213"/>
      <c r="L272" s="213"/>
      <c r="M272" s="213"/>
      <c r="N272" s="213"/>
      <c r="O272" s="326"/>
      <c r="P272" s="213"/>
      <c r="Q272" s="213"/>
      <c r="R272" s="213"/>
      <c r="S272" s="213"/>
      <c r="T272" s="213"/>
      <c r="U272" s="213"/>
      <c r="V272" s="213"/>
      <c r="W272" s="213"/>
      <c r="X272" s="213"/>
      <c r="Y272" s="213"/>
      <c r="Z272" s="213"/>
      <c r="AA272" s="213"/>
      <c r="AB272" s="213"/>
      <c r="AC272" s="213"/>
      <c r="AD272" s="213"/>
      <c r="AE272" s="213"/>
      <c r="AF272" s="213"/>
      <c r="AG272" s="213"/>
      <c r="AH272" s="213"/>
      <c r="AI272" s="213"/>
    </row>
    <row r="273" ht="15.75" customHeight="1">
      <c r="A273" s="213"/>
      <c r="B273" s="213"/>
      <c r="C273" s="213"/>
      <c r="D273" s="213"/>
      <c r="E273" s="213"/>
      <c r="F273" s="213"/>
      <c r="G273" s="213"/>
      <c r="H273" s="213"/>
      <c r="I273" s="213"/>
      <c r="J273" s="213"/>
      <c r="K273" s="213"/>
      <c r="L273" s="213"/>
      <c r="M273" s="213"/>
      <c r="N273" s="213"/>
      <c r="O273" s="326"/>
      <c r="P273" s="213"/>
      <c r="Q273" s="213"/>
      <c r="R273" s="213"/>
      <c r="S273" s="213"/>
      <c r="T273" s="213"/>
      <c r="U273" s="213"/>
      <c r="V273" s="213"/>
      <c r="W273" s="213"/>
      <c r="X273" s="213"/>
      <c r="Y273" s="213"/>
      <c r="Z273" s="213"/>
      <c r="AA273" s="213"/>
      <c r="AB273" s="213"/>
      <c r="AC273" s="213"/>
      <c r="AD273" s="213"/>
      <c r="AE273" s="213"/>
      <c r="AF273" s="213"/>
      <c r="AG273" s="213"/>
      <c r="AH273" s="213"/>
      <c r="AI273" s="213"/>
    </row>
    <row r="274" ht="15.75" customHeight="1">
      <c r="A274" s="213"/>
      <c r="B274" s="213"/>
      <c r="C274" s="213"/>
      <c r="D274" s="213"/>
      <c r="E274" s="213"/>
      <c r="F274" s="213"/>
      <c r="G274" s="213"/>
      <c r="H274" s="213"/>
      <c r="I274" s="213"/>
      <c r="J274" s="213"/>
      <c r="K274" s="213"/>
      <c r="L274" s="213"/>
      <c r="M274" s="213"/>
      <c r="N274" s="213"/>
      <c r="O274" s="326"/>
      <c r="P274" s="213"/>
      <c r="Q274" s="213"/>
      <c r="R274" s="213"/>
      <c r="S274" s="213"/>
      <c r="T274" s="213"/>
      <c r="U274" s="213"/>
      <c r="V274" s="213"/>
      <c r="W274" s="213"/>
      <c r="X274" s="213"/>
      <c r="Y274" s="213"/>
      <c r="Z274" s="213"/>
      <c r="AA274" s="213"/>
      <c r="AB274" s="213"/>
      <c r="AC274" s="213"/>
      <c r="AD274" s="213"/>
      <c r="AE274" s="213"/>
      <c r="AF274" s="213"/>
      <c r="AG274" s="213"/>
      <c r="AH274" s="213"/>
      <c r="AI274" s="213"/>
    </row>
    <row r="275" ht="15.75" customHeight="1">
      <c r="A275" s="213"/>
      <c r="B275" s="213"/>
      <c r="C275" s="213"/>
      <c r="D275" s="213"/>
      <c r="E275" s="213"/>
      <c r="F275" s="213"/>
      <c r="G275" s="213"/>
      <c r="H275" s="213"/>
      <c r="I275" s="213"/>
      <c r="J275" s="213"/>
      <c r="K275" s="213"/>
      <c r="L275" s="213"/>
      <c r="M275" s="213"/>
      <c r="N275" s="213"/>
      <c r="O275" s="326"/>
      <c r="P275" s="213"/>
      <c r="Q275" s="213"/>
      <c r="R275" s="213"/>
      <c r="S275" s="213"/>
      <c r="T275" s="213"/>
      <c r="U275" s="213"/>
      <c r="V275" s="213"/>
      <c r="W275" s="213"/>
      <c r="X275" s="213"/>
      <c r="Y275" s="213"/>
      <c r="Z275" s="213"/>
      <c r="AA275" s="213"/>
      <c r="AB275" s="213"/>
      <c r="AC275" s="213"/>
      <c r="AD275" s="213"/>
      <c r="AE275" s="213"/>
      <c r="AF275" s="213"/>
      <c r="AG275" s="213"/>
      <c r="AH275" s="213"/>
      <c r="AI275" s="213"/>
    </row>
    <row r="276" ht="15.75" customHeight="1">
      <c r="A276" s="213"/>
      <c r="B276" s="213"/>
      <c r="C276" s="213"/>
      <c r="D276" s="213"/>
      <c r="E276" s="213"/>
      <c r="F276" s="213"/>
      <c r="G276" s="213"/>
      <c r="H276" s="213"/>
      <c r="I276" s="213"/>
      <c r="J276" s="213"/>
      <c r="K276" s="213"/>
      <c r="L276" s="213"/>
      <c r="M276" s="213"/>
      <c r="N276" s="213"/>
      <c r="O276" s="326"/>
      <c r="P276" s="213"/>
      <c r="Q276" s="213"/>
      <c r="R276" s="213"/>
      <c r="S276" s="213"/>
      <c r="T276" s="213"/>
      <c r="U276" s="213"/>
      <c r="V276" s="213"/>
      <c r="W276" s="213"/>
      <c r="X276" s="213"/>
      <c r="Y276" s="213"/>
      <c r="Z276" s="213"/>
      <c r="AA276" s="213"/>
      <c r="AB276" s="213"/>
      <c r="AC276" s="213"/>
      <c r="AD276" s="213"/>
      <c r="AE276" s="213"/>
      <c r="AF276" s="213"/>
      <c r="AG276" s="213"/>
      <c r="AH276" s="213"/>
      <c r="AI276" s="213"/>
    </row>
    <row r="277" ht="15.75" customHeight="1">
      <c r="A277" s="213"/>
      <c r="B277" s="213"/>
      <c r="C277" s="213"/>
      <c r="D277" s="213"/>
      <c r="E277" s="213"/>
      <c r="F277" s="213"/>
      <c r="G277" s="213"/>
      <c r="H277" s="213"/>
      <c r="I277" s="213"/>
      <c r="J277" s="213"/>
      <c r="K277" s="213"/>
      <c r="L277" s="213"/>
      <c r="M277" s="213"/>
      <c r="N277" s="213"/>
      <c r="O277" s="326"/>
      <c r="P277" s="213"/>
      <c r="Q277" s="213"/>
      <c r="R277" s="213"/>
      <c r="S277" s="213"/>
      <c r="T277" s="213"/>
      <c r="U277" s="213"/>
      <c r="V277" s="213"/>
      <c r="W277" s="213"/>
      <c r="X277" s="213"/>
      <c r="Y277" s="213"/>
      <c r="Z277" s="213"/>
      <c r="AA277" s="213"/>
      <c r="AB277" s="213"/>
      <c r="AC277" s="213"/>
      <c r="AD277" s="213"/>
      <c r="AE277" s="213"/>
      <c r="AF277" s="213"/>
      <c r="AG277" s="213"/>
      <c r="AH277" s="213"/>
      <c r="AI277" s="213"/>
    </row>
    <row r="278" ht="15.75" customHeight="1">
      <c r="A278" s="213"/>
      <c r="B278" s="213"/>
      <c r="C278" s="213"/>
      <c r="D278" s="213"/>
      <c r="E278" s="213"/>
      <c r="F278" s="213"/>
      <c r="G278" s="213"/>
      <c r="H278" s="213"/>
      <c r="I278" s="213"/>
      <c r="J278" s="213"/>
      <c r="K278" s="213"/>
      <c r="L278" s="213"/>
      <c r="M278" s="213"/>
      <c r="N278" s="213"/>
      <c r="O278" s="326"/>
      <c r="P278" s="213"/>
      <c r="Q278" s="213"/>
      <c r="R278" s="213"/>
      <c r="S278" s="213"/>
      <c r="T278" s="213"/>
      <c r="U278" s="213"/>
      <c r="V278" s="213"/>
      <c r="W278" s="213"/>
      <c r="X278" s="213"/>
      <c r="Y278" s="213"/>
      <c r="Z278" s="213"/>
      <c r="AA278" s="213"/>
      <c r="AB278" s="213"/>
      <c r="AC278" s="213"/>
      <c r="AD278" s="213"/>
      <c r="AE278" s="213"/>
      <c r="AF278" s="213"/>
      <c r="AG278" s="213"/>
      <c r="AH278" s="213"/>
      <c r="AI278" s="213"/>
    </row>
    <row r="279" ht="15.75" customHeight="1">
      <c r="A279" s="213"/>
      <c r="B279" s="213"/>
      <c r="C279" s="213"/>
      <c r="D279" s="213"/>
      <c r="E279" s="213"/>
      <c r="F279" s="213"/>
      <c r="G279" s="213"/>
      <c r="H279" s="213"/>
      <c r="I279" s="213"/>
      <c r="J279" s="213"/>
      <c r="K279" s="213"/>
      <c r="L279" s="213"/>
      <c r="M279" s="213"/>
      <c r="N279" s="213"/>
      <c r="O279" s="326"/>
      <c r="P279" s="213"/>
      <c r="Q279" s="213"/>
      <c r="R279" s="213"/>
      <c r="S279" s="213"/>
      <c r="T279" s="213"/>
      <c r="U279" s="213"/>
      <c r="V279" s="213"/>
      <c r="W279" s="213"/>
      <c r="X279" s="213"/>
      <c r="Y279" s="213"/>
      <c r="Z279" s="213"/>
      <c r="AA279" s="213"/>
      <c r="AB279" s="213"/>
      <c r="AC279" s="213"/>
      <c r="AD279" s="213"/>
      <c r="AE279" s="213"/>
      <c r="AF279" s="213"/>
      <c r="AG279" s="213"/>
      <c r="AH279" s="213"/>
      <c r="AI279" s="213"/>
    </row>
    <row r="280" ht="15.75" customHeight="1">
      <c r="A280" s="213"/>
      <c r="B280" s="213"/>
      <c r="C280" s="213"/>
      <c r="D280" s="213"/>
      <c r="E280" s="213"/>
      <c r="F280" s="213"/>
      <c r="G280" s="213"/>
      <c r="H280" s="213"/>
      <c r="I280" s="213"/>
      <c r="J280" s="213"/>
      <c r="K280" s="213"/>
      <c r="L280" s="213"/>
      <c r="M280" s="213"/>
      <c r="N280" s="213"/>
      <c r="O280" s="326"/>
      <c r="P280" s="213"/>
      <c r="Q280" s="213"/>
      <c r="R280" s="213"/>
      <c r="S280" s="213"/>
      <c r="T280" s="213"/>
      <c r="U280" s="213"/>
      <c r="V280" s="213"/>
      <c r="W280" s="213"/>
      <c r="X280" s="213"/>
      <c r="Y280" s="213"/>
      <c r="Z280" s="213"/>
      <c r="AA280" s="213"/>
      <c r="AB280" s="213"/>
      <c r="AC280" s="213"/>
      <c r="AD280" s="213"/>
      <c r="AE280" s="213"/>
      <c r="AF280" s="213"/>
      <c r="AG280" s="213"/>
      <c r="AH280" s="213"/>
      <c r="AI280" s="213"/>
    </row>
    <row r="281" ht="15.75" customHeight="1">
      <c r="A281" s="213"/>
      <c r="B281" s="213"/>
      <c r="C281" s="213"/>
      <c r="D281" s="213"/>
      <c r="E281" s="213"/>
      <c r="F281" s="213"/>
      <c r="G281" s="213"/>
      <c r="H281" s="213"/>
      <c r="I281" s="213"/>
      <c r="J281" s="213"/>
      <c r="K281" s="213"/>
      <c r="L281" s="213"/>
      <c r="M281" s="213"/>
      <c r="N281" s="213"/>
      <c r="O281" s="326"/>
      <c r="P281" s="213"/>
      <c r="Q281" s="213"/>
      <c r="R281" s="213"/>
      <c r="S281" s="213"/>
      <c r="T281" s="213"/>
      <c r="U281" s="213"/>
      <c r="V281" s="213"/>
      <c r="W281" s="213"/>
      <c r="X281" s="213"/>
      <c r="Y281" s="213"/>
      <c r="Z281" s="213"/>
      <c r="AA281" s="213"/>
      <c r="AB281" s="213"/>
      <c r="AC281" s="213"/>
      <c r="AD281" s="213"/>
      <c r="AE281" s="213"/>
      <c r="AF281" s="213"/>
      <c r="AG281" s="213"/>
      <c r="AH281" s="213"/>
      <c r="AI281" s="213"/>
    </row>
    <row r="282" ht="15.75" customHeight="1">
      <c r="A282" s="213"/>
      <c r="B282" s="213"/>
      <c r="C282" s="213"/>
      <c r="D282" s="213"/>
      <c r="E282" s="213"/>
      <c r="F282" s="213"/>
      <c r="G282" s="213"/>
      <c r="H282" s="213"/>
      <c r="I282" s="213"/>
      <c r="J282" s="213"/>
      <c r="K282" s="213"/>
      <c r="L282" s="213"/>
      <c r="M282" s="213"/>
      <c r="N282" s="213"/>
      <c r="O282" s="326"/>
      <c r="P282" s="213"/>
      <c r="Q282" s="213"/>
      <c r="R282" s="213"/>
      <c r="S282" s="213"/>
      <c r="T282" s="213"/>
      <c r="U282" s="213"/>
      <c r="V282" s="213"/>
      <c r="W282" s="213"/>
      <c r="X282" s="213"/>
      <c r="Y282" s="213"/>
      <c r="Z282" s="213"/>
      <c r="AA282" s="213"/>
      <c r="AB282" s="213"/>
      <c r="AC282" s="213"/>
      <c r="AD282" s="213"/>
      <c r="AE282" s="213"/>
      <c r="AF282" s="213"/>
      <c r="AG282" s="213"/>
      <c r="AH282" s="213"/>
      <c r="AI282" s="213"/>
    </row>
    <row r="283" ht="15.75" customHeight="1">
      <c r="A283" s="213"/>
      <c r="B283" s="213"/>
      <c r="C283" s="213"/>
      <c r="D283" s="213"/>
      <c r="E283" s="213"/>
      <c r="F283" s="213"/>
      <c r="G283" s="213"/>
      <c r="H283" s="213"/>
      <c r="I283" s="213"/>
      <c r="J283" s="213"/>
      <c r="K283" s="213"/>
      <c r="L283" s="213"/>
      <c r="M283" s="213"/>
      <c r="N283" s="213"/>
      <c r="O283" s="326"/>
      <c r="P283" s="213"/>
      <c r="Q283" s="213"/>
      <c r="R283" s="213"/>
      <c r="S283" s="213"/>
      <c r="T283" s="213"/>
      <c r="U283" s="213"/>
      <c r="V283" s="213"/>
      <c r="W283" s="213"/>
      <c r="X283" s="213"/>
      <c r="Y283" s="213"/>
      <c r="Z283" s="213"/>
      <c r="AA283" s="213"/>
      <c r="AB283" s="213"/>
      <c r="AC283" s="213"/>
      <c r="AD283" s="213"/>
      <c r="AE283" s="213"/>
      <c r="AF283" s="213"/>
      <c r="AG283" s="213"/>
      <c r="AH283" s="213"/>
      <c r="AI283" s="213"/>
    </row>
    <row r="284" ht="15.75" customHeight="1">
      <c r="A284" s="213"/>
      <c r="B284" s="213"/>
      <c r="C284" s="213"/>
      <c r="D284" s="213"/>
      <c r="E284" s="213"/>
      <c r="F284" s="213"/>
      <c r="G284" s="213"/>
      <c r="H284" s="213"/>
      <c r="I284" s="213"/>
      <c r="J284" s="213"/>
      <c r="K284" s="213"/>
      <c r="L284" s="213"/>
      <c r="M284" s="213"/>
      <c r="N284" s="213"/>
      <c r="O284" s="326"/>
      <c r="P284" s="213"/>
      <c r="Q284" s="213"/>
      <c r="R284" s="213"/>
      <c r="S284" s="213"/>
      <c r="T284" s="213"/>
      <c r="U284" s="213"/>
      <c r="V284" s="213"/>
      <c r="W284" s="213"/>
      <c r="X284" s="213"/>
      <c r="Y284" s="213"/>
      <c r="Z284" s="213"/>
      <c r="AA284" s="213"/>
      <c r="AB284" s="213"/>
      <c r="AC284" s="213"/>
      <c r="AD284" s="213"/>
      <c r="AE284" s="213"/>
      <c r="AF284" s="213"/>
      <c r="AG284" s="213"/>
      <c r="AH284" s="213"/>
      <c r="AI284" s="213"/>
    </row>
    <row r="285" ht="15.75" customHeight="1">
      <c r="A285" s="213"/>
      <c r="B285" s="213"/>
      <c r="C285" s="213"/>
      <c r="D285" s="213"/>
      <c r="E285" s="213"/>
      <c r="F285" s="213"/>
      <c r="G285" s="213"/>
      <c r="H285" s="213"/>
      <c r="I285" s="213"/>
      <c r="J285" s="213"/>
      <c r="K285" s="213"/>
      <c r="L285" s="213"/>
      <c r="M285" s="213"/>
      <c r="N285" s="213"/>
      <c r="O285" s="326"/>
      <c r="P285" s="213"/>
      <c r="Q285" s="213"/>
      <c r="R285" s="213"/>
      <c r="S285" s="213"/>
      <c r="T285" s="213"/>
      <c r="U285" s="213"/>
      <c r="V285" s="213"/>
      <c r="W285" s="213"/>
      <c r="X285" s="213"/>
      <c r="Y285" s="213"/>
      <c r="Z285" s="213"/>
      <c r="AA285" s="213"/>
      <c r="AB285" s="213"/>
      <c r="AC285" s="213"/>
      <c r="AD285" s="213"/>
      <c r="AE285" s="213"/>
      <c r="AF285" s="213"/>
      <c r="AG285" s="213"/>
      <c r="AH285" s="213"/>
      <c r="AI285" s="213"/>
    </row>
    <row r="286" ht="15.75" customHeight="1">
      <c r="A286" s="213"/>
      <c r="B286" s="213"/>
      <c r="C286" s="213"/>
      <c r="D286" s="213"/>
      <c r="E286" s="213"/>
      <c r="F286" s="213"/>
      <c r="G286" s="213"/>
      <c r="H286" s="213"/>
      <c r="I286" s="213"/>
      <c r="J286" s="213"/>
      <c r="K286" s="213"/>
      <c r="L286" s="213"/>
      <c r="M286" s="213"/>
      <c r="N286" s="213"/>
      <c r="O286" s="326"/>
      <c r="P286" s="213"/>
      <c r="Q286" s="213"/>
      <c r="R286" s="213"/>
      <c r="S286" s="213"/>
      <c r="T286" s="213"/>
      <c r="U286" s="213"/>
      <c r="V286" s="213"/>
      <c r="W286" s="213"/>
      <c r="X286" s="213"/>
      <c r="Y286" s="213"/>
      <c r="Z286" s="213"/>
      <c r="AA286" s="213"/>
      <c r="AB286" s="213"/>
      <c r="AC286" s="213"/>
      <c r="AD286" s="213"/>
      <c r="AE286" s="213"/>
      <c r="AF286" s="213"/>
      <c r="AG286" s="213"/>
      <c r="AH286" s="213"/>
      <c r="AI286" s="213"/>
    </row>
    <row r="287" ht="15.75" customHeight="1">
      <c r="A287" s="213"/>
      <c r="B287" s="213"/>
      <c r="C287" s="213"/>
      <c r="D287" s="213"/>
      <c r="E287" s="213"/>
      <c r="F287" s="213"/>
      <c r="G287" s="213"/>
      <c r="H287" s="213"/>
      <c r="I287" s="213"/>
      <c r="J287" s="213"/>
      <c r="K287" s="213"/>
      <c r="L287" s="213"/>
      <c r="M287" s="213"/>
      <c r="N287" s="213"/>
      <c r="O287" s="326"/>
      <c r="P287" s="213"/>
      <c r="Q287" s="213"/>
      <c r="R287" s="213"/>
      <c r="S287" s="213"/>
      <c r="T287" s="213"/>
      <c r="U287" s="213"/>
      <c r="V287" s="213"/>
      <c r="W287" s="213"/>
      <c r="X287" s="213"/>
      <c r="Y287" s="213"/>
      <c r="Z287" s="213"/>
      <c r="AA287" s="213"/>
      <c r="AB287" s="213"/>
      <c r="AC287" s="213"/>
      <c r="AD287" s="213"/>
      <c r="AE287" s="213"/>
      <c r="AF287" s="213"/>
      <c r="AG287" s="213"/>
      <c r="AH287" s="213"/>
      <c r="AI287" s="213"/>
    </row>
    <row r="288" ht="15.75" customHeight="1">
      <c r="A288" s="213"/>
      <c r="B288" s="213"/>
      <c r="C288" s="213"/>
      <c r="D288" s="213"/>
      <c r="E288" s="213"/>
      <c r="F288" s="213"/>
      <c r="G288" s="213"/>
      <c r="H288" s="213"/>
      <c r="I288" s="213"/>
      <c r="J288" s="213"/>
      <c r="K288" s="213"/>
      <c r="L288" s="213"/>
      <c r="M288" s="213"/>
      <c r="N288" s="213"/>
      <c r="O288" s="326"/>
      <c r="P288" s="213"/>
      <c r="Q288" s="213"/>
      <c r="R288" s="213"/>
      <c r="S288" s="213"/>
      <c r="T288" s="213"/>
      <c r="U288" s="213"/>
      <c r="V288" s="213"/>
      <c r="W288" s="213"/>
      <c r="X288" s="213"/>
      <c r="Y288" s="213"/>
      <c r="Z288" s="213"/>
      <c r="AA288" s="213"/>
      <c r="AB288" s="213"/>
      <c r="AC288" s="213"/>
      <c r="AD288" s="213"/>
      <c r="AE288" s="213"/>
      <c r="AF288" s="213"/>
      <c r="AG288" s="213"/>
      <c r="AH288" s="213"/>
      <c r="AI288" s="213"/>
    </row>
    <row r="289" ht="15.75" customHeight="1">
      <c r="A289" s="213"/>
      <c r="B289" s="213"/>
      <c r="C289" s="213"/>
      <c r="D289" s="213"/>
      <c r="E289" s="213"/>
      <c r="F289" s="213"/>
      <c r="G289" s="213"/>
      <c r="H289" s="213"/>
      <c r="I289" s="213"/>
      <c r="J289" s="213"/>
      <c r="K289" s="213"/>
      <c r="L289" s="213"/>
      <c r="M289" s="213"/>
      <c r="N289" s="213"/>
      <c r="O289" s="326"/>
      <c r="P289" s="213"/>
      <c r="Q289" s="213"/>
      <c r="R289" s="213"/>
      <c r="S289" s="213"/>
      <c r="T289" s="213"/>
      <c r="U289" s="213"/>
      <c r="V289" s="213"/>
      <c r="W289" s="213"/>
      <c r="X289" s="213"/>
      <c r="Y289" s="213"/>
      <c r="Z289" s="213"/>
      <c r="AA289" s="213"/>
      <c r="AB289" s="213"/>
      <c r="AC289" s="213"/>
      <c r="AD289" s="213"/>
      <c r="AE289" s="213"/>
      <c r="AF289" s="213"/>
      <c r="AG289" s="213"/>
      <c r="AH289" s="213"/>
      <c r="AI289" s="213"/>
    </row>
    <row r="290" ht="15.75" customHeight="1">
      <c r="A290" s="213"/>
      <c r="B290" s="213"/>
      <c r="C290" s="213"/>
      <c r="D290" s="213"/>
      <c r="E290" s="213"/>
      <c r="F290" s="213"/>
      <c r="G290" s="213"/>
      <c r="H290" s="213"/>
      <c r="I290" s="213"/>
      <c r="J290" s="213"/>
      <c r="K290" s="213"/>
      <c r="L290" s="213"/>
      <c r="M290" s="213"/>
      <c r="N290" s="213"/>
      <c r="O290" s="326"/>
      <c r="P290" s="213"/>
      <c r="Q290" s="213"/>
      <c r="R290" s="213"/>
      <c r="S290" s="213"/>
      <c r="T290" s="213"/>
      <c r="U290" s="213"/>
      <c r="V290" s="213"/>
      <c r="W290" s="213"/>
      <c r="X290" s="213"/>
      <c r="Y290" s="213"/>
      <c r="Z290" s="213"/>
      <c r="AA290" s="213"/>
      <c r="AB290" s="213"/>
      <c r="AC290" s="213"/>
      <c r="AD290" s="213"/>
      <c r="AE290" s="213"/>
      <c r="AF290" s="213"/>
      <c r="AG290" s="213"/>
      <c r="AH290" s="213"/>
      <c r="AI290" s="213"/>
    </row>
    <row r="291" ht="15.75" customHeight="1">
      <c r="A291" s="213"/>
      <c r="B291" s="213"/>
      <c r="C291" s="213"/>
      <c r="D291" s="213"/>
      <c r="E291" s="213"/>
      <c r="F291" s="213"/>
      <c r="G291" s="213"/>
      <c r="H291" s="213"/>
      <c r="I291" s="213"/>
      <c r="J291" s="213"/>
      <c r="K291" s="213"/>
      <c r="L291" s="213"/>
      <c r="M291" s="213"/>
      <c r="N291" s="213"/>
      <c r="O291" s="326"/>
      <c r="P291" s="213"/>
      <c r="Q291" s="213"/>
      <c r="R291" s="213"/>
      <c r="S291" s="213"/>
      <c r="T291" s="213"/>
      <c r="U291" s="213"/>
      <c r="V291" s="213"/>
      <c r="W291" s="213"/>
      <c r="X291" s="213"/>
      <c r="Y291" s="213"/>
      <c r="Z291" s="213"/>
      <c r="AA291" s="213"/>
      <c r="AB291" s="213"/>
      <c r="AC291" s="213"/>
      <c r="AD291" s="213"/>
      <c r="AE291" s="213"/>
      <c r="AF291" s="213"/>
      <c r="AG291" s="213"/>
      <c r="AH291" s="213"/>
      <c r="AI291" s="213"/>
    </row>
    <row r="292" ht="15.75" customHeight="1">
      <c r="A292" s="213"/>
      <c r="B292" s="213"/>
      <c r="C292" s="213"/>
      <c r="D292" s="213"/>
      <c r="E292" s="213"/>
      <c r="F292" s="213"/>
      <c r="G292" s="213"/>
      <c r="H292" s="213"/>
      <c r="I292" s="213"/>
      <c r="J292" s="213"/>
      <c r="K292" s="213"/>
      <c r="L292" s="213"/>
      <c r="M292" s="213"/>
      <c r="N292" s="213"/>
      <c r="O292" s="326"/>
      <c r="P292" s="213"/>
      <c r="Q292" s="213"/>
      <c r="R292" s="213"/>
      <c r="S292" s="213"/>
      <c r="T292" s="213"/>
      <c r="U292" s="213"/>
      <c r="V292" s="213"/>
      <c r="W292" s="213"/>
      <c r="X292" s="213"/>
      <c r="Y292" s="213"/>
      <c r="Z292" s="213"/>
      <c r="AA292" s="213"/>
      <c r="AB292" s="213"/>
      <c r="AC292" s="213"/>
      <c r="AD292" s="213"/>
      <c r="AE292" s="213"/>
      <c r="AF292" s="213"/>
      <c r="AG292" s="213"/>
      <c r="AH292" s="213"/>
      <c r="AI292" s="213"/>
    </row>
    <row r="293" ht="15.75" customHeight="1">
      <c r="A293" s="213"/>
      <c r="B293" s="213"/>
      <c r="C293" s="213"/>
      <c r="D293" s="213"/>
      <c r="E293" s="213"/>
      <c r="F293" s="213"/>
      <c r="G293" s="213"/>
      <c r="H293" s="213"/>
      <c r="I293" s="213"/>
      <c r="J293" s="213"/>
      <c r="K293" s="213"/>
      <c r="L293" s="213"/>
      <c r="M293" s="213"/>
      <c r="N293" s="213"/>
      <c r="O293" s="326"/>
      <c r="P293" s="213"/>
      <c r="Q293" s="213"/>
      <c r="R293" s="213"/>
      <c r="S293" s="213"/>
      <c r="T293" s="213"/>
      <c r="U293" s="213"/>
      <c r="V293" s="213"/>
      <c r="W293" s="213"/>
      <c r="X293" s="213"/>
      <c r="Y293" s="213"/>
      <c r="Z293" s="213"/>
      <c r="AA293" s="213"/>
      <c r="AB293" s="213"/>
      <c r="AC293" s="213"/>
      <c r="AD293" s="213"/>
      <c r="AE293" s="213"/>
      <c r="AF293" s="213"/>
      <c r="AG293" s="213"/>
      <c r="AH293" s="213"/>
      <c r="AI293" s="213"/>
    </row>
    <row r="294" ht="15.75" customHeight="1">
      <c r="A294" s="213"/>
      <c r="B294" s="213"/>
      <c r="C294" s="213"/>
      <c r="D294" s="213"/>
      <c r="E294" s="213"/>
      <c r="F294" s="213"/>
      <c r="G294" s="213"/>
      <c r="H294" s="213"/>
      <c r="I294" s="213"/>
      <c r="J294" s="213"/>
      <c r="K294" s="213"/>
      <c r="L294" s="213"/>
      <c r="M294" s="213"/>
      <c r="N294" s="213"/>
      <c r="O294" s="326"/>
      <c r="P294" s="213"/>
      <c r="Q294" s="213"/>
      <c r="R294" s="213"/>
      <c r="S294" s="213"/>
      <c r="T294" s="213"/>
      <c r="U294" s="213"/>
      <c r="V294" s="213"/>
      <c r="W294" s="213"/>
      <c r="X294" s="213"/>
      <c r="Y294" s="213"/>
      <c r="Z294" s="213"/>
      <c r="AA294" s="213"/>
      <c r="AB294" s="213"/>
      <c r="AC294" s="213"/>
      <c r="AD294" s="213"/>
      <c r="AE294" s="213"/>
      <c r="AF294" s="213"/>
      <c r="AG294" s="213"/>
      <c r="AH294" s="213"/>
      <c r="AI294" s="213"/>
    </row>
    <row r="295" ht="15.75" customHeight="1">
      <c r="A295" s="213"/>
      <c r="B295" s="213"/>
      <c r="C295" s="213"/>
      <c r="D295" s="213"/>
      <c r="E295" s="213"/>
      <c r="F295" s="213"/>
      <c r="G295" s="213"/>
      <c r="H295" s="213"/>
      <c r="I295" s="213"/>
      <c r="J295" s="213"/>
      <c r="K295" s="213"/>
      <c r="L295" s="213"/>
      <c r="M295" s="213"/>
      <c r="N295" s="213"/>
      <c r="O295" s="326"/>
      <c r="P295" s="213"/>
      <c r="Q295" s="213"/>
      <c r="R295" s="213"/>
      <c r="S295" s="213"/>
      <c r="T295" s="213"/>
      <c r="U295" s="213"/>
      <c r="V295" s="213"/>
      <c r="W295" s="213"/>
      <c r="X295" s="213"/>
      <c r="Y295" s="213"/>
      <c r="Z295" s="213"/>
      <c r="AA295" s="213"/>
      <c r="AB295" s="213"/>
      <c r="AC295" s="213"/>
      <c r="AD295" s="213"/>
      <c r="AE295" s="213"/>
      <c r="AF295" s="213"/>
      <c r="AG295" s="213"/>
      <c r="AH295" s="213"/>
      <c r="AI295" s="213"/>
    </row>
    <row r="296" ht="15.75" customHeight="1">
      <c r="A296" s="213"/>
      <c r="B296" s="213"/>
      <c r="C296" s="213"/>
      <c r="D296" s="213"/>
      <c r="E296" s="213"/>
      <c r="F296" s="213"/>
      <c r="G296" s="213"/>
      <c r="H296" s="213"/>
      <c r="I296" s="213"/>
      <c r="J296" s="213"/>
      <c r="K296" s="213"/>
      <c r="L296" s="213"/>
      <c r="M296" s="213"/>
      <c r="N296" s="213"/>
      <c r="O296" s="326"/>
      <c r="P296" s="213"/>
      <c r="Q296" s="213"/>
      <c r="R296" s="213"/>
      <c r="S296" s="213"/>
      <c r="T296" s="213"/>
      <c r="U296" s="213"/>
      <c r="V296" s="213"/>
      <c r="W296" s="213"/>
      <c r="X296" s="213"/>
      <c r="Y296" s="213"/>
      <c r="Z296" s="213"/>
      <c r="AA296" s="213"/>
      <c r="AB296" s="213"/>
      <c r="AC296" s="213"/>
      <c r="AD296" s="213"/>
      <c r="AE296" s="213"/>
      <c r="AF296" s="213"/>
      <c r="AG296" s="213"/>
      <c r="AH296" s="213"/>
      <c r="AI296" s="213"/>
    </row>
    <row r="297" ht="15.75" customHeight="1">
      <c r="A297" s="213"/>
      <c r="B297" s="213"/>
      <c r="C297" s="213"/>
      <c r="D297" s="213"/>
      <c r="E297" s="213"/>
      <c r="F297" s="213"/>
      <c r="G297" s="213"/>
      <c r="H297" s="213"/>
      <c r="I297" s="213"/>
      <c r="J297" s="213"/>
      <c r="K297" s="213"/>
      <c r="L297" s="213"/>
      <c r="M297" s="213"/>
      <c r="N297" s="213"/>
      <c r="O297" s="326"/>
      <c r="P297" s="213"/>
      <c r="Q297" s="213"/>
      <c r="R297" s="213"/>
      <c r="S297" s="213"/>
      <c r="T297" s="213"/>
      <c r="U297" s="213"/>
      <c r="V297" s="213"/>
      <c r="W297" s="213"/>
      <c r="X297" s="213"/>
      <c r="Y297" s="213"/>
      <c r="Z297" s="213"/>
      <c r="AA297" s="213"/>
      <c r="AB297" s="213"/>
      <c r="AC297" s="213"/>
      <c r="AD297" s="213"/>
      <c r="AE297" s="213"/>
      <c r="AF297" s="213"/>
      <c r="AG297" s="213"/>
      <c r="AH297" s="213"/>
      <c r="AI297" s="213"/>
    </row>
    <row r="298" ht="15.75" customHeight="1">
      <c r="A298" s="213"/>
      <c r="B298" s="213"/>
      <c r="C298" s="213"/>
      <c r="D298" s="213"/>
      <c r="E298" s="213"/>
      <c r="F298" s="213"/>
      <c r="G298" s="213"/>
      <c r="H298" s="213"/>
      <c r="I298" s="213"/>
      <c r="J298" s="213"/>
      <c r="K298" s="213"/>
      <c r="L298" s="213"/>
      <c r="M298" s="213"/>
      <c r="N298" s="213"/>
      <c r="O298" s="326"/>
      <c r="P298" s="213"/>
      <c r="Q298" s="213"/>
      <c r="R298" s="213"/>
      <c r="S298" s="213"/>
      <c r="T298" s="213"/>
      <c r="U298" s="213"/>
      <c r="V298" s="213"/>
      <c r="W298" s="213"/>
      <c r="X298" s="213"/>
      <c r="Y298" s="213"/>
      <c r="Z298" s="213"/>
      <c r="AA298" s="213"/>
      <c r="AB298" s="213"/>
      <c r="AC298" s="213"/>
      <c r="AD298" s="213"/>
      <c r="AE298" s="213"/>
      <c r="AF298" s="213"/>
      <c r="AG298" s="213"/>
      <c r="AH298" s="213"/>
      <c r="AI298" s="213"/>
    </row>
    <row r="299" ht="15.75" customHeight="1">
      <c r="A299" s="213"/>
      <c r="B299" s="213"/>
      <c r="C299" s="213"/>
      <c r="D299" s="213"/>
      <c r="E299" s="213"/>
      <c r="F299" s="213"/>
      <c r="G299" s="213"/>
      <c r="H299" s="213"/>
      <c r="I299" s="213"/>
      <c r="J299" s="213"/>
      <c r="K299" s="213"/>
      <c r="L299" s="213"/>
      <c r="M299" s="213"/>
      <c r="N299" s="213"/>
      <c r="O299" s="326"/>
      <c r="P299" s="213"/>
      <c r="Q299" s="213"/>
      <c r="R299" s="213"/>
      <c r="S299" s="213"/>
      <c r="T299" s="213"/>
      <c r="U299" s="213"/>
      <c r="V299" s="213"/>
      <c r="W299" s="213"/>
      <c r="X299" s="213"/>
      <c r="Y299" s="213"/>
      <c r="Z299" s="213"/>
      <c r="AA299" s="213"/>
      <c r="AB299" s="213"/>
      <c r="AC299" s="213"/>
      <c r="AD299" s="213"/>
      <c r="AE299" s="213"/>
      <c r="AF299" s="213"/>
      <c r="AG299" s="213"/>
      <c r="AH299" s="213"/>
      <c r="AI299" s="213"/>
    </row>
    <row r="300" ht="15.75" customHeight="1">
      <c r="A300" s="213"/>
      <c r="B300" s="213"/>
      <c r="C300" s="213"/>
      <c r="D300" s="213"/>
      <c r="E300" s="213"/>
      <c r="F300" s="213"/>
      <c r="G300" s="213"/>
      <c r="H300" s="213"/>
      <c r="I300" s="213"/>
      <c r="J300" s="213"/>
      <c r="K300" s="213"/>
      <c r="L300" s="213"/>
      <c r="M300" s="213"/>
      <c r="N300" s="213"/>
      <c r="O300" s="326"/>
      <c r="P300" s="213"/>
      <c r="Q300" s="213"/>
      <c r="R300" s="213"/>
      <c r="S300" s="213"/>
      <c r="T300" s="213"/>
      <c r="U300" s="213"/>
      <c r="V300" s="213"/>
      <c r="W300" s="213"/>
      <c r="X300" s="213"/>
      <c r="Y300" s="213"/>
      <c r="Z300" s="213"/>
      <c r="AA300" s="213"/>
      <c r="AB300" s="213"/>
      <c r="AC300" s="213"/>
      <c r="AD300" s="213"/>
      <c r="AE300" s="213"/>
      <c r="AF300" s="213"/>
      <c r="AG300" s="213"/>
      <c r="AH300" s="213"/>
      <c r="AI300" s="213"/>
    </row>
    <row r="301" ht="15.75" customHeight="1">
      <c r="A301" s="213"/>
      <c r="B301" s="213"/>
      <c r="C301" s="213"/>
      <c r="D301" s="213"/>
      <c r="E301" s="213"/>
      <c r="F301" s="213"/>
      <c r="G301" s="213"/>
      <c r="H301" s="213"/>
      <c r="I301" s="213"/>
      <c r="J301" s="213"/>
      <c r="K301" s="213"/>
      <c r="L301" s="213"/>
      <c r="M301" s="213"/>
      <c r="N301" s="213"/>
      <c r="O301" s="326"/>
      <c r="P301" s="213"/>
      <c r="Q301" s="213"/>
      <c r="R301" s="213"/>
      <c r="S301" s="213"/>
      <c r="T301" s="213"/>
      <c r="U301" s="213"/>
      <c r="V301" s="213"/>
      <c r="W301" s="213"/>
      <c r="X301" s="213"/>
      <c r="Y301" s="213"/>
      <c r="Z301" s="213"/>
      <c r="AA301" s="213"/>
      <c r="AB301" s="213"/>
      <c r="AC301" s="213"/>
      <c r="AD301" s="213"/>
      <c r="AE301" s="213"/>
      <c r="AF301" s="213"/>
      <c r="AG301" s="213"/>
      <c r="AH301" s="213"/>
      <c r="AI301" s="213"/>
    </row>
    <row r="302" ht="15.75" customHeight="1">
      <c r="A302" s="213"/>
      <c r="B302" s="213"/>
      <c r="C302" s="213"/>
      <c r="D302" s="213"/>
      <c r="E302" s="213"/>
      <c r="F302" s="213"/>
      <c r="G302" s="213"/>
      <c r="H302" s="213"/>
      <c r="I302" s="213"/>
      <c r="J302" s="213"/>
      <c r="K302" s="213"/>
      <c r="L302" s="213"/>
      <c r="M302" s="213"/>
      <c r="N302" s="213"/>
      <c r="O302" s="326"/>
      <c r="P302" s="213"/>
      <c r="Q302" s="213"/>
      <c r="R302" s="213"/>
      <c r="S302" s="213"/>
      <c r="T302" s="213"/>
      <c r="U302" s="213"/>
      <c r="V302" s="213"/>
      <c r="W302" s="213"/>
      <c r="X302" s="213"/>
      <c r="Y302" s="213"/>
      <c r="Z302" s="213"/>
      <c r="AA302" s="213"/>
      <c r="AB302" s="213"/>
      <c r="AC302" s="213"/>
      <c r="AD302" s="213"/>
      <c r="AE302" s="213"/>
      <c r="AF302" s="213"/>
      <c r="AG302" s="213"/>
      <c r="AH302" s="213"/>
      <c r="AI302" s="213"/>
    </row>
    <row r="303" ht="15.75" customHeight="1">
      <c r="A303" s="213"/>
      <c r="B303" s="213"/>
      <c r="C303" s="213"/>
      <c r="D303" s="213"/>
      <c r="E303" s="213"/>
      <c r="F303" s="213"/>
      <c r="G303" s="213"/>
      <c r="H303" s="213"/>
      <c r="I303" s="213"/>
      <c r="J303" s="213"/>
      <c r="K303" s="213"/>
      <c r="L303" s="213"/>
      <c r="M303" s="213"/>
      <c r="N303" s="213"/>
      <c r="O303" s="326"/>
      <c r="P303" s="213"/>
      <c r="Q303" s="213"/>
      <c r="R303" s="213"/>
      <c r="S303" s="213"/>
      <c r="T303" s="213"/>
      <c r="U303" s="213"/>
      <c r="V303" s="213"/>
      <c r="W303" s="213"/>
      <c r="X303" s="213"/>
      <c r="Y303" s="213"/>
      <c r="Z303" s="213"/>
      <c r="AA303" s="213"/>
      <c r="AB303" s="213"/>
      <c r="AC303" s="213"/>
      <c r="AD303" s="213"/>
      <c r="AE303" s="213"/>
      <c r="AF303" s="213"/>
      <c r="AG303" s="213"/>
      <c r="AH303" s="213"/>
      <c r="AI303" s="213"/>
    </row>
    <row r="304" ht="15.75" customHeight="1">
      <c r="A304" s="213"/>
      <c r="B304" s="213"/>
      <c r="C304" s="213"/>
      <c r="D304" s="213"/>
      <c r="E304" s="213"/>
      <c r="F304" s="213"/>
      <c r="G304" s="213"/>
      <c r="H304" s="213"/>
      <c r="I304" s="213"/>
      <c r="J304" s="213"/>
      <c r="K304" s="213"/>
      <c r="L304" s="213"/>
      <c r="M304" s="213"/>
      <c r="N304" s="213"/>
      <c r="O304" s="326"/>
      <c r="P304" s="213"/>
      <c r="Q304" s="213"/>
      <c r="R304" s="213"/>
      <c r="S304" s="213"/>
      <c r="T304" s="213"/>
      <c r="U304" s="213"/>
      <c r="V304" s="213"/>
      <c r="W304" s="213"/>
      <c r="X304" s="213"/>
      <c r="Y304" s="213"/>
      <c r="Z304" s="213"/>
      <c r="AA304" s="213"/>
      <c r="AB304" s="213"/>
      <c r="AC304" s="213"/>
      <c r="AD304" s="213"/>
      <c r="AE304" s="213"/>
      <c r="AF304" s="213"/>
      <c r="AG304" s="213"/>
      <c r="AH304" s="213"/>
      <c r="AI304" s="213"/>
    </row>
    <row r="305" ht="15.75" customHeight="1">
      <c r="A305" s="213"/>
      <c r="B305" s="213"/>
      <c r="C305" s="213"/>
      <c r="D305" s="213"/>
      <c r="E305" s="213"/>
      <c r="F305" s="213"/>
      <c r="G305" s="213"/>
      <c r="H305" s="213"/>
      <c r="I305" s="213"/>
      <c r="J305" s="213"/>
      <c r="K305" s="213"/>
      <c r="L305" s="213"/>
      <c r="M305" s="213"/>
      <c r="N305" s="213"/>
      <c r="O305" s="326"/>
      <c r="P305" s="213"/>
      <c r="Q305" s="213"/>
      <c r="R305" s="213"/>
      <c r="S305" s="213"/>
      <c r="T305" s="213"/>
      <c r="U305" s="213"/>
      <c r="V305" s="213"/>
      <c r="W305" s="213"/>
      <c r="X305" s="213"/>
      <c r="Y305" s="213"/>
      <c r="Z305" s="213"/>
      <c r="AA305" s="213"/>
      <c r="AB305" s="213"/>
      <c r="AC305" s="213"/>
      <c r="AD305" s="213"/>
      <c r="AE305" s="213"/>
      <c r="AF305" s="213"/>
      <c r="AG305" s="213"/>
      <c r="AH305" s="213"/>
      <c r="AI305" s="213"/>
    </row>
    <row r="306" ht="15.75" customHeight="1">
      <c r="A306" s="213"/>
      <c r="B306" s="213"/>
      <c r="C306" s="213"/>
      <c r="D306" s="213"/>
      <c r="E306" s="213"/>
      <c r="F306" s="213"/>
      <c r="G306" s="213"/>
      <c r="H306" s="213"/>
      <c r="I306" s="213"/>
      <c r="J306" s="213"/>
      <c r="K306" s="213"/>
      <c r="L306" s="213"/>
      <c r="M306" s="213"/>
      <c r="N306" s="213"/>
      <c r="O306" s="326"/>
      <c r="P306" s="213"/>
      <c r="Q306" s="213"/>
      <c r="R306" s="213"/>
      <c r="S306" s="213"/>
      <c r="T306" s="213"/>
      <c r="U306" s="213"/>
      <c r="V306" s="213"/>
      <c r="W306" s="213"/>
      <c r="X306" s="213"/>
      <c r="Y306" s="213"/>
      <c r="Z306" s="213"/>
      <c r="AA306" s="213"/>
      <c r="AB306" s="213"/>
      <c r="AC306" s="213"/>
      <c r="AD306" s="213"/>
      <c r="AE306" s="213"/>
      <c r="AF306" s="213"/>
      <c r="AG306" s="213"/>
      <c r="AH306" s="213"/>
      <c r="AI306" s="213"/>
    </row>
    <row r="307" ht="15.75" customHeight="1">
      <c r="A307" s="213"/>
      <c r="B307" s="213"/>
      <c r="C307" s="213"/>
      <c r="D307" s="213"/>
      <c r="E307" s="213"/>
      <c r="F307" s="213"/>
      <c r="G307" s="213"/>
      <c r="H307" s="213"/>
      <c r="I307" s="213"/>
      <c r="J307" s="213"/>
      <c r="K307" s="213"/>
      <c r="L307" s="213"/>
      <c r="M307" s="213"/>
      <c r="N307" s="213"/>
      <c r="O307" s="326"/>
      <c r="P307" s="213"/>
      <c r="Q307" s="213"/>
      <c r="R307" s="213"/>
      <c r="S307" s="213"/>
      <c r="T307" s="213"/>
      <c r="U307" s="213"/>
      <c r="V307" s="213"/>
      <c r="W307" s="213"/>
      <c r="X307" s="213"/>
      <c r="Y307" s="213"/>
      <c r="Z307" s="213"/>
      <c r="AA307" s="213"/>
      <c r="AB307" s="213"/>
      <c r="AC307" s="213"/>
      <c r="AD307" s="213"/>
      <c r="AE307" s="213"/>
      <c r="AF307" s="213"/>
      <c r="AG307" s="213"/>
      <c r="AH307" s="213"/>
      <c r="AI307" s="213"/>
    </row>
    <row r="308" ht="15.75" customHeight="1">
      <c r="A308" s="213"/>
      <c r="B308" s="213"/>
      <c r="C308" s="213"/>
      <c r="D308" s="213"/>
      <c r="E308" s="213"/>
      <c r="F308" s="213"/>
      <c r="G308" s="213"/>
      <c r="H308" s="213"/>
      <c r="I308" s="213"/>
      <c r="J308" s="213"/>
      <c r="K308" s="213"/>
      <c r="L308" s="213"/>
      <c r="M308" s="213"/>
      <c r="N308" s="213"/>
      <c r="O308" s="326"/>
      <c r="P308" s="213"/>
      <c r="Q308" s="213"/>
      <c r="R308" s="213"/>
      <c r="S308" s="213"/>
      <c r="T308" s="213"/>
      <c r="U308" s="213"/>
      <c r="V308" s="213"/>
      <c r="W308" s="213"/>
      <c r="X308" s="213"/>
      <c r="Y308" s="213"/>
      <c r="Z308" s="213"/>
      <c r="AA308" s="213"/>
      <c r="AB308" s="213"/>
      <c r="AC308" s="213"/>
      <c r="AD308" s="213"/>
      <c r="AE308" s="213"/>
      <c r="AF308" s="213"/>
      <c r="AG308" s="213"/>
      <c r="AH308" s="213"/>
      <c r="AI308" s="213"/>
    </row>
    <row r="309" ht="15.75" customHeight="1">
      <c r="A309" s="213"/>
      <c r="B309" s="213"/>
      <c r="C309" s="213"/>
      <c r="D309" s="213"/>
      <c r="E309" s="213"/>
      <c r="F309" s="213"/>
      <c r="G309" s="213"/>
      <c r="H309" s="213"/>
      <c r="I309" s="213"/>
      <c r="J309" s="213"/>
      <c r="K309" s="213"/>
      <c r="L309" s="213"/>
      <c r="M309" s="213"/>
      <c r="N309" s="213"/>
      <c r="O309" s="326"/>
      <c r="P309" s="213"/>
      <c r="Q309" s="213"/>
      <c r="R309" s="213"/>
      <c r="S309" s="213"/>
      <c r="T309" s="213"/>
      <c r="U309" s="213"/>
      <c r="V309" s="213"/>
      <c r="W309" s="213"/>
      <c r="X309" s="213"/>
      <c r="Y309" s="213"/>
      <c r="Z309" s="213"/>
      <c r="AA309" s="213"/>
      <c r="AB309" s="213"/>
      <c r="AC309" s="213"/>
      <c r="AD309" s="213"/>
      <c r="AE309" s="213"/>
      <c r="AF309" s="213"/>
      <c r="AG309" s="213"/>
      <c r="AH309" s="213"/>
      <c r="AI309" s="213"/>
    </row>
    <row r="310" ht="15.75" customHeight="1">
      <c r="A310" s="213"/>
      <c r="B310" s="213"/>
      <c r="C310" s="213"/>
      <c r="D310" s="213"/>
      <c r="E310" s="213"/>
      <c r="F310" s="213"/>
      <c r="G310" s="213"/>
      <c r="H310" s="213"/>
      <c r="I310" s="213"/>
      <c r="J310" s="213"/>
      <c r="K310" s="213"/>
      <c r="L310" s="213"/>
      <c r="M310" s="213"/>
      <c r="N310" s="213"/>
      <c r="O310" s="326"/>
      <c r="P310" s="213"/>
      <c r="Q310" s="213"/>
      <c r="R310" s="213"/>
      <c r="S310" s="213"/>
      <c r="T310" s="213"/>
      <c r="U310" s="213"/>
      <c r="V310" s="213"/>
      <c r="W310" s="213"/>
      <c r="X310" s="213"/>
      <c r="Y310" s="213"/>
      <c r="Z310" s="213"/>
      <c r="AA310" s="213"/>
      <c r="AB310" s="213"/>
      <c r="AC310" s="213"/>
      <c r="AD310" s="213"/>
      <c r="AE310" s="213"/>
      <c r="AF310" s="213"/>
      <c r="AG310" s="213"/>
      <c r="AH310" s="213"/>
      <c r="AI310" s="213"/>
    </row>
    <row r="311" ht="15.75" customHeight="1">
      <c r="A311" s="213"/>
      <c r="B311" s="213"/>
      <c r="C311" s="213"/>
      <c r="D311" s="213"/>
      <c r="E311" s="213"/>
      <c r="F311" s="213"/>
      <c r="G311" s="213"/>
      <c r="H311" s="213"/>
      <c r="I311" s="213"/>
      <c r="J311" s="213"/>
      <c r="K311" s="213"/>
      <c r="L311" s="213"/>
      <c r="M311" s="213"/>
      <c r="N311" s="213"/>
      <c r="O311" s="326"/>
      <c r="P311" s="213"/>
      <c r="Q311" s="213"/>
      <c r="R311" s="213"/>
      <c r="S311" s="213"/>
      <c r="T311" s="213"/>
      <c r="U311" s="213"/>
      <c r="V311" s="213"/>
      <c r="W311" s="213"/>
      <c r="X311" s="213"/>
      <c r="Y311" s="213"/>
      <c r="Z311" s="213"/>
      <c r="AA311" s="213"/>
      <c r="AB311" s="213"/>
      <c r="AC311" s="213"/>
      <c r="AD311" s="213"/>
      <c r="AE311" s="213"/>
      <c r="AF311" s="213"/>
      <c r="AG311" s="213"/>
      <c r="AH311" s="213"/>
      <c r="AI311" s="213"/>
    </row>
    <row r="312" ht="15.75" customHeight="1">
      <c r="A312" s="213"/>
      <c r="B312" s="213"/>
      <c r="C312" s="213"/>
      <c r="D312" s="213"/>
      <c r="E312" s="213"/>
      <c r="F312" s="213"/>
      <c r="G312" s="213"/>
      <c r="H312" s="213"/>
      <c r="I312" s="213"/>
      <c r="J312" s="213"/>
      <c r="K312" s="213"/>
      <c r="L312" s="213"/>
      <c r="M312" s="213"/>
      <c r="N312" s="213"/>
      <c r="O312" s="326"/>
      <c r="P312" s="213"/>
      <c r="Q312" s="213"/>
      <c r="R312" s="213"/>
      <c r="S312" s="213"/>
      <c r="T312" s="213"/>
      <c r="U312" s="213"/>
      <c r="V312" s="213"/>
      <c r="W312" s="213"/>
      <c r="X312" s="213"/>
      <c r="Y312" s="213"/>
      <c r="Z312" s="213"/>
      <c r="AA312" s="213"/>
      <c r="AB312" s="213"/>
      <c r="AC312" s="213"/>
      <c r="AD312" s="213"/>
      <c r="AE312" s="213"/>
      <c r="AF312" s="213"/>
      <c r="AG312" s="213"/>
      <c r="AH312" s="213"/>
      <c r="AI312" s="213"/>
    </row>
    <row r="313" ht="15.75" customHeight="1">
      <c r="A313" s="213"/>
      <c r="B313" s="213"/>
      <c r="C313" s="213"/>
      <c r="D313" s="213"/>
      <c r="E313" s="213"/>
      <c r="F313" s="213"/>
      <c r="G313" s="213"/>
      <c r="H313" s="213"/>
      <c r="I313" s="213"/>
      <c r="J313" s="213"/>
      <c r="K313" s="213"/>
      <c r="L313" s="213"/>
      <c r="M313" s="213"/>
      <c r="N313" s="213"/>
      <c r="O313" s="326"/>
      <c r="P313" s="213"/>
      <c r="Q313" s="213"/>
      <c r="R313" s="213"/>
      <c r="S313" s="213"/>
      <c r="T313" s="213"/>
      <c r="U313" s="213"/>
      <c r="V313" s="213"/>
      <c r="W313" s="213"/>
      <c r="X313" s="213"/>
      <c r="Y313" s="213"/>
      <c r="Z313" s="213"/>
      <c r="AA313" s="213"/>
      <c r="AB313" s="213"/>
      <c r="AC313" s="213"/>
      <c r="AD313" s="213"/>
      <c r="AE313" s="213"/>
      <c r="AF313" s="213"/>
      <c r="AG313" s="213"/>
      <c r="AH313" s="213"/>
      <c r="AI313" s="213"/>
    </row>
    <row r="314" ht="15.75" customHeight="1">
      <c r="A314" s="213"/>
      <c r="B314" s="213"/>
      <c r="C314" s="213"/>
      <c r="D314" s="213"/>
      <c r="E314" s="213"/>
      <c r="F314" s="213"/>
      <c r="G314" s="213"/>
      <c r="H314" s="213"/>
      <c r="I314" s="213"/>
      <c r="J314" s="213"/>
      <c r="K314" s="213"/>
      <c r="L314" s="213"/>
      <c r="M314" s="213"/>
      <c r="N314" s="213"/>
      <c r="O314" s="326"/>
      <c r="P314" s="213"/>
      <c r="Q314" s="213"/>
      <c r="R314" s="213"/>
      <c r="S314" s="213"/>
      <c r="T314" s="213"/>
      <c r="U314" s="213"/>
      <c r="V314" s="213"/>
      <c r="W314" s="213"/>
      <c r="X314" s="213"/>
      <c r="Y314" s="213"/>
      <c r="Z314" s="213"/>
      <c r="AA314" s="213"/>
      <c r="AB314" s="213"/>
      <c r="AC314" s="213"/>
      <c r="AD314" s="213"/>
      <c r="AE314" s="213"/>
      <c r="AF314" s="213"/>
      <c r="AG314" s="213"/>
      <c r="AH314" s="213"/>
      <c r="AI314" s="213"/>
    </row>
    <row r="315" ht="15.75" customHeight="1">
      <c r="A315" s="213"/>
      <c r="B315" s="213"/>
      <c r="C315" s="213"/>
      <c r="D315" s="213"/>
      <c r="E315" s="213"/>
      <c r="F315" s="213"/>
      <c r="G315" s="213"/>
      <c r="H315" s="213"/>
      <c r="I315" s="213"/>
      <c r="J315" s="213"/>
      <c r="K315" s="213"/>
      <c r="L315" s="213"/>
      <c r="M315" s="213"/>
      <c r="N315" s="213"/>
      <c r="O315" s="326"/>
      <c r="P315" s="213"/>
      <c r="Q315" s="213"/>
      <c r="R315" s="213"/>
      <c r="S315" s="213"/>
      <c r="T315" s="213"/>
      <c r="U315" s="213"/>
      <c r="V315" s="213"/>
      <c r="W315" s="213"/>
      <c r="X315" s="213"/>
      <c r="Y315" s="213"/>
      <c r="Z315" s="213"/>
      <c r="AA315" s="213"/>
      <c r="AB315" s="213"/>
      <c r="AC315" s="213"/>
      <c r="AD315" s="213"/>
      <c r="AE315" s="213"/>
      <c r="AF315" s="213"/>
      <c r="AG315" s="213"/>
      <c r="AH315" s="213"/>
      <c r="AI315" s="213"/>
    </row>
    <row r="316" ht="15.75" customHeight="1">
      <c r="A316" s="213"/>
      <c r="B316" s="213"/>
      <c r="C316" s="213"/>
      <c r="D316" s="213"/>
      <c r="E316" s="213"/>
      <c r="F316" s="213"/>
      <c r="G316" s="213"/>
      <c r="H316" s="213"/>
      <c r="I316" s="213"/>
      <c r="J316" s="213"/>
      <c r="K316" s="213"/>
      <c r="L316" s="213"/>
      <c r="M316" s="213"/>
      <c r="N316" s="213"/>
      <c r="O316" s="326"/>
      <c r="P316" s="213"/>
      <c r="Q316" s="213"/>
      <c r="R316" s="213"/>
      <c r="S316" s="213"/>
      <c r="T316" s="213"/>
      <c r="U316" s="213"/>
      <c r="V316" s="213"/>
      <c r="W316" s="213"/>
      <c r="X316" s="213"/>
      <c r="Y316" s="213"/>
      <c r="Z316" s="213"/>
      <c r="AA316" s="213"/>
      <c r="AB316" s="213"/>
      <c r="AC316" s="213"/>
      <c r="AD316" s="213"/>
      <c r="AE316" s="213"/>
      <c r="AF316" s="213"/>
      <c r="AG316" s="213"/>
      <c r="AH316" s="213"/>
      <c r="AI316" s="213"/>
    </row>
    <row r="317" ht="15.75" customHeight="1">
      <c r="A317" s="213"/>
      <c r="B317" s="213"/>
      <c r="C317" s="213"/>
      <c r="D317" s="213"/>
      <c r="E317" s="213"/>
      <c r="F317" s="213"/>
      <c r="G317" s="213"/>
      <c r="H317" s="213"/>
      <c r="I317" s="213"/>
      <c r="J317" s="213"/>
      <c r="K317" s="213"/>
      <c r="L317" s="213"/>
      <c r="M317" s="213"/>
      <c r="N317" s="213"/>
      <c r="O317" s="326"/>
      <c r="P317" s="213"/>
      <c r="Q317" s="213"/>
      <c r="R317" s="213"/>
      <c r="S317" s="213"/>
      <c r="T317" s="213"/>
      <c r="U317" s="213"/>
      <c r="V317" s="213"/>
      <c r="W317" s="213"/>
      <c r="X317" s="213"/>
      <c r="Y317" s="213"/>
      <c r="Z317" s="213"/>
      <c r="AA317" s="213"/>
      <c r="AB317" s="213"/>
      <c r="AC317" s="213"/>
      <c r="AD317" s="213"/>
      <c r="AE317" s="213"/>
      <c r="AF317" s="213"/>
      <c r="AG317" s="213"/>
      <c r="AH317" s="213"/>
      <c r="AI317" s="213"/>
    </row>
    <row r="318" ht="15.75" customHeight="1">
      <c r="A318" s="213"/>
      <c r="B318" s="213"/>
      <c r="C318" s="213"/>
      <c r="D318" s="213"/>
      <c r="E318" s="213"/>
      <c r="F318" s="213"/>
      <c r="G318" s="213"/>
      <c r="H318" s="213"/>
      <c r="I318" s="213"/>
      <c r="J318" s="213"/>
      <c r="K318" s="213"/>
      <c r="L318" s="213"/>
      <c r="M318" s="213"/>
      <c r="N318" s="213"/>
      <c r="O318" s="326"/>
      <c r="P318" s="213"/>
      <c r="Q318" s="213"/>
      <c r="R318" s="213"/>
      <c r="S318" s="213"/>
      <c r="T318" s="213"/>
      <c r="U318" s="213"/>
      <c r="V318" s="213"/>
      <c r="W318" s="213"/>
      <c r="X318" s="213"/>
      <c r="Y318" s="213"/>
      <c r="Z318" s="213"/>
      <c r="AA318" s="213"/>
      <c r="AB318" s="213"/>
      <c r="AC318" s="213"/>
      <c r="AD318" s="213"/>
      <c r="AE318" s="213"/>
      <c r="AF318" s="213"/>
      <c r="AG318" s="213"/>
      <c r="AH318" s="213"/>
      <c r="AI318" s="213"/>
    </row>
    <row r="319" ht="15.75" customHeight="1">
      <c r="A319" s="213"/>
      <c r="B319" s="213"/>
      <c r="C319" s="213"/>
      <c r="D319" s="213"/>
      <c r="E319" s="213"/>
      <c r="F319" s="213"/>
      <c r="G319" s="213"/>
      <c r="H319" s="213"/>
      <c r="I319" s="213"/>
      <c r="J319" s="213"/>
      <c r="K319" s="213"/>
      <c r="L319" s="213"/>
      <c r="M319" s="213"/>
      <c r="N319" s="213"/>
      <c r="O319" s="326"/>
      <c r="P319" s="213"/>
      <c r="Q319" s="213"/>
      <c r="R319" s="213"/>
      <c r="S319" s="213"/>
      <c r="T319" s="213"/>
      <c r="U319" s="213"/>
      <c r="V319" s="213"/>
      <c r="W319" s="213"/>
      <c r="X319" s="213"/>
      <c r="Y319" s="213"/>
      <c r="Z319" s="213"/>
      <c r="AA319" s="213"/>
      <c r="AB319" s="213"/>
      <c r="AC319" s="213"/>
      <c r="AD319" s="213"/>
      <c r="AE319" s="213"/>
      <c r="AF319" s="213"/>
      <c r="AG319" s="213"/>
      <c r="AH319" s="213"/>
      <c r="AI319" s="213"/>
    </row>
    <row r="320" ht="15.75" customHeight="1">
      <c r="A320" s="213"/>
      <c r="B320" s="213"/>
      <c r="C320" s="213"/>
      <c r="D320" s="213"/>
      <c r="E320" s="213"/>
      <c r="F320" s="213"/>
      <c r="G320" s="213"/>
      <c r="H320" s="213"/>
      <c r="I320" s="213"/>
      <c r="J320" s="213"/>
      <c r="K320" s="213"/>
      <c r="L320" s="213"/>
      <c r="M320" s="213"/>
      <c r="N320" s="213"/>
      <c r="O320" s="326"/>
      <c r="P320" s="213"/>
      <c r="Q320" s="213"/>
      <c r="R320" s="213"/>
      <c r="S320" s="213"/>
      <c r="T320" s="213"/>
      <c r="U320" s="213"/>
      <c r="V320" s="213"/>
      <c r="W320" s="213"/>
      <c r="X320" s="213"/>
      <c r="Y320" s="213"/>
      <c r="Z320" s="213"/>
      <c r="AA320" s="213"/>
      <c r="AB320" s="213"/>
      <c r="AC320" s="213"/>
      <c r="AD320" s="213"/>
      <c r="AE320" s="213"/>
      <c r="AF320" s="213"/>
      <c r="AG320" s="213"/>
      <c r="AH320" s="213"/>
      <c r="AI320" s="213"/>
    </row>
    <row r="321" ht="15.75" customHeight="1">
      <c r="A321" s="213"/>
      <c r="B321" s="213"/>
      <c r="C321" s="213"/>
      <c r="D321" s="213"/>
      <c r="E321" s="213"/>
      <c r="F321" s="213"/>
      <c r="G321" s="213"/>
      <c r="H321" s="213"/>
      <c r="I321" s="213"/>
      <c r="J321" s="213"/>
      <c r="K321" s="213"/>
      <c r="L321" s="213"/>
      <c r="M321" s="213"/>
      <c r="N321" s="213"/>
      <c r="O321" s="326"/>
      <c r="P321" s="213"/>
      <c r="Q321" s="213"/>
      <c r="R321" s="213"/>
      <c r="S321" s="213"/>
      <c r="T321" s="213"/>
      <c r="U321" s="213"/>
      <c r="V321" s="213"/>
      <c r="W321" s="213"/>
      <c r="X321" s="213"/>
      <c r="Y321" s="213"/>
      <c r="Z321" s="213"/>
      <c r="AA321" s="213"/>
      <c r="AB321" s="213"/>
      <c r="AC321" s="213"/>
      <c r="AD321" s="213"/>
      <c r="AE321" s="213"/>
      <c r="AF321" s="213"/>
      <c r="AG321" s="213"/>
      <c r="AH321" s="213"/>
      <c r="AI321" s="213"/>
    </row>
    <row r="322" ht="15.75" customHeight="1">
      <c r="A322" s="213"/>
      <c r="B322" s="213"/>
      <c r="C322" s="213"/>
      <c r="D322" s="213"/>
      <c r="E322" s="213"/>
      <c r="F322" s="213"/>
      <c r="G322" s="213"/>
      <c r="H322" s="213"/>
      <c r="I322" s="213"/>
      <c r="J322" s="213"/>
      <c r="K322" s="213"/>
      <c r="L322" s="213"/>
      <c r="M322" s="213"/>
      <c r="N322" s="213"/>
      <c r="O322" s="326"/>
      <c r="P322" s="213"/>
      <c r="Q322" s="213"/>
      <c r="R322" s="213"/>
      <c r="S322" s="213"/>
      <c r="T322" s="213"/>
      <c r="U322" s="213"/>
      <c r="V322" s="213"/>
      <c r="W322" s="213"/>
      <c r="X322" s="213"/>
      <c r="Y322" s="213"/>
      <c r="Z322" s="213"/>
      <c r="AA322" s="213"/>
      <c r="AB322" s="213"/>
      <c r="AC322" s="213"/>
      <c r="AD322" s="213"/>
      <c r="AE322" s="213"/>
      <c r="AF322" s="213"/>
      <c r="AG322" s="213"/>
      <c r="AH322" s="213"/>
      <c r="AI322" s="213"/>
    </row>
    <row r="323" ht="15.75" customHeight="1">
      <c r="A323" s="213"/>
      <c r="B323" s="213"/>
      <c r="C323" s="213"/>
      <c r="D323" s="213"/>
      <c r="E323" s="213"/>
      <c r="F323" s="213"/>
      <c r="G323" s="213"/>
      <c r="H323" s="213"/>
      <c r="I323" s="213"/>
      <c r="J323" s="213"/>
      <c r="K323" s="213"/>
      <c r="L323" s="213"/>
      <c r="M323" s="213"/>
      <c r="N323" s="213"/>
      <c r="O323" s="326"/>
      <c r="P323" s="213"/>
      <c r="Q323" s="213"/>
      <c r="R323" s="213"/>
      <c r="S323" s="213"/>
      <c r="T323" s="213"/>
      <c r="U323" s="213"/>
      <c r="V323" s="213"/>
      <c r="W323" s="213"/>
      <c r="X323" s="213"/>
      <c r="Y323" s="213"/>
      <c r="Z323" s="213"/>
      <c r="AA323" s="213"/>
      <c r="AB323" s="213"/>
      <c r="AC323" s="213"/>
      <c r="AD323" s="213"/>
      <c r="AE323" s="213"/>
      <c r="AF323" s="213"/>
      <c r="AG323" s="213"/>
      <c r="AH323" s="213"/>
      <c r="AI323" s="213"/>
    </row>
    <row r="324" ht="15.75" customHeight="1">
      <c r="A324" s="213"/>
      <c r="B324" s="213"/>
      <c r="C324" s="213"/>
      <c r="D324" s="213"/>
      <c r="E324" s="213"/>
      <c r="F324" s="213"/>
      <c r="G324" s="213"/>
      <c r="H324" s="213"/>
      <c r="I324" s="213"/>
      <c r="J324" s="213"/>
      <c r="K324" s="213"/>
      <c r="L324" s="213"/>
      <c r="M324" s="213"/>
      <c r="N324" s="213"/>
      <c r="O324" s="326"/>
      <c r="P324" s="213"/>
      <c r="Q324" s="213"/>
      <c r="R324" s="213"/>
      <c r="S324" s="213"/>
      <c r="T324" s="213"/>
      <c r="U324" s="213"/>
      <c r="V324" s="213"/>
      <c r="W324" s="213"/>
      <c r="X324" s="213"/>
      <c r="Y324" s="213"/>
      <c r="Z324" s="213"/>
      <c r="AA324" s="213"/>
      <c r="AB324" s="213"/>
      <c r="AC324" s="213"/>
      <c r="AD324" s="213"/>
      <c r="AE324" s="213"/>
      <c r="AF324" s="213"/>
      <c r="AG324" s="213"/>
      <c r="AH324" s="213"/>
      <c r="AI324" s="213"/>
    </row>
    <row r="325" ht="15.75" customHeight="1">
      <c r="A325" s="213"/>
      <c r="B325" s="213"/>
      <c r="C325" s="213"/>
      <c r="D325" s="213"/>
      <c r="E325" s="213"/>
      <c r="F325" s="213"/>
      <c r="G325" s="213"/>
      <c r="H325" s="213"/>
      <c r="I325" s="213"/>
      <c r="J325" s="213"/>
      <c r="K325" s="213"/>
      <c r="L325" s="213"/>
      <c r="M325" s="213"/>
      <c r="N325" s="213"/>
      <c r="O325" s="326"/>
      <c r="P325" s="213"/>
      <c r="Q325" s="213"/>
      <c r="R325" s="213"/>
      <c r="S325" s="213"/>
      <c r="T325" s="213"/>
      <c r="U325" s="213"/>
      <c r="V325" s="213"/>
      <c r="W325" s="213"/>
      <c r="X325" s="213"/>
      <c r="Y325" s="213"/>
      <c r="Z325" s="213"/>
      <c r="AA325" s="213"/>
      <c r="AB325" s="213"/>
      <c r="AC325" s="213"/>
      <c r="AD325" s="213"/>
      <c r="AE325" s="213"/>
      <c r="AF325" s="213"/>
      <c r="AG325" s="213"/>
      <c r="AH325" s="213"/>
      <c r="AI325" s="213"/>
    </row>
    <row r="326" ht="15.75" customHeight="1">
      <c r="A326" s="213"/>
      <c r="B326" s="213"/>
      <c r="C326" s="213"/>
      <c r="D326" s="213"/>
      <c r="E326" s="213"/>
      <c r="F326" s="213"/>
      <c r="G326" s="213"/>
      <c r="H326" s="213"/>
      <c r="I326" s="213"/>
      <c r="J326" s="213"/>
      <c r="K326" s="213"/>
      <c r="L326" s="213"/>
      <c r="M326" s="213"/>
      <c r="N326" s="213"/>
      <c r="O326" s="326"/>
      <c r="P326" s="213"/>
      <c r="Q326" s="213"/>
      <c r="R326" s="213"/>
      <c r="S326" s="213"/>
      <c r="T326" s="213"/>
      <c r="U326" s="213"/>
      <c r="V326" s="213"/>
      <c r="W326" s="213"/>
      <c r="X326" s="213"/>
      <c r="Y326" s="213"/>
      <c r="Z326" s="213"/>
      <c r="AA326" s="213"/>
      <c r="AB326" s="213"/>
      <c r="AC326" s="213"/>
      <c r="AD326" s="213"/>
      <c r="AE326" s="213"/>
      <c r="AF326" s="213"/>
      <c r="AG326" s="213"/>
      <c r="AH326" s="213"/>
      <c r="AI326" s="213"/>
    </row>
    <row r="327" ht="15.75" customHeight="1">
      <c r="A327" s="213"/>
      <c r="B327" s="213"/>
      <c r="C327" s="213"/>
      <c r="D327" s="213"/>
      <c r="E327" s="213"/>
      <c r="F327" s="213"/>
      <c r="G327" s="213"/>
      <c r="H327" s="213"/>
      <c r="I327" s="213"/>
      <c r="J327" s="213"/>
      <c r="K327" s="213"/>
      <c r="L327" s="213"/>
      <c r="M327" s="213"/>
      <c r="N327" s="213"/>
      <c r="O327" s="326"/>
      <c r="P327" s="213"/>
      <c r="Q327" s="213"/>
      <c r="R327" s="213"/>
      <c r="S327" s="213"/>
      <c r="T327" s="213"/>
      <c r="U327" s="213"/>
      <c r="V327" s="213"/>
      <c r="W327" s="213"/>
      <c r="X327" s="213"/>
      <c r="Y327" s="213"/>
      <c r="Z327" s="213"/>
      <c r="AA327" s="213"/>
      <c r="AB327" s="213"/>
      <c r="AC327" s="213"/>
      <c r="AD327" s="213"/>
      <c r="AE327" s="213"/>
      <c r="AF327" s="213"/>
      <c r="AG327" s="213"/>
      <c r="AH327" s="213"/>
      <c r="AI327" s="213"/>
    </row>
    <row r="328" ht="15.75" customHeight="1">
      <c r="A328" s="213"/>
      <c r="B328" s="213"/>
      <c r="C328" s="213"/>
      <c r="D328" s="213"/>
      <c r="E328" s="213"/>
      <c r="F328" s="213"/>
      <c r="G328" s="213"/>
      <c r="H328" s="213"/>
      <c r="I328" s="213"/>
      <c r="J328" s="213"/>
      <c r="K328" s="213"/>
      <c r="L328" s="213"/>
      <c r="M328" s="213"/>
      <c r="N328" s="213"/>
      <c r="O328" s="326"/>
      <c r="P328" s="213"/>
      <c r="Q328" s="213"/>
      <c r="R328" s="213"/>
      <c r="S328" s="213"/>
      <c r="T328" s="213"/>
      <c r="U328" s="213"/>
      <c r="V328" s="213"/>
      <c r="W328" s="213"/>
      <c r="X328" s="213"/>
      <c r="Y328" s="213"/>
      <c r="Z328" s="213"/>
      <c r="AA328" s="213"/>
      <c r="AB328" s="213"/>
      <c r="AC328" s="213"/>
      <c r="AD328" s="213"/>
      <c r="AE328" s="213"/>
      <c r="AF328" s="213"/>
      <c r="AG328" s="213"/>
      <c r="AH328" s="213"/>
      <c r="AI328" s="213"/>
    </row>
    <row r="329" ht="15.75" customHeight="1">
      <c r="A329" s="213"/>
      <c r="B329" s="213"/>
      <c r="C329" s="213"/>
      <c r="D329" s="213"/>
      <c r="E329" s="213"/>
      <c r="F329" s="213"/>
      <c r="G329" s="213"/>
      <c r="H329" s="213"/>
      <c r="I329" s="213"/>
      <c r="J329" s="213"/>
      <c r="K329" s="213"/>
      <c r="L329" s="213"/>
      <c r="M329" s="213"/>
      <c r="N329" s="213"/>
      <c r="O329" s="326"/>
      <c r="P329" s="213"/>
      <c r="Q329" s="213"/>
      <c r="R329" s="213"/>
      <c r="S329" s="213"/>
      <c r="T329" s="213"/>
      <c r="U329" s="213"/>
      <c r="V329" s="213"/>
      <c r="W329" s="213"/>
      <c r="X329" s="213"/>
      <c r="Y329" s="213"/>
      <c r="Z329" s="213"/>
      <c r="AA329" s="213"/>
      <c r="AB329" s="213"/>
      <c r="AC329" s="213"/>
      <c r="AD329" s="213"/>
      <c r="AE329" s="213"/>
      <c r="AF329" s="213"/>
      <c r="AG329" s="213"/>
      <c r="AH329" s="213"/>
      <c r="AI329" s="213"/>
    </row>
    <row r="330" ht="15.75" customHeight="1">
      <c r="A330" s="213"/>
      <c r="B330" s="213"/>
      <c r="C330" s="213"/>
      <c r="D330" s="213"/>
      <c r="E330" s="213"/>
      <c r="F330" s="213"/>
      <c r="G330" s="213"/>
      <c r="H330" s="213"/>
      <c r="I330" s="213"/>
      <c r="J330" s="213"/>
      <c r="K330" s="213"/>
      <c r="L330" s="213"/>
      <c r="M330" s="213"/>
      <c r="N330" s="213"/>
      <c r="O330" s="326"/>
      <c r="P330" s="213"/>
      <c r="Q330" s="213"/>
      <c r="R330" s="213"/>
      <c r="S330" s="213"/>
      <c r="T330" s="213"/>
      <c r="U330" s="213"/>
      <c r="V330" s="213"/>
      <c r="W330" s="213"/>
      <c r="X330" s="213"/>
      <c r="Y330" s="213"/>
      <c r="Z330" s="213"/>
      <c r="AA330" s="213"/>
      <c r="AB330" s="213"/>
      <c r="AC330" s="213"/>
      <c r="AD330" s="213"/>
      <c r="AE330" s="213"/>
      <c r="AF330" s="213"/>
      <c r="AG330" s="213"/>
      <c r="AH330" s="213"/>
      <c r="AI330" s="213"/>
    </row>
    <row r="331" ht="15.75" customHeight="1">
      <c r="A331" s="213"/>
      <c r="B331" s="213"/>
      <c r="C331" s="213"/>
      <c r="D331" s="213"/>
      <c r="E331" s="213"/>
      <c r="F331" s="213"/>
      <c r="G331" s="213"/>
      <c r="H331" s="213"/>
      <c r="I331" s="213"/>
      <c r="J331" s="213"/>
      <c r="K331" s="213"/>
      <c r="L331" s="213"/>
      <c r="M331" s="213"/>
      <c r="N331" s="213"/>
      <c r="O331" s="326"/>
      <c r="P331" s="213"/>
      <c r="Q331" s="213"/>
      <c r="R331" s="213"/>
      <c r="S331" s="213"/>
      <c r="T331" s="213"/>
      <c r="U331" s="213"/>
      <c r="V331" s="213"/>
      <c r="W331" s="213"/>
      <c r="X331" s="213"/>
      <c r="Y331" s="213"/>
      <c r="Z331" s="213"/>
      <c r="AA331" s="213"/>
      <c r="AB331" s="213"/>
      <c r="AC331" s="213"/>
      <c r="AD331" s="213"/>
      <c r="AE331" s="213"/>
      <c r="AF331" s="213"/>
      <c r="AG331" s="213"/>
      <c r="AH331" s="213"/>
      <c r="AI331" s="213"/>
    </row>
    <row r="332" ht="15.75" customHeight="1">
      <c r="A332" s="213"/>
      <c r="B332" s="213"/>
      <c r="C332" s="213"/>
      <c r="D332" s="213"/>
      <c r="E332" s="213"/>
      <c r="F332" s="213"/>
      <c r="G332" s="213"/>
      <c r="H332" s="213"/>
      <c r="I332" s="213"/>
      <c r="J332" s="213"/>
      <c r="K332" s="213"/>
      <c r="L332" s="213"/>
      <c r="M332" s="213"/>
      <c r="N332" s="213"/>
      <c r="O332" s="326"/>
      <c r="P332" s="213"/>
      <c r="Q332" s="213"/>
      <c r="R332" s="213"/>
      <c r="S332" s="213"/>
      <c r="T332" s="213"/>
      <c r="U332" s="213"/>
      <c r="V332" s="213"/>
      <c r="W332" s="213"/>
      <c r="X332" s="213"/>
      <c r="Y332" s="213"/>
      <c r="Z332" s="213"/>
      <c r="AA332" s="213"/>
      <c r="AB332" s="213"/>
      <c r="AC332" s="213"/>
      <c r="AD332" s="213"/>
      <c r="AE332" s="213"/>
      <c r="AF332" s="213"/>
      <c r="AG332" s="213"/>
      <c r="AH332" s="213"/>
      <c r="AI332" s="213"/>
    </row>
    <row r="333" ht="15.75" customHeight="1">
      <c r="A333" s="213"/>
      <c r="B333" s="213"/>
      <c r="C333" s="213"/>
      <c r="D333" s="213"/>
      <c r="E333" s="213"/>
      <c r="F333" s="213"/>
      <c r="G333" s="213"/>
      <c r="H333" s="213"/>
      <c r="I333" s="213"/>
      <c r="J333" s="213"/>
      <c r="K333" s="213"/>
      <c r="L333" s="213"/>
      <c r="M333" s="213"/>
      <c r="N333" s="213"/>
      <c r="O333" s="326"/>
      <c r="P333" s="213"/>
      <c r="Q333" s="213"/>
      <c r="R333" s="213"/>
      <c r="S333" s="213"/>
      <c r="T333" s="213"/>
      <c r="U333" s="213"/>
      <c r="V333" s="213"/>
      <c r="W333" s="213"/>
      <c r="X333" s="213"/>
      <c r="Y333" s="213"/>
      <c r="Z333" s="213"/>
      <c r="AA333" s="213"/>
      <c r="AB333" s="213"/>
      <c r="AC333" s="213"/>
      <c r="AD333" s="213"/>
      <c r="AE333" s="213"/>
      <c r="AF333" s="213"/>
      <c r="AG333" s="213"/>
      <c r="AH333" s="213"/>
      <c r="AI333" s="213"/>
    </row>
    <row r="334" ht="15.75" customHeight="1">
      <c r="A334" s="213"/>
      <c r="B334" s="213"/>
      <c r="C334" s="213"/>
      <c r="D334" s="213"/>
      <c r="E334" s="213"/>
      <c r="F334" s="213"/>
      <c r="G334" s="213"/>
      <c r="H334" s="213"/>
      <c r="I334" s="213"/>
      <c r="J334" s="213"/>
      <c r="K334" s="213"/>
      <c r="L334" s="213"/>
      <c r="M334" s="213"/>
      <c r="N334" s="213"/>
      <c r="O334" s="326"/>
      <c r="P334" s="213"/>
      <c r="Q334" s="213"/>
      <c r="R334" s="213"/>
      <c r="S334" s="213"/>
      <c r="T334" s="213"/>
      <c r="U334" s="213"/>
      <c r="V334" s="213"/>
      <c r="W334" s="213"/>
      <c r="X334" s="213"/>
      <c r="Y334" s="213"/>
      <c r="Z334" s="213"/>
      <c r="AA334" s="213"/>
      <c r="AB334" s="213"/>
      <c r="AC334" s="213"/>
      <c r="AD334" s="213"/>
      <c r="AE334" s="213"/>
      <c r="AF334" s="213"/>
      <c r="AG334" s="213"/>
      <c r="AH334" s="213"/>
      <c r="AI334" s="213"/>
    </row>
    <row r="335" ht="15.75" customHeight="1">
      <c r="A335" s="213"/>
      <c r="B335" s="213"/>
      <c r="C335" s="213"/>
      <c r="D335" s="213"/>
      <c r="E335" s="213"/>
      <c r="F335" s="213"/>
      <c r="G335" s="213"/>
      <c r="H335" s="213"/>
      <c r="I335" s="213"/>
      <c r="J335" s="213"/>
      <c r="K335" s="213"/>
      <c r="L335" s="213"/>
      <c r="M335" s="213"/>
      <c r="N335" s="213"/>
      <c r="O335" s="326"/>
      <c r="P335" s="213"/>
      <c r="Q335" s="213"/>
      <c r="R335" s="213"/>
      <c r="S335" s="213"/>
      <c r="T335" s="213"/>
      <c r="U335" s="213"/>
      <c r="V335" s="213"/>
      <c r="W335" s="213"/>
      <c r="X335" s="213"/>
      <c r="Y335" s="213"/>
      <c r="Z335" s="213"/>
      <c r="AA335" s="213"/>
      <c r="AB335" s="213"/>
      <c r="AC335" s="213"/>
      <c r="AD335" s="213"/>
      <c r="AE335" s="213"/>
      <c r="AF335" s="213"/>
      <c r="AG335" s="213"/>
      <c r="AH335" s="213"/>
      <c r="AI335" s="213"/>
    </row>
    <row r="336" ht="15.75" customHeight="1">
      <c r="A336" s="213"/>
      <c r="B336" s="213"/>
      <c r="C336" s="213"/>
      <c r="D336" s="213"/>
      <c r="E336" s="213"/>
      <c r="F336" s="213"/>
      <c r="G336" s="213"/>
      <c r="H336" s="213"/>
      <c r="I336" s="213"/>
      <c r="J336" s="213"/>
      <c r="K336" s="213"/>
      <c r="L336" s="213"/>
      <c r="M336" s="213"/>
      <c r="N336" s="213"/>
      <c r="O336" s="326"/>
      <c r="P336" s="213"/>
      <c r="Q336" s="213"/>
      <c r="R336" s="213"/>
      <c r="S336" s="213"/>
      <c r="T336" s="213"/>
      <c r="U336" s="213"/>
      <c r="V336" s="213"/>
      <c r="W336" s="213"/>
      <c r="X336" s="213"/>
      <c r="Y336" s="213"/>
      <c r="Z336" s="213"/>
      <c r="AA336" s="213"/>
      <c r="AB336" s="213"/>
      <c r="AC336" s="213"/>
      <c r="AD336" s="213"/>
      <c r="AE336" s="213"/>
      <c r="AF336" s="213"/>
      <c r="AG336" s="213"/>
      <c r="AH336" s="213"/>
      <c r="AI336" s="213"/>
    </row>
    <row r="337" ht="15.75" customHeight="1">
      <c r="A337" s="213"/>
      <c r="B337" s="213"/>
      <c r="C337" s="213"/>
      <c r="D337" s="213"/>
      <c r="E337" s="213"/>
      <c r="F337" s="213"/>
      <c r="G337" s="213"/>
      <c r="H337" s="213"/>
      <c r="I337" s="213"/>
      <c r="J337" s="213"/>
      <c r="K337" s="213"/>
      <c r="L337" s="213"/>
      <c r="M337" s="213"/>
      <c r="N337" s="213"/>
      <c r="O337" s="326"/>
      <c r="P337" s="213"/>
      <c r="Q337" s="213"/>
      <c r="R337" s="213"/>
      <c r="S337" s="213"/>
      <c r="T337" s="213"/>
      <c r="U337" s="213"/>
      <c r="V337" s="213"/>
      <c r="W337" s="213"/>
      <c r="X337" s="213"/>
      <c r="Y337" s="213"/>
      <c r="Z337" s="213"/>
      <c r="AA337" s="213"/>
      <c r="AB337" s="213"/>
      <c r="AC337" s="213"/>
      <c r="AD337" s="213"/>
      <c r="AE337" s="213"/>
      <c r="AF337" s="213"/>
      <c r="AG337" s="213"/>
      <c r="AH337" s="213"/>
      <c r="AI337" s="213"/>
    </row>
    <row r="338" ht="15.75" customHeight="1">
      <c r="A338" s="213"/>
      <c r="B338" s="213"/>
      <c r="C338" s="213"/>
      <c r="D338" s="213"/>
      <c r="E338" s="213"/>
      <c r="F338" s="213"/>
      <c r="G338" s="213"/>
      <c r="H338" s="213"/>
      <c r="I338" s="213"/>
      <c r="J338" s="213"/>
      <c r="K338" s="213"/>
      <c r="L338" s="213"/>
      <c r="M338" s="213"/>
      <c r="N338" s="213"/>
      <c r="O338" s="326"/>
      <c r="P338" s="213"/>
      <c r="Q338" s="213"/>
      <c r="R338" s="213"/>
      <c r="S338" s="213"/>
      <c r="T338" s="213"/>
      <c r="U338" s="213"/>
      <c r="V338" s="213"/>
      <c r="W338" s="213"/>
      <c r="X338" s="213"/>
      <c r="Y338" s="213"/>
      <c r="Z338" s="213"/>
      <c r="AA338" s="213"/>
      <c r="AB338" s="213"/>
      <c r="AC338" s="213"/>
      <c r="AD338" s="213"/>
      <c r="AE338" s="213"/>
      <c r="AF338" s="213"/>
      <c r="AG338" s="213"/>
      <c r="AH338" s="213"/>
      <c r="AI338" s="213"/>
    </row>
    <row r="339" ht="15.75" customHeight="1">
      <c r="A339" s="213"/>
      <c r="B339" s="213"/>
      <c r="C339" s="213"/>
      <c r="D339" s="213"/>
      <c r="E339" s="213"/>
      <c r="F339" s="213"/>
      <c r="G339" s="213"/>
      <c r="H339" s="213"/>
      <c r="I339" s="213"/>
      <c r="J339" s="213"/>
      <c r="K339" s="213"/>
      <c r="L339" s="213"/>
      <c r="M339" s="213"/>
      <c r="N339" s="213"/>
      <c r="O339" s="326"/>
      <c r="P339" s="213"/>
      <c r="Q339" s="213"/>
      <c r="R339" s="213"/>
      <c r="S339" s="213"/>
      <c r="T339" s="213"/>
      <c r="U339" s="213"/>
      <c r="V339" s="213"/>
      <c r="W339" s="213"/>
      <c r="X339" s="213"/>
      <c r="Y339" s="213"/>
      <c r="Z339" s="213"/>
      <c r="AA339" s="213"/>
      <c r="AB339" s="213"/>
      <c r="AC339" s="213"/>
      <c r="AD339" s="213"/>
      <c r="AE339" s="213"/>
      <c r="AF339" s="213"/>
      <c r="AG339" s="213"/>
      <c r="AH339" s="213"/>
      <c r="AI339" s="213"/>
    </row>
    <row r="340" ht="15.75" customHeight="1">
      <c r="A340" s="213"/>
      <c r="B340" s="213"/>
      <c r="C340" s="213"/>
      <c r="D340" s="213"/>
      <c r="E340" s="213"/>
      <c r="F340" s="213"/>
      <c r="G340" s="213"/>
      <c r="H340" s="213"/>
      <c r="I340" s="213"/>
      <c r="J340" s="213"/>
      <c r="K340" s="213"/>
      <c r="L340" s="213"/>
      <c r="M340" s="213"/>
      <c r="N340" s="213"/>
      <c r="O340" s="326"/>
      <c r="P340" s="213"/>
      <c r="Q340" s="213"/>
      <c r="R340" s="213"/>
      <c r="S340" s="213"/>
      <c r="T340" s="213"/>
      <c r="U340" s="213"/>
      <c r="V340" s="213"/>
      <c r="W340" s="213"/>
      <c r="X340" s="213"/>
      <c r="Y340" s="213"/>
      <c r="Z340" s="213"/>
      <c r="AA340" s="213"/>
      <c r="AB340" s="213"/>
      <c r="AC340" s="213"/>
      <c r="AD340" s="213"/>
      <c r="AE340" s="213"/>
      <c r="AF340" s="213"/>
      <c r="AG340" s="213"/>
      <c r="AH340" s="213"/>
      <c r="AI340" s="213"/>
    </row>
    <row r="341" ht="15.75" customHeight="1">
      <c r="A341" s="213"/>
      <c r="B341" s="213"/>
      <c r="C341" s="213"/>
      <c r="D341" s="213"/>
      <c r="E341" s="213"/>
      <c r="F341" s="213"/>
      <c r="G341" s="213"/>
      <c r="H341" s="213"/>
      <c r="I341" s="213"/>
      <c r="J341" s="213"/>
      <c r="K341" s="213"/>
      <c r="L341" s="213"/>
      <c r="M341" s="213"/>
      <c r="N341" s="213"/>
      <c r="O341" s="326"/>
      <c r="P341" s="213"/>
      <c r="Q341" s="213"/>
      <c r="R341" s="213"/>
      <c r="S341" s="213"/>
      <c r="T341" s="213"/>
      <c r="U341" s="213"/>
      <c r="V341" s="213"/>
      <c r="W341" s="213"/>
      <c r="X341" s="213"/>
      <c r="Y341" s="213"/>
      <c r="Z341" s="213"/>
      <c r="AA341" s="213"/>
      <c r="AB341" s="213"/>
      <c r="AC341" s="213"/>
      <c r="AD341" s="213"/>
      <c r="AE341" s="213"/>
      <c r="AF341" s="213"/>
      <c r="AG341" s="213"/>
      <c r="AH341" s="213"/>
      <c r="AI341" s="213"/>
    </row>
    <row r="342" ht="15.75" customHeight="1">
      <c r="A342" s="213"/>
      <c r="B342" s="213"/>
      <c r="C342" s="213"/>
      <c r="D342" s="213"/>
      <c r="E342" s="213"/>
      <c r="F342" s="213"/>
      <c r="G342" s="213"/>
      <c r="H342" s="213"/>
      <c r="I342" s="213"/>
      <c r="J342" s="213"/>
      <c r="K342" s="213"/>
      <c r="L342" s="213"/>
      <c r="M342" s="213"/>
      <c r="N342" s="213"/>
      <c r="O342" s="326"/>
      <c r="P342" s="213"/>
      <c r="Q342" s="213"/>
      <c r="R342" s="213"/>
      <c r="S342" s="213"/>
      <c r="T342" s="213"/>
      <c r="U342" s="213"/>
      <c r="V342" s="213"/>
      <c r="W342" s="213"/>
      <c r="X342" s="213"/>
      <c r="Y342" s="213"/>
      <c r="Z342" s="213"/>
      <c r="AA342" s="213"/>
      <c r="AB342" s="213"/>
      <c r="AC342" s="213"/>
      <c r="AD342" s="213"/>
      <c r="AE342" s="213"/>
      <c r="AF342" s="213"/>
      <c r="AG342" s="213"/>
      <c r="AH342" s="213"/>
      <c r="AI342" s="213"/>
    </row>
    <row r="343" ht="15.75" customHeight="1">
      <c r="A343" s="213"/>
      <c r="B343" s="213"/>
      <c r="C343" s="213"/>
      <c r="D343" s="213"/>
      <c r="E343" s="213"/>
      <c r="F343" s="213"/>
      <c r="G343" s="213"/>
      <c r="H343" s="213"/>
      <c r="I343" s="213"/>
      <c r="J343" s="213"/>
      <c r="K343" s="213"/>
      <c r="L343" s="213"/>
      <c r="M343" s="213"/>
      <c r="N343" s="213"/>
      <c r="O343" s="326"/>
      <c r="P343" s="213"/>
      <c r="Q343" s="213"/>
      <c r="R343" s="213"/>
      <c r="S343" s="213"/>
      <c r="T343" s="213"/>
      <c r="U343" s="213"/>
      <c r="V343" s="213"/>
      <c r="W343" s="213"/>
      <c r="X343" s="213"/>
      <c r="Y343" s="213"/>
      <c r="Z343" s="213"/>
      <c r="AA343" s="213"/>
      <c r="AB343" s="213"/>
      <c r="AC343" s="213"/>
      <c r="AD343" s="213"/>
      <c r="AE343" s="213"/>
      <c r="AF343" s="213"/>
      <c r="AG343" s="213"/>
      <c r="AH343" s="213"/>
      <c r="AI343" s="213"/>
    </row>
    <row r="344" ht="15.75" customHeight="1">
      <c r="A344" s="213"/>
      <c r="B344" s="213"/>
      <c r="C344" s="213"/>
      <c r="D344" s="213"/>
      <c r="E344" s="213"/>
      <c r="F344" s="213"/>
      <c r="G344" s="213"/>
      <c r="H344" s="213"/>
      <c r="I344" s="213"/>
      <c r="J344" s="213"/>
      <c r="K344" s="213"/>
      <c r="L344" s="213"/>
      <c r="M344" s="213"/>
      <c r="N344" s="213"/>
      <c r="O344" s="326"/>
      <c r="P344" s="213"/>
      <c r="Q344" s="213"/>
      <c r="R344" s="213"/>
      <c r="S344" s="213"/>
      <c r="T344" s="213"/>
      <c r="U344" s="213"/>
      <c r="V344" s="213"/>
      <c r="W344" s="213"/>
      <c r="X344" s="213"/>
      <c r="Y344" s="213"/>
      <c r="Z344" s="213"/>
      <c r="AA344" s="213"/>
      <c r="AB344" s="213"/>
      <c r="AC344" s="213"/>
      <c r="AD344" s="213"/>
      <c r="AE344" s="213"/>
      <c r="AF344" s="213"/>
      <c r="AG344" s="213"/>
      <c r="AH344" s="213"/>
      <c r="AI344" s="213"/>
    </row>
    <row r="345" ht="15.75" customHeight="1">
      <c r="A345" s="213"/>
      <c r="B345" s="213"/>
      <c r="C345" s="213"/>
      <c r="D345" s="213"/>
      <c r="E345" s="213"/>
      <c r="F345" s="213"/>
      <c r="G345" s="213"/>
      <c r="H345" s="213"/>
      <c r="I345" s="213"/>
      <c r="J345" s="213"/>
      <c r="K345" s="213"/>
      <c r="L345" s="213"/>
      <c r="M345" s="213"/>
      <c r="N345" s="213"/>
      <c r="O345" s="326"/>
      <c r="P345" s="213"/>
      <c r="Q345" s="213"/>
      <c r="R345" s="213"/>
      <c r="S345" s="213"/>
      <c r="T345" s="213"/>
      <c r="U345" s="213"/>
      <c r="V345" s="213"/>
      <c r="W345" s="213"/>
      <c r="X345" s="213"/>
      <c r="Y345" s="213"/>
      <c r="Z345" s="213"/>
      <c r="AA345" s="213"/>
      <c r="AB345" s="213"/>
      <c r="AC345" s="213"/>
      <c r="AD345" s="213"/>
      <c r="AE345" s="213"/>
      <c r="AF345" s="213"/>
      <c r="AG345" s="213"/>
      <c r="AH345" s="213"/>
      <c r="AI345" s="213"/>
    </row>
    <row r="346" ht="15.75" customHeight="1">
      <c r="A346" s="213"/>
      <c r="B346" s="213"/>
      <c r="C346" s="213"/>
      <c r="D346" s="213"/>
      <c r="E346" s="213"/>
      <c r="F346" s="213"/>
      <c r="G346" s="213"/>
      <c r="H346" s="213"/>
      <c r="I346" s="213"/>
      <c r="J346" s="213"/>
      <c r="K346" s="213"/>
      <c r="L346" s="213"/>
      <c r="M346" s="213"/>
      <c r="N346" s="213"/>
      <c r="O346" s="326"/>
      <c r="P346" s="213"/>
      <c r="Q346" s="213"/>
      <c r="R346" s="213"/>
      <c r="S346" s="213"/>
      <c r="T346" s="213"/>
      <c r="U346" s="213"/>
      <c r="V346" s="213"/>
      <c r="W346" s="213"/>
      <c r="X346" s="213"/>
      <c r="Y346" s="213"/>
      <c r="Z346" s="213"/>
      <c r="AA346" s="213"/>
      <c r="AB346" s="213"/>
      <c r="AC346" s="213"/>
      <c r="AD346" s="213"/>
      <c r="AE346" s="213"/>
      <c r="AF346" s="213"/>
      <c r="AG346" s="213"/>
      <c r="AH346" s="213"/>
      <c r="AI346" s="213"/>
    </row>
    <row r="347" ht="15.75" customHeight="1">
      <c r="A347" s="213"/>
      <c r="B347" s="213"/>
      <c r="C347" s="213"/>
      <c r="D347" s="213"/>
      <c r="E347" s="213"/>
      <c r="F347" s="213"/>
      <c r="G347" s="213"/>
      <c r="H347" s="213"/>
      <c r="I347" s="213"/>
      <c r="J347" s="213"/>
      <c r="K347" s="213"/>
      <c r="L347" s="213"/>
      <c r="M347" s="213"/>
      <c r="N347" s="213"/>
      <c r="O347" s="326"/>
      <c r="P347" s="213"/>
      <c r="Q347" s="213"/>
      <c r="R347" s="213"/>
      <c r="S347" s="213"/>
      <c r="T347" s="213"/>
      <c r="U347" s="213"/>
      <c r="V347" s="213"/>
      <c r="W347" s="213"/>
      <c r="X347" s="213"/>
      <c r="Y347" s="213"/>
      <c r="Z347" s="213"/>
      <c r="AA347" s="213"/>
      <c r="AB347" s="213"/>
      <c r="AC347" s="213"/>
      <c r="AD347" s="213"/>
      <c r="AE347" s="213"/>
      <c r="AF347" s="213"/>
      <c r="AG347" s="213"/>
      <c r="AH347" s="213"/>
      <c r="AI347" s="213"/>
    </row>
    <row r="348" ht="15.75" customHeight="1">
      <c r="A348" s="213"/>
      <c r="B348" s="213"/>
      <c r="C348" s="213"/>
      <c r="D348" s="213"/>
      <c r="E348" s="213"/>
      <c r="F348" s="213"/>
      <c r="G348" s="213"/>
      <c r="H348" s="213"/>
      <c r="I348" s="213"/>
      <c r="J348" s="213"/>
      <c r="K348" s="213"/>
      <c r="L348" s="213"/>
      <c r="M348" s="213"/>
      <c r="N348" s="213"/>
      <c r="O348" s="326"/>
      <c r="P348" s="213"/>
      <c r="Q348" s="213"/>
      <c r="R348" s="213"/>
      <c r="S348" s="213"/>
      <c r="T348" s="213"/>
      <c r="U348" s="213"/>
      <c r="V348" s="213"/>
      <c r="W348" s="213"/>
      <c r="X348" s="213"/>
      <c r="Y348" s="213"/>
      <c r="Z348" s="213"/>
      <c r="AA348" s="213"/>
      <c r="AB348" s="213"/>
      <c r="AC348" s="213"/>
      <c r="AD348" s="213"/>
      <c r="AE348" s="213"/>
      <c r="AF348" s="213"/>
      <c r="AG348" s="213"/>
      <c r="AH348" s="213"/>
      <c r="AI348" s="213"/>
    </row>
    <row r="349" ht="15.75" customHeight="1">
      <c r="A349" s="213"/>
      <c r="B349" s="213"/>
      <c r="C349" s="213"/>
      <c r="D349" s="213"/>
      <c r="E349" s="213"/>
      <c r="F349" s="213"/>
      <c r="G349" s="213"/>
      <c r="H349" s="213"/>
      <c r="I349" s="213"/>
      <c r="J349" s="213"/>
      <c r="K349" s="213"/>
      <c r="L349" s="213"/>
      <c r="M349" s="213"/>
      <c r="N349" s="213"/>
      <c r="O349" s="326"/>
      <c r="P349" s="213"/>
      <c r="Q349" s="213"/>
      <c r="R349" s="213"/>
      <c r="S349" s="213"/>
      <c r="T349" s="213"/>
      <c r="U349" s="213"/>
      <c r="V349" s="213"/>
      <c r="W349" s="213"/>
      <c r="X349" s="213"/>
      <c r="Y349" s="213"/>
      <c r="Z349" s="213"/>
      <c r="AA349" s="213"/>
      <c r="AB349" s="213"/>
      <c r="AC349" s="213"/>
      <c r="AD349" s="213"/>
      <c r="AE349" s="213"/>
      <c r="AF349" s="213"/>
      <c r="AG349" s="213"/>
      <c r="AH349" s="213"/>
      <c r="AI349" s="213"/>
    </row>
  </sheetData>
  <mergeCells count="4">
    <mergeCell ref="B4:B5"/>
    <mergeCell ref="C4:C5"/>
    <mergeCell ref="B64:C64"/>
    <mergeCell ref="B84:C84"/>
  </mergeCells>
  <printOptions/>
  <pageMargins bottom="0.75" footer="0.0" header="0.0" left="0.7" right="0.7" top="0.75"/>
  <pageSetup orientation="landscape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>
      <pane xSplit="3.0" ySplit="6.0" topLeftCell="D7" activePane="bottomRight" state="frozen"/>
      <selection activeCell="D1" sqref="D1" pane="topRight"/>
      <selection activeCell="A7" sqref="A7" pane="bottomLeft"/>
      <selection activeCell="D7" sqref="D7" pane="bottomRight"/>
    </sheetView>
  </sheetViews>
  <sheetFormatPr customHeight="1" defaultColWidth="12.63" defaultRowHeight="15.0"/>
  <cols>
    <col customWidth="1" min="1" max="1" width="5.63"/>
    <col customWidth="1" min="2" max="2" width="9.75"/>
    <col customWidth="1" min="3" max="3" width="43.13"/>
    <col customWidth="1" min="4" max="4" width="12.63"/>
    <col customWidth="1" min="6" max="6" width="9.75"/>
    <col customWidth="1" min="7" max="14" width="10.75"/>
    <col customWidth="1" min="15" max="15" width="13.13"/>
    <col customWidth="1" min="16" max="35" width="12.63"/>
  </cols>
  <sheetData>
    <row r="1" ht="15.75" customHeight="1">
      <c r="A1" s="213"/>
      <c r="B1" s="214" t="s">
        <v>1</v>
      </c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328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</row>
    <row r="2" ht="15.75" customHeight="1">
      <c r="A2" s="213"/>
      <c r="B2" s="216" t="s">
        <v>473</v>
      </c>
      <c r="C2" s="213"/>
      <c r="D2" s="213"/>
      <c r="E2" s="213"/>
      <c r="F2" s="237">
        <f>F27+G27+H27+I27+J27+K27+L27+M27+N27+O27</f>
        <v>1514484.88</v>
      </c>
      <c r="G2" s="213"/>
      <c r="H2" s="213"/>
      <c r="I2" s="213"/>
      <c r="J2" s="213"/>
      <c r="K2" s="213"/>
      <c r="L2" s="213"/>
      <c r="M2" s="213"/>
      <c r="N2" s="213"/>
      <c r="O2" s="328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  <c r="AA2" s="213"/>
      <c r="AB2" s="213"/>
      <c r="AC2" s="213"/>
      <c r="AD2" s="213"/>
      <c r="AE2" s="213"/>
      <c r="AF2" s="213"/>
      <c r="AG2" s="213"/>
      <c r="AH2" s="213"/>
      <c r="AI2" s="213"/>
    </row>
    <row r="3" ht="15.75" customHeight="1">
      <c r="A3" s="213"/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328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</row>
    <row r="4" ht="15.75" customHeight="1">
      <c r="A4" s="213"/>
      <c r="B4" s="980" t="s">
        <v>201</v>
      </c>
      <c r="C4" s="1009" t="s">
        <v>47</v>
      </c>
      <c r="D4" s="1010" t="s">
        <v>202</v>
      </c>
      <c r="E4" s="1011" t="s">
        <v>203</v>
      </c>
      <c r="F4" s="1012" t="s">
        <v>204</v>
      </c>
      <c r="G4" s="1012" t="s">
        <v>205</v>
      </c>
      <c r="H4" s="1012" t="s">
        <v>206</v>
      </c>
      <c r="I4" s="1012" t="s">
        <v>207</v>
      </c>
      <c r="J4" s="1012" t="s">
        <v>208</v>
      </c>
      <c r="K4" s="1012" t="s">
        <v>209</v>
      </c>
      <c r="L4" s="1012" t="s">
        <v>210</v>
      </c>
      <c r="M4" s="1012" t="s">
        <v>211</v>
      </c>
      <c r="N4" s="1012" t="s">
        <v>212</v>
      </c>
      <c r="O4" s="1013" t="s">
        <v>213</v>
      </c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</row>
    <row r="5" ht="15.75" customHeight="1">
      <c r="A5" s="335"/>
      <c r="B5" s="336"/>
      <c r="C5" s="337"/>
      <c r="D5" s="747" t="s">
        <v>215</v>
      </c>
      <c r="E5" s="747" t="s">
        <v>215</v>
      </c>
      <c r="F5" s="747" t="s">
        <v>215</v>
      </c>
      <c r="G5" s="747" t="s">
        <v>215</v>
      </c>
      <c r="H5" s="747" t="s">
        <v>215</v>
      </c>
      <c r="I5" s="748" t="s">
        <v>215</v>
      </c>
      <c r="J5" s="748" t="s">
        <v>215</v>
      </c>
      <c r="K5" s="748" t="s">
        <v>215</v>
      </c>
      <c r="L5" s="748" t="s">
        <v>215</v>
      </c>
      <c r="M5" s="748" t="s">
        <v>215</v>
      </c>
      <c r="N5" s="748" t="s">
        <v>215</v>
      </c>
      <c r="O5" s="1014" t="s">
        <v>215</v>
      </c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8"/>
      <c r="AC5" s="348"/>
      <c r="AD5" s="348"/>
      <c r="AE5" s="348"/>
      <c r="AF5" s="348"/>
      <c r="AG5" s="348"/>
      <c r="AH5" s="348"/>
      <c r="AI5" s="348"/>
    </row>
    <row r="6" ht="15.75" hidden="1" customHeight="1">
      <c r="A6" s="213"/>
      <c r="B6" s="349"/>
      <c r="C6" s="358" t="s">
        <v>85</v>
      </c>
      <c r="D6" s="708">
        <v>0.0</v>
      </c>
      <c r="E6" s="787">
        <v>0.0</v>
      </c>
      <c r="F6" s="388"/>
      <c r="G6" s="388"/>
      <c r="H6" s="388"/>
      <c r="I6" s="388"/>
      <c r="J6" s="388"/>
      <c r="K6" s="388"/>
      <c r="L6" s="388"/>
      <c r="M6" s="388"/>
      <c r="N6" s="388"/>
      <c r="O6" s="386"/>
      <c r="P6" s="213"/>
      <c r="Q6" s="213"/>
      <c r="R6" s="213"/>
      <c r="S6" s="213"/>
      <c r="T6" s="213"/>
      <c r="U6" s="213"/>
      <c r="V6" s="213"/>
      <c r="W6" s="213"/>
      <c r="X6" s="213"/>
      <c r="Y6" s="213"/>
      <c r="Z6" s="213"/>
      <c r="AA6" s="213"/>
      <c r="AB6" s="213"/>
      <c r="AC6" s="213"/>
      <c r="AD6" s="213"/>
      <c r="AE6" s="213"/>
      <c r="AF6" s="213"/>
      <c r="AG6" s="213"/>
      <c r="AH6" s="213"/>
      <c r="AI6" s="213"/>
    </row>
    <row r="7" ht="15.75" hidden="1" customHeight="1">
      <c r="A7" s="213"/>
      <c r="B7" s="349"/>
      <c r="C7" s="358" t="s">
        <v>92</v>
      </c>
      <c r="D7" s="604">
        <v>0.0</v>
      </c>
      <c r="E7" s="605">
        <v>0.0</v>
      </c>
      <c r="F7" s="357"/>
      <c r="G7" s="357"/>
      <c r="H7" s="357"/>
      <c r="I7" s="357"/>
      <c r="J7" s="357"/>
      <c r="K7" s="357"/>
      <c r="L7" s="357"/>
      <c r="M7" s="357"/>
      <c r="N7" s="357"/>
      <c r="O7" s="353"/>
      <c r="P7" s="213"/>
      <c r="Q7" s="213"/>
      <c r="R7" s="213"/>
      <c r="S7" s="213"/>
      <c r="T7" s="213"/>
      <c r="U7" s="213"/>
      <c r="V7" s="213"/>
      <c r="W7" s="213"/>
      <c r="X7" s="213"/>
      <c r="Y7" s="213"/>
      <c r="Z7" s="213"/>
      <c r="AA7" s="213"/>
      <c r="AB7" s="213"/>
      <c r="AC7" s="213"/>
      <c r="AD7" s="213"/>
      <c r="AE7" s="213"/>
      <c r="AF7" s="213"/>
      <c r="AG7" s="213"/>
      <c r="AH7" s="213"/>
      <c r="AI7" s="213"/>
    </row>
    <row r="8" ht="15.75" hidden="1" customHeight="1">
      <c r="A8" s="213"/>
      <c r="B8" s="349"/>
      <c r="C8" s="358" t="s">
        <v>99</v>
      </c>
      <c r="D8" s="604">
        <v>0.0</v>
      </c>
      <c r="E8" s="605">
        <v>0.0</v>
      </c>
      <c r="F8" s="357"/>
      <c r="G8" s="357"/>
      <c r="H8" s="357"/>
      <c r="I8" s="357"/>
      <c r="J8" s="357"/>
      <c r="K8" s="357"/>
      <c r="L8" s="357"/>
      <c r="M8" s="357"/>
      <c r="N8" s="357"/>
      <c r="O8" s="35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213"/>
      <c r="AC8" s="213"/>
      <c r="AD8" s="213"/>
      <c r="AE8" s="213"/>
      <c r="AF8" s="213"/>
      <c r="AG8" s="213"/>
      <c r="AH8" s="213"/>
      <c r="AI8" s="213"/>
    </row>
    <row r="9" ht="15.75" hidden="1" customHeight="1">
      <c r="A9" s="213"/>
      <c r="B9" s="349"/>
      <c r="C9" s="358" t="s">
        <v>106</v>
      </c>
      <c r="D9" s="604">
        <v>0.0</v>
      </c>
      <c r="E9" s="605">
        <v>0.0</v>
      </c>
      <c r="F9" s="357"/>
      <c r="G9" s="357"/>
      <c r="H9" s="357"/>
      <c r="I9" s="357"/>
      <c r="J9" s="357"/>
      <c r="K9" s="357"/>
      <c r="L9" s="357"/>
      <c r="M9" s="357"/>
      <c r="N9" s="357"/>
      <c r="O9" s="353"/>
      <c r="P9" s="213"/>
      <c r="Q9" s="213"/>
      <c r="R9" s="213"/>
      <c r="S9" s="213"/>
      <c r="T9" s="213"/>
      <c r="U9" s="213"/>
      <c r="V9" s="213"/>
      <c r="W9" s="213"/>
      <c r="X9" s="213"/>
      <c r="Y9" s="213"/>
      <c r="Z9" s="213"/>
      <c r="AA9" s="213"/>
      <c r="AB9" s="213"/>
      <c r="AC9" s="213"/>
      <c r="AD9" s="213"/>
      <c r="AE9" s="213"/>
      <c r="AF9" s="213"/>
      <c r="AG9" s="213"/>
      <c r="AH9" s="213"/>
      <c r="AI9" s="213"/>
    </row>
    <row r="10" ht="15.75" hidden="1" customHeight="1">
      <c r="A10" s="213"/>
      <c r="B10" s="349"/>
      <c r="C10" s="358" t="s">
        <v>113</v>
      </c>
      <c r="D10" s="604">
        <f>SUM(D8:D9)-D27</f>
        <v>0</v>
      </c>
      <c r="E10" s="605">
        <v>0.0</v>
      </c>
      <c r="F10" s="357"/>
      <c r="G10" s="357"/>
      <c r="H10" s="357"/>
      <c r="I10" s="357"/>
      <c r="J10" s="357"/>
      <c r="K10" s="357"/>
      <c r="L10" s="357"/>
      <c r="M10" s="357"/>
      <c r="N10" s="357"/>
      <c r="O10" s="35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</row>
    <row r="11" ht="15.75" hidden="1" customHeight="1">
      <c r="A11" s="213"/>
      <c r="B11" s="349"/>
      <c r="C11" s="358" t="s">
        <v>120</v>
      </c>
      <c r="D11" s="604"/>
      <c r="E11" s="605"/>
      <c r="F11" s="357"/>
      <c r="G11" s="357"/>
      <c r="H11" s="357"/>
      <c r="I11" s="357"/>
      <c r="J11" s="357"/>
      <c r="K11" s="357"/>
      <c r="L11" s="357"/>
      <c r="M11" s="357"/>
      <c r="N11" s="357"/>
      <c r="O11" s="353"/>
      <c r="P11" s="213"/>
      <c r="Q11" s="213"/>
      <c r="R11" s="213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</row>
    <row r="12" ht="15.75" hidden="1" customHeight="1">
      <c r="A12" s="213"/>
      <c r="B12" s="349"/>
      <c r="C12" s="358" t="s">
        <v>127</v>
      </c>
      <c r="D12" s="604"/>
      <c r="E12" s="605"/>
      <c r="F12" s="357"/>
      <c r="G12" s="357"/>
      <c r="H12" s="357"/>
      <c r="I12" s="357"/>
      <c r="J12" s="357"/>
      <c r="K12" s="357"/>
      <c r="L12" s="357"/>
      <c r="M12" s="357"/>
      <c r="N12" s="357"/>
      <c r="O12" s="35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</row>
    <row r="13" ht="15.75" hidden="1" customHeight="1">
      <c r="A13" s="213"/>
      <c r="B13" s="349"/>
      <c r="C13" s="350"/>
      <c r="D13" s="604"/>
      <c r="E13" s="605"/>
      <c r="F13" s="357"/>
      <c r="G13" s="357"/>
      <c r="H13" s="357"/>
      <c r="I13" s="357"/>
      <c r="J13" s="357"/>
      <c r="K13" s="357"/>
      <c r="L13" s="357"/>
      <c r="M13" s="357"/>
      <c r="N13" s="357"/>
      <c r="O13" s="353"/>
      <c r="P13" s="213"/>
      <c r="Q13" s="213"/>
      <c r="R13" s="213"/>
      <c r="S13" s="213"/>
      <c r="T13" s="213"/>
      <c r="U13" s="213"/>
      <c r="V13" s="213"/>
      <c r="W13" s="213"/>
      <c r="X13" s="213"/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  <c r="AI13" s="213"/>
    </row>
    <row r="14" ht="15.75" hidden="1" customHeight="1">
      <c r="A14" s="213"/>
      <c r="B14" s="349"/>
      <c r="C14" s="350"/>
      <c r="D14" s="604"/>
      <c r="E14" s="605"/>
      <c r="F14" s="357"/>
      <c r="G14" s="357"/>
      <c r="H14" s="357"/>
      <c r="I14" s="357"/>
      <c r="J14" s="357"/>
      <c r="K14" s="357"/>
      <c r="L14" s="357"/>
      <c r="M14" s="357"/>
      <c r="N14" s="357"/>
      <c r="O14" s="35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  <c r="AC14" s="213"/>
      <c r="AD14" s="213"/>
      <c r="AE14" s="213"/>
      <c r="AF14" s="213"/>
      <c r="AG14" s="213"/>
      <c r="AH14" s="213"/>
      <c r="AI14" s="213"/>
    </row>
    <row r="15" ht="15.75" customHeight="1">
      <c r="A15" s="213"/>
      <c r="B15" s="673" t="s">
        <v>220</v>
      </c>
      <c r="C15" s="350"/>
      <c r="D15" s="604">
        <f t="shared" ref="D15:O15" si="1">SUM(D16:D19)</f>
        <v>0</v>
      </c>
      <c r="E15" s="605">
        <f t="shared" si="1"/>
        <v>0</v>
      </c>
      <c r="F15" s="357">
        <f t="shared" si="1"/>
        <v>10815</v>
      </c>
      <c r="G15" s="357">
        <f t="shared" si="1"/>
        <v>146738</v>
      </c>
      <c r="H15" s="357">
        <f t="shared" si="1"/>
        <v>201133</v>
      </c>
      <c r="I15" s="357">
        <f t="shared" si="1"/>
        <v>159130.97</v>
      </c>
      <c r="J15" s="357">
        <f t="shared" si="1"/>
        <v>158049.45</v>
      </c>
      <c r="K15" s="357">
        <f t="shared" si="1"/>
        <v>175195.92</v>
      </c>
      <c r="L15" s="357">
        <f t="shared" si="1"/>
        <v>233274.67</v>
      </c>
      <c r="M15" s="357">
        <f t="shared" si="1"/>
        <v>157355.46</v>
      </c>
      <c r="N15" s="357">
        <f t="shared" si="1"/>
        <v>124928.89</v>
      </c>
      <c r="O15" s="353">
        <f t="shared" si="1"/>
        <v>147863.52</v>
      </c>
      <c r="P15" s="216"/>
      <c r="Q15" s="216"/>
      <c r="R15" s="216"/>
      <c r="S15" s="216"/>
      <c r="T15" s="216"/>
      <c r="U15" s="216"/>
      <c r="V15" s="216"/>
      <c r="W15" s="216"/>
      <c r="X15" s="216"/>
      <c r="Y15" s="216"/>
      <c r="Z15" s="216"/>
      <c r="AA15" s="216"/>
      <c r="AB15" s="216"/>
      <c r="AC15" s="216"/>
      <c r="AD15" s="216"/>
      <c r="AE15" s="216"/>
      <c r="AF15" s="216"/>
      <c r="AG15" s="216"/>
      <c r="AH15" s="216"/>
      <c r="AI15" s="216"/>
    </row>
    <row r="16" ht="15.75" customHeight="1">
      <c r="A16" s="213"/>
      <c r="B16" s="349"/>
      <c r="C16" s="350"/>
      <c r="D16" s="604"/>
      <c r="E16" s="605"/>
      <c r="F16" s="357"/>
      <c r="G16" s="357"/>
      <c r="H16" s="357"/>
      <c r="I16" s="357"/>
      <c r="J16" s="357"/>
      <c r="K16" s="357"/>
      <c r="L16" s="357"/>
      <c r="M16" s="357"/>
      <c r="N16" s="357"/>
      <c r="O16" s="353"/>
      <c r="P16" s="213"/>
      <c r="Q16" s="213"/>
      <c r="R16" s="213"/>
      <c r="S16" s="213"/>
      <c r="T16" s="213"/>
      <c r="U16" s="213"/>
      <c r="V16" s="213"/>
      <c r="W16" s="213"/>
      <c r="X16" s="213"/>
      <c r="Y16" s="213"/>
      <c r="Z16" s="213"/>
      <c r="AA16" s="213"/>
      <c r="AB16" s="213"/>
      <c r="AC16" s="213"/>
      <c r="AD16" s="213"/>
      <c r="AE16" s="213"/>
      <c r="AF16" s="213"/>
      <c r="AG16" s="213"/>
      <c r="AH16" s="213"/>
      <c r="AI16" s="213"/>
    </row>
    <row r="17" ht="15.75" customHeight="1">
      <c r="A17" s="213"/>
      <c r="B17" s="349" t="s">
        <v>24</v>
      </c>
      <c r="C17" s="350" t="s">
        <v>474</v>
      </c>
      <c r="D17" s="604">
        <v>0.0</v>
      </c>
      <c r="E17" s="605">
        <v>0.0</v>
      </c>
      <c r="F17" s="357">
        <v>0.0</v>
      </c>
      <c r="G17" s="357">
        <v>9803.0</v>
      </c>
      <c r="H17" s="357">
        <v>85580.0</v>
      </c>
      <c r="I17" s="357">
        <v>68267.0</v>
      </c>
      <c r="J17" s="357">
        <v>74265.18</v>
      </c>
      <c r="K17" s="357">
        <v>94957.0</v>
      </c>
      <c r="L17" s="357">
        <v>100971.0</v>
      </c>
      <c r="M17" s="357">
        <v>67944.94</v>
      </c>
      <c r="N17" s="357">
        <v>42771.74</v>
      </c>
      <c r="O17" s="353">
        <v>53720.55</v>
      </c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</row>
    <row r="18" ht="15.75" customHeight="1">
      <c r="A18" s="213"/>
      <c r="B18" s="924"/>
      <c r="C18" s="350" t="s">
        <v>475</v>
      </c>
      <c r="D18" s="604">
        <v>0.0</v>
      </c>
      <c r="E18" s="605">
        <v>0.0</v>
      </c>
      <c r="F18" s="357">
        <v>10300.0</v>
      </c>
      <c r="G18" s="357">
        <v>129701.0</v>
      </c>
      <c r="H18" s="357">
        <v>104251.0</v>
      </c>
      <c r="I18" s="357">
        <v>81468.0</v>
      </c>
      <c r="J18" s="357">
        <v>75554.0</v>
      </c>
      <c r="K18" s="357">
        <v>70893.0</v>
      </c>
      <c r="L18" s="357">
        <v>119232.0</v>
      </c>
      <c r="M18" s="357">
        <v>80701.65</v>
      </c>
      <c r="N18" s="357">
        <v>75600.75</v>
      </c>
      <c r="O18" s="353">
        <v>86403.5</v>
      </c>
      <c r="P18" s="213"/>
      <c r="Q18" s="213"/>
      <c r="R18" s="213"/>
      <c r="S18" s="213"/>
      <c r="T18" s="213"/>
      <c r="U18" s="213"/>
      <c r="V18" s="213"/>
      <c r="W18" s="213"/>
      <c r="X18" s="213"/>
      <c r="Y18" s="213"/>
      <c r="Z18" s="213"/>
      <c r="AA18" s="213"/>
      <c r="AB18" s="213"/>
      <c r="AC18" s="213"/>
      <c r="AD18" s="213"/>
      <c r="AE18" s="213"/>
      <c r="AF18" s="213"/>
      <c r="AG18" s="213"/>
      <c r="AH18" s="213"/>
      <c r="AI18" s="213"/>
    </row>
    <row r="19" ht="15.75" customHeight="1">
      <c r="A19" s="213"/>
      <c r="B19" s="393"/>
      <c r="C19" s="350" t="s">
        <v>226</v>
      </c>
      <c r="D19" s="604">
        <v>0.0</v>
      </c>
      <c r="E19" s="605">
        <v>0.0</v>
      </c>
      <c r="F19" s="357">
        <v>515.0</v>
      </c>
      <c r="G19" s="357">
        <v>7234.0</v>
      </c>
      <c r="H19" s="357">
        <f>6099+5203</f>
        <v>11302</v>
      </c>
      <c r="I19" s="357">
        <f>5322.5+4073.47</f>
        <v>9395.97</v>
      </c>
      <c r="J19" s="357">
        <f>4452.5+3777.77</f>
        <v>8230.27</v>
      </c>
      <c r="K19" s="357">
        <f>5801.25+3544.67</f>
        <v>9345.92</v>
      </c>
      <c r="L19" s="357">
        <v>13071.67</v>
      </c>
      <c r="M19" s="357">
        <v>8708.87</v>
      </c>
      <c r="N19" s="357">
        <f>2773.75+3782.65</f>
        <v>6556.4</v>
      </c>
      <c r="O19" s="353">
        <f>3419.25+4320.22</f>
        <v>7739.47</v>
      </c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  <c r="AA19" s="213"/>
      <c r="AB19" s="213"/>
      <c r="AC19" s="213"/>
      <c r="AD19" s="213"/>
      <c r="AE19" s="213"/>
      <c r="AF19" s="213"/>
      <c r="AG19" s="213"/>
      <c r="AH19" s="213"/>
      <c r="AI19" s="213"/>
    </row>
    <row r="20" ht="15.75" customHeight="1">
      <c r="A20" s="213"/>
      <c r="B20" s="393"/>
      <c r="C20" s="350"/>
      <c r="D20" s="604"/>
      <c r="E20" s="605"/>
      <c r="F20" s="357"/>
      <c r="G20" s="357"/>
      <c r="H20" s="357"/>
      <c r="I20" s="357"/>
      <c r="J20" s="357"/>
      <c r="K20" s="357"/>
      <c r="L20" s="357"/>
      <c r="M20" s="357"/>
      <c r="N20" s="357"/>
      <c r="O20" s="353"/>
      <c r="P20" s="213"/>
      <c r="Q20" s="213"/>
      <c r="R20" s="213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</row>
    <row r="21" ht="15.75" customHeight="1">
      <c r="A21" s="213"/>
      <c r="B21" s="349"/>
      <c r="C21" s="350"/>
      <c r="D21" s="604"/>
      <c r="E21" s="605"/>
      <c r="F21" s="357"/>
      <c r="G21" s="357"/>
      <c r="H21" s="357"/>
      <c r="I21" s="357"/>
      <c r="J21" s="357"/>
      <c r="K21" s="357"/>
      <c r="L21" s="357"/>
      <c r="M21" s="357"/>
      <c r="N21" s="357"/>
      <c r="O21" s="353"/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  <c r="AA21" s="213"/>
      <c r="AB21" s="213"/>
      <c r="AC21" s="213"/>
      <c r="AD21" s="213"/>
      <c r="AE21" s="213"/>
      <c r="AF21" s="213"/>
      <c r="AG21" s="213"/>
      <c r="AH21" s="213"/>
      <c r="AI21" s="213"/>
    </row>
    <row r="22" ht="15.75" customHeight="1">
      <c r="A22" s="213"/>
      <c r="B22" s="349" t="s">
        <v>22</v>
      </c>
      <c r="C22" s="350" t="s">
        <v>22</v>
      </c>
      <c r="D22" s="604">
        <v>0.0</v>
      </c>
      <c r="E22" s="605">
        <v>0.0</v>
      </c>
      <c r="F22" s="357">
        <v>0.0</v>
      </c>
      <c r="G22" s="357">
        <v>0.0</v>
      </c>
      <c r="H22" s="357">
        <v>0.0</v>
      </c>
      <c r="I22" s="357">
        <v>0.0</v>
      </c>
      <c r="J22" s="357">
        <v>0.0</v>
      </c>
      <c r="K22" s="357">
        <v>0.0</v>
      </c>
      <c r="L22" s="357">
        <v>0.0</v>
      </c>
      <c r="M22" s="359">
        <v>0.0</v>
      </c>
      <c r="N22" s="359">
        <v>0.0</v>
      </c>
      <c r="O22" s="353">
        <v>0.0</v>
      </c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  <c r="AD22" s="213"/>
      <c r="AE22" s="213"/>
      <c r="AF22" s="213"/>
      <c r="AG22" s="213"/>
      <c r="AH22" s="213"/>
      <c r="AI22" s="213"/>
    </row>
    <row r="23" ht="15.75" customHeight="1">
      <c r="A23" s="213"/>
      <c r="B23" s="349" t="s">
        <v>23</v>
      </c>
      <c r="C23" s="350" t="s">
        <v>23</v>
      </c>
      <c r="D23" s="604">
        <v>0.0</v>
      </c>
      <c r="E23" s="605">
        <v>0.0</v>
      </c>
      <c r="F23" s="357">
        <v>0.0</v>
      </c>
      <c r="G23" s="357">
        <v>0.0</v>
      </c>
      <c r="H23" s="357">
        <v>0.0</v>
      </c>
      <c r="I23" s="357">
        <v>0.0</v>
      </c>
      <c r="J23" s="357">
        <v>0.0</v>
      </c>
      <c r="K23" s="357">
        <v>0.0</v>
      </c>
      <c r="L23" s="357">
        <v>0.0</v>
      </c>
      <c r="M23" s="359">
        <v>0.0</v>
      </c>
      <c r="N23" s="359">
        <v>0.0</v>
      </c>
      <c r="O23" s="353">
        <v>0.0</v>
      </c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  <c r="AA23" s="213"/>
      <c r="AB23" s="213"/>
      <c r="AC23" s="213"/>
      <c r="AD23" s="213"/>
      <c r="AE23" s="213"/>
      <c r="AF23" s="213"/>
      <c r="AG23" s="213"/>
      <c r="AH23" s="213"/>
      <c r="AI23" s="213"/>
    </row>
    <row r="24" ht="15.75" customHeight="1">
      <c r="A24" s="213"/>
      <c r="B24" s="349" t="s">
        <v>24</v>
      </c>
      <c r="C24" s="350" t="s">
        <v>230</v>
      </c>
      <c r="D24" s="609">
        <f t="shared" ref="D24:O24" si="2">SUM(D16:D19)</f>
        <v>0</v>
      </c>
      <c r="E24" s="610">
        <f t="shared" si="2"/>
        <v>0</v>
      </c>
      <c r="F24" s="400">
        <f t="shared" si="2"/>
        <v>10815</v>
      </c>
      <c r="G24" s="400">
        <f t="shared" si="2"/>
        <v>146738</v>
      </c>
      <c r="H24" s="400">
        <f t="shared" si="2"/>
        <v>201133</v>
      </c>
      <c r="I24" s="400">
        <f t="shared" si="2"/>
        <v>159130.97</v>
      </c>
      <c r="J24" s="400">
        <f t="shared" si="2"/>
        <v>158049.45</v>
      </c>
      <c r="K24" s="400">
        <f t="shared" si="2"/>
        <v>175195.92</v>
      </c>
      <c r="L24" s="400">
        <f t="shared" si="2"/>
        <v>233274.67</v>
      </c>
      <c r="M24" s="400">
        <f t="shared" si="2"/>
        <v>157355.46</v>
      </c>
      <c r="N24" s="400">
        <f t="shared" si="2"/>
        <v>124928.89</v>
      </c>
      <c r="O24" s="399">
        <f t="shared" si="2"/>
        <v>147863.52</v>
      </c>
      <c r="P24" s="213"/>
      <c r="Q24" s="213"/>
      <c r="R24" s="213"/>
      <c r="S24" s="213"/>
      <c r="T24" s="213"/>
      <c r="U24" s="213"/>
      <c r="V24" s="213"/>
      <c r="W24" s="213"/>
      <c r="X24" s="213"/>
      <c r="Y24" s="213"/>
      <c r="Z24" s="213"/>
      <c r="AA24" s="213"/>
      <c r="AB24" s="213"/>
      <c r="AC24" s="213"/>
      <c r="AD24" s="213"/>
      <c r="AE24" s="213"/>
      <c r="AF24" s="213"/>
      <c r="AG24" s="213"/>
      <c r="AH24" s="213"/>
      <c r="AI24" s="213"/>
    </row>
    <row r="25" ht="15.75" customHeight="1">
      <c r="A25" s="213"/>
      <c r="B25" s="393"/>
      <c r="C25" s="350"/>
      <c r="D25" s="604"/>
      <c r="E25" s="499"/>
      <c r="F25" s="357"/>
      <c r="G25" s="352"/>
      <c r="H25" s="352"/>
      <c r="I25" s="352"/>
      <c r="J25" s="352"/>
      <c r="K25" s="352"/>
      <c r="L25" s="352"/>
      <c r="M25" s="352"/>
      <c r="N25" s="352"/>
      <c r="O25" s="353"/>
      <c r="P25" s="213"/>
      <c r="Q25" s="213"/>
      <c r="R25" s="213"/>
      <c r="S25" s="213"/>
      <c r="T25" s="213"/>
      <c r="U25" s="213"/>
      <c r="V25" s="213"/>
      <c r="W25" s="213"/>
      <c r="X25" s="213"/>
      <c r="Y25" s="213"/>
      <c r="Z25" s="213"/>
      <c r="AA25" s="213"/>
      <c r="AB25" s="213"/>
      <c r="AC25" s="213"/>
      <c r="AD25" s="213"/>
      <c r="AE25" s="213"/>
      <c r="AF25" s="213"/>
      <c r="AG25" s="213"/>
      <c r="AH25" s="213"/>
      <c r="AI25" s="213"/>
    </row>
    <row r="26" ht="15.75" hidden="1" customHeight="1">
      <c r="A26" s="213"/>
      <c r="B26" s="403"/>
      <c r="C26" s="362" t="s">
        <v>231</v>
      </c>
      <c r="D26" s="619"/>
      <c r="E26" s="613"/>
      <c r="F26" s="367"/>
      <c r="G26" s="364"/>
      <c r="H26" s="364"/>
      <c r="I26" s="364"/>
      <c r="J26" s="364"/>
      <c r="K26" s="364"/>
      <c r="L26" s="364"/>
      <c r="M26" s="364"/>
      <c r="N26" s="364"/>
      <c r="O26" s="365"/>
      <c r="P26" s="213"/>
      <c r="Q26" s="213"/>
      <c r="R26" s="213"/>
      <c r="S26" s="213"/>
      <c r="T26" s="213"/>
      <c r="U26" s="213"/>
      <c r="V26" s="213"/>
      <c r="W26" s="213"/>
      <c r="X26" s="213"/>
      <c r="Y26" s="213"/>
      <c r="Z26" s="213"/>
      <c r="AA26" s="213"/>
      <c r="AB26" s="213"/>
      <c r="AC26" s="213"/>
      <c r="AD26" s="213"/>
      <c r="AE26" s="213"/>
      <c r="AF26" s="213"/>
      <c r="AG26" s="213"/>
      <c r="AH26" s="213"/>
      <c r="AI26" s="213"/>
    </row>
    <row r="27" ht="15.75" customHeight="1">
      <c r="A27" s="213"/>
      <c r="B27" s="407"/>
      <c r="C27" s="372" t="s">
        <v>232</v>
      </c>
      <c r="D27" s="600">
        <f t="shared" ref="D27:O27" si="3">D22+D23+D24+D26</f>
        <v>0</v>
      </c>
      <c r="E27" s="601">
        <f t="shared" si="3"/>
        <v>0</v>
      </c>
      <c r="F27" s="377">
        <f t="shared" si="3"/>
        <v>10815</v>
      </c>
      <c r="G27" s="377">
        <f t="shared" si="3"/>
        <v>146738</v>
      </c>
      <c r="H27" s="377">
        <f t="shared" si="3"/>
        <v>201133</v>
      </c>
      <c r="I27" s="377">
        <f t="shared" si="3"/>
        <v>159130.97</v>
      </c>
      <c r="J27" s="377">
        <f t="shared" si="3"/>
        <v>158049.45</v>
      </c>
      <c r="K27" s="377">
        <f t="shared" si="3"/>
        <v>175195.92</v>
      </c>
      <c r="L27" s="377">
        <f t="shared" si="3"/>
        <v>233274.67</v>
      </c>
      <c r="M27" s="377">
        <f t="shared" si="3"/>
        <v>157355.46</v>
      </c>
      <c r="N27" s="377">
        <f t="shared" si="3"/>
        <v>124928.89</v>
      </c>
      <c r="O27" s="375">
        <f t="shared" si="3"/>
        <v>147863.52</v>
      </c>
      <c r="P27" s="718">
        <f>D27+E27+F27+G27+H27+I27+J27+K27+L27+M27+N27+O27</f>
        <v>1514484.88</v>
      </c>
      <c r="Q27" s="216"/>
      <c r="R27" s="216"/>
      <c r="S27" s="216"/>
      <c r="T27" s="216"/>
      <c r="U27" s="216"/>
      <c r="V27" s="216"/>
      <c r="W27" s="216"/>
      <c r="X27" s="216"/>
      <c r="Y27" s="216"/>
      <c r="Z27" s="216"/>
      <c r="AA27" s="216"/>
      <c r="AB27" s="216"/>
      <c r="AC27" s="216"/>
      <c r="AD27" s="216"/>
      <c r="AE27" s="216"/>
      <c r="AF27" s="216"/>
      <c r="AG27" s="216"/>
      <c r="AH27" s="216"/>
      <c r="AI27" s="216"/>
    </row>
    <row r="28" ht="15.75" hidden="1" customHeight="1">
      <c r="A28" s="213"/>
      <c r="B28" s="382"/>
      <c r="C28" s="383"/>
      <c r="D28" s="382"/>
      <c r="E28" s="615"/>
      <c r="F28" s="388"/>
      <c r="G28" s="440"/>
      <c r="H28" s="440"/>
      <c r="I28" s="440"/>
      <c r="J28" s="440"/>
      <c r="K28" s="440"/>
      <c r="L28" s="440"/>
      <c r="M28" s="440"/>
      <c r="N28" s="440"/>
      <c r="O28" s="386"/>
      <c r="P28" s="213"/>
      <c r="Q28" s="213"/>
      <c r="R28" s="213"/>
      <c r="S28" s="213"/>
      <c r="T28" s="213"/>
      <c r="U28" s="213"/>
      <c r="V28" s="213"/>
      <c r="W28" s="213"/>
      <c r="X28" s="213"/>
      <c r="Y28" s="213"/>
      <c r="Z28" s="213"/>
      <c r="AA28" s="213"/>
      <c r="AB28" s="213"/>
      <c r="AC28" s="213"/>
      <c r="AD28" s="213"/>
      <c r="AE28" s="213"/>
      <c r="AF28" s="213"/>
      <c r="AG28" s="213"/>
      <c r="AH28" s="213"/>
      <c r="AI28" s="213"/>
    </row>
    <row r="29" ht="15.75" hidden="1" customHeight="1">
      <c r="A29" s="213"/>
      <c r="B29" s="393"/>
      <c r="C29" s="350"/>
      <c r="D29" s="604"/>
      <c r="E29" s="499"/>
      <c r="F29" s="357"/>
      <c r="G29" s="352"/>
      <c r="H29" s="352"/>
      <c r="I29" s="352"/>
      <c r="J29" s="352"/>
      <c r="K29" s="352"/>
      <c r="L29" s="352"/>
      <c r="M29" s="352"/>
      <c r="N29" s="352"/>
      <c r="O29" s="35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  <c r="AC29" s="213"/>
      <c r="AD29" s="213"/>
      <c r="AE29" s="213"/>
      <c r="AF29" s="213"/>
      <c r="AG29" s="213"/>
      <c r="AH29" s="213"/>
      <c r="AI29" s="213"/>
    </row>
    <row r="30" ht="15.75" hidden="1" customHeight="1">
      <c r="A30" s="213"/>
      <c r="B30" s="393"/>
      <c r="C30" s="350"/>
      <c r="D30" s="604"/>
      <c r="E30" s="605"/>
      <c r="F30" s="357"/>
      <c r="G30" s="357"/>
      <c r="H30" s="357"/>
      <c r="I30" s="357"/>
      <c r="J30" s="357"/>
      <c r="K30" s="357"/>
      <c r="L30" s="357"/>
      <c r="M30" s="357"/>
      <c r="N30" s="357"/>
      <c r="O30" s="353"/>
      <c r="P30" s="213"/>
      <c r="Q30" s="213"/>
      <c r="R30" s="213"/>
      <c r="S30" s="213"/>
      <c r="T30" s="213"/>
      <c r="U30" s="213"/>
      <c r="V30" s="213"/>
      <c r="W30" s="213"/>
      <c r="X30" s="213"/>
      <c r="Y30" s="213"/>
      <c r="Z30" s="213"/>
      <c r="AA30" s="213"/>
      <c r="AB30" s="213"/>
      <c r="AC30" s="213"/>
      <c r="AD30" s="213"/>
      <c r="AE30" s="213"/>
      <c r="AF30" s="213"/>
      <c r="AG30" s="213"/>
      <c r="AH30" s="213"/>
      <c r="AI30" s="213"/>
    </row>
    <row r="31" ht="15.75" hidden="1" customHeight="1">
      <c r="A31" s="213"/>
      <c r="B31" s="393"/>
      <c r="C31" s="350"/>
      <c r="D31" s="604"/>
      <c r="E31" s="605"/>
      <c r="F31" s="357"/>
      <c r="G31" s="357"/>
      <c r="H31" s="357"/>
      <c r="I31" s="357"/>
      <c r="J31" s="357"/>
      <c r="K31" s="357"/>
      <c r="L31" s="357"/>
      <c r="M31" s="357"/>
      <c r="N31" s="357"/>
      <c r="O31" s="35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  <c r="AC31" s="213"/>
      <c r="AD31" s="213"/>
      <c r="AE31" s="213"/>
      <c r="AF31" s="213"/>
      <c r="AG31" s="213"/>
      <c r="AH31" s="213"/>
      <c r="AI31" s="213"/>
    </row>
    <row r="32" ht="15.75" hidden="1" customHeight="1">
      <c r="A32" s="213"/>
      <c r="B32" s="393"/>
      <c r="C32" s="350"/>
      <c r="D32" s="604"/>
      <c r="E32" s="605"/>
      <c r="F32" s="357"/>
      <c r="G32" s="357"/>
      <c r="H32" s="357"/>
      <c r="I32" s="357"/>
      <c r="J32" s="357"/>
      <c r="K32" s="357"/>
      <c r="L32" s="357"/>
      <c r="M32" s="357"/>
      <c r="N32" s="357"/>
      <c r="O32" s="353"/>
      <c r="P32" s="213"/>
      <c r="Q32" s="213"/>
      <c r="R32" s="213"/>
      <c r="S32" s="213"/>
      <c r="T32" s="213"/>
      <c r="U32" s="213"/>
      <c r="V32" s="213"/>
      <c r="W32" s="213"/>
      <c r="X32" s="213"/>
      <c r="Y32" s="213"/>
      <c r="Z32" s="213"/>
      <c r="AA32" s="213"/>
      <c r="AB32" s="213"/>
      <c r="AC32" s="213"/>
      <c r="AD32" s="213"/>
      <c r="AE32" s="213"/>
      <c r="AF32" s="213"/>
      <c r="AG32" s="213"/>
      <c r="AH32" s="213"/>
      <c r="AI32" s="213"/>
    </row>
    <row r="33" ht="15.75" hidden="1" customHeight="1">
      <c r="A33" s="213"/>
      <c r="B33" s="393"/>
      <c r="C33" s="350"/>
      <c r="D33" s="604"/>
      <c r="E33" s="605"/>
      <c r="F33" s="357"/>
      <c r="G33" s="357"/>
      <c r="H33" s="357"/>
      <c r="I33" s="357"/>
      <c r="J33" s="357"/>
      <c r="K33" s="357"/>
      <c r="L33" s="357"/>
      <c r="M33" s="357"/>
      <c r="N33" s="357"/>
      <c r="O33" s="353"/>
      <c r="P33" s="213"/>
      <c r="Q33" s="213"/>
      <c r="R33" s="213"/>
      <c r="S33" s="213"/>
      <c r="T33" s="213"/>
      <c r="U33" s="213"/>
      <c r="V33" s="213"/>
      <c r="W33" s="213"/>
      <c r="X33" s="213"/>
      <c r="Y33" s="213"/>
      <c r="Z33" s="213"/>
      <c r="AA33" s="213"/>
      <c r="AB33" s="213"/>
      <c r="AC33" s="213"/>
      <c r="AD33" s="213"/>
      <c r="AE33" s="213"/>
      <c r="AF33" s="213"/>
      <c r="AG33" s="213"/>
      <c r="AH33" s="213"/>
      <c r="AI33" s="213"/>
    </row>
    <row r="34" ht="15.75" hidden="1" customHeight="1">
      <c r="A34" s="213"/>
      <c r="B34" s="393"/>
      <c r="C34" s="350"/>
      <c r="D34" s="604"/>
      <c r="E34" s="605"/>
      <c r="F34" s="357"/>
      <c r="G34" s="357"/>
      <c r="H34" s="357"/>
      <c r="I34" s="357"/>
      <c r="J34" s="357"/>
      <c r="K34" s="357"/>
      <c r="L34" s="357"/>
      <c r="M34" s="357"/>
      <c r="N34" s="357"/>
      <c r="O34" s="353"/>
      <c r="P34" s="213"/>
      <c r="Q34" s="213"/>
      <c r="R34" s="213"/>
      <c r="S34" s="213"/>
      <c r="T34" s="213"/>
      <c r="U34" s="213"/>
      <c r="V34" s="213"/>
      <c r="W34" s="213"/>
      <c r="X34" s="213"/>
      <c r="Y34" s="213"/>
      <c r="Z34" s="213"/>
      <c r="AA34" s="213"/>
      <c r="AB34" s="213"/>
      <c r="AC34" s="213"/>
      <c r="AD34" s="213"/>
      <c r="AE34" s="213"/>
      <c r="AF34" s="213"/>
      <c r="AG34" s="213"/>
      <c r="AH34" s="213"/>
      <c r="AI34" s="213"/>
    </row>
    <row r="35" ht="15.75" hidden="1" customHeight="1">
      <c r="A35" s="213"/>
      <c r="B35" s="393"/>
      <c r="C35" s="350"/>
      <c r="D35" s="604"/>
      <c r="E35" s="605"/>
      <c r="F35" s="357"/>
      <c r="G35" s="357"/>
      <c r="H35" s="357"/>
      <c r="I35" s="357"/>
      <c r="J35" s="357"/>
      <c r="K35" s="357"/>
      <c r="L35" s="357"/>
      <c r="M35" s="357"/>
      <c r="N35" s="357"/>
      <c r="O35" s="353"/>
      <c r="P35" s="216"/>
      <c r="Q35" s="216"/>
      <c r="R35" s="216"/>
      <c r="S35" s="216"/>
      <c r="T35" s="216"/>
      <c r="U35" s="216"/>
      <c r="V35" s="216"/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6"/>
      <c r="AI35" s="216"/>
    </row>
    <row r="36" ht="15.75" customHeight="1">
      <c r="A36" s="213"/>
      <c r="B36" s="349"/>
      <c r="C36" s="358"/>
      <c r="D36" s="604"/>
      <c r="E36" s="971"/>
      <c r="F36" s="676"/>
      <c r="G36" s="245"/>
      <c r="H36" s="245"/>
      <c r="I36" s="245"/>
      <c r="J36" s="245"/>
      <c r="K36" s="245"/>
      <c r="L36" s="245"/>
      <c r="M36" s="245"/>
      <c r="N36" s="245"/>
      <c r="O36" s="356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  <c r="AA36" s="213"/>
      <c r="AB36" s="213"/>
      <c r="AC36" s="213"/>
      <c r="AD36" s="213"/>
      <c r="AE36" s="213"/>
      <c r="AF36" s="213"/>
      <c r="AG36" s="213"/>
      <c r="AH36" s="213"/>
      <c r="AI36" s="213"/>
    </row>
    <row r="37" ht="15.75" customHeight="1">
      <c r="A37" s="213"/>
      <c r="B37" s="1015" t="s">
        <v>233</v>
      </c>
      <c r="C37" s="1016"/>
      <c r="D37" s="604"/>
      <c r="E37" s="971"/>
      <c r="F37" s="676"/>
      <c r="G37" s="245"/>
      <c r="H37" s="245"/>
      <c r="I37" s="245"/>
      <c r="J37" s="245"/>
      <c r="K37" s="245"/>
      <c r="L37" s="245"/>
      <c r="M37" s="245"/>
      <c r="N37" s="245"/>
      <c r="O37" s="356"/>
      <c r="P37" s="213"/>
      <c r="Q37" s="213"/>
      <c r="R37" s="213"/>
      <c r="S37" s="213"/>
      <c r="T37" s="213"/>
      <c r="U37" s="213"/>
      <c r="V37" s="213"/>
      <c r="W37" s="213"/>
      <c r="X37" s="213"/>
      <c r="Y37" s="213"/>
      <c r="Z37" s="213"/>
      <c r="AA37" s="213"/>
      <c r="AB37" s="213"/>
      <c r="AC37" s="213"/>
      <c r="AD37" s="213"/>
      <c r="AE37" s="213"/>
      <c r="AF37" s="213"/>
      <c r="AG37" s="213"/>
      <c r="AH37" s="213"/>
      <c r="AI37" s="213"/>
    </row>
    <row r="38" ht="15.75" customHeight="1">
      <c r="A38" s="213"/>
      <c r="B38" s="349" t="s">
        <v>29</v>
      </c>
      <c r="C38" s="350"/>
      <c r="D38" s="604"/>
      <c r="E38" s="971"/>
      <c r="F38" s="676"/>
      <c r="G38" s="245"/>
      <c r="H38" s="245"/>
      <c r="I38" s="245"/>
      <c r="J38" s="245"/>
      <c r="K38" s="245"/>
      <c r="L38" s="245"/>
      <c r="M38" s="245"/>
      <c r="N38" s="245"/>
      <c r="O38" s="356"/>
      <c r="P38" s="213"/>
      <c r="Q38" s="213"/>
      <c r="R38" s="213"/>
      <c r="S38" s="213"/>
      <c r="T38" s="213"/>
      <c r="U38" s="213"/>
      <c r="V38" s="213"/>
      <c r="W38" s="213"/>
      <c r="X38" s="213"/>
      <c r="Y38" s="213"/>
      <c r="Z38" s="213"/>
      <c r="AA38" s="213"/>
      <c r="AB38" s="213"/>
      <c r="AC38" s="213"/>
      <c r="AD38" s="213"/>
      <c r="AE38" s="213"/>
      <c r="AF38" s="213"/>
      <c r="AG38" s="213"/>
      <c r="AH38" s="213"/>
      <c r="AI38" s="213"/>
    </row>
    <row r="39" ht="15.75" customHeight="1">
      <c r="A39" s="213"/>
      <c r="B39" s="393"/>
      <c r="C39" s="411" t="s">
        <v>234</v>
      </c>
      <c r="D39" s="604"/>
      <c r="E39" s="971"/>
      <c r="F39" s="676"/>
      <c r="G39" s="245"/>
      <c r="H39" s="357"/>
      <c r="I39" s="357"/>
      <c r="J39" s="357"/>
      <c r="K39" s="357"/>
      <c r="L39" s="357"/>
      <c r="M39" s="357"/>
      <c r="N39" s="357"/>
      <c r="O39" s="356"/>
      <c r="P39" s="213"/>
      <c r="Q39" s="213"/>
      <c r="R39" s="213"/>
      <c r="S39" s="213"/>
      <c r="T39" s="213"/>
      <c r="U39" s="213"/>
      <c r="V39" s="213"/>
      <c r="W39" s="213"/>
      <c r="X39" s="213"/>
      <c r="Y39" s="213"/>
      <c r="Z39" s="213"/>
      <c r="AA39" s="213"/>
      <c r="AB39" s="213"/>
      <c r="AC39" s="213"/>
      <c r="AD39" s="213"/>
      <c r="AE39" s="213"/>
      <c r="AF39" s="213"/>
      <c r="AG39" s="213"/>
      <c r="AH39" s="213"/>
      <c r="AI39" s="213"/>
    </row>
    <row r="40" ht="15.75" customHeight="1">
      <c r="A40" s="213"/>
      <c r="B40" s="393"/>
      <c r="C40" s="350" t="s">
        <v>235</v>
      </c>
      <c r="D40" s="604"/>
      <c r="E40" s="971"/>
      <c r="F40" s="676"/>
      <c r="G40" s="245"/>
      <c r="H40" s="357"/>
      <c r="I40" s="357"/>
      <c r="J40" s="357"/>
      <c r="K40" s="357"/>
      <c r="L40" s="357"/>
      <c r="M40" s="357"/>
      <c r="N40" s="357"/>
      <c r="O40" s="356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</row>
    <row r="41" ht="15.75" customHeight="1">
      <c r="A41" s="213"/>
      <c r="B41" s="393"/>
      <c r="C41" s="350" t="s">
        <v>301</v>
      </c>
      <c r="D41" s="604"/>
      <c r="E41" s="971">
        <v>0.0</v>
      </c>
      <c r="F41" s="676"/>
      <c r="G41" s="357">
        <f>'MSBC CK Allocation'!F12</f>
        <v>88249.87</v>
      </c>
      <c r="H41" s="357">
        <f>'MSBC CK Allocation'!G12</f>
        <v>83743.44</v>
      </c>
      <c r="I41" s="357">
        <f>'MSBC CK Allocation'!H12</f>
        <v>77933.47</v>
      </c>
      <c r="J41" s="357">
        <f>'MSBC CK Allocation'!I12</f>
        <v>78613.4</v>
      </c>
      <c r="K41" s="357">
        <f>'MSBC CK Allocation'!J12</f>
        <v>86093.19</v>
      </c>
      <c r="L41" s="357">
        <f>'MSBC CK Allocation'!K12</f>
        <v>116546.66</v>
      </c>
      <c r="M41" s="737">
        <v>108467.74</v>
      </c>
      <c r="N41" s="737">
        <v>64459.3</v>
      </c>
      <c r="O41" s="356">
        <v>66133.14710511288</v>
      </c>
      <c r="P41" s="213"/>
      <c r="Q41" s="213"/>
      <c r="R41" s="213"/>
      <c r="S41" s="213"/>
      <c r="T41" s="213"/>
      <c r="U41" s="213"/>
      <c r="V41" s="213"/>
      <c r="W41" s="213"/>
      <c r="X41" s="213"/>
      <c r="Y41" s="213"/>
      <c r="Z41" s="213"/>
      <c r="AA41" s="213"/>
      <c r="AB41" s="213"/>
      <c r="AC41" s="213"/>
      <c r="AD41" s="213"/>
      <c r="AE41" s="213"/>
      <c r="AF41" s="213"/>
      <c r="AG41" s="213"/>
      <c r="AH41" s="213"/>
      <c r="AI41" s="213"/>
    </row>
    <row r="42" ht="15.75" customHeight="1">
      <c r="A42" s="213"/>
      <c r="B42" s="393"/>
      <c r="C42" s="350" t="s">
        <v>463</v>
      </c>
      <c r="D42" s="604"/>
      <c r="E42" s="971"/>
      <c r="F42" s="676"/>
      <c r="G42" s="357">
        <f>'MSBC CK Allocation'!F26</f>
        <v>126005.7835</v>
      </c>
      <c r="H42" s="357">
        <f>'MSBC CK Allocation'!G26</f>
        <v>112765.5722</v>
      </c>
      <c r="I42" s="357">
        <f>'MSBC CK Allocation'!H26</f>
        <v>98067.16299</v>
      </c>
      <c r="J42" s="357">
        <f>'MSBC CK Allocation'!I26</f>
        <v>119345.1776</v>
      </c>
      <c r="K42" s="357">
        <f>'MSBC CK Allocation'!J26</f>
        <v>103509.1826</v>
      </c>
      <c r="L42" s="357">
        <f>'MSBC CK Allocation'!K26</f>
        <v>117517.1962</v>
      </c>
      <c r="M42" s="357">
        <f>'MSBC CK Allocation'!L26</f>
        <v>102000.5111</v>
      </c>
      <c r="N42" s="357">
        <f>'MSBC CK Allocation'!M26</f>
        <v>120325.796</v>
      </c>
      <c r="O42" s="357">
        <f>'MSBC CK Allocation'!N26</f>
        <v>73651.96936</v>
      </c>
      <c r="P42" s="213"/>
      <c r="Q42" s="213"/>
      <c r="R42" s="213"/>
      <c r="S42" s="213"/>
      <c r="T42" s="213"/>
      <c r="U42" s="213"/>
      <c r="V42" s="213"/>
      <c r="W42" s="213"/>
      <c r="X42" s="213"/>
      <c r="Y42" s="213"/>
      <c r="Z42" s="213"/>
      <c r="AA42" s="213"/>
      <c r="AB42" s="213"/>
      <c r="AC42" s="213"/>
      <c r="AD42" s="213"/>
      <c r="AE42" s="213"/>
      <c r="AF42" s="213"/>
      <c r="AG42" s="213"/>
      <c r="AH42" s="213"/>
      <c r="AI42" s="213"/>
    </row>
    <row r="43" ht="15.75" customHeight="1">
      <c r="A43" s="213"/>
      <c r="B43" s="393"/>
      <c r="C43" s="350" t="s">
        <v>23</v>
      </c>
      <c r="D43" s="604"/>
      <c r="E43" s="971"/>
      <c r="F43" s="676"/>
      <c r="G43" s="357"/>
      <c r="H43" s="357"/>
      <c r="I43" s="357"/>
      <c r="J43" s="357"/>
      <c r="K43" s="357"/>
      <c r="L43" s="357"/>
      <c r="M43" s="357"/>
      <c r="N43" s="357"/>
      <c r="O43" s="356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</row>
    <row r="44" ht="15.75" customHeight="1">
      <c r="A44" s="213"/>
      <c r="B44" s="393"/>
      <c r="C44" s="350" t="s">
        <v>302</v>
      </c>
      <c r="D44" s="604"/>
      <c r="E44" s="971"/>
      <c r="F44" s="676"/>
      <c r="G44" s="357">
        <f>'Calculation Sheet for GST on Pu'!F29</f>
        <v>9106.838951</v>
      </c>
      <c r="H44" s="357">
        <f>'Calculation Sheet for GST on Pu'!G29</f>
        <v>7840.99286</v>
      </c>
      <c r="I44" s="357">
        <f>'Calculation Sheet for GST on Pu'!H29</f>
        <v>6833.921396</v>
      </c>
      <c r="J44" s="357">
        <f>'Calculation Sheet for GST on Pu'!I29</f>
        <v>4898.910484</v>
      </c>
      <c r="K44" s="357">
        <f>'Calculation Sheet for GST on Pu'!J29</f>
        <v>5549.490762</v>
      </c>
      <c r="L44" s="357">
        <f>'Calculation Sheet for GST on Pu'!K29</f>
        <v>7138.269021</v>
      </c>
      <c r="M44" s="357">
        <f>'Calculation Sheet for GST on Pu'!L29</f>
        <v>5777.349274</v>
      </c>
      <c r="N44" s="357">
        <f>'Calculation Sheet for GST on Pu'!M29</f>
        <v>4212.288418</v>
      </c>
      <c r="O44" s="356">
        <f>'Calculation Sheet for GST on Pu'!N29</f>
        <v>3326.275759</v>
      </c>
      <c r="P44" s="213"/>
      <c r="Q44" s="213"/>
      <c r="R44" s="213"/>
      <c r="S44" s="213"/>
      <c r="T44" s="213"/>
      <c r="U44" s="213"/>
      <c r="V44" s="213"/>
      <c r="W44" s="213"/>
      <c r="X44" s="213"/>
      <c r="Y44" s="213"/>
      <c r="Z44" s="213"/>
      <c r="AA44" s="213"/>
      <c r="AB44" s="213"/>
      <c r="AC44" s="213"/>
      <c r="AD44" s="213"/>
      <c r="AE44" s="213"/>
      <c r="AF44" s="213"/>
      <c r="AG44" s="213"/>
      <c r="AH44" s="213"/>
      <c r="AI44" s="213"/>
    </row>
    <row r="45" ht="15.75" customHeight="1">
      <c r="A45" s="213"/>
      <c r="B45" s="393"/>
      <c r="C45" s="350" t="s">
        <v>238</v>
      </c>
      <c r="D45" s="604">
        <f t="shared" ref="D45:O45" si="4">SUM(D40:D44)</f>
        <v>0</v>
      </c>
      <c r="E45" s="971">
        <f t="shared" si="4"/>
        <v>0</v>
      </c>
      <c r="F45" s="676">
        <f t="shared" si="4"/>
        <v>0</v>
      </c>
      <c r="G45" s="357">
        <f t="shared" si="4"/>
        <v>223362.4924</v>
      </c>
      <c r="H45" s="357">
        <f t="shared" si="4"/>
        <v>204350.0051</v>
      </c>
      <c r="I45" s="357">
        <f t="shared" si="4"/>
        <v>182834.5544</v>
      </c>
      <c r="J45" s="357">
        <f t="shared" si="4"/>
        <v>202857.488</v>
      </c>
      <c r="K45" s="357">
        <f t="shared" si="4"/>
        <v>195151.8634</v>
      </c>
      <c r="L45" s="357">
        <f t="shared" si="4"/>
        <v>241202.1253</v>
      </c>
      <c r="M45" s="359">
        <f t="shared" si="4"/>
        <v>216245.6004</v>
      </c>
      <c r="N45" s="357">
        <f t="shared" si="4"/>
        <v>188997.3844</v>
      </c>
      <c r="O45" s="356">
        <f t="shared" si="4"/>
        <v>143111.3922</v>
      </c>
      <c r="P45" s="718">
        <f t="shared" ref="P45:P47" si="5">D45+E45+F45+G45+H45+I45+J45+K45+L45+M45+N45+O45</f>
        <v>1798112.906</v>
      </c>
      <c r="Q45" s="216"/>
      <c r="R45" s="216"/>
      <c r="S45" s="216"/>
      <c r="T45" s="216"/>
      <c r="U45" s="216"/>
      <c r="V45" s="216"/>
      <c r="W45" s="216"/>
      <c r="X45" s="216"/>
      <c r="Y45" s="216"/>
      <c r="Z45" s="216"/>
      <c r="AA45" s="216"/>
      <c r="AB45" s="216"/>
      <c r="AC45" s="216"/>
      <c r="AD45" s="216"/>
      <c r="AE45" s="216"/>
      <c r="AF45" s="216"/>
      <c r="AG45" s="216"/>
      <c r="AH45" s="216"/>
      <c r="AI45" s="216"/>
    </row>
    <row r="46" ht="15.75" customHeight="1">
      <c r="A46" s="213"/>
      <c r="B46" s="403"/>
      <c r="C46" s="362" t="s">
        <v>239</v>
      </c>
      <c r="D46" s="619"/>
      <c r="E46" s="1017">
        <v>0.0</v>
      </c>
      <c r="F46" s="803"/>
      <c r="G46" s="798">
        <v>930.0</v>
      </c>
      <c r="H46" s="367">
        <v>10061.0</v>
      </c>
      <c r="I46" s="367">
        <v>3136.0</v>
      </c>
      <c r="J46" s="798">
        <v>8554.0</v>
      </c>
      <c r="K46" s="798">
        <v>12011.0</v>
      </c>
      <c r="L46" s="798">
        <v>3972.0</v>
      </c>
      <c r="M46" s="798">
        <v>2636.0</v>
      </c>
      <c r="N46" s="798">
        <v>9497.0</v>
      </c>
      <c r="O46" s="1018">
        <v>4486.0</v>
      </c>
      <c r="P46" s="718">
        <f t="shared" si="5"/>
        <v>55283</v>
      </c>
      <c r="Q46" s="213"/>
      <c r="R46" s="213"/>
      <c r="S46" s="213"/>
      <c r="T46" s="213"/>
      <c r="U46" s="213"/>
      <c r="V46" s="213"/>
      <c r="W46" s="213"/>
      <c r="X46" s="213"/>
      <c r="Y46" s="213"/>
      <c r="Z46" s="213"/>
      <c r="AA46" s="213"/>
      <c r="AB46" s="213"/>
      <c r="AC46" s="213"/>
      <c r="AD46" s="213"/>
      <c r="AE46" s="213"/>
      <c r="AF46" s="213"/>
      <c r="AG46" s="213"/>
      <c r="AH46" s="213"/>
      <c r="AI46" s="213"/>
    </row>
    <row r="47" ht="15.75" customHeight="1">
      <c r="A47" s="213"/>
      <c r="B47" s="693"/>
      <c r="C47" s="795" t="s">
        <v>240</v>
      </c>
      <c r="D47" s="373">
        <f t="shared" ref="D47:O47" si="6">D45+D46</f>
        <v>0</v>
      </c>
      <c r="E47" s="1019">
        <f t="shared" si="6"/>
        <v>0</v>
      </c>
      <c r="F47" s="692">
        <f t="shared" si="6"/>
        <v>0</v>
      </c>
      <c r="G47" s="375">
        <f t="shared" si="6"/>
        <v>224292.4924</v>
      </c>
      <c r="H47" s="375">
        <f t="shared" si="6"/>
        <v>214411.0051</v>
      </c>
      <c r="I47" s="375">
        <f t="shared" si="6"/>
        <v>185970.5544</v>
      </c>
      <c r="J47" s="375">
        <f t="shared" si="6"/>
        <v>211411.488</v>
      </c>
      <c r="K47" s="375">
        <f t="shared" si="6"/>
        <v>207162.8634</v>
      </c>
      <c r="L47" s="375">
        <f t="shared" si="6"/>
        <v>245174.1253</v>
      </c>
      <c r="M47" s="375">
        <f t="shared" si="6"/>
        <v>218881.6004</v>
      </c>
      <c r="N47" s="375">
        <f t="shared" si="6"/>
        <v>198494.3844</v>
      </c>
      <c r="O47" s="692">
        <f t="shared" si="6"/>
        <v>147597.3922</v>
      </c>
      <c r="P47" s="328">
        <f t="shared" si="5"/>
        <v>1853395.906</v>
      </c>
      <c r="Q47" s="216"/>
      <c r="R47" s="216"/>
      <c r="S47" s="216"/>
      <c r="T47" s="216"/>
      <c r="U47" s="216"/>
      <c r="V47" s="216"/>
      <c r="W47" s="216"/>
      <c r="X47" s="216"/>
      <c r="Y47" s="216"/>
      <c r="Z47" s="216"/>
      <c r="AA47" s="216"/>
      <c r="AB47" s="216"/>
      <c r="AC47" s="216"/>
      <c r="AD47" s="216"/>
      <c r="AE47" s="216"/>
      <c r="AF47" s="216"/>
      <c r="AG47" s="216"/>
      <c r="AH47" s="216"/>
      <c r="AI47" s="216"/>
    </row>
    <row r="48" ht="15.75" customHeight="1">
      <c r="A48" s="213"/>
      <c r="B48" s="444"/>
      <c r="C48" s="383"/>
      <c r="D48" s="708"/>
      <c r="E48" s="1020"/>
      <c r="F48" s="801"/>
      <c r="G48" s="801"/>
      <c r="H48" s="801"/>
      <c r="I48" s="801"/>
      <c r="J48" s="801"/>
      <c r="K48" s="801"/>
      <c r="L48" s="801"/>
      <c r="M48" s="801"/>
      <c r="N48" s="801"/>
      <c r="O48" s="927"/>
      <c r="P48" s="213"/>
      <c r="Q48" s="213"/>
      <c r="R48" s="213"/>
      <c r="S48" s="213"/>
      <c r="T48" s="213"/>
      <c r="U48" s="213"/>
      <c r="V48" s="213"/>
      <c r="W48" s="213"/>
      <c r="X48" s="213"/>
      <c r="Y48" s="213"/>
      <c r="Z48" s="213"/>
      <c r="AA48" s="213"/>
      <c r="AB48" s="213"/>
      <c r="AC48" s="213"/>
      <c r="AD48" s="213"/>
      <c r="AE48" s="213"/>
      <c r="AF48" s="213"/>
      <c r="AG48" s="213"/>
      <c r="AH48" s="213"/>
      <c r="AI48" s="213"/>
    </row>
    <row r="49" ht="15.75" customHeight="1">
      <c r="A49" s="213"/>
      <c r="B49" s="393" t="s">
        <v>24</v>
      </c>
      <c r="C49" s="350" t="s">
        <v>305</v>
      </c>
      <c r="D49" s="604">
        <v>0.0</v>
      </c>
      <c r="E49" s="499">
        <v>0.0</v>
      </c>
      <c r="F49" s="357"/>
      <c r="G49" s="357"/>
      <c r="H49" s="357"/>
      <c r="I49" s="357"/>
      <c r="J49" s="357"/>
      <c r="K49" s="357"/>
      <c r="L49" s="357"/>
      <c r="M49" s="357"/>
      <c r="N49" s="357"/>
      <c r="O49" s="353"/>
      <c r="P49" s="213"/>
      <c r="Q49" s="213"/>
      <c r="R49" s="213"/>
      <c r="S49" s="213"/>
      <c r="T49" s="213"/>
      <c r="U49" s="213"/>
      <c r="V49" s="213"/>
      <c r="W49" s="213"/>
      <c r="X49" s="213"/>
      <c r="Y49" s="213"/>
      <c r="Z49" s="213"/>
      <c r="AA49" s="213"/>
      <c r="AB49" s="213"/>
      <c r="AC49" s="213"/>
      <c r="AD49" s="213"/>
      <c r="AE49" s="213"/>
      <c r="AF49" s="213"/>
      <c r="AG49" s="213"/>
      <c r="AH49" s="213"/>
      <c r="AI49" s="213"/>
    </row>
    <row r="50" ht="15.75" customHeight="1">
      <c r="A50" s="213"/>
      <c r="B50" s="393" t="s">
        <v>24</v>
      </c>
      <c r="C50" s="350" t="s">
        <v>304</v>
      </c>
      <c r="D50" s="604">
        <v>0.0</v>
      </c>
      <c r="E50" s="499">
        <v>0.0</v>
      </c>
      <c r="F50" s="357"/>
      <c r="G50" s="357">
        <v>64836.58</v>
      </c>
      <c r="H50" s="357">
        <v>52218.22</v>
      </c>
      <c r="I50" s="357">
        <v>52092.42</v>
      </c>
      <c r="J50" s="357"/>
      <c r="K50" s="357"/>
      <c r="L50" s="357"/>
      <c r="M50" s="357"/>
      <c r="N50" s="357"/>
      <c r="O50" s="353"/>
      <c r="P50" s="213"/>
      <c r="Q50" s="213"/>
      <c r="R50" s="213"/>
      <c r="S50" s="213"/>
      <c r="T50" s="213"/>
      <c r="U50" s="213"/>
      <c r="V50" s="213"/>
      <c r="W50" s="213"/>
      <c r="X50" s="213"/>
      <c r="Y50" s="213"/>
      <c r="Z50" s="213"/>
      <c r="AA50" s="213"/>
      <c r="AB50" s="213"/>
      <c r="AC50" s="213"/>
      <c r="AD50" s="213"/>
      <c r="AE50" s="213"/>
      <c r="AF50" s="213"/>
      <c r="AG50" s="213"/>
      <c r="AH50" s="213"/>
      <c r="AI50" s="213"/>
    </row>
    <row r="51" ht="15.75" customHeight="1">
      <c r="A51" s="213"/>
      <c r="B51" s="393" t="s">
        <v>22</v>
      </c>
      <c r="C51" s="350" t="s">
        <v>305</v>
      </c>
      <c r="D51" s="604">
        <v>0.0</v>
      </c>
      <c r="E51" s="499">
        <v>0.0</v>
      </c>
      <c r="F51" s="357"/>
      <c r="G51" s="357"/>
      <c r="H51" s="357"/>
      <c r="I51" s="357"/>
      <c r="J51" s="357"/>
      <c r="K51" s="357"/>
      <c r="L51" s="357"/>
      <c r="M51" s="357"/>
      <c r="N51" s="357"/>
      <c r="O51" s="353"/>
      <c r="P51" s="213"/>
      <c r="Q51" s="213"/>
      <c r="R51" s="213"/>
      <c r="S51" s="213"/>
      <c r="T51" s="213"/>
      <c r="U51" s="213"/>
      <c r="V51" s="213"/>
      <c r="W51" s="213"/>
      <c r="X51" s="213"/>
      <c r="Y51" s="213"/>
      <c r="Z51" s="213"/>
      <c r="AA51" s="213"/>
      <c r="AB51" s="213"/>
      <c r="AC51" s="213"/>
      <c r="AD51" s="213"/>
      <c r="AE51" s="213"/>
      <c r="AF51" s="213"/>
      <c r="AG51" s="213"/>
      <c r="AH51" s="213"/>
      <c r="AI51" s="213"/>
    </row>
    <row r="52" ht="15.75" customHeight="1">
      <c r="A52" s="213"/>
      <c r="B52" s="393" t="s">
        <v>22</v>
      </c>
      <c r="C52" s="350" t="s">
        <v>304</v>
      </c>
      <c r="D52" s="604">
        <v>0.0</v>
      </c>
      <c r="E52" s="499">
        <v>0.0</v>
      </c>
      <c r="F52" s="357"/>
      <c r="G52" s="357"/>
      <c r="H52" s="357"/>
      <c r="I52" s="357"/>
      <c r="J52" s="357"/>
      <c r="K52" s="357"/>
      <c r="L52" s="357"/>
      <c r="M52" s="357"/>
      <c r="N52" s="357"/>
      <c r="O52" s="353"/>
      <c r="P52" s="213"/>
      <c r="Q52" s="213"/>
      <c r="R52" s="213"/>
      <c r="S52" s="213"/>
      <c r="T52" s="213"/>
      <c r="U52" s="213"/>
      <c r="V52" s="213"/>
      <c r="W52" s="213"/>
      <c r="X52" s="213"/>
      <c r="Y52" s="213"/>
      <c r="Z52" s="213"/>
      <c r="AA52" s="213"/>
      <c r="AB52" s="213"/>
      <c r="AC52" s="213"/>
      <c r="AD52" s="213"/>
      <c r="AE52" s="213"/>
      <c r="AF52" s="213"/>
      <c r="AG52" s="213"/>
      <c r="AH52" s="213"/>
      <c r="AI52" s="213"/>
    </row>
    <row r="53" ht="15.75" customHeight="1">
      <c r="A53" s="213"/>
      <c r="B53" s="393" t="s">
        <v>23</v>
      </c>
      <c r="C53" s="350" t="s">
        <v>305</v>
      </c>
      <c r="D53" s="604">
        <v>0.0</v>
      </c>
      <c r="E53" s="499">
        <v>0.0</v>
      </c>
      <c r="F53" s="357"/>
      <c r="G53" s="357"/>
      <c r="H53" s="357"/>
      <c r="I53" s="357"/>
      <c r="J53" s="357"/>
      <c r="K53" s="357"/>
      <c r="L53" s="357"/>
      <c r="M53" s="357"/>
      <c r="N53" s="357"/>
      <c r="O53" s="353"/>
      <c r="P53" s="213"/>
      <c r="Q53" s="213"/>
      <c r="R53" s="213"/>
      <c r="S53" s="213"/>
      <c r="T53" s="213"/>
      <c r="U53" s="213"/>
      <c r="V53" s="213"/>
      <c r="W53" s="213"/>
      <c r="X53" s="213"/>
      <c r="Y53" s="213"/>
      <c r="Z53" s="213"/>
      <c r="AA53" s="213"/>
      <c r="AB53" s="213"/>
      <c r="AC53" s="213"/>
      <c r="AD53" s="213"/>
      <c r="AE53" s="213"/>
      <c r="AF53" s="213"/>
      <c r="AG53" s="213"/>
      <c r="AH53" s="213"/>
      <c r="AI53" s="213"/>
    </row>
    <row r="54" ht="15.75" customHeight="1">
      <c r="A54" s="213"/>
      <c r="B54" s="393" t="s">
        <v>23</v>
      </c>
      <c r="C54" s="350" t="s">
        <v>304</v>
      </c>
      <c r="D54" s="604">
        <v>0.0</v>
      </c>
      <c r="E54" s="499">
        <v>0.0</v>
      </c>
      <c r="F54" s="357"/>
      <c r="G54" s="357"/>
      <c r="H54" s="357"/>
      <c r="I54" s="357"/>
      <c r="J54" s="357"/>
      <c r="K54" s="357"/>
      <c r="L54" s="357"/>
      <c r="M54" s="357"/>
      <c r="N54" s="357"/>
      <c r="O54" s="353"/>
      <c r="P54" s="213"/>
      <c r="Q54" s="213"/>
      <c r="R54" s="213"/>
      <c r="S54" s="213"/>
      <c r="T54" s="213"/>
      <c r="U54" s="213"/>
      <c r="V54" s="213"/>
      <c r="W54" s="213"/>
      <c r="X54" s="213"/>
      <c r="Y54" s="213"/>
      <c r="Z54" s="213"/>
      <c r="AA54" s="213"/>
      <c r="AB54" s="213"/>
      <c r="AC54" s="213"/>
      <c r="AD54" s="213"/>
      <c r="AE54" s="213"/>
      <c r="AF54" s="213"/>
      <c r="AG54" s="213"/>
      <c r="AH54" s="213"/>
      <c r="AI54" s="213"/>
    </row>
    <row r="55" ht="15.75" customHeight="1">
      <c r="A55" s="213"/>
      <c r="B55" s="393"/>
      <c r="C55" s="350"/>
      <c r="D55" s="604"/>
      <c r="E55" s="499"/>
      <c r="F55" s="357"/>
      <c r="G55" s="357"/>
      <c r="H55" s="357"/>
      <c r="I55" s="357"/>
      <c r="J55" s="357"/>
      <c r="K55" s="357"/>
      <c r="L55" s="357"/>
      <c r="M55" s="357"/>
      <c r="N55" s="357"/>
      <c r="O55" s="353"/>
      <c r="P55" s="213"/>
      <c r="Q55" s="213"/>
      <c r="R55" s="213"/>
      <c r="S55" s="213"/>
      <c r="T55" s="213"/>
      <c r="U55" s="213"/>
      <c r="V55" s="213"/>
      <c r="W55" s="213"/>
      <c r="X55" s="213"/>
      <c r="Y55" s="213"/>
      <c r="Z55" s="213"/>
      <c r="AA55" s="213"/>
      <c r="AB55" s="213"/>
      <c r="AC55" s="213"/>
      <c r="AD55" s="213"/>
      <c r="AE55" s="213"/>
      <c r="AF55" s="213"/>
      <c r="AG55" s="213"/>
      <c r="AH55" s="213"/>
      <c r="AI55" s="213"/>
    </row>
    <row r="56" ht="15.75" customHeight="1">
      <c r="A56" s="213"/>
      <c r="B56" s="393"/>
      <c r="C56" s="350"/>
      <c r="D56" s="604"/>
      <c r="E56" s="499"/>
      <c r="F56" s="357"/>
      <c r="G56" s="357"/>
      <c r="H56" s="357"/>
      <c r="I56" s="357"/>
      <c r="J56" s="357"/>
      <c r="K56" s="357"/>
      <c r="L56" s="357"/>
      <c r="M56" s="357"/>
      <c r="N56" s="357"/>
      <c r="O56" s="353"/>
      <c r="P56" s="213"/>
      <c r="Q56" s="213"/>
      <c r="R56" s="213"/>
      <c r="S56" s="213"/>
      <c r="T56" s="213"/>
      <c r="U56" s="213"/>
      <c r="V56" s="213"/>
      <c r="W56" s="213"/>
      <c r="X56" s="213"/>
      <c r="Y56" s="213"/>
      <c r="Z56" s="213"/>
      <c r="AA56" s="213"/>
      <c r="AB56" s="213"/>
      <c r="AC56" s="213"/>
      <c r="AD56" s="213"/>
      <c r="AE56" s="213"/>
      <c r="AF56" s="213"/>
      <c r="AG56" s="213"/>
      <c r="AH56" s="213"/>
      <c r="AI56" s="213"/>
    </row>
    <row r="57" ht="15.75" customHeight="1">
      <c r="A57" s="213"/>
      <c r="B57" s="393"/>
      <c r="C57" s="350"/>
      <c r="D57" s="604"/>
      <c r="E57" s="499"/>
      <c r="F57" s="357"/>
      <c r="G57" s="357"/>
      <c r="H57" s="357"/>
      <c r="I57" s="357"/>
      <c r="J57" s="357"/>
      <c r="K57" s="357"/>
      <c r="L57" s="357"/>
      <c r="M57" s="357"/>
      <c r="N57" s="357"/>
      <c r="O57" s="353"/>
      <c r="P57" s="213"/>
      <c r="Q57" s="213"/>
      <c r="R57" s="213"/>
      <c r="S57" s="213"/>
      <c r="T57" s="213"/>
      <c r="U57" s="213"/>
      <c r="V57" s="213"/>
      <c r="W57" s="213"/>
      <c r="X57" s="213"/>
      <c r="Y57" s="213"/>
      <c r="Z57" s="213"/>
      <c r="AA57" s="213"/>
      <c r="AB57" s="213"/>
      <c r="AC57" s="213"/>
      <c r="AD57" s="213"/>
      <c r="AE57" s="213"/>
      <c r="AF57" s="213"/>
      <c r="AG57" s="213"/>
      <c r="AH57" s="213"/>
      <c r="AI57" s="213"/>
    </row>
    <row r="58" ht="15.75" customHeight="1">
      <c r="A58" s="213"/>
      <c r="B58" s="393"/>
      <c r="C58" s="350" t="s">
        <v>464</v>
      </c>
      <c r="D58" s="604">
        <f t="shared" ref="D58:F58" si="7">SUM(D49:D55)</f>
        <v>0</v>
      </c>
      <c r="E58" s="499">
        <f t="shared" si="7"/>
        <v>0</v>
      </c>
      <c r="F58" s="357">
        <f t="shared" si="7"/>
        <v>0</v>
      </c>
      <c r="G58" s="357">
        <f t="shared" ref="G58:O58" si="8">SUM(G50:G55)</f>
        <v>64836.58</v>
      </c>
      <c r="H58" s="357">
        <f t="shared" si="8"/>
        <v>52218.22</v>
      </c>
      <c r="I58" s="357">
        <f t="shared" si="8"/>
        <v>52092.42</v>
      </c>
      <c r="J58" s="357">
        <f t="shared" si="8"/>
        <v>0</v>
      </c>
      <c r="K58" s="357">
        <f t="shared" si="8"/>
        <v>0</v>
      </c>
      <c r="L58" s="357">
        <f t="shared" si="8"/>
        <v>0</v>
      </c>
      <c r="M58" s="357">
        <f t="shared" si="8"/>
        <v>0</v>
      </c>
      <c r="N58" s="357">
        <f t="shared" si="8"/>
        <v>0</v>
      </c>
      <c r="O58" s="353">
        <f t="shared" si="8"/>
        <v>0</v>
      </c>
      <c r="P58" s="213"/>
      <c r="Q58" s="213"/>
      <c r="R58" s="213"/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</row>
    <row r="59" ht="15.75" customHeight="1">
      <c r="A59" s="213"/>
      <c r="B59" s="393"/>
      <c r="C59" s="350"/>
      <c r="D59" s="604"/>
      <c r="E59" s="971"/>
      <c r="F59" s="676"/>
      <c r="G59" s="676"/>
      <c r="H59" s="357"/>
      <c r="I59" s="357"/>
      <c r="J59" s="357"/>
      <c r="K59" s="357"/>
      <c r="L59" s="357"/>
      <c r="M59" s="357"/>
      <c r="N59" s="357"/>
      <c r="O59" s="356"/>
      <c r="P59" s="213"/>
      <c r="Q59" s="213"/>
      <c r="R59" s="213"/>
      <c r="S59" s="213"/>
      <c r="T59" s="213"/>
      <c r="U59" s="213"/>
      <c r="V59" s="213"/>
      <c r="W59" s="213"/>
      <c r="X59" s="213"/>
      <c r="Y59" s="213"/>
      <c r="Z59" s="213"/>
      <c r="AA59" s="213"/>
      <c r="AB59" s="213"/>
      <c r="AC59" s="213"/>
      <c r="AD59" s="213"/>
      <c r="AE59" s="213"/>
      <c r="AF59" s="213"/>
      <c r="AG59" s="213"/>
      <c r="AH59" s="213"/>
      <c r="AI59" s="213"/>
    </row>
    <row r="60" ht="15.75" customHeight="1">
      <c r="A60" s="213"/>
      <c r="B60" s="393"/>
      <c r="C60" s="350"/>
      <c r="D60" s="604"/>
      <c r="E60" s="971"/>
      <c r="F60" s="676"/>
      <c r="G60" s="676"/>
      <c r="H60" s="357"/>
      <c r="I60" s="357"/>
      <c r="J60" s="357"/>
      <c r="K60" s="357"/>
      <c r="L60" s="357"/>
      <c r="M60" s="357"/>
      <c r="N60" s="357"/>
      <c r="O60" s="356"/>
      <c r="P60" s="213"/>
      <c r="Q60" s="213"/>
      <c r="R60" s="213"/>
      <c r="S60" s="213"/>
      <c r="T60" s="213"/>
      <c r="U60" s="213"/>
      <c r="V60" s="213"/>
      <c r="W60" s="213"/>
      <c r="X60" s="213"/>
      <c r="Y60" s="213"/>
      <c r="Z60" s="213"/>
      <c r="AA60" s="213"/>
      <c r="AB60" s="213"/>
      <c r="AC60" s="213"/>
      <c r="AD60" s="213"/>
      <c r="AE60" s="213"/>
      <c r="AF60" s="213"/>
      <c r="AG60" s="213"/>
      <c r="AH60" s="213"/>
      <c r="AI60" s="213"/>
    </row>
    <row r="61" ht="15.75" customHeight="1">
      <c r="A61" s="213"/>
      <c r="B61" s="393"/>
      <c r="C61" s="350"/>
      <c r="D61" s="604"/>
      <c r="E61" s="971"/>
      <c r="F61" s="676"/>
      <c r="G61" s="676"/>
      <c r="H61" s="357"/>
      <c r="I61" s="357"/>
      <c r="J61" s="357"/>
      <c r="K61" s="357"/>
      <c r="L61" s="357"/>
      <c r="M61" s="357"/>
      <c r="N61" s="357"/>
      <c r="O61" s="356"/>
      <c r="P61" s="213"/>
      <c r="Q61" s="213"/>
      <c r="R61" s="213"/>
      <c r="S61" s="213"/>
      <c r="T61" s="213"/>
      <c r="U61" s="213"/>
      <c r="V61" s="213"/>
      <c r="W61" s="213"/>
      <c r="X61" s="213"/>
      <c r="Y61" s="213"/>
      <c r="Z61" s="213"/>
      <c r="AA61" s="213"/>
      <c r="AB61" s="213"/>
      <c r="AC61" s="213"/>
      <c r="AD61" s="213"/>
      <c r="AE61" s="213"/>
      <c r="AF61" s="213"/>
      <c r="AG61" s="213"/>
      <c r="AH61" s="213"/>
      <c r="AI61" s="213"/>
    </row>
    <row r="62" ht="15.75" customHeight="1">
      <c r="A62" s="213"/>
      <c r="B62" s="1021" t="s">
        <v>33</v>
      </c>
      <c r="C62" s="1016"/>
      <c r="D62" s="604">
        <f t="shared" ref="D62:O62" si="9">D27-D47</f>
        <v>0</v>
      </c>
      <c r="E62" s="604">
        <f t="shared" si="9"/>
        <v>0</v>
      </c>
      <c r="F62" s="604">
        <f t="shared" si="9"/>
        <v>10815</v>
      </c>
      <c r="G62" s="604">
        <f t="shared" si="9"/>
        <v>-77554.49244</v>
      </c>
      <c r="H62" s="604">
        <f t="shared" si="9"/>
        <v>-13278.00506</v>
      </c>
      <c r="I62" s="604">
        <f t="shared" si="9"/>
        <v>-26839.58439</v>
      </c>
      <c r="J62" s="604">
        <f t="shared" si="9"/>
        <v>-53362.03804</v>
      </c>
      <c r="K62" s="604">
        <f t="shared" si="9"/>
        <v>-31966.94337</v>
      </c>
      <c r="L62" s="604">
        <f t="shared" si="9"/>
        <v>-11899.45525</v>
      </c>
      <c r="M62" s="604">
        <f t="shared" si="9"/>
        <v>-61526.1404</v>
      </c>
      <c r="N62" s="604">
        <f t="shared" si="9"/>
        <v>-73565.4944</v>
      </c>
      <c r="O62" s="604">
        <f t="shared" si="9"/>
        <v>266.1277791</v>
      </c>
      <c r="P62" s="718">
        <f>D62+E62+F62+G62+H62+I62+J62+K62+L62+M62+N62+O62</f>
        <v>-338911.0256</v>
      </c>
      <c r="Q62" s="213"/>
      <c r="R62" s="213"/>
      <c r="S62" s="213"/>
      <c r="T62" s="213"/>
      <c r="U62" s="213"/>
      <c r="V62" s="213"/>
      <c r="W62" s="213"/>
      <c r="X62" s="213"/>
      <c r="Y62" s="213"/>
      <c r="Z62" s="213"/>
      <c r="AA62" s="213"/>
      <c r="AB62" s="213"/>
      <c r="AC62" s="213"/>
      <c r="AD62" s="213"/>
      <c r="AE62" s="213"/>
      <c r="AF62" s="213"/>
      <c r="AG62" s="213"/>
      <c r="AH62" s="213"/>
      <c r="AI62" s="213"/>
    </row>
    <row r="63" ht="15.75" customHeight="1">
      <c r="A63" s="213"/>
      <c r="B63" s="393"/>
      <c r="C63" s="350"/>
      <c r="D63" s="604"/>
      <c r="E63" s="971"/>
      <c r="F63" s="676"/>
      <c r="G63" s="676"/>
      <c r="H63" s="357"/>
      <c r="I63" s="357"/>
      <c r="J63" s="357"/>
      <c r="K63" s="357"/>
      <c r="L63" s="357"/>
      <c r="M63" s="357"/>
      <c r="N63" s="357"/>
      <c r="O63" s="356"/>
      <c r="P63" s="213"/>
      <c r="Q63" s="213"/>
      <c r="R63" s="213"/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</row>
    <row r="64" ht="15.75" customHeight="1">
      <c r="A64" s="213"/>
      <c r="B64" s="393"/>
      <c r="C64" s="627" t="s">
        <v>241</v>
      </c>
      <c r="D64" s="604"/>
      <c r="E64" s="971"/>
      <c r="F64" s="676"/>
      <c r="G64" s="676"/>
      <c r="H64" s="357"/>
      <c r="I64" s="357"/>
      <c r="J64" s="357"/>
      <c r="K64" s="357"/>
      <c r="L64" s="357"/>
      <c r="M64" s="357"/>
      <c r="N64" s="357"/>
      <c r="O64" s="356"/>
      <c r="P64" s="216"/>
      <c r="Q64" s="213"/>
      <c r="R64" s="213"/>
      <c r="S64" s="213"/>
      <c r="T64" s="213"/>
      <c r="U64" s="213"/>
      <c r="V64" s="213"/>
      <c r="W64" s="213"/>
      <c r="X64" s="213"/>
      <c r="Y64" s="213"/>
      <c r="Z64" s="213"/>
      <c r="AA64" s="213"/>
      <c r="AB64" s="213"/>
      <c r="AC64" s="213"/>
      <c r="AD64" s="213"/>
      <c r="AE64" s="213"/>
      <c r="AF64" s="213"/>
      <c r="AG64" s="213"/>
      <c r="AH64" s="213"/>
      <c r="AI64" s="213"/>
    </row>
    <row r="65" ht="15.75" customHeight="1">
      <c r="A65" s="213"/>
      <c r="B65" s="393"/>
      <c r="C65" s="350" t="s">
        <v>242</v>
      </c>
      <c r="D65" s="604"/>
      <c r="E65" s="971"/>
      <c r="F65" s="676"/>
      <c r="G65" s="676"/>
      <c r="H65" s="357"/>
      <c r="I65" s="357"/>
      <c r="J65" s="357"/>
      <c r="K65" s="357"/>
      <c r="L65" s="357"/>
      <c r="M65" s="357"/>
      <c r="N65" s="357"/>
      <c r="O65" s="356"/>
      <c r="P65" s="213"/>
      <c r="Q65" s="213"/>
      <c r="R65" s="213"/>
      <c r="S65" s="213"/>
      <c r="T65" s="213"/>
      <c r="U65" s="213"/>
      <c r="V65" s="213"/>
      <c r="W65" s="213"/>
      <c r="X65" s="213"/>
      <c r="Y65" s="213"/>
      <c r="Z65" s="213"/>
      <c r="AA65" s="213"/>
      <c r="AB65" s="213"/>
      <c r="AC65" s="213"/>
      <c r="AD65" s="213"/>
      <c r="AE65" s="213"/>
      <c r="AF65" s="213"/>
      <c r="AG65" s="213"/>
      <c r="AH65" s="213"/>
      <c r="AI65" s="213"/>
    </row>
    <row r="66" ht="15.75" customHeight="1">
      <c r="A66" s="213"/>
      <c r="B66" s="393"/>
      <c r="C66" s="350" t="s">
        <v>243</v>
      </c>
      <c r="D66" s="604"/>
      <c r="E66" s="971"/>
      <c r="F66" s="676"/>
      <c r="G66" s="676"/>
      <c r="H66" s="357"/>
      <c r="I66" s="357"/>
      <c r="J66" s="357"/>
      <c r="K66" s="357"/>
      <c r="L66" s="357"/>
      <c r="M66" s="357"/>
      <c r="N66" s="357"/>
      <c r="O66" s="356"/>
      <c r="P66" s="213"/>
      <c r="Q66" s="213"/>
      <c r="R66" s="213"/>
      <c r="S66" s="213"/>
      <c r="T66" s="213"/>
      <c r="U66" s="213"/>
      <c r="V66" s="213"/>
      <c r="W66" s="213"/>
      <c r="X66" s="213"/>
      <c r="Y66" s="213"/>
      <c r="Z66" s="213"/>
      <c r="AA66" s="213"/>
      <c r="AB66" s="213"/>
      <c r="AC66" s="213"/>
      <c r="AD66" s="213"/>
      <c r="AE66" s="213"/>
      <c r="AF66" s="213"/>
      <c r="AG66" s="213"/>
      <c r="AH66" s="213"/>
      <c r="AI66" s="213"/>
    </row>
    <row r="67" ht="15.75" customHeight="1">
      <c r="A67" s="213"/>
      <c r="B67" s="393"/>
      <c r="C67" s="350" t="s">
        <v>244</v>
      </c>
      <c r="D67" s="604"/>
      <c r="E67" s="971"/>
      <c r="F67" s="676"/>
      <c r="G67" s="676"/>
      <c r="H67" s="357"/>
      <c r="I67" s="357"/>
      <c r="J67" s="357"/>
      <c r="K67" s="357"/>
      <c r="L67" s="357"/>
      <c r="M67" s="357"/>
      <c r="N67" s="357"/>
      <c r="O67" s="356"/>
      <c r="P67" s="213"/>
      <c r="Q67" s="213"/>
      <c r="R67" s="213"/>
      <c r="S67" s="213"/>
      <c r="T67" s="213"/>
      <c r="U67" s="213"/>
      <c r="V67" s="213"/>
      <c r="W67" s="213"/>
      <c r="X67" s="213"/>
      <c r="Y67" s="213"/>
      <c r="Z67" s="213"/>
      <c r="AA67" s="213"/>
      <c r="AB67" s="213"/>
      <c r="AC67" s="213"/>
      <c r="AD67" s="213"/>
      <c r="AE67" s="213"/>
      <c r="AF67" s="213"/>
      <c r="AG67" s="213"/>
      <c r="AH67" s="213"/>
      <c r="AI67" s="213"/>
    </row>
    <row r="68" ht="15.75" customHeight="1">
      <c r="A68" s="213"/>
      <c r="B68" s="393"/>
      <c r="C68" s="350" t="s">
        <v>303</v>
      </c>
      <c r="D68" s="604"/>
      <c r="E68" s="971"/>
      <c r="F68" s="676"/>
      <c r="G68" s="676"/>
      <c r="H68" s="357"/>
      <c r="I68" s="357"/>
      <c r="J68" s="357"/>
      <c r="K68" s="357"/>
      <c r="L68" s="357"/>
      <c r="M68" s="357"/>
      <c r="N68" s="357"/>
      <c r="O68" s="356"/>
      <c r="P68" s="213"/>
      <c r="Q68" s="213"/>
      <c r="R68" s="213"/>
      <c r="S68" s="213"/>
      <c r="T68" s="213"/>
      <c r="U68" s="213"/>
      <c r="V68" s="213"/>
      <c r="W68" s="213"/>
      <c r="X68" s="213"/>
      <c r="Y68" s="213"/>
      <c r="Z68" s="213"/>
      <c r="AA68" s="213"/>
      <c r="AB68" s="213"/>
      <c r="AC68" s="213"/>
      <c r="AD68" s="213"/>
      <c r="AE68" s="213"/>
      <c r="AF68" s="213"/>
      <c r="AG68" s="213"/>
      <c r="AH68" s="213"/>
      <c r="AI68" s="213"/>
    </row>
    <row r="69" ht="15.75" customHeight="1">
      <c r="A69" s="213"/>
      <c r="B69" s="393"/>
      <c r="C69" s="350" t="s">
        <v>246</v>
      </c>
      <c r="D69" s="604"/>
      <c r="E69" s="971"/>
      <c r="F69" s="676"/>
      <c r="G69" s="676"/>
      <c r="H69" s="357"/>
      <c r="I69" s="357"/>
      <c r="J69" s="357"/>
      <c r="K69" s="357"/>
      <c r="L69" s="357"/>
      <c r="M69" s="357"/>
      <c r="N69" s="357"/>
      <c r="O69" s="356"/>
      <c r="P69" s="213"/>
      <c r="Q69" s="213"/>
      <c r="R69" s="213"/>
      <c r="S69" s="213"/>
      <c r="T69" s="213"/>
      <c r="U69" s="213"/>
      <c r="V69" s="213"/>
      <c r="W69" s="213"/>
      <c r="X69" s="213"/>
      <c r="Y69" s="213"/>
      <c r="Z69" s="213"/>
      <c r="AA69" s="213"/>
      <c r="AB69" s="213"/>
      <c r="AC69" s="213"/>
      <c r="AD69" s="213"/>
      <c r="AE69" s="213"/>
      <c r="AF69" s="213"/>
      <c r="AG69" s="213"/>
      <c r="AH69" s="213"/>
      <c r="AI69" s="213"/>
    </row>
    <row r="70" ht="15.75" customHeight="1">
      <c r="A70" s="213"/>
      <c r="B70" s="393"/>
      <c r="C70" s="350" t="s">
        <v>247</v>
      </c>
      <c r="D70" s="604"/>
      <c r="E70" s="971"/>
      <c r="F70" s="676"/>
      <c r="G70" s="676"/>
      <c r="H70" s="357"/>
      <c r="I70" s="357"/>
      <c r="J70" s="357"/>
      <c r="K70" s="357"/>
      <c r="L70" s="357"/>
      <c r="M70" s="357"/>
      <c r="N70" s="357"/>
      <c r="O70" s="356"/>
      <c r="P70" s="213"/>
      <c r="Q70" s="213"/>
      <c r="R70" s="213"/>
      <c r="S70" s="213"/>
      <c r="T70" s="213"/>
      <c r="U70" s="213"/>
      <c r="V70" s="213"/>
      <c r="W70" s="213"/>
      <c r="X70" s="213"/>
      <c r="Y70" s="213"/>
      <c r="Z70" s="213"/>
      <c r="AA70" s="213"/>
      <c r="AB70" s="213"/>
      <c r="AC70" s="213"/>
      <c r="AD70" s="213"/>
      <c r="AE70" s="213"/>
      <c r="AF70" s="213"/>
      <c r="AG70" s="213"/>
      <c r="AH70" s="213"/>
      <c r="AI70" s="213"/>
    </row>
    <row r="71" ht="15.75" customHeight="1">
      <c r="A71" s="213"/>
      <c r="B71" s="393"/>
      <c r="C71" s="350" t="s">
        <v>248</v>
      </c>
      <c r="D71" s="604">
        <f t="shared" ref="D71:O71" si="10">SUM(D65:D70)</f>
        <v>0</v>
      </c>
      <c r="E71" s="971">
        <f t="shared" si="10"/>
        <v>0</v>
      </c>
      <c r="F71" s="676">
        <f t="shared" si="10"/>
        <v>0</v>
      </c>
      <c r="G71" s="676">
        <f t="shared" si="10"/>
        <v>0</v>
      </c>
      <c r="H71" s="357">
        <f t="shared" si="10"/>
        <v>0</v>
      </c>
      <c r="I71" s="357">
        <f t="shared" si="10"/>
        <v>0</v>
      </c>
      <c r="J71" s="357">
        <f t="shared" si="10"/>
        <v>0</v>
      </c>
      <c r="K71" s="357">
        <f t="shared" si="10"/>
        <v>0</v>
      </c>
      <c r="L71" s="357">
        <f t="shared" si="10"/>
        <v>0</v>
      </c>
      <c r="M71" s="359">
        <f t="shared" si="10"/>
        <v>0</v>
      </c>
      <c r="N71" s="359">
        <f t="shared" si="10"/>
        <v>0</v>
      </c>
      <c r="O71" s="356">
        <f t="shared" si="10"/>
        <v>0</v>
      </c>
      <c r="P71" s="718">
        <f>D71+E71+F71+G71+H71+I71+J71+K71+L71+M71+N71+O71</f>
        <v>0</v>
      </c>
      <c r="Q71" s="216"/>
      <c r="R71" s="216"/>
      <c r="S71" s="216"/>
      <c r="T71" s="216"/>
      <c r="U71" s="216"/>
      <c r="V71" s="216"/>
      <c r="W71" s="216"/>
      <c r="X71" s="216"/>
      <c r="Y71" s="216"/>
      <c r="Z71" s="216"/>
      <c r="AA71" s="216"/>
      <c r="AB71" s="216"/>
      <c r="AC71" s="216"/>
      <c r="AD71" s="216"/>
      <c r="AE71" s="216"/>
      <c r="AF71" s="216"/>
      <c r="AG71" s="216"/>
      <c r="AH71" s="216"/>
      <c r="AI71" s="216"/>
    </row>
    <row r="72" ht="15.75" customHeight="1">
      <c r="A72" s="213"/>
      <c r="B72" s="733" t="s">
        <v>249</v>
      </c>
      <c r="C72" s="734"/>
      <c r="D72" s="619"/>
      <c r="E72" s="1017"/>
      <c r="F72" s="803"/>
      <c r="G72" s="803"/>
      <c r="H72" s="367"/>
      <c r="I72" s="367"/>
      <c r="J72" s="367"/>
      <c r="K72" s="367"/>
      <c r="L72" s="367"/>
      <c r="M72" s="367"/>
      <c r="N72" s="367"/>
      <c r="O72" s="689"/>
      <c r="P72" s="213"/>
      <c r="Q72" s="213"/>
      <c r="R72" s="213"/>
      <c r="S72" s="213"/>
      <c r="T72" s="213"/>
      <c r="U72" s="213"/>
      <c r="V72" s="213"/>
      <c r="W72" s="213"/>
      <c r="X72" s="213"/>
      <c r="Y72" s="213"/>
      <c r="Z72" s="213"/>
      <c r="AA72" s="213"/>
      <c r="AB72" s="213"/>
      <c r="AC72" s="213"/>
      <c r="AD72" s="213"/>
      <c r="AE72" s="213"/>
      <c r="AF72" s="213"/>
      <c r="AG72" s="213"/>
      <c r="AH72" s="213"/>
      <c r="AI72" s="213"/>
    </row>
    <row r="73" ht="15.75" customHeight="1">
      <c r="A73" s="213"/>
      <c r="B73" s="407"/>
      <c r="C73" s="447" t="s">
        <v>250</v>
      </c>
      <c r="D73" s="600">
        <f t="shared" ref="D73:O73" si="11">SUM(D74:D78)</f>
        <v>0</v>
      </c>
      <c r="E73" s="626">
        <f t="shared" si="11"/>
        <v>0</v>
      </c>
      <c r="F73" s="800">
        <f t="shared" si="11"/>
        <v>14717.33333</v>
      </c>
      <c r="G73" s="800">
        <f t="shared" si="11"/>
        <v>32094.33333</v>
      </c>
      <c r="H73" s="377">
        <f t="shared" si="11"/>
        <v>62625.19048</v>
      </c>
      <c r="I73" s="377">
        <f t="shared" si="11"/>
        <v>66002.61905</v>
      </c>
      <c r="J73" s="377">
        <f t="shared" si="11"/>
        <v>69090.33333</v>
      </c>
      <c r="K73" s="377">
        <f t="shared" si="11"/>
        <v>64918.47619</v>
      </c>
      <c r="L73" s="377">
        <f t="shared" si="11"/>
        <v>85915.33333</v>
      </c>
      <c r="M73" s="377">
        <f t="shared" si="11"/>
        <v>74221.7619</v>
      </c>
      <c r="N73" s="377">
        <f t="shared" si="11"/>
        <v>65063.47619</v>
      </c>
      <c r="O73" s="692">
        <f t="shared" si="11"/>
        <v>102574.619</v>
      </c>
      <c r="P73" s="718">
        <f>D73+E73+F73+G73+H73+I73+J73+K73+L73+M73+N73+O73</f>
        <v>637223.4762</v>
      </c>
      <c r="Q73" s="216"/>
      <c r="R73" s="216"/>
      <c r="S73" s="216"/>
      <c r="T73" s="216"/>
      <c r="U73" s="216"/>
      <c r="V73" s="216"/>
      <c r="W73" s="216"/>
      <c r="X73" s="216"/>
      <c r="Y73" s="216"/>
      <c r="Z73" s="216"/>
      <c r="AA73" s="216"/>
      <c r="AB73" s="216"/>
      <c r="AC73" s="216"/>
      <c r="AD73" s="216"/>
      <c r="AE73" s="216"/>
      <c r="AF73" s="216"/>
      <c r="AG73" s="216"/>
      <c r="AH73" s="216"/>
      <c r="AI73" s="216"/>
    </row>
    <row r="74" ht="15.75" customHeight="1">
      <c r="A74" s="213"/>
      <c r="B74" s="444"/>
      <c r="C74" s="383" t="s">
        <v>251</v>
      </c>
      <c r="D74" s="708">
        <v>0.0</v>
      </c>
      <c r="E74" s="1020"/>
      <c r="F74" s="801"/>
      <c r="G74" s="801"/>
      <c r="H74" s="388"/>
      <c r="I74" s="388"/>
      <c r="J74" s="388"/>
      <c r="K74" s="388"/>
      <c r="L74" s="388"/>
      <c r="M74" s="388"/>
      <c r="N74" s="388"/>
      <c r="O74" s="927"/>
      <c r="P74" s="213"/>
      <c r="Q74" s="213"/>
      <c r="R74" s="213"/>
      <c r="S74" s="213"/>
      <c r="T74" s="213"/>
      <c r="U74" s="213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</row>
    <row r="75" ht="15.75" customHeight="1">
      <c r="A75" s="213"/>
      <c r="B75" s="393"/>
      <c r="C75" s="662" t="s">
        <v>252</v>
      </c>
      <c r="D75" s="604">
        <v>0.0</v>
      </c>
      <c r="E75" s="971">
        <v>0.0</v>
      </c>
      <c r="F75" s="1022">
        <v>9309.0</v>
      </c>
      <c r="G75" s="1022">
        <f>(15444+4807)/7+9309+1452</f>
        <v>13654</v>
      </c>
      <c r="H75" s="604">
        <f>(35489+26768)/7+2214</f>
        <v>11107.85714</v>
      </c>
      <c r="I75" s="604">
        <f>38089/7+4505</f>
        <v>9946.285714</v>
      </c>
      <c r="J75" s="737">
        <v>5100.0</v>
      </c>
      <c r="K75" s="604">
        <f>(34288+7979)/7+4552</f>
        <v>10590.14286</v>
      </c>
      <c r="L75" s="357">
        <f>((17941+4788)/7)+2874</f>
        <v>6121</v>
      </c>
      <c r="M75" s="604">
        <f>24538/7+4647</f>
        <v>8152.428571</v>
      </c>
      <c r="N75" s="357">
        <f>12174/7+1308</f>
        <v>3047.142857</v>
      </c>
      <c r="O75" s="604">
        <f>11888/7+4675</f>
        <v>6373.285714</v>
      </c>
      <c r="P75" s="213"/>
      <c r="Q75" s="213"/>
      <c r="R75" s="213"/>
      <c r="S75" s="213"/>
      <c r="T75" s="213"/>
      <c r="U75" s="213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</row>
    <row r="76" ht="15.75" customHeight="1">
      <c r="A76" s="213"/>
      <c r="B76" s="393"/>
      <c r="C76" s="350" t="s">
        <v>254</v>
      </c>
      <c r="D76" s="604">
        <v>0.0</v>
      </c>
      <c r="E76" s="971"/>
      <c r="F76" s="676"/>
      <c r="G76" s="676"/>
      <c r="H76" s="357"/>
      <c r="I76" s="357"/>
      <c r="J76" s="357"/>
      <c r="K76" s="357"/>
      <c r="L76" s="357"/>
      <c r="M76" s="357"/>
      <c r="N76" s="357"/>
      <c r="O76" s="356"/>
      <c r="P76" s="213"/>
      <c r="Q76" s="213"/>
      <c r="R76" s="213"/>
      <c r="S76" s="213"/>
      <c r="T76" s="213"/>
      <c r="U76" s="213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</row>
    <row r="77" ht="15.75" customHeight="1">
      <c r="A77" s="213"/>
      <c r="B77" s="393"/>
      <c r="C77" s="350" t="s">
        <v>430</v>
      </c>
      <c r="D77" s="604">
        <v>0.0</v>
      </c>
      <c r="E77" s="605">
        <v>0.0</v>
      </c>
      <c r="F77" s="604">
        <f>(38940/12)+(10384/12)+(15576/12)</f>
        <v>5408.333333</v>
      </c>
      <c r="G77" s="604">
        <f>(38940/12)+(10384/12)+(15576/12)+10620</f>
        <v>16028.33333</v>
      </c>
      <c r="H77" s="604">
        <f t="shared" ref="H77:O77" si="12">(38940/12)+(10384/12)+(15576/12)+21240</f>
        <v>26648.33333</v>
      </c>
      <c r="I77" s="604">
        <f t="shared" si="12"/>
        <v>26648.33333</v>
      </c>
      <c r="J77" s="604">
        <f t="shared" si="12"/>
        <v>26648.33333</v>
      </c>
      <c r="K77" s="604">
        <f t="shared" si="12"/>
        <v>26648.33333</v>
      </c>
      <c r="L77" s="604">
        <f t="shared" si="12"/>
        <v>26648.33333</v>
      </c>
      <c r="M77" s="604">
        <f t="shared" si="12"/>
        <v>26648.33333</v>
      </c>
      <c r="N77" s="604">
        <f t="shared" si="12"/>
        <v>26648.33333</v>
      </c>
      <c r="O77" s="604">
        <f t="shared" si="12"/>
        <v>26648.33333</v>
      </c>
      <c r="P77" s="213"/>
      <c r="Q77" s="213"/>
      <c r="R77" s="213"/>
      <c r="S77" s="213"/>
      <c r="T77" s="213"/>
      <c r="U77" s="213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</row>
    <row r="78" ht="15.75" customHeight="1">
      <c r="A78" s="213"/>
      <c r="B78" s="393"/>
      <c r="C78" s="662" t="s">
        <v>466</v>
      </c>
      <c r="D78" s="604">
        <v>0.0</v>
      </c>
      <c r="E78" s="971">
        <v>0.0</v>
      </c>
      <c r="F78" s="1022">
        <v>0.0</v>
      </c>
      <c r="G78" s="357">
        <v>2412.0</v>
      </c>
      <c r="H78" s="357">
        <v>24869.0</v>
      </c>
      <c r="I78" s="357">
        <v>29408.0</v>
      </c>
      <c r="J78" s="357">
        <v>37342.0</v>
      </c>
      <c r="K78" s="357">
        <v>27680.0</v>
      </c>
      <c r="L78" s="737">
        <v>53146.0</v>
      </c>
      <c r="M78" s="737">
        <v>39421.0</v>
      </c>
      <c r="N78" s="737">
        <v>35368.0</v>
      </c>
      <c r="O78" s="797">
        <v>69553.0</v>
      </c>
      <c r="P78" s="213"/>
      <c r="Q78" s="213"/>
      <c r="R78" s="213"/>
      <c r="S78" s="213"/>
      <c r="T78" s="213"/>
      <c r="U78" s="213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</row>
    <row r="79" ht="15.75" customHeight="1">
      <c r="A79" s="213"/>
      <c r="B79" s="403"/>
      <c r="C79" s="448"/>
      <c r="D79" s="619"/>
      <c r="E79" s="1017"/>
      <c r="F79" s="803"/>
      <c r="G79" s="367"/>
      <c r="H79" s="367"/>
      <c r="I79" s="367"/>
      <c r="J79" s="367"/>
      <c r="K79" s="367"/>
      <c r="L79" s="367"/>
      <c r="M79" s="367"/>
      <c r="N79" s="367"/>
      <c r="O79" s="689"/>
      <c r="P79" s="213"/>
      <c r="Q79" s="213"/>
      <c r="R79" s="213"/>
      <c r="S79" s="213"/>
      <c r="T79" s="213"/>
      <c r="U79" s="213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</row>
    <row r="80" ht="15.75" customHeight="1">
      <c r="A80" s="213"/>
      <c r="B80" s="407"/>
      <c r="C80" s="447" t="s">
        <v>36</v>
      </c>
      <c r="D80" s="600">
        <f t="shared" ref="D80:H80" si="13">SUM(D81:D87)</f>
        <v>0</v>
      </c>
      <c r="E80" s="626">
        <f t="shared" si="13"/>
        <v>0</v>
      </c>
      <c r="F80" s="800">
        <f t="shared" si="13"/>
        <v>21826</v>
      </c>
      <c r="G80" s="377">
        <f t="shared" si="13"/>
        <v>44781.93</v>
      </c>
      <c r="H80" s="377">
        <f t="shared" si="13"/>
        <v>55917.03</v>
      </c>
      <c r="I80" s="377">
        <f t="shared" ref="I80:J80" si="14">SUM(I81:I85)</f>
        <v>22546.15</v>
      </c>
      <c r="J80" s="377">
        <f t="shared" si="14"/>
        <v>22513.89</v>
      </c>
      <c r="K80" s="377">
        <f>SUM(K81:K87)</f>
        <v>60881.74</v>
      </c>
      <c r="L80" s="377">
        <f>SUM(L81:L85)</f>
        <v>33010.94</v>
      </c>
      <c r="M80" s="377">
        <f>SUM(M81:M87)</f>
        <v>58503.84</v>
      </c>
      <c r="N80" s="377">
        <f t="shared" ref="N80:O80" si="15">SUM(N81:N85)</f>
        <v>17717</v>
      </c>
      <c r="O80" s="692">
        <f t="shared" si="15"/>
        <v>20939.44</v>
      </c>
      <c r="P80" s="718">
        <f>D80+E80+F80+G80+H80+I80+J80+K80+L80+M80+N80+O80</f>
        <v>358637.96</v>
      </c>
      <c r="Q80" s="216"/>
      <c r="R80" s="216"/>
      <c r="S80" s="216"/>
      <c r="T80" s="216"/>
      <c r="U80" s="216"/>
      <c r="V80" s="216"/>
      <c r="W80" s="216"/>
      <c r="X80" s="216"/>
      <c r="Y80" s="216"/>
      <c r="Z80" s="216"/>
      <c r="AA80" s="216"/>
      <c r="AB80" s="216"/>
      <c r="AC80" s="216"/>
      <c r="AD80" s="216"/>
      <c r="AE80" s="216"/>
      <c r="AF80" s="216"/>
      <c r="AG80" s="216"/>
      <c r="AH80" s="216"/>
      <c r="AI80" s="216"/>
    </row>
    <row r="81" ht="15.75" hidden="1" customHeight="1">
      <c r="A81" s="213"/>
      <c r="B81" s="444"/>
      <c r="C81" s="383" t="s">
        <v>257</v>
      </c>
      <c r="D81" s="708"/>
      <c r="E81" s="1020"/>
      <c r="F81" s="801"/>
      <c r="G81" s="388"/>
      <c r="H81" s="388"/>
      <c r="I81" s="388"/>
      <c r="J81" s="388"/>
      <c r="K81" s="388"/>
      <c r="L81" s="388"/>
      <c r="M81" s="388"/>
      <c r="N81" s="388"/>
      <c r="O81" s="927"/>
      <c r="P81" s="213"/>
      <c r="Q81" s="213"/>
      <c r="R81" s="213"/>
      <c r="S81" s="213"/>
      <c r="T81" s="213"/>
      <c r="U81" s="213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</row>
    <row r="82" ht="15.75" hidden="1" customHeight="1">
      <c r="A82" s="213"/>
      <c r="B82" s="393"/>
      <c r="C82" s="350" t="s">
        <v>258</v>
      </c>
      <c r="D82" s="604"/>
      <c r="E82" s="971"/>
      <c r="F82" s="676"/>
      <c r="G82" s="357"/>
      <c r="H82" s="357"/>
      <c r="I82" s="357"/>
      <c r="J82" s="357"/>
      <c r="K82" s="357"/>
      <c r="L82" s="357"/>
      <c r="M82" s="357"/>
      <c r="N82" s="357"/>
      <c r="O82" s="356"/>
      <c r="P82" s="213"/>
      <c r="Q82" s="213"/>
      <c r="R82" s="213"/>
      <c r="S82" s="213"/>
      <c r="T82" s="213"/>
      <c r="U82" s="213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</row>
    <row r="83" ht="15.75" customHeight="1">
      <c r="A83" s="213"/>
      <c r="B83" s="393"/>
      <c r="C83" s="350" t="s">
        <v>259</v>
      </c>
      <c r="D83" s="604">
        <v>0.0</v>
      </c>
      <c r="E83" s="971">
        <v>0.0</v>
      </c>
      <c r="F83" s="676">
        <v>0.0</v>
      </c>
      <c r="G83" s="357">
        <v>1506.08</v>
      </c>
      <c r="H83" s="357">
        <v>13098.45</v>
      </c>
      <c r="I83" s="357">
        <v>10502.05</v>
      </c>
      <c r="J83" s="357">
        <v>11343.93</v>
      </c>
      <c r="K83" s="357">
        <v>14411.08</v>
      </c>
      <c r="L83" s="357">
        <f>15384.09-79.05</f>
        <v>15305.04</v>
      </c>
      <c r="M83" s="353">
        <v>10583.32</v>
      </c>
      <c r="N83" s="357">
        <v>6540.19</v>
      </c>
      <c r="O83" s="356">
        <v>8165.6900000000005</v>
      </c>
      <c r="P83" s="213"/>
      <c r="Q83" s="213"/>
      <c r="R83" s="213"/>
      <c r="S83" s="213"/>
      <c r="T83" s="213"/>
      <c r="U83" s="213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</row>
    <row r="84" ht="15.75" customHeight="1">
      <c r="A84" s="213"/>
      <c r="B84" s="393"/>
      <c r="C84" s="350" t="s">
        <v>468</v>
      </c>
      <c r="D84" s="604"/>
      <c r="E84" s="971"/>
      <c r="F84" s="676"/>
      <c r="G84" s="357"/>
      <c r="H84" s="357"/>
      <c r="I84" s="357"/>
      <c r="J84" s="357"/>
      <c r="K84" s="357"/>
      <c r="L84" s="357">
        <v>79.05</v>
      </c>
      <c r="M84" s="353"/>
      <c r="N84" s="357"/>
      <c r="O84" s="356"/>
      <c r="P84" s="213"/>
      <c r="Q84" s="213"/>
      <c r="R84" s="213"/>
      <c r="S84" s="213"/>
      <c r="T84" s="213"/>
      <c r="U84" s="213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</row>
    <row r="85" ht="15.75" customHeight="1">
      <c r="A85" s="213"/>
      <c r="B85" s="393"/>
      <c r="C85" s="350" t="s">
        <v>260</v>
      </c>
      <c r="D85" s="604">
        <v>0.0</v>
      </c>
      <c r="E85" s="971">
        <v>0.0</v>
      </c>
      <c r="F85" s="676">
        <f>1199+1523</f>
        <v>2722</v>
      </c>
      <c r="G85" s="357">
        <v>19085.85</v>
      </c>
      <c r="H85" s="357">
        <v>15384.58</v>
      </c>
      <c r="I85" s="357">
        <v>12044.1</v>
      </c>
      <c r="J85" s="357">
        <v>11169.96</v>
      </c>
      <c r="K85" s="357">
        <v>10480.66</v>
      </c>
      <c r="L85" s="357">
        <v>17626.85</v>
      </c>
      <c r="M85" s="353">
        <v>11930.52</v>
      </c>
      <c r="N85" s="357">
        <v>11176.81</v>
      </c>
      <c r="O85" s="356">
        <v>12773.75</v>
      </c>
      <c r="P85" s="213"/>
      <c r="Q85" s="213"/>
      <c r="R85" s="213"/>
      <c r="S85" s="213"/>
      <c r="T85" s="213"/>
      <c r="U85" s="213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</row>
    <row r="86" ht="15.75" customHeight="1">
      <c r="A86" s="213"/>
      <c r="B86" s="393"/>
      <c r="C86" s="350" t="s">
        <v>469</v>
      </c>
      <c r="D86" s="604"/>
      <c r="E86" s="971"/>
      <c r="F86" s="676"/>
      <c r="G86" s="357"/>
      <c r="H86" s="357"/>
      <c r="I86" s="357"/>
      <c r="J86" s="357"/>
      <c r="K86" s="357"/>
      <c r="L86" s="357">
        <v>0.0</v>
      </c>
      <c r="M86" s="353"/>
      <c r="N86" s="357"/>
      <c r="O86" s="356"/>
      <c r="P86" s="213"/>
      <c r="Q86" s="213"/>
      <c r="R86" s="213"/>
      <c r="S86" s="213"/>
      <c r="T86" s="213"/>
      <c r="U86" s="213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</row>
    <row r="87" ht="15.75" customHeight="1">
      <c r="A87" s="213"/>
      <c r="B87" s="393"/>
      <c r="C87" s="350" t="s">
        <v>431</v>
      </c>
      <c r="D87" s="604">
        <v>0.0</v>
      </c>
      <c r="E87" s="971">
        <v>0.0</v>
      </c>
      <c r="F87" s="676">
        <f>17700+1404</f>
        <v>19104</v>
      </c>
      <c r="G87" s="357">
        <v>24190.0</v>
      </c>
      <c r="H87" s="357">
        <v>27434.0</v>
      </c>
      <c r="I87" s="357">
        <v>24190.0</v>
      </c>
      <c r="J87" s="357">
        <v>35990.0</v>
      </c>
      <c r="K87" s="357">
        <v>35990.0</v>
      </c>
      <c r="L87" s="357">
        <v>37125.0</v>
      </c>
      <c r="M87" s="353">
        <v>35990.0</v>
      </c>
      <c r="N87" s="357">
        <v>35990.0</v>
      </c>
      <c r="O87" s="797">
        <v>35380.0</v>
      </c>
      <c r="P87" s="213"/>
      <c r="Q87" s="213"/>
      <c r="R87" s="213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</row>
    <row r="88" ht="15.75" customHeight="1">
      <c r="A88" s="213"/>
      <c r="B88" s="403"/>
      <c r="C88" s="362"/>
      <c r="D88" s="619"/>
      <c r="E88" s="1017"/>
      <c r="F88" s="803"/>
      <c r="G88" s="367"/>
      <c r="H88" s="367"/>
      <c r="I88" s="367"/>
      <c r="J88" s="367"/>
      <c r="K88" s="367"/>
      <c r="L88" s="367"/>
      <c r="M88" s="367"/>
      <c r="N88" s="367"/>
      <c r="O88" s="689"/>
      <c r="P88" s="213"/>
      <c r="Q88" s="213"/>
      <c r="R88" s="213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</row>
    <row r="89" ht="15.75" customHeight="1">
      <c r="A89" s="213"/>
      <c r="B89" s="407"/>
      <c r="C89" s="447" t="s">
        <v>315</v>
      </c>
      <c r="D89" s="600">
        <f t="shared" ref="D89:O89" si="16">SUM(D90:D93)</f>
        <v>0</v>
      </c>
      <c r="E89" s="626">
        <f t="shared" si="16"/>
        <v>0</v>
      </c>
      <c r="F89" s="800">
        <f t="shared" si="16"/>
        <v>0</v>
      </c>
      <c r="G89" s="377">
        <f t="shared" si="16"/>
        <v>0</v>
      </c>
      <c r="H89" s="377">
        <f t="shared" si="16"/>
        <v>0</v>
      </c>
      <c r="I89" s="377">
        <f t="shared" si="16"/>
        <v>0</v>
      </c>
      <c r="J89" s="377">
        <f t="shared" si="16"/>
        <v>0</v>
      </c>
      <c r="K89" s="377">
        <f t="shared" si="16"/>
        <v>0</v>
      </c>
      <c r="L89" s="377">
        <f t="shared" si="16"/>
        <v>0</v>
      </c>
      <c r="M89" s="380">
        <f t="shared" si="16"/>
        <v>0</v>
      </c>
      <c r="N89" s="377">
        <f t="shared" si="16"/>
        <v>0</v>
      </c>
      <c r="O89" s="692">
        <f t="shared" si="16"/>
        <v>0</v>
      </c>
      <c r="P89" s="718">
        <f>D89+E89+F89+G89+H89+I89+J89+K89+L89+M89+N89+O89</f>
        <v>0</v>
      </c>
      <c r="Q89" s="216"/>
      <c r="R89" s="216"/>
      <c r="S89" s="216"/>
      <c r="T89" s="216"/>
      <c r="U89" s="216"/>
      <c r="V89" s="216"/>
      <c r="W89" s="216"/>
      <c r="X89" s="216"/>
      <c r="Y89" s="216"/>
      <c r="Z89" s="216"/>
      <c r="AA89" s="216"/>
      <c r="AB89" s="216"/>
      <c r="AC89" s="216"/>
      <c r="AD89" s="216"/>
      <c r="AE89" s="216"/>
      <c r="AF89" s="216"/>
      <c r="AG89" s="216"/>
      <c r="AH89" s="216"/>
      <c r="AI89" s="216"/>
    </row>
    <row r="90" ht="15.75" hidden="1" customHeight="1">
      <c r="A90" s="213"/>
      <c r="B90" s="444"/>
      <c r="C90" s="383" t="s">
        <v>261</v>
      </c>
      <c r="D90" s="708"/>
      <c r="E90" s="1020"/>
      <c r="F90" s="801"/>
      <c r="G90" s="388"/>
      <c r="H90" s="388"/>
      <c r="I90" s="388"/>
      <c r="J90" s="388"/>
      <c r="K90" s="388"/>
      <c r="L90" s="388"/>
      <c r="M90" s="388"/>
      <c r="N90" s="388"/>
      <c r="O90" s="927"/>
      <c r="P90" s="213"/>
      <c r="Q90" s="213"/>
      <c r="R90" s="213"/>
      <c r="S90" s="213"/>
      <c r="T90" s="213"/>
      <c r="U90" s="213"/>
      <c r="V90" s="213"/>
      <c r="W90" s="213"/>
      <c r="X90" s="213"/>
      <c r="Y90" s="213"/>
      <c r="Z90" s="213"/>
      <c r="AA90" s="213"/>
      <c r="AB90" s="213"/>
      <c r="AC90" s="213"/>
      <c r="AD90" s="213"/>
      <c r="AE90" s="213"/>
      <c r="AF90" s="213"/>
      <c r="AG90" s="213"/>
      <c r="AH90" s="213"/>
      <c r="AI90" s="213"/>
    </row>
    <row r="91" ht="15.75" hidden="1" customHeight="1">
      <c r="A91" s="213"/>
      <c r="B91" s="393"/>
      <c r="C91" s="350" t="s">
        <v>262</v>
      </c>
      <c r="D91" s="604"/>
      <c r="E91" s="971"/>
      <c r="F91" s="676"/>
      <c r="G91" s="357"/>
      <c r="H91" s="357"/>
      <c r="I91" s="357"/>
      <c r="J91" s="357"/>
      <c r="K91" s="357"/>
      <c r="L91" s="357"/>
      <c r="M91" s="357"/>
      <c r="N91" s="357"/>
      <c r="O91" s="356"/>
      <c r="P91" s="213"/>
      <c r="Q91" s="213"/>
      <c r="R91" s="213"/>
      <c r="S91" s="213"/>
      <c r="T91" s="213"/>
      <c r="U91" s="213"/>
      <c r="V91" s="213"/>
      <c r="W91" s="213"/>
      <c r="X91" s="213"/>
      <c r="Y91" s="213"/>
      <c r="Z91" s="213"/>
      <c r="AA91" s="213"/>
      <c r="AB91" s="213"/>
      <c r="AC91" s="213"/>
      <c r="AD91" s="213"/>
      <c r="AE91" s="213"/>
      <c r="AF91" s="213"/>
      <c r="AG91" s="213"/>
      <c r="AH91" s="213"/>
      <c r="AI91" s="213"/>
    </row>
    <row r="92" ht="15.75" hidden="1" customHeight="1">
      <c r="A92" s="213"/>
      <c r="B92" s="393"/>
      <c r="C92" s="350" t="s">
        <v>263</v>
      </c>
      <c r="D92" s="604"/>
      <c r="E92" s="971"/>
      <c r="F92" s="676"/>
      <c r="G92" s="357"/>
      <c r="H92" s="357"/>
      <c r="I92" s="357"/>
      <c r="J92" s="357"/>
      <c r="K92" s="357"/>
      <c r="L92" s="357"/>
      <c r="M92" s="357"/>
      <c r="N92" s="357"/>
      <c r="O92" s="356"/>
      <c r="P92" s="213"/>
      <c r="Q92" s="213"/>
      <c r="R92" s="213"/>
      <c r="S92" s="213"/>
      <c r="T92" s="213"/>
      <c r="U92" s="213"/>
      <c r="V92" s="213"/>
      <c r="W92" s="213"/>
      <c r="X92" s="213"/>
      <c r="Y92" s="213"/>
      <c r="Z92" s="213"/>
      <c r="AA92" s="213"/>
      <c r="AB92" s="213"/>
      <c r="AC92" s="213"/>
      <c r="AD92" s="213"/>
      <c r="AE92" s="213"/>
      <c r="AF92" s="213"/>
      <c r="AG92" s="213"/>
      <c r="AH92" s="213"/>
      <c r="AI92" s="213"/>
    </row>
    <row r="93" ht="15.75" hidden="1" customHeight="1">
      <c r="A93" s="213"/>
      <c r="B93" s="393"/>
      <c r="C93" s="350" t="s">
        <v>264</v>
      </c>
      <c r="D93" s="604"/>
      <c r="E93" s="971"/>
      <c r="F93" s="676"/>
      <c r="G93" s="357"/>
      <c r="H93" s="357"/>
      <c r="I93" s="357"/>
      <c r="J93" s="357"/>
      <c r="K93" s="357"/>
      <c r="L93" s="357"/>
      <c r="M93" s="357"/>
      <c r="N93" s="357"/>
      <c r="O93" s="356"/>
      <c r="P93" s="213"/>
      <c r="Q93" s="213"/>
      <c r="R93" s="213"/>
      <c r="S93" s="213"/>
      <c r="T93" s="213"/>
      <c r="U93" s="213"/>
      <c r="V93" s="213"/>
      <c r="W93" s="213"/>
      <c r="X93" s="213"/>
      <c r="Y93" s="213"/>
      <c r="Z93" s="213"/>
      <c r="AA93" s="213"/>
      <c r="AB93" s="213"/>
      <c r="AC93" s="213"/>
      <c r="AD93" s="213"/>
      <c r="AE93" s="213"/>
      <c r="AF93" s="213"/>
      <c r="AG93" s="213"/>
      <c r="AH93" s="213"/>
      <c r="AI93" s="213"/>
    </row>
    <row r="94" ht="15.75" customHeight="1">
      <c r="A94" s="213"/>
      <c r="B94" s="403"/>
      <c r="C94" s="448"/>
      <c r="D94" s="619"/>
      <c r="E94" s="1017"/>
      <c r="F94" s="803"/>
      <c r="G94" s="367"/>
      <c r="H94" s="367"/>
      <c r="I94" s="367"/>
      <c r="J94" s="367"/>
      <c r="K94" s="367"/>
      <c r="L94" s="367"/>
      <c r="M94" s="367"/>
      <c r="N94" s="367"/>
      <c r="O94" s="689"/>
      <c r="P94" s="213"/>
      <c r="Q94" s="213"/>
      <c r="R94" s="213"/>
      <c r="S94" s="213"/>
      <c r="T94" s="213"/>
      <c r="U94" s="213"/>
      <c r="V94" s="213"/>
      <c r="W94" s="213"/>
      <c r="X94" s="213"/>
      <c r="Y94" s="213"/>
      <c r="Z94" s="213"/>
      <c r="AA94" s="213"/>
      <c r="AB94" s="213"/>
      <c r="AC94" s="213"/>
      <c r="AD94" s="213"/>
      <c r="AE94" s="213"/>
      <c r="AF94" s="213"/>
      <c r="AG94" s="213"/>
      <c r="AH94" s="213"/>
      <c r="AI94" s="213"/>
    </row>
    <row r="95" ht="15.75" customHeight="1">
      <c r="A95" s="213"/>
      <c r="B95" s="735"/>
      <c r="C95" s="447" t="s">
        <v>38</v>
      </c>
      <c r="D95" s="771">
        <f t="shared" ref="D95:G95" si="17">SUM(D96:D102)</f>
        <v>0</v>
      </c>
      <c r="E95" s="1023">
        <f t="shared" si="17"/>
        <v>0</v>
      </c>
      <c r="F95" s="810">
        <f t="shared" si="17"/>
        <v>0</v>
      </c>
      <c r="G95" s="773">
        <f t="shared" si="17"/>
        <v>0</v>
      </c>
      <c r="H95" s="773">
        <f>SUM(H96:H103)</f>
        <v>0</v>
      </c>
      <c r="I95" s="773">
        <f t="shared" ref="I95:J95" si="18">SUM(I96:I102)</f>
        <v>0</v>
      </c>
      <c r="J95" s="773">
        <f t="shared" si="18"/>
        <v>0</v>
      </c>
      <c r="K95" s="773" t="str">
        <f>K103</f>
        <v/>
      </c>
      <c r="L95" s="773">
        <f t="shared" ref="L95:O95" si="19">SUM(L96:L102)</f>
        <v>0</v>
      </c>
      <c r="M95" s="773">
        <f t="shared" si="19"/>
        <v>0</v>
      </c>
      <c r="N95" s="773">
        <f t="shared" si="19"/>
        <v>0</v>
      </c>
      <c r="O95" s="814">
        <f t="shared" si="19"/>
        <v>0</v>
      </c>
      <c r="P95" s="718">
        <f>D95+E95+F95+G95+H95+I95+J95+K95+L95+M95+N95+O95</f>
        <v>0</v>
      </c>
      <c r="Q95" s="216"/>
      <c r="R95" s="216"/>
      <c r="S95" s="216"/>
      <c r="T95" s="216"/>
      <c r="U95" s="216"/>
      <c r="V95" s="216"/>
      <c r="W95" s="216"/>
      <c r="X95" s="216"/>
      <c r="Y95" s="216"/>
      <c r="Z95" s="216"/>
      <c r="AA95" s="216"/>
      <c r="AB95" s="216"/>
      <c r="AC95" s="216"/>
      <c r="AD95" s="216"/>
      <c r="AE95" s="216"/>
      <c r="AF95" s="216"/>
      <c r="AG95" s="216"/>
      <c r="AH95" s="216"/>
      <c r="AI95" s="216"/>
    </row>
    <row r="96" ht="15.75" hidden="1" customHeight="1">
      <c r="A96" s="213"/>
      <c r="B96" s="444"/>
      <c r="C96" s="383" t="s">
        <v>318</v>
      </c>
      <c r="D96" s="708"/>
      <c r="E96" s="1020"/>
      <c r="F96" s="801"/>
      <c r="G96" s="388"/>
      <c r="H96" s="388"/>
      <c r="I96" s="388"/>
      <c r="J96" s="388"/>
      <c r="K96" s="388"/>
      <c r="L96" s="388"/>
      <c r="M96" s="388"/>
      <c r="N96" s="388"/>
      <c r="O96" s="927"/>
      <c r="P96" s="213"/>
      <c r="Q96" s="213"/>
      <c r="R96" s="213"/>
      <c r="S96" s="213"/>
      <c r="T96" s="213"/>
      <c r="U96" s="213"/>
      <c r="V96" s="213"/>
      <c r="W96" s="213"/>
      <c r="X96" s="213"/>
      <c r="Y96" s="213"/>
      <c r="Z96" s="213"/>
      <c r="AA96" s="213"/>
      <c r="AB96" s="213"/>
      <c r="AC96" s="213"/>
      <c r="AD96" s="213"/>
      <c r="AE96" s="213"/>
      <c r="AF96" s="213"/>
      <c r="AG96" s="213"/>
      <c r="AH96" s="213"/>
      <c r="AI96" s="213"/>
    </row>
    <row r="97" ht="15.75" hidden="1" customHeight="1">
      <c r="A97" s="213"/>
      <c r="B97" s="393"/>
      <c r="C97" s="350" t="s">
        <v>265</v>
      </c>
      <c r="D97" s="604"/>
      <c r="E97" s="971"/>
      <c r="F97" s="676"/>
      <c r="G97" s="357"/>
      <c r="H97" s="357"/>
      <c r="I97" s="357"/>
      <c r="J97" s="357"/>
      <c r="K97" s="357"/>
      <c r="L97" s="357"/>
      <c r="M97" s="357"/>
      <c r="N97" s="357"/>
      <c r="O97" s="356"/>
      <c r="P97" s="213"/>
      <c r="Q97" s="213"/>
      <c r="R97" s="213"/>
      <c r="S97" s="213"/>
      <c r="T97" s="213"/>
      <c r="U97" s="213"/>
      <c r="V97" s="213"/>
      <c r="W97" s="213"/>
      <c r="X97" s="213"/>
      <c r="Y97" s="213"/>
      <c r="Z97" s="213"/>
      <c r="AA97" s="213"/>
      <c r="AB97" s="213"/>
      <c r="AC97" s="213"/>
      <c r="AD97" s="213"/>
      <c r="AE97" s="213"/>
      <c r="AF97" s="213"/>
      <c r="AG97" s="213"/>
      <c r="AH97" s="213"/>
      <c r="AI97" s="213"/>
    </row>
    <row r="98" ht="15.75" hidden="1" customHeight="1">
      <c r="A98" s="213"/>
      <c r="B98" s="393"/>
      <c r="C98" s="350" t="s">
        <v>266</v>
      </c>
      <c r="D98" s="604"/>
      <c r="E98" s="971"/>
      <c r="F98" s="676"/>
      <c r="G98" s="357"/>
      <c r="H98" s="357"/>
      <c r="I98" s="357"/>
      <c r="J98" s="357"/>
      <c r="K98" s="357"/>
      <c r="L98" s="357"/>
      <c r="M98" s="357"/>
      <c r="N98" s="357"/>
      <c r="O98" s="356"/>
      <c r="P98" s="213"/>
      <c r="Q98" s="213"/>
      <c r="R98" s="213"/>
      <c r="S98" s="213"/>
      <c r="T98" s="213"/>
      <c r="U98" s="213"/>
      <c r="V98" s="213"/>
      <c r="W98" s="213"/>
      <c r="X98" s="213"/>
      <c r="Y98" s="213"/>
      <c r="Z98" s="213"/>
      <c r="AA98" s="213"/>
      <c r="AB98" s="213"/>
      <c r="AC98" s="213"/>
      <c r="AD98" s="213"/>
      <c r="AE98" s="213"/>
      <c r="AF98" s="213"/>
      <c r="AG98" s="213"/>
      <c r="AH98" s="213"/>
      <c r="AI98" s="213"/>
    </row>
    <row r="99" ht="15.75" hidden="1" customHeight="1">
      <c r="A99" s="213"/>
      <c r="B99" s="393"/>
      <c r="C99" s="350" t="s">
        <v>267</v>
      </c>
      <c r="D99" s="604"/>
      <c r="E99" s="971"/>
      <c r="F99" s="676"/>
      <c r="G99" s="357"/>
      <c r="H99" s="357"/>
      <c r="I99" s="357"/>
      <c r="J99" s="357"/>
      <c r="K99" s="357"/>
      <c r="L99" s="357"/>
      <c r="M99" s="357"/>
      <c r="N99" s="357"/>
      <c r="O99" s="356"/>
      <c r="P99" s="213"/>
      <c r="Q99" s="213"/>
      <c r="R99" s="213"/>
      <c r="S99" s="213"/>
      <c r="T99" s="213"/>
      <c r="U99" s="213"/>
      <c r="V99" s="213"/>
      <c r="W99" s="213"/>
      <c r="X99" s="213"/>
      <c r="Y99" s="213"/>
      <c r="Z99" s="213"/>
      <c r="AA99" s="213"/>
      <c r="AB99" s="213"/>
      <c r="AC99" s="213"/>
      <c r="AD99" s="213"/>
      <c r="AE99" s="213"/>
      <c r="AF99" s="213"/>
      <c r="AG99" s="213"/>
      <c r="AH99" s="213"/>
      <c r="AI99" s="213"/>
    </row>
    <row r="100" ht="15.75" hidden="1" customHeight="1">
      <c r="A100" s="213"/>
      <c r="B100" s="393"/>
      <c r="C100" s="350" t="s">
        <v>268</v>
      </c>
      <c r="D100" s="604"/>
      <c r="E100" s="971"/>
      <c r="F100" s="676"/>
      <c r="G100" s="357"/>
      <c r="H100" s="357"/>
      <c r="I100" s="357"/>
      <c r="J100" s="357"/>
      <c r="K100" s="357"/>
      <c r="L100" s="357"/>
      <c r="M100" s="357"/>
      <c r="N100" s="357"/>
      <c r="O100" s="356"/>
      <c r="P100" s="213"/>
      <c r="Q100" s="213"/>
      <c r="R100" s="213"/>
      <c r="S100" s="213"/>
      <c r="T100" s="213"/>
      <c r="U100" s="213"/>
      <c r="V100" s="213"/>
      <c r="W100" s="213"/>
      <c r="X100" s="213"/>
      <c r="Y100" s="213"/>
      <c r="Z100" s="213"/>
      <c r="AA100" s="213"/>
      <c r="AB100" s="213"/>
      <c r="AC100" s="213"/>
      <c r="AD100" s="213"/>
      <c r="AE100" s="213"/>
      <c r="AF100" s="213"/>
      <c r="AG100" s="213"/>
      <c r="AH100" s="213"/>
      <c r="AI100" s="213"/>
    </row>
    <row r="101" ht="15.75" hidden="1" customHeight="1">
      <c r="A101" s="213"/>
      <c r="B101" s="393"/>
      <c r="C101" s="350" t="s">
        <v>269</v>
      </c>
      <c r="D101" s="604"/>
      <c r="E101" s="971"/>
      <c r="F101" s="676"/>
      <c r="G101" s="357"/>
      <c r="H101" s="357"/>
      <c r="I101" s="357"/>
      <c r="J101" s="357"/>
      <c r="K101" s="357"/>
      <c r="L101" s="357"/>
      <c r="M101" s="357"/>
      <c r="N101" s="357"/>
      <c r="O101" s="356"/>
      <c r="P101" s="213"/>
      <c r="Q101" s="213"/>
      <c r="R101" s="213"/>
      <c r="S101" s="213"/>
      <c r="T101" s="213"/>
      <c r="U101" s="213"/>
      <c r="V101" s="213"/>
      <c r="W101" s="213"/>
      <c r="X101" s="213"/>
      <c r="Y101" s="213"/>
      <c r="Z101" s="213"/>
      <c r="AA101" s="213"/>
      <c r="AB101" s="213"/>
      <c r="AC101" s="213"/>
      <c r="AD101" s="213"/>
      <c r="AE101" s="213"/>
      <c r="AF101" s="213"/>
      <c r="AG101" s="213"/>
      <c r="AH101" s="213"/>
      <c r="AI101" s="213"/>
    </row>
    <row r="102" ht="15.75" hidden="1" customHeight="1">
      <c r="A102" s="213"/>
      <c r="B102" s="393"/>
      <c r="C102" s="350" t="s">
        <v>270</v>
      </c>
      <c r="D102" s="604"/>
      <c r="E102" s="971"/>
      <c r="F102" s="676"/>
      <c r="G102" s="357"/>
      <c r="H102" s="357"/>
      <c r="I102" s="357"/>
      <c r="J102" s="357"/>
      <c r="K102" s="357"/>
      <c r="L102" s="357"/>
      <c r="M102" s="357"/>
      <c r="N102" s="357"/>
      <c r="O102" s="356"/>
      <c r="P102" s="213"/>
      <c r="Q102" s="213"/>
      <c r="R102" s="213"/>
      <c r="S102" s="213"/>
      <c r="T102" s="213"/>
      <c r="U102" s="213"/>
      <c r="V102" s="213"/>
      <c r="W102" s="213"/>
      <c r="X102" s="213"/>
      <c r="Y102" s="213"/>
      <c r="Z102" s="213"/>
      <c r="AA102" s="213"/>
      <c r="AB102" s="213"/>
      <c r="AC102" s="213"/>
      <c r="AD102" s="213"/>
      <c r="AE102" s="213"/>
      <c r="AF102" s="213"/>
      <c r="AG102" s="213"/>
      <c r="AH102" s="213"/>
      <c r="AI102" s="213"/>
    </row>
    <row r="103" ht="15.75" customHeight="1">
      <c r="A103" s="213"/>
      <c r="B103" s="393"/>
      <c r="C103" s="350" t="s">
        <v>269</v>
      </c>
      <c r="D103" s="604"/>
      <c r="E103" s="971"/>
      <c r="F103" s="676"/>
      <c r="G103" s="357"/>
      <c r="H103" s="357"/>
      <c r="I103" s="357"/>
      <c r="J103" s="357"/>
      <c r="K103" s="357"/>
      <c r="L103" s="357"/>
      <c r="M103" s="357"/>
      <c r="N103" s="357"/>
      <c r="O103" s="356"/>
      <c r="P103" s="213"/>
      <c r="Q103" s="213"/>
      <c r="R103" s="213"/>
      <c r="S103" s="213"/>
      <c r="T103" s="213"/>
      <c r="U103" s="213"/>
      <c r="V103" s="213"/>
      <c r="W103" s="213"/>
      <c r="X103" s="213"/>
      <c r="Y103" s="213"/>
      <c r="Z103" s="213"/>
      <c r="AA103" s="213"/>
      <c r="AB103" s="213"/>
      <c r="AC103" s="213"/>
      <c r="AD103" s="213"/>
      <c r="AE103" s="213"/>
      <c r="AF103" s="213"/>
      <c r="AG103" s="213"/>
      <c r="AH103" s="213"/>
      <c r="AI103" s="213"/>
    </row>
    <row r="104" ht="15.75" customHeight="1">
      <c r="A104" s="213"/>
      <c r="B104" s="403"/>
      <c r="C104" s="448"/>
      <c r="D104" s="619"/>
      <c r="E104" s="1017"/>
      <c r="F104" s="803"/>
      <c r="G104" s="367"/>
      <c r="H104" s="367"/>
      <c r="I104" s="367"/>
      <c r="J104" s="367"/>
      <c r="K104" s="367"/>
      <c r="L104" s="367"/>
      <c r="M104" s="367"/>
      <c r="N104" s="367"/>
      <c r="O104" s="689"/>
      <c r="P104" s="213"/>
      <c r="Q104" s="213"/>
      <c r="R104" s="213"/>
      <c r="S104" s="213"/>
      <c r="T104" s="213"/>
      <c r="U104" s="213"/>
      <c r="V104" s="213"/>
      <c r="W104" s="213"/>
      <c r="X104" s="213"/>
      <c r="Y104" s="213"/>
      <c r="Z104" s="213"/>
      <c r="AA104" s="213"/>
      <c r="AB104" s="213"/>
      <c r="AC104" s="213"/>
      <c r="AD104" s="213"/>
      <c r="AE104" s="213"/>
      <c r="AF104" s="213"/>
      <c r="AG104" s="213"/>
      <c r="AH104" s="213"/>
      <c r="AI104" s="213"/>
    </row>
    <row r="105" ht="15.75" customHeight="1">
      <c r="A105" s="213"/>
      <c r="B105" s="735"/>
      <c r="C105" s="447" t="s">
        <v>39</v>
      </c>
      <c r="D105" s="771">
        <f t="shared" ref="D105:O105" si="20">SUM(D106)</f>
        <v>0</v>
      </c>
      <c r="E105" s="1023">
        <f t="shared" si="20"/>
        <v>0</v>
      </c>
      <c r="F105" s="810">
        <f t="shared" si="20"/>
        <v>0</v>
      </c>
      <c r="G105" s="773">
        <f t="shared" si="20"/>
        <v>0</v>
      </c>
      <c r="H105" s="773">
        <f t="shared" si="20"/>
        <v>0</v>
      </c>
      <c r="I105" s="773">
        <f t="shared" si="20"/>
        <v>0</v>
      </c>
      <c r="J105" s="773">
        <f t="shared" si="20"/>
        <v>0</v>
      </c>
      <c r="K105" s="773">
        <f t="shared" si="20"/>
        <v>0</v>
      </c>
      <c r="L105" s="773">
        <f t="shared" si="20"/>
        <v>0</v>
      </c>
      <c r="M105" s="773">
        <f t="shared" si="20"/>
        <v>0</v>
      </c>
      <c r="N105" s="773">
        <f t="shared" si="20"/>
        <v>0</v>
      </c>
      <c r="O105" s="814">
        <f t="shared" si="20"/>
        <v>0</v>
      </c>
      <c r="P105" s="718">
        <f>D105+E105+F105+G105+H105+I105+J105+K105+L105+M105+N105+O105</f>
        <v>0</v>
      </c>
      <c r="Q105" s="216"/>
      <c r="R105" s="216"/>
      <c r="S105" s="216"/>
      <c r="T105" s="216"/>
      <c r="U105" s="216"/>
      <c r="V105" s="216"/>
      <c r="W105" s="216"/>
      <c r="X105" s="216"/>
      <c r="Y105" s="216"/>
      <c r="Z105" s="216"/>
      <c r="AA105" s="216"/>
      <c r="AB105" s="216"/>
      <c r="AC105" s="216"/>
      <c r="AD105" s="216"/>
      <c r="AE105" s="216"/>
      <c r="AF105" s="216"/>
      <c r="AG105" s="216"/>
      <c r="AH105" s="216"/>
      <c r="AI105" s="216"/>
    </row>
    <row r="106" ht="15.75" hidden="1" customHeight="1">
      <c r="A106" s="213"/>
      <c r="B106" s="444"/>
      <c r="C106" s="383" t="s">
        <v>272</v>
      </c>
      <c r="D106" s="708">
        <v>0.0</v>
      </c>
      <c r="E106" s="1020"/>
      <c r="F106" s="801"/>
      <c r="G106" s="388"/>
      <c r="H106" s="388"/>
      <c r="I106" s="388"/>
      <c r="J106" s="388"/>
      <c r="K106" s="388"/>
      <c r="L106" s="388"/>
      <c r="M106" s="388"/>
      <c r="N106" s="388"/>
      <c r="O106" s="927"/>
      <c r="P106" s="213"/>
      <c r="Q106" s="213"/>
      <c r="R106" s="213"/>
      <c r="S106" s="213"/>
      <c r="T106" s="213"/>
      <c r="U106" s="213"/>
      <c r="V106" s="213"/>
      <c r="W106" s="213"/>
      <c r="X106" s="213"/>
      <c r="Y106" s="213"/>
      <c r="Z106" s="213"/>
      <c r="AA106" s="213"/>
      <c r="AB106" s="213"/>
      <c r="AC106" s="213"/>
      <c r="AD106" s="213"/>
      <c r="AE106" s="213"/>
      <c r="AF106" s="213"/>
      <c r="AG106" s="213"/>
      <c r="AH106" s="213"/>
      <c r="AI106" s="213"/>
    </row>
    <row r="107" ht="15.75" customHeight="1">
      <c r="A107" s="213"/>
      <c r="B107" s="403"/>
      <c r="C107" s="362"/>
      <c r="D107" s="619"/>
      <c r="E107" s="1017"/>
      <c r="F107" s="803"/>
      <c r="G107" s="367"/>
      <c r="H107" s="367"/>
      <c r="I107" s="367"/>
      <c r="J107" s="367"/>
      <c r="K107" s="367"/>
      <c r="L107" s="367"/>
      <c r="M107" s="367"/>
      <c r="N107" s="367"/>
      <c r="O107" s="689"/>
      <c r="P107" s="213"/>
      <c r="Q107" s="213"/>
      <c r="R107" s="213"/>
      <c r="S107" s="213"/>
      <c r="T107" s="213"/>
      <c r="U107" s="213"/>
      <c r="V107" s="213"/>
      <c r="W107" s="213"/>
      <c r="X107" s="213"/>
      <c r="Y107" s="213"/>
      <c r="Z107" s="213"/>
      <c r="AA107" s="213"/>
      <c r="AB107" s="213"/>
      <c r="AC107" s="213"/>
      <c r="AD107" s="213"/>
      <c r="AE107" s="213"/>
      <c r="AF107" s="213"/>
      <c r="AG107" s="213"/>
      <c r="AH107" s="213"/>
      <c r="AI107" s="213"/>
    </row>
    <row r="108" ht="15.75" customHeight="1">
      <c r="A108" s="213"/>
      <c r="B108" s="735"/>
      <c r="C108" s="447" t="s">
        <v>273</v>
      </c>
      <c r="D108" s="771">
        <f t="shared" ref="D108:O108" si="21">SUM(D109:D110)</f>
        <v>0</v>
      </c>
      <c r="E108" s="1023">
        <f t="shared" si="21"/>
        <v>0</v>
      </c>
      <c r="F108" s="810">
        <f t="shared" si="21"/>
        <v>0</v>
      </c>
      <c r="G108" s="773">
        <f t="shared" si="21"/>
        <v>0</v>
      </c>
      <c r="H108" s="773">
        <f t="shared" si="21"/>
        <v>0</v>
      </c>
      <c r="I108" s="773">
        <f t="shared" si="21"/>
        <v>0</v>
      </c>
      <c r="J108" s="773">
        <f t="shared" si="21"/>
        <v>0</v>
      </c>
      <c r="K108" s="773">
        <f t="shared" si="21"/>
        <v>0</v>
      </c>
      <c r="L108" s="773">
        <f t="shared" si="21"/>
        <v>0</v>
      </c>
      <c r="M108" s="773">
        <f t="shared" si="21"/>
        <v>0</v>
      </c>
      <c r="N108" s="773">
        <f t="shared" si="21"/>
        <v>0</v>
      </c>
      <c r="O108" s="814">
        <f t="shared" si="21"/>
        <v>0</v>
      </c>
      <c r="P108" s="718">
        <f>D108+E108+F108+G108+H108+I108+J108+K108+L108+M108+N108+O108</f>
        <v>0</v>
      </c>
      <c r="Q108" s="216"/>
      <c r="R108" s="216"/>
      <c r="S108" s="216"/>
      <c r="T108" s="216"/>
      <c r="U108" s="216"/>
      <c r="V108" s="216"/>
      <c r="W108" s="216"/>
      <c r="X108" s="216"/>
      <c r="Y108" s="216"/>
      <c r="Z108" s="216"/>
      <c r="AA108" s="216"/>
      <c r="AB108" s="216"/>
      <c r="AC108" s="216"/>
      <c r="AD108" s="216"/>
      <c r="AE108" s="216"/>
      <c r="AF108" s="216"/>
      <c r="AG108" s="216"/>
      <c r="AH108" s="216"/>
      <c r="AI108" s="216"/>
    </row>
    <row r="109" ht="15.75" customHeight="1">
      <c r="A109" s="213"/>
      <c r="B109" s="444"/>
      <c r="C109" s="383" t="s">
        <v>274</v>
      </c>
      <c r="D109" s="708"/>
      <c r="E109" s="1020"/>
      <c r="F109" s="801"/>
      <c r="G109" s="388"/>
      <c r="H109" s="388"/>
      <c r="I109" s="388"/>
      <c r="J109" s="388"/>
      <c r="K109" s="388"/>
      <c r="L109" s="388"/>
      <c r="M109" s="388"/>
      <c r="N109" s="388"/>
      <c r="O109" s="927"/>
      <c r="P109" s="213"/>
      <c r="Q109" s="213"/>
      <c r="R109" s="213"/>
      <c r="S109" s="213"/>
      <c r="T109" s="213"/>
      <c r="U109" s="213"/>
      <c r="V109" s="213"/>
      <c r="W109" s="213"/>
      <c r="X109" s="213"/>
      <c r="Y109" s="213"/>
      <c r="Z109" s="213"/>
      <c r="AA109" s="213"/>
      <c r="AB109" s="213"/>
      <c r="AC109" s="213"/>
      <c r="AD109" s="213"/>
      <c r="AE109" s="213"/>
      <c r="AF109" s="213"/>
      <c r="AG109" s="213"/>
      <c r="AH109" s="213"/>
      <c r="AI109" s="213"/>
    </row>
    <row r="110" ht="15.75" customHeight="1">
      <c r="A110" s="213"/>
      <c r="B110" s="393"/>
      <c r="C110" s="350" t="s">
        <v>471</v>
      </c>
      <c r="D110" s="604"/>
      <c r="E110" s="971"/>
      <c r="F110" s="676"/>
      <c r="G110" s="357"/>
      <c r="H110" s="357"/>
      <c r="I110" s="357"/>
      <c r="J110" s="357"/>
      <c r="K110" s="357"/>
      <c r="L110" s="357"/>
      <c r="M110" s="357"/>
      <c r="N110" s="357"/>
      <c r="O110" s="356"/>
      <c r="P110" s="213"/>
      <c r="Q110" s="213"/>
      <c r="R110" s="213"/>
      <c r="S110" s="213"/>
      <c r="T110" s="213"/>
      <c r="U110" s="213"/>
      <c r="V110" s="213"/>
      <c r="W110" s="213"/>
      <c r="X110" s="213"/>
      <c r="Y110" s="213"/>
      <c r="Z110" s="213"/>
      <c r="AA110" s="213"/>
      <c r="AB110" s="213"/>
      <c r="AC110" s="213"/>
      <c r="AD110" s="213"/>
      <c r="AE110" s="213"/>
      <c r="AF110" s="213"/>
      <c r="AG110" s="213"/>
      <c r="AH110" s="213"/>
      <c r="AI110" s="213"/>
    </row>
    <row r="111" ht="15.75" customHeight="1">
      <c r="A111" s="213"/>
      <c r="B111" s="403"/>
      <c r="C111" s="362"/>
      <c r="D111" s="619"/>
      <c r="E111" s="1017"/>
      <c r="F111" s="803"/>
      <c r="G111" s="367"/>
      <c r="H111" s="367"/>
      <c r="I111" s="367"/>
      <c r="J111" s="367"/>
      <c r="K111" s="367"/>
      <c r="L111" s="367"/>
      <c r="M111" s="367"/>
      <c r="N111" s="367"/>
      <c r="O111" s="689"/>
      <c r="P111" s="213"/>
      <c r="Q111" s="213"/>
      <c r="R111" s="213"/>
      <c r="S111" s="213"/>
      <c r="T111" s="213"/>
      <c r="U111" s="213"/>
      <c r="V111" s="213"/>
      <c r="W111" s="213"/>
      <c r="X111" s="213"/>
      <c r="Y111" s="213"/>
      <c r="Z111" s="213"/>
      <c r="AA111" s="213"/>
      <c r="AB111" s="213"/>
      <c r="AC111" s="213"/>
      <c r="AD111" s="213"/>
      <c r="AE111" s="213"/>
      <c r="AF111" s="213"/>
      <c r="AG111" s="213"/>
      <c r="AH111" s="213"/>
      <c r="AI111" s="213"/>
    </row>
    <row r="112" ht="15.75" customHeight="1">
      <c r="A112" s="213"/>
      <c r="B112" s="735"/>
      <c r="C112" s="447" t="s">
        <v>41</v>
      </c>
      <c r="D112" s="771">
        <f t="shared" ref="D112:E112" si="22">SUM(D113:D123)</f>
        <v>0</v>
      </c>
      <c r="E112" s="1023">
        <f t="shared" si="22"/>
        <v>0</v>
      </c>
      <c r="F112" s="810">
        <f>SUM(F113:F125)</f>
        <v>22200</v>
      </c>
      <c r="G112" s="773">
        <f t="shared" ref="G112:O112" si="23">SUM(G113:G123)</f>
        <v>10800</v>
      </c>
      <c r="H112" s="773">
        <f t="shared" si="23"/>
        <v>10800</v>
      </c>
      <c r="I112" s="773">
        <f t="shared" si="23"/>
        <v>10800</v>
      </c>
      <c r="J112" s="773">
        <f t="shared" si="23"/>
        <v>8100</v>
      </c>
      <c r="K112" s="773">
        <f t="shared" si="23"/>
        <v>8100</v>
      </c>
      <c r="L112" s="773">
        <f t="shared" si="23"/>
        <v>8100</v>
      </c>
      <c r="M112" s="773">
        <f t="shared" si="23"/>
        <v>8100</v>
      </c>
      <c r="N112" s="773">
        <f t="shared" si="23"/>
        <v>8100</v>
      </c>
      <c r="O112" s="814">
        <f t="shared" si="23"/>
        <v>8100</v>
      </c>
      <c r="P112" s="718">
        <f>D112+E112+F112+G112+H112+I112+J112+K112+L112+M112+N112+O112</f>
        <v>103200</v>
      </c>
      <c r="Q112" s="216"/>
      <c r="R112" s="216"/>
      <c r="S112" s="216"/>
      <c r="T112" s="216"/>
      <c r="U112" s="216"/>
      <c r="V112" s="216"/>
      <c r="W112" s="216"/>
      <c r="X112" s="216"/>
      <c r="Y112" s="216"/>
      <c r="Z112" s="216"/>
      <c r="AA112" s="216"/>
      <c r="AB112" s="216"/>
      <c r="AC112" s="216"/>
      <c r="AD112" s="216"/>
      <c r="AE112" s="216"/>
      <c r="AF112" s="216"/>
      <c r="AG112" s="216"/>
      <c r="AH112" s="216"/>
      <c r="AI112" s="216"/>
    </row>
    <row r="113" ht="15.75" hidden="1" customHeight="1">
      <c r="A113" s="213"/>
      <c r="B113" s="444"/>
      <c r="C113" s="383" t="s">
        <v>277</v>
      </c>
      <c r="D113" s="708"/>
      <c r="E113" s="1020"/>
      <c r="F113" s="801"/>
      <c r="G113" s="388"/>
      <c r="H113" s="388"/>
      <c r="I113" s="388"/>
      <c r="J113" s="388"/>
      <c r="K113" s="388"/>
      <c r="L113" s="388"/>
      <c r="M113" s="388"/>
      <c r="N113" s="388"/>
      <c r="O113" s="927"/>
      <c r="P113" s="213"/>
      <c r="Q113" s="213"/>
      <c r="R113" s="213"/>
      <c r="S113" s="213"/>
      <c r="T113" s="213"/>
      <c r="U113" s="213"/>
      <c r="V113" s="213"/>
      <c r="W113" s="213"/>
      <c r="X113" s="213"/>
      <c r="Y113" s="213"/>
      <c r="Z113" s="213"/>
      <c r="AA113" s="213"/>
      <c r="AB113" s="213"/>
      <c r="AC113" s="213"/>
      <c r="AD113" s="213"/>
      <c r="AE113" s="213"/>
      <c r="AF113" s="213"/>
      <c r="AG113" s="213"/>
      <c r="AH113" s="213"/>
      <c r="AI113" s="213"/>
    </row>
    <row r="114" ht="15.75" customHeight="1">
      <c r="A114" s="213"/>
      <c r="B114" s="393"/>
      <c r="C114" s="350" t="s">
        <v>278</v>
      </c>
      <c r="D114" s="604"/>
      <c r="E114" s="971">
        <v>0.0</v>
      </c>
      <c r="F114" s="676">
        <v>16200.0</v>
      </c>
      <c r="G114" s="357">
        <v>10800.0</v>
      </c>
      <c r="H114" s="357">
        <v>10800.0</v>
      </c>
      <c r="I114" s="357">
        <v>10800.0</v>
      </c>
      <c r="J114" s="357">
        <f t="shared" ref="J114:O114" si="24">32400/4</f>
        <v>8100</v>
      </c>
      <c r="K114" s="357">
        <f t="shared" si="24"/>
        <v>8100</v>
      </c>
      <c r="L114" s="357">
        <f t="shared" si="24"/>
        <v>8100</v>
      </c>
      <c r="M114" s="357">
        <f t="shared" si="24"/>
        <v>8100</v>
      </c>
      <c r="N114" s="357">
        <f t="shared" si="24"/>
        <v>8100</v>
      </c>
      <c r="O114" s="357">
        <f t="shared" si="24"/>
        <v>8100</v>
      </c>
      <c r="P114" s="213"/>
      <c r="Q114" s="213"/>
      <c r="R114" s="213"/>
      <c r="S114" s="213"/>
      <c r="T114" s="213"/>
      <c r="U114" s="213"/>
      <c r="V114" s="213"/>
      <c r="W114" s="213"/>
      <c r="X114" s="213"/>
      <c r="Y114" s="213"/>
      <c r="Z114" s="213"/>
      <c r="AA114" s="213"/>
      <c r="AB114" s="213"/>
      <c r="AC114" s="213"/>
      <c r="AD114" s="213"/>
      <c r="AE114" s="213"/>
      <c r="AF114" s="213"/>
      <c r="AG114" s="213"/>
      <c r="AH114" s="213"/>
      <c r="AI114" s="213"/>
    </row>
    <row r="115" ht="15.75" hidden="1" customHeight="1">
      <c r="A115" s="213"/>
      <c r="B115" s="393"/>
      <c r="C115" s="350" t="s">
        <v>280</v>
      </c>
      <c r="D115" s="604"/>
      <c r="E115" s="971"/>
      <c r="F115" s="676"/>
      <c r="G115" s="357"/>
      <c r="H115" s="357"/>
      <c r="I115" s="357"/>
      <c r="J115" s="357"/>
      <c r="K115" s="357"/>
      <c r="L115" s="357"/>
      <c r="M115" s="357"/>
      <c r="N115" s="357"/>
      <c r="O115" s="356"/>
      <c r="P115" s="213"/>
      <c r="Q115" s="213"/>
      <c r="R115" s="213"/>
      <c r="S115" s="213"/>
      <c r="T115" s="213"/>
      <c r="U115" s="213"/>
      <c r="V115" s="213"/>
      <c r="W115" s="213"/>
      <c r="X115" s="213"/>
      <c r="Y115" s="213"/>
      <c r="Z115" s="213"/>
      <c r="AA115" s="213"/>
      <c r="AB115" s="213"/>
      <c r="AC115" s="213"/>
      <c r="AD115" s="213"/>
      <c r="AE115" s="213"/>
      <c r="AF115" s="213"/>
      <c r="AG115" s="213"/>
      <c r="AH115" s="213"/>
      <c r="AI115" s="213"/>
    </row>
    <row r="116" ht="15.75" hidden="1" customHeight="1">
      <c r="A116" s="213"/>
      <c r="B116" s="393"/>
      <c r="C116" s="350" t="s">
        <v>334</v>
      </c>
      <c r="D116" s="604"/>
      <c r="E116" s="971"/>
      <c r="F116" s="676"/>
      <c r="G116" s="357"/>
      <c r="H116" s="357"/>
      <c r="I116" s="357"/>
      <c r="J116" s="357"/>
      <c r="K116" s="357"/>
      <c r="L116" s="357"/>
      <c r="M116" s="357"/>
      <c r="N116" s="357"/>
      <c r="O116" s="356"/>
      <c r="P116" s="213"/>
      <c r="Q116" s="213"/>
      <c r="R116" s="213"/>
      <c r="S116" s="213"/>
      <c r="T116" s="213"/>
      <c r="U116" s="213"/>
      <c r="V116" s="213"/>
      <c r="W116" s="213"/>
      <c r="X116" s="213"/>
      <c r="Y116" s="213"/>
      <c r="Z116" s="213"/>
      <c r="AA116" s="213"/>
      <c r="AB116" s="213"/>
      <c r="AC116" s="213"/>
      <c r="AD116" s="213"/>
      <c r="AE116" s="213"/>
      <c r="AF116" s="213"/>
      <c r="AG116" s="213"/>
      <c r="AH116" s="213"/>
      <c r="AI116" s="213"/>
    </row>
    <row r="117" ht="15.75" hidden="1" customHeight="1">
      <c r="A117" s="213"/>
      <c r="B117" s="393"/>
      <c r="C117" s="350" t="s">
        <v>335</v>
      </c>
      <c r="D117" s="604"/>
      <c r="E117" s="971"/>
      <c r="F117" s="676"/>
      <c r="G117" s="357"/>
      <c r="H117" s="357"/>
      <c r="I117" s="357"/>
      <c r="J117" s="357"/>
      <c r="K117" s="357"/>
      <c r="L117" s="357"/>
      <c r="M117" s="357"/>
      <c r="N117" s="357"/>
      <c r="O117" s="356"/>
      <c r="P117" s="213"/>
      <c r="Q117" s="213"/>
      <c r="R117" s="213"/>
      <c r="S117" s="213"/>
      <c r="T117" s="213"/>
      <c r="U117" s="213"/>
      <c r="V117" s="213"/>
      <c r="W117" s="213"/>
      <c r="X117" s="213"/>
      <c r="Y117" s="213"/>
      <c r="Z117" s="213"/>
      <c r="AA117" s="213"/>
      <c r="AB117" s="213"/>
      <c r="AC117" s="213"/>
      <c r="AD117" s="213"/>
      <c r="AE117" s="213"/>
      <c r="AF117" s="213"/>
      <c r="AG117" s="213"/>
      <c r="AH117" s="213"/>
      <c r="AI117" s="213"/>
    </row>
    <row r="118" ht="15.75" hidden="1" customHeight="1">
      <c r="A118" s="213"/>
      <c r="B118" s="393"/>
      <c r="C118" s="350" t="s">
        <v>282</v>
      </c>
      <c r="D118" s="604"/>
      <c r="E118" s="971"/>
      <c r="F118" s="676"/>
      <c r="G118" s="357"/>
      <c r="H118" s="357"/>
      <c r="I118" s="357"/>
      <c r="J118" s="357"/>
      <c r="K118" s="357"/>
      <c r="L118" s="357"/>
      <c r="M118" s="357"/>
      <c r="N118" s="357"/>
      <c r="O118" s="356"/>
      <c r="P118" s="213"/>
      <c r="Q118" s="213"/>
      <c r="R118" s="213"/>
      <c r="S118" s="213"/>
      <c r="T118" s="213"/>
      <c r="U118" s="213"/>
      <c r="V118" s="213"/>
      <c r="W118" s="213"/>
      <c r="X118" s="213"/>
      <c r="Y118" s="213"/>
      <c r="Z118" s="213"/>
      <c r="AA118" s="213"/>
      <c r="AB118" s="213"/>
      <c r="AC118" s="213"/>
      <c r="AD118" s="213"/>
      <c r="AE118" s="213"/>
      <c r="AF118" s="213"/>
      <c r="AG118" s="213"/>
      <c r="AH118" s="213"/>
      <c r="AI118" s="213"/>
    </row>
    <row r="119" ht="15.75" hidden="1" customHeight="1">
      <c r="A119" s="213"/>
      <c r="B119" s="393"/>
      <c r="C119" s="350" t="s">
        <v>285</v>
      </c>
      <c r="D119" s="604"/>
      <c r="E119" s="971"/>
      <c r="F119" s="676"/>
      <c r="G119" s="357"/>
      <c r="H119" s="357"/>
      <c r="I119" s="357"/>
      <c r="J119" s="357"/>
      <c r="K119" s="357"/>
      <c r="L119" s="357"/>
      <c r="M119" s="357"/>
      <c r="N119" s="357"/>
      <c r="O119" s="356"/>
      <c r="P119" s="213"/>
      <c r="Q119" s="213"/>
      <c r="R119" s="213"/>
      <c r="S119" s="213"/>
      <c r="T119" s="213"/>
      <c r="U119" s="213"/>
      <c r="V119" s="213"/>
      <c r="W119" s="213"/>
      <c r="X119" s="213"/>
      <c r="Y119" s="213"/>
      <c r="Z119" s="213"/>
      <c r="AA119" s="213"/>
      <c r="AB119" s="213"/>
      <c r="AC119" s="213"/>
      <c r="AD119" s="213"/>
      <c r="AE119" s="213"/>
      <c r="AF119" s="213"/>
      <c r="AG119" s="213"/>
      <c r="AH119" s="213"/>
      <c r="AI119" s="213"/>
    </row>
    <row r="120" ht="15.75" hidden="1" customHeight="1">
      <c r="A120" s="213"/>
      <c r="B120" s="393"/>
      <c r="C120" s="350" t="s">
        <v>286</v>
      </c>
      <c r="D120" s="604"/>
      <c r="E120" s="971"/>
      <c r="F120" s="676"/>
      <c r="G120" s="357"/>
      <c r="H120" s="357"/>
      <c r="I120" s="357"/>
      <c r="J120" s="357"/>
      <c r="K120" s="357"/>
      <c r="L120" s="357"/>
      <c r="M120" s="357"/>
      <c r="N120" s="357"/>
      <c r="O120" s="356"/>
      <c r="P120" s="213"/>
      <c r="Q120" s="213"/>
      <c r="R120" s="213"/>
      <c r="S120" s="213"/>
      <c r="T120" s="213"/>
      <c r="U120" s="213"/>
      <c r="V120" s="213"/>
      <c r="W120" s="213"/>
      <c r="X120" s="213"/>
      <c r="Y120" s="213"/>
      <c r="Z120" s="213"/>
      <c r="AA120" s="213"/>
      <c r="AB120" s="213"/>
      <c r="AC120" s="213"/>
      <c r="AD120" s="213"/>
      <c r="AE120" s="213"/>
      <c r="AF120" s="213"/>
      <c r="AG120" s="213"/>
      <c r="AH120" s="213"/>
      <c r="AI120" s="213"/>
    </row>
    <row r="121" ht="15.75" hidden="1" customHeight="1">
      <c r="A121" s="213"/>
      <c r="B121" s="393"/>
      <c r="C121" s="350" t="s">
        <v>279</v>
      </c>
      <c r="D121" s="604"/>
      <c r="E121" s="971"/>
      <c r="F121" s="676"/>
      <c r="G121" s="357"/>
      <c r="H121" s="357"/>
      <c r="I121" s="357"/>
      <c r="J121" s="357"/>
      <c r="K121" s="357"/>
      <c r="L121" s="357"/>
      <c r="M121" s="357"/>
      <c r="N121" s="357"/>
      <c r="O121" s="356"/>
      <c r="P121" s="213"/>
      <c r="Q121" s="213"/>
      <c r="R121" s="213"/>
      <c r="S121" s="213"/>
      <c r="T121" s="213"/>
      <c r="U121" s="213"/>
      <c r="V121" s="213"/>
      <c r="W121" s="213"/>
      <c r="X121" s="213"/>
      <c r="Y121" s="213"/>
      <c r="Z121" s="213"/>
      <c r="AA121" s="213"/>
      <c r="AB121" s="213"/>
      <c r="AC121" s="213"/>
      <c r="AD121" s="213"/>
      <c r="AE121" s="213"/>
      <c r="AF121" s="213"/>
      <c r="AG121" s="213"/>
      <c r="AH121" s="213"/>
      <c r="AI121" s="213"/>
    </row>
    <row r="122" ht="15.75" hidden="1" customHeight="1">
      <c r="A122" s="213"/>
      <c r="B122" s="393"/>
      <c r="C122" s="350" t="s">
        <v>287</v>
      </c>
      <c r="D122" s="604"/>
      <c r="E122" s="971"/>
      <c r="F122" s="676"/>
      <c r="G122" s="357"/>
      <c r="H122" s="357"/>
      <c r="I122" s="357"/>
      <c r="J122" s="357"/>
      <c r="K122" s="357"/>
      <c r="L122" s="357"/>
      <c r="M122" s="357"/>
      <c r="N122" s="357"/>
      <c r="O122" s="356"/>
      <c r="P122" s="213"/>
      <c r="Q122" s="213"/>
      <c r="R122" s="213"/>
      <c r="S122" s="213"/>
      <c r="T122" s="213"/>
      <c r="U122" s="213"/>
      <c r="V122" s="213"/>
      <c r="W122" s="213"/>
      <c r="X122" s="213"/>
      <c r="Y122" s="213"/>
      <c r="Z122" s="213"/>
      <c r="AA122" s="213"/>
      <c r="AB122" s="213"/>
      <c r="AC122" s="213"/>
      <c r="AD122" s="213"/>
      <c r="AE122" s="213"/>
      <c r="AF122" s="213"/>
      <c r="AG122" s="213"/>
      <c r="AH122" s="213"/>
      <c r="AI122" s="213"/>
    </row>
    <row r="123" ht="15.75" hidden="1" customHeight="1">
      <c r="A123" s="213"/>
      <c r="B123" s="393"/>
      <c r="C123" s="350" t="s">
        <v>401</v>
      </c>
      <c r="D123" s="604"/>
      <c r="E123" s="971"/>
      <c r="F123" s="676"/>
      <c r="G123" s="357"/>
      <c r="H123" s="357"/>
      <c r="I123" s="357"/>
      <c r="J123" s="357"/>
      <c r="K123" s="357"/>
      <c r="L123" s="357"/>
      <c r="M123" s="357"/>
      <c r="N123" s="357"/>
      <c r="O123" s="356"/>
      <c r="P123" s="213"/>
      <c r="Q123" s="213"/>
      <c r="R123" s="213"/>
      <c r="S123" s="213"/>
      <c r="T123" s="213"/>
      <c r="U123" s="213"/>
      <c r="V123" s="213"/>
      <c r="W123" s="213"/>
      <c r="X123" s="213"/>
      <c r="Y123" s="213"/>
      <c r="Z123" s="213"/>
      <c r="AA123" s="213"/>
      <c r="AB123" s="213"/>
      <c r="AC123" s="213"/>
      <c r="AD123" s="213"/>
      <c r="AE123" s="213"/>
      <c r="AF123" s="213"/>
      <c r="AG123" s="213"/>
      <c r="AH123" s="213"/>
      <c r="AI123" s="213"/>
    </row>
    <row r="124" ht="15.75" hidden="1" customHeight="1">
      <c r="A124" s="213"/>
      <c r="B124" s="393"/>
      <c r="C124" s="350" t="s">
        <v>288</v>
      </c>
      <c r="D124" s="604"/>
      <c r="E124" s="971"/>
      <c r="F124" s="676"/>
      <c r="G124" s="357"/>
      <c r="H124" s="357"/>
      <c r="I124" s="357"/>
      <c r="J124" s="357"/>
      <c r="K124" s="357"/>
      <c r="L124" s="357"/>
      <c r="M124" s="357"/>
      <c r="N124" s="357"/>
      <c r="O124" s="356"/>
      <c r="P124" s="213"/>
      <c r="Q124" s="213"/>
      <c r="R124" s="213"/>
      <c r="S124" s="213"/>
      <c r="T124" s="213"/>
      <c r="U124" s="213"/>
      <c r="V124" s="213"/>
      <c r="W124" s="213"/>
      <c r="X124" s="213"/>
      <c r="Y124" s="213"/>
      <c r="Z124" s="213"/>
      <c r="AA124" s="213"/>
      <c r="AB124" s="213"/>
      <c r="AC124" s="213"/>
      <c r="AD124" s="213"/>
      <c r="AE124" s="213"/>
      <c r="AF124" s="213"/>
      <c r="AG124" s="213"/>
      <c r="AH124" s="213"/>
      <c r="AI124" s="213"/>
    </row>
    <row r="125" ht="15.75" customHeight="1">
      <c r="A125" s="213"/>
      <c r="B125" s="393"/>
      <c r="C125" s="350" t="s">
        <v>282</v>
      </c>
      <c r="D125" s="604"/>
      <c r="E125" s="971"/>
      <c r="F125" s="676">
        <v>6000.0</v>
      </c>
      <c r="G125" s="357"/>
      <c r="H125" s="357"/>
      <c r="I125" s="357"/>
      <c r="J125" s="357"/>
      <c r="K125" s="357"/>
      <c r="L125" s="357"/>
      <c r="M125" s="357"/>
      <c r="N125" s="357"/>
      <c r="O125" s="356"/>
      <c r="P125" s="213"/>
      <c r="Q125" s="213"/>
      <c r="R125" s="213"/>
      <c r="S125" s="213"/>
      <c r="T125" s="213"/>
      <c r="U125" s="213"/>
      <c r="V125" s="213"/>
      <c r="W125" s="213"/>
      <c r="X125" s="213"/>
      <c r="Y125" s="213"/>
      <c r="Z125" s="213"/>
      <c r="AA125" s="213"/>
      <c r="AB125" s="213"/>
      <c r="AC125" s="213"/>
      <c r="AD125" s="213"/>
      <c r="AE125" s="213"/>
      <c r="AF125" s="213"/>
      <c r="AG125" s="213"/>
      <c r="AH125" s="213"/>
      <c r="AI125" s="213"/>
    </row>
    <row r="126" ht="15.75" customHeight="1">
      <c r="A126" s="213"/>
      <c r="B126" s="403"/>
      <c r="C126" s="686"/>
      <c r="D126" s="619"/>
      <c r="E126" s="1017"/>
      <c r="F126" s="803"/>
      <c r="G126" s="367"/>
      <c r="H126" s="367"/>
      <c r="I126" s="367"/>
      <c r="J126" s="367"/>
      <c r="K126" s="367"/>
      <c r="L126" s="367"/>
      <c r="M126" s="367"/>
      <c r="N126" s="367"/>
      <c r="O126" s="689"/>
      <c r="P126" s="213"/>
      <c r="Q126" s="213"/>
      <c r="R126" s="213"/>
      <c r="S126" s="213"/>
      <c r="T126" s="213"/>
      <c r="U126" s="213"/>
      <c r="V126" s="213"/>
      <c r="W126" s="213"/>
      <c r="X126" s="213"/>
      <c r="Y126" s="213"/>
      <c r="Z126" s="213"/>
      <c r="AA126" s="213"/>
      <c r="AB126" s="213"/>
      <c r="AC126" s="213"/>
      <c r="AD126" s="213"/>
      <c r="AE126" s="213"/>
      <c r="AF126" s="213"/>
      <c r="AG126" s="213"/>
      <c r="AH126" s="213"/>
      <c r="AI126" s="213"/>
    </row>
    <row r="127" ht="15.75" customHeight="1">
      <c r="A127" s="213"/>
      <c r="B127" s="735"/>
      <c r="C127" s="447" t="s">
        <v>42</v>
      </c>
      <c r="D127" s="771">
        <f>SUM(D128:D129)</f>
        <v>0</v>
      </c>
      <c r="E127" s="1023">
        <f t="shared" ref="E127:O127" si="25">SUM(E128)</f>
        <v>0</v>
      </c>
      <c r="F127" s="810">
        <f t="shared" si="25"/>
        <v>0</v>
      </c>
      <c r="G127" s="773">
        <f t="shared" si="25"/>
        <v>0</v>
      </c>
      <c r="H127" s="773">
        <f t="shared" si="25"/>
        <v>0</v>
      </c>
      <c r="I127" s="773">
        <f t="shared" si="25"/>
        <v>0</v>
      </c>
      <c r="J127" s="773">
        <f t="shared" si="25"/>
        <v>0</v>
      </c>
      <c r="K127" s="773">
        <f t="shared" si="25"/>
        <v>0</v>
      </c>
      <c r="L127" s="773">
        <f t="shared" si="25"/>
        <v>0</v>
      </c>
      <c r="M127" s="773">
        <f t="shared" si="25"/>
        <v>0</v>
      </c>
      <c r="N127" s="773">
        <f t="shared" si="25"/>
        <v>0</v>
      </c>
      <c r="O127" s="814">
        <f t="shared" si="25"/>
        <v>0</v>
      </c>
      <c r="P127" s="216"/>
      <c r="Q127" s="216"/>
      <c r="R127" s="216"/>
      <c r="S127" s="216"/>
      <c r="T127" s="216"/>
      <c r="U127" s="216"/>
      <c r="V127" s="216"/>
      <c r="W127" s="216"/>
      <c r="X127" s="216"/>
      <c r="Y127" s="216"/>
      <c r="Z127" s="216"/>
      <c r="AA127" s="216"/>
      <c r="AB127" s="216"/>
      <c r="AC127" s="216"/>
      <c r="AD127" s="216"/>
      <c r="AE127" s="216"/>
      <c r="AF127" s="216"/>
      <c r="AG127" s="216"/>
      <c r="AH127" s="216"/>
      <c r="AI127" s="216"/>
    </row>
    <row r="128" ht="15.75" hidden="1" customHeight="1">
      <c r="A128" s="213"/>
      <c r="B128" s="444"/>
      <c r="C128" s="383" t="s">
        <v>340</v>
      </c>
      <c r="D128" s="708"/>
      <c r="E128" s="1020"/>
      <c r="F128" s="801"/>
      <c r="G128" s="388"/>
      <c r="H128" s="388"/>
      <c r="I128" s="388"/>
      <c r="J128" s="388"/>
      <c r="K128" s="388"/>
      <c r="L128" s="388"/>
      <c r="M128" s="388"/>
      <c r="N128" s="388"/>
      <c r="O128" s="927"/>
      <c r="P128" s="213"/>
      <c r="Q128" s="213"/>
      <c r="R128" s="213"/>
      <c r="S128" s="213"/>
      <c r="T128" s="213"/>
      <c r="U128" s="213"/>
      <c r="V128" s="213"/>
      <c r="W128" s="213"/>
      <c r="X128" s="213"/>
      <c r="Y128" s="213"/>
      <c r="Z128" s="213"/>
      <c r="AA128" s="213"/>
      <c r="AB128" s="213"/>
      <c r="AC128" s="213"/>
      <c r="AD128" s="213"/>
      <c r="AE128" s="213"/>
      <c r="AF128" s="213"/>
      <c r="AG128" s="213"/>
      <c r="AH128" s="213"/>
      <c r="AI128" s="213"/>
    </row>
    <row r="129" ht="15.75" hidden="1" customHeight="1">
      <c r="A129" s="213"/>
      <c r="B129" s="393"/>
      <c r="C129" s="350" t="s">
        <v>291</v>
      </c>
      <c r="D129" s="604"/>
      <c r="E129" s="971"/>
      <c r="F129" s="676"/>
      <c r="G129" s="357"/>
      <c r="H129" s="357"/>
      <c r="I129" s="357"/>
      <c r="J129" s="357"/>
      <c r="K129" s="357"/>
      <c r="L129" s="357"/>
      <c r="M129" s="357"/>
      <c r="N129" s="357"/>
      <c r="O129" s="356"/>
      <c r="P129" s="213"/>
      <c r="Q129" s="213"/>
      <c r="R129" s="213"/>
      <c r="S129" s="213"/>
      <c r="T129" s="213"/>
      <c r="U129" s="213"/>
      <c r="V129" s="213"/>
      <c r="W129" s="213"/>
      <c r="X129" s="213"/>
      <c r="Y129" s="213"/>
      <c r="Z129" s="213"/>
      <c r="AA129" s="213"/>
      <c r="AB129" s="213"/>
      <c r="AC129" s="213"/>
      <c r="AD129" s="213"/>
      <c r="AE129" s="213"/>
      <c r="AF129" s="213"/>
      <c r="AG129" s="213"/>
      <c r="AH129" s="213"/>
      <c r="AI129" s="213"/>
    </row>
    <row r="130" ht="15.75" customHeight="1">
      <c r="A130" s="213"/>
      <c r="B130" s="403"/>
      <c r="C130" s="362"/>
      <c r="D130" s="619"/>
      <c r="E130" s="1017"/>
      <c r="F130" s="803"/>
      <c r="G130" s="367"/>
      <c r="H130" s="367"/>
      <c r="I130" s="367"/>
      <c r="J130" s="367"/>
      <c r="K130" s="367"/>
      <c r="L130" s="367"/>
      <c r="M130" s="367"/>
      <c r="N130" s="367"/>
      <c r="O130" s="689"/>
      <c r="P130" s="213"/>
      <c r="Q130" s="213"/>
      <c r="R130" s="213"/>
      <c r="S130" s="213"/>
      <c r="T130" s="213"/>
      <c r="U130" s="213"/>
      <c r="V130" s="213"/>
      <c r="W130" s="213"/>
      <c r="X130" s="213"/>
      <c r="Y130" s="213"/>
      <c r="Z130" s="213"/>
      <c r="AA130" s="213"/>
      <c r="AB130" s="213"/>
      <c r="AC130" s="213"/>
      <c r="AD130" s="213"/>
      <c r="AE130" s="213"/>
      <c r="AF130" s="213"/>
      <c r="AG130" s="213"/>
      <c r="AH130" s="213"/>
      <c r="AI130" s="213"/>
    </row>
    <row r="131" ht="15.75" customHeight="1">
      <c r="A131" s="213"/>
      <c r="B131" s="735"/>
      <c r="C131" s="447" t="s">
        <v>43</v>
      </c>
      <c r="D131" s="771">
        <f t="shared" ref="D131:O131" si="26">SUM(D132:D133)</f>
        <v>0</v>
      </c>
      <c r="E131" s="1023">
        <f t="shared" si="26"/>
        <v>0</v>
      </c>
      <c r="F131" s="810">
        <f t="shared" si="26"/>
        <v>0</v>
      </c>
      <c r="G131" s="773">
        <f t="shared" si="26"/>
        <v>0</v>
      </c>
      <c r="H131" s="773">
        <f t="shared" si="26"/>
        <v>0</v>
      </c>
      <c r="I131" s="773">
        <f t="shared" si="26"/>
        <v>0</v>
      </c>
      <c r="J131" s="773">
        <f t="shared" si="26"/>
        <v>0</v>
      </c>
      <c r="K131" s="773">
        <f t="shared" si="26"/>
        <v>0</v>
      </c>
      <c r="L131" s="773">
        <f t="shared" si="26"/>
        <v>0</v>
      </c>
      <c r="M131" s="773">
        <f t="shared" si="26"/>
        <v>0</v>
      </c>
      <c r="N131" s="773">
        <f t="shared" si="26"/>
        <v>0</v>
      </c>
      <c r="O131" s="814">
        <f t="shared" si="26"/>
        <v>0</v>
      </c>
      <c r="P131" s="216"/>
      <c r="Q131" s="216"/>
      <c r="R131" s="216"/>
      <c r="S131" s="216"/>
      <c r="T131" s="216"/>
      <c r="U131" s="216"/>
      <c r="V131" s="216"/>
      <c r="W131" s="216"/>
      <c r="X131" s="216"/>
      <c r="Y131" s="216"/>
      <c r="Z131" s="216"/>
      <c r="AA131" s="216"/>
      <c r="AB131" s="216"/>
      <c r="AC131" s="216"/>
      <c r="AD131" s="216"/>
      <c r="AE131" s="216"/>
      <c r="AF131" s="216"/>
      <c r="AG131" s="216"/>
      <c r="AH131" s="216"/>
      <c r="AI131" s="216"/>
    </row>
    <row r="132" ht="15.75" hidden="1" customHeight="1">
      <c r="A132" s="213"/>
      <c r="B132" s="444"/>
      <c r="C132" s="383" t="s">
        <v>435</v>
      </c>
      <c r="D132" s="708"/>
      <c r="E132" s="1020"/>
      <c r="F132" s="801"/>
      <c r="G132" s="388"/>
      <c r="H132" s="388"/>
      <c r="I132" s="388"/>
      <c r="J132" s="388"/>
      <c r="K132" s="388"/>
      <c r="L132" s="388"/>
      <c r="M132" s="388"/>
      <c r="N132" s="388"/>
      <c r="O132" s="927"/>
      <c r="P132" s="213"/>
      <c r="Q132" s="213"/>
      <c r="R132" s="213"/>
      <c r="S132" s="213"/>
      <c r="T132" s="213"/>
      <c r="U132" s="213"/>
      <c r="V132" s="213"/>
      <c r="W132" s="213"/>
      <c r="X132" s="213"/>
      <c r="Y132" s="213"/>
      <c r="Z132" s="213"/>
      <c r="AA132" s="213"/>
      <c r="AB132" s="213"/>
      <c r="AC132" s="213"/>
      <c r="AD132" s="213"/>
      <c r="AE132" s="213"/>
      <c r="AF132" s="213"/>
      <c r="AG132" s="213"/>
      <c r="AH132" s="213"/>
      <c r="AI132" s="213"/>
    </row>
    <row r="133" ht="15.75" customHeight="1">
      <c r="A133" s="213"/>
      <c r="B133" s="393"/>
      <c r="C133" s="350" t="s">
        <v>344</v>
      </c>
      <c r="D133" s="604"/>
      <c r="E133" s="971"/>
      <c r="F133" s="676"/>
      <c r="G133" s="357"/>
      <c r="H133" s="357"/>
      <c r="I133" s="357"/>
      <c r="J133" s="357"/>
      <c r="K133" s="357"/>
      <c r="L133" s="357"/>
      <c r="M133" s="357"/>
      <c r="N133" s="357"/>
      <c r="O133" s="356"/>
      <c r="P133" s="213"/>
      <c r="Q133" s="213"/>
      <c r="R133" s="213"/>
      <c r="S133" s="213"/>
      <c r="T133" s="213"/>
      <c r="U133" s="213"/>
      <c r="V133" s="213"/>
      <c r="W133" s="213"/>
      <c r="X133" s="213"/>
      <c r="Y133" s="213"/>
      <c r="Z133" s="213"/>
      <c r="AA133" s="213"/>
      <c r="AB133" s="213"/>
      <c r="AC133" s="213"/>
      <c r="AD133" s="213"/>
      <c r="AE133" s="213"/>
      <c r="AF133" s="213"/>
      <c r="AG133" s="213"/>
      <c r="AH133" s="213"/>
      <c r="AI133" s="213"/>
    </row>
    <row r="134" ht="15.75" customHeight="1">
      <c r="A134" s="213"/>
      <c r="B134" s="393"/>
      <c r="C134" s="350"/>
      <c r="D134" s="604"/>
      <c r="E134" s="971"/>
      <c r="F134" s="676"/>
      <c r="G134" s="357"/>
      <c r="H134" s="357"/>
      <c r="I134" s="357"/>
      <c r="J134" s="357"/>
      <c r="K134" s="357"/>
      <c r="L134" s="357"/>
      <c r="M134" s="357"/>
      <c r="N134" s="357"/>
      <c r="O134" s="356"/>
      <c r="P134" s="213"/>
      <c r="Q134" s="213"/>
      <c r="R134" s="213"/>
      <c r="S134" s="213"/>
      <c r="T134" s="213"/>
      <c r="U134" s="213"/>
      <c r="V134" s="213"/>
      <c r="W134" s="213"/>
      <c r="X134" s="213"/>
      <c r="Y134" s="213"/>
      <c r="Z134" s="213"/>
      <c r="AA134" s="213"/>
      <c r="AB134" s="213"/>
      <c r="AC134" s="213"/>
      <c r="AD134" s="213"/>
      <c r="AE134" s="213"/>
      <c r="AF134" s="213"/>
      <c r="AG134" s="213"/>
      <c r="AH134" s="213"/>
      <c r="AI134" s="213"/>
    </row>
    <row r="135" ht="15.75" customHeight="1">
      <c r="A135" s="213"/>
      <c r="B135" s="403"/>
      <c r="C135" s="362"/>
      <c r="D135" s="619"/>
      <c r="E135" s="1017"/>
      <c r="F135" s="803"/>
      <c r="G135" s="367"/>
      <c r="H135" s="367"/>
      <c r="I135" s="367"/>
      <c r="J135" s="367"/>
      <c r="K135" s="367"/>
      <c r="L135" s="367"/>
      <c r="M135" s="367"/>
      <c r="N135" s="367"/>
      <c r="O135" s="689"/>
      <c r="P135" s="213"/>
      <c r="Q135" s="213"/>
      <c r="R135" s="213"/>
      <c r="S135" s="213"/>
      <c r="T135" s="213"/>
      <c r="U135" s="213"/>
      <c r="V135" s="213"/>
      <c r="W135" s="213"/>
      <c r="X135" s="213"/>
      <c r="Y135" s="213"/>
      <c r="Z135" s="213"/>
      <c r="AA135" s="213"/>
      <c r="AB135" s="213"/>
      <c r="AC135" s="213"/>
      <c r="AD135" s="213"/>
      <c r="AE135" s="213"/>
      <c r="AF135" s="213"/>
      <c r="AG135" s="213"/>
      <c r="AH135" s="213"/>
      <c r="AI135" s="213"/>
    </row>
    <row r="136" ht="15.75" customHeight="1">
      <c r="A136" s="213"/>
      <c r="B136" s="407"/>
      <c r="C136" s="372" t="s">
        <v>293</v>
      </c>
      <c r="D136" s="600">
        <f t="shared" ref="D136:O136" si="27">D131+D127+D112+D108+D105+D95+D89+D80+D73</f>
        <v>0</v>
      </c>
      <c r="E136" s="626">
        <f t="shared" si="27"/>
        <v>0</v>
      </c>
      <c r="F136" s="800">
        <f t="shared" si="27"/>
        <v>58743.33333</v>
      </c>
      <c r="G136" s="377">
        <f t="shared" si="27"/>
        <v>87676.26333</v>
      </c>
      <c r="H136" s="377">
        <f t="shared" si="27"/>
        <v>129342.2205</v>
      </c>
      <c r="I136" s="377">
        <f t="shared" si="27"/>
        <v>99348.76905</v>
      </c>
      <c r="J136" s="377">
        <f t="shared" si="27"/>
        <v>99704.22333</v>
      </c>
      <c r="K136" s="377">
        <f t="shared" si="27"/>
        <v>133900.2162</v>
      </c>
      <c r="L136" s="377">
        <f t="shared" si="27"/>
        <v>127026.2733</v>
      </c>
      <c r="M136" s="377">
        <f t="shared" si="27"/>
        <v>140825.6019</v>
      </c>
      <c r="N136" s="377">
        <f t="shared" si="27"/>
        <v>90880.47619</v>
      </c>
      <c r="O136" s="375">
        <f t="shared" si="27"/>
        <v>131614.059</v>
      </c>
      <c r="P136" s="718">
        <f>D136+E136+F136+G136+H136+I136+J136+K136+L136+M136+N136+O136</f>
        <v>1099061.436</v>
      </c>
      <c r="Q136" s="213"/>
      <c r="R136" s="213"/>
      <c r="S136" s="213"/>
      <c r="T136" s="213"/>
      <c r="U136" s="213"/>
      <c r="V136" s="213"/>
      <c r="W136" s="213"/>
      <c r="X136" s="213"/>
      <c r="Y136" s="213"/>
      <c r="Z136" s="213"/>
      <c r="AA136" s="213"/>
      <c r="AB136" s="213"/>
      <c r="AC136" s="213"/>
      <c r="AD136" s="213"/>
      <c r="AE136" s="213"/>
      <c r="AF136" s="213"/>
      <c r="AG136" s="213"/>
      <c r="AH136" s="213"/>
      <c r="AI136" s="213"/>
    </row>
    <row r="137" ht="15.75" customHeight="1">
      <c r="A137" s="213"/>
      <c r="B137" s="415"/>
      <c r="C137" s="416"/>
      <c r="D137" s="477"/>
      <c r="E137" s="1024"/>
      <c r="F137" s="1025"/>
      <c r="G137" s="478"/>
      <c r="H137" s="478"/>
      <c r="I137" s="478"/>
      <c r="J137" s="478"/>
      <c r="K137" s="478"/>
      <c r="L137" s="478"/>
      <c r="M137" s="478"/>
      <c r="N137" s="478"/>
      <c r="O137" s="419"/>
      <c r="P137" s="213"/>
      <c r="Q137" s="213"/>
      <c r="R137" s="213"/>
      <c r="S137" s="213"/>
      <c r="T137" s="213"/>
      <c r="U137" s="213"/>
      <c r="V137" s="213"/>
      <c r="W137" s="213"/>
      <c r="X137" s="213"/>
      <c r="Y137" s="213"/>
      <c r="Z137" s="213"/>
      <c r="AA137" s="213"/>
      <c r="AB137" s="213"/>
      <c r="AC137" s="213"/>
      <c r="AD137" s="213"/>
      <c r="AE137" s="213"/>
      <c r="AF137" s="213"/>
      <c r="AG137" s="213"/>
      <c r="AH137" s="213"/>
      <c r="AI137" s="213"/>
    </row>
    <row r="138" ht="15.75" customHeight="1">
      <c r="A138" s="213"/>
      <c r="B138" s="407"/>
      <c r="C138" s="372" t="s">
        <v>294</v>
      </c>
      <c r="D138" s="600">
        <f t="shared" ref="D138:O138" si="28">D62-D136</f>
        <v>0</v>
      </c>
      <c r="E138" s="1026">
        <f t="shared" si="28"/>
        <v>0</v>
      </c>
      <c r="F138" s="800">
        <f t="shared" si="28"/>
        <v>-47928.33333</v>
      </c>
      <c r="G138" s="377">
        <f t="shared" si="28"/>
        <v>-165230.7558</v>
      </c>
      <c r="H138" s="377">
        <f t="shared" si="28"/>
        <v>-142620.2255</v>
      </c>
      <c r="I138" s="377">
        <f t="shared" si="28"/>
        <v>-126188.3534</v>
      </c>
      <c r="J138" s="377">
        <f t="shared" si="28"/>
        <v>-153066.2614</v>
      </c>
      <c r="K138" s="377">
        <f t="shared" si="28"/>
        <v>-165867.1596</v>
      </c>
      <c r="L138" s="377">
        <f t="shared" si="28"/>
        <v>-138925.7286</v>
      </c>
      <c r="M138" s="377">
        <f t="shared" si="28"/>
        <v>-202351.7423</v>
      </c>
      <c r="N138" s="377">
        <f t="shared" si="28"/>
        <v>-164445.9706</v>
      </c>
      <c r="O138" s="375">
        <f t="shared" si="28"/>
        <v>-131347.9313</v>
      </c>
      <c r="P138" s="718">
        <f>D138+E138+F138+G138+H138+I138+J138+K138+L138+M138+N138+O138</f>
        <v>-1437972.462</v>
      </c>
      <c r="Q138" s="237">
        <f>P138-'FY25-26'!AW30</f>
        <v>-0.0000000002328306437</v>
      </c>
      <c r="R138" s="213"/>
      <c r="S138" s="213"/>
      <c r="T138" s="213"/>
      <c r="U138" s="213"/>
      <c r="V138" s="213"/>
      <c r="W138" s="213"/>
      <c r="X138" s="213"/>
      <c r="Y138" s="213"/>
      <c r="Z138" s="213"/>
      <c r="AA138" s="213"/>
      <c r="AB138" s="213"/>
      <c r="AC138" s="213"/>
      <c r="AD138" s="213"/>
      <c r="AE138" s="213"/>
      <c r="AF138" s="213"/>
      <c r="AG138" s="213"/>
      <c r="AH138" s="213"/>
      <c r="AI138" s="213"/>
    </row>
    <row r="139" ht="15.75" customHeight="1">
      <c r="A139" s="213"/>
      <c r="B139" s="213"/>
      <c r="C139" s="213"/>
      <c r="D139" s="213"/>
      <c r="E139" s="213"/>
      <c r="F139" s="213"/>
      <c r="G139" s="946"/>
      <c r="H139" s="946"/>
      <c r="I139" s="946"/>
      <c r="J139" s="946"/>
      <c r="K139" s="946"/>
      <c r="L139" s="946"/>
      <c r="M139" s="946"/>
      <c r="N139" s="946"/>
      <c r="O139" s="328"/>
      <c r="P139" s="213"/>
      <c r="Q139" s="213"/>
      <c r="R139" s="213"/>
      <c r="S139" s="213"/>
      <c r="T139" s="213"/>
      <c r="U139" s="213"/>
      <c r="V139" s="213"/>
      <c r="W139" s="213"/>
      <c r="X139" s="213"/>
      <c r="Y139" s="213"/>
      <c r="Z139" s="213"/>
      <c r="AA139" s="213"/>
      <c r="AB139" s="213"/>
      <c r="AC139" s="213"/>
      <c r="AD139" s="213"/>
      <c r="AE139" s="213"/>
      <c r="AF139" s="213"/>
      <c r="AG139" s="213"/>
      <c r="AH139" s="213"/>
      <c r="AI139" s="213"/>
    </row>
    <row r="140" ht="15.75" customHeight="1">
      <c r="A140" s="213"/>
      <c r="B140" s="213"/>
      <c r="C140" s="213"/>
      <c r="D140" s="213"/>
      <c r="E140" s="213"/>
      <c r="F140" s="213"/>
      <c r="G140" s="946"/>
      <c r="H140" s="946"/>
      <c r="I140" s="946"/>
      <c r="J140" s="946"/>
      <c r="K140" s="946"/>
      <c r="L140" s="946"/>
      <c r="M140" s="946"/>
      <c r="N140" s="946"/>
      <c r="O140" s="328"/>
      <c r="P140" s="213"/>
      <c r="Q140" s="213"/>
      <c r="R140" s="213"/>
      <c r="S140" s="213"/>
      <c r="T140" s="213"/>
      <c r="U140" s="213"/>
      <c r="V140" s="213"/>
      <c r="W140" s="213"/>
      <c r="X140" s="213"/>
      <c r="Y140" s="213"/>
      <c r="Z140" s="213"/>
      <c r="AA140" s="213"/>
      <c r="AB140" s="213"/>
      <c r="AC140" s="213"/>
      <c r="AD140" s="213"/>
      <c r="AE140" s="213"/>
      <c r="AF140" s="213"/>
      <c r="AG140" s="213"/>
      <c r="AH140" s="213"/>
      <c r="AI140" s="213"/>
    </row>
    <row r="141" ht="15.75" customHeight="1">
      <c r="A141" s="213"/>
      <c r="B141" s="213"/>
      <c r="C141" s="213"/>
      <c r="D141" s="213"/>
      <c r="E141" s="213"/>
      <c r="F141" s="213"/>
      <c r="G141" s="946"/>
      <c r="H141" s="946"/>
      <c r="I141" s="946"/>
      <c r="J141" s="946"/>
      <c r="K141" s="946"/>
      <c r="L141" s="946"/>
      <c r="M141" s="946"/>
      <c r="N141" s="946"/>
      <c r="O141" s="328"/>
      <c r="P141" s="213"/>
      <c r="Q141" s="213"/>
      <c r="R141" s="213"/>
      <c r="S141" s="213"/>
      <c r="T141" s="213"/>
      <c r="U141" s="213"/>
      <c r="V141" s="213"/>
      <c r="W141" s="213"/>
      <c r="X141" s="213"/>
      <c r="Y141" s="213"/>
      <c r="Z141" s="213"/>
      <c r="AA141" s="213"/>
      <c r="AB141" s="213"/>
      <c r="AC141" s="213"/>
      <c r="AD141" s="213"/>
      <c r="AE141" s="213"/>
      <c r="AF141" s="213"/>
      <c r="AG141" s="213"/>
      <c r="AH141" s="213"/>
      <c r="AI141" s="213"/>
    </row>
    <row r="142" ht="15.75" customHeight="1">
      <c r="A142" s="213"/>
      <c r="B142" s="213"/>
      <c r="C142" s="213"/>
      <c r="D142" s="213"/>
      <c r="E142" s="213"/>
      <c r="F142" s="213"/>
      <c r="G142" s="946"/>
      <c r="H142" s="946"/>
      <c r="I142" s="946"/>
      <c r="J142" s="946"/>
      <c r="K142" s="946"/>
      <c r="L142" s="946"/>
      <c r="M142" s="946"/>
      <c r="N142" s="946"/>
      <c r="O142" s="328"/>
      <c r="P142" s="213"/>
      <c r="Q142" s="213"/>
      <c r="R142" s="213"/>
      <c r="S142" s="213"/>
      <c r="T142" s="213"/>
      <c r="U142" s="213"/>
      <c r="V142" s="213"/>
      <c r="W142" s="213"/>
      <c r="X142" s="213"/>
      <c r="Y142" s="213"/>
      <c r="Z142" s="213"/>
      <c r="AA142" s="213"/>
      <c r="AB142" s="213"/>
      <c r="AC142" s="213"/>
      <c r="AD142" s="213"/>
      <c r="AE142" s="213"/>
      <c r="AF142" s="213"/>
      <c r="AG142" s="213"/>
      <c r="AH142" s="213"/>
      <c r="AI142" s="213"/>
    </row>
    <row r="143" ht="15.75" customHeight="1">
      <c r="A143" s="213"/>
      <c r="B143" s="213"/>
      <c r="C143" s="213"/>
      <c r="D143" s="216">
        <v>603639.0</v>
      </c>
      <c r="E143" s="213"/>
      <c r="F143" s="213"/>
      <c r="G143" s="946"/>
      <c r="H143" s="946"/>
      <c r="I143" s="946"/>
      <c r="J143" s="946"/>
      <c r="K143" s="946"/>
      <c r="L143" s="946"/>
      <c r="M143" s="946"/>
      <c r="N143" s="946"/>
      <c r="O143" s="328"/>
      <c r="P143" s="213"/>
      <c r="Q143" s="213"/>
      <c r="R143" s="213"/>
      <c r="S143" s="213"/>
      <c r="T143" s="213"/>
      <c r="U143" s="213"/>
      <c r="V143" s="213"/>
      <c r="W143" s="213"/>
      <c r="X143" s="213"/>
      <c r="Y143" s="213"/>
      <c r="Z143" s="213"/>
      <c r="AA143" s="213"/>
      <c r="AB143" s="213"/>
      <c r="AC143" s="213"/>
      <c r="AD143" s="213"/>
      <c r="AE143" s="213"/>
      <c r="AF143" s="213"/>
      <c r="AG143" s="213"/>
      <c r="AH143" s="213"/>
      <c r="AI143" s="213"/>
    </row>
    <row r="144" ht="15.75" customHeight="1">
      <c r="A144" s="213"/>
      <c r="B144" s="213"/>
      <c r="C144" s="213"/>
      <c r="D144" s="213"/>
      <c r="E144" s="213"/>
      <c r="F144" s="213"/>
      <c r="G144" s="946"/>
      <c r="H144" s="946"/>
      <c r="I144" s="946"/>
      <c r="J144" s="946"/>
      <c r="K144" s="946"/>
      <c r="L144" s="946"/>
      <c r="M144" s="946"/>
      <c r="N144" s="946"/>
      <c r="O144" s="328"/>
      <c r="P144" s="213"/>
      <c r="Q144" s="213"/>
      <c r="R144" s="213"/>
      <c r="S144" s="213"/>
      <c r="T144" s="213"/>
      <c r="U144" s="213"/>
      <c r="V144" s="213"/>
      <c r="W144" s="213"/>
      <c r="X144" s="213"/>
      <c r="Y144" s="213"/>
      <c r="Z144" s="213"/>
      <c r="AA144" s="213"/>
      <c r="AB144" s="213"/>
      <c r="AC144" s="213"/>
      <c r="AD144" s="213"/>
      <c r="AE144" s="213"/>
      <c r="AF144" s="213"/>
      <c r="AG144" s="213"/>
      <c r="AH144" s="213"/>
      <c r="AI144" s="213"/>
    </row>
    <row r="145" ht="15.75" customHeight="1">
      <c r="A145" s="213"/>
      <c r="B145" s="213"/>
      <c r="C145" s="213"/>
      <c r="D145" s="213"/>
      <c r="E145" s="213"/>
      <c r="F145" s="213"/>
      <c r="G145" s="946"/>
      <c r="H145" s="946"/>
      <c r="I145" s="946"/>
      <c r="J145" s="946"/>
      <c r="K145" s="946"/>
      <c r="L145" s="946"/>
      <c r="M145" s="946"/>
      <c r="N145" s="946"/>
      <c r="O145" s="328"/>
      <c r="P145" s="213"/>
      <c r="Q145" s="213"/>
      <c r="R145" s="213"/>
      <c r="S145" s="213"/>
      <c r="T145" s="213"/>
      <c r="U145" s="213"/>
      <c r="V145" s="213"/>
      <c r="W145" s="213"/>
      <c r="X145" s="213"/>
      <c r="Y145" s="213"/>
      <c r="Z145" s="213"/>
      <c r="AA145" s="213"/>
      <c r="AB145" s="213"/>
      <c r="AC145" s="213"/>
      <c r="AD145" s="213"/>
      <c r="AE145" s="213"/>
      <c r="AF145" s="213"/>
      <c r="AG145" s="213"/>
      <c r="AH145" s="213"/>
      <c r="AI145" s="213"/>
    </row>
    <row r="146" ht="15.75" customHeight="1">
      <c r="A146" s="213"/>
      <c r="B146" s="213"/>
      <c r="C146" s="213"/>
      <c r="D146" s="213"/>
      <c r="E146" s="213"/>
      <c r="F146" s="213"/>
      <c r="G146" s="718"/>
      <c r="H146" s="946"/>
      <c r="I146" s="946"/>
      <c r="J146" s="946"/>
      <c r="K146" s="946"/>
      <c r="L146" s="946"/>
      <c r="M146" s="946"/>
      <c r="N146" s="946"/>
      <c r="O146" s="328"/>
      <c r="P146" s="213"/>
      <c r="Q146" s="213"/>
      <c r="R146" s="213"/>
      <c r="S146" s="213"/>
      <c r="T146" s="213"/>
      <c r="U146" s="213"/>
      <c r="V146" s="213"/>
      <c r="W146" s="213"/>
      <c r="X146" s="213"/>
      <c r="Y146" s="213"/>
      <c r="Z146" s="213"/>
      <c r="AA146" s="213"/>
      <c r="AB146" s="213"/>
      <c r="AC146" s="213"/>
      <c r="AD146" s="213"/>
      <c r="AE146" s="213"/>
      <c r="AF146" s="213"/>
      <c r="AG146" s="213"/>
      <c r="AH146" s="213"/>
      <c r="AI146" s="213"/>
    </row>
    <row r="147" ht="15.75" customHeight="1">
      <c r="A147" s="213"/>
      <c r="B147" s="213"/>
      <c r="C147" s="213"/>
      <c r="D147" s="213"/>
      <c r="E147" s="213"/>
      <c r="F147" s="213"/>
      <c r="G147" s="718"/>
      <c r="H147" s="946"/>
      <c r="I147" s="946"/>
      <c r="J147" s="946"/>
      <c r="K147" s="946"/>
      <c r="L147" s="946"/>
      <c r="M147" s="946"/>
      <c r="N147" s="946"/>
      <c r="O147" s="328"/>
      <c r="P147" s="213"/>
      <c r="Q147" s="213"/>
      <c r="R147" s="213"/>
      <c r="S147" s="213"/>
      <c r="T147" s="213"/>
      <c r="U147" s="213"/>
      <c r="V147" s="213"/>
      <c r="W147" s="213"/>
      <c r="X147" s="213"/>
      <c r="Y147" s="213"/>
      <c r="Z147" s="213"/>
      <c r="AA147" s="213"/>
      <c r="AB147" s="213"/>
      <c r="AC147" s="213"/>
      <c r="AD147" s="213"/>
      <c r="AE147" s="213"/>
      <c r="AF147" s="213"/>
      <c r="AG147" s="213"/>
      <c r="AH147" s="213"/>
      <c r="AI147" s="213"/>
    </row>
    <row r="148" ht="15.75" customHeight="1">
      <c r="A148" s="213"/>
      <c r="B148" s="213"/>
      <c r="C148" s="213"/>
      <c r="D148" s="213"/>
      <c r="E148" s="213"/>
      <c r="F148" s="213"/>
      <c r="G148" s="213"/>
      <c r="H148" s="213"/>
      <c r="I148" s="213"/>
      <c r="J148" s="213"/>
      <c r="K148" s="213"/>
      <c r="L148" s="213"/>
      <c r="M148" s="213"/>
      <c r="N148" s="213"/>
      <c r="O148" s="328"/>
      <c r="P148" s="213"/>
      <c r="Q148" s="213"/>
      <c r="R148" s="213"/>
      <c r="S148" s="213"/>
      <c r="T148" s="213"/>
      <c r="U148" s="213"/>
      <c r="V148" s="213"/>
      <c r="W148" s="213"/>
      <c r="X148" s="213"/>
      <c r="Y148" s="213"/>
      <c r="Z148" s="213"/>
      <c r="AA148" s="213"/>
      <c r="AB148" s="213"/>
      <c r="AC148" s="213"/>
      <c r="AD148" s="213"/>
      <c r="AE148" s="213"/>
      <c r="AF148" s="213"/>
      <c r="AG148" s="213"/>
      <c r="AH148" s="213"/>
      <c r="AI148" s="213"/>
    </row>
    <row r="149" ht="15.75" customHeight="1">
      <c r="A149" s="213"/>
      <c r="B149" s="213"/>
      <c r="C149" s="213"/>
      <c r="D149" s="213"/>
      <c r="E149" s="213"/>
      <c r="F149" s="213"/>
      <c r="G149" s="213"/>
      <c r="H149" s="213"/>
      <c r="I149" s="213"/>
      <c r="J149" s="213"/>
      <c r="K149" s="213"/>
      <c r="L149" s="213"/>
      <c r="M149" s="213"/>
      <c r="N149" s="213"/>
      <c r="O149" s="328"/>
      <c r="P149" s="213"/>
      <c r="Q149" s="213"/>
      <c r="R149" s="213"/>
      <c r="S149" s="213"/>
      <c r="T149" s="213"/>
      <c r="U149" s="213"/>
      <c r="V149" s="213"/>
      <c r="W149" s="213"/>
      <c r="X149" s="213"/>
      <c r="Y149" s="213"/>
      <c r="Z149" s="213"/>
      <c r="AA149" s="213"/>
      <c r="AB149" s="213"/>
      <c r="AC149" s="213"/>
      <c r="AD149" s="213"/>
      <c r="AE149" s="213"/>
      <c r="AF149" s="213"/>
      <c r="AG149" s="213"/>
      <c r="AH149" s="213"/>
      <c r="AI149" s="213"/>
    </row>
    <row r="150" ht="15.75" customHeight="1">
      <c r="A150" s="213"/>
      <c r="B150" s="213"/>
      <c r="C150" s="213"/>
      <c r="D150" s="213"/>
      <c r="E150" s="213"/>
      <c r="F150" s="213"/>
      <c r="G150" s="213"/>
      <c r="H150" s="213"/>
      <c r="I150" s="213"/>
      <c r="J150" s="213"/>
      <c r="K150" s="213"/>
      <c r="L150" s="213"/>
      <c r="M150" s="213"/>
      <c r="N150" s="213"/>
      <c r="O150" s="328"/>
      <c r="P150" s="213"/>
      <c r="Q150" s="213"/>
      <c r="R150" s="213"/>
      <c r="S150" s="213"/>
      <c r="T150" s="213"/>
      <c r="U150" s="213"/>
      <c r="V150" s="213"/>
      <c r="W150" s="213"/>
      <c r="X150" s="213"/>
      <c r="Y150" s="213"/>
      <c r="Z150" s="213"/>
      <c r="AA150" s="213"/>
      <c r="AB150" s="213"/>
      <c r="AC150" s="213"/>
      <c r="AD150" s="213"/>
      <c r="AE150" s="213"/>
      <c r="AF150" s="213"/>
      <c r="AG150" s="213"/>
      <c r="AH150" s="213"/>
      <c r="AI150" s="213"/>
    </row>
    <row r="151" ht="15.75" customHeight="1">
      <c r="A151" s="213"/>
      <c r="B151" s="213"/>
      <c r="C151" s="213"/>
      <c r="D151" s="213"/>
      <c r="E151" s="213"/>
      <c r="F151" s="213"/>
      <c r="G151" s="213"/>
      <c r="H151" s="213"/>
      <c r="I151" s="213"/>
      <c r="J151" s="213"/>
      <c r="K151" s="213"/>
      <c r="L151" s="213"/>
      <c r="M151" s="213"/>
      <c r="N151" s="213"/>
      <c r="O151" s="328"/>
      <c r="P151" s="213"/>
      <c r="Q151" s="213"/>
      <c r="R151" s="213"/>
      <c r="S151" s="213"/>
      <c r="T151" s="213"/>
      <c r="U151" s="213"/>
      <c r="V151" s="213"/>
      <c r="W151" s="213"/>
      <c r="X151" s="213"/>
      <c r="Y151" s="213"/>
      <c r="Z151" s="213"/>
      <c r="AA151" s="213"/>
      <c r="AB151" s="213"/>
      <c r="AC151" s="213"/>
      <c r="AD151" s="213"/>
      <c r="AE151" s="213"/>
      <c r="AF151" s="213"/>
      <c r="AG151" s="213"/>
      <c r="AH151" s="213"/>
      <c r="AI151" s="213"/>
    </row>
    <row r="152" ht="15.75" customHeight="1">
      <c r="A152" s="213"/>
      <c r="B152" s="213"/>
      <c r="C152" s="213"/>
      <c r="D152" s="213"/>
      <c r="E152" s="213"/>
      <c r="F152" s="213"/>
      <c r="G152" s="213"/>
      <c r="H152" s="213"/>
      <c r="I152" s="213"/>
      <c r="J152" s="213"/>
      <c r="K152" s="213"/>
      <c r="L152" s="213"/>
      <c r="M152" s="213"/>
      <c r="N152" s="213"/>
      <c r="O152" s="328"/>
      <c r="P152" s="213"/>
      <c r="Q152" s="213"/>
      <c r="R152" s="213"/>
      <c r="S152" s="213"/>
      <c r="T152" s="213"/>
      <c r="U152" s="213"/>
      <c r="V152" s="213"/>
      <c r="W152" s="213"/>
      <c r="X152" s="213"/>
      <c r="Y152" s="213"/>
      <c r="Z152" s="213"/>
      <c r="AA152" s="213"/>
      <c r="AB152" s="213"/>
      <c r="AC152" s="213"/>
      <c r="AD152" s="213"/>
      <c r="AE152" s="213"/>
      <c r="AF152" s="213"/>
      <c r="AG152" s="213"/>
      <c r="AH152" s="213"/>
      <c r="AI152" s="213"/>
    </row>
    <row r="153" ht="15.75" customHeight="1">
      <c r="A153" s="213"/>
      <c r="B153" s="213"/>
      <c r="C153" s="213"/>
      <c r="D153" s="213"/>
      <c r="E153" s="213"/>
      <c r="F153" s="213"/>
      <c r="G153" s="213"/>
      <c r="H153" s="213"/>
      <c r="I153" s="213"/>
      <c r="J153" s="213"/>
      <c r="K153" s="213"/>
      <c r="L153" s="213"/>
      <c r="M153" s="213"/>
      <c r="N153" s="213"/>
      <c r="O153" s="328"/>
      <c r="P153" s="213"/>
      <c r="Q153" s="213"/>
      <c r="R153" s="213"/>
      <c r="S153" s="213"/>
      <c r="T153" s="213"/>
      <c r="U153" s="213"/>
      <c r="V153" s="213"/>
      <c r="W153" s="213"/>
      <c r="X153" s="213"/>
      <c r="Y153" s="213"/>
      <c r="Z153" s="213"/>
      <c r="AA153" s="213"/>
      <c r="AB153" s="213"/>
      <c r="AC153" s="213"/>
      <c r="AD153" s="213"/>
      <c r="AE153" s="213"/>
      <c r="AF153" s="213"/>
      <c r="AG153" s="213"/>
      <c r="AH153" s="213"/>
      <c r="AI153" s="213"/>
    </row>
    <row r="154" ht="15.75" customHeight="1">
      <c r="A154" s="213"/>
      <c r="B154" s="213"/>
      <c r="C154" s="213"/>
      <c r="D154" s="213"/>
      <c r="E154" s="213"/>
      <c r="F154" s="213"/>
      <c r="G154" s="213"/>
      <c r="H154" s="213"/>
      <c r="I154" s="213"/>
      <c r="J154" s="213"/>
      <c r="K154" s="213"/>
      <c r="L154" s="213"/>
      <c r="M154" s="213"/>
      <c r="N154" s="213"/>
      <c r="O154" s="328"/>
      <c r="P154" s="213"/>
      <c r="Q154" s="213"/>
      <c r="R154" s="213"/>
      <c r="S154" s="213"/>
      <c r="T154" s="213"/>
      <c r="U154" s="213"/>
      <c r="V154" s="213"/>
      <c r="W154" s="213"/>
      <c r="X154" s="213"/>
      <c r="Y154" s="213"/>
      <c r="Z154" s="213"/>
      <c r="AA154" s="213"/>
      <c r="AB154" s="213"/>
      <c r="AC154" s="213"/>
      <c r="AD154" s="213"/>
      <c r="AE154" s="213"/>
      <c r="AF154" s="213"/>
      <c r="AG154" s="213"/>
      <c r="AH154" s="213"/>
      <c r="AI154" s="213"/>
    </row>
    <row r="155" ht="15.75" customHeight="1">
      <c r="A155" s="213"/>
      <c r="B155" s="213"/>
      <c r="C155" s="213"/>
      <c r="D155" s="213"/>
      <c r="E155" s="213"/>
      <c r="F155" s="213"/>
      <c r="G155" s="213"/>
      <c r="H155" s="213"/>
      <c r="I155" s="213"/>
      <c r="J155" s="213"/>
      <c r="K155" s="213"/>
      <c r="L155" s="213"/>
      <c r="M155" s="213"/>
      <c r="N155" s="213"/>
      <c r="O155" s="328"/>
      <c r="P155" s="213"/>
      <c r="Q155" s="213"/>
      <c r="R155" s="213"/>
      <c r="S155" s="213"/>
      <c r="T155" s="213"/>
      <c r="U155" s="213"/>
      <c r="V155" s="213"/>
      <c r="W155" s="213"/>
      <c r="X155" s="213"/>
      <c r="Y155" s="213"/>
      <c r="Z155" s="213"/>
      <c r="AA155" s="213"/>
      <c r="AB155" s="213"/>
      <c r="AC155" s="213"/>
      <c r="AD155" s="213"/>
      <c r="AE155" s="213"/>
      <c r="AF155" s="213"/>
      <c r="AG155" s="213"/>
      <c r="AH155" s="213"/>
      <c r="AI155" s="213"/>
    </row>
    <row r="156" ht="15.75" customHeight="1">
      <c r="A156" s="213"/>
      <c r="B156" s="213"/>
      <c r="C156" s="213"/>
      <c r="D156" s="213"/>
      <c r="E156" s="213"/>
      <c r="F156" s="213"/>
      <c r="G156" s="213"/>
      <c r="H156" s="213"/>
      <c r="I156" s="213"/>
      <c r="J156" s="213"/>
      <c r="K156" s="213"/>
      <c r="L156" s="213"/>
      <c r="M156" s="213"/>
      <c r="N156" s="213"/>
      <c r="O156" s="328"/>
      <c r="P156" s="213"/>
      <c r="Q156" s="213"/>
      <c r="R156" s="213"/>
      <c r="S156" s="213"/>
      <c r="T156" s="213"/>
      <c r="U156" s="213"/>
      <c r="V156" s="213"/>
      <c r="W156" s="213"/>
      <c r="X156" s="213"/>
      <c r="Y156" s="213"/>
      <c r="Z156" s="213"/>
      <c r="AA156" s="213"/>
      <c r="AB156" s="213"/>
      <c r="AC156" s="213"/>
      <c r="AD156" s="213"/>
      <c r="AE156" s="213"/>
      <c r="AF156" s="213"/>
      <c r="AG156" s="213"/>
      <c r="AH156" s="213"/>
      <c r="AI156" s="213"/>
    </row>
    <row r="157" ht="15.75" customHeight="1">
      <c r="A157" s="213"/>
      <c r="B157" s="213"/>
      <c r="C157" s="213"/>
      <c r="D157" s="213"/>
      <c r="E157" s="213"/>
      <c r="F157" s="213"/>
      <c r="G157" s="213"/>
      <c r="H157" s="213"/>
      <c r="I157" s="213"/>
      <c r="J157" s="213"/>
      <c r="K157" s="213"/>
      <c r="L157" s="213"/>
      <c r="M157" s="213"/>
      <c r="N157" s="213"/>
      <c r="O157" s="328"/>
      <c r="P157" s="213"/>
      <c r="Q157" s="213"/>
      <c r="R157" s="213"/>
      <c r="S157" s="213"/>
      <c r="T157" s="213"/>
      <c r="U157" s="213"/>
      <c r="V157" s="213"/>
      <c r="W157" s="213"/>
      <c r="X157" s="213"/>
      <c r="Y157" s="213"/>
      <c r="Z157" s="213"/>
      <c r="AA157" s="213"/>
      <c r="AB157" s="213"/>
      <c r="AC157" s="213"/>
      <c r="AD157" s="213"/>
      <c r="AE157" s="213"/>
      <c r="AF157" s="213"/>
      <c r="AG157" s="213"/>
      <c r="AH157" s="213"/>
      <c r="AI157" s="213"/>
    </row>
    <row r="158" ht="15.75" customHeight="1">
      <c r="A158" s="213"/>
      <c r="B158" s="213"/>
      <c r="C158" s="213"/>
      <c r="D158" s="213"/>
      <c r="E158" s="213"/>
      <c r="F158" s="213"/>
      <c r="G158" s="213"/>
      <c r="H158" s="213"/>
      <c r="I158" s="213"/>
      <c r="J158" s="213"/>
      <c r="K158" s="213"/>
      <c r="L158" s="213"/>
      <c r="M158" s="213"/>
      <c r="N158" s="213"/>
      <c r="O158" s="328"/>
      <c r="P158" s="213"/>
      <c r="Q158" s="213"/>
      <c r="R158" s="213"/>
      <c r="S158" s="213"/>
      <c r="T158" s="213"/>
      <c r="U158" s="213"/>
      <c r="V158" s="213"/>
      <c r="W158" s="213"/>
      <c r="X158" s="213"/>
      <c r="Y158" s="213"/>
      <c r="Z158" s="213"/>
      <c r="AA158" s="213"/>
      <c r="AB158" s="213"/>
      <c r="AC158" s="213"/>
      <c r="AD158" s="213"/>
      <c r="AE158" s="213"/>
      <c r="AF158" s="213"/>
      <c r="AG158" s="213"/>
      <c r="AH158" s="213"/>
      <c r="AI158" s="213"/>
    </row>
    <row r="159" ht="15.75" customHeight="1">
      <c r="A159" s="213"/>
      <c r="B159" s="213"/>
      <c r="C159" s="213"/>
      <c r="D159" s="213"/>
      <c r="E159" s="213"/>
      <c r="F159" s="213"/>
      <c r="G159" s="213"/>
      <c r="H159" s="213"/>
      <c r="I159" s="213"/>
      <c r="J159" s="213"/>
      <c r="K159" s="213"/>
      <c r="L159" s="213"/>
      <c r="M159" s="213"/>
      <c r="N159" s="213"/>
      <c r="O159" s="328"/>
      <c r="P159" s="213"/>
      <c r="Q159" s="213"/>
      <c r="R159" s="213"/>
      <c r="S159" s="213"/>
      <c r="T159" s="213"/>
      <c r="U159" s="213"/>
      <c r="V159" s="213"/>
      <c r="W159" s="213"/>
      <c r="X159" s="213"/>
      <c r="Y159" s="213"/>
      <c r="Z159" s="213"/>
      <c r="AA159" s="213"/>
      <c r="AB159" s="213"/>
      <c r="AC159" s="213"/>
      <c r="AD159" s="213"/>
      <c r="AE159" s="213"/>
      <c r="AF159" s="213"/>
      <c r="AG159" s="213"/>
      <c r="AH159" s="213"/>
      <c r="AI159" s="213"/>
    </row>
    <row r="160" ht="15.75" customHeight="1">
      <c r="A160" s="213"/>
      <c r="B160" s="213"/>
      <c r="C160" s="213"/>
      <c r="D160" s="213"/>
      <c r="E160" s="213"/>
      <c r="F160" s="213"/>
      <c r="G160" s="213"/>
      <c r="H160" s="213"/>
      <c r="I160" s="213"/>
      <c r="J160" s="213"/>
      <c r="K160" s="213"/>
      <c r="L160" s="213"/>
      <c r="M160" s="213"/>
      <c r="N160" s="213"/>
      <c r="O160" s="328"/>
      <c r="P160" s="213"/>
      <c r="Q160" s="213"/>
      <c r="R160" s="213"/>
      <c r="S160" s="213"/>
      <c r="T160" s="213"/>
      <c r="U160" s="213"/>
      <c r="V160" s="213"/>
      <c r="W160" s="213"/>
      <c r="X160" s="213"/>
      <c r="Y160" s="213"/>
      <c r="Z160" s="213"/>
      <c r="AA160" s="213"/>
      <c r="AB160" s="213"/>
      <c r="AC160" s="213"/>
      <c r="AD160" s="213"/>
      <c r="AE160" s="213"/>
      <c r="AF160" s="213"/>
      <c r="AG160" s="213"/>
      <c r="AH160" s="213"/>
      <c r="AI160" s="213"/>
    </row>
    <row r="161" ht="15.75" customHeight="1">
      <c r="A161" s="213"/>
      <c r="B161" s="213"/>
      <c r="C161" s="213"/>
      <c r="D161" s="213"/>
      <c r="E161" s="213"/>
      <c r="F161" s="213"/>
      <c r="G161" s="213"/>
      <c r="H161" s="213"/>
      <c r="I161" s="213"/>
      <c r="J161" s="213"/>
      <c r="K161" s="213"/>
      <c r="L161" s="213"/>
      <c r="M161" s="213"/>
      <c r="N161" s="213"/>
      <c r="O161" s="328"/>
      <c r="P161" s="213"/>
      <c r="Q161" s="213"/>
      <c r="R161" s="213"/>
      <c r="S161" s="213"/>
      <c r="T161" s="213"/>
      <c r="U161" s="213"/>
      <c r="V161" s="213"/>
      <c r="W161" s="213"/>
      <c r="X161" s="213"/>
      <c r="Y161" s="213"/>
      <c r="Z161" s="213"/>
      <c r="AA161" s="213"/>
      <c r="AB161" s="213"/>
      <c r="AC161" s="213"/>
      <c r="AD161" s="213"/>
      <c r="AE161" s="213"/>
      <c r="AF161" s="213"/>
      <c r="AG161" s="213"/>
      <c r="AH161" s="213"/>
      <c r="AI161" s="213"/>
    </row>
    <row r="162" ht="15.75" customHeight="1">
      <c r="A162" s="213"/>
      <c r="B162" s="213"/>
      <c r="C162" s="213"/>
      <c r="D162" s="213"/>
      <c r="E162" s="213"/>
      <c r="F162" s="213"/>
      <c r="G162" s="213"/>
      <c r="H162" s="213"/>
      <c r="I162" s="213"/>
      <c r="J162" s="213"/>
      <c r="K162" s="213"/>
      <c r="L162" s="213"/>
      <c r="M162" s="213"/>
      <c r="N162" s="213"/>
      <c r="O162" s="328"/>
      <c r="P162" s="213"/>
      <c r="Q162" s="213"/>
      <c r="R162" s="213"/>
      <c r="S162" s="213"/>
      <c r="T162" s="213"/>
      <c r="U162" s="213"/>
      <c r="V162" s="213"/>
      <c r="W162" s="213"/>
      <c r="X162" s="213"/>
      <c r="Y162" s="213"/>
      <c r="Z162" s="213"/>
      <c r="AA162" s="213"/>
      <c r="AB162" s="213"/>
      <c r="AC162" s="213"/>
      <c r="AD162" s="213"/>
      <c r="AE162" s="213"/>
      <c r="AF162" s="213"/>
      <c r="AG162" s="213"/>
      <c r="AH162" s="213"/>
      <c r="AI162" s="213"/>
    </row>
    <row r="163" ht="15.75" customHeight="1">
      <c r="A163" s="213"/>
      <c r="B163" s="213"/>
      <c r="C163" s="213"/>
      <c r="D163" s="213"/>
      <c r="E163" s="213"/>
      <c r="F163" s="213"/>
      <c r="G163" s="213"/>
      <c r="H163" s="213"/>
      <c r="I163" s="213"/>
      <c r="J163" s="213"/>
      <c r="K163" s="213"/>
      <c r="L163" s="213"/>
      <c r="M163" s="213"/>
      <c r="N163" s="213"/>
      <c r="O163" s="328"/>
      <c r="P163" s="213"/>
      <c r="Q163" s="213"/>
      <c r="R163" s="213"/>
      <c r="S163" s="213"/>
      <c r="T163" s="213"/>
      <c r="U163" s="213"/>
      <c r="V163" s="213"/>
      <c r="W163" s="213"/>
      <c r="X163" s="213"/>
      <c r="Y163" s="213"/>
      <c r="Z163" s="213"/>
      <c r="AA163" s="213"/>
      <c r="AB163" s="213"/>
      <c r="AC163" s="213"/>
      <c r="AD163" s="213"/>
      <c r="AE163" s="213"/>
      <c r="AF163" s="213"/>
      <c r="AG163" s="213"/>
      <c r="AH163" s="213"/>
      <c r="AI163" s="213"/>
    </row>
    <row r="164" ht="15.75" customHeight="1">
      <c r="A164" s="213"/>
      <c r="B164" s="213"/>
      <c r="C164" s="213"/>
      <c r="D164" s="213"/>
      <c r="E164" s="213"/>
      <c r="F164" s="213"/>
      <c r="G164" s="213"/>
      <c r="H164" s="213"/>
      <c r="I164" s="213"/>
      <c r="J164" s="213"/>
      <c r="K164" s="213"/>
      <c r="L164" s="213"/>
      <c r="M164" s="213"/>
      <c r="N164" s="213"/>
      <c r="O164" s="328"/>
      <c r="P164" s="213"/>
      <c r="Q164" s="213"/>
      <c r="R164" s="213"/>
      <c r="S164" s="213"/>
      <c r="T164" s="213"/>
      <c r="U164" s="213"/>
      <c r="V164" s="213"/>
      <c r="W164" s="213"/>
      <c r="X164" s="213"/>
      <c r="Y164" s="213"/>
      <c r="Z164" s="213"/>
      <c r="AA164" s="213"/>
      <c r="AB164" s="213"/>
      <c r="AC164" s="213"/>
      <c r="AD164" s="213"/>
      <c r="AE164" s="213"/>
      <c r="AF164" s="213"/>
      <c r="AG164" s="213"/>
      <c r="AH164" s="213"/>
      <c r="AI164" s="213"/>
    </row>
    <row r="165" ht="15.75" customHeight="1">
      <c r="A165" s="213"/>
      <c r="B165" s="213"/>
      <c r="C165" s="213"/>
      <c r="D165" s="213"/>
      <c r="E165" s="213"/>
      <c r="F165" s="213"/>
      <c r="G165" s="213"/>
      <c r="H165" s="213"/>
      <c r="I165" s="213"/>
      <c r="J165" s="213"/>
      <c r="K165" s="213"/>
      <c r="L165" s="213"/>
      <c r="M165" s="213"/>
      <c r="N165" s="213"/>
      <c r="O165" s="328"/>
      <c r="P165" s="213"/>
      <c r="Q165" s="213"/>
      <c r="R165" s="213"/>
      <c r="S165" s="213"/>
      <c r="T165" s="213"/>
      <c r="U165" s="213"/>
      <c r="V165" s="213"/>
      <c r="W165" s="213"/>
      <c r="X165" s="213"/>
      <c r="Y165" s="213"/>
      <c r="Z165" s="213"/>
      <c r="AA165" s="213"/>
      <c r="AB165" s="213"/>
      <c r="AC165" s="213"/>
      <c r="AD165" s="213"/>
      <c r="AE165" s="213"/>
      <c r="AF165" s="213"/>
      <c r="AG165" s="213"/>
      <c r="AH165" s="213"/>
      <c r="AI165" s="213"/>
    </row>
    <row r="166" ht="15.75" customHeight="1">
      <c r="A166" s="213"/>
      <c r="B166" s="213"/>
      <c r="C166" s="213"/>
      <c r="D166" s="213"/>
      <c r="E166" s="213"/>
      <c r="F166" s="213"/>
      <c r="G166" s="213"/>
      <c r="H166" s="213"/>
      <c r="I166" s="213"/>
      <c r="J166" s="213"/>
      <c r="K166" s="213"/>
      <c r="L166" s="213"/>
      <c r="M166" s="213"/>
      <c r="N166" s="213"/>
      <c r="O166" s="328"/>
      <c r="P166" s="213"/>
      <c r="Q166" s="213"/>
      <c r="R166" s="213"/>
      <c r="S166" s="213"/>
      <c r="T166" s="213"/>
      <c r="U166" s="213"/>
      <c r="V166" s="213"/>
      <c r="W166" s="213"/>
      <c r="X166" s="213"/>
      <c r="Y166" s="213"/>
      <c r="Z166" s="213"/>
      <c r="AA166" s="213"/>
      <c r="AB166" s="213"/>
      <c r="AC166" s="213"/>
      <c r="AD166" s="213"/>
      <c r="AE166" s="213"/>
      <c r="AF166" s="213"/>
      <c r="AG166" s="213"/>
      <c r="AH166" s="213"/>
      <c r="AI166" s="213"/>
    </row>
    <row r="167" ht="15.75" customHeight="1">
      <c r="A167" s="213"/>
      <c r="B167" s="213"/>
      <c r="C167" s="213"/>
      <c r="D167" s="213"/>
      <c r="E167" s="213"/>
      <c r="F167" s="213"/>
      <c r="G167" s="213"/>
      <c r="H167" s="213"/>
      <c r="I167" s="213"/>
      <c r="J167" s="213"/>
      <c r="K167" s="213"/>
      <c r="L167" s="213"/>
      <c r="M167" s="213"/>
      <c r="N167" s="213"/>
      <c r="O167" s="328"/>
      <c r="P167" s="213"/>
      <c r="Q167" s="213"/>
      <c r="R167" s="213"/>
      <c r="S167" s="213"/>
      <c r="T167" s="213"/>
      <c r="U167" s="213"/>
      <c r="V167" s="213"/>
      <c r="W167" s="213"/>
      <c r="X167" s="213"/>
      <c r="Y167" s="213"/>
      <c r="Z167" s="213"/>
      <c r="AA167" s="213"/>
      <c r="AB167" s="213"/>
      <c r="AC167" s="213"/>
      <c r="AD167" s="213"/>
      <c r="AE167" s="213"/>
      <c r="AF167" s="213"/>
      <c r="AG167" s="213"/>
      <c r="AH167" s="213"/>
      <c r="AI167" s="213"/>
    </row>
    <row r="168" ht="15.75" customHeight="1">
      <c r="A168" s="213"/>
      <c r="B168" s="213"/>
      <c r="C168" s="213"/>
      <c r="D168" s="213"/>
      <c r="E168" s="213"/>
      <c r="F168" s="213"/>
      <c r="G168" s="213"/>
      <c r="H168" s="213"/>
      <c r="I168" s="213"/>
      <c r="J168" s="213"/>
      <c r="K168" s="213"/>
      <c r="L168" s="213"/>
      <c r="M168" s="213"/>
      <c r="N168" s="213"/>
      <c r="O168" s="328"/>
      <c r="P168" s="213"/>
      <c r="Q168" s="213"/>
      <c r="R168" s="213"/>
      <c r="S168" s="213"/>
      <c r="T168" s="213"/>
      <c r="U168" s="213"/>
      <c r="V168" s="213"/>
      <c r="W168" s="213"/>
      <c r="X168" s="213"/>
      <c r="Y168" s="213"/>
      <c r="Z168" s="213"/>
      <c r="AA168" s="213"/>
      <c r="AB168" s="213"/>
      <c r="AC168" s="213"/>
      <c r="AD168" s="213"/>
      <c r="AE168" s="213"/>
      <c r="AF168" s="213"/>
      <c r="AG168" s="213"/>
      <c r="AH168" s="213"/>
      <c r="AI168" s="213"/>
    </row>
    <row r="169" ht="15.75" customHeight="1">
      <c r="A169" s="213"/>
      <c r="B169" s="213"/>
      <c r="C169" s="213"/>
      <c r="D169" s="213"/>
      <c r="E169" s="213"/>
      <c r="F169" s="213"/>
      <c r="G169" s="213"/>
      <c r="H169" s="213"/>
      <c r="I169" s="213"/>
      <c r="J169" s="213"/>
      <c r="K169" s="213"/>
      <c r="L169" s="213"/>
      <c r="M169" s="213"/>
      <c r="N169" s="213"/>
      <c r="O169" s="328"/>
      <c r="P169" s="213"/>
      <c r="Q169" s="213"/>
      <c r="R169" s="213"/>
      <c r="S169" s="213"/>
      <c r="T169" s="213"/>
      <c r="U169" s="213"/>
      <c r="V169" s="213"/>
      <c r="W169" s="213"/>
      <c r="X169" s="213"/>
      <c r="Y169" s="213"/>
      <c r="Z169" s="213"/>
      <c r="AA169" s="213"/>
      <c r="AB169" s="213"/>
      <c r="AC169" s="213"/>
      <c r="AD169" s="213"/>
      <c r="AE169" s="213"/>
      <c r="AF169" s="213"/>
      <c r="AG169" s="213"/>
      <c r="AH169" s="213"/>
      <c r="AI169" s="213"/>
    </row>
    <row r="170" ht="15.75" customHeight="1">
      <c r="A170" s="213"/>
      <c r="B170" s="213"/>
      <c r="C170" s="213"/>
      <c r="D170" s="213"/>
      <c r="E170" s="213"/>
      <c r="F170" s="213"/>
      <c r="G170" s="213"/>
      <c r="H170" s="213"/>
      <c r="I170" s="213"/>
      <c r="J170" s="213"/>
      <c r="K170" s="213"/>
      <c r="L170" s="213"/>
      <c r="M170" s="213"/>
      <c r="N170" s="213"/>
      <c r="O170" s="328"/>
      <c r="P170" s="213"/>
      <c r="Q170" s="213"/>
      <c r="R170" s="213"/>
      <c r="S170" s="213"/>
      <c r="T170" s="213"/>
      <c r="U170" s="213"/>
      <c r="V170" s="213"/>
      <c r="W170" s="213"/>
      <c r="X170" s="213"/>
      <c r="Y170" s="213"/>
      <c r="Z170" s="213"/>
      <c r="AA170" s="213"/>
      <c r="AB170" s="213"/>
      <c r="AC170" s="213"/>
      <c r="AD170" s="213"/>
      <c r="AE170" s="213"/>
      <c r="AF170" s="213"/>
      <c r="AG170" s="213"/>
      <c r="AH170" s="213"/>
      <c r="AI170" s="213"/>
    </row>
    <row r="171" ht="15.75" customHeight="1">
      <c r="A171" s="213"/>
      <c r="B171" s="213"/>
      <c r="C171" s="213"/>
      <c r="D171" s="213"/>
      <c r="E171" s="213"/>
      <c r="F171" s="213"/>
      <c r="G171" s="213"/>
      <c r="H171" s="213"/>
      <c r="I171" s="213"/>
      <c r="J171" s="213"/>
      <c r="K171" s="213"/>
      <c r="L171" s="213"/>
      <c r="M171" s="213"/>
      <c r="N171" s="213"/>
      <c r="O171" s="328"/>
      <c r="P171" s="213"/>
      <c r="Q171" s="213"/>
      <c r="R171" s="213"/>
      <c r="S171" s="213"/>
      <c r="T171" s="213"/>
      <c r="U171" s="213"/>
      <c r="V171" s="213"/>
      <c r="W171" s="213"/>
      <c r="X171" s="213"/>
      <c r="Y171" s="213"/>
      <c r="Z171" s="213"/>
      <c r="AA171" s="213"/>
      <c r="AB171" s="213"/>
      <c r="AC171" s="213"/>
      <c r="AD171" s="213"/>
      <c r="AE171" s="213"/>
      <c r="AF171" s="213"/>
      <c r="AG171" s="213"/>
      <c r="AH171" s="213"/>
      <c r="AI171" s="213"/>
    </row>
    <row r="172" ht="15.75" customHeight="1">
      <c r="A172" s="213"/>
      <c r="B172" s="213"/>
      <c r="C172" s="213"/>
      <c r="D172" s="213"/>
      <c r="E172" s="213"/>
      <c r="F172" s="213"/>
      <c r="G172" s="213"/>
      <c r="H172" s="213"/>
      <c r="I172" s="213"/>
      <c r="J172" s="213"/>
      <c r="K172" s="213"/>
      <c r="L172" s="213"/>
      <c r="M172" s="213"/>
      <c r="N172" s="213"/>
      <c r="O172" s="328"/>
      <c r="P172" s="213"/>
      <c r="Q172" s="213"/>
      <c r="R172" s="213"/>
      <c r="S172" s="213"/>
      <c r="T172" s="213"/>
      <c r="U172" s="213"/>
      <c r="V172" s="213"/>
      <c r="W172" s="213"/>
      <c r="X172" s="213"/>
      <c r="Y172" s="213"/>
      <c r="Z172" s="213"/>
      <c r="AA172" s="213"/>
      <c r="AB172" s="213"/>
      <c r="AC172" s="213"/>
      <c r="AD172" s="213"/>
      <c r="AE172" s="213"/>
      <c r="AF172" s="213"/>
      <c r="AG172" s="213"/>
      <c r="AH172" s="213"/>
      <c r="AI172" s="213"/>
    </row>
    <row r="173" ht="15.75" customHeight="1">
      <c r="A173" s="213"/>
      <c r="B173" s="213"/>
      <c r="C173" s="213"/>
      <c r="D173" s="213"/>
      <c r="E173" s="213"/>
      <c r="F173" s="213"/>
      <c r="G173" s="213"/>
      <c r="H173" s="213"/>
      <c r="I173" s="213"/>
      <c r="J173" s="213"/>
      <c r="K173" s="213"/>
      <c r="L173" s="213"/>
      <c r="M173" s="213"/>
      <c r="N173" s="213"/>
      <c r="O173" s="328"/>
      <c r="P173" s="213"/>
      <c r="Q173" s="213"/>
      <c r="R173" s="213"/>
      <c r="S173" s="213"/>
      <c r="T173" s="213"/>
      <c r="U173" s="213"/>
      <c r="V173" s="213"/>
      <c r="W173" s="213"/>
      <c r="X173" s="213"/>
      <c r="Y173" s="213"/>
      <c r="Z173" s="213"/>
      <c r="AA173" s="213"/>
      <c r="AB173" s="213"/>
      <c r="AC173" s="213"/>
      <c r="AD173" s="213"/>
      <c r="AE173" s="213"/>
      <c r="AF173" s="213"/>
      <c r="AG173" s="213"/>
      <c r="AH173" s="213"/>
      <c r="AI173" s="213"/>
    </row>
    <row r="174" ht="15.75" customHeight="1">
      <c r="A174" s="213"/>
      <c r="B174" s="213"/>
      <c r="C174" s="213"/>
      <c r="D174" s="213"/>
      <c r="E174" s="213"/>
      <c r="F174" s="213"/>
      <c r="G174" s="213"/>
      <c r="H174" s="213"/>
      <c r="I174" s="213"/>
      <c r="J174" s="213"/>
      <c r="K174" s="213"/>
      <c r="L174" s="213"/>
      <c r="M174" s="213"/>
      <c r="N174" s="213"/>
      <c r="O174" s="328"/>
      <c r="P174" s="213"/>
      <c r="Q174" s="213"/>
      <c r="R174" s="213"/>
      <c r="S174" s="213"/>
      <c r="T174" s="213"/>
      <c r="U174" s="213"/>
      <c r="V174" s="213"/>
      <c r="W174" s="213"/>
      <c r="X174" s="213"/>
      <c r="Y174" s="213"/>
      <c r="Z174" s="213"/>
      <c r="AA174" s="213"/>
      <c r="AB174" s="213"/>
      <c r="AC174" s="213"/>
      <c r="AD174" s="213"/>
      <c r="AE174" s="213"/>
      <c r="AF174" s="213"/>
      <c r="AG174" s="213"/>
      <c r="AH174" s="213"/>
      <c r="AI174" s="213"/>
    </row>
    <row r="175" ht="15.75" customHeight="1">
      <c r="A175" s="213"/>
      <c r="B175" s="213"/>
      <c r="C175" s="213"/>
      <c r="D175" s="213"/>
      <c r="E175" s="213"/>
      <c r="F175" s="213"/>
      <c r="G175" s="213"/>
      <c r="H175" s="213"/>
      <c r="I175" s="213"/>
      <c r="J175" s="213"/>
      <c r="K175" s="213"/>
      <c r="L175" s="213"/>
      <c r="M175" s="213"/>
      <c r="N175" s="213"/>
      <c r="O175" s="328"/>
      <c r="P175" s="213"/>
      <c r="Q175" s="213"/>
      <c r="R175" s="213"/>
      <c r="S175" s="213"/>
      <c r="T175" s="213"/>
      <c r="U175" s="213"/>
      <c r="V175" s="213"/>
      <c r="W175" s="213"/>
      <c r="X175" s="213"/>
      <c r="Y175" s="213"/>
      <c r="Z175" s="213"/>
      <c r="AA175" s="213"/>
      <c r="AB175" s="213"/>
      <c r="AC175" s="213"/>
      <c r="AD175" s="213"/>
      <c r="AE175" s="213"/>
      <c r="AF175" s="213"/>
      <c r="AG175" s="213"/>
      <c r="AH175" s="213"/>
      <c r="AI175" s="213"/>
    </row>
    <row r="176" ht="15.75" customHeight="1">
      <c r="A176" s="213"/>
      <c r="B176" s="213"/>
      <c r="C176" s="213"/>
      <c r="D176" s="213"/>
      <c r="E176" s="213"/>
      <c r="F176" s="213"/>
      <c r="G176" s="213"/>
      <c r="H176" s="213"/>
      <c r="I176" s="213"/>
      <c r="J176" s="213"/>
      <c r="K176" s="213"/>
      <c r="L176" s="213"/>
      <c r="M176" s="213"/>
      <c r="N176" s="213"/>
      <c r="O176" s="328"/>
      <c r="P176" s="213"/>
      <c r="Q176" s="213"/>
      <c r="R176" s="213"/>
      <c r="S176" s="213"/>
      <c r="T176" s="213"/>
      <c r="U176" s="213"/>
      <c r="V176" s="213"/>
      <c r="W176" s="213"/>
      <c r="X176" s="213"/>
      <c r="Y176" s="213"/>
      <c r="Z176" s="213"/>
      <c r="AA176" s="213"/>
      <c r="AB176" s="213"/>
      <c r="AC176" s="213"/>
      <c r="AD176" s="213"/>
      <c r="AE176" s="213"/>
      <c r="AF176" s="213"/>
      <c r="AG176" s="213"/>
      <c r="AH176" s="213"/>
      <c r="AI176" s="213"/>
    </row>
    <row r="177" ht="15.75" customHeight="1">
      <c r="A177" s="213"/>
      <c r="B177" s="213"/>
      <c r="C177" s="213"/>
      <c r="D177" s="213"/>
      <c r="E177" s="213"/>
      <c r="F177" s="213"/>
      <c r="G177" s="213"/>
      <c r="H177" s="213"/>
      <c r="I177" s="213"/>
      <c r="J177" s="213"/>
      <c r="K177" s="213"/>
      <c r="L177" s="213"/>
      <c r="M177" s="213"/>
      <c r="N177" s="213"/>
      <c r="O177" s="328"/>
      <c r="P177" s="213"/>
      <c r="Q177" s="213"/>
      <c r="R177" s="213"/>
      <c r="S177" s="213"/>
      <c r="T177" s="213"/>
      <c r="U177" s="213"/>
      <c r="V177" s="213"/>
      <c r="W177" s="213"/>
      <c r="X177" s="213"/>
      <c r="Y177" s="213"/>
      <c r="Z177" s="213"/>
      <c r="AA177" s="213"/>
      <c r="AB177" s="213"/>
      <c r="AC177" s="213"/>
      <c r="AD177" s="213"/>
      <c r="AE177" s="213"/>
      <c r="AF177" s="213"/>
      <c r="AG177" s="213"/>
      <c r="AH177" s="213"/>
      <c r="AI177" s="213"/>
    </row>
    <row r="178" ht="15.75" customHeight="1">
      <c r="A178" s="213"/>
      <c r="B178" s="213"/>
      <c r="C178" s="213"/>
      <c r="D178" s="213"/>
      <c r="E178" s="213"/>
      <c r="F178" s="213"/>
      <c r="G178" s="213"/>
      <c r="H178" s="213"/>
      <c r="I178" s="213"/>
      <c r="J178" s="213"/>
      <c r="K178" s="213"/>
      <c r="L178" s="213"/>
      <c r="M178" s="213"/>
      <c r="N178" s="213"/>
      <c r="O178" s="328"/>
      <c r="P178" s="213"/>
      <c r="Q178" s="213"/>
      <c r="R178" s="213"/>
      <c r="S178" s="213"/>
      <c r="T178" s="213"/>
      <c r="U178" s="213"/>
      <c r="V178" s="213"/>
      <c r="W178" s="213"/>
      <c r="X178" s="213"/>
      <c r="Y178" s="213"/>
      <c r="Z178" s="213"/>
      <c r="AA178" s="213"/>
      <c r="AB178" s="213"/>
      <c r="AC178" s="213"/>
      <c r="AD178" s="213"/>
      <c r="AE178" s="213"/>
      <c r="AF178" s="213"/>
      <c r="AG178" s="213"/>
      <c r="AH178" s="213"/>
      <c r="AI178" s="213"/>
    </row>
    <row r="179" ht="15.75" customHeight="1">
      <c r="A179" s="213"/>
      <c r="B179" s="213"/>
      <c r="C179" s="213"/>
      <c r="D179" s="213"/>
      <c r="E179" s="213"/>
      <c r="F179" s="213"/>
      <c r="G179" s="213"/>
      <c r="H179" s="213"/>
      <c r="I179" s="213"/>
      <c r="J179" s="213"/>
      <c r="K179" s="213"/>
      <c r="L179" s="213"/>
      <c r="M179" s="213"/>
      <c r="N179" s="213"/>
      <c r="O179" s="328"/>
      <c r="P179" s="213"/>
      <c r="Q179" s="213"/>
      <c r="R179" s="213"/>
      <c r="S179" s="213"/>
      <c r="T179" s="213"/>
      <c r="U179" s="213"/>
      <c r="V179" s="213"/>
      <c r="W179" s="213"/>
      <c r="X179" s="213"/>
      <c r="Y179" s="213"/>
      <c r="Z179" s="213"/>
      <c r="AA179" s="213"/>
      <c r="AB179" s="213"/>
      <c r="AC179" s="213"/>
      <c r="AD179" s="213"/>
      <c r="AE179" s="213"/>
      <c r="AF179" s="213"/>
      <c r="AG179" s="213"/>
      <c r="AH179" s="213"/>
      <c r="AI179" s="213"/>
    </row>
    <row r="180" ht="15.75" customHeight="1">
      <c r="A180" s="213"/>
      <c r="B180" s="213"/>
      <c r="C180" s="213"/>
      <c r="D180" s="213"/>
      <c r="E180" s="213"/>
      <c r="F180" s="213"/>
      <c r="G180" s="213"/>
      <c r="H180" s="213"/>
      <c r="I180" s="213"/>
      <c r="J180" s="213"/>
      <c r="K180" s="213"/>
      <c r="L180" s="213"/>
      <c r="M180" s="213"/>
      <c r="N180" s="213"/>
      <c r="O180" s="328"/>
      <c r="P180" s="213"/>
      <c r="Q180" s="213"/>
      <c r="R180" s="213"/>
      <c r="S180" s="213"/>
      <c r="T180" s="213"/>
      <c r="U180" s="213"/>
      <c r="V180" s="213"/>
      <c r="W180" s="213"/>
      <c r="X180" s="213"/>
      <c r="Y180" s="213"/>
      <c r="Z180" s="213"/>
      <c r="AA180" s="213"/>
      <c r="AB180" s="213"/>
      <c r="AC180" s="213"/>
      <c r="AD180" s="213"/>
      <c r="AE180" s="213"/>
      <c r="AF180" s="213"/>
      <c r="AG180" s="213"/>
      <c r="AH180" s="213"/>
      <c r="AI180" s="213"/>
    </row>
    <row r="181" ht="15.75" customHeight="1">
      <c r="A181" s="213"/>
      <c r="B181" s="213"/>
      <c r="C181" s="213"/>
      <c r="D181" s="213"/>
      <c r="E181" s="213"/>
      <c r="F181" s="213"/>
      <c r="G181" s="213"/>
      <c r="H181" s="213"/>
      <c r="I181" s="213"/>
      <c r="J181" s="213"/>
      <c r="K181" s="213"/>
      <c r="L181" s="213"/>
      <c r="M181" s="213"/>
      <c r="N181" s="213"/>
      <c r="O181" s="328"/>
      <c r="P181" s="213"/>
      <c r="Q181" s="213"/>
      <c r="R181" s="213"/>
      <c r="S181" s="213"/>
      <c r="T181" s="213"/>
      <c r="U181" s="213"/>
      <c r="V181" s="213"/>
      <c r="W181" s="213"/>
      <c r="X181" s="213"/>
      <c r="Y181" s="213"/>
      <c r="Z181" s="213"/>
      <c r="AA181" s="213"/>
      <c r="AB181" s="213"/>
      <c r="AC181" s="213"/>
      <c r="AD181" s="213"/>
      <c r="AE181" s="213"/>
      <c r="AF181" s="213"/>
      <c r="AG181" s="213"/>
      <c r="AH181" s="213"/>
      <c r="AI181" s="213"/>
    </row>
    <row r="182" ht="15.75" customHeight="1">
      <c r="A182" s="213"/>
      <c r="B182" s="213"/>
      <c r="C182" s="213"/>
      <c r="D182" s="213"/>
      <c r="E182" s="213"/>
      <c r="F182" s="213"/>
      <c r="G182" s="213"/>
      <c r="H182" s="213"/>
      <c r="I182" s="213"/>
      <c r="J182" s="213"/>
      <c r="K182" s="213"/>
      <c r="L182" s="213"/>
      <c r="M182" s="213"/>
      <c r="N182" s="213"/>
      <c r="O182" s="328"/>
      <c r="P182" s="213"/>
      <c r="Q182" s="213"/>
      <c r="R182" s="213"/>
      <c r="S182" s="213"/>
      <c r="T182" s="213"/>
      <c r="U182" s="213"/>
      <c r="V182" s="213"/>
      <c r="W182" s="213"/>
      <c r="X182" s="213"/>
      <c r="Y182" s="213"/>
      <c r="Z182" s="213"/>
      <c r="AA182" s="213"/>
      <c r="AB182" s="213"/>
      <c r="AC182" s="213"/>
      <c r="AD182" s="213"/>
      <c r="AE182" s="213"/>
      <c r="AF182" s="213"/>
      <c r="AG182" s="213"/>
      <c r="AH182" s="213"/>
      <c r="AI182" s="213"/>
    </row>
    <row r="183" ht="15.75" customHeight="1">
      <c r="A183" s="213"/>
      <c r="B183" s="213"/>
      <c r="C183" s="213"/>
      <c r="D183" s="213"/>
      <c r="E183" s="213"/>
      <c r="F183" s="213"/>
      <c r="G183" s="213"/>
      <c r="H183" s="213"/>
      <c r="I183" s="213"/>
      <c r="J183" s="213"/>
      <c r="K183" s="213"/>
      <c r="L183" s="213"/>
      <c r="M183" s="213"/>
      <c r="N183" s="213"/>
      <c r="O183" s="328"/>
      <c r="P183" s="213"/>
      <c r="Q183" s="213"/>
      <c r="R183" s="213"/>
      <c r="S183" s="213"/>
      <c r="T183" s="213"/>
      <c r="U183" s="213"/>
      <c r="V183" s="213"/>
      <c r="W183" s="213"/>
      <c r="X183" s="213"/>
      <c r="Y183" s="213"/>
      <c r="Z183" s="213"/>
      <c r="AA183" s="213"/>
      <c r="AB183" s="213"/>
      <c r="AC183" s="213"/>
      <c r="AD183" s="213"/>
      <c r="AE183" s="213"/>
      <c r="AF183" s="213"/>
      <c r="AG183" s="213"/>
      <c r="AH183" s="213"/>
      <c r="AI183" s="213"/>
    </row>
    <row r="184" ht="15.75" customHeight="1">
      <c r="A184" s="213"/>
      <c r="B184" s="213"/>
      <c r="C184" s="213"/>
      <c r="D184" s="213"/>
      <c r="E184" s="213"/>
      <c r="F184" s="213"/>
      <c r="G184" s="213"/>
      <c r="H184" s="213"/>
      <c r="I184" s="213"/>
      <c r="J184" s="213"/>
      <c r="K184" s="213"/>
      <c r="L184" s="213"/>
      <c r="M184" s="213"/>
      <c r="N184" s="213"/>
      <c r="O184" s="328"/>
      <c r="P184" s="213"/>
      <c r="Q184" s="213"/>
      <c r="R184" s="213"/>
      <c r="S184" s="213"/>
      <c r="T184" s="213"/>
      <c r="U184" s="213"/>
      <c r="V184" s="213"/>
      <c r="W184" s="213"/>
      <c r="X184" s="213"/>
      <c r="Y184" s="213"/>
      <c r="Z184" s="213"/>
      <c r="AA184" s="213"/>
      <c r="AB184" s="213"/>
      <c r="AC184" s="213"/>
      <c r="AD184" s="213"/>
      <c r="AE184" s="213"/>
      <c r="AF184" s="213"/>
      <c r="AG184" s="213"/>
      <c r="AH184" s="213"/>
      <c r="AI184" s="213"/>
    </row>
    <row r="185" ht="15.75" customHeight="1">
      <c r="A185" s="213"/>
      <c r="B185" s="213"/>
      <c r="C185" s="213"/>
      <c r="D185" s="213"/>
      <c r="E185" s="213"/>
      <c r="F185" s="213"/>
      <c r="G185" s="213"/>
      <c r="H185" s="213"/>
      <c r="I185" s="213"/>
      <c r="J185" s="213"/>
      <c r="K185" s="213"/>
      <c r="L185" s="213"/>
      <c r="M185" s="213"/>
      <c r="N185" s="213"/>
      <c r="O185" s="328"/>
      <c r="P185" s="213"/>
      <c r="Q185" s="213"/>
      <c r="R185" s="213"/>
      <c r="S185" s="213"/>
      <c r="T185" s="213"/>
      <c r="U185" s="213"/>
      <c r="V185" s="213"/>
      <c r="W185" s="213"/>
      <c r="X185" s="213"/>
      <c r="Y185" s="213"/>
      <c r="Z185" s="213"/>
      <c r="AA185" s="213"/>
      <c r="AB185" s="213"/>
      <c r="AC185" s="213"/>
      <c r="AD185" s="213"/>
      <c r="AE185" s="213"/>
      <c r="AF185" s="213"/>
      <c r="AG185" s="213"/>
      <c r="AH185" s="213"/>
      <c r="AI185" s="213"/>
    </row>
    <row r="186" ht="15.75" customHeight="1">
      <c r="A186" s="213"/>
      <c r="B186" s="213"/>
      <c r="C186" s="213"/>
      <c r="D186" s="213"/>
      <c r="E186" s="213"/>
      <c r="F186" s="213"/>
      <c r="G186" s="213"/>
      <c r="H186" s="213"/>
      <c r="I186" s="213"/>
      <c r="J186" s="213"/>
      <c r="K186" s="213"/>
      <c r="L186" s="213"/>
      <c r="M186" s="213"/>
      <c r="N186" s="213"/>
      <c r="O186" s="328"/>
      <c r="P186" s="213"/>
      <c r="Q186" s="213"/>
      <c r="R186" s="213"/>
      <c r="S186" s="213"/>
      <c r="T186" s="213"/>
      <c r="U186" s="213"/>
      <c r="V186" s="213"/>
      <c r="W186" s="213"/>
      <c r="X186" s="213"/>
      <c r="Y186" s="213"/>
      <c r="Z186" s="213"/>
      <c r="AA186" s="213"/>
      <c r="AB186" s="213"/>
      <c r="AC186" s="213"/>
      <c r="AD186" s="213"/>
      <c r="AE186" s="213"/>
      <c r="AF186" s="213"/>
      <c r="AG186" s="213"/>
      <c r="AH186" s="213"/>
      <c r="AI186" s="213"/>
    </row>
    <row r="187" ht="15.75" customHeight="1">
      <c r="A187" s="213"/>
      <c r="B187" s="213"/>
      <c r="C187" s="213"/>
      <c r="D187" s="213"/>
      <c r="E187" s="213"/>
      <c r="F187" s="213"/>
      <c r="G187" s="213"/>
      <c r="H187" s="213"/>
      <c r="I187" s="213"/>
      <c r="J187" s="213"/>
      <c r="K187" s="213"/>
      <c r="L187" s="213"/>
      <c r="M187" s="213"/>
      <c r="N187" s="213"/>
      <c r="O187" s="328"/>
      <c r="P187" s="213"/>
      <c r="Q187" s="213"/>
      <c r="R187" s="213"/>
      <c r="S187" s="213"/>
      <c r="T187" s="213"/>
      <c r="U187" s="213"/>
      <c r="V187" s="213"/>
      <c r="W187" s="213"/>
      <c r="X187" s="213"/>
      <c r="Y187" s="213"/>
      <c r="Z187" s="213"/>
      <c r="AA187" s="213"/>
      <c r="AB187" s="213"/>
      <c r="AC187" s="213"/>
      <c r="AD187" s="213"/>
      <c r="AE187" s="213"/>
      <c r="AF187" s="213"/>
      <c r="AG187" s="213"/>
      <c r="AH187" s="213"/>
      <c r="AI187" s="213"/>
    </row>
    <row r="188" ht="15.75" customHeight="1">
      <c r="A188" s="213"/>
      <c r="B188" s="213"/>
      <c r="C188" s="213"/>
      <c r="D188" s="213"/>
      <c r="E188" s="213"/>
      <c r="F188" s="213"/>
      <c r="G188" s="213"/>
      <c r="H188" s="213"/>
      <c r="I188" s="213"/>
      <c r="J188" s="213"/>
      <c r="K188" s="213"/>
      <c r="L188" s="213"/>
      <c r="M188" s="213"/>
      <c r="N188" s="213"/>
      <c r="O188" s="328"/>
      <c r="P188" s="213"/>
      <c r="Q188" s="213"/>
      <c r="R188" s="213"/>
      <c r="S188" s="213"/>
      <c r="T188" s="213"/>
      <c r="U188" s="213"/>
      <c r="V188" s="213"/>
      <c r="W188" s="213"/>
      <c r="X188" s="213"/>
      <c r="Y188" s="213"/>
      <c r="Z188" s="213"/>
      <c r="AA188" s="213"/>
      <c r="AB188" s="213"/>
      <c r="AC188" s="213"/>
      <c r="AD188" s="213"/>
      <c r="AE188" s="213"/>
      <c r="AF188" s="213"/>
      <c r="AG188" s="213"/>
      <c r="AH188" s="213"/>
      <c r="AI188" s="213"/>
    </row>
    <row r="189" ht="15.75" customHeight="1">
      <c r="A189" s="213"/>
      <c r="B189" s="213"/>
      <c r="C189" s="213"/>
      <c r="D189" s="213"/>
      <c r="E189" s="213"/>
      <c r="F189" s="213"/>
      <c r="G189" s="213"/>
      <c r="H189" s="213"/>
      <c r="I189" s="213"/>
      <c r="J189" s="213"/>
      <c r="K189" s="213"/>
      <c r="L189" s="213"/>
      <c r="M189" s="213"/>
      <c r="N189" s="213"/>
      <c r="O189" s="328"/>
      <c r="P189" s="213"/>
      <c r="Q189" s="213"/>
      <c r="R189" s="213"/>
      <c r="S189" s="213"/>
      <c r="T189" s="213"/>
      <c r="U189" s="213"/>
      <c r="V189" s="213"/>
      <c r="W189" s="213"/>
      <c r="X189" s="213"/>
      <c r="Y189" s="213"/>
      <c r="Z189" s="213"/>
      <c r="AA189" s="213"/>
      <c r="AB189" s="213"/>
      <c r="AC189" s="213"/>
      <c r="AD189" s="213"/>
      <c r="AE189" s="213"/>
      <c r="AF189" s="213"/>
      <c r="AG189" s="213"/>
      <c r="AH189" s="213"/>
      <c r="AI189" s="213"/>
    </row>
    <row r="190" ht="15.75" customHeight="1">
      <c r="A190" s="213"/>
      <c r="B190" s="213"/>
      <c r="C190" s="213"/>
      <c r="D190" s="213"/>
      <c r="E190" s="213"/>
      <c r="F190" s="213"/>
      <c r="G190" s="213"/>
      <c r="H190" s="213"/>
      <c r="I190" s="213"/>
      <c r="J190" s="213"/>
      <c r="K190" s="213"/>
      <c r="L190" s="213"/>
      <c r="M190" s="213"/>
      <c r="N190" s="213"/>
      <c r="O190" s="328"/>
      <c r="P190" s="213"/>
      <c r="Q190" s="213"/>
      <c r="R190" s="213"/>
      <c r="S190" s="213"/>
      <c r="T190" s="213"/>
      <c r="U190" s="213"/>
      <c r="V190" s="213"/>
      <c r="W190" s="213"/>
      <c r="X190" s="213"/>
      <c r="Y190" s="213"/>
      <c r="Z190" s="213"/>
      <c r="AA190" s="213"/>
      <c r="AB190" s="213"/>
      <c r="AC190" s="213"/>
      <c r="AD190" s="213"/>
      <c r="AE190" s="213"/>
      <c r="AF190" s="213"/>
      <c r="AG190" s="213"/>
      <c r="AH190" s="213"/>
      <c r="AI190" s="213"/>
    </row>
    <row r="191" ht="15.75" customHeight="1">
      <c r="A191" s="213"/>
      <c r="B191" s="213"/>
      <c r="C191" s="213"/>
      <c r="D191" s="213"/>
      <c r="E191" s="213"/>
      <c r="F191" s="213"/>
      <c r="G191" s="213"/>
      <c r="H191" s="213"/>
      <c r="I191" s="213"/>
      <c r="J191" s="213"/>
      <c r="K191" s="213"/>
      <c r="L191" s="213"/>
      <c r="M191" s="213"/>
      <c r="N191" s="213"/>
      <c r="O191" s="328"/>
      <c r="P191" s="213"/>
      <c r="Q191" s="213"/>
      <c r="R191" s="213"/>
      <c r="S191" s="213"/>
      <c r="T191" s="213"/>
      <c r="U191" s="213"/>
      <c r="V191" s="213"/>
      <c r="W191" s="213"/>
      <c r="X191" s="213"/>
      <c r="Y191" s="213"/>
      <c r="Z191" s="213"/>
      <c r="AA191" s="213"/>
      <c r="AB191" s="213"/>
      <c r="AC191" s="213"/>
      <c r="AD191" s="213"/>
      <c r="AE191" s="213"/>
      <c r="AF191" s="213"/>
      <c r="AG191" s="213"/>
      <c r="AH191" s="213"/>
      <c r="AI191" s="213"/>
    </row>
    <row r="192" ht="15.75" customHeight="1">
      <c r="A192" s="213"/>
      <c r="B192" s="213"/>
      <c r="C192" s="213"/>
      <c r="D192" s="213"/>
      <c r="E192" s="213"/>
      <c r="F192" s="213"/>
      <c r="G192" s="213"/>
      <c r="H192" s="213"/>
      <c r="I192" s="213"/>
      <c r="J192" s="213"/>
      <c r="K192" s="213"/>
      <c r="L192" s="213"/>
      <c r="M192" s="213"/>
      <c r="N192" s="213"/>
      <c r="O192" s="328"/>
      <c r="P192" s="213"/>
      <c r="Q192" s="213"/>
      <c r="R192" s="213"/>
      <c r="S192" s="213"/>
      <c r="T192" s="213"/>
      <c r="U192" s="213"/>
      <c r="V192" s="213"/>
      <c r="W192" s="213"/>
      <c r="X192" s="213"/>
      <c r="Y192" s="213"/>
      <c r="Z192" s="213"/>
      <c r="AA192" s="213"/>
      <c r="AB192" s="213"/>
      <c r="AC192" s="213"/>
      <c r="AD192" s="213"/>
      <c r="AE192" s="213"/>
      <c r="AF192" s="213"/>
      <c r="AG192" s="213"/>
      <c r="AH192" s="213"/>
      <c r="AI192" s="213"/>
    </row>
    <row r="193" ht="15.75" customHeight="1">
      <c r="A193" s="213"/>
      <c r="B193" s="213"/>
      <c r="C193" s="213"/>
      <c r="D193" s="213"/>
      <c r="E193" s="213"/>
      <c r="F193" s="213"/>
      <c r="G193" s="213"/>
      <c r="H193" s="213"/>
      <c r="I193" s="213"/>
      <c r="J193" s="213"/>
      <c r="K193" s="213"/>
      <c r="L193" s="213"/>
      <c r="M193" s="213"/>
      <c r="N193" s="213"/>
      <c r="O193" s="328"/>
      <c r="P193" s="213"/>
      <c r="Q193" s="213"/>
      <c r="R193" s="213"/>
      <c r="S193" s="213"/>
      <c r="T193" s="213"/>
      <c r="U193" s="213"/>
      <c r="V193" s="213"/>
      <c r="W193" s="213"/>
      <c r="X193" s="213"/>
      <c r="Y193" s="213"/>
      <c r="Z193" s="213"/>
      <c r="AA193" s="213"/>
      <c r="AB193" s="213"/>
      <c r="AC193" s="213"/>
      <c r="AD193" s="213"/>
      <c r="AE193" s="213"/>
      <c r="AF193" s="213"/>
      <c r="AG193" s="213"/>
      <c r="AH193" s="213"/>
      <c r="AI193" s="213"/>
    </row>
    <row r="194" ht="15.75" customHeight="1">
      <c r="A194" s="213"/>
      <c r="B194" s="213"/>
      <c r="C194" s="213"/>
      <c r="D194" s="213"/>
      <c r="E194" s="213"/>
      <c r="F194" s="213"/>
      <c r="G194" s="213"/>
      <c r="H194" s="213"/>
      <c r="I194" s="213"/>
      <c r="J194" s="213"/>
      <c r="K194" s="213"/>
      <c r="L194" s="213"/>
      <c r="M194" s="213"/>
      <c r="N194" s="213"/>
      <c r="O194" s="328"/>
      <c r="P194" s="213"/>
      <c r="Q194" s="213"/>
      <c r="R194" s="213"/>
      <c r="S194" s="213"/>
      <c r="T194" s="213"/>
      <c r="U194" s="213"/>
      <c r="V194" s="213"/>
      <c r="W194" s="213"/>
      <c r="X194" s="213"/>
      <c r="Y194" s="213"/>
      <c r="Z194" s="213"/>
      <c r="AA194" s="213"/>
      <c r="AB194" s="213"/>
      <c r="AC194" s="213"/>
      <c r="AD194" s="213"/>
      <c r="AE194" s="213"/>
      <c r="AF194" s="213"/>
      <c r="AG194" s="213"/>
      <c r="AH194" s="213"/>
      <c r="AI194" s="213"/>
    </row>
    <row r="195" ht="15.75" customHeight="1">
      <c r="A195" s="213"/>
      <c r="B195" s="213"/>
      <c r="C195" s="213"/>
      <c r="D195" s="213"/>
      <c r="E195" s="213"/>
      <c r="F195" s="213"/>
      <c r="G195" s="213"/>
      <c r="H195" s="213"/>
      <c r="I195" s="213"/>
      <c r="J195" s="213"/>
      <c r="K195" s="213"/>
      <c r="L195" s="213"/>
      <c r="M195" s="213"/>
      <c r="N195" s="213"/>
      <c r="O195" s="328"/>
      <c r="P195" s="213"/>
      <c r="Q195" s="213"/>
      <c r="R195" s="213"/>
      <c r="S195" s="213"/>
      <c r="T195" s="213"/>
      <c r="U195" s="213"/>
      <c r="V195" s="213"/>
      <c r="W195" s="213"/>
      <c r="X195" s="213"/>
      <c r="Y195" s="213"/>
      <c r="Z195" s="213"/>
      <c r="AA195" s="213"/>
      <c r="AB195" s="213"/>
      <c r="AC195" s="213"/>
      <c r="AD195" s="213"/>
      <c r="AE195" s="213"/>
      <c r="AF195" s="213"/>
      <c r="AG195" s="213"/>
      <c r="AH195" s="213"/>
      <c r="AI195" s="213"/>
    </row>
    <row r="196" ht="15.75" customHeight="1">
      <c r="A196" s="213"/>
      <c r="B196" s="213"/>
      <c r="C196" s="213"/>
      <c r="D196" s="213"/>
      <c r="E196" s="213"/>
      <c r="F196" s="213"/>
      <c r="G196" s="213"/>
      <c r="H196" s="213"/>
      <c r="I196" s="213"/>
      <c r="J196" s="213"/>
      <c r="K196" s="213"/>
      <c r="L196" s="213"/>
      <c r="M196" s="213"/>
      <c r="N196" s="213"/>
      <c r="O196" s="328"/>
      <c r="P196" s="213"/>
      <c r="Q196" s="213"/>
      <c r="R196" s="213"/>
      <c r="S196" s="213"/>
      <c r="T196" s="213"/>
      <c r="U196" s="213"/>
      <c r="V196" s="213"/>
      <c r="W196" s="213"/>
      <c r="X196" s="213"/>
      <c r="Y196" s="213"/>
      <c r="Z196" s="213"/>
      <c r="AA196" s="213"/>
      <c r="AB196" s="213"/>
      <c r="AC196" s="213"/>
      <c r="AD196" s="213"/>
      <c r="AE196" s="213"/>
      <c r="AF196" s="213"/>
      <c r="AG196" s="213"/>
      <c r="AH196" s="213"/>
      <c r="AI196" s="213"/>
    </row>
    <row r="197" ht="15.75" customHeight="1">
      <c r="A197" s="213"/>
      <c r="B197" s="213"/>
      <c r="C197" s="213"/>
      <c r="D197" s="213"/>
      <c r="E197" s="213"/>
      <c r="F197" s="213"/>
      <c r="G197" s="213"/>
      <c r="H197" s="213"/>
      <c r="I197" s="213"/>
      <c r="J197" s="213"/>
      <c r="K197" s="213"/>
      <c r="L197" s="213"/>
      <c r="M197" s="213"/>
      <c r="N197" s="213"/>
      <c r="O197" s="328"/>
      <c r="P197" s="213"/>
      <c r="Q197" s="213"/>
      <c r="R197" s="213"/>
      <c r="S197" s="213"/>
      <c r="T197" s="213"/>
      <c r="U197" s="213"/>
      <c r="V197" s="213"/>
      <c r="W197" s="213"/>
      <c r="X197" s="213"/>
      <c r="Y197" s="213"/>
      <c r="Z197" s="213"/>
      <c r="AA197" s="213"/>
      <c r="AB197" s="213"/>
      <c r="AC197" s="213"/>
      <c r="AD197" s="213"/>
      <c r="AE197" s="213"/>
      <c r="AF197" s="213"/>
      <c r="AG197" s="213"/>
      <c r="AH197" s="213"/>
      <c r="AI197" s="213"/>
    </row>
    <row r="198" ht="15.75" customHeight="1">
      <c r="A198" s="213"/>
      <c r="B198" s="213"/>
      <c r="C198" s="213"/>
      <c r="D198" s="213"/>
      <c r="E198" s="213"/>
      <c r="F198" s="213"/>
      <c r="G198" s="213"/>
      <c r="H198" s="213"/>
      <c r="I198" s="213"/>
      <c r="J198" s="213"/>
      <c r="K198" s="213"/>
      <c r="L198" s="213"/>
      <c r="M198" s="213"/>
      <c r="N198" s="213"/>
      <c r="O198" s="328"/>
      <c r="P198" s="213"/>
      <c r="Q198" s="213"/>
      <c r="R198" s="213"/>
      <c r="S198" s="213"/>
      <c r="T198" s="213"/>
      <c r="U198" s="213"/>
      <c r="V198" s="213"/>
      <c r="W198" s="213"/>
      <c r="X198" s="213"/>
      <c r="Y198" s="213"/>
      <c r="Z198" s="213"/>
      <c r="AA198" s="213"/>
      <c r="AB198" s="213"/>
      <c r="AC198" s="213"/>
      <c r="AD198" s="213"/>
      <c r="AE198" s="213"/>
      <c r="AF198" s="213"/>
      <c r="AG198" s="213"/>
      <c r="AH198" s="213"/>
      <c r="AI198" s="213"/>
    </row>
    <row r="199" ht="15.75" customHeight="1">
      <c r="A199" s="213"/>
      <c r="B199" s="213"/>
      <c r="C199" s="213"/>
      <c r="D199" s="213"/>
      <c r="E199" s="213"/>
      <c r="F199" s="213"/>
      <c r="G199" s="213"/>
      <c r="H199" s="213"/>
      <c r="I199" s="213"/>
      <c r="J199" s="213"/>
      <c r="K199" s="213"/>
      <c r="L199" s="213"/>
      <c r="M199" s="213"/>
      <c r="N199" s="213"/>
      <c r="O199" s="328"/>
      <c r="P199" s="213"/>
      <c r="Q199" s="213"/>
      <c r="R199" s="213"/>
      <c r="S199" s="213"/>
      <c r="T199" s="213"/>
      <c r="U199" s="213"/>
      <c r="V199" s="213"/>
      <c r="W199" s="213"/>
      <c r="X199" s="213"/>
      <c r="Y199" s="213"/>
      <c r="Z199" s="213"/>
      <c r="AA199" s="213"/>
      <c r="AB199" s="213"/>
      <c r="AC199" s="213"/>
      <c r="AD199" s="213"/>
      <c r="AE199" s="213"/>
      <c r="AF199" s="213"/>
      <c r="AG199" s="213"/>
      <c r="AH199" s="213"/>
      <c r="AI199" s="213"/>
    </row>
    <row r="200" ht="15.75" customHeight="1">
      <c r="A200" s="213"/>
      <c r="B200" s="213"/>
      <c r="C200" s="213"/>
      <c r="D200" s="213"/>
      <c r="E200" s="213"/>
      <c r="F200" s="213"/>
      <c r="G200" s="213"/>
      <c r="H200" s="213"/>
      <c r="I200" s="213"/>
      <c r="J200" s="213"/>
      <c r="K200" s="213"/>
      <c r="L200" s="213"/>
      <c r="M200" s="213"/>
      <c r="N200" s="213"/>
      <c r="O200" s="328"/>
      <c r="P200" s="213"/>
      <c r="Q200" s="213"/>
      <c r="R200" s="213"/>
      <c r="S200" s="213"/>
      <c r="T200" s="213"/>
      <c r="U200" s="213"/>
      <c r="V200" s="213"/>
      <c r="W200" s="213"/>
      <c r="X200" s="213"/>
      <c r="Y200" s="213"/>
      <c r="Z200" s="213"/>
      <c r="AA200" s="213"/>
      <c r="AB200" s="213"/>
      <c r="AC200" s="213"/>
      <c r="AD200" s="213"/>
      <c r="AE200" s="213"/>
      <c r="AF200" s="213"/>
      <c r="AG200" s="213"/>
      <c r="AH200" s="213"/>
      <c r="AI200" s="213"/>
    </row>
    <row r="201" ht="15.75" customHeight="1">
      <c r="A201" s="213"/>
      <c r="B201" s="213"/>
      <c r="C201" s="213"/>
      <c r="D201" s="213"/>
      <c r="E201" s="213"/>
      <c r="F201" s="213"/>
      <c r="G201" s="213"/>
      <c r="H201" s="213"/>
      <c r="I201" s="213"/>
      <c r="J201" s="213"/>
      <c r="K201" s="213"/>
      <c r="L201" s="213"/>
      <c r="M201" s="213"/>
      <c r="N201" s="213"/>
      <c r="O201" s="328"/>
      <c r="P201" s="213"/>
      <c r="Q201" s="213"/>
      <c r="R201" s="213"/>
      <c r="S201" s="213"/>
      <c r="T201" s="213"/>
      <c r="U201" s="213"/>
      <c r="V201" s="213"/>
      <c r="W201" s="213"/>
      <c r="X201" s="213"/>
      <c r="Y201" s="213"/>
      <c r="Z201" s="213"/>
      <c r="AA201" s="213"/>
      <c r="AB201" s="213"/>
      <c r="AC201" s="213"/>
      <c r="AD201" s="213"/>
      <c r="AE201" s="213"/>
      <c r="AF201" s="213"/>
      <c r="AG201" s="213"/>
      <c r="AH201" s="213"/>
      <c r="AI201" s="213"/>
    </row>
    <row r="202" ht="15.75" customHeight="1">
      <c r="A202" s="213"/>
      <c r="B202" s="213"/>
      <c r="C202" s="213"/>
      <c r="D202" s="213"/>
      <c r="E202" s="213"/>
      <c r="F202" s="213"/>
      <c r="G202" s="213"/>
      <c r="H202" s="213"/>
      <c r="I202" s="213"/>
      <c r="J202" s="213"/>
      <c r="K202" s="213"/>
      <c r="L202" s="213"/>
      <c r="M202" s="213"/>
      <c r="N202" s="213"/>
      <c r="O202" s="328"/>
      <c r="P202" s="213"/>
      <c r="Q202" s="213"/>
      <c r="R202" s="213"/>
      <c r="S202" s="213"/>
      <c r="T202" s="213"/>
      <c r="U202" s="213"/>
      <c r="V202" s="213"/>
      <c r="W202" s="213"/>
      <c r="X202" s="213"/>
      <c r="Y202" s="213"/>
      <c r="Z202" s="213"/>
      <c r="AA202" s="213"/>
      <c r="AB202" s="213"/>
      <c r="AC202" s="213"/>
      <c r="AD202" s="213"/>
      <c r="AE202" s="213"/>
      <c r="AF202" s="213"/>
      <c r="AG202" s="213"/>
      <c r="AH202" s="213"/>
      <c r="AI202" s="213"/>
    </row>
    <row r="203" ht="15.75" customHeight="1">
      <c r="A203" s="213"/>
      <c r="B203" s="213"/>
      <c r="C203" s="213"/>
      <c r="D203" s="213"/>
      <c r="E203" s="213"/>
      <c r="F203" s="213"/>
      <c r="G203" s="213"/>
      <c r="H203" s="213"/>
      <c r="I203" s="213"/>
      <c r="J203" s="213"/>
      <c r="K203" s="213"/>
      <c r="L203" s="213"/>
      <c r="M203" s="213"/>
      <c r="N203" s="213"/>
      <c r="O203" s="328"/>
      <c r="P203" s="213"/>
      <c r="Q203" s="213"/>
      <c r="R203" s="213"/>
      <c r="S203" s="213"/>
      <c r="T203" s="213"/>
      <c r="U203" s="213"/>
      <c r="V203" s="213"/>
      <c r="W203" s="213"/>
      <c r="X203" s="213"/>
      <c r="Y203" s="213"/>
      <c r="Z203" s="213"/>
      <c r="AA203" s="213"/>
      <c r="AB203" s="213"/>
      <c r="AC203" s="213"/>
      <c r="AD203" s="213"/>
      <c r="AE203" s="213"/>
      <c r="AF203" s="213"/>
      <c r="AG203" s="213"/>
      <c r="AH203" s="213"/>
      <c r="AI203" s="213"/>
    </row>
    <row r="204" ht="15.75" customHeight="1">
      <c r="A204" s="213"/>
      <c r="B204" s="213"/>
      <c r="C204" s="213"/>
      <c r="D204" s="213"/>
      <c r="E204" s="213"/>
      <c r="F204" s="213"/>
      <c r="G204" s="213"/>
      <c r="H204" s="213"/>
      <c r="I204" s="213"/>
      <c r="J204" s="213"/>
      <c r="K204" s="213"/>
      <c r="L204" s="213"/>
      <c r="M204" s="213"/>
      <c r="N204" s="213"/>
      <c r="O204" s="328"/>
      <c r="P204" s="213"/>
      <c r="Q204" s="213"/>
      <c r="R204" s="213"/>
      <c r="S204" s="213"/>
      <c r="T204" s="213"/>
      <c r="U204" s="213"/>
      <c r="V204" s="213"/>
      <c r="W204" s="213"/>
      <c r="X204" s="213"/>
      <c r="Y204" s="213"/>
      <c r="Z204" s="213"/>
      <c r="AA204" s="213"/>
      <c r="AB204" s="213"/>
      <c r="AC204" s="213"/>
      <c r="AD204" s="213"/>
      <c r="AE204" s="213"/>
      <c r="AF204" s="213"/>
      <c r="AG204" s="213"/>
      <c r="AH204" s="213"/>
      <c r="AI204" s="213"/>
    </row>
    <row r="205" ht="15.75" customHeight="1">
      <c r="A205" s="213"/>
      <c r="B205" s="213"/>
      <c r="C205" s="213"/>
      <c r="D205" s="213"/>
      <c r="E205" s="213"/>
      <c r="F205" s="213"/>
      <c r="G205" s="213"/>
      <c r="H205" s="213"/>
      <c r="I205" s="213"/>
      <c r="J205" s="213"/>
      <c r="K205" s="213"/>
      <c r="L205" s="213"/>
      <c r="M205" s="213"/>
      <c r="N205" s="213"/>
      <c r="O205" s="328"/>
      <c r="P205" s="213"/>
      <c r="Q205" s="213"/>
      <c r="R205" s="213"/>
      <c r="S205" s="213"/>
      <c r="T205" s="213"/>
      <c r="U205" s="213"/>
      <c r="V205" s="213"/>
      <c r="W205" s="213"/>
      <c r="X205" s="213"/>
      <c r="Y205" s="213"/>
      <c r="Z205" s="213"/>
      <c r="AA205" s="213"/>
      <c r="AB205" s="213"/>
      <c r="AC205" s="213"/>
      <c r="AD205" s="213"/>
      <c r="AE205" s="213"/>
      <c r="AF205" s="213"/>
      <c r="AG205" s="213"/>
      <c r="AH205" s="213"/>
      <c r="AI205" s="213"/>
    </row>
    <row r="206" ht="15.75" customHeight="1">
      <c r="A206" s="213"/>
      <c r="B206" s="213"/>
      <c r="C206" s="213"/>
      <c r="D206" s="213"/>
      <c r="E206" s="213"/>
      <c r="F206" s="213"/>
      <c r="G206" s="213"/>
      <c r="H206" s="213"/>
      <c r="I206" s="213"/>
      <c r="J206" s="213"/>
      <c r="K206" s="213"/>
      <c r="L206" s="213"/>
      <c r="M206" s="213"/>
      <c r="N206" s="213"/>
      <c r="O206" s="328"/>
      <c r="P206" s="213"/>
      <c r="Q206" s="213"/>
      <c r="R206" s="213"/>
      <c r="S206" s="213"/>
      <c r="T206" s="213"/>
      <c r="U206" s="213"/>
      <c r="V206" s="213"/>
      <c r="W206" s="213"/>
      <c r="X206" s="213"/>
      <c r="Y206" s="213"/>
      <c r="Z206" s="213"/>
      <c r="AA206" s="213"/>
      <c r="AB206" s="213"/>
      <c r="AC206" s="213"/>
      <c r="AD206" s="213"/>
      <c r="AE206" s="213"/>
      <c r="AF206" s="213"/>
      <c r="AG206" s="213"/>
      <c r="AH206" s="213"/>
      <c r="AI206" s="213"/>
    </row>
    <row r="207" ht="15.75" customHeight="1">
      <c r="A207" s="213"/>
      <c r="B207" s="213"/>
      <c r="C207" s="213"/>
      <c r="D207" s="213"/>
      <c r="E207" s="213"/>
      <c r="F207" s="213"/>
      <c r="G207" s="213"/>
      <c r="H207" s="213"/>
      <c r="I207" s="213"/>
      <c r="J207" s="213"/>
      <c r="K207" s="213"/>
      <c r="L207" s="213"/>
      <c r="M207" s="213"/>
      <c r="N207" s="213"/>
      <c r="O207" s="328"/>
      <c r="P207" s="213"/>
      <c r="Q207" s="213"/>
      <c r="R207" s="213"/>
      <c r="S207" s="213"/>
      <c r="T207" s="213"/>
      <c r="U207" s="213"/>
      <c r="V207" s="213"/>
      <c r="W207" s="213"/>
      <c r="X207" s="213"/>
      <c r="Y207" s="213"/>
      <c r="Z207" s="213"/>
      <c r="AA207" s="213"/>
      <c r="AB207" s="213"/>
      <c r="AC207" s="213"/>
      <c r="AD207" s="213"/>
      <c r="AE207" s="213"/>
      <c r="AF207" s="213"/>
      <c r="AG207" s="213"/>
      <c r="AH207" s="213"/>
      <c r="AI207" s="213"/>
    </row>
    <row r="208" ht="15.75" customHeight="1">
      <c r="A208" s="213"/>
      <c r="B208" s="213"/>
      <c r="C208" s="213"/>
      <c r="D208" s="213"/>
      <c r="E208" s="213"/>
      <c r="F208" s="213"/>
      <c r="G208" s="213"/>
      <c r="H208" s="213"/>
      <c r="I208" s="213"/>
      <c r="J208" s="213"/>
      <c r="K208" s="213"/>
      <c r="L208" s="213"/>
      <c r="M208" s="213"/>
      <c r="N208" s="213"/>
      <c r="O208" s="328"/>
      <c r="P208" s="213"/>
      <c r="Q208" s="213"/>
      <c r="R208" s="213"/>
      <c r="S208" s="213"/>
      <c r="T208" s="213"/>
      <c r="U208" s="213"/>
      <c r="V208" s="213"/>
      <c r="W208" s="213"/>
      <c r="X208" s="213"/>
      <c r="Y208" s="213"/>
      <c r="Z208" s="213"/>
      <c r="AA208" s="213"/>
      <c r="AB208" s="213"/>
      <c r="AC208" s="213"/>
      <c r="AD208" s="213"/>
      <c r="AE208" s="213"/>
      <c r="AF208" s="213"/>
      <c r="AG208" s="213"/>
      <c r="AH208" s="213"/>
      <c r="AI208" s="213"/>
    </row>
    <row r="209" ht="15.75" customHeight="1">
      <c r="A209" s="213"/>
      <c r="B209" s="213"/>
      <c r="C209" s="213"/>
      <c r="D209" s="213"/>
      <c r="E209" s="213"/>
      <c r="F209" s="213"/>
      <c r="G209" s="213"/>
      <c r="H209" s="213"/>
      <c r="I209" s="213"/>
      <c r="J209" s="213"/>
      <c r="K209" s="213"/>
      <c r="L209" s="213"/>
      <c r="M209" s="213"/>
      <c r="N209" s="213"/>
      <c r="O209" s="328"/>
      <c r="P209" s="213"/>
      <c r="Q209" s="213"/>
      <c r="R209" s="213"/>
      <c r="S209" s="213"/>
      <c r="T209" s="213"/>
      <c r="U209" s="213"/>
      <c r="V209" s="213"/>
      <c r="W209" s="213"/>
      <c r="X209" s="213"/>
      <c r="Y209" s="213"/>
      <c r="Z209" s="213"/>
      <c r="AA209" s="213"/>
      <c r="AB209" s="213"/>
      <c r="AC209" s="213"/>
      <c r="AD209" s="213"/>
      <c r="AE209" s="213"/>
      <c r="AF209" s="213"/>
      <c r="AG209" s="213"/>
      <c r="AH209" s="213"/>
      <c r="AI209" s="213"/>
    </row>
    <row r="210" ht="15.75" customHeight="1">
      <c r="A210" s="213"/>
      <c r="B210" s="213"/>
      <c r="C210" s="213"/>
      <c r="D210" s="213"/>
      <c r="E210" s="213"/>
      <c r="F210" s="213"/>
      <c r="G210" s="213"/>
      <c r="H210" s="213"/>
      <c r="I210" s="213"/>
      <c r="J210" s="213"/>
      <c r="K210" s="213"/>
      <c r="L210" s="213"/>
      <c r="M210" s="213"/>
      <c r="N210" s="213"/>
      <c r="O210" s="328"/>
      <c r="P210" s="213"/>
      <c r="Q210" s="213"/>
      <c r="R210" s="213"/>
      <c r="S210" s="213"/>
      <c r="T210" s="213"/>
      <c r="U210" s="213"/>
      <c r="V210" s="213"/>
      <c r="W210" s="213"/>
      <c r="X210" s="213"/>
      <c r="Y210" s="213"/>
      <c r="Z210" s="213"/>
      <c r="AA210" s="213"/>
      <c r="AB210" s="213"/>
      <c r="AC210" s="213"/>
      <c r="AD210" s="213"/>
      <c r="AE210" s="213"/>
      <c r="AF210" s="213"/>
      <c r="AG210" s="213"/>
      <c r="AH210" s="213"/>
      <c r="AI210" s="213"/>
    </row>
    <row r="211" ht="15.75" customHeight="1">
      <c r="A211" s="213"/>
      <c r="B211" s="213"/>
      <c r="C211" s="213"/>
      <c r="D211" s="213"/>
      <c r="E211" s="213"/>
      <c r="F211" s="213"/>
      <c r="G211" s="213"/>
      <c r="H211" s="213"/>
      <c r="I211" s="213"/>
      <c r="J211" s="213"/>
      <c r="K211" s="213"/>
      <c r="L211" s="213"/>
      <c r="M211" s="213"/>
      <c r="N211" s="213"/>
      <c r="O211" s="328"/>
      <c r="P211" s="213"/>
      <c r="Q211" s="213"/>
      <c r="R211" s="213"/>
      <c r="S211" s="213"/>
      <c r="T211" s="213"/>
      <c r="U211" s="213"/>
      <c r="V211" s="213"/>
      <c r="W211" s="213"/>
      <c r="X211" s="213"/>
      <c r="Y211" s="213"/>
      <c r="Z211" s="213"/>
      <c r="AA211" s="213"/>
      <c r="AB211" s="213"/>
      <c r="AC211" s="213"/>
      <c r="AD211" s="213"/>
      <c r="AE211" s="213"/>
      <c r="AF211" s="213"/>
      <c r="AG211" s="213"/>
      <c r="AH211" s="213"/>
      <c r="AI211" s="213"/>
    </row>
    <row r="212" ht="15.75" customHeight="1">
      <c r="A212" s="213"/>
      <c r="B212" s="213"/>
      <c r="C212" s="213"/>
      <c r="D212" s="213"/>
      <c r="E212" s="213"/>
      <c r="F212" s="213"/>
      <c r="G212" s="213"/>
      <c r="H212" s="213"/>
      <c r="I212" s="213"/>
      <c r="J212" s="213"/>
      <c r="K212" s="213"/>
      <c r="L212" s="213"/>
      <c r="M212" s="213"/>
      <c r="N212" s="213"/>
      <c r="O212" s="328"/>
      <c r="P212" s="213"/>
      <c r="Q212" s="213"/>
      <c r="R212" s="213"/>
      <c r="S212" s="213"/>
      <c r="T212" s="213"/>
      <c r="U212" s="213"/>
      <c r="V212" s="213"/>
      <c r="W212" s="213"/>
      <c r="X212" s="213"/>
      <c r="Y212" s="213"/>
      <c r="Z212" s="213"/>
      <c r="AA212" s="213"/>
      <c r="AB212" s="213"/>
      <c r="AC212" s="213"/>
      <c r="AD212" s="213"/>
      <c r="AE212" s="213"/>
      <c r="AF212" s="213"/>
      <c r="AG212" s="213"/>
      <c r="AH212" s="213"/>
      <c r="AI212" s="213"/>
    </row>
    <row r="213" ht="15.75" customHeight="1">
      <c r="A213" s="213"/>
      <c r="B213" s="213"/>
      <c r="C213" s="213"/>
      <c r="D213" s="213"/>
      <c r="E213" s="213"/>
      <c r="F213" s="213"/>
      <c r="G213" s="213"/>
      <c r="H213" s="213"/>
      <c r="I213" s="213"/>
      <c r="J213" s="213"/>
      <c r="K213" s="213"/>
      <c r="L213" s="213"/>
      <c r="M213" s="213"/>
      <c r="N213" s="213"/>
      <c r="O213" s="328"/>
      <c r="P213" s="213"/>
      <c r="Q213" s="213"/>
      <c r="R213" s="213"/>
      <c r="S213" s="213"/>
      <c r="T213" s="213"/>
      <c r="U213" s="213"/>
      <c r="V213" s="213"/>
      <c r="W213" s="213"/>
      <c r="X213" s="213"/>
      <c r="Y213" s="213"/>
      <c r="Z213" s="213"/>
      <c r="AA213" s="213"/>
      <c r="AB213" s="213"/>
      <c r="AC213" s="213"/>
      <c r="AD213" s="213"/>
      <c r="AE213" s="213"/>
      <c r="AF213" s="213"/>
      <c r="AG213" s="213"/>
      <c r="AH213" s="213"/>
      <c r="AI213" s="213"/>
    </row>
    <row r="214" ht="15.75" customHeight="1">
      <c r="A214" s="213"/>
      <c r="B214" s="213"/>
      <c r="C214" s="213"/>
      <c r="D214" s="213"/>
      <c r="E214" s="213"/>
      <c r="F214" s="213"/>
      <c r="G214" s="213"/>
      <c r="H214" s="213"/>
      <c r="I214" s="213"/>
      <c r="J214" s="213"/>
      <c r="K214" s="213"/>
      <c r="L214" s="213"/>
      <c r="M214" s="213"/>
      <c r="N214" s="213"/>
      <c r="O214" s="328"/>
      <c r="P214" s="213"/>
      <c r="Q214" s="213"/>
      <c r="R214" s="213"/>
      <c r="S214" s="213"/>
      <c r="T214" s="213"/>
      <c r="U214" s="213"/>
      <c r="V214" s="213"/>
      <c r="W214" s="213"/>
      <c r="X214" s="213"/>
      <c r="Y214" s="213"/>
      <c r="Z214" s="213"/>
      <c r="AA214" s="213"/>
      <c r="AB214" s="213"/>
      <c r="AC214" s="213"/>
      <c r="AD214" s="213"/>
      <c r="AE214" s="213"/>
      <c r="AF214" s="213"/>
      <c r="AG214" s="213"/>
      <c r="AH214" s="213"/>
      <c r="AI214" s="213"/>
    </row>
    <row r="215" ht="15.75" customHeight="1">
      <c r="A215" s="213"/>
      <c r="B215" s="213"/>
      <c r="C215" s="213"/>
      <c r="D215" s="213"/>
      <c r="E215" s="213"/>
      <c r="F215" s="213"/>
      <c r="G215" s="213"/>
      <c r="H215" s="213"/>
      <c r="I215" s="213"/>
      <c r="J215" s="213"/>
      <c r="K215" s="213"/>
      <c r="L215" s="213"/>
      <c r="M215" s="213"/>
      <c r="N215" s="213"/>
      <c r="O215" s="328"/>
      <c r="P215" s="213"/>
      <c r="Q215" s="213"/>
      <c r="R215" s="213"/>
      <c r="S215" s="213"/>
      <c r="T215" s="213"/>
      <c r="U215" s="213"/>
      <c r="V215" s="213"/>
      <c r="W215" s="213"/>
      <c r="X215" s="213"/>
      <c r="Y215" s="213"/>
      <c r="Z215" s="213"/>
      <c r="AA215" s="213"/>
      <c r="AB215" s="213"/>
      <c r="AC215" s="213"/>
      <c r="AD215" s="213"/>
      <c r="AE215" s="213"/>
      <c r="AF215" s="213"/>
      <c r="AG215" s="213"/>
      <c r="AH215" s="213"/>
      <c r="AI215" s="213"/>
    </row>
    <row r="216" ht="15.75" customHeight="1">
      <c r="A216" s="213"/>
      <c r="B216" s="213"/>
      <c r="C216" s="213"/>
      <c r="D216" s="213"/>
      <c r="E216" s="213"/>
      <c r="F216" s="213"/>
      <c r="G216" s="213"/>
      <c r="H216" s="213"/>
      <c r="I216" s="213"/>
      <c r="J216" s="213"/>
      <c r="K216" s="213"/>
      <c r="L216" s="213"/>
      <c r="M216" s="213"/>
      <c r="N216" s="213"/>
      <c r="O216" s="328"/>
      <c r="P216" s="213"/>
      <c r="Q216" s="213"/>
      <c r="R216" s="213"/>
      <c r="S216" s="213"/>
      <c r="T216" s="213"/>
      <c r="U216" s="213"/>
      <c r="V216" s="213"/>
      <c r="W216" s="213"/>
      <c r="X216" s="213"/>
      <c r="Y216" s="213"/>
      <c r="Z216" s="213"/>
      <c r="AA216" s="213"/>
      <c r="AB216" s="213"/>
      <c r="AC216" s="213"/>
      <c r="AD216" s="213"/>
      <c r="AE216" s="213"/>
      <c r="AF216" s="213"/>
      <c r="AG216" s="213"/>
      <c r="AH216" s="213"/>
      <c r="AI216" s="213"/>
    </row>
    <row r="217" ht="15.75" customHeight="1">
      <c r="A217" s="213"/>
      <c r="B217" s="213"/>
      <c r="C217" s="213"/>
      <c r="D217" s="213"/>
      <c r="E217" s="213"/>
      <c r="F217" s="213"/>
      <c r="G217" s="213"/>
      <c r="H217" s="213"/>
      <c r="I217" s="213"/>
      <c r="J217" s="213"/>
      <c r="K217" s="213"/>
      <c r="L217" s="213"/>
      <c r="M217" s="213"/>
      <c r="N217" s="213"/>
      <c r="O217" s="328"/>
      <c r="P217" s="213"/>
      <c r="Q217" s="213"/>
      <c r="R217" s="213"/>
      <c r="S217" s="213"/>
      <c r="T217" s="213"/>
      <c r="U217" s="213"/>
      <c r="V217" s="213"/>
      <c r="W217" s="213"/>
      <c r="X217" s="213"/>
      <c r="Y217" s="213"/>
      <c r="Z217" s="213"/>
      <c r="AA217" s="213"/>
      <c r="AB217" s="213"/>
      <c r="AC217" s="213"/>
      <c r="AD217" s="213"/>
      <c r="AE217" s="213"/>
      <c r="AF217" s="213"/>
      <c r="AG217" s="213"/>
      <c r="AH217" s="213"/>
      <c r="AI217" s="213"/>
    </row>
    <row r="218" ht="15.75" customHeight="1">
      <c r="A218" s="213"/>
      <c r="B218" s="213"/>
      <c r="C218" s="213"/>
      <c r="D218" s="213"/>
      <c r="E218" s="213"/>
      <c r="F218" s="213"/>
      <c r="G218" s="213"/>
      <c r="H218" s="213"/>
      <c r="I218" s="213"/>
      <c r="J218" s="213"/>
      <c r="K218" s="213"/>
      <c r="L218" s="213"/>
      <c r="M218" s="213"/>
      <c r="N218" s="213"/>
      <c r="O218" s="328"/>
      <c r="P218" s="213"/>
      <c r="Q218" s="213"/>
      <c r="R218" s="213"/>
      <c r="S218" s="213"/>
      <c r="T218" s="213"/>
      <c r="U218" s="213"/>
      <c r="V218" s="213"/>
      <c r="W218" s="213"/>
      <c r="X218" s="213"/>
      <c r="Y218" s="213"/>
      <c r="Z218" s="213"/>
      <c r="AA218" s="213"/>
      <c r="AB218" s="213"/>
      <c r="AC218" s="213"/>
      <c r="AD218" s="213"/>
      <c r="AE218" s="213"/>
      <c r="AF218" s="213"/>
      <c r="AG218" s="213"/>
      <c r="AH218" s="213"/>
      <c r="AI218" s="213"/>
    </row>
    <row r="219" ht="15.75" customHeight="1">
      <c r="A219" s="213"/>
      <c r="B219" s="213"/>
      <c r="C219" s="213"/>
      <c r="D219" s="213"/>
      <c r="E219" s="213"/>
      <c r="F219" s="213"/>
      <c r="G219" s="213"/>
      <c r="H219" s="213"/>
      <c r="I219" s="213"/>
      <c r="J219" s="213"/>
      <c r="K219" s="213"/>
      <c r="L219" s="213"/>
      <c r="M219" s="213"/>
      <c r="N219" s="213"/>
      <c r="O219" s="328"/>
      <c r="P219" s="213"/>
      <c r="Q219" s="213"/>
      <c r="R219" s="213"/>
      <c r="S219" s="213"/>
      <c r="T219" s="213"/>
      <c r="U219" s="213"/>
      <c r="V219" s="213"/>
      <c r="W219" s="213"/>
      <c r="X219" s="213"/>
      <c r="Y219" s="213"/>
      <c r="Z219" s="213"/>
      <c r="AA219" s="213"/>
      <c r="AB219" s="213"/>
      <c r="AC219" s="213"/>
      <c r="AD219" s="213"/>
      <c r="AE219" s="213"/>
      <c r="AF219" s="213"/>
      <c r="AG219" s="213"/>
      <c r="AH219" s="213"/>
      <c r="AI219" s="213"/>
    </row>
    <row r="220" ht="15.75" customHeight="1">
      <c r="A220" s="213"/>
      <c r="B220" s="213"/>
      <c r="C220" s="213"/>
      <c r="D220" s="213"/>
      <c r="E220" s="213"/>
      <c r="F220" s="213"/>
      <c r="G220" s="213"/>
      <c r="H220" s="213"/>
      <c r="I220" s="213"/>
      <c r="J220" s="213"/>
      <c r="K220" s="213"/>
      <c r="L220" s="213"/>
      <c r="M220" s="213"/>
      <c r="N220" s="213"/>
      <c r="O220" s="328"/>
      <c r="P220" s="213"/>
      <c r="Q220" s="213"/>
      <c r="R220" s="213"/>
      <c r="S220" s="213"/>
      <c r="T220" s="213"/>
      <c r="U220" s="213"/>
      <c r="V220" s="213"/>
      <c r="W220" s="213"/>
      <c r="X220" s="213"/>
      <c r="Y220" s="213"/>
      <c r="Z220" s="213"/>
      <c r="AA220" s="213"/>
      <c r="AB220" s="213"/>
      <c r="AC220" s="213"/>
      <c r="AD220" s="213"/>
      <c r="AE220" s="213"/>
      <c r="AF220" s="213"/>
      <c r="AG220" s="213"/>
      <c r="AH220" s="213"/>
      <c r="AI220" s="213"/>
    </row>
    <row r="221" ht="15.75" customHeight="1">
      <c r="A221" s="213"/>
      <c r="B221" s="213"/>
      <c r="C221" s="213"/>
      <c r="D221" s="213"/>
      <c r="E221" s="213"/>
      <c r="F221" s="213"/>
      <c r="G221" s="213"/>
      <c r="H221" s="213"/>
      <c r="I221" s="213"/>
      <c r="J221" s="213"/>
      <c r="K221" s="213"/>
      <c r="L221" s="213"/>
      <c r="M221" s="213"/>
      <c r="N221" s="213"/>
      <c r="O221" s="328"/>
      <c r="P221" s="213"/>
      <c r="Q221" s="213"/>
      <c r="R221" s="213"/>
      <c r="S221" s="213"/>
      <c r="T221" s="213"/>
      <c r="U221" s="213"/>
      <c r="V221" s="213"/>
      <c r="W221" s="213"/>
      <c r="X221" s="213"/>
      <c r="Y221" s="213"/>
      <c r="Z221" s="213"/>
      <c r="AA221" s="213"/>
      <c r="AB221" s="213"/>
      <c r="AC221" s="213"/>
      <c r="AD221" s="213"/>
      <c r="AE221" s="213"/>
      <c r="AF221" s="213"/>
      <c r="AG221" s="213"/>
      <c r="AH221" s="213"/>
      <c r="AI221" s="213"/>
    </row>
    <row r="222" ht="15.75" customHeight="1">
      <c r="A222" s="213"/>
      <c r="B222" s="213"/>
      <c r="C222" s="213"/>
      <c r="D222" s="213"/>
      <c r="E222" s="213"/>
      <c r="F222" s="213"/>
      <c r="G222" s="213"/>
      <c r="H222" s="213"/>
      <c r="I222" s="213"/>
      <c r="J222" s="213"/>
      <c r="K222" s="213"/>
      <c r="L222" s="213"/>
      <c r="M222" s="213"/>
      <c r="N222" s="213"/>
      <c r="O222" s="328"/>
      <c r="P222" s="213"/>
      <c r="Q222" s="213"/>
      <c r="R222" s="213"/>
      <c r="S222" s="213"/>
      <c r="T222" s="213"/>
      <c r="U222" s="213"/>
      <c r="V222" s="213"/>
      <c r="W222" s="213"/>
      <c r="X222" s="213"/>
      <c r="Y222" s="213"/>
      <c r="Z222" s="213"/>
      <c r="AA222" s="213"/>
      <c r="AB222" s="213"/>
      <c r="AC222" s="213"/>
      <c r="AD222" s="213"/>
      <c r="AE222" s="213"/>
      <c r="AF222" s="213"/>
      <c r="AG222" s="213"/>
      <c r="AH222" s="213"/>
      <c r="AI222" s="213"/>
    </row>
    <row r="223" ht="15.75" customHeight="1">
      <c r="A223" s="213"/>
      <c r="B223" s="213"/>
      <c r="C223" s="213"/>
      <c r="D223" s="213"/>
      <c r="E223" s="213"/>
      <c r="F223" s="213"/>
      <c r="G223" s="213"/>
      <c r="H223" s="213"/>
      <c r="I223" s="213"/>
      <c r="J223" s="213"/>
      <c r="K223" s="213"/>
      <c r="L223" s="213"/>
      <c r="M223" s="213"/>
      <c r="N223" s="213"/>
      <c r="O223" s="328"/>
      <c r="P223" s="213"/>
      <c r="Q223" s="213"/>
      <c r="R223" s="213"/>
      <c r="S223" s="213"/>
      <c r="T223" s="213"/>
      <c r="U223" s="213"/>
      <c r="V223" s="213"/>
      <c r="W223" s="213"/>
      <c r="X223" s="213"/>
      <c r="Y223" s="213"/>
      <c r="Z223" s="213"/>
      <c r="AA223" s="213"/>
      <c r="AB223" s="213"/>
      <c r="AC223" s="213"/>
      <c r="AD223" s="213"/>
      <c r="AE223" s="213"/>
      <c r="AF223" s="213"/>
      <c r="AG223" s="213"/>
      <c r="AH223" s="213"/>
      <c r="AI223" s="213"/>
    </row>
    <row r="224" ht="15.75" customHeight="1">
      <c r="A224" s="213"/>
      <c r="B224" s="213"/>
      <c r="C224" s="213"/>
      <c r="D224" s="213"/>
      <c r="E224" s="213"/>
      <c r="F224" s="213"/>
      <c r="G224" s="213"/>
      <c r="H224" s="213"/>
      <c r="I224" s="213"/>
      <c r="J224" s="213"/>
      <c r="K224" s="213"/>
      <c r="L224" s="213"/>
      <c r="M224" s="213"/>
      <c r="N224" s="213"/>
      <c r="O224" s="328"/>
      <c r="P224" s="213"/>
      <c r="Q224" s="213"/>
      <c r="R224" s="213"/>
      <c r="S224" s="213"/>
      <c r="T224" s="213"/>
      <c r="U224" s="213"/>
      <c r="V224" s="213"/>
      <c r="W224" s="213"/>
      <c r="X224" s="213"/>
      <c r="Y224" s="213"/>
      <c r="Z224" s="213"/>
      <c r="AA224" s="213"/>
      <c r="AB224" s="213"/>
      <c r="AC224" s="213"/>
      <c r="AD224" s="213"/>
      <c r="AE224" s="213"/>
      <c r="AF224" s="213"/>
      <c r="AG224" s="213"/>
      <c r="AH224" s="213"/>
      <c r="AI224" s="213"/>
    </row>
    <row r="225" ht="15.75" customHeight="1">
      <c r="A225" s="213"/>
      <c r="B225" s="213"/>
      <c r="C225" s="213"/>
      <c r="D225" s="213"/>
      <c r="E225" s="213"/>
      <c r="F225" s="213"/>
      <c r="G225" s="213"/>
      <c r="H225" s="213"/>
      <c r="I225" s="213"/>
      <c r="J225" s="213"/>
      <c r="K225" s="213"/>
      <c r="L225" s="213"/>
      <c r="M225" s="213"/>
      <c r="N225" s="213"/>
      <c r="O225" s="328"/>
      <c r="P225" s="213"/>
      <c r="Q225" s="213"/>
      <c r="R225" s="213"/>
      <c r="S225" s="213"/>
      <c r="T225" s="213"/>
      <c r="U225" s="213"/>
      <c r="V225" s="213"/>
      <c r="W225" s="213"/>
      <c r="X225" s="213"/>
      <c r="Y225" s="213"/>
      <c r="Z225" s="213"/>
      <c r="AA225" s="213"/>
      <c r="AB225" s="213"/>
      <c r="AC225" s="213"/>
      <c r="AD225" s="213"/>
      <c r="AE225" s="213"/>
      <c r="AF225" s="213"/>
      <c r="AG225" s="213"/>
      <c r="AH225" s="213"/>
      <c r="AI225" s="213"/>
    </row>
    <row r="226" ht="15.75" customHeight="1">
      <c r="A226" s="213"/>
      <c r="B226" s="213"/>
      <c r="C226" s="213"/>
      <c r="D226" s="213"/>
      <c r="E226" s="213"/>
      <c r="F226" s="213"/>
      <c r="G226" s="213"/>
      <c r="H226" s="213"/>
      <c r="I226" s="213"/>
      <c r="J226" s="213"/>
      <c r="K226" s="213"/>
      <c r="L226" s="213"/>
      <c r="M226" s="213"/>
      <c r="N226" s="213"/>
      <c r="O226" s="328"/>
      <c r="P226" s="213"/>
      <c r="Q226" s="213"/>
      <c r="R226" s="213"/>
      <c r="S226" s="213"/>
      <c r="T226" s="213"/>
      <c r="U226" s="213"/>
      <c r="V226" s="213"/>
      <c r="W226" s="213"/>
      <c r="X226" s="213"/>
      <c r="Y226" s="213"/>
      <c r="Z226" s="213"/>
      <c r="AA226" s="213"/>
      <c r="AB226" s="213"/>
      <c r="AC226" s="213"/>
      <c r="AD226" s="213"/>
      <c r="AE226" s="213"/>
      <c r="AF226" s="213"/>
      <c r="AG226" s="213"/>
      <c r="AH226" s="213"/>
      <c r="AI226" s="213"/>
    </row>
    <row r="227" ht="15.75" customHeight="1">
      <c r="A227" s="213"/>
      <c r="B227" s="213"/>
      <c r="C227" s="213"/>
      <c r="D227" s="213"/>
      <c r="E227" s="213"/>
      <c r="F227" s="213"/>
      <c r="G227" s="213"/>
      <c r="H227" s="213"/>
      <c r="I227" s="213"/>
      <c r="J227" s="213"/>
      <c r="K227" s="213"/>
      <c r="L227" s="213"/>
      <c r="M227" s="213"/>
      <c r="N227" s="213"/>
      <c r="O227" s="328"/>
      <c r="P227" s="213"/>
      <c r="Q227" s="213"/>
      <c r="R227" s="213"/>
      <c r="S227" s="213"/>
      <c r="T227" s="213"/>
      <c r="U227" s="213"/>
      <c r="V227" s="213"/>
      <c r="W227" s="213"/>
      <c r="X227" s="213"/>
      <c r="Y227" s="213"/>
      <c r="Z227" s="213"/>
      <c r="AA227" s="213"/>
      <c r="AB227" s="213"/>
      <c r="AC227" s="213"/>
      <c r="AD227" s="213"/>
      <c r="AE227" s="213"/>
      <c r="AF227" s="213"/>
      <c r="AG227" s="213"/>
      <c r="AH227" s="213"/>
      <c r="AI227" s="213"/>
    </row>
    <row r="228" ht="15.75" customHeight="1">
      <c r="A228" s="213"/>
      <c r="B228" s="213"/>
      <c r="C228" s="213"/>
      <c r="D228" s="213"/>
      <c r="E228" s="213"/>
      <c r="F228" s="213"/>
      <c r="G228" s="213"/>
      <c r="H228" s="213"/>
      <c r="I228" s="213"/>
      <c r="J228" s="213"/>
      <c r="K228" s="213"/>
      <c r="L228" s="213"/>
      <c r="M228" s="213"/>
      <c r="N228" s="213"/>
      <c r="O228" s="328"/>
      <c r="P228" s="213"/>
      <c r="Q228" s="213"/>
      <c r="R228" s="213"/>
      <c r="S228" s="213"/>
      <c r="T228" s="213"/>
      <c r="U228" s="213"/>
      <c r="V228" s="213"/>
      <c r="W228" s="213"/>
      <c r="X228" s="213"/>
      <c r="Y228" s="213"/>
      <c r="Z228" s="213"/>
      <c r="AA228" s="213"/>
      <c r="AB228" s="213"/>
      <c r="AC228" s="213"/>
      <c r="AD228" s="213"/>
      <c r="AE228" s="213"/>
      <c r="AF228" s="213"/>
      <c r="AG228" s="213"/>
      <c r="AH228" s="213"/>
      <c r="AI228" s="213"/>
    </row>
    <row r="229" ht="15.75" customHeight="1">
      <c r="A229" s="213"/>
      <c r="B229" s="213"/>
      <c r="C229" s="213"/>
      <c r="D229" s="213"/>
      <c r="E229" s="213"/>
      <c r="F229" s="213"/>
      <c r="G229" s="213"/>
      <c r="H229" s="213"/>
      <c r="I229" s="213"/>
      <c r="J229" s="213"/>
      <c r="K229" s="213"/>
      <c r="L229" s="213"/>
      <c r="M229" s="213"/>
      <c r="N229" s="213"/>
      <c r="O229" s="328"/>
      <c r="P229" s="213"/>
      <c r="Q229" s="213"/>
      <c r="R229" s="213"/>
      <c r="S229" s="213"/>
      <c r="T229" s="213"/>
      <c r="U229" s="213"/>
      <c r="V229" s="213"/>
      <c r="W229" s="213"/>
      <c r="X229" s="213"/>
      <c r="Y229" s="213"/>
      <c r="Z229" s="213"/>
      <c r="AA229" s="213"/>
      <c r="AB229" s="213"/>
      <c r="AC229" s="213"/>
      <c r="AD229" s="213"/>
      <c r="AE229" s="213"/>
      <c r="AF229" s="213"/>
      <c r="AG229" s="213"/>
      <c r="AH229" s="213"/>
      <c r="AI229" s="213"/>
    </row>
    <row r="230" ht="15.75" customHeight="1">
      <c r="A230" s="213"/>
      <c r="B230" s="213"/>
      <c r="C230" s="213"/>
      <c r="D230" s="213"/>
      <c r="E230" s="213"/>
      <c r="F230" s="213"/>
      <c r="G230" s="213"/>
      <c r="H230" s="213"/>
      <c r="I230" s="213"/>
      <c r="J230" s="213"/>
      <c r="K230" s="213"/>
      <c r="L230" s="213"/>
      <c r="M230" s="213"/>
      <c r="N230" s="213"/>
      <c r="O230" s="328"/>
      <c r="P230" s="213"/>
      <c r="Q230" s="213"/>
      <c r="R230" s="213"/>
      <c r="S230" s="213"/>
      <c r="T230" s="213"/>
      <c r="U230" s="213"/>
      <c r="V230" s="213"/>
      <c r="W230" s="213"/>
      <c r="X230" s="213"/>
      <c r="Y230" s="213"/>
      <c r="Z230" s="213"/>
      <c r="AA230" s="213"/>
      <c r="AB230" s="213"/>
      <c r="AC230" s="213"/>
      <c r="AD230" s="213"/>
      <c r="AE230" s="213"/>
      <c r="AF230" s="213"/>
      <c r="AG230" s="213"/>
      <c r="AH230" s="213"/>
      <c r="AI230" s="213"/>
    </row>
    <row r="231" ht="15.75" customHeight="1">
      <c r="A231" s="213"/>
      <c r="B231" s="213"/>
      <c r="C231" s="213"/>
      <c r="D231" s="213"/>
      <c r="E231" s="213"/>
      <c r="F231" s="213"/>
      <c r="G231" s="213"/>
      <c r="H231" s="213"/>
      <c r="I231" s="213"/>
      <c r="J231" s="213"/>
      <c r="K231" s="213"/>
      <c r="L231" s="213"/>
      <c r="M231" s="213"/>
      <c r="N231" s="213"/>
      <c r="O231" s="328"/>
      <c r="P231" s="213"/>
      <c r="Q231" s="213"/>
      <c r="R231" s="213"/>
      <c r="S231" s="213"/>
      <c r="T231" s="213"/>
      <c r="U231" s="213"/>
      <c r="V231" s="213"/>
      <c r="W231" s="213"/>
      <c r="X231" s="213"/>
      <c r="Y231" s="213"/>
      <c r="Z231" s="213"/>
      <c r="AA231" s="213"/>
      <c r="AB231" s="213"/>
      <c r="AC231" s="213"/>
      <c r="AD231" s="213"/>
      <c r="AE231" s="213"/>
      <c r="AF231" s="213"/>
      <c r="AG231" s="213"/>
      <c r="AH231" s="213"/>
      <c r="AI231" s="213"/>
    </row>
    <row r="232" ht="15.75" customHeight="1">
      <c r="A232" s="213"/>
      <c r="B232" s="213"/>
      <c r="C232" s="213"/>
      <c r="D232" s="213"/>
      <c r="E232" s="213"/>
      <c r="F232" s="213"/>
      <c r="G232" s="213"/>
      <c r="H232" s="213"/>
      <c r="I232" s="213"/>
      <c r="J232" s="213"/>
      <c r="K232" s="213"/>
      <c r="L232" s="213"/>
      <c r="M232" s="213"/>
      <c r="N232" s="213"/>
      <c r="O232" s="328"/>
      <c r="P232" s="213"/>
      <c r="Q232" s="213"/>
      <c r="R232" s="213"/>
      <c r="S232" s="213"/>
      <c r="T232" s="213"/>
      <c r="U232" s="213"/>
      <c r="V232" s="213"/>
      <c r="W232" s="213"/>
      <c r="X232" s="213"/>
      <c r="Y232" s="213"/>
      <c r="Z232" s="213"/>
      <c r="AA232" s="213"/>
      <c r="AB232" s="213"/>
      <c r="AC232" s="213"/>
      <c r="AD232" s="213"/>
      <c r="AE232" s="213"/>
      <c r="AF232" s="213"/>
      <c r="AG232" s="213"/>
      <c r="AH232" s="213"/>
      <c r="AI232" s="213"/>
    </row>
    <row r="233" ht="15.75" customHeight="1">
      <c r="A233" s="213"/>
      <c r="B233" s="213"/>
      <c r="C233" s="213"/>
      <c r="D233" s="213"/>
      <c r="E233" s="213"/>
      <c r="F233" s="213"/>
      <c r="G233" s="213"/>
      <c r="H233" s="213"/>
      <c r="I233" s="213"/>
      <c r="J233" s="213"/>
      <c r="K233" s="213"/>
      <c r="L233" s="213"/>
      <c r="M233" s="213"/>
      <c r="N233" s="213"/>
      <c r="O233" s="328"/>
      <c r="P233" s="213"/>
      <c r="Q233" s="213"/>
      <c r="R233" s="213"/>
      <c r="S233" s="213"/>
      <c r="T233" s="213"/>
      <c r="U233" s="213"/>
      <c r="V233" s="213"/>
      <c r="W233" s="213"/>
      <c r="X233" s="213"/>
      <c r="Y233" s="213"/>
      <c r="Z233" s="213"/>
      <c r="AA233" s="213"/>
      <c r="AB233" s="213"/>
      <c r="AC233" s="213"/>
      <c r="AD233" s="213"/>
      <c r="AE233" s="213"/>
      <c r="AF233" s="213"/>
      <c r="AG233" s="213"/>
      <c r="AH233" s="213"/>
      <c r="AI233" s="213"/>
    </row>
    <row r="234" ht="15.75" customHeight="1">
      <c r="A234" s="213"/>
      <c r="B234" s="213"/>
      <c r="C234" s="213"/>
      <c r="D234" s="213"/>
      <c r="E234" s="213"/>
      <c r="F234" s="213"/>
      <c r="G234" s="213"/>
      <c r="H234" s="213"/>
      <c r="I234" s="213"/>
      <c r="J234" s="213"/>
      <c r="K234" s="213"/>
      <c r="L234" s="213"/>
      <c r="M234" s="213"/>
      <c r="N234" s="213"/>
      <c r="O234" s="328"/>
      <c r="P234" s="213"/>
      <c r="Q234" s="213"/>
      <c r="R234" s="213"/>
      <c r="S234" s="213"/>
      <c r="T234" s="213"/>
      <c r="U234" s="213"/>
      <c r="V234" s="213"/>
      <c r="W234" s="213"/>
      <c r="X234" s="213"/>
      <c r="Y234" s="213"/>
      <c r="Z234" s="213"/>
      <c r="AA234" s="213"/>
      <c r="AB234" s="213"/>
      <c r="AC234" s="213"/>
      <c r="AD234" s="213"/>
      <c r="AE234" s="213"/>
      <c r="AF234" s="213"/>
      <c r="AG234" s="213"/>
      <c r="AH234" s="213"/>
      <c r="AI234" s="213"/>
    </row>
    <row r="235" ht="15.75" customHeight="1">
      <c r="A235" s="213"/>
      <c r="B235" s="213"/>
      <c r="C235" s="213"/>
      <c r="D235" s="213"/>
      <c r="E235" s="213"/>
      <c r="F235" s="213"/>
      <c r="G235" s="213"/>
      <c r="H235" s="213"/>
      <c r="I235" s="213"/>
      <c r="J235" s="213"/>
      <c r="K235" s="213"/>
      <c r="L235" s="213"/>
      <c r="M235" s="213"/>
      <c r="N235" s="213"/>
      <c r="O235" s="328"/>
      <c r="P235" s="213"/>
      <c r="Q235" s="213"/>
      <c r="R235" s="213"/>
      <c r="S235" s="213"/>
      <c r="T235" s="213"/>
      <c r="U235" s="213"/>
      <c r="V235" s="213"/>
      <c r="W235" s="213"/>
      <c r="X235" s="213"/>
      <c r="Y235" s="213"/>
      <c r="Z235" s="213"/>
      <c r="AA235" s="213"/>
      <c r="AB235" s="213"/>
      <c r="AC235" s="213"/>
      <c r="AD235" s="213"/>
      <c r="AE235" s="213"/>
      <c r="AF235" s="213"/>
      <c r="AG235" s="213"/>
      <c r="AH235" s="213"/>
      <c r="AI235" s="213"/>
    </row>
    <row r="236" ht="15.75" customHeight="1">
      <c r="A236" s="213"/>
      <c r="B236" s="213"/>
      <c r="C236" s="213"/>
      <c r="D236" s="213"/>
      <c r="E236" s="213"/>
      <c r="F236" s="213"/>
      <c r="G236" s="213"/>
      <c r="H236" s="213"/>
      <c r="I236" s="213"/>
      <c r="J236" s="213"/>
      <c r="K236" s="213"/>
      <c r="L236" s="213"/>
      <c r="M236" s="213"/>
      <c r="N236" s="213"/>
      <c r="O236" s="328"/>
      <c r="P236" s="213"/>
      <c r="Q236" s="213"/>
      <c r="R236" s="213"/>
      <c r="S236" s="213"/>
      <c r="T236" s="213"/>
      <c r="U236" s="213"/>
      <c r="V236" s="213"/>
      <c r="W236" s="213"/>
      <c r="X236" s="213"/>
      <c r="Y236" s="213"/>
      <c r="Z236" s="213"/>
      <c r="AA236" s="213"/>
      <c r="AB236" s="213"/>
      <c r="AC236" s="213"/>
      <c r="AD236" s="213"/>
      <c r="AE236" s="213"/>
      <c r="AF236" s="213"/>
      <c r="AG236" s="213"/>
      <c r="AH236" s="213"/>
      <c r="AI236" s="213"/>
    </row>
    <row r="237" ht="15.75" customHeight="1">
      <c r="A237" s="213"/>
      <c r="B237" s="213"/>
      <c r="C237" s="213"/>
      <c r="D237" s="213"/>
      <c r="E237" s="213"/>
      <c r="F237" s="213"/>
      <c r="G237" s="213"/>
      <c r="H237" s="213"/>
      <c r="I237" s="213"/>
      <c r="J237" s="213"/>
      <c r="K237" s="213"/>
      <c r="L237" s="213"/>
      <c r="M237" s="213"/>
      <c r="N237" s="213"/>
      <c r="O237" s="328"/>
      <c r="P237" s="213"/>
      <c r="Q237" s="213"/>
      <c r="R237" s="213"/>
      <c r="S237" s="213"/>
      <c r="T237" s="213"/>
      <c r="U237" s="213"/>
      <c r="V237" s="213"/>
      <c r="W237" s="213"/>
      <c r="X237" s="213"/>
      <c r="Y237" s="213"/>
      <c r="Z237" s="213"/>
      <c r="AA237" s="213"/>
      <c r="AB237" s="213"/>
      <c r="AC237" s="213"/>
      <c r="AD237" s="213"/>
      <c r="AE237" s="213"/>
      <c r="AF237" s="213"/>
      <c r="AG237" s="213"/>
      <c r="AH237" s="213"/>
      <c r="AI237" s="213"/>
    </row>
    <row r="238" ht="15.75" customHeight="1">
      <c r="A238" s="213"/>
      <c r="B238" s="213"/>
      <c r="C238" s="213"/>
      <c r="D238" s="213"/>
      <c r="E238" s="213"/>
      <c r="F238" s="213"/>
      <c r="G238" s="213"/>
      <c r="H238" s="213"/>
      <c r="I238" s="213"/>
      <c r="J238" s="213"/>
      <c r="K238" s="213"/>
      <c r="L238" s="213"/>
      <c r="M238" s="213"/>
      <c r="N238" s="213"/>
      <c r="O238" s="328"/>
      <c r="P238" s="213"/>
      <c r="Q238" s="213"/>
      <c r="R238" s="213"/>
      <c r="S238" s="213"/>
      <c r="T238" s="213"/>
      <c r="U238" s="213"/>
      <c r="V238" s="213"/>
      <c r="W238" s="213"/>
      <c r="X238" s="213"/>
      <c r="Y238" s="213"/>
      <c r="Z238" s="213"/>
      <c r="AA238" s="213"/>
      <c r="AB238" s="213"/>
      <c r="AC238" s="213"/>
      <c r="AD238" s="213"/>
      <c r="AE238" s="213"/>
      <c r="AF238" s="213"/>
      <c r="AG238" s="213"/>
      <c r="AH238" s="213"/>
      <c r="AI238" s="213"/>
    </row>
    <row r="239" ht="15.75" customHeight="1">
      <c r="A239" s="213"/>
      <c r="B239" s="213"/>
      <c r="C239" s="213"/>
      <c r="D239" s="213"/>
      <c r="E239" s="213"/>
      <c r="F239" s="213"/>
      <c r="G239" s="213"/>
      <c r="H239" s="213"/>
      <c r="I239" s="213"/>
      <c r="J239" s="213"/>
      <c r="K239" s="213"/>
      <c r="L239" s="213"/>
      <c r="M239" s="213"/>
      <c r="N239" s="213"/>
      <c r="O239" s="328"/>
      <c r="P239" s="213"/>
      <c r="Q239" s="213"/>
      <c r="R239" s="213"/>
      <c r="S239" s="213"/>
      <c r="T239" s="213"/>
      <c r="U239" s="213"/>
      <c r="V239" s="213"/>
      <c r="W239" s="213"/>
      <c r="X239" s="213"/>
      <c r="Y239" s="213"/>
      <c r="Z239" s="213"/>
      <c r="AA239" s="213"/>
      <c r="AB239" s="213"/>
      <c r="AC239" s="213"/>
      <c r="AD239" s="213"/>
      <c r="AE239" s="213"/>
      <c r="AF239" s="213"/>
      <c r="AG239" s="213"/>
      <c r="AH239" s="213"/>
      <c r="AI239" s="213"/>
    </row>
    <row r="240" ht="15.75" customHeight="1">
      <c r="A240" s="213"/>
      <c r="B240" s="213"/>
      <c r="C240" s="213"/>
      <c r="D240" s="213"/>
      <c r="E240" s="213"/>
      <c r="F240" s="213"/>
      <c r="G240" s="213"/>
      <c r="H240" s="213"/>
      <c r="I240" s="213"/>
      <c r="J240" s="213"/>
      <c r="K240" s="213"/>
      <c r="L240" s="213"/>
      <c r="M240" s="213"/>
      <c r="N240" s="213"/>
      <c r="O240" s="328"/>
      <c r="P240" s="213"/>
      <c r="Q240" s="213"/>
      <c r="R240" s="213"/>
      <c r="S240" s="213"/>
      <c r="T240" s="213"/>
      <c r="U240" s="213"/>
      <c r="V240" s="213"/>
      <c r="W240" s="213"/>
      <c r="X240" s="213"/>
      <c r="Y240" s="213"/>
      <c r="Z240" s="213"/>
      <c r="AA240" s="213"/>
      <c r="AB240" s="213"/>
      <c r="AC240" s="213"/>
      <c r="AD240" s="213"/>
      <c r="AE240" s="213"/>
      <c r="AF240" s="213"/>
      <c r="AG240" s="213"/>
      <c r="AH240" s="213"/>
      <c r="AI240" s="213"/>
    </row>
    <row r="241" ht="15.75" customHeight="1">
      <c r="A241" s="213"/>
      <c r="B241" s="213"/>
      <c r="C241" s="213"/>
      <c r="D241" s="213"/>
      <c r="E241" s="213"/>
      <c r="F241" s="213"/>
      <c r="G241" s="213"/>
      <c r="H241" s="213"/>
      <c r="I241" s="213"/>
      <c r="J241" s="213"/>
      <c r="K241" s="213"/>
      <c r="L241" s="213"/>
      <c r="M241" s="213"/>
      <c r="N241" s="213"/>
      <c r="O241" s="328"/>
      <c r="P241" s="213"/>
      <c r="Q241" s="213"/>
      <c r="R241" s="213"/>
      <c r="S241" s="213"/>
      <c r="T241" s="213"/>
      <c r="U241" s="213"/>
      <c r="V241" s="213"/>
      <c r="W241" s="213"/>
      <c r="X241" s="213"/>
      <c r="Y241" s="213"/>
      <c r="Z241" s="213"/>
      <c r="AA241" s="213"/>
      <c r="AB241" s="213"/>
      <c r="AC241" s="213"/>
      <c r="AD241" s="213"/>
      <c r="AE241" s="213"/>
      <c r="AF241" s="213"/>
      <c r="AG241" s="213"/>
      <c r="AH241" s="213"/>
      <c r="AI241" s="213"/>
    </row>
    <row r="242" ht="15.75" customHeight="1">
      <c r="A242" s="213"/>
      <c r="B242" s="213"/>
      <c r="C242" s="213"/>
      <c r="D242" s="213"/>
      <c r="E242" s="213"/>
      <c r="F242" s="213"/>
      <c r="G242" s="213"/>
      <c r="H242" s="213"/>
      <c r="I242" s="213"/>
      <c r="J242" s="213"/>
      <c r="K242" s="213"/>
      <c r="L242" s="213"/>
      <c r="M242" s="213"/>
      <c r="N242" s="213"/>
      <c r="O242" s="328"/>
      <c r="P242" s="213"/>
      <c r="Q242" s="213"/>
      <c r="R242" s="213"/>
      <c r="S242" s="213"/>
      <c r="T242" s="213"/>
      <c r="U242" s="213"/>
      <c r="V242" s="213"/>
      <c r="W242" s="213"/>
      <c r="X242" s="213"/>
      <c r="Y242" s="213"/>
      <c r="Z242" s="213"/>
      <c r="AA242" s="213"/>
      <c r="AB242" s="213"/>
      <c r="AC242" s="213"/>
      <c r="AD242" s="213"/>
      <c r="AE242" s="213"/>
      <c r="AF242" s="213"/>
      <c r="AG242" s="213"/>
      <c r="AH242" s="213"/>
      <c r="AI242" s="213"/>
    </row>
    <row r="243" ht="15.75" customHeight="1">
      <c r="A243" s="213"/>
      <c r="B243" s="213"/>
      <c r="C243" s="213"/>
      <c r="D243" s="213"/>
      <c r="E243" s="213"/>
      <c r="F243" s="213"/>
      <c r="G243" s="213"/>
      <c r="H243" s="213"/>
      <c r="I243" s="213"/>
      <c r="J243" s="213"/>
      <c r="K243" s="213"/>
      <c r="L243" s="213"/>
      <c r="M243" s="213"/>
      <c r="N243" s="213"/>
      <c r="O243" s="328"/>
      <c r="P243" s="213"/>
      <c r="Q243" s="213"/>
      <c r="R243" s="213"/>
      <c r="S243" s="213"/>
      <c r="T243" s="213"/>
      <c r="U243" s="213"/>
      <c r="V243" s="213"/>
      <c r="W243" s="213"/>
      <c r="X243" s="213"/>
      <c r="Y243" s="213"/>
      <c r="Z243" s="213"/>
      <c r="AA243" s="213"/>
      <c r="AB243" s="213"/>
      <c r="AC243" s="213"/>
      <c r="AD243" s="213"/>
      <c r="AE243" s="213"/>
      <c r="AF243" s="213"/>
      <c r="AG243" s="213"/>
      <c r="AH243" s="213"/>
      <c r="AI243" s="213"/>
    </row>
    <row r="244" ht="15.75" customHeight="1">
      <c r="A244" s="213"/>
      <c r="B244" s="213"/>
      <c r="C244" s="213"/>
      <c r="D244" s="213"/>
      <c r="E244" s="213"/>
      <c r="F244" s="213"/>
      <c r="G244" s="213"/>
      <c r="H244" s="213"/>
      <c r="I244" s="213"/>
      <c r="J244" s="213"/>
      <c r="K244" s="213"/>
      <c r="L244" s="213"/>
      <c r="M244" s="213"/>
      <c r="N244" s="213"/>
      <c r="O244" s="328"/>
      <c r="P244" s="213"/>
      <c r="Q244" s="213"/>
      <c r="R244" s="213"/>
      <c r="S244" s="213"/>
      <c r="T244" s="213"/>
      <c r="U244" s="213"/>
      <c r="V244" s="213"/>
      <c r="W244" s="213"/>
      <c r="X244" s="213"/>
      <c r="Y244" s="213"/>
      <c r="Z244" s="213"/>
      <c r="AA244" s="213"/>
      <c r="AB244" s="213"/>
      <c r="AC244" s="213"/>
      <c r="AD244" s="213"/>
      <c r="AE244" s="213"/>
      <c r="AF244" s="213"/>
      <c r="AG244" s="213"/>
      <c r="AH244" s="213"/>
      <c r="AI244" s="213"/>
    </row>
    <row r="245" ht="15.75" customHeight="1">
      <c r="A245" s="213"/>
      <c r="B245" s="213"/>
      <c r="C245" s="213"/>
      <c r="D245" s="213"/>
      <c r="E245" s="213"/>
      <c r="F245" s="213"/>
      <c r="G245" s="213"/>
      <c r="H245" s="213"/>
      <c r="I245" s="213"/>
      <c r="J245" s="213"/>
      <c r="K245" s="213"/>
      <c r="L245" s="213"/>
      <c r="M245" s="213"/>
      <c r="N245" s="213"/>
      <c r="O245" s="328"/>
      <c r="P245" s="213"/>
      <c r="Q245" s="213"/>
      <c r="R245" s="213"/>
      <c r="S245" s="213"/>
      <c r="T245" s="213"/>
      <c r="U245" s="213"/>
      <c r="V245" s="213"/>
      <c r="W245" s="213"/>
      <c r="X245" s="213"/>
      <c r="Y245" s="213"/>
      <c r="Z245" s="213"/>
      <c r="AA245" s="213"/>
      <c r="AB245" s="213"/>
      <c r="AC245" s="213"/>
      <c r="AD245" s="213"/>
      <c r="AE245" s="213"/>
      <c r="AF245" s="213"/>
      <c r="AG245" s="213"/>
      <c r="AH245" s="213"/>
      <c r="AI245" s="213"/>
    </row>
    <row r="246" ht="15.75" customHeight="1">
      <c r="A246" s="213"/>
      <c r="B246" s="213"/>
      <c r="C246" s="213"/>
      <c r="D246" s="213"/>
      <c r="E246" s="213"/>
      <c r="F246" s="213"/>
      <c r="G246" s="213"/>
      <c r="H246" s="213"/>
      <c r="I246" s="213"/>
      <c r="J246" s="213"/>
      <c r="K246" s="213"/>
      <c r="L246" s="213"/>
      <c r="M246" s="213"/>
      <c r="N246" s="213"/>
      <c r="O246" s="328"/>
      <c r="P246" s="213"/>
      <c r="Q246" s="213"/>
      <c r="R246" s="213"/>
      <c r="S246" s="213"/>
      <c r="T246" s="213"/>
      <c r="U246" s="213"/>
      <c r="V246" s="213"/>
      <c r="W246" s="213"/>
      <c r="X246" s="213"/>
      <c r="Y246" s="213"/>
      <c r="Z246" s="213"/>
      <c r="AA246" s="213"/>
      <c r="AB246" s="213"/>
      <c r="AC246" s="213"/>
      <c r="AD246" s="213"/>
      <c r="AE246" s="213"/>
      <c r="AF246" s="213"/>
      <c r="AG246" s="213"/>
      <c r="AH246" s="213"/>
      <c r="AI246" s="213"/>
    </row>
    <row r="247" ht="15.75" customHeight="1">
      <c r="A247" s="213"/>
      <c r="B247" s="213"/>
      <c r="C247" s="213"/>
      <c r="D247" s="213"/>
      <c r="E247" s="213"/>
      <c r="F247" s="213"/>
      <c r="G247" s="213"/>
      <c r="H247" s="213"/>
      <c r="I247" s="213"/>
      <c r="J247" s="213"/>
      <c r="K247" s="213"/>
      <c r="L247" s="213"/>
      <c r="M247" s="213"/>
      <c r="N247" s="213"/>
      <c r="O247" s="328"/>
      <c r="P247" s="213"/>
      <c r="Q247" s="213"/>
      <c r="R247" s="213"/>
      <c r="S247" s="213"/>
      <c r="T247" s="213"/>
      <c r="U247" s="213"/>
      <c r="V247" s="213"/>
      <c r="W247" s="213"/>
      <c r="X247" s="213"/>
      <c r="Y247" s="213"/>
      <c r="Z247" s="213"/>
      <c r="AA247" s="213"/>
      <c r="AB247" s="213"/>
      <c r="AC247" s="213"/>
      <c r="AD247" s="213"/>
      <c r="AE247" s="213"/>
      <c r="AF247" s="213"/>
      <c r="AG247" s="213"/>
      <c r="AH247" s="213"/>
      <c r="AI247" s="213"/>
    </row>
    <row r="248" ht="15.75" customHeight="1">
      <c r="A248" s="213"/>
      <c r="B248" s="213"/>
      <c r="C248" s="213"/>
      <c r="D248" s="213"/>
      <c r="E248" s="213"/>
      <c r="F248" s="213"/>
      <c r="G248" s="213"/>
      <c r="H248" s="213"/>
      <c r="I248" s="213"/>
      <c r="J248" s="213"/>
      <c r="K248" s="213"/>
      <c r="L248" s="213"/>
      <c r="M248" s="213"/>
      <c r="N248" s="213"/>
      <c r="O248" s="328"/>
      <c r="P248" s="213"/>
      <c r="Q248" s="213"/>
      <c r="R248" s="213"/>
      <c r="S248" s="213"/>
      <c r="T248" s="213"/>
      <c r="U248" s="213"/>
      <c r="V248" s="213"/>
      <c r="W248" s="213"/>
      <c r="X248" s="213"/>
      <c r="Y248" s="213"/>
      <c r="Z248" s="213"/>
      <c r="AA248" s="213"/>
      <c r="AB248" s="213"/>
      <c r="AC248" s="213"/>
      <c r="AD248" s="213"/>
      <c r="AE248" s="213"/>
      <c r="AF248" s="213"/>
      <c r="AG248" s="213"/>
      <c r="AH248" s="213"/>
      <c r="AI248" s="213"/>
    </row>
    <row r="249" ht="15.75" customHeight="1">
      <c r="A249" s="213"/>
      <c r="B249" s="213"/>
      <c r="C249" s="213"/>
      <c r="D249" s="213"/>
      <c r="E249" s="213"/>
      <c r="F249" s="213"/>
      <c r="G249" s="213"/>
      <c r="H249" s="213"/>
      <c r="I249" s="213"/>
      <c r="J249" s="213"/>
      <c r="K249" s="213"/>
      <c r="L249" s="213"/>
      <c r="M249" s="213"/>
      <c r="N249" s="213"/>
      <c r="O249" s="328"/>
      <c r="P249" s="213"/>
      <c r="Q249" s="213"/>
      <c r="R249" s="213"/>
      <c r="S249" s="213"/>
      <c r="T249" s="213"/>
      <c r="U249" s="213"/>
      <c r="V249" s="213"/>
      <c r="W249" s="213"/>
      <c r="X249" s="213"/>
      <c r="Y249" s="213"/>
      <c r="Z249" s="213"/>
      <c r="AA249" s="213"/>
      <c r="AB249" s="213"/>
      <c r="AC249" s="213"/>
      <c r="AD249" s="213"/>
      <c r="AE249" s="213"/>
      <c r="AF249" s="213"/>
      <c r="AG249" s="213"/>
      <c r="AH249" s="213"/>
      <c r="AI249" s="213"/>
    </row>
    <row r="250" ht="15.75" customHeight="1">
      <c r="A250" s="213"/>
      <c r="B250" s="213"/>
      <c r="C250" s="213"/>
      <c r="D250" s="213"/>
      <c r="E250" s="213"/>
      <c r="F250" s="213"/>
      <c r="G250" s="213"/>
      <c r="H250" s="213"/>
      <c r="I250" s="213"/>
      <c r="J250" s="213"/>
      <c r="K250" s="213"/>
      <c r="L250" s="213"/>
      <c r="M250" s="213"/>
      <c r="N250" s="213"/>
      <c r="O250" s="328"/>
      <c r="P250" s="213"/>
      <c r="Q250" s="213"/>
      <c r="R250" s="213"/>
      <c r="S250" s="213"/>
      <c r="T250" s="213"/>
      <c r="U250" s="213"/>
      <c r="V250" s="213"/>
      <c r="W250" s="213"/>
      <c r="X250" s="213"/>
      <c r="Y250" s="213"/>
      <c r="Z250" s="213"/>
      <c r="AA250" s="213"/>
      <c r="AB250" s="213"/>
      <c r="AC250" s="213"/>
      <c r="AD250" s="213"/>
      <c r="AE250" s="213"/>
      <c r="AF250" s="213"/>
      <c r="AG250" s="213"/>
      <c r="AH250" s="213"/>
      <c r="AI250" s="213"/>
    </row>
    <row r="251" ht="15.75" customHeight="1">
      <c r="A251" s="213"/>
      <c r="B251" s="213"/>
      <c r="C251" s="213"/>
      <c r="D251" s="213"/>
      <c r="E251" s="213"/>
      <c r="F251" s="213"/>
      <c r="G251" s="213"/>
      <c r="H251" s="213"/>
      <c r="I251" s="213"/>
      <c r="J251" s="213"/>
      <c r="K251" s="213"/>
      <c r="L251" s="213"/>
      <c r="M251" s="213"/>
      <c r="N251" s="213"/>
      <c r="O251" s="328"/>
      <c r="P251" s="213"/>
      <c r="Q251" s="213"/>
      <c r="R251" s="213"/>
      <c r="S251" s="213"/>
      <c r="T251" s="213"/>
      <c r="U251" s="213"/>
      <c r="V251" s="213"/>
      <c r="W251" s="213"/>
      <c r="X251" s="213"/>
      <c r="Y251" s="213"/>
      <c r="Z251" s="213"/>
      <c r="AA251" s="213"/>
      <c r="AB251" s="213"/>
      <c r="AC251" s="213"/>
      <c r="AD251" s="213"/>
      <c r="AE251" s="213"/>
      <c r="AF251" s="213"/>
      <c r="AG251" s="213"/>
      <c r="AH251" s="213"/>
      <c r="AI251" s="213"/>
    </row>
    <row r="252" ht="15.75" customHeight="1">
      <c r="A252" s="213"/>
      <c r="B252" s="213"/>
      <c r="C252" s="213"/>
      <c r="D252" s="213"/>
      <c r="E252" s="213"/>
      <c r="F252" s="213"/>
      <c r="G252" s="213"/>
      <c r="H252" s="213"/>
      <c r="I252" s="213"/>
      <c r="J252" s="213"/>
      <c r="K252" s="213"/>
      <c r="L252" s="213"/>
      <c r="M252" s="213"/>
      <c r="N252" s="213"/>
      <c r="O252" s="328"/>
      <c r="P252" s="213"/>
      <c r="Q252" s="213"/>
      <c r="R252" s="213"/>
      <c r="S252" s="213"/>
      <c r="T252" s="213"/>
      <c r="U252" s="213"/>
      <c r="V252" s="213"/>
      <c r="W252" s="213"/>
      <c r="X252" s="213"/>
      <c r="Y252" s="213"/>
      <c r="Z252" s="213"/>
      <c r="AA252" s="213"/>
      <c r="AB252" s="213"/>
      <c r="AC252" s="213"/>
      <c r="AD252" s="213"/>
      <c r="AE252" s="213"/>
      <c r="AF252" s="213"/>
      <c r="AG252" s="213"/>
      <c r="AH252" s="213"/>
      <c r="AI252" s="213"/>
    </row>
    <row r="253" ht="15.75" customHeight="1">
      <c r="A253" s="213"/>
      <c r="B253" s="213"/>
      <c r="C253" s="213"/>
      <c r="D253" s="213"/>
      <c r="E253" s="213"/>
      <c r="F253" s="213"/>
      <c r="G253" s="213"/>
      <c r="H253" s="213"/>
      <c r="I253" s="213"/>
      <c r="J253" s="213"/>
      <c r="K253" s="213"/>
      <c r="L253" s="213"/>
      <c r="M253" s="213"/>
      <c r="N253" s="213"/>
      <c r="O253" s="328"/>
      <c r="P253" s="213"/>
      <c r="Q253" s="213"/>
      <c r="R253" s="213"/>
      <c r="S253" s="213"/>
      <c r="T253" s="213"/>
      <c r="U253" s="213"/>
      <c r="V253" s="213"/>
      <c r="W253" s="213"/>
      <c r="X253" s="213"/>
      <c r="Y253" s="213"/>
      <c r="Z253" s="213"/>
      <c r="AA253" s="213"/>
      <c r="AB253" s="213"/>
      <c r="AC253" s="213"/>
      <c r="AD253" s="213"/>
      <c r="AE253" s="213"/>
      <c r="AF253" s="213"/>
      <c r="AG253" s="213"/>
      <c r="AH253" s="213"/>
      <c r="AI253" s="213"/>
    </row>
    <row r="254" ht="15.75" customHeight="1">
      <c r="A254" s="213"/>
      <c r="B254" s="213"/>
      <c r="C254" s="213"/>
      <c r="D254" s="213"/>
      <c r="E254" s="213"/>
      <c r="F254" s="213"/>
      <c r="G254" s="213"/>
      <c r="H254" s="213"/>
      <c r="I254" s="213"/>
      <c r="J254" s="213"/>
      <c r="K254" s="213"/>
      <c r="L254" s="213"/>
      <c r="M254" s="213"/>
      <c r="N254" s="213"/>
      <c r="O254" s="328"/>
      <c r="P254" s="213"/>
      <c r="Q254" s="213"/>
      <c r="R254" s="213"/>
      <c r="S254" s="213"/>
      <c r="T254" s="213"/>
      <c r="U254" s="213"/>
      <c r="V254" s="213"/>
      <c r="W254" s="213"/>
      <c r="X254" s="213"/>
      <c r="Y254" s="213"/>
      <c r="Z254" s="213"/>
      <c r="AA254" s="213"/>
      <c r="AB254" s="213"/>
      <c r="AC254" s="213"/>
      <c r="AD254" s="213"/>
      <c r="AE254" s="213"/>
      <c r="AF254" s="213"/>
      <c r="AG254" s="213"/>
      <c r="AH254" s="213"/>
      <c r="AI254" s="213"/>
    </row>
    <row r="255" ht="15.75" customHeight="1">
      <c r="A255" s="213"/>
      <c r="B255" s="213"/>
      <c r="C255" s="213"/>
      <c r="D255" s="213"/>
      <c r="E255" s="213"/>
      <c r="F255" s="213"/>
      <c r="G255" s="213"/>
      <c r="H255" s="213"/>
      <c r="I255" s="213"/>
      <c r="J255" s="213"/>
      <c r="K255" s="213"/>
      <c r="L255" s="213"/>
      <c r="M255" s="213"/>
      <c r="N255" s="213"/>
      <c r="O255" s="328"/>
      <c r="P255" s="213"/>
      <c r="Q255" s="213"/>
      <c r="R255" s="213"/>
      <c r="S255" s="213"/>
      <c r="T255" s="213"/>
      <c r="U255" s="213"/>
      <c r="V255" s="213"/>
      <c r="W255" s="213"/>
      <c r="X255" s="213"/>
      <c r="Y255" s="213"/>
      <c r="Z255" s="213"/>
      <c r="AA255" s="213"/>
      <c r="AB255" s="213"/>
      <c r="AC255" s="213"/>
      <c r="AD255" s="213"/>
      <c r="AE255" s="213"/>
      <c r="AF255" s="213"/>
      <c r="AG255" s="213"/>
      <c r="AH255" s="213"/>
      <c r="AI255" s="213"/>
    </row>
    <row r="256" ht="15.75" customHeight="1">
      <c r="A256" s="213"/>
      <c r="B256" s="213"/>
      <c r="C256" s="213"/>
      <c r="D256" s="213"/>
      <c r="E256" s="213"/>
      <c r="F256" s="213"/>
      <c r="G256" s="213"/>
      <c r="H256" s="213"/>
      <c r="I256" s="213"/>
      <c r="J256" s="213"/>
      <c r="K256" s="213"/>
      <c r="L256" s="213"/>
      <c r="M256" s="213"/>
      <c r="N256" s="213"/>
      <c r="O256" s="328"/>
      <c r="P256" s="213"/>
      <c r="Q256" s="213"/>
      <c r="R256" s="213"/>
      <c r="S256" s="213"/>
      <c r="T256" s="213"/>
      <c r="U256" s="213"/>
      <c r="V256" s="213"/>
      <c r="W256" s="213"/>
      <c r="X256" s="213"/>
      <c r="Y256" s="213"/>
      <c r="Z256" s="213"/>
      <c r="AA256" s="213"/>
      <c r="AB256" s="213"/>
      <c r="AC256" s="213"/>
      <c r="AD256" s="213"/>
      <c r="AE256" s="213"/>
      <c r="AF256" s="213"/>
      <c r="AG256" s="213"/>
      <c r="AH256" s="213"/>
      <c r="AI256" s="213"/>
    </row>
    <row r="257" ht="15.75" customHeight="1">
      <c r="A257" s="213"/>
      <c r="B257" s="213"/>
      <c r="C257" s="213"/>
      <c r="D257" s="213"/>
      <c r="E257" s="213"/>
      <c r="F257" s="213"/>
      <c r="G257" s="213"/>
      <c r="H257" s="213"/>
      <c r="I257" s="213"/>
      <c r="J257" s="213"/>
      <c r="K257" s="213"/>
      <c r="L257" s="213"/>
      <c r="M257" s="213"/>
      <c r="N257" s="213"/>
      <c r="O257" s="328"/>
      <c r="P257" s="213"/>
      <c r="Q257" s="213"/>
      <c r="R257" s="213"/>
      <c r="S257" s="213"/>
      <c r="T257" s="213"/>
      <c r="U257" s="213"/>
      <c r="V257" s="213"/>
      <c r="W257" s="213"/>
      <c r="X257" s="213"/>
      <c r="Y257" s="213"/>
      <c r="Z257" s="213"/>
      <c r="AA257" s="213"/>
      <c r="AB257" s="213"/>
      <c r="AC257" s="213"/>
      <c r="AD257" s="213"/>
      <c r="AE257" s="213"/>
      <c r="AF257" s="213"/>
      <c r="AG257" s="213"/>
      <c r="AH257" s="213"/>
      <c r="AI257" s="213"/>
    </row>
    <row r="258" ht="15.75" customHeight="1">
      <c r="A258" s="213"/>
      <c r="B258" s="213"/>
      <c r="C258" s="213"/>
      <c r="D258" s="213"/>
      <c r="E258" s="213"/>
      <c r="F258" s="213"/>
      <c r="G258" s="213"/>
      <c r="H258" s="213"/>
      <c r="I258" s="213"/>
      <c r="J258" s="213"/>
      <c r="K258" s="213"/>
      <c r="L258" s="213"/>
      <c r="M258" s="213"/>
      <c r="N258" s="213"/>
      <c r="O258" s="328"/>
      <c r="P258" s="213"/>
      <c r="Q258" s="213"/>
      <c r="R258" s="213"/>
      <c r="S258" s="213"/>
      <c r="T258" s="213"/>
      <c r="U258" s="213"/>
      <c r="V258" s="213"/>
      <c r="W258" s="213"/>
      <c r="X258" s="213"/>
      <c r="Y258" s="213"/>
      <c r="Z258" s="213"/>
      <c r="AA258" s="213"/>
      <c r="AB258" s="213"/>
      <c r="AC258" s="213"/>
      <c r="AD258" s="213"/>
      <c r="AE258" s="213"/>
      <c r="AF258" s="213"/>
      <c r="AG258" s="213"/>
      <c r="AH258" s="213"/>
      <c r="AI258" s="213"/>
    </row>
    <row r="259" ht="15.75" customHeight="1">
      <c r="A259" s="213"/>
      <c r="B259" s="213"/>
      <c r="C259" s="213"/>
      <c r="D259" s="213"/>
      <c r="E259" s="213"/>
      <c r="F259" s="213"/>
      <c r="G259" s="213"/>
      <c r="H259" s="213"/>
      <c r="I259" s="213"/>
      <c r="J259" s="213"/>
      <c r="K259" s="213"/>
      <c r="L259" s="213"/>
      <c r="M259" s="213"/>
      <c r="N259" s="213"/>
      <c r="O259" s="328"/>
      <c r="P259" s="213"/>
      <c r="Q259" s="213"/>
      <c r="R259" s="213"/>
      <c r="S259" s="213"/>
      <c r="T259" s="213"/>
      <c r="U259" s="213"/>
      <c r="V259" s="213"/>
      <c r="W259" s="213"/>
      <c r="X259" s="213"/>
      <c r="Y259" s="213"/>
      <c r="Z259" s="213"/>
      <c r="AA259" s="213"/>
      <c r="AB259" s="213"/>
      <c r="AC259" s="213"/>
      <c r="AD259" s="213"/>
      <c r="AE259" s="213"/>
      <c r="AF259" s="213"/>
      <c r="AG259" s="213"/>
      <c r="AH259" s="213"/>
      <c r="AI259" s="213"/>
    </row>
    <row r="260" ht="15.75" customHeight="1">
      <c r="A260" s="213"/>
      <c r="B260" s="213"/>
      <c r="C260" s="213"/>
      <c r="D260" s="213"/>
      <c r="E260" s="213"/>
      <c r="F260" s="213"/>
      <c r="G260" s="213"/>
      <c r="H260" s="213"/>
      <c r="I260" s="213"/>
      <c r="J260" s="213"/>
      <c r="K260" s="213"/>
      <c r="L260" s="213"/>
      <c r="M260" s="213"/>
      <c r="N260" s="213"/>
      <c r="O260" s="328"/>
      <c r="P260" s="213"/>
      <c r="Q260" s="213"/>
      <c r="R260" s="213"/>
      <c r="S260" s="213"/>
      <c r="T260" s="213"/>
      <c r="U260" s="213"/>
      <c r="V260" s="213"/>
      <c r="W260" s="213"/>
      <c r="X260" s="213"/>
      <c r="Y260" s="213"/>
      <c r="Z260" s="213"/>
      <c r="AA260" s="213"/>
      <c r="AB260" s="213"/>
      <c r="AC260" s="213"/>
      <c r="AD260" s="213"/>
      <c r="AE260" s="213"/>
      <c r="AF260" s="213"/>
      <c r="AG260" s="213"/>
      <c r="AH260" s="213"/>
      <c r="AI260" s="213"/>
    </row>
    <row r="261" ht="15.75" customHeight="1">
      <c r="A261" s="213"/>
      <c r="B261" s="213"/>
      <c r="C261" s="213"/>
      <c r="D261" s="213"/>
      <c r="E261" s="213"/>
      <c r="F261" s="213"/>
      <c r="G261" s="213"/>
      <c r="H261" s="213"/>
      <c r="I261" s="213"/>
      <c r="J261" s="213"/>
      <c r="K261" s="213"/>
      <c r="L261" s="213"/>
      <c r="M261" s="213"/>
      <c r="N261" s="213"/>
      <c r="O261" s="328"/>
      <c r="P261" s="213"/>
      <c r="Q261" s="213"/>
      <c r="R261" s="213"/>
      <c r="S261" s="213"/>
      <c r="T261" s="213"/>
      <c r="U261" s="213"/>
      <c r="V261" s="213"/>
      <c r="W261" s="213"/>
      <c r="X261" s="213"/>
      <c r="Y261" s="213"/>
      <c r="Z261" s="213"/>
      <c r="AA261" s="213"/>
      <c r="AB261" s="213"/>
      <c r="AC261" s="213"/>
      <c r="AD261" s="213"/>
      <c r="AE261" s="213"/>
      <c r="AF261" s="213"/>
      <c r="AG261" s="213"/>
      <c r="AH261" s="213"/>
      <c r="AI261" s="213"/>
    </row>
    <row r="262" ht="15.75" customHeight="1">
      <c r="A262" s="213"/>
      <c r="B262" s="213"/>
      <c r="C262" s="213"/>
      <c r="D262" s="213"/>
      <c r="E262" s="213"/>
      <c r="F262" s="213"/>
      <c r="G262" s="213"/>
      <c r="H262" s="213"/>
      <c r="I262" s="213"/>
      <c r="J262" s="213"/>
      <c r="K262" s="213"/>
      <c r="L262" s="213"/>
      <c r="M262" s="213"/>
      <c r="N262" s="213"/>
      <c r="O262" s="328"/>
      <c r="P262" s="213"/>
      <c r="Q262" s="213"/>
      <c r="R262" s="213"/>
      <c r="S262" s="213"/>
      <c r="T262" s="213"/>
      <c r="U262" s="213"/>
      <c r="V262" s="213"/>
      <c r="W262" s="213"/>
      <c r="X262" s="213"/>
      <c r="Y262" s="213"/>
      <c r="Z262" s="213"/>
      <c r="AA262" s="213"/>
      <c r="AB262" s="213"/>
      <c r="AC262" s="213"/>
      <c r="AD262" s="213"/>
      <c r="AE262" s="213"/>
      <c r="AF262" s="213"/>
      <c r="AG262" s="213"/>
      <c r="AH262" s="213"/>
      <c r="AI262" s="213"/>
    </row>
    <row r="263" ht="15.75" customHeight="1">
      <c r="A263" s="213"/>
      <c r="B263" s="213"/>
      <c r="C263" s="213"/>
      <c r="D263" s="213"/>
      <c r="E263" s="213"/>
      <c r="F263" s="213"/>
      <c r="G263" s="213"/>
      <c r="H263" s="213"/>
      <c r="I263" s="213"/>
      <c r="J263" s="213"/>
      <c r="K263" s="213"/>
      <c r="L263" s="213"/>
      <c r="M263" s="213"/>
      <c r="N263" s="213"/>
      <c r="O263" s="328"/>
      <c r="P263" s="213"/>
      <c r="Q263" s="213"/>
      <c r="R263" s="213"/>
      <c r="S263" s="213"/>
      <c r="T263" s="213"/>
      <c r="U263" s="213"/>
      <c r="V263" s="213"/>
      <c r="W263" s="213"/>
      <c r="X263" s="213"/>
      <c r="Y263" s="213"/>
      <c r="Z263" s="213"/>
      <c r="AA263" s="213"/>
      <c r="AB263" s="213"/>
      <c r="AC263" s="213"/>
      <c r="AD263" s="213"/>
      <c r="AE263" s="213"/>
      <c r="AF263" s="213"/>
      <c r="AG263" s="213"/>
      <c r="AH263" s="213"/>
      <c r="AI263" s="213"/>
    </row>
    <row r="264" ht="15.75" customHeight="1">
      <c r="A264" s="213"/>
      <c r="B264" s="213"/>
      <c r="C264" s="213"/>
      <c r="D264" s="213"/>
      <c r="E264" s="213"/>
      <c r="F264" s="213"/>
      <c r="G264" s="213"/>
      <c r="H264" s="213"/>
      <c r="I264" s="213"/>
      <c r="J264" s="213"/>
      <c r="K264" s="213"/>
      <c r="L264" s="213"/>
      <c r="M264" s="213"/>
      <c r="N264" s="213"/>
      <c r="O264" s="328"/>
      <c r="P264" s="213"/>
      <c r="Q264" s="213"/>
      <c r="R264" s="213"/>
      <c r="S264" s="213"/>
      <c r="T264" s="213"/>
      <c r="U264" s="213"/>
      <c r="V264" s="213"/>
      <c r="W264" s="213"/>
      <c r="X264" s="213"/>
      <c r="Y264" s="213"/>
      <c r="Z264" s="213"/>
      <c r="AA264" s="213"/>
      <c r="AB264" s="213"/>
      <c r="AC264" s="213"/>
      <c r="AD264" s="213"/>
      <c r="AE264" s="213"/>
      <c r="AF264" s="213"/>
      <c r="AG264" s="213"/>
      <c r="AH264" s="213"/>
      <c r="AI264" s="213"/>
    </row>
    <row r="265" ht="15.75" customHeight="1">
      <c r="A265" s="213"/>
      <c r="B265" s="213"/>
      <c r="C265" s="213"/>
      <c r="D265" s="213"/>
      <c r="E265" s="213"/>
      <c r="F265" s="213"/>
      <c r="G265" s="213"/>
      <c r="H265" s="213"/>
      <c r="I265" s="213"/>
      <c r="J265" s="213"/>
      <c r="K265" s="213"/>
      <c r="L265" s="213"/>
      <c r="M265" s="213"/>
      <c r="N265" s="213"/>
      <c r="O265" s="328"/>
      <c r="P265" s="213"/>
      <c r="Q265" s="213"/>
      <c r="R265" s="213"/>
      <c r="S265" s="213"/>
      <c r="T265" s="213"/>
      <c r="U265" s="213"/>
      <c r="V265" s="213"/>
      <c r="W265" s="213"/>
      <c r="X265" s="213"/>
      <c r="Y265" s="213"/>
      <c r="Z265" s="213"/>
      <c r="AA265" s="213"/>
      <c r="AB265" s="213"/>
      <c r="AC265" s="213"/>
      <c r="AD265" s="213"/>
      <c r="AE265" s="213"/>
      <c r="AF265" s="213"/>
      <c r="AG265" s="213"/>
      <c r="AH265" s="213"/>
      <c r="AI265" s="213"/>
    </row>
    <row r="266" ht="15.75" customHeight="1">
      <c r="A266" s="213"/>
      <c r="B266" s="213"/>
      <c r="C266" s="213"/>
      <c r="D266" s="213"/>
      <c r="E266" s="213"/>
      <c r="F266" s="213"/>
      <c r="G266" s="213"/>
      <c r="H266" s="213"/>
      <c r="I266" s="213"/>
      <c r="J266" s="213"/>
      <c r="K266" s="213"/>
      <c r="L266" s="213"/>
      <c r="M266" s="213"/>
      <c r="N266" s="213"/>
      <c r="O266" s="328"/>
      <c r="P266" s="213"/>
      <c r="Q266" s="213"/>
      <c r="R266" s="213"/>
      <c r="S266" s="213"/>
      <c r="T266" s="213"/>
      <c r="U266" s="213"/>
      <c r="V266" s="213"/>
      <c r="W266" s="213"/>
      <c r="X266" s="213"/>
      <c r="Y266" s="213"/>
      <c r="Z266" s="213"/>
      <c r="AA266" s="213"/>
      <c r="AB266" s="213"/>
      <c r="AC266" s="213"/>
      <c r="AD266" s="213"/>
      <c r="AE266" s="213"/>
      <c r="AF266" s="213"/>
      <c r="AG266" s="213"/>
      <c r="AH266" s="213"/>
      <c r="AI266" s="213"/>
    </row>
    <row r="267" ht="15.75" customHeight="1">
      <c r="A267" s="213"/>
      <c r="B267" s="213"/>
      <c r="C267" s="213"/>
      <c r="D267" s="213"/>
      <c r="E267" s="213"/>
      <c r="F267" s="213"/>
      <c r="G267" s="213"/>
      <c r="H267" s="213"/>
      <c r="I267" s="213"/>
      <c r="J267" s="213"/>
      <c r="K267" s="213"/>
      <c r="L267" s="213"/>
      <c r="M267" s="213"/>
      <c r="N267" s="213"/>
      <c r="O267" s="328"/>
      <c r="P267" s="213"/>
      <c r="Q267" s="213"/>
      <c r="R267" s="213"/>
      <c r="S267" s="213"/>
      <c r="T267" s="213"/>
      <c r="U267" s="213"/>
      <c r="V267" s="213"/>
      <c r="W267" s="213"/>
      <c r="X267" s="213"/>
      <c r="Y267" s="213"/>
      <c r="Z267" s="213"/>
      <c r="AA267" s="213"/>
      <c r="AB267" s="213"/>
      <c r="AC267" s="213"/>
      <c r="AD267" s="213"/>
      <c r="AE267" s="213"/>
      <c r="AF267" s="213"/>
      <c r="AG267" s="213"/>
      <c r="AH267" s="213"/>
      <c r="AI267" s="213"/>
    </row>
    <row r="268" ht="15.75" customHeight="1">
      <c r="A268" s="213"/>
      <c r="B268" s="213"/>
      <c r="C268" s="213"/>
      <c r="D268" s="213"/>
      <c r="E268" s="213"/>
      <c r="F268" s="213"/>
      <c r="G268" s="213"/>
      <c r="H268" s="213"/>
      <c r="I268" s="213"/>
      <c r="J268" s="213"/>
      <c r="K268" s="213"/>
      <c r="L268" s="213"/>
      <c r="M268" s="213"/>
      <c r="N268" s="213"/>
      <c r="O268" s="328"/>
      <c r="P268" s="213"/>
      <c r="Q268" s="213"/>
      <c r="R268" s="213"/>
      <c r="S268" s="213"/>
      <c r="T268" s="213"/>
      <c r="U268" s="213"/>
      <c r="V268" s="213"/>
      <c r="W268" s="213"/>
      <c r="X268" s="213"/>
      <c r="Y268" s="213"/>
      <c r="Z268" s="213"/>
      <c r="AA268" s="213"/>
      <c r="AB268" s="213"/>
      <c r="AC268" s="213"/>
      <c r="AD268" s="213"/>
      <c r="AE268" s="213"/>
      <c r="AF268" s="213"/>
      <c r="AG268" s="213"/>
      <c r="AH268" s="213"/>
      <c r="AI268" s="213"/>
    </row>
    <row r="269" ht="15.75" customHeight="1">
      <c r="A269" s="213"/>
      <c r="B269" s="213"/>
      <c r="C269" s="213"/>
      <c r="D269" s="213"/>
      <c r="E269" s="213"/>
      <c r="F269" s="213"/>
      <c r="G269" s="213"/>
      <c r="H269" s="213"/>
      <c r="I269" s="213"/>
      <c r="J269" s="213"/>
      <c r="K269" s="213"/>
      <c r="L269" s="213"/>
      <c r="M269" s="213"/>
      <c r="N269" s="213"/>
      <c r="O269" s="328"/>
      <c r="P269" s="213"/>
      <c r="Q269" s="213"/>
      <c r="R269" s="213"/>
      <c r="S269" s="213"/>
      <c r="T269" s="213"/>
      <c r="U269" s="213"/>
      <c r="V269" s="213"/>
      <c r="W269" s="213"/>
      <c r="X269" s="213"/>
      <c r="Y269" s="213"/>
      <c r="Z269" s="213"/>
      <c r="AA269" s="213"/>
      <c r="AB269" s="213"/>
      <c r="AC269" s="213"/>
      <c r="AD269" s="213"/>
      <c r="AE269" s="213"/>
      <c r="AF269" s="213"/>
      <c r="AG269" s="213"/>
      <c r="AH269" s="213"/>
      <c r="AI269" s="213"/>
    </row>
    <row r="270" ht="15.75" customHeight="1">
      <c r="A270" s="213"/>
      <c r="B270" s="213"/>
      <c r="C270" s="213"/>
      <c r="D270" s="213"/>
      <c r="E270" s="213"/>
      <c r="F270" s="213"/>
      <c r="G270" s="213"/>
      <c r="H270" s="213"/>
      <c r="I270" s="213"/>
      <c r="J270" s="213"/>
      <c r="K270" s="213"/>
      <c r="L270" s="213"/>
      <c r="M270" s="213"/>
      <c r="N270" s="213"/>
      <c r="O270" s="328"/>
      <c r="P270" s="213"/>
      <c r="Q270" s="213"/>
      <c r="R270" s="213"/>
      <c r="S270" s="213"/>
      <c r="T270" s="213"/>
      <c r="U270" s="213"/>
      <c r="V270" s="213"/>
      <c r="W270" s="213"/>
      <c r="X270" s="213"/>
      <c r="Y270" s="213"/>
      <c r="Z270" s="213"/>
      <c r="AA270" s="213"/>
      <c r="AB270" s="213"/>
      <c r="AC270" s="213"/>
      <c r="AD270" s="213"/>
      <c r="AE270" s="213"/>
      <c r="AF270" s="213"/>
      <c r="AG270" s="213"/>
      <c r="AH270" s="213"/>
      <c r="AI270" s="213"/>
    </row>
    <row r="271" ht="15.75" customHeight="1">
      <c r="A271" s="213"/>
      <c r="B271" s="213"/>
      <c r="C271" s="213"/>
      <c r="D271" s="213"/>
      <c r="E271" s="213"/>
      <c r="F271" s="213"/>
      <c r="G271" s="213"/>
      <c r="H271" s="213"/>
      <c r="I271" s="213"/>
      <c r="J271" s="213"/>
      <c r="K271" s="213"/>
      <c r="L271" s="213"/>
      <c r="M271" s="213"/>
      <c r="N271" s="213"/>
      <c r="O271" s="328"/>
      <c r="P271" s="213"/>
      <c r="Q271" s="213"/>
      <c r="R271" s="213"/>
      <c r="S271" s="213"/>
      <c r="T271" s="213"/>
      <c r="U271" s="213"/>
      <c r="V271" s="213"/>
      <c r="W271" s="213"/>
      <c r="X271" s="213"/>
      <c r="Y271" s="213"/>
      <c r="Z271" s="213"/>
      <c r="AA271" s="213"/>
      <c r="AB271" s="213"/>
      <c r="AC271" s="213"/>
      <c r="AD271" s="213"/>
      <c r="AE271" s="213"/>
      <c r="AF271" s="213"/>
      <c r="AG271" s="213"/>
      <c r="AH271" s="213"/>
      <c r="AI271" s="213"/>
    </row>
    <row r="272" ht="15.75" customHeight="1">
      <c r="A272" s="213"/>
      <c r="B272" s="213"/>
      <c r="C272" s="213"/>
      <c r="D272" s="213"/>
      <c r="E272" s="213"/>
      <c r="F272" s="213"/>
      <c r="G272" s="213"/>
      <c r="H272" s="213"/>
      <c r="I272" s="213"/>
      <c r="J272" s="213"/>
      <c r="K272" s="213"/>
      <c r="L272" s="213"/>
      <c r="M272" s="213"/>
      <c r="N272" s="213"/>
      <c r="O272" s="328"/>
      <c r="P272" s="213"/>
      <c r="Q272" s="213"/>
      <c r="R272" s="213"/>
      <c r="S272" s="213"/>
      <c r="T272" s="213"/>
      <c r="U272" s="213"/>
      <c r="V272" s="213"/>
      <c r="W272" s="213"/>
      <c r="X272" s="213"/>
      <c r="Y272" s="213"/>
      <c r="Z272" s="213"/>
      <c r="AA272" s="213"/>
      <c r="AB272" s="213"/>
      <c r="AC272" s="213"/>
      <c r="AD272" s="213"/>
      <c r="AE272" s="213"/>
      <c r="AF272" s="213"/>
      <c r="AG272" s="213"/>
      <c r="AH272" s="213"/>
      <c r="AI272" s="213"/>
    </row>
    <row r="273" ht="15.75" customHeight="1">
      <c r="A273" s="213"/>
      <c r="B273" s="213"/>
      <c r="C273" s="213"/>
      <c r="D273" s="213"/>
      <c r="E273" s="213"/>
      <c r="F273" s="213"/>
      <c r="G273" s="213"/>
      <c r="H273" s="213"/>
      <c r="I273" s="213"/>
      <c r="J273" s="213"/>
      <c r="K273" s="213"/>
      <c r="L273" s="213"/>
      <c r="M273" s="213"/>
      <c r="N273" s="213"/>
      <c r="O273" s="328"/>
      <c r="P273" s="213"/>
      <c r="Q273" s="213"/>
      <c r="R273" s="213"/>
      <c r="S273" s="213"/>
      <c r="T273" s="213"/>
      <c r="U273" s="213"/>
      <c r="V273" s="213"/>
      <c r="W273" s="213"/>
      <c r="X273" s="213"/>
      <c r="Y273" s="213"/>
      <c r="Z273" s="213"/>
      <c r="AA273" s="213"/>
      <c r="AB273" s="213"/>
      <c r="AC273" s="213"/>
      <c r="AD273" s="213"/>
      <c r="AE273" s="213"/>
      <c r="AF273" s="213"/>
      <c r="AG273" s="213"/>
      <c r="AH273" s="213"/>
      <c r="AI273" s="213"/>
    </row>
    <row r="274" ht="15.75" customHeight="1">
      <c r="A274" s="213"/>
      <c r="B274" s="213"/>
      <c r="C274" s="213"/>
      <c r="D274" s="213"/>
      <c r="E274" s="213"/>
      <c r="F274" s="213"/>
      <c r="G274" s="213"/>
      <c r="H274" s="213"/>
      <c r="I274" s="213"/>
      <c r="J274" s="213"/>
      <c r="K274" s="213"/>
      <c r="L274" s="213"/>
      <c r="M274" s="213"/>
      <c r="N274" s="213"/>
      <c r="O274" s="328"/>
      <c r="P274" s="213"/>
      <c r="Q274" s="213"/>
      <c r="R274" s="213"/>
      <c r="S274" s="213"/>
      <c r="T274" s="213"/>
      <c r="U274" s="213"/>
      <c r="V274" s="213"/>
      <c r="W274" s="213"/>
      <c r="X274" s="213"/>
      <c r="Y274" s="213"/>
      <c r="Z274" s="213"/>
      <c r="AA274" s="213"/>
      <c r="AB274" s="213"/>
      <c r="AC274" s="213"/>
      <c r="AD274" s="213"/>
      <c r="AE274" s="213"/>
      <c r="AF274" s="213"/>
      <c r="AG274" s="213"/>
      <c r="AH274" s="213"/>
      <c r="AI274" s="213"/>
    </row>
    <row r="275" ht="15.75" customHeight="1">
      <c r="A275" s="213"/>
      <c r="B275" s="213"/>
      <c r="C275" s="213"/>
      <c r="D275" s="213"/>
      <c r="E275" s="213"/>
      <c r="F275" s="213"/>
      <c r="G275" s="213"/>
      <c r="H275" s="213"/>
      <c r="I275" s="213"/>
      <c r="J275" s="213"/>
      <c r="K275" s="213"/>
      <c r="L275" s="213"/>
      <c r="M275" s="213"/>
      <c r="N275" s="213"/>
      <c r="O275" s="328"/>
      <c r="P275" s="213"/>
      <c r="Q275" s="213"/>
      <c r="R275" s="213"/>
      <c r="S275" s="213"/>
      <c r="T275" s="213"/>
      <c r="U275" s="213"/>
      <c r="V275" s="213"/>
      <c r="W275" s="213"/>
      <c r="X275" s="213"/>
      <c r="Y275" s="213"/>
      <c r="Z275" s="213"/>
      <c r="AA275" s="213"/>
      <c r="AB275" s="213"/>
      <c r="AC275" s="213"/>
      <c r="AD275" s="213"/>
      <c r="AE275" s="213"/>
      <c r="AF275" s="213"/>
      <c r="AG275" s="213"/>
      <c r="AH275" s="213"/>
      <c r="AI275" s="213"/>
    </row>
    <row r="276" ht="15.75" customHeight="1">
      <c r="A276" s="213"/>
      <c r="B276" s="213"/>
      <c r="C276" s="213"/>
      <c r="D276" s="213"/>
      <c r="E276" s="213"/>
      <c r="F276" s="213"/>
      <c r="G276" s="213"/>
      <c r="H276" s="213"/>
      <c r="I276" s="213"/>
      <c r="J276" s="213"/>
      <c r="K276" s="213"/>
      <c r="L276" s="213"/>
      <c r="M276" s="213"/>
      <c r="N276" s="213"/>
      <c r="O276" s="328"/>
      <c r="P276" s="213"/>
      <c r="Q276" s="213"/>
      <c r="R276" s="213"/>
      <c r="S276" s="213"/>
      <c r="T276" s="213"/>
      <c r="U276" s="213"/>
      <c r="V276" s="213"/>
      <c r="W276" s="213"/>
      <c r="X276" s="213"/>
      <c r="Y276" s="213"/>
      <c r="Z276" s="213"/>
      <c r="AA276" s="213"/>
      <c r="AB276" s="213"/>
      <c r="AC276" s="213"/>
      <c r="AD276" s="213"/>
      <c r="AE276" s="213"/>
      <c r="AF276" s="213"/>
      <c r="AG276" s="213"/>
      <c r="AH276" s="213"/>
      <c r="AI276" s="213"/>
    </row>
    <row r="277" ht="15.75" customHeight="1">
      <c r="A277" s="213"/>
      <c r="B277" s="213"/>
      <c r="C277" s="213"/>
      <c r="D277" s="213"/>
      <c r="E277" s="213"/>
      <c r="F277" s="213"/>
      <c r="G277" s="213"/>
      <c r="H277" s="213"/>
      <c r="I277" s="213"/>
      <c r="J277" s="213"/>
      <c r="K277" s="213"/>
      <c r="L277" s="213"/>
      <c r="M277" s="213"/>
      <c r="N277" s="213"/>
      <c r="O277" s="328"/>
      <c r="P277" s="213"/>
      <c r="Q277" s="213"/>
      <c r="R277" s="213"/>
      <c r="S277" s="213"/>
      <c r="T277" s="213"/>
      <c r="U277" s="213"/>
      <c r="V277" s="213"/>
      <c r="W277" s="213"/>
      <c r="X277" s="213"/>
      <c r="Y277" s="213"/>
      <c r="Z277" s="213"/>
      <c r="AA277" s="213"/>
      <c r="AB277" s="213"/>
      <c r="AC277" s="213"/>
      <c r="AD277" s="213"/>
      <c r="AE277" s="213"/>
      <c r="AF277" s="213"/>
      <c r="AG277" s="213"/>
      <c r="AH277" s="213"/>
      <c r="AI277" s="213"/>
    </row>
    <row r="278" ht="15.75" customHeight="1">
      <c r="A278" s="213"/>
      <c r="B278" s="213"/>
      <c r="C278" s="213"/>
      <c r="D278" s="213"/>
      <c r="E278" s="213"/>
      <c r="F278" s="213"/>
      <c r="G278" s="213"/>
      <c r="H278" s="213"/>
      <c r="I278" s="213"/>
      <c r="J278" s="213"/>
      <c r="K278" s="213"/>
      <c r="L278" s="213"/>
      <c r="M278" s="213"/>
      <c r="N278" s="213"/>
      <c r="O278" s="328"/>
      <c r="P278" s="213"/>
      <c r="Q278" s="213"/>
      <c r="R278" s="213"/>
      <c r="S278" s="213"/>
      <c r="T278" s="213"/>
      <c r="U278" s="213"/>
      <c r="V278" s="213"/>
      <c r="W278" s="213"/>
      <c r="X278" s="213"/>
      <c r="Y278" s="213"/>
      <c r="Z278" s="213"/>
      <c r="AA278" s="213"/>
      <c r="AB278" s="213"/>
      <c r="AC278" s="213"/>
      <c r="AD278" s="213"/>
      <c r="AE278" s="213"/>
      <c r="AF278" s="213"/>
      <c r="AG278" s="213"/>
      <c r="AH278" s="213"/>
      <c r="AI278" s="213"/>
    </row>
    <row r="279" ht="15.75" customHeight="1">
      <c r="A279" s="213"/>
      <c r="B279" s="213"/>
      <c r="C279" s="213"/>
      <c r="D279" s="213"/>
      <c r="E279" s="213"/>
      <c r="F279" s="213"/>
      <c r="G279" s="213"/>
      <c r="H279" s="213"/>
      <c r="I279" s="213"/>
      <c r="J279" s="213"/>
      <c r="K279" s="213"/>
      <c r="L279" s="213"/>
      <c r="M279" s="213"/>
      <c r="N279" s="213"/>
      <c r="O279" s="328"/>
      <c r="P279" s="213"/>
      <c r="Q279" s="213"/>
      <c r="R279" s="213"/>
      <c r="S279" s="213"/>
      <c r="T279" s="213"/>
      <c r="U279" s="213"/>
      <c r="V279" s="213"/>
      <c r="W279" s="213"/>
      <c r="X279" s="213"/>
      <c r="Y279" s="213"/>
      <c r="Z279" s="213"/>
      <c r="AA279" s="213"/>
      <c r="AB279" s="213"/>
      <c r="AC279" s="213"/>
      <c r="AD279" s="213"/>
      <c r="AE279" s="213"/>
      <c r="AF279" s="213"/>
      <c r="AG279" s="213"/>
      <c r="AH279" s="213"/>
      <c r="AI279" s="213"/>
    </row>
    <row r="280" ht="15.75" customHeight="1">
      <c r="A280" s="213"/>
      <c r="B280" s="213"/>
      <c r="C280" s="213"/>
      <c r="D280" s="213"/>
      <c r="E280" s="213"/>
      <c r="F280" s="213"/>
      <c r="G280" s="213"/>
      <c r="H280" s="213"/>
      <c r="I280" s="213"/>
      <c r="J280" s="213"/>
      <c r="K280" s="213"/>
      <c r="L280" s="213"/>
      <c r="M280" s="213"/>
      <c r="N280" s="213"/>
      <c r="O280" s="328"/>
      <c r="P280" s="213"/>
      <c r="Q280" s="213"/>
      <c r="R280" s="213"/>
      <c r="S280" s="213"/>
      <c r="T280" s="213"/>
      <c r="U280" s="213"/>
      <c r="V280" s="213"/>
      <c r="W280" s="213"/>
      <c r="X280" s="213"/>
      <c r="Y280" s="213"/>
      <c r="Z280" s="213"/>
      <c r="AA280" s="213"/>
      <c r="AB280" s="213"/>
      <c r="AC280" s="213"/>
      <c r="AD280" s="213"/>
      <c r="AE280" s="213"/>
      <c r="AF280" s="213"/>
      <c r="AG280" s="213"/>
      <c r="AH280" s="213"/>
      <c r="AI280" s="213"/>
    </row>
    <row r="281" ht="15.75" customHeight="1">
      <c r="A281" s="213"/>
      <c r="B281" s="213"/>
      <c r="C281" s="213"/>
      <c r="D281" s="213"/>
      <c r="E281" s="213"/>
      <c r="F281" s="213"/>
      <c r="G281" s="213"/>
      <c r="H281" s="213"/>
      <c r="I281" s="213"/>
      <c r="J281" s="213"/>
      <c r="K281" s="213"/>
      <c r="L281" s="213"/>
      <c r="M281" s="213"/>
      <c r="N281" s="213"/>
      <c r="O281" s="328"/>
      <c r="P281" s="213"/>
      <c r="Q281" s="213"/>
      <c r="R281" s="213"/>
      <c r="S281" s="213"/>
      <c r="T281" s="213"/>
      <c r="U281" s="213"/>
      <c r="V281" s="213"/>
      <c r="W281" s="213"/>
      <c r="X281" s="213"/>
      <c r="Y281" s="213"/>
      <c r="Z281" s="213"/>
      <c r="AA281" s="213"/>
      <c r="AB281" s="213"/>
      <c r="AC281" s="213"/>
      <c r="AD281" s="213"/>
      <c r="AE281" s="213"/>
      <c r="AF281" s="213"/>
      <c r="AG281" s="213"/>
      <c r="AH281" s="213"/>
      <c r="AI281" s="213"/>
    </row>
    <row r="282" ht="15.75" customHeight="1">
      <c r="A282" s="213"/>
      <c r="B282" s="213"/>
      <c r="C282" s="213"/>
      <c r="D282" s="213"/>
      <c r="E282" s="213"/>
      <c r="F282" s="213"/>
      <c r="G282" s="213"/>
      <c r="H282" s="213"/>
      <c r="I282" s="213"/>
      <c r="J282" s="213"/>
      <c r="K282" s="213"/>
      <c r="L282" s="213"/>
      <c r="M282" s="213"/>
      <c r="N282" s="213"/>
      <c r="O282" s="328"/>
      <c r="P282" s="213"/>
      <c r="Q282" s="213"/>
      <c r="R282" s="213"/>
      <c r="S282" s="213"/>
      <c r="T282" s="213"/>
      <c r="U282" s="213"/>
      <c r="V282" s="213"/>
      <c r="W282" s="213"/>
      <c r="X282" s="213"/>
      <c r="Y282" s="213"/>
      <c r="Z282" s="213"/>
      <c r="AA282" s="213"/>
      <c r="AB282" s="213"/>
      <c r="AC282" s="213"/>
      <c r="AD282" s="213"/>
      <c r="AE282" s="213"/>
      <c r="AF282" s="213"/>
      <c r="AG282" s="213"/>
      <c r="AH282" s="213"/>
      <c r="AI282" s="213"/>
    </row>
    <row r="283" ht="15.75" customHeight="1">
      <c r="A283" s="213"/>
      <c r="B283" s="213"/>
      <c r="C283" s="213"/>
      <c r="D283" s="213"/>
      <c r="E283" s="213"/>
      <c r="F283" s="213"/>
      <c r="G283" s="213"/>
      <c r="H283" s="213"/>
      <c r="I283" s="213"/>
      <c r="J283" s="213"/>
      <c r="K283" s="213"/>
      <c r="L283" s="213"/>
      <c r="M283" s="213"/>
      <c r="N283" s="213"/>
      <c r="O283" s="328"/>
      <c r="P283" s="213"/>
      <c r="Q283" s="213"/>
      <c r="R283" s="213"/>
      <c r="S283" s="213"/>
      <c r="T283" s="213"/>
      <c r="U283" s="213"/>
      <c r="V283" s="213"/>
      <c r="W283" s="213"/>
      <c r="X283" s="213"/>
      <c r="Y283" s="213"/>
      <c r="Z283" s="213"/>
      <c r="AA283" s="213"/>
      <c r="AB283" s="213"/>
      <c r="AC283" s="213"/>
      <c r="AD283" s="213"/>
      <c r="AE283" s="213"/>
      <c r="AF283" s="213"/>
      <c r="AG283" s="213"/>
      <c r="AH283" s="213"/>
      <c r="AI283" s="213"/>
    </row>
    <row r="284" ht="15.75" customHeight="1">
      <c r="A284" s="213"/>
      <c r="B284" s="213"/>
      <c r="C284" s="213"/>
      <c r="D284" s="213"/>
      <c r="E284" s="213"/>
      <c r="F284" s="213"/>
      <c r="G284" s="213"/>
      <c r="H284" s="213"/>
      <c r="I284" s="213"/>
      <c r="J284" s="213"/>
      <c r="K284" s="213"/>
      <c r="L284" s="213"/>
      <c r="M284" s="213"/>
      <c r="N284" s="213"/>
      <c r="O284" s="328"/>
      <c r="P284" s="213"/>
      <c r="Q284" s="213"/>
      <c r="R284" s="213"/>
      <c r="S284" s="213"/>
      <c r="T284" s="213"/>
      <c r="U284" s="213"/>
      <c r="V284" s="213"/>
      <c r="W284" s="213"/>
      <c r="X284" s="213"/>
      <c r="Y284" s="213"/>
      <c r="Z284" s="213"/>
      <c r="AA284" s="213"/>
      <c r="AB284" s="213"/>
      <c r="AC284" s="213"/>
      <c r="AD284" s="213"/>
      <c r="AE284" s="213"/>
      <c r="AF284" s="213"/>
      <c r="AG284" s="213"/>
      <c r="AH284" s="213"/>
      <c r="AI284" s="213"/>
    </row>
    <row r="285" ht="15.75" customHeight="1">
      <c r="A285" s="213"/>
      <c r="B285" s="213"/>
      <c r="C285" s="213"/>
      <c r="D285" s="213"/>
      <c r="E285" s="213"/>
      <c r="F285" s="213"/>
      <c r="G285" s="213"/>
      <c r="H285" s="213"/>
      <c r="I285" s="213"/>
      <c r="J285" s="213"/>
      <c r="K285" s="213"/>
      <c r="L285" s="213"/>
      <c r="M285" s="213"/>
      <c r="N285" s="213"/>
      <c r="O285" s="328"/>
      <c r="P285" s="213"/>
      <c r="Q285" s="213"/>
      <c r="R285" s="213"/>
      <c r="S285" s="213"/>
      <c r="T285" s="213"/>
      <c r="U285" s="213"/>
      <c r="V285" s="213"/>
      <c r="W285" s="213"/>
      <c r="X285" s="213"/>
      <c r="Y285" s="213"/>
      <c r="Z285" s="213"/>
      <c r="AA285" s="213"/>
      <c r="AB285" s="213"/>
      <c r="AC285" s="213"/>
      <c r="AD285" s="213"/>
      <c r="AE285" s="213"/>
      <c r="AF285" s="213"/>
      <c r="AG285" s="213"/>
      <c r="AH285" s="213"/>
      <c r="AI285" s="213"/>
    </row>
    <row r="286" ht="15.75" customHeight="1">
      <c r="A286" s="213"/>
      <c r="B286" s="213"/>
      <c r="C286" s="213"/>
      <c r="D286" s="213"/>
      <c r="E286" s="213"/>
      <c r="F286" s="213"/>
      <c r="G286" s="213"/>
      <c r="H286" s="213"/>
      <c r="I286" s="213"/>
      <c r="J286" s="213"/>
      <c r="K286" s="213"/>
      <c r="L286" s="213"/>
      <c r="M286" s="213"/>
      <c r="N286" s="213"/>
      <c r="O286" s="328"/>
      <c r="P286" s="213"/>
      <c r="Q286" s="213"/>
      <c r="R286" s="213"/>
      <c r="S286" s="213"/>
      <c r="T286" s="213"/>
      <c r="U286" s="213"/>
      <c r="V286" s="213"/>
      <c r="W286" s="213"/>
      <c r="X286" s="213"/>
      <c r="Y286" s="213"/>
      <c r="Z286" s="213"/>
      <c r="AA286" s="213"/>
      <c r="AB286" s="213"/>
      <c r="AC286" s="213"/>
      <c r="AD286" s="213"/>
      <c r="AE286" s="213"/>
      <c r="AF286" s="213"/>
      <c r="AG286" s="213"/>
      <c r="AH286" s="213"/>
      <c r="AI286" s="213"/>
    </row>
    <row r="287" ht="15.75" customHeight="1">
      <c r="A287" s="213"/>
      <c r="B287" s="213"/>
      <c r="C287" s="213"/>
      <c r="D287" s="213"/>
      <c r="E287" s="213"/>
      <c r="F287" s="213"/>
      <c r="G287" s="213"/>
      <c r="H287" s="213"/>
      <c r="I287" s="213"/>
      <c r="J287" s="213"/>
      <c r="K287" s="213"/>
      <c r="L287" s="213"/>
      <c r="M287" s="213"/>
      <c r="N287" s="213"/>
      <c r="O287" s="328"/>
      <c r="P287" s="213"/>
      <c r="Q287" s="213"/>
      <c r="R287" s="213"/>
      <c r="S287" s="213"/>
      <c r="T287" s="213"/>
      <c r="U287" s="213"/>
      <c r="V287" s="213"/>
      <c r="W287" s="213"/>
      <c r="X287" s="213"/>
      <c r="Y287" s="213"/>
      <c r="Z287" s="213"/>
      <c r="AA287" s="213"/>
      <c r="AB287" s="213"/>
      <c r="AC287" s="213"/>
      <c r="AD287" s="213"/>
      <c r="AE287" s="213"/>
      <c r="AF287" s="213"/>
      <c r="AG287" s="213"/>
      <c r="AH287" s="213"/>
      <c r="AI287" s="213"/>
    </row>
    <row r="288" ht="15.75" customHeight="1">
      <c r="A288" s="213"/>
      <c r="B288" s="213"/>
      <c r="C288" s="213"/>
      <c r="D288" s="213"/>
      <c r="E288" s="213"/>
      <c r="F288" s="213"/>
      <c r="G288" s="213"/>
      <c r="H288" s="213"/>
      <c r="I288" s="213"/>
      <c r="J288" s="213"/>
      <c r="K288" s="213"/>
      <c r="L288" s="213"/>
      <c r="M288" s="213"/>
      <c r="N288" s="213"/>
      <c r="O288" s="328"/>
      <c r="P288" s="213"/>
      <c r="Q288" s="213"/>
      <c r="R288" s="213"/>
      <c r="S288" s="213"/>
      <c r="T288" s="213"/>
      <c r="U288" s="213"/>
      <c r="V288" s="213"/>
      <c r="W288" s="213"/>
      <c r="X288" s="213"/>
      <c r="Y288" s="213"/>
      <c r="Z288" s="213"/>
      <c r="AA288" s="213"/>
      <c r="AB288" s="213"/>
      <c r="AC288" s="213"/>
      <c r="AD288" s="213"/>
      <c r="AE288" s="213"/>
      <c r="AF288" s="213"/>
      <c r="AG288" s="213"/>
      <c r="AH288" s="213"/>
      <c r="AI288" s="213"/>
    </row>
    <row r="289" ht="15.75" customHeight="1">
      <c r="A289" s="213"/>
      <c r="B289" s="213"/>
      <c r="C289" s="213"/>
      <c r="D289" s="213"/>
      <c r="E289" s="213"/>
      <c r="F289" s="213"/>
      <c r="G289" s="213"/>
      <c r="H289" s="213"/>
      <c r="I289" s="213"/>
      <c r="J289" s="213"/>
      <c r="K289" s="213"/>
      <c r="L289" s="213"/>
      <c r="M289" s="213"/>
      <c r="N289" s="213"/>
      <c r="O289" s="328"/>
      <c r="P289" s="213"/>
      <c r="Q289" s="213"/>
      <c r="R289" s="213"/>
      <c r="S289" s="213"/>
      <c r="T289" s="213"/>
      <c r="U289" s="213"/>
      <c r="V289" s="213"/>
      <c r="W289" s="213"/>
      <c r="X289" s="213"/>
      <c r="Y289" s="213"/>
      <c r="Z289" s="213"/>
      <c r="AA289" s="213"/>
      <c r="AB289" s="213"/>
      <c r="AC289" s="213"/>
      <c r="AD289" s="213"/>
      <c r="AE289" s="213"/>
      <c r="AF289" s="213"/>
      <c r="AG289" s="213"/>
      <c r="AH289" s="213"/>
      <c r="AI289" s="213"/>
    </row>
    <row r="290" ht="15.75" customHeight="1">
      <c r="A290" s="213"/>
      <c r="B290" s="213"/>
      <c r="C290" s="213"/>
      <c r="D290" s="213"/>
      <c r="E290" s="213"/>
      <c r="F290" s="213"/>
      <c r="G290" s="213"/>
      <c r="H290" s="213"/>
      <c r="I290" s="213"/>
      <c r="J290" s="213"/>
      <c r="K290" s="213"/>
      <c r="L290" s="213"/>
      <c r="M290" s="213"/>
      <c r="N290" s="213"/>
      <c r="O290" s="328"/>
      <c r="P290" s="213"/>
      <c r="Q290" s="213"/>
      <c r="R290" s="213"/>
      <c r="S290" s="213"/>
      <c r="T290" s="213"/>
      <c r="U290" s="213"/>
      <c r="V290" s="213"/>
      <c r="W290" s="213"/>
      <c r="X290" s="213"/>
      <c r="Y290" s="213"/>
      <c r="Z290" s="213"/>
      <c r="AA290" s="213"/>
      <c r="AB290" s="213"/>
      <c r="AC290" s="213"/>
      <c r="AD290" s="213"/>
      <c r="AE290" s="213"/>
      <c r="AF290" s="213"/>
      <c r="AG290" s="213"/>
      <c r="AH290" s="213"/>
      <c r="AI290" s="213"/>
    </row>
    <row r="291" ht="15.75" customHeight="1">
      <c r="A291" s="213"/>
      <c r="B291" s="213"/>
      <c r="C291" s="213"/>
      <c r="D291" s="213"/>
      <c r="E291" s="213"/>
      <c r="F291" s="213"/>
      <c r="G291" s="213"/>
      <c r="H291" s="213"/>
      <c r="I291" s="213"/>
      <c r="J291" s="213"/>
      <c r="K291" s="213"/>
      <c r="L291" s="213"/>
      <c r="M291" s="213"/>
      <c r="N291" s="213"/>
      <c r="O291" s="328"/>
      <c r="P291" s="213"/>
      <c r="Q291" s="213"/>
      <c r="R291" s="213"/>
      <c r="S291" s="213"/>
      <c r="T291" s="213"/>
      <c r="U291" s="213"/>
      <c r="V291" s="213"/>
      <c r="W291" s="213"/>
      <c r="X291" s="213"/>
      <c r="Y291" s="213"/>
      <c r="Z291" s="213"/>
      <c r="AA291" s="213"/>
      <c r="AB291" s="213"/>
      <c r="AC291" s="213"/>
      <c r="AD291" s="213"/>
      <c r="AE291" s="213"/>
      <c r="AF291" s="213"/>
      <c r="AG291" s="213"/>
      <c r="AH291" s="213"/>
      <c r="AI291" s="213"/>
    </row>
    <row r="292" ht="15.75" customHeight="1">
      <c r="A292" s="213"/>
      <c r="B292" s="213"/>
      <c r="C292" s="213"/>
      <c r="D292" s="213"/>
      <c r="E292" s="213"/>
      <c r="F292" s="213"/>
      <c r="G292" s="213"/>
      <c r="H292" s="213"/>
      <c r="I292" s="213"/>
      <c r="J292" s="213"/>
      <c r="K292" s="213"/>
      <c r="L292" s="213"/>
      <c r="M292" s="213"/>
      <c r="N292" s="213"/>
      <c r="O292" s="328"/>
      <c r="P292" s="213"/>
      <c r="Q292" s="213"/>
      <c r="R292" s="213"/>
      <c r="S292" s="213"/>
      <c r="T292" s="213"/>
      <c r="U292" s="213"/>
      <c r="V292" s="213"/>
      <c r="W292" s="213"/>
      <c r="X292" s="213"/>
      <c r="Y292" s="213"/>
      <c r="Z292" s="213"/>
      <c r="AA292" s="213"/>
      <c r="AB292" s="213"/>
      <c r="AC292" s="213"/>
      <c r="AD292" s="213"/>
      <c r="AE292" s="213"/>
      <c r="AF292" s="213"/>
      <c r="AG292" s="213"/>
      <c r="AH292" s="213"/>
      <c r="AI292" s="213"/>
    </row>
    <row r="293" ht="15.75" customHeight="1">
      <c r="A293" s="213"/>
      <c r="B293" s="213"/>
      <c r="C293" s="213"/>
      <c r="D293" s="213"/>
      <c r="E293" s="213"/>
      <c r="F293" s="213"/>
      <c r="G293" s="213"/>
      <c r="H293" s="213"/>
      <c r="I293" s="213"/>
      <c r="J293" s="213"/>
      <c r="K293" s="213"/>
      <c r="L293" s="213"/>
      <c r="M293" s="213"/>
      <c r="N293" s="213"/>
      <c r="O293" s="328"/>
      <c r="P293" s="213"/>
      <c r="Q293" s="213"/>
      <c r="R293" s="213"/>
      <c r="S293" s="213"/>
      <c r="T293" s="213"/>
      <c r="U293" s="213"/>
      <c r="V293" s="213"/>
      <c r="W293" s="213"/>
      <c r="X293" s="213"/>
      <c r="Y293" s="213"/>
      <c r="Z293" s="213"/>
      <c r="AA293" s="213"/>
      <c r="AB293" s="213"/>
      <c r="AC293" s="213"/>
      <c r="AD293" s="213"/>
      <c r="AE293" s="213"/>
      <c r="AF293" s="213"/>
      <c r="AG293" s="213"/>
      <c r="AH293" s="213"/>
      <c r="AI293" s="213"/>
    </row>
    <row r="294" ht="15.75" customHeight="1">
      <c r="A294" s="213"/>
      <c r="B294" s="213"/>
      <c r="C294" s="213"/>
      <c r="D294" s="213"/>
      <c r="E294" s="213"/>
      <c r="F294" s="213"/>
      <c r="G294" s="213"/>
      <c r="H294" s="213"/>
      <c r="I294" s="213"/>
      <c r="J294" s="213"/>
      <c r="K294" s="213"/>
      <c r="L294" s="213"/>
      <c r="M294" s="213"/>
      <c r="N294" s="213"/>
      <c r="O294" s="328"/>
      <c r="P294" s="213"/>
      <c r="Q294" s="213"/>
      <c r="R294" s="213"/>
      <c r="S294" s="213"/>
      <c r="T294" s="213"/>
      <c r="U294" s="213"/>
      <c r="V294" s="213"/>
      <c r="W294" s="213"/>
      <c r="X294" s="213"/>
      <c r="Y294" s="213"/>
      <c r="Z294" s="213"/>
      <c r="AA294" s="213"/>
      <c r="AB294" s="213"/>
      <c r="AC294" s="213"/>
      <c r="AD294" s="213"/>
      <c r="AE294" s="213"/>
      <c r="AF294" s="213"/>
      <c r="AG294" s="213"/>
      <c r="AH294" s="213"/>
      <c r="AI294" s="213"/>
    </row>
    <row r="295" ht="15.75" customHeight="1">
      <c r="A295" s="213"/>
      <c r="B295" s="213"/>
      <c r="C295" s="213"/>
      <c r="D295" s="213"/>
      <c r="E295" s="213"/>
      <c r="F295" s="213"/>
      <c r="G295" s="213"/>
      <c r="H295" s="213"/>
      <c r="I295" s="213"/>
      <c r="J295" s="213"/>
      <c r="K295" s="213"/>
      <c r="L295" s="213"/>
      <c r="M295" s="213"/>
      <c r="N295" s="213"/>
      <c r="O295" s="328"/>
      <c r="P295" s="213"/>
      <c r="Q295" s="213"/>
      <c r="R295" s="213"/>
      <c r="S295" s="213"/>
      <c r="T295" s="213"/>
      <c r="U295" s="213"/>
      <c r="V295" s="213"/>
      <c r="W295" s="213"/>
      <c r="X295" s="213"/>
      <c r="Y295" s="213"/>
      <c r="Z295" s="213"/>
      <c r="AA295" s="213"/>
      <c r="AB295" s="213"/>
      <c r="AC295" s="213"/>
      <c r="AD295" s="213"/>
      <c r="AE295" s="213"/>
      <c r="AF295" s="213"/>
      <c r="AG295" s="213"/>
      <c r="AH295" s="213"/>
      <c r="AI295" s="213"/>
    </row>
    <row r="296" ht="15.75" customHeight="1">
      <c r="A296" s="213"/>
      <c r="B296" s="213"/>
      <c r="C296" s="213"/>
      <c r="D296" s="213"/>
      <c r="E296" s="213"/>
      <c r="F296" s="213"/>
      <c r="G296" s="213"/>
      <c r="H296" s="213"/>
      <c r="I296" s="213"/>
      <c r="J296" s="213"/>
      <c r="K296" s="213"/>
      <c r="L296" s="213"/>
      <c r="M296" s="213"/>
      <c r="N296" s="213"/>
      <c r="O296" s="328"/>
      <c r="P296" s="213"/>
      <c r="Q296" s="213"/>
      <c r="R296" s="213"/>
      <c r="S296" s="213"/>
      <c r="T296" s="213"/>
      <c r="U296" s="213"/>
      <c r="V296" s="213"/>
      <c r="W296" s="213"/>
      <c r="X296" s="213"/>
      <c r="Y296" s="213"/>
      <c r="Z296" s="213"/>
      <c r="AA296" s="213"/>
      <c r="AB296" s="213"/>
      <c r="AC296" s="213"/>
      <c r="AD296" s="213"/>
      <c r="AE296" s="213"/>
      <c r="AF296" s="213"/>
      <c r="AG296" s="213"/>
      <c r="AH296" s="213"/>
      <c r="AI296" s="213"/>
    </row>
    <row r="297" ht="15.75" customHeight="1">
      <c r="A297" s="213"/>
      <c r="B297" s="213"/>
      <c r="C297" s="213"/>
      <c r="D297" s="213"/>
      <c r="E297" s="213"/>
      <c r="F297" s="213"/>
      <c r="G297" s="213"/>
      <c r="H297" s="213"/>
      <c r="I297" s="213"/>
      <c r="J297" s="213"/>
      <c r="K297" s="213"/>
      <c r="L297" s="213"/>
      <c r="M297" s="213"/>
      <c r="N297" s="213"/>
      <c r="O297" s="328"/>
      <c r="P297" s="213"/>
      <c r="Q297" s="213"/>
      <c r="R297" s="213"/>
      <c r="S297" s="213"/>
      <c r="T297" s="213"/>
      <c r="U297" s="213"/>
      <c r="V297" s="213"/>
      <c r="W297" s="213"/>
      <c r="X297" s="213"/>
      <c r="Y297" s="213"/>
      <c r="Z297" s="213"/>
      <c r="AA297" s="213"/>
      <c r="AB297" s="213"/>
      <c r="AC297" s="213"/>
      <c r="AD297" s="213"/>
      <c r="AE297" s="213"/>
      <c r="AF297" s="213"/>
      <c r="AG297" s="213"/>
      <c r="AH297" s="213"/>
      <c r="AI297" s="213"/>
    </row>
    <row r="298" ht="15.75" customHeight="1">
      <c r="A298" s="213"/>
      <c r="B298" s="213"/>
      <c r="C298" s="213"/>
      <c r="D298" s="213"/>
      <c r="E298" s="213"/>
      <c r="F298" s="213"/>
      <c r="G298" s="213"/>
      <c r="H298" s="213"/>
      <c r="I298" s="213"/>
      <c r="J298" s="213"/>
      <c r="K298" s="213"/>
      <c r="L298" s="213"/>
      <c r="M298" s="213"/>
      <c r="N298" s="213"/>
      <c r="O298" s="328"/>
      <c r="P298" s="213"/>
      <c r="Q298" s="213"/>
      <c r="R298" s="213"/>
      <c r="S298" s="213"/>
      <c r="T298" s="213"/>
      <c r="U298" s="213"/>
      <c r="V298" s="213"/>
      <c r="W298" s="213"/>
      <c r="X298" s="213"/>
      <c r="Y298" s="213"/>
      <c r="Z298" s="213"/>
      <c r="AA298" s="213"/>
      <c r="AB298" s="213"/>
      <c r="AC298" s="213"/>
      <c r="AD298" s="213"/>
      <c r="AE298" s="213"/>
      <c r="AF298" s="213"/>
      <c r="AG298" s="213"/>
      <c r="AH298" s="213"/>
      <c r="AI298" s="213"/>
    </row>
    <row r="299" ht="15.75" customHeight="1">
      <c r="A299" s="213"/>
      <c r="B299" s="213"/>
      <c r="C299" s="213"/>
      <c r="D299" s="213"/>
      <c r="E299" s="213"/>
      <c r="F299" s="213"/>
      <c r="G299" s="213"/>
      <c r="H299" s="213"/>
      <c r="I299" s="213"/>
      <c r="J299" s="213"/>
      <c r="K299" s="213"/>
      <c r="L299" s="213"/>
      <c r="M299" s="213"/>
      <c r="N299" s="213"/>
      <c r="O299" s="328"/>
      <c r="P299" s="213"/>
      <c r="Q299" s="213"/>
      <c r="R299" s="213"/>
      <c r="S299" s="213"/>
      <c r="T299" s="213"/>
      <c r="U299" s="213"/>
      <c r="V299" s="213"/>
      <c r="W299" s="213"/>
      <c r="X299" s="213"/>
      <c r="Y299" s="213"/>
      <c r="Z299" s="213"/>
      <c r="AA299" s="213"/>
      <c r="AB299" s="213"/>
      <c r="AC299" s="213"/>
      <c r="AD299" s="213"/>
      <c r="AE299" s="213"/>
      <c r="AF299" s="213"/>
      <c r="AG299" s="213"/>
      <c r="AH299" s="213"/>
      <c r="AI299" s="213"/>
    </row>
    <row r="300" ht="15.75" customHeight="1">
      <c r="A300" s="213"/>
      <c r="B300" s="213"/>
      <c r="C300" s="213"/>
      <c r="D300" s="213"/>
      <c r="E300" s="213"/>
      <c r="F300" s="213"/>
      <c r="G300" s="213"/>
      <c r="H300" s="213"/>
      <c r="I300" s="213"/>
      <c r="J300" s="213"/>
      <c r="K300" s="213"/>
      <c r="L300" s="213"/>
      <c r="M300" s="213"/>
      <c r="N300" s="213"/>
      <c r="O300" s="328"/>
      <c r="P300" s="213"/>
      <c r="Q300" s="213"/>
      <c r="R300" s="213"/>
      <c r="S300" s="213"/>
      <c r="T300" s="213"/>
      <c r="U300" s="213"/>
      <c r="V300" s="213"/>
      <c r="W300" s="213"/>
      <c r="X300" s="213"/>
      <c r="Y300" s="213"/>
      <c r="Z300" s="213"/>
      <c r="AA300" s="213"/>
      <c r="AB300" s="213"/>
      <c r="AC300" s="213"/>
      <c r="AD300" s="213"/>
      <c r="AE300" s="213"/>
      <c r="AF300" s="213"/>
      <c r="AG300" s="213"/>
      <c r="AH300" s="213"/>
      <c r="AI300" s="213"/>
    </row>
    <row r="301" ht="15.75" customHeight="1">
      <c r="A301" s="213"/>
      <c r="B301" s="213"/>
      <c r="C301" s="213"/>
      <c r="D301" s="213"/>
      <c r="E301" s="213"/>
      <c r="F301" s="213"/>
      <c r="G301" s="213"/>
      <c r="H301" s="213"/>
      <c r="I301" s="213"/>
      <c r="J301" s="213"/>
      <c r="K301" s="213"/>
      <c r="L301" s="213"/>
      <c r="M301" s="213"/>
      <c r="N301" s="213"/>
      <c r="O301" s="328"/>
      <c r="P301" s="213"/>
      <c r="Q301" s="213"/>
      <c r="R301" s="213"/>
      <c r="S301" s="213"/>
      <c r="T301" s="213"/>
      <c r="U301" s="213"/>
      <c r="V301" s="213"/>
      <c r="W301" s="213"/>
      <c r="X301" s="213"/>
      <c r="Y301" s="213"/>
      <c r="Z301" s="213"/>
      <c r="AA301" s="213"/>
      <c r="AB301" s="213"/>
      <c r="AC301" s="213"/>
      <c r="AD301" s="213"/>
      <c r="AE301" s="213"/>
      <c r="AF301" s="213"/>
      <c r="AG301" s="213"/>
      <c r="AH301" s="213"/>
      <c r="AI301" s="213"/>
    </row>
    <row r="302" ht="15.75" customHeight="1">
      <c r="A302" s="213"/>
      <c r="B302" s="213"/>
      <c r="C302" s="213"/>
      <c r="D302" s="213"/>
      <c r="E302" s="213"/>
      <c r="F302" s="213"/>
      <c r="G302" s="213"/>
      <c r="H302" s="213"/>
      <c r="I302" s="213"/>
      <c r="J302" s="213"/>
      <c r="K302" s="213"/>
      <c r="L302" s="213"/>
      <c r="M302" s="213"/>
      <c r="N302" s="213"/>
      <c r="O302" s="328"/>
      <c r="P302" s="213"/>
      <c r="Q302" s="213"/>
      <c r="R302" s="213"/>
      <c r="S302" s="213"/>
      <c r="T302" s="213"/>
      <c r="U302" s="213"/>
      <c r="V302" s="213"/>
      <c r="W302" s="213"/>
      <c r="X302" s="213"/>
      <c r="Y302" s="213"/>
      <c r="Z302" s="213"/>
      <c r="AA302" s="213"/>
      <c r="AB302" s="213"/>
      <c r="AC302" s="213"/>
      <c r="AD302" s="213"/>
      <c r="AE302" s="213"/>
      <c r="AF302" s="213"/>
      <c r="AG302" s="213"/>
      <c r="AH302" s="213"/>
      <c r="AI302" s="213"/>
    </row>
    <row r="303" ht="15.75" customHeight="1">
      <c r="A303" s="213"/>
      <c r="B303" s="213"/>
      <c r="C303" s="213"/>
      <c r="D303" s="213"/>
      <c r="E303" s="213"/>
      <c r="F303" s="213"/>
      <c r="G303" s="213"/>
      <c r="H303" s="213"/>
      <c r="I303" s="213"/>
      <c r="J303" s="213"/>
      <c r="K303" s="213"/>
      <c r="L303" s="213"/>
      <c r="M303" s="213"/>
      <c r="N303" s="213"/>
      <c r="O303" s="328"/>
      <c r="P303" s="213"/>
      <c r="Q303" s="213"/>
      <c r="R303" s="213"/>
      <c r="S303" s="213"/>
      <c r="T303" s="213"/>
      <c r="U303" s="213"/>
      <c r="V303" s="213"/>
      <c r="W303" s="213"/>
      <c r="X303" s="213"/>
      <c r="Y303" s="213"/>
      <c r="Z303" s="213"/>
      <c r="AA303" s="213"/>
      <c r="AB303" s="213"/>
      <c r="AC303" s="213"/>
      <c r="AD303" s="213"/>
      <c r="AE303" s="213"/>
      <c r="AF303" s="213"/>
      <c r="AG303" s="213"/>
      <c r="AH303" s="213"/>
      <c r="AI303" s="213"/>
    </row>
    <row r="304" ht="15.75" customHeight="1">
      <c r="A304" s="213"/>
      <c r="B304" s="213"/>
      <c r="C304" s="213"/>
      <c r="D304" s="213"/>
      <c r="E304" s="213"/>
      <c r="F304" s="213"/>
      <c r="G304" s="213"/>
      <c r="H304" s="213"/>
      <c r="I304" s="213"/>
      <c r="J304" s="213"/>
      <c r="K304" s="213"/>
      <c r="L304" s="213"/>
      <c r="M304" s="213"/>
      <c r="N304" s="213"/>
      <c r="O304" s="328"/>
      <c r="P304" s="213"/>
      <c r="Q304" s="213"/>
      <c r="R304" s="213"/>
      <c r="S304" s="213"/>
      <c r="T304" s="213"/>
      <c r="U304" s="213"/>
      <c r="V304" s="213"/>
      <c r="W304" s="213"/>
      <c r="X304" s="213"/>
      <c r="Y304" s="213"/>
      <c r="Z304" s="213"/>
      <c r="AA304" s="213"/>
      <c r="AB304" s="213"/>
      <c r="AC304" s="213"/>
      <c r="AD304" s="213"/>
      <c r="AE304" s="213"/>
      <c r="AF304" s="213"/>
      <c r="AG304" s="213"/>
      <c r="AH304" s="213"/>
      <c r="AI304" s="213"/>
    </row>
    <row r="305" ht="15.75" customHeight="1">
      <c r="A305" s="213"/>
      <c r="B305" s="213"/>
      <c r="C305" s="213"/>
      <c r="D305" s="213"/>
      <c r="E305" s="213"/>
      <c r="F305" s="213"/>
      <c r="G305" s="213"/>
      <c r="H305" s="213"/>
      <c r="I305" s="213"/>
      <c r="J305" s="213"/>
      <c r="K305" s="213"/>
      <c r="L305" s="213"/>
      <c r="M305" s="213"/>
      <c r="N305" s="213"/>
      <c r="O305" s="328"/>
      <c r="P305" s="213"/>
      <c r="Q305" s="213"/>
      <c r="R305" s="213"/>
      <c r="S305" s="213"/>
      <c r="T305" s="213"/>
      <c r="U305" s="213"/>
      <c r="V305" s="213"/>
      <c r="W305" s="213"/>
      <c r="X305" s="213"/>
      <c r="Y305" s="213"/>
      <c r="Z305" s="213"/>
      <c r="AA305" s="213"/>
      <c r="AB305" s="213"/>
      <c r="AC305" s="213"/>
      <c r="AD305" s="213"/>
      <c r="AE305" s="213"/>
      <c r="AF305" s="213"/>
      <c r="AG305" s="213"/>
      <c r="AH305" s="213"/>
      <c r="AI305" s="213"/>
    </row>
    <row r="306" ht="15.75" customHeight="1">
      <c r="A306" s="213"/>
      <c r="B306" s="213"/>
      <c r="C306" s="213"/>
      <c r="D306" s="213"/>
      <c r="E306" s="213"/>
      <c r="F306" s="213"/>
      <c r="G306" s="213"/>
      <c r="H306" s="213"/>
      <c r="I306" s="213"/>
      <c r="J306" s="213"/>
      <c r="K306" s="213"/>
      <c r="L306" s="213"/>
      <c r="M306" s="213"/>
      <c r="N306" s="213"/>
      <c r="O306" s="328"/>
      <c r="P306" s="213"/>
      <c r="Q306" s="213"/>
      <c r="R306" s="213"/>
      <c r="S306" s="213"/>
      <c r="T306" s="213"/>
      <c r="U306" s="213"/>
      <c r="V306" s="213"/>
      <c r="W306" s="213"/>
      <c r="X306" s="213"/>
      <c r="Y306" s="213"/>
      <c r="Z306" s="213"/>
      <c r="AA306" s="213"/>
      <c r="AB306" s="213"/>
      <c r="AC306" s="213"/>
      <c r="AD306" s="213"/>
      <c r="AE306" s="213"/>
      <c r="AF306" s="213"/>
      <c r="AG306" s="213"/>
      <c r="AH306" s="213"/>
      <c r="AI306" s="213"/>
    </row>
    <row r="307" ht="15.75" customHeight="1">
      <c r="A307" s="213"/>
      <c r="B307" s="213"/>
      <c r="C307" s="213"/>
      <c r="D307" s="213"/>
      <c r="E307" s="213"/>
      <c r="F307" s="213"/>
      <c r="G307" s="213"/>
      <c r="H307" s="213"/>
      <c r="I307" s="213"/>
      <c r="J307" s="213"/>
      <c r="K307" s="213"/>
      <c r="L307" s="213"/>
      <c r="M307" s="213"/>
      <c r="N307" s="213"/>
      <c r="O307" s="328"/>
      <c r="P307" s="213"/>
      <c r="Q307" s="213"/>
      <c r="R307" s="213"/>
      <c r="S307" s="213"/>
      <c r="T307" s="213"/>
      <c r="U307" s="213"/>
      <c r="V307" s="213"/>
      <c r="W307" s="213"/>
      <c r="X307" s="213"/>
      <c r="Y307" s="213"/>
      <c r="Z307" s="213"/>
      <c r="AA307" s="213"/>
      <c r="AB307" s="213"/>
      <c r="AC307" s="213"/>
      <c r="AD307" s="213"/>
      <c r="AE307" s="213"/>
      <c r="AF307" s="213"/>
      <c r="AG307" s="213"/>
      <c r="AH307" s="213"/>
      <c r="AI307" s="213"/>
    </row>
    <row r="308" ht="15.75" customHeight="1">
      <c r="A308" s="213"/>
      <c r="B308" s="213"/>
      <c r="C308" s="213"/>
      <c r="D308" s="213"/>
      <c r="E308" s="213"/>
      <c r="F308" s="213"/>
      <c r="G308" s="213"/>
      <c r="H308" s="213"/>
      <c r="I308" s="213"/>
      <c r="J308" s="213"/>
      <c r="K308" s="213"/>
      <c r="L308" s="213"/>
      <c r="M308" s="213"/>
      <c r="N308" s="213"/>
      <c r="O308" s="328"/>
      <c r="P308" s="213"/>
      <c r="Q308" s="213"/>
      <c r="R308" s="213"/>
      <c r="S308" s="213"/>
      <c r="T308" s="213"/>
      <c r="U308" s="213"/>
      <c r="V308" s="213"/>
      <c r="W308" s="213"/>
      <c r="X308" s="213"/>
      <c r="Y308" s="213"/>
      <c r="Z308" s="213"/>
      <c r="AA308" s="213"/>
      <c r="AB308" s="213"/>
      <c r="AC308" s="213"/>
      <c r="AD308" s="213"/>
      <c r="AE308" s="213"/>
      <c r="AF308" s="213"/>
      <c r="AG308" s="213"/>
      <c r="AH308" s="213"/>
      <c r="AI308" s="213"/>
    </row>
    <row r="309" ht="15.75" customHeight="1">
      <c r="A309" s="213"/>
      <c r="B309" s="213"/>
      <c r="C309" s="213"/>
      <c r="D309" s="213"/>
      <c r="E309" s="213"/>
      <c r="F309" s="213"/>
      <c r="G309" s="213"/>
      <c r="H309" s="213"/>
      <c r="I309" s="213"/>
      <c r="J309" s="213"/>
      <c r="K309" s="213"/>
      <c r="L309" s="213"/>
      <c r="M309" s="213"/>
      <c r="N309" s="213"/>
      <c r="O309" s="328"/>
      <c r="P309" s="213"/>
      <c r="Q309" s="213"/>
      <c r="R309" s="213"/>
      <c r="S309" s="213"/>
      <c r="T309" s="213"/>
      <c r="U309" s="213"/>
      <c r="V309" s="213"/>
      <c r="W309" s="213"/>
      <c r="X309" s="213"/>
      <c r="Y309" s="213"/>
      <c r="Z309" s="213"/>
      <c r="AA309" s="213"/>
      <c r="AB309" s="213"/>
      <c r="AC309" s="213"/>
      <c r="AD309" s="213"/>
      <c r="AE309" s="213"/>
      <c r="AF309" s="213"/>
      <c r="AG309" s="213"/>
      <c r="AH309" s="213"/>
      <c r="AI309" s="213"/>
    </row>
    <row r="310" ht="15.75" customHeight="1">
      <c r="A310" s="213"/>
      <c r="B310" s="213"/>
      <c r="C310" s="213"/>
      <c r="D310" s="213"/>
      <c r="E310" s="213"/>
      <c r="F310" s="213"/>
      <c r="G310" s="213"/>
      <c r="H310" s="213"/>
      <c r="I310" s="213"/>
      <c r="J310" s="213"/>
      <c r="K310" s="213"/>
      <c r="L310" s="213"/>
      <c r="M310" s="213"/>
      <c r="N310" s="213"/>
      <c r="O310" s="328"/>
      <c r="P310" s="213"/>
      <c r="Q310" s="213"/>
      <c r="R310" s="213"/>
      <c r="S310" s="213"/>
      <c r="T310" s="213"/>
      <c r="U310" s="213"/>
      <c r="V310" s="213"/>
      <c r="W310" s="213"/>
      <c r="X310" s="213"/>
      <c r="Y310" s="213"/>
      <c r="Z310" s="213"/>
      <c r="AA310" s="213"/>
      <c r="AB310" s="213"/>
      <c r="AC310" s="213"/>
      <c r="AD310" s="213"/>
      <c r="AE310" s="213"/>
      <c r="AF310" s="213"/>
      <c r="AG310" s="213"/>
      <c r="AH310" s="213"/>
      <c r="AI310" s="213"/>
    </row>
    <row r="311" ht="15.75" customHeight="1">
      <c r="A311" s="213"/>
      <c r="B311" s="213"/>
      <c r="C311" s="213"/>
      <c r="D311" s="213"/>
      <c r="E311" s="213"/>
      <c r="F311" s="213"/>
      <c r="G311" s="213"/>
      <c r="H311" s="213"/>
      <c r="I311" s="213"/>
      <c r="J311" s="213"/>
      <c r="K311" s="213"/>
      <c r="L311" s="213"/>
      <c r="M311" s="213"/>
      <c r="N311" s="213"/>
      <c r="O311" s="328"/>
      <c r="P311" s="213"/>
      <c r="Q311" s="213"/>
      <c r="R311" s="213"/>
      <c r="S311" s="213"/>
      <c r="T311" s="213"/>
      <c r="U311" s="213"/>
      <c r="V311" s="213"/>
      <c r="W311" s="213"/>
      <c r="X311" s="213"/>
      <c r="Y311" s="213"/>
      <c r="Z311" s="213"/>
      <c r="AA311" s="213"/>
      <c r="AB311" s="213"/>
      <c r="AC311" s="213"/>
      <c r="AD311" s="213"/>
      <c r="AE311" s="213"/>
      <c r="AF311" s="213"/>
      <c r="AG311" s="213"/>
      <c r="AH311" s="213"/>
      <c r="AI311" s="213"/>
    </row>
    <row r="312" ht="15.75" customHeight="1">
      <c r="A312" s="213"/>
      <c r="B312" s="213"/>
      <c r="C312" s="213"/>
      <c r="D312" s="213"/>
      <c r="E312" s="213"/>
      <c r="F312" s="213"/>
      <c r="G312" s="213"/>
      <c r="H312" s="213"/>
      <c r="I312" s="213"/>
      <c r="J312" s="213"/>
      <c r="K312" s="213"/>
      <c r="L312" s="213"/>
      <c r="M312" s="213"/>
      <c r="N312" s="213"/>
      <c r="O312" s="328"/>
      <c r="P312" s="213"/>
      <c r="Q312" s="213"/>
      <c r="R312" s="213"/>
      <c r="S312" s="213"/>
      <c r="T312" s="213"/>
      <c r="U312" s="213"/>
      <c r="V312" s="213"/>
      <c r="W312" s="213"/>
      <c r="X312" s="213"/>
      <c r="Y312" s="213"/>
      <c r="Z312" s="213"/>
      <c r="AA312" s="213"/>
      <c r="AB312" s="213"/>
      <c r="AC312" s="213"/>
      <c r="AD312" s="213"/>
      <c r="AE312" s="213"/>
      <c r="AF312" s="213"/>
      <c r="AG312" s="213"/>
      <c r="AH312" s="213"/>
      <c r="AI312" s="213"/>
    </row>
    <row r="313" ht="15.75" customHeight="1">
      <c r="A313" s="213"/>
      <c r="B313" s="213"/>
      <c r="C313" s="213"/>
      <c r="D313" s="213"/>
      <c r="E313" s="213"/>
      <c r="F313" s="213"/>
      <c r="G313" s="213"/>
      <c r="H313" s="213"/>
      <c r="I313" s="213"/>
      <c r="J313" s="213"/>
      <c r="K313" s="213"/>
      <c r="L313" s="213"/>
      <c r="M313" s="213"/>
      <c r="N313" s="213"/>
      <c r="O313" s="328"/>
      <c r="P313" s="213"/>
      <c r="Q313" s="213"/>
      <c r="R313" s="213"/>
      <c r="S313" s="213"/>
      <c r="T313" s="213"/>
      <c r="U313" s="213"/>
      <c r="V313" s="213"/>
      <c r="W313" s="213"/>
      <c r="X313" s="213"/>
      <c r="Y313" s="213"/>
      <c r="Z313" s="213"/>
      <c r="AA313" s="213"/>
      <c r="AB313" s="213"/>
      <c r="AC313" s="213"/>
      <c r="AD313" s="213"/>
      <c r="AE313" s="213"/>
      <c r="AF313" s="213"/>
      <c r="AG313" s="213"/>
      <c r="AH313" s="213"/>
      <c r="AI313" s="213"/>
    </row>
    <row r="314" ht="15.75" customHeight="1">
      <c r="A314" s="213"/>
      <c r="B314" s="213"/>
      <c r="C314" s="213"/>
      <c r="D314" s="213"/>
      <c r="E314" s="213"/>
      <c r="F314" s="213"/>
      <c r="G314" s="213"/>
      <c r="H314" s="213"/>
      <c r="I314" s="213"/>
      <c r="J314" s="213"/>
      <c r="K314" s="213"/>
      <c r="L314" s="213"/>
      <c r="M314" s="213"/>
      <c r="N314" s="213"/>
      <c r="O314" s="328"/>
      <c r="P314" s="213"/>
      <c r="Q314" s="213"/>
      <c r="R314" s="213"/>
      <c r="S314" s="213"/>
      <c r="T314" s="213"/>
      <c r="U314" s="213"/>
      <c r="V314" s="213"/>
      <c r="W314" s="213"/>
      <c r="X314" s="213"/>
      <c r="Y314" s="213"/>
      <c r="Z314" s="213"/>
      <c r="AA314" s="213"/>
      <c r="AB314" s="213"/>
      <c r="AC314" s="213"/>
      <c r="AD314" s="213"/>
      <c r="AE314" s="213"/>
      <c r="AF314" s="213"/>
      <c r="AG314" s="213"/>
      <c r="AH314" s="213"/>
      <c r="AI314" s="213"/>
    </row>
    <row r="315" ht="15.75" customHeight="1">
      <c r="A315" s="213"/>
      <c r="B315" s="213"/>
      <c r="C315" s="213"/>
      <c r="D315" s="213"/>
      <c r="E315" s="213"/>
      <c r="F315" s="213"/>
      <c r="G315" s="213"/>
      <c r="H315" s="213"/>
      <c r="I315" s="213"/>
      <c r="J315" s="213"/>
      <c r="K315" s="213"/>
      <c r="L315" s="213"/>
      <c r="M315" s="213"/>
      <c r="N315" s="213"/>
      <c r="O315" s="328"/>
      <c r="P315" s="213"/>
      <c r="Q315" s="213"/>
      <c r="R315" s="213"/>
      <c r="S315" s="213"/>
      <c r="T315" s="213"/>
      <c r="U315" s="213"/>
      <c r="V315" s="213"/>
      <c r="W315" s="213"/>
      <c r="X315" s="213"/>
      <c r="Y315" s="213"/>
      <c r="Z315" s="213"/>
      <c r="AA315" s="213"/>
      <c r="AB315" s="213"/>
      <c r="AC315" s="213"/>
      <c r="AD315" s="213"/>
      <c r="AE315" s="213"/>
      <c r="AF315" s="213"/>
      <c r="AG315" s="213"/>
      <c r="AH315" s="213"/>
      <c r="AI315" s="213"/>
    </row>
    <row r="316" ht="15.75" customHeight="1">
      <c r="A316" s="213"/>
      <c r="B316" s="213"/>
      <c r="C316" s="213"/>
      <c r="D316" s="213"/>
      <c r="E316" s="213"/>
      <c r="F316" s="213"/>
      <c r="G316" s="213"/>
      <c r="H316" s="213"/>
      <c r="I316" s="213"/>
      <c r="J316" s="213"/>
      <c r="K316" s="213"/>
      <c r="L316" s="213"/>
      <c r="M316" s="213"/>
      <c r="N316" s="213"/>
      <c r="O316" s="328"/>
      <c r="P316" s="213"/>
      <c r="Q316" s="213"/>
      <c r="R316" s="213"/>
      <c r="S316" s="213"/>
      <c r="T316" s="213"/>
      <c r="U316" s="213"/>
      <c r="V316" s="213"/>
      <c r="W316" s="213"/>
      <c r="X316" s="213"/>
      <c r="Y316" s="213"/>
      <c r="Z316" s="213"/>
      <c r="AA316" s="213"/>
      <c r="AB316" s="213"/>
      <c r="AC316" s="213"/>
      <c r="AD316" s="213"/>
      <c r="AE316" s="213"/>
      <c r="AF316" s="213"/>
      <c r="AG316" s="213"/>
      <c r="AH316" s="213"/>
      <c r="AI316" s="213"/>
    </row>
    <row r="317" ht="15.75" customHeight="1">
      <c r="A317" s="213"/>
      <c r="B317" s="213"/>
      <c r="C317" s="213"/>
      <c r="D317" s="213"/>
      <c r="E317" s="213"/>
      <c r="F317" s="213"/>
      <c r="G317" s="213"/>
      <c r="H317" s="213"/>
      <c r="I317" s="213"/>
      <c r="J317" s="213"/>
      <c r="K317" s="213"/>
      <c r="L317" s="213"/>
      <c r="M317" s="213"/>
      <c r="N317" s="213"/>
      <c r="O317" s="328"/>
      <c r="P317" s="213"/>
      <c r="Q317" s="213"/>
      <c r="R317" s="213"/>
      <c r="S317" s="213"/>
      <c r="T317" s="213"/>
      <c r="U317" s="213"/>
      <c r="V317" s="213"/>
      <c r="W317" s="213"/>
      <c r="X317" s="213"/>
      <c r="Y317" s="213"/>
      <c r="Z317" s="213"/>
      <c r="AA317" s="213"/>
      <c r="AB317" s="213"/>
      <c r="AC317" s="213"/>
      <c r="AD317" s="213"/>
      <c r="AE317" s="213"/>
      <c r="AF317" s="213"/>
      <c r="AG317" s="213"/>
      <c r="AH317" s="213"/>
      <c r="AI317" s="213"/>
    </row>
    <row r="318" ht="15.75" customHeight="1">
      <c r="A318" s="213"/>
      <c r="B318" s="213"/>
      <c r="C318" s="213"/>
      <c r="D318" s="213"/>
      <c r="E318" s="213"/>
      <c r="F318" s="213"/>
      <c r="G318" s="213"/>
      <c r="H318" s="213"/>
      <c r="I318" s="213"/>
      <c r="J318" s="213"/>
      <c r="K318" s="213"/>
      <c r="L318" s="213"/>
      <c r="M318" s="213"/>
      <c r="N318" s="213"/>
      <c r="O318" s="328"/>
      <c r="P318" s="213"/>
      <c r="Q318" s="213"/>
      <c r="R318" s="213"/>
      <c r="S318" s="213"/>
      <c r="T318" s="213"/>
      <c r="U318" s="213"/>
      <c r="V318" s="213"/>
      <c r="W318" s="213"/>
      <c r="X318" s="213"/>
      <c r="Y318" s="213"/>
      <c r="Z318" s="213"/>
      <c r="AA318" s="213"/>
      <c r="AB318" s="213"/>
      <c r="AC318" s="213"/>
      <c r="AD318" s="213"/>
      <c r="AE318" s="213"/>
      <c r="AF318" s="213"/>
      <c r="AG318" s="213"/>
      <c r="AH318" s="213"/>
      <c r="AI318" s="213"/>
    </row>
    <row r="319" ht="15.75" customHeight="1">
      <c r="A319" s="213"/>
      <c r="B319" s="213"/>
      <c r="C319" s="213"/>
      <c r="D319" s="213"/>
      <c r="E319" s="213"/>
      <c r="F319" s="213"/>
      <c r="G319" s="213"/>
      <c r="H319" s="213"/>
      <c r="I319" s="213"/>
      <c r="J319" s="213"/>
      <c r="K319" s="213"/>
      <c r="L319" s="213"/>
      <c r="M319" s="213"/>
      <c r="N319" s="213"/>
      <c r="O319" s="328"/>
      <c r="P319" s="213"/>
      <c r="Q319" s="213"/>
      <c r="R319" s="213"/>
      <c r="S319" s="213"/>
      <c r="T319" s="213"/>
      <c r="U319" s="213"/>
      <c r="V319" s="213"/>
      <c r="W319" s="213"/>
      <c r="X319" s="213"/>
      <c r="Y319" s="213"/>
      <c r="Z319" s="213"/>
      <c r="AA319" s="213"/>
      <c r="AB319" s="213"/>
      <c r="AC319" s="213"/>
      <c r="AD319" s="213"/>
      <c r="AE319" s="213"/>
      <c r="AF319" s="213"/>
      <c r="AG319" s="213"/>
      <c r="AH319" s="213"/>
      <c r="AI319" s="213"/>
    </row>
    <row r="320" ht="15.75" customHeight="1">
      <c r="A320" s="213"/>
      <c r="B320" s="213"/>
      <c r="C320" s="213"/>
      <c r="D320" s="213"/>
      <c r="E320" s="213"/>
      <c r="F320" s="213"/>
      <c r="G320" s="213"/>
      <c r="H320" s="213"/>
      <c r="I320" s="213"/>
      <c r="J320" s="213"/>
      <c r="K320" s="213"/>
      <c r="L320" s="213"/>
      <c r="M320" s="213"/>
      <c r="N320" s="213"/>
      <c r="O320" s="328"/>
      <c r="P320" s="213"/>
      <c r="Q320" s="213"/>
      <c r="R320" s="213"/>
      <c r="S320" s="213"/>
      <c r="T320" s="213"/>
      <c r="U320" s="213"/>
      <c r="V320" s="213"/>
      <c r="W320" s="213"/>
      <c r="X320" s="213"/>
      <c r="Y320" s="213"/>
      <c r="Z320" s="213"/>
      <c r="AA320" s="213"/>
      <c r="AB320" s="213"/>
      <c r="AC320" s="213"/>
      <c r="AD320" s="213"/>
      <c r="AE320" s="213"/>
      <c r="AF320" s="213"/>
      <c r="AG320" s="213"/>
      <c r="AH320" s="213"/>
      <c r="AI320" s="213"/>
    </row>
    <row r="321" ht="15.75" customHeight="1">
      <c r="A321" s="213"/>
      <c r="B321" s="213"/>
      <c r="C321" s="213"/>
      <c r="D321" s="213"/>
      <c r="E321" s="213"/>
      <c r="F321" s="213"/>
      <c r="G321" s="213"/>
      <c r="H321" s="213"/>
      <c r="I321" s="213"/>
      <c r="J321" s="213"/>
      <c r="K321" s="213"/>
      <c r="L321" s="213"/>
      <c r="M321" s="213"/>
      <c r="N321" s="213"/>
      <c r="O321" s="328"/>
      <c r="P321" s="213"/>
      <c r="Q321" s="213"/>
      <c r="R321" s="213"/>
      <c r="S321" s="213"/>
      <c r="T321" s="213"/>
      <c r="U321" s="213"/>
      <c r="V321" s="213"/>
      <c r="W321" s="213"/>
      <c r="X321" s="213"/>
      <c r="Y321" s="213"/>
      <c r="Z321" s="213"/>
      <c r="AA321" s="213"/>
      <c r="AB321" s="213"/>
      <c r="AC321" s="213"/>
      <c r="AD321" s="213"/>
      <c r="AE321" s="213"/>
      <c r="AF321" s="213"/>
      <c r="AG321" s="213"/>
      <c r="AH321" s="213"/>
      <c r="AI321" s="213"/>
    </row>
    <row r="322" ht="15.75" customHeight="1">
      <c r="A322" s="213"/>
      <c r="B322" s="213"/>
      <c r="C322" s="213"/>
      <c r="D322" s="213"/>
      <c r="E322" s="213"/>
      <c r="F322" s="213"/>
      <c r="G322" s="213"/>
      <c r="H322" s="213"/>
      <c r="I322" s="213"/>
      <c r="J322" s="213"/>
      <c r="K322" s="213"/>
      <c r="L322" s="213"/>
      <c r="M322" s="213"/>
      <c r="N322" s="213"/>
      <c r="O322" s="328"/>
      <c r="P322" s="213"/>
      <c r="Q322" s="213"/>
      <c r="R322" s="213"/>
      <c r="S322" s="213"/>
      <c r="T322" s="213"/>
      <c r="U322" s="213"/>
      <c r="V322" s="213"/>
      <c r="W322" s="213"/>
      <c r="X322" s="213"/>
      <c r="Y322" s="213"/>
      <c r="Z322" s="213"/>
      <c r="AA322" s="213"/>
      <c r="AB322" s="213"/>
      <c r="AC322" s="213"/>
      <c r="AD322" s="213"/>
      <c r="AE322" s="213"/>
      <c r="AF322" s="213"/>
      <c r="AG322" s="213"/>
      <c r="AH322" s="213"/>
      <c r="AI322" s="213"/>
    </row>
    <row r="323" ht="15.75" customHeight="1">
      <c r="A323" s="213"/>
      <c r="B323" s="213"/>
      <c r="C323" s="213"/>
      <c r="D323" s="213"/>
      <c r="E323" s="213"/>
      <c r="F323" s="213"/>
      <c r="G323" s="213"/>
      <c r="H323" s="213"/>
      <c r="I323" s="213"/>
      <c r="J323" s="213"/>
      <c r="K323" s="213"/>
      <c r="L323" s="213"/>
      <c r="M323" s="213"/>
      <c r="N323" s="213"/>
      <c r="O323" s="328"/>
      <c r="P323" s="213"/>
      <c r="Q323" s="213"/>
      <c r="R323" s="213"/>
      <c r="S323" s="213"/>
      <c r="T323" s="213"/>
      <c r="U323" s="213"/>
      <c r="V323" s="213"/>
      <c r="W323" s="213"/>
      <c r="X323" s="213"/>
      <c r="Y323" s="213"/>
      <c r="Z323" s="213"/>
      <c r="AA323" s="213"/>
      <c r="AB323" s="213"/>
      <c r="AC323" s="213"/>
      <c r="AD323" s="213"/>
      <c r="AE323" s="213"/>
      <c r="AF323" s="213"/>
      <c r="AG323" s="213"/>
      <c r="AH323" s="213"/>
      <c r="AI323" s="213"/>
    </row>
    <row r="324" ht="15.75" customHeight="1">
      <c r="A324" s="213"/>
      <c r="B324" s="213"/>
      <c r="C324" s="213"/>
      <c r="D324" s="213"/>
      <c r="E324" s="213"/>
      <c r="F324" s="213"/>
      <c r="G324" s="213"/>
      <c r="H324" s="213"/>
      <c r="I324" s="213"/>
      <c r="J324" s="213"/>
      <c r="K324" s="213"/>
      <c r="L324" s="213"/>
      <c r="M324" s="213"/>
      <c r="N324" s="213"/>
      <c r="O324" s="328"/>
      <c r="P324" s="213"/>
      <c r="Q324" s="213"/>
      <c r="R324" s="213"/>
      <c r="S324" s="213"/>
      <c r="T324" s="213"/>
      <c r="U324" s="213"/>
      <c r="V324" s="213"/>
      <c r="W324" s="213"/>
      <c r="X324" s="213"/>
      <c r="Y324" s="213"/>
      <c r="Z324" s="213"/>
      <c r="AA324" s="213"/>
      <c r="AB324" s="213"/>
      <c r="AC324" s="213"/>
      <c r="AD324" s="213"/>
      <c r="AE324" s="213"/>
      <c r="AF324" s="213"/>
      <c r="AG324" s="213"/>
      <c r="AH324" s="213"/>
      <c r="AI324" s="213"/>
    </row>
    <row r="325" ht="15.75" customHeight="1">
      <c r="A325" s="213"/>
      <c r="B325" s="213"/>
      <c r="C325" s="213"/>
      <c r="D325" s="213"/>
      <c r="E325" s="213"/>
      <c r="F325" s="213"/>
      <c r="G325" s="213"/>
      <c r="H325" s="213"/>
      <c r="I325" s="213"/>
      <c r="J325" s="213"/>
      <c r="K325" s="213"/>
      <c r="L325" s="213"/>
      <c r="M325" s="213"/>
      <c r="N325" s="213"/>
      <c r="O325" s="328"/>
      <c r="P325" s="213"/>
      <c r="Q325" s="213"/>
      <c r="R325" s="213"/>
      <c r="S325" s="213"/>
      <c r="T325" s="213"/>
      <c r="U325" s="213"/>
      <c r="V325" s="213"/>
      <c r="W325" s="213"/>
      <c r="X325" s="213"/>
      <c r="Y325" s="213"/>
      <c r="Z325" s="213"/>
      <c r="AA325" s="213"/>
      <c r="AB325" s="213"/>
      <c r="AC325" s="213"/>
      <c r="AD325" s="213"/>
      <c r="AE325" s="213"/>
      <c r="AF325" s="213"/>
      <c r="AG325" s="213"/>
      <c r="AH325" s="213"/>
      <c r="AI325" s="213"/>
    </row>
    <row r="326" ht="15.75" customHeight="1">
      <c r="A326" s="213"/>
      <c r="B326" s="213"/>
      <c r="C326" s="213"/>
      <c r="D326" s="213"/>
      <c r="E326" s="213"/>
      <c r="F326" s="213"/>
      <c r="G326" s="213"/>
      <c r="H326" s="213"/>
      <c r="I326" s="213"/>
      <c r="J326" s="213"/>
      <c r="K326" s="213"/>
      <c r="L326" s="213"/>
      <c r="M326" s="213"/>
      <c r="N326" s="213"/>
      <c r="O326" s="328"/>
      <c r="P326" s="213"/>
      <c r="Q326" s="213"/>
      <c r="R326" s="213"/>
      <c r="S326" s="213"/>
      <c r="T326" s="213"/>
      <c r="U326" s="213"/>
      <c r="V326" s="213"/>
      <c r="W326" s="213"/>
      <c r="X326" s="213"/>
      <c r="Y326" s="213"/>
      <c r="Z326" s="213"/>
      <c r="AA326" s="213"/>
      <c r="AB326" s="213"/>
      <c r="AC326" s="213"/>
      <c r="AD326" s="213"/>
      <c r="AE326" s="213"/>
      <c r="AF326" s="213"/>
      <c r="AG326" s="213"/>
      <c r="AH326" s="213"/>
      <c r="AI326" s="213"/>
    </row>
    <row r="327" ht="15.75" customHeight="1">
      <c r="A327" s="213"/>
      <c r="B327" s="213"/>
      <c r="C327" s="213"/>
      <c r="D327" s="213"/>
      <c r="E327" s="213"/>
      <c r="F327" s="213"/>
      <c r="G327" s="213"/>
      <c r="H327" s="213"/>
      <c r="I327" s="213"/>
      <c r="J327" s="213"/>
      <c r="K327" s="213"/>
      <c r="L327" s="213"/>
      <c r="M327" s="213"/>
      <c r="N327" s="213"/>
      <c r="O327" s="328"/>
      <c r="P327" s="213"/>
      <c r="Q327" s="213"/>
      <c r="R327" s="213"/>
      <c r="S327" s="213"/>
      <c r="T327" s="213"/>
      <c r="U327" s="213"/>
      <c r="V327" s="213"/>
      <c r="W327" s="213"/>
      <c r="X327" s="213"/>
      <c r="Y327" s="213"/>
      <c r="Z327" s="213"/>
      <c r="AA327" s="213"/>
      <c r="AB327" s="213"/>
      <c r="AC327" s="213"/>
      <c r="AD327" s="213"/>
      <c r="AE327" s="213"/>
      <c r="AF327" s="213"/>
      <c r="AG327" s="213"/>
      <c r="AH327" s="213"/>
      <c r="AI327" s="213"/>
    </row>
    <row r="328" ht="15.75" customHeight="1">
      <c r="A328" s="213"/>
      <c r="B328" s="213"/>
      <c r="C328" s="213"/>
      <c r="D328" s="213"/>
      <c r="E328" s="213"/>
      <c r="F328" s="213"/>
      <c r="G328" s="213"/>
      <c r="H328" s="213"/>
      <c r="I328" s="213"/>
      <c r="J328" s="213"/>
      <c r="K328" s="213"/>
      <c r="L328" s="213"/>
      <c r="M328" s="213"/>
      <c r="N328" s="213"/>
      <c r="O328" s="328"/>
      <c r="P328" s="213"/>
      <c r="Q328" s="213"/>
      <c r="R328" s="213"/>
      <c r="S328" s="213"/>
      <c r="T328" s="213"/>
      <c r="U328" s="213"/>
      <c r="V328" s="213"/>
      <c r="W328" s="213"/>
      <c r="X328" s="213"/>
      <c r="Y328" s="213"/>
      <c r="Z328" s="213"/>
      <c r="AA328" s="213"/>
      <c r="AB328" s="213"/>
      <c r="AC328" s="213"/>
      <c r="AD328" s="213"/>
      <c r="AE328" s="213"/>
      <c r="AF328" s="213"/>
      <c r="AG328" s="213"/>
      <c r="AH328" s="213"/>
      <c r="AI328" s="213"/>
    </row>
    <row r="329" ht="15.75" customHeight="1">
      <c r="A329" s="213"/>
      <c r="B329" s="213"/>
      <c r="C329" s="213"/>
      <c r="D329" s="213"/>
      <c r="E329" s="213"/>
      <c r="F329" s="213"/>
      <c r="G329" s="213"/>
      <c r="H329" s="213"/>
      <c r="I329" s="213"/>
      <c r="J329" s="213"/>
      <c r="K329" s="213"/>
      <c r="L329" s="213"/>
      <c r="M329" s="213"/>
      <c r="N329" s="213"/>
      <c r="O329" s="328"/>
      <c r="P329" s="213"/>
      <c r="Q329" s="213"/>
      <c r="R329" s="213"/>
      <c r="S329" s="213"/>
      <c r="T329" s="213"/>
      <c r="U329" s="213"/>
      <c r="V329" s="213"/>
      <c r="W329" s="213"/>
      <c r="X329" s="213"/>
      <c r="Y329" s="213"/>
      <c r="Z329" s="213"/>
      <c r="AA329" s="213"/>
      <c r="AB329" s="213"/>
      <c r="AC329" s="213"/>
      <c r="AD329" s="213"/>
      <c r="AE329" s="213"/>
      <c r="AF329" s="213"/>
      <c r="AG329" s="213"/>
      <c r="AH329" s="213"/>
      <c r="AI329" s="213"/>
    </row>
    <row r="330" ht="15.75" customHeight="1">
      <c r="A330" s="213"/>
      <c r="B330" s="213"/>
      <c r="C330" s="213"/>
      <c r="D330" s="213"/>
      <c r="E330" s="213"/>
      <c r="F330" s="213"/>
      <c r="G330" s="213"/>
      <c r="H330" s="213"/>
      <c r="I330" s="213"/>
      <c r="J330" s="213"/>
      <c r="K330" s="213"/>
      <c r="L330" s="213"/>
      <c r="M330" s="213"/>
      <c r="N330" s="213"/>
      <c r="O330" s="328"/>
      <c r="P330" s="213"/>
      <c r="Q330" s="213"/>
      <c r="R330" s="213"/>
      <c r="S330" s="213"/>
      <c r="T330" s="213"/>
      <c r="U330" s="213"/>
      <c r="V330" s="213"/>
      <c r="W330" s="213"/>
      <c r="X330" s="213"/>
      <c r="Y330" s="213"/>
      <c r="Z330" s="213"/>
      <c r="AA330" s="213"/>
      <c r="AB330" s="213"/>
      <c r="AC330" s="213"/>
      <c r="AD330" s="213"/>
      <c r="AE330" s="213"/>
      <c r="AF330" s="213"/>
      <c r="AG330" s="213"/>
      <c r="AH330" s="213"/>
      <c r="AI330" s="213"/>
    </row>
    <row r="331" ht="15.75" customHeight="1">
      <c r="A331" s="213"/>
      <c r="B331" s="213"/>
      <c r="C331" s="213"/>
      <c r="D331" s="213"/>
      <c r="E331" s="213"/>
      <c r="F331" s="213"/>
      <c r="G331" s="213"/>
      <c r="H331" s="213"/>
      <c r="I331" s="213"/>
      <c r="J331" s="213"/>
      <c r="K331" s="213"/>
      <c r="L331" s="213"/>
      <c r="M331" s="213"/>
      <c r="N331" s="213"/>
      <c r="O331" s="328"/>
      <c r="P331" s="213"/>
      <c r="Q331" s="213"/>
      <c r="R331" s="213"/>
      <c r="S331" s="213"/>
      <c r="T331" s="213"/>
      <c r="U331" s="213"/>
      <c r="V331" s="213"/>
      <c r="W331" s="213"/>
      <c r="X331" s="213"/>
      <c r="Y331" s="213"/>
      <c r="Z331" s="213"/>
      <c r="AA331" s="213"/>
      <c r="AB331" s="213"/>
      <c r="AC331" s="213"/>
      <c r="AD331" s="213"/>
      <c r="AE331" s="213"/>
      <c r="AF331" s="213"/>
      <c r="AG331" s="213"/>
      <c r="AH331" s="213"/>
      <c r="AI331" s="213"/>
    </row>
    <row r="332" ht="15.75" customHeight="1">
      <c r="A332" s="213"/>
      <c r="B332" s="213"/>
      <c r="C332" s="213"/>
      <c r="D332" s="213"/>
      <c r="E332" s="213"/>
      <c r="F332" s="213"/>
      <c r="G332" s="213"/>
      <c r="H332" s="213"/>
      <c r="I332" s="213"/>
      <c r="J332" s="213"/>
      <c r="K332" s="213"/>
      <c r="L332" s="213"/>
      <c r="M332" s="213"/>
      <c r="N332" s="213"/>
      <c r="O332" s="328"/>
      <c r="P332" s="213"/>
      <c r="Q332" s="213"/>
      <c r="R332" s="213"/>
      <c r="S332" s="213"/>
      <c r="T332" s="213"/>
      <c r="U332" s="213"/>
      <c r="V332" s="213"/>
      <c r="W332" s="213"/>
      <c r="X332" s="213"/>
      <c r="Y332" s="213"/>
      <c r="Z332" s="213"/>
      <c r="AA332" s="213"/>
      <c r="AB332" s="213"/>
      <c r="AC332" s="213"/>
      <c r="AD332" s="213"/>
      <c r="AE332" s="213"/>
      <c r="AF332" s="213"/>
      <c r="AG332" s="213"/>
      <c r="AH332" s="213"/>
      <c r="AI332" s="213"/>
    </row>
    <row r="333" ht="15.75" customHeight="1">
      <c r="A333" s="213"/>
      <c r="B333" s="213"/>
      <c r="C333" s="213"/>
      <c r="D333" s="213"/>
      <c r="E333" s="213"/>
      <c r="F333" s="213"/>
      <c r="G333" s="213"/>
      <c r="H333" s="213"/>
      <c r="I333" s="213"/>
      <c r="J333" s="213"/>
      <c r="K333" s="213"/>
      <c r="L333" s="213"/>
      <c r="M333" s="213"/>
      <c r="N333" s="213"/>
      <c r="O333" s="328"/>
      <c r="P333" s="213"/>
      <c r="Q333" s="213"/>
      <c r="R333" s="213"/>
      <c r="S333" s="213"/>
      <c r="T333" s="213"/>
      <c r="U333" s="213"/>
      <c r="V333" s="213"/>
      <c r="W333" s="213"/>
      <c r="X333" s="213"/>
      <c r="Y333" s="213"/>
      <c r="Z333" s="213"/>
      <c r="AA333" s="213"/>
      <c r="AB333" s="213"/>
      <c r="AC333" s="213"/>
      <c r="AD333" s="213"/>
      <c r="AE333" s="213"/>
      <c r="AF333" s="213"/>
      <c r="AG333" s="213"/>
      <c r="AH333" s="213"/>
      <c r="AI333" s="213"/>
    </row>
    <row r="334" ht="15.75" customHeight="1">
      <c r="A334" s="213"/>
      <c r="B334" s="213"/>
      <c r="C334" s="213"/>
      <c r="D334" s="213"/>
      <c r="E334" s="213"/>
      <c r="F334" s="213"/>
      <c r="G334" s="213"/>
      <c r="H334" s="213"/>
      <c r="I334" s="213"/>
      <c r="J334" s="213"/>
      <c r="K334" s="213"/>
      <c r="L334" s="213"/>
      <c r="M334" s="213"/>
      <c r="N334" s="213"/>
      <c r="O334" s="328"/>
      <c r="P334" s="213"/>
      <c r="Q334" s="213"/>
      <c r="R334" s="213"/>
      <c r="S334" s="213"/>
      <c r="T334" s="213"/>
      <c r="U334" s="213"/>
      <c r="V334" s="213"/>
      <c r="W334" s="213"/>
      <c r="X334" s="213"/>
      <c r="Y334" s="213"/>
      <c r="Z334" s="213"/>
      <c r="AA334" s="213"/>
      <c r="AB334" s="213"/>
      <c r="AC334" s="213"/>
      <c r="AD334" s="213"/>
      <c r="AE334" s="213"/>
      <c r="AF334" s="213"/>
      <c r="AG334" s="213"/>
      <c r="AH334" s="213"/>
      <c r="AI334" s="213"/>
    </row>
    <row r="335" ht="15.75" customHeight="1">
      <c r="A335" s="213"/>
      <c r="B335" s="213"/>
      <c r="C335" s="213"/>
      <c r="D335" s="213"/>
      <c r="E335" s="213"/>
      <c r="F335" s="213"/>
      <c r="G335" s="213"/>
      <c r="H335" s="213"/>
      <c r="I335" s="213"/>
      <c r="J335" s="213"/>
      <c r="K335" s="213"/>
      <c r="L335" s="213"/>
      <c r="M335" s="213"/>
      <c r="N335" s="213"/>
      <c r="O335" s="328"/>
      <c r="P335" s="213"/>
      <c r="Q335" s="213"/>
      <c r="R335" s="213"/>
      <c r="S335" s="213"/>
      <c r="T335" s="213"/>
      <c r="U335" s="213"/>
      <c r="V335" s="213"/>
      <c r="W335" s="213"/>
      <c r="X335" s="213"/>
      <c r="Y335" s="213"/>
      <c r="Z335" s="213"/>
      <c r="AA335" s="213"/>
      <c r="AB335" s="213"/>
      <c r="AC335" s="213"/>
      <c r="AD335" s="213"/>
      <c r="AE335" s="213"/>
      <c r="AF335" s="213"/>
      <c r="AG335" s="213"/>
      <c r="AH335" s="213"/>
      <c r="AI335" s="213"/>
    </row>
    <row r="336" ht="15.75" customHeight="1">
      <c r="A336" s="213"/>
      <c r="B336" s="213"/>
      <c r="C336" s="213"/>
      <c r="D336" s="213"/>
      <c r="E336" s="213"/>
      <c r="F336" s="213"/>
      <c r="G336" s="213"/>
      <c r="H336" s="213"/>
      <c r="I336" s="213"/>
      <c r="J336" s="213"/>
      <c r="K336" s="213"/>
      <c r="L336" s="213"/>
      <c r="M336" s="213"/>
      <c r="N336" s="213"/>
      <c r="O336" s="328"/>
      <c r="P336" s="213"/>
      <c r="Q336" s="213"/>
      <c r="R336" s="213"/>
      <c r="S336" s="213"/>
      <c r="T336" s="213"/>
      <c r="U336" s="213"/>
      <c r="V336" s="213"/>
      <c r="W336" s="213"/>
      <c r="X336" s="213"/>
      <c r="Y336" s="213"/>
      <c r="Z336" s="213"/>
      <c r="AA336" s="213"/>
      <c r="AB336" s="213"/>
      <c r="AC336" s="213"/>
      <c r="AD336" s="213"/>
      <c r="AE336" s="213"/>
      <c r="AF336" s="213"/>
      <c r="AG336" s="213"/>
      <c r="AH336" s="213"/>
      <c r="AI336" s="213"/>
    </row>
    <row r="337" ht="15.75" customHeight="1">
      <c r="A337" s="213"/>
      <c r="B337" s="213"/>
      <c r="C337" s="213"/>
      <c r="D337" s="213"/>
      <c r="E337" s="213"/>
      <c r="F337" s="213"/>
      <c r="G337" s="213"/>
      <c r="H337" s="213"/>
      <c r="I337" s="213"/>
      <c r="J337" s="213"/>
      <c r="K337" s="213"/>
      <c r="L337" s="213"/>
      <c r="M337" s="213"/>
      <c r="N337" s="213"/>
      <c r="O337" s="328"/>
      <c r="P337" s="213"/>
      <c r="Q337" s="213"/>
      <c r="R337" s="213"/>
      <c r="S337" s="213"/>
      <c r="T337" s="213"/>
      <c r="U337" s="213"/>
      <c r="V337" s="213"/>
      <c r="W337" s="213"/>
      <c r="X337" s="213"/>
      <c r="Y337" s="213"/>
      <c r="Z337" s="213"/>
      <c r="AA337" s="213"/>
      <c r="AB337" s="213"/>
      <c r="AC337" s="213"/>
      <c r="AD337" s="213"/>
      <c r="AE337" s="213"/>
      <c r="AF337" s="213"/>
      <c r="AG337" s="213"/>
      <c r="AH337" s="213"/>
      <c r="AI337" s="213"/>
    </row>
    <row r="338" ht="15.75" customHeight="1">
      <c r="A338" s="213"/>
      <c r="B338" s="213"/>
      <c r="C338" s="213"/>
      <c r="D338" s="213"/>
      <c r="E338" s="213"/>
      <c r="F338" s="213"/>
      <c r="G338" s="213"/>
      <c r="H338" s="213"/>
      <c r="I338" s="213"/>
      <c r="J338" s="213"/>
      <c r="K338" s="213"/>
      <c r="L338" s="213"/>
      <c r="M338" s="213"/>
      <c r="N338" s="213"/>
      <c r="O338" s="328"/>
      <c r="P338" s="213"/>
      <c r="Q338" s="213"/>
      <c r="R338" s="213"/>
      <c r="S338" s="213"/>
      <c r="T338" s="213"/>
      <c r="U338" s="213"/>
      <c r="V338" s="213"/>
      <c r="W338" s="213"/>
      <c r="X338" s="213"/>
      <c r="Y338" s="213"/>
      <c r="Z338" s="213"/>
      <c r="AA338" s="213"/>
      <c r="AB338" s="213"/>
      <c r="AC338" s="213"/>
      <c r="AD338" s="213"/>
      <c r="AE338" s="213"/>
      <c r="AF338" s="213"/>
      <c r="AG338" s="213"/>
      <c r="AH338" s="213"/>
      <c r="AI338" s="213"/>
    </row>
    <row r="339" ht="15.75" customHeight="1">
      <c r="A339" s="213"/>
      <c r="B339" s="213"/>
      <c r="C339" s="213"/>
      <c r="D339" s="213"/>
      <c r="E339" s="213"/>
      <c r="F339" s="213"/>
      <c r="G339" s="213"/>
      <c r="H339" s="213"/>
      <c r="I339" s="213"/>
      <c r="J339" s="213"/>
      <c r="K339" s="213"/>
      <c r="L339" s="213"/>
      <c r="M339" s="213"/>
      <c r="N339" s="213"/>
      <c r="O339" s="328"/>
      <c r="P339" s="213"/>
      <c r="Q339" s="213"/>
      <c r="R339" s="213"/>
      <c r="S339" s="213"/>
      <c r="T339" s="213"/>
      <c r="U339" s="213"/>
      <c r="V339" s="213"/>
      <c r="W339" s="213"/>
      <c r="X339" s="213"/>
      <c r="Y339" s="213"/>
      <c r="Z339" s="213"/>
      <c r="AA339" s="213"/>
      <c r="AB339" s="213"/>
      <c r="AC339" s="213"/>
      <c r="AD339" s="213"/>
      <c r="AE339" s="213"/>
      <c r="AF339" s="213"/>
      <c r="AG339" s="213"/>
      <c r="AH339" s="213"/>
      <c r="AI339" s="213"/>
    </row>
    <row r="340" ht="15.75" customHeight="1">
      <c r="A340" s="213"/>
      <c r="B340" s="213"/>
      <c r="C340" s="213"/>
      <c r="D340" s="213"/>
      <c r="E340" s="213"/>
      <c r="F340" s="213"/>
      <c r="G340" s="213"/>
      <c r="H340" s="213"/>
      <c r="I340" s="213"/>
      <c r="J340" s="213"/>
      <c r="K340" s="213"/>
      <c r="L340" s="213"/>
      <c r="M340" s="213"/>
      <c r="N340" s="213"/>
      <c r="O340" s="328"/>
      <c r="P340" s="213"/>
      <c r="Q340" s="213"/>
      <c r="R340" s="213"/>
      <c r="S340" s="213"/>
      <c r="T340" s="213"/>
      <c r="U340" s="213"/>
      <c r="V340" s="213"/>
      <c r="W340" s="213"/>
      <c r="X340" s="213"/>
      <c r="Y340" s="213"/>
      <c r="Z340" s="213"/>
      <c r="AA340" s="213"/>
      <c r="AB340" s="213"/>
      <c r="AC340" s="213"/>
      <c r="AD340" s="213"/>
      <c r="AE340" s="213"/>
      <c r="AF340" s="213"/>
      <c r="AG340" s="213"/>
      <c r="AH340" s="213"/>
      <c r="AI340" s="213"/>
    </row>
    <row r="341" ht="15.75" customHeight="1">
      <c r="A341" s="213"/>
      <c r="B341" s="213"/>
      <c r="C341" s="213"/>
      <c r="D341" s="213"/>
      <c r="E341" s="213"/>
      <c r="F341" s="213"/>
      <c r="G341" s="213"/>
      <c r="H341" s="213"/>
      <c r="I341" s="213"/>
      <c r="J341" s="213"/>
      <c r="K341" s="213"/>
      <c r="L341" s="213"/>
      <c r="M341" s="213"/>
      <c r="N341" s="213"/>
      <c r="O341" s="328"/>
      <c r="P341" s="213"/>
      <c r="Q341" s="213"/>
      <c r="R341" s="213"/>
      <c r="S341" s="213"/>
      <c r="T341" s="213"/>
      <c r="U341" s="213"/>
      <c r="V341" s="213"/>
      <c r="W341" s="213"/>
      <c r="X341" s="213"/>
      <c r="Y341" s="213"/>
      <c r="Z341" s="213"/>
      <c r="AA341" s="213"/>
      <c r="AB341" s="213"/>
      <c r="AC341" s="213"/>
      <c r="AD341" s="213"/>
      <c r="AE341" s="213"/>
      <c r="AF341" s="213"/>
      <c r="AG341" s="213"/>
      <c r="AH341" s="213"/>
      <c r="AI341" s="213"/>
    </row>
    <row r="342" ht="15.75" customHeight="1">
      <c r="A342" s="213"/>
      <c r="B342" s="213"/>
      <c r="C342" s="213"/>
      <c r="D342" s="213"/>
      <c r="E342" s="213"/>
      <c r="F342" s="213"/>
      <c r="G342" s="213"/>
      <c r="H342" s="213"/>
      <c r="I342" s="213"/>
      <c r="J342" s="213"/>
      <c r="K342" s="213"/>
      <c r="L342" s="213"/>
      <c r="M342" s="213"/>
      <c r="N342" s="213"/>
      <c r="O342" s="328"/>
      <c r="P342" s="213"/>
      <c r="Q342" s="213"/>
      <c r="R342" s="213"/>
      <c r="S342" s="213"/>
      <c r="T342" s="213"/>
      <c r="U342" s="213"/>
      <c r="V342" s="213"/>
      <c r="W342" s="213"/>
      <c r="X342" s="213"/>
      <c r="Y342" s="213"/>
      <c r="Z342" s="213"/>
      <c r="AA342" s="213"/>
      <c r="AB342" s="213"/>
      <c r="AC342" s="213"/>
      <c r="AD342" s="213"/>
      <c r="AE342" s="213"/>
      <c r="AF342" s="213"/>
      <c r="AG342" s="213"/>
      <c r="AH342" s="213"/>
      <c r="AI342" s="213"/>
    </row>
    <row r="343" ht="15.75" customHeight="1">
      <c r="A343" s="213"/>
      <c r="B343" s="213"/>
      <c r="C343" s="213"/>
      <c r="D343" s="213"/>
      <c r="E343" s="213"/>
      <c r="F343" s="213"/>
      <c r="G343" s="213"/>
      <c r="H343" s="213"/>
      <c r="I343" s="213"/>
      <c r="J343" s="213"/>
      <c r="K343" s="213"/>
      <c r="L343" s="213"/>
      <c r="M343" s="213"/>
      <c r="N343" s="213"/>
      <c r="O343" s="328"/>
      <c r="P343" s="213"/>
      <c r="Q343" s="213"/>
      <c r="R343" s="213"/>
      <c r="S343" s="213"/>
      <c r="T343" s="213"/>
      <c r="U343" s="213"/>
      <c r="V343" s="213"/>
      <c r="W343" s="213"/>
      <c r="X343" s="213"/>
      <c r="Y343" s="213"/>
      <c r="Z343" s="213"/>
      <c r="AA343" s="213"/>
      <c r="AB343" s="213"/>
      <c r="AC343" s="213"/>
      <c r="AD343" s="213"/>
      <c r="AE343" s="213"/>
      <c r="AF343" s="213"/>
      <c r="AG343" s="213"/>
      <c r="AH343" s="213"/>
      <c r="AI343" s="213"/>
    </row>
  </sheetData>
  <mergeCells count="5">
    <mergeCell ref="B4:B5"/>
    <mergeCell ref="C4:C5"/>
    <mergeCell ref="B37:C37"/>
    <mergeCell ref="B62:C62"/>
    <mergeCell ref="B72:C72"/>
  </mergeCells>
  <printOptions/>
  <pageMargins bottom="0.75" footer="0.0" header="0.0" left="0.7" right="0.7" top="0.75"/>
  <pageSetup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>
      <pane xSplit="3.0" ySplit="16.0" topLeftCell="D17" activePane="bottomRight" state="frozen"/>
      <selection activeCell="D1" sqref="D1" pane="topRight"/>
      <selection activeCell="A17" sqref="A17" pane="bottomLeft"/>
      <selection activeCell="D17" sqref="D17" pane="bottomRight"/>
    </sheetView>
  </sheetViews>
  <sheetFormatPr customHeight="1" defaultColWidth="12.63" defaultRowHeight="15.0"/>
  <cols>
    <col customWidth="1" min="1" max="1" width="5.63"/>
    <col customWidth="1" min="2" max="2" width="9.75"/>
    <col customWidth="1" min="3" max="3" width="35.88"/>
    <col customWidth="1" min="4" max="14" width="12.63"/>
    <col customWidth="1" min="15" max="15" width="13.13"/>
    <col customWidth="1" min="16" max="35" width="12.63"/>
  </cols>
  <sheetData>
    <row r="1" ht="15.75" customHeight="1">
      <c r="A1" s="213"/>
      <c r="B1" s="1027" t="s">
        <v>1</v>
      </c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1028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0"/>
      <c r="AH1" s="240"/>
      <c r="AI1" s="240"/>
    </row>
    <row r="2" ht="15.75" customHeight="1">
      <c r="A2" s="213"/>
      <c r="B2" s="240" t="s">
        <v>476</v>
      </c>
      <c r="C2" s="240"/>
      <c r="D2" s="240"/>
      <c r="E2" s="240"/>
      <c r="F2" s="240"/>
      <c r="G2" s="240"/>
      <c r="H2" s="240"/>
      <c r="I2" s="240"/>
      <c r="J2" s="240"/>
      <c r="K2" s="1029" t="s">
        <v>477</v>
      </c>
      <c r="L2" s="240"/>
      <c r="M2" s="240"/>
      <c r="N2" s="240"/>
      <c r="O2" s="1028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240"/>
    </row>
    <row r="3" ht="15.75" customHeight="1">
      <c r="A3" s="240"/>
      <c r="B3" s="240"/>
      <c r="C3" s="240"/>
      <c r="D3" s="240"/>
      <c r="E3" s="240"/>
      <c r="F3" s="240"/>
      <c r="G3" s="240"/>
      <c r="H3" s="240"/>
      <c r="I3" s="240"/>
      <c r="J3" s="240"/>
      <c r="K3" s="240"/>
      <c r="L3" s="240"/>
      <c r="M3" s="240"/>
      <c r="N3" s="240"/>
      <c r="O3" s="1028"/>
      <c r="P3" s="240"/>
      <c r="Q3" s="240"/>
      <c r="R3" s="240"/>
      <c r="S3" s="240"/>
      <c r="T3" s="240"/>
      <c r="U3" s="240"/>
      <c r="V3" s="240"/>
      <c r="W3" s="240"/>
      <c r="X3" s="240"/>
      <c r="Y3" s="240"/>
      <c r="Z3" s="240"/>
      <c r="AA3" s="240"/>
      <c r="AB3" s="240"/>
      <c r="AC3" s="240"/>
      <c r="AD3" s="240"/>
      <c r="AE3" s="240"/>
      <c r="AF3" s="240"/>
      <c r="AG3" s="240"/>
      <c r="AH3" s="240"/>
      <c r="AI3" s="240"/>
    </row>
    <row r="4" ht="15.75" customHeight="1">
      <c r="A4" s="240"/>
      <c r="B4" s="696" t="s">
        <v>201</v>
      </c>
      <c r="C4" s="697" t="s">
        <v>47</v>
      </c>
      <c r="D4" s="1030" t="s">
        <v>202</v>
      </c>
      <c r="E4" s="1030" t="s">
        <v>203</v>
      </c>
      <c r="F4" s="1031" t="s">
        <v>204</v>
      </c>
      <c r="G4" s="1032" t="s">
        <v>205</v>
      </c>
      <c r="H4" s="1032" t="s">
        <v>206</v>
      </c>
      <c r="I4" s="1032" t="s">
        <v>207</v>
      </c>
      <c r="J4" s="1032" t="s">
        <v>208</v>
      </c>
      <c r="K4" s="1032" t="s">
        <v>209</v>
      </c>
      <c r="L4" s="1032" t="s">
        <v>210</v>
      </c>
      <c r="M4" s="1032" t="s">
        <v>211</v>
      </c>
      <c r="N4" s="1032" t="s">
        <v>212</v>
      </c>
      <c r="O4" s="1033" t="s">
        <v>213</v>
      </c>
      <c r="P4" s="1034"/>
      <c r="Q4" s="1034"/>
      <c r="R4" s="1034"/>
      <c r="S4" s="1034"/>
      <c r="T4" s="1034"/>
      <c r="U4" s="1034"/>
      <c r="V4" s="1034"/>
      <c r="W4" s="1034"/>
      <c r="X4" s="1034"/>
      <c r="Y4" s="1034"/>
      <c r="Z4" s="1034"/>
      <c r="AA4" s="1034"/>
      <c r="AB4" s="1034"/>
      <c r="AC4" s="1034"/>
      <c r="AD4" s="1034"/>
      <c r="AE4" s="1034"/>
      <c r="AF4" s="1034"/>
      <c r="AG4" s="1034"/>
      <c r="AH4" s="1034"/>
      <c r="AI4" s="1034"/>
    </row>
    <row r="5" ht="15.75" customHeight="1">
      <c r="A5" s="1035"/>
      <c r="B5" s="566"/>
      <c r="C5" s="567"/>
      <c r="D5" s="1036" t="s">
        <v>215</v>
      </c>
      <c r="E5" s="1036" t="s">
        <v>215</v>
      </c>
      <c r="F5" s="1037" t="s">
        <v>215</v>
      </c>
      <c r="G5" s="1038" t="s">
        <v>215</v>
      </c>
      <c r="H5" s="1038" t="s">
        <v>215</v>
      </c>
      <c r="I5" s="1038" t="s">
        <v>215</v>
      </c>
      <c r="J5" s="1038" t="s">
        <v>215</v>
      </c>
      <c r="K5" s="1038" t="s">
        <v>215</v>
      </c>
      <c r="L5" s="1038" t="s">
        <v>215</v>
      </c>
      <c r="M5" s="1038" t="s">
        <v>215</v>
      </c>
      <c r="N5" s="1038" t="s">
        <v>215</v>
      </c>
      <c r="O5" s="1039" t="s">
        <v>215</v>
      </c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8"/>
      <c r="AC5" s="348"/>
      <c r="AD5" s="348"/>
      <c r="AE5" s="348"/>
      <c r="AF5" s="348"/>
      <c r="AG5" s="348"/>
      <c r="AH5" s="348"/>
      <c r="AI5" s="348"/>
    </row>
    <row r="6" ht="15.75" hidden="1" customHeight="1">
      <c r="A6" s="240"/>
      <c r="B6" s="1040"/>
      <c r="C6" s="1041" t="s">
        <v>85</v>
      </c>
      <c r="D6" s="1042">
        <v>0.0</v>
      </c>
      <c r="E6" s="1042">
        <v>0.0</v>
      </c>
      <c r="F6" s="1043">
        <v>0.0</v>
      </c>
      <c r="G6" s="1044"/>
      <c r="H6" s="1044"/>
      <c r="I6" s="1044"/>
      <c r="J6" s="1044"/>
      <c r="K6" s="1044"/>
      <c r="L6" s="1044"/>
      <c r="M6" s="1044"/>
      <c r="N6" s="1044"/>
      <c r="O6" s="1045"/>
      <c r="P6" s="240"/>
      <c r="Q6" s="240"/>
      <c r="R6" s="240"/>
      <c r="S6" s="240"/>
      <c r="T6" s="240"/>
      <c r="U6" s="240"/>
      <c r="V6" s="240"/>
      <c r="W6" s="240"/>
      <c r="X6" s="240"/>
      <c r="Y6" s="240"/>
      <c r="Z6" s="240"/>
      <c r="AA6" s="240"/>
      <c r="AB6" s="240"/>
      <c r="AC6" s="240"/>
      <c r="AD6" s="240"/>
      <c r="AE6" s="240"/>
      <c r="AF6" s="240"/>
      <c r="AG6" s="240"/>
      <c r="AH6" s="240"/>
      <c r="AI6" s="240"/>
    </row>
    <row r="7" ht="15.75" hidden="1" customHeight="1">
      <c r="A7" s="240"/>
      <c r="B7" s="1046"/>
      <c r="C7" s="1047" t="s">
        <v>92</v>
      </c>
      <c r="D7" s="1048">
        <v>0.0</v>
      </c>
      <c r="E7" s="1048">
        <v>0.0</v>
      </c>
      <c r="F7" s="1049">
        <v>0.0</v>
      </c>
      <c r="G7" s="1050"/>
      <c r="H7" s="1050"/>
      <c r="I7" s="1050"/>
      <c r="J7" s="1050"/>
      <c r="K7" s="1050"/>
      <c r="L7" s="1050"/>
      <c r="M7" s="1050"/>
      <c r="N7" s="1050"/>
      <c r="O7" s="789"/>
      <c r="P7" s="240"/>
      <c r="Q7" s="240"/>
      <c r="R7" s="240"/>
      <c r="S7" s="240"/>
      <c r="T7" s="240"/>
      <c r="U7" s="240"/>
      <c r="V7" s="240"/>
      <c r="W7" s="240"/>
      <c r="X7" s="240"/>
      <c r="Y7" s="240"/>
      <c r="Z7" s="240"/>
      <c r="AA7" s="240"/>
      <c r="AB7" s="240"/>
      <c r="AC7" s="240"/>
      <c r="AD7" s="240"/>
      <c r="AE7" s="240"/>
      <c r="AF7" s="240"/>
      <c r="AG7" s="240"/>
      <c r="AH7" s="240"/>
      <c r="AI7" s="240"/>
    </row>
    <row r="8" ht="15.75" hidden="1" customHeight="1">
      <c r="A8" s="240"/>
      <c r="B8" s="1046"/>
      <c r="C8" s="1047" t="s">
        <v>99</v>
      </c>
      <c r="D8" s="1048">
        <v>0.0</v>
      </c>
      <c r="E8" s="1048">
        <v>0.0</v>
      </c>
      <c r="F8" s="1049">
        <v>0.0</v>
      </c>
      <c r="G8" s="1050"/>
      <c r="H8" s="1050"/>
      <c r="I8" s="1050"/>
      <c r="J8" s="1050"/>
      <c r="K8" s="1050"/>
      <c r="L8" s="1050"/>
      <c r="M8" s="1050"/>
      <c r="N8" s="1050"/>
      <c r="O8" s="789"/>
      <c r="P8" s="240"/>
      <c r="Q8" s="240"/>
      <c r="R8" s="240"/>
      <c r="S8" s="240"/>
      <c r="T8" s="240"/>
      <c r="U8" s="240"/>
      <c r="V8" s="240"/>
      <c r="W8" s="240"/>
      <c r="X8" s="240"/>
      <c r="Y8" s="240"/>
      <c r="Z8" s="240"/>
      <c r="AA8" s="240"/>
      <c r="AB8" s="240"/>
      <c r="AC8" s="240"/>
      <c r="AD8" s="240"/>
      <c r="AE8" s="240"/>
      <c r="AF8" s="240"/>
      <c r="AG8" s="240"/>
      <c r="AH8" s="240"/>
      <c r="AI8" s="240"/>
    </row>
    <row r="9" ht="15.75" hidden="1" customHeight="1">
      <c r="A9" s="240"/>
      <c r="B9" s="1046"/>
      <c r="C9" s="1047" t="s">
        <v>106</v>
      </c>
      <c r="D9" s="1048">
        <v>0.0</v>
      </c>
      <c r="E9" s="1048">
        <v>0.0</v>
      </c>
      <c r="F9" s="1049">
        <v>0.0</v>
      </c>
      <c r="G9" s="1050"/>
      <c r="H9" s="1050"/>
      <c r="I9" s="1050"/>
      <c r="J9" s="1050"/>
      <c r="K9" s="1050"/>
      <c r="L9" s="1050"/>
      <c r="M9" s="1050"/>
      <c r="N9" s="1050"/>
      <c r="O9" s="789"/>
      <c r="P9" s="240"/>
      <c r="Q9" s="240"/>
      <c r="R9" s="240"/>
      <c r="S9" s="240"/>
      <c r="T9" s="240"/>
      <c r="U9" s="240"/>
      <c r="V9" s="240"/>
      <c r="W9" s="240"/>
      <c r="X9" s="240"/>
      <c r="Y9" s="240"/>
      <c r="Z9" s="240"/>
      <c r="AA9" s="240"/>
      <c r="AB9" s="240"/>
      <c r="AC9" s="240"/>
      <c r="AD9" s="240"/>
      <c r="AE9" s="240"/>
      <c r="AF9" s="240"/>
      <c r="AG9" s="240"/>
      <c r="AH9" s="240"/>
      <c r="AI9" s="240"/>
    </row>
    <row r="10" ht="15.75" hidden="1" customHeight="1">
      <c r="A10" s="240"/>
      <c r="B10" s="1046"/>
      <c r="C10" s="1047" t="s">
        <v>113</v>
      </c>
      <c r="D10" s="1048">
        <f>SUM(D8:D9)-D26</f>
        <v>0</v>
      </c>
      <c r="E10" s="1048">
        <v>0.0</v>
      </c>
      <c r="F10" s="1049">
        <v>0.0</v>
      </c>
      <c r="G10" s="1050"/>
      <c r="H10" s="1050"/>
      <c r="I10" s="1050"/>
      <c r="J10" s="1050"/>
      <c r="K10" s="1050"/>
      <c r="L10" s="1050"/>
      <c r="M10" s="1050"/>
      <c r="N10" s="1050"/>
      <c r="O10" s="789"/>
      <c r="P10" s="240"/>
      <c r="Q10" s="240"/>
      <c r="R10" s="240"/>
      <c r="S10" s="240"/>
      <c r="T10" s="240"/>
      <c r="U10" s="240"/>
      <c r="V10" s="240"/>
      <c r="W10" s="240"/>
      <c r="X10" s="240"/>
      <c r="Y10" s="240"/>
      <c r="Z10" s="240"/>
      <c r="AA10" s="240"/>
      <c r="AB10" s="240"/>
      <c r="AC10" s="240"/>
      <c r="AD10" s="240"/>
      <c r="AE10" s="240"/>
      <c r="AF10" s="240"/>
      <c r="AG10" s="240"/>
      <c r="AH10" s="240"/>
      <c r="AI10" s="240"/>
    </row>
    <row r="11" ht="15.75" hidden="1" customHeight="1">
      <c r="A11" s="240"/>
      <c r="B11" s="1046"/>
      <c r="C11" s="1047" t="s">
        <v>120</v>
      </c>
      <c r="D11" s="1048">
        <v>0.0</v>
      </c>
      <c r="E11" s="1048">
        <v>0.0</v>
      </c>
      <c r="F11" s="1049">
        <v>0.0</v>
      </c>
      <c r="G11" s="1050"/>
      <c r="H11" s="1050"/>
      <c r="I11" s="1050"/>
      <c r="J11" s="1050"/>
      <c r="K11" s="1050"/>
      <c r="L11" s="1050"/>
      <c r="M11" s="1050"/>
      <c r="N11" s="1050"/>
      <c r="O11" s="789"/>
      <c r="P11" s="240"/>
      <c r="Q11" s="240"/>
      <c r="R11" s="240"/>
      <c r="S11" s="240"/>
      <c r="T11" s="240"/>
      <c r="U11" s="240"/>
      <c r="V11" s="240"/>
      <c r="W11" s="240"/>
      <c r="X11" s="240"/>
      <c r="Y11" s="240"/>
      <c r="Z11" s="240"/>
      <c r="AA11" s="240"/>
      <c r="AB11" s="240"/>
      <c r="AC11" s="240"/>
      <c r="AD11" s="240"/>
      <c r="AE11" s="240"/>
      <c r="AF11" s="240"/>
      <c r="AG11" s="240"/>
      <c r="AH11" s="240"/>
      <c r="AI11" s="240"/>
    </row>
    <row r="12" ht="15.75" hidden="1" customHeight="1">
      <c r="A12" s="240"/>
      <c r="B12" s="1046"/>
      <c r="C12" s="1047" t="s">
        <v>127</v>
      </c>
      <c r="D12" s="1048">
        <v>0.0</v>
      </c>
      <c r="E12" s="1048">
        <v>0.0</v>
      </c>
      <c r="F12" s="1049">
        <v>0.0</v>
      </c>
      <c r="G12" s="1050"/>
      <c r="H12" s="1050"/>
      <c r="I12" s="1050"/>
      <c r="J12" s="1050"/>
      <c r="K12" s="1050"/>
      <c r="L12" s="1050"/>
      <c r="M12" s="1050"/>
      <c r="N12" s="1050"/>
      <c r="O12" s="789"/>
      <c r="P12" s="240"/>
      <c r="Q12" s="240"/>
      <c r="R12" s="240"/>
      <c r="S12" s="240"/>
      <c r="T12" s="240"/>
      <c r="U12" s="240"/>
      <c r="V12" s="240"/>
      <c r="W12" s="240"/>
      <c r="X12" s="240"/>
      <c r="Y12" s="240"/>
      <c r="Z12" s="240"/>
      <c r="AA12" s="240"/>
      <c r="AB12" s="240"/>
      <c r="AC12" s="240"/>
      <c r="AD12" s="240"/>
      <c r="AE12" s="240"/>
      <c r="AF12" s="240"/>
      <c r="AG12" s="240"/>
      <c r="AH12" s="240"/>
      <c r="AI12" s="240"/>
    </row>
    <row r="13" ht="15.75" hidden="1" customHeight="1">
      <c r="A13" s="240"/>
      <c r="B13" s="1046"/>
      <c r="C13" s="1047"/>
      <c r="D13" s="1048"/>
      <c r="E13" s="1048"/>
      <c r="F13" s="1049">
        <v>0.0</v>
      </c>
      <c r="G13" s="1050"/>
      <c r="H13" s="1050"/>
      <c r="I13" s="1050"/>
      <c r="J13" s="1050"/>
      <c r="K13" s="1050"/>
      <c r="L13" s="1050"/>
      <c r="M13" s="1050"/>
      <c r="N13" s="1050"/>
      <c r="O13" s="789"/>
      <c r="P13" s="240"/>
      <c r="Q13" s="240"/>
      <c r="R13" s="240"/>
      <c r="S13" s="240"/>
      <c r="T13" s="240"/>
      <c r="U13" s="240"/>
      <c r="V13" s="240"/>
      <c r="W13" s="240"/>
      <c r="X13" s="240"/>
      <c r="Y13" s="240"/>
      <c r="Z13" s="240"/>
      <c r="AA13" s="240"/>
      <c r="AB13" s="240"/>
      <c r="AC13" s="240"/>
      <c r="AD13" s="240"/>
      <c r="AE13" s="240"/>
      <c r="AF13" s="240"/>
      <c r="AG13" s="240"/>
      <c r="AH13" s="240"/>
      <c r="AI13" s="240"/>
    </row>
    <row r="14" ht="15.75" hidden="1" customHeight="1">
      <c r="A14" s="240"/>
      <c r="B14" s="1046"/>
      <c r="C14" s="1047"/>
      <c r="D14" s="1048"/>
      <c r="E14" s="1048"/>
      <c r="F14" s="1049"/>
      <c r="G14" s="1050"/>
      <c r="H14" s="1050"/>
      <c r="I14" s="1050"/>
      <c r="J14" s="1050"/>
      <c r="K14" s="1050"/>
      <c r="L14" s="1050"/>
      <c r="M14" s="1050"/>
      <c r="N14" s="1050"/>
      <c r="O14" s="789"/>
      <c r="P14" s="240"/>
      <c r="Q14" s="240"/>
      <c r="R14" s="240"/>
      <c r="S14" s="240"/>
      <c r="T14" s="240"/>
      <c r="U14" s="240"/>
      <c r="V14" s="240"/>
      <c r="W14" s="240"/>
      <c r="X14" s="240"/>
      <c r="Y14" s="240"/>
      <c r="Z14" s="240"/>
      <c r="AA14" s="240"/>
      <c r="AB14" s="240"/>
      <c r="AC14" s="240"/>
      <c r="AD14" s="240"/>
      <c r="AE14" s="240"/>
      <c r="AF14" s="240"/>
      <c r="AG14" s="240"/>
      <c r="AH14" s="240"/>
      <c r="AI14" s="240"/>
    </row>
    <row r="15" ht="15.75" customHeight="1">
      <c r="A15" s="240"/>
      <c r="B15" s="1051" t="s">
        <v>220</v>
      </c>
      <c r="C15" s="1047"/>
      <c r="D15" s="604"/>
      <c r="E15" s="604"/>
      <c r="F15" s="605"/>
      <c r="G15" s="357"/>
      <c r="H15" s="357"/>
      <c r="I15" s="357"/>
      <c r="J15" s="357"/>
      <c r="K15" s="357"/>
      <c r="L15" s="357"/>
      <c r="M15" s="357"/>
      <c r="N15" s="357"/>
      <c r="O15" s="353"/>
      <c r="P15" s="240"/>
      <c r="Q15" s="240"/>
      <c r="R15" s="240"/>
      <c r="S15" s="240"/>
      <c r="T15" s="240"/>
      <c r="U15" s="240"/>
      <c r="V15" s="240"/>
      <c r="W15" s="240"/>
      <c r="X15" s="240"/>
      <c r="Y15" s="240"/>
      <c r="Z15" s="240"/>
      <c r="AA15" s="240"/>
      <c r="AB15" s="240"/>
      <c r="AC15" s="240"/>
      <c r="AD15" s="240"/>
      <c r="AE15" s="240"/>
      <c r="AF15" s="240"/>
      <c r="AG15" s="240"/>
      <c r="AH15" s="240"/>
      <c r="AI15" s="240"/>
    </row>
    <row r="16" ht="15.75" customHeight="1">
      <c r="A16" s="240"/>
      <c r="B16" s="1046"/>
      <c r="C16" s="1047"/>
      <c r="D16" s="604">
        <f t="shared" ref="D16:O16" si="1">SUM(D17:D19)</f>
        <v>0</v>
      </c>
      <c r="E16" s="604">
        <f t="shared" si="1"/>
        <v>0</v>
      </c>
      <c r="F16" s="605">
        <f t="shared" si="1"/>
        <v>0</v>
      </c>
      <c r="G16" s="357">
        <f t="shared" si="1"/>
        <v>30188</v>
      </c>
      <c r="H16" s="357">
        <f t="shared" si="1"/>
        <v>100835</v>
      </c>
      <c r="I16" s="357">
        <f t="shared" si="1"/>
        <v>105196</v>
      </c>
      <c r="J16" s="357">
        <f t="shared" si="1"/>
        <v>98332.52</v>
      </c>
      <c r="K16" s="357">
        <f t="shared" si="1"/>
        <v>126634.56</v>
      </c>
      <c r="L16" s="357">
        <f t="shared" si="1"/>
        <v>234177.32</v>
      </c>
      <c r="M16" s="357">
        <f t="shared" si="1"/>
        <v>196811.84</v>
      </c>
      <c r="N16" s="357">
        <f t="shared" si="1"/>
        <v>162711.6</v>
      </c>
      <c r="O16" s="353">
        <f t="shared" si="1"/>
        <v>185880.32</v>
      </c>
      <c r="P16" s="1052">
        <f>SUM(D16:O16)</f>
        <v>1240767.16</v>
      </c>
      <c r="Q16" s="240"/>
      <c r="R16" s="240"/>
      <c r="S16" s="240"/>
      <c r="T16" s="240"/>
      <c r="U16" s="240"/>
      <c r="V16" s="240"/>
      <c r="W16" s="240"/>
      <c r="X16" s="240"/>
      <c r="Y16" s="240"/>
      <c r="Z16" s="240"/>
      <c r="AA16" s="240"/>
      <c r="AB16" s="240"/>
      <c r="AC16" s="240"/>
      <c r="AD16" s="240"/>
      <c r="AE16" s="240"/>
      <c r="AF16" s="240"/>
      <c r="AG16" s="240"/>
      <c r="AH16" s="240"/>
      <c r="AI16" s="240"/>
    </row>
    <row r="17" ht="15.75" customHeight="1">
      <c r="A17" s="240"/>
      <c r="B17" s="1046" t="s">
        <v>24</v>
      </c>
      <c r="C17" s="1047" t="s">
        <v>478</v>
      </c>
      <c r="D17" s="604">
        <v>0.0</v>
      </c>
      <c r="E17" s="604">
        <v>0.0</v>
      </c>
      <c r="F17" s="605">
        <v>0.0</v>
      </c>
      <c r="G17" s="357">
        <v>18840.0</v>
      </c>
      <c r="H17" s="357">
        <v>58906.0</v>
      </c>
      <c r="I17" s="357">
        <v>70165.0</v>
      </c>
      <c r="J17" s="357">
        <v>62205.41</v>
      </c>
      <c r="K17" s="357">
        <v>75271.0</v>
      </c>
      <c r="L17" s="357">
        <v>123646.0</v>
      </c>
      <c r="M17" s="357">
        <v>101351.55</v>
      </c>
      <c r="N17" s="357">
        <v>86823.66</v>
      </c>
      <c r="O17" s="353">
        <v>90641.67</v>
      </c>
      <c r="P17" s="240"/>
      <c r="Q17" s="240"/>
      <c r="R17" s="240"/>
      <c r="S17" s="240"/>
      <c r="T17" s="240"/>
      <c r="U17" s="240"/>
      <c r="V17" s="240"/>
      <c r="W17" s="240"/>
      <c r="X17" s="240"/>
      <c r="Y17" s="240"/>
      <c r="Z17" s="240"/>
      <c r="AA17" s="240"/>
      <c r="AB17" s="240"/>
      <c r="AC17" s="240"/>
      <c r="AD17" s="240"/>
      <c r="AE17" s="240"/>
      <c r="AF17" s="240"/>
      <c r="AG17" s="240"/>
      <c r="AH17" s="240"/>
      <c r="AI17" s="240"/>
    </row>
    <row r="18" ht="15.75" customHeight="1">
      <c r="A18" s="240"/>
      <c r="B18" s="1053"/>
      <c r="C18" s="1047" t="s">
        <v>479</v>
      </c>
      <c r="D18" s="604">
        <v>0.0</v>
      </c>
      <c r="E18" s="604">
        <v>0.0</v>
      </c>
      <c r="F18" s="605">
        <v>0.0</v>
      </c>
      <c r="G18" s="357">
        <v>9560.0</v>
      </c>
      <c r="H18" s="357">
        <v>35964.0</v>
      </c>
      <c r="I18" s="357">
        <v>28139.0</v>
      </c>
      <c r="J18" s="357">
        <v>30777.0</v>
      </c>
      <c r="K18" s="357">
        <v>44501.0</v>
      </c>
      <c r="L18" s="357">
        <v>97485.0</v>
      </c>
      <c r="M18" s="357">
        <v>84771.65</v>
      </c>
      <c r="N18" s="357">
        <v>67253.9</v>
      </c>
      <c r="O18" s="353">
        <v>85476.25</v>
      </c>
      <c r="P18" s="240"/>
      <c r="Q18" s="240"/>
      <c r="R18" s="240"/>
      <c r="S18" s="240"/>
      <c r="T18" s="240"/>
      <c r="U18" s="240"/>
      <c r="V18" s="240"/>
      <c r="W18" s="240"/>
      <c r="X18" s="240"/>
      <c r="Y18" s="240"/>
      <c r="Z18" s="240"/>
      <c r="AA18" s="240"/>
      <c r="AB18" s="240"/>
      <c r="AC18" s="240"/>
      <c r="AD18" s="240"/>
      <c r="AE18" s="240"/>
      <c r="AF18" s="240"/>
      <c r="AG18" s="240"/>
      <c r="AH18" s="240"/>
      <c r="AI18" s="240"/>
    </row>
    <row r="19" ht="15.75" customHeight="1">
      <c r="A19" s="240"/>
      <c r="B19" s="1046"/>
      <c r="C19" s="1047" t="s">
        <v>226</v>
      </c>
      <c r="D19" s="604">
        <v>0.0</v>
      </c>
      <c r="E19" s="604">
        <v>0.0</v>
      </c>
      <c r="F19" s="605">
        <v>0.0</v>
      </c>
      <c r="G19" s="357">
        <v>1788.0</v>
      </c>
      <c r="H19" s="357">
        <f>4171+1794</f>
        <v>5965</v>
      </c>
      <c r="I19" s="357">
        <f>5485+1407</f>
        <v>6892</v>
      </c>
      <c r="J19" s="357">
        <f>3811.25+1538.86</f>
        <v>5350.11</v>
      </c>
      <c r="K19" s="357">
        <f>4365+272.5+2106.21+118.85</f>
        <v>6862.56</v>
      </c>
      <c r="L19" s="357">
        <v>13046.32</v>
      </c>
      <c r="M19" s="357">
        <v>10688.64</v>
      </c>
      <c r="N19" s="357">
        <f>5271.25+3362.79</f>
        <v>8634.04</v>
      </c>
      <c r="O19" s="353">
        <f>5488.5+4273.9</f>
        <v>9762.4</v>
      </c>
      <c r="P19" s="240"/>
      <c r="Q19" s="240"/>
      <c r="R19" s="240"/>
      <c r="S19" s="240"/>
      <c r="T19" s="240"/>
      <c r="U19" s="240"/>
      <c r="V19" s="240"/>
      <c r="W19" s="240"/>
      <c r="X19" s="240"/>
      <c r="Y19" s="240"/>
      <c r="Z19" s="240"/>
      <c r="AA19" s="240"/>
      <c r="AB19" s="240"/>
      <c r="AC19" s="240"/>
      <c r="AD19" s="240"/>
      <c r="AE19" s="240"/>
      <c r="AF19" s="240"/>
      <c r="AG19" s="240"/>
      <c r="AH19" s="240"/>
      <c r="AI19" s="240"/>
    </row>
    <row r="20" ht="15.75" customHeight="1">
      <c r="A20" s="240"/>
      <c r="B20" s="1046"/>
      <c r="C20" s="1047"/>
      <c r="D20" s="604"/>
      <c r="E20" s="604"/>
      <c r="F20" s="605"/>
      <c r="G20" s="357"/>
      <c r="H20" s="357"/>
      <c r="I20" s="357"/>
      <c r="J20" s="357"/>
      <c r="K20" s="357"/>
      <c r="L20" s="357"/>
      <c r="M20" s="357"/>
      <c r="N20" s="357"/>
      <c r="O20" s="353"/>
      <c r="P20" s="240"/>
      <c r="Q20" s="240"/>
      <c r="R20" s="240"/>
      <c r="S20" s="240"/>
      <c r="T20" s="240"/>
      <c r="U20" s="240"/>
      <c r="V20" s="240"/>
      <c r="W20" s="240"/>
      <c r="X20" s="240"/>
      <c r="Y20" s="240"/>
      <c r="Z20" s="240"/>
      <c r="AA20" s="240"/>
      <c r="AB20" s="240"/>
      <c r="AC20" s="240"/>
      <c r="AD20" s="240"/>
      <c r="AE20" s="240"/>
      <c r="AF20" s="240"/>
      <c r="AG20" s="240"/>
      <c r="AH20" s="240"/>
      <c r="AI20" s="240"/>
    </row>
    <row r="21" ht="15.75" customHeight="1">
      <c r="A21" s="240"/>
      <c r="B21" s="1046" t="s">
        <v>22</v>
      </c>
      <c r="C21" s="1047" t="s">
        <v>22</v>
      </c>
      <c r="D21" s="604">
        <v>0.0</v>
      </c>
      <c r="E21" s="604">
        <v>0.0</v>
      </c>
      <c r="F21" s="605">
        <v>0.0</v>
      </c>
      <c r="G21" s="357">
        <v>0.0</v>
      </c>
      <c r="H21" s="357">
        <v>0.0</v>
      </c>
      <c r="I21" s="357">
        <v>0.0</v>
      </c>
      <c r="J21" s="357">
        <v>0.0</v>
      </c>
      <c r="K21" s="357">
        <v>0.0</v>
      </c>
      <c r="L21" s="357">
        <v>0.0</v>
      </c>
      <c r="M21" s="357">
        <v>0.0</v>
      </c>
      <c r="N21" s="357">
        <v>0.0</v>
      </c>
      <c r="O21" s="353">
        <v>0.0</v>
      </c>
      <c r="P21" s="240"/>
      <c r="Q21" s="240"/>
      <c r="R21" s="240"/>
      <c r="S21" s="240"/>
      <c r="T21" s="240"/>
      <c r="U21" s="240"/>
      <c r="V21" s="240"/>
      <c r="W21" s="240"/>
      <c r="X21" s="240"/>
      <c r="Y21" s="240"/>
      <c r="Z21" s="240"/>
      <c r="AA21" s="240"/>
      <c r="AB21" s="240"/>
      <c r="AC21" s="240"/>
      <c r="AD21" s="240"/>
      <c r="AE21" s="240"/>
      <c r="AF21" s="240"/>
      <c r="AG21" s="240"/>
      <c r="AH21" s="240"/>
      <c r="AI21" s="240"/>
    </row>
    <row r="22" ht="15.75" customHeight="1">
      <c r="A22" s="240"/>
      <c r="B22" s="1046" t="s">
        <v>23</v>
      </c>
      <c r="C22" s="1047" t="s">
        <v>23</v>
      </c>
      <c r="D22" s="604">
        <v>0.0</v>
      </c>
      <c r="E22" s="604">
        <v>0.0</v>
      </c>
      <c r="F22" s="605">
        <v>0.0</v>
      </c>
      <c r="G22" s="357">
        <v>0.0</v>
      </c>
      <c r="H22" s="357">
        <v>0.0</v>
      </c>
      <c r="I22" s="357">
        <v>0.0</v>
      </c>
      <c r="J22" s="357">
        <v>0.0</v>
      </c>
      <c r="K22" s="357">
        <v>0.0</v>
      </c>
      <c r="L22" s="357">
        <v>0.0</v>
      </c>
      <c r="M22" s="357">
        <v>0.0</v>
      </c>
      <c r="N22" s="357">
        <v>0.0</v>
      </c>
      <c r="O22" s="353">
        <v>0.0</v>
      </c>
      <c r="P22" s="240"/>
      <c r="Q22" s="240"/>
      <c r="R22" s="240"/>
      <c r="S22" s="240"/>
      <c r="T22" s="240"/>
      <c r="U22" s="240"/>
      <c r="V22" s="240"/>
      <c r="W22" s="240"/>
      <c r="X22" s="240"/>
      <c r="Y22" s="240"/>
      <c r="Z22" s="240"/>
      <c r="AA22" s="240"/>
      <c r="AB22" s="240"/>
      <c r="AC22" s="240"/>
      <c r="AD22" s="240"/>
      <c r="AE22" s="240"/>
      <c r="AF22" s="240"/>
      <c r="AG22" s="240"/>
      <c r="AH22" s="240"/>
      <c r="AI22" s="240"/>
    </row>
    <row r="23" ht="15.75" customHeight="1">
      <c r="A23" s="240"/>
      <c r="B23" s="1046" t="s">
        <v>24</v>
      </c>
      <c r="C23" s="1047" t="s">
        <v>230</v>
      </c>
      <c r="D23" s="609">
        <f t="shared" ref="D23:O23" si="2">SUM(D17:D19)</f>
        <v>0</v>
      </c>
      <c r="E23" s="609">
        <f t="shared" si="2"/>
        <v>0</v>
      </c>
      <c r="F23" s="610">
        <f t="shared" si="2"/>
        <v>0</v>
      </c>
      <c r="G23" s="400">
        <f t="shared" si="2"/>
        <v>30188</v>
      </c>
      <c r="H23" s="400">
        <f t="shared" si="2"/>
        <v>100835</v>
      </c>
      <c r="I23" s="400">
        <f t="shared" si="2"/>
        <v>105196</v>
      </c>
      <c r="J23" s="400">
        <f t="shared" si="2"/>
        <v>98332.52</v>
      </c>
      <c r="K23" s="400">
        <f t="shared" si="2"/>
        <v>126634.56</v>
      </c>
      <c r="L23" s="400">
        <f t="shared" si="2"/>
        <v>234177.32</v>
      </c>
      <c r="M23" s="400">
        <f t="shared" si="2"/>
        <v>196811.84</v>
      </c>
      <c r="N23" s="400">
        <f t="shared" si="2"/>
        <v>162711.6</v>
      </c>
      <c r="O23" s="399">
        <f t="shared" si="2"/>
        <v>185880.32</v>
      </c>
      <c r="P23" s="240"/>
      <c r="Q23" s="240"/>
      <c r="R23" s="240"/>
      <c r="S23" s="240"/>
      <c r="T23" s="240"/>
      <c r="U23" s="240"/>
      <c r="V23" s="240"/>
      <c r="W23" s="240"/>
      <c r="X23" s="240"/>
      <c r="Y23" s="240"/>
      <c r="Z23" s="240"/>
      <c r="AA23" s="240"/>
      <c r="AB23" s="240"/>
      <c r="AC23" s="240"/>
      <c r="AD23" s="240"/>
      <c r="AE23" s="240"/>
      <c r="AF23" s="240"/>
      <c r="AG23" s="240"/>
      <c r="AH23" s="240"/>
      <c r="AI23" s="240"/>
    </row>
    <row r="24" ht="15.75" customHeight="1">
      <c r="A24" s="240"/>
      <c r="B24" s="1046"/>
      <c r="C24" s="1047"/>
      <c r="D24" s="604"/>
      <c r="E24" s="349"/>
      <c r="F24" s="499"/>
      <c r="G24" s="357"/>
      <c r="H24" s="357"/>
      <c r="I24" s="357"/>
      <c r="J24" s="357"/>
      <c r="K24" s="357"/>
      <c r="L24" s="357"/>
      <c r="M24" s="357"/>
      <c r="N24" s="357"/>
      <c r="O24" s="353"/>
      <c r="P24" s="240"/>
      <c r="Q24" s="240"/>
      <c r="R24" s="240"/>
      <c r="S24" s="240"/>
      <c r="T24" s="240"/>
      <c r="U24" s="240"/>
      <c r="V24" s="240"/>
      <c r="W24" s="240"/>
      <c r="X24" s="240"/>
      <c r="Y24" s="240"/>
      <c r="Z24" s="240"/>
      <c r="AA24" s="240"/>
      <c r="AB24" s="240"/>
      <c r="AC24" s="240"/>
      <c r="AD24" s="240"/>
      <c r="AE24" s="240"/>
      <c r="AF24" s="240"/>
      <c r="AG24" s="240"/>
      <c r="AH24" s="240"/>
      <c r="AI24" s="240"/>
    </row>
    <row r="25" ht="15.75" customHeight="1">
      <c r="A25" s="240"/>
      <c r="B25" s="1046"/>
      <c r="C25" s="1047" t="s">
        <v>231</v>
      </c>
      <c r="D25" s="604"/>
      <c r="E25" s="349"/>
      <c r="F25" s="499"/>
      <c r="G25" s="357"/>
      <c r="H25" s="357"/>
      <c r="I25" s="357"/>
      <c r="J25" s="357"/>
      <c r="K25" s="357"/>
      <c r="L25" s="357"/>
      <c r="M25" s="357"/>
      <c r="N25" s="357"/>
      <c r="O25" s="353"/>
      <c r="P25" s="240"/>
      <c r="Q25" s="240"/>
      <c r="R25" s="240"/>
      <c r="S25" s="240"/>
      <c r="T25" s="240"/>
      <c r="U25" s="240"/>
      <c r="V25" s="240"/>
      <c r="W25" s="240"/>
      <c r="X25" s="240"/>
      <c r="Y25" s="240"/>
      <c r="Z25" s="240"/>
      <c r="AA25" s="240"/>
      <c r="AB25" s="240"/>
      <c r="AC25" s="240"/>
      <c r="AD25" s="240"/>
      <c r="AE25" s="240"/>
      <c r="AF25" s="240"/>
      <c r="AG25" s="240"/>
      <c r="AH25" s="240"/>
      <c r="AI25" s="240"/>
    </row>
    <row r="26" ht="15.75" customHeight="1">
      <c r="A26" s="240"/>
      <c r="B26" s="1046"/>
      <c r="C26" s="1047" t="s">
        <v>232</v>
      </c>
      <c r="D26" s="604">
        <f t="shared" ref="D26:O26" si="3">D21+D22+D23+D25</f>
        <v>0</v>
      </c>
      <c r="E26" s="604">
        <f t="shared" si="3"/>
        <v>0</v>
      </c>
      <c r="F26" s="605">
        <f t="shared" si="3"/>
        <v>0</v>
      </c>
      <c r="G26" s="357">
        <f t="shared" si="3"/>
        <v>30188</v>
      </c>
      <c r="H26" s="357">
        <f t="shared" si="3"/>
        <v>100835</v>
      </c>
      <c r="I26" s="357">
        <f t="shared" si="3"/>
        <v>105196</v>
      </c>
      <c r="J26" s="357">
        <f t="shared" si="3"/>
        <v>98332.52</v>
      </c>
      <c r="K26" s="357">
        <f t="shared" si="3"/>
        <v>126634.56</v>
      </c>
      <c r="L26" s="357">
        <f t="shared" si="3"/>
        <v>234177.32</v>
      </c>
      <c r="M26" s="357">
        <f t="shared" si="3"/>
        <v>196811.84</v>
      </c>
      <c r="N26" s="357">
        <f t="shared" si="3"/>
        <v>162711.6</v>
      </c>
      <c r="O26" s="353">
        <f t="shared" si="3"/>
        <v>185880.32</v>
      </c>
      <c r="P26" s="240"/>
      <c r="Q26" s="240"/>
      <c r="R26" s="240"/>
      <c r="S26" s="240"/>
      <c r="T26" s="240"/>
      <c r="U26" s="240"/>
      <c r="V26" s="240"/>
      <c r="W26" s="240"/>
      <c r="X26" s="240"/>
      <c r="Y26" s="240"/>
      <c r="Z26" s="240"/>
      <c r="AA26" s="240"/>
      <c r="AB26" s="240"/>
      <c r="AC26" s="240"/>
      <c r="AD26" s="240"/>
      <c r="AE26" s="240"/>
      <c r="AF26" s="240"/>
      <c r="AG26" s="240"/>
      <c r="AH26" s="240"/>
      <c r="AI26" s="240"/>
    </row>
    <row r="27" ht="15.75" customHeight="1">
      <c r="A27" s="240"/>
      <c r="B27" s="1046"/>
      <c r="C27" s="1047"/>
      <c r="D27" s="604"/>
      <c r="E27" s="604"/>
      <c r="F27" s="605"/>
      <c r="G27" s="357"/>
      <c r="H27" s="357"/>
      <c r="I27" s="357"/>
      <c r="J27" s="357"/>
      <c r="K27" s="357"/>
      <c r="L27" s="357"/>
      <c r="M27" s="357"/>
      <c r="N27" s="357"/>
      <c r="O27" s="353"/>
      <c r="P27" s="240"/>
      <c r="Q27" s="240"/>
      <c r="R27" s="240"/>
      <c r="S27" s="240"/>
      <c r="T27" s="240"/>
      <c r="U27" s="240"/>
      <c r="V27" s="240"/>
      <c r="W27" s="240"/>
      <c r="X27" s="240"/>
      <c r="Y27" s="240"/>
      <c r="Z27" s="240"/>
      <c r="AA27" s="240"/>
      <c r="AB27" s="240"/>
      <c r="AC27" s="240"/>
      <c r="AD27" s="240"/>
      <c r="AE27" s="240"/>
      <c r="AF27" s="240"/>
      <c r="AG27" s="240"/>
      <c r="AH27" s="240"/>
      <c r="AI27" s="240"/>
    </row>
    <row r="28" ht="15.75" customHeight="1">
      <c r="A28" s="240"/>
      <c r="B28" s="1015" t="s">
        <v>233</v>
      </c>
      <c r="C28" s="1016"/>
      <c r="D28" s="604"/>
      <c r="E28" s="349"/>
      <c r="F28" s="499"/>
      <c r="G28" s="357"/>
      <c r="H28" s="357"/>
      <c r="I28" s="357"/>
      <c r="J28" s="357"/>
      <c r="K28" s="357"/>
      <c r="L28" s="357"/>
      <c r="M28" s="357"/>
      <c r="N28" s="357"/>
      <c r="O28" s="353"/>
      <c r="P28" s="240"/>
      <c r="Q28" s="240"/>
      <c r="R28" s="240"/>
      <c r="S28" s="240"/>
      <c r="T28" s="240"/>
      <c r="U28" s="240"/>
      <c r="V28" s="240"/>
      <c r="W28" s="240"/>
      <c r="X28" s="240"/>
      <c r="Y28" s="240"/>
      <c r="Z28" s="240"/>
      <c r="AA28" s="240"/>
      <c r="AB28" s="240"/>
      <c r="AC28" s="240"/>
      <c r="AD28" s="240"/>
      <c r="AE28" s="240"/>
      <c r="AF28" s="240"/>
      <c r="AG28" s="240"/>
      <c r="AH28" s="240"/>
      <c r="AI28" s="240"/>
    </row>
    <row r="29" ht="15.75" customHeight="1">
      <c r="A29" s="240"/>
      <c r="B29" s="1046" t="s">
        <v>29</v>
      </c>
      <c r="C29" s="1047"/>
      <c r="D29" s="604"/>
      <c r="E29" s="349"/>
      <c r="F29" s="499"/>
      <c r="G29" s="357"/>
      <c r="H29" s="357"/>
      <c r="I29" s="357"/>
      <c r="J29" s="357"/>
      <c r="K29" s="357"/>
      <c r="L29" s="357"/>
      <c r="M29" s="357"/>
      <c r="N29" s="357"/>
      <c r="O29" s="353"/>
      <c r="P29" s="240"/>
      <c r="Q29" s="240"/>
      <c r="R29" s="240"/>
      <c r="S29" s="240"/>
      <c r="T29" s="240"/>
      <c r="U29" s="240"/>
      <c r="V29" s="240"/>
      <c r="W29" s="240"/>
      <c r="X29" s="240"/>
      <c r="Y29" s="240"/>
      <c r="Z29" s="240"/>
      <c r="AA29" s="240"/>
      <c r="AB29" s="240"/>
      <c r="AC29" s="240"/>
      <c r="AD29" s="240"/>
      <c r="AE29" s="240"/>
      <c r="AF29" s="240"/>
      <c r="AG29" s="240"/>
      <c r="AH29" s="240"/>
      <c r="AI29" s="240"/>
    </row>
    <row r="30" ht="15.75" customHeight="1">
      <c r="A30" s="240"/>
      <c r="B30" s="1046"/>
      <c r="C30" s="627" t="s">
        <v>234</v>
      </c>
      <c r="D30" s="604"/>
      <c r="E30" s="349"/>
      <c r="F30" s="499"/>
      <c r="G30" s="357"/>
      <c r="H30" s="357"/>
      <c r="I30" s="357"/>
      <c r="J30" s="357"/>
      <c r="K30" s="357"/>
      <c r="L30" s="357"/>
      <c r="M30" s="357"/>
      <c r="N30" s="357"/>
      <c r="O30" s="353"/>
      <c r="P30" s="240"/>
      <c r="Q30" s="240"/>
      <c r="R30" s="240"/>
      <c r="S30" s="240"/>
      <c r="T30" s="240"/>
      <c r="U30" s="240"/>
      <c r="V30" s="240"/>
      <c r="W30" s="240"/>
      <c r="X30" s="240"/>
      <c r="Y30" s="240"/>
      <c r="Z30" s="240"/>
      <c r="AA30" s="240"/>
      <c r="AB30" s="240"/>
      <c r="AC30" s="240"/>
      <c r="AD30" s="240"/>
      <c r="AE30" s="240"/>
      <c r="AF30" s="240"/>
      <c r="AG30" s="240"/>
      <c r="AH30" s="240"/>
      <c r="AI30" s="240"/>
    </row>
    <row r="31" ht="15.75" customHeight="1">
      <c r="A31" s="240"/>
      <c r="B31" s="1046"/>
      <c r="C31" s="1047" t="s">
        <v>235</v>
      </c>
      <c r="D31" s="604"/>
      <c r="E31" s="349"/>
      <c r="F31" s="499"/>
      <c r="G31" s="357"/>
      <c r="H31" s="357"/>
      <c r="I31" s="357"/>
      <c r="J31" s="357"/>
      <c r="K31" s="357"/>
      <c r="L31" s="357"/>
      <c r="M31" s="357"/>
      <c r="N31" s="357"/>
      <c r="O31" s="353"/>
      <c r="P31" s="240"/>
      <c r="Q31" s="240"/>
      <c r="R31" s="240"/>
      <c r="S31" s="240"/>
      <c r="T31" s="240"/>
      <c r="U31" s="240"/>
      <c r="V31" s="240"/>
      <c r="W31" s="240"/>
      <c r="X31" s="240"/>
      <c r="Y31" s="240"/>
      <c r="Z31" s="240"/>
      <c r="AA31" s="240"/>
      <c r="AB31" s="240"/>
      <c r="AC31" s="240"/>
      <c r="AD31" s="240"/>
      <c r="AE31" s="240"/>
      <c r="AF31" s="240"/>
      <c r="AG31" s="240"/>
      <c r="AH31" s="240"/>
      <c r="AI31" s="240"/>
    </row>
    <row r="32" ht="15.75" customHeight="1">
      <c r="A32" s="240"/>
      <c r="B32" s="1046"/>
      <c r="C32" s="1047" t="s">
        <v>301</v>
      </c>
      <c r="D32" s="604"/>
      <c r="E32" s="349">
        <v>0.0</v>
      </c>
      <c r="F32" s="499"/>
      <c r="G32" s="357"/>
      <c r="H32" s="357">
        <f>'MSBC CK Allocation'!G13</f>
        <v>76331.23</v>
      </c>
      <c r="I32" s="357">
        <f>'MSBC CK Allocation'!H13</f>
        <v>76909.75</v>
      </c>
      <c r="J32" s="357">
        <f>'MSBC CK Allocation'!I13</f>
        <v>70645.11</v>
      </c>
      <c r="K32" s="357">
        <f>'MSBC CK Allocation'!J13</f>
        <v>85332.05</v>
      </c>
      <c r="L32" s="357">
        <f>'MSBC CK Allocation'!K13</f>
        <v>114655.03</v>
      </c>
      <c r="M32" s="737">
        <v>115350.52</v>
      </c>
      <c r="N32" s="737">
        <v>68122.7</v>
      </c>
      <c r="O32" s="353">
        <v>73605.2252239768</v>
      </c>
      <c r="P32" s="240"/>
      <c r="Q32" s="240"/>
      <c r="R32" s="240"/>
      <c r="S32" s="240"/>
      <c r="T32" s="240"/>
      <c r="U32" s="240"/>
      <c r="V32" s="240"/>
      <c r="W32" s="240"/>
      <c r="X32" s="240"/>
      <c r="Y32" s="240"/>
      <c r="Z32" s="240"/>
      <c r="AA32" s="240"/>
      <c r="AB32" s="240"/>
      <c r="AC32" s="240"/>
      <c r="AD32" s="240"/>
      <c r="AE32" s="240"/>
      <c r="AF32" s="240"/>
      <c r="AG32" s="240"/>
      <c r="AH32" s="240"/>
      <c r="AI32" s="240"/>
    </row>
    <row r="33" ht="15.75" customHeight="1">
      <c r="A33" s="240"/>
      <c r="B33" s="1046"/>
      <c r="C33" s="350" t="s">
        <v>463</v>
      </c>
      <c r="D33" s="604"/>
      <c r="E33" s="349"/>
      <c r="F33" s="499"/>
      <c r="G33" s="357"/>
      <c r="H33" s="357">
        <f>'MSBC CK Allocation'!G27</f>
        <v>102784.5862</v>
      </c>
      <c r="I33" s="357">
        <f>'MSBC CK Allocation'!H27</f>
        <v>96778.97043</v>
      </c>
      <c r="J33" s="357">
        <f>'MSBC CK Allocation'!I27</f>
        <v>107248.296</v>
      </c>
      <c r="K33" s="357">
        <f>'MSBC CK Allocation'!J27</f>
        <v>102594.0698</v>
      </c>
      <c r="L33" s="357">
        <f>'MSBC CK Allocation'!K27</f>
        <v>115609.8138</v>
      </c>
      <c r="M33" s="357">
        <f>'MSBC CK Allocation'!L27</f>
        <v>108266.0327</v>
      </c>
      <c r="N33" s="357">
        <f>'MSBC CK Allocation'!M27</f>
        <v>121745.2907</v>
      </c>
      <c r="O33" s="357">
        <f>'MSBC CK Allocation'!N27</f>
        <v>77837.81414</v>
      </c>
      <c r="P33" s="240"/>
      <c r="Q33" s="240"/>
      <c r="R33" s="240"/>
      <c r="S33" s="240"/>
      <c r="T33" s="240"/>
      <c r="U33" s="240"/>
      <c r="V33" s="240"/>
      <c r="W33" s="240"/>
      <c r="X33" s="240"/>
      <c r="Y33" s="240"/>
      <c r="Z33" s="240"/>
      <c r="AA33" s="240"/>
      <c r="AB33" s="240"/>
      <c r="AC33" s="240"/>
      <c r="AD33" s="240"/>
      <c r="AE33" s="240"/>
      <c r="AF33" s="240"/>
      <c r="AG33" s="240"/>
      <c r="AH33" s="240"/>
      <c r="AI33" s="240"/>
    </row>
    <row r="34" ht="15.75" customHeight="1">
      <c r="A34" s="240"/>
      <c r="B34" s="1046"/>
      <c r="C34" s="1047" t="s">
        <v>23</v>
      </c>
      <c r="D34" s="604"/>
      <c r="E34" s="349"/>
      <c r="F34" s="499"/>
      <c r="G34" s="357"/>
      <c r="H34" s="357"/>
      <c r="I34" s="357"/>
      <c r="J34" s="357"/>
      <c r="K34" s="357"/>
      <c r="L34" s="357"/>
      <c r="M34" s="357"/>
      <c r="N34" s="357"/>
      <c r="O34" s="353"/>
      <c r="P34" s="240"/>
      <c r="Q34" s="240"/>
      <c r="R34" s="240"/>
      <c r="S34" s="240"/>
      <c r="T34" s="240"/>
      <c r="U34" s="240"/>
      <c r="V34" s="240"/>
      <c r="W34" s="240"/>
      <c r="X34" s="240"/>
      <c r="Y34" s="240"/>
      <c r="Z34" s="240"/>
      <c r="AA34" s="240"/>
      <c r="AB34" s="240"/>
      <c r="AC34" s="240"/>
      <c r="AD34" s="240"/>
      <c r="AE34" s="240"/>
      <c r="AF34" s="240"/>
      <c r="AG34" s="240"/>
      <c r="AH34" s="240"/>
      <c r="AI34" s="240"/>
    </row>
    <row r="35" ht="15.75" customHeight="1">
      <c r="A35" s="240"/>
      <c r="B35" s="1046"/>
      <c r="C35" s="1047" t="s">
        <v>302</v>
      </c>
      <c r="D35" s="604"/>
      <c r="E35" s="349"/>
      <c r="F35" s="499"/>
      <c r="G35" s="357"/>
      <c r="H35" s="357">
        <f>'Calculation Sheet for GST on Pu'!G30</f>
        <v>7146.979267</v>
      </c>
      <c r="I35" s="357">
        <f>'Calculation Sheet for GST on Pu'!H30</f>
        <v>6744.152238</v>
      </c>
      <c r="J35" s="357">
        <f>'Calculation Sheet for GST on Pu'!I30</f>
        <v>4402.354688</v>
      </c>
      <c r="K35" s="357">
        <f>'Calculation Sheet for GST on Pu'!J30</f>
        <v>5500.428352</v>
      </c>
      <c r="L35" s="357">
        <f>'Calculation Sheet for GST on Pu'!K30</f>
        <v>7022.410155</v>
      </c>
      <c r="M35" s="357">
        <f>'Calculation Sheet for GST on Pu'!L30</f>
        <v>10482.84717</v>
      </c>
      <c r="N35" s="357">
        <f>'Calculation Sheet for GST on Pu'!M30</f>
        <v>10632.88289</v>
      </c>
      <c r="O35" s="353">
        <f>'Calculation Sheet for GST on Pu'!N30</f>
        <v>9349.157412</v>
      </c>
      <c r="P35" s="240"/>
      <c r="Q35" s="240"/>
      <c r="R35" s="240"/>
      <c r="S35" s="240"/>
      <c r="T35" s="240"/>
      <c r="U35" s="240"/>
      <c r="V35" s="240"/>
      <c r="W35" s="240"/>
      <c r="X35" s="240"/>
      <c r="Y35" s="240"/>
      <c r="Z35" s="240"/>
      <c r="AA35" s="240"/>
      <c r="AB35" s="240"/>
      <c r="AC35" s="240"/>
      <c r="AD35" s="240"/>
      <c r="AE35" s="240"/>
      <c r="AF35" s="240"/>
      <c r="AG35" s="240"/>
      <c r="AH35" s="240"/>
      <c r="AI35" s="240"/>
    </row>
    <row r="36" ht="15.75" customHeight="1">
      <c r="A36" s="240"/>
      <c r="B36" s="1046"/>
      <c r="C36" s="1047" t="s">
        <v>238</v>
      </c>
      <c r="D36" s="604">
        <f t="shared" ref="D36:O36" si="4">SUM(D31:D35)</f>
        <v>0</v>
      </c>
      <c r="E36" s="349">
        <f t="shared" si="4"/>
        <v>0</v>
      </c>
      <c r="F36" s="499">
        <f t="shared" si="4"/>
        <v>0</v>
      </c>
      <c r="G36" s="357">
        <f t="shared" si="4"/>
        <v>0</v>
      </c>
      <c r="H36" s="357">
        <f t="shared" si="4"/>
        <v>186262.7955</v>
      </c>
      <c r="I36" s="357">
        <f t="shared" si="4"/>
        <v>180432.8727</v>
      </c>
      <c r="J36" s="357">
        <f t="shared" si="4"/>
        <v>182295.7607</v>
      </c>
      <c r="K36" s="357">
        <f t="shared" si="4"/>
        <v>193426.5482</v>
      </c>
      <c r="L36" s="357">
        <f t="shared" si="4"/>
        <v>237287.2539</v>
      </c>
      <c r="M36" s="357">
        <f t="shared" si="4"/>
        <v>234099.3999</v>
      </c>
      <c r="N36" s="357">
        <f t="shared" si="4"/>
        <v>200500.8736</v>
      </c>
      <c r="O36" s="353">
        <f t="shared" si="4"/>
        <v>160792.1968</v>
      </c>
      <c r="P36" s="1052">
        <f t="shared" ref="P36:P38" si="5">SUM(D36:O36)</f>
        <v>1575097.701</v>
      </c>
      <c r="Q36" s="240"/>
      <c r="R36" s="240"/>
      <c r="S36" s="240"/>
      <c r="T36" s="240"/>
      <c r="U36" s="240"/>
      <c r="V36" s="240"/>
      <c r="W36" s="240"/>
      <c r="X36" s="240"/>
      <c r="Y36" s="240"/>
      <c r="Z36" s="240"/>
      <c r="AA36" s="240"/>
      <c r="AB36" s="240"/>
      <c r="AC36" s="240"/>
      <c r="AD36" s="240"/>
      <c r="AE36" s="240"/>
      <c r="AF36" s="240"/>
      <c r="AG36" s="240"/>
      <c r="AH36" s="240"/>
      <c r="AI36" s="240"/>
    </row>
    <row r="37" ht="15.75" customHeight="1">
      <c r="A37" s="240"/>
      <c r="B37" s="1046"/>
      <c r="C37" s="1047" t="s">
        <v>239</v>
      </c>
      <c r="D37" s="604"/>
      <c r="E37" s="349">
        <v>0.0</v>
      </c>
      <c r="F37" s="499"/>
      <c r="G37" s="357"/>
      <c r="H37" s="737">
        <v>1336.0</v>
      </c>
      <c r="I37" s="357">
        <v>8572.0</v>
      </c>
      <c r="J37" s="737">
        <v>0.0</v>
      </c>
      <c r="K37" s="737">
        <v>4611.0</v>
      </c>
      <c r="L37" s="737">
        <v>9222.0</v>
      </c>
      <c r="M37" s="737">
        <v>1336.0</v>
      </c>
      <c r="N37" s="737">
        <v>11523.0</v>
      </c>
      <c r="O37" s="536">
        <v>3854.0</v>
      </c>
      <c r="P37" s="1052">
        <f t="shared" si="5"/>
        <v>40454</v>
      </c>
      <c r="Q37" s="240"/>
      <c r="R37" s="240"/>
      <c r="S37" s="240"/>
      <c r="T37" s="240"/>
      <c r="U37" s="240"/>
      <c r="V37" s="240"/>
      <c r="W37" s="240"/>
      <c r="X37" s="240"/>
      <c r="Y37" s="240"/>
      <c r="Z37" s="240"/>
      <c r="AA37" s="240"/>
      <c r="AB37" s="240"/>
      <c r="AC37" s="240"/>
      <c r="AD37" s="240"/>
      <c r="AE37" s="240"/>
      <c r="AF37" s="240"/>
      <c r="AG37" s="240"/>
      <c r="AH37" s="240"/>
      <c r="AI37" s="240"/>
    </row>
    <row r="38" ht="15.75" customHeight="1">
      <c r="A38" s="240"/>
      <c r="B38" s="1046"/>
      <c r="C38" s="1047" t="s">
        <v>240</v>
      </c>
      <c r="D38" s="604">
        <f t="shared" ref="D38:O38" si="6">D36+D37</f>
        <v>0</v>
      </c>
      <c r="E38" s="349">
        <f t="shared" si="6"/>
        <v>0</v>
      </c>
      <c r="F38" s="499">
        <f t="shared" si="6"/>
        <v>0</v>
      </c>
      <c r="G38" s="357">
        <f t="shared" si="6"/>
        <v>0</v>
      </c>
      <c r="H38" s="357">
        <f t="shared" si="6"/>
        <v>187598.7955</v>
      </c>
      <c r="I38" s="357">
        <f t="shared" si="6"/>
        <v>189004.8727</v>
      </c>
      <c r="J38" s="357">
        <f t="shared" si="6"/>
        <v>182295.7607</v>
      </c>
      <c r="K38" s="357">
        <f t="shared" si="6"/>
        <v>198037.5482</v>
      </c>
      <c r="L38" s="357">
        <f t="shared" si="6"/>
        <v>246509.2539</v>
      </c>
      <c r="M38" s="357">
        <f t="shared" si="6"/>
        <v>235435.3999</v>
      </c>
      <c r="N38" s="357">
        <f t="shared" si="6"/>
        <v>212023.8736</v>
      </c>
      <c r="O38" s="353">
        <f t="shared" si="6"/>
        <v>164646.1968</v>
      </c>
      <c r="P38" s="1052">
        <f t="shared" si="5"/>
        <v>1615551.701</v>
      </c>
      <c r="Q38" s="240"/>
      <c r="R38" s="240"/>
      <c r="S38" s="240"/>
      <c r="T38" s="240"/>
      <c r="U38" s="240"/>
      <c r="V38" s="240"/>
      <c r="W38" s="240"/>
      <c r="X38" s="240"/>
      <c r="Y38" s="240"/>
      <c r="Z38" s="240"/>
      <c r="AA38" s="240"/>
      <c r="AB38" s="240"/>
      <c r="AC38" s="240"/>
      <c r="AD38" s="240"/>
      <c r="AE38" s="240"/>
      <c r="AF38" s="240"/>
      <c r="AG38" s="240"/>
      <c r="AH38" s="240"/>
      <c r="AI38" s="240"/>
    </row>
    <row r="39" ht="15.75" customHeight="1">
      <c r="A39" s="240"/>
      <c r="B39" s="1046"/>
      <c r="C39" s="1047"/>
      <c r="D39" s="604"/>
      <c r="E39" s="349"/>
      <c r="F39" s="499"/>
      <c r="G39" s="357"/>
      <c r="H39" s="357"/>
      <c r="I39" s="357"/>
      <c r="J39" s="357"/>
      <c r="K39" s="357"/>
      <c r="L39" s="357"/>
      <c r="M39" s="357"/>
      <c r="N39" s="357"/>
      <c r="O39" s="353"/>
      <c r="P39" s="240"/>
      <c r="Q39" s="240"/>
      <c r="R39" s="240"/>
      <c r="S39" s="240"/>
      <c r="T39" s="240"/>
      <c r="U39" s="240"/>
      <c r="V39" s="240"/>
      <c r="W39" s="240"/>
      <c r="X39" s="240"/>
      <c r="Y39" s="240"/>
      <c r="Z39" s="240"/>
      <c r="AA39" s="240"/>
      <c r="AB39" s="240"/>
      <c r="AC39" s="240"/>
      <c r="AD39" s="240"/>
      <c r="AE39" s="240"/>
      <c r="AF39" s="240"/>
      <c r="AG39" s="240"/>
      <c r="AH39" s="240"/>
      <c r="AI39" s="240"/>
    </row>
    <row r="40" ht="15.75" customHeight="1">
      <c r="A40" s="240"/>
      <c r="B40" s="1046" t="s">
        <v>24</v>
      </c>
      <c r="C40" s="1047" t="s">
        <v>305</v>
      </c>
      <c r="D40" s="604">
        <v>0.0</v>
      </c>
      <c r="E40" s="349">
        <v>0.0</v>
      </c>
      <c r="F40" s="499"/>
      <c r="G40" s="357"/>
      <c r="H40" s="357"/>
      <c r="I40" s="357"/>
      <c r="J40" s="357"/>
      <c r="K40" s="357"/>
      <c r="L40" s="357"/>
      <c r="M40" s="357"/>
      <c r="N40" s="357"/>
      <c r="O40" s="353"/>
      <c r="P40" s="240"/>
      <c r="Q40" s="240"/>
      <c r="R40" s="240"/>
      <c r="S40" s="240"/>
      <c r="T40" s="240"/>
      <c r="U40" s="240"/>
      <c r="V40" s="240"/>
      <c r="W40" s="240"/>
      <c r="X40" s="240"/>
      <c r="Y40" s="240"/>
      <c r="Z40" s="240"/>
      <c r="AA40" s="240"/>
      <c r="AB40" s="240"/>
      <c r="AC40" s="240"/>
      <c r="AD40" s="240"/>
      <c r="AE40" s="240"/>
      <c r="AF40" s="240"/>
      <c r="AG40" s="240"/>
      <c r="AH40" s="240"/>
      <c r="AI40" s="240"/>
    </row>
    <row r="41" ht="15.75" customHeight="1">
      <c r="A41" s="240"/>
      <c r="B41" s="1046" t="s">
        <v>24</v>
      </c>
      <c r="C41" s="1047" t="s">
        <v>304</v>
      </c>
      <c r="D41" s="604">
        <v>0.0</v>
      </c>
      <c r="E41" s="349">
        <v>0.0</v>
      </c>
      <c r="F41" s="499"/>
      <c r="G41" s="357"/>
      <c r="H41" s="737">
        <v>0.0</v>
      </c>
      <c r="I41" s="737">
        <v>0.0</v>
      </c>
      <c r="J41" s="1054"/>
      <c r="K41" s="1054"/>
      <c r="L41" s="1054"/>
      <c r="M41" s="1054"/>
      <c r="N41" s="1054"/>
      <c r="O41" s="1055"/>
      <c r="P41" s="240"/>
      <c r="Q41" s="240"/>
      <c r="R41" s="240"/>
      <c r="S41" s="240"/>
      <c r="T41" s="240"/>
      <c r="U41" s="240"/>
      <c r="V41" s="240"/>
      <c r="W41" s="240"/>
      <c r="X41" s="240"/>
      <c r="Y41" s="240"/>
      <c r="Z41" s="240"/>
      <c r="AA41" s="240"/>
      <c r="AB41" s="240"/>
      <c r="AC41" s="240"/>
      <c r="AD41" s="240"/>
      <c r="AE41" s="240"/>
      <c r="AF41" s="240"/>
      <c r="AG41" s="240"/>
      <c r="AH41" s="240"/>
      <c r="AI41" s="240"/>
    </row>
    <row r="42" ht="15.75" hidden="1" customHeight="1">
      <c r="A42" s="240"/>
      <c r="B42" s="1046" t="s">
        <v>22</v>
      </c>
      <c r="C42" s="1047" t="s">
        <v>305</v>
      </c>
      <c r="D42" s="604">
        <v>0.0</v>
      </c>
      <c r="E42" s="349">
        <v>0.0</v>
      </c>
      <c r="F42" s="499"/>
      <c r="G42" s="357"/>
      <c r="H42" s="357"/>
      <c r="I42" s="357"/>
      <c r="J42" s="357"/>
      <c r="K42" s="357"/>
      <c r="L42" s="357"/>
      <c r="M42" s="357"/>
      <c r="N42" s="357"/>
      <c r="O42" s="353"/>
      <c r="P42" s="240"/>
      <c r="Q42" s="240"/>
      <c r="R42" s="240"/>
      <c r="S42" s="240"/>
      <c r="T42" s="240"/>
      <c r="U42" s="240"/>
      <c r="V42" s="240"/>
      <c r="W42" s="240"/>
      <c r="X42" s="240"/>
      <c r="Y42" s="240"/>
      <c r="Z42" s="240"/>
      <c r="AA42" s="240"/>
      <c r="AB42" s="240"/>
      <c r="AC42" s="240"/>
      <c r="AD42" s="240"/>
      <c r="AE42" s="240"/>
      <c r="AF42" s="240"/>
      <c r="AG42" s="240"/>
      <c r="AH42" s="240"/>
      <c r="AI42" s="240"/>
    </row>
    <row r="43" ht="15.75" hidden="1" customHeight="1">
      <c r="A43" s="240"/>
      <c r="B43" s="1046" t="s">
        <v>22</v>
      </c>
      <c r="C43" s="1047" t="s">
        <v>304</v>
      </c>
      <c r="D43" s="604">
        <v>0.0</v>
      </c>
      <c r="E43" s="349">
        <v>0.0</v>
      </c>
      <c r="F43" s="499"/>
      <c r="G43" s="357"/>
      <c r="H43" s="357"/>
      <c r="I43" s="357"/>
      <c r="J43" s="357"/>
      <c r="K43" s="357"/>
      <c r="L43" s="357"/>
      <c r="M43" s="357"/>
      <c r="N43" s="357"/>
      <c r="O43" s="353"/>
      <c r="P43" s="240"/>
      <c r="Q43" s="240"/>
      <c r="R43" s="240"/>
      <c r="S43" s="240"/>
      <c r="T43" s="240"/>
      <c r="U43" s="240"/>
      <c r="V43" s="240"/>
      <c r="W43" s="240"/>
      <c r="X43" s="240"/>
      <c r="Y43" s="240"/>
      <c r="Z43" s="240"/>
      <c r="AA43" s="240"/>
      <c r="AB43" s="240"/>
      <c r="AC43" s="240"/>
      <c r="AD43" s="240"/>
      <c r="AE43" s="240"/>
      <c r="AF43" s="240"/>
      <c r="AG43" s="240"/>
      <c r="AH43" s="240"/>
      <c r="AI43" s="240"/>
    </row>
    <row r="44" ht="15.75" hidden="1" customHeight="1">
      <c r="A44" s="240"/>
      <c r="B44" s="1046" t="s">
        <v>23</v>
      </c>
      <c r="C44" s="1047" t="s">
        <v>305</v>
      </c>
      <c r="D44" s="604">
        <v>0.0</v>
      </c>
      <c r="E44" s="349">
        <v>0.0</v>
      </c>
      <c r="F44" s="499"/>
      <c r="G44" s="357"/>
      <c r="H44" s="357"/>
      <c r="I44" s="357"/>
      <c r="J44" s="357"/>
      <c r="K44" s="357"/>
      <c r="L44" s="357"/>
      <c r="M44" s="357"/>
      <c r="N44" s="357"/>
      <c r="O44" s="353"/>
      <c r="P44" s="240"/>
      <c r="Q44" s="240"/>
      <c r="R44" s="240"/>
      <c r="S44" s="240"/>
      <c r="T44" s="240"/>
      <c r="U44" s="240"/>
      <c r="V44" s="240"/>
      <c r="W44" s="240"/>
      <c r="X44" s="240"/>
      <c r="Y44" s="240"/>
      <c r="Z44" s="240"/>
      <c r="AA44" s="240"/>
      <c r="AB44" s="240"/>
      <c r="AC44" s="240"/>
      <c r="AD44" s="240"/>
      <c r="AE44" s="240"/>
      <c r="AF44" s="240"/>
      <c r="AG44" s="240"/>
      <c r="AH44" s="240"/>
      <c r="AI44" s="240"/>
    </row>
    <row r="45" ht="15.75" hidden="1" customHeight="1">
      <c r="A45" s="240"/>
      <c r="B45" s="1046" t="s">
        <v>23</v>
      </c>
      <c r="C45" s="1047" t="s">
        <v>304</v>
      </c>
      <c r="D45" s="604">
        <v>0.0</v>
      </c>
      <c r="E45" s="349">
        <v>0.0</v>
      </c>
      <c r="F45" s="499"/>
      <c r="G45" s="357"/>
      <c r="H45" s="357"/>
      <c r="I45" s="357"/>
      <c r="J45" s="357"/>
      <c r="K45" s="357"/>
      <c r="L45" s="357"/>
      <c r="M45" s="357"/>
      <c r="N45" s="357"/>
      <c r="O45" s="353"/>
      <c r="P45" s="240"/>
      <c r="Q45" s="240"/>
      <c r="R45" s="240"/>
      <c r="S45" s="240"/>
      <c r="T45" s="240"/>
      <c r="U45" s="240"/>
      <c r="V45" s="240"/>
      <c r="W45" s="240"/>
      <c r="X45" s="240"/>
      <c r="Y45" s="240"/>
      <c r="Z45" s="240"/>
      <c r="AA45" s="240"/>
      <c r="AB45" s="240"/>
      <c r="AC45" s="240"/>
      <c r="AD45" s="240"/>
      <c r="AE45" s="240"/>
      <c r="AF45" s="240"/>
      <c r="AG45" s="240"/>
      <c r="AH45" s="240"/>
      <c r="AI45" s="240"/>
    </row>
    <row r="46" ht="15.75" hidden="1" customHeight="1">
      <c r="A46" s="240"/>
      <c r="B46" s="1046"/>
      <c r="C46" s="1047"/>
      <c r="D46" s="604"/>
      <c r="E46" s="349"/>
      <c r="F46" s="499"/>
      <c r="G46" s="357"/>
      <c r="H46" s="357"/>
      <c r="I46" s="357"/>
      <c r="J46" s="357"/>
      <c r="K46" s="357"/>
      <c r="L46" s="357"/>
      <c r="M46" s="357"/>
      <c r="N46" s="357"/>
      <c r="O46" s="353"/>
      <c r="P46" s="240"/>
      <c r="Q46" s="240"/>
      <c r="R46" s="240"/>
      <c r="S46" s="240"/>
      <c r="T46" s="240"/>
      <c r="U46" s="240"/>
      <c r="V46" s="240"/>
      <c r="W46" s="240"/>
      <c r="X46" s="240"/>
      <c r="Y46" s="240"/>
      <c r="Z46" s="240"/>
      <c r="AA46" s="240"/>
      <c r="AB46" s="240"/>
      <c r="AC46" s="240"/>
      <c r="AD46" s="240"/>
      <c r="AE46" s="240"/>
      <c r="AF46" s="240"/>
      <c r="AG46" s="240"/>
      <c r="AH46" s="240"/>
      <c r="AI46" s="240"/>
    </row>
    <row r="47" ht="15.75" hidden="1" customHeight="1">
      <c r="A47" s="240"/>
      <c r="B47" s="1046"/>
      <c r="C47" s="1047"/>
      <c r="D47" s="604"/>
      <c r="E47" s="349"/>
      <c r="F47" s="499"/>
      <c r="G47" s="357"/>
      <c r="H47" s="357"/>
      <c r="I47" s="357"/>
      <c r="J47" s="357"/>
      <c r="K47" s="357"/>
      <c r="L47" s="357"/>
      <c r="M47" s="357"/>
      <c r="N47" s="357"/>
      <c r="O47" s="353"/>
      <c r="P47" s="240"/>
      <c r="Q47" s="240"/>
      <c r="R47" s="240"/>
      <c r="S47" s="240"/>
      <c r="T47" s="240"/>
      <c r="U47" s="240"/>
      <c r="V47" s="240"/>
      <c r="W47" s="240"/>
      <c r="X47" s="240"/>
      <c r="Y47" s="240"/>
      <c r="Z47" s="240"/>
      <c r="AA47" s="240"/>
      <c r="AB47" s="240"/>
      <c r="AC47" s="240"/>
      <c r="AD47" s="240"/>
      <c r="AE47" s="240"/>
      <c r="AF47" s="240"/>
      <c r="AG47" s="240"/>
      <c r="AH47" s="240"/>
      <c r="AI47" s="240"/>
    </row>
    <row r="48" ht="15.75" hidden="1" customHeight="1">
      <c r="A48" s="240"/>
      <c r="B48" s="1046"/>
      <c r="C48" s="1047"/>
      <c r="D48" s="604"/>
      <c r="E48" s="349"/>
      <c r="F48" s="499"/>
      <c r="G48" s="357"/>
      <c r="H48" s="357"/>
      <c r="I48" s="357"/>
      <c r="J48" s="357"/>
      <c r="K48" s="357"/>
      <c r="L48" s="357"/>
      <c r="M48" s="357"/>
      <c r="N48" s="357"/>
      <c r="O48" s="353"/>
      <c r="P48" s="240"/>
      <c r="Q48" s="240"/>
      <c r="R48" s="240"/>
      <c r="S48" s="240"/>
      <c r="T48" s="240"/>
      <c r="U48" s="240"/>
      <c r="V48" s="240"/>
      <c r="W48" s="240"/>
      <c r="X48" s="240"/>
      <c r="Y48" s="240"/>
      <c r="Z48" s="240"/>
      <c r="AA48" s="240"/>
      <c r="AB48" s="240"/>
      <c r="AC48" s="240"/>
      <c r="AD48" s="240"/>
      <c r="AE48" s="240"/>
      <c r="AF48" s="240"/>
      <c r="AG48" s="240"/>
      <c r="AH48" s="240"/>
      <c r="AI48" s="240"/>
    </row>
    <row r="49" ht="15.75" customHeight="1">
      <c r="A49" s="240"/>
      <c r="B49" s="1046"/>
      <c r="C49" s="1047" t="s">
        <v>464</v>
      </c>
      <c r="D49" s="604">
        <f t="shared" ref="D49:F49" si="7">SUM(D40:D46)</f>
        <v>0</v>
      </c>
      <c r="E49" s="349">
        <f t="shared" si="7"/>
        <v>0</v>
      </c>
      <c r="F49" s="499">
        <f t="shared" si="7"/>
        <v>0</v>
      </c>
      <c r="G49" s="357">
        <f t="shared" ref="G49:O49" si="8">SUM(G41:G46)</f>
        <v>0</v>
      </c>
      <c r="H49" s="357">
        <f t="shared" si="8"/>
        <v>0</v>
      </c>
      <c r="I49" s="357">
        <f t="shared" si="8"/>
        <v>0</v>
      </c>
      <c r="J49" s="357">
        <f t="shared" si="8"/>
        <v>0</v>
      </c>
      <c r="K49" s="357">
        <f t="shared" si="8"/>
        <v>0</v>
      </c>
      <c r="L49" s="357">
        <f t="shared" si="8"/>
        <v>0</v>
      </c>
      <c r="M49" s="357">
        <f t="shared" si="8"/>
        <v>0</v>
      </c>
      <c r="N49" s="357">
        <f t="shared" si="8"/>
        <v>0</v>
      </c>
      <c r="O49" s="353">
        <f t="shared" si="8"/>
        <v>0</v>
      </c>
      <c r="P49" s="240"/>
      <c r="Q49" s="240"/>
      <c r="R49" s="240"/>
      <c r="S49" s="240"/>
      <c r="T49" s="240"/>
      <c r="U49" s="240"/>
      <c r="V49" s="240"/>
      <c r="W49" s="240"/>
      <c r="X49" s="240"/>
      <c r="Y49" s="240"/>
      <c r="Z49" s="240"/>
      <c r="AA49" s="240"/>
      <c r="AB49" s="240"/>
      <c r="AC49" s="240"/>
      <c r="AD49" s="240"/>
      <c r="AE49" s="240"/>
      <c r="AF49" s="240"/>
      <c r="AG49" s="240"/>
      <c r="AH49" s="240"/>
      <c r="AI49" s="240"/>
    </row>
    <row r="50" ht="15.75" customHeight="1">
      <c r="A50" s="240"/>
      <c r="B50" s="1046"/>
      <c r="C50" s="1047"/>
      <c r="D50" s="604"/>
      <c r="E50" s="349"/>
      <c r="F50" s="499"/>
      <c r="G50" s="357"/>
      <c r="H50" s="357"/>
      <c r="I50" s="357"/>
      <c r="J50" s="357"/>
      <c r="K50" s="357"/>
      <c r="L50" s="357"/>
      <c r="M50" s="357"/>
      <c r="N50" s="357"/>
      <c r="O50" s="353"/>
      <c r="P50" s="240"/>
      <c r="Q50" s="240"/>
      <c r="R50" s="240"/>
      <c r="S50" s="240"/>
      <c r="T50" s="240"/>
      <c r="U50" s="240"/>
      <c r="V50" s="240"/>
      <c r="W50" s="240"/>
      <c r="X50" s="240"/>
      <c r="Y50" s="240"/>
      <c r="Z50" s="240"/>
      <c r="AA50" s="240"/>
      <c r="AB50" s="240"/>
      <c r="AC50" s="240"/>
      <c r="AD50" s="240"/>
      <c r="AE50" s="240"/>
      <c r="AF50" s="240"/>
      <c r="AG50" s="240"/>
      <c r="AH50" s="240"/>
      <c r="AI50" s="240"/>
    </row>
    <row r="51" ht="15.75" customHeight="1">
      <c r="A51" s="240"/>
      <c r="B51" s="1046"/>
      <c r="C51" s="1047"/>
      <c r="D51" s="604"/>
      <c r="E51" s="349"/>
      <c r="F51" s="499"/>
      <c r="G51" s="357"/>
      <c r="H51" s="357"/>
      <c r="I51" s="357"/>
      <c r="J51" s="357"/>
      <c r="K51" s="357"/>
      <c r="L51" s="357"/>
      <c r="M51" s="357"/>
      <c r="N51" s="357"/>
      <c r="O51" s="353"/>
      <c r="P51" s="240"/>
      <c r="Q51" s="240"/>
      <c r="R51" s="240"/>
      <c r="S51" s="240"/>
      <c r="T51" s="240"/>
      <c r="U51" s="240"/>
      <c r="V51" s="240"/>
      <c r="W51" s="240"/>
      <c r="X51" s="240"/>
      <c r="Y51" s="240"/>
      <c r="Z51" s="240"/>
      <c r="AA51" s="240"/>
      <c r="AB51" s="240"/>
      <c r="AC51" s="240"/>
      <c r="AD51" s="240"/>
      <c r="AE51" s="240"/>
      <c r="AF51" s="240"/>
      <c r="AG51" s="240"/>
      <c r="AH51" s="240"/>
      <c r="AI51" s="240"/>
    </row>
    <row r="52" ht="15.75" customHeight="1">
      <c r="A52" s="240"/>
      <c r="B52" s="1046"/>
      <c r="C52" s="1047"/>
      <c r="D52" s="604"/>
      <c r="E52" s="349"/>
      <c r="F52" s="499"/>
      <c r="G52" s="357"/>
      <c r="H52" s="357"/>
      <c r="I52" s="357"/>
      <c r="J52" s="357"/>
      <c r="K52" s="357"/>
      <c r="L52" s="357"/>
      <c r="M52" s="357"/>
      <c r="N52" s="357"/>
      <c r="O52" s="353"/>
      <c r="P52" s="240"/>
      <c r="Q52" s="240"/>
      <c r="R52" s="240"/>
      <c r="S52" s="240"/>
      <c r="T52" s="240"/>
      <c r="U52" s="240"/>
      <c r="V52" s="240"/>
      <c r="W52" s="240"/>
      <c r="X52" s="240"/>
      <c r="Y52" s="240"/>
      <c r="Z52" s="240"/>
      <c r="AA52" s="240"/>
      <c r="AB52" s="240"/>
      <c r="AC52" s="240"/>
      <c r="AD52" s="240"/>
      <c r="AE52" s="240"/>
      <c r="AF52" s="240"/>
      <c r="AG52" s="240"/>
      <c r="AH52" s="240"/>
      <c r="AI52" s="240"/>
    </row>
    <row r="53" ht="15.75" customHeight="1">
      <c r="A53" s="240"/>
      <c r="B53" s="1056" t="s">
        <v>33</v>
      </c>
      <c r="C53" s="1016"/>
      <c r="D53" s="1057">
        <f t="shared" ref="D53:H53" si="9">D26-D38-D49</f>
        <v>0</v>
      </c>
      <c r="E53" s="660">
        <f t="shared" si="9"/>
        <v>0</v>
      </c>
      <c r="F53" s="687">
        <f t="shared" si="9"/>
        <v>0</v>
      </c>
      <c r="G53" s="655">
        <f t="shared" si="9"/>
        <v>30188</v>
      </c>
      <c r="H53" s="655">
        <f t="shared" si="9"/>
        <v>-86763.79547</v>
      </c>
      <c r="I53" s="655">
        <f>I26-I38-I41</f>
        <v>-83808.87267</v>
      </c>
      <c r="J53" s="655">
        <f t="shared" ref="J53:O53" si="10">J26-J38</f>
        <v>-83963.24073</v>
      </c>
      <c r="K53" s="655">
        <f t="shared" si="10"/>
        <v>-71402.98817</v>
      </c>
      <c r="L53" s="655">
        <f t="shared" si="10"/>
        <v>-12331.93394</v>
      </c>
      <c r="M53" s="655">
        <f t="shared" si="10"/>
        <v>-38623.55987</v>
      </c>
      <c r="N53" s="655">
        <f t="shared" si="10"/>
        <v>-49312.27361</v>
      </c>
      <c r="O53" s="657">
        <f t="shared" si="10"/>
        <v>21234.12323</v>
      </c>
      <c r="P53" s="1052">
        <f>SUM(D53:O53)</f>
        <v>-374784.5412</v>
      </c>
      <c r="Q53" s="240"/>
      <c r="R53" s="240"/>
      <c r="S53" s="240"/>
      <c r="T53" s="240"/>
      <c r="U53" s="240"/>
      <c r="V53" s="240"/>
      <c r="W53" s="240"/>
      <c r="X53" s="240"/>
      <c r="Y53" s="240"/>
      <c r="Z53" s="240"/>
      <c r="AA53" s="240"/>
      <c r="AB53" s="240"/>
      <c r="AC53" s="240"/>
      <c r="AD53" s="240"/>
      <c r="AE53" s="240"/>
      <c r="AF53" s="240"/>
      <c r="AG53" s="240"/>
      <c r="AH53" s="240"/>
      <c r="AI53" s="240"/>
    </row>
    <row r="54" ht="15.75" customHeight="1">
      <c r="A54" s="240"/>
      <c r="B54" s="1058"/>
      <c r="C54" s="1059"/>
      <c r="D54" s="619"/>
      <c r="E54" s="361"/>
      <c r="F54" s="613"/>
      <c r="G54" s="367"/>
      <c r="H54" s="367"/>
      <c r="I54" s="367"/>
      <c r="J54" s="367"/>
      <c r="K54" s="367"/>
      <c r="L54" s="367"/>
      <c r="M54" s="367"/>
      <c r="N54" s="367"/>
      <c r="O54" s="365"/>
      <c r="P54" s="240"/>
      <c r="Q54" s="240"/>
      <c r="R54" s="240"/>
      <c r="S54" s="240"/>
      <c r="T54" s="240"/>
      <c r="U54" s="240"/>
      <c r="V54" s="240"/>
      <c r="W54" s="240"/>
      <c r="X54" s="240"/>
      <c r="Y54" s="240"/>
      <c r="Z54" s="240"/>
      <c r="AA54" s="240"/>
      <c r="AB54" s="240"/>
      <c r="AC54" s="240"/>
      <c r="AD54" s="240"/>
      <c r="AE54" s="240"/>
      <c r="AF54" s="240"/>
      <c r="AG54" s="240"/>
      <c r="AH54" s="240"/>
      <c r="AI54" s="240"/>
    </row>
    <row r="55" ht="15.75" customHeight="1">
      <c r="A55" s="240"/>
      <c r="B55" s="1060"/>
      <c r="C55" s="1061" t="s">
        <v>241</v>
      </c>
      <c r="D55" s="771"/>
      <c r="E55" s="1062"/>
      <c r="F55" s="1063"/>
      <c r="G55" s="773"/>
      <c r="H55" s="773"/>
      <c r="I55" s="773"/>
      <c r="J55" s="773"/>
      <c r="K55" s="773"/>
      <c r="L55" s="773"/>
      <c r="M55" s="773"/>
      <c r="N55" s="773"/>
      <c r="O55" s="509"/>
      <c r="P55" s="1052">
        <f>SUM(D55:O55)</f>
        <v>0</v>
      </c>
      <c r="Q55" s="240"/>
      <c r="R55" s="240"/>
      <c r="S55" s="240"/>
      <c r="T55" s="240"/>
      <c r="U55" s="240"/>
      <c r="V55" s="240"/>
      <c r="W55" s="240"/>
      <c r="X55" s="240"/>
      <c r="Y55" s="240"/>
      <c r="Z55" s="240"/>
      <c r="AA55" s="240"/>
      <c r="AB55" s="240"/>
      <c r="AC55" s="240"/>
      <c r="AD55" s="240"/>
      <c r="AE55" s="240"/>
      <c r="AF55" s="240"/>
      <c r="AG55" s="240"/>
      <c r="AH55" s="240"/>
      <c r="AI55" s="240"/>
    </row>
    <row r="56" ht="15.75" hidden="1" customHeight="1">
      <c r="A56" s="240"/>
      <c r="B56" s="1040"/>
      <c r="C56" s="1041" t="s">
        <v>242</v>
      </c>
      <c r="D56" s="708"/>
      <c r="E56" s="382"/>
      <c r="F56" s="615"/>
      <c r="G56" s="388"/>
      <c r="H56" s="388"/>
      <c r="I56" s="388"/>
      <c r="J56" s="388"/>
      <c r="K56" s="388"/>
      <c r="L56" s="388"/>
      <c r="M56" s="388"/>
      <c r="N56" s="388"/>
      <c r="O56" s="386"/>
      <c r="P56" s="240"/>
      <c r="Q56" s="240"/>
      <c r="R56" s="240"/>
      <c r="S56" s="240"/>
      <c r="T56" s="240"/>
      <c r="U56" s="240"/>
      <c r="V56" s="240"/>
      <c r="W56" s="240"/>
      <c r="X56" s="240"/>
      <c r="Y56" s="240"/>
      <c r="Z56" s="240"/>
      <c r="AA56" s="240"/>
      <c r="AB56" s="240"/>
      <c r="AC56" s="240"/>
      <c r="AD56" s="240"/>
      <c r="AE56" s="240"/>
      <c r="AF56" s="240"/>
      <c r="AG56" s="240"/>
      <c r="AH56" s="240"/>
      <c r="AI56" s="240"/>
    </row>
    <row r="57" ht="15.75" hidden="1" customHeight="1">
      <c r="A57" s="240"/>
      <c r="B57" s="1046"/>
      <c r="C57" s="1047" t="s">
        <v>243</v>
      </c>
      <c r="D57" s="604"/>
      <c r="E57" s="349"/>
      <c r="F57" s="499"/>
      <c r="G57" s="357"/>
      <c r="H57" s="357"/>
      <c r="I57" s="357"/>
      <c r="J57" s="357"/>
      <c r="K57" s="357"/>
      <c r="L57" s="357"/>
      <c r="M57" s="357"/>
      <c r="N57" s="357"/>
      <c r="O57" s="353"/>
      <c r="P57" s="240"/>
      <c r="Q57" s="240"/>
      <c r="R57" s="240"/>
      <c r="S57" s="240"/>
      <c r="T57" s="240"/>
      <c r="U57" s="240"/>
      <c r="V57" s="240"/>
      <c r="W57" s="240"/>
      <c r="X57" s="240"/>
      <c r="Y57" s="240"/>
      <c r="Z57" s="240"/>
      <c r="AA57" s="240"/>
      <c r="AB57" s="240"/>
      <c r="AC57" s="240"/>
      <c r="AD57" s="240"/>
      <c r="AE57" s="240"/>
      <c r="AF57" s="240"/>
      <c r="AG57" s="240"/>
      <c r="AH57" s="240"/>
      <c r="AI57" s="240"/>
    </row>
    <row r="58" ht="15.75" hidden="1" customHeight="1">
      <c r="A58" s="240"/>
      <c r="B58" s="1046"/>
      <c r="C58" s="1047" t="s">
        <v>244</v>
      </c>
      <c r="D58" s="604"/>
      <c r="E58" s="349"/>
      <c r="F58" s="499"/>
      <c r="G58" s="357"/>
      <c r="H58" s="357"/>
      <c r="I58" s="357"/>
      <c r="J58" s="357"/>
      <c r="K58" s="357"/>
      <c r="L58" s="357"/>
      <c r="M58" s="357"/>
      <c r="N58" s="357"/>
      <c r="O58" s="353"/>
      <c r="P58" s="240"/>
      <c r="Q58" s="240"/>
      <c r="R58" s="240"/>
      <c r="S58" s="240"/>
      <c r="T58" s="240"/>
      <c r="U58" s="240"/>
      <c r="V58" s="240"/>
      <c r="W58" s="240"/>
      <c r="X58" s="240"/>
      <c r="Y58" s="240"/>
      <c r="Z58" s="240"/>
      <c r="AA58" s="240"/>
      <c r="AB58" s="240"/>
      <c r="AC58" s="240"/>
      <c r="AD58" s="240"/>
      <c r="AE58" s="240"/>
      <c r="AF58" s="240"/>
      <c r="AG58" s="240"/>
      <c r="AH58" s="240"/>
      <c r="AI58" s="240"/>
    </row>
    <row r="59" ht="15.75" hidden="1" customHeight="1">
      <c r="A59" s="240"/>
      <c r="B59" s="1046"/>
      <c r="C59" s="1047" t="s">
        <v>303</v>
      </c>
      <c r="D59" s="604"/>
      <c r="E59" s="349"/>
      <c r="F59" s="499"/>
      <c r="G59" s="357"/>
      <c r="H59" s="357"/>
      <c r="I59" s="357"/>
      <c r="J59" s="357"/>
      <c r="K59" s="357"/>
      <c r="L59" s="357"/>
      <c r="M59" s="357"/>
      <c r="N59" s="357"/>
      <c r="O59" s="353"/>
      <c r="P59" s="240"/>
      <c r="Q59" s="240"/>
      <c r="R59" s="240"/>
      <c r="S59" s="240"/>
      <c r="T59" s="240"/>
      <c r="U59" s="240"/>
      <c r="V59" s="240"/>
      <c r="W59" s="240"/>
      <c r="X59" s="240"/>
      <c r="Y59" s="240"/>
      <c r="Z59" s="240"/>
      <c r="AA59" s="240"/>
      <c r="AB59" s="240"/>
      <c r="AC59" s="240"/>
      <c r="AD59" s="240"/>
      <c r="AE59" s="240"/>
      <c r="AF59" s="240"/>
      <c r="AG59" s="240"/>
      <c r="AH59" s="240"/>
      <c r="AI59" s="240"/>
    </row>
    <row r="60" ht="15.75" hidden="1" customHeight="1">
      <c r="A60" s="240"/>
      <c r="B60" s="1046"/>
      <c r="C60" s="1047" t="s">
        <v>246</v>
      </c>
      <c r="D60" s="604"/>
      <c r="E60" s="349"/>
      <c r="F60" s="499"/>
      <c r="G60" s="357"/>
      <c r="H60" s="357"/>
      <c r="I60" s="357"/>
      <c r="J60" s="357"/>
      <c r="K60" s="357"/>
      <c r="L60" s="357"/>
      <c r="M60" s="357"/>
      <c r="N60" s="357"/>
      <c r="O60" s="353"/>
      <c r="P60" s="240"/>
      <c r="Q60" s="240"/>
      <c r="R60" s="240"/>
      <c r="S60" s="240"/>
      <c r="T60" s="240"/>
      <c r="U60" s="240"/>
      <c r="V60" s="240"/>
      <c r="W60" s="240"/>
      <c r="X60" s="240"/>
      <c r="Y60" s="240"/>
      <c r="Z60" s="240"/>
      <c r="AA60" s="240"/>
      <c r="AB60" s="240"/>
      <c r="AC60" s="240"/>
      <c r="AD60" s="240"/>
      <c r="AE60" s="240"/>
      <c r="AF60" s="240"/>
      <c r="AG60" s="240"/>
      <c r="AH60" s="240"/>
      <c r="AI60" s="240"/>
    </row>
    <row r="61" ht="15.75" hidden="1" customHeight="1">
      <c r="A61" s="240"/>
      <c r="B61" s="1046"/>
      <c r="C61" s="1047" t="s">
        <v>247</v>
      </c>
      <c r="D61" s="604"/>
      <c r="E61" s="349"/>
      <c r="F61" s="499"/>
      <c r="G61" s="357"/>
      <c r="H61" s="357"/>
      <c r="I61" s="357"/>
      <c r="J61" s="357"/>
      <c r="K61" s="357"/>
      <c r="L61" s="357"/>
      <c r="M61" s="357"/>
      <c r="N61" s="357"/>
      <c r="O61" s="353"/>
      <c r="P61" s="240"/>
      <c r="Q61" s="240"/>
      <c r="R61" s="240"/>
      <c r="S61" s="240"/>
      <c r="T61" s="240"/>
      <c r="U61" s="240"/>
      <c r="V61" s="240"/>
      <c r="W61" s="240"/>
      <c r="X61" s="240"/>
      <c r="Y61" s="240"/>
      <c r="Z61" s="240"/>
      <c r="AA61" s="240"/>
      <c r="AB61" s="240"/>
      <c r="AC61" s="240"/>
      <c r="AD61" s="240"/>
      <c r="AE61" s="240"/>
      <c r="AF61" s="240"/>
      <c r="AG61" s="240"/>
      <c r="AH61" s="240"/>
      <c r="AI61" s="240"/>
    </row>
    <row r="62" ht="15.75" customHeight="1">
      <c r="A62" s="240"/>
      <c r="B62" s="1046"/>
      <c r="C62" s="1047" t="s">
        <v>248</v>
      </c>
      <c r="D62" s="604">
        <f t="shared" ref="D62:O62" si="11">SUM(D56:D61)</f>
        <v>0</v>
      </c>
      <c r="E62" s="349">
        <f t="shared" si="11"/>
        <v>0</v>
      </c>
      <c r="F62" s="499">
        <f t="shared" si="11"/>
        <v>0</v>
      </c>
      <c r="G62" s="357">
        <f t="shared" si="11"/>
        <v>0</v>
      </c>
      <c r="H62" s="357">
        <f t="shared" si="11"/>
        <v>0</v>
      </c>
      <c r="I62" s="357">
        <f t="shared" si="11"/>
        <v>0</v>
      </c>
      <c r="J62" s="357">
        <f t="shared" si="11"/>
        <v>0</v>
      </c>
      <c r="K62" s="357">
        <f t="shared" si="11"/>
        <v>0</v>
      </c>
      <c r="L62" s="357">
        <f t="shared" si="11"/>
        <v>0</v>
      </c>
      <c r="M62" s="357">
        <f t="shared" si="11"/>
        <v>0</v>
      </c>
      <c r="N62" s="357">
        <f t="shared" si="11"/>
        <v>0</v>
      </c>
      <c r="O62" s="353">
        <f t="shared" si="11"/>
        <v>0</v>
      </c>
      <c r="P62" s="1052">
        <f>SUM(D62:O62)</f>
        <v>0</v>
      </c>
      <c r="Q62" s="240"/>
      <c r="R62" s="240"/>
      <c r="S62" s="240"/>
      <c r="T62" s="240"/>
      <c r="U62" s="240"/>
      <c r="V62" s="240"/>
      <c r="W62" s="240"/>
      <c r="X62" s="240"/>
      <c r="Y62" s="240"/>
      <c r="Z62" s="240"/>
      <c r="AA62" s="240"/>
      <c r="AB62" s="240"/>
      <c r="AC62" s="240"/>
      <c r="AD62" s="240"/>
      <c r="AE62" s="240"/>
      <c r="AF62" s="240"/>
      <c r="AG62" s="240"/>
      <c r="AH62" s="240"/>
      <c r="AI62" s="240"/>
    </row>
    <row r="63" ht="15.75" hidden="1" customHeight="1">
      <c r="A63" s="240"/>
      <c r="B63" s="1046"/>
      <c r="C63" s="1047"/>
      <c r="D63" s="604"/>
      <c r="E63" s="349"/>
      <c r="F63" s="499"/>
      <c r="G63" s="357"/>
      <c r="H63" s="357"/>
      <c r="I63" s="357"/>
      <c r="J63" s="357"/>
      <c r="K63" s="357"/>
      <c r="L63" s="357"/>
      <c r="M63" s="357"/>
      <c r="N63" s="357"/>
      <c r="O63" s="353"/>
      <c r="P63" s="240"/>
      <c r="Q63" s="240"/>
      <c r="R63" s="240"/>
      <c r="S63" s="240"/>
      <c r="T63" s="240"/>
      <c r="U63" s="240"/>
      <c r="V63" s="240"/>
      <c r="W63" s="240"/>
      <c r="X63" s="240"/>
      <c r="Y63" s="240"/>
      <c r="Z63" s="240"/>
      <c r="AA63" s="240"/>
      <c r="AB63" s="240"/>
      <c r="AC63" s="240"/>
      <c r="AD63" s="240"/>
      <c r="AE63" s="240"/>
      <c r="AF63" s="240"/>
      <c r="AG63" s="240"/>
      <c r="AH63" s="240"/>
      <c r="AI63" s="240"/>
    </row>
    <row r="64" ht="15.75" hidden="1" customHeight="1">
      <c r="A64" s="240"/>
      <c r="B64" s="1046"/>
      <c r="C64" s="1047"/>
      <c r="D64" s="604"/>
      <c r="E64" s="349"/>
      <c r="F64" s="499"/>
      <c r="G64" s="357"/>
      <c r="H64" s="357"/>
      <c r="I64" s="357"/>
      <c r="J64" s="357"/>
      <c r="K64" s="357"/>
      <c r="L64" s="357"/>
      <c r="M64" s="357"/>
      <c r="N64" s="357"/>
      <c r="O64" s="353"/>
      <c r="P64" s="240"/>
      <c r="Q64" s="240"/>
      <c r="R64" s="240"/>
      <c r="S64" s="240"/>
      <c r="T64" s="240"/>
      <c r="U64" s="240"/>
      <c r="V64" s="240"/>
      <c r="W64" s="240"/>
      <c r="X64" s="240"/>
      <c r="Y64" s="240"/>
      <c r="Z64" s="240"/>
      <c r="AA64" s="240"/>
      <c r="AB64" s="240"/>
      <c r="AC64" s="240"/>
      <c r="AD64" s="240"/>
      <c r="AE64" s="240"/>
      <c r="AF64" s="240"/>
      <c r="AG64" s="240"/>
      <c r="AH64" s="240"/>
      <c r="AI64" s="240"/>
    </row>
    <row r="65" ht="15.75" hidden="1" customHeight="1">
      <c r="A65" s="240"/>
      <c r="B65" s="1046"/>
      <c r="C65" s="1047"/>
      <c r="D65" s="604"/>
      <c r="E65" s="349"/>
      <c r="F65" s="499"/>
      <c r="G65" s="357"/>
      <c r="H65" s="357"/>
      <c r="I65" s="357"/>
      <c r="J65" s="357"/>
      <c r="K65" s="357"/>
      <c r="L65" s="357"/>
      <c r="M65" s="357"/>
      <c r="N65" s="357"/>
      <c r="O65" s="353"/>
      <c r="P65" s="240"/>
      <c r="Q65" s="240"/>
      <c r="R65" s="240"/>
      <c r="S65" s="240"/>
      <c r="T65" s="240"/>
      <c r="U65" s="240"/>
      <c r="V65" s="240"/>
      <c r="W65" s="240"/>
      <c r="X65" s="240"/>
      <c r="Y65" s="240"/>
      <c r="Z65" s="240"/>
      <c r="AA65" s="240"/>
      <c r="AB65" s="240"/>
      <c r="AC65" s="240"/>
      <c r="AD65" s="240"/>
      <c r="AE65" s="240"/>
      <c r="AF65" s="240"/>
      <c r="AG65" s="240"/>
      <c r="AH65" s="240"/>
      <c r="AI65" s="240"/>
    </row>
    <row r="66" ht="15.75" hidden="1" customHeight="1">
      <c r="A66" s="240"/>
      <c r="B66" s="1046"/>
      <c r="C66" s="1047"/>
      <c r="D66" s="604"/>
      <c r="E66" s="349"/>
      <c r="F66" s="499"/>
      <c r="G66" s="357"/>
      <c r="H66" s="357"/>
      <c r="I66" s="357"/>
      <c r="J66" s="357"/>
      <c r="K66" s="357"/>
      <c r="L66" s="357"/>
      <c r="M66" s="357"/>
      <c r="N66" s="357"/>
      <c r="O66" s="353"/>
      <c r="P66" s="240"/>
      <c r="Q66" s="240"/>
      <c r="R66" s="240"/>
      <c r="S66" s="240"/>
      <c r="T66" s="240"/>
      <c r="U66" s="240"/>
      <c r="V66" s="240"/>
      <c r="W66" s="240"/>
      <c r="X66" s="240"/>
      <c r="Y66" s="240"/>
      <c r="Z66" s="240"/>
      <c r="AA66" s="240"/>
      <c r="AB66" s="240"/>
      <c r="AC66" s="240"/>
      <c r="AD66" s="240"/>
      <c r="AE66" s="240"/>
      <c r="AF66" s="240"/>
      <c r="AG66" s="240"/>
      <c r="AH66" s="240"/>
      <c r="AI66" s="240"/>
    </row>
    <row r="67" ht="15.75" hidden="1" customHeight="1">
      <c r="A67" s="240"/>
      <c r="B67" s="1046"/>
      <c r="C67" s="1047"/>
      <c r="D67" s="604"/>
      <c r="E67" s="349"/>
      <c r="F67" s="499"/>
      <c r="G67" s="357"/>
      <c r="H67" s="357"/>
      <c r="I67" s="357"/>
      <c r="J67" s="357"/>
      <c r="K67" s="357"/>
      <c r="L67" s="357"/>
      <c r="M67" s="357"/>
      <c r="N67" s="357"/>
      <c r="O67" s="353"/>
      <c r="P67" s="240"/>
      <c r="Q67" s="240"/>
      <c r="R67" s="240"/>
      <c r="S67" s="240"/>
      <c r="T67" s="240"/>
      <c r="U67" s="240"/>
      <c r="V67" s="240"/>
      <c r="W67" s="240"/>
      <c r="X67" s="240"/>
      <c r="Y67" s="240"/>
      <c r="Z67" s="240"/>
      <c r="AA67" s="240"/>
      <c r="AB67" s="240"/>
      <c r="AC67" s="240"/>
      <c r="AD67" s="240"/>
      <c r="AE67" s="240"/>
      <c r="AF67" s="240"/>
      <c r="AG67" s="240"/>
      <c r="AH67" s="240"/>
      <c r="AI67" s="240"/>
    </row>
    <row r="68" ht="15.75" hidden="1" customHeight="1">
      <c r="A68" s="240"/>
      <c r="B68" s="1046"/>
      <c r="C68" s="1047"/>
      <c r="D68" s="604"/>
      <c r="E68" s="349"/>
      <c r="F68" s="499"/>
      <c r="G68" s="357"/>
      <c r="H68" s="357"/>
      <c r="I68" s="357"/>
      <c r="J68" s="357"/>
      <c r="K68" s="357"/>
      <c r="L68" s="357"/>
      <c r="M68" s="357"/>
      <c r="N68" s="357"/>
      <c r="O68" s="353"/>
      <c r="P68" s="240"/>
      <c r="Q68" s="240"/>
      <c r="R68" s="240"/>
      <c r="S68" s="240"/>
      <c r="T68" s="240"/>
      <c r="U68" s="240"/>
      <c r="V68" s="240"/>
      <c r="W68" s="240"/>
      <c r="X68" s="240"/>
      <c r="Y68" s="240"/>
      <c r="Z68" s="240"/>
      <c r="AA68" s="240"/>
      <c r="AB68" s="240"/>
      <c r="AC68" s="240"/>
      <c r="AD68" s="240"/>
      <c r="AE68" s="240"/>
      <c r="AF68" s="240"/>
      <c r="AG68" s="240"/>
      <c r="AH68" s="240"/>
      <c r="AI68" s="240"/>
    </row>
    <row r="69" ht="15.75" hidden="1" customHeight="1">
      <c r="A69" s="240"/>
      <c r="B69" s="1046"/>
      <c r="C69" s="1047"/>
      <c r="D69" s="604"/>
      <c r="E69" s="349"/>
      <c r="F69" s="499"/>
      <c r="G69" s="357"/>
      <c r="H69" s="357"/>
      <c r="I69" s="357"/>
      <c r="J69" s="357"/>
      <c r="K69" s="357"/>
      <c r="L69" s="357"/>
      <c r="M69" s="357"/>
      <c r="N69" s="357"/>
      <c r="O69" s="353"/>
      <c r="P69" s="240"/>
      <c r="Q69" s="240"/>
      <c r="R69" s="240"/>
      <c r="S69" s="240"/>
      <c r="T69" s="240"/>
      <c r="U69" s="240"/>
      <c r="V69" s="240"/>
      <c r="W69" s="240"/>
      <c r="X69" s="240"/>
      <c r="Y69" s="240"/>
      <c r="Z69" s="240"/>
      <c r="AA69" s="240"/>
      <c r="AB69" s="240"/>
      <c r="AC69" s="240"/>
      <c r="AD69" s="240"/>
      <c r="AE69" s="240"/>
      <c r="AF69" s="240"/>
      <c r="AG69" s="240"/>
      <c r="AH69" s="240"/>
      <c r="AI69" s="240"/>
    </row>
    <row r="70" ht="15.75" customHeight="1">
      <c r="A70" s="240"/>
      <c r="B70" s="1046"/>
      <c r="C70" s="1047"/>
      <c r="D70" s="604"/>
      <c r="E70" s="349"/>
      <c r="F70" s="499"/>
      <c r="G70" s="357"/>
      <c r="H70" s="357"/>
      <c r="I70" s="357"/>
      <c r="J70" s="357"/>
      <c r="K70" s="357"/>
      <c r="L70" s="357"/>
      <c r="M70" s="357"/>
      <c r="N70" s="357"/>
      <c r="O70" s="353"/>
      <c r="P70" s="240"/>
      <c r="Q70" s="240"/>
      <c r="R70" s="240"/>
      <c r="S70" s="240"/>
      <c r="T70" s="240"/>
      <c r="U70" s="240"/>
      <c r="V70" s="240"/>
      <c r="W70" s="240"/>
      <c r="X70" s="240"/>
      <c r="Y70" s="240"/>
      <c r="Z70" s="240"/>
      <c r="AA70" s="240"/>
      <c r="AB70" s="240"/>
      <c r="AC70" s="240"/>
      <c r="AD70" s="240"/>
      <c r="AE70" s="240"/>
      <c r="AF70" s="240"/>
      <c r="AG70" s="240"/>
      <c r="AH70" s="240"/>
      <c r="AI70" s="240"/>
    </row>
    <row r="71" ht="15.75" customHeight="1">
      <c r="A71" s="240"/>
      <c r="B71" s="1046"/>
      <c r="C71" s="1047"/>
      <c r="D71" s="604"/>
      <c r="E71" s="349"/>
      <c r="F71" s="499"/>
      <c r="G71" s="357"/>
      <c r="H71" s="357"/>
      <c r="I71" s="357"/>
      <c r="J71" s="357"/>
      <c r="K71" s="357"/>
      <c r="L71" s="357"/>
      <c r="M71" s="357"/>
      <c r="N71" s="357"/>
      <c r="O71" s="353"/>
      <c r="P71" s="240"/>
      <c r="Q71" s="240"/>
      <c r="R71" s="240"/>
      <c r="S71" s="240"/>
      <c r="T71" s="240"/>
      <c r="U71" s="240"/>
      <c r="V71" s="240"/>
      <c r="W71" s="240"/>
      <c r="X71" s="240"/>
      <c r="Y71" s="240"/>
      <c r="Z71" s="240"/>
      <c r="AA71" s="240"/>
      <c r="AB71" s="240"/>
      <c r="AC71" s="240"/>
      <c r="AD71" s="240"/>
      <c r="AE71" s="240"/>
      <c r="AF71" s="240"/>
      <c r="AG71" s="240"/>
      <c r="AH71" s="240"/>
      <c r="AI71" s="240"/>
    </row>
    <row r="72" ht="15.75" customHeight="1">
      <c r="A72" s="240"/>
      <c r="B72" s="1046"/>
      <c r="C72" s="1047"/>
      <c r="D72" s="604"/>
      <c r="E72" s="349"/>
      <c r="F72" s="499"/>
      <c r="G72" s="357"/>
      <c r="H72" s="357"/>
      <c r="I72" s="357"/>
      <c r="J72" s="357"/>
      <c r="K72" s="357"/>
      <c r="L72" s="357"/>
      <c r="M72" s="357"/>
      <c r="N72" s="357"/>
      <c r="O72" s="353"/>
      <c r="P72" s="240"/>
      <c r="Q72" s="240"/>
      <c r="R72" s="240"/>
      <c r="S72" s="240"/>
      <c r="T72" s="240"/>
      <c r="U72" s="240"/>
      <c r="V72" s="240"/>
      <c r="W72" s="240"/>
      <c r="X72" s="240"/>
      <c r="Y72" s="240"/>
      <c r="Z72" s="240"/>
      <c r="AA72" s="240"/>
      <c r="AB72" s="240"/>
      <c r="AC72" s="240"/>
      <c r="AD72" s="240"/>
      <c r="AE72" s="240"/>
      <c r="AF72" s="240"/>
      <c r="AG72" s="240"/>
      <c r="AH72" s="240"/>
      <c r="AI72" s="240"/>
    </row>
    <row r="73" ht="15.75" customHeight="1">
      <c r="A73" s="240"/>
      <c r="B73" s="1064" t="s">
        <v>249</v>
      </c>
      <c r="C73" s="734"/>
      <c r="D73" s="619"/>
      <c r="E73" s="361"/>
      <c r="F73" s="613"/>
      <c r="G73" s="367"/>
      <c r="H73" s="367"/>
      <c r="I73" s="367"/>
      <c r="J73" s="367"/>
      <c r="K73" s="367"/>
      <c r="L73" s="367"/>
      <c r="M73" s="367"/>
      <c r="N73" s="367"/>
      <c r="O73" s="365"/>
      <c r="P73" s="240"/>
      <c r="Q73" s="240"/>
      <c r="R73" s="240"/>
      <c r="S73" s="240"/>
      <c r="T73" s="240"/>
      <c r="U73" s="240"/>
      <c r="V73" s="240"/>
      <c r="W73" s="240"/>
      <c r="X73" s="240"/>
      <c r="Y73" s="240"/>
      <c r="Z73" s="240"/>
      <c r="AA73" s="240"/>
      <c r="AB73" s="240"/>
      <c r="AC73" s="240"/>
      <c r="AD73" s="240"/>
      <c r="AE73" s="240"/>
      <c r="AF73" s="240"/>
      <c r="AG73" s="240"/>
      <c r="AH73" s="240"/>
      <c r="AI73" s="240"/>
    </row>
    <row r="74" ht="15.75" customHeight="1">
      <c r="A74" s="240"/>
      <c r="B74" s="1060"/>
      <c r="C74" s="1061" t="s">
        <v>250</v>
      </c>
      <c r="D74" s="771">
        <f t="shared" ref="D74:O74" si="12">SUM(D75:D79)</f>
        <v>0</v>
      </c>
      <c r="E74" s="1062">
        <f t="shared" si="12"/>
        <v>0</v>
      </c>
      <c r="F74" s="1063">
        <f t="shared" si="12"/>
        <v>0</v>
      </c>
      <c r="G74" s="773">
        <f t="shared" si="12"/>
        <v>30575.33333</v>
      </c>
      <c r="H74" s="773">
        <f t="shared" si="12"/>
        <v>63966.19048</v>
      </c>
      <c r="I74" s="773">
        <f t="shared" si="12"/>
        <v>61580.61905</v>
      </c>
      <c r="J74" s="773">
        <f t="shared" si="12"/>
        <v>63599.33333</v>
      </c>
      <c r="K74" s="773">
        <f t="shared" si="12"/>
        <v>58023.47619</v>
      </c>
      <c r="L74" s="773">
        <f t="shared" si="12"/>
        <v>86778.33333</v>
      </c>
      <c r="M74" s="773">
        <f t="shared" si="12"/>
        <v>69941.7619</v>
      </c>
      <c r="N74" s="773">
        <f t="shared" si="12"/>
        <v>66876.47619</v>
      </c>
      <c r="O74" s="509">
        <f t="shared" si="12"/>
        <v>102180.619</v>
      </c>
      <c r="P74" s="1052">
        <f>SUM(D74:O74)</f>
        <v>603522.1429</v>
      </c>
      <c r="Q74" s="240"/>
      <c r="R74" s="240"/>
      <c r="S74" s="240"/>
      <c r="T74" s="240"/>
      <c r="U74" s="240"/>
      <c r="V74" s="240"/>
      <c r="W74" s="240"/>
      <c r="X74" s="240"/>
      <c r="Y74" s="240"/>
      <c r="Z74" s="240"/>
      <c r="AA74" s="240"/>
      <c r="AB74" s="240"/>
      <c r="AC74" s="240"/>
      <c r="AD74" s="240"/>
      <c r="AE74" s="240"/>
      <c r="AF74" s="240"/>
      <c r="AG74" s="240"/>
      <c r="AH74" s="240"/>
      <c r="AI74" s="240"/>
    </row>
    <row r="75" ht="15.75" customHeight="1">
      <c r="A75" s="240"/>
      <c r="B75" s="1040"/>
      <c r="C75" s="1041" t="s">
        <v>251</v>
      </c>
      <c r="D75" s="708">
        <v>0.0</v>
      </c>
      <c r="E75" s="382"/>
      <c r="F75" s="615"/>
      <c r="G75" s="388"/>
      <c r="H75" s="388"/>
      <c r="I75" s="388"/>
      <c r="J75" s="388"/>
      <c r="K75" s="388"/>
      <c r="L75" s="388"/>
      <c r="M75" s="388"/>
      <c r="N75" s="388"/>
      <c r="O75" s="386"/>
      <c r="P75" s="240"/>
      <c r="Q75" s="240"/>
      <c r="R75" s="240"/>
      <c r="S75" s="240"/>
      <c r="T75" s="240"/>
      <c r="U75" s="240"/>
      <c r="V75" s="240"/>
      <c r="W75" s="240"/>
      <c r="X75" s="240"/>
      <c r="Y75" s="240"/>
      <c r="Z75" s="240"/>
      <c r="AA75" s="240"/>
      <c r="AB75" s="240"/>
      <c r="AC75" s="240"/>
      <c r="AD75" s="240"/>
      <c r="AE75" s="240"/>
      <c r="AF75" s="240"/>
      <c r="AG75" s="240"/>
      <c r="AH75" s="240"/>
      <c r="AI75" s="240"/>
    </row>
    <row r="76" ht="15.75" customHeight="1">
      <c r="A76" s="240"/>
      <c r="B76" s="1046"/>
      <c r="C76" s="1065" t="s">
        <v>465</v>
      </c>
      <c r="D76" s="604">
        <v>0.0</v>
      </c>
      <c r="E76" s="349">
        <v>0.0</v>
      </c>
      <c r="F76" s="629">
        <v>0.0</v>
      </c>
      <c r="G76" s="737">
        <f>(15444+4807)/7+11654</f>
        <v>14547</v>
      </c>
      <c r="H76" s="604">
        <f>(35489+26768)/7+416</f>
        <v>9309.857143</v>
      </c>
      <c r="I76" s="604">
        <f>38089/7+4481</f>
        <v>9922.285714</v>
      </c>
      <c r="J76" s="737">
        <v>5050.0</v>
      </c>
      <c r="K76" s="604">
        <f>(34288+7979)/7+2288</f>
        <v>8326.142857</v>
      </c>
      <c r="L76" s="357">
        <f>((17941+4788)/7)+7304</f>
        <v>10551</v>
      </c>
      <c r="M76" s="604">
        <f>24538/7</f>
        <v>3505.428571</v>
      </c>
      <c r="N76" s="357">
        <f>12174/7+4197</f>
        <v>5936.142857</v>
      </c>
      <c r="O76" s="604">
        <f>11888/7+4665</f>
        <v>6363.285714</v>
      </c>
      <c r="P76" s="240"/>
      <c r="Q76" s="240"/>
      <c r="R76" s="240"/>
      <c r="S76" s="240"/>
      <c r="T76" s="240"/>
      <c r="U76" s="240"/>
      <c r="V76" s="240"/>
      <c r="W76" s="240"/>
      <c r="X76" s="240"/>
      <c r="Y76" s="240"/>
      <c r="Z76" s="240"/>
      <c r="AA76" s="240"/>
      <c r="AB76" s="240"/>
      <c r="AC76" s="240"/>
      <c r="AD76" s="240"/>
      <c r="AE76" s="240"/>
      <c r="AF76" s="240"/>
      <c r="AG76" s="240"/>
      <c r="AH76" s="240"/>
      <c r="AI76" s="240"/>
    </row>
    <row r="77" ht="15.75" customHeight="1">
      <c r="A77" s="240"/>
      <c r="B77" s="1046"/>
      <c r="C77" s="1047" t="s">
        <v>254</v>
      </c>
      <c r="D77" s="604">
        <v>0.0</v>
      </c>
      <c r="E77" s="349"/>
      <c r="F77" s="499"/>
      <c r="G77" s="357"/>
      <c r="H77" s="357"/>
      <c r="I77" s="357"/>
      <c r="J77" s="357"/>
      <c r="K77" s="357"/>
      <c r="L77" s="357"/>
      <c r="M77" s="357"/>
      <c r="N77" s="357"/>
      <c r="O77" s="353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0"/>
      <c r="AA77" s="240"/>
      <c r="AB77" s="240"/>
      <c r="AC77" s="240"/>
      <c r="AD77" s="240"/>
      <c r="AE77" s="240"/>
      <c r="AF77" s="240"/>
      <c r="AG77" s="240"/>
      <c r="AH77" s="240"/>
      <c r="AI77" s="240"/>
    </row>
    <row r="78" ht="15.75" customHeight="1">
      <c r="A78" s="240"/>
      <c r="B78" s="1046"/>
      <c r="C78" s="1047" t="s">
        <v>430</v>
      </c>
      <c r="D78" s="604">
        <v>0.0</v>
      </c>
      <c r="E78" s="604">
        <v>0.0</v>
      </c>
      <c r="F78" s="605">
        <v>0.0</v>
      </c>
      <c r="G78" s="604">
        <f>(38940/12)+(10384/12)+(15576/12)+10620</f>
        <v>16028.33333</v>
      </c>
      <c r="H78" s="604">
        <f t="shared" ref="H78:O78" si="13">(38940/12)+(10384/12)+(15576/12)+21240</f>
        <v>26648.33333</v>
      </c>
      <c r="I78" s="604">
        <f t="shared" si="13"/>
        <v>26648.33333</v>
      </c>
      <c r="J78" s="604">
        <f t="shared" si="13"/>
        <v>26648.33333</v>
      </c>
      <c r="K78" s="604">
        <f t="shared" si="13"/>
        <v>26648.33333</v>
      </c>
      <c r="L78" s="604">
        <f t="shared" si="13"/>
        <v>26648.33333</v>
      </c>
      <c r="M78" s="604">
        <f t="shared" si="13"/>
        <v>26648.33333</v>
      </c>
      <c r="N78" s="604">
        <f t="shared" si="13"/>
        <v>26648.33333</v>
      </c>
      <c r="O78" s="604">
        <f t="shared" si="13"/>
        <v>26648.33333</v>
      </c>
      <c r="P78" s="240"/>
      <c r="Q78" s="240"/>
      <c r="R78" s="240"/>
      <c r="S78" s="240"/>
      <c r="T78" s="240"/>
      <c r="U78" s="240"/>
      <c r="V78" s="240"/>
      <c r="W78" s="240"/>
      <c r="X78" s="240"/>
      <c r="Y78" s="240"/>
      <c r="Z78" s="240"/>
      <c r="AA78" s="240"/>
      <c r="AB78" s="240"/>
      <c r="AC78" s="240"/>
      <c r="AD78" s="240"/>
      <c r="AE78" s="240"/>
      <c r="AF78" s="240"/>
      <c r="AG78" s="240"/>
      <c r="AH78" s="240"/>
      <c r="AI78" s="240"/>
    </row>
    <row r="79" ht="15.75" customHeight="1">
      <c r="A79" s="240"/>
      <c r="B79" s="1046"/>
      <c r="C79" s="1066" t="s">
        <v>466</v>
      </c>
      <c r="D79" s="604">
        <v>0.0</v>
      </c>
      <c r="E79" s="630">
        <v>0.0</v>
      </c>
      <c r="F79" s="629">
        <v>0.0</v>
      </c>
      <c r="G79" s="737">
        <v>0.0</v>
      </c>
      <c r="H79" s="357">
        <v>28008.0</v>
      </c>
      <c r="I79" s="357">
        <v>25010.0</v>
      </c>
      <c r="J79" s="357">
        <v>31901.0</v>
      </c>
      <c r="K79" s="357">
        <v>23049.0</v>
      </c>
      <c r="L79" s="737">
        <v>49579.0</v>
      </c>
      <c r="M79" s="737">
        <v>39788.0</v>
      </c>
      <c r="N79" s="737">
        <v>34292.0</v>
      </c>
      <c r="O79" s="737">
        <v>69169.0</v>
      </c>
      <c r="P79" s="240"/>
      <c r="Q79" s="240"/>
      <c r="R79" s="240"/>
      <c r="S79" s="240"/>
      <c r="T79" s="240"/>
      <c r="U79" s="240"/>
      <c r="V79" s="240"/>
      <c r="W79" s="240"/>
      <c r="X79" s="240"/>
      <c r="Y79" s="240"/>
      <c r="Z79" s="240"/>
      <c r="AA79" s="240"/>
      <c r="AB79" s="240"/>
      <c r="AC79" s="240"/>
      <c r="AD79" s="240"/>
      <c r="AE79" s="240"/>
      <c r="AF79" s="240"/>
      <c r="AG79" s="240"/>
      <c r="AH79" s="240"/>
      <c r="AI79" s="240"/>
    </row>
    <row r="80" ht="15.75" customHeight="1">
      <c r="A80" s="240"/>
      <c r="B80" s="1058"/>
      <c r="C80" s="1067"/>
      <c r="D80" s="619"/>
      <c r="E80" s="361"/>
      <c r="F80" s="613"/>
      <c r="G80" s="367"/>
      <c r="H80" s="367"/>
      <c r="I80" s="367"/>
      <c r="J80" s="367"/>
      <c r="K80" s="367"/>
      <c r="L80" s="367"/>
      <c r="M80" s="367"/>
      <c r="N80" s="367"/>
      <c r="O80" s="365"/>
      <c r="P80" s="240"/>
      <c r="Q80" s="240"/>
      <c r="R80" s="240"/>
      <c r="S80" s="240"/>
      <c r="T80" s="240"/>
      <c r="U80" s="240"/>
      <c r="V80" s="240"/>
      <c r="W80" s="240"/>
      <c r="X80" s="240"/>
      <c r="Y80" s="240"/>
      <c r="Z80" s="240"/>
      <c r="AA80" s="240"/>
      <c r="AB80" s="240"/>
      <c r="AC80" s="240"/>
      <c r="AD80" s="240"/>
      <c r="AE80" s="240"/>
      <c r="AF80" s="240"/>
      <c r="AG80" s="240"/>
      <c r="AH80" s="240"/>
      <c r="AI80" s="240"/>
    </row>
    <row r="81" ht="15.75" customHeight="1">
      <c r="A81" s="240"/>
      <c r="B81" s="1060"/>
      <c r="C81" s="1061" t="s">
        <v>36</v>
      </c>
      <c r="D81" s="771">
        <f t="shared" ref="D81:O81" si="14">SUM(D82:D88)</f>
        <v>0</v>
      </c>
      <c r="E81" s="1062">
        <f t="shared" si="14"/>
        <v>0</v>
      </c>
      <c r="F81" s="1063">
        <f t="shared" si="14"/>
        <v>0</v>
      </c>
      <c r="G81" s="773">
        <f t="shared" si="14"/>
        <v>34358.36</v>
      </c>
      <c r="H81" s="773">
        <f t="shared" si="14"/>
        <v>38520.76</v>
      </c>
      <c r="I81" s="773">
        <f t="shared" si="14"/>
        <v>39330</v>
      </c>
      <c r="J81" s="773">
        <f t="shared" si="14"/>
        <v>49935.43</v>
      </c>
      <c r="K81" s="773">
        <f t="shared" si="14"/>
        <v>53962.59</v>
      </c>
      <c r="L81" s="773">
        <f t="shared" si="14"/>
        <v>82928.78</v>
      </c>
      <c r="M81" s="773">
        <f t="shared" si="14"/>
        <v>63803.58</v>
      </c>
      <c r="N81" s="773">
        <f t="shared" si="14"/>
        <v>58948.16</v>
      </c>
      <c r="O81" s="509">
        <f t="shared" si="14"/>
        <v>61708.78</v>
      </c>
      <c r="P81" s="1052">
        <f>SUM(D81:O81)</f>
        <v>483496.44</v>
      </c>
      <c r="Q81" s="240"/>
      <c r="R81" s="240"/>
      <c r="S81" s="240"/>
      <c r="T81" s="240"/>
      <c r="U81" s="240"/>
      <c r="V81" s="240"/>
      <c r="W81" s="240"/>
      <c r="X81" s="240"/>
      <c r="Y81" s="240"/>
      <c r="Z81" s="240"/>
      <c r="AA81" s="240"/>
      <c r="AB81" s="240"/>
      <c r="AC81" s="240"/>
      <c r="AD81" s="240"/>
      <c r="AE81" s="240"/>
      <c r="AF81" s="240"/>
      <c r="AG81" s="240"/>
      <c r="AH81" s="240"/>
      <c r="AI81" s="240"/>
    </row>
    <row r="82" ht="15.75" customHeight="1">
      <c r="A82" s="240"/>
      <c r="B82" s="1040"/>
      <c r="C82" s="1041" t="s">
        <v>257</v>
      </c>
      <c r="D82" s="708"/>
      <c r="E82" s="382"/>
      <c r="F82" s="615"/>
      <c r="G82" s="388"/>
      <c r="H82" s="388"/>
      <c r="I82" s="388"/>
      <c r="J82" s="388"/>
      <c r="K82" s="388"/>
      <c r="L82" s="388"/>
      <c r="M82" s="388"/>
      <c r="N82" s="388"/>
      <c r="O82" s="386"/>
      <c r="P82" s="240"/>
      <c r="Q82" s="240"/>
      <c r="R82" s="240"/>
      <c r="S82" s="240"/>
      <c r="T82" s="240"/>
      <c r="U82" s="240"/>
      <c r="V82" s="240"/>
      <c r="W82" s="240"/>
      <c r="X82" s="240"/>
      <c r="Y82" s="240"/>
      <c r="Z82" s="240"/>
      <c r="AA82" s="240"/>
      <c r="AB82" s="240"/>
      <c r="AC82" s="240"/>
      <c r="AD82" s="240"/>
      <c r="AE82" s="240"/>
      <c r="AF82" s="240"/>
      <c r="AG82" s="240"/>
      <c r="AH82" s="240"/>
      <c r="AI82" s="240"/>
    </row>
    <row r="83" ht="15.75" customHeight="1">
      <c r="A83" s="240"/>
      <c r="B83" s="1046"/>
      <c r="C83" s="1047" t="s">
        <v>258</v>
      </c>
      <c r="D83" s="604"/>
      <c r="E83" s="349"/>
      <c r="F83" s="499"/>
      <c r="G83" s="357"/>
      <c r="H83" s="357"/>
      <c r="I83" s="357"/>
      <c r="J83" s="357"/>
      <c r="K83" s="357"/>
      <c r="L83" s="357"/>
      <c r="M83" s="357"/>
      <c r="N83" s="357"/>
      <c r="O83" s="353"/>
      <c r="P83" s="240"/>
      <c r="Q83" s="240"/>
      <c r="R83" s="240"/>
      <c r="S83" s="240"/>
      <c r="T83" s="240"/>
      <c r="U83" s="240"/>
      <c r="V83" s="240"/>
      <c r="W83" s="240"/>
      <c r="X83" s="240"/>
      <c r="Y83" s="240"/>
      <c r="Z83" s="240"/>
      <c r="AA83" s="240"/>
      <c r="AB83" s="240"/>
      <c r="AC83" s="240"/>
      <c r="AD83" s="240"/>
      <c r="AE83" s="240"/>
      <c r="AF83" s="240"/>
      <c r="AG83" s="240"/>
      <c r="AH83" s="240"/>
      <c r="AI83" s="240"/>
    </row>
    <row r="84" ht="15.75" customHeight="1">
      <c r="A84" s="240"/>
      <c r="B84" s="1046"/>
      <c r="C84" s="350" t="s">
        <v>259</v>
      </c>
      <c r="D84" s="604">
        <v>0.0</v>
      </c>
      <c r="E84" s="349">
        <v>0.0</v>
      </c>
      <c r="F84" s="499"/>
      <c r="G84" s="357">
        <v>2855.0</v>
      </c>
      <c r="H84" s="357">
        <v>9025.88</v>
      </c>
      <c r="I84" s="357">
        <v>10980.0</v>
      </c>
      <c r="J84" s="357">
        <v>9498.95</v>
      </c>
      <c r="K84" s="357">
        <v>11393.95</v>
      </c>
      <c r="L84" s="357">
        <f>31575.02-94.33</f>
        <v>31480.69</v>
      </c>
      <c r="M84" s="357">
        <v>15281.31</v>
      </c>
      <c r="N84" s="357">
        <v>13015.54</v>
      </c>
      <c r="O84" s="353">
        <v>13692.33</v>
      </c>
      <c r="P84" s="240"/>
      <c r="Q84" s="240"/>
      <c r="R84" s="240"/>
      <c r="S84" s="240"/>
      <c r="T84" s="240"/>
      <c r="U84" s="240"/>
      <c r="V84" s="240"/>
      <c r="W84" s="240"/>
      <c r="X84" s="240"/>
      <c r="Y84" s="240"/>
      <c r="Z84" s="240"/>
      <c r="AA84" s="240"/>
      <c r="AB84" s="240"/>
      <c r="AC84" s="240"/>
      <c r="AD84" s="240"/>
      <c r="AE84" s="240"/>
      <c r="AF84" s="240"/>
      <c r="AG84" s="240"/>
      <c r="AH84" s="240"/>
      <c r="AI84" s="240"/>
    </row>
    <row r="85" ht="15.75" customHeight="1">
      <c r="A85" s="240"/>
      <c r="B85" s="1046"/>
      <c r="C85" s="350" t="s">
        <v>468</v>
      </c>
      <c r="D85" s="604"/>
      <c r="E85" s="349"/>
      <c r="F85" s="499"/>
      <c r="G85" s="357"/>
      <c r="H85" s="357"/>
      <c r="I85" s="357"/>
      <c r="J85" s="357"/>
      <c r="K85" s="357"/>
      <c r="L85" s="357">
        <v>94.33</v>
      </c>
      <c r="M85" s="357"/>
      <c r="N85" s="357"/>
      <c r="O85" s="353"/>
      <c r="P85" s="240"/>
      <c r="Q85" s="240"/>
      <c r="R85" s="240"/>
      <c r="S85" s="240"/>
      <c r="T85" s="240"/>
      <c r="U85" s="240"/>
      <c r="V85" s="240"/>
      <c r="W85" s="240"/>
      <c r="X85" s="240"/>
      <c r="Y85" s="240"/>
      <c r="Z85" s="240"/>
      <c r="AA85" s="240"/>
      <c r="AB85" s="240"/>
      <c r="AC85" s="240"/>
      <c r="AD85" s="240"/>
      <c r="AE85" s="240"/>
      <c r="AF85" s="240"/>
      <c r="AG85" s="240"/>
      <c r="AH85" s="240"/>
      <c r="AI85" s="240"/>
    </row>
    <row r="86" ht="15.75" customHeight="1">
      <c r="A86" s="240"/>
      <c r="B86" s="1046"/>
      <c r="C86" s="350" t="s">
        <v>260</v>
      </c>
      <c r="D86" s="604">
        <v>0.0</v>
      </c>
      <c r="E86" s="349">
        <v>0.0</v>
      </c>
      <c r="F86" s="499">
        <v>0.0</v>
      </c>
      <c r="G86" s="357">
        <f>1413.36</f>
        <v>1413.36</v>
      </c>
      <c r="H86" s="357">
        <v>5304.88</v>
      </c>
      <c r="I86" s="357">
        <v>4160.0</v>
      </c>
      <c r="J86" s="357">
        <v>4446.48</v>
      </c>
      <c r="K86" s="357">
        <v>6578.64</v>
      </c>
      <c r="L86" s="357">
        <v>14411.76</v>
      </c>
      <c r="M86" s="357">
        <v>12532.27</v>
      </c>
      <c r="N86" s="357">
        <v>9942.62</v>
      </c>
      <c r="O86" s="353">
        <v>12636.45</v>
      </c>
      <c r="P86" s="240"/>
      <c r="Q86" s="240"/>
      <c r="R86" s="240"/>
      <c r="S86" s="240"/>
      <c r="T86" s="240"/>
      <c r="U86" s="240"/>
      <c r="V86" s="240"/>
      <c r="W86" s="240"/>
      <c r="X86" s="240"/>
      <c r="Y86" s="240"/>
      <c r="Z86" s="240"/>
      <c r="AA86" s="240"/>
      <c r="AB86" s="240"/>
      <c r="AC86" s="240"/>
      <c r="AD86" s="240"/>
      <c r="AE86" s="240"/>
      <c r="AF86" s="240"/>
      <c r="AG86" s="240"/>
      <c r="AH86" s="240"/>
      <c r="AI86" s="240"/>
    </row>
    <row r="87" ht="15.75" customHeight="1">
      <c r="A87" s="240"/>
      <c r="B87" s="1046"/>
      <c r="C87" s="350" t="s">
        <v>469</v>
      </c>
      <c r="D87" s="604"/>
      <c r="E87" s="349"/>
      <c r="F87" s="499"/>
      <c r="G87" s="357"/>
      <c r="H87" s="357"/>
      <c r="I87" s="357"/>
      <c r="J87" s="357"/>
      <c r="K87" s="357"/>
      <c r="L87" s="357">
        <v>105.0</v>
      </c>
      <c r="M87" s="357"/>
      <c r="N87" s="357"/>
      <c r="O87" s="353"/>
      <c r="P87" s="240"/>
      <c r="Q87" s="240"/>
      <c r="R87" s="240"/>
      <c r="S87" s="240"/>
      <c r="T87" s="240"/>
      <c r="U87" s="240"/>
      <c r="V87" s="240"/>
      <c r="W87" s="240"/>
      <c r="X87" s="240"/>
      <c r="Y87" s="240"/>
      <c r="Z87" s="240"/>
      <c r="AA87" s="240"/>
      <c r="AB87" s="240"/>
      <c r="AC87" s="240"/>
      <c r="AD87" s="240"/>
      <c r="AE87" s="240"/>
      <c r="AF87" s="240"/>
      <c r="AG87" s="240"/>
      <c r="AH87" s="240"/>
      <c r="AI87" s="240"/>
    </row>
    <row r="88" ht="15.75" customHeight="1">
      <c r="A88" s="240"/>
      <c r="B88" s="1046"/>
      <c r="C88" s="350" t="s">
        <v>431</v>
      </c>
      <c r="D88" s="604">
        <v>0.0</v>
      </c>
      <c r="E88" s="349">
        <v>0.0</v>
      </c>
      <c r="F88" s="499">
        <v>0.0</v>
      </c>
      <c r="G88" s="357">
        <f>17700+12390</f>
        <v>30090</v>
      </c>
      <c r="H88" s="357">
        <v>24190.0</v>
      </c>
      <c r="I88" s="357">
        <v>24190.0</v>
      </c>
      <c r="J88" s="357">
        <v>35990.0</v>
      </c>
      <c r="K88" s="357">
        <v>35990.0</v>
      </c>
      <c r="L88" s="357">
        <v>36837.0</v>
      </c>
      <c r="M88" s="357">
        <v>35990.0</v>
      </c>
      <c r="N88" s="357">
        <v>35990.0</v>
      </c>
      <c r="O88" s="536">
        <v>35380.0</v>
      </c>
      <c r="P88" s="240"/>
      <c r="Q88" s="240"/>
      <c r="R88" s="240"/>
      <c r="S88" s="240"/>
      <c r="T88" s="240"/>
      <c r="U88" s="240"/>
      <c r="V88" s="240"/>
      <c r="W88" s="240"/>
      <c r="X88" s="240"/>
      <c r="Y88" s="240"/>
      <c r="Z88" s="240"/>
      <c r="AA88" s="240"/>
      <c r="AB88" s="240"/>
      <c r="AC88" s="240"/>
      <c r="AD88" s="240"/>
      <c r="AE88" s="240"/>
      <c r="AF88" s="240"/>
      <c r="AG88" s="240"/>
      <c r="AH88" s="240"/>
      <c r="AI88" s="240"/>
    </row>
    <row r="89" ht="15.75" customHeight="1">
      <c r="A89" s="240"/>
      <c r="B89" s="1046"/>
      <c r="C89" s="1047"/>
      <c r="D89" s="604"/>
      <c r="E89" s="349"/>
      <c r="F89" s="499"/>
      <c r="G89" s="357"/>
      <c r="H89" s="357"/>
      <c r="I89" s="357"/>
      <c r="J89" s="357"/>
      <c r="K89" s="357"/>
      <c r="L89" s="357"/>
      <c r="M89" s="357"/>
      <c r="N89" s="357"/>
      <c r="O89" s="353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  <c r="AD89" s="240"/>
      <c r="AE89" s="240"/>
      <c r="AF89" s="240"/>
      <c r="AG89" s="240"/>
      <c r="AH89" s="240"/>
      <c r="AI89" s="240"/>
    </row>
    <row r="90" ht="15.75" customHeight="1">
      <c r="A90" s="240"/>
      <c r="B90" s="1046"/>
      <c r="C90" s="627" t="s">
        <v>315</v>
      </c>
      <c r="D90" s="604">
        <f t="shared" ref="D90:O90" si="15">SUM(D91:D94)</f>
        <v>0</v>
      </c>
      <c r="E90" s="349">
        <f t="shared" si="15"/>
        <v>0</v>
      </c>
      <c r="F90" s="499">
        <f t="shared" si="15"/>
        <v>0</v>
      </c>
      <c r="G90" s="357">
        <f t="shared" si="15"/>
        <v>0</v>
      </c>
      <c r="H90" s="357">
        <f t="shared" si="15"/>
        <v>0</v>
      </c>
      <c r="I90" s="357">
        <f t="shared" si="15"/>
        <v>0</v>
      </c>
      <c r="J90" s="357">
        <f t="shared" si="15"/>
        <v>0</v>
      </c>
      <c r="K90" s="357">
        <f t="shared" si="15"/>
        <v>0</v>
      </c>
      <c r="L90" s="357">
        <f t="shared" si="15"/>
        <v>0</v>
      </c>
      <c r="M90" s="357">
        <f t="shared" si="15"/>
        <v>0</v>
      </c>
      <c r="N90" s="357">
        <f t="shared" si="15"/>
        <v>0</v>
      </c>
      <c r="O90" s="353">
        <f t="shared" si="15"/>
        <v>0</v>
      </c>
      <c r="P90" s="240"/>
      <c r="Q90" s="240"/>
      <c r="R90" s="240"/>
      <c r="S90" s="240"/>
      <c r="T90" s="240"/>
      <c r="U90" s="240"/>
      <c r="V90" s="240"/>
      <c r="W90" s="240"/>
      <c r="X90" s="240"/>
      <c r="Y90" s="240"/>
      <c r="Z90" s="240"/>
      <c r="AA90" s="240"/>
      <c r="AB90" s="240"/>
      <c r="AC90" s="240"/>
      <c r="AD90" s="240"/>
      <c r="AE90" s="240"/>
      <c r="AF90" s="240"/>
      <c r="AG90" s="240"/>
      <c r="AH90" s="240"/>
      <c r="AI90" s="240"/>
    </row>
    <row r="91" ht="15.75" customHeight="1">
      <c r="A91" s="240"/>
      <c r="B91" s="1046"/>
      <c r="C91" s="1047" t="s">
        <v>261</v>
      </c>
      <c r="D91" s="604"/>
      <c r="E91" s="349"/>
      <c r="F91" s="499"/>
      <c r="G91" s="357"/>
      <c r="H91" s="357"/>
      <c r="I91" s="357"/>
      <c r="J91" s="357"/>
      <c r="K91" s="357"/>
      <c r="L91" s="357"/>
      <c r="M91" s="357"/>
      <c r="N91" s="357"/>
      <c r="O91" s="353"/>
      <c r="P91" s="240"/>
      <c r="Q91" s="240"/>
      <c r="R91" s="240"/>
      <c r="S91" s="240"/>
      <c r="T91" s="240"/>
      <c r="U91" s="240"/>
      <c r="V91" s="240"/>
      <c r="W91" s="240"/>
      <c r="X91" s="240"/>
      <c r="Y91" s="240"/>
      <c r="Z91" s="240"/>
      <c r="AA91" s="240"/>
      <c r="AB91" s="240"/>
      <c r="AC91" s="240"/>
      <c r="AD91" s="240"/>
      <c r="AE91" s="240"/>
      <c r="AF91" s="240"/>
      <c r="AG91" s="240"/>
      <c r="AH91" s="240"/>
      <c r="AI91" s="240"/>
    </row>
    <row r="92" ht="15.75" customHeight="1">
      <c r="A92" s="240"/>
      <c r="B92" s="1046"/>
      <c r="C92" s="1047" t="s">
        <v>262</v>
      </c>
      <c r="D92" s="604"/>
      <c r="E92" s="349"/>
      <c r="F92" s="499"/>
      <c r="G92" s="357"/>
      <c r="H92" s="357"/>
      <c r="I92" s="357"/>
      <c r="J92" s="357"/>
      <c r="K92" s="357"/>
      <c r="L92" s="357"/>
      <c r="M92" s="357"/>
      <c r="N92" s="357"/>
      <c r="O92" s="353"/>
      <c r="P92" s="240"/>
      <c r="Q92" s="240"/>
      <c r="R92" s="240"/>
      <c r="S92" s="240"/>
      <c r="T92" s="240"/>
      <c r="U92" s="240"/>
      <c r="V92" s="240"/>
      <c r="W92" s="240"/>
      <c r="X92" s="240"/>
      <c r="Y92" s="240"/>
      <c r="Z92" s="240"/>
      <c r="AA92" s="240"/>
      <c r="AB92" s="240"/>
      <c r="AC92" s="240"/>
      <c r="AD92" s="240"/>
      <c r="AE92" s="240"/>
      <c r="AF92" s="240"/>
      <c r="AG92" s="240"/>
      <c r="AH92" s="240"/>
      <c r="AI92" s="240"/>
    </row>
    <row r="93" ht="15.75" customHeight="1">
      <c r="A93" s="240"/>
      <c r="B93" s="1046"/>
      <c r="C93" s="1047" t="s">
        <v>263</v>
      </c>
      <c r="D93" s="604"/>
      <c r="E93" s="349"/>
      <c r="F93" s="499"/>
      <c r="G93" s="357"/>
      <c r="H93" s="357"/>
      <c r="I93" s="357"/>
      <c r="J93" s="357"/>
      <c r="K93" s="357"/>
      <c r="L93" s="357"/>
      <c r="M93" s="357"/>
      <c r="N93" s="357"/>
      <c r="O93" s="353"/>
      <c r="P93" s="240"/>
      <c r="Q93" s="240"/>
      <c r="R93" s="240"/>
      <c r="S93" s="240"/>
      <c r="T93" s="240"/>
      <c r="U93" s="240"/>
      <c r="V93" s="240"/>
      <c r="W93" s="240"/>
      <c r="X93" s="240"/>
      <c r="Y93" s="240"/>
      <c r="Z93" s="240"/>
      <c r="AA93" s="240"/>
      <c r="AB93" s="240"/>
      <c r="AC93" s="240"/>
      <c r="AD93" s="240"/>
      <c r="AE93" s="240"/>
      <c r="AF93" s="240"/>
      <c r="AG93" s="240"/>
      <c r="AH93" s="240"/>
      <c r="AI93" s="240"/>
    </row>
    <row r="94" ht="15.75" customHeight="1">
      <c r="A94" s="240"/>
      <c r="B94" s="1046"/>
      <c r="C94" s="1047" t="s">
        <v>264</v>
      </c>
      <c r="D94" s="604"/>
      <c r="E94" s="349"/>
      <c r="F94" s="499"/>
      <c r="G94" s="357"/>
      <c r="H94" s="357"/>
      <c r="I94" s="357"/>
      <c r="J94" s="357"/>
      <c r="K94" s="357"/>
      <c r="L94" s="357"/>
      <c r="M94" s="357"/>
      <c r="N94" s="357"/>
      <c r="O94" s="353"/>
      <c r="P94" s="240"/>
      <c r="Q94" s="240"/>
      <c r="R94" s="240"/>
      <c r="S94" s="240"/>
      <c r="T94" s="240"/>
      <c r="U94" s="240"/>
      <c r="V94" s="240"/>
      <c r="W94" s="240"/>
      <c r="X94" s="240"/>
      <c r="Y94" s="240"/>
      <c r="Z94" s="240"/>
      <c r="AA94" s="240"/>
      <c r="AB94" s="240"/>
      <c r="AC94" s="240"/>
      <c r="AD94" s="240"/>
      <c r="AE94" s="240"/>
      <c r="AF94" s="240"/>
      <c r="AG94" s="240"/>
      <c r="AH94" s="240"/>
      <c r="AI94" s="240"/>
    </row>
    <row r="95" ht="15.75" customHeight="1">
      <c r="A95" s="240"/>
      <c r="B95" s="1046"/>
      <c r="C95" s="627"/>
      <c r="D95" s="604"/>
      <c r="E95" s="349"/>
      <c r="F95" s="499"/>
      <c r="G95" s="357"/>
      <c r="H95" s="357"/>
      <c r="I95" s="357"/>
      <c r="J95" s="357"/>
      <c r="K95" s="357"/>
      <c r="L95" s="357"/>
      <c r="M95" s="357"/>
      <c r="N95" s="357"/>
      <c r="O95" s="353"/>
      <c r="P95" s="240"/>
      <c r="Q95" s="240"/>
      <c r="R95" s="240"/>
      <c r="S95" s="240"/>
      <c r="T95" s="240"/>
      <c r="U95" s="240"/>
      <c r="V95" s="240"/>
      <c r="W95" s="240"/>
      <c r="X95" s="240"/>
      <c r="Y95" s="240"/>
      <c r="Z95" s="240"/>
      <c r="AA95" s="240"/>
      <c r="AB95" s="240"/>
      <c r="AC95" s="240"/>
      <c r="AD95" s="240"/>
      <c r="AE95" s="240"/>
      <c r="AF95" s="240"/>
      <c r="AG95" s="240"/>
      <c r="AH95" s="240"/>
      <c r="AI95" s="240"/>
    </row>
    <row r="96" ht="15.75" customHeight="1">
      <c r="A96" s="240"/>
      <c r="B96" s="1046"/>
      <c r="C96" s="627" t="s">
        <v>38</v>
      </c>
      <c r="D96" s="604">
        <f t="shared" ref="D96:O96" si="16">SUM(D97:D103)</f>
        <v>0</v>
      </c>
      <c r="E96" s="349">
        <f t="shared" si="16"/>
        <v>0</v>
      </c>
      <c r="F96" s="499">
        <f t="shared" si="16"/>
        <v>0</v>
      </c>
      <c r="G96" s="357">
        <f t="shared" si="16"/>
        <v>0</v>
      </c>
      <c r="H96" s="357">
        <f t="shared" si="16"/>
        <v>0</v>
      </c>
      <c r="I96" s="357">
        <f t="shared" si="16"/>
        <v>0</v>
      </c>
      <c r="J96" s="357">
        <f t="shared" si="16"/>
        <v>0</v>
      </c>
      <c r="K96" s="357">
        <f t="shared" si="16"/>
        <v>0</v>
      </c>
      <c r="L96" s="357">
        <f t="shared" si="16"/>
        <v>0</v>
      </c>
      <c r="M96" s="357">
        <f t="shared" si="16"/>
        <v>0</v>
      </c>
      <c r="N96" s="357">
        <f t="shared" si="16"/>
        <v>0</v>
      </c>
      <c r="O96" s="353">
        <f t="shared" si="16"/>
        <v>0</v>
      </c>
      <c r="P96" s="240"/>
      <c r="Q96" s="240"/>
      <c r="R96" s="240"/>
      <c r="S96" s="240"/>
      <c r="T96" s="240"/>
      <c r="U96" s="240"/>
      <c r="V96" s="240"/>
      <c r="W96" s="240"/>
      <c r="X96" s="240"/>
      <c r="Y96" s="240"/>
      <c r="Z96" s="240"/>
      <c r="AA96" s="240"/>
      <c r="AB96" s="240"/>
      <c r="AC96" s="240"/>
      <c r="AD96" s="240"/>
      <c r="AE96" s="240"/>
      <c r="AF96" s="240"/>
      <c r="AG96" s="240"/>
      <c r="AH96" s="240"/>
      <c r="AI96" s="240"/>
    </row>
    <row r="97" ht="15.75" customHeight="1">
      <c r="A97" s="240"/>
      <c r="B97" s="1046"/>
      <c r="C97" s="1047" t="s">
        <v>318</v>
      </c>
      <c r="D97" s="604"/>
      <c r="E97" s="349"/>
      <c r="F97" s="499"/>
      <c r="G97" s="357"/>
      <c r="H97" s="357"/>
      <c r="I97" s="357"/>
      <c r="J97" s="357"/>
      <c r="K97" s="357"/>
      <c r="L97" s="357"/>
      <c r="M97" s="357"/>
      <c r="N97" s="357"/>
      <c r="O97" s="353"/>
      <c r="P97" s="240"/>
      <c r="Q97" s="240"/>
      <c r="R97" s="240"/>
      <c r="S97" s="240"/>
      <c r="T97" s="240"/>
      <c r="U97" s="240"/>
      <c r="V97" s="240"/>
      <c r="W97" s="240"/>
      <c r="X97" s="240"/>
      <c r="Y97" s="240"/>
      <c r="Z97" s="240"/>
      <c r="AA97" s="240"/>
      <c r="AB97" s="240"/>
      <c r="AC97" s="240"/>
      <c r="AD97" s="240"/>
      <c r="AE97" s="240"/>
      <c r="AF97" s="240"/>
      <c r="AG97" s="240"/>
      <c r="AH97" s="240"/>
      <c r="AI97" s="240"/>
    </row>
    <row r="98" ht="15.75" customHeight="1">
      <c r="A98" s="240"/>
      <c r="B98" s="1046"/>
      <c r="C98" s="1047" t="s">
        <v>265</v>
      </c>
      <c r="D98" s="604"/>
      <c r="E98" s="349"/>
      <c r="F98" s="499"/>
      <c r="G98" s="357"/>
      <c r="H98" s="357"/>
      <c r="I98" s="357"/>
      <c r="J98" s="357"/>
      <c r="K98" s="357"/>
      <c r="L98" s="357"/>
      <c r="M98" s="357"/>
      <c r="N98" s="357"/>
      <c r="O98" s="353"/>
      <c r="P98" s="240"/>
      <c r="Q98" s="240"/>
      <c r="R98" s="240"/>
      <c r="S98" s="240"/>
      <c r="T98" s="240"/>
      <c r="U98" s="240"/>
      <c r="V98" s="240"/>
      <c r="W98" s="240"/>
      <c r="X98" s="240"/>
      <c r="Y98" s="240"/>
      <c r="Z98" s="240"/>
      <c r="AA98" s="240"/>
      <c r="AB98" s="240"/>
      <c r="AC98" s="240"/>
      <c r="AD98" s="240"/>
      <c r="AE98" s="240"/>
      <c r="AF98" s="240"/>
      <c r="AG98" s="240"/>
      <c r="AH98" s="240"/>
      <c r="AI98" s="240"/>
    </row>
    <row r="99" ht="15.75" customHeight="1">
      <c r="A99" s="240"/>
      <c r="B99" s="1046"/>
      <c r="C99" s="1047" t="s">
        <v>266</v>
      </c>
      <c r="D99" s="604"/>
      <c r="E99" s="349"/>
      <c r="F99" s="499"/>
      <c r="G99" s="357"/>
      <c r="H99" s="357"/>
      <c r="I99" s="357"/>
      <c r="J99" s="357"/>
      <c r="K99" s="357"/>
      <c r="L99" s="357"/>
      <c r="M99" s="357"/>
      <c r="N99" s="357"/>
      <c r="O99" s="353"/>
      <c r="P99" s="240"/>
      <c r="Q99" s="240"/>
      <c r="R99" s="240"/>
      <c r="S99" s="240"/>
      <c r="T99" s="240"/>
      <c r="U99" s="240"/>
      <c r="V99" s="240"/>
      <c r="W99" s="240"/>
      <c r="X99" s="240"/>
      <c r="Y99" s="240"/>
      <c r="Z99" s="240"/>
      <c r="AA99" s="240"/>
      <c r="AB99" s="240"/>
      <c r="AC99" s="240"/>
      <c r="AD99" s="240"/>
      <c r="AE99" s="240"/>
      <c r="AF99" s="240"/>
      <c r="AG99" s="240"/>
      <c r="AH99" s="240"/>
      <c r="AI99" s="240"/>
    </row>
    <row r="100" ht="15.75" customHeight="1">
      <c r="A100" s="240"/>
      <c r="B100" s="1046"/>
      <c r="C100" s="1047" t="s">
        <v>267</v>
      </c>
      <c r="D100" s="604"/>
      <c r="E100" s="349"/>
      <c r="F100" s="499"/>
      <c r="G100" s="357"/>
      <c r="H100" s="357"/>
      <c r="I100" s="357"/>
      <c r="J100" s="357"/>
      <c r="K100" s="357"/>
      <c r="L100" s="357"/>
      <c r="M100" s="357"/>
      <c r="N100" s="357"/>
      <c r="O100" s="353"/>
      <c r="P100" s="240"/>
      <c r="Q100" s="240"/>
      <c r="R100" s="240"/>
      <c r="S100" s="240"/>
      <c r="T100" s="240"/>
      <c r="U100" s="240"/>
      <c r="V100" s="240"/>
      <c r="W100" s="240"/>
      <c r="X100" s="240"/>
      <c r="Y100" s="240"/>
      <c r="Z100" s="240"/>
      <c r="AA100" s="240"/>
      <c r="AB100" s="240"/>
      <c r="AC100" s="240"/>
      <c r="AD100" s="240"/>
      <c r="AE100" s="240"/>
      <c r="AF100" s="240"/>
      <c r="AG100" s="240"/>
      <c r="AH100" s="240"/>
      <c r="AI100" s="240"/>
    </row>
    <row r="101" ht="15.75" customHeight="1">
      <c r="A101" s="240"/>
      <c r="B101" s="1046"/>
      <c r="C101" s="1047" t="s">
        <v>268</v>
      </c>
      <c r="D101" s="604"/>
      <c r="E101" s="349"/>
      <c r="F101" s="499"/>
      <c r="G101" s="357"/>
      <c r="H101" s="357"/>
      <c r="I101" s="357"/>
      <c r="J101" s="357"/>
      <c r="K101" s="357"/>
      <c r="L101" s="357"/>
      <c r="M101" s="357"/>
      <c r="N101" s="357"/>
      <c r="O101" s="353"/>
      <c r="P101" s="240"/>
      <c r="Q101" s="240"/>
      <c r="R101" s="240"/>
      <c r="S101" s="240"/>
      <c r="T101" s="240"/>
      <c r="U101" s="240"/>
      <c r="V101" s="240"/>
      <c r="W101" s="240"/>
      <c r="X101" s="240"/>
      <c r="Y101" s="240"/>
      <c r="Z101" s="240"/>
      <c r="AA101" s="240"/>
      <c r="AB101" s="240"/>
      <c r="AC101" s="240"/>
      <c r="AD101" s="240"/>
      <c r="AE101" s="240"/>
      <c r="AF101" s="240"/>
      <c r="AG101" s="240"/>
      <c r="AH101" s="240"/>
      <c r="AI101" s="240"/>
    </row>
    <row r="102" ht="15.75" customHeight="1">
      <c r="A102" s="240"/>
      <c r="B102" s="1046"/>
      <c r="C102" s="1047" t="s">
        <v>269</v>
      </c>
      <c r="D102" s="604"/>
      <c r="E102" s="349"/>
      <c r="F102" s="499"/>
      <c r="G102" s="357"/>
      <c r="H102" s="357"/>
      <c r="I102" s="357"/>
      <c r="J102" s="357"/>
      <c r="K102" s="357"/>
      <c r="L102" s="357"/>
      <c r="M102" s="357"/>
      <c r="N102" s="357"/>
      <c r="O102" s="353"/>
      <c r="P102" s="240"/>
      <c r="Q102" s="240"/>
      <c r="R102" s="240"/>
      <c r="S102" s="240"/>
      <c r="T102" s="240"/>
      <c r="U102" s="240"/>
      <c r="V102" s="240"/>
      <c r="W102" s="240"/>
      <c r="X102" s="240"/>
      <c r="Y102" s="240"/>
      <c r="Z102" s="240"/>
      <c r="AA102" s="240"/>
      <c r="AB102" s="240"/>
      <c r="AC102" s="240"/>
      <c r="AD102" s="240"/>
      <c r="AE102" s="240"/>
      <c r="AF102" s="240"/>
      <c r="AG102" s="240"/>
      <c r="AH102" s="240"/>
      <c r="AI102" s="240"/>
    </row>
    <row r="103" ht="15.75" customHeight="1">
      <c r="A103" s="240"/>
      <c r="B103" s="1046"/>
      <c r="C103" s="1047" t="s">
        <v>270</v>
      </c>
      <c r="D103" s="604"/>
      <c r="E103" s="349"/>
      <c r="F103" s="499"/>
      <c r="G103" s="357"/>
      <c r="H103" s="357"/>
      <c r="I103" s="357"/>
      <c r="J103" s="357"/>
      <c r="K103" s="357"/>
      <c r="L103" s="357"/>
      <c r="M103" s="357"/>
      <c r="N103" s="357"/>
      <c r="O103" s="353"/>
      <c r="P103" s="240"/>
      <c r="Q103" s="240"/>
      <c r="R103" s="240"/>
      <c r="S103" s="240"/>
      <c r="T103" s="240"/>
      <c r="U103" s="240"/>
      <c r="V103" s="240"/>
      <c r="W103" s="240"/>
      <c r="X103" s="240"/>
      <c r="Y103" s="240"/>
      <c r="Z103" s="240"/>
      <c r="AA103" s="240"/>
      <c r="AB103" s="240"/>
      <c r="AC103" s="240"/>
      <c r="AD103" s="240"/>
      <c r="AE103" s="240"/>
      <c r="AF103" s="240"/>
      <c r="AG103" s="240"/>
      <c r="AH103" s="240"/>
      <c r="AI103" s="240"/>
    </row>
    <row r="104" ht="15.75" customHeight="1">
      <c r="A104" s="240"/>
      <c r="B104" s="1046"/>
      <c r="C104" s="627"/>
      <c r="D104" s="604"/>
      <c r="E104" s="349"/>
      <c r="F104" s="499"/>
      <c r="G104" s="357"/>
      <c r="H104" s="357"/>
      <c r="I104" s="357"/>
      <c r="J104" s="357"/>
      <c r="K104" s="357"/>
      <c r="L104" s="357"/>
      <c r="M104" s="357"/>
      <c r="N104" s="357"/>
      <c r="O104" s="353"/>
      <c r="P104" s="240"/>
      <c r="Q104" s="240"/>
      <c r="R104" s="240"/>
      <c r="S104" s="240"/>
      <c r="T104" s="240"/>
      <c r="U104" s="240"/>
      <c r="V104" s="240"/>
      <c r="W104" s="240"/>
      <c r="X104" s="240"/>
      <c r="Y104" s="240"/>
      <c r="Z104" s="240"/>
      <c r="AA104" s="240"/>
      <c r="AB104" s="240"/>
      <c r="AC104" s="240"/>
      <c r="AD104" s="240"/>
      <c r="AE104" s="240"/>
      <c r="AF104" s="240"/>
      <c r="AG104" s="240"/>
      <c r="AH104" s="240"/>
      <c r="AI104" s="240"/>
    </row>
    <row r="105" ht="15.75" customHeight="1">
      <c r="A105" s="240"/>
      <c r="B105" s="1046"/>
      <c r="C105" s="627"/>
      <c r="D105" s="604"/>
      <c r="E105" s="349"/>
      <c r="F105" s="499"/>
      <c r="G105" s="357"/>
      <c r="H105" s="357"/>
      <c r="I105" s="357"/>
      <c r="J105" s="357"/>
      <c r="K105" s="357"/>
      <c r="L105" s="357"/>
      <c r="M105" s="357"/>
      <c r="N105" s="357"/>
      <c r="O105" s="353"/>
      <c r="P105" s="240"/>
      <c r="Q105" s="240"/>
      <c r="R105" s="240"/>
      <c r="S105" s="240"/>
      <c r="T105" s="240"/>
      <c r="U105" s="240"/>
      <c r="V105" s="240"/>
      <c r="W105" s="240"/>
      <c r="X105" s="240"/>
      <c r="Y105" s="240"/>
      <c r="Z105" s="240"/>
      <c r="AA105" s="240"/>
      <c r="AB105" s="240"/>
      <c r="AC105" s="240"/>
      <c r="AD105" s="240"/>
      <c r="AE105" s="240"/>
      <c r="AF105" s="240"/>
      <c r="AG105" s="240"/>
      <c r="AH105" s="240"/>
      <c r="AI105" s="240"/>
    </row>
    <row r="106" ht="15.75" customHeight="1">
      <c r="A106" s="240"/>
      <c r="B106" s="1046"/>
      <c r="C106" s="627" t="s">
        <v>39</v>
      </c>
      <c r="D106" s="604">
        <f t="shared" ref="D106:O106" si="17">SUM(D107)</f>
        <v>0</v>
      </c>
      <c r="E106" s="349">
        <f t="shared" si="17"/>
        <v>0</v>
      </c>
      <c r="F106" s="499">
        <f t="shared" si="17"/>
        <v>0</v>
      </c>
      <c r="G106" s="357">
        <f t="shared" si="17"/>
        <v>0</v>
      </c>
      <c r="H106" s="357">
        <f t="shared" si="17"/>
        <v>0</v>
      </c>
      <c r="I106" s="357">
        <f t="shared" si="17"/>
        <v>0</v>
      </c>
      <c r="J106" s="357">
        <f t="shared" si="17"/>
        <v>0</v>
      </c>
      <c r="K106" s="357">
        <f t="shared" si="17"/>
        <v>0</v>
      </c>
      <c r="L106" s="357">
        <f t="shared" si="17"/>
        <v>0</v>
      </c>
      <c r="M106" s="357">
        <f t="shared" si="17"/>
        <v>0</v>
      </c>
      <c r="N106" s="357">
        <f t="shared" si="17"/>
        <v>0</v>
      </c>
      <c r="O106" s="353">
        <f t="shared" si="17"/>
        <v>0</v>
      </c>
      <c r="P106" s="240"/>
      <c r="Q106" s="240"/>
      <c r="R106" s="240"/>
      <c r="S106" s="240"/>
      <c r="T106" s="240"/>
      <c r="U106" s="240"/>
      <c r="V106" s="240"/>
      <c r="W106" s="240"/>
      <c r="X106" s="240"/>
      <c r="Y106" s="240"/>
      <c r="Z106" s="240"/>
      <c r="AA106" s="240"/>
      <c r="AB106" s="240"/>
      <c r="AC106" s="240"/>
      <c r="AD106" s="240"/>
      <c r="AE106" s="240"/>
      <c r="AF106" s="240"/>
      <c r="AG106" s="240"/>
      <c r="AH106" s="240"/>
      <c r="AI106" s="240"/>
    </row>
    <row r="107" ht="15.75" customHeight="1">
      <c r="A107" s="240"/>
      <c r="B107" s="1046"/>
      <c r="C107" s="1047" t="s">
        <v>272</v>
      </c>
      <c r="D107" s="604">
        <v>0.0</v>
      </c>
      <c r="E107" s="349"/>
      <c r="F107" s="499"/>
      <c r="G107" s="357"/>
      <c r="H107" s="357"/>
      <c r="I107" s="357"/>
      <c r="J107" s="357"/>
      <c r="K107" s="357"/>
      <c r="L107" s="357"/>
      <c r="M107" s="357"/>
      <c r="N107" s="357"/>
      <c r="O107" s="353"/>
      <c r="P107" s="240"/>
      <c r="Q107" s="240"/>
      <c r="R107" s="240"/>
      <c r="S107" s="240"/>
      <c r="T107" s="240"/>
      <c r="U107" s="240"/>
      <c r="V107" s="240"/>
      <c r="W107" s="240"/>
      <c r="X107" s="240"/>
      <c r="Y107" s="240"/>
      <c r="Z107" s="240"/>
      <c r="AA107" s="240"/>
      <c r="AB107" s="240"/>
      <c r="AC107" s="240"/>
      <c r="AD107" s="240"/>
      <c r="AE107" s="240"/>
      <c r="AF107" s="240"/>
      <c r="AG107" s="240"/>
      <c r="AH107" s="240"/>
      <c r="AI107" s="240"/>
    </row>
    <row r="108" ht="15.75" customHeight="1">
      <c r="A108" s="240"/>
      <c r="B108" s="1046"/>
      <c r="C108" s="1047"/>
      <c r="D108" s="604"/>
      <c r="E108" s="349"/>
      <c r="F108" s="499"/>
      <c r="G108" s="357"/>
      <c r="H108" s="357"/>
      <c r="I108" s="357"/>
      <c r="J108" s="357"/>
      <c r="K108" s="357"/>
      <c r="L108" s="357"/>
      <c r="M108" s="357"/>
      <c r="N108" s="357"/>
      <c r="O108" s="353"/>
      <c r="P108" s="240"/>
      <c r="Q108" s="240"/>
      <c r="R108" s="240"/>
      <c r="S108" s="240"/>
      <c r="T108" s="240"/>
      <c r="U108" s="240"/>
      <c r="V108" s="240"/>
      <c r="W108" s="240"/>
      <c r="X108" s="240"/>
      <c r="Y108" s="240"/>
      <c r="Z108" s="240"/>
      <c r="AA108" s="240"/>
      <c r="AB108" s="240"/>
      <c r="AC108" s="240"/>
      <c r="AD108" s="240"/>
      <c r="AE108" s="240"/>
      <c r="AF108" s="240"/>
      <c r="AG108" s="240"/>
      <c r="AH108" s="240"/>
      <c r="AI108" s="240"/>
    </row>
    <row r="109" ht="15.75" customHeight="1">
      <c r="A109" s="240"/>
      <c r="B109" s="1046"/>
      <c r="C109" s="627" t="s">
        <v>273</v>
      </c>
      <c r="D109" s="604">
        <f t="shared" ref="D109:O109" si="18">SUM(D110:D111)</f>
        <v>0</v>
      </c>
      <c r="E109" s="349">
        <f t="shared" si="18"/>
        <v>0</v>
      </c>
      <c r="F109" s="499">
        <f t="shared" si="18"/>
        <v>0</v>
      </c>
      <c r="G109" s="357">
        <f t="shared" si="18"/>
        <v>1179</v>
      </c>
      <c r="H109" s="357">
        <f t="shared" si="18"/>
        <v>0</v>
      </c>
      <c r="I109" s="357">
        <f t="shared" si="18"/>
        <v>0</v>
      </c>
      <c r="J109" s="357">
        <f t="shared" si="18"/>
        <v>0</v>
      </c>
      <c r="K109" s="357">
        <f t="shared" si="18"/>
        <v>0</v>
      </c>
      <c r="L109" s="357">
        <f t="shared" si="18"/>
        <v>0</v>
      </c>
      <c r="M109" s="357">
        <f t="shared" si="18"/>
        <v>0</v>
      </c>
      <c r="N109" s="357">
        <f t="shared" si="18"/>
        <v>0</v>
      </c>
      <c r="O109" s="353">
        <f t="shared" si="18"/>
        <v>0</v>
      </c>
      <c r="P109" s="240"/>
      <c r="Q109" s="240"/>
      <c r="R109" s="240"/>
      <c r="S109" s="240"/>
      <c r="T109" s="240"/>
      <c r="U109" s="240"/>
      <c r="V109" s="240"/>
      <c r="W109" s="240"/>
      <c r="X109" s="240"/>
      <c r="Y109" s="240"/>
      <c r="Z109" s="240"/>
      <c r="AA109" s="240"/>
      <c r="AB109" s="240"/>
      <c r="AC109" s="240"/>
      <c r="AD109" s="240"/>
      <c r="AE109" s="240"/>
      <c r="AF109" s="240"/>
      <c r="AG109" s="240"/>
      <c r="AH109" s="240"/>
      <c r="AI109" s="240"/>
    </row>
    <row r="110" ht="15.75" customHeight="1">
      <c r="A110" s="240"/>
      <c r="B110" s="1046"/>
      <c r="C110" s="1047" t="s">
        <v>274</v>
      </c>
      <c r="D110" s="604"/>
      <c r="E110" s="349"/>
      <c r="F110" s="499"/>
      <c r="G110" s="357"/>
      <c r="H110" s="357"/>
      <c r="I110" s="357"/>
      <c r="J110" s="357"/>
      <c r="K110" s="357"/>
      <c r="L110" s="357"/>
      <c r="M110" s="357"/>
      <c r="N110" s="357"/>
      <c r="O110" s="353"/>
      <c r="P110" s="240"/>
      <c r="Q110" s="240"/>
      <c r="R110" s="240"/>
      <c r="S110" s="240"/>
      <c r="T110" s="240"/>
      <c r="U110" s="240"/>
      <c r="V110" s="240"/>
      <c r="W110" s="240"/>
      <c r="X110" s="240"/>
      <c r="Y110" s="240"/>
      <c r="Z110" s="240"/>
      <c r="AA110" s="240"/>
      <c r="AB110" s="240"/>
      <c r="AC110" s="240"/>
      <c r="AD110" s="240"/>
      <c r="AE110" s="240"/>
      <c r="AF110" s="240"/>
      <c r="AG110" s="240"/>
      <c r="AH110" s="240"/>
      <c r="AI110" s="240"/>
    </row>
    <row r="111" ht="15.75" customHeight="1">
      <c r="A111" s="240"/>
      <c r="B111" s="1046"/>
      <c r="C111" s="1047" t="s">
        <v>471</v>
      </c>
      <c r="D111" s="604"/>
      <c r="E111" s="349"/>
      <c r="F111" s="499"/>
      <c r="G111" s="357">
        <v>1179.0</v>
      </c>
      <c r="H111" s="357"/>
      <c r="I111" s="357"/>
      <c r="J111" s="357"/>
      <c r="K111" s="357"/>
      <c r="L111" s="357"/>
      <c r="M111" s="357"/>
      <c r="N111" s="357"/>
      <c r="O111" s="353"/>
      <c r="P111" s="240"/>
      <c r="Q111" s="240"/>
      <c r="R111" s="240"/>
      <c r="S111" s="240"/>
      <c r="T111" s="240"/>
      <c r="U111" s="240"/>
      <c r="V111" s="240"/>
      <c r="W111" s="240"/>
      <c r="X111" s="240"/>
      <c r="Y111" s="240"/>
      <c r="Z111" s="240"/>
      <c r="AA111" s="240"/>
      <c r="AB111" s="240"/>
      <c r="AC111" s="240"/>
      <c r="AD111" s="240"/>
      <c r="AE111" s="240"/>
      <c r="AF111" s="240"/>
      <c r="AG111" s="240"/>
      <c r="AH111" s="240"/>
      <c r="AI111" s="240"/>
    </row>
    <row r="112" ht="15.75" customHeight="1">
      <c r="A112" s="240"/>
      <c r="B112" s="1058"/>
      <c r="C112" s="1059"/>
      <c r="D112" s="619"/>
      <c r="E112" s="361"/>
      <c r="F112" s="613"/>
      <c r="G112" s="367"/>
      <c r="H112" s="367"/>
      <c r="I112" s="367"/>
      <c r="J112" s="367"/>
      <c r="K112" s="367"/>
      <c r="L112" s="367"/>
      <c r="M112" s="367"/>
      <c r="N112" s="367"/>
      <c r="O112" s="365"/>
      <c r="P112" s="240"/>
      <c r="Q112" s="240"/>
      <c r="R112" s="240"/>
      <c r="S112" s="240"/>
      <c r="T112" s="240"/>
      <c r="U112" s="240"/>
      <c r="V112" s="240"/>
      <c r="W112" s="240"/>
      <c r="X112" s="240"/>
      <c r="Y112" s="240"/>
      <c r="Z112" s="240"/>
      <c r="AA112" s="240"/>
      <c r="AB112" s="240"/>
      <c r="AC112" s="240"/>
      <c r="AD112" s="240"/>
      <c r="AE112" s="240"/>
      <c r="AF112" s="240"/>
      <c r="AG112" s="240"/>
      <c r="AH112" s="240"/>
      <c r="AI112" s="240"/>
    </row>
    <row r="113" ht="15.75" customHeight="1">
      <c r="A113" s="240"/>
      <c r="B113" s="1060"/>
      <c r="C113" s="1061" t="s">
        <v>41</v>
      </c>
      <c r="D113" s="771">
        <f t="shared" ref="D113:O113" si="19">SUM(D114:D127)</f>
        <v>0</v>
      </c>
      <c r="E113" s="771">
        <f t="shared" si="19"/>
        <v>0</v>
      </c>
      <c r="F113" s="813">
        <f t="shared" si="19"/>
        <v>0</v>
      </c>
      <c r="G113" s="773">
        <f t="shared" si="19"/>
        <v>10800</v>
      </c>
      <c r="H113" s="773">
        <f t="shared" si="19"/>
        <v>10800</v>
      </c>
      <c r="I113" s="773">
        <f t="shared" si="19"/>
        <v>10800</v>
      </c>
      <c r="J113" s="773">
        <f t="shared" si="19"/>
        <v>8100</v>
      </c>
      <c r="K113" s="773">
        <f t="shared" si="19"/>
        <v>8100</v>
      </c>
      <c r="L113" s="773">
        <f t="shared" si="19"/>
        <v>8100</v>
      </c>
      <c r="M113" s="773">
        <f t="shared" si="19"/>
        <v>8100</v>
      </c>
      <c r="N113" s="773">
        <f t="shared" si="19"/>
        <v>8100</v>
      </c>
      <c r="O113" s="509">
        <f t="shared" si="19"/>
        <v>8100</v>
      </c>
      <c r="P113" s="1052">
        <f>SUM(D113:O113)</f>
        <v>81000</v>
      </c>
      <c r="Q113" s="240"/>
      <c r="R113" s="240"/>
      <c r="S113" s="240"/>
      <c r="T113" s="240"/>
      <c r="U113" s="240"/>
      <c r="V113" s="240"/>
      <c r="W113" s="240"/>
      <c r="X113" s="240"/>
      <c r="Y113" s="240"/>
      <c r="Z113" s="240"/>
      <c r="AA113" s="240"/>
      <c r="AB113" s="240"/>
      <c r="AC113" s="240"/>
      <c r="AD113" s="240"/>
      <c r="AE113" s="240"/>
      <c r="AF113" s="240"/>
      <c r="AG113" s="240"/>
      <c r="AH113" s="240"/>
      <c r="AI113" s="240"/>
    </row>
    <row r="114" ht="15.75" customHeight="1">
      <c r="A114" s="240"/>
      <c r="B114" s="1040"/>
      <c r="C114" s="1041" t="s">
        <v>277</v>
      </c>
      <c r="D114" s="708"/>
      <c r="E114" s="382"/>
      <c r="F114" s="615"/>
      <c r="G114" s="388"/>
      <c r="H114" s="388"/>
      <c r="I114" s="388"/>
      <c r="J114" s="388"/>
      <c r="K114" s="388"/>
      <c r="L114" s="388"/>
      <c r="M114" s="388"/>
      <c r="N114" s="388"/>
      <c r="O114" s="386"/>
      <c r="P114" s="240"/>
      <c r="Q114" s="240"/>
      <c r="R114" s="240"/>
      <c r="S114" s="240"/>
      <c r="T114" s="240"/>
      <c r="U114" s="240"/>
      <c r="V114" s="240"/>
      <c r="W114" s="240"/>
      <c r="X114" s="240"/>
      <c r="Y114" s="240"/>
      <c r="Z114" s="240"/>
      <c r="AA114" s="240"/>
      <c r="AB114" s="240"/>
      <c r="AC114" s="240"/>
      <c r="AD114" s="240"/>
      <c r="AE114" s="240"/>
      <c r="AF114" s="240"/>
      <c r="AG114" s="240"/>
      <c r="AH114" s="240"/>
      <c r="AI114" s="240"/>
    </row>
    <row r="115" ht="15.75" customHeight="1">
      <c r="A115" s="240"/>
      <c r="B115" s="1046"/>
      <c r="C115" s="1047" t="s">
        <v>278</v>
      </c>
      <c r="D115" s="604"/>
      <c r="E115" s="349">
        <v>0.0</v>
      </c>
      <c r="F115" s="499">
        <v>0.0</v>
      </c>
      <c r="G115" s="357">
        <v>10800.0</v>
      </c>
      <c r="H115" s="357">
        <v>10800.0</v>
      </c>
      <c r="I115" s="357">
        <v>10800.0</v>
      </c>
      <c r="J115" s="357">
        <f t="shared" ref="J115:O115" si="20">32400/4</f>
        <v>8100</v>
      </c>
      <c r="K115" s="357">
        <f t="shared" si="20"/>
        <v>8100</v>
      </c>
      <c r="L115" s="357">
        <f t="shared" si="20"/>
        <v>8100</v>
      </c>
      <c r="M115" s="357">
        <f t="shared" si="20"/>
        <v>8100</v>
      </c>
      <c r="N115" s="357">
        <f t="shared" si="20"/>
        <v>8100</v>
      </c>
      <c r="O115" s="357">
        <f t="shared" si="20"/>
        <v>8100</v>
      </c>
      <c r="P115" s="240"/>
      <c r="Q115" s="240"/>
      <c r="R115" s="240"/>
      <c r="S115" s="240"/>
      <c r="T115" s="240"/>
      <c r="U115" s="240"/>
      <c r="V115" s="240"/>
      <c r="W115" s="240"/>
      <c r="X115" s="240"/>
      <c r="Y115" s="240"/>
      <c r="Z115" s="240"/>
      <c r="AA115" s="240"/>
      <c r="AB115" s="240"/>
      <c r="AC115" s="240"/>
      <c r="AD115" s="240"/>
      <c r="AE115" s="240"/>
      <c r="AF115" s="240"/>
      <c r="AG115" s="240"/>
      <c r="AH115" s="240"/>
      <c r="AI115" s="240"/>
    </row>
    <row r="116" ht="15.75" hidden="1" customHeight="1">
      <c r="A116" s="240"/>
      <c r="B116" s="1046"/>
      <c r="C116" s="1047" t="s">
        <v>280</v>
      </c>
      <c r="D116" s="604"/>
      <c r="E116" s="349"/>
      <c r="F116" s="499"/>
      <c r="G116" s="357"/>
      <c r="H116" s="357"/>
      <c r="I116" s="357"/>
      <c r="J116" s="357"/>
      <c r="K116" s="357"/>
      <c r="L116" s="357"/>
      <c r="M116" s="357"/>
      <c r="N116" s="357"/>
      <c r="O116" s="353"/>
      <c r="P116" s="240"/>
      <c r="Q116" s="240"/>
      <c r="R116" s="240"/>
      <c r="S116" s="240"/>
      <c r="T116" s="240"/>
      <c r="U116" s="240"/>
      <c r="V116" s="240"/>
      <c r="W116" s="240"/>
      <c r="X116" s="240"/>
      <c r="Y116" s="240"/>
      <c r="Z116" s="240"/>
      <c r="AA116" s="240"/>
      <c r="AB116" s="240"/>
      <c r="AC116" s="240"/>
      <c r="AD116" s="240"/>
      <c r="AE116" s="240"/>
      <c r="AF116" s="240"/>
      <c r="AG116" s="240"/>
      <c r="AH116" s="240"/>
      <c r="AI116" s="240"/>
    </row>
    <row r="117" ht="15.75" hidden="1" customHeight="1">
      <c r="A117" s="240"/>
      <c r="B117" s="1046"/>
      <c r="C117" s="1047" t="s">
        <v>334</v>
      </c>
      <c r="D117" s="604"/>
      <c r="E117" s="349"/>
      <c r="F117" s="499"/>
      <c r="G117" s="357"/>
      <c r="H117" s="357"/>
      <c r="I117" s="357"/>
      <c r="J117" s="357"/>
      <c r="K117" s="357"/>
      <c r="L117" s="357"/>
      <c r="M117" s="357"/>
      <c r="N117" s="357"/>
      <c r="O117" s="353"/>
      <c r="P117" s="240"/>
      <c r="Q117" s="240"/>
      <c r="R117" s="240"/>
      <c r="S117" s="240"/>
      <c r="T117" s="240"/>
      <c r="U117" s="240"/>
      <c r="V117" s="240"/>
      <c r="W117" s="240"/>
      <c r="X117" s="240"/>
      <c r="Y117" s="240"/>
      <c r="Z117" s="240"/>
      <c r="AA117" s="240"/>
      <c r="AB117" s="240"/>
      <c r="AC117" s="240"/>
      <c r="AD117" s="240"/>
      <c r="AE117" s="240"/>
      <c r="AF117" s="240"/>
      <c r="AG117" s="240"/>
      <c r="AH117" s="240"/>
      <c r="AI117" s="240"/>
    </row>
    <row r="118" ht="15.75" hidden="1" customHeight="1">
      <c r="A118" s="240"/>
      <c r="B118" s="1046"/>
      <c r="C118" s="1047" t="s">
        <v>335</v>
      </c>
      <c r="D118" s="604"/>
      <c r="E118" s="349"/>
      <c r="F118" s="499"/>
      <c r="G118" s="357"/>
      <c r="H118" s="357"/>
      <c r="I118" s="357"/>
      <c r="J118" s="357"/>
      <c r="K118" s="357"/>
      <c r="L118" s="357"/>
      <c r="M118" s="357"/>
      <c r="N118" s="357"/>
      <c r="O118" s="353"/>
      <c r="P118" s="240"/>
      <c r="Q118" s="240"/>
      <c r="R118" s="240"/>
      <c r="S118" s="240"/>
      <c r="T118" s="240"/>
      <c r="U118" s="240"/>
      <c r="V118" s="240"/>
      <c r="W118" s="240"/>
      <c r="X118" s="240"/>
      <c r="Y118" s="240"/>
      <c r="Z118" s="240"/>
      <c r="AA118" s="240"/>
      <c r="AB118" s="240"/>
      <c r="AC118" s="240"/>
      <c r="AD118" s="240"/>
      <c r="AE118" s="240"/>
      <c r="AF118" s="240"/>
      <c r="AG118" s="240"/>
      <c r="AH118" s="240"/>
      <c r="AI118" s="240"/>
    </row>
    <row r="119" ht="15.75" hidden="1" customHeight="1">
      <c r="A119" s="240"/>
      <c r="B119" s="1046"/>
      <c r="C119" s="1047" t="s">
        <v>282</v>
      </c>
      <c r="D119" s="604"/>
      <c r="E119" s="349"/>
      <c r="F119" s="499"/>
      <c r="G119" s="357"/>
      <c r="H119" s="357"/>
      <c r="I119" s="357"/>
      <c r="J119" s="357"/>
      <c r="K119" s="357"/>
      <c r="L119" s="357"/>
      <c r="M119" s="357"/>
      <c r="N119" s="357"/>
      <c r="O119" s="353"/>
      <c r="P119" s="240"/>
      <c r="Q119" s="240"/>
      <c r="R119" s="240"/>
      <c r="S119" s="240"/>
      <c r="T119" s="240"/>
      <c r="U119" s="240"/>
      <c r="V119" s="240"/>
      <c r="W119" s="240"/>
      <c r="X119" s="240"/>
      <c r="Y119" s="240"/>
      <c r="Z119" s="240"/>
      <c r="AA119" s="240"/>
      <c r="AB119" s="240"/>
      <c r="AC119" s="240"/>
      <c r="AD119" s="240"/>
      <c r="AE119" s="240"/>
      <c r="AF119" s="240"/>
      <c r="AG119" s="240"/>
      <c r="AH119" s="240"/>
      <c r="AI119" s="240"/>
    </row>
    <row r="120" ht="15.75" hidden="1" customHeight="1">
      <c r="A120" s="240"/>
      <c r="B120" s="1046"/>
      <c r="C120" s="1047" t="s">
        <v>285</v>
      </c>
      <c r="D120" s="604"/>
      <c r="E120" s="349"/>
      <c r="F120" s="499"/>
      <c r="G120" s="357"/>
      <c r="H120" s="357"/>
      <c r="I120" s="357"/>
      <c r="J120" s="357"/>
      <c r="K120" s="357"/>
      <c r="L120" s="357"/>
      <c r="M120" s="357"/>
      <c r="N120" s="357"/>
      <c r="O120" s="353"/>
      <c r="P120" s="240"/>
      <c r="Q120" s="240"/>
      <c r="R120" s="240"/>
      <c r="S120" s="240"/>
      <c r="T120" s="240"/>
      <c r="U120" s="240"/>
      <c r="V120" s="240"/>
      <c r="W120" s="240"/>
      <c r="X120" s="240"/>
      <c r="Y120" s="240"/>
      <c r="Z120" s="240"/>
      <c r="AA120" s="240"/>
      <c r="AB120" s="240"/>
      <c r="AC120" s="240"/>
      <c r="AD120" s="240"/>
      <c r="AE120" s="240"/>
      <c r="AF120" s="240"/>
      <c r="AG120" s="240"/>
      <c r="AH120" s="240"/>
      <c r="AI120" s="240"/>
    </row>
    <row r="121" ht="15.75" hidden="1" customHeight="1">
      <c r="A121" s="240"/>
      <c r="B121" s="1046"/>
      <c r="C121" s="1047" t="s">
        <v>286</v>
      </c>
      <c r="D121" s="604"/>
      <c r="E121" s="349"/>
      <c r="F121" s="499"/>
      <c r="G121" s="357"/>
      <c r="H121" s="357"/>
      <c r="I121" s="357"/>
      <c r="J121" s="357"/>
      <c r="K121" s="357"/>
      <c r="L121" s="357"/>
      <c r="M121" s="357"/>
      <c r="N121" s="357"/>
      <c r="O121" s="353"/>
      <c r="P121" s="240"/>
      <c r="Q121" s="240"/>
      <c r="R121" s="240"/>
      <c r="S121" s="240"/>
      <c r="T121" s="240"/>
      <c r="U121" s="240"/>
      <c r="V121" s="240"/>
      <c r="W121" s="240"/>
      <c r="X121" s="240"/>
      <c r="Y121" s="240"/>
      <c r="Z121" s="240"/>
      <c r="AA121" s="240"/>
      <c r="AB121" s="240"/>
      <c r="AC121" s="240"/>
      <c r="AD121" s="240"/>
      <c r="AE121" s="240"/>
      <c r="AF121" s="240"/>
      <c r="AG121" s="240"/>
      <c r="AH121" s="240"/>
      <c r="AI121" s="240"/>
    </row>
    <row r="122" ht="15.75" hidden="1" customHeight="1">
      <c r="A122" s="240"/>
      <c r="B122" s="1046"/>
      <c r="C122" s="1047" t="s">
        <v>279</v>
      </c>
      <c r="D122" s="604"/>
      <c r="E122" s="349"/>
      <c r="F122" s="499"/>
      <c r="G122" s="357"/>
      <c r="H122" s="357"/>
      <c r="I122" s="357"/>
      <c r="J122" s="357"/>
      <c r="K122" s="357"/>
      <c r="L122" s="357"/>
      <c r="M122" s="357"/>
      <c r="N122" s="357"/>
      <c r="O122" s="353"/>
      <c r="P122" s="240"/>
      <c r="Q122" s="240"/>
      <c r="R122" s="240"/>
      <c r="S122" s="240"/>
      <c r="T122" s="240"/>
      <c r="U122" s="240"/>
      <c r="V122" s="240"/>
      <c r="W122" s="240"/>
      <c r="X122" s="240"/>
      <c r="Y122" s="240"/>
      <c r="Z122" s="240"/>
      <c r="AA122" s="240"/>
      <c r="AB122" s="240"/>
      <c r="AC122" s="240"/>
      <c r="AD122" s="240"/>
      <c r="AE122" s="240"/>
      <c r="AF122" s="240"/>
      <c r="AG122" s="240"/>
      <c r="AH122" s="240"/>
      <c r="AI122" s="240"/>
    </row>
    <row r="123" ht="15.75" hidden="1" customHeight="1">
      <c r="A123" s="240"/>
      <c r="B123" s="1046"/>
      <c r="C123" s="1047" t="s">
        <v>287</v>
      </c>
      <c r="D123" s="604"/>
      <c r="E123" s="349"/>
      <c r="F123" s="499"/>
      <c r="G123" s="357"/>
      <c r="H123" s="357"/>
      <c r="I123" s="357"/>
      <c r="J123" s="357"/>
      <c r="K123" s="357"/>
      <c r="L123" s="357"/>
      <c r="M123" s="357"/>
      <c r="N123" s="357"/>
      <c r="O123" s="353"/>
      <c r="P123" s="240"/>
      <c r="Q123" s="240"/>
      <c r="R123" s="240"/>
      <c r="S123" s="240"/>
      <c r="T123" s="240"/>
      <c r="U123" s="240"/>
      <c r="V123" s="240"/>
      <c r="W123" s="240"/>
      <c r="X123" s="240"/>
      <c r="Y123" s="240"/>
      <c r="Z123" s="240"/>
      <c r="AA123" s="240"/>
      <c r="AB123" s="240"/>
      <c r="AC123" s="240"/>
      <c r="AD123" s="240"/>
      <c r="AE123" s="240"/>
      <c r="AF123" s="240"/>
      <c r="AG123" s="240"/>
      <c r="AH123" s="240"/>
      <c r="AI123" s="240"/>
    </row>
    <row r="124" ht="15.75" hidden="1" customHeight="1">
      <c r="A124" s="240"/>
      <c r="B124" s="1046"/>
      <c r="C124" s="1047" t="s">
        <v>401</v>
      </c>
      <c r="D124" s="604"/>
      <c r="E124" s="349"/>
      <c r="F124" s="499"/>
      <c r="G124" s="357"/>
      <c r="H124" s="357"/>
      <c r="I124" s="357"/>
      <c r="J124" s="357"/>
      <c r="K124" s="357"/>
      <c r="L124" s="357"/>
      <c r="M124" s="357"/>
      <c r="N124" s="357"/>
      <c r="O124" s="353"/>
      <c r="P124" s="240"/>
      <c r="Q124" s="240"/>
      <c r="R124" s="240"/>
      <c r="S124" s="240"/>
      <c r="T124" s="240"/>
      <c r="U124" s="240"/>
      <c r="V124" s="240"/>
      <c r="W124" s="240"/>
      <c r="X124" s="240"/>
      <c r="Y124" s="240"/>
      <c r="Z124" s="240"/>
      <c r="AA124" s="240"/>
      <c r="AB124" s="240"/>
      <c r="AC124" s="240"/>
      <c r="AD124" s="240"/>
      <c r="AE124" s="240"/>
      <c r="AF124" s="240"/>
      <c r="AG124" s="240"/>
      <c r="AH124" s="240"/>
      <c r="AI124" s="240"/>
    </row>
    <row r="125" ht="15.75" hidden="1" customHeight="1">
      <c r="A125" s="240"/>
      <c r="B125" s="1046"/>
      <c r="C125" s="1047" t="s">
        <v>288</v>
      </c>
      <c r="D125" s="604"/>
      <c r="E125" s="349"/>
      <c r="F125" s="499"/>
      <c r="G125" s="357"/>
      <c r="H125" s="357"/>
      <c r="I125" s="357"/>
      <c r="J125" s="357"/>
      <c r="K125" s="357"/>
      <c r="L125" s="357"/>
      <c r="M125" s="357"/>
      <c r="N125" s="357"/>
      <c r="O125" s="353"/>
      <c r="P125" s="240"/>
      <c r="Q125" s="240"/>
      <c r="R125" s="240"/>
      <c r="S125" s="240"/>
      <c r="T125" s="240"/>
      <c r="U125" s="240"/>
      <c r="V125" s="240"/>
      <c r="W125" s="240"/>
      <c r="X125" s="240"/>
      <c r="Y125" s="240"/>
      <c r="Z125" s="240"/>
      <c r="AA125" s="240"/>
      <c r="AB125" s="240"/>
      <c r="AC125" s="240"/>
      <c r="AD125" s="240"/>
      <c r="AE125" s="240"/>
      <c r="AF125" s="240"/>
      <c r="AG125" s="240"/>
      <c r="AH125" s="240"/>
      <c r="AI125" s="240"/>
    </row>
    <row r="126" ht="15.75" customHeight="1">
      <c r="A126" s="240"/>
      <c r="B126" s="1046"/>
      <c r="C126" s="1047" t="s">
        <v>480</v>
      </c>
      <c r="D126" s="604"/>
      <c r="E126" s="349"/>
      <c r="F126" s="499"/>
      <c r="G126" s="357"/>
      <c r="H126" s="357"/>
      <c r="I126" s="357"/>
      <c r="J126" s="357"/>
      <c r="K126" s="357"/>
      <c r="L126" s="357"/>
      <c r="M126" s="357"/>
      <c r="N126" s="357"/>
      <c r="O126" s="353"/>
      <c r="P126" s="240"/>
      <c r="Q126" s="240"/>
      <c r="R126" s="240"/>
      <c r="S126" s="240"/>
      <c r="T126" s="240"/>
      <c r="U126" s="240"/>
      <c r="V126" s="240"/>
      <c r="W126" s="240"/>
      <c r="X126" s="240"/>
      <c r="Y126" s="240"/>
      <c r="Z126" s="240"/>
      <c r="AA126" s="240"/>
      <c r="AB126" s="240"/>
      <c r="AC126" s="240"/>
      <c r="AD126" s="240"/>
      <c r="AE126" s="240"/>
      <c r="AF126" s="240"/>
      <c r="AG126" s="240"/>
      <c r="AH126" s="240"/>
      <c r="AI126" s="240"/>
    </row>
    <row r="127" ht="15.75" customHeight="1">
      <c r="A127" s="240"/>
      <c r="B127" s="1046"/>
      <c r="C127" s="1047" t="s">
        <v>282</v>
      </c>
      <c r="D127" s="604"/>
      <c r="E127" s="349"/>
      <c r="F127" s="499">
        <v>0.0</v>
      </c>
      <c r="G127" s="357"/>
      <c r="H127" s="357"/>
      <c r="I127" s="357"/>
      <c r="J127" s="357"/>
      <c r="K127" s="357"/>
      <c r="L127" s="357"/>
      <c r="M127" s="357"/>
      <c r="N127" s="357"/>
      <c r="O127" s="353"/>
      <c r="P127" s="240"/>
      <c r="Q127" s="240"/>
      <c r="R127" s="240"/>
      <c r="S127" s="240"/>
      <c r="T127" s="240"/>
      <c r="U127" s="240"/>
      <c r="V127" s="240"/>
      <c r="W127" s="240"/>
      <c r="X127" s="240"/>
      <c r="Y127" s="240"/>
      <c r="Z127" s="240"/>
      <c r="AA127" s="240"/>
      <c r="AB127" s="240"/>
      <c r="AC127" s="240"/>
      <c r="AD127" s="240"/>
      <c r="AE127" s="240"/>
      <c r="AF127" s="240"/>
      <c r="AG127" s="240"/>
      <c r="AH127" s="240"/>
      <c r="AI127" s="240"/>
    </row>
    <row r="128" ht="15.75" customHeight="1">
      <c r="A128" s="240"/>
      <c r="B128" s="1058"/>
      <c r="C128" s="1066"/>
      <c r="D128" s="619"/>
      <c r="E128" s="361"/>
      <c r="F128" s="613"/>
      <c r="G128" s="367"/>
      <c r="H128" s="367"/>
      <c r="I128" s="367"/>
      <c r="J128" s="367"/>
      <c r="K128" s="367"/>
      <c r="L128" s="367"/>
      <c r="M128" s="367"/>
      <c r="N128" s="367"/>
      <c r="O128" s="365"/>
      <c r="P128" s="240"/>
      <c r="Q128" s="240"/>
      <c r="R128" s="240"/>
      <c r="S128" s="240"/>
      <c r="T128" s="240"/>
      <c r="U128" s="240"/>
      <c r="V128" s="240"/>
      <c r="W128" s="240"/>
      <c r="X128" s="240"/>
      <c r="Y128" s="240"/>
      <c r="Z128" s="240"/>
      <c r="AA128" s="240"/>
      <c r="AB128" s="240"/>
      <c r="AC128" s="240"/>
      <c r="AD128" s="240"/>
      <c r="AE128" s="240"/>
      <c r="AF128" s="240"/>
      <c r="AG128" s="240"/>
      <c r="AH128" s="240"/>
      <c r="AI128" s="240"/>
    </row>
    <row r="129" ht="15.75" customHeight="1">
      <c r="A129" s="240"/>
      <c r="B129" s="1060"/>
      <c r="C129" s="1061" t="s">
        <v>42</v>
      </c>
      <c r="D129" s="771">
        <f>SUM(D130:D131)</f>
        <v>0</v>
      </c>
      <c r="E129" s="1062">
        <f t="shared" ref="E129:O129" si="21">SUM(E130)</f>
        <v>0</v>
      </c>
      <c r="F129" s="1063">
        <f t="shared" si="21"/>
        <v>0</v>
      </c>
      <c r="G129" s="773">
        <f t="shared" si="21"/>
        <v>0</v>
      </c>
      <c r="H129" s="773">
        <f t="shared" si="21"/>
        <v>0</v>
      </c>
      <c r="I129" s="773">
        <f t="shared" si="21"/>
        <v>0</v>
      </c>
      <c r="J129" s="773">
        <f t="shared" si="21"/>
        <v>0</v>
      </c>
      <c r="K129" s="773">
        <f t="shared" si="21"/>
        <v>0</v>
      </c>
      <c r="L129" s="773">
        <f t="shared" si="21"/>
        <v>0</v>
      </c>
      <c r="M129" s="773">
        <f t="shared" si="21"/>
        <v>0</v>
      </c>
      <c r="N129" s="773">
        <f t="shared" si="21"/>
        <v>0</v>
      </c>
      <c r="O129" s="509">
        <f t="shared" si="21"/>
        <v>0</v>
      </c>
      <c r="P129" s="1052">
        <f>SUM(D129:O129)</f>
        <v>0</v>
      </c>
      <c r="Q129" s="240"/>
      <c r="R129" s="240"/>
      <c r="S129" s="240"/>
      <c r="T129" s="240"/>
      <c r="U129" s="240"/>
      <c r="V129" s="240"/>
      <c r="W129" s="240"/>
      <c r="X129" s="240"/>
      <c r="Y129" s="240"/>
      <c r="Z129" s="240"/>
      <c r="AA129" s="240"/>
      <c r="AB129" s="240"/>
      <c r="AC129" s="240"/>
      <c r="AD129" s="240"/>
      <c r="AE129" s="240"/>
      <c r="AF129" s="240"/>
      <c r="AG129" s="240"/>
      <c r="AH129" s="240"/>
      <c r="AI129" s="240"/>
    </row>
    <row r="130" ht="15.75" hidden="1" customHeight="1">
      <c r="A130" s="240"/>
      <c r="B130" s="1040"/>
      <c r="C130" s="1041" t="s">
        <v>340</v>
      </c>
      <c r="D130" s="708"/>
      <c r="E130" s="382"/>
      <c r="F130" s="615"/>
      <c r="G130" s="388"/>
      <c r="H130" s="388"/>
      <c r="I130" s="388"/>
      <c r="J130" s="388"/>
      <c r="K130" s="388"/>
      <c r="L130" s="388"/>
      <c r="M130" s="388"/>
      <c r="N130" s="388"/>
      <c r="O130" s="386"/>
      <c r="P130" s="240"/>
      <c r="Q130" s="240"/>
      <c r="R130" s="240"/>
      <c r="S130" s="240"/>
      <c r="T130" s="240"/>
      <c r="U130" s="240"/>
      <c r="V130" s="240"/>
      <c r="W130" s="240"/>
      <c r="X130" s="240"/>
      <c r="Y130" s="240"/>
      <c r="Z130" s="240"/>
      <c r="AA130" s="240"/>
      <c r="AB130" s="240"/>
      <c r="AC130" s="240"/>
      <c r="AD130" s="240"/>
      <c r="AE130" s="240"/>
      <c r="AF130" s="240"/>
      <c r="AG130" s="240"/>
      <c r="AH130" s="240"/>
      <c r="AI130" s="240"/>
    </row>
    <row r="131" ht="15.75" hidden="1" customHeight="1">
      <c r="A131" s="240"/>
      <c r="B131" s="1046"/>
      <c r="C131" s="1047" t="s">
        <v>291</v>
      </c>
      <c r="D131" s="604"/>
      <c r="E131" s="349"/>
      <c r="F131" s="499"/>
      <c r="G131" s="357"/>
      <c r="H131" s="357"/>
      <c r="I131" s="357"/>
      <c r="J131" s="357"/>
      <c r="K131" s="357"/>
      <c r="L131" s="357"/>
      <c r="M131" s="357"/>
      <c r="N131" s="357"/>
      <c r="O131" s="353"/>
      <c r="P131" s="240"/>
      <c r="Q131" s="240"/>
      <c r="R131" s="240"/>
      <c r="S131" s="240"/>
      <c r="T131" s="240"/>
      <c r="U131" s="240"/>
      <c r="V131" s="240"/>
      <c r="W131" s="240"/>
      <c r="X131" s="240"/>
      <c r="Y131" s="240"/>
      <c r="Z131" s="240"/>
      <c r="AA131" s="240"/>
      <c r="AB131" s="240"/>
      <c r="AC131" s="240"/>
      <c r="AD131" s="240"/>
      <c r="AE131" s="240"/>
      <c r="AF131" s="240"/>
      <c r="AG131" s="240"/>
      <c r="AH131" s="240"/>
      <c r="AI131" s="240"/>
    </row>
    <row r="132" ht="15.75" customHeight="1">
      <c r="A132" s="240"/>
      <c r="B132" s="1058"/>
      <c r="C132" s="1059"/>
      <c r="D132" s="619"/>
      <c r="E132" s="361"/>
      <c r="F132" s="613"/>
      <c r="G132" s="367"/>
      <c r="H132" s="367"/>
      <c r="I132" s="367"/>
      <c r="J132" s="367"/>
      <c r="K132" s="367"/>
      <c r="L132" s="367"/>
      <c r="M132" s="367"/>
      <c r="N132" s="367"/>
      <c r="O132" s="365"/>
      <c r="P132" s="240"/>
      <c r="Q132" s="240"/>
      <c r="R132" s="240"/>
      <c r="S132" s="240"/>
      <c r="T132" s="240"/>
      <c r="U132" s="240"/>
      <c r="V132" s="240"/>
      <c r="W132" s="240"/>
      <c r="X132" s="240"/>
      <c r="Y132" s="240"/>
      <c r="Z132" s="240"/>
      <c r="AA132" s="240"/>
      <c r="AB132" s="240"/>
      <c r="AC132" s="240"/>
      <c r="AD132" s="240"/>
      <c r="AE132" s="240"/>
      <c r="AF132" s="240"/>
      <c r="AG132" s="240"/>
      <c r="AH132" s="240"/>
      <c r="AI132" s="240"/>
    </row>
    <row r="133" ht="15.75" customHeight="1">
      <c r="A133" s="240"/>
      <c r="B133" s="1060"/>
      <c r="C133" s="1061" t="s">
        <v>43</v>
      </c>
      <c r="D133" s="771">
        <f t="shared" ref="D133:O133" si="22">SUM(D134:D135)</f>
        <v>0</v>
      </c>
      <c r="E133" s="1062">
        <f t="shared" si="22"/>
        <v>0</v>
      </c>
      <c r="F133" s="1063">
        <f t="shared" si="22"/>
        <v>0</v>
      </c>
      <c r="G133" s="773">
        <f t="shared" si="22"/>
        <v>0</v>
      </c>
      <c r="H133" s="773">
        <f t="shared" si="22"/>
        <v>0</v>
      </c>
      <c r="I133" s="773">
        <f t="shared" si="22"/>
        <v>0</v>
      </c>
      <c r="J133" s="773">
        <f t="shared" si="22"/>
        <v>0</v>
      </c>
      <c r="K133" s="773">
        <f t="shared" si="22"/>
        <v>0</v>
      </c>
      <c r="L133" s="773">
        <f t="shared" si="22"/>
        <v>0</v>
      </c>
      <c r="M133" s="773">
        <f t="shared" si="22"/>
        <v>0</v>
      </c>
      <c r="N133" s="773">
        <f t="shared" si="22"/>
        <v>0</v>
      </c>
      <c r="O133" s="509">
        <f t="shared" si="22"/>
        <v>0</v>
      </c>
      <c r="P133" s="1052">
        <f>SUM(D133:O133)</f>
        <v>0</v>
      </c>
      <c r="Q133" s="240"/>
      <c r="R133" s="240"/>
      <c r="S133" s="240"/>
      <c r="T133" s="240"/>
      <c r="U133" s="240"/>
      <c r="V133" s="240"/>
      <c r="W133" s="240"/>
      <c r="X133" s="240"/>
      <c r="Y133" s="240"/>
      <c r="Z133" s="240"/>
      <c r="AA133" s="240"/>
      <c r="AB133" s="240"/>
      <c r="AC133" s="240"/>
      <c r="AD133" s="240"/>
      <c r="AE133" s="240"/>
      <c r="AF133" s="240"/>
      <c r="AG133" s="240"/>
      <c r="AH133" s="240"/>
      <c r="AI133" s="240"/>
    </row>
    <row r="134" ht="15.75" hidden="1" customHeight="1">
      <c r="A134" s="240"/>
      <c r="B134" s="1040"/>
      <c r="C134" s="1041" t="s">
        <v>435</v>
      </c>
      <c r="D134" s="708"/>
      <c r="E134" s="382"/>
      <c r="F134" s="615"/>
      <c r="G134" s="388"/>
      <c r="H134" s="388"/>
      <c r="I134" s="388"/>
      <c r="J134" s="388"/>
      <c r="K134" s="388"/>
      <c r="L134" s="388"/>
      <c r="M134" s="388"/>
      <c r="N134" s="388"/>
      <c r="O134" s="386"/>
      <c r="P134" s="240"/>
      <c r="Q134" s="240"/>
      <c r="R134" s="240"/>
      <c r="S134" s="240"/>
      <c r="T134" s="240"/>
      <c r="U134" s="240"/>
      <c r="V134" s="240"/>
      <c r="W134" s="240"/>
      <c r="X134" s="240"/>
      <c r="Y134" s="240"/>
      <c r="Z134" s="240"/>
      <c r="AA134" s="240"/>
      <c r="AB134" s="240"/>
      <c r="AC134" s="240"/>
      <c r="AD134" s="240"/>
      <c r="AE134" s="240"/>
      <c r="AF134" s="240"/>
      <c r="AG134" s="240"/>
      <c r="AH134" s="240"/>
      <c r="AI134" s="240"/>
    </row>
    <row r="135" ht="15.75" customHeight="1">
      <c r="A135" s="240"/>
      <c r="B135" s="1046"/>
      <c r="C135" s="1047" t="s">
        <v>344</v>
      </c>
      <c r="D135" s="604"/>
      <c r="E135" s="349"/>
      <c r="F135" s="499"/>
      <c r="G135" s="357"/>
      <c r="H135" s="357"/>
      <c r="I135" s="357"/>
      <c r="J135" s="357"/>
      <c r="K135" s="357"/>
      <c r="L135" s="357"/>
      <c r="M135" s="357"/>
      <c r="N135" s="357"/>
      <c r="O135" s="353"/>
      <c r="P135" s="240"/>
      <c r="Q135" s="240"/>
      <c r="R135" s="240"/>
      <c r="S135" s="240"/>
      <c r="T135" s="240"/>
      <c r="U135" s="240"/>
      <c r="V135" s="240"/>
      <c r="W135" s="240"/>
      <c r="X135" s="240"/>
      <c r="Y135" s="240"/>
      <c r="Z135" s="240"/>
      <c r="AA135" s="240"/>
      <c r="AB135" s="240"/>
      <c r="AC135" s="240"/>
      <c r="AD135" s="240"/>
      <c r="AE135" s="240"/>
      <c r="AF135" s="240"/>
      <c r="AG135" s="240"/>
      <c r="AH135" s="240"/>
      <c r="AI135" s="240"/>
    </row>
    <row r="136" ht="15.75" customHeight="1">
      <c r="A136" s="240"/>
      <c r="B136" s="1058"/>
      <c r="C136" s="1059"/>
      <c r="D136" s="619"/>
      <c r="E136" s="361"/>
      <c r="F136" s="613"/>
      <c r="G136" s="367"/>
      <c r="H136" s="367"/>
      <c r="I136" s="367"/>
      <c r="J136" s="367"/>
      <c r="K136" s="367"/>
      <c r="L136" s="367"/>
      <c r="M136" s="367"/>
      <c r="N136" s="367"/>
      <c r="O136" s="365"/>
      <c r="P136" s="240"/>
      <c r="Q136" s="240"/>
      <c r="R136" s="240"/>
      <c r="S136" s="240"/>
      <c r="T136" s="240"/>
      <c r="U136" s="240"/>
      <c r="V136" s="240"/>
      <c r="W136" s="240"/>
      <c r="X136" s="240"/>
      <c r="Y136" s="240"/>
      <c r="Z136" s="240"/>
      <c r="AA136" s="240"/>
      <c r="AB136" s="240"/>
      <c r="AC136" s="240"/>
      <c r="AD136" s="240"/>
      <c r="AE136" s="240"/>
      <c r="AF136" s="240"/>
      <c r="AG136" s="240"/>
      <c r="AH136" s="240"/>
      <c r="AI136" s="240"/>
    </row>
    <row r="137" ht="15.75" customHeight="1">
      <c r="A137" s="240"/>
      <c r="B137" s="1068"/>
      <c r="C137" s="1069" t="s">
        <v>293</v>
      </c>
      <c r="D137" s="600">
        <f t="shared" ref="D137:E137" si="23">D133+D129+D113+D109+D106+D96+D90+D81+D74</f>
        <v>0</v>
      </c>
      <c r="E137" s="600">
        <f t="shared" si="23"/>
        <v>0</v>
      </c>
      <c r="F137" s="377">
        <f t="shared" ref="F137:L137" si="24">F133+F129+F113+F109+F106+F96+F90+F81+F74+F62+F71</f>
        <v>0</v>
      </c>
      <c r="G137" s="377">
        <f t="shared" si="24"/>
        <v>76912.69333</v>
      </c>
      <c r="H137" s="377">
        <f t="shared" si="24"/>
        <v>113286.9505</v>
      </c>
      <c r="I137" s="377">
        <f t="shared" si="24"/>
        <v>111710.619</v>
      </c>
      <c r="J137" s="377">
        <f t="shared" si="24"/>
        <v>121634.7633</v>
      </c>
      <c r="K137" s="377">
        <f t="shared" si="24"/>
        <v>120086.0662</v>
      </c>
      <c r="L137" s="377">
        <f t="shared" si="24"/>
        <v>177807.1133</v>
      </c>
      <c r="M137" s="377">
        <f t="shared" ref="M137:O137" si="25">M55+M74+M81+M113+M129+M133</f>
        <v>141845.3419</v>
      </c>
      <c r="N137" s="377">
        <f t="shared" si="25"/>
        <v>133924.6362</v>
      </c>
      <c r="O137" s="377">
        <f t="shared" si="25"/>
        <v>171989.399</v>
      </c>
      <c r="P137" s="1052">
        <f>SUM(D137:O137)</f>
        <v>1169197.583</v>
      </c>
      <c r="Q137" s="240"/>
      <c r="R137" s="240"/>
      <c r="S137" s="240"/>
      <c r="T137" s="240"/>
      <c r="U137" s="240"/>
      <c r="V137" s="240"/>
      <c r="W137" s="240"/>
      <c r="X137" s="240"/>
      <c r="Y137" s="240"/>
      <c r="Z137" s="240"/>
      <c r="AA137" s="240"/>
      <c r="AB137" s="240"/>
      <c r="AC137" s="240"/>
      <c r="AD137" s="240"/>
      <c r="AE137" s="240"/>
      <c r="AF137" s="240"/>
      <c r="AG137" s="240"/>
      <c r="AH137" s="240"/>
      <c r="AI137" s="240"/>
    </row>
    <row r="138" ht="15.75" customHeight="1">
      <c r="A138" s="240"/>
      <c r="B138" s="1070"/>
      <c r="C138" s="1071"/>
      <c r="D138" s="477"/>
      <c r="E138" s="819"/>
      <c r="F138" s="820"/>
      <c r="G138" s="478"/>
      <c r="H138" s="478"/>
      <c r="I138" s="478"/>
      <c r="J138" s="478"/>
      <c r="K138" s="478"/>
      <c r="L138" s="478"/>
      <c r="M138" s="478"/>
      <c r="N138" s="478"/>
      <c r="O138" s="419"/>
      <c r="P138" s="240"/>
      <c r="Q138" s="240"/>
      <c r="R138" s="240"/>
      <c r="S138" s="240"/>
      <c r="T138" s="240"/>
      <c r="U138" s="240"/>
      <c r="V138" s="240"/>
      <c r="W138" s="240"/>
      <c r="X138" s="240"/>
      <c r="Y138" s="240"/>
      <c r="Z138" s="240"/>
      <c r="AA138" s="240"/>
      <c r="AB138" s="240"/>
      <c r="AC138" s="240"/>
      <c r="AD138" s="240"/>
      <c r="AE138" s="240"/>
      <c r="AF138" s="240"/>
      <c r="AG138" s="240"/>
      <c r="AH138" s="240"/>
      <c r="AI138" s="240"/>
    </row>
    <row r="139" ht="15.75" customHeight="1">
      <c r="A139" s="240"/>
      <c r="B139" s="1068"/>
      <c r="C139" s="1069" t="s">
        <v>294</v>
      </c>
      <c r="D139" s="600">
        <f t="shared" ref="D139:L139" si="26">D53-D137</f>
        <v>0</v>
      </c>
      <c r="E139" s="600">
        <f t="shared" si="26"/>
        <v>0</v>
      </c>
      <c r="F139" s="377">
        <f t="shared" si="26"/>
        <v>0</v>
      </c>
      <c r="G139" s="377">
        <f t="shared" si="26"/>
        <v>-46724.69333</v>
      </c>
      <c r="H139" s="377">
        <f t="shared" si="26"/>
        <v>-200050.7459</v>
      </c>
      <c r="I139" s="377">
        <f t="shared" si="26"/>
        <v>-195519.4917</v>
      </c>
      <c r="J139" s="377">
        <f t="shared" si="26"/>
        <v>-205598.0041</v>
      </c>
      <c r="K139" s="377">
        <f t="shared" si="26"/>
        <v>-191489.0544</v>
      </c>
      <c r="L139" s="377">
        <f t="shared" si="26"/>
        <v>-190139.0473</v>
      </c>
      <c r="M139" s="377">
        <f t="shared" ref="M139:O139" si="27">+M53-M137</f>
        <v>-180468.9018</v>
      </c>
      <c r="N139" s="377">
        <f t="shared" si="27"/>
        <v>-183236.9098</v>
      </c>
      <c r="O139" s="377">
        <f t="shared" si="27"/>
        <v>-150755.2758</v>
      </c>
      <c r="P139" s="1052">
        <f>SUM(D139:O139)</f>
        <v>-1543982.124</v>
      </c>
      <c r="Q139" s="1052">
        <f>P139-'FY25-26'!AY30</f>
        <v>-0.0000000002328306437</v>
      </c>
      <c r="R139" s="240"/>
      <c r="S139" s="240"/>
      <c r="T139" s="240"/>
      <c r="U139" s="240"/>
      <c r="V139" s="240"/>
      <c r="W139" s="240"/>
      <c r="X139" s="240"/>
      <c r="Y139" s="240"/>
      <c r="Z139" s="240"/>
      <c r="AA139" s="240"/>
      <c r="AB139" s="240"/>
      <c r="AC139" s="240"/>
      <c r="AD139" s="240"/>
      <c r="AE139" s="240"/>
      <c r="AF139" s="240"/>
      <c r="AG139" s="240"/>
      <c r="AH139" s="240"/>
      <c r="AI139" s="240"/>
    </row>
    <row r="140" ht="15.75" customHeight="1">
      <c r="A140" s="240"/>
      <c r="B140" s="240"/>
      <c r="C140" s="240"/>
      <c r="D140" s="240"/>
      <c r="E140" s="240"/>
      <c r="F140" s="240"/>
      <c r="G140" s="240"/>
      <c r="H140" s="240"/>
      <c r="I140" s="240"/>
      <c r="J140" s="240"/>
      <c r="K140" s="240"/>
      <c r="L140" s="240"/>
      <c r="M140" s="240"/>
      <c r="N140" s="240"/>
      <c r="O140" s="1028"/>
      <c r="P140" s="240"/>
      <c r="Q140" s="240"/>
      <c r="R140" s="240"/>
      <c r="S140" s="240"/>
      <c r="T140" s="240"/>
      <c r="U140" s="240"/>
      <c r="V140" s="240"/>
      <c r="W140" s="240"/>
      <c r="X140" s="240"/>
      <c r="Y140" s="240"/>
      <c r="Z140" s="240"/>
      <c r="AA140" s="240"/>
      <c r="AB140" s="240"/>
      <c r="AC140" s="240"/>
      <c r="AD140" s="240"/>
      <c r="AE140" s="240"/>
      <c r="AF140" s="240"/>
      <c r="AG140" s="240"/>
      <c r="AH140" s="240"/>
      <c r="AI140" s="240"/>
    </row>
    <row r="141" ht="15.75" customHeight="1">
      <c r="A141" s="240"/>
      <c r="B141" s="240"/>
      <c r="C141" s="240"/>
      <c r="D141" s="240"/>
      <c r="E141" s="240"/>
      <c r="F141" s="240"/>
      <c r="G141" s="240"/>
      <c r="H141" s="240"/>
      <c r="I141" s="240"/>
      <c r="J141" s="240"/>
      <c r="K141" s="240"/>
      <c r="L141" s="240"/>
      <c r="M141" s="240"/>
      <c r="N141" s="240"/>
      <c r="O141" s="1028"/>
      <c r="P141" s="240"/>
      <c r="Q141" s="240"/>
      <c r="R141" s="240"/>
      <c r="S141" s="240"/>
      <c r="T141" s="240"/>
      <c r="U141" s="240"/>
      <c r="V141" s="240"/>
      <c r="W141" s="240"/>
      <c r="X141" s="240"/>
      <c r="Y141" s="240"/>
      <c r="Z141" s="240"/>
      <c r="AA141" s="240"/>
      <c r="AB141" s="240"/>
      <c r="AC141" s="240"/>
      <c r="AD141" s="240"/>
      <c r="AE141" s="240"/>
      <c r="AF141" s="240"/>
      <c r="AG141" s="240"/>
      <c r="AH141" s="240"/>
      <c r="AI141" s="240"/>
    </row>
    <row r="142" ht="15.75" customHeight="1">
      <c r="A142" s="240"/>
      <c r="B142" s="240"/>
      <c r="C142" s="240"/>
      <c r="D142" s="240"/>
      <c r="E142" s="240"/>
      <c r="F142" s="240"/>
      <c r="G142" s="240"/>
      <c r="H142" s="240"/>
      <c r="I142" s="240"/>
      <c r="J142" s="240"/>
      <c r="K142" s="240"/>
      <c r="L142" s="240"/>
      <c r="M142" s="240"/>
      <c r="N142" s="240"/>
      <c r="O142" s="1028"/>
      <c r="P142" s="240"/>
      <c r="Q142" s="240"/>
      <c r="R142" s="240"/>
      <c r="S142" s="240"/>
      <c r="T142" s="240"/>
      <c r="U142" s="240"/>
      <c r="V142" s="240"/>
      <c r="W142" s="240"/>
      <c r="X142" s="240"/>
      <c r="Y142" s="240"/>
      <c r="Z142" s="240"/>
      <c r="AA142" s="240"/>
      <c r="AB142" s="240"/>
      <c r="AC142" s="240"/>
      <c r="AD142" s="240"/>
      <c r="AE142" s="240"/>
      <c r="AF142" s="240"/>
      <c r="AG142" s="240"/>
      <c r="AH142" s="240"/>
      <c r="AI142" s="240"/>
    </row>
    <row r="143" ht="15.75" customHeight="1">
      <c r="A143" s="240"/>
      <c r="B143" s="240"/>
      <c r="C143" s="240"/>
      <c r="D143" s="240"/>
      <c r="E143" s="240"/>
      <c r="F143" s="240"/>
      <c r="G143" s="240"/>
      <c r="H143" s="240"/>
      <c r="I143" s="240"/>
      <c r="J143" s="240"/>
      <c r="K143" s="240"/>
      <c r="L143" s="240"/>
      <c r="M143" s="240"/>
      <c r="N143" s="240"/>
      <c r="O143" s="1028"/>
      <c r="P143" s="240"/>
      <c r="Q143" s="240"/>
      <c r="R143" s="240"/>
      <c r="S143" s="240"/>
      <c r="T143" s="240"/>
      <c r="U143" s="240"/>
      <c r="V143" s="240"/>
      <c r="W143" s="240"/>
      <c r="X143" s="240"/>
      <c r="Y143" s="240"/>
      <c r="Z143" s="240"/>
      <c r="AA143" s="240"/>
      <c r="AB143" s="240"/>
      <c r="AC143" s="240"/>
      <c r="AD143" s="240"/>
      <c r="AE143" s="240"/>
      <c r="AF143" s="240"/>
      <c r="AG143" s="240"/>
      <c r="AH143" s="240"/>
      <c r="AI143" s="240"/>
    </row>
    <row r="144" ht="15.75" customHeight="1">
      <c r="A144" s="240"/>
      <c r="B144" s="240"/>
      <c r="C144" s="240"/>
      <c r="D144" s="240"/>
      <c r="E144" s="240"/>
      <c r="F144" s="240"/>
      <c r="G144" s="240"/>
      <c r="H144" s="240"/>
      <c r="I144" s="240"/>
      <c r="J144" s="240"/>
      <c r="K144" s="240"/>
      <c r="L144" s="240"/>
      <c r="M144" s="240"/>
      <c r="N144" s="240"/>
      <c r="O144" s="1028"/>
      <c r="P144" s="240"/>
      <c r="Q144" s="240"/>
      <c r="R144" s="240"/>
      <c r="S144" s="240"/>
      <c r="T144" s="240"/>
      <c r="U144" s="240"/>
      <c r="V144" s="240"/>
      <c r="W144" s="240"/>
      <c r="X144" s="240"/>
      <c r="Y144" s="240"/>
      <c r="Z144" s="240"/>
      <c r="AA144" s="240"/>
      <c r="AB144" s="240"/>
      <c r="AC144" s="240"/>
      <c r="AD144" s="240"/>
      <c r="AE144" s="240"/>
      <c r="AF144" s="240"/>
      <c r="AG144" s="240"/>
      <c r="AH144" s="240"/>
      <c r="AI144" s="240"/>
    </row>
    <row r="145" ht="15.75" customHeight="1">
      <c r="A145" s="240"/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/>
      <c r="M145" s="240"/>
      <c r="N145" s="240"/>
      <c r="O145" s="1028"/>
      <c r="P145" s="240"/>
      <c r="Q145" s="240"/>
      <c r="R145" s="240"/>
      <c r="S145" s="240"/>
      <c r="T145" s="240"/>
      <c r="U145" s="240"/>
      <c r="V145" s="240"/>
      <c r="W145" s="240"/>
      <c r="X145" s="240"/>
      <c r="Y145" s="240"/>
      <c r="Z145" s="240"/>
      <c r="AA145" s="240"/>
      <c r="AB145" s="240"/>
      <c r="AC145" s="240"/>
      <c r="AD145" s="240"/>
      <c r="AE145" s="240"/>
      <c r="AF145" s="240"/>
      <c r="AG145" s="240"/>
      <c r="AH145" s="240"/>
      <c r="AI145" s="240"/>
    </row>
    <row r="146" ht="15.75" customHeight="1">
      <c r="A146" s="240"/>
      <c r="B146" s="240"/>
      <c r="C146" s="240"/>
      <c r="D146" s="240"/>
      <c r="E146" s="240"/>
      <c r="F146" s="240"/>
      <c r="G146" s="240"/>
      <c r="H146" s="240"/>
      <c r="I146" s="240"/>
      <c r="J146" s="240"/>
      <c r="K146" s="240"/>
      <c r="L146" s="240"/>
      <c r="M146" s="240"/>
      <c r="N146" s="240"/>
      <c r="O146" s="1028"/>
      <c r="P146" s="240"/>
      <c r="Q146" s="240"/>
      <c r="R146" s="240"/>
      <c r="S146" s="240"/>
      <c r="T146" s="240"/>
      <c r="U146" s="240"/>
      <c r="V146" s="240"/>
      <c r="W146" s="240"/>
      <c r="X146" s="240"/>
      <c r="Y146" s="240"/>
      <c r="Z146" s="240"/>
      <c r="AA146" s="240"/>
      <c r="AB146" s="240"/>
      <c r="AC146" s="240"/>
      <c r="AD146" s="240"/>
      <c r="AE146" s="240"/>
      <c r="AF146" s="240"/>
      <c r="AG146" s="240"/>
      <c r="AH146" s="240"/>
      <c r="AI146" s="240"/>
    </row>
    <row r="147" ht="15.75" customHeight="1">
      <c r="A147" s="240"/>
      <c r="B147" s="240"/>
      <c r="C147" s="240"/>
      <c r="D147" s="240"/>
      <c r="E147" s="240"/>
      <c r="F147" s="240"/>
      <c r="G147" s="240"/>
      <c r="H147" s="240"/>
      <c r="I147" s="240"/>
      <c r="J147" s="240"/>
      <c r="K147" s="240"/>
      <c r="L147" s="240"/>
      <c r="M147" s="240"/>
      <c r="N147" s="240"/>
      <c r="O147" s="1028"/>
      <c r="P147" s="240"/>
      <c r="Q147" s="240"/>
      <c r="R147" s="240"/>
      <c r="S147" s="240"/>
      <c r="T147" s="240"/>
      <c r="U147" s="240"/>
      <c r="V147" s="240"/>
      <c r="W147" s="240"/>
      <c r="X147" s="240"/>
      <c r="Y147" s="240"/>
      <c r="Z147" s="240"/>
      <c r="AA147" s="240"/>
      <c r="AB147" s="240"/>
      <c r="AC147" s="240"/>
      <c r="AD147" s="240"/>
      <c r="AE147" s="240"/>
      <c r="AF147" s="240"/>
      <c r="AG147" s="240"/>
      <c r="AH147" s="240"/>
      <c r="AI147" s="240"/>
    </row>
    <row r="148" ht="15.75" customHeight="1">
      <c r="A148" s="240"/>
      <c r="B148" s="240"/>
      <c r="C148" s="240"/>
      <c r="D148" s="240"/>
      <c r="E148" s="240"/>
      <c r="F148" s="240"/>
      <c r="G148" s="240"/>
      <c r="H148" s="240"/>
      <c r="I148" s="240"/>
      <c r="J148" s="240"/>
      <c r="K148" s="240"/>
      <c r="L148" s="240"/>
      <c r="M148" s="240"/>
      <c r="N148" s="240"/>
      <c r="O148" s="1028"/>
      <c r="P148" s="240"/>
      <c r="Q148" s="240"/>
      <c r="R148" s="240"/>
      <c r="S148" s="240"/>
      <c r="T148" s="240"/>
      <c r="U148" s="240"/>
      <c r="V148" s="240"/>
      <c r="W148" s="240"/>
      <c r="X148" s="240"/>
      <c r="Y148" s="240"/>
      <c r="Z148" s="240"/>
      <c r="AA148" s="240"/>
      <c r="AB148" s="240"/>
      <c r="AC148" s="240"/>
      <c r="AD148" s="240"/>
      <c r="AE148" s="240"/>
      <c r="AF148" s="240"/>
      <c r="AG148" s="240"/>
      <c r="AH148" s="240"/>
      <c r="AI148" s="240"/>
    </row>
    <row r="149" ht="15.75" customHeight="1">
      <c r="A149" s="240"/>
      <c r="B149" s="240"/>
      <c r="C149" s="240"/>
      <c r="D149" s="240"/>
      <c r="E149" s="240"/>
      <c r="F149" s="240"/>
      <c r="G149" s="240"/>
      <c r="H149" s="240"/>
      <c r="I149" s="240"/>
      <c r="J149" s="240"/>
      <c r="K149" s="240"/>
      <c r="L149" s="240"/>
      <c r="M149" s="240"/>
      <c r="N149" s="240"/>
      <c r="O149" s="1028"/>
      <c r="P149" s="240"/>
      <c r="Q149" s="240"/>
      <c r="R149" s="240"/>
      <c r="S149" s="240"/>
      <c r="T149" s="240"/>
      <c r="U149" s="240"/>
      <c r="V149" s="240"/>
      <c r="W149" s="240"/>
      <c r="X149" s="240"/>
      <c r="Y149" s="240"/>
      <c r="Z149" s="240"/>
      <c r="AA149" s="240"/>
      <c r="AB149" s="240"/>
      <c r="AC149" s="240"/>
      <c r="AD149" s="240"/>
      <c r="AE149" s="240"/>
      <c r="AF149" s="240"/>
      <c r="AG149" s="240"/>
      <c r="AH149" s="240"/>
      <c r="AI149" s="240"/>
    </row>
    <row r="150" ht="15.75" customHeight="1">
      <c r="A150" s="240"/>
      <c r="B150" s="240"/>
      <c r="C150" s="240"/>
      <c r="D150" s="240"/>
      <c r="E150" s="240"/>
      <c r="F150" s="240"/>
      <c r="G150" s="240"/>
      <c r="H150" s="240"/>
      <c r="I150" s="240"/>
      <c r="J150" s="240"/>
      <c r="K150" s="240"/>
      <c r="L150" s="240"/>
      <c r="M150" s="240"/>
      <c r="N150" s="240"/>
      <c r="O150" s="1028"/>
      <c r="P150" s="240"/>
      <c r="Q150" s="240"/>
      <c r="R150" s="240"/>
      <c r="S150" s="240"/>
      <c r="T150" s="240"/>
      <c r="U150" s="240"/>
      <c r="V150" s="240"/>
      <c r="W150" s="240"/>
      <c r="X150" s="240"/>
      <c r="Y150" s="240"/>
      <c r="Z150" s="240"/>
      <c r="AA150" s="240"/>
      <c r="AB150" s="240"/>
      <c r="AC150" s="240"/>
      <c r="AD150" s="240"/>
      <c r="AE150" s="240"/>
      <c r="AF150" s="240"/>
      <c r="AG150" s="240"/>
      <c r="AH150" s="240"/>
      <c r="AI150" s="240"/>
    </row>
    <row r="151" ht="15.75" customHeight="1">
      <c r="A151" s="240"/>
      <c r="B151" s="240"/>
      <c r="C151" s="240"/>
      <c r="D151" s="240"/>
      <c r="E151" s="240"/>
      <c r="F151" s="240"/>
      <c r="G151" s="240"/>
      <c r="H151" s="240"/>
      <c r="I151" s="240"/>
      <c r="J151" s="240"/>
      <c r="K151" s="240"/>
      <c r="L151" s="240"/>
      <c r="M151" s="240"/>
      <c r="N151" s="240"/>
      <c r="O151" s="1028"/>
      <c r="P151" s="240"/>
      <c r="Q151" s="240"/>
      <c r="R151" s="240"/>
      <c r="S151" s="240"/>
      <c r="T151" s="240"/>
      <c r="U151" s="240"/>
      <c r="V151" s="240"/>
      <c r="W151" s="240"/>
      <c r="X151" s="240"/>
      <c r="Y151" s="240"/>
      <c r="Z151" s="240"/>
      <c r="AA151" s="240"/>
      <c r="AB151" s="240"/>
      <c r="AC151" s="240"/>
      <c r="AD151" s="240"/>
      <c r="AE151" s="240"/>
      <c r="AF151" s="240"/>
      <c r="AG151" s="240"/>
      <c r="AH151" s="240"/>
      <c r="AI151" s="240"/>
    </row>
    <row r="152" ht="15.75" customHeight="1">
      <c r="A152" s="240"/>
      <c r="B152" s="240"/>
      <c r="C152" s="240"/>
      <c r="D152" s="240"/>
      <c r="E152" s="240"/>
      <c r="F152" s="240"/>
      <c r="G152" s="240"/>
      <c r="H152" s="240"/>
      <c r="I152" s="240"/>
      <c r="J152" s="240"/>
      <c r="K152" s="240"/>
      <c r="L152" s="240"/>
      <c r="M152" s="240"/>
      <c r="N152" s="240"/>
      <c r="O152" s="1028"/>
      <c r="P152" s="240"/>
      <c r="Q152" s="240"/>
      <c r="R152" s="240"/>
      <c r="S152" s="240"/>
      <c r="T152" s="240"/>
      <c r="U152" s="240"/>
      <c r="V152" s="240"/>
      <c r="W152" s="240"/>
      <c r="X152" s="240"/>
      <c r="Y152" s="240"/>
      <c r="Z152" s="240"/>
      <c r="AA152" s="240"/>
      <c r="AB152" s="240"/>
      <c r="AC152" s="240"/>
      <c r="AD152" s="240"/>
      <c r="AE152" s="240"/>
      <c r="AF152" s="240"/>
      <c r="AG152" s="240"/>
      <c r="AH152" s="240"/>
      <c r="AI152" s="240"/>
    </row>
    <row r="153" ht="15.75" customHeight="1">
      <c r="A153" s="240"/>
      <c r="B153" s="240"/>
      <c r="C153" s="240"/>
      <c r="D153" s="240"/>
      <c r="E153" s="240"/>
      <c r="F153" s="240"/>
      <c r="G153" s="240"/>
      <c r="H153" s="240"/>
      <c r="I153" s="240"/>
      <c r="J153" s="240"/>
      <c r="K153" s="240"/>
      <c r="L153" s="240"/>
      <c r="M153" s="240"/>
      <c r="N153" s="240"/>
      <c r="O153" s="1028"/>
      <c r="P153" s="240"/>
      <c r="Q153" s="240"/>
      <c r="R153" s="240"/>
      <c r="S153" s="240"/>
      <c r="T153" s="240"/>
      <c r="U153" s="240"/>
      <c r="V153" s="240"/>
      <c r="W153" s="240"/>
      <c r="X153" s="240"/>
      <c r="Y153" s="240"/>
      <c r="Z153" s="240"/>
      <c r="AA153" s="240"/>
      <c r="AB153" s="240"/>
      <c r="AC153" s="240"/>
      <c r="AD153" s="240"/>
      <c r="AE153" s="240"/>
      <c r="AF153" s="240"/>
      <c r="AG153" s="240"/>
      <c r="AH153" s="240"/>
      <c r="AI153" s="240"/>
    </row>
    <row r="154" ht="15.75" customHeight="1">
      <c r="A154" s="240"/>
      <c r="B154" s="240"/>
      <c r="C154" s="240"/>
      <c r="D154" s="240"/>
      <c r="E154" s="240"/>
      <c r="F154" s="240"/>
      <c r="G154" s="240"/>
      <c r="H154" s="240"/>
      <c r="I154" s="240"/>
      <c r="J154" s="240"/>
      <c r="K154" s="240"/>
      <c r="L154" s="240"/>
      <c r="M154" s="240"/>
      <c r="N154" s="240"/>
      <c r="O154" s="1028"/>
      <c r="P154" s="240"/>
      <c r="Q154" s="240"/>
      <c r="R154" s="240"/>
      <c r="S154" s="240"/>
      <c r="T154" s="240"/>
      <c r="U154" s="240"/>
      <c r="V154" s="240"/>
      <c r="W154" s="240"/>
      <c r="X154" s="240"/>
      <c r="Y154" s="240"/>
      <c r="Z154" s="240"/>
      <c r="AA154" s="240"/>
      <c r="AB154" s="240"/>
      <c r="AC154" s="240"/>
      <c r="AD154" s="240"/>
      <c r="AE154" s="240"/>
      <c r="AF154" s="240"/>
      <c r="AG154" s="240"/>
      <c r="AH154" s="240"/>
      <c r="AI154" s="240"/>
    </row>
    <row r="155" ht="15.75" customHeight="1">
      <c r="A155" s="240"/>
      <c r="B155" s="240"/>
      <c r="C155" s="240"/>
      <c r="D155" s="240"/>
      <c r="E155" s="240"/>
      <c r="F155" s="240"/>
      <c r="G155" s="240"/>
      <c r="H155" s="240"/>
      <c r="I155" s="240"/>
      <c r="J155" s="240"/>
      <c r="K155" s="240"/>
      <c r="L155" s="240"/>
      <c r="M155" s="240"/>
      <c r="N155" s="240"/>
      <c r="O155" s="1028"/>
      <c r="P155" s="240"/>
      <c r="Q155" s="240"/>
      <c r="R155" s="240"/>
      <c r="S155" s="240"/>
      <c r="T155" s="240"/>
      <c r="U155" s="240"/>
      <c r="V155" s="240"/>
      <c r="W155" s="240"/>
      <c r="X155" s="240"/>
      <c r="Y155" s="240"/>
      <c r="Z155" s="240"/>
      <c r="AA155" s="240"/>
      <c r="AB155" s="240"/>
      <c r="AC155" s="240"/>
      <c r="AD155" s="240"/>
      <c r="AE155" s="240"/>
      <c r="AF155" s="240"/>
      <c r="AG155" s="240"/>
      <c r="AH155" s="240"/>
      <c r="AI155" s="240"/>
    </row>
    <row r="156" ht="15.75" customHeight="1">
      <c r="A156" s="240"/>
      <c r="B156" s="240"/>
      <c r="C156" s="240"/>
      <c r="D156" s="240"/>
      <c r="E156" s="240"/>
      <c r="F156" s="240"/>
      <c r="G156" s="240"/>
      <c r="H156" s="240"/>
      <c r="I156" s="240"/>
      <c r="J156" s="240"/>
      <c r="K156" s="240"/>
      <c r="L156" s="240"/>
      <c r="M156" s="240"/>
      <c r="N156" s="240"/>
      <c r="O156" s="1028"/>
      <c r="P156" s="240"/>
      <c r="Q156" s="240"/>
      <c r="R156" s="240"/>
      <c r="S156" s="240"/>
      <c r="T156" s="240"/>
      <c r="U156" s="240"/>
      <c r="V156" s="240"/>
      <c r="W156" s="240"/>
      <c r="X156" s="240"/>
      <c r="Y156" s="240"/>
      <c r="Z156" s="240"/>
      <c r="AA156" s="240"/>
      <c r="AB156" s="240"/>
      <c r="AC156" s="240"/>
      <c r="AD156" s="240"/>
      <c r="AE156" s="240"/>
      <c r="AF156" s="240"/>
      <c r="AG156" s="240"/>
      <c r="AH156" s="240"/>
      <c r="AI156" s="240"/>
    </row>
    <row r="157" ht="15.75" customHeight="1">
      <c r="A157" s="240"/>
      <c r="B157" s="240"/>
      <c r="C157" s="240"/>
      <c r="D157" s="240"/>
      <c r="E157" s="240"/>
      <c r="F157" s="240"/>
      <c r="G157" s="240"/>
      <c r="H157" s="240"/>
      <c r="I157" s="240"/>
      <c r="J157" s="240"/>
      <c r="K157" s="240"/>
      <c r="L157" s="240"/>
      <c r="M157" s="240"/>
      <c r="N157" s="240"/>
      <c r="O157" s="1028"/>
      <c r="P157" s="240"/>
      <c r="Q157" s="240"/>
      <c r="R157" s="240"/>
      <c r="S157" s="240"/>
      <c r="T157" s="240"/>
      <c r="U157" s="240"/>
      <c r="V157" s="240"/>
      <c r="W157" s="240"/>
      <c r="X157" s="240"/>
      <c r="Y157" s="240"/>
      <c r="Z157" s="240"/>
      <c r="AA157" s="240"/>
      <c r="AB157" s="240"/>
      <c r="AC157" s="240"/>
      <c r="AD157" s="240"/>
      <c r="AE157" s="240"/>
      <c r="AF157" s="240"/>
      <c r="AG157" s="240"/>
      <c r="AH157" s="240"/>
      <c r="AI157" s="240"/>
    </row>
    <row r="158" ht="15.75" customHeight="1">
      <c r="A158" s="240"/>
      <c r="B158" s="240"/>
      <c r="C158" s="240"/>
      <c r="D158" s="240"/>
      <c r="E158" s="240"/>
      <c r="F158" s="240"/>
      <c r="G158" s="240"/>
      <c r="H158" s="240"/>
      <c r="I158" s="240"/>
      <c r="J158" s="240"/>
      <c r="K158" s="240"/>
      <c r="L158" s="240"/>
      <c r="M158" s="240"/>
      <c r="N158" s="240"/>
      <c r="O158" s="1028"/>
      <c r="P158" s="240"/>
      <c r="Q158" s="240"/>
      <c r="R158" s="240"/>
      <c r="S158" s="240"/>
      <c r="T158" s="240"/>
      <c r="U158" s="240"/>
      <c r="V158" s="240"/>
      <c r="W158" s="240"/>
      <c r="X158" s="240"/>
      <c r="Y158" s="240"/>
      <c r="Z158" s="240"/>
      <c r="AA158" s="240"/>
      <c r="AB158" s="240"/>
      <c r="AC158" s="240"/>
      <c r="AD158" s="240"/>
      <c r="AE158" s="240"/>
      <c r="AF158" s="240"/>
      <c r="AG158" s="240"/>
      <c r="AH158" s="240"/>
      <c r="AI158" s="240"/>
    </row>
    <row r="159" ht="15.75" customHeight="1">
      <c r="A159" s="240"/>
      <c r="B159" s="240"/>
      <c r="C159" s="240"/>
      <c r="D159" s="240"/>
      <c r="E159" s="240"/>
      <c r="F159" s="240"/>
      <c r="G159" s="240"/>
      <c r="H159" s="240"/>
      <c r="I159" s="240"/>
      <c r="J159" s="240"/>
      <c r="K159" s="240"/>
      <c r="L159" s="240"/>
      <c r="M159" s="240"/>
      <c r="N159" s="240"/>
      <c r="O159" s="1028"/>
      <c r="P159" s="240"/>
      <c r="Q159" s="240"/>
      <c r="R159" s="240"/>
      <c r="S159" s="240"/>
      <c r="T159" s="240"/>
      <c r="U159" s="240"/>
      <c r="V159" s="240"/>
      <c r="W159" s="240"/>
      <c r="X159" s="240"/>
      <c r="Y159" s="240"/>
      <c r="Z159" s="240"/>
      <c r="AA159" s="240"/>
      <c r="AB159" s="240"/>
      <c r="AC159" s="240"/>
      <c r="AD159" s="240"/>
      <c r="AE159" s="240"/>
      <c r="AF159" s="240"/>
      <c r="AG159" s="240"/>
      <c r="AH159" s="240"/>
      <c r="AI159" s="240"/>
    </row>
    <row r="160" ht="15.75" customHeight="1">
      <c r="A160" s="240"/>
      <c r="B160" s="240"/>
      <c r="C160" s="240"/>
      <c r="D160" s="240"/>
      <c r="E160" s="240"/>
      <c r="F160" s="240"/>
      <c r="G160" s="240"/>
      <c r="H160" s="240"/>
      <c r="I160" s="240"/>
      <c r="J160" s="240"/>
      <c r="K160" s="240"/>
      <c r="L160" s="240"/>
      <c r="M160" s="240"/>
      <c r="N160" s="240"/>
      <c r="O160" s="1028"/>
      <c r="P160" s="240"/>
      <c r="Q160" s="240"/>
      <c r="R160" s="240"/>
      <c r="S160" s="240"/>
      <c r="T160" s="240"/>
      <c r="U160" s="240"/>
      <c r="V160" s="240"/>
      <c r="W160" s="240"/>
      <c r="X160" s="240"/>
      <c r="Y160" s="240"/>
      <c r="Z160" s="240"/>
      <c r="AA160" s="240"/>
      <c r="AB160" s="240"/>
      <c r="AC160" s="240"/>
      <c r="AD160" s="240"/>
      <c r="AE160" s="240"/>
      <c r="AF160" s="240"/>
      <c r="AG160" s="240"/>
      <c r="AH160" s="240"/>
      <c r="AI160" s="240"/>
    </row>
    <row r="161" ht="15.75" customHeight="1">
      <c r="A161" s="240"/>
      <c r="B161" s="240"/>
      <c r="C161" s="240"/>
      <c r="D161" s="240"/>
      <c r="E161" s="240"/>
      <c r="F161" s="240"/>
      <c r="G161" s="240"/>
      <c r="H161" s="240"/>
      <c r="I161" s="240"/>
      <c r="J161" s="240"/>
      <c r="K161" s="240"/>
      <c r="L161" s="240"/>
      <c r="M161" s="240"/>
      <c r="N161" s="240"/>
      <c r="O161" s="1028"/>
      <c r="P161" s="240"/>
      <c r="Q161" s="240"/>
      <c r="R161" s="240"/>
      <c r="S161" s="240"/>
      <c r="T161" s="240"/>
      <c r="U161" s="240"/>
      <c r="V161" s="240"/>
      <c r="W161" s="240"/>
      <c r="X161" s="240"/>
      <c r="Y161" s="240"/>
      <c r="Z161" s="240"/>
      <c r="AA161" s="240"/>
      <c r="AB161" s="240"/>
      <c r="AC161" s="240"/>
      <c r="AD161" s="240"/>
      <c r="AE161" s="240"/>
      <c r="AF161" s="240"/>
      <c r="AG161" s="240"/>
      <c r="AH161" s="240"/>
      <c r="AI161" s="240"/>
    </row>
    <row r="162" ht="15.75" customHeight="1">
      <c r="A162" s="240"/>
      <c r="B162" s="240"/>
      <c r="C162" s="240"/>
      <c r="D162" s="240"/>
      <c r="E162" s="240"/>
      <c r="F162" s="240"/>
      <c r="G162" s="240"/>
      <c r="H162" s="240"/>
      <c r="I162" s="240"/>
      <c r="J162" s="240"/>
      <c r="K162" s="240"/>
      <c r="L162" s="240"/>
      <c r="M162" s="240"/>
      <c r="N162" s="240"/>
      <c r="O162" s="1028"/>
      <c r="P162" s="240"/>
      <c r="Q162" s="240"/>
      <c r="R162" s="240"/>
      <c r="S162" s="240"/>
      <c r="T162" s="240"/>
      <c r="U162" s="240"/>
      <c r="V162" s="240"/>
      <c r="W162" s="240"/>
      <c r="X162" s="240"/>
      <c r="Y162" s="240"/>
      <c r="Z162" s="240"/>
      <c r="AA162" s="240"/>
      <c r="AB162" s="240"/>
      <c r="AC162" s="240"/>
      <c r="AD162" s="240"/>
      <c r="AE162" s="240"/>
      <c r="AF162" s="240"/>
      <c r="AG162" s="240"/>
      <c r="AH162" s="240"/>
      <c r="AI162" s="240"/>
    </row>
    <row r="163" ht="15.75" customHeight="1">
      <c r="A163" s="240"/>
      <c r="B163" s="240"/>
      <c r="C163" s="240"/>
      <c r="D163" s="240"/>
      <c r="E163" s="240"/>
      <c r="F163" s="240"/>
      <c r="G163" s="240"/>
      <c r="H163" s="240"/>
      <c r="I163" s="240"/>
      <c r="J163" s="240"/>
      <c r="K163" s="240"/>
      <c r="L163" s="240"/>
      <c r="M163" s="240"/>
      <c r="N163" s="240"/>
      <c r="O163" s="1028"/>
      <c r="P163" s="240"/>
      <c r="Q163" s="240"/>
      <c r="R163" s="240"/>
      <c r="S163" s="240"/>
      <c r="T163" s="240"/>
      <c r="U163" s="240"/>
      <c r="V163" s="240"/>
      <c r="W163" s="240"/>
      <c r="X163" s="240"/>
      <c r="Y163" s="240"/>
      <c r="Z163" s="240"/>
      <c r="AA163" s="240"/>
      <c r="AB163" s="240"/>
      <c r="AC163" s="240"/>
      <c r="AD163" s="240"/>
      <c r="AE163" s="240"/>
      <c r="AF163" s="240"/>
      <c r="AG163" s="240"/>
      <c r="AH163" s="240"/>
      <c r="AI163" s="240"/>
    </row>
    <row r="164" ht="15.75" customHeight="1">
      <c r="A164" s="240"/>
      <c r="B164" s="240"/>
      <c r="C164" s="240"/>
      <c r="D164" s="240"/>
      <c r="E164" s="240"/>
      <c r="F164" s="240"/>
      <c r="G164" s="240"/>
      <c r="H164" s="240"/>
      <c r="I164" s="240"/>
      <c r="J164" s="240"/>
      <c r="K164" s="240"/>
      <c r="L164" s="240"/>
      <c r="M164" s="240"/>
      <c r="N164" s="240"/>
      <c r="O164" s="1028"/>
      <c r="P164" s="240"/>
      <c r="Q164" s="240"/>
      <c r="R164" s="240"/>
      <c r="S164" s="240"/>
      <c r="T164" s="240"/>
      <c r="U164" s="240"/>
      <c r="V164" s="240"/>
      <c r="W164" s="240"/>
      <c r="X164" s="240"/>
      <c r="Y164" s="240"/>
      <c r="Z164" s="240"/>
      <c r="AA164" s="240"/>
      <c r="AB164" s="240"/>
      <c r="AC164" s="240"/>
      <c r="AD164" s="240"/>
      <c r="AE164" s="240"/>
      <c r="AF164" s="240"/>
      <c r="AG164" s="240"/>
      <c r="AH164" s="240"/>
      <c r="AI164" s="240"/>
    </row>
    <row r="165" ht="15.75" customHeight="1">
      <c r="A165" s="240"/>
      <c r="B165" s="240"/>
      <c r="C165" s="240"/>
      <c r="D165" s="240"/>
      <c r="E165" s="240"/>
      <c r="F165" s="240"/>
      <c r="G165" s="240"/>
      <c r="H165" s="240"/>
      <c r="I165" s="240"/>
      <c r="J165" s="240"/>
      <c r="K165" s="240"/>
      <c r="L165" s="240"/>
      <c r="M165" s="240"/>
      <c r="N165" s="240"/>
      <c r="O165" s="1028"/>
      <c r="P165" s="240"/>
      <c r="Q165" s="240"/>
      <c r="R165" s="240"/>
      <c r="S165" s="240"/>
      <c r="T165" s="240"/>
      <c r="U165" s="240"/>
      <c r="V165" s="240"/>
      <c r="W165" s="240"/>
      <c r="X165" s="240"/>
      <c r="Y165" s="240"/>
      <c r="Z165" s="240"/>
      <c r="AA165" s="240"/>
      <c r="AB165" s="240"/>
      <c r="AC165" s="240"/>
      <c r="AD165" s="240"/>
      <c r="AE165" s="240"/>
      <c r="AF165" s="240"/>
      <c r="AG165" s="240"/>
      <c r="AH165" s="240"/>
      <c r="AI165" s="240"/>
    </row>
    <row r="166" ht="15.75" customHeight="1">
      <c r="A166" s="240"/>
      <c r="B166" s="240"/>
      <c r="C166" s="240"/>
      <c r="D166" s="240"/>
      <c r="E166" s="240"/>
      <c r="F166" s="240"/>
      <c r="G166" s="240"/>
      <c r="H166" s="240"/>
      <c r="I166" s="240"/>
      <c r="J166" s="240"/>
      <c r="K166" s="240"/>
      <c r="L166" s="240"/>
      <c r="M166" s="240"/>
      <c r="N166" s="240"/>
      <c r="O166" s="1028"/>
      <c r="P166" s="240"/>
      <c r="Q166" s="240"/>
      <c r="R166" s="240"/>
      <c r="S166" s="240"/>
      <c r="T166" s="240"/>
      <c r="U166" s="240"/>
      <c r="V166" s="240"/>
      <c r="W166" s="240"/>
      <c r="X166" s="240"/>
      <c r="Y166" s="240"/>
      <c r="Z166" s="240"/>
      <c r="AA166" s="240"/>
      <c r="AB166" s="240"/>
      <c r="AC166" s="240"/>
      <c r="AD166" s="240"/>
      <c r="AE166" s="240"/>
      <c r="AF166" s="240"/>
      <c r="AG166" s="240"/>
      <c r="AH166" s="240"/>
      <c r="AI166" s="240"/>
    </row>
    <row r="167" ht="15.75" customHeight="1">
      <c r="A167" s="240"/>
      <c r="B167" s="240"/>
      <c r="C167" s="240"/>
      <c r="D167" s="240"/>
      <c r="E167" s="240"/>
      <c r="F167" s="240"/>
      <c r="G167" s="240"/>
      <c r="H167" s="240"/>
      <c r="I167" s="240"/>
      <c r="J167" s="240"/>
      <c r="K167" s="240"/>
      <c r="L167" s="240"/>
      <c r="M167" s="240"/>
      <c r="N167" s="240"/>
      <c r="O167" s="1028"/>
      <c r="P167" s="240"/>
      <c r="Q167" s="240"/>
      <c r="R167" s="240"/>
      <c r="S167" s="240"/>
      <c r="T167" s="240"/>
      <c r="U167" s="240"/>
      <c r="V167" s="240"/>
      <c r="W167" s="240"/>
      <c r="X167" s="240"/>
      <c r="Y167" s="240"/>
      <c r="Z167" s="240"/>
      <c r="AA167" s="240"/>
      <c r="AB167" s="240"/>
      <c r="AC167" s="240"/>
      <c r="AD167" s="240"/>
      <c r="AE167" s="240"/>
      <c r="AF167" s="240"/>
      <c r="AG167" s="240"/>
      <c r="AH167" s="240"/>
      <c r="AI167" s="240"/>
    </row>
    <row r="168" ht="15.75" customHeight="1">
      <c r="A168" s="240"/>
      <c r="B168" s="240"/>
      <c r="C168" s="240"/>
      <c r="D168" s="240"/>
      <c r="E168" s="240"/>
      <c r="F168" s="240"/>
      <c r="G168" s="240"/>
      <c r="H168" s="240"/>
      <c r="I168" s="240"/>
      <c r="J168" s="240"/>
      <c r="K168" s="240"/>
      <c r="L168" s="240"/>
      <c r="M168" s="240"/>
      <c r="N168" s="240"/>
      <c r="O168" s="1028"/>
      <c r="P168" s="240"/>
      <c r="Q168" s="240"/>
      <c r="R168" s="240"/>
      <c r="S168" s="240"/>
      <c r="T168" s="240"/>
      <c r="U168" s="240"/>
      <c r="V168" s="240"/>
      <c r="W168" s="240"/>
      <c r="X168" s="240"/>
      <c r="Y168" s="240"/>
      <c r="Z168" s="240"/>
      <c r="AA168" s="240"/>
      <c r="AB168" s="240"/>
      <c r="AC168" s="240"/>
      <c r="AD168" s="240"/>
      <c r="AE168" s="240"/>
      <c r="AF168" s="240"/>
      <c r="AG168" s="240"/>
      <c r="AH168" s="240"/>
      <c r="AI168" s="240"/>
    </row>
    <row r="169" ht="15.75" customHeight="1">
      <c r="A169" s="240"/>
      <c r="B169" s="240"/>
      <c r="C169" s="240"/>
      <c r="D169" s="240"/>
      <c r="E169" s="240"/>
      <c r="F169" s="240"/>
      <c r="G169" s="240"/>
      <c r="H169" s="240"/>
      <c r="I169" s="240"/>
      <c r="J169" s="240"/>
      <c r="K169" s="240"/>
      <c r="L169" s="240"/>
      <c r="M169" s="240"/>
      <c r="N169" s="240"/>
      <c r="O169" s="1028"/>
      <c r="P169" s="240"/>
      <c r="Q169" s="240"/>
      <c r="R169" s="240"/>
      <c r="S169" s="240"/>
      <c r="T169" s="240"/>
      <c r="U169" s="240"/>
      <c r="V169" s="240"/>
      <c r="W169" s="240"/>
      <c r="X169" s="240"/>
      <c r="Y169" s="240"/>
      <c r="Z169" s="240"/>
      <c r="AA169" s="240"/>
      <c r="AB169" s="240"/>
      <c r="AC169" s="240"/>
      <c r="AD169" s="240"/>
      <c r="AE169" s="240"/>
      <c r="AF169" s="240"/>
      <c r="AG169" s="240"/>
      <c r="AH169" s="240"/>
      <c r="AI169" s="240"/>
    </row>
    <row r="170" ht="15.75" customHeight="1">
      <c r="A170" s="240"/>
      <c r="B170" s="240"/>
      <c r="C170" s="240"/>
      <c r="D170" s="240"/>
      <c r="E170" s="240"/>
      <c r="F170" s="240"/>
      <c r="G170" s="240"/>
      <c r="H170" s="240"/>
      <c r="I170" s="240"/>
      <c r="J170" s="240"/>
      <c r="K170" s="240"/>
      <c r="L170" s="240"/>
      <c r="M170" s="240"/>
      <c r="N170" s="240"/>
      <c r="O170" s="1028"/>
      <c r="P170" s="240"/>
      <c r="Q170" s="240"/>
      <c r="R170" s="240"/>
      <c r="S170" s="240"/>
      <c r="T170" s="240"/>
      <c r="U170" s="240"/>
      <c r="V170" s="240"/>
      <c r="W170" s="240"/>
      <c r="X170" s="240"/>
      <c r="Y170" s="240"/>
      <c r="Z170" s="240"/>
      <c r="AA170" s="240"/>
      <c r="AB170" s="240"/>
      <c r="AC170" s="240"/>
      <c r="AD170" s="240"/>
      <c r="AE170" s="240"/>
      <c r="AF170" s="240"/>
      <c r="AG170" s="240"/>
      <c r="AH170" s="240"/>
      <c r="AI170" s="240"/>
    </row>
    <row r="171" ht="15.75" customHeight="1">
      <c r="A171" s="240"/>
      <c r="B171" s="240"/>
      <c r="C171" s="240"/>
      <c r="D171" s="240"/>
      <c r="E171" s="240"/>
      <c r="F171" s="240"/>
      <c r="G171" s="240"/>
      <c r="H171" s="240"/>
      <c r="I171" s="240"/>
      <c r="J171" s="240"/>
      <c r="K171" s="240"/>
      <c r="L171" s="240"/>
      <c r="M171" s="240"/>
      <c r="N171" s="240"/>
      <c r="O171" s="1028"/>
      <c r="P171" s="240"/>
      <c r="Q171" s="240"/>
      <c r="R171" s="240"/>
      <c r="S171" s="240"/>
      <c r="T171" s="240"/>
      <c r="U171" s="240"/>
      <c r="V171" s="240"/>
      <c r="W171" s="240"/>
      <c r="X171" s="240"/>
      <c r="Y171" s="240"/>
      <c r="Z171" s="240"/>
      <c r="AA171" s="240"/>
      <c r="AB171" s="240"/>
      <c r="AC171" s="240"/>
      <c r="AD171" s="240"/>
      <c r="AE171" s="240"/>
      <c r="AF171" s="240"/>
      <c r="AG171" s="240"/>
      <c r="AH171" s="240"/>
      <c r="AI171" s="240"/>
    </row>
    <row r="172" ht="15.75" customHeight="1">
      <c r="A172" s="240"/>
      <c r="B172" s="240"/>
      <c r="C172" s="240"/>
      <c r="D172" s="240"/>
      <c r="E172" s="240"/>
      <c r="F172" s="240"/>
      <c r="G172" s="240"/>
      <c r="H172" s="240"/>
      <c r="I172" s="240"/>
      <c r="J172" s="240"/>
      <c r="K172" s="240"/>
      <c r="L172" s="240"/>
      <c r="M172" s="240"/>
      <c r="N172" s="240"/>
      <c r="O172" s="1028"/>
      <c r="P172" s="240"/>
      <c r="Q172" s="240"/>
      <c r="R172" s="240"/>
      <c r="S172" s="240"/>
      <c r="T172" s="240"/>
      <c r="U172" s="240"/>
      <c r="V172" s="240"/>
      <c r="W172" s="240"/>
      <c r="X172" s="240"/>
      <c r="Y172" s="240"/>
      <c r="Z172" s="240"/>
      <c r="AA172" s="240"/>
      <c r="AB172" s="240"/>
      <c r="AC172" s="240"/>
      <c r="AD172" s="240"/>
      <c r="AE172" s="240"/>
      <c r="AF172" s="240"/>
      <c r="AG172" s="240"/>
      <c r="AH172" s="240"/>
      <c r="AI172" s="240"/>
    </row>
    <row r="173" ht="15.75" customHeight="1">
      <c r="A173" s="240"/>
      <c r="B173" s="240"/>
      <c r="C173" s="240"/>
      <c r="D173" s="240"/>
      <c r="E173" s="240"/>
      <c r="F173" s="240"/>
      <c r="G173" s="240"/>
      <c r="H173" s="240"/>
      <c r="I173" s="240"/>
      <c r="J173" s="240"/>
      <c r="K173" s="240"/>
      <c r="L173" s="240"/>
      <c r="M173" s="240"/>
      <c r="N173" s="240"/>
      <c r="O173" s="1028"/>
      <c r="P173" s="240"/>
      <c r="Q173" s="240"/>
      <c r="R173" s="240"/>
      <c r="S173" s="240"/>
      <c r="T173" s="240"/>
      <c r="U173" s="240"/>
      <c r="V173" s="240"/>
      <c r="W173" s="240"/>
      <c r="X173" s="240"/>
      <c r="Y173" s="240"/>
      <c r="Z173" s="240"/>
      <c r="AA173" s="240"/>
      <c r="AB173" s="240"/>
      <c r="AC173" s="240"/>
      <c r="AD173" s="240"/>
      <c r="AE173" s="240"/>
      <c r="AF173" s="240"/>
      <c r="AG173" s="240"/>
      <c r="AH173" s="240"/>
      <c r="AI173" s="240"/>
    </row>
    <row r="174" ht="15.75" customHeight="1">
      <c r="A174" s="240"/>
      <c r="B174" s="240"/>
      <c r="C174" s="240"/>
      <c r="D174" s="240"/>
      <c r="E174" s="240"/>
      <c r="F174" s="240"/>
      <c r="G174" s="240"/>
      <c r="H174" s="240"/>
      <c r="I174" s="240"/>
      <c r="J174" s="240"/>
      <c r="K174" s="240"/>
      <c r="L174" s="240"/>
      <c r="M174" s="240"/>
      <c r="N174" s="240"/>
      <c r="O174" s="1028"/>
      <c r="P174" s="240"/>
      <c r="Q174" s="240"/>
      <c r="R174" s="240"/>
      <c r="S174" s="240"/>
      <c r="T174" s="240"/>
      <c r="U174" s="240"/>
      <c r="V174" s="240"/>
      <c r="W174" s="240"/>
      <c r="X174" s="240"/>
      <c r="Y174" s="240"/>
      <c r="Z174" s="240"/>
      <c r="AA174" s="240"/>
      <c r="AB174" s="240"/>
      <c r="AC174" s="240"/>
      <c r="AD174" s="240"/>
      <c r="AE174" s="240"/>
      <c r="AF174" s="240"/>
      <c r="AG174" s="240"/>
      <c r="AH174" s="240"/>
      <c r="AI174" s="240"/>
    </row>
    <row r="175" ht="15.75" customHeight="1">
      <c r="A175" s="240"/>
      <c r="B175" s="240"/>
      <c r="C175" s="240"/>
      <c r="D175" s="240"/>
      <c r="E175" s="240"/>
      <c r="F175" s="240"/>
      <c r="G175" s="240"/>
      <c r="H175" s="240"/>
      <c r="I175" s="240"/>
      <c r="J175" s="240"/>
      <c r="K175" s="240"/>
      <c r="L175" s="240"/>
      <c r="M175" s="240"/>
      <c r="N175" s="240"/>
      <c r="O175" s="1028"/>
      <c r="P175" s="240"/>
      <c r="Q175" s="240"/>
      <c r="R175" s="240"/>
      <c r="S175" s="240"/>
      <c r="T175" s="240"/>
      <c r="U175" s="240"/>
      <c r="V175" s="240"/>
      <c r="W175" s="240"/>
      <c r="X175" s="240"/>
      <c r="Y175" s="240"/>
      <c r="Z175" s="240"/>
      <c r="AA175" s="240"/>
      <c r="AB175" s="240"/>
      <c r="AC175" s="240"/>
      <c r="AD175" s="240"/>
      <c r="AE175" s="240"/>
      <c r="AF175" s="240"/>
      <c r="AG175" s="240"/>
      <c r="AH175" s="240"/>
      <c r="AI175" s="240"/>
    </row>
    <row r="176" ht="15.75" customHeight="1">
      <c r="A176" s="240"/>
      <c r="B176" s="240"/>
      <c r="C176" s="240"/>
      <c r="D176" s="240"/>
      <c r="E176" s="240"/>
      <c r="F176" s="240"/>
      <c r="G176" s="240"/>
      <c r="H176" s="240"/>
      <c r="I176" s="240"/>
      <c r="J176" s="240"/>
      <c r="K176" s="240"/>
      <c r="L176" s="240"/>
      <c r="M176" s="240"/>
      <c r="N176" s="240"/>
      <c r="O176" s="1028"/>
      <c r="P176" s="240"/>
      <c r="Q176" s="240"/>
      <c r="R176" s="240"/>
      <c r="S176" s="240"/>
      <c r="T176" s="240"/>
      <c r="U176" s="240"/>
      <c r="V176" s="240"/>
      <c r="W176" s="240"/>
      <c r="X176" s="240"/>
      <c r="Y176" s="240"/>
      <c r="Z176" s="240"/>
      <c r="AA176" s="240"/>
      <c r="AB176" s="240"/>
      <c r="AC176" s="240"/>
      <c r="AD176" s="240"/>
      <c r="AE176" s="240"/>
      <c r="AF176" s="240"/>
      <c r="AG176" s="240"/>
      <c r="AH176" s="240"/>
      <c r="AI176" s="240"/>
    </row>
    <row r="177" ht="15.75" customHeight="1">
      <c r="A177" s="240"/>
      <c r="B177" s="240"/>
      <c r="C177" s="240"/>
      <c r="D177" s="240"/>
      <c r="E177" s="240"/>
      <c r="F177" s="240"/>
      <c r="G177" s="240"/>
      <c r="H177" s="240"/>
      <c r="I177" s="240"/>
      <c r="J177" s="240"/>
      <c r="K177" s="240"/>
      <c r="L177" s="240"/>
      <c r="M177" s="240"/>
      <c r="N177" s="240"/>
      <c r="O177" s="1028"/>
      <c r="P177" s="240"/>
      <c r="Q177" s="240"/>
      <c r="R177" s="240"/>
      <c r="S177" s="240"/>
      <c r="T177" s="240"/>
      <c r="U177" s="240"/>
      <c r="V177" s="240"/>
      <c r="W177" s="240"/>
      <c r="X177" s="240"/>
      <c r="Y177" s="240"/>
      <c r="Z177" s="240"/>
      <c r="AA177" s="240"/>
      <c r="AB177" s="240"/>
      <c r="AC177" s="240"/>
      <c r="AD177" s="240"/>
      <c r="AE177" s="240"/>
      <c r="AF177" s="240"/>
      <c r="AG177" s="240"/>
      <c r="AH177" s="240"/>
      <c r="AI177" s="240"/>
    </row>
    <row r="178" ht="15.75" customHeight="1">
      <c r="A178" s="240"/>
      <c r="B178" s="240"/>
      <c r="C178" s="240"/>
      <c r="D178" s="240"/>
      <c r="E178" s="240"/>
      <c r="F178" s="240"/>
      <c r="G178" s="240"/>
      <c r="H178" s="240"/>
      <c r="I178" s="240"/>
      <c r="J178" s="240"/>
      <c r="K178" s="240"/>
      <c r="L178" s="240"/>
      <c r="M178" s="240"/>
      <c r="N178" s="240"/>
      <c r="O178" s="1028"/>
      <c r="P178" s="240"/>
      <c r="Q178" s="240"/>
      <c r="R178" s="240"/>
      <c r="S178" s="240"/>
      <c r="T178" s="240"/>
      <c r="U178" s="240"/>
      <c r="V178" s="240"/>
      <c r="W178" s="240"/>
      <c r="X178" s="240"/>
      <c r="Y178" s="240"/>
      <c r="Z178" s="240"/>
      <c r="AA178" s="240"/>
      <c r="AB178" s="240"/>
      <c r="AC178" s="240"/>
      <c r="AD178" s="240"/>
      <c r="AE178" s="240"/>
      <c r="AF178" s="240"/>
      <c r="AG178" s="240"/>
      <c r="AH178" s="240"/>
      <c r="AI178" s="240"/>
    </row>
    <row r="179" ht="15.75" customHeight="1">
      <c r="A179" s="240"/>
      <c r="B179" s="240"/>
      <c r="C179" s="240"/>
      <c r="D179" s="240"/>
      <c r="E179" s="240"/>
      <c r="F179" s="240"/>
      <c r="G179" s="240"/>
      <c r="H179" s="240"/>
      <c r="I179" s="240"/>
      <c r="J179" s="240"/>
      <c r="K179" s="240"/>
      <c r="L179" s="240"/>
      <c r="M179" s="240"/>
      <c r="N179" s="240"/>
      <c r="O179" s="1028"/>
      <c r="P179" s="240"/>
      <c r="Q179" s="240"/>
      <c r="R179" s="240"/>
      <c r="S179" s="240"/>
      <c r="T179" s="240"/>
      <c r="U179" s="240"/>
      <c r="V179" s="240"/>
      <c r="W179" s="240"/>
      <c r="X179" s="240"/>
      <c r="Y179" s="240"/>
      <c r="Z179" s="240"/>
      <c r="AA179" s="240"/>
      <c r="AB179" s="240"/>
      <c r="AC179" s="240"/>
      <c r="AD179" s="240"/>
      <c r="AE179" s="240"/>
      <c r="AF179" s="240"/>
      <c r="AG179" s="240"/>
      <c r="AH179" s="240"/>
      <c r="AI179" s="240"/>
    </row>
    <row r="180" ht="15.75" customHeight="1">
      <c r="A180" s="240"/>
      <c r="B180" s="240"/>
      <c r="C180" s="240"/>
      <c r="D180" s="240"/>
      <c r="E180" s="240"/>
      <c r="F180" s="240"/>
      <c r="G180" s="240"/>
      <c r="H180" s="240"/>
      <c r="I180" s="240"/>
      <c r="J180" s="240"/>
      <c r="K180" s="240"/>
      <c r="L180" s="240"/>
      <c r="M180" s="240"/>
      <c r="N180" s="240"/>
      <c r="O180" s="1028"/>
      <c r="P180" s="240"/>
      <c r="Q180" s="240"/>
      <c r="R180" s="240"/>
      <c r="S180" s="240"/>
      <c r="T180" s="240"/>
      <c r="U180" s="240"/>
      <c r="V180" s="240"/>
      <c r="W180" s="240"/>
      <c r="X180" s="240"/>
      <c r="Y180" s="240"/>
      <c r="Z180" s="240"/>
      <c r="AA180" s="240"/>
      <c r="AB180" s="240"/>
      <c r="AC180" s="240"/>
      <c r="AD180" s="240"/>
      <c r="AE180" s="240"/>
      <c r="AF180" s="240"/>
      <c r="AG180" s="240"/>
      <c r="AH180" s="240"/>
      <c r="AI180" s="240"/>
    </row>
    <row r="181" ht="15.75" customHeight="1">
      <c r="A181" s="240"/>
      <c r="B181" s="240"/>
      <c r="C181" s="240"/>
      <c r="D181" s="240"/>
      <c r="E181" s="240"/>
      <c r="F181" s="240"/>
      <c r="G181" s="240"/>
      <c r="H181" s="240"/>
      <c r="I181" s="240"/>
      <c r="J181" s="240"/>
      <c r="K181" s="240"/>
      <c r="L181" s="240"/>
      <c r="M181" s="240"/>
      <c r="N181" s="240"/>
      <c r="O181" s="1028"/>
      <c r="P181" s="240"/>
      <c r="Q181" s="240"/>
      <c r="R181" s="240"/>
      <c r="S181" s="240"/>
      <c r="T181" s="240"/>
      <c r="U181" s="240"/>
      <c r="V181" s="240"/>
      <c r="W181" s="240"/>
      <c r="X181" s="240"/>
      <c r="Y181" s="240"/>
      <c r="Z181" s="240"/>
      <c r="AA181" s="240"/>
      <c r="AB181" s="240"/>
      <c r="AC181" s="240"/>
      <c r="AD181" s="240"/>
      <c r="AE181" s="240"/>
      <c r="AF181" s="240"/>
      <c r="AG181" s="240"/>
      <c r="AH181" s="240"/>
      <c r="AI181" s="240"/>
    </row>
    <row r="182" ht="15.75" customHeight="1">
      <c r="A182" s="240"/>
      <c r="B182" s="240"/>
      <c r="C182" s="240"/>
      <c r="D182" s="240"/>
      <c r="E182" s="240"/>
      <c r="F182" s="240"/>
      <c r="G182" s="240"/>
      <c r="H182" s="240"/>
      <c r="I182" s="240"/>
      <c r="J182" s="240"/>
      <c r="K182" s="240"/>
      <c r="L182" s="240"/>
      <c r="M182" s="240"/>
      <c r="N182" s="240"/>
      <c r="O182" s="1028"/>
      <c r="P182" s="240"/>
      <c r="Q182" s="240"/>
      <c r="R182" s="240"/>
      <c r="S182" s="240"/>
      <c r="T182" s="240"/>
      <c r="U182" s="240"/>
      <c r="V182" s="240"/>
      <c r="W182" s="240"/>
      <c r="X182" s="240"/>
      <c r="Y182" s="240"/>
      <c r="Z182" s="240"/>
      <c r="AA182" s="240"/>
      <c r="AB182" s="240"/>
      <c r="AC182" s="240"/>
      <c r="AD182" s="240"/>
      <c r="AE182" s="240"/>
      <c r="AF182" s="240"/>
      <c r="AG182" s="240"/>
      <c r="AH182" s="240"/>
      <c r="AI182" s="240"/>
    </row>
    <row r="183" ht="15.75" customHeight="1">
      <c r="A183" s="240"/>
      <c r="B183" s="240"/>
      <c r="C183" s="240"/>
      <c r="D183" s="240"/>
      <c r="E183" s="240"/>
      <c r="F183" s="240"/>
      <c r="G183" s="240"/>
      <c r="H183" s="240"/>
      <c r="I183" s="240"/>
      <c r="J183" s="240"/>
      <c r="K183" s="240"/>
      <c r="L183" s="240"/>
      <c r="M183" s="240"/>
      <c r="N183" s="240"/>
      <c r="O183" s="1028"/>
      <c r="P183" s="240"/>
      <c r="Q183" s="240"/>
      <c r="R183" s="240"/>
      <c r="S183" s="240"/>
      <c r="T183" s="240"/>
      <c r="U183" s="240"/>
      <c r="V183" s="240"/>
      <c r="W183" s="240"/>
      <c r="X183" s="240"/>
      <c r="Y183" s="240"/>
      <c r="Z183" s="240"/>
      <c r="AA183" s="240"/>
      <c r="AB183" s="240"/>
      <c r="AC183" s="240"/>
      <c r="AD183" s="240"/>
      <c r="AE183" s="240"/>
      <c r="AF183" s="240"/>
      <c r="AG183" s="240"/>
      <c r="AH183" s="240"/>
      <c r="AI183" s="240"/>
    </row>
    <row r="184" ht="15.75" customHeight="1">
      <c r="A184" s="240"/>
      <c r="B184" s="240"/>
      <c r="C184" s="240"/>
      <c r="D184" s="240"/>
      <c r="E184" s="240"/>
      <c r="F184" s="240"/>
      <c r="G184" s="240"/>
      <c r="H184" s="240"/>
      <c r="I184" s="240"/>
      <c r="J184" s="240"/>
      <c r="K184" s="240"/>
      <c r="L184" s="240"/>
      <c r="M184" s="240"/>
      <c r="N184" s="240"/>
      <c r="O184" s="1028"/>
      <c r="P184" s="240"/>
      <c r="Q184" s="240"/>
      <c r="R184" s="240"/>
      <c r="S184" s="240"/>
      <c r="T184" s="240"/>
      <c r="U184" s="240"/>
      <c r="V184" s="240"/>
      <c r="W184" s="240"/>
      <c r="X184" s="240"/>
      <c r="Y184" s="240"/>
      <c r="Z184" s="240"/>
      <c r="AA184" s="240"/>
      <c r="AB184" s="240"/>
      <c r="AC184" s="240"/>
      <c r="AD184" s="240"/>
      <c r="AE184" s="240"/>
      <c r="AF184" s="240"/>
      <c r="AG184" s="240"/>
      <c r="AH184" s="240"/>
      <c r="AI184" s="240"/>
    </row>
    <row r="185" ht="15.75" customHeight="1">
      <c r="A185" s="240"/>
      <c r="B185" s="240"/>
      <c r="C185" s="240"/>
      <c r="D185" s="240"/>
      <c r="E185" s="240"/>
      <c r="F185" s="240"/>
      <c r="G185" s="240"/>
      <c r="H185" s="240"/>
      <c r="I185" s="240"/>
      <c r="J185" s="240"/>
      <c r="K185" s="240"/>
      <c r="L185" s="240"/>
      <c r="M185" s="240"/>
      <c r="N185" s="240"/>
      <c r="O185" s="1028"/>
      <c r="P185" s="240"/>
      <c r="Q185" s="240"/>
      <c r="R185" s="240"/>
      <c r="S185" s="240"/>
      <c r="T185" s="240"/>
      <c r="U185" s="240"/>
      <c r="V185" s="240"/>
      <c r="W185" s="240"/>
      <c r="X185" s="240"/>
      <c r="Y185" s="240"/>
      <c r="Z185" s="240"/>
      <c r="AA185" s="240"/>
      <c r="AB185" s="240"/>
      <c r="AC185" s="240"/>
      <c r="AD185" s="240"/>
      <c r="AE185" s="240"/>
      <c r="AF185" s="240"/>
      <c r="AG185" s="240"/>
      <c r="AH185" s="240"/>
      <c r="AI185" s="240"/>
    </row>
    <row r="186" ht="15.75" customHeight="1">
      <c r="A186" s="240"/>
      <c r="B186" s="240"/>
      <c r="C186" s="240"/>
      <c r="D186" s="240"/>
      <c r="E186" s="240"/>
      <c r="F186" s="240"/>
      <c r="G186" s="240"/>
      <c r="H186" s="240"/>
      <c r="I186" s="240"/>
      <c r="J186" s="240"/>
      <c r="K186" s="240"/>
      <c r="L186" s="240"/>
      <c r="M186" s="240"/>
      <c r="N186" s="240"/>
      <c r="O186" s="1028"/>
      <c r="P186" s="240"/>
      <c r="Q186" s="240"/>
      <c r="R186" s="240"/>
      <c r="S186" s="240"/>
      <c r="T186" s="240"/>
      <c r="U186" s="240"/>
      <c r="V186" s="240"/>
      <c r="W186" s="240"/>
      <c r="X186" s="240"/>
      <c r="Y186" s="240"/>
      <c r="Z186" s="240"/>
      <c r="AA186" s="240"/>
      <c r="AB186" s="240"/>
      <c r="AC186" s="240"/>
      <c r="AD186" s="240"/>
      <c r="AE186" s="240"/>
      <c r="AF186" s="240"/>
      <c r="AG186" s="240"/>
      <c r="AH186" s="240"/>
      <c r="AI186" s="240"/>
    </row>
    <row r="187" ht="15.75" customHeight="1">
      <c r="A187" s="240"/>
      <c r="B187" s="240"/>
      <c r="C187" s="240"/>
      <c r="D187" s="240"/>
      <c r="E187" s="240"/>
      <c r="F187" s="240"/>
      <c r="G187" s="240"/>
      <c r="H187" s="240"/>
      <c r="I187" s="240"/>
      <c r="J187" s="240"/>
      <c r="K187" s="240"/>
      <c r="L187" s="240"/>
      <c r="M187" s="240"/>
      <c r="N187" s="240"/>
      <c r="O187" s="1028"/>
      <c r="P187" s="240"/>
      <c r="Q187" s="240"/>
      <c r="R187" s="240"/>
      <c r="S187" s="240"/>
      <c r="T187" s="240"/>
      <c r="U187" s="240"/>
      <c r="V187" s="240"/>
      <c r="W187" s="240"/>
      <c r="X187" s="240"/>
      <c r="Y187" s="240"/>
      <c r="Z187" s="240"/>
      <c r="AA187" s="240"/>
      <c r="AB187" s="240"/>
      <c r="AC187" s="240"/>
      <c r="AD187" s="240"/>
      <c r="AE187" s="240"/>
      <c r="AF187" s="240"/>
      <c r="AG187" s="240"/>
      <c r="AH187" s="240"/>
      <c r="AI187" s="240"/>
    </row>
    <row r="188" ht="15.75" customHeight="1">
      <c r="A188" s="240"/>
      <c r="B188" s="240"/>
      <c r="C188" s="240"/>
      <c r="D188" s="240"/>
      <c r="E188" s="240"/>
      <c r="F188" s="240"/>
      <c r="G188" s="240"/>
      <c r="H188" s="240"/>
      <c r="I188" s="240"/>
      <c r="J188" s="240"/>
      <c r="K188" s="240"/>
      <c r="L188" s="240"/>
      <c r="M188" s="240"/>
      <c r="N188" s="240"/>
      <c r="O188" s="1028"/>
      <c r="P188" s="240"/>
      <c r="Q188" s="240"/>
      <c r="R188" s="240"/>
      <c r="S188" s="240"/>
      <c r="T188" s="240"/>
      <c r="U188" s="240"/>
      <c r="V188" s="240"/>
      <c r="W188" s="240"/>
      <c r="X188" s="240"/>
      <c r="Y188" s="240"/>
      <c r="Z188" s="240"/>
      <c r="AA188" s="240"/>
      <c r="AB188" s="240"/>
      <c r="AC188" s="240"/>
      <c r="AD188" s="240"/>
      <c r="AE188" s="240"/>
      <c r="AF188" s="240"/>
      <c r="AG188" s="240"/>
      <c r="AH188" s="240"/>
      <c r="AI188" s="240"/>
    </row>
    <row r="189" ht="15.75" customHeight="1">
      <c r="A189" s="240"/>
      <c r="B189" s="240"/>
      <c r="C189" s="240"/>
      <c r="D189" s="240"/>
      <c r="E189" s="240"/>
      <c r="F189" s="240"/>
      <c r="G189" s="240"/>
      <c r="H189" s="240"/>
      <c r="I189" s="240"/>
      <c r="J189" s="240"/>
      <c r="K189" s="240"/>
      <c r="L189" s="240"/>
      <c r="M189" s="240"/>
      <c r="N189" s="240"/>
      <c r="O189" s="1028"/>
      <c r="P189" s="240"/>
      <c r="Q189" s="240"/>
      <c r="R189" s="240"/>
      <c r="S189" s="240"/>
      <c r="T189" s="240"/>
      <c r="U189" s="240"/>
      <c r="V189" s="240"/>
      <c r="W189" s="240"/>
      <c r="X189" s="240"/>
      <c r="Y189" s="240"/>
      <c r="Z189" s="240"/>
      <c r="AA189" s="240"/>
      <c r="AB189" s="240"/>
      <c r="AC189" s="240"/>
      <c r="AD189" s="240"/>
      <c r="AE189" s="240"/>
      <c r="AF189" s="240"/>
      <c r="AG189" s="240"/>
      <c r="AH189" s="240"/>
      <c r="AI189" s="240"/>
    </row>
    <row r="190" ht="15.75" customHeight="1">
      <c r="A190" s="240"/>
      <c r="B190" s="240"/>
      <c r="C190" s="240"/>
      <c r="D190" s="240"/>
      <c r="E190" s="240"/>
      <c r="F190" s="240"/>
      <c r="G190" s="240"/>
      <c r="H190" s="240"/>
      <c r="I190" s="240"/>
      <c r="J190" s="240"/>
      <c r="K190" s="240"/>
      <c r="L190" s="240"/>
      <c r="M190" s="240"/>
      <c r="N190" s="240"/>
      <c r="O190" s="1028"/>
      <c r="P190" s="240"/>
      <c r="Q190" s="240"/>
      <c r="R190" s="240"/>
      <c r="S190" s="240"/>
      <c r="T190" s="240"/>
      <c r="U190" s="240"/>
      <c r="V190" s="240"/>
      <c r="W190" s="240"/>
      <c r="X190" s="240"/>
      <c r="Y190" s="240"/>
      <c r="Z190" s="240"/>
      <c r="AA190" s="240"/>
      <c r="AB190" s="240"/>
      <c r="AC190" s="240"/>
      <c r="AD190" s="240"/>
      <c r="AE190" s="240"/>
      <c r="AF190" s="240"/>
      <c r="AG190" s="240"/>
      <c r="AH190" s="240"/>
      <c r="AI190" s="240"/>
    </row>
    <row r="191" ht="15.75" customHeight="1">
      <c r="A191" s="240"/>
      <c r="B191" s="240"/>
      <c r="C191" s="240"/>
      <c r="D191" s="240"/>
      <c r="E191" s="240"/>
      <c r="F191" s="240"/>
      <c r="G191" s="240"/>
      <c r="H191" s="240"/>
      <c r="I191" s="240"/>
      <c r="J191" s="240"/>
      <c r="K191" s="240"/>
      <c r="L191" s="240"/>
      <c r="M191" s="240"/>
      <c r="N191" s="240"/>
      <c r="O191" s="1028"/>
      <c r="P191" s="240"/>
      <c r="Q191" s="240"/>
      <c r="R191" s="240"/>
      <c r="S191" s="240"/>
      <c r="T191" s="240"/>
      <c r="U191" s="240"/>
      <c r="V191" s="240"/>
      <c r="W191" s="240"/>
      <c r="X191" s="240"/>
      <c r="Y191" s="240"/>
      <c r="Z191" s="240"/>
      <c r="AA191" s="240"/>
      <c r="AB191" s="240"/>
      <c r="AC191" s="240"/>
      <c r="AD191" s="240"/>
      <c r="AE191" s="240"/>
      <c r="AF191" s="240"/>
      <c r="AG191" s="240"/>
      <c r="AH191" s="240"/>
      <c r="AI191" s="240"/>
    </row>
    <row r="192" ht="15.75" customHeight="1">
      <c r="A192" s="240"/>
      <c r="B192" s="240"/>
      <c r="C192" s="240"/>
      <c r="D192" s="240"/>
      <c r="E192" s="240"/>
      <c r="F192" s="240"/>
      <c r="G192" s="240"/>
      <c r="H192" s="240"/>
      <c r="I192" s="240"/>
      <c r="J192" s="240"/>
      <c r="K192" s="240"/>
      <c r="L192" s="240"/>
      <c r="M192" s="240"/>
      <c r="N192" s="240"/>
      <c r="O192" s="1028"/>
      <c r="P192" s="240"/>
      <c r="Q192" s="240"/>
      <c r="R192" s="240"/>
      <c r="S192" s="240"/>
      <c r="T192" s="240"/>
      <c r="U192" s="240"/>
      <c r="V192" s="240"/>
      <c r="W192" s="240"/>
      <c r="X192" s="240"/>
      <c r="Y192" s="240"/>
      <c r="Z192" s="240"/>
      <c r="AA192" s="240"/>
      <c r="AB192" s="240"/>
      <c r="AC192" s="240"/>
      <c r="AD192" s="240"/>
      <c r="AE192" s="240"/>
      <c r="AF192" s="240"/>
      <c r="AG192" s="240"/>
      <c r="AH192" s="240"/>
      <c r="AI192" s="240"/>
    </row>
    <row r="193" ht="15.75" customHeight="1">
      <c r="A193" s="240"/>
      <c r="B193" s="240"/>
      <c r="C193" s="240"/>
      <c r="D193" s="240"/>
      <c r="E193" s="240"/>
      <c r="F193" s="240"/>
      <c r="G193" s="240"/>
      <c r="H193" s="240"/>
      <c r="I193" s="240"/>
      <c r="J193" s="240"/>
      <c r="K193" s="240"/>
      <c r="L193" s="240"/>
      <c r="M193" s="240"/>
      <c r="N193" s="240"/>
      <c r="O193" s="1028"/>
      <c r="P193" s="240"/>
      <c r="Q193" s="240"/>
      <c r="R193" s="240"/>
      <c r="S193" s="240"/>
      <c r="T193" s="240"/>
      <c r="U193" s="240"/>
      <c r="V193" s="240"/>
      <c r="W193" s="240"/>
      <c r="X193" s="240"/>
      <c r="Y193" s="240"/>
      <c r="Z193" s="240"/>
      <c r="AA193" s="240"/>
      <c r="AB193" s="240"/>
      <c r="AC193" s="240"/>
      <c r="AD193" s="240"/>
      <c r="AE193" s="240"/>
      <c r="AF193" s="240"/>
      <c r="AG193" s="240"/>
      <c r="AH193" s="240"/>
      <c r="AI193" s="240"/>
    </row>
    <row r="194" ht="15.75" customHeight="1">
      <c r="A194" s="240"/>
      <c r="B194" s="240"/>
      <c r="C194" s="240"/>
      <c r="D194" s="240"/>
      <c r="E194" s="240"/>
      <c r="F194" s="240"/>
      <c r="G194" s="240"/>
      <c r="H194" s="240"/>
      <c r="I194" s="240"/>
      <c r="J194" s="240"/>
      <c r="K194" s="240"/>
      <c r="L194" s="240"/>
      <c r="M194" s="240"/>
      <c r="N194" s="240"/>
      <c r="O194" s="1028"/>
      <c r="P194" s="240"/>
      <c r="Q194" s="240"/>
      <c r="R194" s="240"/>
      <c r="S194" s="240"/>
      <c r="T194" s="240"/>
      <c r="U194" s="240"/>
      <c r="V194" s="240"/>
      <c r="W194" s="240"/>
      <c r="X194" s="240"/>
      <c r="Y194" s="240"/>
      <c r="Z194" s="240"/>
      <c r="AA194" s="240"/>
      <c r="AB194" s="240"/>
      <c r="AC194" s="240"/>
      <c r="AD194" s="240"/>
      <c r="AE194" s="240"/>
      <c r="AF194" s="240"/>
      <c r="AG194" s="240"/>
      <c r="AH194" s="240"/>
      <c r="AI194" s="240"/>
    </row>
    <row r="195" ht="15.75" customHeight="1">
      <c r="A195" s="240"/>
      <c r="B195" s="240"/>
      <c r="C195" s="240"/>
      <c r="D195" s="240"/>
      <c r="E195" s="240"/>
      <c r="F195" s="240"/>
      <c r="G195" s="240"/>
      <c r="H195" s="240"/>
      <c r="I195" s="240"/>
      <c r="J195" s="240"/>
      <c r="K195" s="240"/>
      <c r="L195" s="240"/>
      <c r="M195" s="240"/>
      <c r="N195" s="240"/>
      <c r="O195" s="1028"/>
      <c r="P195" s="240"/>
      <c r="Q195" s="240"/>
      <c r="R195" s="240"/>
      <c r="S195" s="240"/>
      <c r="T195" s="240"/>
      <c r="U195" s="240"/>
      <c r="V195" s="240"/>
      <c r="W195" s="240"/>
      <c r="X195" s="240"/>
      <c r="Y195" s="240"/>
      <c r="Z195" s="240"/>
      <c r="AA195" s="240"/>
      <c r="AB195" s="240"/>
      <c r="AC195" s="240"/>
      <c r="AD195" s="240"/>
      <c r="AE195" s="240"/>
      <c r="AF195" s="240"/>
      <c r="AG195" s="240"/>
      <c r="AH195" s="240"/>
      <c r="AI195" s="240"/>
    </row>
    <row r="196" ht="15.75" customHeight="1">
      <c r="A196" s="240"/>
      <c r="B196" s="240"/>
      <c r="C196" s="240"/>
      <c r="D196" s="240"/>
      <c r="E196" s="240"/>
      <c r="F196" s="240"/>
      <c r="G196" s="240"/>
      <c r="H196" s="240"/>
      <c r="I196" s="240"/>
      <c r="J196" s="240"/>
      <c r="K196" s="240"/>
      <c r="L196" s="240"/>
      <c r="M196" s="240"/>
      <c r="N196" s="240"/>
      <c r="O196" s="1028"/>
      <c r="P196" s="240"/>
      <c r="Q196" s="240"/>
      <c r="R196" s="240"/>
      <c r="S196" s="240"/>
      <c r="T196" s="240"/>
      <c r="U196" s="240"/>
      <c r="V196" s="240"/>
      <c r="W196" s="240"/>
      <c r="X196" s="240"/>
      <c r="Y196" s="240"/>
      <c r="Z196" s="240"/>
      <c r="AA196" s="240"/>
      <c r="AB196" s="240"/>
      <c r="AC196" s="240"/>
      <c r="AD196" s="240"/>
      <c r="AE196" s="240"/>
      <c r="AF196" s="240"/>
      <c r="AG196" s="240"/>
      <c r="AH196" s="240"/>
      <c r="AI196" s="240"/>
    </row>
    <row r="197" ht="15.75" customHeight="1">
      <c r="A197" s="240"/>
      <c r="B197" s="240"/>
      <c r="C197" s="240"/>
      <c r="D197" s="240"/>
      <c r="E197" s="240"/>
      <c r="F197" s="240"/>
      <c r="G197" s="240"/>
      <c r="H197" s="240"/>
      <c r="I197" s="240"/>
      <c r="J197" s="240"/>
      <c r="K197" s="240"/>
      <c r="L197" s="240"/>
      <c r="M197" s="240"/>
      <c r="N197" s="240"/>
      <c r="O197" s="1028"/>
      <c r="P197" s="240"/>
      <c r="Q197" s="240"/>
      <c r="R197" s="240"/>
      <c r="S197" s="240"/>
      <c r="T197" s="240"/>
      <c r="U197" s="240"/>
      <c r="V197" s="240"/>
      <c r="W197" s="240"/>
      <c r="X197" s="240"/>
      <c r="Y197" s="240"/>
      <c r="Z197" s="240"/>
      <c r="AA197" s="240"/>
      <c r="AB197" s="240"/>
      <c r="AC197" s="240"/>
      <c r="AD197" s="240"/>
      <c r="AE197" s="240"/>
      <c r="AF197" s="240"/>
      <c r="AG197" s="240"/>
      <c r="AH197" s="240"/>
      <c r="AI197" s="240"/>
    </row>
    <row r="198" ht="15.75" customHeight="1">
      <c r="A198" s="240"/>
      <c r="B198" s="240"/>
      <c r="C198" s="240"/>
      <c r="D198" s="240"/>
      <c r="E198" s="240"/>
      <c r="F198" s="240"/>
      <c r="G198" s="240"/>
      <c r="H198" s="240"/>
      <c r="I198" s="240"/>
      <c r="J198" s="240"/>
      <c r="K198" s="240"/>
      <c r="L198" s="240"/>
      <c r="M198" s="240"/>
      <c r="N198" s="240"/>
      <c r="O198" s="1028"/>
      <c r="P198" s="240"/>
      <c r="Q198" s="240"/>
      <c r="R198" s="240"/>
      <c r="S198" s="240"/>
      <c r="T198" s="240"/>
      <c r="U198" s="240"/>
      <c r="V198" s="240"/>
      <c r="W198" s="240"/>
      <c r="X198" s="240"/>
      <c r="Y198" s="240"/>
      <c r="Z198" s="240"/>
      <c r="AA198" s="240"/>
      <c r="AB198" s="240"/>
      <c r="AC198" s="240"/>
      <c r="AD198" s="240"/>
      <c r="AE198" s="240"/>
      <c r="AF198" s="240"/>
      <c r="AG198" s="240"/>
      <c r="AH198" s="240"/>
      <c r="AI198" s="240"/>
    </row>
    <row r="199" ht="15.75" customHeight="1">
      <c r="A199" s="240"/>
      <c r="B199" s="240"/>
      <c r="C199" s="240"/>
      <c r="D199" s="240"/>
      <c r="E199" s="240"/>
      <c r="F199" s="240"/>
      <c r="G199" s="240"/>
      <c r="H199" s="240"/>
      <c r="I199" s="240"/>
      <c r="J199" s="240"/>
      <c r="K199" s="240"/>
      <c r="L199" s="240"/>
      <c r="M199" s="240"/>
      <c r="N199" s="240"/>
      <c r="O199" s="1028"/>
      <c r="P199" s="240"/>
      <c r="Q199" s="240"/>
      <c r="R199" s="240"/>
      <c r="S199" s="240"/>
      <c r="T199" s="240"/>
      <c r="U199" s="240"/>
      <c r="V199" s="240"/>
      <c r="W199" s="240"/>
      <c r="X199" s="240"/>
      <c r="Y199" s="240"/>
      <c r="Z199" s="240"/>
      <c r="AA199" s="240"/>
      <c r="AB199" s="240"/>
      <c r="AC199" s="240"/>
      <c r="AD199" s="240"/>
      <c r="AE199" s="240"/>
      <c r="AF199" s="240"/>
      <c r="AG199" s="240"/>
      <c r="AH199" s="240"/>
      <c r="AI199" s="240"/>
    </row>
    <row r="200" ht="15.75" customHeight="1">
      <c r="A200" s="240"/>
      <c r="B200" s="240"/>
      <c r="C200" s="240"/>
      <c r="D200" s="240"/>
      <c r="E200" s="240"/>
      <c r="F200" s="240"/>
      <c r="G200" s="240"/>
      <c r="H200" s="240"/>
      <c r="I200" s="240"/>
      <c r="J200" s="240"/>
      <c r="K200" s="240"/>
      <c r="L200" s="240"/>
      <c r="M200" s="240"/>
      <c r="N200" s="240"/>
      <c r="O200" s="1028"/>
      <c r="P200" s="240"/>
      <c r="Q200" s="240"/>
      <c r="R200" s="240"/>
      <c r="S200" s="240"/>
      <c r="T200" s="240"/>
      <c r="U200" s="240"/>
      <c r="V200" s="240"/>
      <c r="W200" s="240"/>
      <c r="X200" s="240"/>
      <c r="Y200" s="240"/>
      <c r="Z200" s="240"/>
      <c r="AA200" s="240"/>
      <c r="AB200" s="240"/>
      <c r="AC200" s="240"/>
      <c r="AD200" s="240"/>
      <c r="AE200" s="240"/>
      <c r="AF200" s="240"/>
      <c r="AG200" s="240"/>
      <c r="AH200" s="240"/>
      <c r="AI200" s="240"/>
    </row>
    <row r="201" ht="15.75" customHeight="1">
      <c r="A201" s="240"/>
      <c r="B201" s="240"/>
      <c r="C201" s="240"/>
      <c r="D201" s="240"/>
      <c r="E201" s="240"/>
      <c r="F201" s="240"/>
      <c r="G201" s="240"/>
      <c r="H201" s="240"/>
      <c r="I201" s="240"/>
      <c r="J201" s="240"/>
      <c r="K201" s="240"/>
      <c r="L201" s="240"/>
      <c r="M201" s="240"/>
      <c r="N201" s="240"/>
      <c r="O201" s="1028"/>
      <c r="P201" s="240"/>
      <c r="Q201" s="240"/>
      <c r="R201" s="240"/>
      <c r="S201" s="240"/>
      <c r="T201" s="240"/>
      <c r="U201" s="240"/>
      <c r="V201" s="240"/>
      <c r="W201" s="240"/>
      <c r="X201" s="240"/>
      <c r="Y201" s="240"/>
      <c r="Z201" s="240"/>
      <c r="AA201" s="240"/>
      <c r="AB201" s="240"/>
      <c r="AC201" s="240"/>
      <c r="AD201" s="240"/>
      <c r="AE201" s="240"/>
      <c r="AF201" s="240"/>
      <c r="AG201" s="240"/>
      <c r="AH201" s="240"/>
      <c r="AI201" s="240"/>
    </row>
    <row r="202" ht="15.75" customHeight="1">
      <c r="A202" s="240"/>
      <c r="B202" s="240"/>
      <c r="C202" s="240"/>
      <c r="D202" s="240"/>
      <c r="E202" s="240"/>
      <c r="F202" s="240"/>
      <c r="G202" s="240"/>
      <c r="H202" s="240"/>
      <c r="I202" s="240"/>
      <c r="J202" s="240"/>
      <c r="K202" s="240"/>
      <c r="L202" s="240"/>
      <c r="M202" s="240"/>
      <c r="N202" s="240"/>
      <c r="O202" s="1028"/>
      <c r="P202" s="240"/>
      <c r="Q202" s="240"/>
      <c r="R202" s="240"/>
      <c r="S202" s="240"/>
      <c r="T202" s="240"/>
      <c r="U202" s="240"/>
      <c r="V202" s="240"/>
      <c r="W202" s="240"/>
      <c r="X202" s="240"/>
      <c r="Y202" s="240"/>
      <c r="Z202" s="240"/>
      <c r="AA202" s="240"/>
      <c r="AB202" s="240"/>
      <c r="AC202" s="240"/>
      <c r="AD202" s="240"/>
      <c r="AE202" s="240"/>
      <c r="AF202" s="240"/>
      <c r="AG202" s="240"/>
      <c r="AH202" s="240"/>
      <c r="AI202" s="240"/>
    </row>
    <row r="203" ht="15.75" customHeight="1">
      <c r="A203" s="240"/>
      <c r="B203" s="240"/>
      <c r="C203" s="240"/>
      <c r="D203" s="240"/>
      <c r="E203" s="240"/>
      <c r="F203" s="240"/>
      <c r="G203" s="240"/>
      <c r="H203" s="240"/>
      <c r="I203" s="240"/>
      <c r="J203" s="240"/>
      <c r="K203" s="240"/>
      <c r="L203" s="240"/>
      <c r="M203" s="240"/>
      <c r="N203" s="240"/>
      <c r="O203" s="1028"/>
      <c r="P203" s="240"/>
      <c r="Q203" s="240"/>
      <c r="R203" s="240"/>
      <c r="S203" s="240"/>
      <c r="T203" s="240"/>
      <c r="U203" s="240"/>
      <c r="V203" s="240"/>
      <c r="W203" s="240"/>
      <c r="X203" s="240"/>
      <c r="Y203" s="240"/>
      <c r="Z203" s="240"/>
      <c r="AA203" s="240"/>
      <c r="AB203" s="240"/>
      <c r="AC203" s="240"/>
      <c r="AD203" s="240"/>
      <c r="AE203" s="240"/>
      <c r="AF203" s="240"/>
      <c r="AG203" s="240"/>
      <c r="AH203" s="240"/>
      <c r="AI203" s="240"/>
    </row>
    <row r="204" ht="15.75" customHeight="1">
      <c r="A204" s="240"/>
      <c r="B204" s="240"/>
      <c r="C204" s="240"/>
      <c r="D204" s="240"/>
      <c r="E204" s="240"/>
      <c r="F204" s="240"/>
      <c r="G204" s="240"/>
      <c r="H204" s="240"/>
      <c r="I204" s="240"/>
      <c r="J204" s="240"/>
      <c r="K204" s="240"/>
      <c r="L204" s="240"/>
      <c r="M204" s="240"/>
      <c r="N204" s="240"/>
      <c r="O204" s="1028"/>
      <c r="P204" s="240"/>
      <c r="Q204" s="240"/>
      <c r="R204" s="240"/>
      <c r="S204" s="240"/>
      <c r="T204" s="240"/>
      <c r="U204" s="240"/>
      <c r="V204" s="240"/>
      <c r="W204" s="240"/>
      <c r="X204" s="240"/>
      <c r="Y204" s="240"/>
      <c r="Z204" s="240"/>
      <c r="AA204" s="240"/>
      <c r="AB204" s="240"/>
      <c r="AC204" s="240"/>
      <c r="AD204" s="240"/>
      <c r="AE204" s="240"/>
      <c r="AF204" s="240"/>
      <c r="AG204" s="240"/>
      <c r="AH204" s="240"/>
      <c r="AI204" s="240"/>
    </row>
    <row r="205" ht="15.75" customHeight="1">
      <c r="A205" s="240"/>
      <c r="B205" s="240"/>
      <c r="C205" s="240"/>
      <c r="D205" s="240"/>
      <c r="E205" s="240"/>
      <c r="F205" s="240"/>
      <c r="G205" s="240"/>
      <c r="H205" s="240"/>
      <c r="I205" s="240"/>
      <c r="J205" s="240"/>
      <c r="K205" s="240"/>
      <c r="L205" s="240"/>
      <c r="M205" s="240"/>
      <c r="N205" s="240"/>
      <c r="O205" s="1028"/>
      <c r="P205" s="240"/>
      <c r="Q205" s="240"/>
      <c r="R205" s="240"/>
      <c r="S205" s="240"/>
      <c r="T205" s="240"/>
      <c r="U205" s="240"/>
      <c r="V205" s="240"/>
      <c r="W205" s="240"/>
      <c r="X205" s="240"/>
      <c r="Y205" s="240"/>
      <c r="Z205" s="240"/>
      <c r="AA205" s="240"/>
      <c r="AB205" s="240"/>
      <c r="AC205" s="240"/>
      <c r="AD205" s="240"/>
      <c r="AE205" s="240"/>
      <c r="AF205" s="240"/>
      <c r="AG205" s="240"/>
      <c r="AH205" s="240"/>
      <c r="AI205" s="240"/>
    </row>
    <row r="206" ht="15.75" customHeight="1">
      <c r="A206" s="240"/>
      <c r="B206" s="240"/>
      <c r="C206" s="240"/>
      <c r="D206" s="240"/>
      <c r="E206" s="240"/>
      <c r="F206" s="240"/>
      <c r="G206" s="240"/>
      <c r="H206" s="240"/>
      <c r="I206" s="240"/>
      <c r="J206" s="240"/>
      <c r="K206" s="240"/>
      <c r="L206" s="240"/>
      <c r="M206" s="240"/>
      <c r="N206" s="240"/>
      <c r="O206" s="1028"/>
      <c r="P206" s="240"/>
      <c r="Q206" s="240"/>
      <c r="R206" s="240"/>
      <c r="S206" s="240"/>
      <c r="T206" s="240"/>
      <c r="U206" s="240"/>
      <c r="V206" s="240"/>
      <c r="W206" s="240"/>
      <c r="X206" s="240"/>
      <c r="Y206" s="240"/>
      <c r="Z206" s="240"/>
      <c r="AA206" s="240"/>
      <c r="AB206" s="240"/>
      <c r="AC206" s="240"/>
      <c r="AD206" s="240"/>
      <c r="AE206" s="240"/>
      <c r="AF206" s="240"/>
      <c r="AG206" s="240"/>
      <c r="AH206" s="240"/>
      <c r="AI206" s="240"/>
    </row>
    <row r="207" ht="15.75" customHeight="1">
      <c r="A207" s="240"/>
      <c r="B207" s="240"/>
      <c r="C207" s="240"/>
      <c r="D207" s="240"/>
      <c r="E207" s="240"/>
      <c r="F207" s="240"/>
      <c r="G207" s="240"/>
      <c r="H207" s="240"/>
      <c r="I207" s="240"/>
      <c r="J207" s="240"/>
      <c r="K207" s="240"/>
      <c r="L207" s="240"/>
      <c r="M207" s="240"/>
      <c r="N207" s="240"/>
      <c r="O207" s="1028"/>
      <c r="P207" s="240"/>
      <c r="Q207" s="240"/>
      <c r="R207" s="240"/>
      <c r="S207" s="240"/>
      <c r="T207" s="240"/>
      <c r="U207" s="240"/>
      <c r="V207" s="240"/>
      <c r="W207" s="240"/>
      <c r="X207" s="240"/>
      <c r="Y207" s="240"/>
      <c r="Z207" s="240"/>
      <c r="AA207" s="240"/>
      <c r="AB207" s="240"/>
      <c r="AC207" s="240"/>
      <c r="AD207" s="240"/>
      <c r="AE207" s="240"/>
      <c r="AF207" s="240"/>
      <c r="AG207" s="240"/>
      <c r="AH207" s="240"/>
      <c r="AI207" s="240"/>
    </row>
    <row r="208" ht="15.75" customHeight="1">
      <c r="A208" s="240"/>
      <c r="B208" s="240"/>
      <c r="C208" s="240"/>
      <c r="D208" s="240"/>
      <c r="E208" s="240"/>
      <c r="F208" s="240"/>
      <c r="G208" s="240"/>
      <c r="H208" s="240"/>
      <c r="I208" s="240"/>
      <c r="J208" s="240"/>
      <c r="K208" s="240"/>
      <c r="L208" s="240"/>
      <c r="M208" s="240"/>
      <c r="N208" s="240"/>
      <c r="O208" s="1028"/>
      <c r="P208" s="240"/>
      <c r="Q208" s="240"/>
      <c r="R208" s="240"/>
      <c r="S208" s="240"/>
      <c r="T208" s="240"/>
      <c r="U208" s="240"/>
      <c r="V208" s="240"/>
      <c r="W208" s="240"/>
      <c r="X208" s="240"/>
      <c r="Y208" s="240"/>
      <c r="Z208" s="240"/>
      <c r="AA208" s="240"/>
      <c r="AB208" s="240"/>
      <c r="AC208" s="240"/>
      <c r="AD208" s="240"/>
      <c r="AE208" s="240"/>
      <c r="AF208" s="240"/>
      <c r="AG208" s="240"/>
      <c r="AH208" s="240"/>
      <c r="AI208" s="240"/>
    </row>
    <row r="209" ht="15.75" customHeight="1">
      <c r="A209" s="240"/>
      <c r="B209" s="240"/>
      <c r="C209" s="240"/>
      <c r="D209" s="240"/>
      <c r="E209" s="240"/>
      <c r="F209" s="240"/>
      <c r="G209" s="240"/>
      <c r="H209" s="240"/>
      <c r="I209" s="240"/>
      <c r="J209" s="240"/>
      <c r="K209" s="240"/>
      <c r="L209" s="240"/>
      <c r="M209" s="240"/>
      <c r="N209" s="240"/>
      <c r="O209" s="1028"/>
      <c r="P209" s="240"/>
      <c r="Q209" s="240"/>
      <c r="R209" s="240"/>
      <c r="S209" s="240"/>
      <c r="T209" s="240"/>
      <c r="U209" s="240"/>
      <c r="V209" s="240"/>
      <c r="W209" s="240"/>
      <c r="X209" s="240"/>
      <c r="Y209" s="240"/>
      <c r="Z209" s="240"/>
      <c r="AA209" s="240"/>
      <c r="AB209" s="240"/>
      <c r="AC209" s="240"/>
      <c r="AD209" s="240"/>
      <c r="AE209" s="240"/>
      <c r="AF209" s="240"/>
      <c r="AG209" s="240"/>
      <c r="AH209" s="240"/>
      <c r="AI209" s="240"/>
    </row>
    <row r="210" ht="15.75" customHeight="1">
      <c r="A210" s="240"/>
      <c r="B210" s="240"/>
      <c r="C210" s="240"/>
      <c r="D210" s="240"/>
      <c r="E210" s="240"/>
      <c r="F210" s="240"/>
      <c r="G210" s="240"/>
      <c r="H210" s="240"/>
      <c r="I210" s="240"/>
      <c r="J210" s="240"/>
      <c r="K210" s="240"/>
      <c r="L210" s="240"/>
      <c r="M210" s="240"/>
      <c r="N210" s="240"/>
      <c r="O210" s="1028"/>
      <c r="P210" s="240"/>
      <c r="Q210" s="240"/>
      <c r="R210" s="240"/>
      <c r="S210" s="240"/>
      <c r="T210" s="240"/>
      <c r="U210" s="240"/>
      <c r="V210" s="240"/>
      <c r="W210" s="240"/>
      <c r="X210" s="240"/>
      <c r="Y210" s="240"/>
      <c r="Z210" s="240"/>
      <c r="AA210" s="240"/>
      <c r="AB210" s="240"/>
      <c r="AC210" s="240"/>
      <c r="AD210" s="240"/>
      <c r="AE210" s="240"/>
      <c r="AF210" s="240"/>
      <c r="AG210" s="240"/>
      <c r="AH210" s="240"/>
      <c r="AI210" s="240"/>
    </row>
    <row r="211" ht="15.75" customHeight="1">
      <c r="A211" s="240"/>
      <c r="B211" s="240"/>
      <c r="C211" s="240"/>
      <c r="D211" s="240"/>
      <c r="E211" s="240"/>
      <c r="F211" s="240"/>
      <c r="G211" s="240"/>
      <c r="H211" s="240"/>
      <c r="I211" s="240"/>
      <c r="J211" s="240"/>
      <c r="K211" s="240"/>
      <c r="L211" s="240"/>
      <c r="M211" s="240"/>
      <c r="N211" s="240"/>
      <c r="O211" s="1028"/>
      <c r="P211" s="240"/>
      <c r="Q211" s="240"/>
      <c r="R211" s="240"/>
      <c r="S211" s="240"/>
      <c r="T211" s="240"/>
      <c r="U211" s="240"/>
      <c r="V211" s="240"/>
      <c r="W211" s="240"/>
      <c r="X211" s="240"/>
      <c r="Y211" s="240"/>
      <c r="Z211" s="240"/>
      <c r="AA211" s="240"/>
      <c r="AB211" s="240"/>
      <c r="AC211" s="240"/>
      <c r="AD211" s="240"/>
      <c r="AE211" s="240"/>
      <c r="AF211" s="240"/>
      <c r="AG211" s="240"/>
      <c r="AH211" s="240"/>
      <c r="AI211" s="240"/>
    </row>
    <row r="212" ht="15.75" customHeight="1">
      <c r="A212" s="240"/>
      <c r="B212" s="240"/>
      <c r="C212" s="240"/>
      <c r="D212" s="240"/>
      <c r="E212" s="240"/>
      <c r="F212" s="240"/>
      <c r="G212" s="240"/>
      <c r="H212" s="240"/>
      <c r="I212" s="240"/>
      <c r="J212" s="240"/>
      <c r="K212" s="240"/>
      <c r="L212" s="240"/>
      <c r="M212" s="240"/>
      <c r="N212" s="240"/>
      <c r="O212" s="1028"/>
      <c r="P212" s="240"/>
      <c r="Q212" s="240"/>
      <c r="R212" s="240"/>
      <c r="S212" s="240"/>
      <c r="T212" s="240"/>
      <c r="U212" s="240"/>
      <c r="V212" s="240"/>
      <c r="W212" s="240"/>
      <c r="X212" s="240"/>
      <c r="Y212" s="240"/>
      <c r="Z212" s="240"/>
      <c r="AA212" s="240"/>
      <c r="AB212" s="240"/>
      <c r="AC212" s="240"/>
      <c r="AD212" s="240"/>
      <c r="AE212" s="240"/>
      <c r="AF212" s="240"/>
      <c r="AG212" s="240"/>
      <c r="AH212" s="240"/>
      <c r="AI212" s="240"/>
    </row>
    <row r="213" ht="15.75" customHeight="1">
      <c r="A213" s="240"/>
      <c r="B213" s="240"/>
      <c r="C213" s="240"/>
      <c r="D213" s="240"/>
      <c r="E213" s="240"/>
      <c r="F213" s="240"/>
      <c r="G213" s="240"/>
      <c r="H213" s="240"/>
      <c r="I213" s="240"/>
      <c r="J213" s="240"/>
      <c r="K213" s="240"/>
      <c r="L213" s="240"/>
      <c r="M213" s="240"/>
      <c r="N213" s="240"/>
      <c r="O213" s="1028"/>
      <c r="P213" s="240"/>
      <c r="Q213" s="240"/>
      <c r="R213" s="240"/>
      <c r="S213" s="240"/>
      <c r="T213" s="240"/>
      <c r="U213" s="240"/>
      <c r="V213" s="240"/>
      <c r="W213" s="240"/>
      <c r="X213" s="240"/>
      <c r="Y213" s="240"/>
      <c r="Z213" s="240"/>
      <c r="AA213" s="240"/>
      <c r="AB213" s="240"/>
      <c r="AC213" s="240"/>
      <c r="AD213" s="240"/>
      <c r="AE213" s="240"/>
      <c r="AF213" s="240"/>
      <c r="AG213" s="240"/>
      <c r="AH213" s="240"/>
      <c r="AI213" s="240"/>
    </row>
    <row r="214" ht="15.75" customHeight="1">
      <c r="A214" s="240"/>
      <c r="B214" s="240"/>
      <c r="C214" s="240"/>
      <c r="D214" s="240"/>
      <c r="E214" s="240"/>
      <c r="F214" s="240"/>
      <c r="G214" s="240"/>
      <c r="H214" s="240"/>
      <c r="I214" s="240"/>
      <c r="J214" s="240"/>
      <c r="K214" s="240"/>
      <c r="L214" s="240"/>
      <c r="M214" s="240"/>
      <c r="N214" s="240"/>
      <c r="O214" s="1028"/>
      <c r="P214" s="240"/>
      <c r="Q214" s="240"/>
      <c r="R214" s="240"/>
      <c r="S214" s="240"/>
      <c r="T214" s="240"/>
      <c r="U214" s="240"/>
      <c r="V214" s="240"/>
      <c r="W214" s="240"/>
      <c r="X214" s="240"/>
      <c r="Y214" s="240"/>
      <c r="Z214" s="240"/>
      <c r="AA214" s="240"/>
      <c r="AB214" s="240"/>
      <c r="AC214" s="240"/>
      <c r="AD214" s="240"/>
      <c r="AE214" s="240"/>
      <c r="AF214" s="240"/>
      <c r="AG214" s="240"/>
      <c r="AH214" s="240"/>
      <c r="AI214" s="240"/>
    </row>
    <row r="215" ht="15.75" customHeight="1">
      <c r="A215" s="240"/>
      <c r="B215" s="240"/>
      <c r="C215" s="240"/>
      <c r="D215" s="240"/>
      <c r="E215" s="240"/>
      <c r="F215" s="240"/>
      <c r="G215" s="240"/>
      <c r="H215" s="240"/>
      <c r="I215" s="240"/>
      <c r="J215" s="240"/>
      <c r="K215" s="240"/>
      <c r="L215" s="240"/>
      <c r="M215" s="240"/>
      <c r="N215" s="240"/>
      <c r="O215" s="1028"/>
      <c r="P215" s="240"/>
      <c r="Q215" s="240"/>
      <c r="R215" s="240"/>
      <c r="S215" s="240"/>
      <c r="T215" s="240"/>
      <c r="U215" s="240"/>
      <c r="V215" s="240"/>
      <c r="W215" s="240"/>
      <c r="X215" s="240"/>
      <c r="Y215" s="240"/>
      <c r="Z215" s="240"/>
      <c r="AA215" s="240"/>
      <c r="AB215" s="240"/>
      <c r="AC215" s="240"/>
      <c r="AD215" s="240"/>
      <c r="AE215" s="240"/>
      <c r="AF215" s="240"/>
      <c r="AG215" s="240"/>
      <c r="AH215" s="240"/>
      <c r="AI215" s="240"/>
    </row>
    <row r="216" ht="15.75" customHeight="1">
      <c r="A216" s="240"/>
      <c r="B216" s="240"/>
      <c r="C216" s="240"/>
      <c r="D216" s="240"/>
      <c r="E216" s="240"/>
      <c r="F216" s="240"/>
      <c r="G216" s="240"/>
      <c r="H216" s="240"/>
      <c r="I216" s="240"/>
      <c r="J216" s="240"/>
      <c r="K216" s="240"/>
      <c r="L216" s="240"/>
      <c r="M216" s="240"/>
      <c r="N216" s="240"/>
      <c r="O216" s="1028"/>
      <c r="P216" s="240"/>
      <c r="Q216" s="240"/>
      <c r="R216" s="240"/>
      <c r="S216" s="240"/>
      <c r="T216" s="240"/>
      <c r="U216" s="240"/>
      <c r="V216" s="240"/>
      <c r="W216" s="240"/>
      <c r="X216" s="240"/>
      <c r="Y216" s="240"/>
      <c r="Z216" s="240"/>
      <c r="AA216" s="240"/>
      <c r="AB216" s="240"/>
      <c r="AC216" s="240"/>
      <c r="AD216" s="240"/>
      <c r="AE216" s="240"/>
      <c r="AF216" s="240"/>
      <c r="AG216" s="240"/>
      <c r="AH216" s="240"/>
      <c r="AI216" s="240"/>
    </row>
    <row r="217" ht="15.75" customHeight="1">
      <c r="A217" s="240"/>
      <c r="B217" s="240"/>
      <c r="C217" s="240"/>
      <c r="D217" s="240"/>
      <c r="E217" s="240"/>
      <c r="F217" s="240"/>
      <c r="G217" s="240"/>
      <c r="H217" s="240"/>
      <c r="I217" s="240"/>
      <c r="J217" s="240"/>
      <c r="K217" s="240"/>
      <c r="L217" s="240"/>
      <c r="M217" s="240"/>
      <c r="N217" s="240"/>
      <c r="O217" s="1028"/>
      <c r="P217" s="240"/>
      <c r="Q217" s="240"/>
      <c r="R217" s="240"/>
      <c r="S217" s="240"/>
      <c r="T217" s="240"/>
      <c r="U217" s="240"/>
      <c r="V217" s="240"/>
      <c r="W217" s="240"/>
      <c r="X217" s="240"/>
      <c r="Y217" s="240"/>
      <c r="Z217" s="240"/>
      <c r="AA217" s="240"/>
      <c r="AB217" s="240"/>
      <c r="AC217" s="240"/>
      <c r="AD217" s="240"/>
      <c r="AE217" s="240"/>
      <c r="AF217" s="240"/>
      <c r="AG217" s="240"/>
      <c r="AH217" s="240"/>
      <c r="AI217" s="240"/>
    </row>
    <row r="218" ht="15.75" customHeight="1">
      <c r="A218" s="240"/>
      <c r="B218" s="240"/>
      <c r="C218" s="240"/>
      <c r="D218" s="240"/>
      <c r="E218" s="240"/>
      <c r="F218" s="240"/>
      <c r="G218" s="240"/>
      <c r="H218" s="240"/>
      <c r="I218" s="240"/>
      <c r="J218" s="240"/>
      <c r="K218" s="240"/>
      <c r="L218" s="240"/>
      <c r="M218" s="240"/>
      <c r="N218" s="240"/>
      <c r="O218" s="1028"/>
      <c r="P218" s="240"/>
      <c r="Q218" s="240"/>
      <c r="R218" s="240"/>
      <c r="S218" s="240"/>
      <c r="T218" s="240"/>
      <c r="U218" s="240"/>
      <c r="V218" s="240"/>
      <c r="W218" s="240"/>
      <c r="X218" s="240"/>
      <c r="Y218" s="240"/>
      <c r="Z218" s="240"/>
      <c r="AA218" s="240"/>
      <c r="AB218" s="240"/>
      <c r="AC218" s="240"/>
      <c r="AD218" s="240"/>
      <c r="AE218" s="240"/>
      <c r="AF218" s="240"/>
      <c r="AG218" s="240"/>
      <c r="AH218" s="240"/>
      <c r="AI218" s="240"/>
    </row>
    <row r="219" ht="15.75" customHeight="1">
      <c r="A219" s="240"/>
      <c r="B219" s="240"/>
      <c r="C219" s="240"/>
      <c r="D219" s="240"/>
      <c r="E219" s="240"/>
      <c r="F219" s="240"/>
      <c r="G219" s="240"/>
      <c r="H219" s="240"/>
      <c r="I219" s="240"/>
      <c r="J219" s="240"/>
      <c r="K219" s="240"/>
      <c r="L219" s="240"/>
      <c r="M219" s="240"/>
      <c r="N219" s="240"/>
      <c r="O219" s="1028"/>
      <c r="P219" s="240"/>
      <c r="Q219" s="240"/>
      <c r="R219" s="240"/>
      <c r="S219" s="240"/>
      <c r="T219" s="240"/>
      <c r="U219" s="240"/>
      <c r="V219" s="240"/>
      <c r="W219" s="240"/>
      <c r="X219" s="240"/>
      <c r="Y219" s="240"/>
      <c r="Z219" s="240"/>
      <c r="AA219" s="240"/>
      <c r="AB219" s="240"/>
      <c r="AC219" s="240"/>
      <c r="AD219" s="240"/>
      <c r="AE219" s="240"/>
      <c r="AF219" s="240"/>
      <c r="AG219" s="240"/>
      <c r="AH219" s="240"/>
      <c r="AI219" s="240"/>
    </row>
    <row r="220" ht="15.75" customHeight="1">
      <c r="A220" s="240"/>
      <c r="B220" s="240"/>
      <c r="C220" s="240"/>
      <c r="D220" s="240"/>
      <c r="E220" s="240"/>
      <c r="F220" s="240"/>
      <c r="G220" s="240"/>
      <c r="H220" s="240"/>
      <c r="I220" s="240"/>
      <c r="J220" s="240"/>
      <c r="K220" s="240"/>
      <c r="L220" s="240"/>
      <c r="M220" s="240"/>
      <c r="N220" s="240"/>
      <c r="O220" s="1028"/>
      <c r="P220" s="240"/>
      <c r="Q220" s="240"/>
      <c r="R220" s="240"/>
      <c r="S220" s="240"/>
      <c r="T220" s="240"/>
      <c r="U220" s="240"/>
      <c r="V220" s="240"/>
      <c r="W220" s="240"/>
      <c r="X220" s="240"/>
      <c r="Y220" s="240"/>
      <c r="Z220" s="240"/>
      <c r="AA220" s="240"/>
      <c r="AB220" s="240"/>
      <c r="AC220" s="240"/>
      <c r="AD220" s="240"/>
      <c r="AE220" s="240"/>
      <c r="AF220" s="240"/>
      <c r="AG220" s="240"/>
      <c r="AH220" s="240"/>
      <c r="AI220" s="240"/>
    </row>
    <row r="221" ht="15.75" customHeight="1">
      <c r="A221" s="240"/>
      <c r="B221" s="240"/>
      <c r="C221" s="240"/>
      <c r="D221" s="240"/>
      <c r="E221" s="240"/>
      <c r="F221" s="240"/>
      <c r="G221" s="240"/>
      <c r="H221" s="240"/>
      <c r="I221" s="240"/>
      <c r="J221" s="240"/>
      <c r="K221" s="240"/>
      <c r="L221" s="240"/>
      <c r="M221" s="240"/>
      <c r="N221" s="240"/>
      <c r="O221" s="1028"/>
      <c r="P221" s="240"/>
      <c r="Q221" s="240"/>
      <c r="R221" s="240"/>
      <c r="S221" s="240"/>
      <c r="T221" s="240"/>
      <c r="U221" s="240"/>
      <c r="V221" s="240"/>
      <c r="W221" s="240"/>
      <c r="X221" s="240"/>
      <c r="Y221" s="240"/>
      <c r="Z221" s="240"/>
      <c r="AA221" s="240"/>
      <c r="AB221" s="240"/>
      <c r="AC221" s="240"/>
      <c r="AD221" s="240"/>
      <c r="AE221" s="240"/>
      <c r="AF221" s="240"/>
      <c r="AG221" s="240"/>
      <c r="AH221" s="240"/>
      <c r="AI221" s="240"/>
    </row>
    <row r="222" ht="15.75" customHeight="1">
      <c r="A222" s="240"/>
      <c r="B222" s="240"/>
      <c r="C222" s="240"/>
      <c r="D222" s="240"/>
      <c r="E222" s="240"/>
      <c r="F222" s="240"/>
      <c r="G222" s="240"/>
      <c r="H222" s="240"/>
      <c r="I222" s="240"/>
      <c r="J222" s="240"/>
      <c r="K222" s="240"/>
      <c r="L222" s="240"/>
      <c r="M222" s="240"/>
      <c r="N222" s="240"/>
      <c r="O222" s="1028"/>
      <c r="P222" s="240"/>
      <c r="Q222" s="240"/>
      <c r="R222" s="240"/>
      <c r="S222" s="240"/>
      <c r="T222" s="240"/>
      <c r="U222" s="240"/>
      <c r="V222" s="240"/>
      <c r="W222" s="240"/>
      <c r="X222" s="240"/>
      <c r="Y222" s="240"/>
      <c r="Z222" s="240"/>
      <c r="AA222" s="240"/>
      <c r="AB222" s="240"/>
      <c r="AC222" s="240"/>
      <c r="AD222" s="240"/>
      <c r="AE222" s="240"/>
      <c r="AF222" s="240"/>
      <c r="AG222" s="240"/>
      <c r="AH222" s="240"/>
      <c r="AI222" s="240"/>
    </row>
    <row r="223" ht="15.75" customHeight="1">
      <c r="A223" s="240"/>
      <c r="B223" s="240"/>
      <c r="C223" s="240"/>
      <c r="D223" s="240"/>
      <c r="E223" s="240"/>
      <c r="F223" s="240"/>
      <c r="G223" s="240"/>
      <c r="H223" s="240"/>
      <c r="I223" s="240"/>
      <c r="J223" s="240"/>
      <c r="K223" s="240"/>
      <c r="L223" s="240"/>
      <c r="M223" s="240"/>
      <c r="N223" s="240"/>
      <c r="O223" s="1028"/>
      <c r="P223" s="240"/>
      <c r="Q223" s="240"/>
      <c r="R223" s="240"/>
      <c r="S223" s="240"/>
      <c r="T223" s="240"/>
      <c r="U223" s="240"/>
      <c r="V223" s="240"/>
      <c r="W223" s="240"/>
      <c r="X223" s="240"/>
      <c r="Y223" s="240"/>
      <c r="Z223" s="240"/>
      <c r="AA223" s="240"/>
      <c r="AB223" s="240"/>
      <c r="AC223" s="240"/>
      <c r="AD223" s="240"/>
      <c r="AE223" s="240"/>
      <c r="AF223" s="240"/>
      <c r="AG223" s="240"/>
      <c r="AH223" s="240"/>
      <c r="AI223" s="240"/>
    </row>
    <row r="224" ht="15.75" customHeight="1">
      <c r="A224" s="240"/>
      <c r="B224" s="240"/>
      <c r="C224" s="240"/>
      <c r="D224" s="240"/>
      <c r="E224" s="240"/>
      <c r="F224" s="240"/>
      <c r="G224" s="240"/>
      <c r="H224" s="240"/>
      <c r="I224" s="240"/>
      <c r="J224" s="240"/>
      <c r="K224" s="240"/>
      <c r="L224" s="240"/>
      <c r="M224" s="240"/>
      <c r="N224" s="240"/>
      <c r="O224" s="1028"/>
      <c r="P224" s="240"/>
      <c r="Q224" s="240"/>
      <c r="R224" s="240"/>
      <c r="S224" s="240"/>
      <c r="T224" s="240"/>
      <c r="U224" s="240"/>
      <c r="V224" s="240"/>
      <c r="W224" s="240"/>
      <c r="X224" s="240"/>
      <c r="Y224" s="240"/>
      <c r="Z224" s="240"/>
      <c r="AA224" s="240"/>
      <c r="AB224" s="240"/>
      <c r="AC224" s="240"/>
      <c r="AD224" s="240"/>
      <c r="AE224" s="240"/>
      <c r="AF224" s="240"/>
      <c r="AG224" s="240"/>
      <c r="AH224" s="240"/>
      <c r="AI224" s="240"/>
    </row>
    <row r="225" ht="15.75" customHeight="1">
      <c r="A225" s="240"/>
      <c r="B225" s="240"/>
      <c r="C225" s="240"/>
      <c r="D225" s="240"/>
      <c r="E225" s="240"/>
      <c r="F225" s="240"/>
      <c r="G225" s="240"/>
      <c r="H225" s="240"/>
      <c r="I225" s="240"/>
      <c r="J225" s="240"/>
      <c r="K225" s="240"/>
      <c r="L225" s="240"/>
      <c r="M225" s="240"/>
      <c r="N225" s="240"/>
      <c r="O225" s="1028"/>
      <c r="P225" s="240"/>
      <c r="Q225" s="240"/>
      <c r="R225" s="240"/>
      <c r="S225" s="240"/>
      <c r="T225" s="240"/>
      <c r="U225" s="240"/>
      <c r="V225" s="240"/>
      <c r="W225" s="240"/>
      <c r="X225" s="240"/>
      <c r="Y225" s="240"/>
      <c r="Z225" s="240"/>
      <c r="AA225" s="240"/>
      <c r="AB225" s="240"/>
      <c r="AC225" s="240"/>
      <c r="AD225" s="240"/>
      <c r="AE225" s="240"/>
      <c r="AF225" s="240"/>
      <c r="AG225" s="240"/>
      <c r="AH225" s="240"/>
      <c r="AI225" s="240"/>
    </row>
    <row r="226" ht="15.75" customHeight="1">
      <c r="A226" s="240"/>
      <c r="B226" s="240"/>
      <c r="C226" s="240"/>
      <c r="D226" s="240"/>
      <c r="E226" s="240"/>
      <c r="F226" s="240"/>
      <c r="G226" s="240"/>
      <c r="H226" s="240"/>
      <c r="I226" s="240"/>
      <c r="J226" s="240"/>
      <c r="K226" s="240"/>
      <c r="L226" s="240"/>
      <c r="M226" s="240"/>
      <c r="N226" s="240"/>
      <c r="O226" s="1028"/>
      <c r="P226" s="240"/>
      <c r="Q226" s="240"/>
      <c r="R226" s="240"/>
      <c r="S226" s="240"/>
      <c r="T226" s="240"/>
      <c r="U226" s="240"/>
      <c r="V226" s="240"/>
      <c r="W226" s="240"/>
      <c r="X226" s="240"/>
      <c r="Y226" s="240"/>
      <c r="Z226" s="240"/>
      <c r="AA226" s="240"/>
      <c r="AB226" s="240"/>
      <c r="AC226" s="240"/>
      <c r="AD226" s="240"/>
      <c r="AE226" s="240"/>
      <c r="AF226" s="240"/>
      <c r="AG226" s="240"/>
      <c r="AH226" s="240"/>
      <c r="AI226" s="240"/>
    </row>
    <row r="227" ht="15.75" customHeight="1">
      <c r="A227" s="240"/>
      <c r="B227" s="240"/>
      <c r="C227" s="240"/>
      <c r="D227" s="240"/>
      <c r="E227" s="240"/>
      <c r="F227" s="240"/>
      <c r="G227" s="240"/>
      <c r="H227" s="240"/>
      <c r="I227" s="240"/>
      <c r="J227" s="240"/>
      <c r="K227" s="240"/>
      <c r="L227" s="240"/>
      <c r="M227" s="240"/>
      <c r="N227" s="240"/>
      <c r="O227" s="1028"/>
      <c r="P227" s="240"/>
      <c r="Q227" s="240"/>
      <c r="R227" s="240"/>
      <c r="S227" s="240"/>
      <c r="T227" s="240"/>
      <c r="U227" s="240"/>
      <c r="V227" s="240"/>
      <c r="W227" s="240"/>
      <c r="X227" s="240"/>
      <c r="Y227" s="240"/>
      <c r="Z227" s="240"/>
      <c r="AA227" s="240"/>
      <c r="AB227" s="240"/>
      <c r="AC227" s="240"/>
      <c r="AD227" s="240"/>
      <c r="AE227" s="240"/>
      <c r="AF227" s="240"/>
      <c r="AG227" s="240"/>
      <c r="AH227" s="240"/>
      <c r="AI227" s="240"/>
    </row>
    <row r="228" ht="15.75" customHeight="1">
      <c r="A228" s="240"/>
      <c r="B228" s="240"/>
      <c r="C228" s="240"/>
      <c r="D228" s="240"/>
      <c r="E228" s="240"/>
      <c r="F228" s="240"/>
      <c r="G228" s="240"/>
      <c r="H228" s="240"/>
      <c r="I228" s="240"/>
      <c r="J228" s="240"/>
      <c r="K228" s="240"/>
      <c r="L228" s="240"/>
      <c r="M228" s="240"/>
      <c r="N228" s="240"/>
      <c r="O228" s="1028"/>
      <c r="P228" s="240"/>
      <c r="Q228" s="240"/>
      <c r="R228" s="240"/>
      <c r="S228" s="240"/>
      <c r="T228" s="240"/>
      <c r="U228" s="240"/>
      <c r="V228" s="240"/>
      <c r="W228" s="240"/>
      <c r="X228" s="240"/>
      <c r="Y228" s="240"/>
      <c r="Z228" s="240"/>
      <c r="AA228" s="240"/>
      <c r="AB228" s="240"/>
      <c r="AC228" s="240"/>
      <c r="AD228" s="240"/>
      <c r="AE228" s="240"/>
      <c r="AF228" s="240"/>
      <c r="AG228" s="240"/>
      <c r="AH228" s="240"/>
      <c r="AI228" s="240"/>
    </row>
    <row r="229" ht="15.75" customHeight="1">
      <c r="A229" s="240"/>
      <c r="B229" s="240"/>
      <c r="C229" s="240"/>
      <c r="D229" s="240"/>
      <c r="E229" s="240"/>
      <c r="F229" s="240"/>
      <c r="G229" s="240"/>
      <c r="H229" s="240"/>
      <c r="I229" s="240"/>
      <c r="J229" s="240"/>
      <c r="K229" s="240"/>
      <c r="L229" s="240"/>
      <c r="M229" s="240"/>
      <c r="N229" s="240"/>
      <c r="O229" s="1028"/>
      <c r="P229" s="240"/>
      <c r="Q229" s="240"/>
      <c r="R229" s="240"/>
      <c r="S229" s="240"/>
      <c r="T229" s="240"/>
      <c r="U229" s="240"/>
      <c r="V229" s="240"/>
      <c r="W229" s="240"/>
      <c r="X229" s="240"/>
      <c r="Y229" s="240"/>
      <c r="Z229" s="240"/>
      <c r="AA229" s="240"/>
      <c r="AB229" s="240"/>
      <c r="AC229" s="240"/>
      <c r="AD229" s="240"/>
      <c r="AE229" s="240"/>
      <c r="AF229" s="240"/>
      <c r="AG229" s="240"/>
      <c r="AH229" s="240"/>
      <c r="AI229" s="240"/>
    </row>
    <row r="230" ht="15.75" customHeight="1">
      <c r="A230" s="240"/>
      <c r="B230" s="240"/>
      <c r="C230" s="240"/>
      <c r="D230" s="240"/>
      <c r="E230" s="240"/>
      <c r="F230" s="240"/>
      <c r="G230" s="240"/>
      <c r="H230" s="240"/>
      <c r="I230" s="240"/>
      <c r="J230" s="240"/>
      <c r="K230" s="240"/>
      <c r="L230" s="240"/>
      <c r="M230" s="240"/>
      <c r="N230" s="240"/>
      <c r="O230" s="1028"/>
      <c r="P230" s="240"/>
      <c r="Q230" s="240"/>
      <c r="R230" s="240"/>
      <c r="S230" s="240"/>
      <c r="T230" s="240"/>
      <c r="U230" s="240"/>
      <c r="V230" s="240"/>
      <c r="W230" s="240"/>
      <c r="X230" s="240"/>
      <c r="Y230" s="240"/>
      <c r="Z230" s="240"/>
      <c r="AA230" s="240"/>
      <c r="AB230" s="240"/>
      <c r="AC230" s="240"/>
      <c r="AD230" s="240"/>
      <c r="AE230" s="240"/>
      <c r="AF230" s="240"/>
      <c r="AG230" s="240"/>
      <c r="AH230" s="240"/>
      <c r="AI230" s="240"/>
    </row>
    <row r="231" ht="15.75" customHeight="1">
      <c r="A231" s="240"/>
      <c r="B231" s="240"/>
      <c r="C231" s="240"/>
      <c r="D231" s="240"/>
      <c r="E231" s="240"/>
      <c r="F231" s="240"/>
      <c r="G231" s="240"/>
      <c r="H231" s="240"/>
      <c r="I231" s="240"/>
      <c r="J231" s="240"/>
      <c r="K231" s="240"/>
      <c r="L231" s="240"/>
      <c r="M231" s="240"/>
      <c r="N231" s="240"/>
      <c r="O231" s="1028"/>
      <c r="P231" s="240"/>
      <c r="Q231" s="240"/>
      <c r="R231" s="240"/>
      <c r="S231" s="240"/>
      <c r="T231" s="240"/>
      <c r="U231" s="240"/>
      <c r="V231" s="240"/>
      <c r="W231" s="240"/>
      <c r="X231" s="240"/>
      <c r="Y231" s="240"/>
      <c r="Z231" s="240"/>
      <c r="AA231" s="240"/>
      <c r="AB231" s="240"/>
      <c r="AC231" s="240"/>
      <c r="AD231" s="240"/>
      <c r="AE231" s="240"/>
      <c r="AF231" s="240"/>
      <c r="AG231" s="240"/>
      <c r="AH231" s="240"/>
      <c r="AI231" s="240"/>
    </row>
    <row r="232" ht="15.75" customHeight="1">
      <c r="A232" s="240"/>
      <c r="B232" s="240"/>
      <c r="C232" s="240"/>
      <c r="D232" s="240"/>
      <c r="E232" s="240"/>
      <c r="F232" s="240"/>
      <c r="G232" s="240"/>
      <c r="H232" s="240"/>
      <c r="I232" s="240"/>
      <c r="J232" s="240"/>
      <c r="K232" s="240"/>
      <c r="L232" s="240"/>
      <c r="M232" s="240"/>
      <c r="N232" s="240"/>
      <c r="O232" s="1028"/>
      <c r="P232" s="240"/>
      <c r="Q232" s="240"/>
      <c r="R232" s="240"/>
      <c r="S232" s="240"/>
      <c r="T232" s="240"/>
      <c r="U232" s="240"/>
      <c r="V232" s="240"/>
      <c r="W232" s="240"/>
      <c r="X232" s="240"/>
      <c r="Y232" s="240"/>
      <c r="Z232" s="240"/>
      <c r="AA232" s="240"/>
      <c r="AB232" s="240"/>
      <c r="AC232" s="240"/>
      <c r="AD232" s="240"/>
      <c r="AE232" s="240"/>
      <c r="AF232" s="240"/>
      <c r="AG232" s="240"/>
      <c r="AH232" s="240"/>
      <c r="AI232" s="240"/>
    </row>
    <row r="233" ht="15.75" customHeight="1">
      <c r="A233" s="240"/>
      <c r="B233" s="240"/>
      <c r="C233" s="240"/>
      <c r="D233" s="240"/>
      <c r="E233" s="240"/>
      <c r="F233" s="240"/>
      <c r="G233" s="240"/>
      <c r="H233" s="240"/>
      <c r="I233" s="240"/>
      <c r="J233" s="240"/>
      <c r="K233" s="240"/>
      <c r="L233" s="240"/>
      <c r="M233" s="240"/>
      <c r="N233" s="240"/>
      <c r="O233" s="1028"/>
      <c r="P233" s="240"/>
      <c r="Q233" s="240"/>
      <c r="R233" s="240"/>
      <c r="S233" s="240"/>
      <c r="T233" s="240"/>
      <c r="U233" s="240"/>
      <c r="V233" s="240"/>
      <c r="W233" s="240"/>
      <c r="X233" s="240"/>
      <c r="Y233" s="240"/>
      <c r="Z233" s="240"/>
      <c r="AA233" s="240"/>
      <c r="AB233" s="240"/>
      <c r="AC233" s="240"/>
      <c r="AD233" s="240"/>
      <c r="AE233" s="240"/>
      <c r="AF233" s="240"/>
      <c r="AG233" s="240"/>
      <c r="AH233" s="240"/>
      <c r="AI233" s="240"/>
    </row>
    <row r="234" ht="15.75" customHeight="1">
      <c r="A234" s="240"/>
      <c r="B234" s="240"/>
      <c r="C234" s="240"/>
      <c r="D234" s="240"/>
      <c r="E234" s="240"/>
      <c r="F234" s="240"/>
      <c r="G234" s="240"/>
      <c r="H234" s="240"/>
      <c r="I234" s="240"/>
      <c r="J234" s="240"/>
      <c r="K234" s="240"/>
      <c r="L234" s="240"/>
      <c r="M234" s="240"/>
      <c r="N234" s="240"/>
      <c r="O234" s="1028"/>
      <c r="P234" s="240"/>
      <c r="Q234" s="240"/>
      <c r="R234" s="240"/>
      <c r="S234" s="240"/>
      <c r="T234" s="240"/>
      <c r="U234" s="240"/>
      <c r="V234" s="240"/>
      <c r="W234" s="240"/>
      <c r="X234" s="240"/>
      <c r="Y234" s="240"/>
      <c r="Z234" s="240"/>
      <c r="AA234" s="240"/>
      <c r="AB234" s="240"/>
      <c r="AC234" s="240"/>
      <c r="AD234" s="240"/>
      <c r="AE234" s="240"/>
      <c r="AF234" s="240"/>
      <c r="AG234" s="240"/>
      <c r="AH234" s="240"/>
      <c r="AI234" s="240"/>
    </row>
    <row r="235" ht="15.75" customHeight="1">
      <c r="A235" s="240"/>
      <c r="B235" s="240"/>
      <c r="C235" s="240"/>
      <c r="D235" s="240"/>
      <c r="E235" s="240"/>
      <c r="F235" s="240"/>
      <c r="G235" s="240"/>
      <c r="H235" s="240"/>
      <c r="I235" s="240"/>
      <c r="J235" s="240"/>
      <c r="K235" s="240"/>
      <c r="L235" s="240"/>
      <c r="M235" s="240"/>
      <c r="N235" s="240"/>
      <c r="O235" s="1028"/>
      <c r="P235" s="240"/>
      <c r="Q235" s="240"/>
      <c r="R235" s="240"/>
      <c r="S235" s="240"/>
      <c r="T235" s="240"/>
      <c r="U235" s="240"/>
      <c r="V235" s="240"/>
      <c r="W235" s="240"/>
      <c r="X235" s="240"/>
      <c r="Y235" s="240"/>
      <c r="Z235" s="240"/>
      <c r="AA235" s="240"/>
      <c r="AB235" s="240"/>
      <c r="AC235" s="240"/>
      <c r="AD235" s="240"/>
      <c r="AE235" s="240"/>
      <c r="AF235" s="240"/>
      <c r="AG235" s="240"/>
      <c r="AH235" s="240"/>
      <c r="AI235" s="240"/>
    </row>
    <row r="236" ht="15.75" customHeight="1">
      <c r="A236" s="240"/>
      <c r="B236" s="240"/>
      <c r="C236" s="240"/>
      <c r="D236" s="240"/>
      <c r="E236" s="240"/>
      <c r="F236" s="240"/>
      <c r="G236" s="240"/>
      <c r="H236" s="240"/>
      <c r="I236" s="240"/>
      <c r="J236" s="240"/>
      <c r="K236" s="240"/>
      <c r="L236" s="240"/>
      <c r="M236" s="240"/>
      <c r="N236" s="240"/>
      <c r="O236" s="1028"/>
      <c r="P236" s="240"/>
      <c r="Q236" s="240"/>
      <c r="R236" s="240"/>
      <c r="S236" s="240"/>
      <c r="T236" s="240"/>
      <c r="U236" s="240"/>
      <c r="V236" s="240"/>
      <c r="W236" s="240"/>
      <c r="X236" s="240"/>
      <c r="Y236" s="240"/>
      <c r="Z236" s="240"/>
      <c r="AA236" s="240"/>
      <c r="AB236" s="240"/>
      <c r="AC236" s="240"/>
      <c r="AD236" s="240"/>
      <c r="AE236" s="240"/>
      <c r="AF236" s="240"/>
      <c r="AG236" s="240"/>
      <c r="AH236" s="240"/>
      <c r="AI236" s="240"/>
    </row>
    <row r="237" ht="15.75" customHeight="1">
      <c r="A237" s="240"/>
      <c r="B237" s="240"/>
      <c r="C237" s="240"/>
      <c r="D237" s="240"/>
      <c r="E237" s="240"/>
      <c r="F237" s="240"/>
      <c r="G237" s="240"/>
      <c r="H237" s="240"/>
      <c r="I237" s="240"/>
      <c r="J237" s="240"/>
      <c r="K237" s="240"/>
      <c r="L237" s="240"/>
      <c r="M237" s="240"/>
      <c r="N237" s="240"/>
      <c r="O237" s="1028"/>
      <c r="P237" s="240"/>
      <c r="Q237" s="240"/>
      <c r="R237" s="240"/>
      <c r="S237" s="240"/>
      <c r="T237" s="240"/>
      <c r="U237" s="240"/>
      <c r="V237" s="240"/>
      <c r="W237" s="240"/>
      <c r="X237" s="240"/>
      <c r="Y237" s="240"/>
      <c r="Z237" s="240"/>
      <c r="AA237" s="240"/>
      <c r="AB237" s="240"/>
      <c r="AC237" s="240"/>
      <c r="AD237" s="240"/>
      <c r="AE237" s="240"/>
      <c r="AF237" s="240"/>
      <c r="AG237" s="240"/>
      <c r="AH237" s="240"/>
      <c r="AI237" s="240"/>
    </row>
    <row r="238" ht="15.75" customHeight="1">
      <c r="A238" s="240"/>
      <c r="B238" s="240"/>
      <c r="C238" s="240"/>
      <c r="D238" s="240"/>
      <c r="E238" s="240"/>
      <c r="F238" s="240"/>
      <c r="G238" s="240"/>
      <c r="H238" s="240"/>
      <c r="I238" s="240"/>
      <c r="J238" s="240"/>
      <c r="K238" s="240"/>
      <c r="L238" s="240"/>
      <c r="M238" s="240"/>
      <c r="N238" s="240"/>
      <c r="O238" s="1028"/>
      <c r="P238" s="240"/>
      <c r="Q238" s="240"/>
      <c r="R238" s="240"/>
      <c r="S238" s="240"/>
      <c r="T238" s="240"/>
      <c r="U238" s="240"/>
      <c r="V238" s="240"/>
      <c r="W238" s="240"/>
      <c r="X238" s="240"/>
      <c r="Y238" s="240"/>
      <c r="Z238" s="240"/>
      <c r="AA238" s="240"/>
      <c r="AB238" s="240"/>
      <c r="AC238" s="240"/>
      <c r="AD238" s="240"/>
      <c r="AE238" s="240"/>
      <c r="AF238" s="240"/>
      <c r="AG238" s="240"/>
      <c r="AH238" s="240"/>
      <c r="AI238" s="240"/>
    </row>
    <row r="239" ht="15.75" customHeight="1">
      <c r="A239" s="240"/>
      <c r="B239" s="240"/>
      <c r="C239" s="240"/>
      <c r="D239" s="240"/>
      <c r="E239" s="240"/>
      <c r="F239" s="240"/>
      <c r="G239" s="240"/>
      <c r="H239" s="240"/>
      <c r="I239" s="240"/>
      <c r="J239" s="240"/>
      <c r="K239" s="240"/>
      <c r="L239" s="240"/>
      <c r="M239" s="240"/>
      <c r="N239" s="240"/>
      <c r="O239" s="1028"/>
      <c r="P239" s="240"/>
      <c r="Q239" s="240"/>
      <c r="R239" s="240"/>
      <c r="S239" s="240"/>
      <c r="T239" s="240"/>
      <c r="U239" s="240"/>
      <c r="V239" s="240"/>
      <c r="W239" s="240"/>
      <c r="X239" s="240"/>
      <c r="Y239" s="240"/>
      <c r="Z239" s="240"/>
      <c r="AA239" s="240"/>
      <c r="AB239" s="240"/>
      <c r="AC239" s="240"/>
      <c r="AD239" s="240"/>
      <c r="AE239" s="240"/>
      <c r="AF239" s="240"/>
      <c r="AG239" s="240"/>
      <c r="AH239" s="240"/>
      <c r="AI239" s="240"/>
    </row>
    <row r="240" ht="15.75" customHeight="1">
      <c r="A240" s="240"/>
      <c r="B240" s="240"/>
      <c r="C240" s="240"/>
      <c r="D240" s="240"/>
      <c r="E240" s="240"/>
      <c r="F240" s="240"/>
      <c r="G240" s="240"/>
      <c r="H240" s="240"/>
      <c r="I240" s="240"/>
      <c r="J240" s="240"/>
      <c r="K240" s="240"/>
      <c r="L240" s="240"/>
      <c r="M240" s="240"/>
      <c r="N240" s="240"/>
      <c r="O240" s="1028"/>
      <c r="P240" s="240"/>
      <c r="Q240" s="240"/>
      <c r="R240" s="240"/>
      <c r="S240" s="240"/>
      <c r="T240" s="240"/>
      <c r="U240" s="240"/>
      <c r="V240" s="240"/>
      <c r="W240" s="240"/>
      <c r="X240" s="240"/>
      <c r="Y240" s="240"/>
      <c r="Z240" s="240"/>
      <c r="AA240" s="240"/>
      <c r="AB240" s="240"/>
      <c r="AC240" s="240"/>
      <c r="AD240" s="240"/>
      <c r="AE240" s="240"/>
      <c r="AF240" s="240"/>
      <c r="AG240" s="240"/>
      <c r="AH240" s="240"/>
      <c r="AI240" s="240"/>
    </row>
    <row r="241" ht="15.75" customHeight="1">
      <c r="A241" s="240"/>
      <c r="B241" s="240"/>
      <c r="C241" s="240"/>
      <c r="D241" s="240"/>
      <c r="E241" s="240"/>
      <c r="F241" s="240"/>
      <c r="G241" s="240"/>
      <c r="H241" s="240"/>
      <c r="I241" s="240"/>
      <c r="J241" s="240"/>
      <c r="K241" s="240"/>
      <c r="L241" s="240"/>
      <c r="M241" s="240"/>
      <c r="N241" s="240"/>
      <c r="O241" s="1028"/>
      <c r="P241" s="240"/>
      <c r="Q241" s="240"/>
      <c r="R241" s="240"/>
      <c r="S241" s="240"/>
      <c r="T241" s="240"/>
      <c r="U241" s="240"/>
      <c r="V241" s="240"/>
      <c r="W241" s="240"/>
      <c r="X241" s="240"/>
      <c r="Y241" s="240"/>
      <c r="Z241" s="240"/>
      <c r="AA241" s="240"/>
      <c r="AB241" s="240"/>
      <c r="AC241" s="240"/>
      <c r="AD241" s="240"/>
      <c r="AE241" s="240"/>
      <c r="AF241" s="240"/>
      <c r="AG241" s="240"/>
      <c r="AH241" s="240"/>
      <c r="AI241" s="240"/>
    </row>
    <row r="242" ht="15.75" customHeight="1">
      <c r="A242" s="240"/>
      <c r="B242" s="240"/>
      <c r="C242" s="240"/>
      <c r="D242" s="240"/>
      <c r="E242" s="240"/>
      <c r="F242" s="240"/>
      <c r="G242" s="240"/>
      <c r="H242" s="240"/>
      <c r="I242" s="240"/>
      <c r="J242" s="240"/>
      <c r="K242" s="240"/>
      <c r="L242" s="240"/>
      <c r="M242" s="240"/>
      <c r="N242" s="240"/>
      <c r="O242" s="1028"/>
      <c r="P242" s="240"/>
      <c r="Q242" s="240"/>
      <c r="R242" s="240"/>
      <c r="S242" s="240"/>
      <c r="T242" s="240"/>
      <c r="U242" s="240"/>
      <c r="V242" s="240"/>
      <c r="W242" s="240"/>
      <c r="X242" s="240"/>
      <c r="Y242" s="240"/>
      <c r="Z242" s="240"/>
      <c r="AA242" s="240"/>
      <c r="AB242" s="240"/>
      <c r="AC242" s="240"/>
      <c r="AD242" s="240"/>
      <c r="AE242" s="240"/>
      <c r="AF242" s="240"/>
      <c r="AG242" s="240"/>
      <c r="AH242" s="240"/>
      <c r="AI242" s="240"/>
    </row>
    <row r="243" ht="15.75" customHeight="1">
      <c r="A243" s="240"/>
      <c r="B243" s="240"/>
      <c r="C243" s="240"/>
      <c r="D243" s="240"/>
      <c r="E243" s="240"/>
      <c r="F243" s="240"/>
      <c r="G243" s="240"/>
      <c r="H243" s="240"/>
      <c r="I243" s="240"/>
      <c r="J243" s="240"/>
      <c r="K243" s="240"/>
      <c r="L243" s="240"/>
      <c r="M243" s="240"/>
      <c r="N243" s="240"/>
      <c r="O243" s="1028"/>
      <c r="P243" s="240"/>
      <c r="Q243" s="240"/>
      <c r="R243" s="240"/>
      <c r="S243" s="240"/>
      <c r="T243" s="240"/>
      <c r="U243" s="240"/>
      <c r="V243" s="240"/>
      <c r="W243" s="240"/>
      <c r="X243" s="240"/>
      <c r="Y243" s="240"/>
      <c r="Z243" s="240"/>
      <c r="AA243" s="240"/>
      <c r="AB243" s="240"/>
      <c r="AC243" s="240"/>
      <c r="AD243" s="240"/>
      <c r="AE243" s="240"/>
      <c r="AF243" s="240"/>
      <c r="AG243" s="240"/>
      <c r="AH243" s="240"/>
      <c r="AI243" s="240"/>
    </row>
    <row r="244" ht="15.75" customHeight="1">
      <c r="A244" s="240"/>
      <c r="B244" s="240"/>
      <c r="C244" s="240"/>
      <c r="D244" s="240"/>
      <c r="E244" s="240"/>
      <c r="F244" s="240"/>
      <c r="G244" s="240"/>
      <c r="H244" s="240"/>
      <c r="I244" s="240"/>
      <c r="J244" s="240"/>
      <c r="K244" s="240"/>
      <c r="L244" s="240"/>
      <c r="M244" s="240"/>
      <c r="N244" s="240"/>
      <c r="O244" s="1028"/>
      <c r="P244" s="240"/>
      <c r="Q244" s="240"/>
      <c r="R244" s="240"/>
      <c r="S244" s="240"/>
      <c r="T244" s="240"/>
      <c r="U244" s="240"/>
      <c r="V244" s="240"/>
      <c r="W244" s="240"/>
      <c r="X244" s="240"/>
      <c r="Y244" s="240"/>
      <c r="Z244" s="240"/>
      <c r="AA244" s="240"/>
      <c r="AB244" s="240"/>
      <c r="AC244" s="240"/>
      <c r="AD244" s="240"/>
      <c r="AE244" s="240"/>
      <c r="AF244" s="240"/>
      <c r="AG244" s="240"/>
      <c r="AH244" s="240"/>
      <c r="AI244" s="240"/>
    </row>
    <row r="245" ht="15.75" customHeight="1">
      <c r="A245" s="240"/>
      <c r="B245" s="240"/>
      <c r="C245" s="240"/>
      <c r="D245" s="240"/>
      <c r="E245" s="240"/>
      <c r="F245" s="240"/>
      <c r="G245" s="240"/>
      <c r="H245" s="240"/>
      <c r="I245" s="240"/>
      <c r="J245" s="240"/>
      <c r="K245" s="240"/>
      <c r="L245" s="240"/>
      <c r="M245" s="240"/>
      <c r="N245" s="240"/>
      <c r="O245" s="1028"/>
      <c r="P245" s="240"/>
      <c r="Q245" s="240"/>
      <c r="R245" s="240"/>
      <c r="S245" s="240"/>
      <c r="T245" s="240"/>
      <c r="U245" s="240"/>
      <c r="V245" s="240"/>
      <c r="W245" s="240"/>
      <c r="X245" s="240"/>
      <c r="Y245" s="240"/>
      <c r="Z245" s="240"/>
      <c r="AA245" s="240"/>
      <c r="AB245" s="240"/>
      <c r="AC245" s="240"/>
      <c r="AD245" s="240"/>
      <c r="AE245" s="240"/>
      <c r="AF245" s="240"/>
      <c r="AG245" s="240"/>
      <c r="AH245" s="240"/>
      <c r="AI245" s="240"/>
    </row>
    <row r="246" ht="15.75" customHeight="1">
      <c r="A246" s="240"/>
      <c r="B246" s="240"/>
      <c r="C246" s="240"/>
      <c r="D246" s="240"/>
      <c r="E246" s="240"/>
      <c r="F246" s="240"/>
      <c r="G246" s="240"/>
      <c r="H246" s="240"/>
      <c r="I246" s="240"/>
      <c r="J246" s="240"/>
      <c r="K246" s="240"/>
      <c r="L246" s="240"/>
      <c r="M246" s="240"/>
      <c r="N246" s="240"/>
      <c r="O246" s="1028"/>
      <c r="P246" s="240"/>
      <c r="Q246" s="240"/>
      <c r="R246" s="240"/>
      <c r="S246" s="240"/>
      <c r="T246" s="240"/>
      <c r="U246" s="240"/>
      <c r="V246" s="240"/>
      <c r="W246" s="240"/>
      <c r="X246" s="240"/>
      <c r="Y246" s="240"/>
      <c r="Z246" s="240"/>
      <c r="AA246" s="240"/>
      <c r="AB246" s="240"/>
      <c r="AC246" s="240"/>
      <c r="AD246" s="240"/>
      <c r="AE246" s="240"/>
      <c r="AF246" s="240"/>
      <c r="AG246" s="240"/>
      <c r="AH246" s="240"/>
      <c r="AI246" s="240"/>
    </row>
    <row r="247" ht="15.75" customHeight="1">
      <c r="A247" s="240"/>
      <c r="B247" s="240"/>
      <c r="C247" s="240"/>
      <c r="D247" s="240"/>
      <c r="E247" s="240"/>
      <c r="F247" s="240"/>
      <c r="G247" s="240"/>
      <c r="H247" s="240"/>
      <c r="I247" s="240"/>
      <c r="J247" s="240"/>
      <c r="K247" s="240"/>
      <c r="L247" s="240"/>
      <c r="M247" s="240"/>
      <c r="N247" s="240"/>
      <c r="O247" s="1028"/>
      <c r="P247" s="240"/>
      <c r="Q247" s="240"/>
      <c r="R247" s="240"/>
      <c r="S247" s="240"/>
      <c r="T247" s="240"/>
      <c r="U247" s="240"/>
      <c r="V247" s="240"/>
      <c r="W247" s="240"/>
      <c r="X247" s="240"/>
      <c r="Y247" s="240"/>
      <c r="Z247" s="240"/>
      <c r="AA247" s="240"/>
      <c r="AB247" s="240"/>
      <c r="AC247" s="240"/>
      <c r="AD247" s="240"/>
      <c r="AE247" s="240"/>
      <c r="AF247" s="240"/>
      <c r="AG247" s="240"/>
      <c r="AH247" s="240"/>
      <c r="AI247" s="240"/>
    </row>
    <row r="248" ht="15.75" customHeight="1">
      <c r="A248" s="240"/>
      <c r="B248" s="240"/>
      <c r="C248" s="240"/>
      <c r="D248" s="240"/>
      <c r="E248" s="240"/>
      <c r="F248" s="240"/>
      <c r="G248" s="240"/>
      <c r="H248" s="240"/>
      <c r="I248" s="240"/>
      <c r="J248" s="240"/>
      <c r="K248" s="240"/>
      <c r="L248" s="240"/>
      <c r="M248" s="240"/>
      <c r="N248" s="240"/>
      <c r="O248" s="1028"/>
      <c r="P248" s="240"/>
      <c r="Q248" s="240"/>
      <c r="R248" s="240"/>
      <c r="S248" s="240"/>
      <c r="T248" s="240"/>
      <c r="U248" s="240"/>
      <c r="V248" s="240"/>
      <c r="W248" s="240"/>
      <c r="X248" s="240"/>
      <c r="Y248" s="240"/>
      <c r="Z248" s="240"/>
      <c r="AA248" s="240"/>
      <c r="AB248" s="240"/>
      <c r="AC248" s="240"/>
      <c r="AD248" s="240"/>
      <c r="AE248" s="240"/>
      <c r="AF248" s="240"/>
      <c r="AG248" s="240"/>
      <c r="AH248" s="240"/>
      <c r="AI248" s="240"/>
    </row>
    <row r="249" ht="15.75" customHeight="1">
      <c r="A249" s="240"/>
      <c r="B249" s="240"/>
      <c r="C249" s="240"/>
      <c r="D249" s="240"/>
      <c r="E249" s="240"/>
      <c r="F249" s="240"/>
      <c r="G249" s="240"/>
      <c r="H249" s="240"/>
      <c r="I249" s="240"/>
      <c r="J249" s="240"/>
      <c r="K249" s="240"/>
      <c r="L249" s="240"/>
      <c r="M249" s="240"/>
      <c r="N249" s="240"/>
      <c r="O249" s="1028"/>
      <c r="P249" s="240"/>
      <c r="Q249" s="240"/>
      <c r="R249" s="240"/>
      <c r="S249" s="240"/>
      <c r="T249" s="240"/>
      <c r="U249" s="240"/>
      <c r="V249" s="240"/>
      <c r="W249" s="240"/>
      <c r="X249" s="240"/>
      <c r="Y249" s="240"/>
      <c r="Z249" s="240"/>
      <c r="AA249" s="240"/>
      <c r="AB249" s="240"/>
      <c r="AC249" s="240"/>
      <c r="AD249" s="240"/>
      <c r="AE249" s="240"/>
      <c r="AF249" s="240"/>
      <c r="AG249" s="240"/>
      <c r="AH249" s="240"/>
      <c r="AI249" s="240"/>
    </row>
    <row r="250" ht="15.75" customHeight="1">
      <c r="A250" s="240"/>
      <c r="B250" s="240"/>
      <c r="C250" s="240"/>
      <c r="D250" s="240"/>
      <c r="E250" s="240"/>
      <c r="F250" s="240"/>
      <c r="G250" s="240"/>
      <c r="H250" s="240"/>
      <c r="I250" s="240"/>
      <c r="J250" s="240"/>
      <c r="K250" s="240"/>
      <c r="L250" s="240"/>
      <c r="M250" s="240"/>
      <c r="N250" s="240"/>
      <c r="O250" s="1028"/>
      <c r="P250" s="240"/>
      <c r="Q250" s="240"/>
      <c r="R250" s="240"/>
      <c r="S250" s="240"/>
      <c r="T250" s="240"/>
      <c r="U250" s="240"/>
      <c r="V250" s="240"/>
      <c r="W250" s="240"/>
      <c r="X250" s="240"/>
      <c r="Y250" s="240"/>
      <c r="Z250" s="240"/>
      <c r="AA250" s="240"/>
      <c r="AB250" s="240"/>
      <c r="AC250" s="240"/>
      <c r="AD250" s="240"/>
      <c r="AE250" s="240"/>
      <c r="AF250" s="240"/>
      <c r="AG250" s="240"/>
      <c r="AH250" s="240"/>
      <c r="AI250" s="240"/>
    </row>
    <row r="251" ht="15.75" customHeight="1">
      <c r="A251" s="240"/>
      <c r="B251" s="240"/>
      <c r="C251" s="240"/>
      <c r="D251" s="240"/>
      <c r="E251" s="240"/>
      <c r="F251" s="240"/>
      <c r="G251" s="240"/>
      <c r="H251" s="240"/>
      <c r="I251" s="240"/>
      <c r="J251" s="240"/>
      <c r="K251" s="240"/>
      <c r="L251" s="240"/>
      <c r="M251" s="240"/>
      <c r="N251" s="240"/>
      <c r="O251" s="1028"/>
      <c r="P251" s="240"/>
      <c r="Q251" s="240"/>
      <c r="R251" s="240"/>
      <c r="S251" s="240"/>
      <c r="T251" s="240"/>
      <c r="U251" s="240"/>
      <c r="V251" s="240"/>
      <c r="W251" s="240"/>
      <c r="X251" s="240"/>
      <c r="Y251" s="240"/>
      <c r="Z251" s="240"/>
      <c r="AA251" s="240"/>
      <c r="AB251" s="240"/>
      <c r="AC251" s="240"/>
      <c r="AD251" s="240"/>
      <c r="AE251" s="240"/>
      <c r="AF251" s="240"/>
      <c r="AG251" s="240"/>
      <c r="AH251" s="240"/>
      <c r="AI251" s="240"/>
    </row>
    <row r="252" ht="15.75" customHeight="1">
      <c r="A252" s="240"/>
      <c r="B252" s="240"/>
      <c r="C252" s="240"/>
      <c r="D252" s="240"/>
      <c r="E252" s="240"/>
      <c r="F252" s="240"/>
      <c r="G252" s="240"/>
      <c r="H252" s="240"/>
      <c r="I252" s="240"/>
      <c r="J252" s="240"/>
      <c r="K252" s="240"/>
      <c r="L252" s="240"/>
      <c r="M252" s="240"/>
      <c r="N252" s="240"/>
      <c r="O252" s="1028"/>
      <c r="P252" s="240"/>
      <c r="Q252" s="240"/>
      <c r="R252" s="240"/>
      <c r="S252" s="240"/>
      <c r="T252" s="240"/>
      <c r="U252" s="240"/>
      <c r="V252" s="240"/>
      <c r="W252" s="240"/>
      <c r="X252" s="240"/>
      <c r="Y252" s="240"/>
      <c r="Z252" s="240"/>
      <c r="AA252" s="240"/>
      <c r="AB252" s="240"/>
      <c r="AC252" s="240"/>
      <c r="AD252" s="240"/>
      <c r="AE252" s="240"/>
      <c r="AF252" s="240"/>
      <c r="AG252" s="240"/>
      <c r="AH252" s="240"/>
      <c r="AI252" s="240"/>
    </row>
    <row r="253" ht="15.75" customHeight="1">
      <c r="A253" s="240"/>
      <c r="B253" s="240"/>
      <c r="C253" s="240"/>
      <c r="D253" s="240"/>
      <c r="E253" s="240"/>
      <c r="F253" s="240"/>
      <c r="G253" s="240"/>
      <c r="H253" s="240"/>
      <c r="I253" s="240"/>
      <c r="J253" s="240"/>
      <c r="K253" s="240"/>
      <c r="L253" s="240"/>
      <c r="M253" s="240"/>
      <c r="N253" s="240"/>
      <c r="O253" s="1028"/>
      <c r="P253" s="240"/>
      <c r="Q253" s="240"/>
      <c r="R253" s="240"/>
      <c r="S253" s="240"/>
      <c r="T253" s="240"/>
      <c r="U253" s="240"/>
      <c r="V253" s="240"/>
      <c r="W253" s="240"/>
      <c r="X253" s="240"/>
      <c r="Y253" s="240"/>
      <c r="Z253" s="240"/>
      <c r="AA253" s="240"/>
      <c r="AB253" s="240"/>
      <c r="AC253" s="240"/>
      <c r="AD253" s="240"/>
      <c r="AE253" s="240"/>
      <c r="AF253" s="240"/>
      <c r="AG253" s="240"/>
      <c r="AH253" s="240"/>
      <c r="AI253" s="240"/>
    </row>
    <row r="254" ht="15.75" customHeight="1">
      <c r="A254" s="240"/>
      <c r="B254" s="240"/>
      <c r="C254" s="240"/>
      <c r="D254" s="240"/>
      <c r="E254" s="240"/>
      <c r="F254" s="240"/>
      <c r="G254" s="240"/>
      <c r="H254" s="240"/>
      <c r="I254" s="240"/>
      <c r="J254" s="240"/>
      <c r="K254" s="240"/>
      <c r="L254" s="240"/>
      <c r="M254" s="240"/>
      <c r="N254" s="240"/>
      <c r="O254" s="1028"/>
      <c r="P254" s="240"/>
      <c r="Q254" s="240"/>
      <c r="R254" s="240"/>
      <c r="S254" s="240"/>
      <c r="T254" s="240"/>
      <c r="U254" s="240"/>
      <c r="V254" s="240"/>
      <c r="W254" s="240"/>
      <c r="X254" s="240"/>
      <c r="Y254" s="240"/>
      <c r="Z254" s="240"/>
      <c r="AA254" s="240"/>
      <c r="AB254" s="240"/>
      <c r="AC254" s="240"/>
      <c r="AD254" s="240"/>
      <c r="AE254" s="240"/>
      <c r="AF254" s="240"/>
      <c r="AG254" s="240"/>
      <c r="AH254" s="240"/>
      <c r="AI254" s="240"/>
    </row>
    <row r="255" ht="15.75" customHeight="1">
      <c r="A255" s="240"/>
      <c r="B255" s="240"/>
      <c r="C255" s="240"/>
      <c r="D255" s="240"/>
      <c r="E255" s="240"/>
      <c r="F255" s="240"/>
      <c r="G255" s="240"/>
      <c r="H255" s="240"/>
      <c r="I255" s="240"/>
      <c r="J255" s="240"/>
      <c r="K255" s="240"/>
      <c r="L255" s="240"/>
      <c r="M255" s="240"/>
      <c r="N255" s="240"/>
      <c r="O255" s="1028"/>
      <c r="P255" s="240"/>
      <c r="Q255" s="240"/>
      <c r="R255" s="240"/>
      <c r="S255" s="240"/>
      <c r="T255" s="240"/>
      <c r="U255" s="240"/>
      <c r="V255" s="240"/>
      <c r="W255" s="240"/>
      <c r="X255" s="240"/>
      <c r="Y255" s="240"/>
      <c r="Z255" s="240"/>
      <c r="AA255" s="240"/>
      <c r="AB255" s="240"/>
      <c r="AC255" s="240"/>
      <c r="AD255" s="240"/>
      <c r="AE255" s="240"/>
      <c r="AF255" s="240"/>
      <c r="AG255" s="240"/>
      <c r="AH255" s="240"/>
      <c r="AI255" s="240"/>
    </row>
    <row r="256" ht="15.75" customHeight="1">
      <c r="A256" s="240"/>
      <c r="B256" s="240"/>
      <c r="C256" s="240"/>
      <c r="D256" s="240"/>
      <c r="E256" s="240"/>
      <c r="F256" s="240"/>
      <c r="G256" s="240"/>
      <c r="H256" s="240"/>
      <c r="I256" s="240"/>
      <c r="J256" s="240"/>
      <c r="K256" s="240"/>
      <c r="L256" s="240"/>
      <c r="M256" s="240"/>
      <c r="N256" s="240"/>
      <c r="O256" s="1028"/>
      <c r="P256" s="240"/>
      <c r="Q256" s="240"/>
      <c r="R256" s="240"/>
      <c r="S256" s="240"/>
      <c r="T256" s="240"/>
      <c r="U256" s="240"/>
      <c r="V256" s="240"/>
      <c r="W256" s="240"/>
      <c r="X256" s="240"/>
      <c r="Y256" s="240"/>
      <c r="Z256" s="240"/>
      <c r="AA256" s="240"/>
      <c r="AB256" s="240"/>
      <c r="AC256" s="240"/>
      <c r="AD256" s="240"/>
      <c r="AE256" s="240"/>
      <c r="AF256" s="240"/>
      <c r="AG256" s="240"/>
      <c r="AH256" s="240"/>
      <c r="AI256" s="240"/>
    </row>
    <row r="257" ht="15.75" customHeight="1">
      <c r="A257" s="240"/>
      <c r="B257" s="240"/>
      <c r="C257" s="240"/>
      <c r="D257" s="240"/>
      <c r="E257" s="240"/>
      <c r="F257" s="240"/>
      <c r="G257" s="240"/>
      <c r="H257" s="240"/>
      <c r="I257" s="240"/>
      <c r="J257" s="240"/>
      <c r="K257" s="240"/>
      <c r="L257" s="240"/>
      <c r="M257" s="240"/>
      <c r="N257" s="240"/>
      <c r="O257" s="1028"/>
      <c r="P257" s="240"/>
      <c r="Q257" s="240"/>
      <c r="R257" s="240"/>
      <c r="S257" s="240"/>
      <c r="T257" s="240"/>
      <c r="U257" s="240"/>
      <c r="V257" s="240"/>
      <c r="W257" s="240"/>
      <c r="X257" s="240"/>
      <c r="Y257" s="240"/>
      <c r="Z257" s="240"/>
      <c r="AA257" s="240"/>
      <c r="AB257" s="240"/>
      <c r="AC257" s="240"/>
      <c r="AD257" s="240"/>
      <c r="AE257" s="240"/>
      <c r="AF257" s="240"/>
      <c r="AG257" s="240"/>
      <c r="AH257" s="240"/>
      <c r="AI257" s="240"/>
    </row>
    <row r="258" ht="15.75" customHeight="1">
      <c r="A258" s="240"/>
      <c r="B258" s="240"/>
      <c r="C258" s="240"/>
      <c r="D258" s="240"/>
      <c r="E258" s="240"/>
      <c r="F258" s="240"/>
      <c r="G258" s="240"/>
      <c r="H258" s="240"/>
      <c r="I258" s="240"/>
      <c r="J258" s="240"/>
      <c r="K258" s="240"/>
      <c r="L258" s="240"/>
      <c r="M258" s="240"/>
      <c r="N258" s="240"/>
      <c r="O258" s="1028"/>
      <c r="P258" s="240"/>
      <c r="Q258" s="240"/>
      <c r="R258" s="240"/>
      <c r="S258" s="240"/>
      <c r="T258" s="240"/>
      <c r="U258" s="240"/>
      <c r="V258" s="240"/>
      <c r="W258" s="240"/>
      <c r="X258" s="240"/>
      <c r="Y258" s="240"/>
      <c r="Z258" s="240"/>
      <c r="AA258" s="240"/>
      <c r="AB258" s="240"/>
      <c r="AC258" s="240"/>
      <c r="AD258" s="240"/>
      <c r="AE258" s="240"/>
      <c r="AF258" s="240"/>
      <c r="AG258" s="240"/>
      <c r="AH258" s="240"/>
      <c r="AI258" s="240"/>
    </row>
    <row r="259" ht="15.75" customHeight="1">
      <c r="A259" s="240"/>
      <c r="B259" s="240"/>
      <c r="C259" s="240"/>
      <c r="D259" s="240"/>
      <c r="E259" s="240"/>
      <c r="F259" s="240"/>
      <c r="G259" s="240"/>
      <c r="H259" s="240"/>
      <c r="I259" s="240"/>
      <c r="J259" s="240"/>
      <c r="K259" s="240"/>
      <c r="L259" s="240"/>
      <c r="M259" s="240"/>
      <c r="N259" s="240"/>
      <c r="O259" s="1028"/>
      <c r="P259" s="240"/>
      <c r="Q259" s="240"/>
      <c r="R259" s="240"/>
      <c r="S259" s="240"/>
      <c r="T259" s="240"/>
      <c r="U259" s="240"/>
      <c r="V259" s="240"/>
      <c r="W259" s="240"/>
      <c r="X259" s="240"/>
      <c r="Y259" s="240"/>
      <c r="Z259" s="240"/>
      <c r="AA259" s="240"/>
      <c r="AB259" s="240"/>
      <c r="AC259" s="240"/>
      <c r="AD259" s="240"/>
      <c r="AE259" s="240"/>
      <c r="AF259" s="240"/>
      <c r="AG259" s="240"/>
      <c r="AH259" s="240"/>
      <c r="AI259" s="240"/>
    </row>
    <row r="260" ht="15.75" customHeight="1">
      <c r="A260" s="240"/>
      <c r="B260" s="240"/>
      <c r="C260" s="240"/>
      <c r="D260" s="240"/>
      <c r="E260" s="240"/>
      <c r="F260" s="240"/>
      <c r="G260" s="240"/>
      <c r="H260" s="240"/>
      <c r="I260" s="240"/>
      <c r="J260" s="240"/>
      <c r="K260" s="240"/>
      <c r="L260" s="240"/>
      <c r="M260" s="240"/>
      <c r="N260" s="240"/>
      <c r="O260" s="1028"/>
      <c r="P260" s="240"/>
      <c r="Q260" s="240"/>
      <c r="R260" s="240"/>
      <c r="S260" s="240"/>
      <c r="T260" s="240"/>
      <c r="U260" s="240"/>
      <c r="V260" s="240"/>
      <c r="W260" s="240"/>
      <c r="X260" s="240"/>
      <c r="Y260" s="240"/>
      <c r="Z260" s="240"/>
      <c r="AA260" s="240"/>
      <c r="AB260" s="240"/>
      <c r="AC260" s="240"/>
      <c r="AD260" s="240"/>
      <c r="AE260" s="240"/>
      <c r="AF260" s="240"/>
      <c r="AG260" s="240"/>
      <c r="AH260" s="240"/>
      <c r="AI260" s="240"/>
    </row>
    <row r="261" ht="15.75" customHeight="1">
      <c r="A261" s="240"/>
      <c r="B261" s="240"/>
      <c r="C261" s="240"/>
      <c r="D261" s="240"/>
      <c r="E261" s="240"/>
      <c r="F261" s="240"/>
      <c r="G261" s="240"/>
      <c r="H261" s="240"/>
      <c r="I261" s="240"/>
      <c r="J261" s="240"/>
      <c r="K261" s="240"/>
      <c r="L261" s="240"/>
      <c r="M261" s="240"/>
      <c r="N261" s="240"/>
      <c r="O261" s="1028"/>
      <c r="P261" s="240"/>
      <c r="Q261" s="240"/>
      <c r="R261" s="240"/>
      <c r="S261" s="240"/>
      <c r="T261" s="240"/>
      <c r="U261" s="240"/>
      <c r="V261" s="240"/>
      <c r="W261" s="240"/>
      <c r="X261" s="240"/>
      <c r="Y261" s="240"/>
      <c r="Z261" s="240"/>
      <c r="AA261" s="240"/>
      <c r="AB261" s="240"/>
      <c r="AC261" s="240"/>
      <c r="AD261" s="240"/>
      <c r="AE261" s="240"/>
      <c r="AF261" s="240"/>
      <c r="AG261" s="240"/>
      <c r="AH261" s="240"/>
      <c r="AI261" s="240"/>
    </row>
    <row r="262" ht="15.75" customHeight="1">
      <c r="A262" s="240"/>
      <c r="B262" s="240"/>
      <c r="C262" s="240"/>
      <c r="D262" s="240"/>
      <c r="E262" s="240"/>
      <c r="F262" s="240"/>
      <c r="G262" s="240"/>
      <c r="H262" s="240"/>
      <c r="I262" s="240"/>
      <c r="J262" s="240"/>
      <c r="K262" s="240"/>
      <c r="L262" s="240"/>
      <c r="M262" s="240"/>
      <c r="N262" s="240"/>
      <c r="O262" s="1028"/>
      <c r="P262" s="240"/>
      <c r="Q262" s="240"/>
      <c r="R262" s="240"/>
      <c r="S262" s="240"/>
      <c r="T262" s="240"/>
      <c r="U262" s="240"/>
      <c r="V262" s="240"/>
      <c r="W262" s="240"/>
      <c r="X262" s="240"/>
      <c r="Y262" s="240"/>
      <c r="Z262" s="240"/>
      <c r="AA262" s="240"/>
      <c r="AB262" s="240"/>
      <c r="AC262" s="240"/>
      <c r="AD262" s="240"/>
      <c r="AE262" s="240"/>
      <c r="AF262" s="240"/>
      <c r="AG262" s="240"/>
      <c r="AH262" s="240"/>
      <c r="AI262" s="240"/>
    </row>
    <row r="263" ht="15.75" customHeight="1">
      <c r="A263" s="240"/>
      <c r="B263" s="240"/>
      <c r="C263" s="240"/>
      <c r="D263" s="240"/>
      <c r="E263" s="240"/>
      <c r="F263" s="240"/>
      <c r="G263" s="240"/>
      <c r="H263" s="240"/>
      <c r="I263" s="240"/>
      <c r="J263" s="240"/>
      <c r="K263" s="240"/>
      <c r="L263" s="240"/>
      <c r="M263" s="240"/>
      <c r="N263" s="240"/>
      <c r="O263" s="1028"/>
      <c r="P263" s="240"/>
      <c r="Q263" s="240"/>
      <c r="R263" s="240"/>
      <c r="S263" s="240"/>
      <c r="T263" s="240"/>
      <c r="U263" s="240"/>
      <c r="V263" s="240"/>
      <c r="W263" s="240"/>
      <c r="X263" s="240"/>
      <c r="Y263" s="240"/>
      <c r="Z263" s="240"/>
      <c r="AA263" s="240"/>
      <c r="AB263" s="240"/>
      <c r="AC263" s="240"/>
      <c r="AD263" s="240"/>
      <c r="AE263" s="240"/>
      <c r="AF263" s="240"/>
      <c r="AG263" s="240"/>
      <c r="AH263" s="240"/>
      <c r="AI263" s="240"/>
    </row>
    <row r="264" ht="15.75" customHeight="1">
      <c r="A264" s="240"/>
      <c r="B264" s="240"/>
      <c r="C264" s="240"/>
      <c r="D264" s="240"/>
      <c r="E264" s="240"/>
      <c r="F264" s="240"/>
      <c r="G264" s="240"/>
      <c r="H264" s="240"/>
      <c r="I264" s="240"/>
      <c r="J264" s="240"/>
      <c r="K264" s="240"/>
      <c r="L264" s="240"/>
      <c r="M264" s="240"/>
      <c r="N264" s="240"/>
      <c r="O264" s="1028"/>
      <c r="P264" s="240"/>
      <c r="Q264" s="240"/>
      <c r="R264" s="240"/>
      <c r="S264" s="240"/>
      <c r="T264" s="240"/>
      <c r="U264" s="240"/>
      <c r="V264" s="240"/>
      <c r="W264" s="240"/>
      <c r="X264" s="240"/>
      <c r="Y264" s="240"/>
      <c r="Z264" s="240"/>
      <c r="AA264" s="240"/>
      <c r="AB264" s="240"/>
      <c r="AC264" s="240"/>
      <c r="AD264" s="240"/>
      <c r="AE264" s="240"/>
      <c r="AF264" s="240"/>
      <c r="AG264" s="240"/>
      <c r="AH264" s="240"/>
      <c r="AI264" s="240"/>
    </row>
    <row r="265" ht="15.75" customHeight="1">
      <c r="A265" s="240"/>
      <c r="B265" s="240"/>
      <c r="C265" s="240"/>
      <c r="D265" s="240"/>
      <c r="E265" s="240"/>
      <c r="F265" s="240"/>
      <c r="G265" s="240"/>
      <c r="H265" s="240"/>
      <c r="I265" s="240"/>
      <c r="J265" s="240"/>
      <c r="K265" s="240"/>
      <c r="L265" s="240"/>
      <c r="M265" s="240"/>
      <c r="N265" s="240"/>
      <c r="O265" s="1028"/>
      <c r="P265" s="240"/>
      <c r="Q265" s="240"/>
      <c r="R265" s="240"/>
      <c r="S265" s="240"/>
      <c r="T265" s="240"/>
      <c r="U265" s="240"/>
      <c r="V265" s="240"/>
      <c r="W265" s="240"/>
      <c r="X265" s="240"/>
      <c r="Y265" s="240"/>
      <c r="Z265" s="240"/>
      <c r="AA265" s="240"/>
      <c r="AB265" s="240"/>
      <c r="AC265" s="240"/>
      <c r="AD265" s="240"/>
      <c r="AE265" s="240"/>
      <c r="AF265" s="240"/>
      <c r="AG265" s="240"/>
      <c r="AH265" s="240"/>
      <c r="AI265" s="240"/>
    </row>
    <row r="266" ht="15.75" customHeight="1">
      <c r="A266" s="240"/>
      <c r="B266" s="240"/>
      <c r="C266" s="240"/>
      <c r="D266" s="240"/>
      <c r="E266" s="240"/>
      <c r="F266" s="240"/>
      <c r="G266" s="240"/>
      <c r="H266" s="240"/>
      <c r="I266" s="240"/>
      <c r="J266" s="240"/>
      <c r="K266" s="240"/>
      <c r="L266" s="240"/>
      <c r="M266" s="240"/>
      <c r="N266" s="240"/>
      <c r="O266" s="1028"/>
      <c r="P266" s="240"/>
      <c r="Q266" s="240"/>
      <c r="R266" s="240"/>
      <c r="S266" s="240"/>
      <c r="T266" s="240"/>
      <c r="U266" s="240"/>
      <c r="V266" s="240"/>
      <c r="W266" s="240"/>
      <c r="X266" s="240"/>
      <c r="Y266" s="240"/>
      <c r="Z266" s="240"/>
      <c r="AA266" s="240"/>
      <c r="AB266" s="240"/>
      <c r="AC266" s="240"/>
      <c r="AD266" s="240"/>
      <c r="AE266" s="240"/>
      <c r="AF266" s="240"/>
      <c r="AG266" s="240"/>
      <c r="AH266" s="240"/>
      <c r="AI266" s="240"/>
    </row>
    <row r="267" ht="15.75" customHeight="1">
      <c r="A267" s="240"/>
      <c r="B267" s="240"/>
      <c r="C267" s="240"/>
      <c r="D267" s="240"/>
      <c r="E267" s="240"/>
      <c r="F267" s="240"/>
      <c r="G267" s="240"/>
      <c r="H267" s="240"/>
      <c r="I267" s="240"/>
      <c r="J267" s="240"/>
      <c r="K267" s="240"/>
      <c r="L267" s="240"/>
      <c r="M267" s="240"/>
      <c r="N267" s="240"/>
      <c r="O267" s="1028"/>
      <c r="P267" s="240"/>
      <c r="Q267" s="240"/>
      <c r="R267" s="240"/>
      <c r="S267" s="240"/>
      <c r="T267" s="240"/>
      <c r="U267" s="240"/>
      <c r="V267" s="240"/>
      <c r="W267" s="240"/>
      <c r="X267" s="240"/>
      <c r="Y267" s="240"/>
      <c r="Z267" s="240"/>
      <c r="AA267" s="240"/>
      <c r="AB267" s="240"/>
      <c r="AC267" s="240"/>
      <c r="AD267" s="240"/>
      <c r="AE267" s="240"/>
      <c r="AF267" s="240"/>
      <c r="AG267" s="240"/>
      <c r="AH267" s="240"/>
      <c r="AI267" s="240"/>
    </row>
    <row r="268" ht="15.75" customHeight="1">
      <c r="A268" s="240"/>
      <c r="B268" s="240"/>
      <c r="C268" s="240"/>
      <c r="D268" s="240"/>
      <c r="E268" s="240"/>
      <c r="F268" s="240"/>
      <c r="G268" s="240"/>
      <c r="H268" s="240"/>
      <c r="I268" s="240"/>
      <c r="J268" s="240"/>
      <c r="K268" s="240"/>
      <c r="L268" s="240"/>
      <c r="M268" s="240"/>
      <c r="N268" s="240"/>
      <c r="O268" s="1028"/>
      <c r="P268" s="240"/>
      <c r="Q268" s="240"/>
      <c r="R268" s="240"/>
      <c r="S268" s="240"/>
      <c r="T268" s="240"/>
      <c r="U268" s="240"/>
      <c r="V268" s="240"/>
      <c r="W268" s="240"/>
      <c r="X268" s="240"/>
      <c r="Y268" s="240"/>
      <c r="Z268" s="240"/>
      <c r="AA268" s="240"/>
      <c r="AB268" s="240"/>
      <c r="AC268" s="240"/>
      <c r="AD268" s="240"/>
      <c r="AE268" s="240"/>
      <c r="AF268" s="240"/>
      <c r="AG268" s="240"/>
      <c r="AH268" s="240"/>
      <c r="AI268" s="240"/>
    </row>
    <row r="269" ht="15.75" customHeight="1">
      <c r="A269" s="240"/>
      <c r="B269" s="240"/>
      <c r="C269" s="240"/>
      <c r="D269" s="240"/>
      <c r="E269" s="240"/>
      <c r="F269" s="240"/>
      <c r="G269" s="240"/>
      <c r="H269" s="240"/>
      <c r="I269" s="240"/>
      <c r="J269" s="240"/>
      <c r="K269" s="240"/>
      <c r="L269" s="240"/>
      <c r="M269" s="240"/>
      <c r="N269" s="240"/>
      <c r="O269" s="1028"/>
      <c r="P269" s="240"/>
      <c r="Q269" s="240"/>
      <c r="R269" s="240"/>
      <c r="S269" s="240"/>
      <c r="T269" s="240"/>
      <c r="U269" s="240"/>
      <c r="V269" s="240"/>
      <c r="W269" s="240"/>
      <c r="X269" s="240"/>
      <c r="Y269" s="240"/>
      <c r="Z269" s="240"/>
      <c r="AA269" s="240"/>
      <c r="AB269" s="240"/>
      <c r="AC269" s="240"/>
      <c r="AD269" s="240"/>
      <c r="AE269" s="240"/>
      <c r="AF269" s="240"/>
      <c r="AG269" s="240"/>
      <c r="AH269" s="240"/>
      <c r="AI269" s="240"/>
    </row>
    <row r="270" ht="15.75" customHeight="1">
      <c r="A270" s="240"/>
      <c r="B270" s="240"/>
      <c r="C270" s="240"/>
      <c r="D270" s="240"/>
      <c r="E270" s="240"/>
      <c r="F270" s="240"/>
      <c r="G270" s="240"/>
      <c r="H270" s="240"/>
      <c r="I270" s="240"/>
      <c r="J270" s="240"/>
      <c r="K270" s="240"/>
      <c r="L270" s="240"/>
      <c r="M270" s="240"/>
      <c r="N270" s="240"/>
      <c r="O270" s="1028"/>
      <c r="P270" s="240"/>
      <c r="Q270" s="240"/>
      <c r="R270" s="240"/>
      <c r="S270" s="240"/>
      <c r="T270" s="240"/>
      <c r="U270" s="240"/>
      <c r="V270" s="240"/>
      <c r="W270" s="240"/>
      <c r="X270" s="240"/>
      <c r="Y270" s="240"/>
      <c r="Z270" s="240"/>
      <c r="AA270" s="240"/>
      <c r="AB270" s="240"/>
      <c r="AC270" s="240"/>
      <c r="AD270" s="240"/>
      <c r="AE270" s="240"/>
      <c r="AF270" s="240"/>
      <c r="AG270" s="240"/>
      <c r="AH270" s="240"/>
      <c r="AI270" s="240"/>
    </row>
    <row r="271" ht="15.75" customHeight="1">
      <c r="A271" s="240"/>
      <c r="B271" s="240"/>
      <c r="C271" s="240"/>
      <c r="D271" s="240"/>
      <c r="E271" s="240"/>
      <c r="F271" s="240"/>
      <c r="G271" s="240"/>
      <c r="H271" s="240"/>
      <c r="I271" s="240"/>
      <c r="J271" s="240"/>
      <c r="K271" s="240"/>
      <c r="L271" s="240"/>
      <c r="M271" s="240"/>
      <c r="N271" s="240"/>
      <c r="O271" s="1028"/>
      <c r="P271" s="240"/>
      <c r="Q271" s="240"/>
      <c r="R271" s="240"/>
      <c r="S271" s="240"/>
      <c r="T271" s="240"/>
      <c r="U271" s="240"/>
      <c r="V271" s="240"/>
      <c r="W271" s="240"/>
      <c r="X271" s="240"/>
      <c r="Y271" s="240"/>
      <c r="Z271" s="240"/>
      <c r="AA271" s="240"/>
      <c r="AB271" s="240"/>
      <c r="AC271" s="240"/>
      <c r="AD271" s="240"/>
      <c r="AE271" s="240"/>
      <c r="AF271" s="240"/>
      <c r="AG271" s="240"/>
      <c r="AH271" s="240"/>
      <c r="AI271" s="240"/>
    </row>
    <row r="272" ht="15.75" customHeight="1">
      <c r="A272" s="240"/>
      <c r="B272" s="240"/>
      <c r="C272" s="240"/>
      <c r="D272" s="240"/>
      <c r="E272" s="240"/>
      <c r="F272" s="240"/>
      <c r="G272" s="240"/>
      <c r="H272" s="240"/>
      <c r="I272" s="240"/>
      <c r="J272" s="240"/>
      <c r="K272" s="240"/>
      <c r="L272" s="240"/>
      <c r="M272" s="240"/>
      <c r="N272" s="240"/>
      <c r="O272" s="1028"/>
      <c r="P272" s="240"/>
      <c r="Q272" s="240"/>
      <c r="R272" s="240"/>
      <c r="S272" s="240"/>
      <c r="T272" s="240"/>
      <c r="U272" s="240"/>
      <c r="V272" s="240"/>
      <c r="W272" s="240"/>
      <c r="X272" s="240"/>
      <c r="Y272" s="240"/>
      <c r="Z272" s="240"/>
      <c r="AA272" s="240"/>
      <c r="AB272" s="240"/>
      <c r="AC272" s="240"/>
      <c r="AD272" s="240"/>
      <c r="AE272" s="240"/>
      <c r="AF272" s="240"/>
      <c r="AG272" s="240"/>
      <c r="AH272" s="240"/>
      <c r="AI272" s="240"/>
    </row>
    <row r="273" ht="15.75" customHeight="1">
      <c r="A273" s="240"/>
      <c r="B273" s="240"/>
      <c r="C273" s="240"/>
      <c r="D273" s="240"/>
      <c r="E273" s="240"/>
      <c r="F273" s="240"/>
      <c r="G273" s="240"/>
      <c r="H273" s="240"/>
      <c r="I273" s="240"/>
      <c r="J273" s="240"/>
      <c r="K273" s="240"/>
      <c r="L273" s="240"/>
      <c r="M273" s="240"/>
      <c r="N273" s="240"/>
      <c r="O273" s="1028"/>
      <c r="P273" s="240"/>
      <c r="Q273" s="240"/>
      <c r="R273" s="240"/>
      <c r="S273" s="240"/>
      <c r="T273" s="240"/>
      <c r="U273" s="240"/>
      <c r="V273" s="240"/>
      <c r="W273" s="240"/>
      <c r="X273" s="240"/>
      <c r="Y273" s="240"/>
      <c r="Z273" s="240"/>
      <c r="AA273" s="240"/>
      <c r="AB273" s="240"/>
      <c r="AC273" s="240"/>
      <c r="AD273" s="240"/>
      <c r="AE273" s="240"/>
      <c r="AF273" s="240"/>
      <c r="AG273" s="240"/>
      <c r="AH273" s="240"/>
      <c r="AI273" s="240"/>
    </row>
    <row r="274" ht="15.75" customHeight="1">
      <c r="A274" s="240"/>
      <c r="B274" s="240"/>
      <c r="C274" s="240"/>
      <c r="D274" s="240"/>
      <c r="E274" s="240"/>
      <c r="F274" s="240"/>
      <c r="G274" s="240"/>
      <c r="H274" s="240"/>
      <c r="I274" s="240"/>
      <c r="J274" s="240"/>
      <c r="K274" s="240"/>
      <c r="L274" s="240"/>
      <c r="M274" s="240"/>
      <c r="N274" s="240"/>
      <c r="O274" s="1028"/>
      <c r="P274" s="240"/>
      <c r="Q274" s="240"/>
      <c r="R274" s="240"/>
      <c r="S274" s="240"/>
      <c r="T274" s="240"/>
      <c r="U274" s="240"/>
      <c r="V274" s="240"/>
      <c r="W274" s="240"/>
      <c r="X274" s="240"/>
      <c r="Y274" s="240"/>
      <c r="Z274" s="240"/>
      <c r="AA274" s="240"/>
      <c r="AB274" s="240"/>
      <c r="AC274" s="240"/>
      <c r="AD274" s="240"/>
      <c r="AE274" s="240"/>
      <c r="AF274" s="240"/>
      <c r="AG274" s="240"/>
      <c r="AH274" s="240"/>
      <c r="AI274" s="240"/>
    </row>
    <row r="275" ht="15.75" customHeight="1">
      <c r="A275" s="240"/>
      <c r="B275" s="240"/>
      <c r="C275" s="240"/>
      <c r="D275" s="240"/>
      <c r="E275" s="240"/>
      <c r="F275" s="240"/>
      <c r="G275" s="240"/>
      <c r="H275" s="240"/>
      <c r="I275" s="240"/>
      <c r="J275" s="240"/>
      <c r="K275" s="240"/>
      <c r="L275" s="240"/>
      <c r="M275" s="240"/>
      <c r="N275" s="240"/>
      <c r="O275" s="1028"/>
      <c r="P275" s="240"/>
      <c r="Q275" s="240"/>
      <c r="R275" s="240"/>
      <c r="S275" s="240"/>
      <c r="T275" s="240"/>
      <c r="U275" s="240"/>
      <c r="V275" s="240"/>
      <c r="W275" s="240"/>
      <c r="X275" s="240"/>
      <c r="Y275" s="240"/>
      <c r="Z275" s="240"/>
      <c r="AA275" s="240"/>
      <c r="AB275" s="240"/>
      <c r="AC275" s="240"/>
      <c r="AD275" s="240"/>
      <c r="AE275" s="240"/>
      <c r="AF275" s="240"/>
      <c r="AG275" s="240"/>
      <c r="AH275" s="240"/>
      <c r="AI275" s="240"/>
    </row>
    <row r="276" ht="15.75" customHeight="1">
      <c r="A276" s="240"/>
      <c r="B276" s="240"/>
      <c r="C276" s="240"/>
      <c r="D276" s="240"/>
      <c r="E276" s="240"/>
      <c r="F276" s="240"/>
      <c r="G276" s="240"/>
      <c r="H276" s="240"/>
      <c r="I276" s="240"/>
      <c r="J276" s="240"/>
      <c r="K276" s="240"/>
      <c r="L276" s="240"/>
      <c r="M276" s="240"/>
      <c r="N276" s="240"/>
      <c r="O276" s="1028"/>
      <c r="P276" s="240"/>
      <c r="Q276" s="240"/>
      <c r="R276" s="240"/>
      <c r="S276" s="240"/>
      <c r="T276" s="240"/>
      <c r="U276" s="240"/>
      <c r="V276" s="240"/>
      <c r="W276" s="240"/>
      <c r="X276" s="240"/>
      <c r="Y276" s="240"/>
      <c r="Z276" s="240"/>
      <c r="AA276" s="240"/>
      <c r="AB276" s="240"/>
      <c r="AC276" s="240"/>
      <c r="AD276" s="240"/>
      <c r="AE276" s="240"/>
      <c r="AF276" s="240"/>
      <c r="AG276" s="240"/>
      <c r="AH276" s="240"/>
      <c r="AI276" s="240"/>
    </row>
    <row r="277" ht="15.75" customHeight="1">
      <c r="A277" s="240"/>
      <c r="B277" s="240"/>
      <c r="C277" s="240"/>
      <c r="D277" s="240"/>
      <c r="E277" s="240"/>
      <c r="F277" s="240"/>
      <c r="G277" s="240"/>
      <c r="H277" s="240"/>
      <c r="I277" s="240"/>
      <c r="J277" s="240"/>
      <c r="K277" s="240"/>
      <c r="L277" s="240"/>
      <c r="M277" s="240"/>
      <c r="N277" s="240"/>
      <c r="O277" s="1028"/>
      <c r="P277" s="240"/>
      <c r="Q277" s="240"/>
      <c r="R277" s="240"/>
      <c r="S277" s="240"/>
      <c r="T277" s="240"/>
      <c r="U277" s="240"/>
      <c r="V277" s="240"/>
      <c r="W277" s="240"/>
      <c r="X277" s="240"/>
      <c r="Y277" s="240"/>
      <c r="Z277" s="240"/>
      <c r="AA277" s="240"/>
      <c r="AB277" s="240"/>
      <c r="AC277" s="240"/>
      <c r="AD277" s="240"/>
      <c r="AE277" s="240"/>
      <c r="AF277" s="240"/>
      <c r="AG277" s="240"/>
      <c r="AH277" s="240"/>
      <c r="AI277" s="240"/>
    </row>
    <row r="278" ht="15.75" customHeight="1">
      <c r="A278" s="240"/>
      <c r="B278" s="240"/>
      <c r="C278" s="240"/>
      <c r="D278" s="240"/>
      <c r="E278" s="240"/>
      <c r="F278" s="240"/>
      <c r="G278" s="240"/>
      <c r="H278" s="240"/>
      <c r="I278" s="240"/>
      <c r="J278" s="240"/>
      <c r="K278" s="240"/>
      <c r="L278" s="240"/>
      <c r="M278" s="240"/>
      <c r="N278" s="240"/>
      <c r="O278" s="1028"/>
      <c r="P278" s="240"/>
      <c r="Q278" s="240"/>
      <c r="R278" s="240"/>
      <c r="S278" s="240"/>
      <c r="T278" s="240"/>
      <c r="U278" s="240"/>
      <c r="V278" s="240"/>
      <c r="W278" s="240"/>
      <c r="X278" s="240"/>
      <c r="Y278" s="240"/>
      <c r="Z278" s="240"/>
      <c r="AA278" s="240"/>
      <c r="AB278" s="240"/>
      <c r="AC278" s="240"/>
      <c r="AD278" s="240"/>
      <c r="AE278" s="240"/>
      <c r="AF278" s="240"/>
      <c r="AG278" s="240"/>
      <c r="AH278" s="240"/>
      <c r="AI278" s="240"/>
    </row>
    <row r="279" ht="15.75" customHeight="1">
      <c r="A279" s="240"/>
      <c r="B279" s="240"/>
      <c r="C279" s="240"/>
      <c r="D279" s="240"/>
      <c r="E279" s="240"/>
      <c r="F279" s="240"/>
      <c r="G279" s="240"/>
      <c r="H279" s="240"/>
      <c r="I279" s="240"/>
      <c r="J279" s="240"/>
      <c r="K279" s="240"/>
      <c r="L279" s="240"/>
      <c r="M279" s="240"/>
      <c r="N279" s="240"/>
      <c r="O279" s="1028"/>
      <c r="P279" s="240"/>
      <c r="Q279" s="240"/>
      <c r="R279" s="240"/>
      <c r="S279" s="240"/>
      <c r="T279" s="240"/>
      <c r="U279" s="240"/>
      <c r="V279" s="240"/>
      <c r="W279" s="240"/>
      <c r="X279" s="240"/>
      <c r="Y279" s="240"/>
      <c r="Z279" s="240"/>
      <c r="AA279" s="240"/>
      <c r="AB279" s="240"/>
      <c r="AC279" s="240"/>
      <c r="AD279" s="240"/>
      <c r="AE279" s="240"/>
      <c r="AF279" s="240"/>
      <c r="AG279" s="240"/>
      <c r="AH279" s="240"/>
      <c r="AI279" s="240"/>
    </row>
    <row r="280" ht="15.75" customHeight="1">
      <c r="A280" s="240"/>
      <c r="B280" s="240"/>
      <c r="C280" s="240"/>
      <c r="D280" s="240"/>
      <c r="E280" s="240"/>
      <c r="F280" s="240"/>
      <c r="G280" s="240"/>
      <c r="H280" s="240"/>
      <c r="I280" s="240"/>
      <c r="J280" s="240"/>
      <c r="K280" s="240"/>
      <c r="L280" s="240"/>
      <c r="M280" s="240"/>
      <c r="N280" s="240"/>
      <c r="O280" s="1028"/>
      <c r="P280" s="240"/>
      <c r="Q280" s="240"/>
      <c r="R280" s="240"/>
      <c r="S280" s="240"/>
      <c r="T280" s="240"/>
      <c r="U280" s="240"/>
      <c r="V280" s="240"/>
      <c r="W280" s="240"/>
      <c r="X280" s="240"/>
      <c r="Y280" s="240"/>
      <c r="Z280" s="240"/>
      <c r="AA280" s="240"/>
      <c r="AB280" s="240"/>
      <c r="AC280" s="240"/>
      <c r="AD280" s="240"/>
      <c r="AE280" s="240"/>
      <c r="AF280" s="240"/>
      <c r="AG280" s="240"/>
      <c r="AH280" s="240"/>
      <c r="AI280" s="240"/>
    </row>
    <row r="281" ht="15.75" customHeight="1">
      <c r="A281" s="240"/>
      <c r="B281" s="240"/>
      <c r="C281" s="240"/>
      <c r="D281" s="240"/>
      <c r="E281" s="240"/>
      <c r="F281" s="240"/>
      <c r="G281" s="240"/>
      <c r="H281" s="240"/>
      <c r="I281" s="240"/>
      <c r="J281" s="240"/>
      <c r="K281" s="240"/>
      <c r="L281" s="240"/>
      <c r="M281" s="240"/>
      <c r="N281" s="240"/>
      <c r="O281" s="1028"/>
      <c r="P281" s="240"/>
      <c r="Q281" s="240"/>
      <c r="R281" s="240"/>
      <c r="S281" s="240"/>
      <c r="T281" s="240"/>
      <c r="U281" s="240"/>
      <c r="V281" s="240"/>
      <c r="W281" s="240"/>
      <c r="X281" s="240"/>
      <c r="Y281" s="240"/>
      <c r="Z281" s="240"/>
      <c r="AA281" s="240"/>
      <c r="AB281" s="240"/>
      <c r="AC281" s="240"/>
      <c r="AD281" s="240"/>
      <c r="AE281" s="240"/>
      <c r="AF281" s="240"/>
      <c r="AG281" s="240"/>
      <c r="AH281" s="240"/>
      <c r="AI281" s="240"/>
    </row>
    <row r="282" ht="15.75" customHeight="1">
      <c r="A282" s="240"/>
      <c r="B282" s="240"/>
      <c r="C282" s="240"/>
      <c r="D282" s="240"/>
      <c r="E282" s="240"/>
      <c r="F282" s="240"/>
      <c r="G282" s="240"/>
      <c r="H282" s="240"/>
      <c r="I282" s="240"/>
      <c r="J282" s="240"/>
      <c r="K282" s="240"/>
      <c r="L282" s="240"/>
      <c r="M282" s="240"/>
      <c r="N282" s="240"/>
      <c r="O282" s="1028"/>
      <c r="P282" s="240"/>
      <c r="Q282" s="240"/>
      <c r="R282" s="240"/>
      <c r="S282" s="240"/>
      <c r="T282" s="240"/>
      <c r="U282" s="240"/>
      <c r="V282" s="240"/>
      <c r="W282" s="240"/>
      <c r="X282" s="240"/>
      <c r="Y282" s="240"/>
      <c r="Z282" s="240"/>
      <c r="AA282" s="240"/>
      <c r="AB282" s="240"/>
      <c r="AC282" s="240"/>
      <c r="AD282" s="240"/>
      <c r="AE282" s="240"/>
      <c r="AF282" s="240"/>
      <c r="AG282" s="240"/>
      <c r="AH282" s="240"/>
      <c r="AI282" s="240"/>
    </row>
    <row r="283" ht="15.75" customHeight="1">
      <c r="A283" s="240"/>
      <c r="B283" s="240"/>
      <c r="C283" s="240"/>
      <c r="D283" s="240"/>
      <c r="E283" s="240"/>
      <c r="F283" s="240"/>
      <c r="G283" s="240"/>
      <c r="H283" s="240"/>
      <c r="I283" s="240"/>
      <c r="J283" s="240"/>
      <c r="K283" s="240"/>
      <c r="L283" s="240"/>
      <c r="M283" s="240"/>
      <c r="N283" s="240"/>
      <c r="O283" s="1028"/>
      <c r="P283" s="240"/>
      <c r="Q283" s="240"/>
      <c r="R283" s="240"/>
      <c r="S283" s="240"/>
      <c r="T283" s="240"/>
      <c r="U283" s="240"/>
      <c r="V283" s="240"/>
      <c r="W283" s="240"/>
      <c r="X283" s="240"/>
      <c r="Y283" s="240"/>
      <c r="Z283" s="240"/>
      <c r="AA283" s="240"/>
      <c r="AB283" s="240"/>
      <c r="AC283" s="240"/>
      <c r="AD283" s="240"/>
      <c r="AE283" s="240"/>
      <c r="AF283" s="240"/>
      <c r="AG283" s="240"/>
      <c r="AH283" s="240"/>
      <c r="AI283" s="240"/>
    </row>
    <row r="284" ht="15.75" customHeight="1">
      <c r="A284" s="240"/>
      <c r="B284" s="240"/>
      <c r="C284" s="240"/>
      <c r="D284" s="240"/>
      <c r="E284" s="240"/>
      <c r="F284" s="240"/>
      <c r="G284" s="240"/>
      <c r="H284" s="240"/>
      <c r="I284" s="240"/>
      <c r="J284" s="240"/>
      <c r="K284" s="240"/>
      <c r="L284" s="240"/>
      <c r="M284" s="240"/>
      <c r="N284" s="240"/>
      <c r="O284" s="1028"/>
      <c r="P284" s="240"/>
      <c r="Q284" s="240"/>
      <c r="R284" s="240"/>
      <c r="S284" s="240"/>
      <c r="T284" s="240"/>
      <c r="U284" s="240"/>
      <c r="V284" s="240"/>
      <c r="W284" s="240"/>
      <c r="X284" s="240"/>
      <c r="Y284" s="240"/>
      <c r="Z284" s="240"/>
      <c r="AA284" s="240"/>
      <c r="AB284" s="240"/>
      <c r="AC284" s="240"/>
      <c r="AD284" s="240"/>
      <c r="AE284" s="240"/>
      <c r="AF284" s="240"/>
      <c r="AG284" s="240"/>
      <c r="AH284" s="240"/>
      <c r="AI284" s="240"/>
    </row>
    <row r="285" ht="15.75" customHeight="1">
      <c r="A285" s="240"/>
      <c r="B285" s="240"/>
      <c r="C285" s="240"/>
      <c r="D285" s="240"/>
      <c r="E285" s="240"/>
      <c r="F285" s="240"/>
      <c r="G285" s="240"/>
      <c r="H285" s="240"/>
      <c r="I285" s="240"/>
      <c r="J285" s="240"/>
      <c r="K285" s="240"/>
      <c r="L285" s="240"/>
      <c r="M285" s="240"/>
      <c r="N285" s="240"/>
      <c r="O285" s="1028"/>
      <c r="P285" s="240"/>
      <c r="Q285" s="240"/>
      <c r="R285" s="240"/>
      <c r="S285" s="240"/>
      <c r="T285" s="240"/>
      <c r="U285" s="240"/>
      <c r="V285" s="240"/>
      <c r="W285" s="240"/>
      <c r="X285" s="240"/>
      <c r="Y285" s="240"/>
      <c r="Z285" s="240"/>
      <c r="AA285" s="240"/>
      <c r="AB285" s="240"/>
      <c r="AC285" s="240"/>
      <c r="AD285" s="240"/>
      <c r="AE285" s="240"/>
      <c r="AF285" s="240"/>
      <c r="AG285" s="240"/>
      <c r="AH285" s="240"/>
      <c r="AI285" s="240"/>
    </row>
    <row r="286" ht="15.75" customHeight="1">
      <c r="A286" s="240"/>
      <c r="B286" s="240"/>
      <c r="C286" s="240"/>
      <c r="D286" s="240"/>
      <c r="E286" s="240"/>
      <c r="F286" s="240"/>
      <c r="G286" s="240"/>
      <c r="H286" s="240"/>
      <c r="I286" s="240"/>
      <c r="J286" s="240"/>
      <c r="K286" s="240"/>
      <c r="L286" s="240"/>
      <c r="M286" s="240"/>
      <c r="N286" s="240"/>
      <c r="O286" s="1028"/>
      <c r="P286" s="240"/>
      <c r="Q286" s="240"/>
      <c r="R286" s="240"/>
      <c r="S286" s="240"/>
      <c r="T286" s="240"/>
      <c r="U286" s="240"/>
      <c r="V286" s="240"/>
      <c r="W286" s="240"/>
      <c r="X286" s="240"/>
      <c r="Y286" s="240"/>
      <c r="Z286" s="240"/>
      <c r="AA286" s="240"/>
      <c r="AB286" s="240"/>
      <c r="AC286" s="240"/>
      <c r="AD286" s="240"/>
      <c r="AE286" s="240"/>
      <c r="AF286" s="240"/>
      <c r="AG286" s="240"/>
      <c r="AH286" s="240"/>
      <c r="AI286" s="240"/>
    </row>
    <row r="287" ht="15.75" customHeight="1">
      <c r="A287" s="240"/>
      <c r="B287" s="240"/>
      <c r="C287" s="240"/>
      <c r="D287" s="240"/>
      <c r="E287" s="240"/>
      <c r="F287" s="240"/>
      <c r="G287" s="240"/>
      <c r="H287" s="240"/>
      <c r="I287" s="240"/>
      <c r="J287" s="240"/>
      <c r="K287" s="240"/>
      <c r="L287" s="240"/>
      <c r="M287" s="240"/>
      <c r="N287" s="240"/>
      <c r="O287" s="1028"/>
      <c r="P287" s="240"/>
      <c r="Q287" s="240"/>
      <c r="R287" s="240"/>
      <c r="S287" s="240"/>
      <c r="T287" s="240"/>
      <c r="U287" s="240"/>
      <c r="V287" s="240"/>
      <c r="W287" s="240"/>
      <c r="X287" s="240"/>
      <c r="Y287" s="240"/>
      <c r="Z287" s="240"/>
      <c r="AA287" s="240"/>
      <c r="AB287" s="240"/>
      <c r="AC287" s="240"/>
      <c r="AD287" s="240"/>
      <c r="AE287" s="240"/>
      <c r="AF287" s="240"/>
      <c r="AG287" s="240"/>
      <c r="AH287" s="240"/>
      <c r="AI287" s="240"/>
    </row>
    <row r="288" ht="15.75" customHeight="1">
      <c r="A288" s="240"/>
      <c r="B288" s="240"/>
      <c r="C288" s="240"/>
      <c r="D288" s="240"/>
      <c r="E288" s="240"/>
      <c r="F288" s="240"/>
      <c r="G288" s="240"/>
      <c r="H288" s="240"/>
      <c r="I288" s="240"/>
      <c r="J288" s="240"/>
      <c r="K288" s="240"/>
      <c r="L288" s="240"/>
      <c r="M288" s="240"/>
      <c r="N288" s="240"/>
      <c r="O288" s="1028"/>
      <c r="P288" s="240"/>
      <c r="Q288" s="240"/>
      <c r="R288" s="240"/>
      <c r="S288" s="240"/>
      <c r="T288" s="240"/>
      <c r="U288" s="240"/>
      <c r="V288" s="240"/>
      <c r="W288" s="240"/>
      <c r="X288" s="240"/>
      <c r="Y288" s="240"/>
      <c r="Z288" s="240"/>
      <c r="AA288" s="240"/>
      <c r="AB288" s="240"/>
      <c r="AC288" s="240"/>
      <c r="AD288" s="240"/>
      <c r="AE288" s="240"/>
      <c r="AF288" s="240"/>
      <c r="AG288" s="240"/>
      <c r="AH288" s="240"/>
      <c r="AI288" s="240"/>
    </row>
    <row r="289" ht="15.75" customHeight="1">
      <c r="A289" s="240"/>
      <c r="B289" s="240"/>
      <c r="C289" s="240"/>
      <c r="D289" s="240"/>
      <c r="E289" s="240"/>
      <c r="F289" s="240"/>
      <c r="G289" s="240"/>
      <c r="H289" s="240"/>
      <c r="I289" s="240"/>
      <c r="J289" s="240"/>
      <c r="K289" s="240"/>
      <c r="L289" s="240"/>
      <c r="M289" s="240"/>
      <c r="N289" s="240"/>
      <c r="O289" s="1028"/>
      <c r="P289" s="240"/>
      <c r="Q289" s="240"/>
      <c r="R289" s="240"/>
      <c r="S289" s="240"/>
      <c r="T289" s="240"/>
      <c r="U289" s="240"/>
      <c r="V289" s="240"/>
      <c r="W289" s="240"/>
      <c r="X289" s="240"/>
      <c r="Y289" s="240"/>
      <c r="Z289" s="240"/>
      <c r="AA289" s="240"/>
      <c r="AB289" s="240"/>
      <c r="AC289" s="240"/>
      <c r="AD289" s="240"/>
      <c r="AE289" s="240"/>
      <c r="AF289" s="240"/>
      <c r="AG289" s="240"/>
      <c r="AH289" s="240"/>
      <c r="AI289" s="240"/>
    </row>
    <row r="290" ht="15.75" customHeight="1">
      <c r="A290" s="240"/>
      <c r="B290" s="240"/>
      <c r="C290" s="240"/>
      <c r="D290" s="240"/>
      <c r="E290" s="240"/>
      <c r="F290" s="240"/>
      <c r="G290" s="240"/>
      <c r="H290" s="240"/>
      <c r="I290" s="240"/>
      <c r="J290" s="240"/>
      <c r="K290" s="240"/>
      <c r="L290" s="240"/>
      <c r="M290" s="240"/>
      <c r="N290" s="240"/>
      <c r="O290" s="1028"/>
      <c r="P290" s="240"/>
      <c r="Q290" s="240"/>
      <c r="R290" s="240"/>
      <c r="S290" s="240"/>
      <c r="T290" s="240"/>
      <c r="U290" s="240"/>
      <c r="V290" s="240"/>
      <c r="W290" s="240"/>
      <c r="X290" s="240"/>
      <c r="Y290" s="240"/>
      <c r="Z290" s="240"/>
      <c r="AA290" s="240"/>
      <c r="AB290" s="240"/>
      <c r="AC290" s="240"/>
      <c r="AD290" s="240"/>
      <c r="AE290" s="240"/>
      <c r="AF290" s="240"/>
      <c r="AG290" s="240"/>
      <c r="AH290" s="240"/>
      <c r="AI290" s="240"/>
    </row>
    <row r="291" ht="15.75" customHeight="1">
      <c r="A291" s="240"/>
      <c r="B291" s="240"/>
      <c r="C291" s="240"/>
      <c r="D291" s="240"/>
      <c r="E291" s="240"/>
      <c r="F291" s="240"/>
      <c r="G291" s="240"/>
      <c r="H291" s="240"/>
      <c r="I291" s="240"/>
      <c r="J291" s="240"/>
      <c r="K291" s="240"/>
      <c r="L291" s="240"/>
      <c r="M291" s="240"/>
      <c r="N291" s="240"/>
      <c r="O291" s="1028"/>
      <c r="P291" s="240"/>
      <c r="Q291" s="240"/>
      <c r="R291" s="240"/>
      <c r="S291" s="240"/>
      <c r="T291" s="240"/>
      <c r="U291" s="240"/>
      <c r="V291" s="240"/>
      <c r="W291" s="240"/>
      <c r="X291" s="240"/>
      <c r="Y291" s="240"/>
      <c r="Z291" s="240"/>
      <c r="AA291" s="240"/>
      <c r="AB291" s="240"/>
      <c r="AC291" s="240"/>
      <c r="AD291" s="240"/>
      <c r="AE291" s="240"/>
      <c r="AF291" s="240"/>
      <c r="AG291" s="240"/>
      <c r="AH291" s="240"/>
      <c r="AI291" s="240"/>
    </row>
    <row r="292" ht="15.75" customHeight="1">
      <c r="A292" s="240"/>
      <c r="B292" s="240"/>
      <c r="C292" s="240"/>
      <c r="D292" s="240"/>
      <c r="E292" s="240"/>
      <c r="F292" s="240"/>
      <c r="G292" s="240"/>
      <c r="H292" s="240"/>
      <c r="I292" s="240"/>
      <c r="J292" s="240"/>
      <c r="K292" s="240"/>
      <c r="L292" s="240"/>
      <c r="M292" s="240"/>
      <c r="N292" s="240"/>
      <c r="O292" s="1028"/>
      <c r="P292" s="240"/>
      <c r="Q292" s="240"/>
      <c r="R292" s="240"/>
      <c r="S292" s="240"/>
      <c r="T292" s="240"/>
      <c r="U292" s="240"/>
      <c r="V292" s="240"/>
      <c r="W292" s="240"/>
      <c r="X292" s="240"/>
      <c r="Y292" s="240"/>
      <c r="Z292" s="240"/>
      <c r="AA292" s="240"/>
      <c r="AB292" s="240"/>
      <c r="AC292" s="240"/>
      <c r="AD292" s="240"/>
      <c r="AE292" s="240"/>
      <c r="AF292" s="240"/>
      <c r="AG292" s="240"/>
      <c r="AH292" s="240"/>
      <c r="AI292" s="240"/>
    </row>
    <row r="293" ht="15.75" customHeight="1">
      <c r="A293" s="240"/>
      <c r="B293" s="240"/>
      <c r="C293" s="240"/>
      <c r="D293" s="240"/>
      <c r="E293" s="240"/>
      <c r="F293" s="240"/>
      <c r="G293" s="240"/>
      <c r="H293" s="240"/>
      <c r="I293" s="240"/>
      <c r="J293" s="240"/>
      <c r="K293" s="240"/>
      <c r="L293" s="240"/>
      <c r="M293" s="240"/>
      <c r="N293" s="240"/>
      <c r="O293" s="1028"/>
      <c r="P293" s="240"/>
      <c r="Q293" s="240"/>
      <c r="R293" s="240"/>
      <c r="S293" s="240"/>
      <c r="T293" s="240"/>
      <c r="U293" s="240"/>
      <c r="V293" s="240"/>
      <c r="W293" s="240"/>
      <c r="X293" s="240"/>
      <c r="Y293" s="240"/>
      <c r="Z293" s="240"/>
      <c r="AA293" s="240"/>
      <c r="AB293" s="240"/>
      <c r="AC293" s="240"/>
      <c r="AD293" s="240"/>
      <c r="AE293" s="240"/>
      <c r="AF293" s="240"/>
      <c r="AG293" s="240"/>
      <c r="AH293" s="240"/>
      <c r="AI293" s="240"/>
    </row>
    <row r="294" ht="15.75" customHeight="1">
      <c r="A294" s="240"/>
      <c r="B294" s="240"/>
      <c r="C294" s="240"/>
      <c r="D294" s="240"/>
      <c r="E294" s="240"/>
      <c r="F294" s="240"/>
      <c r="G294" s="240"/>
      <c r="H294" s="240"/>
      <c r="I294" s="240"/>
      <c r="J294" s="240"/>
      <c r="K294" s="240"/>
      <c r="L294" s="240"/>
      <c r="M294" s="240"/>
      <c r="N294" s="240"/>
      <c r="O294" s="1028"/>
      <c r="P294" s="240"/>
      <c r="Q294" s="240"/>
      <c r="R294" s="240"/>
      <c r="S294" s="240"/>
      <c r="T294" s="240"/>
      <c r="U294" s="240"/>
      <c r="V294" s="240"/>
      <c r="W294" s="240"/>
      <c r="X294" s="240"/>
      <c r="Y294" s="240"/>
      <c r="Z294" s="240"/>
      <c r="AA294" s="240"/>
      <c r="AB294" s="240"/>
      <c r="AC294" s="240"/>
      <c r="AD294" s="240"/>
      <c r="AE294" s="240"/>
      <c r="AF294" s="240"/>
      <c r="AG294" s="240"/>
      <c r="AH294" s="240"/>
      <c r="AI294" s="240"/>
    </row>
    <row r="295" ht="15.75" customHeight="1">
      <c r="A295" s="240"/>
      <c r="B295" s="240"/>
      <c r="C295" s="240"/>
      <c r="D295" s="240"/>
      <c r="E295" s="240"/>
      <c r="F295" s="240"/>
      <c r="G295" s="240"/>
      <c r="H295" s="240"/>
      <c r="I295" s="240"/>
      <c r="J295" s="240"/>
      <c r="K295" s="240"/>
      <c r="L295" s="240"/>
      <c r="M295" s="240"/>
      <c r="N295" s="240"/>
      <c r="O295" s="1028"/>
      <c r="P295" s="240"/>
      <c r="Q295" s="240"/>
      <c r="R295" s="240"/>
      <c r="S295" s="240"/>
      <c r="T295" s="240"/>
      <c r="U295" s="240"/>
      <c r="V295" s="240"/>
      <c r="W295" s="240"/>
      <c r="X295" s="240"/>
      <c r="Y295" s="240"/>
      <c r="Z295" s="240"/>
      <c r="AA295" s="240"/>
      <c r="AB295" s="240"/>
      <c r="AC295" s="240"/>
      <c r="AD295" s="240"/>
      <c r="AE295" s="240"/>
      <c r="AF295" s="240"/>
      <c r="AG295" s="240"/>
      <c r="AH295" s="240"/>
      <c r="AI295" s="240"/>
    </row>
    <row r="296" ht="15.75" customHeight="1">
      <c r="A296" s="240"/>
      <c r="B296" s="240"/>
      <c r="C296" s="240"/>
      <c r="D296" s="240"/>
      <c r="E296" s="240"/>
      <c r="F296" s="240"/>
      <c r="G296" s="240"/>
      <c r="H296" s="240"/>
      <c r="I296" s="240"/>
      <c r="J296" s="240"/>
      <c r="K296" s="240"/>
      <c r="L296" s="240"/>
      <c r="M296" s="240"/>
      <c r="N296" s="240"/>
      <c r="O296" s="1028"/>
      <c r="P296" s="240"/>
      <c r="Q296" s="240"/>
      <c r="R296" s="240"/>
      <c r="S296" s="240"/>
      <c r="T296" s="240"/>
      <c r="U296" s="240"/>
      <c r="V296" s="240"/>
      <c r="W296" s="240"/>
      <c r="X296" s="240"/>
      <c r="Y296" s="240"/>
      <c r="Z296" s="240"/>
      <c r="AA296" s="240"/>
      <c r="AB296" s="240"/>
      <c r="AC296" s="240"/>
      <c r="AD296" s="240"/>
      <c r="AE296" s="240"/>
      <c r="AF296" s="240"/>
      <c r="AG296" s="240"/>
      <c r="AH296" s="240"/>
      <c r="AI296" s="240"/>
    </row>
    <row r="297" ht="15.75" customHeight="1">
      <c r="A297" s="240"/>
      <c r="B297" s="240"/>
      <c r="C297" s="240"/>
      <c r="D297" s="240"/>
      <c r="E297" s="240"/>
      <c r="F297" s="240"/>
      <c r="G297" s="240"/>
      <c r="H297" s="240"/>
      <c r="I297" s="240"/>
      <c r="J297" s="240"/>
      <c r="K297" s="240"/>
      <c r="L297" s="240"/>
      <c r="M297" s="240"/>
      <c r="N297" s="240"/>
      <c r="O297" s="1028"/>
      <c r="P297" s="240"/>
      <c r="Q297" s="240"/>
      <c r="R297" s="240"/>
      <c r="S297" s="240"/>
      <c r="T297" s="240"/>
      <c r="U297" s="240"/>
      <c r="V297" s="240"/>
      <c r="W297" s="240"/>
      <c r="X297" s="240"/>
      <c r="Y297" s="240"/>
      <c r="Z297" s="240"/>
      <c r="AA297" s="240"/>
      <c r="AB297" s="240"/>
      <c r="AC297" s="240"/>
      <c r="AD297" s="240"/>
      <c r="AE297" s="240"/>
      <c r="AF297" s="240"/>
      <c r="AG297" s="240"/>
      <c r="AH297" s="240"/>
      <c r="AI297" s="240"/>
    </row>
    <row r="298" ht="15.75" customHeight="1">
      <c r="A298" s="240"/>
      <c r="B298" s="240"/>
      <c r="C298" s="240"/>
      <c r="D298" s="240"/>
      <c r="E298" s="240"/>
      <c r="F298" s="240"/>
      <c r="G298" s="240"/>
      <c r="H298" s="240"/>
      <c r="I298" s="240"/>
      <c r="J298" s="240"/>
      <c r="K298" s="240"/>
      <c r="L298" s="240"/>
      <c r="M298" s="240"/>
      <c r="N298" s="240"/>
      <c r="O298" s="1028"/>
      <c r="P298" s="240"/>
      <c r="Q298" s="240"/>
      <c r="R298" s="240"/>
      <c r="S298" s="240"/>
      <c r="T298" s="240"/>
      <c r="U298" s="240"/>
      <c r="V298" s="240"/>
      <c r="W298" s="240"/>
      <c r="X298" s="240"/>
      <c r="Y298" s="240"/>
      <c r="Z298" s="240"/>
      <c r="AA298" s="240"/>
      <c r="AB298" s="240"/>
      <c r="AC298" s="240"/>
      <c r="AD298" s="240"/>
      <c r="AE298" s="240"/>
      <c r="AF298" s="240"/>
      <c r="AG298" s="240"/>
      <c r="AH298" s="240"/>
      <c r="AI298" s="240"/>
    </row>
    <row r="299" ht="15.75" customHeight="1">
      <c r="A299" s="240"/>
      <c r="B299" s="240"/>
      <c r="C299" s="240"/>
      <c r="D299" s="240"/>
      <c r="E299" s="240"/>
      <c r="F299" s="240"/>
      <c r="G299" s="240"/>
      <c r="H299" s="240"/>
      <c r="I299" s="240"/>
      <c r="J299" s="240"/>
      <c r="K299" s="240"/>
      <c r="L299" s="240"/>
      <c r="M299" s="240"/>
      <c r="N299" s="240"/>
      <c r="O299" s="1028"/>
      <c r="P299" s="240"/>
      <c r="Q299" s="240"/>
      <c r="R299" s="240"/>
      <c r="S299" s="240"/>
      <c r="T299" s="240"/>
      <c r="U299" s="240"/>
      <c r="V299" s="240"/>
      <c r="W299" s="240"/>
      <c r="X299" s="240"/>
      <c r="Y299" s="240"/>
      <c r="Z299" s="240"/>
      <c r="AA299" s="240"/>
      <c r="AB299" s="240"/>
      <c r="AC299" s="240"/>
      <c r="AD299" s="240"/>
      <c r="AE299" s="240"/>
      <c r="AF299" s="240"/>
      <c r="AG299" s="240"/>
      <c r="AH299" s="240"/>
      <c r="AI299" s="240"/>
    </row>
    <row r="300" ht="15.75" customHeight="1">
      <c r="A300" s="240"/>
      <c r="B300" s="240"/>
      <c r="C300" s="240"/>
      <c r="D300" s="240"/>
      <c r="E300" s="240"/>
      <c r="F300" s="240"/>
      <c r="G300" s="240"/>
      <c r="H300" s="240"/>
      <c r="I300" s="240"/>
      <c r="J300" s="240"/>
      <c r="K300" s="240"/>
      <c r="L300" s="240"/>
      <c r="M300" s="240"/>
      <c r="N300" s="240"/>
      <c r="O300" s="1028"/>
      <c r="P300" s="240"/>
      <c r="Q300" s="240"/>
      <c r="R300" s="240"/>
      <c r="S300" s="240"/>
      <c r="T300" s="240"/>
      <c r="U300" s="240"/>
      <c r="V300" s="240"/>
      <c r="W300" s="240"/>
      <c r="X300" s="240"/>
      <c r="Y300" s="240"/>
      <c r="Z300" s="240"/>
      <c r="AA300" s="240"/>
      <c r="AB300" s="240"/>
      <c r="AC300" s="240"/>
      <c r="AD300" s="240"/>
      <c r="AE300" s="240"/>
      <c r="AF300" s="240"/>
      <c r="AG300" s="240"/>
      <c r="AH300" s="240"/>
      <c r="AI300" s="240"/>
    </row>
    <row r="301" ht="15.75" customHeight="1">
      <c r="A301" s="240"/>
      <c r="B301" s="240"/>
      <c r="C301" s="240"/>
      <c r="D301" s="240"/>
      <c r="E301" s="240"/>
      <c r="F301" s="240"/>
      <c r="G301" s="240"/>
      <c r="H301" s="240"/>
      <c r="I301" s="240"/>
      <c r="J301" s="240"/>
      <c r="K301" s="240"/>
      <c r="L301" s="240"/>
      <c r="M301" s="240"/>
      <c r="N301" s="240"/>
      <c r="O301" s="1028"/>
      <c r="P301" s="240"/>
      <c r="Q301" s="240"/>
      <c r="R301" s="240"/>
      <c r="S301" s="240"/>
      <c r="T301" s="240"/>
      <c r="U301" s="240"/>
      <c r="V301" s="240"/>
      <c r="W301" s="240"/>
      <c r="X301" s="240"/>
      <c r="Y301" s="240"/>
      <c r="Z301" s="240"/>
      <c r="AA301" s="240"/>
      <c r="AB301" s="240"/>
      <c r="AC301" s="240"/>
      <c r="AD301" s="240"/>
      <c r="AE301" s="240"/>
      <c r="AF301" s="240"/>
      <c r="AG301" s="240"/>
      <c r="AH301" s="240"/>
      <c r="AI301" s="240"/>
    </row>
    <row r="302" ht="15.75" customHeight="1">
      <c r="A302" s="240"/>
      <c r="B302" s="240"/>
      <c r="C302" s="240"/>
      <c r="D302" s="240"/>
      <c r="E302" s="240"/>
      <c r="F302" s="240"/>
      <c r="G302" s="240"/>
      <c r="H302" s="240"/>
      <c r="I302" s="240"/>
      <c r="J302" s="240"/>
      <c r="K302" s="240"/>
      <c r="L302" s="240"/>
      <c r="M302" s="240"/>
      <c r="N302" s="240"/>
      <c r="O302" s="1028"/>
      <c r="P302" s="240"/>
      <c r="Q302" s="240"/>
      <c r="R302" s="240"/>
      <c r="S302" s="240"/>
      <c r="T302" s="240"/>
      <c r="U302" s="240"/>
      <c r="V302" s="240"/>
      <c r="W302" s="240"/>
      <c r="X302" s="240"/>
      <c r="Y302" s="240"/>
      <c r="Z302" s="240"/>
      <c r="AA302" s="240"/>
      <c r="AB302" s="240"/>
      <c r="AC302" s="240"/>
      <c r="AD302" s="240"/>
      <c r="AE302" s="240"/>
      <c r="AF302" s="240"/>
      <c r="AG302" s="240"/>
      <c r="AH302" s="240"/>
      <c r="AI302" s="240"/>
    </row>
    <row r="303" ht="15.75" customHeight="1">
      <c r="A303" s="240"/>
      <c r="B303" s="240"/>
      <c r="C303" s="240"/>
      <c r="D303" s="240"/>
      <c r="E303" s="240"/>
      <c r="F303" s="240"/>
      <c r="G303" s="240"/>
      <c r="H303" s="240"/>
      <c r="I303" s="240"/>
      <c r="J303" s="240"/>
      <c r="K303" s="240"/>
      <c r="L303" s="240"/>
      <c r="M303" s="240"/>
      <c r="N303" s="240"/>
      <c r="O303" s="1028"/>
      <c r="P303" s="240"/>
      <c r="Q303" s="240"/>
      <c r="R303" s="240"/>
      <c r="S303" s="240"/>
      <c r="T303" s="240"/>
      <c r="U303" s="240"/>
      <c r="V303" s="240"/>
      <c r="W303" s="240"/>
      <c r="X303" s="240"/>
      <c r="Y303" s="240"/>
      <c r="Z303" s="240"/>
      <c r="AA303" s="240"/>
      <c r="AB303" s="240"/>
      <c r="AC303" s="240"/>
      <c r="AD303" s="240"/>
      <c r="AE303" s="240"/>
      <c r="AF303" s="240"/>
      <c r="AG303" s="240"/>
      <c r="AH303" s="240"/>
      <c r="AI303" s="240"/>
    </row>
    <row r="304" ht="15.75" customHeight="1">
      <c r="A304" s="240"/>
      <c r="B304" s="240"/>
      <c r="C304" s="240"/>
      <c r="D304" s="240"/>
      <c r="E304" s="240"/>
      <c r="F304" s="240"/>
      <c r="G304" s="240"/>
      <c r="H304" s="240"/>
      <c r="I304" s="240"/>
      <c r="J304" s="240"/>
      <c r="K304" s="240"/>
      <c r="L304" s="240"/>
      <c r="M304" s="240"/>
      <c r="N304" s="240"/>
      <c r="O304" s="1028"/>
      <c r="P304" s="240"/>
      <c r="Q304" s="240"/>
      <c r="R304" s="240"/>
      <c r="S304" s="240"/>
      <c r="T304" s="240"/>
      <c r="U304" s="240"/>
      <c r="V304" s="240"/>
      <c r="W304" s="240"/>
      <c r="X304" s="240"/>
      <c r="Y304" s="240"/>
      <c r="Z304" s="240"/>
      <c r="AA304" s="240"/>
      <c r="AB304" s="240"/>
      <c r="AC304" s="240"/>
      <c r="AD304" s="240"/>
      <c r="AE304" s="240"/>
      <c r="AF304" s="240"/>
      <c r="AG304" s="240"/>
      <c r="AH304" s="240"/>
      <c r="AI304" s="240"/>
    </row>
    <row r="305" ht="15.75" customHeight="1">
      <c r="A305" s="240"/>
      <c r="B305" s="240"/>
      <c r="C305" s="240"/>
      <c r="D305" s="240"/>
      <c r="E305" s="240"/>
      <c r="F305" s="240"/>
      <c r="G305" s="240"/>
      <c r="H305" s="240"/>
      <c r="I305" s="240"/>
      <c r="J305" s="240"/>
      <c r="K305" s="240"/>
      <c r="L305" s="240"/>
      <c r="M305" s="240"/>
      <c r="N305" s="240"/>
      <c r="O305" s="1028"/>
      <c r="P305" s="240"/>
      <c r="Q305" s="240"/>
      <c r="R305" s="240"/>
      <c r="S305" s="240"/>
      <c r="T305" s="240"/>
      <c r="U305" s="240"/>
      <c r="V305" s="240"/>
      <c r="W305" s="240"/>
      <c r="X305" s="240"/>
      <c r="Y305" s="240"/>
      <c r="Z305" s="240"/>
      <c r="AA305" s="240"/>
      <c r="AB305" s="240"/>
      <c r="AC305" s="240"/>
      <c r="AD305" s="240"/>
      <c r="AE305" s="240"/>
      <c r="AF305" s="240"/>
      <c r="AG305" s="240"/>
      <c r="AH305" s="240"/>
      <c r="AI305" s="240"/>
    </row>
    <row r="306" ht="15.75" customHeight="1">
      <c r="A306" s="240"/>
      <c r="B306" s="240"/>
      <c r="C306" s="240"/>
      <c r="D306" s="240"/>
      <c r="E306" s="240"/>
      <c r="F306" s="240"/>
      <c r="G306" s="240"/>
      <c r="H306" s="240"/>
      <c r="I306" s="240"/>
      <c r="J306" s="240"/>
      <c r="K306" s="240"/>
      <c r="L306" s="240"/>
      <c r="M306" s="240"/>
      <c r="N306" s="240"/>
      <c r="O306" s="1028"/>
      <c r="P306" s="240"/>
      <c r="Q306" s="240"/>
      <c r="R306" s="240"/>
      <c r="S306" s="240"/>
      <c r="T306" s="240"/>
      <c r="U306" s="240"/>
      <c r="V306" s="240"/>
      <c r="W306" s="240"/>
      <c r="X306" s="240"/>
      <c r="Y306" s="240"/>
      <c r="Z306" s="240"/>
      <c r="AA306" s="240"/>
      <c r="AB306" s="240"/>
      <c r="AC306" s="240"/>
      <c r="AD306" s="240"/>
      <c r="AE306" s="240"/>
      <c r="AF306" s="240"/>
      <c r="AG306" s="240"/>
      <c r="AH306" s="240"/>
      <c r="AI306" s="240"/>
    </row>
    <row r="307" ht="15.75" customHeight="1">
      <c r="A307" s="240"/>
      <c r="B307" s="240"/>
      <c r="C307" s="240"/>
      <c r="D307" s="240"/>
      <c r="E307" s="240"/>
      <c r="F307" s="240"/>
      <c r="G307" s="240"/>
      <c r="H307" s="240"/>
      <c r="I307" s="240"/>
      <c r="J307" s="240"/>
      <c r="K307" s="240"/>
      <c r="L307" s="240"/>
      <c r="M307" s="240"/>
      <c r="N307" s="240"/>
      <c r="O307" s="1028"/>
      <c r="P307" s="240"/>
      <c r="Q307" s="240"/>
      <c r="R307" s="240"/>
      <c r="S307" s="240"/>
      <c r="T307" s="240"/>
      <c r="U307" s="240"/>
      <c r="V307" s="240"/>
      <c r="W307" s="240"/>
      <c r="X307" s="240"/>
      <c r="Y307" s="240"/>
      <c r="Z307" s="240"/>
      <c r="AA307" s="240"/>
      <c r="AB307" s="240"/>
      <c r="AC307" s="240"/>
      <c r="AD307" s="240"/>
      <c r="AE307" s="240"/>
      <c r="AF307" s="240"/>
      <c r="AG307" s="240"/>
      <c r="AH307" s="240"/>
      <c r="AI307" s="240"/>
    </row>
    <row r="308" ht="15.75" customHeight="1">
      <c r="A308" s="240"/>
      <c r="B308" s="240"/>
      <c r="C308" s="240"/>
      <c r="D308" s="240"/>
      <c r="E308" s="240"/>
      <c r="F308" s="240"/>
      <c r="G308" s="240"/>
      <c r="H308" s="240"/>
      <c r="I308" s="240"/>
      <c r="J308" s="240"/>
      <c r="K308" s="240"/>
      <c r="L308" s="240"/>
      <c r="M308" s="240"/>
      <c r="N308" s="240"/>
      <c r="O308" s="1028"/>
      <c r="P308" s="240"/>
      <c r="Q308" s="240"/>
      <c r="R308" s="240"/>
      <c r="S308" s="240"/>
      <c r="T308" s="240"/>
      <c r="U308" s="240"/>
      <c r="V308" s="240"/>
      <c r="W308" s="240"/>
      <c r="X308" s="240"/>
      <c r="Y308" s="240"/>
      <c r="Z308" s="240"/>
      <c r="AA308" s="240"/>
      <c r="AB308" s="240"/>
      <c r="AC308" s="240"/>
      <c r="AD308" s="240"/>
      <c r="AE308" s="240"/>
      <c r="AF308" s="240"/>
      <c r="AG308" s="240"/>
      <c r="AH308" s="240"/>
      <c r="AI308" s="240"/>
    </row>
    <row r="309" ht="15.75" customHeight="1">
      <c r="A309" s="240"/>
      <c r="B309" s="240"/>
      <c r="C309" s="240"/>
      <c r="D309" s="240"/>
      <c r="E309" s="240"/>
      <c r="F309" s="240"/>
      <c r="G309" s="240"/>
      <c r="H309" s="240"/>
      <c r="I309" s="240"/>
      <c r="J309" s="240"/>
      <c r="K309" s="240"/>
      <c r="L309" s="240"/>
      <c r="M309" s="240"/>
      <c r="N309" s="240"/>
      <c r="O309" s="1028"/>
      <c r="P309" s="240"/>
      <c r="Q309" s="240"/>
      <c r="R309" s="240"/>
      <c r="S309" s="240"/>
      <c r="T309" s="240"/>
      <c r="U309" s="240"/>
      <c r="V309" s="240"/>
      <c r="W309" s="240"/>
      <c r="X309" s="240"/>
      <c r="Y309" s="240"/>
      <c r="Z309" s="240"/>
      <c r="AA309" s="240"/>
      <c r="AB309" s="240"/>
      <c r="AC309" s="240"/>
      <c r="AD309" s="240"/>
      <c r="AE309" s="240"/>
      <c r="AF309" s="240"/>
      <c r="AG309" s="240"/>
      <c r="AH309" s="240"/>
      <c r="AI309" s="240"/>
    </row>
    <row r="310" ht="15.75" customHeight="1">
      <c r="A310" s="240"/>
      <c r="B310" s="240"/>
      <c r="C310" s="240"/>
      <c r="D310" s="240"/>
      <c r="E310" s="240"/>
      <c r="F310" s="240"/>
      <c r="G310" s="240"/>
      <c r="H310" s="240"/>
      <c r="I310" s="240"/>
      <c r="J310" s="240"/>
      <c r="K310" s="240"/>
      <c r="L310" s="240"/>
      <c r="M310" s="240"/>
      <c r="N310" s="240"/>
      <c r="O310" s="1028"/>
      <c r="P310" s="240"/>
      <c r="Q310" s="240"/>
      <c r="R310" s="240"/>
      <c r="S310" s="240"/>
      <c r="T310" s="240"/>
      <c r="U310" s="240"/>
      <c r="V310" s="240"/>
      <c r="W310" s="240"/>
      <c r="X310" s="240"/>
      <c r="Y310" s="240"/>
      <c r="Z310" s="240"/>
      <c r="AA310" s="240"/>
      <c r="AB310" s="240"/>
      <c r="AC310" s="240"/>
      <c r="AD310" s="240"/>
      <c r="AE310" s="240"/>
      <c r="AF310" s="240"/>
      <c r="AG310" s="240"/>
      <c r="AH310" s="240"/>
      <c r="AI310" s="240"/>
    </row>
    <row r="311" ht="15.75" customHeight="1">
      <c r="A311" s="240"/>
      <c r="B311" s="240"/>
      <c r="C311" s="240"/>
      <c r="D311" s="240"/>
      <c r="E311" s="240"/>
      <c r="F311" s="240"/>
      <c r="G311" s="240"/>
      <c r="H311" s="240"/>
      <c r="I311" s="240"/>
      <c r="J311" s="240"/>
      <c r="K311" s="240"/>
      <c r="L311" s="240"/>
      <c r="M311" s="240"/>
      <c r="N311" s="240"/>
      <c r="O311" s="1028"/>
      <c r="P311" s="240"/>
      <c r="Q311" s="240"/>
      <c r="R311" s="240"/>
      <c r="S311" s="240"/>
      <c r="T311" s="240"/>
      <c r="U311" s="240"/>
      <c r="V311" s="240"/>
      <c r="W311" s="240"/>
      <c r="X311" s="240"/>
      <c r="Y311" s="240"/>
      <c r="Z311" s="240"/>
      <c r="AA311" s="240"/>
      <c r="AB311" s="240"/>
      <c r="AC311" s="240"/>
      <c r="AD311" s="240"/>
      <c r="AE311" s="240"/>
      <c r="AF311" s="240"/>
      <c r="AG311" s="240"/>
      <c r="AH311" s="240"/>
      <c r="AI311" s="240"/>
    </row>
    <row r="312" ht="15.75" customHeight="1">
      <c r="A312" s="240"/>
      <c r="B312" s="240"/>
      <c r="C312" s="240"/>
      <c r="D312" s="240"/>
      <c r="E312" s="240"/>
      <c r="F312" s="240"/>
      <c r="G312" s="240"/>
      <c r="H312" s="240"/>
      <c r="I312" s="240"/>
      <c r="J312" s="240"/>
      <c r="K312" s="240"/>
      <c r="L312" s="240"/>
      <c r="M312" s="240"/>
      <c r="N312" s="240"/>
      <c r="O312" s="1028"/>
      <c r="P312" s="240"/>
      <c r="Q312" s="240"/>
      <c r="R312" s="240"/>
      <c r="S312" s="240"/>
      <c r="T312" s="240"/>
      <c r="U312" s="240"/>
      <c r="V312" s="240"/>
      <c r="W312" s="240"/>
      <c r="X312" s="240"/>
      <c r="Y312" s="240"/>
      <c r="Z312" s="240"/>
      <c r="AA312" s="240"/>
      <c r="AB312" s="240"/>
      <c r="AC312" s="240"/>
      <c r="AD312" s="240"/>
      <c r="AE312" s="240"/>
      <c r="AF312" s="240"/>
      <c r="AG312" s="240"/>
      <c r="AH312" s="240"/>
      <c r="AI312" s="240"/>
    </row>
    <row r="313" ht="15.75" customHeight="1">
      <c r="A313" s="240"/>
      <c r="B313" s="240"/>
      <c r="C313" s="240"/>
      <c r="D313" s="240"/>
      <c r="E313" s="240"/>
      <c r="F313" s="240"/>
      <c r="G313" s="240"/>
      <c r="H313" s="240"/>
      <c r="I313" s="240"/>
      <c r="J313" s="240"/>
      <c r="K313" s="240"/>
      <c r="L313" s="240"/>
      <c r="M313" s="240"/>
      <c r="N313" s="240"/>
      <c r="O313" s="1028"/>
      <c r="P313" s="240"/>
      <c r="Q313" s="240"/>
      <c r="R313" s="240"/>
      <c r="S313" s="240"/>
      <c r="T313" s="240"/>
      <c r="U313" s="240"/>
      <c r="V313" s="240"/>
      <c r="W313" s="240"/>
      <c r="X313" s="240"/>
      <c r="Y313" s="240"/>
      <c r="Z313" s="240"/>
      <c r="AA313" s="240"/>
      <c r="AB313" s="240"/>
      <c r="AC313" s="240"/>
      <c r="AD313" s="240"/>
      <c r="AE313" s="240"/>
      <c r="AF313" s="240"/>
      <c r="AG313" s="240"/>
      <c r="AH313" s="240"/>
      <c r="AI313" s="240"/>
    </row>
    <row r="314" ht="15.75" customHeight="1">
      <c r="A314" s="240"/>
      <c r="B314" s="240"/>
      <c r="C314" s="240"/>
      <c r="D314" s="240"/>
      <c r="E314" s="240"/>
      <c r="F314" s="240"/>
      <c r="G314" s="240"/>
      <c r="H314" s="240"/>
      <c r="I314" s="240"/>
      <c r="J314" s="240"/>
      <c r="K314" s="240"/>
      <c r="L314" s="240"/>
      <c r="M314" s="240"/>
      <c r="N314" s="240"/>
      <c r="O314" s="1028"/>
      <c r="P314" s="240"/>
      <c r="Q314" s="240"/>
      <c r="R314" s="240"/>
      <c r="S314" s="240"/>
      <c r="T314" s="240"/>
      <c r="U314" s="240"/>
      <c r="V314" s="240"/>
      <c r="W314" s="240"/>
      <c r="X314" s="240"/>
      <c r="Y314" s="240"/>
      <c r="Z314" s="240"/>
      <c r="AA314" s="240"/>
      <c r="AB314" s="240"/>
      <c r="AC314" s="240"/>
      <c r="AD314" s="240"/>
      <c r="AE314" s="240"/>
      <c r="AF314" s="240"/>
      <c r="AG314" s="240"/>
      <c r="AH314" s="240"/>
      <c r="AI314" s="240"/>
    </row>
    <row r="315" ht="15.75" customHeight="1">
      <c r="A315" s="240"/>
      <c r="B315" s="240"/>
      <c r="C315" s="240"/>
      <c r="D315" s="240"/>
      <c r="E315" s="240"/>
      <c r="F315" s="240"/>
      <c r="G315" s="240"/>
      <c r="H315" s="240"/>
      <c r="I315" s="240"/>
      <c r="J315" s="240"/>
      <c r="K315" s="240"/>
      <c r="L315" s="240"/>
      <c r="M315" s="240"/>
      <c r="N315" s="240"/>
      <c r="O315" s="1028"/>
      <c r="P315" s="240"/>
      <c r="Q315" s="240"/>
      <c r="R315" s="240"/>
      <c r="S315" s="240"/>
      <c r="T315" s="240"/>
      <c r="U315" s="240"/>
      <c r="V315" s="240"/>
      <c r="W315" s="240"/>
      <c r="X315" s="240"/>
      <c r="Y315" s="240"/>
      <c r="Z315" s="240"/>
      <c r="AA315" s="240"/>
      <c r="AB315" s="240"/>
      <c r="AC315" s="240"/>
      <c r="AD315" s="240"/>
      <c r="AE315" s="240"/>
      <c r="AF315" s="240"/>
      <c r="AG315" s="240"/>
      <c r="AH315" s="240"/>
      <c r="AI315" s="240"/>
    </row>
    <row r="316" ht="15.75" customHeight="1">
      <c r="A316" s="240"/>
      <c r="B316" s="240"/>
      <c r="C316" s="240"/>
      <c r="D316" s="240"/>
      <c r="E316" s="240"/>
      <c r="F316" s="240"/>
      <c r="G316" s="240"/>
      <c r="H316" s="240"/>
      <c r="I316" s="240"/>
      <c r="J316" s="240"/>
      <c r="K316" s="240"/>
      <c r="L316" s="240"/>
      <c r="M316" s="240"/>
      <c r="N316" s="240"/>
      <c r="O316" s="1028"/>
      <c r="P316" s="240"/>
      <c r="Q316" s="240"/>
      <c r="R316" s="240"/>
      <c r="S316" s="240"/>
      <c r="T316" s="240"/>
      <c r="U316" s="240"/>
      <c r="V316" s="240"/>
      <c r="W316" s="240"/>
      <c r="X316" s="240"/>
      <c r="Y316" s="240"/>
      <c r="Z316" s="240"/>
      <c r="AA316" s="240"/>
      <c r="AB316" s="240"/>
      <c r="AC316" s="240"/>
      <c r="AD316" s="240"/>
      <c r="AE316" s="240"/>
      <c r="AF316" s="240"/>
      <c r="AG316" s="240"/>
      <c r="AH316" s="240"/>
      <c r="AI316" s="240"/>
    </row>
    <row r="317" ht="15.75" customHeight="1">
      <c r="A317" s="240"/>
      <c r="B317" s="240"/>
      <c r="C317" s="240"/>
      <c r="D317" s="240"/>
      <c r="E317" s="240"/>
      <c r="F317" s="240"/>
      <c r="G317" s="240"/>
      <c r="H317" s="240"/>
      <c r="I317" s="240"/>
      <c r="J317" s="240"/>
      <c r="K317" s="240"/>
      <c r="L317" s="240"/>
      <c r="M317" s="240"/>
      <c r="N317" s="240"/>
      <c r="O317" s="1028"/>
      <c r="P317" s="240"/>
      <c r="Q317" s="240"/>
      <c r="R317" s="240"/>
      <c r="S317" s="240"/>
      <c r="T317" s="240"/>
      <c r="U317" s="240"/>
      <c r="V317" s="240"/>
      <c r="W317" s="240"/>
      <c r="X317" s="240"/>
      <c r="Y317" s="240"/>
      <c r="Z317" s="240"/>
      <c r="AA317" s="240"/>
      <c r="AB317" s="240"/>
      <c r="AC317" s="240"/>
      <c r="AD317" s="240"/>
      <c r="AE317" s="240"/>
      <c r="AF317" s="240"/>
      <c r="AG317" s="240"/>
      <c r="AH317" s="240"/>
      <c r="AI317" s="240"/>
    </row>
    <row r="318" ht="15.75" customHeight="1">
      <c r="A318" s="240"/>
      <c r="B318" s="240"/>
      <c r="C318" s="240"/>
      <c r="D318" s="240"/>
      <c r="E318" s="240"/>
      <c r="F318" s="240"/>
      <c r="G318" s="240"/>
      <c r="H318" s="240"/>
      <c r="I318" s="240"/>
      <c r="J318" s="240"/>
      <c r="K318" s="240"/>
      <c r="L318" s="240"/>
      <c r="M318" s="240"/>
      <c r="N318" s="240"/>
      <c r="O318" s="1028"/>
      <c r="P318" s="240"/>
      <c r="Q318" s="240"/>
      <c r="R318" s="240"/>
      <c r="S318" s="240"/>
      <c r="T318" s="240"/>
      <c r="U318" s="240"/>
      <c r="V318" s="240"/>
      <c r="W318" s="240"/>
      <c r="X318" s="240"/>
      <c r="Y318" s="240"/>
      <c r="Z318" s="240"/>
      <c r="AA318" s="240"/>
      <c r="AB318" s="240"/>
      <c r="AC318" s="240"/>
      <c r="AD318" s="240"/>
      <c r="AE318" s="240"/>
      <c r="AF318" s="240"/>
      <c r="AG318" s="240"/>
      <c r="AH318" s="240"/>
      <c r="AI318" s="240"/>
    </row>
    <row r="319" ht="15.75" customHeight="1">
      <c r="A319" s="240"/>
      <c r="B319" s="240"/>
      <c r="C319" s="240"/>
      <c r="D319" s="240"/>
      <c r="E319" s="240"/>
      <c r="F319" s="240"/>
      <c r="G319" s="240"/>
      <c r="H319" s="240"/>
      <c r="I319" s="240"/>
      <c r="J319" s="240"/>
      <c r="K319" s="240"/>
      <c r="L319" s="240"/>
      <c r="M319" s="240"/>
      <c r="N319" s="240"/>
      <c r="O319" s="1028"/>
      <c r="P319" s="240"/>
      <c r="Q319" s="240"/>
      <c r="R319" s="240"/>
      <c r="S319" s="240"/>
      <c r="T319" s="240"/>
      <c r="U319" s="240"/>
      <c r="V319" s="240"/>
      <c r="W319" s="240"/>
      <c r="X319" s="240"/>
      <c r="Y319" s="240"/>
      <c r="Z319" s="240"/>
      <c r="AA319" s="240"/>
      <c r="AB319" s="240"/>
      <c r="AC319" s="240"/>
      <c r="AD319" s="240"/>
      <c r="AE319" s="240"/>
      <c r="AF319" s="240"/>
      <c r="AG319" s="240"/>
      <c r="AH319" s="240"/>
      <c r="AI319" s="240"/>
    </row>
    <row r="320" ht="15.75" customHeight="1">
      <c r="A320" s="240"/>
      <c r="B320" s="240"/>
      <c r="C320" s="240"/>
      <c r="D320" s="240"/>
      <c r="E320" s="240"/>
      <c r="F320" s="240"/>
      <c r="G320" s="240"/>
      <c r="H320" s="240"/>
      <c r="I320" s="240"/>
      <c r="J320" s="240"/>
      <c r="K320" s="240"/>
      <c r="L320" s="240"/>
      <c r="M320" s="240"/>
      <c r="N320" s="240"/>
      <c r="O320" s="1028"/>
      <c r="P320" s="240"/>
      <c r="Q320" s="240"/>
      <c r="R320" s="240"/>
      <c r="S320" s="240"/>
      <c r="T320" s="240"/>
      <c r="U320" s="240"/>
      <c r="V320" s="240"/>
      <c r="W320" s="240"/>
      <c r="X320" s="240"/>
      <c r="Y320" s="240"/>
      <c r="Z320" s="240"/>
      <c r="AA320" s="240"/>
      <c r="AB320" s="240"/>
      <c r="AC320" s="240"/>
      <c r="AD320" s="240"/>
      <c r="AE320" s="240"/>
      <c r="AF320" s="240"/>
      <c r="AG320" s="240"/>
      <c r="AH320" s="240"/>
      <c r="AI320" s="240"/>
    </row>
    <row r="321" ht="15.75" customHeight="1">
      <c r="A321" s="240"/>
      <c r="B321" s="240"/>
      <c r="C321" s="240"/>
      <c r="D321" s="240"/>
      <c r="E321" s="240"/>
      <c r="F321" s="240"/>
      <c r="G321" s="240"/>
      <c r="H321" s="240"/>
      <c r="I321" s="240"/>
      <c r="J321" s="240"/>
      <c r="K321" s="240"/>
      <c r="L321" s="240"/>
      <c r="M321" s="240"/>
      <c r="N321" s="240"/>
      <c r="O321" s="1028"/>
      <c r="P321" s="240"/>
      <c r="Q321" s="240"/>
      <c r="R321" s="240"/>
      <c r="S321" s="240"/>
      <c r="T321" s="240"/>
      <c r="U321" s="240"/>
      <c r="V321" s="240"/>
      <c r="W321" s="240"/>
      <c r="X321" s="240"/>
      <c r="Y321" s="240"/>
      <c r="Z321" s="240"/>
      <c r="AA321" s="240"/>
      <c r="AB321" s="240"/>
      <c r="AC321" s="240"/>
      <c r="AD321" s="240"/>
      <c r="AE321" s="240"/>
      <c r="AF321" s="240"/>
      <c r="AG321" s="240"/>
      <c r="AH321" s="240"/>
      <c r="AI321" s="240"/>
    </row>
    <row r="322" ht="15.75" customHeight="1">
      <c r="A322" s="240"/>
      <c r="B322" s="240"/>
      <c r="C322" s="240"/>
      <c r="D322" s="240"/>
      <c r="E322" s="240"/>
      <c r="F322" s="240"/>
      <c r="G322" s="240"/>
      <c r="H322" s="240"/>
      <c r="I322" s="240"/>
      <c r="J322" s="240"/>
      <c r="K322" s="240"/>
      <c r="L322" s="240"/>
      <c r="M322" s="240"/>
      <c r="N322" s="240"/>
      <c r="O322" s="1028"/>
      <c r="P322" s="240"/>
      <c r="Q322" s="240"/>
      <c r="R322" s="240"/>
      <c r="S322" s="240"/>
      <c r="T322" s="240"/>
      <c r="U322" s="240"/>
      <c r="V322" s="240"/>
      <c r="W322" s="240"/>
      <c r="X322" s="240"/>
      <c r="Y322" s="240"/>
      <c r="Z322" s="240"/>
      <c r="AA322" s="240"/>
      <c r="AB322" s="240"/>
      <c r="AC322" s="240"/>
      <c r="AD322" s="240"/>
      <c r="AE322" s="240"/>
      <c r="AF322" s="240"/>
      <c r="AG322" s="240"/>
      <c r="AH322" s="240"/>
      <c r="AI322" s="240"/>
    </row>
    <row r="323" ht="15.75" customHeight="1">
      <c r="A323" s="240"/>
      <c r="B323" s="240"/>
      <c r="C323" s="240"/>
      <c r="D323" s="240"/>
      <c r="E323" s="240"/>
      <c r="F323" s="240"/>
      <c r="G323" s="240"/>
      <c r="H323" s="240"/>
      <c r="I323" s="240"/>
      <c r="J323" s="240"/>
      <c r="K323" s="240"/>
      <c r="L323" s="240"/>
      <c r="M323" s="240"/>
      <c r="N323" s="240"/>
      <c r="O323" s="1028"/>
      <c r="P323" s="240"/>
      <c r="Q323" s="240"/>
      <c r="R323" s="240"/>
      <c r="S323" s="240"/>
      <c r="T323" s="240"/>
      <c r="U323" s="240"/>
      <c r="V323" s="240"/>
      <c r="W323" s="240"/>
      <c r="X323" s="240"/>
      <c r="Y323" s="240"/>
      <c r="Z323" s="240"/>
      <c r="AA323" s="240"/>
      <c r="AB323" s="240"/>
      <c r="AC323" s="240"/>
      <c r="AD323" s="240"/>
      <c r="AE323" s="240"/>
      <c r="AF323" s="240"/>
      <c r="AG323" s="240"/>
      <c r="AH323" s="240"/>
      <c r="AI323" s="240"/>
    </row>
    <row r="324" ht="15.75" customHeight="1">
      <c r="A324" s="240"/>
      <c r="B324" s="240"/>
      <c r="C324" s="240"/>
      <c r="D324" s="240"/>
      <c r="E324" s="240"/>
      <c r="F324" s="240"/>
      <c r="G324" s="240"/>
      <c r="H324" s="240"/>
      <c r="I324" s="240"/>
      <c r="J324" s="240"/>
      <c r="K324" s="240"/>
      <c r="L324" s="240"/>
      <c r="M324" s="240"/>
      <c r="N324" s="240"/>
      <c r="O324" s="1028"/>
      <c r="P324" s="240"/>
      <c r="Q324" s="240"/>
      <c r="R324" s="240"/>
      <c r="S324" s="240"/>
      <c r="T324" s="240"/>
      <c r="U324" s="240"/>
      <c r="V324" s="240"/>
      <c r="W324" s="240"/>
      <c r="X324" s="240"/>
      <c r="Y324" s="240"/>
      <c r="Z324" s="240"/>
      <c r="AA324" s="240"/>
      <c r="AB324" s="240"/>
      <c r="AC324" s="240"/>
      <c r="AD324" s="240"/>
      <c r="AE324" s="240"/>
      <c r="AF324" s="240"/>
      <c r="AG324" s="240"/>
      <c r="AH324" s="240"/>
      <c r="AI324" s="240"/>
    </row>
    <row r="325" ht="15.75" customHeight="1">
      <c r="A325" s="240"/>
      <c r="B325" s="240"/>
      <c r="C325" s="240"/>
      <c r="D325" s="240"/>
      <c r="E325" s="240"/>
      <c r="F325" s="240"/>
      <c r="G325" s="240"/>
      <c r="H325" s="240"/>
      <c r="I325" s="240"/>
      <c r="J325" s="240"/>
      <c r="K325" s="240"/>
      <c r="L325" s="240"/>
      <c r="M325" s="240"/>
      <c r="N325" s="240"/>
      <c r="O325" s="1028"/>
      <c r="P325" s="240"/>
      <c r="Q325" s="240"/>
      <c r="R325" s="240"/>
      <c r="S325" s="240"/>
      <c r="T325" s="240"/>
      <c r="U325" s="240"/>
      <c r="V325" s="240"/>
      <c r="W325" s="240"/>
      <c r="X325" s="240"/>
      <c r="Y325" s="240"/>
      <c r="Z325" s="240"/>
      <c r="AA325" s="240"/>
      <c r="AB325" s="240"/>
      <c r="AC325" s="240"/>
      <c r="AD325" s="240"/>
      <c r="AE325" s="240"/>
      <c r="AF325" s="240"/>
      <c r="AG325" s="240"/>
      <c r="AH325" s="240"/>
      <c r="AI325" s="240"/>
    </row>
    <row r="326" ht="15.75" customHeight="1">
      <c r="A326" s="240"/>
      <c r="B326" s="240"/>
      <c r="C326" s="240"/>
      <c r="D326" s="240"/>
      <c r="E326" s="240"/>
      <c r="F326" s="240"/>
      <c r="G326" s="240"/>
      <c r="H326" s="240"/>
      <c r="I326" s="240"/>
      <c r="J326" s="240"/>
      <c r="K326" s="240"/>
      <c r="L326" s="240"/>
      <c r="M326" s="240"/>
      <c r="N326" s="240"/>
      <c r="O326" s="1028"/>
      <c r="P326" s="240"/>
      <c r="Q326" s="240"/>
      <c r="R326" s="240"/>
      <c r="S326" s="240"/>
      <c r="T326" s="240"/>
      <c r="U326" s="240"/>
      <c r="V326" s="240"/>
      <c r="W326" s="240"/>
      <c r="X326" s="240"/>
      <c r="Y326" s="240"/>
      <c r="Z326" s="240"/>
      <c r="AA326" s="240"/>
      <c r="AB326" s="240"/>
      <c r="AC326" s="240"/>
      <c r="AD326" s="240"/>
      <c r="AE326" s="240"/>
      <c r="AF326" s="240"/>
      <c r="AG326" s="240"/>
      <c r="AH326" s="240"/>
      <c r="AI326" s="240"/>
    </row>
    <row r="327" ht="15.75" customHeight="1">
      <c r="A327" s="240"/>
      <c r="B327" s="240"/>
      <c r="C327" s="240"/>
      <c r="D327" s="240"/>
      <c r="E327" s="240"/>
      <c r="F327" s="240"/>
      <c r="G327" s="240"/>
      <c r="H327" s="240"/>
      <c r="I327" s="240"/>
      <c r="J327" s="240"/>
      <c r="K327" s="240"/>
      <c r="L327" s="240"/>
      <c r="M327" s="240"/>
      <c r="N327" s="240"/>
      <c r="O327" s="1028"/>
      <c r="P327" s="240"/>
      <c r="Q327" s="240"/>
      <c r="R327" s="240"/>
      <c r="S327" s="240"/>
      <c r="T327" s="240"/>
      <c r="U327" s="240"/>
      <c r="V327" s="240"/>
      <c r="W327" s="240"/>
      <c r="X327" s="240"/>
      <c r="Y327" s="240"/>
      <c r="Z327" s="240"/>
      <c r="AA327" s="240"/>
      <c r="AB327" s="240"/>
      <c r="AC327" s="240"/>
      <c r="AD327" s="240"/>
      <c r="AE327" s="240"/>
      <c r="AF327" s="240"/>
      <c r="AG327" s="240"/>
      <c r="AH327" s="240"/>
      <c r="AI327" s="240"/>
    </row>
    <row r="328" ht="15.75" customHeight="1">
      <c r="A328" s="240"/>
      <c r="B328" s="240"/>
      <c r="C328" s="240"/>
      <c r="D328" s="240"/>
      <c r="E328" s="240"/>
      <c r="F328" s="240"/>
      <c r="G328" s="240"/>
      <c r="H328" s="240"/>
      <c r="I328" s="240"/>
      <c r="J328" s="240"/>
      <c r="K328" s="240"/>
      <c r="L328" s="240"/>
      <c r="M328" s="240"/>
      <c r="N328" s="240"/>
      <c r="O328" s="1028"/>
      <c r="P328" s="240"/>
      <c r="Q328" s="240"/>
      <c r="R328" s="240"/>
      <c r="S328" s="240"/>
      <c r="T328" s="240"/>
      <c r="U328" s="240"/>
      <c r="V328" s="240"/>
      <c r="W328" s="240"/>
      <c r="X328" s="240"/>
      <c r="Y328" s="240"/>
      <c r="Z328" s="240"/>
      <c r="AA328" s="240"/>
      <c r="AB328" s="240"/>
      <c r="AC328" s="240"/>
      <c r="AD328" s="240"/>
      <c r="AE328" s="240"/>
      <c r="AF328" s="240"/>
      <c r="AG328" s="240"/>
      <c r="AH328" s="240"/>
      <c r="AI328" s="240"/>
    </row>
    <row r="329" ht="15.75" customHeight="1">
      <c r="A329" s="240"/>
      <c r="B329" s="240"/>
      <c r="C329" s="240"/>
      <c r="D329" s="240"/>
      <c r="E329" s="240"/>
      <c r="F329" s="240"/>
      <c r="G329" s="240"/>
      <c r="H329" s="240"/>
      <c r="I329" s="240"/>
      <c r="J329" s="240"/>
      <c r="K329" s="240"/>
      <c r="L329" s="240"/>
      <c r="M329" s="240"/>
      <c r="N329" s="240"/>
      <c r="O329" s="1028"/>
      <c r="P329" s="240"/>
      <c r="Q329" s="240"/>
      <c r="R329" s="240"/>
      <c r="S329" s="240"/>
      <c r="T329" s="240"/>
      <c r="U329" s="240"/>
      <c r="V329" s="240"/>
      <c r="W329" s="240"/>
      <c r="X329" s="240"/>
      <c r="Y329" s="240"/>
      <c r="Z329" s="240"/>
      <c r="AA329" s="240"/>
      <c r="AB329" s="240"/>
      <c r="AC329" s="240"/>
      <c r="AD329" s="240"/>
      <c r="AE329" s="240"/>
      <c r="AF329" s="240"/>
      <c r="AG329" s="240"/>
      <c r="AH329" s="240"/>
      <c r="AI329" s="240"/>
    </row>
    <row r="330" ht="15.75" customHeight="1">
      <c r="A330" s="240"/>
      <c r="B330" s="240"/>
      <c r="C330" s="240"/>
      <c r="D330" s="240"/>
      <c r="E330" s="240"/>
      <c r="F330" s="240"/>
      <c r="G330" s="240"/>
      <c r="H330" s="240"/>
      <c r="I330" s="240"/>
      <c r="J330" s="240"/>
      <c r="K330" s="240"/>
      <c r="L330" s="240"/>
      <c r="M330" s="240"/>
      <c r="N330" s="240"/>
      <c r="O330" s="1028"/>
      <c r="P330" s="240"/>
      <c r="Q330" s="240"/>
      <c r="R330" s="240"/>
      <c r="S330" s="240"/>
      <c r="T330" s="240"/>
      <c r="U330" s="240"/>
      <c r="V330" s="240"/>
      <c r="W330" s="240"/>
      <c r="X330" s="240"/>
      <c r="Y330" s="240"/>
      <c r="Z330" s="240"/>
      <c r="AA330" s="240"/>
      <c r="AB330" s="240"/>
      <c r="AC330" s="240"/>
      <c r="AD330" s="240"/>
      <c r="AE330" s="240"/>
      <c r="AF330" s="240"/>
      <c r="AG330" s="240"/>
      <c r="AH330" s="240"/>
      <c r="AI330" s="240"/>
    </row>
    <row r="331" ht="15.75" customHeight="1">
      <c r="A331" s="240"/>
      <c r="B331" s="240"/>
      <c r="C331" s="240"/>
      <c r="D331" s="240"/>
      <c r="E331" s="240"/>
      <c r="F331" s="240"/>
      <c r="G331" s="240"/>
      <c r="H331" s="240"/>
      <c r="I331" s="240"/>
      <c r="J331" s="240"/>
      <c r="K331" s="240"/>
      <c r="L331" s="240"/>
      <c r="M331" s="240"/>
      <c r="N331" s="240"/>
      <c r="O331" s="1028"/>
      <c r="P331" s="240"/>
      <c r="Q331" s="240"/>
      <c r="R331" s="240"/>
      <c r="S331" s="240"/>
      <c r="T331" s="240"/>
      <c r="U331" s="240"/>
      <c r="V331" s="240"/>
      <c r="W331" s="240"/>
      <c r="X331" s="240"/>
      <c r="Y331" s="240"/>
      <c r="Z331" s="240"/>
      <c r="AA331" s="240"/>
      <c r="AB331" s="240"/>
      <c r="AC331" s="240"/>
      <c r="AD331" s="240"/>
      <c r="AE331" s="240"/>
      <c r="AF331" s="240"/>
      <c r="AG331" s="240"/>
      <c r="AH331" s="240"/>
      <c r="AI331" s="240"/>
    </row>
    <row r="332" ht="15.75" customHeight="1">
      <c r="A332" s="240"/>
      <c r="B332" s="240"/>
      <c r="C332" s="240"/>
      <c r="D332" s="240"/>
      <c r="E332" s="240"/>
      <c r="F332" s="240"/>
      <c r="G332" s="240"/>
      <c r="H332" s="240"/>
      <c r="I332" s="240"/>
      <c r="J332" s="240"/>
      <c r="K332" s="240"/>
      <c r="L332" s="240"/>
      <c r="M332" s="240"/>
      <c r="N332" s="240"/>
      <c r="O332" s="1028"/>
      <c r="P332" s="240"/>
      <c r="Q332" s="240"/>
      <c r="R332" s="240"/>
      <c r="S332" s="240"/>
      <c r="T332" s="240"/>
      <c r="U332" s="240"/>
      <c r="V332" s="240"/>
      <c r="W332" s="240"/>
      <c r="X332" s="240"/>
      <c r="Y332" s="240"/>
      <c r="Z332" s="240"/>
      <c r="AA332" s="240"/>
      <c r="AB332" s="240"/>
      <c r="AC332" s="240"/>
      <c r="AD332" s="240"/>
      <c r="AE332" s="240"/>
      <c r="AF332" s="240"/>
      <c r="AG332" s="240"/>
      <c r="AH332" s="240"/>
      <c r="AI332" s="240"/>
    </row>
    <row r="333" ht="15.75" customHeight="1">
      <c r="A333" s="240"/>
      <c r="B333" s="240"/>
      <c r="C333" s="240"/>
      <c r="D333" s="240"/>
      <c r="E333" s="240"/>
      <c r="F333" s="240"/>
      <c r="G333" s="240"/>
      <c r="H333" s="240"/>
      <c r="I333" s="240"/>
      <c r="J333" s="240"/>
      <c r="K333" s="240"/>
      <c r="L333" s="240"/>
      <c r="M333" s="240"/>
      <c r="N333" s="240"/>
      <c r="O333" s="1028"/>
      <c r="P333" s="240"/>
      <c r="Q333" s="240"/>
      <c r="R333" s="240"/>
      <c r="S333" s="240"/>
      <c r="T333" s="240"/>
      <c r="U333" s="240"/>
      <c r="V333" s="240"/>
      <c r="W333" s="240"/>
      <c r="X333" s="240"/>
      <c r="Y333" s="240"/>
      <c r="Z333" s="240"/>
      <c r="AA333" s="240"/>
      <c r="AB333" s="240"/>
      <c r="AC333" s="240"/>
      <c r="AD333" s="240"/>
      <c r="AE333" s="240"/>
      <c r="AF333" s="240"/>
      <c r="AG333" s="240"/>
      <c r="AH333" s="240"/>
      <c r="AI333" s="240"/>
    </row>
    <row r="334" ht="15.75" customHeight="1">
      <c r="A334" s="240"/>
      <c r="B334" s="240"/>
      <c r="C334" s="240"/>
      <c r="D334" s="240"/>
      <c r="E334" s="240"/>
      <c r="F334" s="240"/>
      <c r="G334" s="240"/>
      <c r="H334" s="240"/>
      <c r="I334" s="240"/>
      <c r="J334" s="240"/>
      <c r="K334" s="240"/>
      <c r="L334" s="240"/>
      <c r="M334" s="240"/>
      <c r="N334" s="240"/>
      <c r="O334" s="1028"/>
      <c r="P334" s="240"/>
      <c r="Q334" s="240"/>
      <c r="R334" s="240"/>
      <c r="S334" s="240"/>
      <c r="T334" s="240"/>
      <c r="U334" s="240"/>
      <c r="V334" s="240"/>
      <c r="W334" s="240"/>
      <c r="X334" s="240"/>
      <c r="Y334" s="240"/>
      <c r="Z334" s="240"/>
      <c r="AA334" s="240"/>
      <c r="AB334" s="240"/>
      <c r="AC334" s="240"/>
      <c r="AD334" s="240"/>
      <c r="AE334" s="240"/>
      <c r="AF334" s="240"/>
      <c r="AG334" s="240"/>
      <c r="AH334" s="240"/>
      <c r="AI334" s="240"/>
    </row>
    <row r="335" ht="15.75" customHeight="1">
      <c r="A335" s="240"/>
      <c r="B335" s="240"/>
      <c r="C335" s="240"/>
      <c r="D335" s="240"/>
      <c r="E335" s="240"/>
      <c r="F335" s="240"/>
      <c r="G335" s="240"/>
      <c r="H335" s="240"/>
      <c r="I335" s="240"/>
      <c r="J335" s="240"/>
      <c r="K335" s="240"/>
      <c r="L335" s="240"/>
      <c r="M335" s="240"/>
      <c r="N335" s="240"/>
      <c r="O335" s="1028"/>
      <c r="P335" s="240"/>
      <c r="Q335" s="240"/>
      <c r="R335" s="240"/>
      <c r="S335" s="240"/>
      <c r="T335" s="240"/>
      <c r="U335" s="240"/>
      <c r="V335" s="240"/>
      <c r="W335" s="240"/>
      <c r="X335" s="240"/>
      <c r="Y335" s="240"/>
      <c r="Z335" s="240"/>
      <c r="AA335" s="240"/>
      <c r="AB335" s="240"/>
      <c r="AC335" s="240"/>
      <c r="AD335" s="240"/>
      <c r="AE335" s="240"/>
      <c r="AF335" s="240"/>
      <c r="AG335" s="240"/>
      <c r="AH335" s="240"/>
      <c r="AI335" s="240"/>
    </row>
    <row r="336" ht="15.75" customHeight="1">
      <c r="A336" s="240"/>
      <c r="B336" s="240"/>
      <c r="C336" s="240"/>
      <c r="D336" s="240"/>
      <c r="E336" s="240"/>
      <c r="F336" s="240"/>
      <c r="G336" s="240"/>
      <c r="H336" s="240"/>
      <c r="I336" s="240"/>
      <c r="J336" s="240"/>
      <c r="K336" s="240"/>
      <c r="L336" s="240"/>
      <c r="M336" s="240"/>
      <c r="N336" s="240"/>
      <c r="O336" s="1028"/>
      <c r="P336" s="240"/>
      <c r="Q336" s="240"/>
      <c r="R336" s="240"/>
      <c r="S336" s="240"/>
      <c r="T336" s="240"/>
      <c r="U336" s="240"/>
      <c r="V336" s="240"/>
      <c r="W336" s="240"/>
      <c r="X336" s="240"/>
      <c r="Y336" s="240"/>
      <c r="Z336" s="240"/>
      <c r="AA336" s="240"/>
      <c r="AB336" s="240"/>
      <c r="AC336" s="240"/>
      <c r="AD336" s="240"/>
      <c r="AE336" s="240"/>
      <c r="AF336" s="240"/>
      <c r="AG336" s="240"/>
      <c r="AH336" s="240"/>
      <c r="AI336" s="240"/>
    </row>
    <row r="337" ht="15.75" customHeight="1">
      <c r="A337" s="240"/>
      <c r="B337" s="240"/>
      <c r="C337" s="240"/>
      <c r="D337" s="240"/>
      <c r="E337" s="240"/>
      <c r="F337" s="240"/>
      <c r="G337" s="240"/>
      <c r="H337" s="240"/>
      <c r="I337" s="240"/>
      <c r="J337" s="240"/>
      <c r="K337" s="240"/>
      <c r="L337" s="240"/>
      <c r="M337" s="240"/>
      <c r="N337" s="240"/>
      <c r="O337" s="1028"/>
      <c r="P337" s="240"/>
      <c r="Q337" s="240"/>
      <c r="R337" s="240"/>
      <c r="S337" s="240"/>
      <c r="T337" s="240"/>
      <c r="U337" s="240"/>
      <c r="V337" s="240"/>
      <c r="W337" s="240"/>
      <c r="X337" s="240"/>
      <c r="Y337" s="240"/>
      <c r="Z337" s="240"/>
      <c r="AA337" s="240"/>
      <c r="AB337" s="240"/>
      <c r="AC337" s="240"/>
      <c r="AD337" s="240"/>
      <c r="AE337" s="240"/>
      <c r="AF337" s="240"/>
      <c r="AG337" s="240"/>
      <c r="AH337" s="240"/>
      <c r="AI337" s="240"/>
    </row>
    <row r="338" ht="15.75" customHeight="1">
      <c r="A338" s="240"/>
      <c r="B338" s="240"/>
      <c r="C338" s="240"/>
      <c r="D338" s="240"/>
      <c r="E338" s="240"/>
      <c r="F338" s="240"/>
      <c r="G338" s="240"/>
      <c r="H338" s="240"/>
      <c r="I338" s="240"/>
      <c r="J338" s="240"/>
      <c r="K338" s="240"/>
      <c r="L338" s="240"/>
      <c r="M338" s="240"/>
      <c r="N338" s="240"/>
      <c r="O338" s="1028"/>
      <c r="P338" s="240"/>
      <c r="Q338" s="240"/>
      <c r="R338" s="240"/>
      <c r="S338" s="240"/>
      <c r="T338" s="240"/>
      <c r="U338" s="240"/>
      <c r="V338" s="240"/>
      <c r="W338" s="240"/>
      <c r="X338" s="240"/>
      <c r="Y338" s="240"/>
      <c r="Z338" s="240"/>
      <c r="AA338" s="240"/>
      <c r="AB338" s="240"/>
      <c r="AC338" s="240"/>
      <c r="AD338" s="240"/>
      <c r="AE338" s="240"/>
      <c r="AF338" s="240"/>
      <c r="AG338" s="240"/>
      <c r="AH338" s="240"/>
      <c r="AI338" s="240"/>
    </row>
    <row r="339" ht="15.75" customHeight="1">
      <c r="A339" s="240"/>
      <c r="B339" s="240"/>
      <c r="C339" s="240"/>
      <c r="D339" s="240"/>
      <c r="E339" s="240"/>
      <c r="F339" s="240"/>
      <c r="G339" s="240"/>
      <c r="H339" s="240"/>
      <c r="I339" s="240"/>
      <c r="J339" s="240"/>
      <c r="K339" s="240"/>
      <c r="L339" s="240"/>
      <c r="M339" s="240"/>
      <c r="N339" s="240"/>
      <c r="O339" s="1028"/>
      <c r="P339" s="240"/>
      <c r="Q339" s="240"/>
      <c r="R339" s="240"/>
      <c r="S339" s="240"/>
      <c r="T339" s="240"/>
      <c r="U339" s="240"/>
      <c r="V339" s="240"/>
      <c r="W339" s="240"/>
      <c r="X339" s="240"/>
      <c r="Y339" s="240"/>
      <c r="Z339" s="240"/>
      <c r="AA339" s="240"/>
      <c r="AB339" s="240"/>
      <c r="AC339" s="240"/>
      <c r="AD339" s="240"/>
      <c r="AE339" s="240"/>
      <c r="AF339" s="240"/>
      <c r="AG339" s="240"/>
      <c r="AH339" s="240"/>
      <c r="AI339" s="240"/>
    </row>
  </sheetData>
  <mergeCells count="5">
    <mergeCell ref="B4:B5"/>
    <mergeCell ref="C4:C5"/>
    <mergeCell ref="B28:C28"/>
    <mergeCell ref="B53:C53"/>
    <mergeCell ref="B73:C73"/>
  </mergeCells>
  <printOptions/>
  <pageMargins bottom="0.75" footer="0.0" header="0.0" left="0.7" right="0.7" top="0.75"/>
  <pageSetup orientation="landscape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5.63"/>
    <col customWidth="1" min="2" max="2" width="9.75"/>
    <col customWidth="1" min="3" max="3" width="35.88"/>
    <col customWidth="1" min="4" max="4" width="12.63"/>
    <col customWidth="1" min="6" max="6" width="9.75"/>
    <col customWidth="1" min="7" max="7" width="10.75"/>
    <col customWidth="1" min="8" max="9" width="7.25"/>
    <col customWidth="1" min="13" max="13" width="13.13"/>
    <col customWidth="1" min="14" max="14" width="12.63"/>
    <col customWidth="1" min="15" max="15" width="13.13"/>
    <col customWidth="1" min="16" max="34" width="12.63"/>
  </cols>
  <sheetData>
    <row r="1" ht="15.75" customHeight="1">
      <c r="A1" s="213"/>
      <c r="B1" s="214" t="s">
        <v>1</v>
      </c>
      <c r="C1" s="213"/>
      <c r="D1" s="213"/>
      <c r="E1" s="213"/>
      <c r="F1" s="213"/>
      <c r="G1" s="213"/>
      <c r="H1" s="213"/>
      <c r="I1" s="946"/>
      <c r="J1" s="213"/>
      <c r="K1" s="213"/>
      <c r="L1" s="213"/>
      <c r="M1" s="213"/>
      <c r="N1" s="213"/>
      <c r="O1" s="328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</row>
    <row r="2" ht="15.75" customHeight="1">
      <c r="A2" s="213"/>
      <c r="B2" s="780" t="s">
        <v>481</v>
      </c>
      <c r="C2" s="213"/>
      <c r="D2" s="213"/>
      <c r="E2" s="213"/>
      <c r="F2" s="213"/>
      <c r="G2" s="213"/>
      <c r="H2" s="213"/>
      <c r="I2" s="946"/>
      <c r="J2" s="213"/>
      <c r="K2" s="213"/>
      <c r="L2" s="213"/>
      <c r="M2" s="213"/>
      <c r="N2" s="213"/>
      <c r="O2" s="328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  <c r="AA2" s="213"/>
      <c r="AB2" s="213"/>
      <c r="AC2" s="213"/>
      <c r="AD2" s="213"/>
      <c r="AE2" s="213"/>
      <c r="AF2" s="213"/>
      <c r="AG2" s="213"/>
      <c r="AH2" s="213"/>
    </row>
    <row r="3" ht="15.75" customHeight="1">
      <c r="A3" s="213"/>
      <c r="B3" s="213"/>
      <c r="C3" s="213"/>
      <c r="D3" s="213"/>
      <c r="E3" s="213"/>
      <c r="F3" s="213"/>
      <c r="G3" s="213"/>
      <c r="H3" s="213"/>
      <c r="I3" s="946"/>
      <c r="J3" s="213"/>
      <c r="K3" s="213"/>
      <c r="L3" s="213"/>
      <c r="M3" s="213"/>
      <c r="N3" s="531" t="s">
        <v>482</v>
      </c>
      <c r="O3" s="328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</row>
    <row r="4" ht="15.75" customHeight="1">
      <c r="A4" s="213"/>
      <c r="B4" s="1072" t="s">
        <v>201</v>
      </c>
      <c r="C4" s="1072" t="s">
        <v>47</v>
      </c>
      <c r="D4" s="1073" t="s">
        <v>202</v>
      </c>
      <c r="E4" s="1073" t="s">
        <v>203</v>
      </c>
      <c r="F4" s="1073" t="s">
        <v>204</v>
      </c>
      <c r="G4" s="1073" t="s">
        <v>205</v>
      </c>
      <c r="H4" s="1073" t="s">
        <v>206</v>
      </c>
      <c r="I4" s="1073" t="s">
        <v>207</v>
      </c>
      <c r="J4" s="1073" t="s">
        <v>208</v>
      </c>
      <c r="K4" s="1073" t="s">
        <v>209</v>
      </c>
      <c r="L4" s="1073" t="s">
        <v>210</v>
      </c>
      <c r="M4" s="1073" t="s">
        <v>211</v>
      </c>
      <c r="N4" s="1073" t="s">
        <v>212</v>
      </c>
      <c r="O4" s="1073" t="s">
        <v>213</v>
      </c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</row>
    <row r="5" ht="15.75" customHeight="1">
      <c r="A5" s="335"/>
      <c r="B5" s="958"/>
      <c r="C5" s="958"/>
      <c r="D5" s="1074" t="s">
        <v>215</v>
      </c>
      <c r="E5" s="1074" t="s">
        <v>215</v>
      </c>
      <c r="F5" s="1074" t="s">
        <v>215</v>
      </c>
      <c r="G5" s="1074" t="s">
        <v>215</v>
      </c>
      <c r="H5" s="1074" t="s">
        <v>215</v>
      </c>
      <c r="I5" s="1075" t="s">
        <v>215</v>
      </c>
      <c r="J5" s="1074" t="s">
        <v>215</v>
      </c>
      <c r="K5" s="1074" t="s">
        <v>215</v>
      </c>
      <c r="L5" s="1074" t="s">
        <v>215</v>
      </c>
      <c r="M5" s="1074" t="s">
        <v>215</v>
      </c>
      <c r="N5" s="1074" t="s">
        <v>215</v>
      </c>
      <c r="O5" s="1076" t="s">
        <v>215</v>
      </c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8"/>
      <c r="AC5" s="348"/>
      <c r="AD5" s="348"/>
      <c r="AE5" s="348"/>
      <c r="AF5" s="348"/>
      <c r="AG5" s="348"/>
      <c r="AH5" s="348"/>
    </row>
    <row r="6" ht="15.75" hidden="1" customHeight="1">
      <c r="A6" s="213"/>
      <c r="B6" s="352"/>
      <c r="C6" s="245" t="s">
        <v>85</v>
      </c>
      <c r="D6" s="357">
        <v>0.0</v>
      </c>
      <c r="E6" s="357">
        <v>0.0</v>
      </c>
      <c r="F6" s="357"/>
      <c r="G6" s="357"/>
      <c r="H6" s="357"/>
      <c r="I6" s="357"/>
      <c r="J6" s="357"/>
      <c r="K6" s="357"/>
      <c r="L6" s="357"/>
      <c r="M6" s="357"/>
      <c r="N6" s="357"/>
      <c r="O6" s="353"/>
      <c r="P6" s="213"/>
      <c r="Q6" s="213"/>
      <c r="R6" s="213"/>
      <c r="S6" s="213"/>
      <c r="T6" s="213"/>
      <c r="U6" s="213"/>
      <c r="V6" s="213"/>
      <c r="W6" s="213"/>
      <c r="X6" s="213"/>
      <c r="Y6" s="213"/>
      <c r="Z6" s="213"/>
      <c r="AA6" s="213"/>
      <c r="AB6" s="213"/>
      <c r="AC6" s="213"/>
      <c r="AD6" s="213"/>
      <c r="AE6" s="213"/>
      <c r="AF6" s="213"/>
      <c r="AG6" s="213"/>
      <c r="AH6" s="213"/>
    </row>
    <row r="7" ht="15.75" hidden="1" customHeight="1">
      <c r="A7" s="213"/>
      <c r="B7" s="352"/>
      <c r="C7" s="245" t="s">
        <v>92</v>
      </c>
      <c r="D7" s="357">
        <v>0.0</v>
      </c>
      <c r="E7" s="357">
        <v>0.0</v>
      </c>
      <c r="F7" s="357"/>
      <c r="G7" s="357"/>
      <c r="H7" s="357"/>
      <c r="I7" s="357"/>
      <c r="J7" s="357"/>
      <c r="K7" s="357"/>
      <c r="L7" s="357"/>
      <c r="M7" s="357"/>
      <c r="N7" s="357"/>
      <c r="O7" s="353"/>
      <c r="P7" s="213"/>
      <c r="Q7" s="213"/>
      <c r="R7" s="213"/>
      <c r="S7" s="213"/>
      <c r="T7" s="213"/>
      <c r="U7" s="213"/>
      <c r="V7" s="213"/>
      <c r="W7" s="213"/>
      <c r="X7" s="213"/>
      <c r="Y7" s="213"/>
      <c r="Z7" s="213"/>
      <c r="AA7" s="213"/>
      <c r="AB7" s="213"/>
      <c r="AC7" s="213"/>
      <c r="AD7" s="213"/>
      <c r="AE7" s="213"/>
      <c r="AF7" s="213"/>
      <c r="AG7" s="213"/>
      <c r="AH7" s="213"/>
    </row>
    <row r="8" ht="15.75" hidden="1" customHeight="1">
      <c r="A8" s="213"/>
      <c r="B8" s="352"/>
      <c r="C8" s="245" t="s">
        <v>99</v>
      </c>
      <c r="D8" s="357">
        <v>0.0</v>
      </c>
      <c r="E8" s="357">
        <v>0.0</v>
      </c>
      <c r="F8" s="357"/>
      <c r="G8" s="357"/>
      <c r="H8" s="357"/>
      <c r="I8" s="357"/>
      <c r="J8" s="357"/>
      <c r="K8" s="357"/>
      <c r="L8" s="357"/>
      <c r="M8" s="357"/>
      <c r="N8" s="357"/>
      <c r="O8" s="35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213"/>
      <c r="AC8" s="213"/>
      <c r="AD8" s="213"/>
      <c r="AE8" s="213"/>
      <c r="AF8" s="213"/>
      <c r="AG8" s="213"/>
      <c r="AH8" s="213"/>
    </row>
    <row r="9" ht="15.75" hidden="1" customHeight="1">
      <c r="A9" s="213"/>
      <c r="B9" s="352"/>
      <c r="C9" s="245" t="s">
        <v>106</v>
      </c>
      <c r="D9" s="357">
        <v>0.0</v>
      </c>
      <c r="E9" s="357">
        <v>0.0</v>
      </c>
      <c r="F9" s="357"/>
      <c r="G9" s="357"/>
      <c r="H9" s="357"/>
      <c r="I9" s="357"/>
      <c r="J9" s="357"/>
      <c r="K9" s="357"/>
      <c r="L9" s="357"/>
      <c r="M9" s="357"/>
      <c r="N9" s="357"/>
      <c r="O9" s="353"/>
      <c r="P9" s="213"/>
      <c r="Q9" s="213"/>
      <c r="R9" s="213"/>
      <c r="S9" s="213"/>
      <c r="T9" s="213"/>
      <c r="U9" s="213"/>
      <c r="V9" s="213"/>
      <c r="W9" s="213"/>
      <c r="X9" s="213"/>
      <c r="Y9" s="213"/>
      <c r="Z9" s="213"/>
      <c r="AA9" s="213"/>
      <c r="AB9" s="213"/>
      <c r="AC9" s="213"/>
      <c r="AD9" s="213"/>
      <c r="AE9" s="213"/>
      <c r="AF9" s="213"/>
      <c r="AG9" s="213"/>
      <c r="AH9" s="213"/>
    </row>
    <row r="10" ht="15.75" hidden="1" customHeight="1">
      <c r="A10" s="213"/>
      <c r="B10" s="352"/>
      <c r="C10" s="245" t="s">
        <v>113</v>
      </c>
      <c r="D10" s="357">
        <f>SUM(D8:D9)-D29</f>
        <v>0</v>
      </c>
      <c r="E10" s="357">
        <v>0.0</v>
      </c>
      <c r="F10" s="357"/>
      <c r="G10" s="357"/>
      <c r="H10" s="357"/>
      <c r="I10" s="357"/>
      <c r="J10" s="357"/>
      <c r="K10" s="357"/>
      <c r="L10" s="357"/>
      <c r="M10" s="357"/>
      <c r="N10" s="357"/>
      <c r="O10" s="35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</row>
    <row r="11" ht="15.75" hidden="1" customHeight="1">
      <c r="A11" s="213"/>
      <c r="B11" s="352"/>
      <c r="C11" s="245" t="s">
        <v>120</v>
      </c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3"/>
      <c r="P11" s="213"/>
      <c r="Q11" s="213"/>
      <c r="R11" s="213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</row>
    <row r="12" ht="15.75" hidden="1" customHeight="1">
      <c r="A12" s="213"/>
      <c r="B12" s="352"/>
      <c r="C12" s="245" t="s">
        <v>127</v>
      </c>
      <c r="D12" s="357"/>
      <c r="E12" s="357"/>
      <c r="F12" s="357"/>
      <c r="G12" s="357"/>
      <c r="H12" s="357"/>
      <c r="I12" s="357"/>
      <c r="J12" s="357"/>
      <c r="K12" s="357"/>
      <c r="L12" s="357"/>
      <c r="M12" s="357"/>
      <c r="N12" s="357"/>
      <c r="O12" s="35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</row>
    <row r="13" ht="15.75" hidden="1" customHeight="1">
      <c r="A13" s="213"/>
      <c r="B13" s="352"/>
      <c r="C13" s="245"/>
      <c r="D13" s="357"/>
      <c r="E13" s="357"/>
      <c r="F13" s="357"/>
      <c r="G13" s="357"/>
      <c r="H13" s="357"/>
      <c r="I13" s="357"/>
      <c r="J13" s="357"/>
      <c r="K13" s="357"/>
      <c r="L13" s="357"/>
      <c r="M13" s="357"/>
      <c r="N13" s="357"/>
      <c r="O13" s="353"/>
      <c r="P13" s="213"/>
      <c r="Q13" s="213"/>
      <c r="R13" s="213"/>
      <c r="S13" s="213"/>
      <c r="T13" s="213"/>
      <c r="U13" s="213"/>
      <c r="V13" s="213"/>
      <c r="W13" s="213"/>
      <c r="X13" s="213"/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</row>
    <row r="14" ht="15.75" hidden="1" customHeight="1">
      <c r="A14" s="213"/>
      <c r="B14" s="352"/>
      <c r="C14" s="245"/>
      <c r="D14" s="357"/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  <c r="AC14" s="213"/>
      <c r="AD14" s="213"/>
      <c r="AE14" s="213"/>
      <c r="AF14" s="213"/>
      <c r="AG14" s="213"/>
      <c r="AH14" s="213"/>
    </row>
    <row r="15" ht="15.75" customHeight="1">
      <c r="A15" s="213"/>
      <c r="B15" s="658" t="s">
        <v>220</v>
      </c>
      <c r="C15" s="245"/>
      <c r="D15" s="357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213"/>
      <c r="Q15" s="213"/>
      <c r="R15" s="213"/>
      <c r="S15" s="213"/>
      <c r="T15" s="213"/>
      <c r="U15" s="213"/>
      <c r="V15" s="213"/>
      <c r="W15" s="213"/>
      <c r="X15" s="213"/>
      <c r="Y15" s="213"/>
      <c r="Z15" s="213"/>
      <c r="AA15" s="213"/>
      <c r="AB15" s="213"/>
      <c r="AC15" s="213"/>
      <c r="AD15" s="213"/>
      <c r="AE15" s="213"/>
      <c r="AF15" s="213"/>
      <c r="AG15" s="213"/>
      <c r="AH15" s="213"/>
    </row>
    <row r="16" ht="15.75" customHeight="1">
      <c r="A16" s="213"/>
      <c r="B16" s="352"/>
      <c r="C16" s="245"/>
      <c r="D16" s="357">
        <f t="shared" ref="D16:O16" si="1">SUM(D17:D21)</f>
        <v>0</v>
      </c>
      <c r="E16" s="357">
        <f t="shared" si="1"/>
        <v>0</v>
      </c>
      <c r="F16" s="357">
        <f t="shared" si="1"/>
        <v>0</v>
      </c>
      <c r="G16" s="357">
        <f t="shared" si="1"/>
        <v>0</v>
      </c>
      <c r="H16" s="357">
        <f t="shared" si="1"/>
        <v>0</v>
      </c>
      <c r="I16" s="357">
        <f t="shared" si="1"/>
        <v>0</v>
      </c>
      <c r="J16" s="357">
        <f t="shared" si="1"/>
        <v>0</v>
      </c>
      <c r="K16" s="357">
        <f t="shared" si="1"/>
        <v>0</v>
      </c>
      <c r="L16" s="357">
        <f t="shared" si="1"/>
        <v>0</v>
      </c>
      <c r="M16" s="357">
        <f t="shared" si="1"/>
        <v>0</v>
      </c>
      <c r="N16" s="357">
        <f t="shared" si="1"/>
        <v>683645</v>
      </c>
      <c r="O16" s="357">
        <f t="shared" si="1"/>
        <v>657081</v>
      </c>
      <c r="P16" s="718">
        <f>SUM(D16:O16)</f>
        <v>1340726</v>
      </c>
      <c r="Q16" s="216"/>
      <c r="R16" s="216"/>
      <c r="S16" s="216"/>
      <c r="T16" s="216"/>
      <c r="U16" s="216"/>
      <c r="V16" s="216"/>
      <c r="W16" s="216"/>
      <c r="X16" s="216"/>
      <c r="Y16" s="216"/>
      <c r="Z16" s="216"/>
      <c r="AA16" s="216"/>
      <c r="AB16" s="216"/>
      <c r="AC16" s="216"/>
      <c r="AD16" s="216"/>
      <c r="AE16" s="216"/>
      <c r="AF16" s="216"/>
      <c r="AG16" s="216"/>
      <c r="AH16" s="216"/>
    </row>
    <row r="17" ht="15.75" hidden="1" customHeight="1">
      <c r="A17" s="213"/>
      <c r="B17" s="352"/>
      <c r="C17" s="245"/>
      <c r="D17" s="357"/>
      <c r="E17" s="357"/>
      <c r="F17" s="357"/>
      <c r="G17" s="357"/>
      <c r="H17" s="357"/>
      <c r="I17" s="357"/>
      <c r="J17" s="357"/>
      <c r="K17" s="357"/>
      <c r="L17" s="357"/>
      <c r="M17" s="357"/>
      <c r="N17" s="357"/>
      <c r="O17" s="357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</row>
    <row r="18" ht="15.75" customHeight="1">
      <c r="A18" s="213"/>
      <c r="B18" s="352" t="s">
        <v>24</v>
      </c>
      <c r="C18" s="245" t="s">
        <v>221</v>
      </c>
      <c r="D18" s="357"/>
      <c r="E18" s="357"/>
      <c r="F18" s="357"/>
      <c r="G18" s="357"/>
      <c r="H18" s="357"/>
      <c r="I18" s="357"/>
      <c r="J18" s="357"/>
      <c r="K18" s="357"/>
      <c r="L18" s="357"/>
      <c r="M18" s="357"/>
      <c r="N18" s="357"/>
      <c r="O18" s="357"/>
      <c r="P18" s="213"/>
      <c r="Q18" s="213"/>
      <c r="R18" s="213"/>
      <c r="S18" s="213"/>
      <c r="T18" s="213"/>
      <c r="U18" s="213"/>
      <c r="V18" s="213"/>
      <c r="W18" s="213"/>
      <c r="X18" s="213"/>
      <c r="Y18" s="213"/>
      <c r="Z18" s="213"/>
      <c r="AA18" s="213"/>
      <c r="AB18" s="213"/>
      <c r="AC18" s="213"/>
      <c r="AD18" s="213"/>
      <c r="AE18" s="213"/>
      <c r="AF18" s="213"/>
      <c r="AG18" s="213"/>
      <c r="AH18" s="213"/>
    </row>
    <row r="19" ht="15.75" customHeight="1">
      <c r="A19" s="213"/>
      <c r="B19" s="245"/>
      <c r="C19" s="245" t="s">
        <v>483</v>
      </c>
      <c r="D19" s="605"/>
      <c r="E19" s="357"/>
      <c r="F19" s="357"/>
      <c r="G19" s="357"/>
      <c r="H19" s="357"/>
      <c r="I19" s="357"/>
      <c r="J19" s="357"/>
      <c r="K19" s="357"/>
      <c r="L19" s="357"/>
      <c r="M19" s="357"/>
      <c r="N19" s="357">
        <f>278028+218853</f>
        <v>496881</v>
      </c>
      <c r="O19" s="357">
        <f>360695+269405</f>
        <v>630100</v>
      </c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  <c r="AA19" s="213"/>
      <c r="AB19" s="213"/>
      <c r="AC19" s="213"/>
      <c r="AD19" s="213"/>
      <c r="AE19" s="213"/>
      <c r="AF19" s="213"/>
      <c r="AG19" s="213"/>
      <c r="AH19" s="213"/>
    </row>
    <row r="20" ht="15.75" customHeight="1">
      <c r="A20" s="213"/>
      <c r="B20" s="1077"/>
      <c r="C20" s="245" t="s">
        <v>428</v>
      </c>
      <c r="D20" s="605"/>
      <c r="E20" s="357"/>
      <c r="F20" s="357"/>
      <c r="G20" s="357"/>
      <c r="H20" s="357"/>
      <c r="I20" s="357"/>
      <c r="J20" s="357"/>
      <c r="K20" s="357"/>
      <c r="L20" s="357"/>
      <c r="M20" s="357"/>
      <c r="N20" s="357">
        <v>186764.0</v>
      </c>
      <c r="O20" s="737">
        <v>26981.0</v>
      </c>
      <c r="P20" s="213"/>
      <c r="Q20" s="213"/>
      <c r="R20" s="213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</row>
    <row r="21" ht="15.75" customHeight="1">
      <c r="A21" s="213"/>
      <c r="B21" s="245"/>
      <c r="C21" s="245" t="s">
        <v>226</v>
      </c>
      <c r="D21" s="357"/>
      <c r="E21" s="357"/>
      <c r="F21" s="357"/>
      <c r="G21" s="357"/>
      <c r="H21" s="357"/>
      <c r="I21" s="357"/>
      <c r="J21" s="357"/>
      <c r="K21" s="357"/>
      <c r="L21" s="357"/>
      <c r="M21" s="357"/>
      <c r="N21" s="357"/>
      <c r="O21" s="357">
        <v>0.0</v>
      </c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  <c r="AA21" s="213"/>
      <c r="AB21" s="213"/>
      <c r="AC21" s="213"/>
      <c r="AD21" s="213"/>
      <c r="AE21" s="213"/>
      <c r="AF21" s="213"/>
      <c r="AG21" s="213"/>
      <c r="AH21" s="213"/>
    </row>
    <row r="22" ht="15.75" customHeight="1">
      <c r="A22" s="213"/>
      <c r="B22" s="245"/>
      <c r="C22" s="245"/>
      <c r="D22" s="357"/>
      <c r="E22" s="357"/>
      <c r="F22" s="357"/>
      <c r="G22" s="357"/>
      <c r="H22" s="357"/>
      <c r="I22" s="357"/>
      <c r="J22" s="357"/>
      <c r="K22" s="357"/>
      <c r="L22" s="357"/>
      <c r="M22" s="357"/>
      <c r="N22" s="357"/>
      <c r="O22" s="357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  <c r="AD22" s="213"/>
      <c r="AE22" s="213"/>
      <c r="AF22" s="213"/>
      <c r="AG22" s="213"/>
      <c r="AH22" s="213"/>
    </row>
    <row r="23" ht="15.75" hidden="1" customHeight="1">
      <c r="A23" s="213"/>
      <c r="B23" s="352"/>
      <c r="C23" s="245"/>
      <c r="D23" s="357"/>
      <c r="E23" s="357"/>
      <c r="F23" s="357"/>
      <c r="G23" s="357"/>
      <c r="H23" s="357"/>
      <c r="I23" s="357"/>
      <c r="J23" s="357"/>
      <c r="K23" s="357"/>
      <c r="L23" s="357"/>
      <c r="M23" s="357"/>
      <c r="N23" s="357"/>
      <c r="O23" s="357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  <c r="AA23" s="213"/>
      <c r="AB23" s="213"/>
      <c r="AC23" s="213"/>
      <c r="AD23" s="213"/>
      <c r="AE23" s="213"/>
      <c r="AF23" s="213"/>
      <c r="AG23" s="213"/>
      <c r="AH23" s="213"/>
    </row>
    <row r="24" ht="15.75" hidden="1" customHeight="1">
      <c r="A24" s="213"/>
      <c r="B24" s="352" t="s">
        <v>22</v>
      </c>
      <c r="C24" s="245" t="s">
        <v>22</v>
      </c>
      <c r="D24" s="357"/>
      <c r="E24" s="357"/>
      <c r="F24" s="357"/>
      <c r="G24" s="357"/>
      <c r="H24" s="357"/>
      <c r="I24" s="357"/>
      <c r="J24" s="357"/>
      <c r="K24" s="357"/>
      <c r="L24" s="357"/>
      <c r="M24" s="357"/>
      <c r="N24" s="357"/>
      <c r="O24" s="357"/>
      <c r="P24" s="213"/>
      <c r="Q24" s="213"/>
      <c r="R24" s="213"/>
      <c r="S24" s="213"/>
      <c r="T24" s="213"/>
      <c r="U24" s="213"/>
      <c r="V24" s="213"/>
      <c r="W24" s="213"/>
      <c r="X24" s="213"/>
      <c r="Y24" s="213"/>
      <c r="Z24" s="213"/>
      <c r="AA24" s="213"/>
      <c r="AB24" s="213"/>
      <c r="AC24" s="213"/>
      <c r="AD24" s="213"/>
      <c r="AE24" s="213"/>
      <c r="AF24" s="213"/>
      <c r="AG24" s="213"/>
      <c r="AH24" s="213"/>
    </row>
    <row r="25" ht="15.75" hidden="1" customHeight="1">
      <c r="A25" s="213"/>
      <c r="B25" s="352" t="s">
        <v>23</v>
      </c>
      <c r="C25" s="245" t="s">
        <v>23</v>
      </c>
      <c r="D25" s="357"/>
      <c r="E25" s="357"/>
      <c r="F25" s="357"/>
      <c r="G25" s="357"/>
      <c r="H25" s="357"/>
      <c r="I25" s="357"/>
      <c r="J25" s="357"/>
      <c r="K25" s="357"/>
      <c r="L25" s="357"/>
      <c r="M25" s="357"/>
      <c r="N25" s="357"/>
      <c r="O25" s="357"/>
      <c r="P25" s="213"/>
      <c r="Q25" s="213"/>
      <c r="R25" s="213"/>
      <c r="S25" s="213"/>
      <c r="T25" s="213"/>
      <c r="U25" s="213"/>
      <c r="V25" s="213"/>
      <c r="W25" s="213"/>
      <c r="X25" s="213"/>
      <c r="Y25" s="213"/>
      <c r="Z25" s="213"/>
      <c r="AA25" s="213"/>
      <c r="AB25" s="213"/>
      <c r="AC25" s="213"/>
      <c r="AD25" s="213"/>
      <c r="AE25" s="213"/>
      <c r="AF25" s="213"/>
      <c r="AG25" s="213"/>
      <c r="AH25" s="213"/>
    </row>
    <row r="26" ht="15.75" customHeight="1">
      <c r="A26" s="213"/>
      <c r="B26" s="352" t="s">
        <v>24</v>
      </c>
      <c r="C26" s="245" t="s">
        <v>230</v>
      </c>
      <c r="D26" s="400"/>
      <c r="E26" s="400"/>
      <c r="F26" s="400"/>
      <c r="G26" s="400"/>
      <c r="H26" s="400"/>
      <c r="I26" s="400"/>
      <c r="J26" s="400"/>
      <c r="K26" s="400"/>
      <c r="L26" s="400"/>
      <c r="M26" s="400"/>
      <c r="N26" s="400">
        <f>SUM(N18:N21)</f>
        <v>683645</v>
      </c>
      <c r="O26" s="400">
        <f>O16</f>
        <v>657081</v>
      </c>
      <c r="P26" s="213"/>
      <c r="Q26" s="213"/>
      <c r="R26" s="213"/>
      <c r="S26" s="213"/>
      <c r="T26" s="213"/>
      <c r="U26" s="213"/>
      <c r="V26" s="213"/>
      <c r="W26" s="213"/>
      <c r="X26" s="213"/>
      <c r="Y26" s="213"/>
      <c r="Z26" s="213"/>
      <c r="AA26" s="213"/>
      <c r="AB26" s="213"/>
      <c r="AC26" s="213"/>
      <c r="AD26" s="213"/>
      <c r="AE26" s="213"/>
      <c r="AF26" s="213"/>
      <c r="AG26" s="213"/>
      <c r="AH26" s="213"/>
    </row>
    <row r="27" ht="15.75" customHeight="1">
      <c r="A27" s="213"/>
      <c r="B27" s="245"/>
      <c r="C27" s="245"/>
      <c r="D27" s="357"/>
      <c r="E27" s="352"/>
      <c r="F27" s="357"/>
      <c r="G27" s="352"/>
      <c r="H27" s="352"/>
      <c r="I27" s="357"/>
      <c r="J27" s="352"/>
      <c r="K27" s="352"/>
      <c r="L27" s="352"/>
      <c r="M27" s="357"/>
      <c r="N27" s="357"/>
      <c r="O27" s="357"/>
      <c r="P27" s="213"/>
      <c r="Q27" s="213"/>
      <c r="R27" s="213"/>
      <c r="S27" s="213"/>
      <c r="T27" s="213"/>
      <c r="U27" s="213"/>
      <c r="V27" s="213"/>
      <c r="W27" s="213"/>
      <c r="X27" s="213"/>
      <c r="Y27" s="213"/>
      <c r="Z27" s="213"/>
      <c r="AA27" s="213"/>
      <c r="AB27" s="213"/>
      <c r="AC27" s="213"/>
      <c r="AD27" s="213"/>
      <c r="AE27" s="213"/>
      <c r="AF27" s="213"/>
      <c r="AG27" s="213"/>
      <c r="AH27" s="213"/>
    </row>
    <row r="28" ht="15.75" hidden="1" customHeight="1">
      <c r="A28" s="213"/>
      <c r="B28" s="245"/>
      <c r="C28" s="245" t="s">
        <v>231</v>
      </c>
      <c r="D28" s="357"/>
      <c r="E28" s="352"/>
      <c r="F28" s="357"/>
      <c r="G28" s="352"/>
      <c r="H28" s="352"/>
      <c r="I28" s="357"/>
      <c r="J28" s="352"/>
      <c r="K28" s="352"/>
      <c r="L28" s="352"/>
      <c r="M28" s="357"/>
      <c r="N28" s="357"/>
      <c r="O28" s="357"/>
      <c r="P28" s="213"/>
      <c r="Q28" s="213"/>
      <c r="R28" s="213"/>
      <c r="S28" s="213"/>
      <c r="T28" s="213"/>
      <c r="U28" s="213"/>
      <c r="V28" s="213"/>
      <c r="W28" s="213"/>
      <c r="X28" s="213"/>
      <c r="Y28" s="213"/>
      <c r="Z28" s="213"/>
      <c r="AA28" s="213"/>
      <c r="AB28" s="213"/>
      <c r="AC28" s="213"/>
      <c r="AD28" s="213"/>
      <c r="AE28" s="213"/>
      <c r="AF28" s="213"/>
      <c r="AG28" s="213"/>
      <c r="AH28" s="213"/>
    </row>
    <row r="29" ht="15.75" customHeight="1">
      <c r="A29" s="213"/>
      <c r="B29" s="245"/>
      <c r="C29" s="245" t="s">
        <v>232</v>
      </c>
      <c r="D29" s="357">
        <f t="shared" ref="D29:O29" si="2">D24+D25+D26+D28</f>
        <v>0</v>
      </c>
      <c r="E29" s="357">
        <f t="shared" si="2"/>
        <v>0</v>
      </c>
      <c r="F29" s="357">
        <f t="shared" si="2"/>
        <v>0</v>
      </c>
      <c r="G29" s="357">
        <f t="shared" si="2"/>
        <v>0</v>
      </c>
      <c r="H29" s="357">
        <f t="shared" si="2"/>
        <v>0</v>
      </c>
      <c r="I29" s="357">
        <f t="shared" si="2"/>
        <v>0</v>
      </c>
      <c r="J29" s="357">
        <f t="shared" si="2"/>
        <v>0</v>
      </c>
      <c r="K29" s="357">
        <f t="shared" si="2"/>
        <v>0</v>
      </c>
      <c r="L29" s="357">
        <f t="shared" si="2"/>
        <v>0</v>
      </c>
      <c r="M29" s="357">
        <f t="shared" si="2"/>
        <v>0</v>
      </c>
      <c r="N29" s="357">
        <f t="shared" si="2"/>
        <v>683645</v>
      </c>
      <c r="O29" s="357">
        <f t="shared" si="2"/>
        <v>657081</v>
      </c>
      <c r="P29" s="718">
        <f>SUM(D29:O29)</f>
        <v>1340726</v>
      </c>
      <c r="Q29" s="216"/>
      <c r="R29" s="216"/>
      <c r="S29" s="216"/>
      <c r="T29" s="216"/>
      <c r="U29" s="216"/>
      <c r="V29" s="216"/>
      <c r="W29" s="216"/>
      <c r="X29" s="216"/>
      <c r="Y29" s="216"/>
      <c r="Z29" s="216"/>
      <c r="AA29" s="216"/>
      <c r="AB29" s="216"/>
      <c r="AC29" s="216"/>
      <c r="AD29" s="216"/>
      <c r="AE29" s="216"/>
      <c r="AF29" s="216"/>
      <c r="AG29" s="216"/>
      <c r="AH29" s="216"/>
    </row>
    <row r="30" ht="15.75" hidden="1" customHeight="1">
      <c r="A30" s="213"/>
      <c r="B30" s="352"/>
      <c r="C30" s="245"/>
      <c r="D30" s="352"/>
      <c r="E30" s="352"/>
      <c r="F30" s="357"/>
      <c r="G30" s="352"/>
      <c r="H30" s="352"/>
      <c r="I30" s="357"/>
      <c r="J30" s="352"/>
      <c r="K30" s="352"/>
      <c r="L30" s="352"/>
      <c r="M30" s="357"/>
      <c r="N30" s="357"/>
      <c r="O30" s="357"/>
      <c r="P30" s="213"/>
      <c r="Q30" s="213"/>
      <c r="R30" s="213"/>
      <c r="S30" s="213"/>
      <c r="T30" s="213"/>
      <c r="U30" s="213"/>
      <c r="V30" s="213"/>
      <c r="W30" s="213"/>
      <c r="X30" s="213"/>
      <c r="Y30" s="213"/>
      <c r="Z30" s="213"/>
      <c r="AA30" s="213"/>
      <c r="AB30" s="213"/>
      <c r="AC30" s="213"/>
      <c r="AD30" s="213"/>
      <c r="AE30" s="213"/>
      <c r="AF30" s="213"/>
      <c r="AG30" s="213"/>
      <c r="AH30" s="213"/>
    </row>
    <row r="31" ht="15.75" hidden="1" customHeight="1">
      <c r="A31" s="213"/>
      <c r="B31" s="245"/>
      <c r="C31" s="245"/>
      <c r="D31" s="357"/>
      <c r="E31" s="352"/>
      <c r="F31" s="357"/>
      <c r="G31" s="352"/>
      <c r="H31" s="352"/>
      <c r="I31" s="357"/>
      <c r="J31" s="352"/>
      <c r="K31" s="352"/>
      <c r="L31" s="352"/>
      <c r="M31" s="357"/>
      <c r="N31" s="357"/>
      <c r="O31" s="357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  <c r="AC31" s="213"/>
      <c r="AD31" s="213"/>
      <c r="AE31" s="213"/>
      <c r="AF31" s="213"/>
      <c r="AG31" s="213"/>
      <c r="AH31" s="213"/>
    </row>
    <row r="32" ht="15.75" hidden="1" customHeight="1">
      <c r="A32" s="213"/>
      <c r="B32" s="245"/>
      <c r="C32" s="245"/>
      <c r="D32" s="357"/>
      <c r="E32" s="357"/>
      <c r="F32" s="357"/>
      <c r="G32" s="357"/>
      <c r="H32" s="357"/>
      <c r="I32" s="357"/>
      <c r="J32" s="357"/>
      <c r="K32" s="357"/>
      <c r="L32" s="357"/>
      <c r="M32" s="357"/>
      <c r="N32" s="357"/>
      <c r="O32" s="357"/>
      <c r="P32" s="213"/>
      <c r="Q32" s="213"/>
      <c r="R32" s="213"/>
      <c r="S32" s="213"/>
      <c r="T32" s="213"/>
      <c r="U32" s="213"/>
      <c r="V32" s="213"/>
      <c r="W32" s="213"/>
      <c r="X32" s="213"/>
      <c r="Y32" s="213"/>
      <c r="Z32" s="213"/>
      <c r="AA32" s="213"/>
      <c r="AB32" s="213"/>
      <c r="AC32" s="213"/>
      <c r="AD32" s="213"/>
      <c r="AE32" s="213"/>
      <c r="AF32" s="213"/>
      <c r="AG32" s="213"/>
      <c r="AH32" s="213"/>
    </row>
    <row r="33" ht="15.75" hidden="1" customHeight="1">
      <c r="A33" s="213"/>
      <c r="B33" s="245"/>
      <c r="C33" s="245"/>
      <c r="D33" s="357"/>
      <c r="E33" s="357"/>
      <c r="F33" s="357"/>
      <c r="G33" s="357"/>
      <c r="H33" s="357"/>
      <c r="I33" s="357"/>
      <c r="J33" s="357"/>
      <c r="K33" s="357"/>
      <c r="L33" s="357"/>
      <c r="M33" s="357"/>
      <c r="N33" s="357"/>
      <c r="O33" s="357"/>
      <c r="P33" s="213"/>
      <c r="Q33" s="213"/>
      <c r="R33" s="213"/>
      <c r="S33" s="213"/>
      <c r="T33" s="213"/>
      <c r="U33" s="213"/>
      <c r="V33" s="213"/>
      <c r="W33" s="213"/>
      <c r="X33" s="213"/>
      <c r="Y33" s="213"/>
      <c r="Z33" s="213"/>
      <c r="AA33" s="213"/>
      <c r="AB33" s="213"/>
      <c r="AC33" s="213"/>
      <c r="AD33" s="213"/>
      <c r="AE33" s="213"/>
      <c r="AF33" s="213"/>
      <c r="AG33" s="213"/>
      <c r="AH33" s="213"/>
    </row>
    <row r="34" ht="15.75" hidden="1" customHeight="1">
      <c r="A34" s="213"/>
      <c r="B34" s="245"/>
      <c r="C34" s="245"/>
      <c r="D34" s="357"/>
      <c r="E34" s="357"/>
      <c r="F34" s="357"/>
      <c r="G34" s="357"/>
      <c r="H34" s="357"/>
      <c r="I34" s="357"/>
      <c r="J34" s="357"/>
      <c r="K34" s="357"/>
      <c r="L34" s="357"/>
      <c r="M34" s="357"/>
      <c r="N34" s="357"/>
      <c r="O34" s="357"/>
      <c r="P34" s="213"/>
      <c r="Q34" s="213"/>
      <c r="R34" s="213"/>
      <c r="S34" s="213"/>
      <c r="T34" s="213"/>
      <c r="U34" s="213"/>
      <c r="V34" s="213"/>
      <c r="W34" s="213"/>
      <c r="X34" s="213"/>
      <c r="Y34" s="213"/>
      <c r="Z34" s="213"/>
      <c r="AA34" s="213"/>
      <c r="AB34" s="213"/>
      <c r="AC34" s="213"/>
      <c r="AD34" s="213"/>
      <c r="AE34" s="213"/>
      <c r="AF34" s="213"/>
      <c r="AG34" s="213"/>
      <c r="AH34" s="213"/>
    </row>
    <row r="35" ht="15.75" hidden="1" customHeight="1">
      <c r="A35" s="213"/>
      <c r="B35" s="245"/>
      <c r="C35" s="245"/>
      <c r="D35" s="357"/>
      <c r="E35" s="357"/>
      <c r="F35" s="357"/>
      <c r="G35" s="357"/>
      <c r="H35" s="357"/>
      <c r="I35" s="357"/>
      <c r="J35" s="357"/>
      <c r="K35" s="357"/>
      <c r="L35" s="357"/>
      <c r="M35" s="357"/>
      <c r="N35" s="357"/>
      <c r="O35" s="357"/>
      <c r="P35" s="213"/>
      <c r="Q35" s="213"/>
      <c r="R35" s="213"/>
      <c r="S35" s="213"/>
      <c r="T35" s="213"/>
      <c r="U35" s="213"/>
      <c r="V35" s="213"/>
      <c r="W35" s="213"/>
      <c r="X35" s="213"/>
      <c r="Y35" s="213"/>
      <c r="Z35" s="213"/>
      <c r="AA35" s="213"/>
      <c r="AB35" s="213"/>
      <c r="AC35" s="213"/>
      <c r="AD35" s="213"/>
      <c r="AE35" s="213"/>
      <c r="AF35" s="213"/>
      <c r="AG35" s="213"/>
      <c r="AH35" s="213"/>
    </row>
    <row r="36" ht="15.75" hidden="1" customHeight="1">
      <c r="A36" s="213"/>
      <c r="B36" s="245"/>
      <c r="C36" s="245"/>
      <c r="D36" s="357"/>
      <c r="E36" s="357"/>
      <c r="F36" s="357"/>
      <c r="G36" s="357"/>
      <c r="H36" s="357"/>
      <c r="I36" s="357"/>
      <c r="J36" s="357"/>
      <c r="K36" s="357"/>
      <c r="L36" s="357"/>
      <c r="M36" s="357"/>
      <c r="N36" s="357"/>
      <c r="O36" s="357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  <c r="AA36" s="213"/>
      <c r="AB36" s="213"/>
      <c r="AC36" s="213"/>
      <c r="AD36" s="213"/>
      <c r="AE36" s="213"/>
      <c r="AF36" s="213"/>
      <c r="AG36" s="213"/>
      <c r="AH36" s="213"/>
    </row>
    <row r="37" ht="15.75" hidden="1" customHeight="1">
      <c r="A37" s="213"/>
      <c r="B37" s="245"/>
      <c r="C37" s="245"/>
      <c r="D37" s="357"/>
      <c r="E37" s="357"/>
      <c r="F37" s="357"/>
      <c r="G37" s="357"/>
      <c r="H37" s="357"/>
      <c r="I37" s="357"/>
      <c r="J37" s="357"/>
      <c r="K37" s="357"/>
      <c r="L37" s="357"/>
      <c r="M37" s="357"/>
      <c r="N37" s="357"/>
      <c r="O37" s="357"/>
      <c r="P37" s="216"/>
      <c r="Q37" s="216"/>
      <c r="R37" s="216"/>
      <c r="S37" s="216"/>
      <c r="T37" s="216"/>
      <c r="U37" s="216"/>
      <c r="V37" s="216"/>
      <c r="W37" s="216"/>
      <c r="X37" s="216"/>
      <c r="Y37" s="216"/>
      <c r="Z37" s="216"/>
      <c r="AA37" s="216"/>
      <c r="AB37" s="216"/>
      <c r="AC37" s="216"/>
      <c r="AD37" s="216"/>
      <c r="AE37" s="216"/>
      <c r="AF37" s="216"/>
      <c r="AG37" s="216"/>
      <c r="AH37" s="216"/>
    </row>
    <row r="38" ht="15.75" customHeight="1">
      <c r="A38" s="213"/>
      <c r="B38" s="352"/>
      <c r="C38" s="352"/>
      <c r="D38" s="357"/>
      <c r="E38" s="245"/>
      <c r="F38" s="676"/>
      <c r="G38" s="245"/>
      <c r="H38" s="245"/>
      <c r="I38" s="357"/>
      <c r="J38" s="245"/>
      <c r="K38" s="245"/>
      <c r="L38" s="245"/>
      <c r="M38" s="357"/>
      <c r="N38" s="357"/>
      <c r="O38" s="357"/>
      <c r="P38" s="213"/>
      <c r="Q38" s="213"/>
      <c r="R38" s="213"/>
      <c r="S38" s="213"/>
      <c r="T38" s="213"/>
      <c r="U38" s="213"/>
      <c r="V38" s="213"/>
      <c r="W38" s="213"/>
      <c r="X38" s="213"/>
      <c r="Y38" s="213"/>
      <c r="Z38" s="213"/>
      <c r="AA38" s="213"/>
      <c r="AB38" s="213"/>
      <c r="AC38" s="213"/>
      <c r="AD38" s="213"/>
      <c r="AE38" s="213"/>
      <c r="AF38" s="213"/>
      <c r="AG38" s="213"/>
      <c r="AH38" s="213"/>
    </row>
    <row r="39" ht="15.75" customHeight="1">
      <c r="A39" s="213"/>
      <c r="B39" s="970" t="s">
        <v>233</v>
      </c>
      <c r="C39" s="1078"/>
      <c r="D39" s="357"/>
      <c r="E39" s="245"/>
      <c r="F39" s="676"/>
      <c r="G39" s="245"/>
      <c r="H39" s="245"/>
      <c r="I39" s="357"/>
      <c r="J39" s="245"/>
      <c r="K39" s="245"/>
      <c r="L39" s="245"/>
      <c r="M39" s="357"/>
      <c r="N39" s="357"/>
      <c r="O39" s="357"/>
      <c r="P39" s="213"/>
      <c r="Q39" s="213"/>
      <c r="R39" s="213"/>
      <c r="S39" s="213"/>
      <c r="T39" s="213"/>
      <c r="U39" s="213"/>
      <c r="V39" s="213"/>
      <c r="W39" s="213"/>
      <c r="X39" s="213"/>
      <c r="Y39" s="213"/>
      <c r="Z39" s="213"/>
      <c r="AA39" s="213"/>
      <c r="AB39" s="213"/>
      <c r="AC39" s="213"/>
      <c r="AD39" s="213"/>
      <c r="AE39" s="213"/>
      <c r="AF39" s="213"/>
      <c r="AG39" s="213"/>
      <c r="AH39" s="213"/>
    </row>
    <row r="40" ht="15.75" customHeight="1">
      <c r="A40" s="213"/>
      <c r="B40" s="352" t="s">
        <v>29</v>
      </c>
      <c r="C40" s="245"/>
      <c r="D40" s="357"/>
      <c r="E40" s="245"/>
      <c r="F40" s="676"/>
      <c r="G40" s="245"/>
      <c r="H40" s="245"/>
      <c r="I40" s="357"/>
      <c r="J40" s="245"/>
      <c r="K40" s="245"/>
      <c r="L40" s="245"/>
      <c r="M40" s="357"/>
      <c r="N40" s="357"/>
      <c r="O40" s="357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</row>
    <row r="41" ht="15.75" customHeight="1">
      <c r="A41" s="213"/>
      <c r="B41" s="245"/>
      <c r="C41" s="972" t="s">
        <v>234</v>
      </c>
      <c r="D41" s="357"/>
      <c r="E41" s="245"/>
      <c r="F41" s="676"/>
      <c r="G41" s="245"/>
      <c r="H41" s="357"/>
      <c r="I41" s="357"/>
      <c r="J41" s="245"/>
      <c r="K41" s="245"/>
      <c r="L41" s="245"/>
      <c r="M41" s="357"/>
      <c r="N41" s="357"/>
      <c r="O41" s="357"/>
      <c r="P41" s="213"/>
      <c r="Q41" s="213"/>
      <c r="R41" s="213"/>
      <c r="S41" s="213"/>
      <c r="T41" s="213"/>
      <c r="U41" s="213"/>
      <c r="V41" s="213"/>
      <c r="W41" s="213"/>
      <c r="X41" s="213"/>
      <c r="Y41" s="213"/>
      <c r="Z41" s="213"/>
      <c r="AA41" s="213"/>
      <c r="AB41" s="213"/>
      <c r="AC41" s="213"/>
      <c r="AD41" s="213"/>
      <c r="AE41" s="213"/>
      <c r="AF41" s="213"/>
      <c r="AG41" s="213"/>
      <c r="AH41" s="213"/>
    </row>
    <row r="42" ht="15.75" hidden="1" customHeight="1">
      <c r="A42" s="213"/>
      <c r="B42" s="245"/>
      <c r="C42" s="245" t="s">
        <v>235</v>
      </c>
      <c r="D42" s="357"/>
      <c r="E42" s="245"/>
      <c r="F42" s="676"/>
      <c r="G42" s="245"/>
      <c r="H42" s="357"/>
      <c r="I42" s="357"/>
      <c r="J42" s="245"/>
      <c r="K42" s="245"/>
      <c r="L42" s="245"/>
      <c r="M42" s="357"/>
      <c r="N42" s="357"/>
      <c r="O42" s="357"/>
      <c r="P42" s="213"/>
      <c r="Q42" s="213"/>
      <c r="R42" s="213"/>
      <c r="S42" s="213"/>
      <c r="T42" s="213"/>
      <c r="U42" s="213"/>
      <c r="V42" s="213"/>
      <c r="W42" s="213"/>
      <c r="X42" s="213"/>
      <c r="Y42" s="213"/>
      <c r="Z42" s="213"/>
      <c r="AA42" s="213"/>
      <c r="AB42" s="213"/>
      <c r="AC42" s="213"/>
      <c r="AD42" s="213"/>
      <c r="AE42" s="213"/>
      <c r="AF42" s="213"/>
      <c r="AG42" s="213"/>
      <c r="AH42" s="213"/>
    </row>
    <row r="43" ht="15.75" customHeight="1">
      <c r="A43" s="213"/>
      <c r="B43" s="245"/>
      <c r="C43" s="245" t="s">
        <v>301</v>
      </c>
      <c r="D43" s="357"/>
      <c r="E43" s="245"/>
      <c r="F43" s="676"/>
      <c r="G43" s="357"/>
      <c r="H43" s="357"/>
      <c r="I43" s="357"/>
      <c r="J43" s="245"/>
      <c r="K43" s="245"/>
      <c r="L43" s="245"/>
      <c r="M43" s="357"/>
      <c r="N43" s="737">
        <v>180107.23</v>
      </c>
      <c r="O43" s="737">
        <v>156770.35</v>
      </c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</row>
    <row r="44" ht="15.75" hidden="1" customHeight="1">
      <c r="A44" s="213"/>
      <c r="B44" s="245"/>
      <c r="C44" s="245" t="s">
        <v>22</v>
      </c>
      <c r="D44" s="357"/>
      <c r="E44" s="245"/>
      <c r="F44" s="676"/>
      <c r="G44" s="357"/>
      <c r="H44" s="357"/>
      <c r="I44" s="357"/>
      <c r="J44" s="245"/>
      <c r="K44" s="245"/>
      <c r="L44" s="245"/>
      <c r="M44" s="357"/>
      <c r="N44" s="357"/>
      <c r="O44" s="357"/>
      <c r="P44" s="213"/>
      <c r="Q44" s="213"/>
      <c r="R44" s="213"/>
      <c r="S44" s="213"/>
      <c r="T44" s="213"/>
      <c r="U44" s="213"/>
      <c r="V44" s="213"/>
      <c r="W44" s="213"/>
      <c r="X44" s="213"/>
      <c r="Y44" s="213"/>
      <c r="Z44" s="213"/>
      <c r="AA44" s="213"/>
      <c r="AB44" s="213"/>
      <c r="AC44" s="213"/>
      <c r="AD44" s="213"/>
      <c r="AE44" s="213"/>
      <c r="AF44" s="213"/>
      <c r="AG44" s="213"/>
      <c r="AH44" s="213"/>
    </row>
    <row r="45" ht="15.75" hidden="1" customHeight="1">
      <c r="A45" s="213"/>
      <c r="B45" s="245"/>
      <c r="C45" s="245" t="s">
        <v>23</v>
      </c>
      <c r="D45" s="357"/>
      <c r="E45" s="245"/>
      <c r="F45" s="676"/>
      <c r="G45" s="357"/>
      <c r="H45" s="357"/>
      <c r="I45" s="357"/>
      <c r="J45" s="245"/>
      <c r="K45" s="245"/>
      <c r="L45" s="245"/>
      <c r="M45" s="357"/>
      <c r="N45" s="357"/>
      <c r="O45" s="357"/>
      <c r="P45" s="213"/>
      <c r="Q45" s="213"/>
      <c r="R45" s="213"/>
      <c r="S45" s="213"/>
      <c r="T45" s="213"/>
      <c r="U45" s="213"/>
      <c r="V45" s="213"/>
      <c r="W45" s="213"/>
      <c r="X45" s="213"/>
      <c r="Y45" s="213"/>
      <c r="Z45" s="213"/>
      <c r="AA45" s="213"/>
      <c r="AB45" s="213"/>
      <c r="AC45" s="213"/>
      <c r="AD45" s="213"/>
      <c r="AE45" s="213"/>
      <c r="AF45" s="213"/>
      <c r="AG45" s="213"/>
      <c r="AH45" s="213"/>
    </row>
    <row r="46" ht="15.75" customHeight="1">
      <c r="A46" s="213"/>
      <c r="B46" s="245"/>
      <c r="C46" s="245" t="s">
        <v>302</v>
      </c>
      <c r="D46" s="357"/>
      <c r="E46" s="245"/>
      <c r="F46" s="676"/>
      <c r="G46" s="357"/>
      <c r="H46" s="357"/>
      <c r="I46" s="357"/>
      <c r="J46" s="245"/>
      <c r="K46" s="245"/>
      <c r="L46" s="245"/>
      <c r="M46" s="357"/>
      <c r="N46" s="357"/>
      <c r="O46" s="357"/>
      <c r="P46" s="213"/>
      <c r="Q46" s="213"/>
      <c r="R46" s="213"/>
      <c r="S46" s="213"/>
      <c r="T46" s="213"/>
      <c r="U46" s="213"/>
      <c r="V46" s="213"/>
      <c r="W46" s="213"/>
      <c r="X46" s="213"/>
      <c r="Y46" s="213"/>
      <c r="Z46" s="213"/>
      <c r="AA46" s="213"/>
      <c r="AB46" s="213"/>
      <c r="AC46" s="213"/>
      <c r="AD46" s="213"/>
      <c r="AE46" s="213"/>
      <c r="AF46" s="213"/>
      <c r="AG46" s="213"/>
      <c r="AH46" s="213"/>
    </row>
    <row r="47" ht="15.75" customHeight="1">
      <c r="A47" s="213"/>
      <c r="B47" s="245"/>
      <c r="C47" s="245" t="s">
        <v>238</v>
      </c>
      <c r="D47" s="357"/>
      <c r="E47" s="245"/>
      <c r="F47" s="676"/>
      <c r="G47" s="357"/>
      <c r="H47" s="357"/>
      <c r="I47" s="357"/>
      <c r="J47" s="245"/>
      <c r="K47" s="245"/>
      <c r="L47" s="245"/>
      <c r="M47" s="357">
        <f t="shared" ref="M47:O47" si="3">sum(M42:M46)</f>
        <v>0</v>
      </c>
      <c r="N47" s="357">
        <f t="shared" si="3"/>
        <v>180107.23</v>
      </c>
      <c r="O47" s="357">
        <f t="shared" si="3"/>
        <v>156770.35</v>
      </c>
      <c r="P47" s="718">
        <f t="shared" ref="P47:P49" si="4">SUM(D47:O47)</f>
        <v>336877.58</v>
      </c>
      <c r="Q47" s="216"/>
      <c r="R47" s="216"/>
      <c r="S47" s="216"/>
      <c r="T47" s="216"/>
      <c r="U47" s="216"/>
      <c r="V47" s="216"/>
      <c r="W47" s="216"/>
      <c r="X47" s="216"/>
      <c r="Y47" s="216"/>
      <c r="Z47" s="216"/>
      <c r="AA47" s="216"/>
      <c r="AB47" s="216"/>
      <c r="AC47" s="216"/>
      <c r="AD47" s="216"/>
      <c r="AE47" s="216"/>
      <c r="AF47" s="216"/>
      <c r="AG47" s="216"/>
      <c r="AH47" s="216"/>
    </row>
    <row r="48" ht="15.75" customHeight="1">
      <c r="A48" s="213"/>
      <c r="B48" s="245"/>
      <c r="C48" s="245" t="s">
        <v>239</v>
      </c>
      <c r="D48" s="357"/>
      <c r="E48" s="245"/>
      <c r="F48" s="676"/>
      <c r="G48" s="357"/>
      <c r="H48" s="357"/>
      <c r="I48" s="357"/>
      <c r="J48" s="245"/>
      <c r="K48" s="245"/>
      <c r="L48" s="245"/>
      <c r="M48" s="737">
        <v>79253.0</v>
      </c>
      <c r="N48" s="737">
        <v>123456.0</v>
      </c>
      <c r="O48" s="737">
        <v>51488.0</v>
      </c>
      <c r="P48" s="718">
        <f t="shared" si="4"/>
        <v>254197</v>
      </c>
      <c r="Q48" s="213"/>
      <c r="R48" s="213"/>
      <c r="S48" s="213"/>
      <c r="T48" s="213"/>
      <c r="U48" s="213"/>
      <c r="V48" s="213"/>
      <c r="W48" s="213"/>
      <c r="X48" s="213"/>
      <c r="Y48" s="213"/>
      <c r="Z48" s="213"/>
      <c r="AA48" s="213"/>
      <c r="AB48" s="213"/>
      <c r="AC48" s="213"/>
      <c r="AD48" s="213"/>
      <c r="AE48" s="213"/>
      <c r="AF48" s="213"/>
      <c r="AG48" s="213"/>
      <c r="AH48" s="213"/>
    </row>
    <row r="49" ht="15.75" customHeight="1">
      <c r="A49" s="213"/>
      <c r="B49" s="245"/>
      <c r="C49" s="245" t="s">
        <v>240</v>
      </c>
      <c r="D49" s="357"/>
      <c r="E49" s="245"/>
      <c r="F49" s="676"/>
      <c r="G49" s="357"/>
      <c r="H49" s="357"/>
      <c r="I49" s="357"/>
      <c r="J49" s="245"/>
      <c r="K49" s="245"/>
      <c r="L49" s="245"/>
      <c r="M49" s="357">
        <f t="shared" ref="M49:O49" si="5">M48+M47</f>
        <v>79253</v>
      </c>
      <c r="N49" s="357">
        <f t="shared" si="5"/>
        <v>303563.23</v>
      </c>
      <c r="O49" s="357">
        <f t="shared" si="5"/>
        <v>208258.35</v>
      </c>
      <c r="P49" s="718">
        <f t="shared" si="4"/>
        <v>591074.58</v>
      </c>
      <c r="Q49" s="216"/>
      <c r="R49" s="216"/>
      <c r="S49" s="216"/>
      <c r="T49" s="216"/>
      <c r="U49" s="216"/>
      <c r="V49" s="216"/>
      <c r="W49" s="216"/>
      <c r="X49" s="216"/>
      <c r="Y49" s="216"/>
      <c r="Z49" s="216"/>
      <c r="AA49" s="216"/>
      <c r="AB49" s="216"/>
      <c r="AC49" s="216"/>
      <c r="AD49" s="216"/>
      <c r="AE49" s="216"/>
      <c r="AF49" s="216"/>
      <c r="AG49" s="216"/>
      <c r="AH49" s="216"/>
    </row>
    <row r="50" ht="15.75" customHeight="1">
      <c r="A50" s="213"/>
      <c r="B50" s="245"/>
      <c r="C50" s="245"/>
      <c r="D50" s="357"/>
      <c r="E50" s="245"/>
      <c r="F50" s="676"/>
      <c r="G50" s="676"/>
      <c r="H50" s="676"/>
      <c r="I50" s="357"/>
      <c r="J50" s="245"/>
      <c r="K50" s="245"/>
      <c r="L50" s="245"/>
      <c r="M50" s="357"/>
      <c r="N50" s="357"/>
      <c r="O50" s="357"/>
      <c r="P50" s="213"/>
      <c r="Q50" s="213"/>
      <c r="R50" s="213"/>
      <c r="S50" s="213"/>
      <c r="T50" s="213"/>
      <c r="U50" s="213"/>
      <c r="V50" s="213"/>
      <c r="W50" s="213"/>
      <c r="X50" s="213"/>
      <c r="Y50" s="213"/>
      <c r="Z50" s="213"/>
      <c r="AA50" s="213"/>
      <c r="AB50" s="213"/>
      <c r="AC50" s="213"/>
      <c r="AD50" s="213"/>
      <c r="AE50" s="213"/>
      <c r="AF50" s="213"/>
      <c r="AG50" s="213"/>
      <c r="AH50" s="213"/>
    </row>
    <row r="51" ht="15.75" hidden="1" customHeight="1">
      <c r="A51" s="213"/>
      <c r="B51" s="245" t="s">
        <v>24</v>
      </c>
      <c r="C51" s="245" t="s">
        <v>305</v>
      </c>
      <c r="D51" s="357"/>
      <c r="E51" s="352"/>
      <c r="F51" s="357"/>
      <c r="G51" s="357"/>
      <c r="H51" s="357"/>
      <c r="I51" s="357"/>
      <c r="J51" s="352"/>
      <c r="K51" s="352"/>
      <c r="L51" s="352"/>
      <c r="M51" s="357"/>
      <c r="N51" s="357"/>
      <c r="O51" s="357"/>
      <c r="P51" s="213"/>
      <c r="Q51" s="213"/>
      <c r="R51" s="213"/>
      <c r="S51" s="213"/>
      <c r="T51" s="213"/>
      <c r="U51" s="213"/>
      <c r="V51" s="213"/>
      <c r="W51" s="213"/>
      <c r="X51" s="213"/>
      <c r="Y51" s="213"/>
      <c r="Z51" s="213"/>
      <c r="AA51" s="213"/>
      <c r="AB51" s="213"/>
      <c r="AC51" s="213"/>
      <c r="AD51" s="213"/>
      <c r="AE51" s="213"/>
      <c r="AF51" s="213"/>
      <c r="AG51" s="213"/>
      <c r="AH51" s="213"/>
    </row>
    <row r="52" ht="15.75" hidden="1" customHeight="1">
      <c r="A52" s="213"/>
      <c r="B52" s="245" t="s">
        <v>24</v>
      </c>
      <c r="C52" s="245" t="s">
        <v>304</v>
      </c>
      <c r="D52" s="357"/>
      <c r="E52" s="352"/>
      <c r="F52" s="357"/>
      <c r="G52" s="357"/>
      <c r="H52" s="357"/>
      <c r="I52" s="357"/>
      <c r="J52" s="352"/>
      <c r="K52" s="352"/>
      <c r="L52" s="352"/>
      <c r="M52" s="357"/>
      <c r="N52" s="357"/>
      <c r="O52" s="357"/>
      <c r="P52" s="213"/>
      <c r="Q52" s="213"/>
      <c r="R52" s="213"/>
      <c r="S52" s="213"/>
      <c r="T52" s="213"/>
      <c r="U52" s="213"/>
      <c r="V52" s="213"/>
      <c r="W52" s="213"/>
      <c r="X52" s="213"/>
      <c r="Y52" s="213"/>
      <c r="Z52" s="213"/>
      <c r="AA52" s="213"/>
      <c r="AB52" s="213"/>
      <c r="AC52" s="213"/>
      <c r="AD52" s="213"/>
      <c r="AE52" s="213"/>
      <c r="AF52" s="213"/>
      <c r="AG52" s="213"/>
      <c r="AH52" s="213"/>
    </row>
    <row r="53" ht="15.75" hidden="1" customHeight="1">
      <c r="A53" s="213"/>
      <c r="B53" s="245" t="s">
        <v>22</v>
      </c>
      <c r="C53" s="245" t="s">
        <v>305</v>
      </c>
      <c r="D53" s="357"/>
      <c r="E53" s="352"/>
      <c r="F53" s="357"/>
      <c r="G53" s="357"/>
      <c r="H53" s="357"/>
      <c r="I53" s="357"/>
      <c r="J53" s="352"/>
      <c r="K53" s="352"/>
      <c r="L53" s="352"/>
      <c r="M53" s="357"/>
      <c r="N53" s="357"/>
      <c r="O53" s="357"/>
      <c r="P53" s="213"/>
      <c r="Q53" s="213"/>
      <c r="R53" s="213"/>
      <c r="S53" s="213"/>
      <c r="T53" s="213"/>
      <c r="U53" s="213"/>
      <c r="V53" s="213"/>
      <c r="W53" s="213"/>
      <c r="X53" s="213"/>
      <c r="Y53" s="213"/>
      <c r="Z53" s="213"/>
      <c r="AA53" s="213"/>
      <c r="AB53" s="213"/>
      <c r="AC53" s="213"/>
      <c r="AD53" s="213"/>
      <c r="AE53" s="213"/>
      <c r="AF53" s="213"/>
      <c r="AG53" s="213"/>
      <c r="AH53" s="213"/>
    </row>
    <row r="54" ht="15.75" hidden="1" customHeight="1">
      <c r="A54" s="213"/>
      <c r="B54" s="245" t="s">
        <v>22</v>
      </c>
      <c r="C54" s="245" t="s">
        <v>304</v>
      </c>
      <c r="D54" s="357"/>
      <c r="E54" s="352"/>
      <c r="F54" s="357"/>
      <c r="G54" s="357"/>
      <c r="H54" s="357"/>
      <c r="I54" s="357"/>
      <c r="J54" s="352"/>
      <c r="K54" s="352"/>
      <c r="L54" s="352"/>
      <c r="M54" s="357"/>
      <c r="N54" s="357"/>
      <c r="O54" s="357"/>
      <c r="P54" s="213"/>
      <c r="Q54" s="213"/>
      <c r="R54" s="213"/>
      <c r="S54" s="213"/>
      <c r="T54" s="213"/>
      <c r="U54" s="213"/>
      <c r="V54" s="213"/>
      <c r="W54" s="213"/>
      <c r="X54" s="213"/>
      <c r="Y54" s="213"/>
      <c r="Z54" s="213"/>
      <c r="AA54" s="213"/>
      <c r="AB54" s="213"/>
      <c r="AC54" s="213"/>
      <c r="AD54" s="213"/>
      <c r="AE54" s="213"/>
      <c r="AF54" s="213"/>
      <c r="AG54" s="213"/>
      <c r="AH54" s="213"/>
    </row>
    <row r="55" ht="15.75" hidden="1" customHeight="1">
      <c r="A55" s="213"/>
      <c r="B55" s="245" t="s">
        <v>23</v>
      </c>
      <c r="C55" s="245" t="s">
        <v>305</v>
      </c>
      <c r="D55" s="357"/>
      <c r="E55" s="352"/>
      <c r="F55" s="357"/>
      <c r="G55" s="357"/>
      <c r="H55" s="357"/>
      <c r="I55" s="357"/>
      <c r="J55" s="352"/>
      <c r="K55" s="352"/>
      <c r="L55" s="352"/>
      <c r="M55" s="357"/>
      <c r="N55" s="357"/>
      <c r="O55" s="357"/>
      <c r="P55" s="213"/>
      <c r="Q55" s="213"/>
      <c r="R55" s="213"/>
      <c r="S55" s="213"/>
      <c r="T55" s="213"/>
      <c r="U55" s="213"/>
      <c r="V55" s="213"/>
      <c r="W55" s="213"/>
      <c r="X55" s="213"/>
      <c r="Y55" s="213"/>
      <c r="Z55" s="213"/>
      <c r="AA55" s="213"/>
      <c r="AB55" s="213"/>
      <c r="AC55" s="213"/>
      <c r="AD55" s="213"/>
      <c r="AE55" s="213"/>
      <c r="AF55" s="213"/>
      <c r="AG55" s="213"/>
      <c r="AH55" s="213"/>
    </row>
    <row r="56" ht="15.75" hidden="1" customHeight="1">
      <c r="A56" s="213"/>
      <c r="B56" s="245" t="s">
        <v>23</v>
      </c>
      <c r="C56" s="245" t="s">
        <v>304</v>
      </c>
      <c r="D56" s="357"/>
      <c r="E56" s="352"/>
      <c r="F56" s="357"/>
      <c r="G56" s="357"/>
      <c r="H56" s="357"/>
      <c r="I56" s="357"/>
      <c r="J56" s="352"/>
      <c r="K56" s="352"/>
      <c r="L56" s="352"/>
      <c r="M56" s="357"/>
      <c r="N56" s="357"/>
      <c r="O56" s="357"/>
      <c r="P56" s="213"/>
      <c r="Q56" s="213"/>
      <c r="R56" s="213"/>
      <c r="S56" s="213"/>
      <c r="T56" s="213"/>
      <c r="U56" s="213"/>
      <c r="V56" s="213"/>
      <c r="W56" s="213"/>
      <c r="X56" s="213"/>
      <c r="Y56" s="213"/>
      <c r="Z56" s="213"/>
      <c r="AA56" s="213"/>
      <c r="AB56" s="213"/>
      <c r="AC56" s="213"/>
      <c r="AD56" s="213"/>
      <c r="AE56" s="213"/>
      <c r="AF56" s="213"/>
      <c r="AG56" s="213"/>
      <c r="AH56" s="213"/>
    </row>
    <row r="57" ht="15.75" hidden="1" customHeight="1">
      <c r="A57" s="213"/>
      <c r="B57" s="245"/>
      <c r="C57" s="245"/>
      <c r="D57" s="357"/>
      <c r="E57" s="352"/>
      <c r="F57" s="357"/>
      <c r="G57" s="357"/>
      <c r="H57" s="357"/>
      <c r="I57" s="357"/>
      <c r="J57" s="352"/>
      <c r="K57" s="352"/>
      <c r="L57" s="352"/>
      <c r="M57" s="357"/>
      <c r="N57" s="357"/>
      <c r="O57" s="357"/>
      <c r="P57" s="213"/>
      <c r="Q57" s="213"/>
      <c r="R57" s="213"/>
      <c r="S57" s="213"/>
      <c r="T57" s="213"/>
      <c r="U57" s="213"/>
      <c r="V57" s="213"/>
      <c r="W57" s="213"/>
      <c r="X57" s="213"/>
      <c r="Y57" s="213"/>
      <c r="Z57" s="213"/>
      <c r="AA57" s="213"/>
      <c r="AB57" s="213"/>
      <c r="AC57" s="213"/>
      <c r="AD57" s="213"/>
      <c r="AE57" s="213"/>
      <c r="AF57" s="213"/>
      <c r="AG57" s="213"/>
      <c r="AH57" s="213"/>
    </row>
    <row r="58" ht="15.75" hidden="1" customHeight="1">
      <c r="A58" s="213"/>
      <c r="B58" s="245"/>
      <c r="C58" s="245"/>
      <c r="D58" s="357"/>
      <c r="E58" s="352"/>
      <c r="F58" s="357"/>
      <c r="G58" s="357"/>
      <c r="H58" s="357"/>
      <c r="I58" s="357"/>
      <c r="J58" s="352"/>
      <c r="K58" s="352"/>
      <c r="L58" s="352"/>
      <c r="M58" s="357"/>
      <c r="N58" s="357"/>
      <c r="O58" s="357"/>
      <c r="P58" s="213"/>
      <c r="Q58" s="213"/>
      <c r="R58" s="213"/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</row>
    <row r="59" ht="15.75" hidden="1" customHeight="1">
      <c r="A59" s="213"/>
      <c r="B59" s="245"/>
      <c r="C59" s="245"/>
      <c r="D59" s="357"/>
      <c r="E59" s="352"/>
      <c r="F59" s="357"/>
      <c r="G59" s="357"/>
      <c r="H59" s="357"/>
      <c r="I59" s="357"/>
      <c r="J59" s="352"/>
      <c r="K59" s="352"/>
      <c r="L59" s="352"/>
      <c r="M59" s="357"/>
      <c r="N59" s="357"/>
      <c r="O59" s="357"/>
      <c r="P59" s="213"/>
      <c r="Q59" s="213"/>
      <c r="R59" s="213"/>
      <c r="S59" s="213"/>
      <c r="T59" s="213"/>
      <c r="U59" s="213"/>
      <c r="V59" s="213"/>
      <c r="W59" s="213"/>
      <c r="X59" s="213"/>
      <c r="Y59" s="213"/>
      <c r="Z59" s="213"/>
      <c r="AA59" s="213"/>
      <c r="AB59" s="213"/>
      <c r="AC59" s="213"/>
      <c r="AD59" s="213"/>
      <c r="AE59" s="213"/>
      <c r="AF59" s="213"/>
      <c r="AG59" s="213"/>
      <c r="AH59" s="213"/>
    </row>
    <row r="60" ht="15.75" hidden="1" customHeight="1">
      <c r="A60" s="213"/>
      <c r="B60" s="245"/>
      <c r="C60" s="245" t="s">
        <v>464</v>
      </c>
      <c r="D60" s="357"/>
      <c r="E60" s="352"/>
      <c r="F60" s="357"/>
      <c r="G60" s="357"/>
      <c r="H60" s="357"/>
      <c r="I60" s="357"/>
      <c r="J60" s="352"/>
      <c r="K60" s="352"/>
      <c r="L60" s="352"/>
      <c r="M60" s="357"/>
      <c r="N60" s="357"/>
      <c r="O60" s="357"/>
      <c r="P60" s="213"/>
      <c r="Q60" s="213"/>
      <c r="R60" s="213"/>
      <c r="S60" s="213"/>
      <c r="T60" s="213"/>
      <c r="U60" s="213"/>
      <c r="V60" s="213"/>
      <c r="W60" s="213"/>
      <c r="X60" s="213"/>
      <c r="Y60" s="213"/>
      <c r="Z60" s="213"/>
      <c r="AA60" s="213"/>
      <c r="AB60" s="213"/>
      <c r="AC60" s="213"/>
      <c r="AD60" s="213"/>
      <c r="AE60" s="213"/>
      <c r="AF60" s="213"/>
      <c r="AG60" s="213"/>
      <c r="AH60" s="213"/>
    </row>
    <row r="61" ht="15.75" hidden="1" customHeight="1">
      <c r="A61" s="213"/>
      <c r="B61" s="245"/>
      <c r="C61" s="245"/>
      <c r="D61" s="357"/>
      <c r="E61" s="245"/>
      <c r="F61" s="676"/>
      <c r="G61" s="676"/>
      <c r="H61" s="357"/>
      <c r="I61" s="357"/>
      <c r="J61" s="245"/>
      <c r="K61" s="245"/>
      <c r="L61" s="245"/>
      <c r="M61" s="357"/>
      <c r="N61" s="357"/>
      <c r="O61" s="357"/>
      <c r="P61" s="213"/>
      <c r="Q61" s="213"/>
      <c r="R61" s="213"/>
      <c r="S61" s="213"/>
      <c r="T61" s="213"/>
      <c r="U61" s="213"/>
      <c r="V61" s="213"/>
      <c r="W61" s="213"/>
      <c r="X61" s="213"/>
      <c r="Y61" s="213"/>
      <c r="Z61" s="213"/>
      <c r="AA61" s="213"/>
      <c r="AB61" s="213"/>
      <c r="AC61" s="213"/>
      <c r="AD61" s="213"/>
      <c r="AE61" s="213"/>
      <c r="AF61" s="213"/>
      <c r="AG61" s="213"/>
      <c r="AH61" s="213"/>
    </row>
    <row r="62" ht="15.75" hidden="1" customHeight="1">
      <c r="A62" s="213"/>
      <c r="B62" s="245"/>
      <c r="C62" s="245"/>
      <c r="D62" s="357"/>
      <c r="E62" s="245"/>
      <c r="F62" s="676"/>
      <c r="G62" s="676"/>
      <c r="H62" s="357"/>
      <c r="I62" s="357"/>
      <c r="J62" s="245"/>
      <c r="K62" s="245"/>
      <c r="L62" s="245"/>
      <c r="M62" s="357"/>
      <c r="N62" s="357"/>
      <c r="O62" s="357"/>
      <c r="P62" s="213"/>
      <c r="Q62" s="213"/>
      <c r="R62" s="213"/>
      <c r="S62" s="213"/>
      <c r="T62" s="213"/>
      <c r="U62" s="213"/>
      <c r="V62" s="213"/>
      <c r="W62" s="213"/>
      <c r="X62" s="213"/>
      <c r="Y62" s="213"/>
      <c r="Z62" s="213"/>
      <c r="AA62" s="213"/>
      <c r="AB62" s="213"/>
      <c r="AC62" s="213"/>
      <c r="AD62" s="213"/>
      <c r="AE62" s="213"/>
      <c r="AF62" s="213"/>
      <c r="AG62" s="213"/>
      <c r="AH62" s="213"/>
    </row>
    <row r="63" ht="15.75" hidden="1" customHeight="1">
      <c r="A63" s="213"/>
      <c r="B63" s="245"/>
      <c r="C63" s="245"/>
      <c r="D63" s="357"/>
      <c r="E63" s="245"/>
      <c r="F63" s="676"/>
      <c r="G63" s="676"/>
      <c r="H63" s="357"/>
      <c r="I63" s="357"/>
      <c r="J63" s="245"/>
      <c r="K63" s="245"/>
      <c r="L63" s="245"/>
      <c r="M63" s="357"/>
      <c r="N63" s="357"/>
      <c r="O63" s="357"/>
      <c r="P63" s="213"/>
      <c r="Q63" s="213"/>
      <c r="R63" s="213"/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</row>
    <row r="64" ht="15.75" hidden="1" customHeight="1">
      <c r="A64" s="213"/>
      <c r="B64" s="1079" t="s">
        <v>33</v>
      </c>
      <c r="C64" s="261"/>
      <c r="D64" s="1080"/>
      <c r="E64" s="676"/>
      <c r="F64" s="357"/>
      <c r="G64" s="357"/>
      <c r="H64" s="357"/>
      <c r="I64" s="357"/>
      <c r="J64" s="245"/>
      <c r="K64" s="245"/>
      <c r="L64" s="245"/>
      <c r="M64" s="357"/>
      <c r="N64" s="357"/>
      <c r="O64" s="357"/>
      <c r="P64" s="213"/>
      <c r="Q64" s="213"/>
      <c r="R64" s="213"/>
      <c r="S64" s="213"/>
      <c r="T64" s="213"/>
      <c r="U64" s="213"/>
      <c r="V64" s="213"/>
      <c r="W64" s="213"/>
      <c r="X64" s="213"/>
      <c r="Y64" s="213"/>
      <c r="Z64" s="213"/>
      <c r="AA64" s="213"/>
      <c r="AB64" s="213"/>
      <c r="AC64" s="213"/>
      <c r="AD64" s="213"/>
      <c r="AE64" s="213"/>
      <c r="AF64" s="213"/>
      <c r="AG64" s="213"/>
      <c r="AH64" s="213"/>
    </row>
    <row r="65" ht="15.75" hidden="1" customHeight="1">
      <c r="A65" s="213"/>
      <c r="B65" s="245"/>
      <c r="C65" s="245"/>
      <c r="D65" s="357"/>
      <c r="E65" s="245"/>
      <c r="F65" s="676"/>
      <c r="G65" s="676"/>
      <c r="H65" s="357"/>
      <c r="I65" s="357"/>
      <c r="J65" s="245"/>
      <c r="K65" s="245"/>
      <c r="L65" s="245"/>
      <c r="M65" s="357"/>
      <c r="N65" s="357"/>
      <c r="O65" s="357"/>
      <c r="P65" s="213"/>
      <c r="Q65" s="213"/>
      <c r="R65" s="213"/>
      <c r="S65" s="213"/>
      <c r="T65" s="213"/>
      <c r="U65" s="213"/>
      <c r="V65" s="213"/>
      <c r="W65" s="213"/>
      <c r="X65" s="213"/>
      <c r="Y65" s="213"/>
      <c r="Z65" s="213"/>
      <c r="AA65" s="213"/>
      <c r="AB65" s="213"/>
      <c r="AC65" s="213"/>
      <c r="AD65" s="213"/>
      <c r="AE65" s="213"/>
      <c r="AF65" s="213"/>
      <c r="AG65" s="213"/>
      <c r="AH65" s="213"/>
    </row>
    <row r="66" ht="15.75" customHeight="1">
      <c r="A66" s="213"/>
      <c r="B66" s="245"/>
      <c r="C66" s="973" t="s">
        <v>241</v>
      </c>
      <c r="D66" s="357"/>
      <c r="E66" s="245"/>
      <c r="F66" s="676"/>
      <c r="G66" s="676"/>
      <c r="H66" s="357"/>
      <c r="I66" s="357"/>
      <c r="J66" s="245"/>
      <c r="K66" s="245"/>
      <c r="L66" s="245"/>
      <c r="M66" s="357"/>
      <c r="N66" s="357"/>
      <c r="O66" s="357"/>
      <c r="P66" s="213"/>
      <c r="Q66" s="213"/>
      <c r="R66" s="213"/>
      <c r="S66" s="213"/>
      <c r="T66" s="213"/>
      <c r="U66" s="213"/>
      <c r="V66" s="213"/>
      <c r="W66" s="213"/>
      <c r="X66" s="213"/>
      <c r="Y66" s="213"/>
      <c r="Z66" s="213"/>
      <c r="AA66" s="213"/>
      <c r="AB66" s="213"/>
      <c r="AC66" s="213"/>
      <c r="AD66" s="213"/>
      <c r="AE66" s="213"/>
      <c r="AF66" s="213"/>
      <c r="AG66" s="213"/>
      <c r="AH66" s="213"/>
    </row>
    <row r="67" ht="15.75" customHeight="1">
      <c r="A67" s="213"/>
      <c r="B67" s="245"/>
      <c r="C67" s="245" t="s">
        <v>242</v>
      </c>
      <c r="D67" s="357"/>
      <c r="E67" s="245"/>
      <c r="F67" s="676"/>
      <c r="G67" s="676"/>
      <c r="H67" s="357"/>
      <c r="I67" s="357"/>
      <c r="J67" s="245"/>
      <c r="K67" s="245"/>
      <c r="L67" s="245"/>
      <c r="M67" s="357"/>
      <c r="N67" s="357"/>
      <c r="O67" s="357"/>
      <c r="P67" s="213"/>
      <c r="Q67" s="213"/>
      <c r="R67" s="213"/>
      <c r="S67" s="213"/>
      <c r="T67" s="213"/>
      <c r="U67" s="213"/>
      <c r="V67" s="213"/>
      <c r="W67" s="213"/>
      <c r="X67" s="213"/>
      <c r="Y67" s="213"/>
      <c r="Z67" s="213"/>
      <c r="AA67" s="213"/>
      <c r="AB67" s="213"/>
      <c r="AC67" s="213"/>
      <c r="AD67" s="213"/>
      <c r="AE67" s="213"/>
      <c r="AF67" s="213"/>
      <c r="AG67" s="213"/>
      <c r="AH67" s="213"/>
    </row>
    <row r="68" ht="15.75" customHeight="1">
      <c r="A68" s="213"/>
      <c r="B68" s="245"/>
      <c r="C68" s="245" t="s">
        <v>243</v>
      </c>
      <c r="D68" s="357"/>
      <c r="E68" s="245"/>
      <c r="F68" s="676"/>
      <c r="G68" s="676"/>
      <c r="H68" s="357"/>
      <c r="I68" s="357"/>
      <c r="J68" s="245"/>
      <c r="K68" s="245"/>
      <c r="L68" s="245"/>
      <c r="M68" s="737">
        <v>4600.0</v>
      </c>
      <c r="N68" s="737">
        <v>2300.0</v>
      </c>
      <c r="O68" s="357"/>
      <c r="P68" s="213"/>
      <c r="Q68" s="213"/>
      <c r="R68" s="213"/>
      <c r="S68" s="213"/>
      <c r="T68" s="213"/>
      <c r="U68" s="213"/>
      <c r="V68" s="213"/>
      <c r="W68" s="213"/>
      <c r="X68" s="213"/>
      <c r="Y68" s="213"/>
      <c r="Z68" s="213"/>
      <c r="AA68" s="213"/>
      <c r="AB68" s="213"/>
      <c r="AC68" s="213"/>
      <c r="AD68" s="213"/>
      <c r="AE68" s="213"/>
      <c r="AF68" s="213"/>
      <c r="AG68" s="213"/>
      <c r="AH68" s="213"/>
    </row>
    <row r="69" ht="15.75" customHeight="1">
      <c r="A69" s="213"/>
      <c r="B69" s="245"/>
      <c r="C69" s="245" t="s">
        <v>244</v>
      </c>
      <c r="D69" s="357"/>
      <c r="E69" s="245"/>
      <c r="F69" s="676"/>
      <c r="G69" s="676"/>
      <c r="H69" s="357"/>
      <c r="I69" s="357"/>
      <c r="J69" s="245"/>
      <c r="K69" s="245"/>
      <c r="L69" s="245"/>
      <c r="M69" s="357"/>
      <c r="N69" s="357"/>
      <c r="O69" s="357"/>
      <c r="P69" s="213"/>
      <c r="Q69" s="213"/>
      <c r="R69" s="213"/>
      <c r="S69" s="213"/>
      <c r="T69" s="213"/>
      <c r="U69" s="213"/>
      <c r="V69" s="213"/>
      <c r="W69" s="213"/>
      <c r="X69" s="213"/>
      <c r="Y69" s="213"/>
      <c r="Z69" s="213"/>
      <c r="AA69" s="213"/>
      <c r="AB69" s="213"/>
      <c r="AC69" s="213"/>
      <c r="AD69" s="213"/>
      <c r="AE69" s="213"/>
      <c r="AF69" s="213"/>
      <c r="AG69" s="213"/>
      <c r="AH69" s="213"/>
    </row>
    <row r="70" ht="15.75" customHeight="1">
      <c r="A70" s="213"/>
      <c r="B70" s="245"/>
      <c r="C70" s="245" t="s">
        <v>303</v>
      </c>
      <c r="D70" s="357"/>
      <c r="E70" s="245"/>
      <c r="F70" s="676"/>
      <c r="G70" s="676"/>
      <c r="H70" s="357"/>
      <c r="I70" s="357"/>
      <c r="J70" s="245"/>
      <c r="K70" s="245"/>
      <c r="L70" s="245"/>
      <c r="M70" s="737">
        <v>2105.0</v>
      </c>
      <c r="N70" s="737">
        <v>56384.0</v>
      </c>
      <c r="O70" s="357"/>
      <c r="P70" s="213"/>
      <c r="Q70" s="213"/>
      <c r="R70" s="213"/>
      <c r="S70" s="213"/>
      <c r="T70" s="213"/>
      <c r="U70" s="213"/>
      <c r="V70" s="213"/>
      <c r="W70" s="213"/>
      <c r="X70" s="213"/>
      <c r="Y70" s="213"/>
      <c r="Z70" s="213"/>
      <c r="AA70" s="213"/>
      <c r="AB70" s="213"/>
      <c r="AC70" s="213"/>
      <c r="AD70" s="213"/>
      <c r="AE70" s="213"/>
      <c r="AF70" s="213"/>
      <c r="AG70" s="213"/>
      <c r="AH70" s="213"/>
    </row>
    <row r="71" ht="15.75" customHeight="1">
      <c r="A71" s="213"/>
      <c r="B71" s="245"/>
      <c r="C71" s="245" t="s">
        <v>246</v>
      </c>
      <c r="D71" s="357"/>
      <c r="E71" s="245"/>
      <c r="F71" s="676"/>
      <c r="G71" s="676"/>
      <c r="H71" s="357"/>
      <c r="I71" s="357"/>
      <c r="J71" s="245"/>
      <c r="K71" s="245"/>
      <c r="L71" s="245"/>
      <c r="M71" s="357"/>
      <c r="N71" s="357"/>
      <c r="O71" s="357"/>
      <c r="P71" s="213"/>
      <c r="Q71" s="213"/>
      <c r="R71" s="213"/>
      <c r="S71" s="213"/>
      <c r="T71" s="213"/>
      <c r="U71" s="213"/>
      <c r="V71" s="213"/>
      <c r="W71" s="213"/>
      <c r="X71" s="213"/>
      <c r="Y71" s="213"/>
      <c r="Z71" s="213"/>
      <c r="AA71" s="213"/>
      <c r="AB71" s="213"/>
      <c r="AC71" s="213"/>
      <c r="AD71" s="213"/>
      <c r="AE71" s="213"/>
      <c r="AF71" s="213"/>
      <c r="AG71" s="213"/>
      <c r="AH71" s="213"/>
    </row>
    <row r="72" ht="15.75" customHeight="1">
      <c r="A72" s="213"/>
      <c r="B72" s="245"/>
      <c r="C72" s="245" t="s">
        <v>247</v>
      </c>
      <c r="D72" s="357"/>
      <c r="E72" s="245"/>
      <c r="F72" s="676"/>
      <c r="G72" s="676"/>
      <c r="H72" s="357"/>
      <c r="I72" s="357"/>
      <c r="J72" s="245"/>
      <c r="K72" s="245"/>
      <c r="L72" s="245"/>
      <c r="M72" s="737">
        <v>126.0</v>
      </c>
      <c r="N72" s="357"/>
      <c r="O72" s="357"/>
      <c r="P72" s="213"/>
      <c r="Q72" s="213"/>
      <c r="R72" s="213"/>
      <c r="S72" s="213"/>
      <c r="T72" s="213"/>
      <c r="U72" s="213"/>
      <c r="V72" s="213"/>
      <c r="W72" s="213"/>
      <c r="X72" s="213"/>
      <c r="Y72" s="213"/>
      <c r="Z72" s="213"/>
      <c r="AA72" s="213"/>
      <c r="AB72" s="213"/>
      <c r="AC72" s="213"/>
      <c r="AD72" s="213"/>
      <c r="AE72" s="213"/>
      <c r="AF72" s="213"/>
      <c r="AG72" s="213"/>
      <c r="AH72" s="213"/>
    </row>
    <row r="73" ht="15.75" customHeight="1">
      <c r="A73" s="213"/>
      <c r="B73" s="245"/>
      <c r="C73" s="245" t="s">
        <v>248</v>
      </c>
      <c r="D73" s="357">
        <f t="shared" ref="D73:O73" si="6">SUM(D67:D72)</f>
        <v>0</v>
      </c>
      <c r="E73" s="245">
        <f t="shared" si="6"/>
        <v>0</v>
      </c>
      <c r="F73" s="676">
        <f t="shared" si="6"/>
        <v>0</v>
      </c>
      <c r="G73" s="676">
        <f t="shared" si="6"/>
        <v>0</v>
      </c>
      <c r="H73" s="357">
        <f t="shared" si="6"/>
        <v>0</v>
      </c>
      <c r="I73" s="357">
        <f t="shared" si="6"/>
        <v>0</v>
      </c>
      <c r="J73" s="245">
        <f t="shared" si="6"/>
        <v>0</v>
      </c>
      <c r="K73" s="245">
        <f t="shared" si="6"/>
        <v>0</v>
      </c>
      <c r="L73" s="245">
        <f t="shared" si="6"/>
        <v>0</v>
      </c>
      <c r="M73" s="357">
        <f t="shared" si="6"/>
        <v>6831</v>
      </c>
      <c r="N73" s="357">
        <f t="shared" si="6"/>
        <v>58684</v>
      </c>
      <c r="O73" s="357">
        <f t="shared" si="6"/>
        <v>0</v>
      </c>
      <c r="P73" s="718">
        <f>SUM(D73:O73)</f>
        <v>65515</v>
      </c>
      <c r="Q73" s="216"/>
      <c r="R73" s="216"/>
      <c r="S73" s="216"/>
      <c r="T73" s="216"/>
      <c r="U73" s="216"/>
      <c r="V73" s="216"/>
      <c r="W73" s="216"/>
      <c r="X73" s="216"/>
      <c r="Y73" s="216"/>
      <c r="Z73" s="216"/>
      <c r="AA73" s="216"/>
      <c r="AB73" s="216"/>
      <c r="AC73" s="216"/>
      <c r="AD73" s="216"/>
      <c r="AE73" s="216"/>
      <c r="AF73" s="216"/>
      <c r="AG73" s="216"/>
      <c r="AH73" s="216"/>
    </row>
    <row r="74" ht="15.75" customHeight="1">
      <c r="A74" s="213"/>
      <c r="B74" s="245"/>
      <c r="C74" s="245"/>
      <c r="D74" s="357"/>
      <c r="E74" s="245"/>
      <c r="F74" s="676"/>
      <c r="G74" s="676"/>
      <c r="H74" s="357"/>
      <c r="I74" s="357"/>
      <c r="J74" s="245"/>
      <c r="K74" s="245"/>
      <c r="L74" s="245"/>
      <c r="M74" s="357"/>
      <c r="N74" s="357"/>
      <c r="O74" s="357"/>
      <c r="P74" s="213"/>
      <c r="Q74" s="213"/>
      <c r="R74" s="213"/>
      <c r="S74" s="213"/>
      <c r="T74" s="213"/>
      <c r="U74" s="213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</row>
    <row r="75" ht="15.75" hidden="1" customHeight="1">
      <c r="A75" s="213"/>
      <c r="B75" s="245"/>
      <c r="C75" s="245"/>
      <c r="D75" s="357"/>
      <c r="E75" s="352"/>
      <c r="F75" s="357"/>
      <c r="G75" s="357"/>
      <c r="H75" s="357"/>
      <c r="I75" s="357"/>
      <c r="J75" s="352"/>
      <c r="K75" s="352"/>
      <c r="L75" s="352"/>
      <c r="M75" s="357"/>
      <c r="N75" s="357"/>
      <c r="O75" s="357"/>
      <c r="P75" s="213"/>
      <c r="Q75" s="213"/>
      <c r="R75" s="213"/>
      <c r="S75" s="213"/>
      <c r="T75" s="213"/>
      <c r="U75" s="213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</row>
    <row r="76" ht="15.75" hidden="1" customHeight="1">
      <c r="A76" s="213"/>
      <c r="B76" s="245"/>
      <c r="C76" s="245"/>
      <c r="D76" s="357"/>
      <c r="E76" s="352"/>
      <c r="F76" s="357"/>
      <c r="G76" s="357"/>
      <c r="H76" s="357"/>
      <c r="I76" s="357"/>
      <c r="J76" s="352"/>
      <c r="K76" s="352"/>
      <c r="L76" s="352"/>
      <c r="M76" s="357"/>
      <c r="N76" s="357"/>
      <c r="O76" s="357"/>
      <c r="P76" s="213"/>
      <c r="Q76" s="213"/>
      <c r="R76" s="213"/>
      <c r="S76" s="213"/>
      <c r="T76" s="213"/>
      <c r="U76" s="213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</row>
    <row r="77" ht="15.75" hidden="1" customHeight="1">
      <c r="A77" s="213"/>
      <c r="B77" s="245"/>
      <c r="C77" s="245"/>
      <c r="D77" s="357"/>
      <c r="E77" s="352"/>
      <c r="F77" s="357"/>
      <c r="G77" s="357"/>
      <c r="H77" s="357"/>
      <c r="I77" s="357"/>
      <c r="J77" s="352"/>
      <c r="K77" s="352"/>
      <c r="L77" s="352"/>
      <c r="M77" s="357"/>
      <c r="N77" s="357"/>
      <c r="O77" s="357"/>
      <c r="P77" s="213"/>
      <c r="Q77" s="213"/>
      <c r="R77" s="213"/>
      <c r="S77" s="213"/>
      <c r="T77" s="213"/>
      <c r="U77" s="213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</row>
    <row r="78" ht="15.75" hidden="1" customHeight="1">
      <c r="A78" s="213"/>
      <c r="B78" s="245"/>
      <c r="C78" s="245"/>
      <c r="D78" s="357"/>
      <c r="E78" s="352"/>
      <c r="F78" s="357"/>
      <c r="G78" s="357"/>
      <c r="H78" s="357"/>
      <c r="I78" s="357"/>
      <c r="J78" s="352"/>
      <c r="K78" s="352"/>
      <c r="L78" s="352"/>
      <c r="M78" s="357"/>
      <c r="N78" s="357"/>
      <c r="O78" s="357"/>
      <c r="P78" s="213"/>
      <c r="Q78" s="213"/>
      <c r="R78" s="213"/>
      <c r="S78" s="213"/>
      <c r="T78" s="213"/>
      <c r="U78" s="213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</row>
    <row r="79" ht="15.75" hidden="1" customHeight="1">
      <c r="A79" s="213"/>
      <c r="B79" s="245"/>
      <c r="C79" s="245"/>
      <c r="D79" s="357"/>
      <c r="E79" s="352"/>
      <c r="F79" s="357"/>
      <c r="G79" s="357"/>
      <c r="H79" s="357"/>
      <c r="I79" s="357"/>
      <c r="J79" s="352"/>
      <c r="K79" s="352"/>
      <c r="L79" s="352"/>
      <c r="M79" s="357"/>
      <c r="N79" s="357"/>
      <c r="O79" s="357"/>
      <c r="P79" s="213"/>
      <c r="Q79" s="213"/>
      <c r="R79" s="213"/>
      <c r="S79" s="213"/>
      <c r="T79" s="213"/>
      <c r="U79" s="213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</row>
    <row r="80" ht="15.75" hidden="1" customHeight="1">
      <c r="A80" s="213"/>
      <c r="B80" s="245"/>
      <c r="C80" s="245"/>
      <c r="D80" s="357"/>
      <c r="E80" s="352"/>
      <c r="F80" s="357"/>
      <c r="G80" s="357"/>
      <c r="H80" s="357"/>
      <c r="I80" s="357"/>
      <c r="J80" s="352"/>
      <c r="K80" s="352"/>
      <c r="L80" s="352"/>
      <c r="M80" s="357"/>
      <c r="N80" s="357"/>
      <c r="O80" s="357"/>
      <c r="P80" s="213"/>
      <c r="Q80" s="213"/>
      <c r="R80" s="213"/>
      <c r="S80" s="213"/>
      <c r="T80" s="213"/>
      <c r="U80" s="213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</row>
    <row r="81" ht="15.75" hidden="1" customHeight="1">
      <c r="A81" s="213"/>
      <c r="B81" s="245"/>
      <c r="C81" s="245"/>
      <c r="D81" s="357"/>
      <c r="E81" s="352"/>
      <c r="F81" s="357"/>
      <c r="G81" s="357"/>
      <c r="H81" s="357"/>
      <c r="I81" s="357"/>
      <c r="J81" s="352"/>
      <c r="K81" s="352"/>
      <c r="L81" s="352"/>
      <c r="M81" s="357"/>
      <c r="N81" s="357"/>
      <c r="O81" s="357"/>
      <c r="P81" s="213"/>
      <c r="Q81" s="213"/>
      <c r="R81" s="213"/>
      <c r="S81" s="213"/>
      <c r="T81" s="213"/>
      <c r="U81" s="213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</row>
    <row r="82" ht="15.75" hidden="1" customHeight="1">
      <c r="A82" s="213"/>
      <c r="B82" s="245"/>
      <c r="C82" s="245"/>
      <c r="D82" s="357"/>
      <c r="E82" s="352"/>
      <c r="F82" s="357"/>
      <c r="G82" s="357"/>
      <c r="H82" s="357"/>
      <c r="I82" s="357"/>
      <c r="J82" s="352"/>
      <c r="K82" s="352"/>
      <c r="L82" s="352"/>
      <c r="M82" s="357"/>
      <c r="N82" s="357"/>
      <c r="O82" s="357"/>
      <c r="P82" s="213"/>
      <c r="Q82" s="213"/>
      <c r="R82" s="213"/>
      <c r="S82" s="213"/>
      <c r="T82" s="213"/>
      <c r="U82" s="213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</row>
    <row r="83" ht="15.75" hidden="1" customHeight="1">
      <c r="A83" s="213"/>
      <c r="B83" s="245"/>
      <c r="C83" s="245"/>
      <c r="D83" s="357"/>
      <c r="E83" s="245"/>
      <c r="F83" s="676"/>
      <c r="G83" s="676"/>
      <c r="H83" s="357"/>
      <c r="I83" s="357"/>
      <c r="J83" s="245"/>
      <c r="K83" s="245"/>
      <c r="L83" s="245"/>
      <c r="M83" s="357"/>
      <c r="N83" s="357"/>
      <c r="O83" s="357"/>
      <c r="P83" s="213"/>
      <c r="Q83" s="213"/>
      <c r="R83" s="213"/>
      <c r="S83" s="213"/>
      <c r="T83" s="213"/>
      <c r="U83" s="213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</row>
    <row r="84" ht="15.75" customHeight="1">
      <c r="A84" s="213"/>
      <c r="B84" s="974" t="s">
        <v>249</v>
      </c>
      <c r="C84" s="261"/>
      <c r="D84" s="357"/>
      <c r="E84" s="245"/>
      <c r="F84" s="676"/>
      <c r="G84" s="676"/>
      <c r="H84" s="357"/>
      <c r="I84" s="357"/>
      <c r="J84" s="245"/>
      <c r="K84" s="245"/>
      <c r="L84" s="245"/>
      <c r="M84" s="357"/>
      <c r="N84" s="357"/>
      <c r="O84" s="357"/>
      <c r="P84" s="213"/>
      <c r="Q84" s="213"/>
      <c r="R84" s="213"/>
      <c r="S84" s="213"/>
      <c r="T84" s="213"/>
      <c r="U84" s="213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</row>
    <row r="85" ht="15.75" customHeight="1">
      <c r="A85" s="213"/>
      <c r="B85" s="245"/>
      <c r="C85" s="972" t="s">
        <v>250</v>
      </c>
      <c r="D85" s="357">
        <f t="shared" ref="D85:G85" si="7">SUM(D86:D92)</f>
        <v>0</v>
      </c>
      <c r="E85" s="245">
        <f t="shared" si="7"/>
        <v>0</v>
      </c>
      <c r="F85" s="676">
        <f t="shared" si="7"/>
        <v>4745</v>
      </c>
      <c r="G85" s="676">
        <f t="shared" si="7"/>
        <v>451946</v>
      </c>
      <c r="H85" s="357">
        <f t="shared" ref="H85:L85" si="8">SUM(H86:H91)</f>
        <v>0</v>
      </c>
      <c r="I85" s="357">
        <f t="shared" si="8"/>
        <v>1489</v>
      </c>
      <c r="J85" s="245">
        <f t="shared" si="8"/>
        <v>48675</v>
      </c>
      <c r="K85" s="245">
        <f t="shared" si="8"/>
        <v>231810</v>
      </c>
      <c r="L85" s="245">
        <f t="shared" si="8"/>
        <v>359822</v>
      </c>
      <c r="M85" s="357">
        <f>SUM(M86:M92)</f>
        <v>225865.55</v>
      </c>
      <c r="N85" s="357">
        <f>SUM(N86:N91)</f>
        <v>245082.72</v>
      </c>
      <c r="O85" s="357">
        <f>SUM(O87:O91)</f>
        <v>271524.4</v>
      </c>
      <c r="P85" s="718">
        <f>SUM(D85:O85)</f>
        <v>1840959.67</v>
      </c>
      <c r="Q85" s="216"/>
      <c r="R85" s="216"/>
      <c r="S85" s="216"/>
      <c r="T85" s="216"/>
      <c r="U85" s="216"/>
      <c r="V85" s="216"/>
      <c r="W85" s="216"/>
      <c r="X85" s="216"/>
      <c r="Y85" s="216"/>
      <c r="Z85" s="216"/>
      <c r="AA85" s="216"/>
      <c r="AB85" s="216"/>
      <c r="AC85" s="216"/>
      <c r="AD85" s="216"/>
      <c r="AE85" s="216"/>
      <c r="AF85" s="216"/>
      <c r="AG85" s="216"/>
      <c r="AH85" s="216"/>
    </row>
    <row r="86" ht="15.75" customHeight="1">
      <c r="A86" s="213"/>
      <c r="B86" s="245"/>
      <c r="C86" s="245" t="s">
        <v>251</v>
      </c>
      <c r="D86" s="357"/>
      <c r="E86" s="245"/>
      <c r="F86" s="676">
        <v>4745.0</v>
      </c>
      <c r="G86" s="676">
        <f>442500+8230+1216</f>
        <v>451946</v>
      </c>
      <c r="H86" s="357"/>
      <c r="I86" s="357">
        <v>1489.0</v>
      </c>
      <c r="J86" s="245"/>
      <c r="K86" s="245">
        <f>147500+5262+40000</f>
        <v>192762</v>
      </c>
      <c r="L86" s="245">
        <v>199125.0</v>
      </c>
      <c r="M86" s="357">
        <f>91092+6300</f>
        <v>97392</v>
      </c>
      <c r="N86" s="357">
        <v>118000.0</v>
      </c>
      <c r="O86" s="558"/>
      <c r="P86" s="213"/>
      <c r="Q86" s="213"/>
      <c r="R86" s="213"/>
      <c r="S86" s="213"/>
      <c r="T86" s="213"/>
      <c r="U86" s="213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</row>
    <row r="87" ht="15.75" customHeight="1">
      <c r="A87" s="213"/>
      <c r="B87" s="245"/>
      <c r="C87" s="780" t="s">
        <v>484</v>
      </c>
      <c r="D87" s="357"/>
      <c r="E87" s="245"/>
      <c r="F87" s="676"/>
      <c r="G87" s="676"/>
      <c r="H87" s="357"/>
      <c r="I87" s="357"/>
      <c r="J87" s="353">
        <v>48675.0</v>
      </c>
      <c r="K87" s="353">
        <f>26550+12498</f>
        <v>39048</v>
      </c>
      <c r="L87" s="353">
        <f>26550+17917</f>
        <v>44467</v>
      </c>
      <c r="M87" s="536">
        <v>112248.55</v>
      </c>
      <c r="N87" s="536">
        <v>110857.72</v>
      </c>
      <c r="O87" s="353">
        <v>134939.4</v>
      </c>
      <c r="P87" s="213"/>
      <c r="Q87" s="213"/>
      <c r="R87" s="213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</row>
    <row r="88" ht="15.75" customHeight="1">
      <c r="A88" s="213"/>
      <c r="B88" s="245"/>
      <c r="C88" s="245" t="s">
        <v>254</v>
      </c>
      <c r="D88" s="357"/>
      <c r="E88" s="245"/>
      <c r="F88" s="676"/>
      <c r="G88" s="676"/>
      <c r="H88" s="357"/>
      <c r="I88" s="357"/>
      <c r="J88" s="245"/>
      <c r="K88" s="245"/>
      <c r="L88" s="245"/>
      <c r="M88" s="357"/>
      <c r="N88" s="357"/>
      <c r="O88" s="357"/>
      <c r="P88" s="213"/>
      <c r="Q88" s="213"/>
      <c r="R88" s="213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</row>
    <row r="89" ht="15.75" customHeight="1">
      <c r="A89" s="213"/>
      <c r="B89" s="245"/>
      <c r="C89" s="216" t="s">
        <v>253</v>
      </c>
      <c r="D89" s="357"/>
      <c r="E89" s="357"/>
      <c r="F89" s="357"/>
      <c r="G89" s="357"/>
      <c r="H89" s="357"/>
      <c r="I89" s="357"/>
      <c r="J89" s="357"/>
      <c r="K89" s="357"/>
      <c r="L89" s="357">
        <f>39530+76700</f>
        <v>116230</v>
      </c>
      <c r="M89" s="357"/>
      <c r="N89" s="357"/>
      <c r="O89" s="357">
        <f>102000*1.18</f>
        <v>120360</v>
      </c>
      <c r="P89" s="213"/>
      <c r="Q89" s="213"/>
      <c r="R89" s="213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</row>
    <row r="90" ht="15.75" customHeight="1">
      <c r="A90" s="213"/>
      <c r="B90" s="245"/>
      <c r="C90" s="245" t="s">
        <v>430</v>
      </c>
      <c r="D90" s="357"/>
      <c r="E90" s="357"/>
      <c r="F90" s="357"/>
      <c r="G90" s="357"/>
      <c r="H90" s="357"/>
      <c r="I90" s="357"/>
      <c r="J90" s="357"/>
      <c r="K90" s="357"/>
      <c r="L90" s="357"/>
      <c r="M90" s="357">
        <f t="shared" ref="M90:O90" si="9">(46728/12)+(116820/12)+(31152/12)</f>
        <v>16225</v>
      </c>
      <c r="N90" s="357">
        <f t="shared" si="9"/>
        <v>16225</v>
      </c>
      <c r="O90" s="357">
        <f t="shared" si="9"/>
        <v>16225</v>
      </c>
      <c r="P90" s="213"/>
      <c r="Q90" s="213"/>
      <c r="R90" s="213"/>
      <c r="S90" s="213"/>
      <c r="T90" s="213"/>
      <c r="U90" s="213"/>
      <c r="V90" s="213"/>
      <c r="W90" s="213"/>
      <c r="X90" s="213"/>
      <c r="Y90" s="213"/>
      <c r="Z90" s="213"/>
      <c r="AA90" s="213"/>
      <c r="AB90" s="213"/>
      <c r="AC90" s="213"/>
      <c r="AD90" s="213"/>
      <c r="AE90" s="213"/>
      <c r="AF90" s="213"/>
      <c r="AG90" s="213"/>
      <c r="AH90" s="213"/>
    </row>
    <row r="91" ht="15.75" customHeight="1">
      <c r="A91" s="213"/>
      <c r="B91" s="245"/>
      <c r="C91" s="216" t="s">
        <v>466</v>
      </c>
      <c r="D91" s="357"/>
      <c r="E91" s="245"/>
      <c r="F91" s="676"/>
      <c r="G91" s="357"/>
      <c r="H91" s="357"/>
      <c r="I91" s="357"/>
      <c r="J91" s="245"/>
      <c r="K91" s="245"/>
      <c r="L91" s="245"/>
      <c r="M91" s="357"/>
      <c r="N91" s="357"/>
      <c r="O91" s="357"/>
      <c r="P91" s="213"/>
      <c r="Q91" s="213"/>
      <c r="R91" s="213"/>
      <c r="S91" s="213"/>
      <c r="T91" s="213"/>
      <c r="U91" s="213"/>
      <c r="V91" s="213"/>
      <c r="W91" s="213"/>
      <c r="X91" s="213"/>
      <c r="Y91" s="213"/>
      <c r="Z91" s="213"/>
      <c r="AA91" s="213"/>
      <c r="AB91" s="213"/>
      <c r="AC91" s="213"/>
      <c r="AD91" s="213"/>
      <c r="AE91" s="213"/>
      <c r="AF91" s="213"/>
      <c r="AG91" s="213"/>
      <c r="AH91" s="213"/>
    </row>
    <row r="92" ht="15.75" customHeight="1">
      <c r="A92" s="213"/>
      <c r="B92" s="245"/>
      <c r="C92" s="976" t="s">
        <v>485</v>
      </c>
      <c r="D92" s="357"/>
      <c r="E92" s="352"/>
      <c r="F92" s="357"/>
      <c r="G92" s="357"/>
      <c r="H92" s="357"/>
      <c r="I92" s="357"/>
      <c r="J92" s="352"/>
      <c r="K92" s="352"/>
      <c r="L92" s="352"/>
      <c r="M92" s="357"/>
      <c r="N92" s="737">
        <v>9870.0</v>
      </c>
      <c r="O92" s="357"/>
      <c r="P92" s="213"/>
      <c r="Q92" s="213"/>
      <c r="R92" s="213"/>
      <c r="S92" s="213"/>
      <c r="T92" s="213"/>
      <c r="U92" s="213"/>
      <c r="V92" s="213"/>
      <c r="W92" s="213"/>
      <c r="X92" s="213"/>
      <c r="Y92" s="213"/>
      <c r="Z92" s="213"/>
      <c r="AA92" s="213"/>
      <c r="AB92" s="213"/>
      <c r="AC92" s="213"/>
      <c r="AD92" s="213"/>
      <c r="AE92" s="213"/>
      <c r="AF92" s="213"/>
      <c r="AG92" s="213"/>
      <c r="AH92" s="213"/>
    </row>
    <row r="93" ht="15.75" customHeight="1">
      <c r="A93" s="213"/>
      <c r="B93" s="245"/>
      <c r="C93" s="972"/>
      <c r="D93" s="357"/>
      <c r="E93" s="245"/>
      <c r="F93" s="676"/>
      <c r="G93" s="357"/>
      <c r="H93" s="357"/>
      <c r="I93" s="357"/>
      <c r="J93" s="245"/>
      <c r="K93" s="245"/>
      <c r="L93" s="245"/>
      <c r="M93" s="357"/>
      <c r="N93" s="357"/>
      <c r="O93" s="357"/>
      <c r="P93" s="213"/>
      <c r="Q93" s="213"/>
      <c r="R93" s="213"/>
      <c r="S93" s="213"/>
      <c r="T93" s="213"/>
      <c r="U93" s="213"/>
      <c r="V93" s="213"/>
      <c r="W93" s="213"/>
      <c r="X93" s="213"/>
      <c r="Y93" s="213"/>
      <c r="Z93" s="213"/>
      <c r="AA93" s="213"/>
      <c r="AB93" s="213"/>
      <c r="AC93" s="213"/>
      <c r="AD93" s="213"/>
      <c r="AE93" s="213"/>
      <c r="AF93" s="213"/>
      <c r="AG93" s="213"/>
      <c r="AH93" s="213"/>
    </row>
    <row r="94" ht="15.75" customHeight="1">
      <c r="A94" s="213"/>
      <c r="B94" s="245"/>
      <c r="C94" s="972" t="s">
        <v>36</v>
      </c>
      <c r="D94" s="357">
        <f t="shared" ref="D94:H94" si="10">SUM(D95:D99)</f>
        <v>0</v>
      </c>
      <c r="E94" s="245">
        <f t="shared" si="10"/>
        <v>0</v>
      </c>
      <c r="F94" s="676">
        <f t="shared" si="10"/>
        <v>0</v>
      </c>
      <c r="G94" s="357">
        <f t="shared" si="10"/>
        <v>0</v>
      </c>
      <c r="H94" s="357">
        <f t="shared" si="10"/>
        <v>0</v>
      </c>
      <c r="I94" s="357">
        <f t="shared" ref="I94:L94" si="11">SUM(I95:I98)</f>
        <v>0</v>
      </c>
      <c r="J94" s="245">
        <f t="shared" si="11"/>
        <v>0</v>
      </c>
      <c r="K94" s="245">
        <f t="shared" si="11"/>
        <v>0</v>
      </c>
      <c r="L94" s="245">
        <f t="shared" si="11"/>
        <v>0</v>
      </c>
      <c r="M94" s="357">
        <f>SUM(M95:M99)</f>
        <v>0</v>
      </c>
      <c r="N94" s="357">
        <f t="shared" ref="N94:O94" si="12">SUM(N95:N98)</f>
        <v>70182.99</v>
      </c>
      <c r="O94" s="357">
        <f t="shared" si="12"/>
        <v>89448</v>
      </c>
      <c r="P94" s="718">
        <f>SUM(D94:O94)</f>
        <v>159630.99</v>
      </c>
      <c r="Q94" s="216"/>
      <c r="R94" s="216"/>
      <c r="S94" s="216"/>
      <c r="T94" s="216"/>
      <c r="U94" s="216"/>
      <c r="V94" s="216"/>
      <c r="W94" s="216"/>
      <c r="X94" s="216"/>
      <c r="Y94" s="216"/>
      <c r="Z94" s="216"/>
      <c r="AA94" s="216"/>
      <c r="AB94" s="216"/>
      <c r="AC94" s="216"/>
      <c r="AD94" s="216"/>
      <c r="AE94" s="216"/>
      <c r="AF94" s="216"/>
      <c r="AG94" s="216"/>
      <c r="AH94" s="216"/>
    </row>
    <row r="95" ht="15.75" hidden="1" customHeight="1">
      <c r="A95" s="213"/>
      <c r="B95" s="245"/>
      <c r="C95" s="245" t="s">
        <v>257</v>
      </c>
      <c r="D95" s="357"/>
      <c r="E95" s="245"/>
      <c r="F95" s="676"/>
      <c r="G95" s="357"/>
      <c r="H95" s="357"/>
      <c r="I95" s="357"/>
      <c r="J95" s="245"/>
      <c r="K95" s="245"/>
      <c r="L95" s="245"/>
      <c r="M95" s="357"/>
      <c r="N95" s="357"/>
      <c r="O95" s="357"/>
      <c r="P95" s="213"/>
      <c r="Q95" s="213"/>
      <c r="R95" s="213"/>
      <c r="S95" s="213"/>
      <c r="T95" s="213"/>
      <c r="U95" s="213"/>
      <c r="V95" s="213"/>
      <c r="W95" s="213"/>
      <c r="X95" s="213"/>
      <c r="Y95" s="213"/>
      <c r="Z95" s="213"/>
      <c r="AA95" s="213"/>
      <c r="AB95" s="213"/>
      <c r="AC95" s="213"/>
      <c r="AD95" s="213"/>
      <c r="AE95" s="213"/>
      <c r="AF95" s="213"/>
      <c r="AG95" s="213"/>
      <c r="AH95" s="213"/>
    </row>
    <row r="96" ht="15.75" hidden="1" customHeight="1">
      <c r="A96" s="213"/>
      <c r="B96" s="245"/>
      <c r="C96" s="245" t="s">
        <v>258</v>
      </c>
      <c r="D96" s="357"/>
      <c r="E96" s="245"/>
      <c r="F96" s="676"/>
      <c r="G96" s="357"/>
      <c r="H96" s="357"/>
      <c r="I96" s="357"/>
      <c r="J96" s="245"/>
      <c r="K96" s="245"/>
      <c r="L96" s="245"/>
      <c r="M96" s="357"/>
      <c r="N96" s="357"/>
      <c r="O96" s="357"/>
      <c r="P96" s="213"/>
      <c r="Q96" s="213"/>
      <c r="R96" s="213"/>
      <c r="S96" s="213"/>
      <c r="T96" s="213"/>
      <c r="U96" s="213"/>
      <c r="V96" s="213"/>
      <c r="W96" s="213"/>
      <c r="X96" s="213"/>
      <c r="Y96" s="213"/>
      <c r="Z96" s="213"/>
      <c r="AA96" s="213"/>
      <c r="AB96" s="213"/>
      <c r="AC96" s="213"/>
      <c r="AD96" s="213"/>
      <c r="AE96" s="213"/>
      <c r="AF96" s="213"/>
      <c r="AG96" s="213"/>
      <c r="AH96" s="213"/>
    </row>
    <row r="97" ht="15.75" customHeight="1">
      <c r="A97" s="213"/>
      <c r="B97" s="245"/>
      <c r="C97" s="245" t="s">
        <v>486</v>
      </c>
      <c r="D97" s="357">
        <v>0.0</v>
      </c>
      <c r="E97" s="245">
        <v>0.0</v>
      </c>
      <c r="F97" s="676"/>
      <c r="G97" s="357"/>
      <c r="H97" s="357"/>
      <c r="I97" s="357"/>
      <c r="J97" s="245"/>
      <c r="K97" s="245"/>
      <c r="L97" s="245"/>
      <c r="M97" s="357"/>
      <c r="N97" s="357">
        <v>39369.1</v>
      </c>
      <c r="O97" s="357">
        <v>51516.439999999995</v>
      </c>
      <c r="P97" s="213"/>
      <c r="Q97" s="213"/>
      <c r="R97" s="213"/>
      <c r="S97" s="213"/>
      <c r="T97" s="213"/>
      <c r="U97" s="213"/>
      <c r="V97" s="213"/>
      <c r="W97" s="213"/>
      <c r="X97" s="213"/>
      <c r="Y97" s="213"/>
      <c r="Z97" s="213"/>
      <c r="AA97" s="213"/>
      <c r="AB97" s="213"/>
      <c r="AC97" s="213"/>
      <c r="AD97" s="213"/>
      <c r="AE97" s="213"/>
      <c r="AF97" s="213"/>
      <c r="AG97" s="213"/>
      <c r="AH97" s="213"/>
    </row>
    <row r="98" ht="15.75" customHeight="1">
      <c r="A98" s="213"/>
      <c r="B98" s="245"/>
      <c r="C98" s="245" t="s">
        <v>487</v>
      </c>
      <c r="D98" s="357">
        <v>0.0</v>
      </c>
      <c r="E98" s="245">
        <v>0.0</v>
      </c>
      <c r="F98" s="676"/>
      <c r="G98" s="357"/>
      <c r="H98" s="357"/>
      <c r="I98" s="357"/>
      <c r="J98" s="245"/>
      <c r="K98" s="245"/>
      <c r="L98" s="245"/>
      <c r="M98" s="357"/>
      <c r="N98" s="357">
        <v>30813.89</v>
      </c>
      <c r="O98" s="357">
        <v>37931.56</v>
      </c>
      <c r="P98" s="213"/>
      <c r="Q98" s="213"/>
      <c r="R98" s="213"/>
      <c r="S98" s="213"/>
      <c r="T98" s="213"/>
      <c r="U98" s="213"/>
      <c r="V98" s="213"/>
      <c r="W98" s="213"/>
      <c r="X98" s="213"/>
      <c r="Y98" s="213"/>
      <c r="Z98" s="213"/>
      <c r="AA98" s="213"/>
      <c r="AB98" s="213"/>
      <c r="AC98" s="213"/>
      <c r="AD98" s="213"/>
      <c r="AE98" s="213"/>
      <c r="AF98" s="213"/>
      <c r="AG98" s="213"/>
      <c r="AH98" s="213"/>
    </row>
    <row r="99" ht="15.75" customHeight="1">
      <c r="A99" s="213"/>
      <c r="B99" s="245"/>
      <c r="C99" s="245" t="s">
        <v>431</v>
      </c>
      <c r="D99" s="357">
        <v>0.0</v>
      </c>
      <c r="E99" s="245">
        <v>0.0</v>
      </c>
      <c r="F99" s="676"/>
      <c r="G99" s="357"/>
      <c r="H99" s="357"/>
      <c r="I99" s="357"/>
      <c r="J99" s="245"/>
      <c r="K99" s="245"/>
      <c r="L99" s="245"/>
      <c r="M99" s="357"/>
      <c r="N99" s="357"/>
      <c r="O99" s="357"/>
      <c r="P99" s="213"/>
      <c r="Q99" s="213"/>
      <c r="R99" s="213"/>
      <c r="S99" s="213"/>
      <c r="T99" s="213"/>
      <c r="U99" s="213"/>
      <c r="V99" s="213"/>
      <c r="W99" s="213"/>
      <c r="X99" s="213"/>
      <c r="Y99" s="213"/>
      <c r="Z99" s="213"/>
      <c r="AA99" s="213"/>
      <c r="AB99" s="213"/>
      <c r="AC99" s="213"/>
      <c r="AD99" s="213"/>
      <c r="AE99" s="213"/>
      <c r="AF99" s="213"/>
      <c r="AG99" s="213"/>
      <c r="AH99" s="213"/>
    </row>
    <row r="100" ht="15.75" customHeight="1">
      <c r="A100" s="213"/>
      <c r="B100" s="245"/>
      <c r="C100" s="245"/>
      <c r="D100" s="357"/>
      <c r="E100" s="245"/>
      <c r="F100" s="676"/>
      <c r="G100" s="357"/>
      <c r="H100" s="357"/>
      <c r="I100" s="357"/>
      <c r="J100" s="245"/>
      <c r="K100" s="245"/>
      <c r="L100" s="245"/>
      <c r="M100" s="357"/>
      <c r="N100" s="357"/>
      <c r="O100" s="357"/>
      <c r="P100" s="213"/>
      <c r="Q100" s="213"/>
      <c r="R100" s="213"/>
      <c r="S100" s="213"/>
      <c r="T100" s="213"/>
      <c r="U100" s="213"/>
      <c r="V100" s="213"/>
      <c r="W100" s="213"/>
      <c r="X100" s="213"/>
      <c r="Y100" s="213"/>
      <c r="Z100" s="213"/>
      <c r="AA100" s="213"/>
      <c r="AB100" s="213"/>
      <c r="AC100" s="213"/>
      <c r="AD100" s="213"/>
      <c r="AE100" s="213"/>
      <c r="AF100" s="213"/>
      <c r="AG100" s="213"/>
      <c r="AH100" s="213"/>
    </row>
    <row r="101" ht="15.75" customHeight="1">
      <c r="A101" s="213"/>
      <c r="B101" s="245"/>
      <c r="C101" s="972" t="s">
        <v>315</v>
      </c>
      <c r="D101" s="357">
        <f t="shared" ref="D101:L101" si="13">SUM(D102:D105)</f>
        <v>0</v>
      </c>
      <c r="E101" s="245">
        <f t="shared" si="13"/>
        <v>0</v>
      </c>
      <c r="F101" s="676">
        <f t="shared" si="13"/>
        <v>0</v>
      </c>
      <c r="G101" s="357">
        <f t="shared" si="13"/>
        <v>0</v>
      </c>
      <c r="H101" s="357">
        <f t="shared" si="13"/>
        <v>0</v>
      </c>
      <c r="I101" s="357">
        <f t="shared" si="13"/>
        <v>0</v>
      </c>
      <c r="J101" s="245">
        <f t="shared" si="13"/>
        <v>0</v>
      </c>
      <c r="K101" s="245">
        <f t="shared" si="13"/>
        <v>0</v>
      </c>
      <c r="L101" s="245">
        <f t="shared" si="13"/>
        <v>0</v>
      </c>
      <c r="M101" s="357">
        <f>SUM(M102:M106)</f>
        <v>35400</v>
      </c>
      <c r="N101" s="357">
        <f t="shared" ref="N101:O101" si="14">SUM(N102:N105)</f>
        <v>0</v>
      </c>
      <c r="O101" s="357">
        <f t="shared" si="14"/>
        <v>0</v>
      </c>
      <c r="P101" s="718">
        <f>SUM(D101:O101)</f>
        <v>35400</v>
      </c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  <c r="AA101" s="216"/>
      <c r="AB101" s="216"/>
      <c r="AC101" s="216"/>
      <c r="AD101" s="216"/>
      <c r="AE101" s="216"/>
      <c r="AF101" s="216"/>
      <c r="AG101" s="216"/>
      <c r="AH101" s="216"/>
    </row>
    <row r="102" ht="15.75" hidden="1" customHeight="1">
      <c r="A102" s="213"/>
      <c r="B102" s="245"/>
      <c r="C102" s="245" t="s">
        <v>261</v>
      </c>
      <c r="D102" s="357"/>
      <c r="E102" s="245"/>
      <c r="F102" s="676"/>
      <c r="G102" s="357"/>
      <c r="H102" s="357"/>
      <c r="I102" s="357"/>
      <c r="J102" s="245"/>
      <c r="K102" s="245"/>
      <c r="L102" s="245"/>
      <c r="M102" s="357"/>
      <c r="N102" s="357"/>
      <c r="O102" s="357"/>
      <c r="P102" s="213"/>
      <c r="Q102" s="213"/>
      <c r="R102" s="213"/>
      <c r="S102" s="213"/>
      <c r="T102" s="213"/>
      <c r="U102" s="213"/>
      <c r="V102" s="213"/>
      <c r="W102" s="213"/>
      <c r="X102" s="213"/>
      <c r="Y102" s="213"/>
      <c r="Z102" s="213"/>
      <c r="AA102" s="213"/>
      <c r="AB102" s="213"/>
      <c r="AC102" s="213"/>
      <c r="AD102" s="213"/>
      <c r="AE102" s="213"/>
      <c r="AF102" s="213"/>
      <c r="AG102" s="213"/>
      <c r="AH102" s="213"/>
    </row>
    <row r="103" ht="15.75" hidden="1" customHeight="1">
      <c r="A103" s="213"/>
      <c r="B103" s="245"/>
      <c r="C103" s="245" t="s">
        <v>262</v>
      </c>
      <c r="D103" s="357"/>
      <c r="E103" s="245"/>
      <c r="F103" s="676"/>
      <c r="G103" s="357"/>
      <c r="H103" s="357"/>
      <c r="I103" s="357"/>
      <c r="J103" s="245"/>
      <c r="K103" s="245"/>
      <c r="L103" s="245"/>
      <c r="M103" s="357"/>
      <c r="N103" s="357"/>
      <c r="O103" s="357"/>
      <c r="P103" s="213"/>
      <c r="Q103" s="213"/>
      <c r="R103" s="213"/>
      <c r="S103" s="213"/>
      <c r="T103" s="213"/>
      <c r="U103" s="213"/>
      <c r="V103" s="213"/>
      <c r="W103" s="213"/>
      <c r="X103" s="213"/>
      <c r="Y103" s="213"/>
      <c r="Z103" s="213"/>
      <c r="AA103" s="213"/>
      <c r="AB103" s="213"/>
      <c r="AC103" s="213"/>
      <c r="AD103" s="213"/>
      <c r="AE103" s="213"/>
      <c r="AF103" s="213"/>
      <c r="AG103" s="213"/>
      <c r="AH103" s="213"/>
    </row>
    <row r="104" ht="15.75" hidden="1" customHeight="1">
      <c r="A104" s="213"/>
      <c r="B104" s="245"/>
      <c r="C104" s="245" t="s">
        <v>263</v>
      </c>
      <c r="D104" s="357"/>
      <c r="E104" s="245"/>
      <c r="F104" s="676"/>
      <c r="G104" s="357"/>
      <c r="H104" s="357"/>
      <c r="I104" s="357"/>
      <c r="J104" s="245"/>
      <c r="K104" s="245"/>
      <c r="L104" s="245"/>
      <c r="M104" s="357"/>
      <c r="N104" s="357"/>
      <c r="O104" s="357"/>
      <c r="P104" s="213"/>
      <c r="Q104" s="213"/>
      <c r="R104" s="213"/>
      <c r="S104" s="213"/>
      <c r="T104" s="213"/>
      <c r="U104" s="213"/>
      <c r="V104" s="213"/>
      <c r="W104" s="213"/>
      <c r="X104" s="213"/>
      <c r="Y104" s="213"/>
      <c r="Z104" s="213"/>
      <c r="AA104" s="213"/>
      <c r="AB104" s="213"/>
      <c r="AC104" s="213"/>
      <c r="AD104" s="213"/>
      <c r="AE104" s="213"/>
      <c r="AF104" s="213"/>
      <c r="AG104" s="213"/>
      <c r="AH104" s="213"/>
    </row>
    <row r="105" ht="15.75" hidden="1" customHeight="1">
      <c r="A105" s="213"/>
      <c r="B105" s="245"/>
      <c r="C105" s="245" t="s">
        <v>264</v>
      </c>
      <c r="D105" s="357"/>
      <c r="E105" s="245"/>
      <c r="F105" s="676"/>
      <c r="G105" s="357"/>
      <c r="H105" s="357"/>
      <c r="I105" s="357"/>
      <c r="J105" s="245"/>
      <c r="K105" s="245"/>
      <c r="L105" s="245"/>
      <c r="M105" s="357"/>
      <c r="N105" s="357"/>
      <c r="O105" s="357"/>
      <c r="P105" s="213"/>
      <c r="Q105" s="213"/>
      <c r="R105" s="213"/>
      <c r="S105" s="213"/>
      <c r="T105" s="213"/>
      <c r="U105" s="213"/>
      <c r="V105" s="213"/>
      <c r="W105" s="213"/>
      <c r="X105" s="213"/>
      <c r="Y105" s="213"/>
      <c r="Z105" s="213"/>
      <c r="AA105" s="213"/>
      <c r="AB105" s="213"/>
      <c r="AC105" s="213"/>
      <c r="AD105" s="213"/>
      <c r="AE105" s="213"/>
      <c r="AF105" s="213"/>
      <c r="AG105" s="213"/>
      <c r="AH105" s="213"/>
    </row>
    <row r="106" ht="15.75" customHeight="1">
      <c r="A106" s="213"/>
      <c r="B106" s="245"/>
      <c r="C106" s="245" t="s">
        <v>488</v>
      </c>
      <c r="D106" s="357"/>
      <c r="E106" s="245"/>
      <c r="F106" s="676"/>
      <c r="G106" s="357"/>
      <c r="H106" s="357"/>
      <c r="I106" s="357"/>
      <c r="J106" s="245"/>
      <c r="K106" s="245"/>
      <c r="L106" s="245"/>
      <c r="M106" s="357">
        <v>35400.0</v>
      </c>
      <c r="N106" s="357"/>
      <c r="O106" s="357"/>
      <c r="P106" s="213"/>
      <c r="Q106" s="213"/>
      <c r="R106" s="213"/>
      <c r="S106" s="213"/>
      <c r="T106" s="213"/>
      <c r="U106" s="213"/>
      <c r="V106" s="213"/>
      <c r="W106" s="213"/>
      <c r="X106" s="213"/>
      <c r="Y106" s="213"/>
      <c r="Z106" s="213"/>
      <c r="AA106" s="213"/>
      <c r="AB106" s="213"/>
      <c r="AC106" s="213"/>
      <c r="AD106" s="213"/>
      <c r="AE106" s="213"/>
      <c r="AF106" s="213"/>
      <c r="AG106" s="213"/>
      <c r="AH106" s="213"/>
    </row>
    <row r="107" ht="15.75" customHeight="1">
      <c r="A107" s="213"/>
      <c r="B107" s="245"/>
      <c r="C107" s="972"/>
      <c r="D107" s="357"/>
      <c r="E107" s="245"/>
      <c r="F107" s="676"/>
      <c r="G107" s="357"/>
      <c r="H107" s="357"/>
      <c r="I107" s="357"/>
      <c r="J107" s="245"/>
      <c r="K107" s="245"/>
      <c r="L107" s="245"/>
      <c r="M107" s="357"/>
      <c r="N107" s="357"/>
      <c r="O107" s="357"/>
      <c r="P107" s="213"/>
      <c r="Q107" s="213"/>
      <c r="R107" s="213"/>
      <c r="S107" s="213"/>
      <c r="T107" s="213"/>
      <c r="U107" s="213"/>
      <c r="V107" s="213"/>
      <c r="W107" s="213"/>
      <c r="X107" s="213"/>
      <c r="Y107" s="213"/>
      <c r="Z107" s="213"/>
      <c r="AA107" s="213"/>
      <c r="AB107" s="213"/>
      <c r="AC107" s="213"/>
      <c r="AD107" s="213"/>
      <c r="AE107" s="213"/>
      <c r="AF107" s="213"/>
      <c r="AG107" s="213"/>
      <c r="AH107" s="213"/>
    </row>
    <row r="108" ht="15.75" customHeight="1">
      <c r="A108" s="213"/>
      <c r="B108" s="245"/>
      <c r="C108" s="972" t="s">
        <v>38</v>
      </c>
      <c r="D108" s="357">
        <f>SUM(D109:D115)</f>
        <v>0</v>
      </c>
      <c r="E108" s="245">
        <f>SUM(E109:E119)</f>
        <v>78000</v>
      </c>
      <c r="F108" s="676">
        <f>sum(F116:F119)</f>
        <v>62720</v>
      </c>
      <c r="G108" s="357">
        <f>SUM(G109:G115)</f>
        <v>0</v>
      </c>
      <c r="H108" s="357">
        <f>SUM(H109:H116)</f>
        <v>0</v>
      </c>
      <c r="I108" s="357">
        <f t="shared" ref="I108:L108" si="15">SUM(I109:I115)</f>
        <v>0</v>
      </c>
      <c r="J108" s="245">
        <f t="shared" si="15"/>
        <v>0</v>
      </c>
      <c r="K108" s="245">
        <f t="shared" si="15"/>
        <v>0</v>
      </c>
      <c r="L108" s="245">
        <f t="shared" si="15"/>
        <v>0</v>
      </c>
      <c r="M108" s="357">
        <f t="shared" ref="M108:O108" si="16">SUM(M109:M118)</f>
        <v>344754</v>
      </c>
      <c r="N108" s="357">
        <f t="shared" si="16"/>
        <v>428163</v>
      </c>
      <c r="O108" s="357">
        <f t="shared" si="16"/>
        <v>9691</v>
      </c>
      <c r="P108" s="718">
        <f>SUM(D108:O108)</f>
        <v>923328</v>
      </c>
      <c r="Q108" s="216"/>
      <c r="R108" s="216"/>
      <c r="S108" s="216"/>
      <c r="T108" s="216"/>
      <c r="U108" s="216"/>
      <c r="V108" s="216"/>
      <c r="W108" s="216"/>
      <c r="X108" s="216"/>
      <c r="Y108" s="216"/>
      <c r="Z108" s="216"/>
      <c r="AA108" s="216"/>
      <c r="AB108" s="216"/>
      <c r="AC108" s="216"/>
      <c r="AD108" s="216"/>
      <c r="AE108" s="216"/>
      <c r="AF108" s="216"/>
      <c r="AG108" s="216"/>
      <c r="AH108" s="216"/>
    </row>
    <row r="109" ht="15.75" customHeight="1">
      <c r="A109" s="213"/>
      <c r="B109" s="245"/>
      <c r="C109" s="245" t="s">
        <v>318</v>
      </c>
      <c r="D109" s="357"/>
      <c r="E109" s="245"/>
      <c r="F109" s="676"/>
      <c r="G109" s="357"/>
      <c r="H109" s="357"/>
      <c r="I109" s="357"/>
      <c r="J109" s="245"/>
      <c r="K109" s="245"/>
      <c r="L109" s="245"/>
      <c r="M109" s="357"/>
      <c r="N109" s="357"/>
      <c r="O109" s="357"/>
      <c r="P109" s="213"/>
      <c r="Q109" s="213"/>
      <c r="R109" s="213"/>
      <c r="S109" s="213"/>
      <c r="T109" s="213"/>
      <c r="U109" s="213"/>
      <c r="V109" s="213"/>
      <c r="W109" s="213"/>
      <c r="X109" s="213"/>
      <c r="Y109" s="213"/>
      <c r="Z109" s="213"/>
      <c r="AA109" s="213"/>
      <c r="AB109" s="213"/>
      <c r="AC109" s="213"/>
      <c r="AD109" s="213"/>
      <c r="AE109" s="213"/>
      <c r="AF109" s="213"/>
      <c r="AG109" s="213"/>
      <c r="AH109" s="213"/>
    </row>
    <row r="110" ht="15.75" customHeight="1">
      <c r="A110" s="213"/>
      <c r="B110" s="245"/>
      <c r="C110" s="245" t="s">
        <v>265</v>
      </c>
      <c r="D110" s="357"/>
      <c r="E110" s="245"/>
      <c r="F110" s="676"/>
      <c r="G110" s="357"/>
      <c r="H110" s="357"/>
      <c r="I110" s="357"/>
      <c r="J110" s="245"/>
      <c r="K110" s="245"/>
      <c r="L110" s="245"/>
      <c r="M110" s="357"/>
      <c r="N110" s="729"/>
      <c r="O110" s="729"/>
      <c r="P110" s="213"/>
      <c r="Q110" s="213"/>
      <c r="R110" s="213"/>
      <c r="S110" s="213"/>
      <c r="T110" s="213"/>
      <c r="U110" s="213"/>
      <c r="V110" s="213"/>
      <c r="W110" s="213"/>
      <c r="X110" s="213"/>
      <c r="Y110" s="213"/>
      <c r="Z110" s="213"/>
      <c r="AA110" s="213"/>
      <c r="AB110" s="213"/>
      <c r="AC110" s="213"/>
      <c r="AD110" s="213"/>
      <c r="AE110" s="213"/>
      <c r="AF110" s="213"/>
      <c r="AG110" s="213"/>
      <c r="AH110" s="213"/>
    </row>
    <row r="111" ht="15.75" customHeight="1">
      <c r="A111" s="213"/>
      <c r="B111" s="245"/>
      <c r="C111" s="245" t="s">
        <v>266</v>
      </c>
      <c r="D111" s="357"/>
      <c r="E111" s="245"/>
      <c r="F111" s="676"/>
      <c r="G111" s="357"/>
      <c r="H111" s="357"/>
      <c r="I111" s="357"/>
      <c r="J111" s="245"/>
      <c r="K111" s="245"/>
      <c r="L111" s="245"/>
      <c r="M111" s="357"/>
      <c r="N111" s="357"/>
      <c r="O111" s="357"/>
      <c r="P111" s="213"/>
      <c r="Q111" s="213"/>
      <c r="R111" s="213"/>
      <c r="S111" s="213"/>
      <c r="T111" s="213"/>
      <c r="U111" s="213"/>
      <c r="V111" s="213"/>
      <c r="W111" s="213"/>
      <c r="X111" s="213"/>
      <c r="Y111" s="213"/>
      <c r="Z111" s="213"/>
      <c r="AA111" s="213"/>
      <c r="AB111" s="213"/>
      <c r="AC111" s="213"/>
      <c r="AD111" s="213"/>
      <c r="AE111" s="213"/>
      <c r="AF111" s="213"/>
      <c r="AG111" s="213"/>
      <c r="AH111" s="213"/>
    </row>
    <row r="112" ht="15.75" customHeight="1">
      <c r="A112" s="213"/>
      <c r="B112" s="245"/>
      <c r="C112" s="245" t="s">
        <v>267</v>
      </c>
      <c r="D112" s="357"/>
      <c r="E112" s="245"/>
      <c r="F112" s="676"/>
      <c r="G112" s="357"/>
      <c r="H112" s="357"/>
      <c r="I112" s="357"/>
      <c r="J112" s="245"/>
      <c r="K112" s="245"/>
      <c r="L112" s="245"/>
      <c r="M112" s="357"/>
      <c r="N112" s="357"/>
      <c r="O112" s="357"/>
      <c r="P112" s="213"/>
      <c r="Q112" s="213"/>
      <c r="R112" s="213"/>
      <c r="S112" s="213"/>
      <c r="T112" s="213"/>
      <c r="U112" s="213"/>
      <c r="V112" s="213"/>
      <c r="W112" s="213"/>
      <c r="X112" s="213"/>
      <c r="Y112" s="213"/>
      <c r="Z112" s="213"/>
      <c r="AA112" s="213"/>
      <c r="AB112" s="213"/>
      <c r="AC112" s="213"/>
      <c r="AD112" s="213"/>
      <c r="AE112" s="213"/>
      <c r="AF112" s="213"/>
      <c r="AG112" s="213"/>
      <c r="AH112" s="213"/>
    </row>
    <row r="113" ht="15.75" customHeight="1">
      <c r="A113" s="213"/>
      <c r="B113" s="245"/>
      <c r="C113" s="245" t="s">
        <v>268</v>
      </c>
      <c r="D113" s="357"/>
      <c r="E113" s="245"/>
      <c r="F113" s="676"/>
      <c r="G113" s="357"/>
      <c r="H113" s="357"/>
      <c r="I113" s="357"/>
      <c r="J113" s="245"/>
      <c r="K113" s="245"/>
      <c r="L113" s="245"/>
      <c r="M113" s="357"/>
      <c r="N113" s="357"/>
      <c r="O113" s="357"/>
      <c r="P113" s="213"/>
      <c r="Q113" s="213"/>
      <c r="R113" s="213"/>
      <c r="S113" s="213"/>
      <c r="T113" s="213"/>
      <c r="U113" s="213"/>
      <c r="V113" s="213"/>
      <c r="W113" s="213"/>
      <c r="X113" s="213"/>
      <c r="Y113" s="213"/>
      <c r="Z113" s="213"/>
      <c r="AA113" s="213"/>
      <c r="AB113" s="213"/>
      <c r="AC113" s="213"/>
      <c r="AD113" s="213"/>
      <c r="AE113" s="213"/>
      <c r="AF113" s="213"/>
      <c r="AG113" s="213"/>
      <c r="AH113" s="213"/>
    </row>
    <row r="114" ht="15.75" customHeight="1">
      <c r="A114" s="213"/>
      <c r="B114" s="245"/>
      <c r="C114" s="245" t="s">
        <v>269</v>
      </c>
      <c r="D114" s="357"/>
      <c r="E114" s="245"/>
      <c r="F114" s="676"/>
      <c r="G114" s="357"/>
      <c r="H114" s="357"/>
      <c r="I114" s="357"/>
      <c r="J114" s="245"/>
      <c r="K114" s="245"/>
      <c r="L114" s="245"/>
      <c r="M114" s="357"/>
      <c r="N114" s="357"/>
      <c r="O114" s="357"/>
      <c r="P114" s="213"/>
      <c r="Q114" s="213"/>
      <c r="R114" s="213"/>
      <c r="S114" s="213"/>
      <c r="T114" s="213"/>
      <c r="U114" s="213"/>
      <c r="V114" s="213"/>
      <c r="W114" s="213"/>
      <c r="X114" s="213"/>
      <c r="Y114" s="213"/>
      <c r="Z114" s="213"/>
      <c r="AA114" s="213"/>
      <c r="AB114" s="213"/>
      <c r="AC114" s="213"/>
      <c r="AD114" s="213"/>
      <c r="AE114" s="213"/>
      <c r="AF114" s="213"/>
      <c r="AG114" s="213"/>
      <c r="AH114" s="213"/>
    </row>
    <row r="115" ht="15.75" customHeight="1">
      <c r="A115" s="213"/>
      <c r="B115" s="245"/>
      <c r="C115" s="245" t="s">
        <v>270</v>
      </c>
      <c r="D115" s="357"/>
      <c r="E115" s="245"/>
      <c r="F115" s="676"/>
      <c r="G115" s="357"/>
      <c r="H115" s="357"/>
      <c r="I115" s="357"/>
      <c r="J115" s="245"/>
      <c r="K115" s="245"/>
      <c r="L115" s="245"/>
      <c r="M115" s="357"/>
      <c r="N115" s="357"/>
      <c r="O115" s="357"/>
      <c r="P115" s="213"/>
      <c r="Q115" s="213"/>
      <c r="R115" s="213"/>
      <c r="S115" s="213"/>
      <c r="T115" s="213"/>
      <c r="U115" s="213"/>
      <c r="V115" s="213"/>
      <c r="W115" s="213"/>
      <c r="X115" s="213"/>
      <c r="Y115" s="213"/>
      <c r="Z115" s="213"/>
      <c r="AA115" s="213"/>
      <c r="AB115" s="213"/>
      <c r="AC115" s="213"/>
      <c r="AD115" s="213"/>
      <c r="AE115" s="213"/>
      <c r="AF115" s="213"/>
      <c r="AG115" s="213"/>
      <c r="AH115" s="213"/>
    </row>
    <row r="116" ht="15.75" customHeight="1">
      <c r="A116" s="213"/>
      <c r="B116" s="245"/>
      <c r="C116" s="245" t="s">
        <v>269</v>
      </c>
      <c r="D116" s="357"/>
      <c r="E116" s="245"/>
      <c r="F116" s="676"/>
      <c r="G116" s="357"/>
      <c r="H116" s="357"/>
      <c r="I116" s="357"/>
      <c r="J116" s="245"/>
      <c r="K116" s="245"/>
      <c r="L116" s="245"/>
      <c r="M116" s="357">
        <f>626+5790</f>
        <v>6416</v>
      </c>
      <c r="N116" s="357">
        <f>67496+4231</f>
        <v>71727</v>
      </c>
      <c r="O116" s="737">
        <v>9691.0</v>
      </c>
      <c r="P116" s="213"/>
      <c r="Q116" s="213"/>
      <c r="R116" s="213"/>
      <c r="S116" s="213"/>
      <c r="T116" s="213"/>
      <c r="U116" s="213"/>
      <c r="V116" s="213"/>
      <c r="W116" s="213"/>
      <c r="X116" s="213"/>
      <c r="Y116" s="213"/>
      <c r="Z116" s="213"/>
      <c r="AA116" s="213"/>
      <c r="AB116" s="213"/>
      <c r="AC116" s="213"/>
      <c r="AD116" s="213"/>
      <c r="AE116" s="213"/>
      <c r="AF116" s="213"/>
      <c r="AG116" s="213"/>
      <c r="AH116" s="213"/>
    </row>
    <row r="117" ht="15.75" customHeight="1">
      <c r="A117" s="213"/>
      <c r="B117" s="245"/>
      <c r="C117" s="1081" t="s">
        <v>489</v>
      </c>
      <c r="D117" s="357"/>
      <c r="E117" s="976">
        <v>78000.0</v>
      </c>
      <c r="F117" s="676"/>
      <c r="G117" s="357"/>
      <c r="H117" s="357"/>
      <c r="I117" s="357"/>
      <c r="J117" s="245"/>
      <c r="K117" s="245"/>
      <c r="L117" s="245"/>
      <c r="M117" s="737">
        <v>338338.0</v>
      </c>
      <c r="N117" s="737">
        <v>339163.0</v>
      </c>
      <c r="O117" s="357"/>
      <c r="P117" s="213"/>
      <c r="Q117" s="213"/>
      <c r="R117" s="213"/>
      <c r="S117" s="213"/>
      <c r="T117" s="213"/>
      <c r="U117" s="213"/>
      <c r="V117" s="213"/>
      <c r="W117" s="213"/>
      <c r="X117" s="213"/>
      <c r="Y117" s="213"/>
      <c r="Z117" s="213"/>
      <c r="AA117" s="213"/>
      <c r="AB117" s="213"/>
      <c r="AC117" s="213"/>
      <c r="AD117" s="213"/>
      <c r="AE117" s="213"/>
      <c r="AF117" s="213"/>
      <c r="AG117" s="213"/>
      <c r="AH117" s="213"/>
    </row>
    <row r="118" ht="15.75" customHeight="1">
      <c r="A118" s="213"/>
      <c r="B118" s="245"/>
      <c r="C118" s="245" t="s">
        <v>266</v>
      </c>
      <c r="D118" s="357"/>
      <c r="E118" s="245"/>
      <c r="F118" s="676"/>
      <c r="G118" s="357"/>
      <c r="H118" s="357"/>
      <c r="I118" s="357"/>
      <c r="J118" s="245"/>
      <c r="K118" s="245">
        <v>12600.0</v>
      </c>
      <c r="L118" s="245"/>
      <c r="M118" s="357"/>
      <c r="N118" s="357">
        <v>17273.0</v>
      </c>
      <c r="O118" s="357"/>
      <c r="P118" s="213"/>
      <c r="Q118" s="213"/>
      <c r="R118" s="213"/>
      <c r="S118" s="213"/>
      <c r="T118" s="213"/>
      <c r="U118" s="213"/>
      <c r="V118" s="213"/>
      <c r="W118" s="213"/>
      <c r="X118" s="213"/>
      <c r="Y118" s="213"/>
      <c r="Z118" s="213"/>
      <c r="AA118" s="213"/>
      <c r="AB118" s="213"/>
      <c r="AC118" s="213"/>
      <c r="AD118" s="213"/>
      <c r="AE118" s="213"/>
      <c r="AF118" s="213"/>
      <c r="AG118" s="213"/>
      <c r="AH118" s="213"/>
    </row>
    <row r="119" ht="15.75" customHeight="1">
      <c r="A119" s="213"/>
      <c r="B119" s="245"/>
      <c r="C119" s="1082" t="s">
        <v>270</v>
      </c>
      <c r="D119" s="357"/>
      <c r="E119" s="245"/>
      <c r="F119" s="1022">
        <v>62720.0</v>
      </c>
      <c r="G119" s="357"/>
      <c r="H119" s="357"/>
      <c r="I119" s="357"/>
      <c r="J119" s="245"/>
      <c r="K119" s="245"/>
      <c r="L119" s="245"/>
      <c r="M119" s="737">
        <v>105000.0</v>
      </c>
      <c r="N119" s="357"/>
      <c r="O119" s="357"/>
      <c r="P119" s="213"/>
      <c r="Q119" s="213"/>
      <c r="R119" s="213"/>
      <c r="S119" s="213"/>
      <c r="T119" s="213"/>
      <c r="U119" s="213"/>
      <c r="V119" s="213"/>
      <c r="W119" s="213"/>
      <c r="X119" s="213"/>
      <c r="Y119" s="213"/>
      <c r="Z119" s="213"/>
      <c r="AA119" s="213"/>
      <c r="AB119" s="213"/>
      <c r="AC119" s="213"/>
      <c r="AD119" s="213"/>
      <c r="AE119" s="213"/>
      <c r="AF119" s="213"/>
      <c r="AG119" s="213"/>
      <c r="AH119" s="213"/>
    </row>
    <row r="120" ht="15.75" customHeight="1">
      <c r="A120" s="213"/>
      <c r="B120" s="245"/>
      <c r="C120" s="972"/>
      <c r="D120" s="357"/>
      <c r="E120" s="245"/>
      <c r="F120" s="676"/>
      <c r="G120" s="357"/>
      <c r="H120" s="357"/>
      <c r="I120" s="357"/>
      <c r="J120" s="245"/>
      <c r="K120" s="245"/>
      <c r="L120" s="245"/>
      <c r="M120" s="357"/>
      <c r="N120" s="357"/>
      <c r="O120" s="357"/>
      <c r="P120" s="213"/>
      <c r="Q120" s="213"/>
      <c r="R120" s="213"/>
      <c r="S120" s="213"/>
      <c r="T120" s="213"/>
      <c r="U120" s="213"/>
      <c r="V120" s="213"/>
      <c r="W120" s="213"/>
      <c r="X120" s="213"/>
      <c r="Y120" s="213"/>
      <c r="Z120" s="213"/>
      <c r="AA120" s="213"/>
      <c r="AB120" s="213"/>
      <c r="AC120" s="213"/>
      <c r="AD120" s="213"/>
      <c r="AE120" s="213"/>
      <c r="AF120" s="213"/>
      <c r="AG120" s="213"/>
      <c r="AH120" s="213"/>
    </row>
    <row r="121" ht="15.75" customHeight="1">
      <c r="A121" s="213"/>
      <c r="B121" s="245"/>
      <c r="C121" s="972" t="s">
        <v>39</v>
      </c>
      <c r="D121" s="357">
        <f t="shared" ref="D121:O121" si="17">SUM(D122)</f>
        <v>0</v>
      </c>
      <c r="E121" s="245">
        <f t="shared" si="17"/>
        <v>0</v>
      </c>
      <c r="F121" s="676">
        <f t="shared" si="17"/>
        <v>0</v>
      </c>
      <c r="G121" s="357">
        <f t="shared" si="17"/>
        <v>0</v>
      </c>
      <c r="H121" s="357">
        <f t="shared" si="17"/>
        <v>0</v>
      </c>
      <c r="I121" s="357">
        <f t="shared" si="17"/>
        <v>0</v>
      </c>
      <c r="J121" s="245">
        <f t="shared" si="17"/>
        <v>0</v>
      </c>
      <c r="K121" s="245">
        <f t="shared" si="17"/>
        <v>0</v>
      </c>
      <c r="L121" s="245">
        <f t="shared" si="17"/>
        <v>0</v>
      </c>
      <c r="M121" s="357">
        <f t="shared" si="17"/>
        <v>0</v>
      </c>
      <c r="N121" s="357">
        <f t="shared" si="17"/>
        <v>0</v>
      </c>
      <c r="O121" s="357">
        <f t="shared" si="17"/>
        <v>0</v>
      </c>
      <c r="P121" s="718">
        <f>SUM(D121:O121)</f>
        <v>0</v>
      </c>
      <c r="Q121" s="216"/>
      <c r="R121" s="216"/>
      <c r="S121" s="216"/>
      <c r="T121" s="216"/>
      <c r="U121" s="216"/>
      <c r="V121" s="216"/>
      <c r="W121" s="216"/>
      <c r="X121" s="216"/>
      <c r="Y121" s="216"/>
      <c r="Z121" s="216"/>
      <c r="AA121" s="216"/>
      <c r="AB121" s="216"/>
      <c r="AC121" s="216"/>
      <c r="AD121" s="216"/>
      <c r="AE121" s="216"/>
      <c r="AF121" s="216"/>
      <c r="AG121" s="216"/>
      <c r="AH121" s="216"/>
    </row>
    <row r="122" ht="15.75" customHeight="1">
      <c r="A122" s="213"/>
      <c r="B122" s="245"/>
      <c r="C122" s="245" t="s">
        <v>272</v>
      </c>
      <c r="D122" s="357">
        <v>0.0</v>
      </c>
      <c r="E122" s="245"/>
      <c r="F122" s="676"/>
      <c r="G122" s="357"/>
      <c r="H122" s="357"/>
      <c r="I122" s="357"/>
      <c r="J122" s="245"/>
      <c r="K122" s="245"/>
      <c r="L122" s="245"/>
      <c r="M122" s="357"/>
      <c r="N122" s="357"/>
      <c r="O122" s="357"/>
      <c r="P122" s="213"/>
      <c r="Q122" s="213"/>
      <c r="R122" s="213"/>
      <c r="S122" s="213"/>
      <c r="T122" s="213"/>
      <c r="U122" s="213"/>
      <c r="V122" s="213"/>
      <c r="W122" s="213"/>
      <c r="X122" s="213"/>
      <c r="Y122" s="213"/>
      <c r="Z122" s="213"/>
      <c r="AA122" s="213"/>
      <c r="AB122" s="213"/>
      <c r="AC122" s="213"/>
      <c r="AD122" s="213"/>
      <c r="AE122" s="213"/>
      <c r="AF122" s="213"/>
      <c r="AG122" s="213"/>
      <c r="AH122" s="213"/>
    </row>
    <row r="123" ht="15.75" customHeight="1">
      <c r="A123" s="213"/>
      <c r="B123" s="245"/>
      <c r="C123" s="245"/>
      <c r="D123" s="357"/>
      <c r="E123" s="245"/>
      <c r="F123" s="676"/>
      <c r="G123" s="357"/>
      <c r="H123" s="357"/>
      <c r="I123" s="357"/>
      <c r="J123" s="245"/>
      <c r="K123" s="245"/>
      <c r="L123" s="245"/>
      <c r="M123" s="357"/>
      <c r="N123" s="357"/>
      <c r="O123" s="357"/>
      <c r="P123" s="213"/>
      <c r="Q123" s="213"/>
      <c r="R123" s="213"/>
      <c r="S123" s="213"/>
      <c r="T123" s="213"/>
      <c r="U123" s="213"/>
      <c r="V123" s="213"/>
      <c r="W123" s="213"/>
      <c r="X123" s="213"/>
      <c r="Y123" s="213"/>
      <c r="Z123" s="213"/>
      <c r="AA123" s="213"/>
      <c r="AB123" s="213"/>
      <c r="AC123" s="213"/>
      <c r="AD123" s="213"/>
      <c r="AE123" s="213"/>
      <c r="AF123" s="213"/>
      <c r="AG123" s="213"/>
      <c r="AH123" s="213"/>
    </row>
    <row r="124" ht="15.75" customHeight="1">
      <c r="A124" s="213"/>
      <c r="B124" s="245"/>
      <c r="C124" s="972" t="s">
        <v>273</v>
      </c>
      <c r="D124" s="357">
        <f t="shared" ref="D124:O124" si="18">SUM(D125:D126)</f>
        <v>0</v>
      </c>
      <c r="E124" s="245">
        <f t="shared" si="18"/>
        <v>0</v>
      </c>
      <c r="F124" s="676">
        <f t="shared" si="18"/>
        <v>0</v>
      </c>
      <c r="G124" s="357">
        <f t="shared" si="18"/>
        <v>0</v>
      </c>
      <c r="H124" s="357">
        <f t="shared" si="18"/>
        <v>0</v>
      </c>
      <c r="I124" s="357">
        <f t="shared" si="18"/>
        <v>0</v>
      </c>
      <c r="J124" s="245">
        <f t="shared" si="18"/>
        <v>0</v>
      </c>
      <c r="K124" s="245">
        <f t="shared" si="18"/>
        <v>0</v>
      </c>
      <c r="L124" s="245">
        <f t="shared" si="18"/>
        <v>0</v>
      </c>
      <c r="M124" s="357">
        <f t="shared" si="18"/>
        <v>0</v>
      </c>
      <c r="N124" s="357">
        <f t="shared" si="18"/>
        <v>4362</v>
      </c>
      <c r="O124" s="357">
        <f t="shared" si="18"/>
        <v>0</v>
      </c>
      <c r="P124" s="718">
        <f>SUM(D124:O124)</f>
        <v>4362</v>
      </c>
      <c r="Q124" s="216"/>
      <c r="R124" s="216"/>
      <c r="S124" s="216"/>
      <c r="T124" s="216"/>
      <c r="U124" s="216"/>
      <c r="V124" s="216"/>
      <c r="W124" s="216"/>
      <c r="X124" s="216"/>
      <c r="Y124" s="216"/>
      <c r="Z124" s="216"/>
      <c r="AA124" s="216"/>
      <c r="AB124" s="216"/>
      <c r="AC124" s="216"/>
      <c r="AD124" s="216"/>
      <c r="AE124" s="216"/>
      <c r="AF124" s="216"/>
      <c r="AG124" s="216"/>
      <c r="AH124" s="216"/>
    </row>
    <row r="125" ht="15.75" customHeight="1">
      <c r="A125" s="213"/>
      <c r="B125" s="245"/>
      <c r="C125" s="245" t="s">
        <v>274</v>
      </c>
      <c r="D125" s="357"/>
      <c r="E125" s="245"/>
      <c r="F125" s="676"/>
      <c r="G125" s="357"/>
      <c r="H125" s="357"/>
      <c r="I125" s="357"/>
      <c r="J125" s="245"/>
      <c r="K125" s="245"/>
      <c r="L125" s="245"/>
      <c r="M125" s="357"/>
      <c r="N125" s="357">
        <v>825.0</v>
      </c>
      <c r="O125" s="357"/>
      <c r="P125" s="213"/>
      <c r="Q125" s="213"/>
      <c r="R125" s="213"/>
      <c r="S125" s="213"/>
      <c r="T125" s="213"/>
      <c r="U125" s="213"/>
      <c r="V125" s="213"/>
      <c r="W125" s="213"/>
      <c r="X125" s="213"/>
      <c r="Y125" s="213"/>
      <c r="Z125" s="213"/>
      <c r="AA125" s="213"/>
      <c r="AB125" s="213"/>
      <c r="AC125" s="213"/>
      <c r="AD125" s="213"/>
      <c r="AE125" s="213"/>
      <c r="AF125" s="213"/>
      <c r="AG125" s="213"/>
      <c r="AH125" s="213"/>
    </row>
    <row r="126" ht="15.75" customHeight="1">
      <c r="A126" s="213"/>
      <c r="B126" s="245"/>
      <c r="C126" s="245" t="s">
        <v>471</v>
      </c>
      <c r="D126" s="357"/>
      <c r="E126" s="245"/>
      <c r="F126" s="676"/>
      <c r="G126" s="357"/>
      <c r="H126" s="357"/>
      <c r="I126" s="357"/>
      <c r="J126" s="245"/>
      <c r="K126" s="245"/>
      <c r="L126" s="245"/>
      <c r="M126" s="357"/>
      <c r="N126" s="357">
        <v>3537.0</v>
      </c>
      <c r="O126" s="357"/>
      <c r="P126" s="213"/>
      <c r="Q126" s="213"/>
      <c r="R126" s="213"/>
      <c r="S126" s="213"/>
      <c r="T126" s="213"/>
      <c r="U126" s="213"/>
      <c r="V126" s="213"/>
      <c r="W126" s="213"/>
      <c r="X126" s="213"/>
      <c r="Y126" s="213"/>
      <c r="Z126" s="213"/>
      <c r="AA126" s="213"/>
      <c r="AB126" s="213"/>
      <c r="AC126" s="213"/>
      <c r="AD126" s="213"/>
      <c r="AE126" s="213"/>
      <c r="AF126" s="213"/>
      <c r="AG126" s="213"/>
      <c r="AH126" s="213"/>
    </row>
    <row r="127" ht="15.75" customHeight="1">
      <c r="A127" s="213"/>
      <c r="B127" s="245"/>
      <c r="C127" s="245"/>
      <c r="D127" s="357"/>
      <c r="E127" s="245"/>
      <c r="F127" s="676"/>
      <c r="G127" s="357"/>
      <c r="H127" s="357"/>
      <c r="I127" s="357"/>
      <c r="J127" s="245"/>
      <c r="K127" s="245"/>
      <c r="L127" s="245"/>
      <c r="M127" s="357"/>
      <c r="N127" s="357"/>
      <c r="O127" s="357"/>
      <c r="P127" s="213"/>
      <c r="Q127" s="213"/>
      <c r="R127" s="213"/>
      <c r="S127" s="213"/>
      <c r="T127" s="213"/>
      <c r="U127" s="213"/>
      <c r="V127" s="213"/>
      <c r="W127" s="213"/>
      <c r="X127" s="213"/>
      <c r="Y127" s="213"/>
      <c r="Z127" s="213"/>
      <c r="AA127" s="213"/>
      <c r="AB127" s="213"/>
      <c r="AC127" s="213"/>
      <c r="AD127" s="213"/>
      <c r="AE127" s="213"/>
      <c r="AF127" s="213"/>
      <c r="AG127" s="213"/>
      <c r="AH127" s="213"/>
    </row>
    <row r="128" ht="15.75" customHeight="1">
      <c r="A128" s="213"/>
      <c r="B128" s="245"/>
      <c r="C128" s="972" t="s">
        <v>41</v>
      </c>
      <c r="D128" s="357">
        <f t="shared" ref="D128:E128" si="19">SUM(D129:D139)</f>
        <v>0</v>
      </c>
      <c r="E128" s="245">
        <f t="shared" si="19"/>
        <v>0</v>
      </c>
      <c r="F128" s="676">
        <f>SUM(F129:F141)</f>
        <v>0</v>
      </c>
      <c r="G128" s="357">
        <f t="shared" ref="G128:L128" si="20">SUM(G129:G139)</f>
        <v>0</v>
      </c>
      <c r="H128" s="357">
        <f t="shared" si="20"/>
        <v>0</v>
      </c>
      <c r="I128" s="357">
        <f t="shared" si="20"/>
        <v>0</v>
      </c>
      <c r="J128" s="245">
        <f t="shared" si="20"/>
        <v>0</v>
      </c>
      <c r="K128" s="245">
        <f t="shared" si="20"/>
        <v>0</v>
      </c>
      <c r="L128" s="245">
        <f t="shared" si="20"/>
        <v>0</v>
      </c>
      <c r="M128" s="357">
        <f>SUM(M129:M142)</f>
        <v>12200</v>
      </c>
      <c r="N128" s="357">
        <f t="shared" ref="N128:O128" si="21">SUM(N129:N139)</f>
        <v>131673</v>
      </c>
      <c r="O128" s="357">
        <f t="shared" si="21"/>
        <v>6900</v>
      </c>
      <c r="P128" s="718">
        <f>SUM(D128:O128)</f>
        <v>150773</v>
      </c>
      <c r="Q128" s="216"/>
      <c r="R128" s="216"/>
      <c r="S128" s="216"/>
      <c r="T128" s="216"/>
      <c r="U128" s="216"/>
      <c r="V128" s="216"/>
      <c r="W128" s="216"/>
      <c r="X128" s="216"/>
      <c r="Y128" s="216"/>
      <c r="Z128" s="216"/>
      <c r="AA128" s="216"/>
      <c r="AB128" s="216"/>
      <c r="AC128" s="216"/>
      <c r="AD128" s="216"/>
      <c r="AE128" s="216"/>
      <c r="AF128" s="216"/>
      <c r="AG128" s="216"/>
      <c r="AH128" s="216"/>
    </row>
    <row r="129" ht="15.75" customHeight="1">
      <c r="A129" s="213"/>
      <c r="B129" s="245"/>
      <c r="C129" s="245" t="s">
        <v>277</v>
      </c>
      <c r="D129" s="357"/>
      <c r="E129" s="245"/>
      <c r="F129" s="676"/>
      <c r="G129" s="357"/>
      <c r="H129" s="357"/>
      <c r="I129" s="357"/>
      <c r="J129" s="245"/>
      <c r="K129" s="245"/>
      <c r="L129" s="245"/>
      <c r="M129" s="357"/>
      <c r="N129" s="357"/>
      <c r="O129" s="357">
        <v>2000.0</v>
      </c>
      <c r="P129" s="213"/>
      <c r="Q129" s="213"/>
      <c r="R129" s="213"/>
      <c r="S129" s="213"/>
      <c r="T129" s="213"/>
      <c r="U129" s="213"/>
      <c r="V129" s="213"/>
      <c r="W129" s="213"/>
      <c r="X129" s="213"/>
      <c r="Y129" s="213"/>
      <c r="Z129" s="213"/>
      <c r="AA129" s="213"/>
      <c r="AB129" s="213"/>
      <c r="AC129" s="213"/>
      <c r="AD129" s="213"/>
      <c r="AE129" s="213"/>
      <c r="AF129" s="213"/>
      <c r="AG129" s="213"/>
      <c r="AH129" s="213"/>
    </row>
    <row r="130" ht="15.75" customHeight="1">
      <c r="A130" s="213"/>
      <c r="B130" s="245"/>
      <c r="C130" s="245" t="s">
        <v>278</v>
      </c>
      <c r="D130" s="357"/>
      <c r="E130" s="245"/>
      <c r="F130" s="676"/>
      <c r="G130" s="357"/>
      <c r="H130" s="357"/>
      <c r="I130" s="357"/>
      <c r="J130" s="245"/>
      <c r="K130" s="245"/>
      <c r="L130" s="245"/>
      <c r="M130" s="357"/>
      <c r="N130" s="357">
        <v>1325.0</v>
      </c>
      <c r="O130" s="357"/>
      <c r="P130" s="213"/>
      <c r="Q130" s="213"/>
      <c r="R130" s="213"/>
      <c r="S130" s="213"/>
      <c r="T130" s="213"/>
      <c r="U130" s="213"/>
      <c r="V130" s="213"/>
      <c r="W130" s="213"/>
      <c r="X130" s="213"/>
      <c r="Y130" s="213"/>
      <c r="Z130" s="213"/>
      <c r="AA130" s="213"/>
      <c r="AB130" s="213"/>
      <c r="AC130" s="213"/>
      <c r="AD130" s="213"/>
      <c r="AE130" s="213"/>
      <c r="AF130" s="213"/>
      <c r="AG130" s="213"/>
      <c r="AH130" s="213"/>
    </row>
    <row r="131" ht="15.75" hidden="1" customHeight="1">
      <c r="A131" s="213"/>
      <c r="B131" s="245"/>
      <c r="C131" s="245" t="s">
        <v>280</v>
      </c>
      <c r="D131" s="357"/>
      <c r="E131" s="245"/>
      <c r="F131" s="676"/>
      <c r="G131" s="357"/>
      <c r="H131" s="357"/>
      <c r="I131" s="357"/>
      <c r="J131" s="245"/>
      <c r="K131" s="245"/>
      <c r="L131" s="245"/>
      <c r="M131" s="357"/>
      <c r="N131" s="357"/>
      <c r="O131" s="357"/>
      <c r="P131" s="213"/>
      <c r="Q131" s="213"/>
      <c r="R131" s="213"/>
      <c r="S131" s="213"/>
      <c r="T131" s="213"/>
      <c r="U131" s="213"/>
      <c r="V131" s="213"/>
      <c r="W131" s="213"/>
      <c r="X131" s="213"/>
      <c r="Y131" s="213"/>
      <c r="Z131" s="213"/>
      <c r="AA131" s="213"/>
      <c r="AB131" s="213"/>
      <c r="AC131" s="213"/>
      <c r="AD131" s="213"/>
      <c r="AE131" s="213"/>
      <c r="AF131" s="213"/>
      <c r="AG131" s="213"/>
      <c r="AH131" s="213"/>
    </row>
    <row r="132" ht="15.75" hidden="1" customHeight="1">
      <c r="A132" s="213"/>
      <c r="B132" s="245"/>
      <c r="C132" s="245" t="s">
        <v>334</v>
      </c>
      <c r="D132" s="357"/>
      <c r="E132" s="245"/>
      <c r="F132" s="676"/>
      <c r="G132" s="357"/>
      <c r="H132" s="357"/>
      <c r="I132" s="357"/>
      <c r="J132" s="245"/>
      <c r="K132" s="245"/>
      <c r="L132" s="245"/>
      <c r="M132" s="357"/>
      <c r="N132" s="357"/>
      <c r="O132" s="357"/>
      <c r="P132" s="213"/>
      <c r="Q132" s="213"/>
      <c r="R132" s="213"/>
      <c r="S132" s="213"/>
      <c r="T132" s="213"/>
      <c r="U132" s="213"/>
      <c r="V132" s="213"/>
      <c r="W132" s="213"/>
      <c r="X132" s="213"/>
      <c r="Y132" s="213"/>
      <c r="Z132" s="213"/>
      <c r="AA132" s="213"/>
      <c r="AB132" s="213"/>
      <c r="AC132" s="213"/>
      <c r="AD132" s="213"/>
      <c r="AE132" s="213"/>
      <c r="AF132" s="213"/>
      <c r="AG132" s="213"/>
      <c r="AH132" s="213"/>
    </row>
    <row r="133" ht="15.75" hidden="1" customHeight="1">
      <c r="A133" s="213"/>
      <c r="B133" s="245"/>
      <c r="C133" s="245" t="s">
        <v>335</v>
      </c>
      <c r="D133" s="357"/>
      <c r="E133" s="245"/>
      <c r="F133" s="676"/>
      <c r="G133" s="357"/>
      <c r="H133" s="357"/>
      <c r="I133" s="357"/>
      <c r="J133" s="245"/>
      <c r="K133" s="245"/>
      <c r="L133" s="245"/>
      <c r="M133" s="357"/>
      <c r="N133" s="357"/>
      <c r="O133" s="357"/>
      <c r="P133" s="213"/>
      <c r="Q133" s="213"/>
      <c r="R133" s="213"/>
      <c r="S133" s="213"/>
      <c r="T133" s="213"/>
      <c r="U133" s="213"/>
      <c r="V133" s="213"/>
      <c r="W133" s="213"/>
      <c r="X133" s="213"/>
      <c r="Y133" s="213"/>
      <c r="Z133" s="213"/>
      <c r="AA133" s="213"/>
      <c r="AB133" s="213"/>
      <c r="AC133" s="213"/>
      <c r="AD133" s="213"/>
      <c r="AE133" s="213"/>
      <c r="AF133" s="213"/>
      <c r="AG133" s="213"/>
      <c r="AH133" s="213"/>
    </row>
    <row r="134" ht="15.75" customHeight="1">
      <c r="A134" s="213"/>
      <c r="B134" s="245"/>
      <c r="C134" s="245" t="s">
        <v>282</v>
      </c>
      <c r="D134" s="357"/>
      <c r="E134" s="245"/>
      <c r="F134" s="676"/>
      <c r="G134" s="357"/>
      <c r="H134" s="357"/>
      <c r="I134" s="357"/>
      <c r="J134" s="245"/>
      <c r="K134" s="245"/>
      <c r="L134" s="245"/>
      <c r="M134" s="357"/>
      <c r="N134" s="357"/>
      <c r="O134" s="357">
        <v>4900.0</v>
      </c>
      <c r="P134" s="213"/>
      <c r="Q134" s="213"/>
      <c r="R134" s="213"/>
      <c r="S134" s="213"/>
      <c r="T134" s="213"/>
      <c r="U134" s="213"/>
      <c r="V134" s="213"/>
      <c r="W134" s="213"/>
      <c r="X134" s="213"/>
      <c r="Y134" s="213"/>
      <c r="Z134" s="213"/>
      <c r="AA134" s="213"/>
      <c r="AB134" s="213"/>
      <c r="AC134" s="213"/>
      <c r="AD134" s="213"/>
      <c r="AE134" s="213"/>
      <c r="AF134" s="213"/>
      <c r="AG134" s="213"/>
      <c r="AH134" s="213"/>
    </row>
    <row r="135" ht="15.75" hidden="1" customHeight="1">
      <c r="A135" s="213"/>
      <c r="B135" s="245"/>
      <c r="C135" s="245" t="s">
        <v>285</v>
      </c>
      <c r="D135" s="357"/>
      <c r="E135" s="245"/>
      <c r="F135" s="676"/>
      <c r="G135" s="357"/>
      <c r="H135" s="357"/>
      <c r="I135" s="357"/>
      <c r="J135" s="245"/>
      <c r="K135" s="245"/>
      <c r="L135" s="245"/>
      <c r="M135" s="357"/>
      <c r="N135" s="357"/>
      <c r="O135" s="357"/>
      <c r="P135" s="213"/>
      <c r="Q135" s="213"/>
      <c r="R135" s="213"/>
      <c r="S135" s="213"/>
      <c r="T135" s="213"/>
      <c r="U135" s="213"/>
      <c r="V135" s="213"/>
      <c r="W135" s="213"/>
      <c r="X135" s="213"/>
      <c r="Y135" s="213"/>
      <c r="Z135" s="213"/>
      <c r="AA135" s="213"/>
      <c r="AB135" s="213"/>
      <c r="AC135" s="213"/>
      <c r="AD135" s="213"/>
      <c r="AE135" s="213"/>
      <c r="AF135" s="213"/>
      <c r="AG135" s="213"/>
      <c r="AH135" s="213"/>
    </row>
    <row r="136" ht="15.75" hidden="1" customHeight="1">
      <c r="A136" s="213"/>
      <c r="B136" s="245"/>
      <c r="C136" s="245" t="s">
        <v>286</v>
      </c>
      <c r="D136" s="357"/>
      <c r="E136" s="245"/>
      <c r="F136" s="676"/>
      <c r="G136" s="357"/>
      <c r="H136" s="357"/>
      <c r="I136" s="357"/>
      <c r="J136" s="245"/>
      <c r="K136" s="245"/>
      <c r="L136" s="245"/>
      <c r="M136" s="357"/>
      <c r="N136" s="357"/>
      <c r="O136" s="357"/>
      <c r="P136" s="213"/>
      <c r="Q136" s="213"/>
      <c r="R136" s="213"/>
      <c r="S136" s="213"/>
      <c r="T136" s="213"/>
      <c r="U136" s="213"/>
      <c r="V136" s="213"/>
      <c r="W136" s="213"/>
      <c r="X136" s="213"/>
      <c r="Y136" s="213"/>
      <c r="Z136" s="213"/>
      <c r="AA136" s="213"/>
      <c r="AB136" s="213"/>
      <c r="AC136" s="213"/>
      <c r="AD136" s="213"/>
      <c r="AE136" s="213"/>
      <c r="AF136" s="213"/>
      <c r="AG136" s="213"/>
      <c r="AH136" s="213"/>
    </row>
    <row r="137" ht="15.75" customHeight="1">
      <c r="A137" s="213"/>
      <c r="B137" s="245"/>
      <c r="C137" s="245" t="s">
        <v>279</v>
      </c>
      <c r="D137" s="357"/>
      <c r="E137" s="245"/>
      <c r="F137" s="676"/>
      <c r="G137" s="357"/>
      <c r="H137" s="357"/>
      <c r="I137" s="357"/>
      <c r="J137" s="245"/>
      <c r="K137" s="245"/>
      <c r="L137" s="245"/>
      <c r="M137" s="357"/>
      <c r="N137" s="737">
        <v>130348.0</v>
      </c>
      <c r="O137" s="357"/>
      <c r="P137" s="213"/>
      <c r="Q137" s="213"/>
      <c r="R137" s="213"/>
      <c r="S137" s="213"/>
      <c r="T137" s="213"/>
      <c r="U137" s="213"/>
      <c r="V137" s="213"/>
      <c r="W137" s="213"/>
      <c r="X137" s="213"/>
      <c r="Y137" s="213"/>
      <c r="Z137" s="213"/>
      <c r="AA137" s="213"/>
      <c r="AB137" s="213"/>
      <c r="AC137" s="213"/>
      <c r="AD137" s="213"/>
      <c r="AE137" s="213"/>
      <c r="AF137" s="213"/>
      <c r="AG137" s="213"/>
      <c r="AH137" s="213"/>
    </row>
    <row r="138" ht="15.75" hidden="1" customHeight="1">
      <c r="A138" s="213"/>
      <c r="B138" s="245"/>
      <c r="C138" s="245" t="s">
        <v>287</v>
      </c>
      <c r="D138" s="357"/>
      <c r="E138" s="245"/>
      <c r="F138" s="676"/>
      <c r="G138" s="357"/>
      <c r="H138" s="357"/>
      <c r="I138" s="357"/>
      <c r="J138" s="245"/>
      <c r="K138" s="245"/>
      <c r="L138" s="245"/>
      <c r="M138" s="357"/>
      <c r="N138" s="357"/>
      <c r="O138" s="357"/>
      <c r="P138" s="213"/>
      <c r="Q138" s="213"/>
      <c r="R138" s="213"/>
      <c r="S138" s="213"/>
      <c r="T138" s="213"/>
      <c r="U138" s="213"/>
      <c r="V138" s="213"/>
      <c r="W138" s="213"/>
      <c r="X138" s="213"/>
      <c r="Y138" s="213"/>
      <c r="Z138" s="213"/>
      <c r="AA138" s="213"/>
      <c r="AB138" s="213"/>
      <c r="AC138" s="213"/>
      <c r="AD138" s="213"/>
      <c r="AE138" s="213"/>
      <c r="AF138" s="213"/>
      <c r="AG138" s="213"/>
      <c r="AH138" s="213"/>
    </row>
    <row r="139" ht="15.75" hidden="1" customHeight="1">
      <c r="A139" s="213"/>
      <c r="B139" s="245"/>
      <c r="C139" s="245" t="s">
        <v>401</v>
      </c>
      <c r="D139" s="357"/>
      <c r="E139" s="245"/>
      <c r="F139" s="676"/>
      <c r="G139" s="357"/>
      <c r="H139" s="357"/>
      <c r="I139" s="357"/>
      <c r="J139" s="245"/>
      <c r="K139" s="245"/>
      <c r="L139" s="245"/>
      <c r="M139" s="357"/>
      <c r="N139" s="357"/>
      <c r="O139" s="357"/>
      <c r="P139" s="213"/>
      <c r="Q139" s="213"/>
      <c r="R139" s="213"/>
      <c r="S139" s="213"/>
      <c r="T139" s="213"/>
      <c r="U139" s="213"/>
      <c r="V139" s="213"/>
      <c r="W139" s="213"/>
      <c r="X139" s="213"/>
      <c r="Y139" s="213"/>
      <c r="Z139" s="213"/>
      <c r="AA139" s="213"/>
      <c r="AB139" s="213"/>
      <c r="AC139" s="213"/>
      <c r="AD139" s="213"/>
      <c r="AE139" s="213"/>
      <c r="AF139" s="213"/>
      <c r="AG139" s="213"/>
      <c r="AH139" s="213"/>
    </row>
    <row r="140" ht="15.75" hidden="1" customHeight="1">
      <c r="A140" s="213"/>
      <c r="B140" s="245"/>
      <c r="C140" s="245" t="s">
        <v>288</v>
      </c>
      <c r="D140" s="357"/>
      <c r="E140" s="245"/>
      <c r="F140" s="676"/>
      <c r="G140" s="357"/>
      <c r="H140" s="357"/>
      <c r="I140" s="357"/>
      <c r="J140" s="245"/>
      <c r="K140" s="245"/>
      <c r="L140" s="245"/>
      <c r="M140" s="357"/>
      <c r="N140" s="357"/>
      <c r="O140" s="357"/>
      <c r="P140" s="213"/>
      <c r="Q140" s="213"/>
      <c r="R140" s="213"/>
      <c r="S140" s="213"/>
      <c r="T140" s="213"/>
      <c r="U140" s="213"/>
      <c r="V140" s="213"/>
      <c r="W140" s="213"/>
      <c r="X140" s="213"/>
      <c r="Y140" s="213"/>
      <c r="Z140" s="213"/>
      <c r="AA140" s="213"/>
      <c r="AB140" s="213"/>
      <c r="AC140" s="213"/>
      <c r="AD140" s="213"/>
      <c r="AE140" s="213"/>
      <c r="AF140" s="213"/>
      <c r="AG140" s="213"/>
      <c r="AH140" s="213"/>
    </row>
    <row r="141" ht="15.75" customHeight="1">
      <c r="A141" s="213"/>
      <c r="B141" s="245"/>
      <c r="C141" s="245" t="s">
        <v>282</v>
      </c>
      <c r="D141" s="357"/>
      <c r="E141" s="245"/>
      <c r="F141" s="676"/>
      <c r="G141" s="357"/>
      <c r="H141" s="357"/>
      <c r="I141" s="357"/>
      <c r="J141" s="245"/>
      <c r="K141" s="245"/>
      <c r="L141" s="245"/>
      <c r="M141" s="357">
        <v>12000.0</v>
      </c>
      <c r="N141" s="357"/>
      <c r="O141" s="357"/>
      <c r="P141" s="213"/>
      <c r="Q141" s="213"/>
      <c r="R141" s="213"/>
      <c r="S141" s="213"/>
      <c r="T141" s="213"/>
      <c r="U141" s="213"/>
      <c r="V141" s="213"/>
      <c r="W141" s="213"/>
      <c r="X141" s="213"/>
      <c r="Y141" s="213"/>
      <c r="Z141" s="213"/>
      <c r="AA141" s="213"/>
      <c r="AB141" s="213"/>
      <c r="AC141" s="213"/>
      <c r="AD141" s="213"/>
      <c r="AE141" s="213"/>
      <c r="AF141" s="213"/>
      <c r="AG141" s="213"/>
      <c r="AH141" s="213"/>
    </row>
    <row r="142" ht="15.75" customHeight="1">
      <c r="A142" s="213"/>
      <c r="B142" s="245"/>
      <c r="C142" s="245" t="s">
        <v>288</v>
      </c>
      <c r="D142" s="357"/>
      <c r="E142" s="245"/>
      <c r="F142" s="676"/>
      <c r="G142" s="357"/>
      <c r="H142" s="357"/>
      <c r="I142" s="357"/>
      <c r="J142" s="245"/>
      <c r="K142" s="245"/>
      <c r="L142" s="245"/>
      <c r="M142" s="357">
        <v>200.0</v>
      </c>
      <c r="N142" s="357"/>
      <c r="O142" s="357"/>
      <c r="P142" s="213"/>
      <c r="Q142" s="213"/>
      <c r="R142" s="213"/>
      <c r="S142" s="213"/>
      <c r="T142" s="213"/>
      <c r="U142" s="213"/>
      <c r="V142" s="213"/>
      <c r="W142" s="213"/>
      <c r="X142" s="213"/>
      <c r="Y142" s="213"/>
      <c r="Z142" s="213"/>
      <c r="AA142" s="213"/>
      <c r="AB142" s="213"/>
      <c r="AC142" s="213"/>
      <c r="AD142" s="213"/>
      <c r="AE142" s="213"/>
      <c r="AF142" s="213"/>
      <c r="AG142" s="213"/>
      <c r="AH142" s="213"/>
    </row>
    <row r="143" ht="15.75" customHeight="1">
      <c r="A143" s="213"/>
      <c r="B143" s="245"/>
      <c r="C143" s="213"/>
      <c r="D143" s="357"/>
      <c r="E143" s="245"/>
      <c r="F143" s="676"/>
      <c r="G143" s="357"/>
      <c r="H143" s="357"/>
      <c r="I143" s="357"/>
      <c r="J143" s="245"/>
      <c r="K143" s="245"/>
      <c r="L143" s="245"/>
      <c r="M143" s="357"/>
      <c r="N143" s="357"/>
      <c r="O143" s="357"/>
      <c r="P143" s="213"/>
      <c r="Q143" s="213"/>
      <c r="R143" s="213"/>
      <c r="S143" s="213"/>
      <c r="T143" s="213"/>
      <c r="U143" s="213"/>
      <c r="V143" s="213"/>
      <c r="W143" s="213"/>
      <c r="X143" s="213"/>
      <c r="Y143" s="213"/>
      <c r="Z143" s="213"/>
      <c r="AA143" s="213"/>
      <c r="AB143" s="213"/>
      <c r="AC143" s="213"/>
      <c r="AD143" s="213"/>
      <c r="AE143" s="213"/>
      <c r="AF143" s="213"/>
      <c r="AG143" s="213"/>
      <c r="AH143" s="213"/>
    </row>
    <row r="144" ht="15.75" customHeight="1">
      <c r="A144" s="213"/>
      <c r="B144" s="245"/>
      <c r="C144" s="972" t="s">
        <v>42</v>
      </c>
      <c r="D144" s="357">
        <f>SUM(D145:D146)</f>
        <v>0</v>
      </c>
      <c r="E144" s="245">
        <f t="shared" ref="E144:N144" si="22">SUM(E145)</f>
        <v>0</v>
      </c>
      <c r="F144" s="676">
        <f t="shared" si="22"/>
        <v>0</v>
      </c>
      <c r="G144" s="357">
        <f t="shared" si="22"/>
        <v>0</v>
      </c>
      <c r="H144" s="357">
        <f t="shared" si="22"/>
        <v>0</v>
      </c>
      <c r="I144" s="357">
        <f t="shared" si="22"/>
        <v>0</v>
      </c>
      <c r="J144" s="245">
        <f t="shared" si="22"/>
        <v>0</v>
      </c>
      <c r="K144" s="245">
        <f t="shared" si="22"/>
        <v>0</v>
      </c>
      <c r="L144" s="245">
        <f t="shared" si="22"/>
        <v>0</v>
      </c>
      <c r="M144" s="357">
        <f t="shared" si="22"/>
        <v>0</v>
      </c>
      <c r="N144" s="357">
        <f t="shared" si="22"/>
        <v>0</v>
      </c>
      <c r="O144" s="655">
        <f>SUM(O145:O147)</f>
        <v>7500</v>
      </c>
      <c r="P144" s="718">
        <f>SUM(D144:O144)</f>
        <v>7500</v>
      </c>
      <c r="Q144" s="216"/>
      <c r="R144" s="216"/>
      <c r="S144" s="216"/>
      <c r="T144" s="216"/>
      <c r="U144" s="216"/>
      <c r="V144" s="216"/>
      <c r="W144" s="216"/>
      <c r="X144" s="216"/>
      <c r="Y144" s="216"/>
      <c r="Z144" s="216"/>
      <c r="AA144" s="216"/>
      <c r="AB144" s="216"/>
      <c r="AC144" s="216"/>
      <c r="AD144" s="216"/>
      <c r="AE144" s="216"/>
      <c r="AF144" s="216"/>
      <c r="AG144" s="216"/>
      <c r="AH144" s="216"/>
    </row>
    <row r="145" ht="15.75" hidden="1" customHeight="1">
      <c r="A145" s="213"/>
      <c r="B145" s="245"/>
      <c r="C145" s="245" t="s">
        <v>340</v>
      </c>
      <c r="D145" s="357"/>
      <c r="E145" s="245"/>
      <c r="F145" s="676"/>
      <c r="G145" s="357"/>
      <c r="H145" s="357"/>
      <c r="I145" s="357"/>
      <c r="J145" s="245"/>
      <c r="K145" s="245"/>
      <c r="L145" s="245"/>
      <c r="M145" s="357"/>
      <c r="N145" s="357"/>
      <c r="O145" s="357"/>
      <c r="P145" s="213"/>
      <c r="Q145" s="213"/>
      <c r="R145" s="213"/>
      <c r="S145" s="213"/>
      <c r="T145" s="213"/>
      <c r="U145" s="213"/>
      <c r="V145" s="213"/>
      <c r="W145" s="213"/>
      <c r="X145" s="213"/>
      <c r="Y145" s="213"/>
      <c r="Z145" s="213"/>
      <c r="AA145" s="213"/>
      <c r="AB145" s="213"/>
      <c r="AC145" s="213"/>
      <c r="AD145" s="213"/>
      <c r="AE145" s="213"/>
      <c r="AF145" s="213"/>
      <c r="AG145" s="213"/>
      <c r="AH145" s="213"/>
    </row>
    <row r="146" ht="15.75" hidden="1" customHeight="1">
      <c r="A146" s="213"/>
      <c r="B146" s="245"/>
      <c r="C146" s="245" t="s">
        <v>291</v>
      </c>
      <c r="D146" s="357"/>
      <c r="E146" s="245"/>
      <c r="F146" s="676"/>
      <c r="G146" s="357"/>
      <c r="H146" s="357"/>
      <c r="I146" s="357"/>
      <c r="J146" s="245"/>
      <c r="K146" s="245"/>
      <c r="L146" s="245"/>
      <c r="M146" s="357"/>
      <c r="N146" s="357"/>
      <c r="O146" s="357"/>
      <c r="P146" s="213"/>
      <c r="Q146" s="213"/>
      <c r="R146" s="213"/>
      <c r="S146" s="213"/>
      <c r="T146" s="213"/>
      <c r="U146" s="213"/>
      <c r="V146" s="213"/>
      <c r="W146" s="213"/>
      <c r="X146" s="213"/>
      <c r="Y146" s="213"/>
      <c r="Z146" s="213"/>
      <c r="AA146" s="213"/>
      <c r="AB146" s="213"/>
      <c r="AC146" s="213"/>
      <c r="AD146" s="213"/>
      <c r="AE146" s="213"/>
      <c r="AF146" s="213"/>
      <c r="AG146" s="213"/>
      <c r="AH146" s="213"/>
    </row>
    <row r="147" ht="15.75" customHeight="1">
      <c r="A147" s="213"/>
      <c r="B147" s="245"/>
      <c r="C147" s="245" t="s">
        <v>454</v>
      </c>
      <c r="D147" s="357"/>
      <c r="E147" s="245"/>
      <c r="F147" s="676"/>
      <c r="G147" s="357"/>
      <c r="H147" s="357"/>
      <c r="I147" s="357"/>
      <c r="J147" s="245"/>
      <c r="K147" s="245">
        <f>17000+10000</f>
        <v>27000</v>
      </c>
      <c r="L147" s="245">
        <f>12500+20500</f>
        <v>33000</v>
      </c>
      <c r="M147" s="357"/>
      <c r="N147" s="357"/>
      <c r="O147" s="357">
        <v>7500.0</v>
      </c>
      <c r="P147" s="213"/>
      <c r="Q147" s="213"/>
      <c r="R147" s="213"/>
      <c r="S147" s="213"/>
      <c r="T147" s="213"/>
      <c r="U147" s="213"/>
      <c r="V147" s="213"/>
      <c r="W147" s="213"/>
      <c r="X147" s="213"/>
      <c r="Y147" s="213"/>
      <c r="Z147" s="213"/>
      <c r="AA147" s="213"/>
      <c r="AB147" s="213"/>
      <c r="AC147" s="213"/>
      <c r="AD147" s="213"/>
      <c r="AE147" s="213"/>
      <c r="AF147" s="213"/>
      <c r="AG147" s="213"/>
      <c r="AH147" s="213"/>
    </row>
    <row r="148" ht="15.75" customHeight="1">
      <c r="A148" s="213"/>
      <c r="B148" s="245"/>
      <c r="C148" s="972" t="s">
        <v>43</v>
      </c>
      <c r="D148" s="357">
        <f t="shared" ref="D148:L148" si="23">SUM(D149:D150)</f>
        <v>0</v>
      </c>
      <c r="E148" s="245">
        <f t="shared" si="23"/>
        <v>0</v>
      </c>
      <c r="F148" s="676">
        <f t="shared" si="23"/>
        <v>0</v>
      </c>
      <c r="G148" s="357">
        <f t="shared" si="23"/>
        <v>0</v>
      </c>
      <c r="H148" s="357">
        <f t="shared" si="23"/>
        <v>0</v>
      </c>
      <c r="I148" s="357">
        <f t="shared" si="23"/>
        <v>0</v>
      </c>
      <c r="J148" s="245">
        <f t="shared" si="23"/>
        <v>0</v>
      </c>
      <c r="K148" s="245">
        <f t="shared" si="23"/>
        <v>0</v>
      </c>
      <c r="L148" s="245">
        <f t="shared" si="23"/>
        <v>0</v>
      </c>
      <c r="M148" s="357">
        <f t="shared" ref="M148:O148" si="24">SUM(M149:M151)</f>
        <v>148296</v>
      </c>
      <c r="N148" s="357">
        <f t="shared" si="24"/>
        <v>452493</v>
      </c>
      <c r="O148" s="655">
        <f t="shared" si="24"/>
        <v>427202</v>
      </c>
      <c r="P148" s="718">
        <f>SUM(D148:O148)</f>
        <v>1027991</v>
      </c>
      <c r="Q148" s="216"/>
      <c r="R148" s="216"/>
      <c r="S148" s="216"/>
      <c r="T148" s="216"/>
      <c r="U148" s="216"/>
      <c r="V148" s="216"/>
      <c r="W148" s="216"/>
      <c r="X148" s="216"/>
      <c r="Y148" s="216"/>
      <c r="Z148" s="216"/>
      <c r="AA148" s="216"/>
      <c r="AB148" s="216"/>
      <c r="AC148" s="216"/>
      <c r="AD148" s="216"/>
      <c r="AE148" s="216"/>
      <c r="AF148" s="216"/>
      <c r="AG148" s="216"/>
      <c r="AH148" s="216"/>
    </row>
    <row r="149" ht="15.75" customHeight="1">
      <c r="A149" s="213"/>
      <c r="B149" s="245"/>
      <c r="C149" s="245" t="s">
        <v>435</v>
      </c>
      <c r="D149" s="357"/>
      <c r="E149" s="245"/>
      <c r="F149" s="676"/>
      <c r="G149" s="357"/>
      <c r="H149" s="357"/>
      <c r="I149" s="357"/>
      <c r="J149" s="245"/>
      <c r="K149" s="245"/>
      <c r="L149" s="245"/>
      <c r="M149" s="357"/>
      <c r="N149" s="357"/>
      <c r="O149" s="357"/>
      <c r="P149" s="213"/>
      <c r="Q149" s="213"/>
      <c r="R149" s="213"/>
      <c r="S149" s="213"/>
      <c r="T149" s="213"/>
      <c r="U149" s="213"/>
      <c r="V149" s="213"/>
      <c r="W149" s="213"/>
      <c r="X149" s="213"/>
      <c r="Y149" s="213"/>
      <c r="Z149" s="213"/>
      <c r="AA149" s="213"/>
      <c r="AB149" s="213"/>
      <c r="AC149" s="213"/>
      <c r="AD149" s="213"/>
      <c r="AE149" s="213"/>
      <c r="AF149" s="213"/>
      <c r="AG149" s="213"/>
      <c r="AH149" s="213"/>
    </row>
    <row r="150" ht="15.75" customHeight="1">
      <c r="A150" s="213"/>
      <c r="B150" s="245"/>
      <c r="C150" s="245" t="s">
        <v>344</v>
      </c>
      <c r="D150" s="357"/>
      <c r="E150" s="245"/>
      <c r="F150" s="676"/>
      <c r="G150" s="357"/>
      <c r="H150" s="357"/>
      <c r="I150" s="357"/>
      <c r="J150" s="245"/>
      <c r="K150" s="245"/>
      <c r="L150" s="245"/>
      <c r="M150" s="357"/>
      <c r="N150" s="357"/>
      <c r="O150" s="357"/>
      <c r="P150" s="213"/>
      <c r="Q150" s="213"/>
      <c r="R150" s="213"/>
      <c r="S150" s="213"/>
      <c r="T150" s="213"/>
      <c r="U150" s="213"/>
      <c r="V150" s="213"/>
      <c r="W150" s="213"/>
      <c r="X150" s="213"/>
      <c r="Y150" s="213"/>
      <c r="Z150" s="213"/>
      <c r="AA150" s="213"/>
      <c r="AB150" s="213"/>
      <c r="AC150" s="213"/>
      <c r="AD150" s="213"/>
      <c r="AE150" s="213"/>
      <c r="AF150" s="213"/>
      <c r="AG150" s="213"/>
      <c r="AH150" s="213"/>
    </row>
    <row r="151" ht="15.75" customHeight="1">
      <c r="A151" s="213"/>
      <c r="B151" s="245"/>
      <c r="C151" s="245" t="s">
        <v>386</v>
      </c>
      <c r="D151" s="357"/>
      <c r="E151" s="245"/>
      <c r="F151" s="676"/>
      <c r="G151" s="357"/>
      <c r="H151" s="357"/>
      <c r="I151" s="357"/>
      <c r="J151" s="245"/>
      <c r="K151" s="245"/>
      <c r="L151" s="245">
        <v>9386.0</v>
      </c>
      <c r="M151" s="357">
        <f>99350+48946</f>
        <v>148296</v>
      </c>
      <c r="N151" s="357">
        <f>147808+304685</f>
        <v>452493</v>
      </c>
      <c r="O151" s="357">
        <v>427202.0</v>
      </c>
      <c r="P151" s="213"/>
      <c r="Q151" s="213"/>
      <c r="R151" s="213"/>
      <c r="S151" s="213"/>
      <c r="T151" s="213"/>
      <c r="U151" s="213"/>
      <c r="V151" s="213"/>
      <c r="W151" s="213"/>
      <c r="X151" s="213"/>
      <c r="Y151" s="213"/>
      <c r="Z151" s="213"/>
      <c r="AA151" s="213"/>
      <c r="AB151" s="213"/>
      <c r="AC151" s="213"/>
      <c r="AD151" s="213"/>
      <c r="AE151" s="213"/>
      <c r="AF151" s="213"/>
      <c r="AG151" s="213"/>
      <c r="AH151" s="213"/>
    </row>
    <row r="152" ht="15.75" customHeight="1">
      <c r="A152" s="213"/>
      <c r="B152" s="245"/>
      <c r="C152" s="245"/>
      <c r="D152" s="357"/>
      <c r="E152" s="245"/>
      <c r="F152" s="676"/>
      <c r="G152" s="357"/>
      <c r="H152" s="357"/>
      <c r="I152" s="357"/>
      <c r="J152" s="245"/>
      <c r="K152" s="245"/>
      <c r="L152" s="245"/>
      <c r="M152" s="357"/>
      <c r="N152" s="357"/>
      <c r="O152" s="357"/>
      <c r="P152" s="213"/>
      <c r="Q152" s="213"/>
      <c r="R152" s="213"/>
      <c r="S152" s="213"/>
      <c r="T152" s="213"/>
      <c r="U152" s="213"/>
      <c r="V152" s="213"/>
      <c r="W152" s="213"/>
      <c r="X152" s="213"/>
      <c r="Y152" s="213"/>
      <c r="Z152" s="213"/>
      <c r="AA152" s="213"/>
      <c r="AB152" s="213"/>
      <c r="AC152" s="213"/>
      <c r="AD152" s="213"/>
      <c r="AE152" s="213"/>
      <c r="AF152" s="213"/>
      <c r="AG152" s="213"/>
      <c r="AH152" s="213"/>
    </row>
    <row r="153" ht="15.75" customHeight="1">
      <c r="A153" s="213"/>
      <c r="B153" s="245"/>
      <c r="C153" s="245" t="s">
        <v>293</v>
      </c>
      <c r="D153" s="357">
        <f t="shared" ref="D153:O153" si="25">D148+D144+D128+D124+D121+D108+D101+D94+D85+D49</f>
        <v>0</v>
      </c>
      <c r="E153" s="357">
        <f t="shared" si="25"/>
        <v>78000</v>
      </c>
      <c r="F153" s="357">
        <f t="shared" si="25"/>
        <v>67465</v>
      </c>
      <c r="G153" s="357">
        <f t="shared" si="25"/>
        <v>451946</v>
      </c>
      <c r="H153" s="357">
        <f t="shared" si="25"/>
        <v>0</v>
      </c>
      <c r="I153" s="357">
        <f t="shared" si="25"/>
        <v>1489</v>
      </c>
      <c r="J153" s="357">
        <f t="shared" si="25"/>
        <v>48675</v>
      </c>
      <c r="K153" s="357">
        <f t="shared" si="25"/>
        <v>231810</v>
      </c>
      <c r="L153" s="357">
        <f t="shared" si="25"/>
        <v>359822</v>
      </c>
      <c r="M153" s="357">
        <f t="shared" si="25"/>
        <v>845768.55</v>
      </c>
      <c r="N153" s="357">
        <f t="shared" si="25"/>
        <v>1635519.94</v>
      </c>
      <c r="O153" s="357">
        <f t="shared" si="25"/>
        <v>1020523.75</v>
      </c>
      <c r="P153" s="718">
        <f>SUM(D153:O153)</f>
        <v>4741019.24</v>
      </c>
      <c r="Q153" s="213"/>
      <c r="R153" s="213"/>
      <c r="S153" s="213"/>
      <c r="T153" s="213"/>
      <c r="U153" s="213"/>
      <c r="V153" s="213"/>
      <c r="W153" s="213"/>
      <c r="X153" s="213"/>
      <c r="Y153" s="213"/>
      <c r="Z153" s="213"/>
      <c r="AA153" s="213"/>
      <c r="AB153" s="213"/>
      <c r="AC153" s="213"/>
      <c r="AD153" s="213"/>
      <c r="AE153" s="213"/>
      <c r="AF153" s="213"/>
      <c r="AG153" s="213"/>
      <c r="AH153" s="213"/>
    </row>
    <row r="154" ht="15.75" customHeight="1">
      <c r="A154" s="213"/>
      <c r="B154" s="245"/>
      <c r="C154" s="245"/>
      <c r="D154" s="357"/>
      <c r="E154" s="245"/>
      <c r="F154" s="676"/>
      <c r="G154" s="357"/>
      <c r="H154" s="357"/>
      <c r="I154" s="357"/>
      <c r="J154" s="245"/>
      <c r="K154" s="245"/>
      <c r="L154" s="245"/>
      <c r="M154" s="357"/>
      <c r="N154" s="357"/>
      <c r="O154" s="357"/>
      <c r="P154" s="213"/>
      <c r="Q154" s="213"/>
      <c r="R154" s="213"/>
      <c r="S154" s="213"/>
      <c r="T154" s="213"/>
      <c r="U154" s="213"/>
      <c r="V154" s="213"/>
      <c r="W154" s="213"/>
      <c r="X154" s="213"/>
      <c r="Y154" s="213"/>
      <c r="Z154" s="213"/>
      <c r="AA154" s="213"/>
      <c r="AB154" s="213"/>
      <c r="AC154" s="213"/>
      <c r="AD154" s="213"/>
      <c r="AE154" s="213"/>
      <c r="AF154" s="213"/>
      <c r="AG154" s="213"/>
      <c r="AH154" s="213"/>
    </row>
    <row r="155" ht="15.75" customHeight="1">
      <c r="A155" s="213"/>
      <c r="B155" s="245"/>
      <c r="C155" s="245" t="s">
        <v>294</v>
      </c>
      <c r="D155" s="357">
        <f t="shared" ref="D155:O155" si="26">D29-D153</f>
        <v>0</v>
      </c>
      <c r="E155" s="357">
        <f t="shared" si="26"/>
        <v>-78000</v>
      </c>
      <c r="F155" s="357">
        <f t="shared" si="26"/>
        <v>-67465</v>
      </c>
      <c r="G155" s="357">
        <f t="shared" si="26"/>
        <v>-451946</v>
      </c>
      <c r="H155" s="357">
        <f t="shared" si="26"/>
        <v>0</v>
      </c>
      <c r="I155" s="357">
        <f t="shared" si="26"/>
        <v>-1489</v>
      </c>
      <c r="J155" s="357">
        <f t="shared" si="26"/>
        <v>-48675</v>
      </c>
      <c r="K155" s="357">
        <f t="shared" si="26"/>
        <v>-231810</v>
      </c>
      <c r="L155" s="357">
        <f t="shared" si="26"/>
        <v>-359822</v>
      </c>
      <c r="M155" s="357">
        <f t="shared" si="26"/>
        <v>-845768.55</v>
      </c>
      <c r="N155" s="357">
        <f t="shared" si="26"/>
        <v>-951874.94</v>
      </c>
      <c r="O155" s="357">
        <f t="shared" si="26"/>
        <v>-363442.75</v>
      </c>
      <c r="P155" s="718">
        <f>SUM(D155:O155)</f>
        <v>-3400293.24</v>
      </c>
      <c r="Q155" s="237">
        <f>P155-'FY25-26'!BA30</f>
        <v>0</v>
      </c>
      <c r="R155" s="213"/>
      <c r="S155" s="213"/>
      <c r="T155" s="213"/>
      <c r="U155" s="213"/>
      <c r="V155" s="213"/>
      <c r="W155" s="213"/>
      <c r="X155" s="213"/>
      <c r="Y155" s="213"/>
      <c r="Z155" s="213"/>
      <c r="AA155" s="213"/>
      <c r="AB155" s="213"/>
      <c r="AC155" s="213"/>
      <c r="AD155" s="213"/>
      <c r="AE155" s="213"/>
      <c r="AF155" s="213"/>
      <c r="AG155" s="213"/>
      <c r="AH155" s="213"/>
    </row>
    <row r="156" ht="15.75" customHeight="1">
      <c r="A156" s="213"/>
      <c r="B156" s="213"/>
      <c r="C156" s="213"/>
      <c r="D156" s="213"/>
      <c r="E156" s="213"/>
      <c r="F156" s="213"/>
      <c r="G156" s="946"/>
      <c r="H156" s="946"/>
      <c r="I156" s="946"/>
      <c r="J156" s="213"/>
      <c r="K156" s="213"/>
      <c r="L156" s="213"/>
      <c r="M156" s="215"/>
      <c r="N156" s="213"/>
      <c r="O156" s="328"/>
      <c r="P156" s="213"/>
      <c r="Q156" s="213"/>
      <c r="R156" s="213"/>
      <c r="S156" s="213"/>
      <c r="T156" s="213"/>
      <c r="U156" s="213"/>
      <c r="V156" s="213"/>
      <c r="W156" s="213"/>
      <c r="X156" s="213"/>
      <c r="Y156" s="213"/>
      <c r="Z156" s="213"/>
      <c r="AA156" s="213"/>
      <c r="AB156" s="213"/>
      <c r="AC156" s="213"/>
      <c r="AD156" s="213"/>
      <c r="AE156" s="213"/>
      <c r="AF156" s="213"/>
      <c r="AG156" s="213"/>
      <c r="AH156" s="213"/>
    </row>
    <row r="157" ht="15.75" customHeight="1">
      <c r="A157" s="213"/>
      <c r="B157" s="213"/>
      <c r="C157" s="213"/>
      <c r="D157" s="213"/>
      <c r="E157" s="213"/>
      <c r="F157" s="213"/>
      <c r="G157" s="946"/>
      <c r="H157" s="946"/>
      <c r="I157" s="946"/>
      <c r="J157" s="213"/>
      <c r="K157" s="213"/>
      <c r="L157" s="213"/>
      <c r="M157" s="215"/>
      <c r="N157" s="213"/>
      <c r="O157" s="328"/>
      <c r="P157" s="213"/>
      <c r="Q157" s="213"/>
      <c r="R157" s="213"/>
      <c r="S157" s="213"/>
      <c r="T157" s="213"/>
      <c r="U157" s="213"/>
      <c r="V157" s="213"/>
      <c r="W157" s="213"/>
      <c r="X157" s="213"/>
      <c r="Y157" s="213"/>
      <c r="Z157" s="213"/>
      <c r="AA157" s="213"/>
      <c r="AB157" s="213"/>
      <c r="AC157" s="213"/>
      <c r="AD157" s="213"/>
      <c r="AE157" s="213"/>
      <c r="AF157" s="213"/>
      <c r="AG157" s="213"/>
      <c r="AH157" s="213"/>
    </row>
    <row r="158" ht="15.75" customHeight="1">
      <c r="A158" s="213"/>
      <c r="B158" s="531" t="s">
        <v>490</v>
      </c>
      <c r="C158" s="979" t="s">
        <v>491</v>
      </c>
      <c r="D158" s="213"/>
      <c r="E158" s="213"/>
      <c r="F158" s="213"/>
      <c r="G158" s="946"/>
      <c r="H158" s="946"/>
      <c r="I158" s="946"/>
      <c r="J158" s="213"/>
      <c r="K158" s="213"/>
      <c r="L158" s="213"/>
      <c r="M158" s="215"/>
      <c r="N158" s="213"/>
      <c r="O158" s="328"/>
      <c r="P158" s="213"/>
      <c r="Q158" s="213"/>
      <c r="R158" s="213"/>
      <c r="S158" s="213"/>
      <c r="T158" s="213"/>
      <c r="U158" s="213"/>
      <c r="V158" s="213"/>
      <c r="W158" s="213"/>
      <c r="X158" s="213"/>
      <c r="Y158" s="213"/>
      <c r="Z158" s="213"/>
      <c r="AA158" s="213"/>
      <c r="AB158" s="213"/>
      <c r="AC158" s="213"/>
      <c r="AD158" s="213"/>
      <c r="AE158" s="213"/>
      <c r="AF158" s="213"/>
      <c r="AG158" s="213"/>
      <c r="AH158" s="213"/>
    </row>
    <row r="159" ht="15.75" customHeight="1">
      <c r="A159" s="213"/>
      <c r="B159" s="213"/>
      <c r="C159" s="979" t="s">
        <v>492</v>
      </c>
      <c r="D159" s="213"/>
      <c r="E159" s="213"/>
      <c r="F159" s="213"/>
      <c r="G159" s="946"/>
      <c r="H159" s="946"/>
      <c r="I159" s="946"/>
      <c r="J159" s="213"/>
      <c r="K159" s="213"/>
      <c r="L159" s="213"/>
      <c r="M159" s="215"/>
      <c r="N159" s="213"/>
      <c r="O159" s="328"/>
      <c r="P159" s="213"/>
      <c r="Q159" s="213"/>
      <c r="R159" s="213"/>
      <c r="S159" s="213"/>
      <c r="T159" s="213"/>
      <c r="U159" s="213"/>
      <c r="V159" s="213"/>
      <c r="W159" s="213"/>
      <c r="X159" s="213"/>
      <c r="Y159" s="213"/>
      <c r="Z159" s="213"/>
      <c r="AA159" s="213"/>
      <c r="AB159" s="213"/>
      <c r="AC159" s="213"/>
      <c r="AD159" s="213"/>
      <c r="AE159" s="213"/>
      <c r="AF159" s="213"/>
      <c r="AG159" s="213"/>
      <c r="AH159" s="213"/>
    </row>
    <row r="160" ht="15.75" customHeight="1">
      <c r="A160" s="213"/>
      <c r="B160" s="213"/>
      <c r="C160" s="213"/>
      <c r="D160" s="216">
        <v>603639.0</v>
      </c>
      <c r="E160" s="213"/>
      <c r="F160" s="213"/>
      <c r="G160" s="946"/>
      <c r="H160" s="946"/>
      <c r="I160" s="946"/>
      <c r="J160" s="213"/>
      <c r="K160" s="213"/>
      <c r="L160" s="213"/>
      <c r="M160" s="215"/>
      <c r="N160" s="213"/>
      <c r="O160" s="328"/>
      <c r="P160" s="213"/>
      <c r="Q160" s="213"/>
      <c r="R160" s="213"/>
      <c r="S160" s="213"/>
      <c r="T160" s="213"/>
      <c r="U160" s="213"/>
      <c r="V160" s="213"/>
      <c r="W160" s="213"/>
      <c r="X160" s="213"/>
      <c r="Y160" s="213"/>
      <c r="Z160" s="213"/>
      <c r="AA160" s="213"/>
      <c r="AB160" s="213"/>
      <c r="AC160" s="213"/>
      <c r="AD160" s="213"/>
      <c r="AE160" s="213"/>
      <c r="AF160" s="213"/>
      <c r="AG160" s="213"/>
      <c r="AH160" s="213"/>
    </row>
    <row r="161" ht="15.75" customHeight="1">
      <c r="A161" s="213"/>
      <c r="B161" s="213"/>
      <c r="C161" s="213"/>
      <c r="D161" s="213"/>
      <c r="E161" s="213"/>
      <c r="F161" s="213"/>
      <c r="G161" s="946"/>
      <c r="H161" s="946"/>
      <c r="I161" s="946"/>
      <c r="J161" s="213"/>
      <c r="K161" s="213"/>
      <c r="L161" s="213"/>
      <c r="M161" s="215"/>
      <c r="N161" s="213"/>
      <c r="O161" s="328"/>
      <c r="P161" s="213"/>
      <c r="Q161" s="213"/>
      <c r="R161" s="213"/>
      <c r="S161" s="213"/>
      <c r="T161" s="213"/>
      <c r="U161" s="213"/>
      <c r="V161" s="213"/>
      <c r="W161" s="213"/>
      <c r="X161" s="213"/>
      <c r="Y161" s="213"/>
      <c r="Z161" s="213"/>
      <c r="AA161" s="213"/>
      <c r="AB161" s="213"/>
      <c r="AC161" s="213"/>
      <c r="AD161" s="213"/>
      <c r="AE161" s="213"/>
      <c r="AF161" s="213"/>
      <c r="AG161" s="213"/>
      <c r="AH161" s="213"/>
    </row>
    <row r="162" ht="15.75" customHeight="1">
      <c r="A162" s="213"/>
      <c r="B162" s="213"/>
      <c r="C162" s="213"/>
      <c r="D162" s="213"/>
      <c r="E162" s="213"/>
      <c r="F162" s="213"/>
      <c r="G162" s="946"/>
      <c r="H162" s="946"/>
      <c r="I162" s="946"/>
      <c r="J162" s="213"/>
      <c r="K162" s="213"/>
      <c r="L162" s="213"/>
      <c r="M162" s="215"/>
      <c r="N162" s="213"/>
      <c r="O162" s="328"/>
      <c r="P162" s="213"/>
      <c r="Q162" s="213"/>
      <c r="R162" s="213"/>
      <c r="S162" s="213"/>
      <c r="T162" s="213"/>
      <c r="U162" s="213"/>
      <c r="V162" s="213"/>
      <c r="W162" s="213"/>
      <c r="X162" s="213"/>
      <c r="Y162" s="213"/>
      <c r="Z162" s="213"/>
      <c r="AA162" s="213"/>
      <c r="AB162" s="213"/>
      <c r="AC162" s="213"/>
      <c r="AD162" s="213"/>
      <c r="AE162" s="213"/>
      <c r="AF162" s="213"/>
      <c r="AG162" s="213"/>
      <c r="AH162" s="213"/>
    </row>
    <row r="163" ht="15.75" customHeight="1">
      <c r="A163" s="213"/>
      <c r="B163" s="213"/>
      <c r="C163" s="213"/>
      <c r="D163" s="213"/>
      <c r="E163" s="213"/>
      <c r="F163" s="213"/>
      <c r="G163" s="718"/>
      <c r="H163" s="946"/>
      <c r="I163" s="946"/>
      <c r="J163" s="213"/>
      <c r="K163" s="213"/>
      <c r="L163" s="213"/>
      <c r="M163" s="215"/>
      <c r="N163" s="213"/>
      <c r="O163" s="328"/>
      <c r="P163" s="213"/>
      <c r="Q163" s="213"/>
      <c r="R163" s="213"/>
      <c r="S163" s="213"/>
      <c r="T163" s="213"/>
      <c r="U163" s="213"/>
      <c r="V163" s="213"/>
      <c r="W163" s="213"/>
      <c r="X163" s="213"/>
      <c r="Y163" s="213"/>
      <c r="Z163" s="213"/>
      <c r="AA163" s="213"/>
      <c r="AB163" s="213"/>
      <c r="AC163" s="213"/>
      <c r="AD163" s="213"/>
      <c r="AE163" s="213"/>
      <c r="AF163" s="213"/>
      <c r="AG163" s="213"/>
      <c r="AH163" s="213"/>
    </row>
    <row r="164" ht="15.75" customHeight="1">
      <c r="A164" s="213"/>
      <c r="B164" s="213"/>
      <c r="C164" s="213"/>
      <c r="D164" s="213"/>
      <c r="E164" s="213"/>
      <c r="F164" s="213"/>
      <c r="G164" s="718"/>
      <c r="H164" s="946"/>
      <c r="I164" s="946"/>
      <c r="J164" s="213"/>
      <c r="K164" s="213"/>
      <c r="L164" s="213"/>
      <c r="M164" s="215"/>
      <c r="N164" s="213"/>
      <c r="O164" s="328"/>
      <c r="P164" s="213"/>
      <c r="Q164" s="213"/>
      <c r="R164" s="213"/>
      <c r="S164" s="213"/>
      <c r="T164" s="213"/>
      <c r="U164" s="213"/>
      <c r="V164" s="213"/>
      <c r="W164" s="213"/>
      <c r="X164" s="213"/>
      <c r="Y164" s="213"/>
      <c r="Z164" s="213"/>
      <c r="AA164" s="213"/>
      <c r="AB164" s="213"/>
      <c r="AC164" s="213"/>
      <c r="AD164" s="213"/>
      <c r="AE164" s="213"/>
      <c r="AF164" s="213"/>
      <c r="AG164" s="213"/>
      <c r="AH164" s="213"/>
    </row>
    <row r="165" ht="15.75" customHeight="1">
      <c r="A165" s="213"/>
      <c r="B165" s="213"/>
      <c r="C165" s="213"/>
      <c r="D165" s="213"/>
      <c r="E165" s="213"/>
      <c r="F165" s="213"/>
      <c r="G165" s="213"/>
      <c r="H165" s="213"/>
      <c r="I165" s="946"/>
      <c r="J165" s="213"/>
      <c r="K165" s="213"/>
      <c r="L165" s="213"/>
      <c r="M165" s="215"/>
      <c r="N165" s="213"/>
      <c r="O165" s="328"/>
      <c r="P165" s="213"/>
      <c r="Q165" s="213"/>
      <c r="R165" s="213"/>
      <c r="S165" s="213"/>
      <c r="T165" s="213"/>
      <c r="U165" s="213"/>
      <c r="V165" s="213"/>
      <c r="W165" s="213"/>
      <c r="X165" s="213"/>
      <c r="Y165" s="213"/>
      <c r="Z165" s="213"/>
      <c r="AA165" s="213"/>
      <c r="AB165" s="213"/>
      <c r="AC165" s="213"/>
      <c r="AD165" s="213"/>
      <c r="AE165" s="213"/>
      <c r="AF165" s="213"/>
      <c r="AG165" s="213"/>
      <c r="AH165" s="213"/>
    </row>
    <row r="166" ht="15.75" customHeight="1">
      <c r="A166" s="213"/>
      <c r="B166" s="213"/>
      <c r="C166" s="213"/>
      <c r="D166" s="213"/>
      <c r="E166" s="213"/>
      <c r="F166" s="213"/>
      <c r="G166" s="213"/>
      <c r="H166" s="213"/>
      <c r="I166" s="946"/>
      <c r="J166" s="213"/>
      <c r="K166" s="213"/>
      <c r="L166" s="213"/>
      <c r="M166" s="213"/>
      <c r="N166" s="213"/>
      <c r="O166" s="328"/>
      <c r="P166" s="213"/>
      <c r="Q166" s="213"/>
      <c r="R166" s="213"/>
      <c r="S166" s="213"/>
      <c r="T166" s="213"/>
      <c r="U166" s="213"/>
      <c r="V166" s="213"/>
      <c r="W166" s="213"/>
      <c r="X166" s="213"/>
      <c r="Y166" s="213"/>
      <c r="Z166" s="213"/>
      <c r="AA166" s="213"/>
      <c r="AB166" s="213"/>
      <c r="AC166" s="213"/>
      <c r="AD166" s="213"/>
      <c r="AE166" s="213"/>
      <c r="AF166" s="213"/>
      <c r="AG166" s="213"/>
      <c r="AH166" s="213"/>
    </row>
    <row r="167" ht="15.75" customHeight="1">
      <c r="A167" s="213"/>
      <c r="B167" s="213"/>
      <c r="C167" s="213"/>
      <c r="D167" s="213"/>
      <c r="E167" s="213"/>
      <c r="F167" s="213"/>
      <c r="G167" s="213"/>
      <c r="H167" s="213"/>
      <c r="I167" s="946"/>
      <c r="J167" s="213"/>
      <c r="K167" s="213"/>
      <c r="L167" s="213"/>
      <c r="M167" s="213"/>
      <c r="N167" s="213"/>
      <c r="O167" s="328"/>
      <c r="P167" s="213"/>
      <c r="Q167" s="213"/>
      <c r="R167" s="213"/>
      <c r="S167" s="213"/>
      <c r="T167" s="213"/>
      <c r="U167" s="213"/>
      <c r="V167" s="213"/>
      <c r="W167" s="213"/>
      <c r="X167" s="213"/>
      <c r="Y167" s="213"/>
      <c r="Z167" s="213"/>
      <c r="AA167" s="213"/>
      <c r="AB167" s="213"/>
      <c r="AC167" s="213"/>
      <c r="AD167" s="213"/>
      <c r="AE167" s="213"/>
      <c r="AF167" s="213"/>
      <c r="AG167" s="213"/>
      <c r="AH167" s="213"/>
    </row>
    <row r="168" ht="15.75" customHeight="1">
      <c r="A168" s="213"/>
      <c r="B168" s="213"/>
      <c r="C168" s="213"/>
      <c r="D168" s="213"/>
      <c r="E168" s="213"/>
      <c r="F168" s="213"/>
      <c r="G168" s="213"/>
      <c r="H168" s="213"/>
      <c r="I168" s="946"/>
      <c r="J168" s="213"/>
      <c r="K168" s="213"/>
      <c r="L168" s="213"/>
      <c r="M168" s="213"/>
      <c r="N168" s="213"/>
      <c r="O168" s="328"/>
      <c r="P168" s="213"/>
      <c r="Q168" s="213"/>
      <c r="R168" s="213"/>
      <c r="S168" s="213"/>
      <c r="T168" s="213"/>
      <c r="U168" s="213"/>
      <c r="V168" s="213"/>
      <c r="W168" s="213"/>
      <c r="X168" s="213"/>
      <c r="Y168" s="213"/>
      <c r="Z168" s="213"/>
      <c r="AA168" s="213"/>
      <c r="AB168" s="213"/>
      <c r="AC168" s="213"/>
      <c r="AD168" s="213"/>
      <c r="AE168" s="213"/>
      <c r="AF168" s="213"/>
      <c r="AG168" s="213"/>
      <c r="AH168" s="213"/>
    </row>
    <row r="169" ht="15.75" customHeight="1">
      <c r="A169" s="213"/>
      <c r="B169" s="213"/>
      <c r="C169" s="213"/>
      <c r="D169" s="213"/>
      <c r="E169" s="213"/>
      <c r="F169" s="213"/>
      <c r="G169" s="213"/>
      <c r="H169" s="213"/>
      <c r="I169" s="946"/>
      <c r="J169" s="213"/>
      <c r="K169" s="213"/>
      <c r="L169" s="213"/>
      <c r="M169" s="213"/>
      <c r="N169" s="213"/>
      <c r="O169" s="328"/>
      <c r="P169" s="213"/>
      <c r="Q169" s="213"/>
      <c r="R169" s="213"/>
      <c r="S169" s="213"/>
      <c r="T169" s="213"/>
      <c r="U169" s="213"/>
      <c r="V169" s="213"/>
      <c r="W169" s="213"/>
      <c r="X169" s="213"/>
      <c r="Y169" s="213"/>
      <c r="Z169" s="213"/>
      <c r="AA169" s="213"/>
      <c r="AB169" s="213"/>
      <c r="AC169" s="213"/>
      <c r="AD169" s="213"/>
      <c r="AE169" s="213"/>
      <c r="AF169" s="213"/>
      <c r="AG169" s="213"/>
      <c r="AH169" s="213"/>
    </row>
    <row r="170" ht="15.75" customHeight="1">
      <c r="A170" s="213"/>
      <c r="B170" s="213"/>
      <c r="C170" s="216"/>
      <c r="D170" s="213"/>
      <c r="E170" s="213"/>
      <c r="F170" s="213"/>
      <c r="G170" s="213"/>
      <c r="H170" s="213"/>
      <c r="I170" s="946"/>
      <c r="J170" s="213"/>
      <c r="K170" s="213"/>
      <c r="L170" s="213"/>
      <c r="M170" s="213"/>
      <c r="N170" s="213"/>
      <c r="O170" s="328"/>
      <c r="P170" s="213"/>
      <c r="Q170" s="213"/>
      <c r="R170" s="213"/>
      <c r="S170" s="213"/>
      <c r="T170" s="213"/>
      <c r="U170" s="213"/>
      <c r="V170" s="213"/>
      <c r="W170" s="213"/>
      <c r="X170" s="213"/>
      <c r="Y170" s="213"/>
      <c r="Z170" s="213"/>
      <c r="AA170" s="213"/>
      <c r="AB170" s="213"/>
      <c r="AC170" s="213"/>
      <c r="AD170" s="213"/>
      <c r="AE170" s="213"/>
      <c r="AF170" s="213"/>
      <c r="AG170" s="213"/>
      <c r="AH170" s="213"/>
    </row>
    <row r="171" ht="15.75" customHeight="1">
      <c r="A171" s="213"/>
      <c r="B171" s="213"/>
      <c r="C171" s="216"/>
      <c r="D171" s="213"/>
      <c r="E171" s="213"/>
      <c r="F171" s="213"/>
      <c r="G171" s="213"/>
      <c r="H171" s="213"/>
      <c r="I171" s="946"/>
      <c r="J171" s="213"/>
      <c r="K171" s="213"/>
      <c r="L171" s="213"/>
      <c r="M171" s="213"/>
      <c r="N171" s="213"/>
      <c r="O171" s="328"/>
      <c r="P171" s="213"/>
      <c r="Q171" s="213"/>
      <c r="R171" s="213"/>
      <c r="S171" s="213"/>
      <c r="T171" s="213"/>
      <c r="U171" s="213"/>
      <c r="V171" s="213"/>
      <c r="W171" s="213"/>
      <c r="X171" s="213"/>
      <c r="Y171" s="213"/>
      <c r="Z171" s="213"/>
      <c r="AA171" s="213"/>
      <c r="AB171" s="213"/>
      <c r="AC171" s="213"/>
      <c r="AD171" s="213"/>
      <c r="AE171" s="213"/>
      <c r="AF171" s="213"/>
      <c r="AG171" s="213"/>
      <c r="AH171" s="213"/>
    </row>
    <row r="172" ht="15.75" customHeight="1">
      <c r="A172" s="213"/>
      <c r="B172" s="213"/>
      <c r="C172" s="216"/>
      <c r="D172" s="213"/>
      <c r="E172" s="213"/>
      <c r="F172" s="213"/>
      <c r="G172" s="213"/>
      <c r="H172" s="213"/>
      <c r="I172" s="946"/>
      <c r="J172" s="213"/>
      <c r="K172" s="213"/>
      <c r="L172" s="213"/>
      <c r="M172" s="213"/>
      <c r="N172" s="213"/>
      <c r="O172" s="328"/>
      <c r="P172" s="213"/>
      <c r="Q172" s="213"/>
      <c r="R172" s="213"/>
      <c r="S172" s="213"/>
      <c r="T172" s="213"/>
      <c r="U172" s="213"/>
      <c r="V172" s="213"/>
      <c r="W172" s="213"/>
      <c r="X172" s="213"/>
      <c r="Y172" s="213"/>
      <c r="Z172" s="213"/>
      <c r="AA172" s="213"/>
      <c r="AB172" s="213"/>
      <c r="AC172" s="213"/>
      <c r="AD172" s="213"/>
      <c r="AE172" s="213"/>
      <c r="AF172" s="213"/>
      <c r="AG172" s="213"/>
      <c r="AH172" s="213"/>
    </row>
    <row r="173" ht="15.75" customHeight="1">
      <c r="A173" s="213"/>
      <c r="B173" s="213"/>
      <c r="C173" s="216"/>
      <c r="D173" s="213"/>
      <c r="E173" s="213"/>
      <c r="F173" s="213"/>
      <c r="G173" s="213"/>
      <c r="H173" s="213"/>
      <c r="I173" s="946"/>
      <c r="J173" s="213"/>
      <c r="K173" s="213"/>
      <c r="L173" s="213"/>
      <c r="M173" s="213"/>
      <c r="N173" s="213"/>
      <c r="O173" s="328"/>
      <c r="P173" s="213"/>
      <c r="Q173" s="213"/>
      <c r="R173" s="213"/>
      <c r="S173" s="213"/>
      <c r="T173" s="213"/>
      <c r="U173" s="213"/>
      <c r="V173" s="213"/>
      <c r="W173" s="213"/>
      <c r="X173" s="213"/>
      <c r="Y173" s="213"/>
      <c r="Z173" s="213"/>
      <c r="AA173" s="213"/>
      <c r="AB173" s="213"/>
      <c r="AC173" s="213"/>
      <c r="AD173" s="213"/>
      <c r="AE173" s="213"/>
      <c r="AF173" s="213"/>
      <c r="AG173" s="213"/>
      <c r="AH173" s="213"/>
    </row>
    <row r="174" ht="15.75" customHeight="1">
      <c r="A174" s="213"/>
      <c r="B174" s="213"/>
      <c r="C174" s="213"/>
      <c r="D174" s="213"/>
      <c r="E174" s="213"/>
      <c r="F174" s="213"/>
      <c r="G174" s="213"/>
      <c r="H174" s="213"/>
      <c r="I174" s="946"/>
      <c r="J174" s="213"/>
      <c r="K174" s="213"/>
      <c r="L174" s="213"/>
      <c r="M174" s="213"/>
      <c r="N174" s="213"/>
      <c r="O174" s="328"/>
      <c r="P174" s="213"/>
      <c r="Q174" s="213"/>
      <c r="R174" s="213"/>
      <c r="S174" s="213"/>
      <c r="T174" s="213"/>
      <c r="U174" s="213"/>
      <c r="V174" s="213"/>
      <c r="W174" s="213"/>
      <c r="X174" s="213"/>
      <c r="Y174" s="213"/>
      <c r="Z174" s="213"/>
      <c r="AA174" s="213"/>
      <c r="AB174" s="213"/>
      <c r="AC174" s="213"/>
      <c r="AD174" s="213"/>
      <c r="AE174" s="213"/>
      <c r="AF174" s="213"/>
      <c r="AG174" s="213"/>
      <c r="AH174" s="213"/>
    </row>
    <row r="175" ht="15.75" customHeight="1">
      <c r="A175" s="213"/>
      <c r="B175" s="213"/>
      <c r="C175" s="216"/>
      <c r="D175" s="213"/>
      <c r="E175" s="213"/>
      <c r="F175" s="213"/>
      <c r="G175" s="213"/>
      <c r="H175" s="213"/>
      <c r="I175" s="946"/>
      <c r="J175" s="213"/>
      <c r="K175" s="213"/>
      <c r="L175" s="213"/>
      <c r="M175" s="213"/>
      <c r="N175" s="213"/>
      <c r="O175" s="328"/>
      <c r="P175" s="213"/>
      <c r="Q175" s="213"/>
      <c r="R175" s="213"/>
      <c r="S175" s="213"/>
      <c r="T175" s="213"/>
      <c r="U175" s="213"/>
      <c r="V175" s="213"/>
      <c r="W175" s="213"/>
      <c r="X175" s="213"/>
      <c r="Y175" s="213"/>
      <c r="Z175" s="213"/>
      <c r="AA175" s="213"/>
      <c r="AB175" s="213"/>
      <c r="AC175" s="213"/>
      <c r="AD175" s="213"/>
      <c r="AE175" s="213"/>
      <c r="AF175" s="213"/>
      <c r="AG175" s="213"/>
      <c r="AH175" s="213"/>
    </row>
    <row r="176" ht="15.75" customHeight="1">
      <c r="A176" s="213"/>
      <c r="B176" s="213"/>
      <c r="C176" s="213"/>
      <c r="D176" s="213"/>
      <c r="E176" s="213"/>
      <c r="F176" s="213"/>
      <c r="G176" s="213"/>
      <c r="H176" s="213"/>
      <c r="I176" s="946"/>
      <c r="J176" s="213"/>
      <c r="K176" s="213"/>
      <c r="L176" s="213"/>
      <c r="M176" s="213"/>
      <c r="N176" s="213"/>
      <c r="O176" s="328"/>
      <c r="P176" s="213"/>
      <c r="Q176" s="213"/>
      <c r="R176" s="213"/>
      <c r="S176" s="213"/>
      <c r="T176" s="213"/>
      <c r="U176" s="213"/>
      <c r="V176" s="213"/>
      <c r="W176" s="213"/>
      <c r="X176" s="213"/>
      <c r="Y176" s="213"/>
      <c r="Z176" s="213"/>
      <c r="AA176" s="213"/>
      <c r="AB176" s="213"/>
      <c r="AC176" s="213"/>
      <c r="AD176" s="213"/>
      <c r="AE176" s="213"/>
      <c r="AF176" s="213"/>
      <c r="AG176" s="213"/>
      <c r="AH176" s="213"/>
    </row>
    <row r="177" ht="15.75" customHeight="1">
      <c r="A177" s="213"/>
      <c r="B177" s="213"/>
      <c r="C177" s="213"/>
      <c r="D177" s="213"/>
      <c r="E177" s="213"/>
      <c r="F177" s="213"/>
      <c r="G177" s="213"/>
      <c r="H177" s="213"/>
      <c r="I177" s="946"/>
      <c r="J177" s="213"/>
      <c r="K177" s="213"/>
      <c r="L177" s="213"/>
      <c r="M177" s="213"/>
      <c r="N177" s="213"/>
      <c r="O177" s="328"/>
      <c r="P177" s="213"/>
      <c r="Q177" s="213"/>
      <c r="R177" s="213"/>
      <c r="S177" s="213"/>
      <c r="T177" s="213"/>
      <c r="U177" s="213"/>
      <c r="V177" s="213"/>
      <c r="W177" s="213"/>
      <c r="X177" s="213"/>
      <c r="Y177" s="213"/>
      <c r="Z177" s="213"/>
      <c r="AA177" s="213"/>
      <c r="AB177" s="213"/>
      <c r="AC177" s="213"/>
      <c r="AD177" s="213"/>
      <c r="AE177" s="213"/>
      <c r="AF177" s="213"/>
      <c r="AG177" s="213"/>
      <c r="AH177" s="213"/>
    </row>
    <row r="178" ht="15.75" customHeight="1">
      <c r="A178" s="213"/>
      <c r="B178" s="213"/>
      <c r="C178" s="213"/>
      <c r="D178" s="213"/>
      <c r="E178" s="213"/>
      <c r="F178" s="213"/>
      <c r="G178" s="213"/>
      <c r="H178" s="213"/>
      <c r="I178" s="946"/>
      <c r="J178" s="213"/>
      <c r="K178" s="213"/>
      <c r="L178" s="213"/>
      <c r="M178" s="213"/>
      <c r="N178" s="213"/>
      <c r="O178" s="328"/>
      <c r="P178" s="213"/>
      <c r="Q178" s="213"/>
      <c r="R178" s="213"/>
      <c r="S178" s="213"/>
      <c r="T178" s="213"/>
      <c r="U178" s="213"/>
      <c r="V178" s="213"/>
      <c r="W178" s="213"/>
      <c r="X178" s="213"/>
      <c r="Y178" s="213"/>
      <c r="Z178" s="213"/>
      <c r="AA178" s="213"/>
      <c r="AB178" s="213"/>
      <c r="AC178" s="213"/>
      <c r="AD178" s="213"/>
      <c r="AE178" s="213"/>
      <c r="AF178" s="213"/>
      <c r="AG178" s="213"/>
      <c r="AH178" s="213"/>
    </row>
    <row r="179" ht="15.75" customHeight="1">
      <c r="A179" s="213"/>
      <c r="B179" s="213"/>
      <c r="C179" s="213"/>
      <c r="D179" s="213"/>
      <c r="E179" s="213"/>
      <c r="F179" s="213"/>
      <c r="G179" s="213"/>
      <c r="H179" s="213"/>
      <c r="I179" s="946"/>
      <c r="J179" s="213"/>
      <c r="K179" s="213"/>
      <c r="L179" s="213"/>
      <c r="M179" s="213"/>
      <c r="N179" s="213"/>
      <c r="O179" s="328"/>
      <c r="P179" s="213"/>
      <c r="Q179" s="213"/>
      <c r="R179" s="213"/>
      <c r="S179" s="213"/>
      <c r="T179" s="213"/>
      <c r="U179" s="213"/>
      <c r="V179" s="213"/>
      <c r="W179" s="213"/>
      <c r="X179" s="213"/>
      <c r="Y179" s="213"/>
      <c r="Z179" s="213"/>
      <c r="AA179" s="213"/>
      <c r="AB179" s="213"/>
      <c r="AC179" s="213"/>
      <c r="AD179" s="213"/>
      <c r="AE179" s="213"/>
      <c r="AF179" s="213"/>
      <c r="AG179" s="213"/>
      <c r="AH179" s="213"/>
    </row>
    <row r="180" ht="15.75" customHeight="1">
      <c r="A180" s="213"/>
      <c r="B180" s="213"/>
      <c r="C180" s="213"/>
      <c r="D180" s="213"/>
      <c r="E180" s="213"/>
      <c r="F180" s="213"/>
      <c r="G180" s="213"/>
      <c r="H180" s="213"/>
      <c r="I180" s="946"/>
      <c r="J180" s="213"/>
      <c r="K180" s="213"/>
      <c r="L180" s="213"/>
      <c r="M180" s="213"/>
      <c r="N180" s="213"/>
      <c r="O180" s="328"/>
      <c r="P180" s="213"/>
      <c r="Q180" s="213"/>
      <c r="R180" s="213"/>
      <c r="S180" s="213"/>
      <c r="T180" s="213"/>
      <c r="U180" s="213"/>
      <c r="V180" s="213"/>
      <c r="W180" s="213"/>
      <c r="X180" s="213"/>
      <c r="Y180" s="213"/>
      <c r="Z180" s="213"/>
      <c r="AA180" s="213"/>
      <c r="AB180" s="213"/>
      <c r="AC180" s="213"/>
      <c r="AD180" s="213"/>
      <c r="AE180" s="213"/>
      <c r="AF180" s="213"/>
      <c r="AG180" s="213"/>
      <c r="AH180" s="213"/>
    </row>
    <row r="181" ht="15.75" customHeight="1">
      <c r="A181" s="213"/>
      <c r="B181" s="213"/>
      <c r="C181" s="213"/>
      <c r="D181" s="213"/>
      <c r="E181" s="213"/>
      <c r="F181" s="213"/>
      <c r="G181" s="213"/>
      <c r="H181" s="213"/>
      <c r="I181" s="946"/>
      <c r="J181" s="213"/>
      <c r="K181" s="213"/>
      <c r="L181" s="213"/>
      <c r="M181" s="213"/>
      <c r="N181" s="213"/>
      <c r="O181" s="328"/>
      <c r="P181" s="213"/>
      <c r="Q181" s="213"/>
      <c r="R181" s="213"/>
      <c r="S181" s="213"/>
      <c r="T181" s="213"/>
      <c r="U181" s="213"/>
      <c r="V181" s="213"/>
      <c r="W181" s="213"/>
      <c r="X181" s="213"/>
      <c r="Y181" s="213"/>
      <c r="Z181" s="213"/>
      <c r="AA181" s="213"/>
      <c r="AB181" s="213"/>
      <c r="AC181" s="213"/>
      <c r="AD181" s="213"/>
      <c r="AE181" s="213"/>
      <c r="AF181" s="213"/>
      <c r="AG181" s="213"/>
      <c r="AH181" s="213"/>
    </row>
    <row r="182" ht="15.75" customHeight="1">
      <c r="A182" s="213"/>
      <c r="B182" s="213"/>
      <c r="C182" s="213"/>
      <c r="D182" s="213"/>
      <c r="E182" s="213"/>
      <c r="F182" s="213"/>
      <c r="G182" s="213"/>
      <c r="H182" s="213"/>
      <c r="I182" s="946"/>
      <c r="J182" s="213"/>
      <c r="K182" s="213"/>
      <c r="L182" s="213"/>
      <c r="M182" s="213"/>
      <c r="N182" s="213"/>
      <c r="O182" s="328"/>
      <c r="P182" s="213"/>
      <c r="Q182" s="213"/>
      <c r="R182" s="213"/>
      <c r="S182" s="213"/>
      <c r="T182" s="213"/>
      <c r="U182" s="213"/>
      <c r="V182" s="213"/>
      <c r="W182" s="213"/>
      <c r="X182" s="213"/>
      <c r="Y182" s="213"/>
      <c r="Z182" s="213"/>
      <c r="AA182" s="213"/>
      <c r="AB182" s="213"/>
      <c r="AC182" s="213"/>
      <c r="AD182" s="213"/>
      <c r="AE182" s="213"/>
      <c r="AF182" s="213"/>
      <c r="AG182" s="213"/>
      <c r="AH182" s="213"/>
    </row>
    <row r="183" ht="15.75" customHeight="1">
      <c r="A183" s="213"/>
      <c r="B183" s="213"/>
      <c r="C183" s="213"/>
      <c r="D183" s="213"/>
      <c r="E183" s="213"/>
      <c r="F183" s="213"/>
      <c r="G183" s="213"/>
      <c r="H183" s="213"/>
      <c r="I183" s="946"/>
      <c r="J183" s="213"/>
      <c r="K183" s="213"/>
      <c r="L183" s="213"/>
      <c r="M183" s="213"/>
      <c r="N183" s="213"/>
      <c r="O183" s="328"/>
      <c r="P183" s="213"/>
      <c r="Q183" s="213"/>
      <c r="R183" s="213"/>
      <c r="S183" s="213"/>
      <c r="T183" s="213"/>
      <c r="U183" s="213"/>
      <c r="V183" s="213"/>
      <c r="W183" s="213"/>
      <c r="X183" s="213"/>
      <c r="Y183" s="213"/>
      <c r="Z183" s="213"/>
      <c r="AA183" s="213"/>
      <c r="AB183" s="213"/>
      <c r="AC183" s="213"/>
      <c r="AD183" s="213"/>
      <c r="AE183" s="213"/>
      <c r="AF183" s="213"/>
      <c r="AG183" s="213"/>
      <c r="AH183" s="213"/>
    </row>
    <row r="184" ht="15.75" customHeight="1">
      <c r="A184" s="213"/>
      <c r="B184" s="213"/>
      <c r="C184" s="213"/>
      <c r="D184" s="213"/>
      <c r="E184" s="213"/>
      <c r="F184" s="213"/>
      <c r="G184" s="213"/>
      <c r="H184" s="213"/>
      <c r="I184" s="946"/>
      <c r="J184" s="213"/>
      <c r="K184" s="213"/>
      <c r="L184" s="213"/>
      <c r="M184" s="213"/>
      <c r="N184" s="213"/>
      <c r="O184" s="328"/>
      <c r="P184" s="213"/>
      <c r="Q184" s="213"/>
      <c r="R184" s="213"/>
      <c r="S184" s="213"/>
      <c r="T184" s="213"/>
      <c r="U184" s="213"/>
      <c r="V184" s="213"/>
      <c r="W184" s="213"/>
      <c r="X184" s="213"/>
      <c r="Y184" s="213"/>
      <c r="Z184" s="213"/>
      <c r="AA184" s="213"/>
      <c r="AB184" s="213"/>
      <c r="AC184" s="213"/>
      <c r="AD184" s="213"/>
      <c r="AE184" s="213"/>
      <c r="AF184" s="213"/>
      <c r="AG184" s="213"/>
      <c r="AH184" s="213"/>
    </row>
    <row r="185" ht="15.75" customHeight="1">
      <c r="A185" s="213"/>
      <c r="B185" s="213"/>
      <c r="C185" s="213"/>
      <c r="D185" s="213"/>
      <c r="E185" s="213"/>
      <c r="F185" s="213"/>
      <c r="G185" s="213"/>
      <c r="H185" s="213"/>
      <c r="I185" s="946"/>
      <c r="J185" s="213"/>
      <c r="K185" s="213"/>
      <c r="L185" s="213"/>
      <c r="M185" s="213"/>
      <c r="N185" s="213"/>
      <c r="O185" s="328"/>
      <c r="P185" s="213"/>
      <c r="Q185" s="213"/>
      <c r="R185" s="213"/>
      <c r="S185" s="213"/>
      <c r="T185" s="213"/>
      <c r="U185" s="213"/>
      <c r="V185" s="213"/>
      <c r="W185" s="213"/>
      <c r="X185" s="213"/>
      <c r="Y185" s="213"/>
      <c r="Z185" s="213"/>
      <c r="AA185" s="213"/>
      <c r="AB185" s="213"/>
      <c r="AC185" s="213"/>
      <c r="AD185" s="213"/>
      <c r="AE185" s="213"/>
      <c r="AF185" s="213"/>
      <c r="AG185" s="213"/>
      <c r="AH185" s="213"/>
    </row>
    <row r="186" ht="15.75" customHeight="1">
      <c r="A186" s="213"/>
      <c r="B186" s="213"/>
      <c r="C186" s="213"/>
      <c r="D186" s="213"/>
      <c r="E186" s="213"/>
      <c r="F186" s="213"/>
      <c r="G186" s="213"/>
      <c r="H186" s="213"/>
      <c r="I186" s="946"/>
      <c r="J186" s="213"/>
      <c r="K186" s="213"/>
      <c r="L186" s="213"/>
      <c r="M186" s="213"/>
      <c r="N186" s="213"/>
      <c r="O186" s="328"/>
      <c r="P186" s="213"/>
      <c r="Q186" s="213"/>
      <c r="R186" s="213"/>
      <c r="S186" s="213"/>
      <c r="T186" s="213"/>
      <c r="U186" s="213"/>
      <c r="V186" s="213"/>
      <c r="W186" s="213"/>
      <c r="X186" s="213"/>
      <c r="Y186" s="213"/>
      <c r="Z186" s="213"/>
      <c r="AA186" s="213"/>
      <c r="AB186" s="213"/>
      <c r="AC186" s="213"/>
      <c r="AD186" s="213"/>
      <c r="AE186" s="213"/>
      <c r="AF186" s="213"/>
      <c r="AG186" s="213"/>
      <c r="AH186" s="213"/>
    </row>
    <row r="187" ht="15.75" customHeight="1">
      <c r="A187" s="213"/>
      <c r="B187" s="213"/>
      <c r="C187" s="213"/>
      <c r="D187" s="213"/>
      <c r="E187" s="213"/>
      <c r="F187" s="213"/>
      <c r="G187" s="213"/>
      <c r="H187" s="213"/>
      <c r="I187" s="946"/>
      <c r="J187" s="213"/>
      <c r="K187" s="213"/>
      <c r="L187" s="213"/>
      <c r="M187" s="213"/>
      <c r="N187" s="213"/>
      <c r="O187" s="328"/>
      <c r="P187" s="213"/>
      <c r="Q187" s="213"/>
      <c r="R187" s="213"/>
      <c r="S187" s="213"/>
      <c r="T187" s="213"/>
      <c r="U187" s="213"/>
      <c r="V187" s="213"/>
      <c r="W187" s="213"/>
      <c r="X187" s="213"/>
      <c r="Y187" s="213"/>
      <c r="Z187" s="213"/>
      <c r="AA187" s="213"/>
      <c r="AB187" s="213"/>
      <c r="AC187" s="213"/>
      <c r="AD187" s="213"/>
      <c r="AE187" s="213"/>
      <c r="AF187" s="213"/>
      <c r="AG187" s="213"/>
      <c r="AH187" s="213"/>
    </row>
    <row r="188" ht="15.75" customHeight="1">
      <c r="A188" s="213"/>
      <c r="B188" s="213"/>
      <c r="C188" s="213"/>
      <c r="D188" s="213"/>
      <c r="E188" s="213"/>
      <c r="F188" s="213"/>
      <c r="G188" s="213"/>
      <c r="H188" s="213"/>
      <c r="I188" s="946"/>
      <c r="J188" s="213"/>
      <c r="K188" s="213"/>
      <c r="L188" s="213"/>
      <c r="M188" s="213"/>
      <c r="N188" s="213"/>
      <c r="O188" s="328"/>
      <c r="P188" s="213"/>
      <c r="Q188" s="213"/>
      <c r="R188" s="213"/>
      <c r="S188" s="213"/>
      <c r="T188" s="213"/>
      <c r="U188" s="213"/>
      <c r="V188" s="213"/>
      <c r="W188" s="213"/>
      <c r="X188" s="213"/>
      <c r="Y188" s="213"/>
      <c r="Z188" s="213"/>
      <c r="AA188" s="213"/>
      <c r="AB188" s="213"/>
      <c r="AC188" s="213"/>
      <c r="AD188" s="213"/>
      <c r="AE188" s="213"/>
      <c r="AF188" s="213"/>
      <c r="AG188" s="213"/>
      <c r="AH188" s="213"/>
    </row>
    <row r="189" ht="15.75" customHeight="1">
      <c r="A189" s="213"/>
      <c r="B189" s="213"/>
      <c r="C189" s="213"/>
      <c r="D189" s="213"/>
      <c r="E189" s="213"/>
      <c r="F189" s="213"/>
      <c r="G189" s="213"/>
      <c r="H189" s="213"/>
      <c r="I189" s="946"/>
      <c r="J189" s="213"/>
      <c r="K189" s="213"/>
      <c r="L189" s="213"/>
      <c r="M189" s="213"/>
      <c r="N189" s="213"/>
      <c r="O189" s="328"/>
      <c r="P189" s="213"/>
      <c r="Q189" s="213"/>
      <c r="R189" s="213"/>
      <c r="S189" s="213"/>
      <c r="T189" s="213"/>
      <c r="U189" s="213"/>
      <c r="V189" s="213"/>
      <c r="W189" s="213"/>
      <c r="X189" s="213"/>
      <c r="Y189" s="213"/>
      <c r="Z189" s="213"/>
      <c r="AA189" s="213"/>
      <c r="AB189" s="213"/>
      <c r="AC189" s="213"/>
      <c r="AD189" s="213"/>
      <c r="AE189" s="213"/>
      <c r="AF189" s="213"/>
      <c r="AG189" s="213"/>
      <c r="AH189" s="213"/>
    </row>
    <row r="190" ht="15.75" customHeight="1">
      <c r="A190" s="213"/>
      <c r="B190" s="213"/>
      <c r="C190" s="213"/>
      <c r="D190" s="213"/>
      <c r="E190" s="213"/>
      <c r="F190" s="213"/>
      <c r="G190" s="213"/>
      <c r="H190" s="213"/>
      <c r="I190" s="946"/>
      <c r="J190" s="213"/>
      <c r="K190" s="213"/>
      <c r="L190" s="213"/>
      <c r="M190" s="213"/>
      <c r="N190" s="213"/>
      <c r="O190" s="328"/>
      <c r="P190" s="213"/>
      <c r="Q190" s="213"/>
      <c r="R190" s="213"/>
      <c r="S190" s="213"/>
      <c r="T190" s="213"/>
      <c r="U190" s="213"/>
      <c r="V190" s="213"/>
      <c r="W190" s="213"/>
      <c r="X190" s="213"/>
      <c r="Y190" s="213"/>
      <c r="Z190" s="213"/>
      <c r="AA190" s="213"/>
      <c r="AB190" s="213"/>
      <c r="AC190" s="213"/>
      <c r="AD190" s="213"/>
      <c r="AE190" s="213"/>
      <c r="AF190" s="213"/>
      <c r="AG190" s="213"/>
      <c r="AH190" s="213"/>
    </row>
    <row r="191" ht="15.75" customHeight="1">
      <c r="A191" s="213"/>
      <c r="B191" s="213"/>
      <c r="C191" s="213"/>
      <c r="D191" s="213"/>
      <c r="E191" s="213"/>
      <c r="F191" s="213"/>
      <c r="G191" s="213"/>
      <c r="H191" s="213"/>
      <c r="I191" s="946"/>
      <c r="J191" s="213"/>
      <c r="K191" s="213"/>
      <c r="L191" s="213"/>
      <c r="M191" s="213"/>
      <c r="N191" s="213"/>
      <c r="O191" s="328"/>
      <c r="P191" s="213"/>
      <c r="Q191" s="213"/>
      <c r="R191" s="213"/>
      <c r="S191" s="213"/>
      <c r="T191" s="213"/>
      <c r="U191" s="213"/>
      <c r="V191" s="213"/>
      <c r="W191" s="213"/>
      <c r="X191" s="213"/>
      <c r="Y191" s="213"/>
      <c r="Z191" s="213"/>
      <c r="AA191" s="213"/>
      <c r="AB191" s="213"/>
      <c r="AC191" s="213"/>
      <c r="AD191" s="213"/>
      <c r="AE191" s="213"/>
      <c r="AF191" s="213"/>
      <c r="AG191" s="213"/>
      <c r="AH191" s="213"/>
    </row>
    <row r="192" ht="15.75" customHeight="1">
      <c r="A192" s="213"/>
      <c r="B192" s="213"/>
      <c r="C192" s="213"/>
      <c r="D192" s="213"/>
      <c r="E192" s="213"/>
      <c r="F192" s="213"/>
      <c r="G192" s="213"/>
      <c r="H192" s="213"/>
      <c r="I192" s="946"/>
      <c r="J192" s="213"/>
      <c r="K192" s="213"/>
      <c r="L192" s="213"/>
      <c r="M192" s="213"/>
      <c r="N192" s="213"/>
      <c r="O192" s="328"/>
      <c r="P192" s="213"/>
      <c r="Q192" s="213"/>
      <c r="R192" s="213"/>
      <c r="S192" s="213"/>
      <c r="T192" s="213"/>
      <c r="U192" s="213"/>
      <c r="V192" s="213"/>
      <c r="W192" s="213"/>
      <c r="X192" s="213"/>
      <c r="Y192" s="213"/>
      <c r="Z192" s="213"/>
      <c r="AA192" s="213"/>
      <c r="AB192" s="213"/>
      <c r="AC192" s="213"/>
      <c r="AD192" s="213"/>
      <c r="AE192" s="213"/>
      <c r="AF192" s="213"/>
      <c r="AG192" s="213"/>
      <c r="AH192" s="213"/>
    </row>
    <row r="193" ht="15.75" customHeight="1">
      <c r="A193" s="213"/>
      <c r="B193" s="213"/>
      <c r="C193" s="213"/>
      <c r="D193" s="213"/>
      <c r="E193" s="213"/>
      <c r="F193" s="213"/>
      <c r="G193" s="213"/>
      <c r="H193" s="213"/>
      <c r="I193" s="946"/>
      <c r="J193" s="213"/>
      <c r="K193" s="213"/>
      <c r="L193" s="213"/>
      <c r="M193" s="213"/>
      <c r="N193" s="213"/>
      <c r="O193" s="328"/>
      <c r="P193" s="213"/>
      <c r="Q193" s="213"/>
      <c r="R193" s="213"/>
      <c r="S193" s="213"/>
      <c r="T193" s="213"/>
      <c r="U193" s="213"/>
      <c r="V193" s="213"/>
      <c r="W193" s="213"/>
      <c r="X193" s="213"/>
      <c r="Y193" s="213"/>
      <c r="Z193" s="213"/>
      <c r="AA193" s="213"/>
      <c r="AB193" s="213"/>
      <c r="AC193" s="213"/>
      <c r="AD193" s="213"/>
      <c r="AE193" s="213"/>
      <c r="AF193" s="213"/>
      <c r="AG193" s="213"/>
      <c r="AH193" s="213"/>
    </row>
    <row r="194" ht="15.75" customHeight="1">
      <c r="A194" s="213"/>
      <c r="B194" s="213"/>
      <c r="C194" s="213"/>
      <c r="D194" s="213"/>
      <c r="E194" s="213"/>
      <c r="F194" s="213"/>
      <c r="G194" s="213"/>
      <c r="H194" s="213"/>
      <c r="I194" s="946"/>
      <c r="J194" s="213"/>
      <c r="K194" s="213"/>
      <c r="L194" s="213"/>
      <c r="M194" s="213"/>
      <c r="N194" s="213"/>
      <c r="O194" s="328"/>
      <c r="P194" s="213"/>
      <c r="Q194" s="213"/>
      <c r="R194" s="213"/>
      <c r="S194" s="213"/>
      <c r="T194" s="213"/>
      <c r="U194" s="213"/>
      <c r="V194" s="213"/>
      <c r="W194" s="213"/>
      <c r="X194" s="213"/>
      <c r="Y194" s="213"/>
      <c r="Z194" s="213"/>
      <c r="AA194" s="213"/>
      <c r="AB194" s="213"/>
      <c r="AC194" s="213"/>
      <c r="AD194" s="213"/>
      <c r="AE194" s="213"/>
      <c r="AF194" s="213"/>
      <c r="AG194" s="213"/>
      <c r="AH194" s="213"/>
    </row>
    <row r="195" ht="15.75" customHeight="1">
      <c r="A195" s="213"/>
      <c r="B195" s="213"/>
      <c r="C195" s="213"/>
      <c r="D195" s="213"/>
      <c r="E195" s="213"/>
      <c r="F195" s="213"/>
      <c r="G195" s="213"/>
      <c r="H195" s="213"/>
      <c r="I195" s="946"/>
      <c r="J195" s="213"/>
      <c r="K195" s="213"/>
      <c r="L195" s="213"/>
      <c r="M195" s="213"/>
      <c r="N195" s="213"/>
      <c r="O195" s="328"/>
      <c r="P195" s="213"/>
      <c r="Q195" s="213"/>
      <c r="R195" s="213"/>
      <c r="S195" s="213"/>
      <c r="T195" s="213"/>
      <c r="U195" s="213"/>
      <c r="V195" s="213"/>
      <c r="W195" s="213"/>
      <c r="X195" s="213"/>
      <c r="Y195" s="213"/>
      <c r="Z195" s="213"/>
      <c r="AA195" s="213"/>
      <c r="AB195" s="213"/>
      <c r="AC195" s="213"/>
      <c r="AD195" s="213"/>
      <c r="AE195" s="213"/>
      <c r="AF195" s="213"/>
      <c r="AG195" s="213"/>
      <c r="AH195" s="213"/>
    </row>
    <row r="196" ht="15.75" customHeight="1">
      <c r="A196" s="213"/>
      <c r="B196" s="213"/>
      <c r="C196" s="213"/>
      <c r="D196" s="213"/>
      <c r="E196" s="213"/>
      <c r="F196" s="213"/>
      <c r="G196" s="213"/>
      <c r="H196" s="213"/>
      <c r="I196" s="946"/>
      <c r="J196" s="213"/>
      <c r="K196" s="213"/>
      <c r="L196" s="213"/>
      <c r="M196" s="213"/>
      <c r="N196" s="213"/>
      <c r="O196" s="328"/>
      <c r="P196" s="213"/>
      <c r="Q196" s="213"/>
      <c r="R196" s="213"/>
      <c r="S196" s="213"/>
      <c r="T196" s="213"/>
      <c r="U196" s="213"/>
      <c r="V196" s="213"/>
      <c r="W196" s="213"/>
      <c r="X196" s="213"/>
      <c r="Y196" s="213"/>
      <c r="Z196" s="213"/>
      <c r="AA196" s="213"/>
      <c r="AB196" s="213"/>
      <c r="AC196" s="213"/>
      <c r="AD196" s="213"/>
      <c r="AE196" s="213"/>
      <c r="AF196" s="213"/>
      <c r="AG196" s="213"/>
      <c r="AH196" s="213"/>
    </row>
    <row r="197" ht="15.75" customHeight="1">
      <c r="A197" s="213"/>
      <c r="B197" s="213"/>
      <c r="C197" s="213"/>
      <c r="D197" s="213"/>
      <c r="E197" s="213"/>
      <c r="F197" s="213"/>
      <c r="G197" s="213"/>
      <c r="H197" s="213"/>
      <c r="I197" s="946"/>
      <c r="J197" s="213"/>
      <c r="K197" s="213"/>
      <c r="L197" s="213"/>
      <c r="M197" s="213"/>
      <c r="N197" s="213"/>
      <c r="O197" s="328"/>
      <c r="P197" s="213"/>
      <c r="Q197" s="213"/>
      <c r="R197" s="213"/>
      <c r="S197" s="213"/>
      <c r="T197" s="213"/>
      <c r="U197" s="213"/>
      <c r="V197" s="213"/>
      <c r="W197" s="213"/>
      <c r="X197" s="213"/>
      <c r="Y197" s="213"/>
      <c r="Z197" s="213"/>
      <c r="AA197" s="213"/>
      <c r="AB197" s="213"/>
      <c r="AC197" s="213"/>
      <c r="AD197" s="213"/>
      <c r="AE197" s="213"/>
      <c r="AF197" s="213"/>
      <c r="AG197" s="213"/>
      <c r="AH197" s="213"/>
    </row>
    <row r="198" ht="15.75" customHeight="1">
      <c r="A198" s="213"/>
      <c r="B198" s="213"/>
      <c r="C198" s="213"/>
      <c r="D198" s="213"/>
      <c r="E198" s="213"/>
      <c r="F198" s="213"/>
      <c r="G198" s="213"/>
      <c r="H198" s="213"/>
      <c r="I198" s="946"/>
      <c r="J198" s="213"/>
      <c r="K198" s="213"/>
      <c r="L198" s="213"/>
      <c r="M198" s="213"/>
      <c r="N198" s="213"/>
      <c r="O198" s="328"/>
      <c r="P198" s="213"/>
      <c r="Q198" s="213"/>
      <c r="R198" s="213"/>
      <c r="S198" s="213"/>
      <c r="T198" s="213"/>
      <c r="U198" s="213"/>
      <c r="V198" s="213"/>
      <c r="W198" s="213"/>
      <c r="X198" s="213"/>
      <c r="Y198" s="213"/>
      <c r="Z198" s="213"/>
      <c r="AA198" s="213"/>
      <c r="AB198" s="213"/>
      <c r="AC198" s="213"/>
      <c r="AD198" s="213"/>
      <c r="AE198" s="213"/>
      <c r="AF198" s="213"/>
      <c r="AG198" s="213"/>
      <c r="AH198" s="213"/>
    </row>
    <row r="199" ht="15.75" customHeight="1">
      <c r="A199" s="213"/>
      <c r="B199" s="213"/>
      <c r="C199" s="213"/>
      <c r="D199" s="213"/>
      <c r="E199" s="213"/>
      <c r="F199" s="213"/>
      <c r="G199" s="213"/>
      <c r="H199" s="213"/>
      <c r="I199" s="946"/>
      <c r="J199" s="213"/>
      <c r="K199" s="213"/>
      <c r="L199" s="213"/>
      <c r="M199" s="213"/>
      <c r="N199" s="213"/>
      <c r="O199" s="328"/>
      <c r="P199" s="213"/>
      <c r="Q199" s="213"/>
      <c r="R199" s="213"/>
      <c r="S199" s="213"/>
      <c r="T199" s="213"/>
      <c r="U199" s="213"/>
      <c r="V199" s="213"/>
      <c r="W199" s="213"/>
      <c r="X199" s="213"/>
      <c r="Y199" s="213"/>
      <c r="Z199" s="213"/>
      <c r="AA199" s="213"/>
      <c r="AB199" s="213"/>
      <c r="AC199" s="213"/>
      <c r="AD199" s="213"/>
      <c r="AE199" s="213"/>
      <c r="AF199" s="213"/>
      <c r="AG199" s="213"/>
      <c r="AH199" s="213"/>
    </row>
    <row r="200" ht="15.75" customHeight="1">
      <c r="A200" s="213"/>
      <c r="B200" s="213"/>
      <c r="C200" s="213"/>
      <c r="D200" s="213"/>
      <c r="E200" s="213"/>
      <c r="F200" s="213"/>
      <c r="G200" s="213"/>
      <c r="H200" s="213"/>
      <c r="I200" s="946"/>
      <c r="J200" s="213"/>
      <c r="K200" s="213"/>
      <c r="L200" s="213"/>
      <c r="M200" s="213"/>
      <c r="N200" s="213"/>
      <c r="O200" s="328"/>
      <c r="P200" s="213"/>
      <c r="Q200" s="213"/>
      <c r="R200" s="213"/>
      <c r="S200" s="213"/>
      <c r="T200" s="213"/>
      <c r="U200" s="213"/>
      <c r="V200" s="213"/>
      <c r="W200" s="213"/>
      <c r="X200" s="213"/>
      <c r="Y200" s="213"/>
      <c r="Z200" s="213"/>
      <c r="AA200" s="213"/>
      <c r="AB200" s="213"/>
      <c r="AC200" s="213"/>
      <c r="AD200" s="213"/>
      <c r="AE200" s="213"/>
      <c r="AF200" s="213"/>
      <c r="AG200" s="213"/>
      <c r="AH200" s="213"/>
    </row>
    <row r="201" ht="15.75" customHeight="1">
      <c r="A201" s="213"/>
      <c r="B201" s="213"/>
      <c r="C201" s="213"/>
      <c r="D201" s="213"/>
      <c r="E201" s="213"/>
      <c r="F201" s="213"/>
      <c r="G201" s="213"/>
      <c r="H201" s="213"/>
      <c r="I201" s="946"/>
      <c r="J201" s="213"/>
      <c r="K201" s="213"/>
      <c r="L201" s="213"/>
      <c r="M201" s="213"/>
      <c r="N201" s="213"/>
      <c r="O201" s="328"/>
      <c r="P201" s="213"/>
      <c r="Q201" s="213"/>
      <c r="R201" s="213"/>
      <c r="S201" s="213"/>
      <c r="T201" s="213"/>
      <c r="U201" s="213"/>
      <c r="V201" s="213"/>
      <c r="W201" s="213"/>
      <c r="X201" s="213"/>
      <c r="Y201" s="213"/>
      <c r="Z201" s="213"/>
      <c r="AA201" s="213"/>
      <c r="AB201" s="213"/>
      <c r="AC201" s="213"/>
      <c r="AD201" s="213"/>
      <c r="AE201" s="213"/>
      <c r="AF201" s="213"/>
      <c r="AG201" s="213"/>
      <c r="AH201" s="213"/>
    </row>
    <row r="202" ht="15.75" customHeight="1">
      <c r="A202" s="213"/>
      <c r="B202" s="213"/>
      <c r="C202" s="213"/>
      <c r="D202" s="213"/>
      <c r="E202" s="213"/>
      <c r="F202" s="213"/>
      <c r="G202" s="213"/>
      <c r="H202" s="213"/>
      <c r="I202" s="946"/>
      <c r="J202" s="213"/>
      <c r="K202" s="213"/>
      <c r="L202" s="213"/>
      <c r="M202" s="213"/>
      <c r="N202" s="213"/>
      <c r="O202" s="328"/>
      <c r="P202" s="213"/>
      <c r="Q202" s="213"/>
      <c r="R202" s="213"/>
      <c r="S202" s="213"/>
      <c r="T202" s="213"/>
      <c r="U202" s="213"/>
      <c r="V202" s="213"/>
      <c r="W202" s="213"/>
      <c r="X202" s="213"/>
      <c r="Y202" s="213"/>
      <c r="Z202" s="213"/>
      <c r="AA202" s="213"/>
      <c r="AB202" s="213"/>
      <c r="AC202" s="213"/>
      <c r="AD202" s="213"/>
      <c r="AE202" s="213"/>
      <c r="AF202" s="213"/>
      <c r="AG202" s="213"/>
      <c r="AH202" s="213"/>
    </row>
    <row r="203" ht="15.75" customHeight="1">
      <c r="A203" s="213"/>
      <c r="B203" s="213"/>
      <c r="C203" s="213"/>
      <c r="D203" s="213"/>
      <c r="E203" s="213"/>
      <c r="F203" s="213"/>
      <c r="G203" s="213"/>
      <c r="H203" s="213"/>
      <c r="I203" s="946"/>
      <c r="J203" s="213"/>
      <c r="K203" s="213"/>
      <c r="L203" s="213"/>
      <c r="M203" s="213"/>
      <c r="N203" s="213"/>
      <c r="O203" s="328"/>
      <c r="P203" s="213"/>
      <c r="Q203" s="213"/>
      <c r="R203" s="213"/>
      <c r="S203" s="213"/>
      <c r="T203" s="213"/>
      <c r="U203" s="213"/>
      <c r="V203" s="213"/>
      <c r="W203" s="213"/>
      <c r="X203" s="213"/>
      <c r="Y203" s="213"/>
      <c r="Z203" s="213"/>
      <c r="AA203" s="213"/>
      <c r="AB203" s="213"/>
      <c r="AC203" s="213"/>
      <c r="AD203" s="213"/>
      <c r="AE203" s="213"/>
      <c r="AF203" s="213"/>
      <c r="AG203" s="213"/>
      <c r="AH203" s="213"/>
    </row>
    <row r="204" ht="15.75" customHeight="1">
      <c r="A204" s="213"/>
      <c r="B204" s="213"/>
      <c r="C204" s="213"/>
      <c r="D204" s="213"/>
      <c r="E204" s="213"/>
      <c r="F204" s="213"/>
      <c r="G204" s="213"/>
      <c r="H204" s="213"/>
      <c r="I204" s="946"/>
      <c r="J204" s="213"/>
      <c r="K204" s="213"/>
      <c r="L204" s="213"/>
      <c r="M204" s="213"/>
      <c r="N204" s="213"/>
      <c r="O204" s="328"/>
      <c r="P204" s="213"/>
      <c r="Q204" s="213"/>
      <c r="R204" s="213"/>
      <c r="S204" s="213"/>
      <c r="T204" s="213"/>
      <c r="U204" s="213"/>
      <c r="V204" s="213"/>
      <c r="W204" s="213"/>
      <c r="X204" s="213"/>
      <c r="Y204" s="213"/>
      <c r="Z204" s="213"/>
      <c r="AA204" s="213"/>
      <c r="AB204" s="213"/>
      <c r="AC204" s="213"/>
      <c r="AD204" s="213"/>
      <c r="AE204" s="213"/>
      <c r="AF204" s="213"/>
      <c r="AG204" s="213"/>
      <c r="AH204" s="213"/>
    </row>
    <row r="205" ht="15.75" customHeight="1">
      <c r="A205" s="213"/>
      <c r="B205" s="213"/>
      <c r="C205" s="213"/>
      <c r="D205" s="213"/>
      <c r="E205" s="213"/>
      <c r="F205" s="213"/>
      <c r="G205" s="213"/>
      <c r="H205" s="213"/>
      <c r="I205" s="946"/>
      <c r="J205" s="213"/>
      <c r="K205" s="213"/>
      <c r="L205" s="213"/>
      <c r="M205" s="213"/>
      <c r="N205" s="213"/>
      <c r="O205" s="328"/>
      <c r="P205" s="213"/>
      <c r="Q205" s="213"/>
      <c r="R205" s="213"/>
      <c r="S205" s="213"/>
      <c r="T205" s="213"/>
      <c r="U205" s="213"/>
      <c r="V205" s="213"/>
      <c r="W205" s="213"/>
      <c r="X205" s="213"/>
      <c r="Y205" s="213"/>
      <c r="Z205" s="213"/>
      <c r="AA205" s="213"/>
      <c r="AB205" s="213"/>
      <c r="AC205" s="213"/>
      <c r="AD205" s="213"/>
      <c r="AE205" s="213"/>
      <c r="AF205" s="213"/>
      <c r="AG205" s="213"/>
      <c r="AH205" s="213"/>
    </row>
    <row r="206" ht="15.75" customHeight="1">
      <c r="A206" s="213"/>
      <c r="B206" s="213"/>
      <c r="C206" s="213"/>
      <c r="D206" s="213"/>
      <c r="E206" s="213"/>
      <c r="F206" s="213"/>
      <c r="G206" s="213"/>
      <c r="H206" s="213"/>
      <c r="I206" s="946"/>
      <c r="J206" s="213"/>
      <c r="K206" s="213"/>
      <c r="L206" s="213"/>
      <c r="M206" s="213"/>
      <c r="N206" s="213"/>
      <c r="O206" s="328"/>
      <c r="P206" s="213"/>
      <c r="Q206" s="213"/>
      <c r="R206" s="213"/>
      <c r="S206" s="213"/>
      <c r="T206" s="213"/>
      <c r="U206" s="213"/>
      <c r="V206" s="213"/>
      <c r="W206" s="213"/>
      <c r="X206" s="213"/>
      <c r="Y206" s="213"/>
      <c r="Z206" s="213"/>
      <c r="AA206" s="213"/>
      <c r="AB206" s="213"/>
      <c r="AC206" s="213"/>
      <c r="AD206" s="213"/>
      <c r="AE206" s="213"/>
      <c r="AF206" s="213"/>
      <c r="AG206" s="213"/>
      <c r="AH206" s="213"/>
    </row>
    <row r="207" ht="15.75" customHeight="1">
      <c r="A207" s="213"/>
      <c r="B207" s="213"/>
      <c r="C207" s="213"/>
      <c r="D207" s="213"/>
      <c r="E207" s="213"/>
      <c r="F207" s="213"/>
      <c r="G207" s="213"/>
      <c r="H207" s="213"/>
      <c r="I207" s="946"/>
      <c r="J207" s="213"/>
      <c r="K207" s="213"/>
      <c r="L207" s="213"/>
      <c r="M207" s="213"/>
      <c r="N207" s="213"/>
      <c r="O207" s="328"/>
      <c r="P207" s="213"/>
      <c r="Q207" s="213"/>
      <c r="R207" s="213"/>
      <c r="S207" s="213"/>
      <c r="T207" s="213"/>
      <c r="U207" s="213"/>
      <c r="V207" s="213"/>
      <c r="W207" s="213"/>
      <c r="X207" s="213"/>
      <c r="Y207" s="213"/>
      <c r="Z207" s="213"/>
      <c r="AA207" s="213"/>
      <c r="AB207" s="213"/>
      <c r="AC207" s="213"/>
      <c r="AD207" s="213"/>
      <c r="AE207" s="213"/>
      <c r="AF207" s="213"/>
      <c r="AG207" s="213"/>
      <c r="AH207" s="213"/>
    </row>
    <row r="208" ht="15.75" customHeight="1">
      <c r="A208" s="213"/>
      <c r="B208" s="213"/>
      <c r="C208" s="213"/>
      <c r="D208" s="213"/>
      <c r="E208" s="213"/>
      <c r="F208" s="213"/>
      <c r="G208" s="213"/>
      <c r="H208" s="213"/>
      <c r="I208" s="946"/>
      <c r="J208" s="213"/>
      <c r="K208" s="213"/>
      <c r="L208" s="213"/>
      <c r="M208" s="213"/>
      <c r="N208" s="213"/>
      <c r="O208" s="328"/>
      <c r="P208" s="213"/>
      <c r="Q208" s="213"/>
      <c r="R208" s="213"/>
      <c r="S208" s="213"/>
      <c r="T208" s="213"/>
      <c r="U208" s="213"/>
      <c r="V208" s="213"/>
      <c r="W208" s="213"/>
      <c r="X208" s="213"/>
      <c r="Y208" s="213"/>
      <c r="Z208" s="213"/>
      <c r="AA208" s="213"/>
      <c r="AB208" s="213"/>
      <c r="AC208" s="213"/>
      <c r="AD208" s="213"/>
      <c r="AE208" s="213"/>
      <c r="AF208" s="213"/>
      <c r="AG208" s="213"/>
      <c r="AH208" s="213"/>
    </row>
    <row r="209" ht="15.75" customHeight="1">
      <c r="A209" s="213"/>
      <c r="B209" s="213"/>
      <c r="C209" s="213"/>
      <c r="D209" s="213"/>
      <c r="E209" s="213"/>
      <c r="F209" s="213"/>
      <c r="G209" s="213"/>
      <c r="H209" s="213"/>
      <c r="I209" s="946"/>
      <c r="J209" s="213"/>
      <c r="K209" s="213"/>
      <c r="L209" s="213"/>
      <c r="M209" s="213"/>
      <c r="N209" s="213"/>
      <c r="O209" s="328"/>
      <c r="P209" s="213"/>
      <c r="Q209" s="213"/>
      <c r="R209" s="213"/>
      <c r="S209" s="213"/>
      <c r="T209" s="213"/>
      <c r="U209" s="213"/>
      <c r="V209" s="213"/>
      <c r="W209" s="213"/>
      <c r="X209" s="213"/>
      <c r="Y209" s="213"/>
      <c r="Z209" s="213"/>
      <c r="AA209" s="213"/>
      <c r="AB209" s="213"/>
      <c r="AC209" s="213"/>
      <c r="AD209" s="213"/>
      <c r="AE209" s="213"/>
      <c r="AF209" s="213"/>
      <c r="AG209" s="213"/>
      <c r="AH209" s="213"/>
    </row>
    <row r="210" ht="15.75" customHeight="1">
      <c r="A210" s="213"/>
      <c r="B210" s="213"/>
      <c r="C210" s="213"/>
      <c r="D210" s="213"/>
      <c r="E210" s="213"/>
      <c r="F210" s="213"/>
      <c r="G210" s="213"/>
      <c r="H210" s="213"/>
      <c r="I210" s="946"/>
      <c r="J210" s="213"/>
      <c r="K210" s="213"/>
      <c r="L210" s="213"/>
      <c r="M210" s="213"/>
      <c r="N210" s="213"/>
      <c r="O210" s="328"/>
      <c r="P210" s="213"/>
      <c r="Q210" s="213"/>
      <c r="R210" s="213"/>
      <c r="S210" s="213"/>
      <c r="T210" s="213"/>
      <c r="U210" s="213"/>
      <c r="V210" s="213"/>
      <c r="W210" s="213"/>
      <c r="X210" s="213"/>
      <c r="Y210" s="213"/>
      <c r="Z210" s="213"/>
      <c r="AA210" s="213"/>
      <c r="AB210" s="213"/>
      <c r="AC210" s="213"/>
      <c r="AD210" s="213"/>
      <c r="AE210" s="213"/>
      <c r="AF210" s="213"/>
      <c r="AG210" s="213"/>
      <c r="AH210" s="213"/>
    </row>
    <row r="211" ht="15.75" customHeight="1">
      <c r="A211" s="213"/>
      <c r="B211" s="213"/>
      <c r="C211" s="213"/>
      <c r="D211" s="213"/>
      <c r="E211" s="213"/>
      <c r="F211" s="213"/>
      <c r="G211" s="213"/>
      <c r="H211" s="213"/>
      <c r="I211" s="946"/>
      <c r="J211" s="213"/>
      <c r="K211" s="213"/>
      <c r="L211" s="213"/>
      <c r="M211" s="213"/>
      <c r="N211" s="213"/>
      <c r="O211" s="328"/>
      <c r="P211" s="213"/>
      <c r="Q211" s="213"/>
      <c r="R211" s="213"/>
      <c r="S211" s="213"/>
      <c r="T211" s="213"/>
      <c r="U211" s="213"/>
      <c r="V211" s="213"/>
      <c r="W211" s="213"/>
      <c r="X211" s="213"/>
      <c r="Y211" s="213"/>
      <c r="Z211" s="213"/>
      <c r="AA211" s="213"/>
      <c r="AB211" s="213"/>
      <c r="AC211" s="213"/>
      <c r="AD211" s="213"/>
      <c r="AE211" s="213"/>
      <c r="AF211" s="213"/>
      <c r="AG211" s="213"/>
      <c r="AH211" s="213"/>
    </row>
    <row r="212" ht="15.75" customHeight="1">
      <c r="A212" s="213"/>
      <c r="B212" s="213"/>
      <c r="C212" s="213"/>
      <c r="D212" s="213"/>
      <c r="E212" s="213"/>
      <c r="F212" s="213"/>
      <c r="G212" s="213"/>
      <c r="H212" s="213"/>
      <c r="I212" s="946"/>
      <c r="J212" s="213"/>
      <c r="K212" s="213"/>
      <c r="L212" s="213"/>
      <c r="M212" s="213"/>
      <c r="N212" s="213"/>
      <c r="O212" s="328"/>
      <c r="P212" s="213"/>
      <c r="Q212" s="213"/>
      <c r="R212" s="213"/>
      <c r="S212" s="213"/>
      <c r="T212" s="213"/>
      <c r="U212" s="213"/>
      <c r="V212" s="213"/>
      <c r="W212" s="213"/>
      <c r="X212" s="213"/>
      <c r="Y212" s="213"/>
      <c r="Z212" s="213"/>
      <c r="AA212" s="213"/>
      <c r="AB212" s="213"/>
      <c r="AC212" s="213"/>
      <c r="AD212" s="213"/>
      <c r="AE212" s="213"/>
      <c r="AF212" s="213"/>
      <c r="AG212" s="213"/>
      <c r="AH212" s="213"/>
    </row>
    <row r="213" ht="15.75" customHeight="1">
      <c r="A213" s="213"/>
      <c r="B213" s="213"/>
      <c r="C213" s="213"/>
      <c r="D213" s="213"/>
      <c r="E213" s="213"/>
      <c r="F213" s="213"/>
      <c r="G213" s="213"/>
      <c r="H213" s="213"/>
      <c r="I213" s="946"/>
      <c r="J213" s="213"/>
      <c r="K213" s="213"/>
      <c r="L213" s="213"/>
      <c r="M213" s="213"/>
      <c r="N213" s="213"/>
      <c r="O213" s="328"/>
      <c r="P213" s="213"/>
      <c r="Q213" s="213"/>
      <c r="R213" s="213"/>
      <c r="S213" s="213"/>
      <c r="T213" s="213"/>
      <c r="U213" s="213"/>
      <c r="V213" s="213"/>
      <c r="W213" s="213"/>
      <c r="X213" s="213"/>
      <c r="Y213" s="213"/>
      <c r="Z213" s="213"/>
      <c r="AA213" s="213"/>
      <c r="AB213" s="213"/>
      <c r="AC213" s="213"/>
      <c r="AD213" s="213"/>
      <c r="AE213" s="213"/>
      <c r="AF213" s="213"/>
      <c r="AG213" s="213"/>
      <c r="AH213" s="213"/>
    </row>
    <row r="214" ht="15.75" customHeight="1">
      <c r="A214" s="213"/>
      <c r="B214" s="213"/>
      <c r="C214" s="213"/>
      <c r="D214" s="213"/>
      <c r="E214" s="213"/>
      <c r="F214" s="213"/>
      <c r="G214" s="213"/>
      <c r="H214" s="213"/>
      <c r="I214" s="946"/>
      <c r="J214" s="213"/>
      <c r="K214" s="213"/>
      <c r="L214" s="213"/>
      <c r="M214" s="213"/>
      <c r="N214" s="213"/>
      <c r="O214" s="328"/>
      <c r="P214" s="213"/>
      <c r="Q214" s="213"/>
      <c r="R214" s="213"/>
      <c r="S214" s="213"/>
      <c r="T214" s="213"/>
      <c r="U214" s="213"/>
      <c r="V214" s="213"/>
      <c r="W214" s="213"/>
      <c r="X214" s="213"/>
      <c r="Y214" s="213"/>
      <c r="Z214" s="213"/>
      <c r="AA214" s="213"/>
      <c r="AB214" s="213"/>
      <c r="AC214" s="213"/>
      <c r="AD214" s="213"/>
      <c r="AE214" s="213"/>
      <c r="AF214" s="213"/>
      <c r="AG214" s="213"/>
      <c r="AH214" s="213"/>
    </row>
    <row r="215" ht="15.75" customHeight="1">
      <c r="A215" s="213"/>
      <c r="B215" s="213"/>
      <c r="C215" s="213"/>
      <c r="D215" s="213"/>
      <c r="E215" s="213"/>
      <c r="F215" s="213"/>
      <c r="G215" s="213"/>
      <c r="H215" s="213"/>
      <c r="I215" s="946"/>
      <c r="J215" s="213"/>
      <c r="K215" s="213"/>
      <c r="L215" s="213"/>
      <c r="M215" s="213"/>
      <c r="N215" s="213"/>
      <c r="O215" s="328"/>
      <c r="P215" s="213"/>
      <c r="Q215" s="213"/>
      <c r="R215" s="213"/>
      <c r="S215" s="213"/>
      <c r="T215" s="213"/>
      <c r="U215" s="213"/>
      <c r="V215" s="213"/>
      <c r="W215" s="213"/>
      <c r="X215" s="213"/>
      <c r="Y215" s="213"/>
      <c r="Z215" s="213"/>
      <c r="AA215" s="213"/>
      <c r="AB215" s="213"/>
      <c r="AC215" s="213"/>
      <c r="AD215" s="213"/>
      <c r="AE215" s="213"/>
      <c r="AF215" s="213"/>
      <c r="AG215" s="213"/>
      <c r="AH215" s="213"/>
    </row>
    <row r="216" ht="15.75" customHeight="1">
      <c r="A216" s="213"/>
      <c r="B216" s="213"/>
      <c r="C216" s="213"/>
      <c r="D216" s="213"/>
      <c r="E216" s="213"/>
      <c r="F216" s="213"/>
      <c r="G216" s="213"/>
      <c r="H216" s="213"/>
      <c r="I216" s="946"/>
      <c r="J216" s="213"/>
      <c r="K216" s="213"/>
      <c r="L216" s="213"/>
      <c r="M216" s="213"/>
      <c r="N216" s="213"/>
      <c r="O216" s="328"/>
      <c r="P216" s="213"/>
      <c r="Q216" s="213"/>
      <c r="R216" s="213"/>
      <c r="S216" s="213"/>
      <c r="T216" s="213"/>
      <c r="U216" s="213"/>
      <c r="V216" s="213"/>
      <c r="W216" s="213"/>
      <c r="X216" s="213"/>
      <c r="Y216" s="213"/>
      <c r="Z216" s="213"/>
      <c r="AA216" s="213"/>
      <c r="AB216" s="213"/>
      <c r="AC216" s="213"/>
      <c r="AD216" s="213"/>
      <c r="AE216" s="213"/>
      <c r="AF216" s="213"/>
      <c r="AG216" s="213"/>
      <c r="AH216" s="213"/>
    </row>
    <row r="217" ht="15.75" customHeight="1">
      <c r="A217" s="213"/>
      <c r="B217" s="213"/>
      <c r="C217" s="213"/>
      <c r="D217" s="213"/>
      <c r="E217" s="213"/>
      <c r="F217" s="213"/>
      <c r="G217" s="213"/>
      <c r="H217" s="213"/>
      <c r="I217" s="946"/>
      <c r="J217" s="213"/>
      <c r="K217" s="213"/>
      <c r="L217" s="213"/>
      <c r="M217" s="213"/>
      <c r="N217" s="213"/>
      <c r="O217" s="328"/>
      <c r="P217" s="213"/>
      <c r="Q217" s="213"/>
      <c r="R217" s="213"/>
      <c r="S217" s="213"/>
      <c r="T217" s="213"/>
      <c r="U217" s="213"/>
      <c r="V217" s="213"/>
      <c r="W217" s="213"/>
      <c r="X217" s="213"/>
      <c r="Y217" s="213"/>
      <c r="Z217" s="213"/>
      <c r="AA217" s="213"/>
      <c r="AB217" s="213"/>
      <c r="AC217" s="213"/>
      <c r="AD217" s="213"/>
      <c r="AE217" s="213"/>
      <c r="AF217" s="213"/>
      <c r="AG217" s="213"/>
      <c r="AH217" s="213"/>
    </row>
    <row r="218" ht="15.75" customHeight="1">
      <c r="A218" s="213"/>
      <c r="B218" s="213"/>
      <c r="C218" s="213"/>
      <c r="D218" s="213"/>
      <c r="E218" s="213"/>
      <c r="F218" s="213"/>
      <c r="G218" s="213"/>
      <c r="H218" s="213"/>
      <c r="I218" s="946"/>
      <c r="J218" s="213"/>
      <c r="K218" s="213"/>
      <c r="L218" s="213"/>
      <c r="M218" s="213"/>
      <c r="N218" s="213"/>
      <c r="O218" s="328"/>
      <c r="P218" s="213"/>
      <c r="Q218" s="213"/>
      <c r="R218" s="213"/>
      <c r="S218" s="213"/>
      <c r="T218" s="213"/>
      <c r="U218" s="213"/>
      <c r="V218" s="213"/>
      <c r="W218" s="213"/>
      <c r="X218" s="213"/>
      <c r="Y218" s="213"/>
      <c r="Z218" s="213"/>
      <c r="AA218" s="213"/>
      <c r="AB218" s="213"/>
      <c r="AC218" s="213"/>
      <c r="AD218" s="213"/>
      <c r="AE218" s="213"/>
      <c r="AF218" s="213"/>
      <c r="AG218" s="213"/>
      <c r="AH218" s="213"/>
    </row>
    <row r="219" ht="15.75" customHeight="1">
      <c r="A219" s="213"/>
      <c r="B219" s="213"/>
      <c r="C219" s="213"/>
      <c r="D219" s="213"/>
      <c r="E219" s="213"/>
      <c r="F219" s="213"/>
      <c r="G219" s="213"/>
      <c r="H219" s="213"/>
      <c r="I219" s="946"/>
      <c r="J219" s="213"/>
      <c r="K219" s="213"/>
      <c r="L219" s="213"/>
      <c r="M219" s="213"/>
      <c r="N219" s="213"/>
      <c r="O219" s="328"/>
      <c r="P219" s="213"/>
      <c r="Q219" s="213"/>
      <c r="R219" s="213"/>
      <c r="S219" s="213"/>
      <c r="T219" s="213"/>
      <c r="U219" s="213"/>
      <c r="V219" s="213"/>
      <c r="W219" s="213"/>
      <c r="X219" s="213"/>
      <c r="Y219" s="213"/>
      <c r="Z219" s="213"/>
      <c r="AA219" s="213"/>
      <c r="AB219" s="213"/>
      <c r="AC219" s="213"/>
      <c r="AD219" s="213"/>
      <c r="AE219" s="213"/>
      <c r="AF219" s="213"/>
      <c r="AG219" s="213"/>
      <c r="AH219" s="213"/>
    </row>
    <row r="220" ht="15.75" customHeight="1">
      <c r="A220" s="213"/>
      <c r="B220" s="213"/>
      <c r="C220" s="213"/>
      <c r="D220" s="213"/>
      <c r="E220" s="213"/>
      <c r="F220" s="213"/>
      <c r="G220" s="213"/>
      <c r="H220" s="213"/>
      <c r="I220" s="946"/>
      <c r="J220" s="213"/>
      <c r="K220" s="213"/>
      <c r="L220" s="213"/>
      <c r="M220" s="213"/>
      <c r="N220" s="213"/>
      <c r="O220" s="328"/>
      <c r="P220" s="213"/>
      <c r="Q220" s="213"/>
      <c r="R220" s="213"/>
      <c r="S220" s="213"/>
      <c r="T220" s="213"/>
      <c r="U220" s="213"/>
      <c r="V220" s="213"/>
      <c r="W220" s="213"/>
      <c r="X220" s="213"/>
      <c r="Y220" s="213"/>
      <c r="Z220" s="213"/>
      <c r="AA220" s="213"/>
      <c r="AB220" s="213"/>
      <c r="AC220" s="213"/>
      <c r="AD220" s="213"/>
      <c r="AE220" s="213"/>
      <c r="AF220" s="213"/>
      <c r="AG220" s="213"/>
      <c r="AH220" s="213"/>
    </row>
    <row r="221" ht="15.75" customHeight="1">
      <c r="A221" s="213"/>
      <c r="B221" s="213"/>
      <c r="C221" s="213"/>
      <c r="D221" s="213"/>
      <c r="E221" s="213"/>
      <c r="F221" s="213"/>
      <c r="G221" s="213"/>
      <c r="H221" s="213"/>
      <c r="I221" s="946"/>
      <c r="J221" s="213"/>
      <c r="K221" s="213"/>
      <c r="L221" s="213"/>
      <c r="M221" s="213"/>
      <c r="N221" s="213"/>
      <c r="O221" s="328"/>
      <c r="P221" s="213"/>
      <c r="Q221" s="213"/>
      <c r="R221" s="213"/>
      <c r="S221" s="213"/>
      <c r="T221" s="213"/>
      <c r="U221" s="213"/>
      <c r="V221" s="213"/>
      <c r="W221" s="213"/>
      <c r="X221" s="213"/>
      <c r="Y221" s="213"/>
      <c r="Z221" s="213"/>
      <c r="AA221" s="213"/>
      <c r="AB221" s="213"/>
      <c r="AC221" s="213"/>
      <c r="AD221" s="213"/>
      <c r="AE221" s="213"/>
      <c r="AF221" s="213"/>
      <c r="AG221" s="213"/>
      <c r="AH221" s="213"/>
    </row>
    <row r="222" ht="15.75" customHeight="1">
      <c r="A222" s="213"/>
      <c r="B222" s="213"/>
      <c r="C222" s="213"/>
      <c r="D222" s="213"/>
      <c r="E222" s="213"/>
      <c r="F222" s="213"/>
      <c r="G222" s="213"/>
      <c r="H222" s="213"/>
      <c r="I222" s="946"/>
      <c r="J222" s="213"/>
      <c r="K222" s="213"/>
      <c r="L222" s="213"/>
      <c r="M222" s="213"/>
      <c r="N222" s="213"/>
      <c r="O222" s="328"/>
      <c r="P222" s="213"/>
      <c r="Q222" s="213"/>
      <c r="R222" s="213"/>
      <c r="S222" s="213"/>
      <c r="T222" s="213"/>
      <c r="U222" s="213"/>
      <c r="V222" s="213"/>
      <c r="W222" s="213"/>
      <c r="X222" s="213"/>
      <c r="Y222" s="213"/>
      <c r="Z222" s="213"/>
      <c r="AA222" s="213"/>
      <c r="AB222" s="213"/>
      <c r="AC222" s="213"/>
      <c r="AD222" s="213"/>
      <c r="AE222" s="213"/>
      <c r="AF222" s="213"/>
      <c r="AG222" s="213"/>
      <c r="AH222" s="213"/>
    </row>
    <row r="223" ht="15.75" customHeight="1">
      <c r="A223" s="213"/>
      <c r="B223" s="213"/>
      <c r="C223" s="213"/>
      <c r="D223" s="213"/>
      <c r="E223" s="213"/>
      <c r="F223" s="213"/>
      <c r="G223" s="213"/>
      <c r="H223" s="213"/>
      <c r="I223" s="946"/>
      <c r="J223" s="213"/>
      <c r="K223" s="213"/>
      <c r="L223" s="213"/>
      <c r="M223" s="213"/>
      <c r="N223" s="213"/>
      <c r="O223" s="328"/>
      <c r="P223" s="213"/>
      <c r="Q223" s="213"/>
      <c r="R223" s="213"/>
      <c r="S223" s="213"/>
      <c r="T223" s="213"/>
      <c r="U223" s="213"/>
      <c r="V223" s="213"/>
      <c r="W223" s="213"/>
      <c r="X223" s="213"/>
      <c r="Y223" s="213"/>
      <c r="Z223" s="213"/>
      <c r="AA223" s="213"/>
      <c r="AB223" s="213"/>
      <c r="AC223" s="213"/>
      <c r="AD223" s="213"/>
      <c r="AE223" s="213"/>
      <c r="AF223" s="213"/>
      <c r="AG223" s="213"/>
      <c r="AH223" s="213"/>
    </row>
    <row r="224" ht="15.75" customHeight="1">
      <c r="A224" s="213"/>
      <c r="B224" s="213"/>
      <c r="C224" s="213"/>
      <c r="D224" s="213"/>
      <c r="E224" s="213"/>
      <c r="F224" s="213"/>
      <c r="G224" s="213"/>
      <c r="H224" s="213"/>
      <c r="I224" s="946"/>
      <c r="J224" s="213"/>
      <c r="K224" s="213"/>
      <c r="L224" s="213"/>
      <c r="M224" s="213"/>
      <c r="N224" s="213"/>
      <c r="O224" s="328"/>
      <c r="P224" s="213"/>
      <c r="Q224" s="213"/>
      <c r="R224" s="213"/>
      <c r="S224" s="213"/>
      <c r="T224" s="213"/>
      <c r="U224" s="213"/>
      <c r="V224" s="213"/>
      <c r="W224" s="213"/>
      <c r="X224" s="213"/>
      <c r="Y224" s="213"/>
      <c r="Z224" s="213"/>
      <c r="AA224" s="213"/>
      <c r="AB224" s="213"/>
      <c r="AC224" s="213"/>
      <c r="AD224" s="213"/>
      <c r="AE224" s="213"/>
      <c r="AF224" s="213"/>
      <c r="AG224" s="213"/>
      <c r="AH224" s="213"/>
    </row>
    <row r="225" ht="15.75" customHeight="1">
      <c r="A225" s="213"/>
      <c r="B225" s="213"/>
      <c r="C225" s="213"/>
      <c r="D225" s="213"/>
      <c r="E225" s="213"/>
      <c r="F225" s="213"/>
      <c r="G225" s="213"/>
      <c r="H225" s="213"/>
      <c r="I225" s="946"/>
      <c r="J225" s="213"/>
      <c r="K225" s="213"/>
      <c r="L225" s="213"/>
      <c r="M225" s="213"/>
      <c r="N225" s="213"/>
      <c r="O225" s="328"/>
      <c r="P225" s="213"/>
      <c r="Q225" s="213"/>
      <c r="R225" s="213"/>
      <c r="S225" s="213"/>
      <c r="T225" s="213"/>
      <c r="U225" s="213"/>
      <c r="V225" s="213"/>
      <c r="W225" s="213"/>
      <c r="X225" s="213"/>
      <c r="Y225" s="213"/>
      <c r="Z225" s="213"/>
      <c r="AA225" s="213"/>
      <c r="AB225" s="213"/>
      <c r="AC225" s="213"/>
      <c r="AD225" s="213"/>
      <c r="AE225" s="213"/>
      <c r="AF225" s="213"/>
      <c r="AG225" s="213"/>
      <c r="AH225" s="213"/>
    </row>
    <row r="226" ht="15.75" customHeight="1">
      <c r="A226" s="213"/>
      <c r="B226" s="213"/>
      <c r="C226" s="213"/>
      <c r="D226" s="213"/>
      <c r="E226" s="213"/>
      <c r="F226" s="213"/>
      <c r="G226" s="213"/>
      <c r="H226" s="213"/>
      <c r="I226" s="946"/>
      <c r="J226" s="213"/>
      <c r="K226" s="213"/>
      <c r="L226" s="213"/>
      <c r="M226" s="213"/>
      <c r="N226" s="213"/>
      <c r="O226" s="328"/>
      <c r="P226" s="213"/>
      <c r="Q226" s="213"/>
      <c r="R226" s="213"/>
      <c r="S226" s="213"/>
      <c r="T226" s="213"/>
      <c r="U226" s="213"/>
      <c r="V226" s="213"/>
      <c r="W226" s="213"/>
      <c r="X226" s="213"/>
      <c r="Y226" s="213"/>
      <c r="Z226" s="213"/>
      <c r="AA226" s="213"/>
      <c r="AB226" s="213"/>
      <c r="AC226" s="213"/>
      <c r="AD226" s="213"/>
      <c r="AE226" s="213"/>
      <c r="AF226" s="213"/>
      <c r="AG226" s="213"/>
      <c r="AH226" s="213"/>
    </row>
    <row r="227" ht="15.75" customHeight="1">
      <c r="A227" s="213"/>
      <c r="B227" s="213"/>
      <c r="C227" s="213"/>
      <c r="D227" s="213"/>
      <c r="E227" s="213"/>
      <c r="F227" s="213"/>
      <c r="G227" s="213"/>
      <c r="H227" s="213"/>
      <c r="I227" s="946"/>
      <c r="J227" s="213"/>
      <c r="K227" s="213"/>
      <c r="L227" s="213"/>
      <c r="M227" s="213"/>
      <c r="N227" s="213"/>
      <c r="O227" s="328"/>
      <c r="P227" s="213"/>
      <c r="Q227" s="213"/>
      <c r="R227" s="213"/>
      <c r="S227" s="213"/>
      <c r="T227" s="213"/>
      <c r="U227" s="213"/>
      <c r="V227" s="213"/>
      <c r="W227" s="213"/>
      <c r="X227" s="213"/>
      <c r="Y227" s="213"/>
      <c r="Z227" s="213"/>
      <c r="AA227" s="213"/>
      <c r="AB227" s="213"/>
      <c r="AC227" s="213"/>
      <c r="AD227" s="213"/>
      <c r="AE227" s="213"/>
      <c r="AF227" s="213"/>
      <c r="AG227" s="213"/>
      <c r="AH227" s="213"/>
    </row>
    <row r="228" ht="15.75" customHeight="1">
      <c r="A228" s="213"/>
      <c r="B228" s="213"/>
      <c r="C228" s="213"/>
      <c r="D228" s="213"/>
      <c r="E228" s="213"/>
      <c r="F228" s="213"/>
      <c r="G228" s="213"/>
      <c r="H228" s="213"/>
      <c r="I228" s="946"/>
      <c r="J228" s="213"/>
      <c r="K228" s="213"/>
      <c r="L228" s="213"/>
      <c r="M228" s="213"/>
      <c r="N228" s="213"/>
      <c r="O228" s="328"/>
      <c r="P228" s="213"/>
      <c r="Q228" s="213"/>
      <c r="R228" s="213"/>
      <c r="S228" s="213"/>
      <c r="T228" s="213"/>
      <c r="U228" s="213"/>
      <c r="V228" s="213"/>
      <c r="W228" s="213"/>
      <c r="X228" s="213"/>
      <c r="Y228" s="213"/>
      <c r="Z228" s="213"/>
      <c r="AA228" s="213"/>
      <c r="AB228" s="213"/>
      <c r="AC228" s="213"/>
      <c r="AD228" s="213"/>
      <c r="AE228" s="213"/>
      <c r="AF228" s="213"/>
      <c r="AG228" s="213"/>
      <c r="AH228" s="213"/>
    </row>
    <row r="229" ht="15.75" customHeight="1">
      <c r="A229" s="213"/>
      <c r="B229" s="213"/>
      <c r="C229" s="213"/>
      <c r="D229" s="213"/>
      <c r="E229" s="213"/>
      <c r="F229" s="213"/>
      <c r="G229" s="213"/>
      <c r="H229" s="213"/>
      <c r="I229" s="946"/>
      <c r="J229" s="213"/>
      <c r="K229" s="213"/>
      <c r="L229" s="213"/>
      <c r="M229" s="213"/>
      <c r="N229" s="213"/>
      <c r="O229" s="328"/>
      <c r="P229" s="213"/>
      <c r="Q229" s="213"/>
      <c r="R229" s="213"/>
      <c r="S229" s="213"/>
      <c r="T229" s="213"/>
      <c r="U229" s="213"/>
      <c r="V229" s="213"/>
      <c r="W229" s="213"/>
      <c r="X229" s="213"/>
      <c r="Y229" s="213"/>
      <c r="Z229" s="213"/>
      <c r="AA229" s="213"/>
      <c r="AB229" s="213"/>
      <c r="AC229" s="213"/>
      <c r="AD229" s="213"/>
      <c r="AE229" s="213"/>
      <c r="AF229" s="213"/>
      <c r="AG229" s="213"/>
      <c r="AH229" s="213"/>
    </row>
    <row r="230" ht="15.75" customHeight="1">
      <c r="A230" s="213"/>
      <c r="B230" s="213"/>
      <c r="C230" s="213"/>
      <c r="D230" s="213"/>
      <c r="E230" s="213"/>
      <c r="F230" s="213"/>
      <c r="G230" s="213"/>
      <c r="H230" s="213"/>
      <c r="I230" s="946"/>
      <c r="J230" s="213"/>
      <c r="K230" s="213"/>
      <c r="L230" s="213"/>
      <c r="M230" s="213"/>
      <c r="N230" s="213"/>
      <c r="O230" s="328"/>
      <c r="P230" s="213"/>
      <c r="Q230" s="213"/>
      <c r="R230" s="213"/>
      <c r="S230" s="213"/>
      <c r="T230" s="213"/>
      <c r="U230" s="213"/>
      <c r="V230" s="213"/>
      <c r="W230" s="213"/>
      <c r="X230" s="213"/>
      <c r="Y230" s="213"/>
      <c r="Z230" s="213"/>
      <c r="AA230" s="213"/>
      <c r="AB230" s="213"/>
      <c r="AC230" s="213"/>
      <c r="AD230" s="213"/>
      <c r="AE230" s="213"/>
      <c r="AF230" s="213"/>
      <c r="AG230" s="213"/>
      <c r="AH230" s="213"/>
    </row>
    <row r="231" ht="15.75" customHeight="1">
      <c r="A231" s="213"/>
      <c r="B231" s="213"/>
      <c r="C231" s="213"/>
      <c r="D231" s="213"/>
      <c r="E231" s="213"/>
      <c r="F231" s="213"/>
      <c r="G231" s="213"/>
      <c r="H231" s="213"/>
      <c r="I231" s="946"/>
      <c r="J231" s="213"/>
      <c r="K231" s="213"/>
      <c r="L231" s="213"/>
      <c r="M231" s="213"/>
      <c r="N231" s="213"/>
      <c r="O231" s="328"/>
      <c r="P231" s="213"/>
      <c r="Q231" s="213"/>
      <c r="R231" s="213"/>
      <c r="S231" s="213"/>
      <c r="T231" s="213"/>
      <c r="U231" s="213"/>
      <c r="V231" s="213"/>
      <c r="W231" s="213"/>
      <c r="X231" s="213"/>
      <c r="Y231" s="213"/>
      <c r="Z231" s="213"/>
      <c r="AA231" s="213"/>
      <c r="AB231" s="213"/>
      <c r="AC231" s="213"/>
      <c r="AD231" s="213"/>
      <c r="AE231" s="213"/>
      <c r="AF231" s="213"/>
      <c r="AG231" s="213"/>
      <c r="AH231" s="213"/>
    </row>
    <row r="232" ht="15.75" customHeight="1">
      <c r="A232" s="213"/>
      <c r="B232" s="213"/>
      <c r="C232" s="213"/>
      <c r="D232" s="213"/>
      <c r="E232" s="213"/>
      <c r="F232" s="213"/>
      <c r="G232" s="213"/>
      <c r="H232" s="213"/>
      <c r="I232" s="946"/>
      <c r="J232" s="213"/>
      <c r="K232" s="213"/>
      <c r="L232" s="213"/>
      <c r="M232" s="213"/>
      <c r="N232" s="213"/>
      <c r="O232" s="328"/>
      <c r="P232" s="213"/>
      <c r="Q232" s="213"/>
      <c r="R232" s="213"/>
      <c r="S232" s="213"/>
      <c r="T232" s="213"/>
      <c r="U232" s="213"/>
      <c r="V232" s="213"/>
      <c r="W232" s="213"/>
      <c r="X232" s="213"/>
      <c r="Y232" s="213"/>
      <c r="Z232" s="213"/>
      <c r="AA232" s="213"/>
      <c r="AB232" s="213"/>
      <c r="AC232" s="213"/>
      <c r="AD232" s="213"/>
      <c r="AE232" s="213"/>
      <c r="AF232" s="213"/>
      <c r="AG232" s="213"/>
      <c r="AH232" s="213"/>
    </row>
    <row r="233" ht="15.75" customHeight="1">
      <c r="A233" s="213"/>
      <c r="B233" s="213"/>
      <c r="C233" s="213"/>
      <c r="D233" s="213"/>
      <c r="E233" s="213"/>
      <c r="F233" s="213"/>
      <c r="G233" s="213"/>
      <c r="H233" s="213"/>
      <c r="I233" s="946"/>
      <c r="J233" s="213"/>
      <c r="K233" s="213"/>
      <c r="L233" s="213"/>
      <c r="M233" s="213"/>
      <c r="N233" s="213"/>
      <c r="O233" s="328"/>
      <c r="P233" s="213"/>
      <c r="Q233" s="213"/>
      <c r="R233" s="213"/>
      <c r="S233" s="213"/>
      <c r="T233" s="213"/>
      <c r="U233" s="213"/>
      <c r="V233" s="213"/>
      <c r="W233" s="213"/>
      <c r="X233" s="213"/>
      <c r="Y233" s="213"/>
      <c r="Z233" s="213"/>
      <c r="AA233" s="213"/>
      <c r="AB233" s="213"/>
      <c r="AC233" s="213"/>
      <c r="AD233" s="213"/>
      <c r="AE233" s="213"/>
      <c r="AF233" s="213"/>
      <c r="AG233" s="213"/>
      <c r="AH233" s="213"/>
    </row>
    <row r="234" ht="15.75" customHeight="1">
      <c r="A234" s="213"/>
      <c r="B234" s="213"/>
      <c r="C234" s="213"/>
      <c r="D234" s="213"/>
      <c r="E234" s="213"/>
      <c r="F234" s="213"/>
      <c r="G234" s="213"/>
      <c r="H234" s="213"/>
      <c r="I234" s="946"/>
      <c r="J234" s="213"/>
      <c r="K234" s="213"/>
      <c r="L234" s="213"/>
      <c r="M234" s="213"/>
      <c r="N234" s="213"/>
      <c r="O234" s="328"/>
      <c r="P234" s="213"/>
      <c r="Q234" s="213"/>
      <c r="R234" s="213"/>
      <c r="S234" s="213"/>
      <c r="T234" s="213"/>
      <c r="U234" s="213"/>
      <c r="V234" s="213"/>
      <c r="W234" s="213"/>
      <c r="X234" s="213"/>
      <c r="Y234" s="213"/>
      <c r="Z234" s="213"/>
      <c r="AA234" s="213"/>
      <c r="AB234" s="213"/>
      <c r="AC234" s="213"/>
      <c r="AD234" s="213"/>
      <c r="AE234" s="213"/>
      <c r="AF234" s="213"/>
      <c r="AG234" s="213"/>
      <c r="AH234" s="213"/>
    </row>
    <row r="235" ht="15.75" customHeight="1">
      <c r="A235" s="213"/>
      <c r="B235" s="213"/>
      <c r="C235" s="213"/>
      <c r="D235" s="213"/>
      <c r="E235" s="213"/>
      <c r="F235" s="213"/>
      <c r="G235" s="213"/>
      <c r="H235" s="213"/>
      <c r="I235" s="946"/>
      <c r="J235" s="213"/>
      <c r="K235" s="213"/>
      <c r="L235" s="213"/>
      <c r="M235" s="213"/>
      <c r="N235" s="213"/>
      <c r="O235" s="328"/>
      <c r="P235" s="213"/>
      <c r="Q235" s="213"/>
      <c r="R235" s="213"/>
      <c r="S235" s="213"/>
      <c r="T235" s="213"/>
      <c r="U235" s="213"/>
      <c r="V235" s="213"/>
      <c r="W235" s="213"/>
      <c r="X235" s="213"/>
      <c r="Y235" s="213"/>
      <c r="Z235" s="213"/>
      <c r="AA235" s="213"/>
      <c r="AB235" s="213"/>
      <c r="AC235" s="213"/>
      <c r="AD235" s="213"/>
      <c r="AE235" s="213"/>
      <c r="AF235" s="213"/>
      <c r="AG235" s="213"/>
      <c r="AH235" s="213"/>
    </row>
    <row r="236" ht="15.75" customHeight="1">
      <c r="A236" s="213"/>
      <c r="B236" s="213"/>
      <c r="C236" s="213"/>
      <c r="D236" s="213"/>
      <c r="E236" s="213"/>
      <c r="F236" s="213"/>
      <c r="G236" s="213"/>
      <c r="H236" s="213"/>
      <c r="I236" s="946"/>
      <c r="J236" s="213"/>
      <c r="K236" s="213"/>
      <c r="L236" s="213"/>
      <c r="M236" s="213"/>
      <c r="N236" s="213"/>
      <c r="O236" s="328"/>
      <c r="P236" s="213"/>
      <c r="Q236" s="213"/>
      <c r="R236" s="213"/>
      <c r="S236" s="213"/>
      <c r="T236" s="213"/>
      <c r="U236" s="213"/>
      <c r="V236" s="213"/>
      <c r="W236" s="213"/>
      <c r="X236" s="213"/>
      <c r="Y236" s="213"/>
      <c r="Z236" s="213"/>
      <c r="AA236" s="213"/>
      <c r="AB236" s="213"/>
      <c r="AC236" s="213"/>
      <c r="AD236" s="213"/>
      <c r="AE236" s="213"/>
      <c r="AF236" s="213"/>
      <c r="AG236" s="213"/>
      <c r="AH236" s="213"/>
    </row>
    <row r="237" ht="15.75" customHeight="1">
      <c r="A237" s="213"/>
      <c r="B237" s="213"/>
      <c r="C237" s="213"/>
      <c r="D237" s="213"/>
      <c r="E237" s="213"/>
      <c r="F237" s="213"/>
      <c r="G237" s="213"/>
      <c r="H237" s="213"/>
      <c r="I237" s="946"/>
      <c r="J237" s="213"/>
      <c r="K237" s="213"/>
      <c r="L237" s="213"/>
      <c r="M237" s="213"/>
      <c r="N237" s="213"/>
      <c r="O237" s="328"/>
      <c r="P237" s="213"/>
      <c r="Q237" s="213"/>
      <c r="R237" s="213"/>
      <c r="S237" s="213"/>
      <c r="T237" s="213"/>
      <c r="U237" s="213"/>
      <c r="V237" s="213"/>
      <c r="W237" s="213"/>
      <c r="X237" s="213"/>
      <c r="Y237" s="213"/>
      <c r="Z237" s="213"/>
      <c r="AA237" s="213"/>
      <c r="AB237" s="213"/>
      <c r="AC237" s="213"/>
      <c r="AD237" s="213"/>
      <c r="AE237" s="213"/>
      <c r="AF237" s="213"/>
      <c r="AG237" s="213"/>
      <c r="AH237" s="213"/>
    </row>
    <row r="238" ht="15.75" customHeight="1">
      <c r="A238" s="213"/>
      <c r="B238" s="213"/>
      <c r="C238" s="213"/>
      <c r="D238" s="213"/>
      <c r="E238" s="213"/>
      <c r="F238" s="213"/>
      <c r="G238" s="213"/>
      <c r="H238" s="213"/>
      <c r="I238" s="946"/>
      <c r="J238" s="213"/>
      <c r="K238" s="213"/>
      <c r="L238" s="213"/>
      <c r="M238" s="213"/>
      <c r="N238" s="213"/>
      <c r="O238" s="328"/>
      <c r="P238" s="213"/>
      <c r="Q238" s="213"/>
      <c r="R238" s="213"/>
      <c r="S238" s="213"/>
      <c r="T238" s="213"/>
      <c r="U238" s="213"/>
      <c r="V238" s="213"/>
      <c r="W238" s="213"/>
      <c r="X238" s="213"/>
      <c r="Y238" s="213"/>
      <c r="Z238" s="213"/>
      <c r="AA238" s="213"/>
      <c r="AB238" s="213"/>
      <c r="AC238" s="213"/>
      <c r="AD238" s="213"/>
      <c r="AE238" s="213"/>
      <c r="AF238" s="213"/>
      <c r="AG238" s="213"/>
      <c r="AH238" s="213"/>
    </row>
    <row r="239" ht="15.75" customHeight="1">
      <c r="A239" s="213"/>
      <c r="B239" s="213"/>
      <c r="C239" s="213"/>
      <c r="D239" s="213"/>
      <c r="E239" s="213"/>
      <c r="F239" s="213"/>
      <c r="G239" s="213"/>
      <c r="H239" s="213"/>
      <c r="I239" s="946"/>
      <c r="J239" s="213"/>
      <c r="K239" s="213"/>
      <c r="L239" s="213"/>
      <c r="M239" s="213"/>
      <c r="N239" s="213"/>
      <c r="O239" s="328"/>
      <c r="P239" s="213"/>
      <c r="Q239" s="213"/>
      <c r="R239" s="213"/>
      <c r="S239" s="213"/>
      <c r="T239" s="213"/>
      <c r="U239" s="213"/>
      <c r="V239" s="213"/>
      <c r="W239" s="213"/>
      <c r="X239" s="213"/>
      <c r="Y239" s="213"/>
      <c r="Z239" s="213"/>
      <c r="AA239" s="213"/>
      <c r="AB239" s="213"/>
      <c r="AC239" s="213"/>
      <c r="AD239" s="213"/>
      <c r="AE239" s="213"/>
      <c r="AF239" s="213"/>
      <c r="AG239" s="213"/>
      <c r="AH239" s="213"/>
    </row>
    <row r="240" ht="15.75" customHeight="1">
      <c r="A240" s="213"/>
      <c r="B240" s="213"/>
      <c r="C240" s="213"/>
      <c r="D240" s="213"/>
      <c r="E240" s="213"/>
      <c r="F240" s="213"/>
      <c r="G240" s="213"/>
      <c r="H240" s="213"/>
      <c r="I240" s="946"/>
      <c r="J240" s="213"/>
      <c r="K240" s="213"/>
      <c r="L240" s="213"/>
      <c r="M240" s="213"/>
      <c r="N240" s="213"/>
      <c r="O240" s="328"/>
      <c r="P240" s="213"/>
      <c r="Q240" s="213"/>
      <c r="R240" s="213"/>
      <c r="S240" s="213"/>
      <c r="T240" s="213"/>
      <c r="U240" s="213"/>
      <c r="V240" s="213"/>
      <c r="W240" s="213"/>
      <c r="X240" s="213"/>
      <c r="Y240" s="213"/>
      <c r="Z240" s="213"/>
      <c r="AA240" s="213"/>
      <c r="AB240" s="213"/>
      <c r="AC240" s="213"/>
      <c r="AD240" s="213"/>
      <c r="AE240" s="213"/>
      <c r="AF240" s="213"/>
      <c r="AG240" s="213"/>
      <c r="AH240" s="213"/>
    </row>
    <row r="241" ht="15.75" customHeight="1">
      <c r="A241" s="213"/>
      <c r="B241" s="213"/>
      <c r="C241" s="213"/>
      <c r="D241" s="213"/>
      <c r="E241" s="213"/>
      <c r="F241" s="213"/>
      <c r="G241" s="213"/>
      <c r="H241" s="213"/>
      <c r="I241" s="946"/>
      <c r="J241" s="213"/>
      <c r="K241" s="213"/>
      <c r="L241" s="213"/>
      <c r="M241" s="213"/>
      <c r="N241" s="213"/>
      <c r="O241" s="328"/>
      <c r="P241" s="213"/>
      <c r="Q241" s="213"/>
      <c r="R241" s="213"/>
      <c r="S241" s="213"/>
      <c r="T241" s="213"/>
      <c r="U241" s="213"/>
      <c r="V241" s="213"/>
      <c r="W241" s="213"/>
      <c r="X241" s="213"/>
      <c r="Y241" s="213"/>
      <c r="Z241" s="213"/>
      <c r="AA241" s="213"/>
      <c r="AB241" s="213"/>
      <c r="AC241" s="213"/>
      <c r="AD241" s="213"/>
      <c r="AE241" s="213"/>
      <c r="AF241" s="213"/>
      <c r="AG241" s="213"/>
      <c r="AH241" s="213"/>
    </row>
    <row r="242" ht="15.75" customHeight="1">
      <c r="A242" s="213"/>
      <c r="B242" s="213"/>
      <c r="C242" s="213"/>
      <c r="D242" s="213"/>
      <c r="E242" s="213"/>
      <c r="F242" s="213"/>
      <c r="G242" s="213"/>
      <c r="H242" s="213"/>
      <c r="I242" s="946"/>
      <c r="J242" s="213"/>
      <c r="K242" s="213"/>
      <c r="L242" s="213"/>
      <c r="M242" s="213"/>
      <c r="N242" s="213"/>
      <c r="O242" s="328"/>
      <c r="P242" s="213"/>
      <c r="Q242" s="213"/>
      <c r="R242" s="213"/>
      <c r="S242" s="213"/>
      <c r="T242" s="213"/>
      <c r="U242" s="213"/>
      <c r="V242" s="213"/>
      <c r="W242" s="213"/>
      <c r="X242" s="213"/>
      <c r="Y242" s="213"/>
      <c r="Z242" s="213"/>
      <c r="AA242" s="213"/>
      <c r="AB242" s="213"/>
      <c r="AC242" s="213"/>
      <c r="AD242" s="213"/>
      <c r="AE242" s="213"/>
      <c r="AF242" s="213"/>
      <c r="AG242" s="213"/>
      <c r="AH242" s="213"/>
    </row>
    <row r="243" ht="15.75" customHeight="1">
      <c r="A243" s="213"/>
      <c r="B243" s="213"/>
      <c r="C243" s="213"/>
      <c r="D243" s="213"/>
      <c r="E243" s="213"/>
      <c r="F243" s="213"/>
      <c r="G243" s="213"/>
      <c r="H243" s="213"/>
      <c r="I243" s="946"/>
      <c r="J243" s="213"/>
      <c r="K243" s="213"/>
      <c r="L243" s="213"/>
      <c r="M243" s="213"/>
      <c r="N243" s="213"/>
      <c r="O243" s="328"/>
      <c r="P243" s="213"/>
      <c r="Q243" s="213"/>
      <c r="R243" s="213"/>
      <c r="S243" s="213"/>
      <c r="T243" s="213"/>
      <c r="U243" s="213"/>
      <c r="V243" s="213"/>
      <c r="W243" s="213"/>
      <c r="X243" s="213"/>
      <c r="Y243" s="213"/>
      <c r="Z243" s="213"/>
      <c r="AA243" s="213"/>
      <c r="AB243" s="213"/>
      <c r="AC243" s="213"/>
      <c r="AD243" s="213"/>
      <c r="AE243" s="213"/>
      <c r="AF243" s="213"/>
      <c r="AG243" s="213"/>
      <c r="AH243" s="213"/>
    </row>
    <row r="244" ht="15.75" customHeight="1">
      <c r="A244" s="213"/>
      <c r="B244" s="213"/>
      <c r="C244" s="213"/>
      <c r="D244" s="213"/>
      <c r="E244" s="213"/>
      <c r="F244" s="213"/>
      <c r="G244" s="213"/>
      <c r="H244" s="213"/>
      <c r="I244" s="946"/>
      <c r="J244" s="213"/>
      <c r="K244" s="213"/>
      <c r="L244" s="213"/>
      <c r="M244" s="213"/>
      <c r="N244" s="213"/>
      <c r="O244" s="328"/>
      <c r="P244" s="213"/>
      <c r="Q244" s="213"/>
      <c r="R244" s="213"/>
      <c r="S244" s="213"/>
      <c r="T244" s="213"/>
      <c r="U244" s="213"/>
      <c r="V244" s="213"/>
      <c r="W244" s="213"/>
      <c r="X244" s="213"/>
      <c r="Y244" s="213"/>
      <c r="Z244" s="213"/>
      <c r="AA244" s="213"/>
      <c r="AB244" s="213"/>
      <c r="AC244" s="213"/>
      <c r="AD244" s="213"/>
      <c r="AE244" s="213"/>
      <c r="AF244" s="213"/>
      <c r="AG244" s="213"/>
      <c r="AH244" s="213"/>
    </row>
    <row r="245" ht="15.75" customHeight="1">
      <c r="A245" s="213"/>
      <c r="B245" s="213"/>
      <c r="C245" s="213"/>
      <c r="D245" s="213"/>
      <c r="E245" s="213"/>
      <c r="F245" s="213"/>
      <c r="G245" s="213"/>
      <c r="H245" s="213"/>
      <c r="I245" s="946"/>
      <c r="J245" s="213"/>
      <c r="K245" s="213"/>
      <c r="L245" s="213"/>
      <c r="M245" s="213"/>
      <c r="N245" s="213"/>
      <c r="O245" s="328"/>
      <c r="P245" s="213"/>
      <c r="Q245" s="213"/>
      <c r="R245" s="213"/>
      <c r="S245" s="213"/>
      <c r="T245" s="213"/>
      <c r="U245" s="213"/>
      <c r="V245" s="213"/>
      <c r="W245" s="213"/>
      <c r="X245" s="213"/>
      <c r="Y245" s="213"/>
      <c r="Z245" s="213"/>
      <c r="AA245" s="213"/>
      <c r="AB245" s="213"/>
      <c r="AC245" s="213"/>
      <c r="AD245" s="213"/>
      <c r="AE245" s="213"/>
      <c r="AF245" s="213"/>
      <c r="AG245" s="213"/>
      <c r="AH245" s="213"/>
    </row>
    <row r="246" ht="15.75" customHeight="1">
      <c r="A246" s="213"/>
      <c r="B246" s="213"/>
      <c r="C246" s="213"/>
      <c r="D246" s="213"/>
      <c r="E246" s="213"/>
      <c r="F246" s="213"/>
      <c r="G246" s="213"/>
      <c r="H246" s="213"/>
      <c r="I246" s="946"/>
      <c r="J246" s="213"/>
      <c r="K246" s="213"/>
      <c r="L246" s="213"/>
      <c r="M246" s="213"/>
      <c r="N246" s="213"/>
      <c r="O246" s="328"/>
      <c r="P246" s="213"/>
      <c r="Q246" s="213"/>
      <c r="R246" s="213"/>
      <c r="S246" s="213"/>
      <c r="T246" s="213"/>
      <c r="U246" s="213"/>
      <c r="V246" s="213"/>
      <c r="W246" s="213"/>
      <c r="X246" s="213"/>
      <c r="Y246" s="213"/>
      <c r="Z246" s="213"/>
      <c r="AA246" s="213"/>
      <c r="AB246" s="213"/>
      <c r="AC246" s="213"/>
      <c r="AD246" s="213"/>
      <c r="AE246" s="213"/>
      <c r="AF246" s="213"/>
      <c r="AG246" s="213"/>
      <c r="AH246" s="213"/>
    </row>
    <row r="247" ht="15.75" customHeight="1">
      <c r="A247" s="213"/>
      <c r="B247" s="213"/>
      <c r="C247" s="213"/>
      <c r="D247" s="213"/>
      <c r="E247" s="213"/>
      <c r="F247" s="213"/>
      <c r="G247" s="213"/>
      <c r="H247" s="213"/>
      <c r="I247" s="946"/>
      <c r="J247" s="213"/>
      <c r="K247" s="213"/>
      <c r="L247" s="213"/>
      <c r="M247" s="213"/>
      <c r="N247" s="213"/>
      <c r="O247" s="328"/>
      <c r="P247" s="213"/>
      <c r="Q247" s="213"/>
      <c r="R247" s="213"/>
      <c r="S247" s="213"/>
      <c r="T247" s="213"/>
      <c r="U247" s="213"/>
      <c r="V247" s="213"/>
      <c r="W247" s="213"/>
      <c r="X247" s="213"/>
      <c r="Y247" s="213"/>
      <c r="Z247" s="213"/>
      <c r="AA247" s="213"/>
      <c r="AB247" s="213"/>
      <c r="AC247" s="213"/>
      <c r="AD247" s="213"/>
      <c r="AE247" s="213"/>
      <c r="AF247" s="213"/>
      <c r="AG247" s="213"/>
      <c r="AH247" s="213"/>
    </row>
    <row r="248" ht="15.75" customHeight="1">
      <c r="A248" s="213"/>
      <c r="B248" s="213"/>
      <c r="C248" s="213"/>
      <c r="D248" s="213"/>
      <c r="E248" s="213"/>
      <c r="F248" s="213"/>
      <c r="G248" s="213"/>
      <c r="H248" s="213"/>
      <c r="I248" s="946"/>
      <c r="J248" s="213"/>
      <c r="K248" s="213"/>
      <c r="L248" s="213"/>
      <c r="M248" s="213"/>
      <c r="N248" s="213"/>
      <c r="O248" s="328"/>
      <c r="P248" s="213"/>
      <c r="Q248" s="213"/>
      <c r="R248" s="213"/>
      <c r="S248" s="213"/>
      <c r="T248" s="213"/>
      <c r="U248" s="213"/>
      <c r="V248" s="213"/>
      <c r="W248" s="213"/>
      <c r="X248" s="213"/>
      <c r="Y248" s="213"/>
      <c r="Z248" s="213"/>
      <c r="AA248" s="213"/>
      <c r="AB248" s="213"/>
      <c r="AC248" s="213"/>
      <c r="AD248" s="213"/>
      <c r="AE248" s="213"/>
      <c r="AF248" s="213"/>
      <c r="AG248" s="213"/>
      <c r="AH248" s="213"/>
    </row>
    <row r="249" ht="15.75" customHeight="1">
      <c r="A249" s="213"/>
      <c r="B249" s="213"/>
      <c r="C249" s="213"/>
      <c r="D249" s="213"/>
      <c r="E249" s="213"/>
      <c r="F249" s="213"/>
      <c r="G249" s="213"/>
      <c r="H249" s="213"/>
      <c r="I249" s="946"/>
      <c r="J249" s="213"/>
      <c r="K249" s="213"/>
      <c r="L249" s="213"/>
      <c r="M249" s="213"/>
      <c r="N249" s="213"/>
      <c r="O249" s="328"/>
      <c r="P249" s="213"/>
      <c r="Q249" s="213"/>
      <c r="R249" s="213"/>
      <c r="S249" s="213"/>
      <c r="T249" s="213"/>
      <c r="U249" s="213"/>
      <c r="V249" s="213"/>
      <c r="W249" s="213"/>
      <c r="X249" s="213"/>
      <c r="Y249" s="213"/>
      <c r="Z249" s="213"/>
      <c r="AA249" s="213"/>
      <c r="AB249" s="213"/>
      <c r="AC249" s="213"/>
      <c r="AD249" s="213"/>
      <c r="AE249" s="213"/>
      <c r="AF249" s="213"/>
      <c r="AG249" s="213"/>
      <c r="AH249" s="213"/>
    </row>
    <row r="250" ht="15.75" customHeight="1">
      <c r="A250" s="213"/>
      <c r="B250" s="213"/>
      <c r="C250" s="213"/>
      <c r="D250" s="213"/>
      <c r="E250" s="213"/>
      <c r="F250" s="213"/>
      <c r="G250" s="213"/>
      <c r="H250" s="213"/>
      <c r="I250" s="946"/>
      <c r="J250" s="213"/>
      <c r="K250" s="213"/>
      <c r="L250" s="213"/>
      <c r="M250" s="213"/>
      <c r="N250" s="213"/>
      <c r="O250" s="328"/>
      <c r="P250" s="213"/>
      <c r="Q250" s="213"/>
      <c r="R250" s="213"/>
      <c r="S250" s="213"/>
      <c r="T250" s="213"/>
      <c r="U250" s="213"/>
      <c r="V250" s="213"/>
      <c r="W250" s="213"/>
      <c r="X250" s="213"/>
      <c r="Y250" s="213"/>
      <c r="Z250" s="213"/>
      <c r="AA250" s="213"/>
      <c r="AB250" s="213"/>
      <c r="AC250" s="213"/>
      <c r="AD250" s="213"/>
      <c r="AE250" s="213"/>
      <c r="AF250" s="213"/>
      <c r="AG250" s="213"/>
      <c r="AH250" s="213"/>
    </row>
    <row r="251" ht="15.75" customHeight="1">
      <c r="A251" s="213"/>
      <c r="B251" s="213"/>
      <c r="C251" s="213"/>
      <c r="D251" s="213"/>
      <c r="E251" s="213"/>
      <c r="F251" s="213"/>
      <c r="G251" s="213"/>
      <c r="H251" s="213"/>
      <c r="I251" s="946"/>
      <c r="J251" s="213"/>
      <c r="K251" s="213"/>
      <c r="L251" s="213"/>
      <c r="M251" s="213"/>
      <c r="N251" s="213"/>
      <c r="O251" s="328"/>
      <c r="P251" s="213"/>
      <c r="Q251" s="213"/>
      <c r="R251" s="213"/>
      <c r="S251" s="213"/>
      <c r="T251" s="213"/>
      <c r="U251" s="213"/>
      <c r="V251" s="213"/>
      <c r="W251" s="213"/>
      <c r="X251" s="213"/>
      <c r="Y251" s="213"/>
      <c r="Z251" s="213"/>
      <c r="AA251" s="213"/>
      <c r="AB251" s="213"/>
      <c r="AC251" s="213"/>
      <c r="AD251" s="213"/>
      <c r="AE251" s="213"/>
      <c r="AF251" s="213"/>
      <c r="AG251" s="213"/>
      <c r="AH251" s="213"/>
    </row>
    <row r="252" ht="15.75" customHeight="1">
      <c r="A252" s="213"/>
      <c r="B252" s="213"/>
      <c r="C252" s="213"/>
      <c r="D252" s="213"/>
      <c r="E252" s="213"/>
      <c r="F252" s="213"/>
      <c r="G252" s="213"/>
      <c r="H252" s="213"/>
      <c r="I252" s="946"/>
      <c r="J252" s="213"/>
      <c r="K252" s="213"/>
      <c r="L252" s="213"/>
      <c r="M252" s="213"/>
      <c r="N252" s="213"/>
      <c r="O252" s="328"/>
      <c r="P252" s="213"/>
      <c r="Q252" s="213"/>
      <c r="R252" s="213"/>
      <c r="S252" s="213"/>
      <c r="T252" s="213"/>
      <c r="U252" s="213"/>
      <c r="V252" s="213"/>
      <c r="W252" s="213"/>
      <c r="X252" s="213"/>
      <c r="Y252" s="213"/>
      <c r="Z252" s="213"/>
      <c r="AA252" s="213"/>
      <c r="AB252" s="213"/>
      <c r="AC252" s="213"/>
      <c r="AD252" s="213"/>
      <c r="AE252" s="213"/>
      <c r="AF252" s="213"/>
      <c r="AG252" s="213"/>
      <c r="AH252" s="213"/>
    </row>
    <row r="253" ht="15.75" customHeight="1">
      <c r="A253" s="213"/>
      <c r="B253" s="213"/>
      <c r="C253" s="213"/>
      <c r="D253" s="213"/>
      <c r="E253" s="213"/>
      <c r="F253" s="213"/>
      <c r="G253" s="213"/>
      <c r="H253" s="213"/>
      <c r="I253" s="946"/>
      <c r="J253" s="213"/>
      <c r="K253" s="213"/>
      <c r="L253" s="213"/>
      <c r="M253" s="213"/>
      <c r="N253" s="213"/>
      <c r="O253" s="328"/>
      <c r="P253" s="213"/>
      <c r="Q253" s="213"/>
      <c r="R253" s="213"/>
      <c r="S253" s="213"/>
      <c r="T253" s="213"/>
      <c r="U253" s="213"/>
      <c r="V253" s="213"/>
      <c r="W253" s="213"/>
      <c r="X253" s="213"/>
      <c r="Y253" s="213"/>
      <c r="Z253" s="213"/>
      <c r="AA253" s="213"/>
      <c r="AB253" s="213"/>
      <c r="AC253" s="213"/>
      <c r="AD253" s="213"/>
      <c r="AE253" s="213"/>
      <c r="AF253" s="213"/>
      <c r="AG253" s="213"/>
      <c r="AH253" s="213"/>
    </row>
    <row r="254" ht="15.75" customHeight="1">
      <c r="A254" s="213"/>
      <c r="B254" s="213"/>
      <c r="C254" s="213"/>
      <c r="D254" s="213"/>
      <c r="E254" s="213"/>
      <c r="F254" s="213"/>
      <c r="G254" s="213"/>
      <c r="H254" s="213"/>
      <c r="I254" s="946"/>
      <c r="J254" s="213"/>
      <c r="K254" s="213"/>
      <c r="L254" s="213"/>
      <c r="M254" s="213"/>
      <c r="N254" s="213"/>
      <c r="O254" s="328"/>
      <c r="P254" s="213"/>
      <c r="Q254" s="213"/>
      <c r="R254" s="213"/>
      <c r="S254" s="213"/>
      <c r="T254" s="213"/>
      <c r="U254" s="213"/>
      <c r="V254" s="213"/>
      <c r="W254" s="213"/>
      <c r="X254" s="213"/>
      <c r="Y254" s="213"/>
      <c r="Z254" s="213"/>
      <c r="AA254" s="213"/>
      <c r="AB254" s="213"/>
      <c r="AC254" s="213"/>
      <c r="AD254" s="213"/>
      <c r="AE254" s="213"/>
      <c r="AF254" s="213"/>
      <c r="AG254" s="213"/>
      <c r="AH254" s="213"/>
    </row>
    <row r="255" ht="15.75" customHeight="1">
      <c r="A255" s="213"/>
      <c r="B255" s="213"/>
      <c r="C255" s="213"/>
      <c r="D255" s="213"/>
      <c r="E255" s="213"/>
      <c r="F255" s="213"/>
      <c r="G255" s="213"/>
      <c r="H255" s="213"/>
      <c r="I255" s="946"/>
      <c r="J255" s="213"/>
      <c r="K255" s="213"/>
      <c r="L255" s="213"/>
      <c r="M255" s="213"/>
      <c r="N255" s="213"/>
      <c r="O255" s="328"/>
      <c r="P255" s="213"/>
      <c r="Q255" s="213"/>
      <c r="R255" s="213"/>
      <c r="S255" s="213"/>
      <c r="T255" s="213"/>
      <c r="U255" s="213"/>
      <c r="V255" s="213"/>
      <c r="W255" s="213"/>
      <c r="X255" s="213"/>
      <c r="Y255" s="213"/>
      <c r="Z255" s="213"/>
      <c r="AA255" s="213"/>
      <c r="AB255" s="213"/>
      <c r="AC255" s="213"/>
      <c r="AD255" s="213"/>
      <c r="AE255" s="213"/>
      <c r="AF255" s="213"/>
      <c r="AG255" s="213"/>
      <c r="AH255" s="213"/>
    </row>
    <row r="256" ht="15.75" customHeight="1">
      <c r="A256" s="213"/>
      <c r="B256" s="213"/>
      <c r="C256" s="213"/>
      <c r="D256" s="213"/>
      <c r="E256" s="213"/>
      <c r="F256" s="213"/>
      <c r="G256" s="213"/>
      <c r="H256" s="213"/>
      <c r="I256" s="946"/>
      <c r="J256" s="213"/>
      <c r="K256" s="213"/>
      <c r="L256" s="213"/>
      <c r="M256" s="213"/>
      <c r="N256" s="213"/>
      <c r="O256" s="328"/>
      <c r="P256" s="213"/>
      <c r="Q256" s="213"/>
      <c r="R256" s="213"/>
      <c r="S256" s="213"/>
      <c r="T256" s="213"/>
      <c r="U256" s="213"/>
      <c r="V256" s="213"/>
      <c r="W256" s="213"/>
      <c r="X256" s="213"/>
      <c r="Y256" s="213"/>
      <c r="Z256" s="213"/>
      <c r="AA256" s="213"/>
      <c r="AB256" s="213"/>
      <c r="AC256" s="213"/>
      <c r="AD256" s="213"/>
      <c r="AE256" s="213"/>
      <c r="AF256" s="213"/>
      <c r="AG256" s="213"/>
      <c r="AH256" s="213"/>
    </row>
    <row r="257" ht="15.75" customHeight="1">
      <c r="A257" s="213"/>
      <c r="B257" s="213"/>
      <c r="C257" s="213"/>
      <c r="D257" s="213"/>
      <c r="E257" s="213"/>
      <c r="F257" s="213"/>
      <c r="G257" s="213"/>
      <c r="H257" s="213"/>
      <c r="I257" s="946"/>
      <c r="J257" s="213"/>
      <c r="K257" s="213"/>
      <c r="L257" s="213"/>
      <c r="M257" s="213"/>
      <c r="N257" s="213"/>
      <c r="O257" s="328"/>
      <c r="P257" s="213"/>
      <c r="Q257" s="213"/>
      <c r="R257" s="213"/>
      <c r="S257" s="213"/>
      <c r="T257" s="213"/>
      <c r="U257" s="213"/>
      <c r="V257" s="213"/>
      <c r="W257" s="213"/>
      <c r="X257" s="213"/>
      <c r="Y257" s="213"/>
      <c r="Z257" s="213"/>
      <c r="AA257" s="213"/>
      <c r="AB257" s="213"/>
      <c r="AC257" s="213"/>
      <c r="AD257" s="213"/>
      <c r="AE257" s="213"/>
      <c r="AF257" s="213"/>
      <c r="AG257" s="213"/>
      <c r="AH257" s="213"/>
    </row>
    <row r="258" ht="15.75" customHeight="1">
      <c r="A258" s="213"/>
      <c r="B258" s="213"/>
      <c r="C258" s="213"/>
      <c r="D258" s="213"/>
      <c r="E258" s="213"/>
      <c r="F258" s="213"/>
      <c r="G258" s="213"/>
      <c r="H258" s="213"/>
      <c r="I258" s="946"/>
      <c r="J258" s="213"/>
      <c r="K258" s="213"/>
      <c r="L258" s="213"/>
      <c r="M258" s="213"/>
      <c r="N258" s="213"/>
      <c r="O258" s="328"/>
      <c r="P258" s="213"/>
      <c r="Q258" s="213"/>
      <c r="R258" s="213"/>
      <c r="S258" s="213"/>
      <c r="T258" s="213"/>
      <c r="U258" s="213"/>
      <c r="V258" s="213"/>
      <c r="W258" s="213"/>
      <c r="X258" s="213"/>
      <c r="Y258" s="213"/>
      <c r="Z258" s="213"/>
      <c r="AA258" s="213"/>
      <c r="AB258" s="213"/>
      <c r="AC258" s="213"/>
      <c r="AD258" s="213"/>
      <c r="AE258" s="213"/>
      <c r="AF258" s="213"/>
      <c r="AG258" s="213"/>
      <c r="AH258" s="213"/>
    </row>
    <row r="259" ht="15.75" customHeight="1">
      <c r="A259" s="213"/>
      <c r="B259" s="213"/>
      <c r="C259" s="213"/>
      <c r="D259" s="213"/>
      <c r="E259" s="213"/>
      <c r="F259" s="213"/>
      <c r="G259" s="213"/>
      <c r="H259" s="213"/>
      <c r="I259" s="946"/>
      <c r="J259" s="213"/>
      <c r="K259" s="213"/>
      <c r="L259" s="213"/>
      <c r="M259" s="213"/>
      <c r="N259" s="213"/>
      <c r="O259" s="328"/>
      <c r="P259" s="213"/>
      <c r="Q259" s="213"/>
      <c r="R259" s="213"/>
      <c r="S259" s="213"/>
      <c r="T259" s="213"/>
      <c r="U259" s="213"/>
      <c r="V259" s="213"/>
      <c r="W259" s="213"/>
      <c r="X259" s="213"/>
      <c r="Y259" s="213"/>
      <c r="Z259" s="213"/>
      <c r="AA259" s="213"/>
      <c r="AB259" s="213"/>
      <c r="AC259" s="213"/>
      <c r="AD259" s="213"/>
      <c r="AE259" s="213"/>
      <c r="AF259" s="213"/>
      <c r="AG259" s="213"/>
      <c r="AH259" s="213"/>
    </row>
    <row r="260" ht="15.75" customHeight="1">
      <c r="A260" s="213"/>
      <c r="B260" s="213"/>
      <c r="C260" s="213"/>
      <c r="D260" s="213"/>
      <c r="E260" s="213"/>
      <c r="F260" s="213"/>
      <c r="G260" s="213"/>
      <c r="H260" s="213"/>
      <c r="I260" s="946"/>
      <c r="J260" s="213"/>
      <c r="K260" s="213"/>
      <c r="L260" s="213"/>
      <c r="M260" s="213"/>
      <c r="N260" s="213"/>
      <c r="O260" s="328"/>
      <c r="P260" s="213"/>
      <c r="Q260" s="213"/>
      <c r="R260" s="213"/>
      <c r="S260" s="213"/>
      <c r="T260" s="213"/>
      <c r="U260" s="213"/>
      <c r="V260" s="213"/>
      <c r="W260" s="213"/>
      <c r="X260" s="213"/>
      <c r="Y260" s="213"/>
      <c r="Z260" s="213"/>
      <c r="AA260" s="213"/>
      <c r="AB260" s="213"/>
      <c r="AC260" s="213"/>
      <c r="AD260" s="213"/>
      <c r="AE260" s="213"/>
      <c r="AF260" s="213"/>
      <c r="AG260" s="213"/>
      <c r="AH260" s="213"/>
    </row>
    <row r="261" ht="15.75" customHeight="1">
      <c r="A261" s="213"/>
      <c r="B261" s="213"/>
      <c r="C261" s="213"/>
      <c r="D261" s="213"/>
      <c r="E261" s="213"/>
      <c r="F261" s="213"/>
      <c r="G261" s="213"/>
      <c r="H261" s="213"/>
      <c r="I261" s="946"/>
      <c r="J261" s="213"/>
      <c r="K261" s="213"/>
      <c r="L261" s="213"/>
      <c r="M261" s="213"/>
      <c r="N261" s="213"/>
      <c r="O261" s="328"/>
      <c r="P261" s="213"/>
      <c r="Q261" s="213"/>
      <c r="R261" s="213"/>
      <c r="S261" s="213"/>
      <c r="T261" s="213"/>
      <c r="U261" s="213"/>
      <c r="V261" s="213"/>
      <c r="W261" s="213"/>
      <c r="X261" s="213"/>
      <c r="Y261" s="213"/>
      <c r="Z261" s="213"/>
      <c r="AA261" s="213"/>
      <c r="AB261" s="213"/>
      <c r="AC261" s="213"/>
      <c r="AD261" s="213"/>
      <c r="AE261" s="213"/>
      <c r="AF261" s="213"/>
      <c r="AG261" s="213"/>
      <c r="AH261" s="213"/>
    </row>
    <row r="262" ht="15.75" customHeight="1">
      <c r="A262" s="213"/>
      <c r="B262" s="213"/>
      <c r="C262" s="213"/>
      <c r="D262" s="213"/>
      <c r="E262" s="213"/>
      <c r="F262" s="213"/>
      <c r="G262" s="213"/>
      <c r="H262" s="213"/>
      <c r="I262" s="946"/>
      <c r="J262" s="213"/>
      <c r="K262" s="213"/>
      <c r="L262" s="213"/>
      <c r="M262" s="213"/>
      <c r="N262" s="213"/>
      <c r="O262" s="328"/>
      <c r="P262" s="213"/>
      <c r="Q262" s="213"/>
      <c r="R262" s="213"/>
      <c r="S262" s="213"/>
      <c r="T262" s="213"/>
      <c r="U262" s="213"/>
      <c r="V262" s="213"/>
      <c r="W262" s="213"/>
      <c r="X262" s="213"/>
      <c r="Y262" s="213"/>
      <c r="Z262" s="213"/>
      <c r="AA262" s="213"/>
      <c r="AB262" s="213"/>
      <c r="AC262" s="213"/>
      <c r="AD262" s="213"/>
      <c r="AE262" s="213"/>
      <c r="AF262" s="213"/>
      <c r="AG262" s="213"/>
      <c r="AH262" s="213"/>
    </row>
    <row r="263" ht="15.75" customHeight="1">
      <c r="A263" s="213"/>
      <c r="B263" s="213"/>
      <c r="C263" s="213"/>
      <c r="D263" s="213"/>
      <c r="E263" s="213"/>
      <c r="F263" s="213"/>
      <c r="G263" s="213"/>
      <c r="H263" s="213"/>
      <c r="I263" s="946"/>
      <c r="J263" s="213"/>
      <c r="K263" s="213"/>
      <c r="L263" s="213"/>
      <c r="M263" s="213"/>
      <c r="N263" s="213"/>
      <c r="O263" s="328"/>
      <c r="P263" s="213"/>
      <c r="Q263" s="213"/>
      <c r="R263" s="213"/>
      <c r="S263" s="213"/>
      <c r="T263" s="213"/>
      <c r="U263" s="213"/>
      <c r="V263" s="213"/>
      <c r="W263" s="213"/>
      <c r="X263" s="213"/>
      <c r="Y263" s="213"/>
      <c r="Z263" s="213"/>
      <c r="AA263" s="213"/>
      <c r="AB263" s="213"/>
      <c r="AC263" s="213"/>
      <c r="AD263" s="213"/>
      <c r="AE263" s="213"/>
      <c r="AF263" s="213"/>
      <c r="AG263" s="213"/>
      <c r="AH263" s="213"/>
    </row>
    <row r="264" ht="15.75" customHeight="1">
      <c r="A264" s="213"/>
      <c r="B264" s="213"/>
      <c r="C264" s="213"/>
      <c r="D264" s="213"/>
      <c r="E264" s="213"/>
      <c r="F264" s="213"/>
      <c r="G264" s="213"/>
      <c r="H264" s="213"/>
      <c r="I264" s="946"/>
      <c r="J264" s="213"/>
      <c r="K264" s="213"/>
      <c r="L264" s="213"/>
      <c r="M264" s="213"/>
      <c r="N264" s="213"/>
      <c r="O264" s="328"/>
      <c r="P264" s="213"/>
      <c r="Q264" s="213"/>
      <c r="R264" s="213"/>
      <c r="S264" s="213"/>
      <c r="T264" s="213"/>
      <c r="U264" s="213"/>
      <c r="V264" s="213"/>
      <c r="W264" s="213"/>
      <c r="X264" s="213"/>
      <c r="Y264" s="213"/>
      <c r="Z264" s="213"/>
      <c r="AA264" s="213"/>
      <c r="AB264" s="213"/>
      <c r="AC264" s="213"/>
      <c r="AD264" s="213"/>
      <c r="AE264" s="213"/>
      <c r="AF264" s="213"/>
      <c r="AG264" s="213"/>
      <c r="AH264" s="213"/>
    </row>
    <row r="265" ht="15.75" customHeight="1">
      <c r="A265" s="213"/>
      <c r="B265" s="213"/>
      <c r="C265" s="213"/>
      <c r="D265" s="213"/>
      <c r="E265" s="213"/>
      <c r="F265" s="213"/>
      <c r="G265" s="213"/>
      <c r="H265" s="213"/>
      <c r="I265" s="946"/>
      <c r="J265" s="213"/>
      <c r="K265" s="213"/>
      <c r="L265" s="213"/>
      <c r="M265" s="213"/>
      <c r="N265" s="213"/>
      <c r="O265" s="328"/>
      <c r="P265" s="213"/>
      <c r="Q265" s="213"/>
      <c r="R265" s="213"/>
      <c r="S265" s="213"/>
      <c r="T265" s="213"/>
      <c r="U265" s="213"/>
      <c r="V265" s="213"/>
      <c r="W265" s="213"/>
      <c r="X265" s="213"/>
      <c r="Y265" s="213"/>
      <c r="Z265" s="213"/>
      <c r="AA265" s="213"/>
      <c r="AB265" s="213"/>
      <c r="AC265" s="213"/>
      <c r="AD265" s="213"/>
      <c r="AE265" s="213"/>
      <c r="AF265" s="213"/>
      <c r="AG265" s="213"/>
      <c r="AH265" s="213"/>
    </row>
    <row r="266" ht="15.75" customHeight="1">
      <c r="A266" s="213"/>
      <c r="B266" s="213"/>
      <c r="C266" s="213"/>
      <c r="D266" s="213"/>
      <c r="E266" s="213"/>
      <c r="F266" s="213"/>
      <c r="G266" s="213"/>
      <c r="H266" s="213"/>
      <c r="I266" s="946"/>
      <c r="J266" s="213"/>
      <c r="K266" s="213"/>
      <c r="L266" s="213"/>
      <c r="M266" s="213"/>
      <c r="N266" s="213"/>
      <c r="O266" s="328"/>
      <c r="P266" s="213"/>
      <c r="Q266" s="213"/>
      <c r="R266" s="213"/>
      <c r="S266" s="213"/>
      <c r="T266" s="213"/>
      <c r="U266" s="213"/>
      <c r="V266" s="213"/>
      <c r="W266" s="213"/>
      <c r="X266" s="213"/>
      <c r="Y266" s="213"/>
      <c r="Z266" s="213"/>
      <c r="AA266" s="213"/>
      <c r="AB266" s="213"/>
      <c r="AC266" s="213"/>
      <c r="AD266" s="213"/>
      <c r="AE266" s="213"/>
      <c r="AF266" s="213"/>
      <c r="AG266" s="213"/>
      <c r="AH266" s="213"/>
    </row>
    <row r="267" ht="15.75" customHeight="1">
      <c r="A267" s="213"/>
      <c r="B267" s="213"/>
      <c r="C267" s="213"/>
      <c r="D267" s="213"/>
      <c r="E267" s="213"/>
      <c r="F267" s="213"/>
      <c r="G267" s="213"/>
      <c r="H267" s="213"/>
      <c r="I267" s="946"/>
      <c r="J267" s="213"/>
      <c r="K267" s="213"/>
      <c r="L267" s="213"/>
      <c r="M267" s="213"/>
      <c r="N267" s="213"/>
      <c r="O267" s="328"/>
      <c r="P267" s="213"/>
      <c r="Q267" s="213"/>
      <c r="R267" s="213"/>
      <c r="S267" s="213"/>
      <c r="T267" s="213"/>
      <c r="U267" s="213"/>
      <c r="V267" s="213"/>
      <c r="W267" s="213"/>
      <c r="X267" s="213"/>
      <c r="Y267" s="213"/>
      <c r="Z267" s="213"/>
      <c r="AA267" s="213"/>
      <c r="AB267" s="213"/>
      <c r="AC267" s="213"/>
      <c r="AD267" s="213"/>
      <c r="AE267" s="213"/>
      <c r="AF267" s="213"/>
      <c r="AG267" s="213"/>
      <c r="AH267" s="213"/>
    </row>
    <row r="268" ht="15.75" customHeight="1">
      <c r="A268" s="213"/>
      <c r="B268" s="213"/>
      <c r="C268" s="213"/>
      <c r="D268" s="213"/>
      <c r="E268" s="213"/>
      <c r="F268" s="213"/>
      <c r="G268" s="213"/>
      <c r="H268" s="213"/>
      <c r="I268" s="946"/>
      <c r="J268" s="213"/>
      <c r="K268" s="213"/>
      <c r="L268" s="213"/>
      <c r="M268" s="213"/>
      <c r="N268" s="213"/>
      <c r="O268" s="328"/>
      <c r="P268" s="213"/>
      <c r="Q268" s="213"/>
      <c r="R268" s="213"/>
      <c r="S268" s="213"/>
      <c r="T268" s="213"/>
      <c r="U268" s="213"/>
      <c r="V268" s="213"/>
      <c r="W268" s="213"/>
      <c r="X268" s="213"/>
      <c r="Y268" s="213"/>
      <c r="Z268" s="213"/>
      <c r="AA268" s="213"/>
      <c r="AB268" s="213"/>
      <c r="AC268" s="213"/>
      <c r="AD268" s="213"/>
      <c r="AE268" s="213"/>
      <c r="AF268" s="213"/>
      <c r="AG268" s="213"/>
      <c r="AH268" s="213"/>
    </row>
    <row r="269" ht="15.75" customHeight="1">
      <c r="A269" s="213"/>
      <c r="B269" s="213"/>
      <c r="C269" s="213"/>
      <c r="D269" s="213"/>
      <c r="E269" s="213"/>
      <c r="F269" s="213"/>
      <c r="G269" s="213"/>
      <c r="H269" s="213"/>
      <c r="I269" s="946"/>
      <c r="J269" s="213"/>
      <c r="K269" s="213"/>
      <c r="L269" s="213"/>
      <c r="M269" s="213"/>
      <c r="N269" s="213"/>
      <c r="O269" s="328"/>
      <c r="P269" s="213"/>
      <c r="Q269" s="213"/>
      <c r="R269" s="213"/>
      <c r="S269" s="213"/>
      <c r="T269" s="213"/>
      <c r="U269" s="213"/>
      <c r="V269" s="213"/>
      <c r="W269" s="213"/>
      <c r="X269" s="213"/>
      <c r="Y269" s="213"/>
      <c r="Z269" s="213"/>
      <c r="AA269" s="213"/>
      <c r="AB269" s="213"/>
      <c r="AC269" s="213"/>
      <c r="AD269" s="213"/>
      <c r="AE269" s="213"/>
      <c r="AF269" s="213"/>
      <c r="AG269" s="213"/>
      <c r="AH269" s="213"/>
    </row>
    <row r="270" ht="15.75" customHeight="1">
      <c r="A270" s="213"/>
      <c r="B270" s="213"/>
      <c r="C270" s="213"/>
      <c r="D270" s="213"/>
      <c r="E270" s="213"/>
      <c r="F270" s="213"/>
      <c r="G270" s="213"/>
      <c r="H270" s="213"/>
      <c r="I270" s="946"/>
      <c r="J270" s="213"/>
      <c r="K270" s="213"/>
      <c r="L270" s="213"/>
      <c r="M270" s="213"/>
      <c r="N270" s="213"/>
      <c r="O270" s="328"/>
      <c r="P270" s="213"/>
      <c r="Q270" s="213"/>
      <c r="R270" s="213"/>
      <c r="S270" s="213"/>
      <c r="T270" s="213"/>
      <c r="U270" s="213"/>
      <c r="V270" s="213"/>
      <c r="W270" s="213"/>
      <c r="X270" s="213"/>
      <c r="Y270" s="213"/>
      <c r="Z270" s="213"/>
      <c r="AA270" s="213"/>
      <c r="AB270" s="213"/>
      <c r="AC270" s="213"/>
      <c r="AD270" s="213"/>
      <c r="AE270" s="213"/>
      <c r="AF270" s="213"/>
      <c r="AG270" s="213"/>
      <c r="AH270" s="213"/>
    </row>
    <row r="271" ht="15.75" customHeight="1">
      <c r="A271" s="213"/>
      <c r="B271" s="213"/>
      <c r="C271" s="213"/>
      <c r="D271" s="213"/>
      <c r="E271" s="213"/>
      <c r="F271" s="213"/>
      <c r="G271" s="213"/>
      <c r="H271" s="213"/>
      <c r="I271" s="946"/>
      <c r="J271" s="213"/>
      <c r="K271" s="213"/>
      <c r="L271" s="213"/>
      <c r="M271" s="213"/>
      <c r="N271" s="213"/>
      <c r="O271" s="328"/>
      <c r="P271" s="213"/>
      <c r="Q271" s="213"/>
      <c r="R271" s="213"/>
      <c r="S271" s="213"/>
      <c r="T271" s="213"/>
      <c r="U271" s="213"/>
      <c r="V271" s="213"/>
      <c r="W271" s="213"/>
      <c r="X271" s="213"/>
      <c r="Y271" s="213"/>
      <c r="Z271" s="213"/>
      <c r="AA271" s="213"/>
      <c r="AB271" s="213"/>
      <c r="AC271" s="213"/>
      <c r="AD271" s="213"/>
      <c r="AE271" s="213"/>
      <c r="AF271" s="213"/>
      <c r="AG271" s="213"/>
      <c r="AH271" s="213"/>
    </row>
    <row r="272" ht="15.75" customHeight="1">
      <c r="A272" s="213"/>
      <c r="B272" s="213"/>
      <c r="C272" s="213"/>
      <c r="D272" s="213"/>
      <c r="E272" s="213"/>
      <c r="F272" s="213"/>
      <c r="G272" s="213"/>
      <c r="H272" s="213"/>
      <c r="I272" s="946"/>
      <c r="J272" s="213"/>
      <c r="K272" s="213"/>
      <c r="L272" s="213"/>
      <c r="M272" s="213"/>
      <c r="N272" s="213"/>
      <c r="O272" s="328"/>
      <c r="P272" s="213"/>
      <c r="Q272" s="213"/>
      <c r="R272" s="213"/>
      <c r="S272" s="213"/>
      <c r="T272" s="213"/>
      <c r="U272" s="213"/>
      <c r="V272" s="213"/>
      <c r="W272" s="213"/>
      <c r="X272" s="213"/>
      <c r="Y272" s="213"/>
      <c r="Z272" s="213"/>
      <c r="AA272" s="213"/>
      <c r="AB272" s="213"/>
      <c r="AC272" s="213"/>
      <c r="AD272" s="213"/>
      <c r="AE272" s="213"/>
      <c r="AF272" s="213"/>
      <c r="AG272" s="213"/>
      <c r="AH272" s="213"/>
    </row>
    <row r="273" ht="15.75" customHeight="1">
      <c r="A273" s="213"/>
      <c r="B273" s="213"/>
      <c r="C273" s="213"/>
      <c r="D273" s="213"/>
      <c r="E273" s="213"/>
      <c r="F273" s="213"/>
      <c r="G273" s="213"/>
      <c r="H273" s="213"/>
      <c r="I273" s="946"/>
      <c r="J273" s="213"/>
      <c r="K273" s="213"/>
      <c r="L273" s="213"/>
      <c r="M273" s="213"/>
      <c r="N273" s="213"/>
      <c r="O273" s="328"/>
      <c r="P273" s="213"/>
      <c r="Q273" s="213"/>
      <c r="R273" s="213"/>
      <c r="S273" s="213"/>
      <c r="T273" s="213"/>
      <c r="U273" s="213"/>
      <c r="V273" s="213"/>
      <c r="W273" s="213"/>
      <c r="X273" s="213"/>
      <c r="Y273" s="213"/>
      <c r="Z273" s="213"/>
      <c r="AA273" s="213"/>
      <c r="AB273" s="213"/>
      <c r="AC273" s="213"/>
      <c r="AD273" s="213"/>
      <c r="AE273" s="213"/>
      <c r="AF273" s="213"/>
      <c r="AG273" s="213"/>
      <c r="AH273" s="213"/>
    </row>
    <row r="274" ht="15.75" customHeight="1">
      <c r="A274" s="213"/>
      <c r="B274" s="213"/>
      <c r="C274" s="213"/>
      <c r="D274" s="213"/>
      <c r="E274" s="213"/>
      <c r="F274" s="213"/>
      <c r="G274" s="213"/>
      <c r="H274" s="213"/>
      <c r="I274" s="946"/>
      <c r="J274" s="213"/>
      <c r="K274" s="213"/>
      <c r="L274" s="213"/>
      <c r="M274" s="213"/>
      <c r="N274" s="213"/>
      <c r="O274" s="328"/>
      <c r="P274" s="213"/>
      <c r="Q274" s="213"/>
      <c r="R274" s="213"/>
      <c r="S274" s="213"/>
      <c r="T274" s="213"/>
      <c r="U274" s="213"/>
      <c r="V274" s="213"/>
      <c r="W274" s="213"/>
      <c r="X274" s="213"/>
      <c r="Y274" s="213"/>
      <c r="Z274" s="213"/>
      <c r="AA274" s="213"/>
      <c r="AB274" s="213"/>
      <c r="AC274" s="213"/>
      <c r="AD274" s="213"/>
      <c r="AE274" s="213"/>
      <c r="AF274" s="213"/>
      <c r="AG274" s="213"/>
      <c r="AH274" s="213"/>
    </row>
    <row r="275" ht="15.75" customHeight="1">
      <c r="A275" s="213"/>
      <c r="B275" s="213"/>
      <c r="C275" s="213"/>
      <c r="D275" s="213"/>
      <c r="E275" s="213"/>
      <c r="F275" s="213"/>
      <c r="G275" s="213"/>
      <c r="H275" s="213"/>
      <c r="I275" s="946"/>
      <c r="J275" s="213"/>
      <c r="K275" s="213"/>
      <c r="L275" s="213"/>
      <c r="M275" s="213"/>
      <c r="N275" s="213"/>
      <c r="O275" s="328"/>
      <c r="P275" s="213"/>
      <c r="Q275" s="213"/>
      <c r="R275" s="213"/>
      <c r="S275" s="213"/>
      <c r="T275" s="213"/>
      <c r="U275" s="213"/>
      <c r="V275" s="213"/>
      <c r="W275" s="213"/>
      <c r="X275" s="213"/>
      <c r="Y275" s="213"/>
      <c r="Z275" s="213"/>
      <c r="AA275" s="213"/>
      <c r="AB275" s="213"/>
      <c r="AC275" s="213"/>
      <c r="AD275" s="213"/>
      <c r="AE275" s="213"/>
      <c r="AF275" s="213"/>
      <c r="AG275" s="213"/>
      <c r="AH275" s="213"/>
    </row>
    <row r="276" ht="15.75" customHeight="1">
      <c r="A276" s="213"/>
      <c r="B276" s="213"/>
      <c r="C276" s="213"/>
      <c r="D276" s="213"/>
      <c r="E276" s="213"/>
      <c r="F276" s="213"/>
      <c r="G276" s="213"/>
      <c r="H276" s="213"/>
      <c r="I276" s="946"/>
      <c r="J276" s="213"/>
      <c r="K276" s="213"/>
      <c r="L276" s="213"/>
      <c r="M276" s="213"/>
      <c r="N276" s="213"/>
      <c r="O276" s="328"/>
      <c r="P276" s="213"/>
      <c r="Q276" s="213"/>
      <c r="R276" s="213"/>
      <c r="S276" s="213"/>
      <c r="T276" s="213"/>
      <c r="U276" s="213"/>
      <c r="V276" s="213"/>
      <c r="W276" s="213"/>
      <c r="X276" s="213"/>
      <c r="Y276" s="213"/>
      <c r="Z276" s="213"/>
      <c r="AA276" s="213"/>
      <c r="AB276" s="213"/>
      <c r="AC276" s="213"/>
      <c r="AD276" s="213"/>
      <c r="AE276" s="213"/>
      <c r="AF276" s="213"/>
      <c r="AG276" s="213"/>
      <c r="AH276" s="213"/>
    </row>
    <row r="277" ht="15.75" customHeight="1">
      <c r="A277" s="213"/>
      <c r="B277" s="213"/>
      <c r="C277" s="213"/>
      <c r="D277" s="213"/>
      <c r="E277" s="213"/>
      <c r="F277" s="213"/>
      <c r="G277" s="213"/>
      <c r="H277" s="213"/>
      <c r="I277" s="946"/>
      <c r="J277" s="213"/>
      <c r="K277" s="213"/>
      <c r="L277" s="213"/>
      <c r="M277" s="213"/>
      <c r="N277" s="213"/>
      <c r="O277" s="328"/>
      <c r="P277" s="213"/>
      <c r="Q277" s="213"/>
      <c r="R277" s="213"/>
      <c r="S277" s="213"/>
      <c r="T277" s="213"/>
      <c r="U277" s="213"/>
      <c r="V277" s="213"/>
      <c r="W277" s="213"/>
      <c r="X277" s="213"/>
      <c r="Y277" s="213"/>
      <c r="Z277" s="213"/>
      <c r="AA277" s="213"/>
      <c r="AB277" s="213"/>
      <c r="AC277" s="213"/>
      <c r="AD277" s="213"/>
      <c r="AE277" s="213"/>
      <c r="AF277" s="213"/>
      <c r="AG277" s="213"/>
      <c r="AH277" s="213"/>
    </row>
    <row r="278" ht="15.75" customHeight="1">
      <c r="A278" s="213"/>
      <c r="B278" s="213"/>
      <c r="C278" s="213"/>
      <c r="D278" s="213"/>
      <c r="E278" s="213"/>
      <c r="F278" s="213"/>
      <c r="G278" s="213"/>
      <c r="H278" s="213"/>
      <c r="I278" s="946"/>
      <c r="J278" s="213"/>
      <c r="K278" s="213"/>
      <c r="L278" s="213"/>
      <c r="M278" s="213"/>
      <c r="N278" s="213"/>
      <c r="O278" s="328"/>
      <c r="P278" s="213"/>
      <c r="Q278" s="213"/>
      <c r="R278" s="213"/>
      <c r="S278" s="213"/>
      <c r="T278" s="213"/>
      <c r="U278" s="213"/>
      <c r="V278" s="213"/>
      <c r="W278" s="213"/>
      <c r="X278" s="213"/>
      <c r="Y278" s="213"/>
      <c r="Z278" s="213"/>
      <c r="AA278" s="213"/>
      <c r="AB278" s="213"/>
      <c r="AC278" s="213"/>
      <c r="AD278" s="213"/>
      <c r="AE278" s="213"/>
      <c r="AF278" s="213"/>
      <c r="AG278" s="213"/>
      <c r="AH278" s="213"/>
    </row>
    <row r="279" ht="15.75" customHeight="1">
      <c r="A279" s="213"/>
      <c r="B279" s="213"/>
      <c r="C279" s="213"/>
      <c r="D279" s="213"/>
      <c r="E279" s="213"/>
      <c r="F279" s="213"/>
      <c r="G279" s="213"/>
      <c r="H279" s="213"/>
      <c r="I279" s="946"/>
      <c r="J279" s="213"/>
      <c r="K279" s="213"/>
      <c r="L279" s="213"/>
      <c r="M279" s="213"/>
      <c r="N279" s="213"/>
      <c r="O279" s="328"/>
      <c r="P279" s="213"/>
      <c r="Q279" s="213"/>
      <c r="R279" s="213"/>
      <c r="S279" s="213"/>
      <c r="T279" s="213"/>
      <c r="U279" s="213"/>
      <c r="V279" s="213"/>
      <c r="W279" s="213"/>
      <c r="X279" s="213"/>
      <c r="Y279" s="213"/>
      <c r="Z279" s="213"/>
      <c r="AA279" s="213"/>
      <c r="AB279" s="213"/>
      <c r="AC279" s="213"/>
      <c r="AD279" s="213"/>
      <c r="AE279" s="213"/>
      <c r="AF279" s="213"/>
      <c r="AG279" s="213"/>
      <c r="AH279" s="213"/>
    </row>
    <row r="280" ht="15.75" customHeight="1">
      <c r="A280" s="213"/>
      <c r="B280" s="213"/>
      <c r="C280" s="213"/>
      <c r="D280" s="213"/>
      <c r="E280" s="213"/>
      <c r="F280" s="213"/>
      <c r="G280" s="213"/>
      <c r="H280" s="213"/>
      <c r="I280" s="946"/>
      <c r="J280" s="213"/>
      <c r="K280" s="213"/>
      <c r="L280" s="213"/>
      <c r="M280" s="213"/>
      <c r="N280" s="213"/>
      <c r="O280" s="328"/>
      <c r="P280" s="213"/>
      <c r="Q280" s="213"/>
      <c r="R280" s="213"/>
      <c r="S280" s="213"/>
      <c r="T280" s="213"/>
      <c r="U280" s="213"/>
      <c r="V280" s="213"/>
      <c r="W280" s="213"/>
      <c r="X280" s="213"/>
      <c r="Y280" s="213"/>
      <c r="Z280" s="213"/>
      <c r="AA280" s="213"/>
      <c r="AB280" s="213"/>
      <c r="AC280" s="213"/>
      <c r="AD280" s="213"/>
      <c r="AE280" s="213"/>
      <c r="AF280" s="213"/>
      <c r="AG280" s="213"/>
      <c r="AH280" s="213"/>
    </row>
    <row r="281" ht="15.75" customHeight="1">
      <c r="A281" s="213"/>
      <c r="B281" s="213"/>
      <c r="C281" s="213"/>
      <c r="D281" s="213"/>
      <c r="E281" s="213"/>
      <c r="F281" s="213"/>
      <c r="G281" s="213"/>
      <c r="H281" s="213"/>
      <c r="I281" s="946"/>
      <c r="J281" s="213"/>
      <c r="K281" s="213"/>
      <c r="L281" s="213"/>
      <c r="M281" s="213"/>
      <c r="N281" s="213"/>
      <c r="O281" s="328"/>
      <c r="P281" s="213"/>
      <c r="Q281" s="213"/>
      <c r="R281" s="213"/>
      <c r="S281" s="213"/>
      <c r="T281" s="213"/>
      <c r="U281" s="213"/>
      <c r="V281" s="213"/>
      <c r="W281" s="213"/>
      <c r="X281" s="213"/>
      <c r="Y281" s="213"/>
      <c r="Z281" s="213"/>
      <c r="AA281" s="213"/>
      <c r="AB281" s="213"/>
      <c r="AC281" s="213"/>
      <c r="AD281" s="213"/>
      <c r="AE281" s="213"/>
      <c r="AF281" s="213"/>
      <c r="AG281" s="213"/>
      <c r="AH281" s="213"/>
    </row>
    <row r="282" ht="15.75" customHeight="1">
      <c r="A282" s="213"/>
      <c r="B282" s="213"/>
      <c r="C282" s="213"/>
      <c r="D282" s="213"/>
      <c r="E282" s="213"/>
      <c r="F282" s="213"/>
      <c r="G282" s="213"/>
      <c r="H282" s="213"/>
      <c r="I282" s="946"/>
      <c r="J282" s="213"/>
      <c r="K282" s="213"/>
      <c r="L282" s="213"/>
      <c r="M282" s="213"/>
      <c r="N282" s="213"/>
      <c r="O282" s="328"/>
      <c r="P282" s="213"/>
      <c r="Q282" s="213"/>
      <c r="R282" s="213"/>
      <c r="S282" s="213"/>
      <c r="T282" s="213"/>
      <c r="U282" s="213"/>
      <c r="V282" s="213"/>
      <c r="W282" s="213"/>
      <c r="X282" s="213"/>
      <c r="Y282" s="213"/>
      <c r="Z282" s="213"/>
      <c r="AA282" s="213"/>
      <c r="AB282" s="213"/>
      <c r="AC282" s="213"/>
      <c r="AD282" s="213"/>
      <c r="AE282" s="213"/>
      <c r="AF282" s="213"/>
      <c r="AG282" s="213"/>
      <c r="AH282" s="213"/>
    </row>
    <row r="283" ht="15.75" customHeight="1">
      <c r="A283" s="213"/>
      <c r="B283" s="213"/>
      <c r="C283" s="213"/>
      <c r="D283" s="213"/>
      <c r="E283" s="213"/>
      <c r="F283" s="213"/>
      <c r="G283" s="213"/>
      <c r="H283" s="213"/>
      <c r="I283" s="946"/>
      <c r="J283" s="213"/>
      <c r="K283" s="213"/>
      <c r="L283" s="213"/>
      <c r="M283" s="213"/>
      <c r="N283" s="213"/>
      <c r="O283" s="328"/>
      <c r="P283" s="213"/>
      <c r="Q283" s="213"/>
      <c r="R283" s="213"/>
      <c r="S283" s="213"/>
      <c r="T283" s="213"/>
      <c r="U283" s="213"/>
      <c r="V283" s="213"/>
      <c r="W283" s="213"/>
      <c r="X283" s="213"/>
      <c r="Y283" s="213"/>
      <c r="Z283" s="213"/>
      <c r="AA283" s="213"/>
      <c r="AB283" s="213"/>
      <c r="AC283" s="213"/>
      <c r="AD283" s="213"/>
      <c r="AE283" s="213"/>
      <c r="AF283" s="213"/>
      <c r="AG283" s="213"/>
      <c r="AH283" s="213"/>
    </row>
    <row r="284" ht="15.75" customHeight="1">
      <c r="A284" s="213"/>
      <c r="B284" s="213"/>
      <c r="C284" s="213"/>
      <c r="D284" s="213"/>
      <c r="E284" s="213"/>
      <c r="F284" s="213"/>
      <c r="G284" s="213"/>
      <c r="H284" s="213"/>
      <c r="I284" s="946"/>
      <c r="J284" s="213"/>
      <c r="K284" s="213"/>
      <c r="L284" s="213"/>
      <c r="M284" s="213"/>
      <c r="N284" s="213"/>
      <c r="O284" s="328"/>
      <c r="P284" s="213"/>
      <c r="Q284" s="213"/>
      <c r="R284" s="213"/>
      <c r="S284" s="213"/>
      <c r="T284" s="213"/>
      <c r="U284" s="213"/>
      <c r="V284" s="213"/>
      <c r="W284" s="213"/>
      <c r="X284" s="213"/>
      <c r="Y284" s="213"/>
      <c r="Z284" s="213"/>
      <c r="AA284" s="213"/>
      <c r="AB284" s="213"/>
      <c r="AC284" s="213"/>
      <c r="AD284" s="213"/>
      <c r="AE284" s="213"/>
      <c r="AF284" s="213"/>
      <c r="AG284" s="213"/>
      <c r="AH284" s="213"/>
    </row>
    <row r="285" ht="15.75" customHeight="1">
      <c r="A285" s="213"/>
      <c r="B285" s="213"/>
      <c r="C285" s="213"/>
      <c r="D285" s="213"/>
      <c r="E285" s="213"/>
      <c r="F285" s="213"/>
      <c r="G285" s="213"/>
      <c r="H285" s="213"/>
      <c r="I285" s="946"/>
      <c r="J285" s="213"/>
      <c r="K285" s="213"/>
      <c r="L285" s="213"/>
      <c r="M285" s="213"/>
      <c r="N285" s="213"/>
      <c r="O285" s="328"/>
      <c r="P285" s="213"/>
      <c r="Q285" s="213"/>
      <c r="R285" s="213"/>
      <c r="S285" s="213"/>
      <c r="T285" s="213"/>
      <c r="U285" s="213"/>
      <c r="V285" s="213"/>
      <c r="W285" s="213"/>
      <c r="X285" s="213"/>
      <c r="Y285" s="213"/>
      <c r="Z285" s="213"/>
      <c r="AA285" s="213"/>
      <c r="AB285" s="213"/>
      <c r="AC285" s="213"/>
      <c r="AD285" s="213"/>
      <c r="AE285" s="213"/>
      <c r="AF285" s="213"/>
      <c r="AG285" s="213"/>
      <c r="AH285" s="213"/>
    </row>
    <row r="286" ht="15.75" customHeight="1">
      <c r="A286" s="213"/>
      <c r="B286" s="213"/>
      <c r="C286" s="213"/>
      <c r="D286" s="213"/>
      <c r="E286" s="213"/>
      <c r="F286" s="213"/>
      <c r="G286" s="213"/>
      <c r="H286" s="213"/>
      <c r="I286" s="946"/>
      <c r="J286" s="213"/>
      <c r="K286" s="213"/>
      <c r="L286" s="213"/>
      <c r="M286" s="213"/>
      <c r="N286" s="213"/>
      <c r="O286" s="328"/>
      <c r="P286" s="213"/>
      <c r="Q286" s="213"/>
      <c r="R286" s="213"/>
      <c r="S286" s="213"/>
      <c r="T286" s="213"/>
      <c r="U286" s="213"/>
      <c r="V286" s="213"/>
      <c r="W286" s="213"/>
      <c r="X286" s="213"/>
      <c r="Y286" s="213"/>
      <c r="Z286" s="213"/>
      <c r="AA286" s="213"/>
      <c r="AB286" s="213"/>
      <c r="AC286" s="213"/>
      <c r="AD286" s="213"/>
      <c r="AE286" s="213"/>
      <c r="AF286" s="213"/>
      <c r="AG286" s="213"/>
      <c r="AH286" s="213"/>
    </row>
    <row r="287" ht="15.75" customHeight="1">
      <c r="A287" s="213"/>
      <c r="B287" s="213"/>
      <c r="C287" s="213"/>
      <c r="D287" s="213"/>
      <c r="E287" s="213"/>
      <c r="F287" s="213"/>
      <c r="G287" s="213"/>
      <c r="H287" s="213"/>
      <c r="I287" s="946"/>
      <c r="J287" s="213"/>
      <c r="K287" s="213"/>
      <c r="L287" s="213"/>
      <c r="M287" s="213"/>
      <c r="N287" s="213"/>
      <c r="O287" s="328"/>
      <c r="P287" s="213"/>
      <c r="Q287" s="213"/>
      <c r="R287" s="213"/>
      <c r="S287" s="213"/>
      <c r="T287" s="213"/>
      <c r="U287" s="213"/>
      <c r="V287" s="213"/>
      <c r="W287" s="213"/>
      <c r="X287" s="213"/>
      <c r="Y287" s="213"/>
      <c r="Z287" s="213"/>
      <c r="AA287" s="213"/>
      <c r="AB287" s="213"/>
      <c r="AC287" s="213"/>
      <c r="AD287" s="213"/>
      <c r="AE287" s="213"/>
      <c r="AF287" s="213"/>
      <c r="AG287" s="213"/>
      <c r="AH287" s="213"/>
    </row>
    <row r="288" ht="15.75" customHeight="1">
      <c r="A288" s="213"/>
      <c r="B288" s="213"/>
      <c r="C288" s="213"/>
      <c r="D288" s="213"/>
      <c r="E288" s="213"/>
      <c r="F288" s="213"/>
      <c r="G288" s="213"/>
      <c r="H288" s="213"/>
      <c r="I288" s="946"/>
      <c r="J288" s="213"/>
      <c r="K288" s="213"/>
      <c r="L288" s="213"/>
      <c r="M288" s="213"/>
      <c r="N288" s="213"/>
      <c r="O288" s="328"/>
      <c r="P288" s="213"/>
      <c r="Q288" s="213"/>
      <c r="R288" s="213"/>
      <c r="S288" s="213"/>
      <c r="T288" s="213"/>
      <c r="U288" s="213"/>
      <c r="V288" s="213"/>
      <c r="W288" s="213"/>
      <c r="X288" s="213"/>
      <c r="Y288" s="213"/>
      <c r="Z288" s="213"/>
      <c r="AA288" s="213"/>
      <c r="AB288" s="213"/>
      <c r="AC288" s="213"/>
      <c r="AD288" s="213"/>
      <c r="AE288" s="213"/>
      <c r="AF288" s="213"/>
      <c r="AG288" s="213"/>
      <c r="AH288" s="213"/>
    </row>
    <row r="289" ht="15.75" customHeight="1">
      <c r="A289" s="213"/>
      <c r="B289" s="213"/>
      <c r="C289" s="213"/>
      <c r="D289" s="213"/>
      <c r="E289" s="213"/>
      <c r="F289" s="213"/>
      <c r="G289" s="213"/>
      <c r="H289" s="213"/>
      <c r="I289" s="946"/>
      <c r="J289" s="213"/>
      <c r="K289" s="213"/>
      <c r="L289" s="213"/>
      <c r="M289" s="213"/>
      <c r="N289" s="213"/>
      <c r="O289" s="328"/>
      <c r="P289" s="213"/>
      <c r="Q289" s="213"/>
      <c r="R289" s="213"/>
      <c r="S289" s="213"/>
      <c r="T289" s="213"/>
      <c r="U289" s="213"/>
      <c r="V289" s="213"/>
      <c r="W289" s="213"/>
      <c r="X289" s="213"/>
      <c r="Y289" s="213"/>
      <c r="Z289" s="213"/>
      <c r="AA289" s="213"/>
      <c r="AB289" s="213"/>
      <c r="AC289" s="213"/>
      <c r="AD289" s="213"/>
      <c r="AE289" s="213"/>
      <c r="AF289" s="213"/>
      <c r="AG289" s="213"/>
      <c r="AH289" s="213"/>
    </row>
    <row r="290" ht="15.75" customHeight="1">
      <c r="A290" s="213"/>
      <c r="B290" s="213"/>
      <c r="C290" s="213"/>
      <c r="D290" s="213"/>
      <c r="E290" s="213"/>
      <c r="F290" s="213"/>
      <c r="G290" s="213"/>
      <c r="H290" s="213"/>
      <c r="I290" s="946"/>
      <c r="J290" s="213"/>
      <c r="K290" s="213"/>
      <c r="L290" s="213"/>
      <c r="M290" s="213"/>
      <c r="N290" s="213"/>
      <c r="O290" s="328"/>
      <c r="P290" s="213"/>
      <c r="Q290" s="213"/>
      <c r="R290" s="213"/>
      <c r="S290" s="213"/>
      <c r="T290" s="213"/>
      <c r="U290" s="213"/>
      <c r="V290" s="213"/>
      <c r="W290" s="213"/>
      <c r="X290" s="213"/>
      <c r="Y290" s="213"/>
      <c r="Z290" s="213"/>
      <c r="AA290" s="213"/>
      <c r="AB290" s="213"/>
      <c r="AC290" s="213"/>
      <c r="AD290" s="213"/>
      <c r="AE290" s="213"/>
      <c r="AF290" s="213"/>
      <c r="AG290" s="213"/>
      <c r="AH290" s="213"/>
    </row>
    <row r="291" ht="15.75" customHeight="1">
      <c r="A291" s="213"/>
      <c r="B291" s="213"/>
      <c r="C291" s="213"/>
      <c r="D291" s="213"/>
      <c r="E291" s="213"/>
      <c r="F291" s="213"/>
      <c r="G291" s="213"/>
      <c r="H291" s="213"/>
      <c r="I291" s="946"/>
      <c r="J291" s="213"/>
      <c r="K291" s="213"/>
      <c r="L291" s="213"/>
      <c r="M291" s="213"/>
      <c r="N291" s="213"/>
      <c r="O291" s="328"/>
      <c r="P291" s="213"/>
      <c r="Q291" s="213"/>
      <c r="R291" s="213"/>
      <c r="S291" s="213"/>
      <c r="T291" s="213"/>
      <c r="U291" s="213"/>
      <c r="V291" s="213"/>
      <c r="W291" s="213"/>
      <c r="X291" s="213"/>
      <c r="Y291" s="213"/>
      <c r="Z291" s="213"/>
      <c r="AA291" s="213"/>
      <c r="AB291" s="213"/>
      <c r="AC291" s="213"/>
      <c r="AD291" s="213"/>
      <c r="AE291" s="213"/>
      <c r="AF291" s="213"/>
      <c r="AG291" s="213"/>
      <c r="AH291" s="213"/>
    </row>
    <row r="292" ht="15.75" customHeight="1">
      <c r="A292" s="213"/>
      <c r="B292" s="213"/>
      <c r="C292" s="213"/>
      <c r="D292" s="213"/>
      <c r="E292" s="213"/>
      <c r="F292" s="213"/>
      <c r="G292" s="213"/>
      <c r="H292" s="213"/>
      <c r="I292" s="946"/>
      <c r="J292" s="213"/>
      <c r="K292" s="213"/>
      <c r="L292" s="213"/>
      <c r="M292" s="213"/>
      <c r="N292" s="213"/>
      <c r="O292" s="328"/>
      <c r="P292" s="213"/>
      <c r="Q292" s="213"/>
      <c r="R292" s="213"/>
      <c r="S292" s="213"/>
      <c r="T292" s="213"/>
      <c r="U292" s="213"/>
      <c r="V292" s="213"/>
      <c r="W292" s="213"/>
      <c r="X292" s="213"/>
      <c r="Y292" s="213"/>
      <c r="Z292" s="213"/>
      <c r="AA292" s="213"/>
      <c r="AB292" s="213"/>
      <c r="AC292" s="213"/>
      <c r="AD292" s="213"/>
      <c r="AE292" s="213"/>
      <c r="AF292" s="213"/>
      <c r="AG292" s="213"/>
      <c r="AH292" s="213"/>
    </row>
    <row r="293" ht="15.75" customHeight="1">
      <c r="A293" s="213"/>
      <c r="B293" s="213"/>
      <c r="C293" s="213"/>
      <c r="D293" s="213"/>
      <c r="E293" s="213"/>
      <c r="F293" s="213"/>
      <c r="G293" s="213"/>
      <c r="H293" s="213"/>
      <c r="I293" s="946"/>
      <c r="J293" s="213"/>
      <c r="K293" s="213"/>
      <c r="L293" s="213"/>
      <c r="M293" s="213"/>
      <c r="N293" s="213"/>
      <c r="O293" s="328"/>
      <c r="P293" s="213"/>
      <c r="Q293" s="213"/>
      <c r="R293" s="213"/>
      <c r="S293" s="213"/>
      <c r="T293" s="213"/>
      <c r="U293" s="213"/>
      <c r="V293" s="213"/>
      <c r="W293" s="213"/>
      <c r="X293" s="213"/>
      <c r="Y293" s="213"/>
      <c r="Z293" s="213"/>
      <c r="AA293" s="213"/>
      <c r="AB293" s="213"/>
      <c r="AC293" s="213"/>
      <c r="AD293" s="213"/>
      <c r="AE293" s="213"/>
      <c r="AF293" s="213"/>
      <c r="AG293" s="213"/>
      <c r="AH293" s="213"/>
    </row>
    <row r="294" ht="15.75" customHeight="1">
      <c r="A294" s="213"/>
      <c r="B294" s="213"/>
      <c r="C294" s="213"/>
      <c r="D294" s="213"/>
      <c r="E294" s="213"/>
      <c r="F294" s="213"/>
      <c r="G294" s="213"/>
      <c r="H294" s="213"/>
      <c r="I294" s="946"/>
      <c r="J294" s="213"/>
      <c r="K294" s="213"/>
      <c r="L294" s="213"/>
      <c r="M294" s="213"/>
      <c r="N294" s="213"/>
      <c r="O294" s="328"/>
      <c r="P294" s="213"/>
      <c r="Q294" s="213"/>
      <c r="R294" s="213"/>
      <c r="S294" s="213"/>
      <c r="T294" s="213"/>
      <c r="U294" s="213"/>
      <c r="V294" s="213"/>
      <c r="W294" s="213"/>
      <c r="X294" s="213"/>
      <c r="Y294" s="213"/>
      <c r="Z294" s="213"/>
      <c r="AA294" s="213"/>
      <c r="AB294" s="213"/>
      <c r="AC294" s="213"/>
      <c r="AD294" s="213"/>
      <c r="AE294" s="213"/>
      <c r="AF294" s="213"/>
      <c r="AG294" s="213"/>
      <c r="AH294" s="213"/>
    </row>
    <row r="295" ht="15.75" customHeight="1">
      <c r="A295" s="213"/>
      <c r="B295" s="213"/>
      <c r="C295" s="213"/>
      <c r="D295" s="213"/>
      <c r="E295" s="213"/>
      <c r="F295" s="213"/>
      <c r="G295" s="213"/>
      <c r="H295" s="213"/>
      <c r="I295" s="946"/>
      <c r="J295" s="213"/>
      <c r="K295" s="213"/>
      <c r="L295" s="213"/>
      <c r="M295" s="213"/>
      <c r="N295" s="213"/>
      <c r="O295" s="328"/>
      <c r="P295" s="213"/>
      <c r="Q295" s="213"/>
      <c r="R295" s="213"/>
      <c r="S295" s="213"/>
      <c r="T295" s="213"/>
      <c r="U295" s="213"/>
      <c r="V295" s="213"/>
      <c r="W295" s="213"/>
      <c r="X295" s="213"/>
      <c r="Y295" s="213"/>
      <c r="Z295" s="213"/>
      <c r="AA295" s="213"/>
      <c r="AB295" s="213"/>
      <c r="AC295" s="213"/>
      <c r="AD295" s="213"/>
      <c r="AE295" s="213"/>
      <c r="AF295" s="213"/>
      <c r="AG295" s="213"/>
      <c r="AH295" s="213"/>
    </row>
    <row r="296" ht="15.75" customHeight="1">
      <c r="A296" s="213"/>
      <c r="B296" s="213"/>
      <c r="C296" s="213"/>
      <c r="D296" s="213"/>
      <c r="E296" s="213"/>
      <c r="F296" s="213"/>
      <c r="G296" s="213"/>
      <c r="H296" s="213"/>
      <c r="I296" s="946"/>
      <c r="J296" s="213"/>
      <c r="K296" s="213"/>
      <c r="L296" s="213"/>
      <c r="M296" s="213"/>
      <c r="N296" s="213"/>
      <c r="O296" s="328"/>
      <c r="P296" s="213"/>
      <c r="Q296" s="213"/>
      <c r="R296" s="213"/>
      <c r="S296" s="213"/>
      <c r="T296" s="213"/>
      <c r="U296" s="213"/>
      <c r="V296" s="213"/>
      <c r="W296" s="213"/>
      <c r="X296" s="213"/>
      <c r="Y296" s="213"/>
      <c r="Z296" s="213"/>
      <c r="AA296" s="213"/>
      <c r="AB296" s="213"/>
      <c r="AC296" s="213"/>
      <c r="AD296" s="213"/>
      <c r="AE296" s="213"/>
      <c r="AF296" s="213"/>
      <c r="AG296" s="213"/>
      <c r="AH296" s="213"/>
    </row>
    <row r="297" ht="15.75" customHeight="1">
      <c r="A297" s="213"/>
      <c r="B297" s="213"/>
      <c r="C297" s="213"/>
      <c r="D297" s="213"/>
      <c r="E297" s="213"/>
      <c r="F297" s="213"/>
      <c r="G297" s="213"/>
      <c r="H297" s="213"/>
      <c r="I297" s="946"/>
      <c r="J297" s="213"/>
      <c r="K297" s="213"/>
      <c r="L297" s="213"/>
      <c r="M297" s="213"/>
      <c r="N297" s="213"/>
      <c r="O297" s="328"/>
      <c r="P297" s="213"/>
      <c r="Q297" s="213"/>
      <c r="R297" s="213"/>
      <c r="S297" s="213"/>
      <c r="T297" s="213"/>
      <c r="U297" s="213"/>
      <c r="V297" s="213"/>
      <c r="W297" s="213"/>
      <c r="X297" s="213"/>
      <c r="Y297" s="213"/>
      <c r="Z297" s="213"/>
      <c r="AA297" s="213"/>
      <c r="AB297" s="213"/>
      <c r="AC297" s="213"/>
      <c r="AD297" s="213"/>
      <c r="AE297" s="213"/>
      <c r="AF297" s="213"/>
      <c r="AG297" s="213"/>
      <c r="AH297" s="213"/>
    </row>
    <row r="298" ht="15.75" customHeight="1">
      <c r="A298" s="213"/>
      <c r="B298" s="213"/>
      <c r="C298" s="213"/>
      <c r="D298" s="213"/>
      <c r="E298" s="213"/>
      <c r="F298" s="213"/>
      <c r="G298" s="213"/>
      <c r="H298" s="213"/>
      <c r="I298" s="946"/>
      <c r="J298" s="213"/>
      <c r="K298" s="213"/>
      <c r="L298" s="213"/>
      <c r="M298" s="213"/>
      <c r="N298" s="213"/>
      <c r="O298" s="328"/>
      <c r="P298" s="213"/>
      <c r="Q298" s="213"/>
      <c r="R298" s="213"/>
      <c r="S298" s="213"/>
      <c r="T298" s="213"/>
      <c r="U298" s="213"/>
      <c r="V298" s="213"/>
      <c r="W298" s="213"/>
      <c r="X298" s="213"/>
      <c r="Y298" s="213"/>
      <c r="Z298" s="213"/>
      <c r="AA298" s="213"/>
      <c r="AB298" s="213"/>
      <c r="AC298" s="213"/>
      <c r="AD298" s="213"/>
      <c r="AE298" s="213"/>
      <c r="AF298" s="213"/>
      <c r="AG298" s="213"/>
      <c r="AH298" s="213"/>
    </row>
    <row r="299" ht="15.75" customHeight="1">
      <c r="A299" s="213"/>
      <c r="B299" s="213"/>
      <c r="C299" s="213"/>
      <c r="D299" s="213"/>
      <c r="E299" s="213"/>
      <c r="F299" s="213"/>
      <c r="G299" s="213"/>
      <c r="H299" s="213"/>
      <c r="I299" s="946"/>
      <c r="J299" s="213"/>
      <c r="K299" s="213"/>
      <c r="L299" s="213"/>
      <c r="M299" s="213"/>
      <c r="N299" s="213"/>
      <c r="O299" s="328"/>
      <c r="P299" s="213"/>
      <c r="Q299" s="213"/>
      <c r="R299" s="213"/>
      <c r="S299" s="213"/>
      <c r="T299" s="213"/>
      <c r="U299" s="213"/>
      <c r="V299" s="213"/>
      <c r="W299" s="213"/>
      <c r="X299" s="213"/>
      <c r="Y299" s="213"/>
      <c r="Z299" s="213"/>
      <c r="AA299" s="213"/>
      <c r="AB299" s="213"/>
      <c r="AC299" s="213"/>
      <c r="AD299" s="213"/>
      <c r="AE299" s="213"/>
      <c r="AF299" s="213"/>
      <c r="AG299" s="213"/>
      <c r="AH299" s="213"/>
    </row>
    <row r="300" ht="15.75" customHeight="1">
      <c r="A300" s="213"/>
      <c r="B300" s="213"/>
      <c r="C300" s="213"/>
      <c r="D300" s="213"/>
      <c r="E300" s="213"/>
      <c r="F300" s="213"/>
      <c r="G300" s="213"/>
      <c r="H300" s="213"/>
      <c r="I300" s="946"/>
      <c r="J300" s="213"/>
      <c r="K300" s="213"/>
      <c r="L300" s="213"/>
      <c r="M300" s="213"/>
      <c r="N300" s="213"/>
      <c r="O300" s="328"/>
      <c r="P300" s="213"/>
      <c r="Q300" s="213"/>
      <c r="R300" s="213"/>
      <c r="S300" s="213"/>
      <c r="T300" s="213"/>
      <c r="U300" s="213"/>
      <c r="V300" s="213"/>
      <c r="W300" s="213"/>
      <c r="X300" s="213"/>
      <c r="Y300" s="213"/>
      <c r="Z300" s="213"/>
      <c r="AA300" s="213"/>
      <c r="AB300" s="213"/>
      <c r="AC300" s="213"/>
      <c r="AD300" s="213"/>
      <c r="AE300" s="213"/>
      <c r="AF300" s="213"/>
      <c r="AG300" s="213"/>
      <c r="AH300" s="213"/>
    </row>
    <row r="301" ht="15.75" customHeight="1">
      <c r="A301" s="213"/>
      <c r="B301" s="213"/>
      <c r="C301" s="213"/>
      <c r="D301" s="213"/>
      <c r="E301" s="213"/>
      <c r="F301" s="213"/>
      <c r="G301" s="213"/>
      <c r="H301" s="213"/>
      <c r="I301" s="946"/>
      <c r="J301" s="213"/>
      <c r="K301" s="213"/>
      <c r="L301" s="213"/>
      <c r="M301" s="213"/>
      <c r="N301" s="213"/>
      <c r="O301" s="328"/>
      <c r="P301" s="213"/>
      <c r="Q301" s="213"/>
      <c r="R301" s="213"/>
      <c r="S301" s="213"/>
      <c r="T301" s="213"/>
      <c r="U301" s="213"/>
      <c r="V301" s="213"/>
      <c r="W301" s="213"/>
      <c r="X301" s="213"/>
      <c r="Y301" s="213"/>
      <c r="Z301" s="213"/>
      <c r="AA301" s="213"/>
      <c r="AB301" s="213"/>
      <c r="AC301" s="213"/>
      <c r="AD301" s="213"/>
      <c r="AE301" s="213"/>
      <c r="AF301" s="213"/>
      <c r="AG301" s="213"/>
      <c r="AH301" s="213"/>
    </row>
    <row r="302" ht="15.75" customHeight="1">
      <c r="A302" s="213"/>
      <c r="B302" s="213"/>
      <c r="C302" s="213"/>
      <c r="D302" s="213"/>
      <c r="E302" s="213"/>
      <c r="F302" s="213"/>
      <c r="G302" s="213"/>
      <c r="H302" s="213"/>
      <c r="I302" s="946"/>
      <c r="J302" s="213"/>
      <c r="K302" s="213"/>
      <c r="L302" s="213"/>
      <c r="M302" s="213"/>
      <c r="N302" s="213"/>
      <c r="O302" s="328"/>
      <c r="P302" s="213"/>
      <c r="Q302" s="213"/>
      <c r="R302" s="213"/>
      <c r="S302" s="213"/>
      <c r="T302" s="213"/>
      <c r="U302" s="213"/>
      <c r="V302" s="213"/>
      <c r="W302" s="213"/>
      <c r="X302" s="213"/>
      <c r="Y302" s="213"/>
      <c r="Z302" s="213"/>
      <c r="AA302" s="213"/>
      <c r="AB302" s="213"/>
      <c r="AC302" s="213"/>
      <c r="AD302" s="213"/>
      <c r="AE302" s="213"/>
      <c r="AF302" s="213"/>
      <c r="AG302" s="213"/>
      <c r="AH302" s="213"/>
    </row>
    <row r="303" ht="15.75" customHeight="1">
      <c r="A303" s="213"/>
      <c r="B303" s="213"/>
      <c r="C303" s="213"/>
      <c r="D303" s="213"/>
      <c r="E303" s="213"/>
      <c r="F303" s="213"/>
      <c r="G303" s="213"/>
      <c r="H303" s="213"/>
      <c r="I303" s="946"/>
      <c r="J303" s="213"/>
      <c r="K303" s="213"/>
      <c r="L303" s="213"/>
      <c r="M303" s="213"/>
      <c r="N303" s="213"/>
      <c r="O303" s="328"/>
      <c r="P303" s="213"/>
      <c r="Q303" s="213"/>
      <c r="R303" s="213"/>
      <c r="S303" s="213"/>
      <c r="T303" s="213"/>
      <c r="U303" s="213"/>
      <c r="V303" s="213"/>
      <c r="W303" s="213"/>
      <c r="X303" s="213"/>
      <c r="Y303" s="213"/>
      <c r="Z303" s="213"/>
      <c r="AA303" s="213"/>
      <c r="AB303" s="213"/>
      <c r="AC303" s="213"/>
      <c r="AD303" s="213"/>
      <c r="AE303" s="213"/>
      <c r="AF303" s="213"/>
      <c r="AG303" s="213"/>
      <c r="AH303" s="213"/>
    </row>
    <row r="304" ht="15.75" customHeight="1">
      <c r="A304" s="213"/>
      <c r="B304" s="213"/>
      <c r="C304" s="213"/>
      <c r="D304" s="213"/>
      <c r="E304" s="213"/>
      <c r="F304" s="213"/>
      <c r="G304" s="213"/>
      <c r="H304" s="213"/>
      <c r="I304" s="946"/>
      <c r="J304" s="213"/>
      <c r="K304" s="213"/>
      <c r="L304" s="213"/>
      <c r="M304" s="213"/>
      <c r="N304" s="213"/>
      <c r="O304" s="328"/>
      <c r="P304" s="213"/>
      <c r="Q304" s="213"/>
      <c r="R304" s="213"/>
      <c r="S304" s="213"/>
      <c r="T304" s="213"/>
      <c r="U304" s="213"/>
      <c r="V304" s="213"/>
      <c r="W304" s="213"/>
      <c r="X304" s="213"/>
      <c r="Y304" s="213"/>
      <c r="Z304" s="213"/>
      <c r="AA304" s="213"/>
      <c r="AB304" s="213"/>
      <c r="AC304" s="213"/>
      <c r="AD304" s="213"/>
      <c r="AE304" s="213"/>
      <c r="AF304" s="213"/>
      <c r="AG304" s="213"/>
      <c r="AH304" s="213"/>
    </row>
    <row r="305" ht="15.75" customHeight="1">
      <c r="A305" s="213"/>
      <c r="B305" s="213"/>
      <c r="C305" s="213"/>
      <c r="D305" s="213"/>
      <c r="E305" s="213"/>
      <c r="F305" s="213"/>
      <c r="G305" s="213"/>
      <c r="H305" s="213"/>
      <c r="I305" s="946"/>
      <c r="J305" s="213"/>
      <c r="K305" s="213"/>
      <c r="L305" s="213"/>
      <c r="M305" s="213"/>
      <c r="N305" s="213"/>
      <c r="O305" s="328"/>
      <c r="P305" s="213"/>
      <c r="Q305" s="213"/>
      <c r="R305" s="213"/>
      <c r="S305" s="213"/>
      <c r="T305" s="213"/>
      <c r="U305" s="213"/>
      <c r="V305" s="213"/>
      <c r="W305" s="213"/>
      <c r="X305" s="213"/>
      <c r="Y305" s="213"/>
      <c r="Z305" s="213"/>
      <c r="AA305" s="213"/>
      <c r="AB305" s="213"/>
      <c r="AC305" s="213"/>
      <c r="AD305" s="213"/>
      <c r="AE305" s="213"/>
      <c r="AF305" s="213"/>
      <c r="AG305" s="213"/>
      <c r="AH305" s="213"/>
    </row>
    <row r="306" ht="15.75" customHeight="1">
      <c r="A306" s="213"/>
      <c r="B306" s="213"/>
      <c r="C306" s="213"/>
      <c r="D306" s="213"/>
      <c r="E306" s="213"/>
      <c r="F306" s="213"/>
      <c r="G306" s="213"/>
      <c r="H306" s="213"/>
      <c r="I306" s="946"/>
      <c r="J306" s="213"/>
      <c r="K306" s="213"/>
      <c r="L306" s="213"/>
      <c r="M306" s="213"/>
      <c r="N306" s="213"/>
      <c r="O306" s="328"/>
      <c r="P306" s="213"/>
      <c r="Q306" s="213"/>
      <c r="R306" s="213"/>
      <c r="S306" s="213"/>
      <c r="T306" s="213"/>
      <c r="U306" s="213"/>
      <c r="V306" s="213"/>
      <c r="W306" s="213"/>
      <c r="X306" s="213"/>
      <c r="Y306" s="213"/>
      <c r="Z306" s="213"/>
      <c r="AA306" s="213"/>
      <c r="AB306" s="213"/>
      <c r="AC306" s="213"/>
      <c r="AD306" s="213"/>
      <c r="AE306" s="213"/>
      <c r="AF306" s="213"/>
      <c r="AG306" s="213"/>
      <c r="AH306" s="213"/>
    </row>
    <row r="307" ht="15.75" customHeight="1">
      <c r="A307" s="213"/>
      <c r="B307" s="213"/>
      <c r="C307" s="213"/>
      <c r="D307" s="213"/>
      <c r="E307" s="213"/>
      <c r="F307" s="213"/>
      <c r="G307" s="213"/>
      <c r="H307" s="213"/>
      <c r="I307" s="946"/>
      <c r="J307" s="213"/>
      <c r="K307" s="213"/>
      <c r="L307" s="213"/>
      <c r="M307" s="213"/>
      <c r="N307" s="213"/>
      <c r="O307" s="328"/>
      <c r="P307" s="213"/>
      <c r="Q307" s="213"/>
      <c r="R307" s="213"/>
      <c r="S307" s="213"/>
      <c r="T307" s="213"/>
      <c r="U307" s="213"/>
      <c r="V307" s="213"/>
      <c r="W307" s="213"/>
      <c r="X307" s="213"/>
      <c r="Y307" s="213"/>
      <c r="Z307" s="213"/>
      <c r="AA307" s="213"/>
      <c r="AB307" s="213"/>
      <c r="AC307" s="213"/>
      <c r="AD307" s="213"/>
      <c r="AE307" s="213"/>
      <c r="AF307" s="213"/>
      <c r="AG307" s="213"/>
      <c r="AH307" s="213"/>
    </row>
    <row r="308" ht="15.75" customHeight="1">
      <c r="A308" s="213"/>
      <c r="B308" s="213"/>
      <c r="C308" s="213"/>
      <c r="D308" s="213"/>
      <c r="E308" s="213"/>
      <c r="F308" s="213"/>
      <c r="G308" s="213"/>
      <c r="H308" s="213"/>
      <c r="I308" s="946"/>
      <c r="J308" s="213"/>
      <c r="K308" s="213"/>
      <c r="L308" s="213"/>
      <c r="M308" s="213"/>
      <c r="N308" s="213"/>
      <c r="O308" s="328"/>
      <c r="P308" s="213"/>
      <c r="Q308" s="213"/>
      <c r="R308" s="213"/>
      <c r="S308" s="213"/>
      <c r="T308" s="213"/>
      <c r="U308" s="213"/>
      <c r="V308" s="213"/>
      <c r="W308" s="213"/>
      <c r="X308" s="213"/>
      <c r="Y308" s="213"/>
      <c r="Z308" s="213"/>
      <c r="AA308" s="213"/>
      <c r="AB308" s="213"/>
      <c r="AC308" s="213"/>
      <c r="AD308" s="213"/>
      <c r="AE308" s="213"/>
      <c r="AF308" s="213"/>
      <c r="AG308" s="213"/>
      <c r="AH308" s="213"/>
    </row>
    <row r="309" ht="15.75" customHeight="1">
      <c r="A309" s="213"/>
      <c r="B309" s="213"/>
      <c r="C309" s="213"/>
      <c r="D309" s="213"/>
      <c r="E309" s="213"/>
      <c r="F309" s="213"/>
      <c r="G309" s="213"/>
      <c r="H309" s="213"/>
      <c r="I309" s="946"/>
      <c r="J309" s="213"/>
      <c r="K309" s="213"/>
      <c r="L309" s="213"/>
      <c r="M309" s="213"/>
      <c r="N309" s="213"/>
      <c r="O309" s="328"/>
      <c r="P309" s="213"/>
      <c r="Q309" s="213"/>
      <c r="R309" s="213"/>
      <c r="S309" s="213"/>
      <c r="T309" s="213"/>
      <c r="U309" s="213"/>
      <c r="V309" s="213"/>
      <c r="W309" s="213"/>
      <c r="X309" s="213"/>
      <c r="Y309" s="213"/>
      <c r="Z309" s="213"/>
      <c r="AA309" s="213"/>
      <c r="AB309" s="213"/>
      <c r="AC309" s="213"/>
      <c r="AD309" s="213"/>
      <c r="AE309" s="213"/>
      <c r="AF309" s="213"/>
      <c r="AG309" s="213"/>
      <c r="AH309" s="213"/>
    </row>
    <row r="310" ht="15.75" customHeight="1">
      <c r="A310" s="213"/>
      <c r="B310" s="213"/>
      <c r="C310" s="213"/>
      <c r="D310" s="213"/>
      <c r="E310" s="213"/>
      <c r="F310" s="213"/>
      <c r="G310" s="213"/>
      <c r="H310" s="213"/>
      <c r="I310" s="946"/>
      <c r="J310" s="213"/>
      <c r="K310" s="213"/>
      <c r="L310" s="213"/>
      <c r="M310" s="213"/>
      <c r="N310" s="213"/>
      <c r="O310" s="328"/>
      <c r="P310" s="213"/>
      <c r="Q310" s="213"/>
      <c r="R310" s="213"/>
      <c r="S310" s="213"/>
      <c r="T310" s="213"/>
      <c r="U310" s="213"/>
      <c r="V310" s="213"/>
      <c r="W310" s="213"/>
      <c r="X310" s="213"/>
      <c r="Y310" s="213"/>
      <c r="Z310" s="213"/>
      <c r="AA310" s="213"/>
      <c r="AB310" s="213"/>
      <c r="AC310" s="213"/>
      <c r="AD310" s="213"/>
      <c r="AE310" s="213"/>
      <c r="AF310" s="213"/>
      <c r="AG310" s="213"/>
      <c r="AH310" s="213"/>
    </row>
    <row r="311" ht="15.75" customHeight="1">
      <c r="A311" s="213"/>
      <c r="B311" s="213"/>
      <c r="C311" s="213"/>
      <c r="D311" s="213"/>
      <c r="E311" s="213"/>
      <c r="F311" s="213"/>
      <c r="G311" s="213"/>
      <c r="H311" s="213"/>
      <c r="I311" s="946"/>
      <c r="J311" s="213"/>
      <c r="K311" s="213"/>
      <c r="L311" s="213"/>
      <c r="M311" s="213"/>
      <c r="N311" s="213"/>
      <c r="O311" s="328"/>
      <c r="P311" s="213"/>
      <c r="Q311" s="213"/>
      <c r="R311" s="213"/>
      <c r="S311" s="213"/>
      <c r="T311" s="213"/>
      <c r="U311" s="213"/>
      <c r="V311" s="213"/>
      <c r="W311" s="213"/>
      <c r="X311" s="213"/>
      <c r="Y311" s="213"/>
      <c r="Z311" s="213"/>
      <c r="AA311" s="213"/>
      <c r="AB311" s="213"/>
      <c r="AC311" s="213"/>
      <c r="AD311" s="213"/>
      <c r="AE311" s="213"/>
      <c r="AF311" s="213"/>
      <c r="AG311" s="213"/>
      <c r="AH311" s="213"/>
    </row>
    <row r="312" ht="15.75" customHeight="1">
      <c r="A312" s="213"/>
      <c r="B312" s="213"/>
      <c r="C312" s="213"/>
      <c r="D312" s="213"/>
      <c r="E312" s="213"/>
      <c r="F312" s="213"/>
      <c r="G312" s="213"/>
      <c r="H312" s="213"/>
      <c r="I312" s="946"/>
      <c r="J312" s="213"/>
      <c r="K312" s="213"/>
      <c r="L312" s="213"/>
      <c r="M312" s="213"/>
      <c r="N312" s="213"/>
      <c r="O312" s="328"/>
      <c r="P312" s="213"/>
      <c r="Q312" s="213"/>
      <c r="R312" s="213"/>
      <c r="S312" s="213"/>
      <c r="T312" s="213"/>
      <c r="U312" s="213"/>
      <c r="V312" s="213"/>
      <c r="W312" s="213"/>
      <c r="X312" s="213"/>
      <c r="Y312" s="213"/>
      <c r="Z312" s="213"/>
      <c r="AA312" s="213"/>
      <c r="AB312" s="213"/>
      <c r="AC312" s="213"/>
      <c r="AD312" s="213"/>
      <c r="AE312" s="213"/>
      <c r="AF312" s="213"/>
      <c r="AG312" s="213"/>
      <c r="AH312" s="213"/>
    </row>
    <row r="313" ht="15.75" customHeight="1">
      <c r="A313" s="213"/>
      <c r="B313" s="213"/>
      <c r="C313" s="213"/>
      <c r="D313" s="213"/>
      <c r="E313" s="213"/>
      <c r="F313" s="213"/>
      <c r="G313" s="213"/>
      <c r="H313" s="213"/>
      <c r="I313" s="946"/>
      <c r="J313" s="213"/>
      <c r="K313" s="213"/>
      <c r="L313" s="213"/>
      <c r="M313" s="213"/>
      <c r="N313" s="213"/>
      <c r="O313" s="328"/>
      <c r="P313" s="213"/>
      <c r="Q313" s="213"/>
      <c r="R313" s="213"/>
      <c r="S313" s="213"/>
      <c r="T313" s="213"/>
      <c r="U313" s="213"/>
      <c r="V313" s="213"/>
      <c r="W313" s="213"/>
      <c r="X313" s="213"/>
      <c r="Y313" s="213"/>
      <c r="Z313" s="213"/>
      <c r="AA313" s="213"/>
      <c r="AB313" s="213"/>
      <c r="AC313" s="213"/>
      <c r="AD313" s="213"/>
      <c r="AE313" s="213"/>
      <c r="AF313" s="213"/>
      <c r="AG313" s="213"/>
      <c r="AH313" s="213"/>
    </row>
    <row r="314" ht="15.75" customHeight="1">
      <c r="A314" s="213"/>
      <c r="B314" s="213"/>
      <c r="C314" s="213"/>
      <c r="D314" s="213"/>
      <c r="E314" s="213"/>
      <c r="F314" s="213"/>
      <c r="G314" s="213"/>
      <c r="H314" s="213"/>
      <c r="I314" s="946"/>
      <c r="J314" s="213"/>
      <c r="K314" s="213"/>
      <c r="L314" s="213"/>
      <c r="M314" s="213"/>
      <c r="N314" s="213"/>
      <c r="O314" s="328"/>
      <c r="P314" s="213"/>
      <c r="Q314" s="213"/>
      <c r="R314" s="213"/>
      <c r="S314" s="213"/>
      <c r="T314" s="213"/>
      <c r="U314" s="213"/>
      <c r="V314" s="213"/>
      <c r="W314" s="213"/>
      <c r="X314" s="213"/>
      <c r="Y314" s="213"/>
      <c r="Z314" s="213"/>
      <c r="AA314" s="213"/>
      <c r="AB314" s="213"/>
      <c r="AC314" s="213"/>
      <c r="AD314" s="213"/>
      <c r="AE314" s="213"/>
      <c r="AF314" s="213"/>
      <c r="AG314" s="213"/>
      <c r="AH314" s="213"/>
    </row>
    <row r="315" ht="15.75" customHeight="1">
      <c r="A315" s="213"/>
      <c r="B315" s="213"/>
      <c r="C315" s="213"/>
      <c r="D315" s="213"/>
      <c r="E315" s="213"/>
      <c r="F315" s="213"/>
      <c r="G315" s="213"/>
      <c r="H315" s="213"/>
      <c r="I315" s="946"/>
      <c r="J315" s="213"/>
      <c r="K315" s="213"/>
      <c r="L315" s="213"/>
      <c r="M315" s="213"/>
      <c r="N315" s="213"/>
      <c r="O315" s="328"/>
      <c r="P315" s="213"/>
      <c r="Q315" s="213"/>
      <c r="R315" s="213"/>
      <c r="S315" s="213"/>
      <c r="T315" s="213"/>
      <c r="U315" s="213"/>
      <c r="V315" s="213"/>
      <c r="W315" s="213"/>
      <c r="X315" s="213"/>
      <c r="Y315" s="213"/>
      <c r="Z315" s="213"/>
      <c r="AA315" s="213"/>
      <c r="AB315" s="213"/>
      <c r="AC315" s="213"/>
      <c r="AD315" s="213"/>
      <c r="AE315" s="213"/>
      <c r="AF315" s="213"/>
      <c r="AG315" s="213"/>
      <c r="AH315" s="213"/>
    </row>
    <row r="316" ht="15.75" customHeight="1">
      <c r="A316" s="213"/>
      <c r="B316" s="213"/>
      <c r="C316" s="213"/>
      <c r="D316" s="213"/>
      <c r="E316" s="213"/>
      <c r="F316" s="213"/>
      <c r="G316" s="213"/>
      <c r="H316" s="213"/>
      <c r="I316" s="946"/>
      <c r="J316" s="213"/>
      <c r="K316" s="213"/>
      <c r="L316" s="213"/>
      <c r="M316" s="213"/>
      <c r="N316" s="213"/>
      <c r="O316" s="328"/>
      <c r="P316" s="213"/>
      <c r="Q316" s="213"/>
      <c r="R316" s="213"/>
      <c r="S316" s="213"/>
      <c r="T316" s="213"/>
      <c r="U316" s="213"/>
      <c r="V316" s="213"/>
      <c r="W316" s="213"/>
      <c r="X316" s="213"/>
      <c r="Y316" s="213"/>
      <c r="Z316" s="213"/>
      <c r="AA316" s="213"/>
      <c r="AB316" s="213"/>
      <c r="AC316" s="213"/>
      <c r="AD316" s="213"/>
      <c r="AE316" s="213"/>
      <c r="AF316" s="213"/>
      <c r="AG316" s="213"/>
      <c r="AH316" s="213"/>
    </row>
    <row r="317" ht="15.75" customHeight="1">
      <c r="A317" s="213"/>
      <c r="B317" s="213"/>
      <c r="C317" s="213"/>
      <c r="D317" s="213"/>
      <c r="E317" s="213"/>
      <c r="F317" s="213"/>
      <c r="G317" s="213"/>
      <c r="H317" s="213"/>
      <c r="I317" s="946"/>
      <c r="J317" s="213"/>
      <c r="K317" s="213"/>
      <c r="L317" s="213"/>
      <c r="M317" s="213"/>
      <c r="N317" s="213"/>
      <c r="O317" s="328"/>
      <c r="P317" s="213"/>
      <c r="Q317" s="213"/>
      <c r="R317" s="213"/>
      <c r="S317" s="213"/>
      <c r="T317" s="213"/>
      <c r="U317" s="213"/>
      <c r="V317" s="213"/>
      <c r="W317" s="213"/>
      <c r="X317" s="213"/>
      <c r="Y317" s="213"/>
      <c r="Z317" s="213"/>
      <c r="AA317" s="213"/>
      <c r="AB317" s="213"/>
      <c r="AC317" s="213"/>
      <c r="AD317" s="213"/>
      <c r="AE317" s="213"/>
      <c r="AF317" s="213"/>
      <c r="AG317" s="213"/>
      <c r="AH317" s="213"/>
    </row>
    <row r="318" ht="15.75" customHeight="1">
      <c r="A318" s="213"/>
      <c r="B318" s="213"/>
      <c r="C318" s="213"/>
      <c r="D318" s="213"/>
      <c r="E318" s="213"/>
      <c r="F318" s="213"/>
      <c r="G318" s="213"/>
      <c r="H318" s="213"/>
      <c r="I318" s="946"/>
      <c r="J318" s="213"/>
      <c r="K318" s="213"/>
      <c r="L318" s="213"/>
      <c r="M318" s="213"/>
      <c r="N318" s="213"/>
      <c r="O318" s="328"/>
      <c r="P318" s="213"/>
      <c r="Q318" s="213"/>
      <c r="R318" s="213"/>
      <c r="S318" s="213"/>
      <c r="T318" s="213"/>
      <c r="U318" s="213"/>
      <c r="V318" s="213"/>
      <c r="W318" s="213"/>
      <c r="X318" s="213"/>
      <c r="Y318" s="213"/>
      <c r="Z318" s="213"/>
      <c r="AA318" s="213"/>
      <c r="AB318" s="213"/>
      <c r="AC318" s="213"/>
      <c r="AD318" s="213"/>
      <c r="AE318" s="213"/>
      <c r="AF318" s="213"/>
      <c r="AG318" s="213"/>
      <c r="AH318" s="213"/>
    </row>
    <row r="319" ht="15.75" customHeight="1">
      <c r="A319" s="213"/>
      <c r="B319" s="213"/>
      <c r="C319" s="213"/>
      <c r="D319" s="213"/>
      <c r="E319" s="213"/>
      <c r="F319" s="213"/>
      <c r="G319" s="213"/>
      <c r="H319" s="213"/>
      <c r="I319" s="946"/>
      <c r="J319" s="213"/>
      <c r="K319" s="213"/>
      <c r="L319" s="213"/>
      <c r="M319" s="213"/>
      <c r="N319" s="213"/>
      <c r="O319" s="328"/>
      <c r="P319" s="213"/>
      <c r="Q319" s="213"/>
      <c r="R319" s="213"/>
      <c r="S319" s="213"/>
      <c r="T319" s="213"/>
      <c r="U319" s="213"/>
      <c r="V319" s="213"/>
      <c r="W319" s="213"/>
      <c r="X319" s="213"/>
      <c r="Y319" s="213"/>
      <c r="Z319" s="213"/>
      <c r="AA319" s="213"/>
      <c r="AB319" s="213"/>
      <c r="AC319" s="213"/>
      <c r="AD319" s="213"/>
      <c r="AE319" s="213"/>
      <c r="AF319" s="213"/>
      <c r="AG319" s="213"/>
      <c r="AH319" s="213"/>
    </row>
    <row r="320" ht="15.75" customHeight="1">
      <c r="A320" s="213"/>
      <c r="B320" s="213"/>
      <c r="C320" s="213"/>
      <c r="D320" s="213"/>
      <c r="E320" s="213"/>
      <c r="F320" s="213"/>
      <c r="G320" s="213"/>
      <c r="H320" s="213"/>
      <c r="I320" s="946"/>
      <c r="J320" s="213"/>
      <c r="K320" s="213"/>
      <c r="L320" s="213"/>
      <c r="M320" s="213"/>
      <c r="N320" s="213"/>
      <c r="O320" s="328"/>
      <c r="P320" s="213"/>
      <c r="Q320" s="213"/>
      <c r="R320" s="213"/>
      <c r="S320" s="213"/>
      <c r="T320" s="213"/>
      <c r="U320" s="213"/>
      <c r="V320" s="213"/>
      <c r="W320" s="213"/>
      <c r="X320" s="213"/>
      <c r="Y320" s="213"/>
      <c r="Z320" s="213"/>
      <c r="AA320" s="213"/>
      <c r="AB320" s="213"/>
      <c r="AC320" s="213"/>
      <c r="AD320" s="213"/>
      <c r="AE320" s="213"/>
      <c r="AF320" s="213"/>
      <c r="AG320" s="213"/>
      <c r="AH320" s="213"/>
    </row>
    <row r="321" ht="15.75" customHeight="1">
      <c r="A321" s="213"/>
      <c r="B321" s="213"/>
      <c r="C321" s="213"/>
      <c r="D321" s="213"/>
      <c r="E321" s="213"/>
      <c r="F321" s="213"/>
      <c r="G321" s="213"/>
      <c r="H321" s="213"/>
      <c r="I321" s="946"/>
      <c r="J321" s="213"/>
      <c r="K321" s="213"/>
      <c r="L321" s="213"/>
      <c r="M321" s="213"/>
      <c r="N321" s="213"/>
      <c r="O321" s="328"/>
      <c r="P321" s="213"/>
      <c r="Q321" s="213"/>
      <c r="R321" s="213"/>
      <c r="S321" s="213"/>
      <c r="T321" s="213"/>
      <c r="U321" s="213"/>
      <c r="V321" s="213"/>
      <c r="W321" s="213"/>
      <c r="X321" s="213"/>
      <c r="Y321" s="213"/>
      <c r="Z321" s="213"/>
      <c r="AA321" s="213"/>
      <c r="AB321" s="213"/>
      <c r="AC321" s="213"/>
      <c r="AD321" s="213"/>
      <c r="AE321" s="213"/>
      <c r="AF321" s="213"/>
      <c r="AG321" s="213"/>
      <c r="AH321" s="213"/>
    </row>
    <row r="322" ht="15.75" customHeight="1">
      <c r="A322" s="213"/>
      <c r="B322" s="213"/>
      <c r="C322" s="213"/>
      <c r="D322" s="213"/>
      <c r="E322" s="213"/>
      <c r="F322" s="213"/>
      <c r="G322" s="213"/>
      <c r="H322" s="213"/>
      <c r="I322" s="946"/>
      <c r="J322" s="213"/>
      <c r="K322" s="213"/>
      <c r="L322" s="213"/>
      <c r="M322" s="213"/>
      <c r="N322" s="213"/>
      <c r="O322" s="328"/>
      <c r="P322" s="213"/>
      <c r="Q322" s="213"/>
      <c r="R322" s="213"/>
      <c r="S322" s="213"/>
      <c r="T322" s="213"/>
      <c r="U322" s="213"/>
      <c r="V322" s="213"/>
      <c r="W322" s="213"/>
      <c r="X322" s="213"/>
      <c r="Y322" s="213"/>
      <c r="Z322" s="213"/>
      <c r="AA322" s="213"/>
      <c r="AB322" s="213"/>
      <c r="AC322" s="213"/>
      <c r="AD322" s="213"/>
      <c r="AE322" s="213"/>
      <c r="AF322" s="213"/>
      <c r="AG322" s="213"/>
      <c r="AH322" s="213"/>
    </row>
    <row r="323" ht="15.75" customHeight="1">
      <c r="A323" s="213"/>
      <c r="B323" s="213"/>
      <c r="C323" s="213"/>
      <c r="D323" s="213"/>
      <c r="E323" s="213"/>
      <c r="F323" s="213"/>
      <c r="G323" s="213"/>
      <c r="H323" s="213"/>
      <c r="I323" s="946"/>
      <c r="J323" s="213"/>
      <c r="K323" s="213"/>
      <c r="L323" s="213"/>
      <c r="M323" s="213"/>
      <c r="N323" s="213"/>
      <c r="O323" s="328"/>
      <c r="P323" s="213"/>
      <c r="Q323" s="213"/>
      <c r="R323" s="213"/>
      <c r="S323" s="213"/>
      <c r="T323" s="213"/>
      <c r="U323" s="213"/>
      <c r="V323" s="213"/>
      <c r="W323" s="213"/>
      <c r="X323" s="213"/>
      <c r="Y323" s="213"/>
      <c r="Z323" s="213"/>
      <c r="AA323" s="213"/>
      <c r="AB323" s="213"/>
      <c r="AC323" s="213"/>
      <c r="AD323" s="213"/>
      <c r="AE323" s="213"/>
      <c r="AF323" s="213"/>
      <c r="AG323" s="213"/>
      <c r="AH323" s="213"/>
    </row>
    <row r="324" ht="15.75" customHeight="1">
      <c r="A324" s="213"/>
      <c r="B324" s="213"/>
      <c r="C324" s="213"/>
      <c r="D324" s="213"/>
      <c r="E324" s="213"/>
      <c r="F324" s="213"/>
      <c r="G324" s="213"/>
      <c r="H324" s="213"/>
      <c r="I324" s="946"/>
      <c r="J324" s="213"/>
      <c r="K324" s="213"/>
      <c r="L324" s="213"/>
      <c r="M324" s="213"/>
      <c r="N324" s="213"/>
      <c r="O324" s="328"/>
      <c r="P324" s="213"/>
      <c r="Q324" s="213"/>
      <c r="R324" s="213"/>
      <c r="S324" s="213"/>
      <c r="T324" s="213"/>
      <c r="U324" s="213"/>
      <c r="V324" s="213"/>
      <c r="W324" s="213"/>
      <c r="X324" s="213"/>
      <c r="Y324" s="213"/>
      <c r="Z324" s="213"/>
      <c r="AA324" s="213"/>
      <c r="AB324" s="213"/>
      <c r="AC324" s="213"/>
      <c r="AD324" s="213"/>
      <c r="AE324" s="213"/>
      <c r="AF324" s="213"/>
      <c r="AG324" s="213"/>
      <c r="AH324" s="213"/>
    </row>
    <row r="325" ht="15.75" customHeight="1">
      <c r="A325" s="213"/>
      <c r="B325" s="213"/>
      <c r="C325" s="213"/>
      <c r="D325" s="213"/>
      <c r="E325" s="213"/>
      <c r="F325" s="213"/>
      <c r="G325" s="213"/>
      <c r="H325" s="213"/>
      <c r="I325" s="946"/>
      <c r="J325" s="213"/>
      <c r="K325" s="213"/>
      <c r="L325" s="213"/>
      <c r="M325" s="213"/>
      <c r="N325" s="213"/>
      <c r="O325" s="328"/>
      <c r="P325" s="213"/>
      <c r="Q325" s="213"/>
      <c r="R325" s="213"/>
      <c r="S325" s="213"/>
      <c r="T325" s="213"/>
      <c r="U325" s="213"/>
      <c r="V325" s="213"/>
      <c r="W325" s="213"/>
      <c r="X325" s="213"/>
      <c r="Y325" s="213"/>
      <c r="Z325" s="213"/>
      <c r="AA325" s="213"/>
      <c r="AB325" s="213"/>
      <c r="AC325" s="213"/>
      <c r="AD325" s="213"/>
      <c r="AE325" s="213"/>
      <c r="AF325" s="213"/>
      <c r="AG325" s="213"/>
      <c r="AH325" s="213"/>
    </row>
    <row r="326" ht="15.75" customHeight="1">
      <c r="A326" s="213"/>
      <c r="B326" s="213"/>
      <c r="C326" s="213"/>
      <c r="D326" s="213"/>
      <c r="E326" s="213"/>
      <c r="F326" s="213"/>
      <c r="G326" s="213"/>
      <c r="H326" s="213"/>
      <c r="I326" s="946"/>
      <c r="J326" s="213"/>
      <c r="K326" s="213"/>
      <c r="L326" s="213"/>
      <c r="M326" s="213"/>
      <c r="N326" s="213"/>
      <c r="O326" s="328"/>
      <c r="P326" s="213"/>
      <c r="Q326" s="213"/>
      <c r="R326" s="213"/>
      <c r="S326" s="213"/>
      <c r="T326" s="213"/>
      <c r="U326" s="213"/>
      <c r="V326" s="213"/>
      <c r="W326" s="213"/>
      <c r="X326" s="213"/>
      <c r="Y326" s="213"/>
      <c r="Z326" s="213"/>
      <c r="AA326" s="213"/>
      <c r="AB326" s="213"/>
      <c r="AC326" s="213"/>
      <c r="AD326" s="213"/>
      <c r="AE326" s="213"/>
      <c r="AF326" s="213"/>
      <c r="AG326" s="213"/>
      <c r="AH326" s="213"/>
    </row>
    <row r="327" ht="15.75" customHeight="1">
      <c r="A327" s="213"/>
      <c r="B327" s="213"/>
      <c r="C327" s="213"/>
      <c r="D327" s="213"/>
      <c r="E327" s="213"/>
      <c r="F327" s="213"/>
      <c r="G327" s="213"/>
      <c r="H327" s="213"/>
      <c r="I327" s="946"/>
      <c r="J327" s="213"/>
      <c r="K327" s="213"/>
      <c r="L327" s="213"/>
      <c r="M327" s="213"/>
      <c r="N327" s="213"/>
      <c r="O327" s="328"/>
      <c r="P327" s="213"/>
      <c r="Q327" s="213"/>
      <c r="R327" s="213"/>
      <c r="S327" s="213"/>
      <c r="T327" s="213"/>
      <c r="U327" s="213"/>
      <c r="V327" s="213"/>
      <c r="W327" s="213"/>
      <c r="X327" s="213"/>
      <c r="Y327" s="213"/>
      <c r="Z327" s="213"/>
      <c r="AA327" s="213"/>
      <c r="AB327" s="213"/>
      <c r="AC327" s="213"/>
      <c r="AD327" s="213"/>
      <c r="AE327" s="213"/>
      <c r="AF327" s="213"/>
      <c r="AG327" s="213"/>
      <c r="AH327" s="213"/>
    </row>
    <row r="328" ht="15.75" customHeight="1">
      <c r="A328" s="213"/>
      <c r="B328" s="213"/>
      <c r="C328" s="213"/>
      <c r="D328" s="213"/>
      <c r="E328" s="213"/>
      <c r="F328" s="213"/>
      <c r="G328" s="213"/>
      <c r="H328" s="213"/>
      <c r="I328" s="946"/>
      <c r="J328" s="213"/>
      <c r="K328" s="213"/>
      <c r="L328" s="213"/>
      <c r="M328" s="213"/>
      <c r="N328" s="213"/>
      <c r="O328" s="328"/>
      <c r="P328" s="213"/>
      <c r="Q328" s="213"/>
      <c r="R328" s="213"/>
      <c r="S328" s="213"/>
      <c r="T328" s="213"/>
      <c r="U328" s="213"/>
      <c r="V328" s="213"/>
      <c r="W328" s="213"/>
      <c r="X328" s="213"/>
      <c r="Y328" s="213"/>
      <c r="Z328" s="213"/>
      <c r="AA328" s="213"/>
      <c r="AB328" s="213"/>
      <c r="AC328" s="213"/>
      <c r="AD328" s="213"/>
      <c r="AE328" s="213"/>
      <c r="AF328" s="213"/>
      <c r="AG328" s="213"/>
      <c r="AH328" s="213"/>
    </row>
    <row r="329" ht="15.75" customHeight="1">
      <c r="A329" s="213"/>
      <c r="B329" s="213"/>
      <c r="C329" s="213"/>
      <c r="D329" s="213"/>
      <c r="E329" s="213"/>
      <c r="F329" s="213"/>
      <c r="G329" s="213"/>
      <c r="H329" s="213"/>
      <c r="I329" s="946"/>
      <c r="J329" s="213"/>
      <c r="K329" s="213"/>
      <c r="L329" s="213"/>
      <c r="M329" s="213"/>
      <c r="N329" s="213"/>
      <c r="O329" s="328"/>
      <c r="P329" s="213"/>
      <c r="Q329" s="213"/>
      <c r="R329" s="213"/>
      <c r="S329" s="213"/>
      <c r="T329" s="213"/>
      <c r="U329" s="213"/>
      <c r="V329" s="213"/>
      <c r="W329" s="213"/>
      <c r="X329" s="213"/>
      <c r="Y329" s="213"/>
      <c r="Z329" s="213"/>
      <c r="AA329" s="213"/>
      <c r="AB329" s="213"/>
      <c r="AC329" s="213"/>
      <c r="AD329" s="213"/>
      <c r="AE329" s="213"/>
      <c r="AF329" s="213"/>
      <c r="AG329" s="213"/>
      <c r="AH329" s="213"/>
    </row>
    <row r="330" ht="15.75" customHeight="1">
      <c r="A330" s="213"/>
      <c r="B330" s="213"/>
      <c r="C330" s="213"/>
      <c r="D330" s="213"/>
      <c r="E330" s="213"/>
      <c r="F330" s="213"/>
      <c r="G330" s="213"/>
      <c r="H330" s="213"/>
      <c r="I330" s="946"/>
      <c r="J330" s="213"/>
      <c r="K330" s="213"/>
      <c r="L330" s="213"/>
      <c r="M330" s="213"/>
      <c r="N330" s="213"/>
      <c r="O330" s="328"/>
      <c r="P330" s="213"/>
      <c r="Q330" s="213"/>
      <c r="R330" s="213"/>
      <c r="S330" s="213"/>
      <c r="T330" s="213"/>
      <c r="U330" s="213"/>
      <c r="V330" s="213"/>
      <c r="W330" s="213"/>
      <c r="X330" s="213"/>
      <c r="Y330" s="213"/>
      <c r="Z330" s="213"/>
      <c r="AA330" s="213"/>
      <c r="AB330" s="213"/>
      <c r="AC330" s="213"/>
      <c r="AD330" s="213"/>
      <c r="AE330" s="213"/>
      <c r="AF330" s="213"/>
      <c r="AG330" s="213"/>
      <c r="AH330" s="213"/>
    </row>
    <row r="331" ht="15.75" customHeight="1">
      <c r="A331" s="213"/>
      <c r="B331" s="213"/>
      <c r="C331" s="213"/>
      <c r="D331" s="213"/>
      <c r="E331" s="213"/>
      <c r="F331" s="213"/>
      <c r="G331" s="213"/>
      <c r="H331" s="213"/>
      <c r="I331" s="946"/>
      <c r="J331" s="213"/>
      <c r="K331" s="213"/>
      <c r="L331" s="213"/>
      <c r="M331" s="213"/>
      <c r="N331" s="213"/>
      <c r="O331" s="328"/>
      <c r="P331" s="213"/>
      <c r="Q331" s="213"/>
      <c r="R331" s="213"/>
      <c r="S331" s="213"/>
      <c r="T331" s="213"/>
      <c r="U331" s="213"/>
      <c r="V331" s="213"/>
      <c r="W331" s="213"/>
      <c r="X331" s="213"/>
      <c r="Y331" s="213"/>
      <c r="Z331" s="213"/>
      <c r="AA331" s="213"/>
      <c r="AB331" s="213"/>
      <c r="AC331" s="213"/>
      <c r="AD331" s="213"/>
      <c r="AE331" s="213"/>
      <c r="AF331" s="213"/>
      <c r="AG331" s="213"/>
      <c r="AH331" s="213"/>
    </row>
    <row r="332" ht="15.75" customHeight="1">
      <c r="A332" s="213"/>
      <c r="B332" s="213"/>
      <c r="C332" s="213"/>
      <c r="D332" s="213"/>
      <c r="E332" s="213"/>
      <c r="F332" s="213"/>
      <c r="G332" s="213"/>
      <c r="H332" s="213"/>
      <c r="I332" s="946"/>
      <c r="J332" s="213"/>
      <c r="K332" s="213"/>
      <c r="L332" s="213"/>
      <c r="M332" s="213"/>
      <c r="N332" s="213"/>
      <c r="O332" s="328"/>
      <c r="P332" s="213"/>
      <c r="Q332" s="213"/>
      <c r="R332" s="213"/>
      <c r="S332" s="213"/>
      <c r="T332" s="213"/>
      <c r="U332" s="213"/>
      <c r="V332" s="213"/>
      <c r="W332" s="213"/>
      <c r="X332" s="213"/>
      <c r="Y332" s="213"/>
      <c r="Z332" s="213"/>
      <c r="AA332" s="213"/>
      <c r="AB332" s="213"/>
      <c r="AC332" s="213"/>
      <c r="AD332" s="213"/>
      <c r="AE332" s="213"/>
      <c r="AF332" s="213"/>
      <c r="AG332" s="213"/>
      <c r="AH332" s="213"/>
    </row>
    <row r="333" ht="15.75" customHeight="1">
      <c r="A333" s="213"/>
      <c r="B333" s="213"/>
      <c r="C333" s="213"/>
      <c r="D333" s="213"/>
      <c r="E333" s="213"/>
      <c r="F333" s="213"/>
      <c r="G333" s="213"/>
      <c r="H333" s="213"/>
      <c r="I333" s="946"/>
      <c r="J333" s="213"/>
      <c r="K333" s="213"/>
      <c r="L333" s="213"/>
      <c r="M333" s="213"/>
      <c r="N333" s="213"/>
      <c r="O333" s="328"/>
      <c r="P333" s="213"/>
      <c r="Q333" s="213"/>
      <c r="R333" s="213"/>
      <c r="S333" s="213"/>
      <c r="T333" s="213"/>
      <c r="U333" s="213"/>
      <c r="V333" s="213"/>
      <c r="W333" s="213"/>
      <c r="X333" s="213"/>
      <c r="Y333" s="213"/>
      <c r="Z333" s="213"/>
      <c r="AA333" s="213"/>
      <c r="AB333" s="213"/>
      <c r="AC333" s="213"/>
      <c r="AD333" s="213"/>
      <c r="AE333" s="213"/>
      <c r="AF333" s="213"/>
      <c r="AG333" s="213"/>
      <c r="AH333" s="213"/>
    </row>
    <row r="334" ht="15.75" customHeight="1">
      <c r="A334" s="213"/>
      <c r="B334" s="213"/>
      <c r="C334" s="213"/>
      <c r="D334" s="213"/>
      <c r="E334" s="213"/>
      <c r="F334" s="213"/>
      <c r="G334" s="213"/>
      <c r="H334" s="213"/>
      <c r="I334" s="946"/>
      <c r="J334" s="213"/>
      <c r="K334" s="213"/>
      <c r="L334" s="213"/>
      <c r="M334" s="213"/>
      <c r="N334" s="213"/>
      <c r="O334" s="328"/>
      <c r="P334" s="213"/>
      <c r="Q334" s="213"/>
      <c r="R334" s="213"/>
      <c r="S334" s="213"/>
      <c r="T334" s="213"/>
      <c r="U334" s="213"/>
      <c r="V334" s="213"/>
      <c r="W334" s="213"/>
      <c r="X334" s="213"/>
      <c r="Y334" s="213"/>
      <c r="Z334" s="213"/>
      <c r="AA334" s="213"/>
      <c r="AB334" s="213"/>
      <c r="AC334" s="213"/>
      <c r="AD334" s="213"/>
      <c r="AE334" s="213"/>
      <c r="AF334" s="213"/>
      <c r="AG334" s="213"/>
      <c r="AH334" s="213"/>
    </row>
    <row r="335" ht="15.75" customHeight="1">
      <c r="A335" s="213"/>
      <c r="B335" s="213"/>
      <c r="C335" s="213"/>
      <c r="D335" s="213"/>
      <c r="E335" s="213"/>
      <c r="F335" s="213"/>
      <c r="G335" s="213"/>
      <c r="H335" s="213"/>
      <c r="I335" s="946"/>
      <c r="J335" s="213"/>
      <c r="K335" s="213"/>
      <c r="L335" s="213"/>
      <c r="M335" s="213"/>
      <c r="N335" s="213"/>
      <c r="O335" s="328"/>
      <c r="P335" s="213"/>
      <c r="Q335" s="213"/>
      <c r="R335" s="213"/>
      <c r="S335" s="213"/>
      <c r="T335" s="213"/>
      <c r="U335" s="213"/>
      <c r="V335" s="213"/>
      <c r="W335" s="213"/>
      <c r="X335" s="213"/>
      <c r="Y335" s="213"/>
      <c r="Z335" s="213"/>
      <c r="AA335" s="213"/>
      <c r="AB335" s="213"/>
      <c r="AC335" s="213"/>
      <c r="AD335" s="213"/>
      <c r="AE335" s="213"/>
      <c r="AF335" s="213"/>
      <c r="AG335" s="213"/>
      <c r="AH335" s="213"/>
    </row>
    <row r="336" ht="15.75" customHeight="1">
      <c r="A336" s="213"/>
      <c r="B336" s="213"/>
      <c r="C336" s="213"/>
      <c r="D336" s="213"/>
      <c r="E336" s="213"/>
      <c r="F336" s="213"/>
      <c r="G336" s="213"/>
      <c r="H336" s="213"/>
      <c r="I336" s="946"/>
      <c r="J336" s="213"/>
      <c r="K336" s="213"/>
      <c r="L336" s="213"/>
      <c r="M336" s="213"/>
      <c r="N336" s="213"/>
      <c r="O336" s="328"/>
      <c r="P336" s="213"/>
      <c r="Q336" s="213"/>
      <c r="R336" s="213"/>
      <c r="S336" s="213"/>
      <c r="T336" s="213"/>
      <c r="U336" s="213"/>
      <c r="V336" s="213"/>
      <c r="W336" s="213"/>
      <c r="X336" s="213"/>
      <c r="Y336" s="213"/>
      <c r="Z336" s="213"/>
      <c r="AA336" s="213"/>
      <c r="AB336" s="213"/>
      <c r="AC336" s="213"/>
      <c r="AD336" s="213"/>
      <c r="AE336" s="213"/>
      <c r="AF336" s="213"/>
      <c r="AG336" s="213"/>
      <c r="AH336" s="213"/>
    </row>
    <row r="337" ht="15.75" customHeight="1">
      <c r="A337" s="213"/>
      <c r="B337" s="213"/>
      <c r="C337" s="213"/>
      <c r="D337" s="213"/>
      <c r="E337" s="213"/>
      <c r="F337" s="213"/>
      <c r="G337" s="213"/>
      <c r="H337" s="213"/>
      <c r="I337" s="946"/>
      <c r="J337" s="213"/>
      <c r="K337" s="213"/>
      <c r="L337" s="213"/>
      <c r="M337" s="213"/>
      <c r="N337" s="213"/>
      <c r="O337" s="328"/>
      <c r="P337" s="213"/>
      <c r="Q337" s="213"/>
      <c r="R337" s="213"/>
      <c r="S337" s="213"/>
      <c r="T337" s="213"/>
      <c r="U337" s="213"/>
      <c r="V337" s="213"/>
      <c r="W337" s="213"/>
      <c r="X337" s="213"/>
      <c r="Y337" s="213"/>
      <c r="Z337" s="213"/>
      <c r="AA337" s="213"/>
      <c r="AB337" s="213"/>
      <c r="AC337" s="213"/>
      <c r="AD337" s="213"/>
      <c r="AE337" s="213"/>
      <c r="AF337" s="213"/>
      <c r="AG337" s="213"/>
      <c r="AH337" s="213"/>
    </row>
    <row r="338" ht="15.75" customHeight="1">
      <c r="A338" s="213"/>
      <c r="B338" s="213"/>
      <c r="C338" s="213"/>
      <c r="D338" s="213"/>
      <c r="E338" s="213"/>
      <c r="F338" s="213"/>
      <c r="G338" s="213"/>
      <c r="H338" s="213"/>
      <c r="I338" s="946"/>
      <c r="J338" s="213"/>
      <c r="K338" s="213"/>
      <c r="L338" s="213"/>
      <c r="M338" s="213"/>
      <c r="N338" s="213"/>
      <c r="O338" s="328"/>
      <c r="P338" s="213"/>
      <c r="Q338" s="213"/>
      <c r="R338" s="213"/>
      <c r="S338" s="213"/>
      <c r="T338" s="213"/>
      <c r="U338" s="213"/>
      <c r="V338" s="213"/>
      <c r="W338" s="213"/>
      <c r="X338" s="213"/>
      <c r="Y338" s="213"/>
      <c r="Z338" s="213"/>
      <c r="AA338" s="213"/>
      <c r="AB338" s="213"/>
      <c r="AC338" s="213"/>
      <c r="AD338" s="213"/>
      <c r="AE338" s="213"/>
      <c r="AF338" s="213"/>
      <c r="AG338" s="213"/>
      <c r="AH338" s="213"/>
    </row>
    <row r="339" ht="15.75" customHeight="1">
      <c r="A339" s="213"/>
      <c r="B339" s="213"/>
      <c r="C339" s="213"/>
      <c r="D339" s="213"/>
      <c r="E339" s="213"/>
      <c r="F339" s="213"/>
      <c r="G339" s="213"/>
      <c r="H339" s="213"/>
      <c r="I339" s="946"/>
      <c r="J339" s="213"/>
      <c r="K339" s="213"/>
      <c r="L339" s="213"/>
      <c r="M339" s="213"/>
      <c r="N339" s="213"/>
      <c r="O339" s="328"/>
      <c r="P339" s="213"/>
      <c r="Q339" s="213"/>
      <c r="R339" s="213"/>
      <c r="S339" s="213"/>
      <c r="T339" s="213"/>
      <c r="U339" s="213"/>
      <c r="V339" s="213"/>
      <c r="W339" s="213"/>
      <c r="X339" s="213"/>
      <c r="Y339" s="213"/>
      <c r="Z339" s="213"/>
      <c r="AA339" s="213"/>
      <c r="AB339" s="213"/>
      <c r="AC339" s="213"/>
      <c r="AD339" s="213"/>
      <c r="AE339" s="213"/>
      <c r="AF339" s="213"/>
      <c r="AG339" s="213"/>
      <c r="AH339" s="213"/>
    </row>
    <row r="340" ht="15.75" customHeight="1">
      <c r="A340" s="213"/>
      <c r="B340" s="213"/>
      <c r="C340" s="213"/>
      <c r="D340" s="213"/>
      <c r="E340" s="213"/>
      <c r="F340" s="213"/>
      <c r="G340" s="213"/>
      <c r="H340" s="213"/>
      <c r="I340" s="946"/>
      <c r="J340" s="213"/>
      <c r="K340" s="213"/>
      <c r="L340" s="213"/>
      <c r="M340" s="213"/>
      <c r="N340" s="213"/>
      <c r="O340" s="328"/>
      <c r="P340" s="213"/>
      <c r="Q340" s="213"/>
      <c r="R340" s="213"/>
      <c r="S340" s="213"/>
      <c r="T340" s="213"/>
      <c r="U340" s="213"/>
      <c r="V340" s="213"/>
      <c r="W340" s="213"/>
      <c r="X340" s="213"/>
      <c r="Y340" s="213"/>
      <c r="Z340" s="213"/>
      <c r="AA340" s="213"/>
      <c r="AB340" s="213"/>
      <c r="AC340" s="213"/>
      <c r="AD340" s="213"/>
      <c r="AE340" s="213"/>
      <c r="AF340" s="213"/>
      <c r="AG340" s="213"/>
      <c r="AH340" s="213"/>
    </row>
    <row r="341" ht="15.75" customHeight="1">
      <c r="A341" s="213"/>
      <c r="B341" s="213"/>
      <c r="C341" s="213"/>
      <c r="D341" s="213"/>
      <c r="E341" s="213"/>
      <c r="F341" s="213"/>
      <c r="G341" s="213"/>
      <c r="H341" s="213"/>
      <c r="I341" s="946"/>
      <c r="J341" s="213"/>
      <c r="K341" s="213"/>
      <c r="L341" s="213"/>
      <c r="M341" s="213"/>
      <c r="N341" s="213"/>
      <c r="O341" s="328"/>
      <c r="P341" s="213"/>
      <c r="Q341" s="213"/>
      <c r="R341" s="213"/>
      <c r="S341" s="213"/>
      <c r="T341" s="213"/>
      <c r="U341" s="213"/>
      <c r="V341" s="213"/>
      <c r="W341" s="213"/>
      <c r="X341" s="213"/>
      <c r="Y341" s="213"/>
      <c r="Z341" s="213"/>
      <c r="AA341" s="213"/>
      <c r="AB341" s="213"/>
      <c r="AC341" s="213"/>
      <c r="AD341" s="213"/>
      <c r="AE341" s="213"/>
      <c r="AF341" s="213"/>
      <c r="AG341" s="213"/>
      <c r="AH341" s="213"/>
    </row>
    <row r="342" ht="15.75" customHeight="1">
      <c r="A342" s="213"/>
      <c r="B342" s="213"/>
      <c r="C342" s="213"/>
      <c r="D342" s="213"/>
      <c r="E342" s="213"/>
      <c r="F342" s="213"/>
      <c r="G342" s="213"/>
      <c r="H342" s="213"/>
      <c r="I342" s="946"/>
      <c r="J342" s="213"/>
      <c r="K342" s="213"/>
      <c r="L342" s="213"/>
      <c r="M342" s="213"/>
      <c r="N342" s="213"/>
      <c r="O342" s="328"/>
      <c r="P342" s="213"/>
      <c r="Q342" s="213"/>
      <c r="R342" s="213"/>
      <c r="S342" s="213"/>
      <c r="T342" s="213"/>
      <c r="U342" s="213"/>
      <c r="V342" s="213"/>
      <c r="W342" s="213"/>
      <c r="X342" s="213"/>
      <c r="Y342" s="213"/>
      <c r="Z342" s="213"/>
      <c r="AA342" s="213"/>
      <c r="AB342" s="213"/>
      <c r="AC342" s="213"/>
      <c r="AD342" s="213"/>
      <c r="AE342" s="213"/>
      <c r="AF342" s="213"/>
      <c r="AG342" s="213"/>
      <c r="AH342" s="213"/>
    </row>
    <row r="343" ht="15.75" customHeight="1">
      <c r="A343" s="213"/>
      <c r="B343" s="213"/>
      <c r="C343" s="213"/>
      <c r="D343" s="213"/>
      <c r="E343" s="213"/>
      <c r="F343" s="213"/>
      <c r="G343" s="213"/>
      <c r="H343" s="213"/>
      <c r="I343" s="946"/>
      <c r="J343" s="213"/>
      <c r="K343" s="213"/>
      <c r="L343" s="213"/>
      <c r="M343" s="213"/>
      <c r="N343" s="213"/>
      <c r="O343" s="328"/>
      <c r="P343" s="213"/>
      <c r="Q343" s="213"/>
      <c r="R343" s="213"/>
      <c r="S343" s="213"/>
      <c r="T343" s="213"/>
      <c r="U343" s="213"/>
      <c r="V343" s="213"/>
      <c r="W343" s="213"/>
      <c r="X343" s="213"/>
      <c r="Y343" s="213"/>
      <c r="Z343" s="213"/>
      <c r="AA343" s="213"/>
      <c r="AB343" s="213"/>
      <c r="AC343" s="213"/>
      <c r="AD343" s="213"/>
      <c r="AE343" s="213"/>
      <c r="AF343" s="213"/>
      <c r="AG343" s="213"/>
      <c r="AH343" s="213"/>
    </row>
    <row r="344" ht="15.75" customHeight="1">
      <c r="A344" s="213"/>
      <c r="B344" s="213"/>
      <c r="C344" s="213"/>
      <c r="D344" s="213"/>
      <c r="E344" s="213"/>
      <c r="F344" s="213"/>
      <c r="G344" s="213"/>
      <c r="H344" s="213"/>
      <c r="I344" s="946"/>
      <c r="J344" s="213"/>
      <c r="K344" s="213"/>
      <c r="L344" s="213"/>
      <c r="M344" s="213"/>
      <c r="N344" s="213"/>
      <c r="O344" s="328"/>
      <c r="P344" s="213"/>
      <c r="Q344" s="213"/>
      <c r="R344" s="213"/>
      <c r="S344" s="213"/>
      <c r="T344" s="213"/>
      <c r="U344" s="213"/>
      <c r="V344" s="213"/>
      <c r="W344" s="213"/>
      <c r="X344" s="213"/>
      <c r="Y344" s="213"/>
      <c r="Z344" s="213"/>
      <c r="AA344" s="213"/>
      <c r="AB344" s="213"/>
      <c r="AC344" s="213"/>
      <c r="AD344" s="213"/>
      <c r="AE344" s="213"/>
      <c r="AF344" s="213"/>
      <c r="AG344" s="213"/>
      <c r="AH344" s="213"/>
    </row>
    <row r="345" ht="15.75" customHeight="1">
      <c r="A345" s="213"/>
      <c r="B345" s="213"/>
      <c r="C345" s="213"/>
      <c r="D345" s="213"/>
      <c r="E345" s="213"/>
      <c r="F345" s="213"/>
      <c r="G345" s="213"/>
      <c r="H345" s="213"/>
      <c r="I345" s="946"/>
      <c r="J345" s="213"/>
      <c r="K345" s="213"/>
      <c r="L345" s="213"/>
      <c r="M345" s="213"/>
      <c r="N345" s="213"/>
      <c r="O345" s="328"/>
      <c r="P345" s="213"/>
      <c r="Q345" s="213"/>
      <c r="R345" s="213"/>
      <c r="S345" s="213"/>
      <c r="T345" s="213"/>
      <c r="U345" s="213"/>
      <c r="V345" s="213"/>
      <c r="W345" s="213"/>
      <c r="X345" s="213"/>
      <c r="Y345" s="213"/>
      <c r="Z345" s="213"/>
      <c r="AA345" s="213"/>
      <c r="AB345" s="213"/>
      <c r="AC345" s="213"/>
      <c r="AD345" s="213"/>
      <c r="AE345" s="213"/>
      <c r="AF345" s="213"/>
      <c r="AG345" s="213"/>
      <c r="AH345" s="213"/>
    </row>
    <row r="346" ht="15.75" customHeight="1">
      <c r="A346" s="213"/>
      <c r="B346" s="213"/>
      <c r="C346" s="213"/>
      <c r="D346" s="213"/>
      <c r="E346" s="213"/>
      <c r="F346" s="213"/>
      <c r="G346" s="213"/>
      <c r="H346" s="213"/>
      <c r="I346" s="946"/>
      <c r="J346" s="213"/>
      <c r="K346" s="213"/>
      <c r="L346" s="213"/>
      <c r="M346" s="213"/>
      <c r="N346" s="213"/>
      <c r="O346" s="328"/>
      <c r="P346" s="213"/>
      <c r="Q346" s="213"/>
      <c r="R346" s="213"/>
      <c r="S346" s="213"/>
      <c r="T346" s="213"/>
      <c r="U346" s="213"/>
      <c r="V346" s="213"/>
      <c r="W346" s="213"/>
      <c r="X346" s="213"/>
      <c r="Y346" s="213"/>
      <c r="Z346" s="213"/>
      <c r="AA346" s="213"/>
      <c r="AB346" s="213"/>
      <c r="AC346" s="213"/>
      <c r="AD346" s="213"/>
      <c r="AE346" s="213"/>
      <c r="AF346" s="213"/>
      <c r="AG346" s="213"/>
      <c r="AH346" s="213"/>
    </row>
    <row r="347" ht="15.75" customHeight="1">
      <c r="A347" s="213"/>
      <c r="B347" s="213"/>
      <c r="C347" s="213"/>
      <c r="D347" s="213"/>
      <c r="E347" s="213"/>
      <c r="F347" s="213"/>
      <c r="G347" s="213"/>
      <c r="H347" s="213"/>
      <c r="I347" s="946"/>
      <c r="J347" s="213"/>
      <c r="K347" s="213"/>
      <c r="L347" s="213"/>
      <c r="M347" s="213"/>
      <c r="N347" s="213"/>
      <c r="O347" s="328"/>
      <c r="P347" s="213"/>
      <c r="Q347" s="213"/>
      <c r="R347" s="213"/>
      <c r="S347" s="213"/>
      <c r="T347" s="213"/>
      <c r="U347" s="213"/>
      <c r="V347" s="213"/>
      <c r="W347" s="213"/>
      <c r="X347" s="213"/>
      <c r="Y347" s="213"/>
      <c r="Z347" s="213"/>
      <c r="AA347" s="213"/>
      <c r="AB347" s="213"/>
      <c r="AC347" s="213"/>
      <c r="AD347" s="213"/>
      <c r="AE347" s="213"/>
      <c r="AF347" s="213"/>
      <c r="AG347" s="213"/>
      <c r="AH347" s="213"/>
    </row>
    <row r="348" ht="15.75" customHeight="1">
      <c r="A348" s="213"/>
      <c r="B348" s="213"/>
      <c r="C348" s="213"/>
      <c r="D348" s="213"/>
      <c r="E348" s="213"/>
      <c r="F348" s="213"/>
      <c r="G348" s="213"/>
      <c r="H348" s="213"/>
      <c r="I348" s="946"/>
      <c r="J348" s="213"/>
      <c r="K348" s="213"/>
      <c r="L348" s="213"/>
      <c r="M348" s="213"/>
      <c r="N348" s="213"/>
      <c r="O348" s="328"/>
      <c r="P348" s="213"/>
      <c r="Q348" s="213"/>
      <c r="R348" s="213"/>
      <c r="S348" s="213"/>
      <c r="T348" s="213"/>
      <c r="U348" s="213"/>
      <c r="V348" s="213"/>
      <c r="W348" s="213"/>
      <c r="X348" s="213"/>
      <c r="Y348" s="213"/>
      <c r="Z348" s="213"/>
      <c r="AA348" s="213"/>
      <c r="AB348" s="213"/>
      <c r="AC348" s="213"/>
      <c r="AD348" s="213"/>
      <c r="AE348" s="213"/>
      <c r="AF348" s="213"/>
      <c r="AG348" s="213"/>
      <c r="AH348" s="213"/>
    </row>
    <row r="349" ht="15.75" customHeight="1">
      <c r="A349" s="213"/>
      <c r="B349" s="213"/>
      <c r="C349" s="213"/>
      <c r="D349" s="213"/>
      <c r="E349" s="213"/>
      <c r="F349" s="213"/>
      <c r="G349" s="213"/>
      <c r="H349" s="213"/>
      <c r="I349" s="946"/>
      <c r="J349" s="213"/>
      <c r="K349" s="213"/>
      <c r="L349" s="213"/>
      <c r="M349" s="213"/>
      <c r="N349" s="213"/>
      <c r="O349" s="328"/>
      <c r="P349" s="213"/>
      <c r="Q349" s="213"/>
      <c r="R349" s="213"/>
      <c r="S349" s="213"/>
      <c r="T349" s="213"/>
      <c r="U349" s="213"/>
      <c r="V349" s="213"/>
      <c r="W349" s="213"/>
      <c r="X349" s="213"/>
      <c r="Y349" s="213"/>
      <c r="Z349" s="213"/>
      <c r="AA349" s="213"/>
      <c r="AB349" s="213"/>
      <c r="AC349" s="213"/>
      <c r="AD349" s="213"/>
      <c r="AE349" s="213"/>
      <c r="AF349" s="213"/>
      <c r="AG349" s="213"/>
      <c r="AH349" s="213"/>
    </row>
    <row r="350" ht="15.75" customHeight="1">
      <c r="A350" s="213"/>
      <c r="B350" s="213"/>
      <c r="C350" s="213"/>
      <c r="D350" s="213"/>
      <c r="E350" s="213"/>
      <c r="F350" s="213"/>
      <c r="G350" s="213"/>
      <c r="H350" s="213"/>
      <c r="I350" s="946"/>
      <c r="J350" s="213"/>
      <c r="K350" s="213"/>
      <c r="L350" s="213"/>
      <c r="M350" s="213"/>
      <c r="N350" s="213"/>
      <c r="O350" s="328"/>
      <c r="P350" s="213"/>
      <c r="Q350" s="213"/>
      <c r="R350" s="213"/>
      <c r="S350" s="213"/>
      <c r="T350" s="213"/>
      <c r="U350" s="213"/>
      <c r="V350" s="213"/>
      <c r="W350" s="213"/>
      <c r="X350" s="213"/>
      <c r="Y350" s="213"/>
      <c r="Z350" s="213"/>
      <c r="AA350" s="213"/>
      <c r="AB350" s="213"/>
      <c r="AC350" s="213"/>
      <c r="AD350" s="213"/>
      <c r="AE350" s="213"/>
      <c r="AF350" s="213"/>
      <c r="AG350" s="213"/>
      <c r="AH350" s="213"/>
    </row>
    <row r="351" ht="15.75" customHeight="1">
      <c r="A351" s="213"/>
      <c r="B351" s="213"/>
      <c r="C351" s="213"/>
      <c r="D351" s="213"/>
      <c r="E351" s="213"/>
      <c r="F351" s="213"/>
      <c r="G351" s="213"/>
      <c r="H351" s="213"/>
      <c r="I351" s="946"/>
      <c r="J351" s="213"/>
      <c r="K351" s="213"/>
      <c r="L351" s="213"/>
      <c r="M351" s="213"/>
      <c r="N351" s="213"/>
      <c r="O351" s="328"/>
      <c r="P351" s="213"/>
      <c r="Q351" s="213"/>
      <c r="R351" s="213"/>
      <c r="S351" s="213"/>
      <c r="T351" s="213"/>
      <c r="U351" s="213"/>
      <c r="V351" s="213"/>
      <c r="W351" s="213"/>
      <c r="X351" s="213"/>
      <c r="Y351" s="213"/>
      <c r="Z351" s="213"/>
      <c r="AA351" s="213"/>
      <c r="AB351" s="213"/>
      <c r="AC351" s="213"/>
      <c r="AD351" s="213"/>
      <c r="AE351" s="213"/>
      <c r="AF351" s="213"/>
      <c r="AG351" s="213"/>
      <c r="AH351" s="213"/>
    </row>
    <row r="352" ht="15.75" customHeight="1">
      <c r="A352" s="213"/>
      <c r="B352" s="213"/>
      <c r="C352" s="213"/>
      <c r="D352" s="213"/>
      <c r="E352" s="213"/>
      <c r="F352" s="213"/>
      <c r="G352" s="213"/>
      <c r="H352" s="213"/>
      <c r="I352" s="946"/>
      <c r="J352" s="213"/>
      <c r="K352" s="213"/>
      <c r="L352" s="213"/>
      <c r="M352" s="213"/>
      <c r="N352" s="213"/>
      <c r="O352" s="328"/>
      <c r="P352" s="213"/>
      <c r="Q352" s="213"/>
      <c r="R352" s="213"/>
      <c r="S352" s="213"/>
      <c r="T352" s="213"/>
      <c r="U352" s="213"/>
      <c r="V352" s="213"/>
      <c r="W352" s="213"/>
      <c r="X352" s="213"/>
      <c r="Y352" s="213"/>
      <c r="Z352" s="213"/>
      <c r="AA352" s="213"/>
      <c r="AB352" s="213"/>
      <c r="AC352" s="213"/>
      <c r="AD352" s="213"/>
      <c r="AE352" s="213"/>
      <c r="AF352" s="213"/>
      <c r="AG352" s="213"/>
      <c r="AH352" s="213"/>
    </row>
    <row r="353" ht="15.75" customHeight="1">
      <c r="A353" s="213"/>
      <c r="B353" s="213"/>
      <c r="C353" s="213"/>
      <c r="D353" s="213"/>
      <c r="E353" s="213"/>
      <c r="F353" s="213"/>
      <c r="G353" s="213"/>
      <c r="H353" s="213"/>
      <c r="I353" s="946"/>
      <c r="J353" s="213"/>
      <c r="K353" s="213"/>
      <c r="L353" s="213"/>
      <c r="M353" s="213"/>
      <c r="N353" s="213"/>
      <c r="O353" s="328"/>
      <c r="P353" s="213"/>
      <c r="Q353" s="213"/>
      <c r="R353" s="213"/>
      <c r="S353" s="213"/>
      <c r="T353" s="213"/>
      <c r="U353" s="213"/>
      <c r="V353" s="213"/>
      <c r="W353" s="213"/>
      <c r="X353" s="213"/>
      <c r="Y353" s="213"/>
      <c r="Z353" s="213"/>
      <c r="AA353" s="213"/>
      <c r="AB353" s="213"/>
      <c r="AC353" s="213"/>
      <c r="AD353" s="213"/>
      <c r="AE353" s="213"/>
      <c r="AF353" s="213"/>
      <c r="AG353" s="213"/>
      <c r="AH353" s="213"/>
    </row>
    <row r="354" ht="15.75" customHeight="1">
      <c r="A354" s="213"/>
      <c r="B354" s="213"/>
      <c r="C354" s="213"/>
      <c r="D354" s="213"/>
      <c r="E354" s="213"/>
      <c r="F354" s="213"/>
      <c r="G354" s="213"/>
      <c r="H354" s="213"/>
      <c r="I354" s="946"/>
      <c r="J354" s="213"/>
      <c r="K354" s="213"/>
      <c r="L354" s="213"/>
      <c r="M354" s="213"/>
      <c r="N354" s="213"/>
      <c r="O354" s="328"/>
      <c r="P354" s="213"/>
      <c r="Q354" s="213"/>
      <c r="R354" s="213"/>
      <c r="S354" s="213"/>
      <c r="T354" s="213"/>
      <c r="U354" s="213"/>
      <c r="V354" s="213"/>
      <c r="W354" s="213"/>
      <c r="X354" s="213"/>
      <c r="Y354" s="213"/>
      <c r="Z354" s="213"/>
      <c r="AA354" s="213"/>
      <c r="AB354" s="213"/>
      <c r="AC354" s="213"/>
      <c r="AD354" s="213"/>
      <c r="AE354" s="213"/>
      <c r="AF354" s="213"/>
      <c r="AG354" s="213"/>
      <c r="AH354" s="213"/>
    </row>
    <row r="355" ht="15.75" customHeight="1">
      <c r="A355" s="213"/>
      <c r="B355" s="213"/>
      <c r="C355" s="213"/>
      <c r="D355" s="213"/>
      <c r="E355" s="213"/>
      <c r="F355" s="213"/>
      <c r="G355" s="213"/>
      <c r="H355" s="213"/>
      <c r="I355" s="946"/>
      <c r="J355" s="213"/>
      <c r="K355" s="213"/>
      <c r="L355" s="213"/>
      <c r="M355" s="213"/>
      <c r="N355" s="213"/>
      <c r="O355" s="328"/>
      <c r="P355" s="213"/>
      <c r="Q355" s="213"/>
      <c r="R355" s="213"/>
      <c r="S355" s="213"/>
      <c r="T355" s="213"/>
      <c r="U355" s="213"/>
      <c r="V355" s="213"/>
      <c r="W355" s="213"/>
      <c r="X355" s="213"/>
      <c r="Y355" s="213"/>
      <c r="Z355" s="213"/>
      <c r="AA355" s="213"/>
      <c r="AB355" s="213"/>
      <c r="AC355" s="213"/>
      <c r="AD355" s="213"/>
      <c r="AE355" s="213"/>
      <c r="AF355" s="213"/>
      <c r="AG355" s="213"/>
      <c r="AH355" s="213"/>
    </row>
    <row r="356" ht="15.75" customHeight="1">
      <c r="A356" s="213"/>
      <c r="B356" s="213"/>
      <c r="C356" s="213"/>
      <c r="D356" s="213"/>
      <c r="E356" s="213"/>
      <c r="F356" s="213"/>
      <c r="G356" s="213"/>
      <c r="H356" s="213"/>
      <c r="I356" s="946"/>
      <c r="J356" s="213"/>
      <c r="K356" s="213"/>
      <c r="L356" s="213"/>
      <c r="M356" s="213"/>
      <c r="N356" s="213"/>
      <c r="O356" s="328"/>
      <c r="P356" s="213"/>
      <c r="Q356" s="213"/>
      <c r="R356" s="213"/>
      <c r="S356" s="213"/>
      <c r="T356" s="213"/>
      <c r="U356" s="213"/>
      <c r="V356" s="213"/>
      <c r="W356" s="213"/>
      <c r="X356" s="213"/>
      <c r="Y356" s="213"/>
      <c r="Z356" s="213"/>
      <c r="AA356" s="213"/>
      <c r="AB356" s="213"/>
      <c r="AC356" s="213"/>
      <c r="AD356" s="213"/>
      <c r="AE356" s="213"/>
      <c r="AF356" s="213"/>
      <c r="AG356" s="213"/>
      <c r="AH356" s="213"/>
    </row>
    <row r="357" ht="15.75" customHeight="1">
      <c r="A357" s="213"/>
      <c r="B357" s="213"/>
      <c r="C357" s="213"/>
      <c r="D357" s="213"/>
      <c r="E357" s="213"/>
      <c r="F357" s="213"/>
      <c r="G357" s="213"/>
      <c r="H357" s="213"/>
      <c r="I357" s="946"/>
      <c r="J357" s="213"/>
      <c r="K357" s="213"/>
      <c r="L357" s="213"/>
      <c r="M357" s="213"/>
      <c r="N357" s="213"/>
      <c r="O357" s="328"/>
      <c r="P357" s="213"/>
      <c r="Q357" s="213"/>
      <c r="R357" s="213"/>
      <c r="S357" s="213"/>
      <c r="T357" s="213"/>
      <c r="U357" s="213"/>
      <c r="V357" s="213"/>
      <c r="W357" s="213"/>
      <c r="X357" s="213"/>
      <c r="Y357" s="213"/>
      <c r="Z357" s="213"/>
      <c r="AA357" s="213"/>
      <c r="AB357" s="213"/>
      <c r="AC357" s="213"/>
      <c r="AD357" s="213"/>
      <c r="AE357" s="213"/>
      <c r="AF357" s="213"/>
      <c r="AG357" s="213"/>
      <c r="AH357" s="213"/>
    </row>
    <row r="358" ht="15.75" customHeight="1">
      <c r="A358" s="213"/>
      <c r="B358" s="213"/>
      <c r="C358" s="213"/>
      <c r="D358" s="213"/>
      <c r="E358" s="213"/>
      <c r="F358" s="213"/>
      <c r="G358" s="213"/>
      <c r="H358" s="213"/>
      <c r="I358" s="946"/>
      <c r="J358" s="213"/>
      <c r="K358" s="213"/>
      <c r="L358" s="213"/>
      <c r="M358" s="213"/>
      <c r="N358" s="213"/>
      <c r="O358" s="328"/>
      <c r="P358" s="213"/>
      <c r="Q358" s="213"/>
      <c r="R358" s="213"/>
      <c r="S358" s="213"/>
      <c r="T358" s="213"/>
      <c r="U358" s="213"/>
      <c r="V358" s="213"/>
      <c r="W358" s="213"/>
      <c r="X358" s="213"/>
      <c r="Y358" s="213"/>
      <c r="Z358" s="213"/>
      <c r="AA358" s="213"/>
      <c r="AB358" s="213"/>
      <c r="AC358" s="213"/>
      <c r="AD358" s="213"/>
      <c r="AE358" s="213"/>
      <c r="AF358" s="213"/>
      <c r="AG358" s="213"/>
      <c r="AH358" s="213"/>
    </row>
    <row r="359" ht="15.75" customHeight="1">
      <c r="A359" s="213"/>
      <c r="B359" s="213"/>
      <c r="C359" s="213"/>
      <c r="D359" s="213"/>
      <c r="E359" s="213"/>
      <c r="F359" s="213"/>
      <c r="G359" s="213"/>
      <c r="H359" s="213"/>
      <c r="I359" s="946"/>
      <c r="J359" s="213"/>
      <c r="K359" s="213"/>
      <c r="L359" s="213"/>
      <c r="M359" s="213"/>
      <c r="N359" s="213"/>
      <c r="O359" s="328"/>
      <c r="P359" s="213"/>
      <c r="Q359" s="213"/>
      <c r="R359" s="213"/>
      <c r="S359" s="213"/>
      <c r="T359" s="213"/>
      <c r="U359" s="213"/>
      <c r="V359" s="213"/>
      <c r="W359" s="213"/>
      <c r="X359" s="213"/>
      <c r="Y359" s="213"/>
      <c r="Z359" s="213"/>
      <c r="AA359" s="213"/>
      <c r="AB359" s="213"/>
      <c r="AC359" s="213"/>
      <c r="AD359" s="213"/>
      <c r="AE359" s="213"/>
      <c r="AF359" s="213"/>
      <c r="AG359" s="213"/>
      <c r="AH359" s="213"/>
    </row>
    <row r="360" ht="15.75" customHeight="1">
      <c r="A360" s="213"/>
      <c r="B360" s="213"/>
      <c r="C360" s="213"/>
      <c r="D360" s="213"/>
      <c r="E360" s="213"/>
      <c r="F360" s="213"/>
      <c r="G360" s="213"/>
      <c r="H360" s="213"/>
      <c r="I360" s="946"/>
      <c r="J360" s="213"/>
      <c r="K360" s="213"/>
      <c r="L360" s="213"/>
      <c r="M360" s="213"/>
      <c r="N360" s="213"/>
      <c r="O360" s="328"/>
      <c r="P360" s="213"/>
      <c r="Q360" s="213"/>
      <c r="R360" s="213"/>
      <c r="S360" s="213"/>
      <c r="T360" s="213"/>
      <c r="U360" s="213"/>
      <c r="V360" s="213"/>
      <c r="W360" s="213"/>
      <c r="X360" s="213"/>
      <c r="Y360" s="213"/>
      <c r="Z360" s="213"/>
      <c r="AA360" s="213"/>
      <c r="AB360" s="213"/>
      <c r="AC360" s="213"/>
      <c r="AD360" s="213"/>
      <c r="AE360" s="213"/>
      <c r="AF360" s="213"/>
      <c r="AG360" s="213"/>
      <c r="AH360" s="213"/>
    </row>
    <row r="361" ht="15.75" customHeight="1">
      <c r="A361" s="213"/>
      <c r="B361" s="213"/>
      <c r="C361" s="213"/>
      <c r="D361" s="213"/>
      <c r="E361" s="213"/>
      <c r="F361" s="213"/>
      <c r="G361" s="213"/>
      <c r="H361" s="213"/>
      <c r="I361" s="946"/>
      <c r="J361" s="213"/>
      <c r="K361" s="213"/>
      <c r="L361" s="213"/>
      <c r="M361" s="213"/>
      <c r="N361" s="213"/>
      <c r="O361" s="328"/>
      <c r="P361" s="213"/>
      <c r="Q361" s="213"/>
      <c r="R361" s="213"/>
      <c r="S361" s="213"/>
      <c r="T361" s="213"/>
      <c r="U361" s="213"/>
      <c r="V361" s="213"/>
      <c r="W361" s="213"/>
      <c r="X361" s="213"/>
      <c r="Y361" s="213"/>
      <c r="Z361" s="213"/>
      <c r="AA361" s="213"/>
      <c r="AB361" s="213"/>
      <c r="AC361" s="213"/>
      <c r="AD361" s="213"/>
      <c r="AE361" s="213"/>
      <c r="AF361" s="213"/>
      <c r="AG361" s="213"/>
      <c r="AH361" s="213"/>
    </row>
    <row r="362" ht="15.75" customHeight="1">
      <c r="A362" s="213"/>
      <c r="B362" s="213"/>
      <c r="C362" s="213"/>
      <c r="D362" s="213"/>
      <c r="E362" s="213"/>
      <c r="F362" s="213"/>
      <c r="G362" s="213"/>
      <c r="H362" s="213"/>
      <c r="I362" s="946"/>
      <c r="J362" s="213"/>
      <c r="K362" s="213"/>
      <c r="L362" s="213"/>
      <c r="M362" s="213"/>
      <c r="N362" s="213"/>
      <c r="O362" s="328"/>
      <c r="P362" s="213"/>
      <c r="Q362" s="213"/>
      <c r="R362" s="213"/>
      <c r="S362" s="213"/>
      <c r="T362" s="213"/>
      <c r="U362" s="213"/>
      <c r="V362" s="213"/>
      <c r="W362" s="213"/>
      <c r="X362" s="213"/>
      <c r="Y362" s="213"/>
      <c r="Z362" s="213"/>
      <c r="AA362" s="213"/>
      <c r="AB362" s="213"/>
      <c r="AC362" s="213"/>
      <c r="AD362" s="213"/>
      <c r="AE362" s="213"/>
      <c r="AF362" s="213"/>
      <c r="AG362" s="213"/>
      <c r="AH362" s="213"/>
    </row>
    <row r="363" ht="15.75" customHeight="1">
      <c r="A363" s="213"/>
      <c r="B363" s="213"/>
      <c r="C363" s="213"/>
      <c r="D363" s="213"/>
      <c r="E363" s="213"/>
      <c r="F363" s="213"/>
      <c r="G363" s="213"/>
      <c r="H363" s="213"/>
      <c r="I363" s="946"/>
      <c r="J363" s="213"/>
      <c r="K363" s="213"/>
      <c r="L363" s="213"/>
      <c r="M363" s="213"/>
      <c r="N363" s="213"/>
      <c r="O363" s="328"/>
      <c r="P363" s="213"/>
      <c r="Q363" s="213"/>
      <c r="R363" s="213"/>
      <c r="S363" s="213"/>
      <c r="T363" s="213"/>
      <c r="U363" s="213"/>
      <c r="V363" s="213"/>
      <c r="W363" s="213"/>
      <c r="X363" s="213"/>
      <c r="Y363" s="213"/>
      <c r="Z363" s="213"/>
      <c r="AA363" s="213"/>
      <c r="AB363" s="213"/>
      <c r="AC363" s="213"/>
      <c r="AD363" s="213"/>
      <c r="AE363" s="213"/>
      <c r="AF363" s="213"/>
      <c r="AG363" s="213"/>
      <c r="AH363" s="213"/>
    </row>
    <row r="364" ht="15.75" customHeight="1">
      <c r="A364" s="213"/>
      <c r="B364" s="213"/>
      <c r="C364" s="213"/>
      <c r="D364" s="213"/>
      <c r="E364" s="213"/>
      <c r="F364" s="213"/>
      <c r="G364" s="213"/>
      <c r="H364" s="213"/>
      <c r="I364" s="946"/>
      <c r="J364" s="213"/>
      <c r="K364" s="213"/>
      <c r="L364" s="213"/>
      <c r="M364" s="213"/>
      <c r="N364" s="213"/>
      <c r="O364" s="328"/>
      <c r="P364" s="213"/>
      <c r="Q364" s="213"/>
      <c r="R364" s="213"/>
      <c r="S364" s="213"/>
      <c r="T364" s="213"/>
      <c r="U364" s="213"/>
      <c r="V364" s="213"/>
      <c r="W364" s="213"/>
      <c r="X364" s="213"/>
      <c r="Y364" s="213"/>
      <c r="Z364" s="213"/>
      <c r="AA364" s="213"/>
      <c r="AB364" s="213"/>
      <c r="AC364" s="213"/>
      <c r="AD364" s="213"/>
      <c r="AE364" s="213"/>
      <c r="AF364" s="213"/>
      <c r="AG364" s="213"/>
      <c r="AH364" s="213"/>
    </row>
    <row r="365" ht="15.75" customHeight="1">
      <c r="A365" s="213"/>
      <c r="B365" s="213"/>
      <c r="C365" s="213"/>
      <c r="D365" s="213"/>
      <c r="E365" s="213"/>
      <c r="F365" s="213"/>
      <c r="G365" s="213"/>
      <c r="H365" s="213"/>
      <c r="I365" s="946"/>
      <c r="J365" s="213"/>
      <c r="K365" s="213"/>
      <c r="L365" s="213"/>
      <c r="M365" s="213"/>
      <c r="N365" s="213"/>
      <c r="O365" s="328"/>
      <c r="P365" s="213"/>
      <c r="Q365" s="213"/>
      <c r="R365" s="213"/>
      <c r="S365" s="213"/>
      <c r="T365" s="213"/>
      <c r="U365" s="213"/>
      <c r="V365" s="213"/>
      <c r="W365" s="213"/>
      <c r="X365" s="213"/>
      <c r="Y365" s="213"/>
      <c r="Z365" s="213"/>
      <c r="AA365" s="213"/>
      <c r="AB365" s="213"/>
      <c r="AC365" s="213"/>
      <c r="AD365" s="213"/>
      <c r="AE365" s="213"/>
      <c r="AF365" s="213"/>
      <c r="AG365" s="213"/>
      <c r="AH365" s="213"/>
    </row>
    <row r="366" ht="15.75" customHeight="1">
      <c r="A366" s="213"/>
      <c r="B366" s="213"/>
      <c r="C366" s="213"/>
      <c r="D366" s="213"/>
      <c r="E366" s="213"/>
      <c r="F366" s="213"/>
      <c r="G366" s="213"/>
      <c r="H366" s="213"/>
      <c r="I366" s="946"/>
      <c r="J366" s="213"/>
      <c r="K366" s="213"/>
      <c r="L366" s="213"/>
      <c r="M366" s="213"/>
      <c r="N366" s="213"/>
      <c r="O366" s="328"/>
      <c r="P366" s="213"/>
      <c r="Q366" s="213"/>
      <c r="R366" s="213"/>
      <c r="S366" s="213"/>
      <c r="T366" s="213"/>
      <c r="U366" s="213"/>
      <c r="V366" s="213"/>
      <c r="W366" s="213"/>
      <c r="X366" s="213"/>
      <c r="Y366" s="213"/>
      <c r="Z366" s="213"/>
      <c r="AA366" s="213"/>
      <c r="AB366" s="213"/>
      <c r="AC366" s="213"/>
      <c r="AD366" s="213"/>
      <c r="AE366" s="213"/>
      <c r="AF366" s="213"/>
      <c r="AG366" s="213"/>
      <c r="AH366" s="213"/>
    </row>
    <row r="367" ht="15.75" customHeight="1">
      <c r="A367" s="213"/>
      <c r="B367" s="213"/>
      <c r="C367" s="213"/>
      <c r="D367" s="213"/>
      <c r="E367" s="213"/>
      <c r="F367" s="213"/>
      <c r="G367" s="213"/>
      <c r="H367" s="213"/>
      <c r="I367" s="946"/>
      <c r="J367" s="213"/>
      <c r="K367" s="213"/>
      <c r="L367" s="213"/>
      <c r="M367" s="213"/>
      <c r="N367" s="213"/>
      <c r="O367" s="328"/>
      <c r="P367" s="213"/>
      <c r="Q367" s="213"/>
      <c r="R367" s="213"/>
      <c r="S367" s="213"/>
      <c r="T367" s="213"/>
      <c r="U367" s="213"/>
      <c r="V367" s="213"/>
      <c r="W367" s="213"/>
      <c r="X367" s="213"/>
      <c r="Y367" s="213"/>
      <c r="Z367" s="213"/>
      <c r="AA367" s="213"/>
      <c r="AB367" s="213"/>
      <c r="AC367" s="213"/>
      <c r="AD367" s="213"/>
      <c r="AE367" s="213"/>
      <c r="AF367" s="213"/>
      <c r="AG367" s="213"/>
      <c r="AH367" s="213"/>
    </row>
    <row r="368" ht="15.75" customHeight="1">
      <c r="A368" s="213"/>
      <c r="B368" s="213"/>
      <c r="C368" s="213"/>
      <c r="D368" s="213"/>
      <c r="E368" s="213"/>
      <c r="F368" s="213"/>
      <c r="G368" s="213"/>
      <c r="H368" s="213"/>
      <c r="I368" s="946"/>
      <c r="J368" s="213"/>
      <c r="K368" s="213"/>
      <c r="L368" s="213"/>
      <c r="M368" s="213"/>
      <c r="N368" s="213"/>
      <c r="O368" s="328"/>
      <c r="P368" s="213"/>
      <c r="Q368" s="213"/>
      <c r="R368" s="213"/>
      <c r="S368" s="213"/>
      <c r="T368" s="213"/>
      <c r="U368" s="213"/>
      <c r="V368" s="213"/>
      <c r="W368" s="213"/>
      <c r="X368" s="213"/>
      <c r="Y368" s="213"/>
      <c r="Z368" s="213"/>
      <c r="AA368" s="213"/>
      <c r="AB368" s="213"/>
      <c r="AC368" s="213"/>
      <c r="AD368" s="213"/>
      <c r="AE368" s="213"/>
      <c r="AF368" s="213"/>
      <c r="AG368" s="213"/>
      <c r="AH368" s="213"/>
    </row>
    <row r="369" ht="15.75" customHeight="1">
      <c r="A369" s="213"/>
      <c r="B369" s="213"/>
      <c r="C369" s="213"/>
      <c r="D369" s="213"/>
      <c r="E369" s="213"/>
      <c r="F369" s="213"/>
      <c r="G369" s="213"/>
      <c r="H369" s="213"/>
      <c r="I369" s="946"/>
      <c r="J369" s="213"/>
      <c r="K369" s="213"/>
      <c r="L369" s="213"/>
      <c r="M369" s="213"/>
      <c r="N369" s="213"/>
      <c r="O369" s="328"/>
      <c r="P369" s="213"/>
      <c r="Q369" s="213"/>
      <c r="R369" s="213"/>
      <c r="S369" s="213"/>
      <c r="T369" s="213"/>
      <c r="U369" s="213"/>
      <c r="V369" s="213"/>
      <c r="W369" s="213"/>
      <c r="X369" s="213"/>
      <c r="Y369" s="213"/>
      <c r="Z369" s="213"/>
      <c r="AA369" s="213"/>
      <c r="AB369" s="213"/>
      <c r="AC369" s="213"/>
      <c r="AD369" s="213"/>
      <c r="AE369" s="213"/>
      <c r="AF369" s="213"/>
      <c r="AG369" s="213"/>
      <c r="AH369" s="213"/>
    </row>
    <row r="370" ht="15.75" customHeight="1">
      <c r="A370" s="213"/>
      <c r="B370" s="213"/>
      <c r="C370" s="213"/>
      <c r="D370" s="213"/>
      <c r="E370" s="213"/>
      <c r="F370" s="213"/>
      <c r="G370" s="213"/>
      <c r="H370" s="213"/>
      <c r="I370" s="946"/>
      <c r="J370" s="213"/>
      <c r="K370" s="213"/>
      <c r="L370" s="213"/>
      <c r="M370" s="213"/>
      <c r="N370" s="213"/>
      <c r="O370" s="328"/>
      <c r="P370" s="213"/>
      <c r="Q370" s="213"/>
      <c r="R370" s="213"/>
      <c r="S370" s="213"/>
      <c r="T370" s="213"/>
      <c r="U370" s="213"/>
      <c r="V370" s="213"/>
      <c r="W370" s="213"/>
      <c r="X370" s="213"/>
      <c r="Y370" s="213"/>
      <c r="Z370" s="213"/>
      <c r="AA370" s="213"/>
      <c r="AB370" s="213"/>
      <c r="AC370" s="213"/>
      <c r="AD370" s="213"/>
      <c r="AE370" s="213"/>
      <c r="AF370" s="213"/>
      <c r="AG370" s="213"/>
      <c r="AH370" s="213"/>
    </row>
    <row r="371" ht="15.75" customHeight="1">
      <c r="A371" s="213"/>
      <c r="B371" s="213"/>
      <c r="C371" s="213"/>
      <c r="D371" s="213"/>
      <c r="E371" s="213"/>
      <c r="F371" s="213"/>
      <c r="G371" s="213"/>
      <c r="H371" s="213"/>
      <c r="I371" s="946"/>
      <c r="J371" s="213"/>
      <c r="K371" s="213"/>
      <c r="L371" s="213"/>
      <c r="M371" s="213"/>
      <c r="N371" s="213"/>
      <c r="O371" s="328"/>
      <c r="P371" s="213"/>
      <c r="Q371" s="213"/>
      <c r="R371" s="213"/>
      <c r="S371" s="213"/>
      <c r="T371" s="213"/>
      <c r="U371" s="213"/>
      <c r="V371" s="213"/>
      <c r="W371" s="213"/>
      <c r="X371" s="213"/>
      <c r="Y371" s="213"/>
      <c r="Z371" s="213"/>
      <c r="AA371" s="213"/>
      <c r="AB371" s="213"/>
      <c r="AC371" s="213"/>
      <c r="AD371" s="213"/>
      <c r="AE371" s="213"/>
      <c r="AF371" s="213"/>
      <c r="AG371" s="213"/>
      <c r="AH371" s="213"/>
    </row>
    <row r="372" ht="15.75" customHeight="1">
      <c r="A372" s="213"/>
      <c r="B372" s="213"/>
      <c r="C372" s="213"/>
      <c r="D372" s="213"/>
      <c r="E372" s="213"/>
      <c r="F372" s="213"/>
      <c r="G372" s="213"/>
      <c r="H372" s="213"/>
      <c r="I372" s="946"/>
      <c r="J372" s="213"/>
      <c r="K372" s="213"/>
      <c r="L372" s="213"/>
      <c r="M372" s="213"/>
      <c r="N372" s="213"/>
      <c r="O372" s="328"/>
      <c r="P372" s="213"/>
      <c r="Q372" s="213"/>
      <c r="R372" s="213"/>
      <c r="S372" s="213"/>
      <c r="T372" s="213"/>
      <c r="U372" s="213"/>
      <c r="V372" s="213"/>
      <c r="W372" s="213"/>
      <c r="X372" s="213"/>
      <c r="Y372" s="213"/>
      <c r="Z372" s="213"/>
      <c r="AA372" s="213"/>
      <c r="AB372" s="213"/>
      <c r="AC372" s="213"/>
      <c r="AD372" s="213"/>
      <c r="AE372" s="213"/>
      <c r="AF372" s="213"/>
      <c r="AG372" s="213"/>
      <c r="AH372" s="213"/>
    </row>
    <row r="373" ht="15.75" customHeight="1">
      <c r="A373" s="213"/>
      <c r="B373" s="213"/>
      <c r="C373" s="213"/>
      <c r="D373" s="213"/>
      <c r="E373" s="213"/>
      <c r="F373" s="213"/>
      <c r="G373" s="213"/>
      <c r="H373" s="213"/>
      <c r="I373" s="946"/>
      <c r="J373" s="213"/>
      <c r="K373" s="213"/>
      <c r="L373" s="213"/>
      <c r="M373" s="213"/>
      <c r="N373" s="213"/>
      <c r="O373" s="328"/>
      <c r="P373" s="213"/>
      <c r="Q373" s="213"/>
      <c r="R373" s="213"/>
      <c r="S373" s="213"/>
      <c r="T373" s="213"/>
      <c r="U373" s="213"/>
      <c r="V373" s="213"/>
      <c r="W373" s="213"/>
      <c r="X373" s="213"/>
      <c r="Y373" s="213"/>
      <c r="Z373" s="213"/>
      <c r="AA373" s="213"/>
      <c r="AB373" s="213"/>
      <c r="AC373" s="213"/>
      <c r="AD373" s="213"/>
      <c r="AE373" s="213"/>
      <c r="AF373" s="213"/>
      <c r="AG373" s="213"/>
      <c r="AH373" s="213"/>
    </row>
    <row r="374" ht="15.75" customHeight="1">
      <c r="A374" s="213"/>
      <c r="B374" s="213"/>
      <c r="C374" s="213"/>
      <c r="D374" s="213"/>
      <c r="E374" s="213"/>
      <c r="F374" s="213"/>
      <c r="G374" s="213"/>
      <c r="H374" s="213"/>
      <c r="I374" s="946"/>
      <c r="J374" s="213"/>
      <c r="K374" s="213"/>
      <c r="L374" s="213"/>
      <c r="M374" s="213"/>
      <c r="N374" s="213"/>
      <c r="O374" s="328"/>
      <c r="P374" s="213"/>
      <c r="Q374" s="213"/>
      <c r="R374" s="213"/>
      <c r="S374" s="213"/>
      <c r="T374" s="213"/>
      <c r="U374" s="213"/>
      <c r="V374" s="213"/>
      <c r="W374" s="213"/>
      <c r="X374" s="213"/>
      <c r="Y374" s="213"/>
      <c r="Z374" s="213"/>
      <c r="AA374" s="213"/>
      <c r="AB374" s="213"/>
      <c r="AC374" s="213"/>
      <c r="AD374" s="213"/>
      <c r="AE374" s="213"/>
      <c r="AF374" s="213"/>
      <c r="AG374" s="213"/>
      <c r="AH374" s="213"/>
    </row>
    <row r="375" ht="15.75" customHeight="1">
      <c r="A375" s="213"/>
      <c r="B375" s="213"/>
      <c r="C375" s="213"/>
      <c r="D375" s="213"/>
      <c r="E375" s="213"/>
      <c r="F375" s="213"/>
      <c r="G375" s="213"/>
      <c r="H375" s="213"/>
      <c r="I375" s="946"/>
      <c r="J375" s="213"/>
      <c r="K375" s="213"/>
      <c r="L375" s="213"/>
      <c r="M375" s="213"/>
      <c r="N375" s="213"/>
      <c r="O375" s="328"/>
      <c r="P375" s="213"/>
      <c r="Q375" s="213"/>
      <c r="R375" s="213"/>
      <c r="S375" s="213"/>
      <c r="T375" s="213"/>
      <c r="U375" s="213"/>
      <c r="V375" s="213"/>
      <c r="W375" s="213"/>
      <c r="X375" s="213"/>
      <c r="Y375" s="213"/>
      <c r="Z375" s="213"/>
      <c r="AA375" s="213"/>
      <c r="AB375" s="213"/>
      <c r="AC375" s="213"/>
      <c r="AD375" s="213"/>
      <c r="AE375" s="213"/>
      <c r="AF375" s="213"/>
      <c r="AG375" s="213"/>
      <c r="AH375" s="213"/>
    </row>
  </sheetData>
  <mergeCells count="4">
    <mergeCell ref="B4:B5"/>
    <mergeCell ref="C4:C5"/>
    <mergeCell ref="B64:C64"/>
    <mergeCell ref="B84:C84"/>
  </mergeCells>
  <printOptions/>
  <pageMargins bottom="0.75" footer="0.0" header="0.0" left="0.7" right="0.7" top="0.75"/>
  <pageSetup orientation="landscape"/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8.0"/>
    <col customWidth="1" min="3" max="8" width="9.88"/>
    <col customWidth="1" min="9" max="11" width="9.13"/>
    <col customWidth="1" min="12" max="12" width="11.63"/>
    <col customWidth="1" min="13" max="13" width="12.13"/>
    <col customWidth="1" min="14" max="14" width="12.63"/>
  </cols>
  <sheetData>
    <row r="1" ht="15.75" customHeight="1">
      <c r="A1" s="3"/>
      <c r="B1" s="2" t="s">
        <v>493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3"/>
      <c r="B4" s="868" t="s">
        <v>494</v>
      </c>
      <c r="C4" s="868" t="s">
        <v>495</v>
      </c>
      <c r="D4" s="868" t="s">
        <v>496</v>
      </c>
      <c r="E4" s="868" t="s">
        <v>497</v>
      </c>
      <c r="F4" s="868" t="s">
        <v>498</v>
      </c>
      <c r="G4" s="868" t="s">
        <v>499</v>
      </c>
      <c r="H4" s="868" t="s">
        <v>500</v>
      </c>
      <c r="I4" s="868" t="s">
        <v>501</v>
      </c>
      <c r="J4" s="1083" t="s">
        <v>502</v>
      </c>
      <c r="K4" s="1083" t="s">
        <v>503</v>
      </c>
      <c r="L4" s="868" t="s">
        <v>504</v>
      </c>
      <c r="M4" s="868" t="s">
        <v>505</v>
      </c>
      <c r="N4" s="868" t="s">
        <v>506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75" customHeight="1">
      <c r="A5" s="3"/>
      <c r="B5" s="43" t="s">
        <v>185</v>
      </c>
      <c r="C5" s="48">
        <v>124201.0</v>
      </c>
      <c r="D5" s="48">
        <v>123240.0</v>
      </c>
      <c r="E5" s="48">
        <v>164079.0</v>
      </c>
      <c r="F5" s="48">
        <v>221938.0</v>
      </c>
      <c r="G5" s="48">
        <v>211341.821661846</v>
      </c>
      <c r="H5" s="48">
        <v>212099.64</v>
      </c>
      <c r="I5" s="48">
        <v>250896.31</v>
      </c>
      <c r="J5" s="48">
        <v>245804.67</v>
      </c>
      <c r="K5" s="48">
        <v>170745.78</v>
      </c>
      <c r="L5" s="1084">
        <v>142465.48</v>
      </c>
      <c r="M5" s="1085">
        <v>104120.15</v>
      </c>
      <c r="N5" s="1085">
        <v>106728.64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A6" s="3"/>
      <c r="B6" s="43" t="s">
        <v>13</v>
      </c>
      <c r="C6" s="48"/>
      <c r="D6" s="48"/>
      <c r="E6" s="48"/>
      <c r="F6" s="48"/>
      <c r="G6" s="48"/>
      <c r="H6" s="48"/>
      <c r="I6" s="48"/>
      <c r="J6" s="48">
        <v>80794.95</v>
      </c>
      <c r="K6" s="48">
        <v>102164.26</v>
      </c>
      <c r="L6" s="1085">
        <v>74056.09</v>
      </c>
      <c r="M6" s="1084"/>
      <c r="N6" s="1084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75" customHeight="1">
      <c r="A7" s="3"/>
      <c r="B7" s="43" t="s">
        <v>8</v>
      </c>
      <c r="C7" s="48">
        <v>141708.71362430239</v>
      </c>
      <c r="D7" s="48">
        <v>172402.0</v>
      </c>
      <c r="E7" s="48">
        <v>181217.03</v>
      </c>
      <c r="F7" s="48">
        <v>205349.0</v>
      </c>
      <c r="G7" s="48">
        <v>231035.16</v>
      </c>
      <c r="H7" s="48">
        <v>267234.35</v>
      </c>
      <c r="I7" s="48">
        <v>280735.66</v>
      </c>
      <c r="J7" s="48">
        <v>310709.9</v>
      </c>
      <c r="K7" s="48">
        <v>301135.73</v>
      </c>
      <c r="L7" s="1085">
        <v>289075.81</v>
      </c>
      <c r="M7" s="1085">
        <v>244518.03</v>
      </c>
      <c r="N7" s="1085">
        <v>294951.55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3"/>
      <c r="B8" s="43" t="s">
        <v>9</v>
      </c>
      <c r="C8" s="48">
        <v>98030.10208505545</v>
      </c>
      <c r="D8" s="48">
        <v>124201.0</v>
      </c>
      <c r="E8" s="48">
        <v>185947.16</v>
      </c>
      <c r="F8" s="48">
        <v>226309.862197667</v>
      </c>
      <c r="G8" s="48">
        <v>258058.21</v>
      </c>
      <c r="H8" s="48">
        <v>245732.6</v>
      </c>
      <c r="I8" s="48">
        <v>272392.53</v>
      </c>
      <c r="J8" s="48">
        <v>207649.91</v>
      </c>
      <c r="K8" s="48">
        <v>274748.97</v>
      </c>
      <c r="L8" s="236">
        <v>255272.53</v>
      </c>
      <c r="M8" s="1085">
        <v>235546.91</v>
      </c>
      <c r="N8" s="1085">
        <v>264307.86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3"/>
      <c r="B9" s="43" t="s">
        <v>10</v>
      </c>
      <c r="C9" s="48">
        <v>183904.86815972335</v>
      </c>
      <c r="D9" s="48">
        <v>123012.0</v>
      </c>
      <c r="E9" s="48">
        <v>123727.54</v>
      </c>
      <c r="F9" s="48">
        <v>126376.72</v>
      </c>
      <c r="G9" s="48">
        <v>237042.11</v>
      </c>
      <c r="H9" s="48">
        <v>215137.05</v>
      </c>
      <c r="I9" s="48">
        <v>259487.06</v>
      </c>
      <c r="J9" s="48">
        <v>171819.58</v>
      </c>
      <c r="K9" s="48">
        <v>311535.42</v>
      </c>
      <c r="L9" s="236">
        <v>248274.85</v>
      </c>
      <c r="M9" s="1085">
        <v>180242.26</v>
      </c>
      <c r="N9" s="1085">
        <v>233548.74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3"/>
      <c r="B10" s="43" t="s">
        <v>12</v>
      </c>
      <c r="C10" s="48">
        <v>37872.12</v>
      </c>
      <c r="D10" s="48">
        <v>87481.0</v>
      </c>
      <c r="E10" s="48">
        <v>96298.31</v>
      </c>
      <c r="F10" s="48">
        <v>170415.85</v>
      </c>
      <c r="G10" s="48">
        <v>213285.07</v>
      </c>
      <c r="H10" s="48">
        <v>209156.42</v>
      </c>
      <c r="I10" s="48">
        <v>283680.02</v>
      </c>
      <c r="J10" s="48">
        <v>251953.19</v>
      </c>
      <c r="K10" s="48">
        <v>153130.54</v>
      </c>
      <c r="L10" s="1085">
        <v>552233.0</v>
      </c>
      <c r="M10" s="1085">
        <v>286960.0</v>
      </c>
      <c r="N10" s="1085">
        <v>364569.0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3"/>
      <c r="B11" s="43" t="s">
        <v>14</v>
      </c>
      <c r="C11" s="48">
        <v>0.0</v>
      </c>
      <c r="D11" s="48">
        <v>74601.03</v>
      </c>
      <c r="E11" s="48">
        <v>62249.41</v>
      </c>
      <c r="F11" s="48">
        <v>91176.5</v>
      </c>
      <c r="G11" s="48">
        <v>91225.97</v>
      </c>
      <c r="H11" s="48">
        <v>96887.24</v>
      </c>
      <c r="I11" s="48">
        <v>89805.22</v>
      </c>
      <c r="J11" s="323">
        <v>120695.06</v>
      </c>
      <c r="K11" s="48">
        <v>144703.14</v>
      </c>
      <c r="L11" s="1085">
        <v>128752.2</v>
      </c>
      <c r="M11" s="1085">
        <v>102148.85</v>
      </c>
      <c r="N11" s="1085">
        <v>81369.51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3"/>
      <c r="B12" s="43" t="s">
        <v>15</v>
      </c>
      <c r="C12" s="48">
        <v>0.0</v>
      </c>
      <c r="D12" s="48">
        <v>0.0</v>
      </c>
      <c r="E12" s="48">
        <v>0.0</v>
      </c>
      <c r="F12" s="48">
        <v>88249.87</v>
      </c>
      <c r="G12" s="48">
        <v>83743.44</v>
      </c>
      <c r="H12" s="48">
        <v>77933.47</v>
      </c>
      <c r="I12" s="48">
        <v>78613.4</v>
      </c>
      <c r="J12" s="48">
        <v>86093.19</v>
      </c>
      <c r="K12" s="48">
        <v>116546.66</v>
      </c>
      <c r="L12" s="1085">
        <v>108467.74</v>
      </c>
      <c r="M12" s="1085">
        <v>92851.68</v>
      </c>
      <c r="N12" s="1085">
        <v>64459.3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3"/>
      <c r="B13" s="43" t="s">
        <v>507</v>
      </c>
      <c r="C13" s="48">
        <v>0.0</v>
      </c>
      <c r="D13" s="48">
        <v>0.0</v>
      </c>
      <c r="E13" s="48">
        <v>0.0</v>
      </c>
      <c r="F13" s="48">
        <v>0.0</v>
      </c>
      <c r="G13" s="48">
        <v>76331.23</v>
      </c>
      <c r="H13" s="48">
        <v>76909.75</v>
      </c>
      <c r="I13" s="48">
        <v>70645.11</v>
      </c>
      <c r="J13" s="48">
        <v>85332.05</v>
      </c>
      <c r="K13" s="48">
        <v>114655.03</v>
      </c>
      <c r="L13" s="1085">
        <v>115130.52</v>
      </c>
      <c r="M13" s="1085">
        <v>93947.06</v>
      </c>
      <c r="N13" s="1085">
        <v>68122.7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3"/>
      <c r="B14" s="43" t="s">
        <v>173</v>
      </c>
      <c r="C14" s="323">
        <f t="shared" ref="C14:N14" si="1">SUM(C5:C13)</f>
        <v>585716.8039</v>
      </c>
      <c r="D14" s="323">
        <f t="shared" si="1"/>
        <v>704937.03</v>
      </c>
      <c r="E14" s="323">
        <f t="shared" si="1"/>
        <v>813518.45</v>
      </c>
      <c r="F14" s="323">
        <f t="shared" si="1"/>
        <v>1129815.802</v>
      </c>
      <c r="G14" s="323">
        <f t="shared" si="1"/>
        <v>1402063.012</v>
      </c>
      <c r="H14" s="323">
        <f t="shared" si="1"/>
        <v>1401090.52</v>
      </c>
      <c r="I14" s="323">
        <f t="shared" si="1"/>
        <v>1586255.31</v>
      </c>
      <c r="J14" s="323">
        <f t="shared" si="1"/>
        <v>1560852.5</v>
      </c>
      <c r="K14" s="323">
        <f t="shared" si="1"/>
        <v>1689365.53</v>
      </c>
      <c r="L14" s="323">
        <f t="shared" si="1"/>
        <v>1913728.22</v>
      </c>
      <c r="M14" s="323">
        <f t="shared" si="1"/>
        <v>1340334.94</v>
      </c>
      <c r="N14" s="323">
        <f t="shared" si="1"/>
        <v>1478057.3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3"/>
      <c r="B15" s="43"/>
      <c r="C15" s="855"/>
      <c r="D15" s="855"/>
      <c r="E15" s="855"/>
      <c r="F15" s="855"/>
      <c r="G15" s="855"/>
      <c r="H15" s="855"/>
      <c r="I15" s="855"/>
      <c r="J15" s="855"/>
      <c r="K15" s="855"/>
      <c r="L15" s="855"/>
      <c r="M15" s="855"/>
      <c r="N15" s="855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3"/>
      <c r="B16" s="43" t="s">
        <v>508</v>
      </c>
      <c r="C16" s="323">
        <v>1897877.0029333334</v>
      </c>
      <c r="D16" s="323">
        <v>1837945.6691333333</v>
      </c>
      <c r="E16" s="323">
        <v>1728396.4887333333</v>
      </c>
      <c r="F16" s="323">
        <v>1613184.5333333332</v>
      </c>
      <c r="G16" s="323">
        <v>1887962.0633333332</v>
      </c>
      <c r="H16" s="323">
        <v>1763054.7233333332</v>
      </c>
      <c r="I16" s="323">
        <v>2408138.0733333332</v>
      </c>
      <c r="J16" s="323">
        <v>1876601.0</v>
      </c>
      <c r="K16" s="323">
        <v>1703433.6333333333</v>
      </c>
      <c r="L16" s="1086">
        <v>1799625.0</v>
      </c>
      <c r="M16" s="1086">
        <v>1736930.0</v>
      </c>
      <c r="N16" s="1086">
        <v>1688846.0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3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1084"/>
      <c r="M17" s="1084"/>
      <c r="N17" s="1084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>
      <c r="A18" s="3"/>
      <c r="B18" s="43" t="s">
        <v>509</v>
      </c>
      <c r="C18" s="43"/>
      <c r="D18" s="43"/>
      <c r="E18" s="43"/>
      <c r="F18" s="43"/>
      <c r="G18" s="43"/>
      <c r="H18" s="43"/>
      <c r="I18" s="43"/>
      <c r="J18" s="43"/>
      <c r="K18" s="43"/>
      <c r="L18" s="1084"/>
      <c r="M18" s="1084"/>
      <c r="N18" s="1084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3"/>
      <c r="B19" s="43" t="s">
        <v>185</v>
      </c>
      <c r="C19" s="48">
        <f t="shared" ref="C19:N19" si="2">(C5/C$14)*C$16</f>
        <v>402444.014</v>
      </c>
      <c r="D19" s="48">
        <f t="shared" si="2"/>
        <v>321317.2448</v>
      </c>
      <c r="E19" s="48">
        <f t="shared" si="2"/>
        <v>348601.2732</v>
      </c>
      <c r="F19" s="48">
        <f t="shared" si="2"/>
        <v>316889.6631</v>
      </c>
      <c r="G19" s="48">
        <f t="shared" si="2"/>
        <v>284584.4576</v>
      </c>
      <c r="H19" s="48">
        <f t="shared" si="2"/>
        <v>266894.4417</v>
      </c>
      <c r="I19" s="48">
        <f t="shared" si="2"/>
        <v>380892.6298</v>
      </c>
      <c r="J19" s="48">
        <f t="shared" si="2"/>
        <v>295529.0711</v>
      </c>
      <c r="K19" s="48">
        <f t="shared" si="2"/>
        <v>172167.6566</v>
      </c>
      <c r="L19" s="48">
        <f t="shared" si="2"/>
        <v>133971.1861</v>
      </c>
      <c r="M19" s="48">
        <f t="shared" si="2"/>
        <v>134928.5218</v>
      </c>
      <c r="N19" s="1087">
        <f t="shared" si="2"/>
        <v>121949.4243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3"/>
      <c r="B20" s="43" t="s">
        <v>13</v>
      </c>
      <c r="C20" s="48"/>
      <c r="D20" s="48"/>
      <c r="E20" s="48"/>
      <c r="F20" s="48"/>
      <c r="G20" s="48"/>
      <c r="H20" s="48"/>
      <c r="I20" s="48"/>
      <c r="J20" s="48">
        <f t="shared" ref="J20:N20" si="3">(J6/J$14)*J$16</f>
        <v>97139.14926</v>
      </c>
      <c r="K20" s="48">
        <f t="shared" si="3"/>
        <v>103015.0275</v>
      </c>
      <c r="L20" s="48">
        <f t="shared" si="3"/>
        <v>69640.60496</v>
      </c>
      <c r="M20" s="48">
        <f t="shared" si="3"/>
        <v>0</v>
      </c>
      <c r="N20" s="1087">
        <f t="shared" si="3"/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43" t="s">
        <v>8</v>
      </c>
      <c r="C21" s="48">
        <f t="shared" ref="C21:N21" si="4">(C7/C$14)*C$16</f>
        <v>459173.6261</v>
      </c>
      <c r="D21" s="48">
        <f t="shared" si="4"/>
        <v>449494.7715</v>
      </c>
      <c r="E21" s="48">
        <f t="shared" si="4"/>
        <v>385012.6304</v>
      </c>
      <c r="F21" s="48">
        <f t="shared" si="4"/>
        <v>293203.3966</v>
      </c>
      <c r="G21" s="48">
        <f t="shared" si="4"/>
        <v>311102.7206</v>
      </c>
      <c r="H21" s="48">
        <f t="shared" si="4"/>
        <v>336272.9076</v>
      </c>
      <c r="I21" s="48">
        <f t="shared" si="4"/>
        <v>426192.5726</v>
      </c>
      <c r="J21" s="48">
        <f t="shared" si="4"/>
        <v>373564.1318</v>
      </c>
      <c r="K21" s="48">
        <f t="shared" si="4"/>
        <v>303643.4221</v>
      </c>
      <c r="L21" s="48">
        <f t="shared" si="4"/>
        <v>271840.0916</v>
      </c>
      <c r="M21" s="48">
        <f t="shared" si="4"/>
        <v>316869.0819</v>
      </c>
      <c r="N21" s="1087">
        <f t="shared" si="4"/>
        <v>337015.1789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43" t="s">
        <v>9</v>
      </c>
      <c r="C22" s="48">
        <f t="shared" ref="C22:N22" si="5">(C8/C$14)*C$16</f>
        <v>317643.3988</v>
      </c>
      <c r="D22" s="48">
        <f t="shared" si="5"/>
        <v>323822.8102</v>
      </c>
      <c r="E22" s="48">
        <f t="shared" si="5"/>
        <v>395062.2367</v>
      </c>
      <c r="F22" s="48">
        <f t="shared" si="5"/>
        <v>323131.9377</v>
      </c>
      <c r="G22" s="48">
        <f t="shared" si="5"/>
        <v>347490.8806</v>
      </c>
      <c r="H22" s="48">
        <f t="shared" si="5"/>
        <v>309216.2961</v>
      </c>
      <c r="I22" s="48">
        <f t="shared" si="5"/>
        <v>413526.6361</v>
      </c>
      <c r="J22" s="48">
        <f t="shared" si="5"/>
        <v>249655.8956</v>
      </c>
      <c r="K22" s="48">
        <f t="shared" si="5"/>
        <v>277036.9277</v>
      </c>
      <c r="L22" s="48">
        <f t="shared" si="5"/>
        <v>240052.2822</v>
      </c>
      <c r="M22" s="48">
        <f t="shared" si="5"/>
        <v>305243.4747</v>
      </c>
      <c r="N22" s="1087">
        <f t="shared" si="5"/>
        <v>302001.3312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43" t="s">
        <v>10</v>
      </c>
      <c r="C23" s="48">
        <f t="shared" ref="C23:N23" si="6">(C9/C$14)*C$16</f>
        <v>595900.3015</v>
      </c>
      <c r="D23" s="48">
        <f t="shared" si="6"/>
        <v>320722.7923</v>
      </c>
      <c r="E23" s="48">
        <f t="shared" si="6"/>
        <v>262870.7999</v>
      </c>
      <c r="F23" s="48">
        <f t="shared" si="6"/>
        <v>180444.4315</v>
      </c>
      <c r="G23" s="48">
        <f t="shared" si="6"/>
        <v>319191.4396</v>
      </c>
      <c r="H23" s="48">
        <f t="shared" si="6"/>
        <v>270716.5503</v>
      </c>
      <c r="I23" s="48">
        <f t="shared" si="6"/>
        <v>393934.4851</v>
      </c>
      <c r="J23" s="48">
        <f t="shared" si="6"/>
        <v>206577.3644</v>
      </c>
      <c r="K23" s="48">
        <f t="shared" si="6"/>
        <v>314129.715</v>
      </c>
      <c r="L23" s="48">
        <f t="shared" si="6"/>
        <v>233471.8286</v>
      </c>
      <c r="M23" s="48">
        <f t="shared" si="6"/>
        <v>233574.5934</v>
      </c>
      <c r="N23" s="1087">
        <f t="shared" si="6"/>
        <v>266855.5917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43" t="s">
        <v>12</v>
      </c>
      <c r="C24" s="48">
        <f t="shared" ref="C24:N24" si="7">(C10/C$14)*C$16</f>
        <v>122715.6625</v>
      </c>
      <c r="D24" s="48">
        <f t="shared" si="7"/>
        <v>228084.6632</v>
      </c>
      <c r="E24" s="48">
        <f t="shared" si="7"/>
        <v>204594.82</v>
      </c>
      <c r="F24" s="48">
        <f t="shared" si="7"/>
        <v>243324.8083</v>
      </c>
      <c r="G24" s="48">
        <f t="shared" si="7"/>
        <v>287201.1582</v>
      </c>
      <c r="H24" s="48">
        <f t="shared" si="7"/>
        <v>263190.8566</v>
      </c>
      <c r="I24" s="48">
        <f t="shared" si="7"/>
        <v>430662.487</v>
      </c>
      <c r="J24" s="48">
        <f t="shared" si="7"/>
        <v>302921.3896</v>
      </c>
      <c r="K24" s="48">
        <f t="shared" si="7"/>
        <v>154405.7266</v>
      </c>
      <c r="L24" s="48">
        <f t="shared" si="7"/>
        <v>519306.9226</v>
      </c>
      <c r="M24" s="48">
        <f t="shared" si="7"/>
        <v>371869.3126</v>
      </c>
      <c r="N24" s="1087">
        <f t="shared" si="7"/>
        <v>416560.9123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43" t="s">
        <v>14</v>
      </c>
      <c r="C25" s="48">
        <f t="shared" ref="C25:N25" si="8">(C11/C$14)*C$16</f>
        <v>0</v>
      </c>
      <c r="D25" s="48">
        <f t="shared" si="8"/>
        <v>194503.3871</v>
      </c>
      <c r="E25" s="48">
        <f t="shared" si="8"/>
        <v>132254.7284</v>
      </c>
      <c r="F25" s="48">
        <f t="shared" si="8"/>
        <v>130184.5127</v>
      </c>
      <c r="G25" s="48">
        <f t="shared" si="8"/>
        <v>122841.2483</v>
      </c>
      <c r="H25" s="48">
        <f t="shared" si="8"/>
        <v>121917.5376</v>
      </c>
      <c r="I25" s="48">
        <f t="shared" si="8"/>
        <v>136335.7891</v>
      </c>
      <c r="J25" s="323">
        <f t="shared" si="8"/>
        <v>145110.7458</v>
      </c>
      <c r="K25" s="323">
        <f t="shared" si="8"/>
        <v>145908.1479</v>
      </c>
      <c r="L25" s="323">
        <f t="shared" si="8"/>
        <v>121075.5401</v>
      </c>
      <c r="M25" s="323">
        <f t="shared" si="8"/>
        <v>132373.9289</v>
      </c>
      <c r="N25" s="1088">
        <f t="shared" si="8"/>
        <v>92973.77814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43" t="s">
        <v>15</v>
      </c>
      <c r="C26" s="48">
        <f t="shared" ref="C26:N26" si="9">(C12/C$14)*C$16</f>
        <v>0</v>
      </c>
      <c r="D26" s="48">
        <f t="shared" si="9"/>
        <v>0</v>
      </c>
      <c r="E26" s="48">
        <f t="shared" si="9"/>
        <v>0</v>
      </c>
      <c r="F26" s="48">
        <f t="shared" si="9"/>
        <v>126005.7835</v>
      </c>
      <c r="G26" s="48">
        <f t="shared" si="9"/>
        <v>112765.5722</v>
      </c>
      <c r="H26" s="48">
        <f t="shared" si="9"/>
        <v>98067.16299</v>
      </c>
      <c r="I26" s="48">
        <f t="shared" si="9"/>
        <v>119345.1776</v>
      </c>
      <c r="J26" s="48">
        <f t="shared" si="9"/>
        <v>103509.1826</v>
      </c>
      <c r="K26" s="48">
        <f t="shared" si="9"/>
        <v>117517.1962</v>
      </c>
      <c r="L26" s="48">
        <f t="shared" si="9"/>
        <v>102000.5111</v>
      </c>
      <c r="M26" s="48">
        <f t="shared" si="9"/>
        <v>120325.796</v>
      </c>
      <c r="N26" s="1087">
        <f t="shared" si="9"/>
        <v>73651.96936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43" t="s">
        <v>16</v>
      </c>
      <c r="C27" s="48">
        <f t="shared" ref="C27:N27" si="10">(C13/C$14)*C$16</f>
        <v>0</v>
      </c>
      <c r="D27" s="48">
        <f t="shared" si="10"/>
        <v>0</v>
      </c>
      <c r="E27" s="48">
        <f t="shared" si="10"/>
        <v>0</v>
      </c>
      <c r="F27" s="48">
        <f t="shared" si="10"/>
        <v>0</v>
      </c>
      <c r="G27" s="48">
        <f t="shared" si="10"/>
        <v>102784.5862</v>
      </c>
      <c r="H27" s="48">
        <f t="shared" si="10"/>
        <v>96778.97043</v>
      </c>
      <c r="I27" s="48">
        <f t="shared" si="10"/>
        <v>107248.296</v>
      </c>
      <c r="J27" s="48">
        <f t="shared" si="10"/>
        <v>102594.0698</v>
      </c>
      <c r="K27" s="48">
        <f t="shared" si="10"/>
        <v>115609.8138</v>
      </c>
      <c r="L27" s="48">
        <f t="shared" si="10"/>
        <v>108266.0327</v>
      </c>
      <c r="M27" s="48">
        <f t="shared" si="10"/>
        <v>121745.2907</v>
      </c>
      <c r="N27" s="1087">
        <f t="shared" si="10"/>
        <v>77837.81414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43"/>
      <c r="C28" s="48"/>
      <c r="D28" s="43"/>
      <c r="E28" s="43"/>
      <c r="F28" s="43"/>
      <c r="G28" s="43"/>
      <c r="H28" s="43"/>
      <c r="I28" s="43"/>
      <c r="J28" s="43"/>
      <c r="K28" s="43"/>
      <c r="L28" s="1084"/>
      <c r="M28" s="1084"/>
      <c r="N28" s="1084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43" t="s">
        <v>510</v>
      </c>
      <c r="C29" s="43"/>
      <c r="D29" s="43"/>
      <c r="E29" s="43"/>
      <c r="F29" s="43"/>
      <c r="G29" s="43"/>
      <c r="H29" s="43"/>
      <c r="I29" s="43"/>
      <c r="J29" s="43"/>
      <c r="K29" s="43"/>
      <c r="L29" s="1084"/>
      <c r="M29" s="1084"/>
      <c r="N29" s="1084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43" t="s">
        <v>185</v>
      </c>
      <c r="C30" s="48">
        <f t="shared" ref="C30:N30" si="11">C19+C5</f>
        <v>526645.014</v>
      </c>
      <c r="D30" s="48">
        <f t="shared" si="11"/>
        <v>444557.2448</v>
      </c>
      <c r="E30" s="48">
        <f t="shared" si="11"/>
        <v>512680.2732</v>
      </c>
      <c r="F30" s="48">
        <f t="shared" si="11"/>
        <v>538827.6631</v>
      </c>
      <c r="G30" s="48">
        <f t="shared" si="11"/>
        <v>495926.2793</v>
      </c>
      <c r="H30" s="48">
        <f t="shared" si="11"/>
        <v>478994.0817</v>
      </c>
      <c r="I30" s="48">
        <f t="shared" si="11"/>
        <v>631788.9398</v>
      </c>
      <c r="J30" s="48">
        <f t="shared" si="11"/>
        <v>541333.7411</v>
      </c>
      <c r="K30" s="48">
        <f t="shared" si="11"/>
        <v>342913.4366</v>
      </c>
      <c r="L30" s="48">
        <f t="shared" si="11"/>
        <v>276436.6661</v>
      </c>
      <c r="M30" s="48">
        <f t="shared" si="11"/>
        <v>239048.6718</v>
      </c>
      <c r="N30" s="48">
        <f t="shared" si="11"/>
        <v>228678.0643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43" t="s">
        <v>13</v>
      </c>
      <c r="C31" s="48">
        <f t="shared" ref="C31:N31" si="12">C20+C6</f>
        <v>0</v>
      </c>
      <c r="D31" s="48">
        <f t="shared" si="12"/>
        <v>0</v>
      </c>
      <c r="E31" s="48">
        <f t="shared" si="12"/>
        <v>0</v>
      </c>
      <c r="F31" s="48">
        <f t="shared" si="12"/>
        <v>0</v>
      </c>
      <c r="G31" s="48">
        <f t="shared" si="12"/>
        <v>0</v>
      </c>
      <c r="H31" s="48">
        <f t="shared" si="12"/>
        <v>0</v>
      </c>
      <c r="I31" s="48">
        <f t="shared" si="12"/>
        <v>0</v>
      </c>
      <c r="J31" s="48">
        <f t="shared" si="12"/>
        <v>177934.0993</v>
      </c>
      <c r="K31" s="48">
        <f t="shared" si="12"/>
        <v>205179.2875</v>
      </c>
      <c r="L31" s="48">
        <f t="shared" si="12"/>
        <v>143696.695</v>
      </c>
      <c r="M31" s="48">
        <f t="shared" si="12"/>
        <v>0</v>
      </c>
      <c r="N31" s="48">
        <f t="shared" si="12"/>
        <v>0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43" t="s">
        <v>8</v>
      </c>
      <c r="C32" s="48">
        <f t="shared" ref="C32:N32" si="13">C21+C7</f>
        <v>600882.3397</v>
      </c>
      <c r="D32" s="48">
        <f t="shared" si="13"/>
        <v>621896.7715</v>
      </c>
      <c r="E32" s="48">
        <f t="shared" si="13"/>
        <v>566229.6604</v>
      </c>
      <c r="F32" s="48">
        <f t="shared" si="13"/>
        <v>498552.3966</v>
      </c>
      <c r="G32" s="48">
        <f t="shared" si="13"/>
        <v>542137.8806</v>
      </c>
      <c r="H32" s="48">
        <f t="shared" si="13"/>
        <v>603507.2576</v>
      </c>
      <c r="I32" s="48">
        <f t="shared" si="13"/>
        <v>706928.2326</v>
      </c>
      <c r="J32" s="48">
        <f t="shared" si="13"/>
        <v>684274.0318</v>
      </c>
      <c r="K32" s="48">
        <f t="shared" si="13"/>
        <v>604779.1521</v>
      </c>
      <c r="L32" s="48">
        <f t="shared" si="13"/>
        <v>560915.9016</v>
      </c>
      <c r="M32" s="48">
        <f t="shared" si="13"/>
        <v>561387.1119</v>
      </c>
      <c r="N32" s="48">
        <f t="shared" si="13"/>
        <v>631966.7289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43" t="s">
        <v>9</v>
      </c>
      <c r="C33" s="48">
        <f t="shared" ref="C33:N33" si="14">C22+C8</f>
        <v>415673.5009</v>
      </c>
      <c r="D33" s="48">
        <f t="shared" si="14"/>
        <v>448023.8102</v>
      </c>
      <c r="E33" s="48">
        <f t="shared" si="14"/>
        <v>581009.3967</v>
      </c>
      <c r="F33" s="48">
        <f t="shared" si="14"/>
        <v>549441.7999</v>
      </c>
      <c r="G33" s="48">
        <f t="shared" si="14"/>
        <v>605549.0906</v>
      </c>
      <c r="H33" s="48">
        <f t="shared" si="14"/>
        <v>554948.8961</v>
      </c>
      <c r="I33" s="48">
        <f t="shared" si="14"/>
        <v>685919.1661</v>
      </c>
      <c r="J33" s="48">
        <f t="shared" si="14"/>
        <v>457305.8056</v>
      </c>
      <c r="K33" s="48">
        <f t="shared" si="14"/>
        <v>551785.8977</v>
      </c>
      <c r="L33" s="48">
        <f t="shared" si="14"/>
        <v>495324.8122</v>
      </c>
      <c r="M33" s="48">
        <f t="shared" si="14"/>
        <v>540790.3847</v>
      </c>
      <c r="N33" s="48">
        <f t="shared" si="14"/>
        <v>566309.1912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43" t="s">
        <v>10</v>
      </c>
      <c r="C34" s="48">
        <f t="shared" ref="C34:N34" si="15">C23+C9</f>
        <v>779805.1696</v>
      </c>
      <c r="D34" s="48">
        <f t="shared" si="15"/>
        <v>443734.7923</v>
      </c>
      <c r="E34" s="48">
        <f t="shared" si="15"/>
        <v>386598.3399</v>
      </c>
      <c r="F34" s="48">
        <f t="shared" si="15"/>
        <v>306821.1515</v>
      </c>
      <c r="G34" s="48">
        <f t="shared" si="15"/>
        <v>556233.5496</v>
      </c>
      <c r="H34" s="48">
        <f t="shared" si="15"/>
        <v>485853.6003</v>
      </c>
      <c r="I34" s="48">
        <f t="shared" si="15"/>
        <v>653421.5451</v>
      </c>
      <c r="J34" s="48">
        <f t="shared" si="15"/>
        <v>378396.9444</v>
      </c>
      <c r="K34" s="48">
        <f t="shared" si="15"/>
        <v>625665.135</v>
      </c>
      <c r="L34" s="48">
        <f t="shared" si="15"/>
        <v>481746.6786</v>
      </c>
      <c r="M34" s="48">
        <f t="shared" si="15"/>
        <v>413816.8534</v>
      </c>
      <c r="N34" s="48">
        <f t="shared" si="15"/>
        <v>500404.3317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43" t="s">
        <v>12</v>
      </c>
      <c r="C35" s="48">
        <f t="shared" ref="C35:N35" si="16">C24+C10</f>
        <v>160587.7825</v>
      </c>
      <c r="D35" s="48">
        <f t="shared" si="16"/>
        <v>315565.6632</v>
      </c>
      <c r="E35" s="48">
        <f t="shared" si="16"/>
        <v>300893.13</v>
      </c>
      <c r="F35" s="48">
        <f t="shared" si="16"/>
        <v>413740.6583</v>
      </c>
      <c r="G35" s="48">
        <f t="shared" si="16"/>
        <v>500486.2282</v>
      </c>
      <c r="H35" s="48">
        <f t="shared" si="16"/>
        <v>472347.2766</v>
      </c>
      <c r="I35" s="48">
        <f t="shared" si="16"/>
        <v>714342.507</v>
      </c>
      <c r="J35" s="48">
        <f t="shared" si="16"/>
        <v>554874.5796</v>
      </c>
      <c r="K35" s="48">
        <f t="shared" si="16"/>
        <v>307536.2666</v>
      </c>
      <c r="L35" s="48">
        <f t="shared" si="16"/>
        <v>1071539.923</v>
      </c>
      <c r="M35" s="48">
        <f t="shared" si="16"/>
        <v>658829.3126</v>
      </c>
      <c r="N35" s="48">
        <f t="shared" si="16"/>
        <v>781129.9123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43" t="s">
        <v>14</v>
      </c>
      <c r="C36" s="48">
        <f t="shared" ref="C36:N36" si="17">C25+C11</f>
        <v>0</v>
      </c>
      <c r="D36" s="48">
        <f t="shared" si="17"/>
        <v>269104.4171</v>
      </c>
      <c r="E36" s="48">
        <f t="shared" si="17"/>
        <v>194504.1384</v>
      </c>
      <c r="F36" s="48">
        <f t="shared" si="17"/>
        <v>221361.0127</v>
      </c>
      <c r="G36" s="48">
        <f t="shared" si="17"/>
        <v>214067.2183</v>
      </c>
      <c r="H36" s="48">
        <f t="shared" si="17"/>
        <v>218804.7776</v>
      </c>
      <c r="I36" s="48">
        <f t="shared" si="17"/>
        <v>226141.0091</v>
      </c>
      <c r="J36" s="48">
        <f t="shared" si="17"/>
        <v>265805.8058</v>
      </c>
      <c r="K36" s="48">
        <f t="shared" si="17"/>
        <v>290611.2879</v>
      </c>
      <c r="L36" s="48">
        <f t="shared" si="17"/>
        <v>249827.7401</v>
      </c>
      <c r="M36" s="48">
        <f t="shared" si="17"/>
        <v>234522.7789</v>
      </c>
      <c r="N36" s="48">
        <f t="shared" si="17"/>
        <v>174343.2881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43" t="s">
        <v>15</v>
      </c>
      <c r="C37" s="48">
        <f t="shared" ref="C37:N37" si="18">C26+C12</f>
        <v>0</v>
      </c>
      <c r="D37" s="48">
        <f t="shared" si="18"/>
        <v>0</v>
      </c>
      <c r="E37" s="48">
        <f t="shared" si="18"/>
        <v>0</v>
      </c>
      <c r="F37" s="48">
        <f t="shared" si="18"/>
        <v>214255.6535</v>
      </c>
      <c r="G37" s="48">
        <f t="shared" si="18"/>
        <v>196509.0122</v>
      </c>
      <c r="H37" s="48">
        <f t="shared" si="18"/>
        <v>176000.633</v>
      </c>
      <c r="I37" s="48">
        <f t="shared" si="18"/>
        <v>197958.5776</v>
      </c>
      <c r="J37" s="48">
        <f t="shared" si="18"/>
        <v>189602.3726</v>
      </c>
      <c r="K37" s="48">
        <f t="shared" si="18"/>
        <v>234063.8562</v>
      </c>
      <c r="L37" s="48">
        <f t="shared" si="18"/>
        <v>210468.2511</v>
      </c>
      <c r="M37" s="48">
        <f t="shared" si="18"/>
        <v>213177.476</v>
      </c>
      <c r="N37" s="48">
        <f t="shared" si="18"/>
        <v>138111.2694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43" t="s">
        <v>507</v>
      </c>
      <c r="C38" s="48">
        <f t="shared" ref="C38:N38" si="19">C27+C13</f>
        <v>0</v>
      </c>
      <c r="D38" s="48">
        <f t="shared" si="19"/>
        <v>0</v>
      </c>
      <c r="E38" s="48">
        <f t="shared" si="19"/>
        <v>0</v>
      </c>
      <c r="F38" s="48">
        <f t="shared" si="19"/>
        <v>0</v>
      </c>
      <c r="G38" s="48">
        <f t="shared" si="19"/>
        <v>179115.8162</v>
      </c>
      <c r="H38" s="48">
        <f t="shared" si="19"/>
        <v>173688.7204</v>
      </c>
      <c r="I38" s="48">
        <f t="shared" si="19"/>
        <v>177893.406</v>
      </c>
      <c r="J38" s="48">
        <f t="shared" si="19"/>
        <v>187926.1198</v>
      </c>
      <c r="K38" s="48">
        <f t="shared" si="19"/>
        <v>230264.8438</v>
      </c>
      <c r="L38" s="48">
        <f t="shared" si="19"/>
        <v>223396.5527</v>
      </c>
      <c r="M38" s="48">
        <f t="shared" si="19"/>
        <v>215692.3507</v>
      </c>
      <c r="N38" s="48">
        <f t="shared" si="19"/>
        <v>145960.5141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43"/>
      <c r="C39" s="48"/>
      <c r="D39" s="48"/>
      <c r="E39" s="48"/>
      <c r="F39" s="48"/>
      <c r="G39" s="48"/>
      <c r="H39" s="48"/>
      <c r="I39" s="43"/>
      <c r="J39" s="43"/>
      <c r="K39" s="43"/>
      <c r="L39" s="1084"/>
      <c r="M39" s="1084"/>
      <c r="N39" s="1084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43" t="s">
        <v>511</v>
      </c>
      <c r="C40" s="48">
        <f t="shared" ref="C40:N40" si="20">SUM(C25:C27)+SUM(C19:C23)</f>
        <v>1775161.34</v>
      </c>
      <c r="D40" s="48">
        <f t="shared" si="20"/>
        <v>1609861.006</v>
      </c>
      <c r="E40" s="48">
        <f t="shared" si="20"/>
        <v>1523801.669</v>
      </c>
      <c r="F40" s="48">
        <f t="shared" si="20"/>
        <v>1369859.725</v>
      </c>
      <c r="G40" s="48">
        <f t="shared" si="20"/>
        <v>1600760.905</v>
      </c>
      <c r="H40" s="48">
        <f t="shared" si="20"/>
        <v>1499863.867</v>
      </c>
      <c r="I40" s="48">
        <f t="shared" si="20"/>
        <v>1977475.586</v>
      </c>
      <c r="J40" s="48">
        <f t="shared" si="20"/>
        <v>1573679.61</v>
      </c>
      <c r="K40" s="48">
        <f t="shared" si="20"/>
        <v>1549027.907</v>
      </c>
      <c r="L40" s="48">
        <f t="shared" si="20"/>
        <v>1280318.077</v>
      </c>
      <c r="M40" s="48">
        <f t="shared" si="20"/>
        <v>1365060.687</v>
      </c>
      <c r="N40" s="48">
        <f t="shared" si="20"/>
        <v>1272285.088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43"/>
      <c r="C41" s="48"/>
      <c r="D41" s="48"/>
      <c r="E41" s="48"/>
      <c r="F41" s="48"/>
      <c r="G41" s="48"/>
      <c r="H41" s="48"/>
      <c r="I41" s="43"/>
      <c r="J41" s="43"/>
      <c r="K41" s="43"/>
      <c r="L41" s="1084"/>
      <c r="M41" s="1084"/>
      <c r="N41" s="1084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43" t="s">
        <v>511</v>
      </c>
      <c r="C42" s="48">
        <v>-1775161.34047405</v>
      </c>
      <c r="D42" s="48">
        <v>-1609861.00590965</v>
      </c>
      <c r="E42" s="48">
        <v>-1523801.66869581</v>
      </c>
      <c r="F42" s="48">
        <v>-1369859.72505918</v>
      </c>
      <c r="G42" s="48">
        <v>-1600760.9051214</v>
      </c>
      <c r="H42" s="48">
        <v>-1499863.86668798</v>
      </c>
      <c r="I42" s="43">
        <v>-1977476.0</v>
      </c>
      <c r="J42" s="197">
        <f t="shared" ref="J42:N42" si="21">-J40</f>
        <v>-1573679.61</v>
      </c>
      <c r="K42" s="197">
        <f t="shared" si="21"/>
        <v>-1549027.907</v>
      </c>
      <c r="L42" s="197">
        <f t="shared" si="21"/>
        <v>-1280318.077</v>
      </c>
      <c r="M42" s="197">
        <f t="shared" si="21"/>
        <v>-1365060.687</v>
      </c>
      <c r="N42" s="197">
        <f t="shared" si="21"/>
        <v>-1272285.088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0.75" footer="0.0" header="0.0" left="0.7" right="0.7" top="0.75"/>
  <pageSetup orientation="landscape"/>
  <drawing r:id="rId2"/>
  <legacyDrawing r:id="rId3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2.25"/>
    <col customWidth="1" min="3" max="6" width="12.63"/>
  </cols>
  <sheetData>
    <row r="1" ht="15.75" customHeight="1">
      <c r="A1" s="184" t="s">
        <v>512</v>
      </c>
    </row>
    <row r="2" ht="15.75" customHeight="1"/>
    <row r="3" ht="15.75" customHeight="1">
      <c r="B3" s="186"/>
      <c r="C3" s="186" t="s">
        <v>495</v>
      </c>
      <c r="D3" s="186" t="s">
        <v>496</v>
      </c>
      <c r="E3" s="186" t="s">
        <v>497</v>
      </c>
      <c r="F3" s="186" t="s">
        <v>498</v>
      </c>
      <c r="G3" s="186" t="s">
        <v>499</v>
      </c>
      <c r="H3" s="186" t="s">
        <v>500</v>
      </c>
      <c r="I3" s="186" t="s">
        <v>501</v>
      </c>
      <c r="J3" s="186" t="s">
        <v>513</v>
      </c>
      <c r="K3" s="186" t="s">
        <v>514</v>
      </c>
      <c r="L3" s="1089" t="s">
        <v>515</v>
      </c>
      <c r="M3" s="1090" t="s">
        <v>516</v>
      </c>
      <c r="N3" s="1090" t="s">
        <v>517</v>
      </c>
    </row>
    <row r="4" ht="15.75" customHeight="1">
      <c r="B4" s="186" t="s">
        <v>518</v>
      </c>
      <c r="C4" s="189">
        <v>1406454.0</v>
      </c>
      <c r="D4" s="189">
        <v>1454644.0</v>
      </c>
      <c r="E4" s="189">
        <v>1589709.0</v>
      </c>
      <c r="F4" s="189">
        <v>1475713.0</v>
      </c>
      <c r="G4" s="189">
        <f>1385728+ 82882</f>
        <v>1468610</v>
      </c>
      <c r="H4" s="189">
        <f>1176729+100242</f>
        <v>1276971</v>
      </c>
      <c r="I4" s="189">
        <f>859522+112504</f>
        <v>972026</v>
      </c>
      <c r="J4" s="189">
        <f>1097986+161988</f>
        <v>1259974</v>
      </c>
      <c r="K4" s="186">
        <f>1185205+186169</f>
        <v>1371374</v>
      </c>
      <c r="L4" s="1091">
        <f>1063177.6+154393.09</f>
        <v>1217570.69</v>
      </c>
      <c r="M4" s="558">
        <f>1143528.9+148503.82</f>
        <v>1292032.72</v>
      </c>
      <c r="N4" s="558">
        <f>878625.96+215454</f>
        <v>1094079.96</v>
      </c>
    </row>
    <row r="5" ht="15.75" customHeight="1">
      <c r="B5" s="186"/>
      <c r="C5" s="189"/>
      <c r="D5" s="189"/>
      <c r="E5" s="189"/>
      <c r="F5" s="189"/>
      <c r="G5" s="189"/>
      <c r="H5" s="189"/>
      <c r="I5" s="189"/>
      <c r="J5" s="189"/>
      <c r="K5" s="186"/>
      <c r="L5" s="558"/>
      <c r="M5" s="558"/>
      <c r="N5" s="558"/>
    </row>
    <row r="6" ht="15.75" customHeight="1">
      <c r="B6" s="186" t="s">
        <v>519</v>
      </c>
      <c r="C6" s="189"/>
      <c r="D6" s="189"/>
      <c r="E6" s="189"/>
      <c r="F6" s="189"/>
      <c r="G6" s="189"/>
      <c r="H6" s="189"/>
      <c r="I6" s="189"/>
      <c r="J6" s="189"/>
      <c r="K6" s="186"/>
      <c r="L6" s="558"/>
      <c r="M6" s="558"/>
      <c r="N6" s="558"/>
    </row>
    <row r="7" ht="15.75" customHeight="1">
      <c r="B7" s="186" t="s">
        <v>185</v>
      </c>
      <c r="C7" s="189">
        <f>SUM('The Table'!D37:D39)</f>
        <v>5141396.162</v>
      </c>
      <c r="D7" s="189">
        <f>SUM('The Table'!L37:L39)</f>
        <v>3869414.289</v>
      </c>
      <c r="E7" s="189">
        <f>SUM('The Table'!P37:P39)</f>
        <v>4703741.476</v>
      </c>
      <c r="F7" s="189">
        <f>SUM('The Table'!V37:V39)</f>
        <v>4997233.34</v>
      </c>
      <c r="G7" s="189">
        <f>SUM('The Table'!AB36:AB39)</f>
        <v>5802526.268</v>
      </c>
      <c r="H7" s="189">
        <f>SUM('The Table'!AH37:AH39)</f>
        <v>4967529.76</v>
      </c>
      <c r="I7" s="189">
        <f>SUM('The Table'!AN37:AN39)</f>
        <v>5792547.61</v>
      </c>
      <c r="J7" s="189">
        <f>SUM('The Table'!AT37:AT39)</f>
        <v>6583414.82</v>
      </c>
      <c r="K7" s="189">
        <f>SUM('The Table'!AZ37:AZ39)</f>
        <v>6707761.06</v>
      </c>
      <c r="L7" s="189">
        <f>SUM('The Table'!BF37:BF39)</f>
        <v>7141967.21</v>
      </c>
      <c r="M7" s="1092">
        <f>'The Table'!BL37+'The Table'!BL38+'The Table'!BL39</f>
        <v>6225509.73</v>
      </c>
      <c r="N7" s="1092">
        <f>'The Table'!BR37+'The Table'!BR38+'The Table'!BR39</f>
        <v>6392893.666</v>
      </c>
    </row>
    <row r="8" ht="15.75" customHeight="1">
      <c r="B8" s="186" t="s">
        <v>7</v>
      </c>
      <c r="C8" s="189">
        <f>Iktara!D34</f>
        <v>157603.012</v>
      </c>
      <c r="D8" s="189">
        <f>Iktara!G34</f>
        <v>198444.3125</v>
      </c>
      <c r="E8" s="189">
        <f>Iktara!H34</f>
        <v>143584.28</v>
      </c>
      <c r="F8" s="189">
        <f>Iktara!K34</f>
        <v>234032.495</v>
      </c>
      <c r="G8" s="189">
        <f>Iktara!P34</f>
        <v>214934.35</v>
      </c>
      <c r="H8" s="189">
        <f>Iktara!S34</f>
        <v>200955.18</v>
      </c>
      <c r="I8" s="189">
        <f>Iktara!V34</f>
        <v>295001.7</v>
      </c>
      <c r="J8" s="189">
        <f>Iktara!Y34</f>
        <v>311759.99</v>
      </c>
      <c r="K8" s="189">
        <v>440175.0</v>
      </c>
      <c r="L8" s="1093">
        <f>Iktara!AA34+Iktara!AA35+Iktara!AA36</f>
        <v>374682.03</v>
      </c>
      <c r="M8" s="1093">
        <f>Iktara!AB34+Iktara!AB35+Iktara!AB36</f>
        <v>291981.22</v>
      </c>
      <c r="N8" s="1092">
        <f>Iktara!AC34+Iktara!AC35+Iktara!AC36</f>
        <v>456674.8471</v>
      </c>
    </row>
    <row r="9" ht="15.75" customHeight="1">
      <c r="B9" s="186" t="s">
        <v>8</v>
      </c>
      <c r="C9" s="189">
        <f>SUM('Mg St Colaba'!D47:D49)</f>
        <v>3055544.781</v>
      </c>
      <c r="D9" s="189">
        <f>SUM('Mg St Colaba'!J47:J49)</f>
        <v>3157180.341</v>
      </c>
      <c r="E9" s="189">
        <f>SUM('Mg St Colaba'!P47:P49)</f>
        <v>2762131.603</v>
      </c>
      <c r="F9" s="189">
        <f>SUM('Mg St Colaba'!V47:V49)</f>
        <v>2976843.03</v>
      </c>
      <c r="G9" s="189">
        <f>SUM('Mg St Colaba'!AB47:AB49)</f>
        <v>3184354.27</v>
      </c>
      <c r="H9" s="189">
        <f>SUM('Mg St Colaba'!AH47:AH49)</f>
        <v>2948296.59</v>
      </c>
      <c r="I9" s="189">
        <f>SUM('Mg St Colaba'!AN47:AN49)</f>
        <v>3180132.32</v>
      </c>
      <c r="J9" s="189">
        <f>SUM('Mg St Colaba'!AT47:AT49)</f>
        <v>3242149.5</v>
      </c>
      <c r="K9" s="189">
        <f>SUM('Mg St Colaba'!AZ47:AZ49)</f>
        <v>4504471.69</v>
      </c>
      <c r="L9" s="189">
        <f>SUM('Mg St Colaba'!BF47:BF49)</f>
        <v>4399081.69</v>
      </c>
      <c r="M9" s="1092">
        <f>'Mg St Colaba'!BL47+'Mg St Colaba'!BL48+'Mg St Colaba'!BL49</f>
        <v>3761592.67</v>
      </c>
      <c r="N9" s="1093">
        <f>'Mg St Colaba'!BR47+'Mg St Colaba'!BR48+'Mg St Colaba'!BR49</f>
        <v>3666542.282</v>
      </c>
    </row>
    <row r="10" ht="15.75" customHeight="1">
      <c r="B10" s="186" t="s">
        <v>9</v>
      </c>
      <c r="C10" s="189">
        <f>SUM('Mg St LP'!D48:D49)</f>
        <v>1999351.533</v>
      </c>
      <c r="D10" s="189">
        <f>SUM('Mg St LP'!J48:J49)</f>
        <v>2246638.76</v>
      </c>
      <c r="E10" s="189">
        <f>SUM('Mg St LP'!P48:P49)</f>
        <v>1529355.04</v>
      </c>
      <c r="F10" s="189">
        <f>SUM('Mg St LP'!V48:V49)</f>
        <v>1924670.703</v>
      </c>
      <c r="G10" s="189">
        <f>SUM('Mg St LP'!AB48:AB49)</f>
        <v>1901433.46</v>
      </c>
      <c r="H10" s="189">
        <f>SUM('Mg St LP'!AH48:AH49)</f>
        <v>2045834.7</v>
      </c>
      <c r="I10" s="189">
        <f>SUM('Mg St LP'!AN48:AN49)</f>
        <v>1850273.75</v>
      </c>
      <c r="J10" s="189">
        <f>SUM('Mg St LP'!AT48:AT49)</f>
        <v>1995874.88</v>
      </c>
      <c r="K10" s="189">
        <f>SUM('Mg St LP'!AZ48:AZ50)</f>
        <v>2309902.45</v>
      </c>
      <c r="L10" s="189">
        <f>SUM('Mg St LP'!BF48:BF49)</f>
        <v>1850502.6</v>
      </c>
      <c r="M10" s="1093">
        <f>'Mg St LP'!BL48+'Mg St LP'!BL49</f>
        <v>1812894.13</v>
      </c>
      <c r="N10" s="1092">
        <f>'Mg St LP'!BR48+'Mg St LP'!BR49</f>
        <v>2071283.467</v>
      </c>
    </row>
    <row r="11" ht="15.75" customHeight="1">
      <c r="B11" s="186" t="s">
        <v>10</v>
      </c>
      <c r="C11" s="189">
        <f>SUM('Mg St Bandra'!D47:D49)</f>
        <v>3771175.853</v>
      </c>
      <c r="D11" s="189">
        <f>SUM('Mg St Bandra'!J47:J49)</f>
        <v>4011041.362</v>
      </c>
      <c r="E11" s="189">
        <f>SUM('Mg St Bandra'!P47:P49)</f>
        <v>3392034.195</v>
      </c>
      <c r="F11" s="189">
        <f>SUM('Mg St Bandra'!V47:V49)</f>
        <v>3817782.678</v>
      </c>
      <c r="G11" s="189">
        <f>SUM('Mg St Bandra'!AB47:AB49)</f>
        <v>4117227.21</v>
      </c>
      <c r="H11" s="189">
        <f>SUM('Mg St Bandra'!AH47:AH49)</f>
        <v>3938967.74</v>
      </c>
      <c r="I11" s="189">
        <f>SUM('Mg St Bandra'!AN47:AN49)</f>
        <v>3957517.86</v>
      </c>
      <c r="J11" s="189">
        <f>SUM('Mg St Bandra'!AT47:AT49)</f>
        <v>4255466.63</v>
      </c>
      <c r="K11" s="189">
        <f>SUM('Mg St Bandra'!AZ47:AZ49)</f>
        <v>4760352.3</v>
      </c>
      <c r="L11" s="189">
        <f>SUM('Mg St Bandra'!BF47:BF49)</f>
        <v>4444567.01</v>
      </c>
      <c r="M11" s="1093">
        <f>'Mg St Bandra'!BL47+'Mg St Bandra'!BL48+'Mg St Bandra'!BL49</f>
        <v>3904980.26</v>
      </c>
      <c r="N11" s="1092">
        <f>'Mg St Bandra'!BR47+'Mg St Bandra'!BR48+'Mg St Bandra'!BR49</f>
        <v>4427244.959</v>
      </c>
    </row>
    <row r="12" ht="15.75" customHeight="1">
      <c r="B12" s="186" t="s">
        <v>13</v>
      </c>
      <c r="C12" s="189"/>
      <c r="D12" s="189"/>
      <c r="E12" s="189"/>
      <c r="F12" s="189"/>
      <c r="G12" s="189"/>
      <c r="H12" s="189"/>
      <c r="I12" s="189"/>
      <c r="J12" s="189">
        <f>SUM(Kaspers!AF45:AF47)</f>
        <v>2614131.86</v>
      </c>
      <c r="K12" s="189">
        <f>SUM(Kaspers!AJ45:AJ47)</f>
        <v>3138752.65</v>
      </c>
      <c r="L12" s="1092">
        <f>Kaspers!AN45+Kaspers!AN46+Kaspers!AN47</f>
        <v>3143097.72</v>
      </c>
      <c r="M12" s="1092">
        <f>Kaspers!AT45+Kaspers!AT46+Kaspers!AT47</f>
        <v>2807235</v>
      </c>
      <c r="N12" s="1092">
        <f>Kaspers!AZ45+Kaspers!AZ46+Kaspers!AZ47</f>
        <v>3601267.377</v>
      </c>
    </row>
    <row r="13" ht="15.75" customHeight="1">
      <c r="B13" s="186" t="s">
        <v>12</v>
      </c>
      <c r="C13" s="189">
        <f>MSBC!D42</f>
        <v>37872.12</v>
      </c>
      <c r="D13" s="189">
        <f>MSBC!J42</f>
        <v>87481</v>
      </c>
      <c r="E13" s="189">
        <f>MSBC!P42</f>
        <v>96298.31</v>
      </c>
      <c r="F13" s="189">
        <f>MSBC!V42</f>
        <v>170415.85</v>
      </c>
      <c r="G13" s="189">
        <f>MSBC!AB42</f>
        <v>213285.07</v>
      </c>
      <c r="H13" s="189">
        <f>MSBC!AH42</f>
        <v>209156.42</v>
      </c>
      <c r="I13" s="189">
        <f>MSBC!AN42</f>
        <v>283680.02</v>
      </c>
      <c r="J13" s="189">
        <f>MSBC!AT42</f>
        <v>251953.19</v>
      </c>
      <c r="K13" s="189">
        <f>MSBC!AZ42</f>
        <v>153130.54</v>
      </c>
      <c r="L13" s="189">
        <f>MSBC!BF42</f>
        <v>1071539.923</v>
      </c>
      <c r="M13" s="1092">
        <f>MSBC!BL42</f>
        <v>658829.3126</v>
      </c>
      <c r="N13" s="1092">
        <f>MSBC!BR42</f>
        <v>781129.9123</v>
      </c>
    </row>
    <row r="14" ht="15.75" customHeight="1">
      <c r="B14" s="186" t="s">
        <v>14</v>
      </c>
      <c r="C14" s="189" t="str">
        <f>'MSBC Andheri'!D43</f>
        <v/>
      </c>
      <c r="D14" s="189">
        <f>'MSBC Andheri'!E43</f>
        <v>74601.03</v>
      </c>
      <c r="E14" s="189">
        <f>'MSBC Andheri'!F43</f>
        <v>62249.41</v>
      </c>
      <c r="F14" s="189">
        <f>'MSBC Andheri'!G43</f>
        <v>91176.5</v>
      </c>
      <c r="G14" s="189">
        <f>'MSBC Andheri'!H43</f>
        <v>91225.97</v>
      </c>
      <c r="H14" s="189">
        <f>'MSBC Andheri'!I43</f>
        <v>96887.24</v>
      </c>
      <c r="I14" s="189">
        <f>'MSBC Andheri'!J43</f>
        <v>89805.22</v>
      </c>
      <c r="J14" s="189">
        <f>'MSBC Andheri'!K43</f>
        <v>120695.06</v>
      </c>
      <c r="K14" s="189">
        <f>'MSBC Andheri'!L43</f>
        <v>144703.14</v>
      </c>
      <c r="L14" s="1093">
        <f>'MSBC Andheri'!M43</f>
        <v>128752</v>
      </c>
      <c r="M14" s="1093">
        <f>'MSBC Andheri'!N43</f>
        <v>81369.51</v>
      </c>
      <c r="N14" s="1092">
        <f>'MSBC Andheri'!O43</f>
        <v>103491.3603</v>
      </c>
    </row>
    <row r="15" ht="15.75" customHeight="1">
      <c r="B15" s="186" t="s">
        <v>15</v>
      </c>
      <c r="C15" s="189" t="str">
        <f>'MSBC Dahisar'!D41</f>
        <v/>
      </c>
      <c r="D15" s="189">
        <f>'MSBC Dahisar'!E41</f>
        <v>0</v>
      </c>
      <c r="E15" s="189" t="str">
        <f>'MSBC Dahisar'!F41</f>
        <v/>
      </c>
      <c r="F15" s="189">
        <f>'MSBC Dahisar'!G41</f>
        <v>88249.87</v>
      </c>
      <c r="G15" s="189">
        <f>'MSBC Dahisar'!H41</f>
        <v>83743.44</v>
      </c>
      <c r="H15" s="189">
        <f>'MSBC Dahisar'!I41</f>
        <v>77933.47</v>
      </c>
      <c r="I15" s="189">
        <f>'MSBC Dahisar'!J41</f>
        <v>78613.4</v>
      </c>
      <c r="J15" s="189">
        <f>'MSBC Dahisar'!K41</f>
        <v>86093.19</v>
      </c>
      <c r="K15" s="189">
        <f>'MSBC Dahisar'!L41</f>
        <v>116546.66</v>
      </c>
      <c r="L15" s="1093">
        <f>'MSBC Dahisar'!M41</f>
        <v>108467.74</v>
      </c>
      <c r="M15" s="1093">
        <f>'MSBC Dahisar'!N41</f>
        <v>64459.3</v>
      </c>
      <c r="N15" s="1092">
        <f>'MSBC Dahisar'!O41</f>
        <v>66133.14711</v>
      </c>
    </row>
    <row r="16" ht="15.75" customHeight="1">
      <c r="B16" s="267" t="s">
        <v>16</v>
      </c>
      <c r="C16" s="189"/>
      <c r="D16" s="189"/>
      <c r="E16" s="189"/>
      <c r="F16" s="189"/>
      <c r="G16" s="189">
        <f>'MSBC Juhu  Goregoan'!H32</f>
        <v>76331.23</v>
      </c>
      <c r="H16" s="189">
        <f>'MSBC Juhu  Goregoan'!I32</f>
        <v>76909.75</v>
      </c>
      <c r="I16" s="189">
        <f>'MSBC Juhu  Goregoan'!J32</f>
        <v>70645.11</v>
      </c>
      <c r="J16" s="189">
        <f>'MSBC Juhu  Goregoan'!K32</f>
        <v>85332.05</v>
      </c>
      <c r="K16" s="189">
        <f>'MSBC Juhu  Goregoan'!L32</f>
        <v>114655.03</v>
      </c>
      <c r="L16" s="1093">
        <f>'MSBC Juhu  Goregoan'!M26</f>
        <v>196811.84</v>
      </c>
      <c r="M16" s="1093">
        <f>'MSBC Juhu  Goregoan'!N26</f>
        <v>162711.6</v>
      </c>
      <c r="N16" s="1092">
        <f>'MSBC Juhu  Goregoan'!O26</f>
        <v>185880.32</v>
      </c>
    </row>
    <row r="17" ht="15.75" customHeight="1">
      <c r="B17" s="186"/>
      <c r="C17" s="189"/>
      <c r="D17" s="189"/>
      <c r="E17" s="189"/>
      <c r="F17" s="189"/>
      <c r="G17" s="189"/>
      <c r="H17" s="189"/>
      <c r="I17" s="189"/>
      <c r="J17" s="189"/>
      <c r="K17" s="186"/>
      <c r="L17" s="558"/>
      <c r="M17" s="558"/>
      <c r="N17" s="558"/>
    </row>
    <row r="18" ht="15.75" customHeight="1">
      <c r="B18" s="186" t="s">
        <v>520</v>
      </c>
      <c r="C18" s="189">
        <f t="shared" ref="C18:N18" si="1">SUM(C7:C16)</f>
        <v>14162943.46</v>
      </c>
      <c r="D18" s="189">
        <f t="shared" si="1"/>
        <v>13644801.09</v>
      </c>
      <c r="E18" s="189">
        <f t="shared" si="1"/>
        <v>12689394.31</v>
      </c>
      <c r="F18" s="189">
        <f t="shared" si="1"/>
        <v>14300404.47</v>
      </c>
      <c r="G18" s="189">
        <f t="shared" si="1"/>
        <v>15685061.27</v>
      </c>
      <c r="H18" s="189">
        <f t="shared" si="1"/>
        <v>14562470.85</v>
      </c>
      <c r="I18" s="189">
        <f t="shared" si="1"/>
        <v>15598216.99</v>
      </c>
      <c r="J18" s="189">
        <f t="shared" si="1"/>
        <v>19546871.17</v>
      </c>
      <c r="K18" s="189">
        <f t="shared" si="1"/>
        <v>22390450.52</v>
      </c>
      <c r="L18" s="189">
        <f t="shared" si="1"/>
        <v>22859469.76</v>
      </c>
      <c r="M18" s="189">
        <f t="shared" si="1"/>
        <v>19771562.73</v>
      </c>
      <c r="N18" s="189">
        <f t="shared" si="1"/>
        <v>21752541.34</v>
      </c>
    </row>
    <row r="19" ht="15.75" customHeight="1">
      <c r="B19" s="186"/>
      <c r="C19" s="189"/>
      <c r="D19" s="189"/>
      <c r="E19" s="189"/>
      <c r="F19" s="189"/>
      <c r="G19" s="189"/>
      <c r="H19" s="189"/>
      <c r="I19" s="189"/>
      <c r="J19" s="189"/>
      <c r="K19" s="186"/>
      <c r="L19" s="558"/>
      <c r="M19" s="558"/>
      <c r="N19" s="558"/>
    </row>
    <row r="20" ht="15.75" customHeight="1">
      <c r="B20" s="186" t="s">
        <v>521</v>
      </c>
      <c r="C20" s="189"/>
      <c r="D20" s="189"/>
      <c r="E20" s="189"/>
      <c r="F20" s="189"/>
      <c r="G20" s="189"/>
      <c r="H20" s="189"/>
      <c r="I20" s="189"/>
      <c r="J20" s="189"/>
      <c r="K20" s="186"/>
      <c r="L20" s="558"/>
      <c r="M20" s="558"/>
      <c r="N20" s="558"/>
    </row>
    <row r="21" ht="15.75" customHeight="1">
      <c r="B21" s="186" t="s">
        <v>185</v>
      </c>
      <c r="C21" s="189">
        <f t="shared" ref="C21:N21" si="2">(C7/C$18)*C$4</f>
        <v>510567.3984</v>
      </c>
      <c r="D21" s="189">
        <f t="shared" si="2"/>
        <v>412510.2477</v>
      </c>
      <c r="E21" s="189">
        <f t="shared" si="2"/>
        <v>589277.9413</v>
      </c>
      <c r="F21" s="189">
        <f t="shared" si="2"/>
        <v>515683.4704</v>
      </c>
      <c r="G21" s="189">
        <f t="shared" si="2"/>
        <v>543297.0874</v>
      </c>
      <c r="H21" s="189">
        <f t="shared" si="2"/>
        <v>435598.5677</v>
      </c>
      <c r="I21" s="189">
        <f t="shared" si="2"/>
        <v>360971.1858</v>
      </c>
      <c r="J21" s="189">
        <f t="shared" si="2"/>
        <v>424361.0874</v>
      </c>
      <c r="K21" s="189">
        <f t="shared" si="2"/>
        <v>410838.0538</v>
      </c>
      <c r="L21" s="189">
        <f t="shared" si="2"/>
        <v>380404.709</v>
      </c>
      <c r="M21" s="189">
        <f t="shared" si="2"/>
        <v>406824.8109</v>
      </c>
      <c r="N21" s="189">
        <f t="shared" si="2"/>
        <v>321541.1357</v>
      </c>
    </row>
    <row r="22" ht="15.75" customHeight="1">
      <c r="B22" s="186" t="s">
        <v>7</v>
      </c>
      <c r="C22" s="189">
        <f t="shared" ref="C22:N22" si="3">(C8/C$18)*C$4</f>
        <v>15650.79937</v>
      </c>
      <c r="D22" s="189">
        <f t="shared" si="3"/>
        <v>21155.73738</v>
      </c>
      <c r="E22" s="189">
        <f t="shared" si="3"/>
        <v>17988.03131</v>
      </c>
      <c r="F22" s="189">
        <f t="shared" si="3"/>
        <v>24150.7012</v>
      </c>
      <c r="G22" s="189">
        <f t="shared" si="3"/>
        <v>20124.54592</v>
      </c>
      <c r="H22" s="189">
        <f t="shared" si="3"/>
        <v>17621.59319</v>
      </c>
      <c r="I22" s="189">
        <f t="shared" si="3"/>
        <v>18383.46797</v>
      </c>
      <c r="J22" s="189">
        <f t="shared" si="3"/>
        <v>20095.77278</v>
      </c>
      <c r="K22" s="189">
        <f t="shared" si="3"/>
        <v>26959.91087</v>
      </c>
      <c r="L22" s="189">
        <f t="shared" si="3"/>
        <v>19956.79963</v>
      </c>
      <c r="M22" s="189">
        <f t="shared" si="3"/>
        <v>19080.39819</v>
      </c>
      <c r="N22" s="189">
        <f t="shared" si="3"/>
        <v>22969.21498</v>
      </c>
    </row>
    <row r="23" ht="15.75" customHeight="1">
      <c r="B23" s="186" t="s">
        <v>8</v>
      </c>
      <c r="C23" s="189">
        <f t="shared" ref="C23:N23" si="4">(C9/C$18)*C$4</f>
        <v>303431.5001</v>
      </c>
      <c r="D23" s="189">
        <f t="shared" si="4"/>
        <v>336580.4608</v>
      </c>
      <c r="E23" s="189">
        <f t="shared" si="4"/>
        <v>346035.8595</v>
      </c>
      <c r="F23" s="189">
        <f t="shared" si="4"/>
        <v>307191.7279</v>
      </c>
      <c r="G23" s="189">
        <f t="shared" si="4"/>
        <v>298154.6865</v>
      </c>
      <c r="H23" s="189">
        <f t="shared" si="4"/>
        <v>258533.6845</v>
      </c>
      <c r="I23" s="189">
        <f t="shared" si="4"/>
        <v>198174.6568</v>
      </c>
      <c r="J23" s="189">
        <f t="shared" si="4"/>
        <v>208986.0847</v>
      </c>
      <c r="K23" s="189">
        <f t="shared" si="4"/>
        <v>275890.6237</v>
      </c>
      <c r="L23" s="189">
        <f t="shared" si="4"/>
        <v>234309.5874</v>
      </c>
      <c r="M23" s="189">
        <f t="shared" si="4"/>
        <v>245812.6793</v>
      </c>
      <c r="N23" s="189">
        <f t="shared" si="4"/>
        <v>184414.7942</v>
      </c>
    </row>
    <row r="24" ht="15.75" customHeight="1">
      <c r="B24" s="186" t="s">
        <v>9</v>
      </c>
      <c r="C24" s="189">
        <f t="shared" ref="C24:N24" si="5">(C10/C$18)*C$4</f>
        <v>198546.0133</v>
      </c>
      <c r="D24" s="189">
        <f t="shared" si="5"/>
        <v>239509.5077</v>
      </c>
      <c r="E24" s="189">
        <f t="shared" si="5"/>
        <v>191595.3915</v>
      </c>
      <c r="F24" s="189">
        <f t="shared" si="5"/>
        <v>198614.073</v>
      </c>
      <c r="G24" s="189">
        <f t="shared" si="5"/>
        <v>178033.3622</v>
      </c>
      <c r="H24" s="189">
        <f t="shared" si="5"/>
        <v>179397.5493</v>
      </c>
      <c r="I24" s="189">
        <f t="shared" si="5"/>
        <v>115302.5499</v>
      </c>
      <c r="J24" s="189">
        <f t="shared" si="5"/>
        <v>128652.3267</v>
      </c>
      <c r="K24" s="189">
        <f t="shared" si="5"/>
        <v>141477.2856</v>
      </c>
      <c r="L24" s="189">
        <f t="shared" si="5"/>
        <v>98563.86657</v>
      </c>
      <c r="M24" s="189">
        <f t="shared" si="5"/>
        <v>118469.0642</v>
      </c>
      <c r="N24" s="189">
        <f t="shared" si="5"/>
        <v>104178.6197</v>
      </c>
    </row>
    <row r="25" ht="15.75" customHeight="1">
      <c r="B25" s="186" t="s">
        <v>10</v>
      </c>
      <c r="C25" s="189">
        <f t="shared" ref="C25:N25" si="6">(C11/C$18)*C$4</f>
        <v>374497.3902</v>
      </c>
      <c r="D25" s="189">
        <f t="shared" si="6"/>
        <v>427608.8167</v>
      </c>
      <c r="E25" s="189">
        <f t="shared" si="6"/>
        <v>424949.1469</v>
      </c>
      <c r="F25" s="189">
        <f t="shared" si="6"/>
        <v>393971.4812</v>
      </c>
      <c r="G25" s="189">
        <f t="shared" si="6"/>
        <v>385500.6333</v>
      </c>
      <c r="H25" s="189">
        <f t="shared" si="6"/>
        <v>345404.8167</v>
      </c>
      <c r="I25" s="189">
        <f t="shared" si="6"/>
        <v>246618.5884</v>
      </c>
      <c r="J25" s="189">
        <f t="shared" si="6"/>
        <v>274303.6093</v>
      </c>
      <c r="K25" s="189">
        <f t="shared" si="6"/>
        <v>291562.8415</v>
      </c>
      <c r="L25" s="189">
        <f t="shared" si="6"/>
        <v>236732.2855</v>
      </c>
      <c r="M25" s="189">
        <f t="shared" si="6"/>
        <v>255182.7761</v>
      </c>
      <c r="N25" s="189">
        <f t="shared" si="6"/>
        <v>222675.5905</v>
      </c>
    </row>
    <row r="26" ht="15.75" customHeight="1">
      <c r="B26" s="186" t="s">
        <v>13</v>
      </c>
      <c r="C26" s="189">
        <f t="shared" ref="C26:N26" si="7">(C12/C$18)*C$4</f>
        <v>0</v>
      </c>
      <c r="D26" s="189">
        <f t="shared" si="7"/>
        <v>0</v>
      </c>
      <c r="E26" s="189">
        <f t="shared" si="7"/>
        <v>0</v>
      </c>
      <c r="F26" s="189">
        <f t="shared" si="7"/>
        <v>0</v>
      </c>
      <c r="G26" s="189">
        <f t="shared" si="7"/>
        <v>0</v>
      </c>
      <c r="H26" s="189">
        <f t="shared" si="7"/>
        <v>0</v>
      </c>
      <c r="I26" s="189">
        <f t="shared" si="7"/>
        <v>0</v>
      </c>
      <c r="J26" s="189">
        <f t="shared" si="7"/>
        <v>168504.624</v>
      </c>
      <c r="K26" s="189">
        <f t="shared" si="7"/>
        <v>192242.8391</v>
      </c>
      <c r="L26" s="189">
        <f t="shared" si="7"/>
        <v>167411.7422</v>
      </c>
      <c r="M26" s="189">
        <f t="shared" si="7"/>
        <v>183447.2834</v>
      </c>
      <c r="N26" s="189">
        <f t="shared" si="7"/>
        <v>181131.6851</v>
      </c>
    </row>
    <row r="27" ht="15.75" customHeight="1">
      <c r="B27" s="186" t="s">
        <v>12</v>
      </c>
      <c r="C27" s="189">
        <f t="shared" ref="C27:N27" si="8">(C13/C$18)*C$4</f>
        <v>3760.89863</v>
      </c>
      <c r="D27" s="189">
        <f t="shared" si="8"/>
        <v>9326.168325</v>
      </c>
      <c r="E27" s="189">
        <f t="shared" si="8"/>
        <v>12064.11325</v>
      </c>
      <c r="F27" s="189">
        <f t="shared" si="8"/>
        <v>17585.85821</v>
      </c>
      <c r="G27" s="189">
        <f t="shared" si="8"/>
        <v>19970.12197</v>
      </c>
      <c r="H27" s="189">
        <f t="shared" si="8"/>
        <v>18340.75313</v>
      </c>
      <c r="I27" s="189">
        <f t="shared" si="8"/>
        <v>17677.94071</v>
      </c>
      <c r="J27" s="189">
        <f t="shared" si="8"/>
        <v>16240.67943</v>
      </c>
      <c r="K27" s="189">
        <f t="shared" si="8"/>
        <v>9378.964527</v>
      </c>
      <c r="L27" s="189">
        <f t="shared" si="8"/>
        <v>57073.7474</v>
      </c>
      <c r="M27" s="189">
        <f t="shared" si="8"/>
        <v>43053.1992</v>
      </c>
      <c r="N27" s="189">
        <f t="shared" si="8"/>
        <v>39288.21787</v>
      </c>
    </row>
    <row r="28" ht="15.75" customHeight="1">
      <c r="B28" s="186" t="s">
        <v>14</v>
      </c>
      <c r="C28" s="189">
        <f t="shared" ref="C28:N28" si="9">(C14/C$18)*C$4</f>
        <v>0</v>
      </c>
      <c r="D28" s="189">
        <f t="shared" si="9"/>
        <v>7953.061385</v>
      </c>
      <c r="E28" s="189">
        <f t="shared" si="9"/>
        <v>7798.516215</v>
      </c>
      <c r="F28" s="189">
        <f t="shared" si="9"/>
        <v>9408.849006</v>
      </c>
      <c r="G28" s="189">
        <f t="shared" si="9"/>
        <v>8541.590594</v>
      </c>
      <c r="H28" s="189">
        <f t="shared" si="9"/>
        <v>8495.961779</v>
      </c>
      <c r="I28" s="189">
        <f t="shared" si="9"/>
        <v>5596.345328</v>
      </c>
      <c r="J28" s="189">
        <f t="shared" si="9"/>
        <v>7779.89665</v>
      </c>
      <c r="K28" s="189">
        <f t="shared" si="9"/>
        <v>8862.801744</v>
      </c>
      <c r="L28" s="189">
        <f t="shared" si="9"/>
        <v>6857.755806</v>
      </c>
      <c r="M28" s="189">
        <f t="shared" si="9"/>
        <v>5317.337367</v>
      </c>
      <c r="N28" s="189">
        <f t="shared" si="9"/>
        <v>5205.268734</v>
      </c>
    </row>
    <row r="29" ht="15.75" customHeight="1">
      <c r="B29" s="186" t="s">
        <v>522</v>
      </c>
      <c r="C29" s="189">
        <f t="shared" ref="C29:N29" si="10">(C15/C$18)*C$4</f>
        <v>0</v>
      </c>
      <c r="D29" s="189">
        <f t="shared" si="10"/>
        <v>0</v>
      </c>
      <c r="E29" s="189">
        <f t="shared" si="10"/>
        <v>0</v>
      </c>
      <c r="F29" s="189">
        <f t="shared" si="10"/>
        <v>9106.838951</v>
      </c>
      <c r="G29" s="189">
        <f t="shared" si="10"/>
        <v>7840.99286</v>
      </c>
      <c r="H29" s="189">
        <f t="shared" si="10"/>
        <v>6833.921396</v>
      </c>
      <c r="I29" s="189">
        <f t="shared" si="10"/>
        <v>4898.910484</v>
      </c>
      <c r="J29" s="189">
        <f t="shared" si="10"/>
        <v>5549.490762</v>
      </c>
      <c r="K29" s="189">
        <f t="shared" si="10"/>
        <v>7138.269021</v>
      </c>
      <c r="L29" s="189">
        <f t="shared" si="10"/>
        <v>5777.349274</v>
      </c>
      <c r="M29" s="189">
        <f t="shared" si="10"/>
        <v>4212.288418</v>
      </c>
      <c r="N29" s="189">
        <f t="shared" si="10"/>
        <v>3326.275759</v>
      </c>
    </row>
    <row r="30" ht="15.75" customHeight="1">
      <c r="B30" s="186" t="s">
        <v>507</v>
      </c>
      <c r="C30" s="189">
        <f t="shared" ref="C30:N30" si="11">(C16/C$18)*C$4</f>
        <v>0</v>
      </c>
      <c r="D30" s="189">
        <f t="shared" si="11"/>
        <v>0</v>
      </c>
      <c r="E30" s="189">
        <f t="shared" si="11"/>
        <v>0</v>
      </c>
      <c r="F30" s="189">
        <f t="shared" si="11"/>
        <v>0</v>
      </c>
      <c r="G30" s="189">
        <f t="shared" si="11"/>
        <v>7146.979267</v>
      </c>
      <c r="H30" s="189">
        <f t="shared" si="11"/>
        <v>6744.152238</v>
      </c>
      <c r="I30" s="189">
        <f t="shared" si="11"/>
        <v>4402.354688</v>
      </c>
      <c r="J30" s="189">
        <f t="shared" si="11"/>
        <v>5500.428352</v>
      </c>
      <c r="K30" s="189">
        <f t="shared" si="11"/>
        <v>7022.410155</v>
      </c>
      <c r="L30" s="189">
        <f t="shared" si="11"/>
        <v>10482.84717</v>
      </c>
      <c r="M30" s="189">
        <f t="shared" si="11"/>
        <v>10632.88289</v>
      </c>
      <c r="N30" s="189">
        <f t="shared" si="11"/>
        <v>9349.157412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63"/>
    <col customWidth="1" min="2" max="2" width="22.38"/>
    <col customWidth="1" min="3" max="6" width="12.63"/>
    <col customWidth="1" min="8" max="8" width="13.75"/>
  </cols>
  <sheetData>
    <row r="1" ht="15.75" customHeight="1">
      <c r="A1" s="184" t="s">
        <v>523</v>
      </c>
    </row>
    <row r="2" ht="10.5" customHeight="1">
      <c r="C2" s="185"/>
      <c r="D2" s="185"/>
      <c r="E2" s="185"/>
      <c r="F2" s="185"/>
    </row>
    <row r="3" ht="15.75" customHeight="1">
      <c r="B3" s="186"/>
      <c r="C3" s="1094">
        <v>45748.0</v>
      </c>
      <c r="D3" s="1094">
        <v>45778.0</v>
      </c>
      <c r="E3" s="1094">
        <v>45809.0</v>
      </c>
      <c r="F3" s="1094">
        <v>45839.0</v>
      </c>
      <c r="G3" s="1094">
        <v>45870.0</v>
      </c>
      <c r="H3" s="1094">
        <v>45901.0</v>
      </c>
      <c r="I3" s="1095" t="s">
        <v>524</v>
      </c>
      <c r="J3" s="1095" t="s">
        <v>525</v>
      </c>
      <c r="K3" s="1095" t="s">
        <v>526</v>
      </c>
    </row>
    <row r="4" ht="15.75" customHeight="1">
      <c r="B4" s="188" t="s">
        <v>22</v>
      </c>
      <c r="C4" s="1096">
        <f>'Summary Sheet - April 2025'!AE5</f>
        <v>1966135</v>
      </c>
      <c r="D4" s="1096">
        <f>'Summary Sheet - May 2025'!AE5</f>
        <v>1889650</v>
      </c>
      <c r="E4" s="1096">
        <f>'Summary Sheet - June 2025'!AE5</f>
        <v>1797007</v>
      </c>
      <c r="F4" s="1096">
        <f>'Summary Sheet - July 2025'!AE5</f>
        <v>1759135</v>
      </c>
      <c r="G4" s="1096">
        <f>'Mg St Bandra'!AB28</f>
        <v>1838173</v>
      </c>
      <c r="H4" s="1096">
        <f>'Mg St Bandra'!AH28</f>
        <v>1578825</v>
      </c>
    </row>
    <row r="5" ht="15.75" customHeight="1">
      <c r="B5" s="188" t="s">
        <v>23</v>
      </c>
      <c r="C5" s="1096">
        <f>'Summary Sheet - April 2025'!AE6</f>
        <v>1875585</v>
      </c>
      <c r="D5" s="1096">
        <f>'Summary Sheet - May 2025'!AE6</f>
        <v>1872607</v>
      </c>
      <c r="E5" s="1096">
        <f>'Summary Sheet - June 2025'!AE6</f>
        <v>2173850</v>
      </c>
      <c r="F5" s="1096">
        <f>'Summary Sheet - July 2025'!AE6</f>
        <v>2026926</v>
      </c>
      <c r="G5" s="1096">
        <f>'Mg St Bandra'!AB29</f>
        <v>2291703</v>
      </c>
      <c r="H5" s="1096">
        <f>'Mg St Bandra'!AH29</f>
        <v>1888259</v>
      </c>
    </row>
    <row r="6" ht="15.75" customHeight="1">
      <c r="B6" s="188" t="s">
        <v>24</v>
      </c>
      <c r="C6" s="1096">
        <f>'Summary Sheet - April 2025'!AE7</f>
        <v>11126071.58</v>
      </c>
      <c r="D6" s="1096">
        <f>'Summary Sheet - May 2025'!AE7</f>
        <v>11610093.56</v>
      </c>
      <c r="E6" s="1096">
        <f>'Summary Sheet - June 2025'!AE7</f>
        <v>10132270</v>
      </c>
      <c r="F6" s="1096">
        <f>'Summary Sheet - July 2025'!AE7</f>
        <v>11189390</v>
      </c>
      <c r="G6" s="1096">
        <f>'Mg St Bandra'!AB30</f>
        <v>12128792</v>
      </c>
      <c r="H6" s="1096">
        <f>'Mg St Bandra'!AH30</f>
        <v>11128807.73</v>
      </c>
    </row>
    <row r="7" ht="15.75" customHeight="1">
      <c r="B7" s="188" t="s">
        <v>25</v>
      </c>
      <c r="C7" s="1096">
        <f>'Summary Sheet - April 2025'!AE8</f>
        <v>1150567.1</v>
      </c>
      <c r="D7" s="1096">
        <f>'Summary Sheet - May 2025'!AE8</f>
        <v>1158988</v>
      </c>
      <c r="E7" s="1096">
        <f>'Summary Sheet - June 2025'!AE8</f>
        <v>1147351</v>
      </c>
      <c r="F7" s="1096">
        <f>'Summary Sheet - July 2025'!AE8</f>
        <v>1149460</v>
      </c>
      <c r="G7" s="1096">
        <f>'Mg St Bandra'!AB32</f>
        <v>1190213</v>
      </c>
      <c r="H7" s="1096">
        <f>'Mg St Bandra'!AH32</f>
        <v>1032501</v>
      </c>
    </row>
    <row r="8" ht="15.75" customHeight="1">
      <c r="B8" s="188" t="s">
        <v>27</v>
      </c>
      <c r="C8" s="1097">
        <f t="shared" ref="C8:H8" si="1">SUM(C4:C7)</f>
        <v>16118358.68</v>
      </c>
      <c r="D8" s="1097">
        <f t="shared" si="1"/>
        <v>16531338.56</v>
      </c>
      <c r="E8" s="1097">
        <f t="shared" si="1"/>
        <v>15250478</v>
      </c>
      <c r="F8" s="1097">
        <f t="shared" si="1"/>
        <v>16124911</v>
      </c>
      <c r="G8" s="1097">
        <f t="shared" si="1"/>
        <v>17448881</v>
      </c>
      <c r="H8" s="1097">
        <f t="shared" si="1"/>
        <v>15628392.73</v>
      </c>
    </row>
    <row r="9" ht="15.75" customHeight="1">
      <c r="B9" s="188"/>
      <c r="C9" s="1098" t="str">
        <f>'Summary Sheet - April 2025'!O11</f>
        <v/>
      </c>
      <c r="D9" s="1098" t="str">
        <f>'Summary Sheet - May 2025'!O11</f>
        <v/>
      </c>
      <c r="E9" s="1098" t="str">
        <f>'Summary Sheet - June 2025'!O11</f>
        <v/>
      </c>
      <c r="F9" s="1098" t="str">
        <f>'Summary Sheet - July 2025'!O11</f>
        <v/>
      </c>
      <c r="G9" s="1098"/>
      <c r="H9" s="1098"/>
    </row>
    <row r="10" ht="15.75" customHeight="1">
      <c r="B10" s="188" t="s">
        <v>29</v>
      </c>
      <c r="C10" s="1096">
        <f>'Mg St Bandra'!D51</f>
        <v>4775857.955</v>
      </c>
      <c r="D10" s="1096">
        <f>'Mg St Bandra'!J51</f>
        <v>4766964.64</v>
      </c>
      <c r="E10" s="1096">
        <f>'Mg St Bandra'!P51</f>
        <v>3654904.995</v>
      </c>
      <c r="F10" s="1096">
        <f>'Mg St Bandra'!V51</f>
        <v>3998227.11</v>
      </c>
      <c r="G10" s="1096">
        <f>'Mg St Bandra'!AB51</f>
        <v>4821919.283</v>
      </c>
      <c r="H10" s="1096">
        <f>'Mg St Bandra'!AH51</f>
        <v>4555089.107</v>
      </c>
    </row>
    <row r="11" ht="15.75" customHeight="1">
      <c r="B11" s="188" t="s">
        <v>30</v>
      </c>
      <c r="C11" s="1096">
        <f>'Mg St Bandra'!D52</f>
        <v>139258.7</v>
      </c>
      <c r="D11" s="1096">
        <f>'Mg St Bandra'!J52</f>
        <v>132135</v>
      </c>
      <c r="E11" s="1096">
        <f>'Mg St Bandra'!P52</f>
        <v>179326</v>
      </c>
      <c r="F11" s="1096">
        <f>'Mg St Bandra'!V52</f>
        <v>145621</v>
      </c>
      <c r="G11" s="1096">
        <f>'Mg St Bandra'!AB52</f>
        <v>133041</v>
      </c>
      <c r="H11" s="1096">
        <f>'Mg St Bandra'!AH52</f>
        <v>188348</v>
      </c>
    </row>
    <row r="12" ht="15.75" customHeight="1">
      <c r="B12" s="188" t="s">
        <v>527</v>
      </c>
      <c r="C12" s="1096">
        <f>'Mg St Bandra'!D62</f>
        <v>0</v>
      </c>
      <c r="D12" s="1096">
        <f>'Mg St Bandra'!J62</f>
        <v>0</v>
      </c>
      <c r="E12" s="1096">
        <f>'Mg St Bandra'!P62</f>
        <v>0</v>
      </c>
      <c r="F12" s="1096">
        <f>'Mg St Bandra'!V62</f>
        <v>0</v>
      </c>
      <c r="G12" s="1096">
        <f>'Mg St Bandra'!AB62</f>
        <v>0</v>
      </c>
      <c r="H12" s="1096">
        <f>'Mg St Bandra'!AH62</f>
        <v>0</v>
      </c>
    </row>
    <row r="13" ht="15.75" customHeight="1">
      <c r="B13" s="188" t="s">
        <v>31</v>
      </c>
      <c r="C13" s="1097">
        <f t="shared" ref="C13:H13" si="2">C10+C11</f>
        <v>4915116.655</v>
      </c>
      <c r="D13" s="1097">
        <f t="shared" si="2"/>
        <v>4899099.64</v>
      </c>
      <c r="E13" s="1097">
        <f t="shared" si="2"/>
        <v>3834230.995</v>
      </c>
      <c r="F13" s="1097">
        <f t="shared" si="2"/>
        <v>4143848.11</v>
      </c>
      <c r="G13" s="1097">
        <f t="shared" si="2"/>
        <v>4954960.283</v>
      </c>
      <c r="H13" s="1097">
        <f t="shared" si="2"/>
        <v>4743437.107</v>
      </c>
    </row>
    <row r="14" ht="15.75" customHeight="1">
      <c r="B14" s="188"/>
      <c r="C14" s="1098"/>
      <c r="D14" s="1098"/>
      <c r="E14" s="1098" t="str">
        <f>'Summary Sheet - June 2025'!O15</f>
        <v/>
      </c>
      <c r="F14" s="1098" t="str">
        <f>'Summary Sheet - July 2025'!O15</f>
        <v/>
      </c>
      <c r="G14" s="1098"/>
      <c r="H14" s="1098"/>
    </row>
    <row r="15" ht="15.75" customHeight="1">
      <c r="B15" s="188" t="s">
        <v>33</v>
      </c>
      <c r="C15" s="1097">
        <f t="shared" ref="C15:H15" si="3">C8-C13</f>
        <v>11203242.03</v>
      </c>
      <c r="D15" s="1097">
        <f t="shared" si="3"/>
        <v>11632238.92</v>
      </c>
      <c r="E15" s="1097">
        <f t="shared" si="3"/>
        <v>11416247</v>
      </c>
      <c r="F15" s="1097">
        <f t="shared" si="3"/>
        <v>11981062.89</v>
      </c>
      <c r="G15" s="1097">
        <f t="shared" si="3"/>
        <v>12493920.72</v>
      </c>
      <c r="H15" s="1097">
        <f t="shared" si="3"/>
        <v>10884955.62</v>
      </c>
    </row>
    <row r="16" ht="15.75" customHeight="1">
      <c r="B16" s="188" t="s">
        <v>54</v>
      </c>
      <c r="C16" s="1099">
        <f t="shared" ref="C16:H16" si="4">C15/C8</f>
        <v>0.6950609704</v>
      </c>
      <c r="D16" s="1099">
        <f t="shared" si="4"/>
        <v>0.7036477341</v>
      </c>
      <c r="E16" s="1099">
        <f t="shared" si="4"/>
        <v>0.7485828972</v>
      </c>
      <c r="F16" s="1099">
        <f t="shared" si="4"/>
        <v>0.7430157531</v>
      </c>
      <c r="G16" s="1099">
        <f t="shared" si="4"/>
        <v>0.7160299114</v>
      </c>
      <c r="H16" s="1099">
        <f t="shared" si="4"/>
        <v>0.6964859286</v>
      </c>
    </row>
    <row r="17" ht="15.75" customHeight="1">
      <c r="B17" s="188"/>
      <c r="C17" s="1098" t="str">
        <f>#REF!</f>
        <v>#REF!</v>
      </c>
      <c r="D17" s="1098" t="str">
        <f>#REF!</f>
        <v>#REF!</v>
      </c>
      <c r="E17" s="1098" t="str">
        <f>'Summary Sheet - June 2025'!O17</f>
        <v/>
      </c>
      <c r="F17" s="1098" t="str">
        <f>'Summary Sheet - July 2025'!O17</f>
        <v/>
      </c>
      <c r="G17" s="1098"/>
      <c r="H17" s="1098"/>
    </row>
    <row r="18" ht="15.75" customHeight="1">
      <c r="B18" s="188" t="s">
        <v>34</v>
      </c>
      <c r="C18" s="1096">
        <f>'Mg St Bandra'!D75</f>
        <v>507820.4</v>
      </c>
      <c r="D18" s="1096">
        <f>'Mg St Bandra'!J75</f>
        <v>397999</v>
      </c>
      <c r="E18" s="1096">
        <f>'Mg St Bandra'!P75</f>
        <v>304712</v>
      </c>
      <c r="F18" s="1096">
        <f>'Mg St Bandra'!V75</f>
        <v>360860</v>
      </c>
      <c r="G18" s="1096">
        <f>'Mg St Bandra'!AB75</f>
        <v>561413</v>
      </c>
      <c r="H18" s="1096">
        <f>'Mg St Bandra'!AH75</f>
        <v>333779.44</v>
      </c>
    </row>
    <row r="19" ht="15.75" customHeight="1">
      <c r="B19" s="188" t="s">
        <v>35</v>
      </c>
      <c r="C19" s="1096">
        <f>'Mg St Bandra'!D87</f>
        <v>90913.06667</v>
      </c>
      <c r="D19" s="1096">
        <f>'Mg St Bandra'!J87</f>
        <v>101620.2667</v>
      </c>
      <c r="E19" s="1096">
        <f>'Mg St Bandra'!P87</f>
        <v>106223.4667</v>
      </c>
      <c r="F19" s="1096">
        <f>'Mg St Bandra'!V87</f>
        <v>100798.6667</v>
      </c>
      <c r="G19" s="1096">
        <f>'Mg St Bandra'!AB87</f>
        <v>116535.5238</v>
      </c>
      <c r="H19" s="1096">
        <f>'Mg St Bandra'!AH87</f>
        <v>205359.9524</v>
      </c>
    </row>
    <row r="20" ht="15.75" customHeight="1">
      <c r="B20" s="188" t="s">
        <v>36</v>
      </c>
      <c r="C20" s="1096">
        <f>'Mg St Bandra'!D98</f>
        <v>414118.7042</v>
      </c>
      <c r="D20" s="1096">
        <f>'Mg St Bandra'!J98</f>
        <v>500176.1168</v>
      </c>
      <c r="E20" s="1096">
        <f>'Mg St Bandra'!P98</f>
        <v>312620.1066</v>
      </c>
      <c r="F20" s="1096">
        <f>'Mg St Bandra'!V98</f>
        <v>455832.57</v>
      </c>
      <c r="G20" s="1096">
        <f>'Mg St Bandra'!AB98</f>
        <v>556420.65</v>
      </c>
      <c r="H20" s="1096">
        <f>'Mg St Bandra'!AH98</f>
        <v>547012.03</v>
      </c>
    </row>
    <row r="21" ht="15.75" customHeight="1">
      <c r="B21" s="188" t="s">
        <v>37</v>
      </c>
      <c r="C21" s="1096">
        <f>'Mg St Bandra'!D105</f>
        <v>1594911</v>
      </c>
      <c r="D21" s="1096">
        <f>'Mg St Bandra'!J105</f>
        <v>1629201</v>
      </c>
      <c r="E21" s="1096">
        <f>'Mg St Bandra'!P105</f>
        <v>1490586</v>
      </c>
      <c r="F21" s="1096">
        <f>'Mg St Bandra'!V105</f>
        <v>1475958</v>
      </c>
      <c r="G21" s="1096">
        <f>'Mg St Bandra'!AB105</f>
        <v>1572300</v>
      </c>
      <c r="H21" s="1096">
        <f>'Mg St Bandra'!AH105</f>
        <v>1572830</v>
      </c>
    </row>
    <row r="22" ht="15.75" customHeight="1">
      <c r="B22" s="188" t="s">
        <v>38</v>
      </c>
      <c r="C22" s="1096">
        <f>'Mg St Bandra'!D114</f>
        <v>3809069.75</v>
      </c>
      <c r="D22" s="1096">
        <f>'Mg St Bandra'!J114</f>
        <v>3803269.75</v>
      </c>
      <c r="E22" s="1096">
        <f>'Mg St Bandra'!P114</f>
        <v>3805426.11</v>
      </c>
      <c r="F22" s="1096">
        <f>'Mg St Bandra'!V114</f>
        <v>3761246.67</v>
      </c>
      <c r="G22" s="1096">
        <f>'Mg St Bandra'!AB114</f>
        <v>3823289.02</v>
      </c>
      <c r="H22" s="1096">
        <f>'Mg St Bandra'!AH114</f>
        <v>3711246.65</v>
      </c>
    </row>
    <row r="23" ht="15.75" customHeight="1">
      <c r="B23" s="188" t="s">
        <v>39</v>
      </c>
      <c r="C23" s="1096">
        <f>'Mg St Bandra'!D125</f>
        <v>147300.83</v>
      </c>
      <c r="D23" s="1096">
        <f>'Mg St Bandra'!J125</f>
        <v>134566.45</v>
      </c>
      <c r="E23" s="1096">
        <f>'Mg St Bandra'!P125</f>
        <v>140697.29</v>
      </c>
      <c r="F23" s="1096">
        <f>'Mg St Bandra'!V125</f>
        <v>149245.16</v>
      </c>
      <c r="G23" s="1096">
        <f>'Mg St Bandra'!AB125</f>
        <v>136164.12</v>
      </c>
      <c r="H23" s="1096">
        <f>'Mg St Bandra'!AH125</f>
        <v>130407.59</v>
      </c>
    </row>
    <row r="24" ht="15.75" customHeight="1">
      <c r="B24" s="188" t="s">
        <v>40</v>
      </c>
      <c r="C24" s="1096">
        <f>'Mg St Bandra'!D128</f>
        <v>43404.33333</v>
      </c>
      <c r="D24" s="1096">
        <f>'Mg St Bandra'!J128</f>
        <v>31663.33333</v>
      </c>
      <c r="E24" s="1096">
        <f>'Mg St Bandra'!P128</f>
        <v>31663.33333</v>
      </c>
      <c r="F24" s="1096">
        <f>'Mg St Bandra'!V128</f>
        <v>48035.33333</v>
      </c>
      <c r="G24" s="1096">
        <f>'Mg St Bandra'!AB128</f>
        <v>37563.33333</v>
      </c>
      <c r="H24" s="1096">
        <f>'Mg St Bandra'!AH128</f>
        <v>31663.33333</v>
      </c>
    </row>
    <row r="25" ht="15.75" customHeight="1">
      <c r="B25" s="188" t="s">
        <v>41</v>
      </c>
      <c r="C25" s="1096">
        <f>'Mg St Bandra'!D132</f>
        <v>300576.3333</v>
      </c>
      <c r="D25" s="1096">
        <f>'Mg St Bandra'!J132</f>
        <v>374476.3333</v>
      </c>
      <c r="E25" s="1096">
        <f>'Mg St Bandra'!P132</f>
        <v>574569.3333</v>
      </c>
      <c r="F25" s="1096">
        <f>'Mg St Bandra'!V132</f>
        <v>402798.6667</v>
      </c>
      <c r="G25" s="1096">
        <f>'Mg St Bandra'!AB132</f>
        <v>607212.6667</v>
      </c>
      <c r="H25" s="1096">
        <f>'Mg St Bandra'!AH132</f>
        <v>1034030.667</v>
      </c>
    </row>
    <row r="26" ht="15.75" customHeight="1">
      <c r="B26" s="188" t="s">
        <v>42</v>
      </c>
      <c r="C26" s="1096">
        <f>'Mg St Bandra'!D149</f>
        <v>0</v>
      </c>
      <c r="D26" s="1096"/>
      <c r="E26" s="1096"/>
      <c r="F26" s="1096"/>
      <c r="G26" s="1096"/>
      <c r="H26" s="1096"/>
    </row>
    <row r="27" ht="15.75" customHeight="1">
      <c r="B27" s="188" t="s">
        <v>43</v>
      </c>
      <c r="C27" s="1096">
        <f>'Mg St Bandra'!D153</f>
        <v>0</v>
      </c>
      <c r="D27" s="1096"/>
      <c r="E27" s="1096"/>
      <c r="F27" s="1096"/>
      <c r="G27" s="1096"/>
      <c r="H27" s="1096"/>
    </row>
    <row r="28" ht="15.75" customHeight="1">
      <c r="B28" s="188" t="s">
        <v>44</v>
      </c>
      <c r="C28" s="1097">
        <f t="shared" ref="C28:H28" si="5">SUM(C18:C27)</f>
        <v>6908114.418</v>
      </c>
      <c r="D28" s="1097">
        <f t="shared" si="5"/>
        <v>6972972.25</v>
      </c>
      <c r="E28" s="1097">
        <f t="shared" si="5"/>
        <v>6766497.64</v>
      </c>
      <c r="F28" s="1097">
        <f t="shared" si="5"/>
        <v>6754775.067</v>
      </c>
      <c r="G28" s="1097">
        <f t="shared" si="5"/>
        <v>7410898.314</v>
      </c>
      <c r="H28" s="1097">
        <f t="shared" si="5"/>
        <v>7566329.662</v>
      </c>
    </row>
    <row r="29" ht="15.75" customHeight="1">
      <c r="B29" s="188"/>
      <c r="C29" s="1098"/>
      <c r="D29" s="1098"/>
      <c r="E29" s="1098" t="str">
        <f>'Summary Sheet - June 2025'!O29</f>
        <v/>
      </c>
      <c r="F29" s="1098" t="str">
        <f>'Summary Sheet - July 2025'!O29</f>
        <v/>
      </c>
      <c r="G29" s="1098"/>
      <c r="H29" s="1098"/>
    </row>
    <row r="30" ht="15.75" customHeight="1">
      <c r="B30" s="188" t="s">
        <v>45</v>
      </c>
      <c r="C30" s="1097">
        <f t="shared" ref="C30:H30" si="6">C15-C28</f>
        <v>4295127.608</v>
      </c>
      <c r="D30" s="1097">
        <f t="shared" si="6"/>
        <v>4659266.67</v>
      </c>
      <c r="E30" s="1097">
        <f t="shared" si="6"/>
        <v>4649749.365</v>
      </c>
      <c r="F30" s="1097">
        <f t="shared" si="6"/>
        <v>5226287.823</v>
      </c>
      <c r="G30" s="1097">
        <f t="shared" si="6"/>
        <v>5083022.403</v>
      </c>
      <c r="H30" s="1097">
        <f t="shared" si="6"/>
        <v>3318625.961</v>
      </c>
    </row>
    <row r="31" ht="15.75" customHeight="1">
      <c r="B31" s="188" t="s">
        <v>55</v>
      </c>
      <c r="C31" s="1099">
        <f t="shared" ref="C31:H31" si="7">C30/C8</f>
        <v>0.2664742542</v>
      </c>
      <c r="D31" s="1099">
        <f t="shared" si="7"/>
        <v>0.281844489</v>
      </c>
      <c r="E31" s="1099">
        <f t="shared" si="7"/>
        <v>0.3048920411</v>
      </c>
      <c r="F31" s="1099">
        <f t="shared" si="7"/>
        <v>0.3241126617</v>
      </c>
      <c r="G31" s="1099">
        <f t="shared" si="7"/>
        <v>0.2913093627</v>
      </c>
      <c r="H31" s="1099">
        <f t="shared" si="7"/>
        <v>0.2123459538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22.38"/>
    <col customWidth="1" min="3" max="3" width="9.0"/>
    <col customWidth="1" min="4" max="4" width="8.38"/>
    <col customWidth="1" min="5" max="5" width="9.0"/>
    <col customWidth="1" min="6" max="10" width="8.38"/>
    <col customWidth="1" min="11" max="11" width="9.38"/>
  </cols>
  <sheetData>
    <row r="1" ht="15.75" customHeight="1">
      <c r="A1" s="184" t="s">
        <v>528</v>
      </c>
    </row>
    <row r="2" ht="15.75" customHeight="1">
      <c r="C2" s="185"/>
      <c r="D2" s="185"/>
      <c r="E2" s="185"/>
      <c r="F2" s="185"/>
    </row>
    <row r="3" ht="15.75" customHeight="1">
      <c r="B3" s="186"/>
      <c r="C3" s="187">
        <v>45748.0</v>
      </c>
      <c r="D3" s="187">
        <v>45778.0</v>
      </c>
      <c r="E3" s="187">
        <v>45809.0</v>
      </c>
      <c r="F3" s="187">
        <v>45839.0</v>
      </c>
      <c r="G3" s="1100" t="s">
        <v>529</v>
      </c>
      <c r="H3" s="1100" t="s">
        <v>530</v>
      </c>
      <c r="I3" s="1100" t="s">
        <v>524</v>
      </c>
      <c r="J3" s="1100" t="s">
        <v>525</v>
      </c>
      <c r="K3" s="1100" t="s">
        <v>503</v>
      </c>
      <c r="O3" s="128" t="s">
        <v>531</v>
      </c>
      <c r="P3" s="276">
        <f>AVERAGE(C8:K8)</f>
        <v>9068142.722</v>
      </c>
    </row>
    <row r="4" ht="15.75" customHeight="1">
      <c r="B4" s="188" t="s">
        <v>22</v>
      </c>
      <c r="C4" s="189">
        <f>'Summary Sheet - April 2025'!AA5</f>
        <v>1342152.5</v>
      </c>
      <c r="D4" s="189">
        <f>'Summary Sheet - May 2025'!AA5</f>
        <v>1428670</v>
      </c>
      <c r="E4" s="189">
        <f>'Summary Sheet - June 2025'!AA5</f>
        <v>1387515</v>
      </c>
      <c r="F4" s="189">
        <f>'Summary Sheet - July 2025'!AA5</f>
        <v>1507440</v>
      </c>
      <c r="G4" s="189">
        <f>'Mg St LP'!AB27</f>
        <v>1378277</v>
      </c>
      <c r="H4" s="189">
        <f>'Mg St LP'!AH27</f>
        <v>1502492</v>
      </c>
      <c r="I4" s="189">
        <f>'Mg St LP'!AN27</f>
        <v>1223996.25</v>
      </c>
      <c r="J4" s="189">
        <f>'Mg St LP'!AT27</f>
        <v>1447686</v>
      </c>
      <c r="K4" s="189">
        <f>'Mg St LP'!AZ27</f>
        <v>1393314</v>
      </c>
      <c r="O4" s="128" t="s">
        <v>532</v>
      </c>
      <c r="P4" s="276">
        <f>AVERAGE(C29:K29)</f>
        <v>2870954.283</v>
      </c>
    </row>
    <row r="5" ht="15.75" customHeight="1">
      <c r="B5" s="188" t="s">
        <v>23</v>
      </c>
      <c r="C5" s="189">
        <f>'Summary Sheet - April 2025'!AA6</f>
        <v>0</v>
      </c>
      <c r="D5" s="189">
        <f>'Summary Sheet - May 2025'!AA6</f>
        <v>0</v>
      </c>
      <c r="E5" s="189">
        <f>'Summary Sheet - June 2025'!AA6</f>
        <v>0</v>
      </c>
      <c r="F5" s="189">
        <f>'Summary Sheet - July 2025'!AA6</f>
        <v>0</v>
      </c>
      <c r="G5" s="189" t="s">
        <v>533</v>
      </c>
      <c r="H5" s="189">
        <f>'Mg St LP'!AH28</f>
        <v>0</v>
      </c>
      <c r="I5" s="189">
        <f>'Mg St LP'!AN28</f>
        <v>0</v>
      </c>
      <c r="J5" s="189">
        <f>'Mg St LP'!AT28</f>
        <v>0</v>
      </c>
      <c r="K5" s="189">
        <f>'Mg St LP'!AZ28</f>
        <v>0</v>
      </c>
      <c r="O5" s="128" t="s">
        <v>534</v>
      </c>
      <c r="P5" s="275">
        <f>P4/P3</f>
        <v>0.3165978272</v>
      </c>
    </row>
    <row r="6" ht="15.75" customHeight="1">
      <c r="B6" s="188" t="s">
        <v>24</v>
      </c>
      <c r="C6" s="189">
        <f>'Summary Sheet - April 2025'!AA7</f>
        <v>6876421.37</v>
      </c>
      <c r="D6" s="189">
        <f>'Summary Sheet - May 2025'!AA7</f>
        <v>7798548.88</v>
      </c>
      <c r="E6" s="189">
        <f>'Summary Sheet - June 2025'!AA7</f>
        <v>5695748</v>
      </c>
      <c r="F6" s="189">
        <f>'Summary Sheet - July 2025'!AA7</f>
        <v>7574433</v>
      </c>
      <c r="G6" s="189">
        <f>'Mg St LP'!AB29</f>
        <v>7596375</v>
      </c>
      <c r="H6" s="189">
        <f>'Mg St LP'!AH29</f>
        <v>7294731.49</v>
      </c>
      <c r="I6" s="189">
        <f>'Mg St LP'!AN29</f>
        <v>6842254.94</v>
      </c>
      <c r="J6" s="189">
        <f>'Mg St LP'!AT29</f>
        <v>7495343.6</v>
      </c>
      <c r="K6" s="189">
        <f>'Mg St LP'!AZ29</f>
        <v>8276529.57</v>
      </c>
    </row>
    <row r="7" ht="15.75" customHeight="1">
      <c r="B7" s="188" t="s">
        <v>25</v>
      </c>
      <c r="C7" s="189">
        <f>'Summary Sheet - April 2025'!AA8</f>
        <v>365180.9</v>
      </c>
      <c r="D7" s="186">
        <f>'Summary Sheet - May 2025'!AA8</f>
        <v>425228</v>
      </c>
      <c r="E7" s="186">
        <f>'Summary Sheet - June 2025'!AA8</f>
        <v>392130</v>
      </c>
      <c r="F7" s="189">
        <f>'Summary Sheet - July 2025'!AA8</f>
        <v>419082</v>
      </c>
      <c r="G7" s="189">
        <f>'Mg St LP'!AB31</f>
        <v>387346</v>
      </c>
      <c r="H7" s="189">
        <f>'Mg St LP'!AH31</f>
        <v>399667</v>
      </c>
      <c r="I7" s="189">
        <f>'Mg St LP'!AN31</f>
        <v>347826</v>
      </c>
      <c r="J7" s="189">
        <f>'Mg St LP'!AT31</f>
        <v>407914</v>
      </c>
      <c r="K7" s="189">
        <f>'Mg St LP'!AZ31</f>
        <v>406982</v>
      </c>
    </row>
    <row r="8" ht="15.75" customHeight="1">
      <c r="B8" s="188" t="s">
        <v>27</v>
      </c>
      <c r="C8" s="190">
        <f t="shared" ref="C8:K8" si="1">SUM(C4:C7)</f>
        <v>8583754.77</v>
      </c>
      <c r="D8" s="190">
        <f t="shared" si="1"/>
        <v>9652446.88</v>
      </c>
      <c r="E8" s="190">
        <f t="shared" si="1"/>
        <v>7475393</v>
      </c>
      <c r="F8" s="190">
        <f t="shared" si="1"/>
        <v>9500955</v>
      </c>
      <c r="G8" s="190">
        <f t="shared" si="1"/>
        <v>9361998</v>
      </c>
      <c r="H8" s="190">
        <f t="shared" si="1"/>
        <v>9196890.49</v>
      </c>
      <c r="I8" s="190">
        <f t="shared" si="1"/>
        <v>8414077.19</v>
      </c>
      <c r="J8" s="190">
        <f t="shared" si="1"/>
        <v>9350943.6</v>
      </c>
      <c r="K8" s="190">
        <f t="shared" si="1"/>
        <v>10076825.57</v>
      </c>
    </row>
    <row r="9" ht="15.75" customHeight="1">
      <c r="B9" s="188"/>
      <c r="C9" s="186" t="str">
        <f>'Summary Sheet - April 2025'!O11</f>
        <v/>
      </c>
      <c r="D9" s="186" t="str">
        <f>'Summary Sheet - May 2025'!O11</f>
        <v/>
      </c>
      <c r="E9" s="186" t="str">
        <f>'Summary Sheet - June 2025'!O11</f>
        <v/>
      </c>
      <c r="F9" s="186" t="str">
        <f>'Summary Sheet - July 2025'!O11</f>
        <v/>
      </c>
      <c r="G9" s="186"/>
      <c r="H9" s="186"/>
      <c r="I9" s="186"/>
      <c r="J9" s="186"/>
      <c r="K9" s="186"/>
    </row>
    <row r="10" ht="15.75" customHeight="1">
      <c r="B10" s="188" t="s">
        <v>29</v>
      </c>
      <c r="C10" s="189">
        <f>'Summary Sheet - April 2025'!AA12</f>
        <v>2551285.634</v>
      </c>
      <c r="D10" s="189">
        <f>'Summary Sheet - May 2025'!AA12</f>
        <v>2949004.683</v>
      </c>
      <c r="E10" s="189">
        <f>'Summary Sheet - June 2025'!AA12</f>
        <v>2301959.828</v>
      </c>
      <c r="F10" s="189">
        <f>'Summary Sheet - July 2025'!AA12</f>
        <v>2672726.576</v>
      </c>
      <c r="G10" s="189">
        <f>'Mg St LP'!AB52</f>
        <v>2685015.913</v>
      </c>
      <c r="H10" s="189">
        <f>'Mg St LP'!AH52</f>
        <v>2780181.145</v>
      </c>
      <c r="I10" s="189">
        <f>'Mg St LP'!AN52</f>
        <v>2651495.466</v>
      </c>
      <c r="J10" s="189">
        <f>'Mg St LP'!AT52</f>
        <v>2581833.012</v>
      </c>
      <c r="K10" s="189">
        <f>'Mg St LP'!AZ52</f>
        <v>3003165.633</v>
      </c>
    </row>
    <row r="11" ht="15.75" customHeight="1">
      <c r="B11" s="188" t="s">
        <v>30</v>
      </c>
      <c r="C11" s="189">
        <f>'Summary Sheet - April 2025'!AA13</f>
        <v>179513.6</v>
      </c>
      <c r="D11" s="189">
        <f>'Summary Sheet - May 2025'!AA13</f>
        <v>201028</v>
      </c>
      <c r="E11" s="186">
        <f>'Summary Sheet - June 2025'!AA13</f>
        <v>127025</v>
      </c>
      <c r="F11" s="186">
        <f>'Summary Sheet - July 2025'!AA13</f>
        <v>145348</v>
      </c>
      <c r="G11" s="189">
        <f>'Mg St LP'!AB53</f>
        <v>168318</v>
      </c>
      <c r="H11" s="189">
        <f>'Mg St LP'!AH53</f>
        <v>178707.6</v>
      </c>
      <c r="I11" s="189">
        <f>'Mg St LP'!AN53</f>
        <v>211832</v>
      </c>
      <c r="J11" s="189">
        <f>'Mg St LP'!AT53</f>
        <v>176963</v>
      </c>
      <c r="K11" s="189">
        <f>'Mg St LP'!AZ53</f>
        <v>227331</v>
      </c>
    </row>
    <row r="12" ht="15.75" customHeight="1">
      <c r="B12" s="188" t="s">
        <v>31</v>
      </c>
      <c r="C12" s="190">
        <f t="shared" ref="C12:K12" si="2">C10+C11</f>
        <v>2730799.234</v>
      </c>
      <c r="D12" s="190">
        <f t="shared" si="2"/>
        <v>3150032.683</v>
      </c>
      <c r="E12" s="190">
        <f t="shared" si="2"/>
        <v>2428984.828</v>
      </c>
      <c r="F12" s="190">
        <f t="shared" si="2"/>
        <v>2818074.576</v>
      </c>
      <c r="G12" s="190">
        <f t="shared" si="2"/>
        <v>2853333.913</v>
      </c>
      <c r="H12" s="190">
        <f t="shared" si="2"/>
        <v>2958888.745</v>
      </c>
      <c r="I12" s="190">
        <f t="shared" si="2"/>
        <v>2863327.466</v>
      </c>
      <c r="J12" s="190">
        <f t="shared" si="2"/>
        <v>2758796.012</v>
      </c>
      <c r="K12" s="190">
        <f t="shared" si="2"/>
        <v>3230496.633</v>
      </c>
    </row>
    <row r="13" ht="15.75" customHeight="1">
      <c r="B13" s="188" t="s">
        <v>32</v>
      </c>
      <c r="C13" s="189" t="str">
        <f>'Mg St LP'!AB63</f>
        <v/>
      </c>
      <c r="D13" s="189" t="str">
        <f>'Mg St LP'!J63</f>
        <v/>
      </c>
      <c r="E13" s="189" t="str">
        <f>'Mg St LP'!P63</f>
        <v/>
      </c>
      <c r="F13" s="189" t="str">
        <f>'Mg St LP'!V63</f>
        <v/>
      </c>
      <c r="G13" s="189" t="str">
        <f>'Mg St LP'!AB63</f>
        <v/>
      </c>
      <c r="H13" s="189" t="str">
        <f>'Mg St LP'!AH63</f>
        <v/>
      </c>
      <c r="I13" s="189"/>
      <c r="J13" s="189"/>
      <c r="K13" s="189"/>
    </row>
    <row r="14" ht="15.75" customHeight="1">
      <c r="B14" s="188" t="s">
        <v>33</v>
      </c>
      <c r="C14" s="190">
        <f t="shared" ref="C14:K14" si="3">C8-C12-C13</f>
        <v>5852955.536</v>
      </c>
      <c r="D14" s="190">
        <f t="shared" si="3"/>
        <v>6502414.197</v>
      </c>
      <c r="E14" s="190">
        <f t="shared" si="3"/>
        <v>5046408.172</v>
      </c>
      <c r="F14" s="190">
        <f t="shared" si="3"/>
        <v>6682880.424</v>
      </c>
      <c r="G14" s="190">
        <f t="shared" si="3"/>
        <v>6508664.087</v>
      </c>
      <c r="H14" s="190">
        <f t="shared" si="3"/>
        <v>6238001.745</v>
      </c>
      <c r="I14" s="190">
        <f t="shared" si="3"/>
        <v>5550749.724</v>
      </c>
      <c r="J14" s="190">
        <f t="shared" si="3"/>
        <v>6592147.588</v>
      </c>
      <c r="K14" s="190">
        <f t="shared" si="3"/>
        <v>6846328.937</v>
      </c>
    </row>
    <row r="15" ht="15.75" customHeight="1">
      <c r="B15" s="188" t="s">
        <v>54</v>
      </c>
      <c r="C15" s="191">
        <f t="shared" ref="C15:K15" si="4">C14/C8</f>
        <v>0.6818642532</v>
      </c>
      <c r="D15" s="191">
        <f t="shared" si="4"/>
        <v>0.6736544917</v>
      </c>
      <c r="E15" s="191">
        <f t="shared" si="4"/>
        <v>0.6750692802</v>
      </c>
      <c r="F15" s="191">
        <f t="shared" si="4"/>
        <v>0.703390388</v>
      </c>
      <c r="G15" s="191">
        <f t="shared" si="4"/>
        <v>0.6952216917</v>
      </c>
      <c r="H15" s="191">
        <f t="shared" si="4"/>
        <v>0.6782729175</v>
      </c>
      <c r="I15" s="191">
        <f t="shared" si="4"/>
        <v>0.6596979798</v>
      </c>
      <c r="J15" s="191">
        <f t="shared" si="4"/>
        <v>0.7049713772</v>
      </c>
      <c r="K15" s="191">
        <f t="shared" si="4"/>
        <v>0.6794132626</v>
      </c>
    </row>
    <row r="16" ht="15.75" customHeight="1">
      <c r="B16" s="188"/>
      <c r="C16" s="186" t="str">
        <f>#REF!</f>
        <v>#REF!</v>
      </c>
      <c r="D16" s="186"/>
      <c r="E16" s="186" t="str">
        <f>'Summary Sheet - June 2025'!O17</f>
        <v/>
      </c>
      <c r="F16" s="186" t="str">
        <f>'Summary Sheet - July 2025'!O17</f>
        <v/>
      </c>
      <c r="G16" s="186"/>
      <c r="H16" s="186"/>
      <c r="I16" s="186"/>
      <c r="J16" s="186"/>
      <c r="K16" s="186"/>
    </row>
    <row r="17" ht="15.75" customHeight="1">
      <c r="B17" s="188" t="s">
        <v>34</v>
      </c>
      <c r="C17" s="189">
        <f>'Summary Sheet - April 2025'!AA18</f>
        <v>239028.48</v>
      </c>
      <c r="D17" s="189">
        <f>'Summary Sheet - May 2025'!AA18</f>
        <v>194920</v>
      </c>
      <c r="E17" s="189">
        <f>'Summary Sheet - June 2025'!AA18</f>
        <v>155545</v>
      </c>
      <c r="F17" s="189">
        <f>'Summary Sheet - July 2025'!AA18</f>
        <v>186443</v>
      </c>
      <c r="G17" s="189">
        <f>'Mg St LP'!AB78</f>
        <v>163134</v>
      </c>
      <c r="H17" s="189">
        <f>'Mg St LP'!AH78</f>
        <v>179667.24</v>
      </c>
      <c r="I17" s="189">
        <f>'Mg St LP'!AN78</f>
        <v>159621</v>
      </c>
      <c r="J17" s="189">
        <f>'Mg St LP'!AT78</f>
        <v>154262</v>
      </c>
      <c r="K17" s="189">
        <f>'Mg St LP'!AZ78</f>
        <v>174120.76</v>
      </c>
    </row>
    <row r="18" ht="15.75" customHeight="1">
      <c r="B18" s="188" t="s">
        <v>35</v>
      </c>
      <c r="C18" s="189">
        <f>'Summary Sheet - April 2025'!AA19</f>
        <v>91861.06667</v>
      </c>
      <c r="D18" s="189">
        <f>'Summary Sheet - May 2025'!AA19</f>
        <v>101884.2667</v>
      </c>
      <c r="E18" s="189">
        <f>'Summary Sheet - June 2025'!AA19</f>
        <v>98472.46667</v>
      </c>
      <c r="F18" s="189">
        <f>'Summary Sheet - July 2025'!AA19</f>
        <v>104816.6667</v>
      </c>
      <c r="G18" s="189">
        <f>'Mg St LP'!AB89</f>
        <v>125811.5238</v>
      </c>
      <c r="H18" s="189">
        <f>'Mg St LP'!AH89</f>
        <v>220509.9524</v>
      </c>
      <c r="I18" s="189">
        <f>'Mg St LP'!AN89</f>
        <v>206392.6667</v>
      </c>
      <c r="J18" s="189">
        <f>'Mg St LP'!AT89</f>
        <v>241718.1429</v>
      </c>
      <c r="K18" s="189">
        <f>'Mg St LP'!AZ89</f>
        <v>265186.6667</v>
      </c>
    </row>
    <row r="19" ht="15.75" customHeight="1">
      <c r="B19" s="188" t="s">
        <v>36</v>
      </c>
      <c r="C19" s="189">
        <f>'Summary Sheet - April 2025'!AA20</f>
        <v>621449.1642</v>
      </c>
      <c r="D19" s="189">
        <f>'Summary Sheet - May 2025'!AA20</f>
        <v>715679.4374</v>
      </c>
      <c r="E19" s="189">
        <f>'Summary Sheet - June 2025'!AA20</f>
        <v>379008.2612</v>
      </c>
      <c r="F19" s="189">
        <f>'Summary Sheet - July 2025'!AA20</f>
        <v>566443.95</v>
      </c>
      <c r="G19" s="189">
        <f>'Mg St LP'!AB101</f>
        <v>597683.79</v>
      </c>
      <c r="H19" s="189">
        <f>'Mg St LP'!AH101</f>
        <v>572905.78</v>
      </c>
      <c r="I19" s="189">
        <f>'Mg St LP'!AN101</f>
        <v>578445.45</v>
      </c>
      <c r="J19" s="189">
        <f>'Mg St LP'!AT101</f>
        <v>614233.79</v>
      </c>
      <c r="K19" s="189">
        <f>'Mg St LP'!AZ101</f>
        <v>701362.15</v>
      </c>
    </row>
    <row r="20" ht="15.75" customHeight="1">
      <c r="B20" s="188" t="s">
        <v>37</v>
      </c>
      <c r="C20" s="189">
        <f>'Summary Sheet - April 2025'!AA21</f>
        <v>399200</v>
      </c>
      <c r="D20" s="189">
        <f>'Summary Sheet - May 2025'!AA21</f>
        <v>448645</v>
      </c>
      <c r="E20" s="189">
        <f>'Summary Sheet - June 2025'!AA21</f>
        <v>485483</v>
      </c>
      <c r="F20" s="189">
        <f>'Summary Sheet - July 2025'!AA21</f>
        <v>412377</v>
      </c>
      <c r="G20" s="189">
        <f>'Mg St LP'!AB108</f>
        <v>499285</v>
      </c>
      <c r="H20" s="189">
        <f>'Mg St LP'!AH108</f>
        <v>260228</v>
      </c>
      <c r="I20" s="189">
        <f>'Mg St LP'!AN108</f>
        <v>1059747</v>
      </c>
      <c r="J20" s="189">
        <f>'Mg St LP'!AT108</f>
        <v>1062737</v>
      </c>
      <c r="K20" s="189">
        <f>'Mg St LP'!AZ108</f>
        <v>1076257</v>
      </c>
    </row>
    <row r="21" ht="15.75" customHeight="1">
      <c r="B21" s="188" t="s">
        <v>38</v>
      </c>
      <c r="C21" s="189">
        <f>'Summary Sheet - April 2025'!AA22</f>
        <v>1558299</v>
      </c>
      <c r="D21" s="189">
        <f>'Summary Sheet - May 2025'!AA22</f>
        <v>1561042</v>
      </c>
      <c r="E21" s="189">
        <f>'Summary Sheet - June 2025'!AA22</f>
        <v>1558206.6</v>
      </c>
      <c r="F21" s="189">
        <f>'Summary Sheet - July 2025'!AA22</f>
        <v>1532138.4</v>
      </c>
      <c r="G21" s="189">
        <f>'Mg St LP'!AB115</f>
        <v>1558066.91</v>
      </c>
      <c r="H21" s="189">
        <f>'Mg St LP'!AH115</f>
        <v>1536455.11</v>
      </c>
      <c r="I21" s="189">
        <f>'Mg St LP'!AN115</f>
        <v>1619350.653</v>
      </c>
      <c r="J21" s="189">
        <f>'Mg St LP'!AT115</f>
        <v>1653788.223</v>
      </c>
      <c r="K21" s="189">
        <f>'Mg St LP'!AZ115</f>
        <v>1828331.993</v>
      </c>
    </row>
    <row r="22" ht="15.75" customHeight="1">
      <c r="B22" s="188" t="s">
        <v>39</v>
      </c>
      <c r="C22" s="189">
        <f>'Summary Sheet - April 2025'!AA23</f>
        <v>43509.57</v>
      </c>
      <c r="D22" s="189">
        <f>'Summary Sheet - May 2025'!AA23</f>
        <v>43622.7</v>
      </c>
      <c r="E22" s="189">
        <f>'Summary Sheet - June 2025'!AA23</f>
        <v>41439</v>
      </c>
      <c r="F22" s="189">
        <f>'Summary Sheet - July 2025'!AA23</f>
        <v>45137.35</v>
      </c>
      <c r="G22" s="189">
        <f>'Mg St LP'!AB125</f>
        <v>45482.22</v>
      </c>
      <c r="H22" s="189">
        <f>'Mg St LP'!AH125</f>
        <v>45786.63</v>
      </c>
      <c r="I22" s="189">
        <f>'Mg St LP'!AN125</f>
        <v>35219.16</v>
      </c>
      <c r="J22" s="189">
        <f>'Mg St LP'!AT125</f>
        <v>42721.39</v>
      </c>
      <c r="K22" s="189">
        <f>'Mg St LP'!AZ125</f>
        <v>39037.78</v>
      </c>
    </row>
    <row r="23" ht="15.75" customHeight="1">
      <c r="B23" s="188" t="s">
        <v>40</v>
      </c>
      <c r="C23" s="189">
        <f>'Summary Sheet - April 2025'!AA24</f>
        <v>3638.333333</v>
      </c>
      <c r="D23" s="189">
        <f>'Summary Sheet - May 2025'!AA24</f>
        <v>3638.333333</v>
      </c>
      <c r="E23" s="189">
        <f>'Summary Sheet - June 2025'!AA24</f>
        <v>3638.333333</v>
      </c>
      <c r="F23" s="189">
        <f>'Summary Sheet - July 2025'!AA24</f>
        <v>3638.333333</v>
      </c>
      <c r="G23" s="189">
        <f>'Mg St LP'!AB128</f>
        <v>3638.333333</v>
      </c>
      <c r="H23" s="189">
        <f>'Mg St LP'!AH128</f>
        <v>3638.333333</v>
      </c>
      <c r="I23" s="189">
        <f>'Mg St LP'!AN128</f>
        <v>3638.333333</v>
      </c>
      <c r="J23" s="189">
        <f>'Mg St LP'!AT128</f>
        <v>3638.333333</v>
      </c>
      <c r="K23" s="189">
        <f>'Mg St LP'!AZ128</f>
        <v>3638.333333</v>
      </c>
    </row>
    <row r="24" ht="15.75" customHeight="1">
      <c r="B24" s="188" t="s">
        <v>41</v>
      </c>
      <c r="C24" s="189">
        <f>'Summary Sheet - April 2025'!AA25</f>
        <v>156060.75</v>
      </c>
      <c r="D24" s="189">
        <f>'Summary Sheet - May 2025'!AA25</f>
        <v>111886.75</v>
      </c>
      <c r="E24" s="189">
        <f>'Summary Sheet - June 2025'!AA25</f>
        <v>70560.75</v>
      </c>
      <c r="F24" s="189">
        <f>'Summary Sheet - July 2025'!AA25</f>
        <v>106737.5</v>
      </c>
      <c r="G24" s="189">
        <f>'Mg St LP'!AB132</f>
        <v>135149.75</v>
      </c>
      <c r="H24" s="189">
        <f>'Mg St LP'!AH132</f>
        <v>123272.75</v>
      </c>
      <c r="I24" s="189">
        <f>'Mg St LP'!AN132</f>
        <v>127628.0833</v>
      </c>
      <c r="J24" s="189">
        <f>'Mg St LP'!AT132</f>
        <v>50492.08333</v>
      </c>
      <c r="K24" s="189">
        <f>'Mg St LP'!AZ132</f>
        <v>99228.08333</v>
      </c>
    </row>
    <row r="25" ht="15.75" customHeight="1">
      <c r="B25" s="188" t="s">
        <v>42</v>
      </c>
      <c r="C25" s="189">
        <f>'Summary Sheet - April 2025'!AA26</f>
        <v>0</v>
      </c>
      <c r="D25" s="189">
        <f>'Summary Sheet - May 2025'!AA26</f>
        <v>0</v>
      </c>
      <c r="E25" s="189">
        <f>'Summary Sheet - June 2025'!AA26</f>
        <v>0</v>
      </c>
      <c r="F25" s="189">
        <f>'Summary Sheet - July 2025'!AA26</f>
        <v>0</v>
      </c>
      <c r="G25" s="189">
        <v>0.0</v>
      </c>
      <c r="H25" s="189">
        <v>0.0</v>
      </c>
      <c r="I25" s="189">
        <f>'Mg St LP'!AN148</f>
        <v>22000</v>
      </c>
      <c r="J25" s="189">
        <f>'Mg St LP'!AT148</f>
        <v>22000</v>
      </c>
      <c r="K25" s="189">
        <f>'Mg St LP'!AZ148</f>
        <v>22000</v>
      </c>
    </row>
    <row r="26" ht="15.75" customHeight="1">
      <c r="B26" s="188" t="s">
        <v>43</v>
      </c>
      <c r="C26" s="189">
        <f>'Summary Sheet - April 2025'!AA27</f>
        <v>0</v>
      </c>
      <c r="D26" s="189">
        <f>'Summary Sheet - May 2025'!AA27</f>
        <v>0</v>
      </c>
      <c r="E26" s="189">
        <f>'Summary Sheet - June 2025'!AA27</f>
        <v>0</v>
      </c>
      <c r="F26" s="189">
        <f>'Summary Sheet - July 2025'!AA27</f>
        <v>0</v>
      </c>
      <c r="G26" s="189">
        <v>0.0</v>
      </c>
      <c r="H26" s="189">
        <v>0.0</v>
      </c>
      <c r="I26" s="189">
        <v>0.0</v>
      </c>
      <c r="J26" s="189">
        <v>0.0</v>
      </c>
      <c r="K26" s="189">
        <v>0.0</v>
      </c>
    </row>
    <row r="27" ht="15.75" customHeight="1">
      <c r="B27" s="188" t="s">
        <v>44</v>
      </c>
      <c r="C27" s="190">
        <f t="shared" ref="C27:K27" si="5">SUM(C17:C26)</f>
        <v>3113046.364</v>
      </c>
      <c r="D27" s="190">
        <f t="shared" si="5"/>
        <v>3181318.487</v>
      </c>
      <c r="E27" s="190">
        <f t="shared" si="5"/>
        <v>2792353.411</v>
      </c>
      <c r="F27" s="190">
        <f t="shared" si="5"/>
        <v>2957732.2</v>
      </c>
      <c r="G27" s="190">
        <f t="shared" si="5"/>
        <v>3128251.527</v>
      </c>
      <c r="H27" s="190">
        <f t="shared" si="5"/>
        <v>2942463.796</v>
      </c>
      <c r="I27" s="190">
        <f t="shared" si="5"/>
        <v>3812042.347</v>
      </c>
      <c r="J27" s="190">
        <f t="shared" si="5"/>
        <v>3845590.963</v>
      </c>
      <c r="K27" s="190">
        <f t="shared" si="5"/>
        <v>4209162.767</v>
      </c>
    </row>
    <row r="28" ht="15.75" customHeight="1">
      <c r="B28" s="188"/>
      <c r="C28" s="186"/>
      <c r="D28" s="186"/>
      <c r="E28" s="186" t="str">
        <f>'Summary Sheet - June 2025'!O29</f>
        <v/>
      </c>
      <c r="F28" s="186" t="str">
        <f>'Summary Sheet - July 2025'!O29</f>
        <v/>
      </c>
      <c r="G28" s="186"/>
      <c r="H28" s="186"/>
      <c r="I28" s="186"/>
      <c r="J28" s="186"/>
      <c r="K28" s="186"/>
    </row>
    <row r="29" ht="15.75" customHeight="1">
      <c r="B29" s="188" t="s">
        <v>45</v>
      </c>
      <c r="C29" s="190">
        <f t="shared" ref="C29:K29" si="6">C14-C27</f>
        <v>2739909.172</v>
      </c>
      <c r="D29" s="190">
        <f t="shared" si="6"/>
        <v>3321095.71</v>
      </c>
      <c r="E29" s="190">
        <f t="shared" si="6"/>
        <v>2254054.761</v>
      </c>
      <c r="F29" s="190">
        <f t="shared" si="6"/>
        <v>3725148.224</v>
      </c>
      <c r="G29" s="190">
        <f t="shared" si="6"/>
        <v>3380412.56</v>
      </c>
      <c r="H29" s="190">
        <f t="shared" si="6"/>
        <v>3295537.949</v>
      </c>
      <c r="I29" s="190">
        <f t="shared" si="6"/>
        <v>1738707.377</v>
      </c>
      <c r="J29" s="190">
        <f t="shared" si="6"/>
        <v>2746556.625</v>
      </c>
      <c r="K29" s="190">
        <f t="shared" si="6"/>
        <v>2637166.17</v>
      </c>
    </row>
    <row r="30" ht="15.75" customHeight="1">
      <c r="B30" s="188" t="s">
        <v>55</v>
      </c>
      <c r="C30" s="191">
        <f t="shared" ref="C30:K30" si="7">C29/C8</f>
        <v>0.3191970466</v>
      </c>
      <c r="D30" s="191">
        <f t="shared" si="7"/>
        <v>0.3440677531</v>
      </c>
      <c r="E30" s="191">
        <f t="shared" si="7"/>
        <v>0.3015299344</v>
      </c>
      <c r="F30" s="191">
        <f t="shared" si="7"/>
        <v>0.3920814512</v>
      </c>
      <c r="G30" s="191">
        <f t="shared" si="7"/>
        <v>0.3610781118</v>
      </c>
      <c r="H30" s="191">
        <f t="shared" si="7"/>
        <v>0.3583317592</v>
      </c>
      <c r="I30" s="191">
        <f t="shared" si="7"/>
        <v>0.2066426701</v>
      </c>
      <c r="J30" s="191">
        <f t="shared" si="7"/>
        <v>0.2937197295</v>
      </c>
      <c r="K30" s="191">
        <f t="shared" si="7"/>
        <v>0.2617060454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2.63" defaultRowHeight="15.0"/>
  <cols>
    <col customWidth="1" min="1" max="1" width="12.63"/>
    <col customWidth="1" min="2" max="2" width="26.38"/>
    <col customWidth="1" min="3" max="3" width="13.0"/>
    <col customWidth="1" hidden="1" min="4" max="4" width="10.63"/>
    <col customWidth="1" min="5" max="5" width="13.13"/>
    <col customWidth="1" hidden="1" min="6" max="6" width="10.63"/>
    <col customWidth="1" min="7" max="7" width="13.13"/>
    <col customWidth="1" hidden="1" min="8" max="8" width="10.63"/>
    <col customWidth="1" min="9" max="9" width="13.13"/>
    <col customWidth="1" hidden="1" min="10" max="10" width="11.88"/>
    <col customWidth="1" min="11" max="11" width="13.13"/>
    <col customWidth="1" hidden="1" min="12" max="12" width="13.13"/>
    <col customWidth="1" min="13" max="13" width="13.13"/>
    <col customWidth="1" hidden="1" min="14" max="14" width="10.63"/>
    <col customWidth="1" min="15" max="15" width="14.25"/>
    <col customWidth="1" hidden="1" min="16" max="16" width="10.63"/>
    <col customWidth="1" min="17" max="17" width="13.13"/>
    <col customWidth="1" hidden="1" min="18" max="18" width="11.88"/>
    <col customWidth="1" min="19" max="19" width="13.13"/>
    <col customWidth="1" hidden="1" min="20" max="20" width="11.88"/>
    <col customWidth="1" min="21" max="21" width="13.13"/>
    <col customWidth="1" hidden="1" min="22" max="22" width="11.88"/>
    <col customWidth="1" min="23" max="23" width="13.13"/>
    <col customWidth="1" hidden="1" min="24" max="24" width="11.88"/>
    <col customWidth="1" min="25" max="25" width="14.25"/>
    <col customWidth="1" min="26" max="26" width="13.13"/>
    <col customWidth="1" min="27" max="27" width="12.75"/>
  </cols>
  <sheetData>
    <row r="1" ht="15.75" customHeight="1">
      <c r="A1" s="213"/>
      <c r="B1" s="213"/>
      <c r="C1" s="1101"/>
      <c r="D1" s="1101"/>
      <c r="E1" s="1101"/>
      <c r="F1" s="1101"/>
      <c r="G1" s="1101"/>
      <c r="H1" s="1101"/>
      <c r="I1" s="1101"/>
      <c r="J1" s="1101"/>
      <c r="K1" s="1101"/>
      <c r="L1" s="1101"/>
      <c r="M1" s="1101"/>
      <c r="N1" s="1101"/>
      <c r="O1" s="1101"/>
      <c r="P1" s="1101"/>
      <c r="Q1" s="1101"/>
      <c r="R1" s="1101"/>
      <c r="S1" s="1101"/>
      <c r="T1" s="1101"/>
      <c r="U1" s="1101"/>
      <c r="V1" s="1101"/>
      <c r="W1" s="1101"/>
      <c r="X1" s="1101"/>
      <c r="Y1" s="1102"/>
      <c r="Z1" s="1102"/>
      <c r="AA1" s="1101"/>
    </row>
    <row r="2" ht="15.75" customHeight="1">
      <c r="A2" s="213"/>
      <c r="B2" s="740" t="s">
        <v>166</v>
      </c>
      <c r="C2" s="1101"/>
      <c r="D2" s="1101"/>
      <c r="E2" s="1101"/>
      <c r="F2" s="1101"/>
      <c r="G2" s="1101"/>
      <c r="H2" s="1101"/>
      <c r="I2" s="1101"/>
      <c r="J2" s="1101"/>
      <c r="K2" s="1101"/>
      <c r="L2" s="1101"/>
      <c r="M2" s="1101"/>
      <c r="N2" s="1101"/>
      <c r="O2" s="1101"/>
      <c r="P2" s="1101"/>
      <c r="Q2" s="1101"/>
      <c r="R2" s="1101"/>
      <c r="S2" s="1101"/>
      <c r="T2" s="1101"/>
      <c r="U2" s="1101"/>
      <c r="V2" s="1101"/>
      <c r="W2" s="1101"/>
      <c r="X2" s="1101"/>
      <c r="Y2" s="1102"/>
      <c r="Z2" s="1102"/>
      <c r="AA2" s="1101"/>
    </row>
    <row r="3" ht="15.75" customHeight="1">
      <c r="A3" s="213"/>
      <c r="B3" s="214" t="s">
        <v>535</v>
      </c>
      <c r="C3" s="1101"/>
      <c r="D3" s="1101"/>
      <c r="E3" s="1101"/>
      <c r="F3" s="1101"/>
      <c r="G3" s="1101"/>
      <c r="H3" s="1101"/>
      <c r="I3" s="1101"/>
      <c r="J3" s="1101"/>
      <c r="K3" s="1101"/>
      <c r="L3" s="1101"/>
      <c r="M3" s="1101"/>
      <c r="N3" s="1101"/>
      <c r="O3" s="1101"/>
      <c r="P3" s="1101"/>
      <c r="Q3" s="1101"/>
      <c r="R3" s="1101"/>
      <c r="S3" s="1101"/>
      <c r="T3" s="1101"/>
      <c r="U3" s="1101"/>
      <c r="V3" s="1101"/>
      <c r="W3" s="1101"/>
      <c r="X3" s="1101"/>
      <c r="Y3" s="1102"/>
      <c r="Z3" s="1102"/>
      <c r="AA3" s="1101"/>
    </row>
    <row r="4" ht="15.75" customHeight="1">
      <c r="A4" s="213"/>
      <c r="B4" s="213"/>
      <c r="C4" s="1103"/>
      <c r="D4" s="1103"/>
      <c r="E4" s="1103"/>
      <c r="F4" s="1103"/>
      <c r="G4" s="1103"/>
      <c r="H4" s="1103"/>
      <c r="I4" s="1103"/>
      <c r="J4" s="1103"/>
      <c r="K4" s="238"/>
      <c r="L4" s="238"/>
      <c r="M4" s="1101"/>
      <c r="N4" s="1101"/>
      <c r="O4" s="1101"/>
      <c r="P4" s="1101"/>
      <c r="Q4" s="1101"/>
      <c r="R4" s="1101"/>
      <c r="S4" s="1101"/>
      <c r="T4" s="1101"/>
      <c r="U4" s="1101"/>
      <c r="V4" s="1101"/>
      <c r="W4" s="1101"/>
      <c r="X4" s="1101"/>
      <c r="Y4" s="1102"/>
      <c r="Z4" s="1102"/>
      <c r="AA4" s="1101"/>
    </row>
    <row r="5" ht="15.75" customHeight="1">
      <c r="A5" s="213"/>
      <c r="B5" s="1104" t="s">
        <v>47</v>
      </c>
      <c r="C5" s="1105">
        <v>45748.0</v>
      </c>
      <c r="D5" s="14"/>
      <c r="E5" s="1105">
        <v>45778.0</v>
      </c>
      <c r="F5" s="14"/>
      <c r="G5" s="1105">
        <v>45809.0</v>
      </c>
      <c r="H5" s="14"/>
      <c r="I5" s="1105">
        <v>45839.0</v>
      </c>
      <c r="J5" s="12"/>
      <c r="K5" s="1105">
        <v>45870.0</v>
      </c>
      <c r="L5" s="14"/>
      <c r="M5" s="1105">
        <v>45901.0</v>
      </c>
      <c r="N5" s="14"/>
      <c r="O5" s="1105">
        <v>45931.0</v>
      </c>
      <c r="P5" s="14"/>
      <c r="Q5" s="1106" t="s">
        <v>525</v>
      </c>
      <c r="R5" s="14"/>
      <c r="S5" s="1106" t="s">
        <v>526</v>
      </c>
      <c r="T5" s="14"/>
      <c r="U5" s="1106" t="s">
        <v>536</v>
      </c>
      <c r="V5" s="14"/>
      <c r="W5" s="1106" t="s">
        <v>537</v>
      </c>
      <c r="X5" s="14"/>
      <c r="Y5" s="1107" t="s">
        <v>538</v>
      </c>
      <c r="Z5" s="1107" t="s">
        <v>20</v>
      </c>
      <c r="AA5" s="1107" t="s">
        <v>539</v>
      </c>
    </row>
    <row r="6" ht="15.75" customHeight="1">
      <c r="A6" s="213"/>
      <c r="B6" s="1108" t="s">
        <v>540</v>
      </c>
      <c r="C6" s="1109" t="s">
        <v>21</v>
      </c>
      <c r="D6" s="1110" t="s">
        <v>541</v>
      </c>
      <c r="E6" s="1109" t="s">
        <v>21</v>
      </c>
      <c r="F6" s="1110" t="s">
        <v>541</v>
      </c>
      <c r="G6" s="1109" t="s">
        <v>21</v>
      </c>
      <c r="H6" s="1110" t="s">
        <v>541</v>
      </c>
      <c r="I6" s="1109" t="s">
        <v>21</v>
      </c>
      <c r="J6" s="1111" t="s">
        <v>541</v>
      </c>
      <c r="K6" s="1109" t="s">
        <v>21</v>
      </c>
      <c r="L6" s="1110" t="s">
        <v>541</v>
      </c>
      <c r="M6" s="1109" t="s">
        <v>21</v>
      </c>
      <c r="N6" s="1110" t="s">
        <v>541</v>
      </c>
      <c r="O6" s="1109" t="s">
        <v>21</v>
      </c>
      <c r="P6" s="1110" t="s">
        <v>541</v>
      </c>
      <c r="Q6" s="1109" t="s">
        <v>21</v>
      </c>
      <c r="R6" s="1110" t="s">
        <v>541</v>
      </c>
      <c r="S6" s="1109" t="s">
        <v>21</v>
      </c>
      <c r="T6" s="1110" t="s">
        <v>541</v>
      </c>
      <c r="U6" s="1109" t="s">
        <v>21</v>
      </c>
      <c r="V6" s="1110" t="s">
        <v>541</v>
      </c>
      <c r="W6" s="1109" t="s">
        <v>21</v>
      </c>
      <c r="X6" s="1110" t="s">
        <v>541</v>
      </c>
      <c r="Y6" s="134"/>
      <c r="Z6" s="134"/>
      <c r="AA6" s="134"/>
    </row>
    <row r="7" ht="15.75" customHeight="1">
      <c r="A7" s="213"/>
      <c r="B7" s="488" t="s">
        <v>22</v>
      </c>
      <c r="C7" s="384">
        <f>'The Table'!D26</f>
        <v>969503.75</v>
      </c>
      <c r="D7" s="1112">
        <f t="shared" ref="D7:D12" si="1">C7/$C$12</f>
        <v>0.06144403852</v>
      </c>
      <c r="E7" s="1113">
        <f>'Summary Sheet - May 2025'!O5</f>
        <v>942483</v>
      </c>
      <c r="F7" s="1112">
        <f t="shared" ref="F7:F11" si="2">E7/$E$12</f>
        <v>0.06134951614</v>
      </c>
      <c r="G7" s="1113">
        <f>'Summary Sheet - June 2025'!O5</f>
        <v>894513</v>
      </c>
      <c r="H7" s="1112">
        <f t="shared" ref="H7:H11" si="3">G7/$G$12</f>
        <v>0.06551717496</v>
      </c>
      <c r="I7" s="1113">
        <f>'Summary Sheet - July 2025'!O5</f>
        <v>922966</v>
      </c>
      <c r="J7" s="1114">
        <f t="shared" ref="J7:J11" si="4">I7/$I$12</f>
        <v>0.06368744281</v>
      </c>
      <c r="K7" s="1113">
        <f>'Summary Sheet - Aug 2025'!O5</f>
        <v>1000568</v>
      </c>
      <c r="L7" s="1112">
        <f t="shared" ref="L7:L11" si="5">K7/$K$12</f>
        <v>0.06507636181</v>
      </c>
      <c r="M7" s="1113">
        <f>'The Table'!AH26</f>
        <v>900598</v>
      </c>
      <c r="N7" s="1112">
        <f t="shared" ref="N7:N11" si="6">M7/$M$12</f>
        <v>0.06472376596</v>
      </c>
      <c r="O7" s="1113">
        <f>'The Table'!AN26</f>
        <v>1172858</v>
      </c>
      <c r="P7" s="1112">
        <f t="shared" ref="P7:P11" si="7">O7/$O$12</f>
        <v>0.05431279416</v>
      </c>
      <c r="Q7" s="1113">
        <f>'The Table'!AT26</f>
        <v>1351570</v>
      </c>
      <c r="R7" s="1112">
        <f t="shared" ref="R7:R11" si="8">Q7/$Q$12</f>
        <v>0.05617951549</v>
      </c>
      <c r="S7" s="1113">
        <f>'The Table'!AZ26</f>
        <v>1384165</v>
      </c>
      <c r="T7" s="1112">
        <f t="shared" ref="T7:T11" si="9">S7/$S$12</f>
        <v>0.05641979594</v>
      </c>
      <c r="U7" s="1113">
        <f>'The Table'!BF26</f>
        <v>1549628</v>
      </c>
      <c r="V7" s="1112">
        <f t="shared" ref="V7:V11" si="10">U7/$U$12</f>
        <v>0.05909048045</v>
      </c>
      <c r="W7" s="1113">
        <f>'The Table'!BL26</f>
        <v>1235313</v>
      </c>
      <c r="X7" s="1114">
        <f t="shared" ref="X7:X11" si="11">W7/$W$12</f>
        <v>0.05722107869</v>
      </c>
      <c r="Y7" s="1115">
        <f t="shared" ref="Y7:Y11" si="12">C7+E7+G7+I7+K7+M7+O7+Q7+S7+U7+W7</f>
        <v>12324165.75</v>
      </c>
      <c r="Z7" s="1115" t="str">
        <f>'The Table'!#REF!</f>
        <v>#ERROR!</v>
      </c>
      <c r="AA7" s="1116" t="str">
        <f t="shared" ref="AA7:AA10" si="13">Y7/Z7</f>
        <v>#ERROR!</v>
      </c>
    </row>
    <row r="8" ht="15.75" customHeight="1">
      <c r="A8" s="213"/>
      <c r="B8" s="492" t="s">
        <v>23</v>
      </c>
      <c r="C8" s="351">
        <f>'The Table'!D27</f>
        <v>3845225</v>
      </c>
      <c r="D8" s="1117">
        <f t="shared" si="1"/>
        <v>0.243698029</v>
      </c>
      <c r="E8" s="1118">
        <f>'Summary Sheet - May 2025'!O6</f>
        <v>3673718</v>
      </c>
      <c r="F8" s="1117">
        <f t="shared" si="2"/>
        <v>0.2391351587</v>
      </c>
      <c r="G8" s="1118">
        <f>'Summary Sheet - June 2025'!O6</f>
        <v>3001035</v>
      </c>
      <c r="H8" s="1112">
        <f t="shared" si="3"/>
        <v>0.2198060119</v>
      </c>
      <c r="I8" s="1118">
        <f>'Summary Sheet - July 2025'!O6</f>
        <v>3086795</v>
      </c>
      <c r="J8" s="1114">
        <f t="shared" si="4"/>
        <v>0.212998182</v>
      </c>
      <c r="K8" s="1118">
        <f>'Summary Sheet - Aug 2025'!O6</f>
        <v>3270094</v>
      </c>
      <c r="L8" s="1112">
        <f t="shared" si="5"/>
        <v>0.2126850152</v>
      </c>
      <c r="M8" s="1118">
        <f>'The Table'!AH27</f>
        <v>3225798</v>
      </c>
      <c r="N8" s="1112">
        <f t="shared" si="6"/>
        <v>0.2318301781</v>
      </c>
      <c r="O8" s="1118">
        <f>'The Table'!AN27</f>
        <v>4756212</v>
      </c>
      <c r="P8" s="1112">
        <f t="shared" si="7"/>
        <v>0.2202510136</v>
      </c>
      <c r="Q8" s="1118">
        <f>'The Table'!AT27</f>
        <v>5280039</v>
      </c>
      <c r="R8" s="1112">
        <f t="shared" si="8"/>
        <v>0.2194707139</v>
      </c>
      <c r="S8" s="1118">
        <f>'The Table'!AZ27</f>
        <v>5807862</v>
      </c>
      <c r="T8" s="1112">
        <f t="shared" si="9"/>
        <v>0.2367336184</v>
      </c>
      <c r="U8" s="1113">
        <f>'The Table'!BF27</f>
        <v>5163104</v>
      </c>
      <c r="V8" s="1112">
        <f t="shared" si="10"/>
        <v>0.1968797001</v>
      </c>
      <c r="W8" s="1113">
        <f>'The Table'!BL27</f>
        <v>5377221</v>
      </c>
      <c r="X8" s="1114">
        <f t="shared" si="11"/>
        <v>0.249078886</v>
      </c>
      <c r="Y8" s="1115">
        <f t="shared" si="12"/>
        <v>46487103</v>
      </c>
      <c r="Z8" s="1115" t="str">
        <f>'The Table'!#REF!</f>
        <v>#ERROR!</v>
      </c>
      <c r="AA8" s="1119" t="str">
        <f t="shared" si="13"/>
        <v>#ERROR!</v>
      </c>
    </row>
    <row r="9" ht="15.75" customHeight="1">
      <c r="A9" s="213"/>
      <c r="B9" s="492" t="s">
        <v>24</v>
      </c>
      <c r="C9" s="351">
        <f>'The Table'!D28</f>
        <v>9578800</v>
      </c>
      <c r="D9" s="1117">
        <f t="shared" si="1"/>
        <v>0.6070736252</v>
      </c>
      <c r="E9" s="1118">
        <f>'Summary Sheet - May 2025'!O7</f>
        <v>9397156.25</v>
      </c>
      <c r="F9" s="1117">
        <f t="shared" si="2"/>
        <v>0.6116937802</v>
      </c>
      <c r="G9" s="1118">
        <f>'Summary Sheet - June 2025'!O7</f>
        <v>8554364</v>
      </c>
      <c r="H9" s="1112">
        <f t="shared" si="3"/>
        <v>0.6265507185</v>
      </c>
      <c r="I9" s="1118">
        <f>'Summary Sheet - July 2025'!O7</f>
        <v>9226143</v>
      </c>
      <c r="J9" s="1114">
        <f t="shared" si="4"/>
        <v>0.6366317445</v>
      </c>
      <c r="K9" s="1118">
        <f>'Summary Sheet - Aug 2025'!O7</f>
        <v>9760471</v>
      </c>
      <c r="L9" s="1112">
        <f t="shared" si="5"/>
        <v>0.6348153671</v>
      </c>
      <c r="M9" s="1118">
        <f>'The Table'!AH28</f>
        <v>8573606</v>
      </c>
      <c r="N9" s="1112">
        <f t="shared" si="6"/>
        <v>0.6161640023</v>
      </c>
      <c r="O9" s="1118">
        <f>'The Table'!AN28</f>
        <v>13904084.75</v>
      </c>
      <c r="P9" s="1112">
        <f t="shared" si="7"/>
        <v>0.6438713748</v>
      </c>
      <c r="Q9" s="1118">
        <f>'The Table'!AT28</f>
        <v>15326816.25</v>
      </c>
      <c r="R9" s="1112">
        <f t="shared" si="8"/>
        <v>0.6370762232</v>
      </c>
      <c r="S9" s="1118">
        <f>'The Table'!AZ28</f>
        <v>15234767.63</v>
      </c>
      <c r="T9" s="1112">
        <f t="shared" si="9"/>
        <v>0.6209826725</v>
      </c>
      <c r="U9" s="1113">
        <f>'The Table'!BF28</f>
        <v>17427654.56</v>
      </c>
      <c r="V9" s="1112">
        <f t="shared" si="10"/>
        <v>0.6645520609</v>
      </c>
      <c r="W9" s="1113">
        <f>'The Table'!BL28</f>
        <v>13142010</v>
      </c>
      <c r="X9" s="1114">
        <f t="shared" si="11"/>
        <v>0.6087525901</v>
      </c>
      <c r="Y9" s="1115">
        <f t="shared" si="12"/>
        <v>130125873.4</v>
      </c>
      <c r="Z9" s="1115" t="str">
        <f>'The Table'!#REF!</f>
        <v>#ERROR!</v>
      </c>
      <c r="AA9" s="1119" t="str">
        <f t="shared" si="13"/>
        <v>#ERROR!</v>
      </c>
    </row>
    <row r="10" ht="15.75" customHeight="1">
      <c r="A10" s="213"/>
      <c r="B10" s="492" t="s">
        <v>25</v>
      </c>
      <c r="C10" s="351">
        <f>'The Table'!D30</f>
        <v>1367317.534</v>
      </c>
      <c r="D10" s="1117">
        <f t="shared" si="1"/>
        <v>0.08665620037</v>
      </c>
      <c r="E10" s="1118">
        <f>'Summary Sheet - May 2025'!O8</f>
        <v>1332660</v>
      </c>
      <c r="F10" s="1117">
        <f t="shared" si="2"/>
        <v>0.08674750227</v>
      </c>
      <c r="G10" s="1118">
        <f>'Summary Sheet - June 2025'!O8</f>
        <v>1188895</v>
      </c>
      <c r="H10" s="1112">
        <f t="shared" si="3"/>
        <v>0.08707871402</v>
      </c>
      <c r="I10" s="1118">
        <f>'Summary Sheet - July 2025'!O8</f>
        <v>1236415</v>
      </c>
      <c r="J10" s="1114">
        <f t="shared" si="4"/>
        <v>0.08531637092</v>
      </c>
      <c r="K10" s="1118">
        <f>'Summary Sheet - Aug 2025'!O8</f>
        <v>1323258</v>
      </c>
      <c r="L10" s="1112">
        <f t="shared" si="5"/>
        <v>0.08606393206</v>
      </c>
      <c r="M10" s="1118">
        <f>'The Table'!AH30</f>
        <v>1199185</v>
      </c>
      <c r="N10" s="1112">
        <f t="shared" si="6"/>
        <v>0.08618248017</v>
      </c>
      <c r="O10" s="1118">
        <f>'The Table'!AN30</f>
        <v>1743352</v>
      </c>
      <c r="P10" s="1112">
        <f t="shared" si="7"/>
        <v>0.08073127209</v>
      </c>
      <c r="Q10" s="1118">
        <f>'The Table'!AT30</f>
        <v>2076832</v>
      </c>
      <c r="R10" s="1112">
        <f t="shared" si="8"/>
        <v>0.08632583996</v>
      </c>
      <c r="S10" s="1118">
        <f>'The Table'!AZ30</f>
        <v>2092127</v>
      </c>
      <c r="T10" s="1112">
        <f t="shared" si="9"/>
        <v>0.08527695644</v>
      </c>
      <c r="U10" s="1118">
        <f>'The Table'!BF30</f>
        <v>2066577.52</v>
      </c>
      <c r="V10" s="1112">
        <f t="shared" si="10"/>
        <v>0.07880282141</v>
      </c>
      <c r="W10" s="1118">
        <f>'The Table'!BL30</f>
        <v>1819481.6</v>
      </c>
      <c r="X10" s="1114">
        <f t="shared" si="11"/>
        <v>0.08428042108</v>
      </c>
      <c r="Y10" s="1115">
        <f t="shared" si="12"/>
        <v>17446100.65</v>
      </c>
      <c r="Z10" s="1120" t="str">
        <f>'The Table'!#REF!</f>
        <v>#ERROR!</v>
      </c>
      <c r="AA10" s="1119" t="str">
        <f t="shared" si="13"/>
        <v>#ERROR!</v>
      </c>
    </row>
    <row r="11" ht="15.75" customHeight="1">
      <c r="A11" s="213"/>
      <c r="B11" s="502" t="s">
        <v>169</v>
      </c>
      <c r="C11" s="363">
        <f>'The Table'!D22+'The Table'!D23+'The Table'!D24</f>
        <v>17800</v>
      </c>
      <c r="D11" s="1121">
        <f t="shared" si="1"/>
        <v>0.001128106916</v>
      </c>
      <c r="E11" s="1122">
        <f>'The Table'!J22+'The Table'!J23+'The Table'!J24</f>
        <v>16500</v>
      </c>
      <c r="F11" s="1117">
        <f t="shared" si="2"/>
        <v>0.001074042732</v>
      </c>
      <c r="G11" s="1123">
        <f>'The Table'!P22+'The Table'!P23+'The Table'!P24</f>
        <v>14300</v>
      </c>
      <c r="H11" s="1112">
        <f t="shared" si="3"/>
        <v>0.001047380644</v>
      </c>
      <c r="I11" s="1123">
        <f>'The Table'!V22+'The Table'!V23+'The Table'!V24</f>
        <v>19800</v>
      </c>
      <c r="J11" s="1114">
        <f t="shared" si="4"/>
        <v>0.001366259827</v>
      </c>
      <c r="K11" s="1123">
        <f>'The Table'!AB22+'The Table'!AB23+'The Table'!AB24</f>
        <v>20900</v>
      </c>
      <c r="L11" s="1112">
        <f t="shared" si="5"/>
        <v>0.001359323866</v>
      </c>
      <c r="M11" s="1123">
        <f>'The Table'!AH22+'The Table'!AH23+'The Table'!AH24</f>
        <v>15300</v>
      </c>
      <c r="N11" s="1112">
        <f t="shared" si="6"/>
        <v>0.001099573416</v>
      </c>
      <c r="O11" s="1123">
        <f>'The Table'!AN22+'The Table'!AN23+'The Table'!AN24</f>
        <v>18000</v>
      </c>
      <c r="P11" s="1112">
        <f t="shared" si="7"/>
        <v>0.0008335453182</v>
      </c>
      <c r="Q11" s="1123">
        <f>'The Table'!AT22+'The Table'!AT23+'The Table'!AT24</f>
        <v>22800</v>
      </c>
      <c r="R11" s="1112">
        <f t="shared" si="8"/>
        <v>0.0009477074463</v>
      </c>
      <c r="S11" s="1122">
        <f>'The Table'!AZ22</f>
        <v>14400</v>
      </c>
      <c r="T11" s="1124">
        <f t="shared" si="9"/>
        <v>0.0005869568017</v>
      </c>
      <c r="U11" s="1122">
        <f>'The Table'!BF22+'The Table'!BF23+'The Table'!BF24</f>
        <v>17700</v>
      </c>
      <c r="V11" s="1112">
        <f t="shared" si="10"/>
        <v>0.0006749371487</v>
      </c>
      <c r="W11" s="1125">
        <f>'The Table'!BL22+'The Table'!BL23+'The Table'!BL24</f>
        <v>14400</v>
      </c>
      <c r="X11" s="1114">
        <f t="shared" si="11"/>
        <v>0.0006670240928</v>
      </c>
      <c r="Y11" s="1115">
        <f t="shared" si="12"/>
        <v>191900</v>
      </c>
      <c r="Z11" s="1126">
        <v>0.0</v>
      </c>
      <c r="AA11" s="1119">
        <v>0.0</v>
      </c>
    </row>
    <row r="12" ht="15.75" customHeight="1">
      <c r="A12" s="213"/>
      <c r="B12" s="1104" t="s">
        <v>542</v>
      </c>
      <c r="C12" s="1127">
        <f>SUM(C7:C11)</f>
        <v>15778646.28</v>
      </c>
      <c r="D12" s="1128">
        <f t="shared" si="1"/>
        <v>1</v>
      </c>
      <c r="E12" s="1127">
        <f>SUM(E7:E11)</f>
        <v>15362517.25</v>
      </c>
      <c r="F12" s="1128">
        <f>E12/E12</f>
        <v>1</v>
      </c>
      <c r="G12" s="1127">
        <f>SUM(G7:G11)</f>
        <v>13653107</v>
      </c>
      <c r="H12" s="1128">
        <f>G12/G12</f>
        <v>1</v>
      </c>
      <c r="I12" s="1127">
        <f>SUM(I7:I11)</f>
        <v>14492119</v>
      </c>
      <c r="J12" s="1129">
        <f>I12/I12</f>
        <v>1</v>
      </c>
      <c r="K12" s="1127">
        <f>SUM(K7:K11)</f>
        <v>15375291</v>
      </c>
      <c r="L12" s="1128">
        <f>K12/K12</f>
        <v>1</v>
      </c>
      <c r="M12" s="1127">
        <f>SUM(M7:M11)</f>
        <v>13914487</v>
      </c>
      <c r="N12" s="1128">
        <f>M12/M12</f>
        <v>1</v>
      </c>
      <c r="O12" s="1127">
        <f>SUM(O7:O11)</f>
        <v>21594506.75</v>
      </c>
      <c r="P12" s="1128">
        <f>O12/O12</f>
        <v>1</v>
      </c>
      <c r="Q12" s="1127">
        <f>SUM(Q7:Q11)</f>
        <v>24058057.25</v>
      </c>
      <c r="R12" s="1128">
        <f>Q12/Q12</f>
        <v>1</v>
      </c>
      <c r="S12" s="1127">
        <f>SUM(S7:S11)</f>
        <v>24533321.63</v>
      </c>
      <c r="T12" s="1128">
        <f>S12/S12</f>
        <v>1</v>
      </c>
      <c r="U12" s="1127">
        <f>SUM(U7:U11)</f>
        <v>26224664.08</v>
      </c>
      <c r="V12" s="1128">
        <f>U12/U12</f>
        <v>1</v>
      </c>
      <c r="W12" s="1127">
        <f>SUM(W7:W11)</f>
        <v>21588425.6</v>
      </c>
      <c r="X12" s="1129">
        <f>W12/W12</f>
        <v>1</v>
      </c>
      <c r="Y12" s="1130">
        <f t="shared" ref="Y12:Z12" si="14">SUM(Y7:Y11)</f>
        <v>206575142.8</v>
      </c>
      <c r="Z12" s="1130" t="str">
        <f t="shared" si="14"/>
        <v>#ERROR!</v>
      </c>
      <c r="AA12" s="1131" t="str">
        <f>Y12/Z12</f>
        <v>#ERROR!</v>
      </c>
    </row>
    <row r="13" ht="15.75" customHeight="1">
      <c r="A13" s="213"/>
      <c r="B13" s="488"/>
      <c r="C13" s="384"/>
      <c r="D13" s="1132"/>
      <c r="E13" s="1133"/>
      <c r="F13" s="1132"/>
      <c r="G13" s="1133"/>
      <c r="H13" s="1132"/>
      <c r="I13" s="1133"/>
      <c r="J13" s="1134"/>
      <c r="K13" s="1133"/>
      <c r="L13" s="1132"/>
      <c r="M13" s="1133"/>
      <c r="N13" s="1132"/>
      <c r="O13" s="1133"/>
      <c r="P13" s="1132"/>
      <c r="Q13" s="1133"/>
      <c r="R13" s="1132"/>
      <c r="S13" s="1133"/>
      <c r="T13" s="1132"/>
      <c r="U13" s="1133"/>
      <c r="V13" s="1132"/>
      <c r="W13" s="1133"/>
      <c r="X13" s="1134"/>
      <c r="Y13" s="1135"/>
      <c r="Z13" s="1135"/>
      <c r="AA13" s="614"/>
    </row>
    <row r="14" ht="15.75" customHeight="1">
      <c r="A14" s="213"/>
      <c r="B14" s="501" t="s">
        <v>233</v>
      </c>
      <c r="C14" s="351"/>
      <c r="D14" s="1136"/>
      <c r="E14" s="1137"/>
      <c r="F14" s="1136"/>
      <c r="G14" s="1137"/>
      <c r="H14" s="1136"/>
      <c r="I14" s="1137"/>
      <c r="J14" s="1138"/>
      <c r="K14" s="1137"/>
      <c r="L14" s="1136"/>
      <c r="M14" s="1137"/>
      <c r="N14" s="1136"/>
      <c r="O14" s="1137"/>
      <c r="P14" s="1136"/>
      <c r="Q14" s="1137"/>
      <c r="R14" s="1136"/>
      <c r="S14" s="1137"/>
      <c r="T14" s="1136"/>
      <c r="U14" s="1137"/>
      <c r="V14" s="1136"/>
      <c r="W14" s="1137"/>
      <c r="X14" s="1138"/>
      <c r="Y14" s="1139"/>
      <c r="Z14" s="1139"/>
      <c r="AA14" s="603"/>
    </row>
    <row r="15" ht="15.75" customHeight="1">
      <c r="A15" s="213"/>
      <c r="B15" s="492" t="s">
        <v>29</v>
      </c>
      <c r="C15" s="351">
        <f>'The Table'!D41</f>
        <v>6178608.574</v>
      </c>
      <c r="D15" s="1117">
        <f t="shared" ref="D15:D18" si="15">C15/$C$12</f>
        <v>0.3915803969</v>
      </c>
      <c r="E15" s="1118">
        <f>'Summary Sheet - May 2025'!O12</f>
        <v>6046083.153</v>
      </c>
      <c r="F15" s="1117">
        <f t="shared" ref="F15:F17" si="16">E15/$E$12</f>
        <v>0.3935607072</v>
      </c>
      <c r="G15" s="1118">
        <f>'The Table'!P41</f>
        <v>5805699.69</v>
      </c>
      <c r="H15" s="1112">
        <f t="shared" ref="H15:H17" si="17">G15/$G$12</f>
        <v>0.4252291944</v>
      </c>
      <c r="I15" s="1118">
        <f>'The Table'!V41</f>
        <v>6051744.473</v>
      </c>
      <c r="J15" s="1140">
        <f t="shared" ref="J15:J18" si="18">I15/$I$12</f>
        <v>0.4175886545</v>
      </c>
      <c r="K15" s="1118">
        <f>'Summary Sheet - Aug 2025'!O12</f>
        <v>6345823.356</v>
      </c>
      <c r="L15" s="1112">
        <f t="shared" ref="L15:L16" si="19">K15/$K$12</f>
        <v>0.4127286668</v>
      </c>
      <c r="M15" s="1118">
        <f>'The Table'!AH41</f>
        <v>5882122.409</v>
      </c>
      <c r="N15" s="1112">
        <f t="shared" ref="N15:N16" si="20">M15/$M$12</f>
        <v>0.4227336882</v>
      </c>
      <c r="O15" s="1118">
        <f>'The Table'!AN41</f>
        <v>6534411.426</v>
      </c>
      <c r="P15" s="1112">
        <f t="shared" ref="P15:P16" si="21">O15/$O$12</f>
        <v>0.3025960028</v>
      </c>
      <c r="Q15" s="1118">
        <f>'The Table'!AT41</f>
        <v>7549109.649</v>
      </c>
      <c r="R15" s="1117">
        <f t="shared" ref="R15:R16" si="22">Q15/$Q$12</f>
        <v>0.3137871679</v>
      </c>
      <c r="S15" s="1118">
        <f>'The Table'!AZ41</f>
        <v>7461512.55</v>
      </c>
      <c r="T15" s="1117">
        <f t="shared" ref="T15:T16" si="23">S15/$S$12</f>
        <v>0.3041378849</v>
      </c>
      <c r="U15" s="1118">
        <f>'The Table'!BF41</f>
        <v>7798808.919</v>
      </c>
      <c r="V15" s="1112">
        <f t="shared" ref="V15:V16" si="24">U15/$U$12</f>
        <v>0.2973845116</v>
      </c>
      <c r="W15" s="1118">
        <f>'The Table'!BL41</f>
        <v>6871383.541</v>
      </c>
      <c r="X15" s="1114">
        <f t="shared" ref="X15:X16" si="25">W15/$W$12</f>
        <v>0.3182901647</v>
      </c>
      <c r="Y15" s="1115">
        <f t="shared" ref="Y15:Y16" si="26">C15+E15+G15+I15+K15+M15+O15+Q15+S15+U15+W15</f>
        <v>72525307.74</v>
      </c>
      <c r="Z15" s="1120" t="str">
        <f>'The Table'!#REF!</f>
        <v>#ERROR!</v>
      </c>
      <c r="AA15" s="1119" t="str">
        <f t="shared" ref="AA15:AA16" si="27">Y15/Z15</f>
        <v>#ERROR!</v>
      </c>
    </row>
    <row r="16" ht="15.75" customHeight="1">
      <c r="A16" s="213"/>
      <c r="B16" s="492" t="s">
        <v>30</v>
      </c>
      <c r="C16" s="351">
        <f>'The Table'!D42</f>
        <v>46901.94</v>
      </c>
      <c r="D16" s="1117">
        <f t="shared" si="15"/>
        <v>0.002972494545</v>
      </c>
      <c r="E16" s="1118">
        <f>'Summary Sheet - May 2025'!O13</f>
        <v>34701</v>
      </c>
      <c r="F16" s="1117">
        <f t="shared" si="16"/>
        <v>0.002258809506</v>
      </c>
      <c r="G16" s="1118">
        <f>'Summary Sheet - June 2025'!O13</f>
        <v>35524</v>
      </c>
      <c r="H16" s="1112">
        <f t="shared" si="17"/>
        <v>0.002601898601</v>
      </c>
      <c r="I16" s="1118">
        <f>'Summary Sheet - July 2025'!O13</f>
        <v>43488</v>
      </c>
      <c r="J16" s="1140">
        <f t="shared" si="18"/>
        <v>0.003000803402</v>
      </c>
      <c r="K16" s="1118">
        <f>'Summary Sheet - Aug 2025'!O13</f>
        <v>36266</v>
      </c>
      <c r="L16" s="1112">
        <f t="shared" si="19"/>
        <v>0.002358719585</v>
      </c>
      <c r="M16" s="1118">
        <f>'The Table'!AH42</f>
        <v>36263.6</v>
      </c>
      <c r="N16" s="1112">
        <f t="shared" si="20"/>
        <v>0.002606175851</v>
      </c>
      <c r="O16" s="1118">
        <f>'The Table'!AN42</f>
        <v>41995</v>
      </c>
      <c r="P16" s="1112">
        <f t="shared" si="21"/>
        <v>0.001944707535</v>
      </c>
      <c r="Q16" s="1118">
        <f>'The Table'!AT42</f>
        <v>54343</v>
      </c>
      <c r="R16" s="1117">
        <f t="shared" si="22"/>
        <v>0.002258827445</v>
      </c>
      <c r="S16" s="1118">
        <f>'The Table'!AZ42</f>
        <v>36798</v>
      </c>
      <c r="T16" s="1117">
        <f t="shared" si="23"/>
        <v>0.001499919194</v>
      </c>
      <c r="U16" s="1118">
        <f>'The Table'!BF42</f>
        <v>52867.7</v>
      </c>
      <c r="V16" s="1112">
        <f t="shared" si="24"/>
        <v>0.002015953373</v>
      </c>
      <c r="W16" s="1118">
        <f>'The Table'!BN42</f>
        <v>52762.0093</v>
      </c>
      <c r="X16" s="1114">
        <f t="shared" si="25"/>
        <v>0.002443995235</v>
      </c>
      <c r="Y16" s="1115">
        <f t="shared" si="26"/>
        <v>471910.2493</v>
      </c>
      <c r="Z16" s="1120" t="str">
        <f>'The Table'!#REF!</f>
        <v>#ERROR!</v>
      </c>
      <c r="AA16" s="1119" t="str">
        <f t="shared" si="27"/>
        <v>#ERROR!</v>
      </c>
    </row>
    <row r="17" ht="15.75" customHeight="1">
      <c r="A17" s="213"/>
      <c r="B17" s="502" t="s">
        <v>174</v>
      </c>
      <c r="C17" s="363">
        <v>0.0</v>
      </c>
      <c r="D17" s="1121">
        <f t="shared" si="15"/>
        <v>0</v>
      </c>
      <c r="E17" s="1123"/>
      <c r="F17" s="1117">
        <f t="shared" si="16"/>
        <v>0</v>
      </c>
      <c r="G17" s="1123"/>
      <c r="H17" s="1112">
        <f t="shared" si="17"/>
        <v>0</v>
      </c>
      <c r="I17" s="1123"/>
      <c r="J17" s="1140">
        <f t="shared" si="18"/>
        <v>0</v>
      </c>
      <c r="K17" s="1123"/>
      <c r="L17" s="1141"/>
      <c r="M17" s="1123"/>
      <c r="N17" s="1141"/>
      <c r="O17" s="1123"/>
      <c r="P17" s="1141"/>
      <c r="Q17" s="1123"/>
      <c r="R17" s="1141"/>
      <c r="S17" s="1123"/>
      <c r="T17" s="1141"/>
      <c r="U17" s="1123"/>
      <c r="V17" s="1141"/>
      <c r="W17" s="1123"/>
      <c r="X17" s="1142"/>
      <c r="Y17" s="1143"/>
      <c r="Z17" s="1143"/>
      <c r="AA17" s="1144"/>
    </row>
    <row r="18" ht="15.75" customHeight="1">
      <c r="A18" s="213"/>
      <c r="B18" s="1104" t="s">
        <v>31</v>
      </c>
      <c r="C18" s="1127">
        <f>SUM(C15:C17)</f>
        <v>6225510.514</v>
      </c>
      <c r="D18" s="1128">
        <f t="shared" si="15"/>
        <v>0.3945528914</v>
      </c>
      <c r="E18" s="1145">
        <f>SUM(E15:E17)</f>
        <v>6080784.153</v>
      </c>
      <c r="F18" s="1128">
        <f>E18/E12</f>
        <v>0.3958195167</v>
      </c>
      <c r="G18" s="1145">
        <f>SUM(G15:G17)</f>
        <v>5841223.69</v>
      </c>
      <c r="H18" s="1128">
        <f>G18/G12</f>
        <v>0.427831093</v>
      </c>
      <c r="I18" s="1145">
        <f>SUM(I15:I17)</f>
        <v>6095232.473</v>
      </c>
      <c r="J18" s="1129">
        <f t="shared" si="18"/>
        <v>0.4205894579</v>
      </c>
      <c r="K18" s="1145">
        <f>SUM(K15:K17)</f>
        <v>6382089.356</v>
      </c>
      <c r="L18" s="1128">
        <f>K18/K12</f>
        <v>0.4150873864</v>
      </c>
      <c r="M18" s="1145">
        <f>SUM(M15:M17)</f>
        <v>5918386.009</v>
      </c>
      <c r="N18" s="1128">
        <f>M18/M12</f>
        <v>0.4253398641</v>
      </c>
      <c r="O18" s="1145">
        <f>SUM(O15:O17)</f>
        <v>6576406.426</v>
      </c>
      <c r="P18" s="1128">
        <f>+O18/O12</f>
        <v>0.3045407104</v>
      </c>
      <c r="Q18" s="1145">
        <f>SUM(Q15:Q17)</f>
        <v>7603452.649</v>
      </c>
      <c r="R18" s="1128">
        <f>Q18/Q12</f>
        <v>0.3160459953</v>
      </c>
      <c r="S18" s="1145">
        <f>SUM(S15:S17)</f>
        <v>7498310.55</v>
      </c>
      <c r="T18" s="1128">
        <f>S18/S12</f>
        <v>0.3056378041</v>
      </c>
      <c r="U18" s="1145">
        <f>SUM(U15:U17)</f>
        <v>7851676.619</v>
      </c>
      <c r="V18" s="1128">
        <f>U18/U12</f>
        <v>0.299400465</v>
      </c>
      <c r="W18" s="1145">
        <f>SUM(W15:W17)</f>
        <v>6924145.55</v>
      </c>
      <c r="X18" s="1129">
        <f>W18/W12</f>
        <v>0.32073416</v>
      </c>
      <c r="Y18" s="1130">
        <f t="shared" ref="Y18:Z18" si="28">SUM(Y15:Y17)</f>
        <v>72997217.99</v>
      </c>
      <c r="Z18" s="1130" t="str">
        <f t="shared" si="28"/>
        <v>#ERROR!</v>
      </c>
      <c r="AA18" s="1131" t="str">
        <f>Y18/Z18</f>
        <v>#ERROR!</v>
      </c>
    </row>
    <row r="19" ht="15.75" customHeight="1">
      <c r="A19" s="213"/>
      <c r="B19" s="476"/>
      <c r="C19" s="417"/>
      <c r="D19" s="1146"/>
      <c r="E19" s="1147"/>
      <c r="F19" s="1146"/>
      <c r="G19" s="1148" t="str">
        <f>'Summary Sheet - June 2025'!O15</f>
        <v/>
      </c>
      <c r="H19" s="1146"/>
      <c r="I19" s="1147"/>
      <c r="J19" s="1149"/>
      <c r="K19" s="1147"/>
      <c r="L19" s="1146"/>
      <c r="M19" s="1147"/>
      <c r="N19" s="1146"/>
      <c r="O19" s="1147"/>
      <c r="P19" s="1146"/>
      <c r="Q19" s="1147"/>
      <c r="R19" s="1146"/>
      <c r="S19" s="1147"/>
      <c r="T19" s="1146"/>
      <c r="U19" s="1147"/>
      <c r="V19" s="1146"/>
      <c r="W19" s="1147"/>
      <c r="X19" s="1149"/>
      <c r="Y19" s="1150"/>
      <c r="Z19" s="1150"/>
      <c r="AA19" s="620"/>
    </row>
    <row r="20" ht="15.75" customHeight="1">
      <c r="A20" s="213"/>
      <c r="B20" s="1104" t="s">
        <v>33</v>
      </c>
      <c r="C20" s="1127">
        <f>C12-C18</f>
        <v>9553135.77</v>
      </c>
      <c r="D20" s="1128">
        <f>C20/$C$12</f>
        <v>0.6054471086</v>
      </c>
      <c r="E20" s="1145">
        <f>E12-E18</f>
        <v>9281733.097</v>
      </c>
      <c r="F20" s="1128">
        <f>E20/E12</f>
        <v>0.6041804833</v>
      </c>
      <c r="G20" s="1145">
        <f>G12-G18</f>
        <v>7811883.31</v>
      </c>
      <c r="H20" s="1151"/>
      <c r="I20" s="1145">
        <f>I12-I18</f>
        <v>8396886.527</v>
      </c>
      <c r="J20" s="1129">
        <f>I20/$I$12</f>
        <v>0.5794105421</v>
      </c>
      <c r="K20" s="1145">
        <f>K12-K18</f>
        <v>8993201.644</v>
      </c>
      <c r="L20" s="1128">
        <f>K20/K12</f>
        <v>0.5849126136</v>
      </c>
      <c r="M20" s="1145">
        <f>M12-M18</f>
        <v>7996100.991</v>
      </c>
      <c r="N20" s="1128">
        <f>M20/$M$12</f>
        <v>0.5746601359</v>
      </c>
      <c r="O20" s="1145">
        <f>O12-O18</f>
        <v>15018100.32</v>
      </c>
      <c r="P20" s="1128">
        <f>O20/O12</f>
        <v>0.6954592896</v>
      </c>
      <c r="Q20" s="1145">
        <f>Q12-Q18</f>
        <v>16454604.6</v>
      </c>
      <c r="R20" s="1128">
        <f>Q20/Q12</f>
        <v>0.6839540047</v>
      </c>
      <c r="S20" s="1145">
        <f>S12-S18</f>
        <v>17035011.08</v>
      </c>
      <c r="T20" s="1128">
        <f>S20/S12</f>
        <v>0.6943621959</v>
      </c>
      <c r="U20" s="1145">
        <f>U12-U18</f>
        <v>18372987.46</v>
      </c>
      <c r="V20" s="1128">
        <f>U20/U12</f>
        <v>0.700599535</v>
      </c>
      <c r="W20" s="1145">
        <f>W12-W18</f>
        <v>14664280.05</v>
      </c>
      <c r="X20" s="1129">
        <f>W20/W12</f>
        <v>0.67926584</v>
      </c>
      <c r="Y20" s="1130">
        <f t="shared" ref="Y20:Z20" si="29">Y12-Y18</f>
        <v>133577924.9</v>
      </c>
      <c r="Z20" s="1130" t="str">
        <f t="shared" si="29"/>
        <v>#ERROR!</v>
      </c>
      <c r="AA20" s="1131" t="str">
        <f>Y20/Z20</f>
        <v>#ERROR!</v>
      </c>
    </row>
    <row r="21" ht="15.75" customHeight="1">
      <c r="A21" s="213"/>
      <c r="B21" s="488"/>
      <c r="C21" s="384"/>
      <c r="D21" s="1132"/>
      <c r="E21" s="1133"/>
      <c r="F21" s="1132"/>
      <c r="G21" s="1133"/>
      <c r="H21" s="1132"/>
      <c r="I21" s="1133"/>
      <c r="J21" s="1134"/>
      <c r="K21" s="1133"/>
      <c r="L21" s="1132"/>
      <c r="M21" s="1133"/>
      <c r="N21" s="1132"/>
      <c r="O21" s="1133"/>
      <c r="P21" s="1132"/>
      <c r="Q21" s="1133"/>
      <c r="R21" s="1132"/>
      <c r="S21" s="1133"/>
      <c r="T21" s="1132"/>
      <c r="U21" s="1133"/>
      <c r="V21" s="1132"/>
      <c r="W21" s="1133"/>
      <c r="X21" s="1134"/>
      <c r="Y21" s="1135"/>
      <c r="Z21" s="1135"/>
      <c r="AA21" s="614"/>
    </row>
    <row r="22" ht="15.75" customHeight="1">
      <c r="A22" s="213"/>
      <c r="B22" s="492" t="s">
        <v>34</v>
      </c>
      <c r="C22" s="351">
        <f>'The Table'!D53</f>
        <v>474176.8</v>
      </c>
      <c r="D22" s="1117">
        <f t="shared" ref="D22:D38" si="30">C22/$C$12</f>
        <v>0.03005180492</v>
      </c>
      <c r="E22" s="1118">
        <f>'Summary Sheet - May 2025'!O18</f>
        <v>448886</v>
      </c>
      <c r="F22" s="1117">
        <f t="shared" ref="F22:F37" si="31">E22/$E$12</f>
        <v>0.02921956036</v>
      </c>
      <c r="G22" s="1118">
        <f>'Summary Sheet - June 2025'!O18</f>
        <v>376442</v>
      </c>
      <c r="H22" s="1117">
        <f t="shared" ref="H22:H37" si="32">G22/$G$12</f>
        <v>0.02757189261</v>
      </c>
      <c r="I22" s="1118">
        <f>'Summary Sheet - July 2025'!O18</f>
        <v>507697</v>
      </c>
      <c r="J22" s="1140">
        <f t="shared" ref="J22:J37" si="33">I22/$I$12</f>
        <v>0.03503262704</v>
      </c>
      <c r="K22" s="1118">
        <f>'Summary Sheet - Aug 2025'!O18</f>
        <v>312032</v>
      </c>
      <c r="L22" s="1112">
        <f t="shared" ref="L22:L37" si="34">K22/$K$12</f>
        <v>0.02029438012</v>
      </c>
      <c r="M22" s="1118">
        <f>'The Table'!AH53</f>
        <v>334132.52</v>
      </c>
      <c r="N22" s="1112">
        <f t="shared" ref="N22:N38" si="35">M22/$M$12</f>
        <v>0.02401328342</v>
      </c>
      <c r="O22" s="1118">
        <f>'The Table'!AN53</f>
        <v>458286</v>
      </c>
      <c r="P22" s="1112">
        <f t="shared" ref="P22:P37" si="36">O22/$O$12</f>
        <v>0.02122234165</v>
      </c>
      <c r="Q22" s="1118">
        <f>'The Table'!AT53</f>
        <v>462631</v>
      </c>
      <c r="R22" s="1117">
        <f t="shared" ref="R22:R35" si="37">Q22/$Q$12</f>
        <v>0.01922977384</v>
      </c>
      <c r="S22" s="1118">
        <f>'The Table'!AZ53</f>
        <v>430259.32</v>
      </c>
      <c r="T22" s="1117">
        <f t="shared" ref="T22:T37" si="38">S22/$S$12</f>
        <v>0.01753775239</v>
      </c>
      <c r="U22" s="1118">
        <f>'The Table'!BF53</f>
        <v>370441.41</v>
      </c>
      <c r="V22" s="1112">
        <f t="shared" ref="V22:V37" si="39">U22/$U$12</f>
        <v>0.01412568752</v>
      </c>
      <c r="W22" s="1118">
        <f>'The Table'!BL53</f>
        <v>366132.16</v>
      </c>
      <c r="X22" s="1114">
        <f t="shared" ref="X22:X37" si="40">W22/$W$12</f>
        <v>0.01695965082</v>
      </c>
      <c r="Y22" s="1115">
        <f t="shared" ref="Y22:Y37" si="41">C22+E22+G22+I22+K22+M22+O22+Q22+S22+U22+W22</f>
        <v>4541116.21</v>
      </c>
      <c r="Z22" s="1120" t="str">
        <f>'The Table'!#REF!</f>
        <v>#ERROR!</v>
      </c>
      <c r="AA22" s="1119" t="str">
        <f t="shared" ref="AA22:AA34" si="42">Y22/Z22</f>
        <v>#ERROR!</v>
      </c>
    </row>
    <row r="23" ht="15.75" customHeight="1">
      <c r="A23" s="213"/>
      <c r="B23" s="492" t="s">
        <v>35</v>
      </c>
      <c r="C23" s="351">
        <f>'The Table'!D62</f>
        <v>8554.666667</v>
      </c>
      <c r="D23" s="1117">
        <f t="shared" si="30"/>
        <v>0.0005421673389</v>
      </c>
      <c r="E23" s="1118">
        <f>'Summary Sheet - May 2025'!O19</f>
        <v>8814.666667</v>
      </c>
      <c r="F23" s="1117">
        <f t="shared" si="31"/>
        <v>0.0005737774951</v>
      </c>
      <c r="G23" s="1118">
        <f>'Summary Sheet - June 2025'!O19</f>
        <v>91024.66667</v>
      </c>
      <c r="H23" s="1117">
        <f t="shared" si="32"/>
        <v>0.006666956222</v>
      </c>
      <c r="I23" s="1118">
        <f>'Summary Sheet - July 2025'!O19</f>
        <v>300020.6667</v>
      </c>
      <c r="J23" s="1140">
        <f t="shared" si="33"/>
        <v>0.02070233253</v>
      </c>
      <c r="K23" s="1118">
        <f>'The Table'!AB62</f>
        <v>82778.66667</v>
      </c>
      <c r="L23" s="1112">
        <f t="shared" si="34"/>
        <v>0.00538387642</v>
      </c>
      <c r="M23" s="1118">
        <f>'The Table'!AH62</f>
        <v>150288.6667</v>
      </c>
      <c r="N23" s="1112">
        <f t="shared" si="35"/>
        <v>0.01080087729</v>
      </c>
      <c r="O23" s="1118">
        <f>'The Table'!AN62</f>
        <v>238775.6667</v>
      </c>
      <c r="P23" s="1112">
        <f t="shared" si="36"/>
        <v>0.01105724106</v>
      </c>
      <c r="Q23" s="1118">
        <f>'The Table'!AT62</f>
        <v>174567.6667</v>
      </c>
      <c r="R23" s="1117">
        <f t="shared" si="37"/>
        <v>0.007256099894</v>
      </c>
      <c r="S23" s="1118">
        <f>'The Table'!AZ62</f>
        <v>6721.666667</v>
      </c>
      <c r="T23" s="1117">
        <f t="shared" si="38"/>
        <v>0.000273981109</v>
      </c>
      <c r="U23" s="1118">
        <f>'The Table'!BF62</f>
        <v>248600</v>
      </c>
      <c r="V23" s="1112">
        <f t="shared" si="39"/>
        <v>0.009479625716</v>
      </c>
      <c r="W23" s="1118">
        <f>'The Table'!BL62</f>
        <v>6195</v>
      </c>
      <c r="X23" s="1114">
        <f t="shared" si="40"/>
        <v>0.0002869593232</v>
      </c>
      <c r="Y23" s="1115">
        <f t="shared" si="41"/>
        <v>1316342</v>
      </c>
      <c r="Z23" s="1120" t="str">
        <f>'The Table'!#REF!</f>
        <v>#ERROR!</v>
      </c>
      <c r="AA23" s="1119" t="str">
        <f t="shared" si="42"/>
        <v>#ERROR!</v>
      </c>
    </row>
    <row r="24" ht="15.75" customHeight="1">
      <c r="A24" s="213"/>
      <c r="B24" s="492" t="s">
        <v>36</v>
      </c>
      <c r="C24" s="351">
        <f>'The Table'!D70</f>
        <v>90337.812</v>
      </c>
      <c r="D24" s="1117">
        <f t="shared" si="30"/>
        <v>0.005725320815</v>
      </c>
      <c r="E24" s="1118">
        <f>'Summary Sheet - May 2025'!O20</f>
        <v>93190.7356</v>
      </c>
      <c r="F24" s="1117">
        <f t="shared" si="31"/>
        <v>0.006066111047</v>
      </c>
      <c r="G24" s="1118">
        <f>'Summary Sheet - June 2025'!O20</f>
        <v>61219.8162</v>
      </c>
      <c r="H24" s="1117">
        <f t="shared" si="32"/>
        <v>0.004483947588</v>
      </c>
      <c r="I24" s="1118">
        <f>'Summary Sheet - July 2025'!O20</f>
        <v>69655.83</v>
      </c>
      <c r="J24" s="1140">
        <f t="shared" si="33"/>
        <v>0.00480646274</v>
      </c>
      <c r="K24" s="1118">
        <f>'The Table'!AB70</f>
        <v>78585.23</v>
      </c>
      <c r="L24" s="1112">
        <f t="shared" si="34"/>
        <v>0.005111137734</v>
      </c>
      <c r="M24" s="1118">
        <f>'The Table'!AH70</f>
        <v>88742.33</v>
      </c>
      <c r="N24" s="1112">
        <f t="shared" si="35"/>
        <v>0.006377693263</v>
      </c>
      <c r="O24" s="1118">
        <f>'The Table'!AN70</f>
        <v>88338.7125</v>
      </c>
      <c r="P24" s="1112">
        <f t="shared" si="36"/>
        <v>0.004090795568</v>
      </c>
      <c r="Q24" s="1118">
        <f>'The Table'!AT70</f>
        <v>117983.9246</v>
      </c>
      <c r="R24" s="1117">
        <f t="shared" si="37"/>
        <v>0.004904133504</v>
      </c>
      <c r="S24" s="1118">
        <f>'The Table'!AZ70</f>
        <v>113293.23</v>
      </c>
      <c r="T24" s="1117">
        <f t="shared" si="38"/>
        <v>0.004617932774</v>
      </c>
      <c r="U24" s="1118">
        <f>'The Table'!BF70</f>
        <v>118037.58</v>
      </c>
      <c r="V24" s="1112">
        <f t="shared" si="39"/>
        <v>0.004501013994</v>
      </c>
      <c r="W24" s="1118">
        <f>'The Table'!BL70</f>
        <v>94913.42</v>
      </c>
      <c r="X24" s="1114">
        <f t="shared" si="40"/>
        <v>0.004396495685</v>
      </c>
      <c r="Y24" s="1115">
        <f t="shared" si="41"/>
        <v>1014298.621</v>
      </c>
      <c r="Z24" s="1120" t="str">
        <f>'The Table'!#REF!</f>
        <v>#ERROR!</v>
      </c>
      <c r="AA24" s="1119" t="str">
        <f t="shared" si="42"/>
        <v>#ERROR!</v>
      </c>
    </row>
    <row r="25" ht="15.75" customHeight="1">
      <c r="A25" s="213"/>
      <c r="B25" s="492" t="s">
        <v>37</v>
      </c>
      <c r="C25" s="351">
        <f>'The Table'!D76</f>
        <v>1793679</v>
      </c>
      <c r="D25" s="1117">
        <f t="shared" si="30"/>
        <v>0.1136776228</v>
      </c>
      <c r="E25" s="1118">
        <f>'Summary Sheet - May 2025'!O21</f>
        <v>1793621</v>
      </c>
      <c r="F25" s="1117">
        <f t="shared" si="31"/>
        <v>0.1167530666</v>
      </c>
      <c r="G25" s="1118">
        <f>'Summary Sheet - June 2025'!O21</f>
        <v>1785645</v>
      </c>
      <c r="H25" s="1117">
        <f t="shared" si="32"/>
        <v>0.130786714</v>
      </c>
      <c r="I25" s="1118">
        <f>'Summary Sheet - July 2025'!O21</f>
        <v>1679246</v>
      </c>
      <c r="J25" s="1140">
        <f t="shared" si="33"/>
        <v>0.115873048</v>
      </c>
      <c r="K25" s="1118">
        <f>'The Table'!AB76</f>
        <v>1686002</v>
      </c>
      <c r="L25" s="1112">
        <f t="shared" si="34"/>
        <v>0.1096565912</v>
      </c>
      <c r="M25" s="1118">
        <f>'The Table'!AH76</f>
        <v>1791521</v>
      </c>
      <c r="N25" s="1112">
        <f t="shared" si="35"/>
        <v>0.1287522134</v>
      </c>
      <c r="O25" s="1118">
        <f>'The Table'!AN76</f>
        <v>1784992</v>
      </c>
      <c r="P25" s="1112">
        <f t="shared" si="36"/>
        <v>0.08265954026</v>
      </c>
      <c r="Q25" s="1118">
        <f>'The Table'!AT76</f>
        <v>1774558</v>
      </c>
      <c r="R25" s="1117">
        <f t="shared" si="37"/>
        <v>0.0737614838</v>
      </c>
      <c r="S25" s="1118">
        <f>'The Table'!AZ76</f>
        <v>1780414</v>
      </c>
      <c r="T25" s="1117">
        <f t="shared" si="38"/>
        <v>0.07257125745</v>
      </c>
      <c r="U25" s="1118">
        <f>'The Table'!BF76</f>
        <v>1804122</v>
      </c>
      <c r="V25" s="1112">
        <f t="shared" si="39"/>
        <v>0.06879485642</v>
      </c>
      <c r="W25" s="1118">
        <f>'The Table'!BL76</f>
        <v>1804183</v>
      </c>
      <c r="X25" s="1114">
        <f t="shared" si="40"/>
        <v>0.08357177283</v>
      </c>
      <c r="Y25" s="1115">
        <f t="shared" si="41"/>
        <v>19477983</v>
      </c>
      <c r="Z25" s="1120" t="str">
        <f>'The Table'!#REF!</f>
        <v>#ERROR!</v>
      </c>
      <c r="AA25" s="1119" t="str">
        <f t="shared" si="42"/>
        <v>#ERROR!</v>
      </c>
    </row>
    <row r="26" ht="15.75" customHeight="1">
      <c r="A26" s="213"/>
      <c r="B26" s="492" t="s">
        <v>38</v>
      </c>
      <c r="C26" s="351">
        <f>'The Table'!D82</f>
        <v>5192469.557</v>
      </c>
      <c r="D26" s="1117">
        <f t="shared" si="30"/>
        <v>0.3290820685</v>
      </c>
      <c r="E26" s="1118">
        <f>'Summary Sheet - May 2025'!O22</f>
        <v>5167716.157</v>
      </c>
      <c r="F26" s="1117">
        <f t="shared" si="31"/>
        <v>0.3363847261</v>
      </c>
      <c r="G26" s="1118">
        <f>'Summary Sheet - June 2025'!O22</f>
        <v>5173410.817</v>
      </c>
      <c r="H26" s="1117">
        <f t="shared" si="32"/>
        <v>0.3789182064</v>
      </c>
      <c r="I26" s="1118">
        <f>'Summary Sheet - July 2025'!O22</f>
        <v>5194668.301</v>
      </c>
      <c r="J26" s="1140">
        <f t="shared" si="33"/>
        <v>0.3584478088</v>
      </c>
      <c r="K26" s="1118">
        <f>'The Table'!AB82</f>
        <v>5324960.865</v>
      </c>
      <c r="L26" s="1112">
        <f t="shared" si="34"/>
        <v>0.346332363</v>
      </c>
      <c r="M26" s="1118">
        <f>'The Table'!AH82</f>
        <v>5164915.017</v>
      </c>
      <c r="N26" s="1112">
        <f t="shared" si="35"/>
        <v>0.3711897547</v>
      </c>
      <c r="O26" s="1118">
        <f>'The Table'!AN82</f>
        <v>5612045.647</v>
      </c>
      <c r="P26" s="1112">
        <f t="shared" si="36"/>
        <v>0.2598830208</v>
      </c>
      <c r="Q26" s="1118">
        <f>'The Table'!AT82</f>
        <v>5266901.517</v>
      </c>
      <c r="R26" s="1117">
        <f t="shared" si="37"/>
        <v>0.2189246398</v>
      </c>
      <c r="S26" s="1118">
        <f>'The Table'!AZ82</f>
        <v>5490794.947</v>
      </c>
      <c r="T26" s="1117">
        <f t="shared" si="38"/>
        <v>0.2238096834</v>
      </c>
      <c r="U26" s="1118">
        <f>'The Table'!BF82</f>
        <v>5630611.597</v>
      </c>
      <c r="V26" s="1112">
        <f t="shared" si="39"/>
        <v>0.2147067196</v>
      </c>
      <c r="W26" s="1118">
        <f>'The Table'!BL82</f>
        <v>5047880.317</v>
      </c>
      <c r="X26" s="1114">
        <f t="shared" si="40"/>
        <v>0.2338234575</v>
      </c>
      <c r="Y26" s="1115">
        <f t="shared" si="41"/>
        <v>58266374.74</v>
      </c>
      <c r="Z26" s="1120" t="str">
        <f>'The Table'!#REF!</f>
        <v>#ERROR!</v>
      </c>
      <c r="AA26" s="1119" t="str">
        <f t="shared" si="42"/>
        <v>#ERROR!</v>
      </c>
    </row>
    <row r="27" ht="15.75" customHeight="1">
      <c r="A27" s="213"/>
      <c r="B27" s="492" t="s">
        <v>39</v>
      </c>
      <c r="C27" s="351">
        <f>'The Table'!D91</f>
        <v>261175.74</v>
      </c>
      <c r="D27" s="1117">
        <f t="shared" si="30"/>
        <v>0.01655248082</v>
      </c>
      <c r="E27" s="1118">
        <f>'Summary Sheet - May 2025'!O23</f>
        <v>207243.59</v>
      </c>
      <c r="F27" s="1117">
        <f t="shared" si="31"/>
        <v>0.0134902104</v>
      </c>
      <c r="G27" s="1118">
        <f>'Summary Sheet - June 2025'!O23</f>
        <v>209371.25</v>
      </c>
      <c r="H27" s="1117">
        <f t="shared" si="32"/>
        <v>0.01533506256</v>
      </c>
      <c r="I27" s="1118">
        <f>'Summary Sheet - July 2025'!O23</f>
        <v>192265.66</v>
      </c>
      <c r="J27" s="1140">
        <f t="shared" si="33"/>
        <v>0.01326691148</v>
      </c>
      <c r="K27" s="1118">
        <f>'The Table'!AB91</f>
        <v>213360</v>
      </c>
      <c r="L27" s="1112">
        <f t="shared" si="34"/>
        <v>0.01387681053</v>
      </c>
      <c r="M27" s="1118">
        <f>'The Table'!AH91</f>
        <v>206543.96</v>
      </c>
      <c r="N27" s="1112">
        <f t="shared" si="35"/>
        <v>0.01484380703</v>
      </c>
      <c r="O27" s="1118">
        <f>'The Table'!AN91</f>
        <v>297228.65</v>
      </c>
      <c r="P27" s="1112">
        <f t="shared" si="36"/>
        <v>0.01376408609</v>
      </c>
      <c r="Q27" s="1118">
        <f>'The Table'!AT91</f>
        <v>341974.48</v>
      </c>
      <c r="R27" s="1117">
        <f t="shared" si="37"/>
        <v>0.01421455093</v>
      </c>
      <c r="S27" s="1118">
        <f>'The Table'!AZ91</f>
        <v>379491.44</v>
      </c>
      <c r="T27" s="1117">
        <f t="shared" si="38"/>
        <v>0.01546840847</v>
      </c>
      <c r="U27" s="1118">
        <f>'The Table'!BF91</f>
        <v>435354.53</v>
      </c>
      <c r="V27" s="1112">
        <f t="shared" si="39"/>
        <v>0.01660095735</v>
      </c>
      <c r="W27" s="1118">
        <f>'The Table'!BL91</f>
        <v>441816.91</v>
      </c>
      <c r="X27" s="1114">
        <f t="shared" si="40"/>
        <v>0.02046545302</v>
      </c>
      <c r="Y27" s="1115">
        <f t="shared" si="41"/>
        <v>3185826.21</v>
      </c>
      <c r="Z27" s="1120" t="str">
        <f>'The Table'!#REF!</f>
        <v>#ERROR!</v>
      </c>
      <c r="AA27" s="1119" t="str">
        <f t="shared" si="42"/>
        <v>#ERROR!</v>
      </c>
    </row>
    <row r="28" ht="15.75" customHeight="1">
      <c r="A28" s="213"/>
      <c r="B28" s="492" t="s">
        <v>40</v>
      </c>
      <c r="C28" s="351">
        <f>'The Table'!D94</f>
        <v>36285</v>
      </c>
      <c r="D28" s="1117">
        <f t="shared" si="30"/>
        <v>0.002299626935</v>
      </c>
      <c r="E28" s="1118">
        <f>'Summary Sheet - May 2025'!O24</f>
        <v>37760</v>
      </c>
      <c r="F28" s="1117">
        <f t="shared" si="31"/>
        <v>0.002457930519</v>
      </c>
      <c r="G28" s="1118">
        <f>'Summary Sheet - June 2025'!O24</f>
        <v>52156</v>
      </c>
      <c r="H28" s="1117">
        <f t="shared" si="32"/>
        <v>0.003820082857</v>
      </c>
      <c r="I28" s="1118">
        <f>'Summary Sheet - July 2025'!O24</f>
        <v>35400</v>
      </c>
      <c r="J28" s="1140">
        <f t="shared" si="33"/>
        <v>0.002442706964</v>
      </c>
      <c r="K28" s="1118">
        <f>'The Table'!AB94</f>
        <v>35400</v>
      </c>
      <c r="L28" s="1112">
        <f t="shared" si="34"/>
        <v>0.002302395447</v>
      </c>
      <c r="M28" s="1118">
        <f>'The Table'!AH94</f>
        <v>35400</v>
      </c>
      <c r="N28" s="1112">
        <f t="shared" si="35"/>
        <v>0.002544111041</v>
      </c>
      <c r="O28" s="1118">
        <f>'The Table'!AN94</f>
        <v>39203</v>
      </c>
      <c r="P28" s="1112">
        <f t="shared" si="36"/>
        <v>0.001815415395</v>
      </c>
      <c r="Q28" s="1118">
        <f>'The Table'!AT94</f>
        <v>35400</v>
      </c>
      <c r="R28" s="1117">
        <f t="shared" si="37"/>
        <v>0.001471440509</v>
      </c>
      <c r="S28" s="1118">
        <f>'The Table'!AZ94</f>
        <v>39530</v>
      </c>
      <c r="T28" s="1117">
        <f t="shared" si="38"/>
        <v>0.001611277943</v>
      </c>
      <c r="U28" s="1118">
        <f>'The Table'!BF94</f>
        <v>35400</v>
      </c>
      <c r="V28" s="1112">
        <f t="shared" si="39"/>
        <v>0.001349874297</v>
      </c>
      <c r="W28" s="1118">
        <f>'The Table'!BL94</f>
        <v>35400</v>
      </c>
      <c r="X28" s="1114">
        <f t="shared" si="40"/>
        <v>0.001639767561</v>
      </c>
      <c r="Y28" s="1115">
        <f t="shared" si="41"/>
        <v>417334</v>
      </c>
      <c r="Z28" s="1120" t="str">
        <f>'The Table'!#REF!</f>
        <v>#ERROR!</v>
      </c>
      <c r="AA28" s="1119" t="str">
        <f t="shared" si="42"/>
        <v>#ERROR!</v>
      </c>
    </row>
    <row r="29" ht="15.75" customHeight="1">
      <c r="A29" s="213"/>
      <c r="B29" s="492" t="s">
        <v>41</v>
      </c>
      <c r="C29" s="351">
        <f>'The Table'!D99</f>
        <v>320516.0833</v>
      </c>
      <c r="D29" s="1117">
        <f t="shared" si="30"/>
        <v>0.02031328148</v>
      </c>
      <c r="E29" s="1118">
        <f>'Summary Sheet - May 2025'!O25</f>
        <v>307876.0833</v>
      </c>
      <c r="F29" s="1117">
        <f t="shared" si="31"/>
        <v>0.0200407315</v>
      </c>
      <c r="G29" s="1118">
        <f>'Summary Sheet - June 2025'!O25</f>
        <v>303026.0833</v>
      </c>
      <c r="H29" s="1117">
        <f t="shared" si="32"/>
        <v>0.02219466114</v>
      </c>
      <c r="I29" s="1118">
        <f>'Summary Sheet - July 2025'!O25</f>
        <v>375080.0833</v>
      </c>
      <c r="J29" s="1140">
        <f t="shared" si="33"/>
        <v>0.02588165908</v>
      </c>
      <c r="K29" s="1118">
        <f>'The Table'!AB99</f>
        <v>302694.0833</v>
      </c>
      <c r="L29" s="1112">
        <f t="shared" si="34"/>
        <v>0.01968704744</v>
      </c>
      <c r="M29" s="1118">
        <f>'The Table'!AH99</f>
        <v>378490.0833</v>
      </c>
      <c r="N29" s="1112">
        <f t="shared" si="35"/>
        <v>0.02720115254</v>
      </c>
      <c r="O29" s="1118">
        <f>'The Table'!AN99</f>
        <v>312345.0833</v>
      </c>
      <c r="P29" s="1112">
        <f t="shared" si="36"/>
        <v>0.01446409899</v>
      </c>
      <c r="Q29" s="1118">
        <f>'The Table'!AT99</f>
        <v>283929.25</v>
      </c>
      <c r="R29" s="1117">
        <f t="shared" si="37"/>
        <v>0.01180183616</v>
      </c>
      <c r="S29" s="1118">
        <f>'The Table'!AZ99</f>
        <v>316546.4167</v>
      </c>
      <c r="T29" s="1117">
        <f t="shared" si="38"/>
        <v>0.01290271336</v>
      </c>
      <c r="U29" s="1118">
        <f>'The Table'!BF99</f>
        <v>383452.4167</v>
      </c>
      <c r="V29" s="1112">
        <f t="shared" si="39"/>
        <v>0.01462182377</v>
      </c>
      <c r="W29" s="1118">
        <f>'The Table'!BL99</f>
        <v>408377.2167</v>
      </c>
      <c r="X29" s="1114">
        <f t="shared" si="40"/>
        <v>0.01891648906</v>
      </c>
      <c r="Y29" s="1115">
        <f t="shared" si="41"/>
        <v>3692332.883</v>
      </c>
      <c r="Z29" s="1120" t="str">
        <f>'The Table'!#REF!</f>
        <v>#ERROR!</v>
      </c>
      <c r="AA29" s="1119" t="str">
        <f t="shared" si="42"/>
        <v>#ERROR!</v>
      </c>
    </row>
    <row r="30" ht="15.75" customHeight="1">
      <c r="A30" s="213"/>
      <c r="B30" s="492" t="s">
        <v>543</v>
      </c>
      <c r="C30" s="351">
        <f>'The Table'!D106</f>
        <v>40033.58333</v>
      </c>
      <c r="D30" s="1117">
        <f t="shared" si="30"/>
        <v>0.002537200126</v>
      </c>
      <c r="E30" s="1118">
        <f>'The Table'!J106</f>
        <v>40033.58333</v>
      </c>
      <c r="F30" s="1117">
        <f t="shared" si="31"/>
        <v>0.002605926013</v>
      </c>
      <c r="G30" s="1118">
        <f>'The Table'!P106</f>
        <v>32776.58333</v>
      </c>
      <c r="H30" s="1117">
        <f t="shared" si="32"/>
        <v>0.002400668458</v>
      </c>
      <c r="I30" s="1118">
        <f>'The Table'!V107</f>
        <v>32776.58333</v>
      </c>
      <c r="J30" s="1140">
        <f t="shared" si="33"/>
        <v>0.002261683287</v>
      </c>
      <c r="K30" s="1118">
        <f>'The Table'!AB107</f>
        <v>32776.58333</v>
      </c>
      <c r="L30" s="1112">
        <f t="shared" si="34"/>
        <v>0.00213176995</v>
      </c>
      <c r="M30" s="1118">
        <f>'The Table'!AH107</f>
        <v>32776.58333</v>
      </c>
      <c r="N30" s="1112">
        <f t="shared" si="35"/>
        <v>0.002355572529</v>
      </c>
      <c r="O30" s="1118">
        <f>'The Table'!AN106</f>
        <v>32776.58333</v>
      </c>
      <c r="P30" s="1112">
        <f t="shared" si="36"/>
        <v>0.001517820421</v>
      </c>
      <c r="Q30" s="1118">
        <f>'The Table'!AT106</f>
        <v>30760.75</v>
      </c>
      <c r="R30" s="1117">
        <f t="shared" si="37"/>
        <v>0.001278604905</v>
      </c>
      <c r="S30" s="1118">
        <f>'The Table'!AZ106</f>
        <v>30888.91667</v>
      </c>
      <c r="T30" s="1117">
        <f t="shared" si="38"/>
        <v>0.001259059704</v>
      </c>
      <c r="U30" s="1118">
        <f>'The Table'!BF106</f>
        <v>30888.91667</v>
      </c>
      <c r="V30" s="1112">
        <f t="shared" si="39"/>
        <v>0.001177857477</v>
      </c>
      <c r="W30" s="1118">
        <f>'The Table'!BL106</f>
        <v>30888.91667</v>
      </c>
      <c r="X30" s="1114">
        <f t="shared" si="40"/>
        <v>0.00143080914</v>
      </c>
      <c r="Y30" s="1115">
        <f t="shared" si="41"/>
        <v>367377.5833</v>
      </c>
      <c r="Z30" s="1120" t="str">
        <f>'The Table'!#REF!</f>
        <v>#ERROR!</v>
      </c>
      <c r="AA30" s="1119" t="str">
        <f t="shared" si="42"/>
        <v>#ERROR!</v>
      </c>
    </row>
    <row r="31" ht="15.75" customHeight="1">
      <c r="A31" s="213"/>
      <c r="B31" s="492" t="s">
        <v>285</v>
      </c>
      <c r="C31" s="351">
        <f>'The Table'!D112</f>
        <v>10398.33333</v>
      </c>
      <c r="D31" s="1117">
        <f t="shared" si="30"/>
        <v>0.0006590130196</v>
      </c>
      <c r="E31" s="1118">
        <f>'The Table'!J112</f>
        <v>10398.33333</v>
      </c>
      <c r="F31" s="1117">
        <f t="shared" si="31"/>
        <v>0.0006768638996</v>
      </c>
      <c r="G31" s="1118">
        <f>'The Table'!P112</f>
        <v>10398.33333</v>
      </c>
      <c r="H31" s="1117">
        <f t="shared" si="32"/>
        <v>0.000761609305</v>
      </c>
      <c r="I31" s="1118">
        <f>'The Table'!V112</f>
        <v>10398.33333</v>
      </c>
      <c r="J31" s="1140">
        <f t="shared" si="33"/>
        <v>0.0007175164193</v>
      </c>
      <c r="K31" s="1118">
        <f>'The Table'!AB112</f>
        <v>10398.33333</v>
      </c>
      <c r="L31" s="1112">
        <f t="shared" si="34"/>
        <v>0.0006763015629</v>
      </c>
      <c r="M31" s="1118">
        <f>'The Table'!AH112</f>
        <v>10398.33333</v>
      </c>
      <c r="N31" s="1112">
        <f t="shared" si="35"/>
        <v>0.0007473026733</v>
      </c>
      <c r="O31" s="1118">
        <f>'The Table'!AN112</f>
        <v>10398.33333</v>
      </c>
      <c r="P31" s="1112">
        <f t="shared" si="36"/>
        <v>0.0004815267815</v>
      </c>
      <c r="Q31" s="1118">
        <f>'The Table'!AT112</f>
        <v>10398.33333</v>
      </c>
      <c r="R31" s="1117">
        <f t="shared" si="37"/>
        <v>0.0004322183302</v>
      </c>
      <c r="S31" s="1118">
        <f>'The Table'!AZ112</f>
        <v>10398.33333</v>
      </c>
      <c r="T31" s="1117">
        <f t="shared" si="38"/>
        <v>0.0004238453109</v>
      </c>
      <c r="U31" s="1118">
        <f>'The Table'!BF112</f>
        <v>10398.33333</v>
      </c>
      <c r="V31" s="1112">
        <f t="shared" si="39"/>
        <v>0.0003965096865</v>
      </c>
      <c r="W31" s="1118">
        <f>'The Table'!BL112</f>
        <v>10398.33333</v>
      </c>
      <c r="X31" s="1114">
        <f t="shared" si="40"/>
        <v>0.0004816624207</v>
      </c>
      <c r="Y31" s="1115">
        <f t="shared" si="41"/>
        <v>114381.6667</v>
      </c>
      <c r="Z31" s="1120" t="str">
        <f>'The Table'!#REF!</f>
        <v>#ERROR!</v>
      </c>
      <c r="AA31" s="1119" t="str">
        <f t="shared" si="42"/>
        <v>#ERROR!</v>
      </c>
    </row>
    <row r="32" ht="15.75" customHeight="1">
      <c r="A32" s="213"/>
      <c r="B32" s="492" t="s">
        <v>286</v>
      </c>
      <c r="C32" s="351">
        <f>'The Table'!D114</f>
        <v>46298</v>
      </c>
      <c r="D32" s="1117">
        <f t="shared" si="30"/>
        <v>0.002934218764</v>
      </c>
      <c r="E32" s="1118">
        <f>'The Table'!J114</f>
        <v>44301</v>
      </c>
      <c r="F32" s="1117">
        <f t="shared" si="31"/>
        <v>0.002883707096</v>
      </c>
      <c r="G32" s="1118">
        <f>'The Table'!P114</f>
        <v>45863</v>
      </c>
      <c r="H32" s="1117">
        <f t="shared" si="32"/>
        <v>0.003359162131</v>
      </c>
      <c r="I32" s="1118">
        <f>'The Table'!V114</f>
        <v>46734</v>
      </c>
      <c r="J32" s="1140">
        <f t="shared" si="33"/>
        <v>0.00322478721</v>
      </c>
      <c r="K32" s="1118">
        <f>'The Table'!AB114</f>
        <v>45433</v>
      </c>
      <c r="L32" s="1112">
        <f t="shared" si="34"/>
        <v>0.002954935942</v>
      </c>
      <c r="M32" s="1118">
        <f>'The Table'!AH114</f>
        <v>42930</v>
      </c>
      <c r="N32" s="1112">
        <f t="shared" si="35"/>
        <v>0.003085273643</v>
      </c>
      <c r="O32" s="1118">
        <f>'The Table'!AN114</f>
        <v>50167</v>
      </c>
      <c r="P32" s="1112">
        <f t="shared" si="36"/>
        <v>0.00232313711</v>
      </c>
      <c r="Q32" s="1118">
        <f>'The Table'!AT114</f>
        <v>46026</v>
      </c>
      <c r="R32" s="1117">
        <f t="shared" si="37"/>
        <v>0.001913122058</v>
      </c>
      <c r="S32" s="1118">
        <f>'The Table'!AZ114</f>
        <v>47232</v>
      </c>
      <c r="T32" s="1117">
        <f t="shared" si="38"/>
        <v>0.00192521831</v>
      </c>
      <c r="U32" s="1118">
        <f>'The Table'!BF114</f>
        <v>57453</v>
      </c>
      <c r="V32" s="1112">
        <f t="shared" si="39"/>
        <v>0.002190800226</v>
      </c>
      <c r="W32" s="1118">
        <f>'The Table'!BL114</f>
        <v>44625</v>
      </c>
      <c r="X32" s="1114">
        <f t="shared" si="40"/>
        <v>0.002067079871</v>
      </c>
      <c r="Y32" s="1115">
        <f t="shared" si="41"/>
        <v>517062</v>
      </c>
      <c r="Z32" s="1120" t="str">
        <f>'The Table'!#REF!</f>
        <v>#ERROR!</v>
      </c>
      <c r="AA32" s="1119" t="str">
        <f t="shared" si="42"/>
        <v>#ERROR!</v>
      </c>
    </row>
    <row r="33" ht="15.75" customHeight="1">
      <c r="A33" s="213"/>
      <c r="B33" s="492" t="s">
        <v>287</v>
      </c>
      <c r="C33" s="351">
        <f>'The Table'!D116</f>
        <v>19700</v>
      </c>
      <c r="D33" s="1117">
        <f t="shared" si="30"/>
        <v>0.001248522823</v>
      </c>
      <c r="E33" s="1118">
        <f>'The Table'!J116</f>
        <v>15300</v>
      </c>
      <c r="F33" s="1117">
        <f t="shared" si="31"/>
        <v>0.0009959305335</v>
      </c>
      <c r="G33" s="1118">
        <f>'The Table'!P116</f>
        <v>17200</v>
      </c>
      <c r="H33" s="1117">
        <f t="shared" si="32"/>
        <v>0.001259786509</v>
      </c>
      <c r="I33" s="1118">
        <f>'The Table'!V116</f>
        <v>15500</v>
      </c>
      <c r="J33" s="1140">
        <f t="shared" si="33"/>
        <v>0.001069546834</v>
      </c>
      <c r="K33" s="1118">
        <f>'The Table'!AB116</f>
        <v>18100</v>
      </c>
      <c r="L33" s="1112">
        <f t="shared" si="34"/>
        <v>0.001177213491</v>
      </c>
      <c r="M33" s="1118">
        <f>'The Table'!AH116</f>
        <v>13800</v>
      </c>
      <c r="N33" s="1112">
        <f t="shared" si="35"/>
        <v>0.0009917721005</v>
      </c>
      <c r="O33" s="1118">
        <f>'The Table'!AN116</f>
        <v>14900</v>
      </c>
      <c r="P33" s="1112">
        <f t="shared" si="36"/>
        <v>0.0006899902912</v>
      </c>
      <c r="Q33" s="1118">
        <f>'The Table'!AT116</f>
        <v>18300</v>
      </c>
      <c r="R33" s="1117">
        <f t="shared" si="37"/>
        <v>0.000760659924</v>
      </c>
      <c r="S33" s="1118">
        <f>'The Table'!AZ116</f>
        <v>15000</v>
      </c>
      <c r="T33" s="1117">
        <f t="shared" si="38"/>
        <v>0.0006114133351</v>
      </c>
      <c r="U33" s="1118">
        <f>'The Table'!BF116</f>
        <v>18400</v>
      </c>
      <c r="V33" s="1112">
        <f t="shared" si="39"/>
        <v>0.0007016295783</v>
      </c>
      <c r="W33" s="1118">
        <f>'The Table'!BL116</f>
        <v>15700</v>
      </c>
      <c r="X33" s="1114">
        <f t="shared" si="40"/>
        <v>0.0007272415456</v>
      </c>
      <c r="Y33" s="1115">
        <f t="shared" si="41"/>
        <v>181900</v>
      </c>
      <c r="Z33" s="1120" t="str">
        <f>'The Table'!#REF!</f>
        <v>#ERROR!</v>
      </c>
      <c r="AA33" s="1119" t="str">
        <f t="shared" si="42"/>
        <v>#ERROR!</v>
      </c>
    </row>
    <row r="34" ht="15.75" customHeight="1">
      <c r="A34" s="213"/>
      <c r="B34" s="492" t="s">
        <v>288</v>
      </c>
      <c r="C34" s="351">
        <f>'The Table'!D118</f>
        <v>40428</v>
      </c>
      <c r="D34" s="1117">
        <f t="shared" si="30"/>
        <v>0.002562196989</v>
      </c>
      <c r="E34" s="1118">
        <f>'The Table'!J118</f>
        <v>45692</v>
      </c>
      <c r="F34" s="1117">
        <f t="shared" si="31"/>
        <v>0.002974252153</v>
      </c>
      <c r="G34" s="1118">
        <f>'The Table'!P118</f>
        <v>43922</v>
      </c>
      <c r="H34" s="1117">
        <f t="shared" si="32"/>
        <v>0.003216996688</v>
      </c>
      <c r="I34" s="1118">
        <f>'The Table'!V118</f>
        <v>43922</v>
      </c>
      <c r="J34" s="1140">
        <f t="shared" si="33"/>
        <v>0.003030750714</v>
      </c>
      <c r="K34" s="1118">
        <f>'The Table'!AB118</f>
        <v>46692</v>
      </c>
      <c r="L34" s="1112">
        <f t="shared" si="34"/>
        <v>0.003036820571</v>
      </c>
      <c r="M34" s="1118">
        <f>'The Table'!AH118</f>
        <v>45122</v>
      </c>
      <c r="N34" s="1112">
        <f t="shared" si="35"/>
        <v>0.003242807299</v>
      </c>
      <c r="O34" s="1118">
        <f>'The Table'!AN118</f>
        <v>46392</v>
      </c>
      <c r="P34" s="1112">
        <f t="shared" si="36"/>
        <v>0.002148324133</v>
      </c>
      <c r="Q34" s="1118">
        <f>'The Table'!AT118</f>
        <v>47422</v>
      </c>
      <c r="R34" s="1117">
        <f t="shared" si="37"/>
        <v>0.001971148356</v>
      </c>
      <c r="S34" s="1118">
        <f>'The Table'!AZ118</f>
        <v>52182</v>
      </c>
      <c r="T34" s="1117">
        <f t="shared" si="38"/>
        <v>0.00212698471</v>
      </c>
      <c r="U34" s="1118">
        <f>'The Table'!BF118</f>
        <v>45692</v>
      </c>
      <c r="V34" s="1112">
        <f t="shared" si="39"/>
        <v>0.001742329277</v>
      </c>
      <c r="W34" s="1118">
        <f>'The Table'!BL118</f>
        <v>43922</v>
      </c>
      <c r="X34" s="1114">
        <f t="shared" si="40"/>
        <v>0.002034516125</v>
      </c>
      <c r="Y34" s="1115">
        <f t="shared" si="41"/>
        <v>501388</v>
      </c>
      <c r="Z34" s="1120" t="str">
        <f>'The Table'!#REF!</f>
        <v>#ERROR!</v>
      </c>
      <c r="AA34" s="1119" t="str">
        <f t="shared" si="42"/>
        <v>#ERROR!</v>
      </c>
    </row>
    <row r="35" ht="15.75" customHeight="1">
      <c r="A35" s="213"/>
      <c r="B35" s="492" t="s">
        <v>544</v>
      </c>
      <c r="C35" s="351">
        <f>'The Table'!D120</f>
        <v>40071</v>
      </c>
      <c r="D35" s="1117">
        <f t="shared" si="30"/>
        <v>0.002539571474</v>
      </c>
      <c r="E35" s="1118">
        <f>'The Table'!J120</f>
        <v>32857</v>
      </c>
      <c r="F35" s="1117">
        <f t="shared" si="31"/>
        <v>0.002138777094</v>
      </c>
      <c r="G35" s="1152">
        <f>'The Table'!P120</f>
        <v>32857</v>
      </c>
      <c r="H35" s="1117">
        <f t="shared" si="32"/>
        <v>0.002406558449</v>
      </c>
      <c r="I35" s="1118">
        <f>'The Table'!V120</f>
        <v>106255</v>
      </c>
      <c r="J35" s="1140">
        <f t="shared" si="33"/>
        <v>0.007331916057</v>
      </c>
      <c r="K35" s="1118">
        <f>'The Table'!AB120</f>
        <v>30000</v>
      </c>
      <c r="L35" s="1112">
        <f t="shared" si="34"/>
        <v>0.001951182582</v>
      </c>
      <c r="M35" s="1118">
        <f>'The Table'!AH120</f>
        <v>114169</v>
      </c>
      <c r="N35" s="1112">
        <f t="shared" si="35"/>
        <v>0.008205045576</v>
      </c>
      <c r="O35" s="1118">
        <f>'The Table'!AN120</f>
        <v>37666</v>
      </c>
      <c r="P35" s="1112">
        <f t="shared" si="36"/>
        <v>0.001744239886</v>
      </c>
      <c r="Q35" s="1118">
        <f>'The Table'!AT120</f>
        <v>6444</v>
      </c>
      <c r="R35" s="1117">
        <f t="shared" si="37"/>
        <v>0.0002678520519</v>
      </c>
      <c r="S35" s="1118">
        <f>'The Table'!AZ120</f>
        <v>25714</v>
      </c>
      <c r="T35" s="1117">
        <f t="shared" si="38"/>
        <v>0.0010481255</v>
      </c>
      <c r="U35" s="1118">
        <f>'The Table'!BF120</f>
        <v>101326</v>
      </c>
      <c r="V35" s="1112">
        <f t="shared" si="39"/>
        <v>0.003863767318</v>
      </c>
      <c r="W35" s="1118">
        <f>'The Table'!BL120</f>
        <v>33022</v>
      </c>
      <c r="X35" s="1114">
        <f t="shared" si="40"/>
        <v>0.001529615944</v>
      </c>
      <c r="Y35" s="1115">
        <f t="shared" si="41"/>
        <v>560381</v>
      </c>
      <c r="Z35" s="1153">
        <v>0.0</v>
      </c>
      <c r="AA35" s="1119">
        <v>0.0</v>
      </c>
    </row>
    <row r="36" ht="15.75" customHeight="1">
      <c r="A36" s="213"/>
      <c r="B36" s="492" t="s">
        <v>42</v>
      </c>
      <c r="C36" s="351">
        <f>'Summary Sheet - April 2025'!O26</f>
        <v>81700</v>
      </c>
      <c r="D36" s="1117">
        <f t="shared" si="30"/>
        <v>0.005177883991</v>
      </c>
      <c r="E36" s="1152">
        <v>0.0</v>
      </c>
      <c r="F36" s="1117">
        <f t="shared" si="31"/>
        <v>0</v>
      </c>
      <c r="G36" s="1152">
        <v>0.0</v>
      </c>
      <c r="H36" s="1117">
        <f t="shared" si="32"/>
        <v>0</v>
      </c>
      <c r="I36" s="1152">
        <f>'Summary Sheet - July 2025'!O26</f>
        <v>0</v>
      </c>
      <c r="J36" s="1140">
        <f t="shared" si="33"/>
        <v>0</v>
      </c>
      <c r="K36" s="1152">
        <f>'Summary Sheet - July 2025'!Q26</f>
        <v>0</v>
      </c>
      <c r="L36" s="1112">
        <f t="shared" si="34"/>
        <v>0</v>
      </c>
      <c r="M36" s="1152">
        <f>'Summary Sheet - July 2025'!S26</f>
        <v>0</v>
      </c>
      <c r="N36" s="1112">
        <f t="shared" si="35"/>
        <v>0</v>
      </c>
      <c r="O36" s="1152" t="str">
        <f>'Summary Sheet - July 2025'!U26</f>
        <v>#REF!</v>
      </c>
      <c r="P36" s="1112" t="str">
        <f t="shared" si="36"/>
        <v>#REF!</v>
      </c>
      <c r="Q36" s="1152">
        <f>'Summary Sheet - July 2025'!W26</f>
        <v>0</v>
      </c>
      <c r="R36" s="1112">
        <f t="shared" ref="R36:R37" si="43">Q36/$O$12</f>
        <v>0</v>
      </c>
      <c r="S36" s="1152">
        <f>'Summary Sheet - July 2025'!Y26</f>
        <v>0</v>
      </c>
      <c r="T36" s="1117">
        <f t="shared" si="38"/>
        <v>0</v>
      </c>
      <c r="U36" s="1118"/>
      <c r="V36" s="1112">
        <f t="shared" si="39"/>
        <v>0</v>
      </c>
      <c r="W36" s="1118">
        <f>'The Table'!BL123</f>
        <v>6000</v>
      </c>
      <c r="X36" s="1114">
        <f t="shared" si="40"/>
        <v>0.0002779267053</v>
      </c>
      <c r="Y36" s="1115" t="str">
        <f t="shared" si="41"/>
        <v>#REF!</v>
      </c>
      <c r="Z36" s="1153">
        <v>0.0</v>
      </c>
      <c r="AA36" s="1119">
        <v>0.0</v>
      </c>
    </row>
    <row r="37" ht="15.75" customHeight="1">
      <c r="A37" s="213"/>
      <c r="B37" s="502" t="s">
        <v>43</v>
      </c>
      <c r="C37" s="363">
        <f>'The Table'!D127</f>
        <v>0</v>
      </c>
      <c r="D37" s="1121">
        <f t="shared" si="30"/>
        <v>0</v>
      </c>
      <c r="E37" s="1122">
        <f>'Summary Sheet - May 2025'!O27</f>
        <v>0</v>
      </c>
      <c r="F37" s="1117">
        <f t="shared" si="31"/>
        <v>0</v>
      </c>
      <c r="G37" s="1122">
        <v>0.0</v>
      </c>
      <c r="H37" s="1117">
        <f t="shared" si="32"/>
        <v>0</v>
      </c>
      <c r="I37" s="1122">
        <f>'Summary Sheet - July 2025'!O27</f>
        <v>0</v>
      </c>
      <c r="J37" s="1140">
        <f t="shared" si="33"/>
        <v>0</v>
      </c>
      <c r="K37" s="1122">
        <f>'Summary Sheet - July 2025'!Q27</f>
        <v>0</v>
      </c>
      <c r="L37" s="1112">
        <f t="shared" si="34"/>
        <v>0</v>
      </c>
      <c r="M37" s="1122">
        <f>'Summary Sheet - July 2025'!S27</f>
        <v>0</v>
      </c>
      <c r="N37" s="1112">
        <f t="shared" si="35"/>
        <v>0</v>
      </c>
      <c r="O37" s="1122">
        <v>0.0</v>
      </c>
      <c r="P37" s="1112">
        <f t="shared" si="36"/>
        <v>0</v>
      </c>
      <c r="Q37" s="1122">
        <v>0.0</v>
      </c>
      <c r="R37" s="1112">
        <f t="shared" si="43"/>
        <v>0</v>
      </c>
      <c r="S37" s="1122">
        <v>0.0</v>
      </c>
      <c r="T37" s="1117">
        <f t="shared" si="38"/>
        <v>0</v>
      </c>
      <c r="U37" s="1123">
        <f>'The Table'!BF122</f>
        <v>10270</v>
      </c>
      <c r="V37" s="1112">
        <f t="shared" si="39"/>
        <v>0.0003916160744</v>
      </c>
      <c r="W37" s="1125">
        <v>0.0</v>
      </c>
      <c r="X37" s="1114">
        <f t="shared" si="40"/>
        <v>0</v>
      </c>
      <c r="Y37" s="1115">
        <f t="shared" si="41"/>
        <v>10270</v>
      </c>
      <c r="Z37" s="1154"/>
      <c r="AA37" s="1119">
        <v>0.0</v>
      </c>
    </row>
    <row r="38" ht="15.75" customHeight="1">
      <c r="A38" s="213"/>
      <c r="B38" s="1104" t="s">
        <v>44</v>
      </c>
      <c r="C38" s="1127">
        <f>SUM(C22:C37)</f>
        <v>8455823.575</v>
      </c>
      <c r="D38" s="1128">
        <f t="shared" si="30"/>
        <v>0.5359029807</v>
      </c>
      <c r="E38" s="1145">
        <f>SUM(E22:E37)</f>
        <v>8253690.149</v>
      </c>
      <c r="F38" s="1128">
        <f>E38/E12</f>
        <v>0.5372615708</v>
      </c>
      <c r="G38" s="1145">
        <f>SUM(G22:G37)</f>
        <v>8235312.55</v>
      </c>
      <c r="H38" s="1129">
        <f>G38/G12</f>
        <v>0.6031823049</v>
      </c>
      <c r="I38" s="1145">
        <f>SUM(I22:I37)</f>
        <v>8609619.458</v>
      </c>
      <c r="J38" s="1129">
        <f>I38/I12</f>
        <v>0.5940897572</v>
      </c>
      <c r="K38" s="1145">
        <f>SUM(K22:K37)</f>
        <v>8219212.761</v>
      </c>
      <c r="L38" s="1151"/>
      <c r="M38" s="1145">
        <f>SUM(M22:M37)</f>
        <v>8409229.493</v>
      </c>
      <c r="N38" s="1128">
        <f t="shared" si="35"/>
        <v>0.6043506666</v>
      </c>
      <c r="O38" s="1145" t="str">
        <f>SUM(O22:O37)</f>
        <v>#REF!</v>
      </c>
      <c r="P38" s="1128" t="str">
        <f>O38/O12</f>
        <v>#REF!</v>
      </c>
      <c r="Q38" s="1145">
        <f>SUM(Q22:Q37)</f>
        <v>8617296.921</v>
      </c>
      <c r="R38" s="1128">
        <f>Q38/Q12</f>
        <v>0.358187564</v>
      </c>
      <c r="S38" s="1145">
        <f>SUM(S22:S37)</f>
        <v>8738466.27</v>
      </c>
      <c r="T38" s="1128">
        <f>S38/S12</f>
        <v>0.3561876537</v>
      </c>
      <c r="U38" s="1145">
        <f>SUM(U22:U37)</f>
        <v>9300447.783</v>
      </c>
      <c r="V38" s="1128">
        <f>U38/U12</f>
        <v>0.3546450683</v>
      </c>
      <c r="W38" s="1145">
        <f>SUM(W22:W37)</f>
        <v>8389454.273</v>
      </c>
      <c r="X38" s="1129">
        <f>W38/W12</f>
        <v>0.3886088976</v>
      </c>
      <c r="Y38" s="1130" t="str">
        <f t="shared" ref="Y38:Z38" si="44">SUM(Y22:Y37)</f>
        <v>#REF!</v>
      </c>
      <c r="Z38" s="1130" t="str">
        <f t="shared" si="44"/>
        <v>#ERROR!</v>
      </c>
      <c r="AA38" s="1131" t="str">
        <f>Y38/Z38</f>
        <v>#REF!</v>
      </c>
    </row>
    <row r="39" ht="15.75" customHeight="1">
      <c r="A39" s="213"/>
      <c r="B39" s="476"/>
      <c r="C39" s="417"/>
      <c r="D39" s="1146"/>
      <c r="E39" s="1147"/>
      <c r="F39" s="1146"/>
      <c r="G39" s="1147"/>
      <c r="H39" s="1146"/>
      <c r="I39" s="1155"/>
      <c r="J39" s="1156"/>
      <c r="K39" s="1147"/>
      <c r="L39" s="1146"/>
      <c r="M39" s="1147"/>
      <c r="N39" s="1146"/>
      <c r="O39" s="1147"/>
      <c r="P39" s="1146"/>
      <c r="Q39" s="1147"/>
      <c r="R39" s="1146"/>
      <c r="S39" s="1147"/>
      <c r="T39" s="1146"/>
      <c r="U39" s="1147"/>
      <c r="V39" s="1146"/>
      <c r="W39" s="1155"/>
      <c r="X39" s="1156"/>
      <c r="Y39" s="1150"/>
      <c r="Z39" s="1150"/>
      <c r="AA39" s="620"/>
    </row>
    <row r="40" ht="15.75" customHeight="1">
      <c r="A40" s="213"/>
      <c r="B40" s="1104" t="s">
        <v>45</v>
      </c>
      <c r="C40" s="1127">
        <f>C20-C38</f>
        <v>1097312.195</v>
      </c>
      <c r="D40" s="1128">
        <f>C40/$C$12</f>
        <v>0.06954412786</v>
      </c>
      <c r="E40" s="1145">
        <f>E20-E38</f>
        <v>1028042.948</v>
      </c>
      <c r="F40" s="1128">
        <f>E40/E12</f>
        <v>0.06691891253</v>
      </c>
      <c r="G40" s="1145">
        <f>G20-G38</f>
        <v>-423429.2397</v>
      </c>
      <c r="H40" s="1129">
        <f>G40/G12</f>
        <v>-0.03101339788</v>
      </c>
      <c r="I40" s="1157">
        <f>I20-I38</f>
        <v>-212732.9311</v>
      </c>
      <c r="J40" s="1129">
        <f>I40/I12</f>
        <v>-0.01467921504</v>
      </c>
      <c r="K40" s="1145">
        <f>K20-K38</f>
        <v>773988.8831</v>
      </c>
      <c r="L40" s="1151"/>
      <c r="M40" s="1145">
        <f>M20-M38</f>
        <v>-413128.5028</v>
      </c>
      <c r="N40" s="1128">
        <f>M40/$M$12</f>
        <v>-0.02969053065</v>
      </c>
      <c r="O40" s="1145" t="str">
        <f>O20-O38</f>
        <v>#REF!</v>
      </c>
      <c r="P40" s="1128" t="str">
        <f>O40/O12</f>
        <v>#REF!</v>
      </c>
      <c r="Q40" s="1145">
        <f>Q20-Q38</f>
        <v>7837307.68</v>
      </c>
      <c r="R40" s="1128">
        <f>Q40/Q12</f>
        <v>0.3257664407</v>
      </c>
      <c r="S40" s="1145">
        <f>S20-S38</f>
        <v>8296544.81</v>
      </c>
      <c r="T40" s="1128">
        <f>S40/S12</f>
        <v>0.3381745421</v>
      </c>
      <c r="U40" s="1145">
        <f>U20-U38</f>
        <v>9072539.678</v>
      </c>
      <c r="V40" s="1128">
        <f>U40/U12</f>
        <v>0.3459544668</v>
      </c>
      <c r="W40" s="1145">
        <f>W20-W38</f>
        <v>6274825.776</v>
      </c>
      <c r="X40" s="1128">
        <f>W40/W12</f>
        <v>0.2906569424</v>
      </c>
      <c r="Y40" s="1130" t="str">
        <f t="shared" ref="Y40:Z40" si="45">Y20-Y38</f>
        <v>#REF!</v>
      </c>
      <c r="Z40" s="1130" t="str">
        <f t="shared" si="45"/>
        <v>#ERROR!</v>
      </c>
      <c r="AA40" s="1131" t="str">
        <f>Y40/Z40</f>
        <v>#REF!</v>
      </c>
    </row>
    <row r="41" ht="15.75" customHeight="1">
      <c r="A41" s="213"/>
      <c r="B41" s="213"/>
      <c r="C41" s="1101"/>
      <c r="D41" s="1101"/>
      <c r="E41" s="1101"/>
      <c r="F41" s="1101"/>
      <c r="G41" s="1101"/>
      <c r="H41" s="1101"/>
      <c r="I41" s="1101"/>
      <c r="J41" s="1101"/>
      <c r="K41" s="1101"/>
      <c r="L41" s="1101"/>
      <c r="M41" s="1101"/>
      <c r="N41" s="1101"/>
      <c r="O41" s="1101"/>
      <c r="P41" s="1101"/>
      <c r="Q41" s="1101"/>
      <c r="R41" s="1101"/>
      <c r="S41" s="1101"/>
      <c r="T41" s="1101"/>
      <c r="U41" s="1101"/>
      <c r="V41" s="1101"/>
      <c r="W41" s="1101"/>
      <c r="X41" s="1101"/>
      <c r="Y41" s="1102"/>
      <c r="Z41" s="1102"/>
      <c r="AA41" s="1101"/>
    </row>
    <row r="42" ht="15.75" customHeight="1">
      <c r="A42" s="213"/>
      <c r="B42" s="213"/>
      <c r="C42" s="1158">
        <f>'The Table'!D133</f>
        <v>1294241.111</v>
      </c>
      <c r="D42" s="1158"/>
      <c r="E42" s="1158">
        <v>966774.5289845439</v>
      </c>
      <c r="F42" s="1158"/>
      <c r="G42" s="1158">
        <f>'The Table'!P133</f>
        <v>-240412.323</v>
      </c>
      <c r="H42" s="1158"/>
      <c r="I42" s="1158">
        <f>'The Table'!V133</f>
        <v>42852.98554</v>
      </c>
      <c r="J42" s="1158"/>
      <c r="K42" s="1158">
        <f>'The Table'!AB133</f>
        <v>957388.7998</v>
      </c>
      <c r="L42" s="1158"/>
      <c r="M42" s="1158">
        <f>'The Table'!AH133</f>
        <v>-153932.5861</v>
      </c>
      <c r="N42" s="1158"/>
      <c r="O42" s="1158">
        <f>'The Table'!AN133</f>
        <v>6186885.565</v>
      </c>
      <c r="P42" s="1158"/>
      <c r="Q42" s="1158">
        <f>'The Table'!AT133</f>
        <v>7996658.764</v>
      </c>
      <c r="R42" s="1158"/>
      <c r="S42" s="1158">
        <f>'The Table'!AZ133</f>
        <v>8477960.06</v>
      </c>
      <c r="T42" s="1158"/>
      <c r="U42" s="1158">
        <f>'The Table'!BF133</f>
        <v>9336697.928</v>
      </c>
      <c r="V42" s="1158"/>
      <c r="W42" s="1158">
        <f>'The Table'!BL133</f>
        <v>6465975.536</v>
      </c>
      <c r="X42" s="1158"/>
      <c r="Y42" s="1159"/>
      <c r="Z42" s="1159"/>
      <c r="AA42" s="1158"/>
    </row>
    <row r="43" ht="15.75" customHeight="1">
      <c r="A43" s="213"/>
      <c r="B43" s="213"/>
      <c r="C43" s="1160">
        <f>+C40-C42</f>
        <v>-196928.9167</v>
      </c>
      <c r="D43" s="1101"/>
      <c r="E43" s="1160">
        <f>+E40-E42</f>
        <v>61268.41916</v>
      </c>
      <c r="F43" s="1101"/>
      <c r="G43" s="1160">
        <f>+G40-G42</f>
        <v>-183016.9167</v>
      </c>
      <c r="H43" s="1101"/>
      <c r="I43" s="1160">
        <f>+I40-I42</f>
        <v>-255585.9167</v>
      </c>
      <c r="J43" s="1101"/>
      <c r="K43" s="1160">
        <f>+K40-K42</f>
        <v>-183399.9167</v>
      </c>
      <c r="L43" s="1101"/>
      <c r="M43" s="1158">
        <f>+M40-M42</f>
        <v>-259195.9167</v>
      </c>
      <c r="N43" s="1101"/>
      <c r="O43" s="1158" t="str">
        <f>+O40-O42</f>
        <v>#REF!</v>
      </c>
      <c r="P43" s="1101"/>
      <c r="Q43" s="1158">
        <f>+Q40-Q42</f>
        <v>-159351.0833</v>
      </c>
      <c r="R43" s="1101"/>
      <c r="S43" s="1158">
        <f>+S40-S42</f>
        <v>-181415.25</v>
      </c>
      <c r="T43" s="1101"/>
      <c r="U43" s="1158">
        <f>+U40-U42</f>
        <v>-264158.25</v>
      </c>
      <c r="V43" s="1101"/>
      <c r="W43" s="1158">
        <f>+W40-W42</f>
        <v>-191149.7593</v>
      </c>
      <c r="X43" s="1101"/>
      <c r="Y43" s="1161"/>
      <c r="Z43" s="1102"/>
      <c r="AA43" s="1101"/>
    </row>
    <row r="44" ht="15.75" customHeight="1">
      <c r="A44" s="213"/>
      <c r="B44" s="213"/>
      <c r="C44" s="1101"/>
      <c r="D44" s="1101"/>
      <c r="E44" s="1101"/>
      <c r="F44" s="1101"/>
      <c r="G44" s="1101"/>
      <c r="H44" s="1101"/>
      <c r="I44" s="1101"/>
      <c r="J44" s="1101"/>
      <c r="K44" s="1101"/>
      <c r="L44" s="1101"/>
      <c r="M44" s="1101"/>
      <c r="N44" s="1101"/>
      <c r="O44" s="1101"/>
      <c r="P44" s="1101"/>
      <c r="Q44" s="1101"/>
      <c r="R44" s="1101"/>
      <c r="S44" s="1101"/>
      <c r="T44" s="1101"/>
      <c r="U44" s="1101"/>
      <c r="V44" s="1101"/>
      <c r="W44" s="1101"/>
      <c r="X44" s="1101"/>
      <c r="Y44" s="1102"/>
      <c r="Z44" s="1102"/>
      <c r="AA44" s="1101"/>
    </row>
    <row r="45" ht="15.75" customHeight="1">
      <c r="A45" s="213"/>
      <c r="B45" s="213"/>
      <c r="C45" s="1101"/>
      <c r="D45" s="1101"/>
      <c r="E45" s="1101"/>
      <c r="F45" s="1101"/>
      <c r="G45" s="1101"/>
      <c r="H45" s="1101"/>
      <c r="I45" s="1101"/>
      <c r="J45" s="1101"/>
      <c r="K45" s="1101"/>
      <c r="L45" s="1101"/>
      <c r="M45" s="1101"/>
      <c r="N45" s="1101"/>
      <c r="O45" s="1101"/>
      <c r="P45" s="1101"/>
      <c r="Q45" s="1101"/>
      <c r="R45" s="1101"/>
      <c r="S45" s="1101"/>
      <c r="T45" s="1101"/>
      <c r="U45" s="1101"/>
      <c r="V45" s="1101"/>
      <c r="W45" s="1101"/>
      <c r="X45" s="1101"/>
      <c r="Y45" s="1102"/>
      <c r="Z45" s="1102"/>
      <c r="AA45" s="1101"/>
    </row>
    <row r="46" ht="15.75" customHeight="1">
      <c r="A46" s="213"/>
      <c r="B46" s="213"/>
      <c r="C46" s="1101"/>
      <c r="D46" s="1101"/>
      <c r="E46" s="1101"/>
      <c r="F46" s="1101"/>
      <c r="G46" s="1101"/>
      <c r="H46" s="1101"/>
      <c r="I46" s="1101"/>
      <c r="J46" s="1101"/>
      <c r="K46" s="1101"/>
      <c r="L46" s="1101"/>
      <c r="M46" s="1101"/>
      <c r="N46" s="1101"/>
      <c r="O46" s="1101"/>
      <c r="P46" s="1101"/>
      <c r="Q46" s="1101"/>
      <c r="R46" s="1101"/>
      <c r="S46" s="1101"/>
      <c r="T46" s="1101"/>
      <c r="U46" s="1101"/>
      <c r="V46" s="1101"/>
      <c r="W46" s="1101"/>
      <c r="X46" s="1101"/>
      <c r="Y46" s="1102"/>
      <c r="Z46" s="1102"/>
      <c r="AA46" s="1101"/>
    </row>
    <row r="47" ht="15.75" customHeight="1">
      <c r="A47" s="213"/>
      <c r="B47" s="213"/>
      <c r="C47" s="1101"/>
      <c r="D47" s="1101"/>
      <c r="E47" s="1101"/>
      <c r="F47" s="1101"/>
      <c r="G47" s="1101"/>
      <c r="H47" s="1101"/>
      <c r="I47" s="1101"/>
      <c r="J47" s="1101"/>
      <c r="K47" s="1101"/>
      <c r="L47" s="1101"/>
      <c r="M47" s="1101"/>
      <c r="N47" s="1101"/>
      <c r="O47" s="1101"/>
      <c r="P47" s="1101"/>
      <c r="Q47" s="1101"/>
      <c r="R47" s="1101"/>
      <c r="S47" s="1101"/>
      <c r="T47" s="1101"/>
      <c r="U47" s="1101"/>
      <c r="V47" s="1101"/>
      <c r="W47" s="1101"/>
      <c r="X47" s="1101"/>
      <c r="Y47" s="1102"/>
      <c r="Z47" s="1102"/>
      <c r="AA47" s="1101"/>
    </row>
    <row r="48" ht="15.75" customHeight="1">
      <c r="A48" s="213"/>
      <c r="B48" s="213"/>
      <c r="C48" s="1101"/>
      <c r="D48" s="1101"/>
      <c r="E48" s="1101"/>
      <c r="F48" s="1101"/>
      <c r="G48" s="1101"/>
      <c r="H48" s="1101"/>
      <c r="I48" s="1101"/>
      <c r="J48" s="1101"/>
      <c r="K48" s="1101"/>
      <c r="L48" s="1101"/>
      <c r="M48" s="1101"/>
      <c r="N48" s="1101"/>
      <c r="O48" s="1101"/>
      <c r="P48" s="1101"/>
      <c r="Q48" s="1101"/>
      <c r="R48" s="1101"/>
      <c r="S48" s="1101"/>
      <c r="T48" s="1101"/>
      <c r="U48" s="1101"/>
      <c r="V48" s="1101"/>
      <c r="W48" s="1101"/>
      <c r="X48" s="1101"/>
      <c r="Y48" s="1102"/>
      <c r="Z48" s="1102"/>
      <c r="AA48" s="1101"/>
    </row>
    <row r="49" ht="15.75" customHeight="1">
      <c r="A49" s="213"/>
      <c r="B49" s="213"/>
      <c r="C49" s="1101"/>
      <c r="D49" s="1101"/>
      <c r="E49" s="1101"/>
      <c r="F49" s="1101"/>
      <c r="G49" s="1101"/>
      <c r="H49" s="1101"/>
      <c r="I49" s="1101"/>
      <c r="J49" s="1101"/>
      <c r="K49" s="1101"/>
      <c r="L49" s="1101"/>
      <c r="M49" s="1101"/>
      <c r="N49" s="1101"/>
      <c r="O49" s="1101"/>
      <c r="P49" s="1101"/>
      <c r="Q49" s="1101"/>
      <c r="R49" s="1101"/>
      <c r="S49" s="1101"/>
      <c r="T49" s="1101"/>
      <c r="U49" s="1101"/>
      <c r="V49" s="1101"/>
      <c r="W49" s="1101"/>
      <c r="X49" s="1101"/>
      <c r="Y49" s="1102"/>
      <c r="Z49" s="1102"/>
      <c r="AA49" s="1101"/>
    </row>
    <row r="50" ht="15.75" customHeight="1">
      <c r="A50" s="213"/>
      <c r="B50" s="213"/>
      <c r="C50" s="1101"/>
      <c r="D50" s="1101"/>
      <c r="E50" s="1101"/>
      <c r="F50" s="1101"/>
      <c r="G50" s="1101"/>
      <c r="H50" s="1101"/>
      <c r="I50" s="1101"/>
      <c r="J50" s="1101"/>
      <c r="K50" s="1101"/>
      <c r="L50" s="1101"/>
      <c r="M50" s="1101"/>
      <c r="N50" s="1101"/>
      <c r="O50" s="1101"/>
      <c r="P50" s="1101"/>
      <c r="Q50" s="1101"/>
      <c r="R50" s="1101"/>
      <c r="S50" s="1101"/>
      <c r="T50" s="1101"/>
      <c r="U50" s="1101"/>
      <c r="V50" s="1101"/>
      <c r="W50" s="1101"/>
      <c r="X50" s="1101"/>
      <c r="Y50" s="1102"/>
      <c r="Z50" s="1102"/>
      <c r="AA50" s="1101"/>
    </row>
    <row r="51" ht="15.75" customHeight="1">
      <c r="A51" s="213"/>
      <c r="B51" s="213"/>
      <c r="C51" s="1101"/>
      <c r="D51" s="1101"/>
      <c r="E51" s="1101"/>
      <c r="F51" s="1101"/>
      <c r="G51" s="1101"/>
      <c r="H51" s="1101"/>
      <c r="I51" s="1101"/>
      <c r="J51" s="1101"/>
      <c r="K51" s="1101"/>
      <c r="L51" s="1101"/>
      <c r="M51" s="1101"/>
      <c r="N51" s="1101"/>
      <c r="O51" s="1101"/>
      <c r="P51" s="1101"/>
      <c r="Q51" s="1101"/>
      <c r="R51" s="1101"/>
      <c r="S51" s="1101"/>
      <c r="T51" s="1101"/>
      <c r="U51" s="1101"/>
      <c r="V51" s="1101"/>
      <c r="W51" s="1101"/>
      <c r="X51" s="1101"/>
      <c r="Y51" s="1102"/>
      <c r="Z51" s="1102"/>
      <c r="AA51" s="1101"/>
    </row>
    <row r="52" ht="15.75" customHeight="1">
      <c r="A52" s="213"/>
      <c r="B52" s="213"/>
      <c r="C52" s="1101"/>
      <c r="D52" s="1101"/>
      <c r="E52" s="1101"/>
      <c r="F52" s="1101"/>
      <c r="G52" s="1101"/>
      <c r="H52" s="1101"/>
      <c r="I52" s="1101"/>
      <c r="J52" s="1101"/>
      <c r="K52" s="1101"/>
      <c r="L52" s="1101"/>
      <c r="M52" s="1101"/>
      <c r="N52" s="1101"/>
      <c r="O52" s="1101"/>
      <c r="P52" s="1101"/>
      <c r="Q52" s="1101"/>
      <c r="R52" s="1101"/>
      <c r="S52" s="1101"/>
      <c r="T52" s="1101"/>
      <c r="U52" s="1101"/>
      <c r="V52" s="1101"/>
      <c r="W52" s="1101"/>
      <c r="X52" s="1101"/>
      <c r="Y52" s="1102"/>
      <c r="Z52" s="1102"/>
      <c r="AA52" s="1101"/>
    </row>
    <row r="53" ht="15.75" customHeight="1">
      <c r="A53" s="213"/>
      <c r="B53" s="213"/>
      <c r="C53" s="1101"/>
      <c r="D53" s="1101"/>
      <c r="E53" s="1101"/>
      <c r="F53" s="1101"/>
      <c r="G53" s="1101"/>
      <c r="H53" s="1101"/>
      <c r="I53" s="1101"/>
      <c r="J53" s="1101"/>
      <c r="K53" s="1101"/>
      <c r="L53" s="1101"/>
      <c r="M53" s="1101"/>
      <c r="N53" s="1101"/>
      <c r="O53" s="1101"/>
      <c r="P53" s="1101"/>
      <c r="Q53" s="1101"/>
      <c r="R53" s="1101"/>
      <c r="S53" s="1101"/>
      <c r="T53" s="1101"/>
      <c r="U53" s="1101"/>
      <c r="V53" s="1101"/>
      <c r="W53" s="1101"/>
      <c r="X53" s="1101"/>
      <c r="Y53" s="1102"/>
      <c r="Z53" s="1102"/>
      <c r="AA53" s="1101"/>
    </row>
    <row r="54" ht="15.75" customHeight="1">
      <c r="A54" s="213"/>
      <c r="B54" s="213"/>
      <c r="C54" s="1101"/>
      <c r="D54" s="1101"/>
      <c r="E54" s="1101"/>
      <c r="F54" s="1101"/>
      <c r="G54" s="1101"/>
      <c r="H54" s="1101"/>
      <c r="I54" s="1101"/>
      <c r="J54" s="1101"/>
      <c r="K54" s="1101"/>
      <c r="L54" s="1101"/>
      <c r="M54" s="1101"/>
      <c r="N54" s="1101"/>
      <c r="O54" s="1101"/>
      <c r="P54" s="1101"/>
      <c r="Q54" s="1101"/>
      <c r="R54" s="1101"/>
      <c r="S54" s="1101"/>
      <c r="T54" s="1101"/>
      <c r="U54" s="1101"/>
      <c r="V54" s="1101"/>
      <c r="W54" s="1101"/>
      <c r="X54" s="1101"/>
      <c r="Y54" s="1102"/>
      <c r="Z54" s="1102"/>
      <c r="AA54" s="1101"/>
    </row>
    <row r="55" ht="15.75" customHeight="1">
      <c r="A55" s="213"/>
      <c r="B55" s="213"/>
      <c r="C55" s="1101"/>
      <c r="D55" s="1101"/>
      <c r="E55" s="1101"/>
      <c r="F55" s="1101"/>
      <c r="G55" s="1101"/>
      <c r="H55" s="1101"/>
      <c r="I55" s="1101"/>
      <c r="J55" s="1101"/>
      <c r="K55" s="1101"/>
      <c r="L55" s="1101"/>
      <c r="M55" s="1101"/>
      <c r="N55" s="1101"/>
      <c r="O55" s="1101"/>
      <c r="P55" s="1101"/>
      <c r="Q55" s="1101"/>
      <c r="R55" s="1101"/>
      <c r="S55" s="1101"/>
      <c r="T55" s="1101"/>
      <c r="U55" s="1101"/>
      <c r="V55" s="1101"/>
      <c r="W55" s="1101"/>
      <c r="X55" s="1101"/>
      <c r="Y55" s="1102"/>
      <c r="Z55" s="1102"/>
      <c r="AA55" s="1101"/>
    </row>
    <row r="56" ht="15.75" customHeight="1">
      <c r="A56" s="213"/>
      <c r="B56" s="213"/>
      <c r="C56" s="1101"/>
      <c r="D56" s="1101"/>
      <c r="E56" s="1101"/>
      <c r="F56" s="1101"/>
      <c r="G56" s="1101"/>
      <c r="H56" s="1101"/>
      <c r="I56" s="1101"/>
      <c r="J56" s="1101"/>
      <c r="K56" s="1101"/>
      <c r="L56" s="1101"/>
      <c r="M56" s="1101"/>
      <c r="N56" s="1101"/>
      <c r="O56" s="1101"/>
      <c r="P56" s="1101"/>
      <c r="Q56" s="1101"/>
      <c r="R56" s="1101"/>
      <c r="S56" s="1101"/>
      <c r="T56" s="1101"/>
      <c r="U56" s="1101"/>
      <c r="V56" s="1101"/>
      <c r="W56" s="1101"/>
      <c r="X56" s="1101"/>
      <c r="Y56" s="1102"/>
      <c r="Z56" s="1102"/>
      <c r="AA56" s="1101"/>
    </row>
    <row r="57" ht="15.75" customHeight="1">
      <c r="A57" s="213"/>
      <c r="B57" s="213"/>
      <c r="C57" s="1101"/>
      <c r="D57" s="1101"/>
      <c r="E57" s="1101"/>
      <c r="F57" s="1101"/>
      <c r="G57" s="1101"/>
      <c r="H57" s="1101"/>
      <c r="I57" s="1101"/>
      <c r="J57" s="1101"/>
      <c r="K57" s="1101"/>
      <c r="L57" s="1101"/>
      <c r="M57" s="1101"/>
      <c r="N57" s="1101"/>
      <c r="O57" s="1101"/>
      <c r="P57" s="1101"/>
      <c r="Q57" s="1101"/>
      <c r="R57" s="1101"/>
      <c r="S57" s="1101"/>
      <c r="T57" s="1101"/>
      <c r="U57" s="1101"/>
      <c r="V57" s="1101"/>
      <c r="W57" s="1101"/>
      <c r="X57" s="1101"/>
      <c r="Y57" s="1102"/>
      <c r="Z57" s="1102"/>
      <c r="AA57" s="1101"/>
    </row>
    <row r="58" ht="15.75" customHeight="1">
      <c r="A58" s="213"/>
      <c r="B58" s="213"/>
      <c r="C58" s="1101"/>
      <c r="D58" s="1101"/>
      <c r="E58" s="1101"/>
      <c r="F58" s="1101"/>
      <c r="G58" s="1101"/>
      <c r="H58" s="1101"/>
      <c r="I58" s="1101"/>
      <c r="J58" s="1101"/>
      <c r="K58" s="1101"/>
      <c r="L58" s="1101"/>
      <c r="M58" s="1101"/>
      <c r="N58" s="1101"/>
      <c r="O58" s="1101"/>
      <c r="P58" s="1101"/>
      <c r="Q58" s="1101"/>
      <c r="R58" s="1101"/>
      <c r="S58" s="1101"/>
      <c r="T58" s="1101"/>
      <c r="U58" s="1101"/>
      <c r="V58" s="1101"/>
      <c r="W58" s="1101"/>
      <c r="X58" s="1101"/>
      <c r="Y58" s="1102"/>
      <c r="Z58" s="1102"/>
      <c r="AA58" s="1101"/>
    </row>
    <row r="59" ht="15.75" customHeight="1">
      <c r="A59" s="213"/>
      <c r="B59" s="213"/>
      <c r="C59" s="1101"/>
      <c r="D59" s="1101"/>
      <c r="E59" s="1101"/>
      <c r="F59" s="1101"/>
      <c r="G59" s="1101"/>
      <c r="H59" s="1101"/>
      <c r="I59" s="1101"/>
      <c r="J59" s="1101"/>
      <c r="K59" s="1101"/>
      <c r="L59" s="1101"/>
      <c r="M59" s="1101"/>
      <c r="N59" s="1101"/>
      <c r="O59" s="1101"/>
      <c r="P59" s="1101"/>
      <c r="Q59" s="1101"/>
      <c r="R59" s="1101"/>
      <c r="S59" s="1101"/>
      <c r="T59" s="1101"/>
      <c r="U59" s="1101"/>
      <c r="V59" s="1101"/>
      <c r="W59" s="1101"/>
      <c r="X59" s="1101"/>
      <c r="Y59" s="1102"/>
      <c r="Z59" s="1102"/>
      <c r="AA59" s="1101"/>
    </row>
    <row r="60" ht="15.75" customHeight="1">
      <c r="A60" s="213"/>
      <c r="B60" s="213"/>
      <c r="C60" s="1101"/>
      <c r="D60" s="1101"/>
      <c r="E60" s="1101"/>
      <c r="F60" s="1101"/>
      <c r="G60" s="1101"/>
      <c r="H60" s="1101"/>
      <c r="I60" s="1101"/>
      <c r="J60" s="1101"/>
      <c r="K60" s="1101"/>
      <c r="L60" s="1101"/>
      <c r="M60" s="1101"/>
      <c r="N60" s="1101"/>
      <c r="O60" s="1101"/>
      <c r="P60" s="1101"/>
      <c r="Q60" s="1101"/>
      <c r="R60" s="1101"/>
      <c r="S60" s="1101"/>
      <c r="T60" s="1101"/>
      <c r="U60" s="1101"/>
      <c r="V60" s="1101"/>
      <c r="W60" s="1101"/>
      <c r="X60" s="1101"/>
      <c r="Y60" s="1102"/>
      <c r="Z60" s="1102"/>
      <c r="AA60" s="1101"/>
    </row>
    <row r="61" ht="15.75" customHeight="1">
      <c r="A61" s="213"/>
      <c r="B61" s="213"/>
      <c r="C61" s="1101"/>
      <c r="D61" s="1101"/>
      <c r="E61" s="1101"/>
      <c r="F61" s="1101"/>
      <c r="G61" s="1101"/>
      <c r="H61" s="1101"/>
      <c r="I61" s="1101"/>
      <c r="J61" s="1101"/>
      <c r="K61" s="1101"/>
      <c r="L61" s="1101"/>
      <c r="M61" s="1101"/>
      <c r="N61" s="1101"/>
      <c r="O61" s="1101"/>
      <c r="P61" s="1101"/>
      <c r="Q61" s="1101"/>
      <c r="R61" s="1101"/>
      <c r="S61" s="1101"/>
      <c r="T61" s="1101"/>
      <c r="U61" s="1101"/>
      <c r="V61" s="1101"/>
      <c r="W61" s="1101"/>
      <c r="X61" s="1101"/>
      <c r="Y61" s="1102"/>
      <c r="Z61" s="1102"/>
      <c r="AA61" s="1101"/>
    </row>
    <row r="62" ht="15.75" customHeight="1">
      <c r="A62" s="213"/>
      <c r="B62" s="213"/>
      <c r="C62" s="1101"/>
      <c r="D62" s="1101"/>
      <c r="E62" s="1101"/>
      <c r="F62" s="1101"/>
      <c r="G62" s="1101"/>
      <c r="H62" s="1101"/>
      <c r="I62" s="1101"/>
      <c r="J62" s="1101"/>
      <c r="K62" s="1101"/>
      <c r="L62" s="1101"/>
      <c r="M62" s="1101"/>
      <c r="N62" s="1101"/>
      <c r="O62" s="1101"/>
      <c r="P62" s="1101"/>
      <c r="Q62" s="1101"/>
      <c r="R62" s="1101"/>
      <c r="S62" s="1101"/>
      <c r="T62" s="1101"/>
      <c r="U62" s="1101"/>
      <c r="V62" s="1101"/>
      <c r="W62" s="1101"/>
      <c r="X62" s="1101"/>
      <c r="Y62" s="1102"/>
      <c r="Z62" s="1102"/>
      <c r="AA62" s="1101"/>
    </row>
    <row r="63" ht="15.75" customHeight="1">
      <c r="A63" s="213"/>
      <c r="B63" s="213"/>
      <c r="C63" s="1101"/>
      <c r="D63" s="1101"/>
      <c r="E63" s="1101"/>
      <c r="F63" s="1101"/>
      <c r="G63" s="1101"/>
      <c r="H63" s="1101"/>
      <c r="I63" s="1101"/>
      <c r="J63" s="1101"/>
      <c r="K63" s="1101"/>
      <c r="L63" s="1101"/>
      <c r="M63" s="1101"/>
      <c r="N63" s="1101"/>
      <c r="O63" s="1101"/>
      <c r="P63" s="1101"/>
      <c r="Q63" s="1101"/>
      <c r="R63" s="1101"/>
      <c r="S63" s="1101"/>
      <c r="T63" s="1101"/>
      <c r="U63" s="1101"/>
      <c r="V63" s="1101"/>
      <c r="W63" s="1101"/>
      <c r="X63" s="1101"/>
      <c r="Y63" s="1102"/>
      <c r="Z63" s="1102"/>
      <c r="AA63" s="1101"/>
    </row>
    <row r="64" ht="15.75" customHeight="1">
      <c r="A64" s="213"/>
      <c r="B64" s="213"/>
      <c r="C64" s="1101"/>
      <c r="D64" s="1101"/>
      <c r="E64" s="1101"/>
      <c r="F64" s="1101"/>
      <c r="G64" s="1101"/>
      <c r="H64" s="1101"/>
      <c r="I64" s="1101"/>
      <c r="J64" s="1101"/>
      <c r="K64" s="1101"/>
      <c r="L64" s="1101"/>
      <c r="M64" s="1101"/>
      <c r="N64" s="1101"/>
      <c r="O64" s="1101"/>
      <c r="P64" s="1101"/>
      <c r="Q64" s="1101"/>
      <c r="R64" s="1101"/>
      <c r="S64" s="1101"/>
      <c r="T64" s="1101"/>
      <c r="U64" s="1101"/>
      <c r="V64" s="1101"/>
      <c r="W64" s="1101"/>
      <c r="X64" s="1101"/>
      <c r="Y64" s="1102"/>
      <c r="Z64" s="1102"/>
      <c r="AA64" s="1101"/>
    </row>
    <row r="65" ht="15.75" customHeight="1">
      <c r="A65" s="213"/>
      <c r="B65" s="213"/>
      <c r="C65" s="1101"/>
      <c r="D65" s="1101"/>
      <c r="E65" s="1101"/>
      <c r="F65" s="1101"/>
      <c r="G65" s="1101"/>
      <c r="H65" s="1101"/>
      <c r="I65" s="1101"/>
      <c r="J65" s="1101"/>
      <c r="K65" s="1101"/>
      <c r="L65" s="1101"/>
      <c r="M65" s="1101"/>
      <c r="N65" s="1101"/>
      <c r="O65" s="1101"/>
      <c r="P65" s="1101"/>
      <c r="Q65" s="1101"/>
      <c r="R65" s="1101"/>
      <c r="S65" s="1101"/>
      <c r="T65" s="1101"/>
      <c r="U65" s="1101"/>
      <c r="V65" s="1101"/>
      <c r="W65" s="1101"/>
      <c r="X65" s="1101"/>
      <c r="Y65" s="1102"/>
      <c r="Z65" s="1102"/>
      <c r="AA65" s="1101"/>
    </row>
    <row r="66" ht="15.75" customHeight="1">
      <c r="A66" s="213"/>
      <c r="B66" s="213"/>
      <c r="C66" s="1101"/>
      <c r="D66" s="1101"/>
      <c r="E66" s="1101"/>
      <c r="F66" s="1101"/>
      <c r="G66" s="1101"/>
      <c r="H66" s="1101"/>
      <c r="I66" s="1101"/>
      <c r="J66" s="1101"/>
      <c r="K66" s="1101"/>
      <c r="L66" s="1101"/>
      <c r="M66" s="1101"/>
      <c r="N66" s="1101"/>
      <c r="O66" s="1101"/>
      <c r="P66" s="1101"/>
      <c r="Q66" s="1101"/>
      <c r="R66" s="1101"/>
      <c r="S66" s="1101"/>
      <c r="T66" s="1101"/>
      <c r="U66" s="1101"/>
      <c r="V66" s="1101"/>
      <c r="W66" s="1101"/>
      <c r="X66" s="1101"/>
      <c r="Y66" s="1102"/>
      <c r="Z66" s="1102"/>
      <c r="AA66" s="1101"/>
    </row>
    <row r="67" ht="15.75" customHeight="1">
      <c r="A67" s="213"/>
      <c r="B67" s="213"/>
      <c r="C67" s="1101"/>
      <c r="D67" s="1101"/>
      <c r="E67" s="1101"/>
      <c r="F67" s="1101"/>
      <c r="G67" s="1101"/>
      <c r="H67" s="1101"/>
      <c r="I67" s="1101"/>
      <c r="J67" s="1101"/>
      <c r="K67" s="1101"/>
      <c r="L67" s="1101"/>
      <c r="M67" s="1101"/>
      <c r="N67" s="1101"/>
      <c r="O67" s="1101"/>
      <c r="P67" s="1101"/>
      <c r="Q67" s="1101"/>
      <c r="R67" s="1101"/>
      <c r="S67" s="1101"/>
      <c r="T67" s="1101"/>
      <c r="U67" s="1101"/>
      <c r="V67" s="1101"/>
      <c r="W67" s="1101"/>
      <c r="X67" s="1101"/>
      <c r="Y67" s="1102"/>
      <c r="Z67" s="1102"/>
      <c r="AA67" s="1101"/>
    </row>
    <row r="68" ht="15.75" customHeight="1">
      <c r="A68" s="213"/>
      <c r="B68" s="213"/>
      <c r="C68" s="1101"/>
      <c r="D68" s="1101"/>
      <c r="E68" s="1101"/>
      <c r="F68" s="1101"/>
      <c r="G68" s="1101"/>
      <c r="H68" s="1101"/>
      <c r="I68" s="1101"/>
      <c r="J68" s="1101"/>
      <c r="K68" s="1101"/>
      <c r="L68" s="1101"/>
      <c r="M68" s="1101"/>
      <c r="N68" s="1101"/>
      <c r="O68" s="1101"/>
      <c r="P68" s="1101"/>
      <c r="Q68" s="1101"/>
      <c r="R68" s="1101"/>
      <c r="S68" s="1101"/>
      <c r="T68" s="1101"/>
      <c r="U68" s="1101"/>
      <c r="V68" s="1101"/>
      <c r="W68" s="1101"/>
      <c r="X68" s="1101"/>
      <c r="Y68" s="1102"/>
      <c r="Z68" s="1102"/>
      <c r="AA68" s="1101"/>
    </row>
    <row r="69" ht="15.75" customHeight="1">
      <c r="A69" s="213"/>
      <c r="B69" s="213"/>
      <c r="C69" s="1101"/>
      <c r="D69" s="1101"/>
      <c r="E69" s="1101"/>
      <c r="F69" s="1101"/>
      <c r="G69" s="1101"/>
      <c r="H69" s="1101"/>
      <c r="I69" s="1101"/>
      <c r="J69" s="1101"/>
      <c r="K69" s="1101"/>
      <c r="L69" s="1101"/>
      <c r="M69" s="1101"/>
      <c r="N69" s="1101"/>
      <c r="O69" s="1101"/>
      <c r="P69" s="1101"/>
      <c r="Q69" s="1101"/>
      <c r="R69" s="1101"/>
      <c r="S69" s="1101"/>
      <c r="T69" s="1101"/>
      <c r="U69" s="1101"/>
      <c r="V69" s="1101"/>
      <c r="W69" s="1101"/>
      <c r="X69" s="1101"/>
      <c r="Y69" s="1102"/>
      <c r="Z69" s="1102"/>
      <c r="AA69" s="1101"/>
    </row>
    <row r="70" ht="15.75" customHeight="1">
      <c r="A70" s="213"/>
      <c r="B70" s="213"/>
      <c r="C70" s="1101"/>
      <c r="D70" s="1101"/>
      <c r="E70" s="1101"/>
      <c r="F70" s="1101"/>
      <c r="G70" s="1101"/>
      <c r="H70" s="1101"/>
      <c r="I70" s="1101"/>
      <c r="J70" s="1101"/>
      <c r="K70" s="1101"/>
      <c r="L70" s="1101"/>
      <c r="M70" s="1101"/>
      <c r="N70" s="1101"/>
      <c r="O70" s="1101"/>
      <c r="P70" s="1101"/>
      <c r="Q70" s="1101"/>
      <c r="R70" s="1101"/>
      <c r="S70" s="1101"/>
      <c r="T70" s="1101"/>
      <c r="U70" s="1101"/>
      <c r="V70" s="1101"/>
      <c r="W70" s="1101"/>
      <c r="X70" s="1101"/>
      <c r="Y70" s="1102"/>
      <c r="Z70" s="1102"/>
      <c r="AA70" s="1101"/>
    </row>
    <row r="71" ht="15.75" customHeight="1">
      <c r="A71" s="213"/>
      <c r="B71" s="213"/>
      <c r="C71" s="1101"/>
      <c r="D71" s="1101"/>
      <c r="E71" s="1101"/>
      <c r="F71" s="1101"/>
      <c r="G71" s="1101"/>
      <c r="H71" s="1101"/>
      <c r="I71" s="1101"/>
      <c r="J71" s="1101"/>
      <c r="K71" s="1101"/>
      <c r="L71" s="1101"/>
      <c r="M71" s="1101"/>
      <c r="N71" s="1101"/>
      <c r="O71" s="1101"/>
      <c r="P71" s="1101"/>
      <c r="Q71" s="1101"/>
      <c r="R71" s="1101"/>
      <c r="S71" s="1101"/>
      <c r="T71" s="1101"/>
      <c r="U71" s="1101"/>
      <c r="V71" s="1101"/>
      <c r="W71" s="1101"/>
      <c r="X71" s="1101"/>
      <c r="Y71" s="1102"/>
      <c r="Z71" s="1102"/>
      <c r="AA71" s="1101"/>
    </row>
    <row r="72" ht="15.75" customHeight="1">
      <c r="A72" s="213"/>
      <c r="B72" s="213"/>
      <c r="C72" s="1101"/>
      <c r="D72" s="1101"/>
      <c r="E72" s="1101"/>
      <c r="F72" s="1101"/>
      <c r="G72" s="1101"/>
      <c r="H72" s="1101"/>
      <c r="I72" s="1101"/>
      <c r="J72" s="1101"/>
      <c r="K72" s="1101"/>
      <c r="L72" s="1101"/>
      <c r="M72" s="1101"/>
      <c r="N72" s="1101"/>
      <c r="O72" s="1101"/>
      <c r="P72" s="1101"/>
      <c r="Q72" s="1101"/>
      <c r="R72" s="1101"/>
      <c r="S72" s="1101"/>
      <c r="T72" s="1101"/>
      <c r="U72" s="1101"/>
      <c r="V72" s="1101"/>
      <c r="W72" s="1101"/>
      <c r="X72" s="1101"/>
      <c r="Y72" s="1102"/>
      <c r="Z72" s="1102"/>
      <c r="AA72" s="1101"/>
    </row>
    <row r="73" ht="15.75" customHeight="1">
      <c r="A73" s="213"/>
      <c r="B73" s="213"/>
      <c r="C73" s="1101"/>
      <c r="D73" s="1101"/>
      <c r="E73" s="1101"/>
      <c r="F73" s="1101"/>
      <c r="G73" s="1101"/>
      <c r="H73" s="1101"/>
      <c r="I73" s="1101"/>
      <c r="J73" s="1101"/>
      <c r="K73" s="1101"/>
      <c r="L73" s="1101"/>
      <c r="M73" s="1101"/>
      <c r="N73" s="1101"/>
      <c r="O73" s="1101"/>
      <c r="P73" s="1101"/>
      <c r="Q73" s="1101"/>
      <c r="R73" s="1101"/>
      <c r="S73" s="1101"/>
      <c r="T73" s="1101"/>
      <c r="U73" s="1101"/>
      <c r="V73" s="1101"/>
      <c r="W73" s="1101"/>
      <c r="X73" s="1101"/>
      <c r="Y73" s="1102"/>
      <c r="Z73" s="1102"/>
      <c r="AA73" s="1101"/>
    </row>
    <row r="74" ht="15.75" customHeight="1">
      <c r="A74" s="213"/>
      <c r="B74" s="213"/>
      <c r="C74" s="1101"/>
      <c r="D74" s="1101"/>
      <c r="E74" s="1101"/>
      <c r="F74" s="1101"/>
      <c r="G74" s="1101"/>
      <c r="H74" s="1101"/>
      <c r="I74" s="1101"/>
      <c r="J74" s="1101"/>
      <c r="K74" s="1101"/>
      <c r="L74" s="1101"/>
      <c r="M74" s="1101"/>
      <c r="N74" s="1101"/>
      <c r="O74" s="1101"/>
      <c r="P74" s="1101"/>
      <c r="Q74" s="1101"/>
      <c r="R74" s="1101"/>
      <c r="S74" s="1101"/>
      <c r="T74" s="1101"/>
      <c r="U74" s="1101"/>
      <c r="V74" s="1101"/>
      <c r="W74" s="1101"/>
      <c r="X74" s="1101"/>
      <c r="Y74" s="1102"/>
      <c r="Z74" s="1102"/>
      <c r="AA74" s="1101"/>
    </row>
    <row r="75" ht="15.75" customHeight="1">
      <c r="A75" s="213"/>
      <c r="B75" s="213"/>
      <c r="C75" s="1101"/>
      <c r="D75" s="1101"/>
      <c r="E75" s="1101"/>
      <c r="F75" s="1101"/>
      <c r="G75" s="1101"/>
      <c r="H75" s="1101"/>
      <c r="I75" s="1101"/>
      <c r="J75" s="1101"/>
      <c r="K75" s="1101"/>
      <c r="L75" s="1101"/>
      <c r="M75" s="1101"/>
      <c r="N75" s="1101"/>
      <c r="O75" s="1101"/>
      <c r="P75" s="1101"/>
      <c r="Q75" s="1101"/>
      <c r="R75" s="1101"/>
      <c r="S75" s="1101"/>
      <c r="T75" s="1101"/>
      <c r="U75" s="1101"/>
      <c r="V75" s="1101"/>
      <c r="W75" s="1101"/>
      <c r="X75" s="1101"/>
      <c r="Y75" s="1102"/>
      <c r="Z75" s="1102"/>
      <c r="AA75" s="1101"/>
    </row>
    <row r="76" ht="15.75" customHeight="1">
      <c r="A76" s="213"/>
      <c r="B76" s="213"/>
      <c r="C76" s="1101"/>
      <c r="D76" s="1101"/>
      <c r="E76" s="1101"/>
      <c r="F76" s="1101"/>
      <c r="G76" s="1101"/>
      <c r="H76" s="1101"/>
      <c r="I76" s="1101"/>
      <c r="J76" s="1101"/>
      <c r="K76" s="1101"/>
      <c r="L76" s="1101"/>
      <c r="M76" s="1101"/>
      <c r="N76" s="1101"/>
      <c r="O76" s="1101"/>
      <c r="P76" s="1101"/>
      <c r="Q76" s="1101"/>
      <c r="R76" s="1101"/>
      <c r="S76" s="1101"/>
      <c r="T76" s="1101"/>
      <c r="U76" s="1101"/>
      <c r="V76" s="1101"/>
      <c r="W76" s="1101"/>
      <c r="X76" s="1101"/>
      <c r="Y76" s="1102"/>
      <c r="Z76" s="1102"/>
      <c r="AA76" s="1101"/>
    </row>
    <row r="77" ht="15.75" customHeight="1">
      <c r="A77" s="213"/>
      <c r="B77" s="213"/>
      <c r="C77" s="1101"/>
      <c r="D77" s="1101"/>
      <c r="E77" s="1101"/>
      <c r="F77" s="1101"/>
      <c r="G77" s="1101"/>
      <c r="H77" s="1101"/>
      <c r="I77" s="1101"/>
      <c r="J77" s="1101"/>
      <c r="K77" s="1101"/>
      <c r="L77" s="1101"/>
      <c r="M77" s="1101"/>
      <c r="N77" s="1101"/>
      <c r="O77" s="1101"/>
      <c r="P77" s="1101"/>
      <c r="Q77" s="1101"/>
      <c r="R77" s="1101"/>
      <c r="S77" s="1101"/>
      <c r="T77" s="1101"/>
      <c r="U77" s="1101"/>
      <c r="V77" s="1101"/>
      <c r="W77" s="1101"/>
      <c r="X77" s="1101"/>
      <c r="Y77" s="1102"/>
      <c r="Z77" s="1102"/>
      <c r="AA77" s="1101"/>
    </row>
    <row r="78" ht="15.75" customHeight="1">
      <c r="A78" s="213"/>
      <c r="B78" s="213"/>
      <c r="C78" s="1101"/>
      <c r="D78" s="1101"/>
      <c r="E78" s="1101"/>
      <c r="F78" s="1101"/>
      <c r="G78" s="1101"/>
      <c r="H78" s="1101"/>
      <c r="I78" s="1101"/>
      <c r="J78" s="1101"/>
      <c r="K78" s="1101"/>
      <c r="L78" s="1101"/>
      <c r="M78" s="1101"/>
      <c r="N78" s="1101"/>
      <c r="O78" s="1101"/>
      <c r="P78" s="1101"/>
      <c r="Q78" s="1101"/>
      <c r="R78" s="1101"/>
      <c r="S78" s="1101"/>
      <c r="T78" s="1101"/>
      <c r="U78" s="1101"/>
      <c r="V78" s="1101"/>
      <c r="W78" s="1101"/>
      <c r="X78" s="1101"/>
      <c r="Y78" s="1102"/>
      <c r="Z78" s="1102"/>
      <c r="AA78" s="1101"/>
    </row>
    <row r="79" ht="15.75" customHeight="1">
      <c r="A79" s="213"/>
      <c r="B79" s="213"/>
      <c r="C79" s="1101"/>
      <c r="D79" s="1101"/>
      <c r="E79" s="1101"/>
      <c r="F79" s="1101"/>
      <c r="G79" s="1101"/>
      <c r="H79" s="1101"/>
      <c r="I79" s="1101"/>
      <c r="J79" s="1101"/>
      <c r="K79" s="1101"/>
      <c r="L79" s="1101"/>
      <c r="M79" s="1101"/>
      <c r="N79" s="1101"/>
      <c r="O79" s="1101"/>
      <c r="P79" s="1101"/>
      <c r="Q79" s="1101"/>
      <c r="R79" s="1101"/>
      <c r="S79" s="1101"/>
      <c r="T79" s="1101"/>
      <c r="U79" s="1101"/>
      <c r="V79" s="1101"/>
      <c r="W79" s="1101"/>
      <c r="X79" s="1101"/>
      <c r="Y79" s="1102"/>
      <c r="Z79" s="1102"/>
      <c r="AA79" s="1101"/>
    </row>
    <row r="80" ht="15.75" customHeight="1">
      <c r="A80" s="213"/>
      <c r="B80" s="213"/>
      <c r="C80" s="1101"/>
      <c r="D80" s="1101"/>
      <c r="E80" s="1101"/>
      <c r="F80" s="1101"/>
      <c r="G80" s="1101"/>
      <c r="H80" s="1101"/>
      <c r="I80" s="1101"/>
      <c r="J80" s="1101"/>
      <c r="K80" s="1101"/>
      <c r="L80" s="1101"/>
      <c r="M80" s="1101"/>
      <c r="N80" s="1101"/>
      <c r="O80" s="1101"/>
      <c r="P80" s="1101"/>
      <c r="Q80" s="1101"/>
      <c r="R80" s="1101"/>
      <c r="S80" s="1101"/>
      <c r="T80" s="1101"/>
      <c r="U80" s="1101"/>
      <c r="V80" s="1101"/>
      <c r="W80" s="1101"/>
      <c r="X80" s="1101"/>
      <c r="Y80" s="1102"/>
      <c r="Z80" s="1102"/>
      <c r="AA80" s="1101"/>
    </row>
    <row r="81" ht="15.75" customHeight="1">
      <c r="A81" s="213"/>
      <c r="B81" s="213"/>
      <c r="C81" s="1101"/>
      <c r="D81" s="1101"/>
      <c r="E81" s="1101"/>
      <c r="F81" s="1101"/>
      <c r="G81" s="1101"/>
      <c r="H81" s="1101"/>
      <c r="I81" s="1101"/>
      <c r="J81" s="1101"/>
      <c r="K81" s="1101"/>
      <c r="L81" s="1101"/>
      <c r="M81" s="1101"/>
      <c r="N81" s="1101"/>
      <c r="O81" s="1101"/>
      <c r="P81" s="1101"/>
      <c r="Q81" s="1101"/>
      <c r="R81" s="1101"/>
      <c r="S81" s="1101"/>
      <c r="T81" s="1101"/>
      <c r="U81" s="1101"/>
      <c r="V81" s="1101"/>
      <c r="W81" s="1101"/>
      <c r="X81" s="1101"/>
      <c r="Y81" s="1102"/>
      <c r="Z81" s="1102"/>
      <c r="AA81" s="1101"/>
    </row>
    <row r="82" ht="15.75" customHeight="1">
      <c r="A82" s="213"/>
      <c r="B82" s="213"/>
      <c r="C82" s="1101"/>
      <c r="D82" s="1101"/>
      <c r="E82" s="1101"/>
      <c r="F82" s="1101"/>
      <c r="G82" s="1101"/>
      <c r="H82" s="1101"/>
      <c r="I82" s="1101"/>
      <c r="J82" s="1101"/>
      <c r="K82" s="1101"/>
      <c r="L82" s="1101"/>
      <c r="M82" s="1101"/>
      <c r="N82" s="1101"/>
      <c r="O82" s="1101"/>
      <c r="P82" s="1101"/>
      <c r="Q82" s="1101"/>
      <c r="R82" s="1101"/>
      <c r="S82" s="1101"/>
      <c r="T82" s="1101"/>
      <c r="U82" s="1101"/>
      <c r="V82" s="1101"/>
      <c r="W82" s="1101"/>
      <c r="X82" s="1101"/>
      <c r="Y82" s="1102"/>
      <c r="Z82" s="1102"/>
      <c r="AA82" s="1101"/>
    </row>
    <row r="83" ht="15.75" customHeight="1">
      <c r="A83" s="213"/>
      <c r="B83" s="213"/>
      <c r="C83" s="1101"/>
      <c r="D83" s="1101"/>
      <c r="E83" s="1101"/>
      <c r="F83" s="1101"/>
      <c r="G83" s="1101"/>
      <c r="H83" s="1101"/>
      <c r="I83" s="1101"/>
      <c r="J83" s="1101"/>
      <c r="K83" s="1101"/>
      <c r="L83" s="1101"/>
      <c r="M83" s="1101"/>
      <c r="N83" s="1101"/>
      <c r="O83" s="1101"/>
      <c r="P83" s="1101"/>
      <c r="Q83" s="1101"/>
      <c r="R83" s="1101"/>
      <c r="S83" s="1101"/>
      <c r="T83" s="1101"/>
      <c r="U83" s="1101"/>
      <c r="V83" s="1101"/>
      <c r="W83" s="1101"/>
      <c r="X83" s="1101"/>
      <c r="Y83" s="1102"/>
      <c r="Z83" s="1102"/>
      <c r="AA83" s="1101"/>
    </row>
    <row r="84" ht="15.75" customHeight="1">
      <c r="A84" s="213"/>
      <c r="B84" s="213"/>
      <c r="C84" s="1101"/>
      <c r="D84" s="1101"/>
      <c r="E84" s="1101"/>
      <c r="F84" s="1101"/>
      <c r="G84" s="1101"/>
      <c r="H84" s="1101"/>
      <c r="I84" s="1101"/>
      <c r="J84" s="1101"/>
      <c r="K84" s="1101"/>
      <c r="L84" s="1101"/>
      <c r="M84" s="1101"/>
      <c r="N84" s="1101"/>
      <c r="O84" s="1101"/>
      <c r="P84" s="1101"/>
      <c r="Q84" s="1101"/>
      <c r="R84" s="1101"/>
      <c r="S84" s="1101"/>
      <c r="T84" s="1101"/>
      <c r="U84" s="1101"/>
      <c r="V84" s="1101"/>
      <c r="W84" s="1101"/>
      <c r="X84" s="1101"/>
      <c r="Y84" s="1102"/>
      <c r="Z84" s="1102"/>
      <c r="AA84" s="1101"/>
    </row>
    <row r="85" ht="15.75" customHeight="1">
      <c r="A85" s="213"/>
      <c r="B85" s="213"/>
      <c r="C85" s="1101"/>
      <c r="D85" s="1101"/>
      <c r="E85" s="1101"/>
      <c r="F85" s="1101"/>
      <c r="G85" s="1101"/>
      <c r="H85" s="1101"/>
      <c r="I85" s="1101"/>
      <c r="J85" s="1101"/>
      <c r="K85" s="1101"/>
      <c r="L85" s="1101"/>
      <c r="M85" s="1101"/>
      <c r="N85" s="1101"/>
      <c r="O85" s="1101"/>
      <c r="P85" s="1101"/>
      <c r="Q85" s="1101"/>
      <c r="R85" s="1101"/>
      <c r="S85" s="1101"/>
      <c r="T85" s="1101"/>
      <c r="U85" s="1101"/>
      <c r="V85" s="1101"/>
      <c r="W85" s="1101"/>
      <c r="X85" s="1101"/>
      <c r="Y85" s="1102"/>
      <c r="Z85" s="1102"/>
      <c r="AA85" s="1101"/>
    </row>
    <row r="86" ht="15.75" customHeight="1">
      <c r="A86" s="213"/>
      <c r="B86" s="213"/>
      <c r="C86" s="1101"/>
      <c r="D86" s="1101"/>
      <c r="E86" s="1101"/>
      <c r="F86" s="1101"/>
      <c r="G86" s="1101"/>
      <c r="H86" s="1101"/>
      <c r="I86" s="1101"/>
      <c r="J86" s="1101"/>
      <c r="K86" s="1101"/>
      <c r="L86" s="1101"/>
      <c r="M86" s="1101"/>
      <c r="N86" s="1101"/>
      <c r="O86" s="1101"/>
      <c r="P86" s="1101"/>
      <c r="Q86" s="1101"/>
      <c r="R86" s="1101"/>
      <c r="S86" s="1101"/>
      <c r="T86" s="1101"/>
      <c r="U86" s="1101"/>
      <c r="V86" s="1101"/>
      <c r="W86" s="1101"/>
      <c r="X86" s="1101"/>
      <c r="Y86" s="1102"/>
      <c r="Z86" s="1102"/>
      <c r="AA86" s="1101"/>
    </row>
    <row r="87" ht="15.75" customHeight="1">
      <c r="A87" s="213"/>
      <c r="B87" s="213"/>
      <c r="C87" s="1101"/>
      <c r="D87" s="1101"/>
      <c r="E87" s="1101"/>
      <c r="F87" s="1101"/>
      <c r="G87" s="1101"/>
      <c r="H87" s="1101"/>
      <c r="I87" s="1101"/>
      <c r="J87" s="1101"/>
      <c r="K87" s="1101"/>
      <c r="L87" s="1101"/>
      <c r="M87" s="1101"/>
      <c r="N87" s="1101"/>
      <c r="O87" s="1101"/>
      <c r="P87" s="1101"/>
      <c r="Q87" s="1101"/>
      <c r="R87" s="1101"/>
      <c r="S87" s="1101"/>
      <c r="T87" s="1101"/>
      <c r="U87" s="1101"/>
      <c r="V87" s="1101"/>
      <c r="W87" s="1101"/>
      <c r="X87" s="1101"/>
      <c r="Y87" s="1102"/>
      <c r="Z87" s="1102"/>
      <c r="AA87" s="1101"/>
    </row>
    <row r="88" ht="15.75" customHeight="1">
      <c r="A88" s="213"/>
      <c r="B88" s="213"/>
      <c r="C88" s="1101"/>
      <c r="D88" s="1101"/>
      <c r="E88" s="1101"/>
      <c r="F88" s="1101"/>
      <c r="G88" s="1101"/>
      <c r="H88" s="1101"/>
      <c r="I88" s="1101"/>
      <c r="J88" s="1101"/>
      <c r="K88" s="1101"/>
      <c r="L88" s="1101"/>
      <c r="M88" s="1101"/>
      <c r="N88" s="1101"/>
      <c r="O88" s="1101"/>
      <c r="P88" s="1101"/>
      <c r="Q88" s="1101"/>
      <c r="R88" s="1101"/>
      <c r="S88" s="1101"/>
      <c r="T88" s="1101"/>
      <c r="U88" s="1101"/>
      <c r="V88" s="1101"/>
      <c r="W88" s="1101"/>
      <c r="X88" s="1101"/>
      <c r="Y88" s="1102"/>
      <c r="Z88" s="1102"/>
      <c r="AA88" s="1101"/>
    </row>
    <row r="89" ht="15.75" customHeight="1">
      <c r="A89" s="213"/>
      <c r="B89" s="213"/>
      <c r="C89" s="1101"/>
      <c r="D89" s="1101"/>
      <c r="E89" s="1101"/>
      <c r="F89" s="1101"/>
      <c r="G89" s="1101"/>
      <c r="H89" s="1101"/>
      <c r="I89" s="1101"/>
      <c r="J89" s="1101"/>
      <c r="K89" s="1101"/>
      <c r="L89" s="1101"/>
      <c r="M89" s="1101"/>
      <c r="N89" s="1101"/>
      <c r="O89" s="1101"/>
      <c r="P89" s="1101"/>
      <c r="Q89" s="1101"/>
      <c r="R89" s="1101"/>
      <c r="S89" s="1101"/>
      <c r="T89" s="1101"/>
      <c r="U89" s="1101"/>
      <c r="V89" s="1101"/>
      <c r="W89" s="1101"/>
      <c r="X89" s="1101"/>
      <c r="Y89" s="1102"/>
      <c r="Z89" s="1102"/>
      <c r="AA89" s="1101"/>
    </row>
    <row r="90" ht="15.75" customHeight="1">
      <c r="A90" s="213"/>
      <c r="B90" s="213"/>
      <c r="C90" s="1101"/>
      <c r="D90" s="1101"/>
      <c r="E90" s="1101"/>
      <c r="F90" s="1101"/>
      <c r="G90" s="1101"/>
      <c r="H90" s="1101"/>
      <c r="I90" s="1101"/>
      <c r="J90" s="1101"/>
      <c r="K90" s="1101"/>
      <c r="L90" s="1101"/>
      <c r="M90" s="1101"/>
      <c r="N90" s="1101"/>
      <c r="O90" s="1101"/>
      <c r="P90" s="1101"/>
      <c r="Q90" s="1101"/>
      <c r="R90" s="1101"/>
      <c r="S90" s="1101"/>
      <c r="T90" s="1101"/>
      <c r="U90" s="1101"/>
      <c r="V90" s="1101"/>
      <c r="W90" s="1101"/>
      <c r="X90" s="1101"/>
      <c r="Y90" s="1102"/>
      <c r="Z90" s="1102"/>
      <c r="AA90" s="1101"/>
    </row>
    <row r="91" ht="15.75" customHeight="1">
      <c r="A91" s="213"/>
      <c r="B91" s="213"/>
      <c r="C91" s="1101"/>
      <c r="D91" s="1101"/>
      <c r="E91" s="1101"/>
      <c r="F91" s="1101"/>
      <c r="G91" s="1101"/>
      <c r="H91" s="1101"/>
      <c r="I91" s="1101"/>
      <c r="J91" s="1101"/>
      <c r="K91" s="1101"/>
      <c r="L91" s="1101"/>
      <c r="M91" s="1101"/>
      <c r="N91" s="1101"/>
      <c r="O91" s="1101"/>
      <c r="P91" s="1101"/>
      <c r="Q91" s="1101"/>
      <c r="R91" s="1101"/>
      <c r="S91" s="1101"/>
      <c r="T91" s="1101"/>
      <c r="U91" s="1101"/>
      <c r="V91" s="1101"/>
      <c r="W91" s="1101"/>
      <c r="X91" s="1101"/>
      <c r="Y91" s="1102"/>
      <c r="Z91" s="1102"/>
      <c r="AA91" s="1101"/>
    </row>
    <row r="92" ht="15.75" customHeight="1">
      <c r="A92" s="213"/>
      <c r="B92" s="213"/>
      <c r="C92" s="1101"/>
      <c r="D92" s="1101"/>
      <c r="E92" s="1101"/>
      <c r="F92" s="1101"/>
      <c r="G92" s="1101"/>
      <c r="H92" s="1101"/>
      <c r="I92" s="1101"/>
      <c r="J92" s="1101"/>
      <c r="K92" s="1101"/>
      <c r="L92" s="1101"/>
      <c r="M92" s="1101"/>
      <c r="N92" s="1101"/>
      <c r="O92" s="1101"/>
      <c r="P92" s="1101"/>
      <c r="Q92" s="1101"/>
      <c r="R92" s="1101"/>
      <c r="S92" s="1101"/>
      <c r="T92" s="1101"/>
      <c r="U92" s="1101"/>
      <c r="V92" s="1101"/>
      <c r="W92" s="1101"/>
      <c r="X92" s="1101"/>
      <c r="Y92" s="1102"/>
      <c r="Z92" s="1102"/>
      <c r="AA92" s="1101"/>
    </row>
    <row r="93" ht="15.75" customHeight="1">
      <c r="A93" s="213"/>
      <c r="B93" s="213"/>
      <c r="C93" s="1101"/>
      <c r="D93" s="1101"/>
      <c r="E93" s="1101"/>
      <c r="F93" s="1101"/>
      <c r="G93" s="1101"/>
      <c r="H93" s="1101"/>
      <c r="I93" s="1101"/>
      <c r="J93" s="1101"/>
      <c r="K93" s="1101"/>
      <c r="L93" s="1101"/>
      <c r="M93" s="1101"/>
      <c r="N93" s="1101"/>
      <c r="O93" s="1101"/>
      <c r="P93" s="1101"/>
      <c r="Q93" s="1101"/>
      <c r="R93" s="1101"/>
      <c r="S93" s="1101"/>
      <c r="T93" s="1101"/>
      <c r="U93" s="1101"/>
      <c r="V93" s="1101"/>
      <c r="W93" s="1101"/>
      <c r="X93" s="1101"/>
      <c r="Y93" s="1102"/>
      <c r="Z93" s="1102"/>
      <c r="AA93" s="1101"/>
    </row>
    <row r="94" ht="15.75" customHeight="1">
      <c r="A94" s="213"/>
      <c r="B94" s="213"/>
      <c r="C94" s="1101"/>
      <c r="D94" s="1101"/>
      <c r="E94" s="1101"/>
      <c r="F94" s="1101"/>
      <c r="G94" s="1101"/>
      <c r="H94" s="1101"/>
      <c r="I94" s="1101"/>
      <c r="J94" s="1101"/>
      <c r="K94" s="1101"/>
      <c r="L94" s="1101"/>
      <c r="M94" s="1101"/>
      <c r="N94" s="1101"/>
      <c r="O94" s="1101"/>
      <c r="P94" s="1101"/>
      <c r="Q94" s="1101"/>
      <c r="R94" s="1101"/>
      <c r="S94" s="1101"/>
      <c r="T94" s="1101"/>
      <c r="U94" s="1101"/>
      <c r="V94" s="1101"/>
      <c r="W94" s="1101"/>
      <c r="X94" s="1101"/>
      <c r="Y94" s="1102"/>
      <c r="Z94" s="1102"/>
      <c r="AA94" s="1101"/>
    </row>
    <row r="95" ht="15.75" customHeight="1">
      <c r="A95" s="213"/>
      <c r="B95" s="213"/>
      <c r="C95" s="1101"/>
      <c r="D95" s="1101"/>
      <c r="E95" s="1101"/>
      <c r="F95" s="1101"/>
      <c r="G95" s="1101"/>
      <c r="H95" s="1101"/>
      <c r="I95" s="1101"/>
      <c r="J95" s="1101"/>
      <c r="K95" s="1101"/>
      <c r="L95" s="1101"/>
      <c r="M95" s="1101"/>
      <c r="N95" s="1101"/>
      <c r="O95" s="1101"/>
      <c r="P95" s="1101"/>
      <c r="Q95" s="1101"/>
      <c r="R95" s="1101"/>
      <c r="S95" s="1101"/>
      <c r="T95" s="1101"/>
      <c r="U95" s="1101"/>
      <c r="V95" s="1101"/>
      <c r="W95" s="1101"/>
      <c r="X95" s="1101"/>
      <c r="Y95" s="1102"/>
      <c r="Z95" s="1102"/>
      <c r="AA95" s="1101"/>
    </row>
    <row r="96" ht="15.75" customHeight="1">
      <c r="A96" s="213"/>
      <c r="B96" s="213"/>
      <c r="C96" s="1101"/>
      <c r="D96" s="1101"/>
      <c r="E96" s="1101"/>
      <c r="F96" s="1101"/>
      <c r="G96" s="1101"/>
      <c r="H96" s="1101"/>
      <c r="I96" s="1101"/>
      <c r="J96" s="1101"/>
      <c r="K96" s="1101"/>
      <c r="L96" s="1101"/>
      <c r="M96" s="1101"/>
      <c r="N96" s="1101"/>
      <c r="O96" s="1101"/>
      <c r="P96" s="1101"/>
      <c r="Q96" s="1101"/>
      <c r="R96" s="1101"/>
      <c r="S96" s="1101"/>
      <c r="T96" s="1101"/>
      <c r="U96" s="1101"/>
      <c r="V96" s="1101"/>
      <c r="W96" s="1101"/>
      <c r="X96" s="1101"/>
      <c r="Y96" s="1102"/>
      <c r="Z96" s="1102"/>
      <c r="AA96" s="1101"/>
    </row>
    <row r="97" ht="15.75" customHeight="1">
      <c r="A97" s="213"/>
      <c r="B97" s="213"/>
      <c r="C97" s="1101"/>
      <c r="D97" s="1101"/>
      <c r="E97" s="1101"/>
      <c r="F97" s="1101"/>
      <c r="G97" s="1101"/>
      <c r="H97" s="1101"/>
      <c r="I97" s="1101"/>
      <c r="J97" s="1101"/>
      <c r="K97" s="1101"/>
      <c r="L97" s="1101"/>
      <c r="M97" s="1101"/>
      <c r="N97" s="1101"/>
      <c r="O97" s="1101"/>
      <c r="P97" s="1101"/>
      <c r="Q97" s="1101"/>
      <c r="R97" s="1101"/>
      <c r="S97" s="1101"/>
      <c r="T97" s="1101"/>
      <c r="U97" s="1101"/>
      <c r="V97" s="1101"/>
      <c r="W97" s="1101"/>
      <c r="X97" s="1101"/>
      <c r="Y97" s="1102"/>
      <c r="Z97" s="1102"/>
      <c r="AA97" s="1101"/>
    </row>
    <row r="98" ht="15.75" customHeight="1">
      <c r="A98" s="213"/>
      <c r="B98" s="213"/>
      <c r="C98" s="1101"/>
      <c r="D98" s="1101"/>
      <c r="E98" s="1101"/>
      <c r="F98" s="1101"/>
      <c r="G98" s="1101"/>
      <c r="H98" s="1101"/>
      <c r="I98" s="1101"/>
      <c r="J98" s="1101"/>
      <c r="K98" s="1101"/>
      <c r="L98" s="1101"/>
      <c r="M98" s="1101"/>
      <c r="N98" s="1101"/>
      <c r="O98" s="1101"/>
      <c r="P98" s="1101"/>
      <c r="Q98" s="1101"/>
      <c r="R98" s="1101"/>
      <c r="S98" s="1101"/>
      <c r="T98" s="1101"/>
      <c r="U98" s="1101"/>
      <c r="V98" s="1101"/>
      <c r="W98" s="1101"/>
      <c r="X98" s="1101"/>
      <c r="Y98" s="1102"/>
      <c r="Z98" s="1102"/>
      <c r="AA98" s="1101"/>
    </row>
    <row r="99" ht="15.75" customHeight="1">
      <c r="A99" s="213"/>
      <c r="B99" s="213"/>
      <c r="C99" s="1101"/>
      <c r="D99" s="1101"/>
      <c r="E99" s="1101"/>
      <c r="F99" s="1101"/>
      <c r="G99" s="1101"/>
      <c r="H99" s="1101"/>
      <c r="I99" s="1101"/>
      <c r="J99" s="1101"/>
      <c r="K99" s="1101"/>
      <c r="L99" s="1101"/>
      <c r="M99" s="1101"/>
      <c r="N99" s="1101"/>
      <c r="O99" s="1101"/>
      <c r="P99" s="1101"/>
      <c r="Q99" s="1101"/>
      <c r="R99" s="1101"/>
      <c r="S99" s="1101"/>
      <c r="T99" s="1101"/>
      <c r="U99" s="1101"/>
      <c r="V99" s="1101"/>
      <c r="W99" s="1101"/>
      <c r="X99" s="1101"/>
      <c r="Y99" s="1102"/>
      <c r="Z99" s="1102"/>
      <c r="AA99" s="1101"/>
    </row>
    <row r="100" ht="15.75" customHeight="1">
      <c r="A100" s="213"/>
      <c r="B100" s="213"/>
      <c r="C100" s="1101"/>
      <c r="D100" s="1101"/>
      <c r="E100" s="1101"/>
      <c r="F100" s="1101"/>
      <c r="G100" s="1101"/>
      <c r="H100" s="1101"/>
      <c r="I100" s="1101"/>
      <c r="J100" s="1101"/>
      <c r="K100" s="1101"/>
      <c r="L100" s="1101"/>
      <c r="M100" s="1101"/>
      <c r="N100" s="1101"/>
      <c r="O100" s="1101"/>
      <c r="P100" s="1101"/>
      <c r="Q100" s="1101"/>
      <c r="R100" s="1101"/>
      <c r="S100" s="1101"/>
      <c r="T100" s="1101"/>
      <c r="U100" s="1101"/>
      <c r="V100" s="1101"/>
      <c r="W100" s="1101"/>
      <c r="X100" s="1101"/>
      <c r="Y100" s="1102"/>
      <c r="Z100" s="1102"/>
      <c r="AA100" s="1101"/>
    </row>
    <row r="101" ht="15.75" customHeight="1">
      <c r="A101" s="213"/>
      <c r="B101" s="213"/>
      <c r="C101" s="1101"/>
      <c r="D101" s="1101"/>
      <c r="E101" s="1101"/>
      <c r="F101" s="1101"/>
      <c r="G101" s="1101"/>
      <c r="H101" s="1101"/>
      <c r="I101" s="1101"/>
      <c r="J101" s="1101"/>
      <c r="K101" s="1101"/>
      <c r="L101" s="1101"/>
      <c r="M101" s="1101"/>
      <c r="N101" s="1101"/>
      <c r="O101" s="1101"/>
      <c r="P101" s="1101"/>
      <c r="Q101" s="1101"/>
      <c r="R101" s="1101"/>
      <c r="S101" s="1101"/>
      <c r="T101" s="1101"/>
      <c r="U101" s="1101"/>
      <c r="V101" s="1101"/>
      <c r="W101" s="1101"/>
      <c r="X101" s="1101"/>
      <c r="Y101" s="1102"/>
      <c r="Z101" s="1102"/>
      <c r="AA101" s="1101"/>
    </row>
    <row r="102" ht="15.75" customHeight="1">
      <c r="A102" s="213"/>
      <c r="B102" s="213"/>
      <c r="C102" s="1101"/>
      <c r="D102" s="1101"/>
      <c r="E102" s="1101"/>
      <c r="F102" s="1101"/>
      <c r="G102" s="1101"/>
      <c r="H102" s="1101"/>
      <c r="I102" s="1101"/>
      <c r="J102" s="1101"/>
      <c r="K102" s="1101"/>
      <c r="L102" s="1101"/>
      <c r="M102" s="1101"/>
      <c r="N102" s="1101"/>
      <c r="O102" s="1101"/>
      <c r="P102" s="1101"/>
      <c r="Q102" s="1101"/>
      <c r="R102" s="1101"/>
      <c r="S102" s="1101"/>
      <c r="T102" s="1101"/>
      <c r="U102" s="1101"/>
      <c r="V102" s="1101"/>
      <c r="W102" s="1101"/>
      <c r="X102" s="1101"/>
      <c r="Y102" s="1102"/>
      <c r="Z102" s="1102"/>
      <c r="AA102" s="1101"/>
    </row>
    <row r="103" ht="15.75" customHeight="1">
      <c r="A103" s="213"/>
      <c r="B103" s="213"/>
      <c r="C103" s="1101"/>
      <c r="D103" s="1101"/>
      <c r="E103" s="1101"/>
      <c r="F103" s="1101"/>
      <c r="G103" s="1101"/>
      <c r="H103" s="1101"/>
      <c r="I103" s="1101"/>
      <c r="J103" s="1101"/>
      <c r="K103" s="1101"/>
      <c r="L103" s="1101"/>
      <c r="M103" s="1101"/>
      <c r="N103" s="1101"/>
      <c r="O103" s="1101"/>
      <c r="P103" s="1101"/>
      <c r="Q103" s="1101"/>
      <c r="R103" s="1101"/>
      <c r="S103" s="1101"/>
      <c r="T103" s="1101"/>
      <c r="U103" s="1101"/>
      <c r="V103" s="1101"/>
      <c r="W103" s="1101"/>
      <c r="X103" s="1101"/>
      <c r="Y103" s="1102"/>
      <c r="Z103" s="1102"/>
      <c r="AA103" s="1101"/>
    </row>
    <row r="104" ht="15.75" customHeight="1">
      <c r="A104" s="213"/>
      <c r="B104" s="213"/>
      <c r="C104" s="1101"/>
      <c r="D104" s="1101"/>
      <c r="E104" s="1101"/>
      <c r="F104" s="1101"/>
      <c r="G104" s="1101"/>
      <c r="H104" s="1101"/>
      <c r="I104" s="1101"/>
      <c r="J104" s="1101"/>
      <c r="K104" s="1101"/>
      <c r="L104" s="1101"/>
      <c r="M104" s="1101"/>
      <c r="N104" s="1101"/>
      <c r="O104" s="1101"/>
      <c r="P104" s="1101"/>
      <c r="Q104" s="1101"/>
      <c r="R104" s="1101"/>
      <c r="S104" s="1101"/>
      <c r="T104" s="1101"/>
      <c r="U104" s="1101"/>
      <c r="V104" s="1101"/>
      <c r="W104" s="1101"/>
      <c r="X104" s="1101"/>
      <c r="Y104" s="1102"/>
      <c r="Z104" s="1102"/>
      <c r="AA104" s="1101"/>
    </row>
    <row r="105" ht="15.75" customHeight="1">
      <c r="A105" s="213"/>
      <c r="B105" s="213"/>
      <c r="C105" s="1101"/>
      <c r="D105" s="1101"/>
      <c r="E105" s="1101"/>
      <c r="F105" s="1101"/>
      <c r="G105" s="1101"/>
      <c r="H105" s="1101"/>
      <c r="I105" s="1101"/>
      <c r="J105" s="1101"/>
      <c r="K105" s="1101"/>
      <c r="L105" s="1101"/>
      <c r="M105" s="1101"/>
      <c r="N105" s="1101"/>
      <c r="O105" s="1101"/>
      <c r="P105" s="1101"/>
      <c r="Q105" s="1101"/>
      <c r="R105" s="1101"/>
      <c r="S105" s="1101"/>
      <c r="T105" s="1101"/>
      <c r="U105" s="1101"/>
      <c r="V105" s="1101"/>
      <c r="W105" s="1101"/>
      <c r="X105" s="1101"/>
      <c r="Y105" s="1102"/>
      <c r="Z105" s="1102"/>
      <c r="AA105" s="1101"/>
    </row>
    <row r="106" ht="15.75" customHeight="1">
      <c r="A106" s="213"/>
      <c r="B106" s="213"/>
      <c r="C106" s="1101"/>
      <c r="D106" s="1101"/>
      <c r="E106" s="1101"/>
      <c r="F106" s="1101"/>
      <c r="G106" s="1101"/>
      <c r="H106" s="1101"/>
      <c r="I106" s="1101"/>
      <c r="J106" s="1101"/>
      <c r="K106" s="1101"/>
      <c r="L106" s="1101"/>
      <c r="M106" s="1101"/>
      <c r="N106" s="1101"/>
      <c r="O106" s="1101"/>
      <c r="P106" s="1101"/>
      <c r="Q106" s="1101"/>
      <c r="R106" s="1101"/>
      <c r="S106" s="1101"/>
      <c r="T106" s="1101"/>
      <c r="U106" s="1101"/>
      <c r="V106" s="1101"/>
      <c r="W106" s="1101"/>
      <c r="X106" s="1101"/>
      <c r="Y106" s="1102"/>
      <c r="Z106" s="1102"/>
      <c r="AA106" s="1101"/>
    </row>
    <row r="107" ht="15.75" customHeight="1">
      <c r="A107" s="213"/>
      <c r="B107" s="213"/>
      <c r="C107" s="1101"/>
      <c r="D107" s="1101"/>
      <c r="E107" s="1101"/>
      <c r="F107" s="1101"/>
      <c r="G107" s="1101"/>
      <c r="H107" s="1101"/>
      <c r="I107" s="1101"/>
      <c r="J107" s="1101"/>
      <c r="K107" s="1101"/>
      <c r="L107" s="1101"/>
      <c r="M107" s="1101"/>
      <c r="N107" s="1101"/>
      <c r="O107" s="1101"/>
      <c r="P107" s="1101"/>
      <c r="Q107" s="1101"/>
      <c r="R107" s="1101"/>
      <c r="S107" s="1101"/>
      <c r="T107" s="1101"/>
      <c r="U107" s="1101"/>
      <c r="V107" s="1101"/>
      <c r="W107" s="1101"/>
      <c r="X107" s="1101"/>
      <c r="Y107" s="1102"/>
      <c r="Z107" s="1102"/>
      <c r="AA107" s="1101"/>
    </row>
    <row r="108" ht="15.75" customHeight="1">
      <c r="A108" s="213"/>
      <c r="B108" s="213"/>
      <c r="C108" s="1101"/>
      <c r="D108" s="1101"/>
      <c r="E108" s="1101"/>
      <c r="F108" s="1101"/>
      <c r="G108" s="1101"/>
      <c r="H108" s="1101"/>
      <c r="I108" s="1101"/>
      <c r="J108" s="1101"/>
      <c r="K108" s="1101"/>
      <c r="L108" s="1101"/>
      <c r="M108" s="1101"/>
      <c r="N108" s="1101"/>
      <c r="O108" s="1101"/>
      <c r="P108" s="1101"/>
      <c r="Q108" s="1101"/>
      <c r="R108" s="1101"/>
      <c r="S108" s="1101"/>
      <c r="T108" s="1101"/>
      <c r="U108" s="1101"/>
      <c r="V108" s="1101"/>
      <c r="W108" s="1101"/>
      <c r="X108" s="1101"/>
      <c r="Y108" s="1102"/>
      <c r="Z108" s="1102"/>
      <c r="AA108" s="1101"/>
    </row>
    <row r="109" ht="15.75" customHeight="1">
      <c r="A109" s="213"/>
      <c r="B109" s="213"/>
      <c r="C109" s="1101"/>
      <c r="D109" s="1101"/>
      <c r="E109" s="1101"/>
      <c r="F109" s="1101"/>
      <c r="G109" s="1101"/>
      <c r="H109" s="1101"/>
      <c r="I109" s="1101"/>
      <c r="J109" s="1101"/>
      <c r="K109" s="1101"/>
      <c r="L109" s="1101"/>
      <c r="M109" s="1101"/>
      <c r="N109" s="1101"/>
      <c r="O109" s="1101"/>
      <c r="P109" s="1101"/>
      <c r="Q109" s="1101"/>
      <c r="R109" s="1101"/>
      <c r="S109" s="1101"/>
      <c r="T109" s="1101"/>
      <c r="U109" s="1101"/>
      <c r="V109" s="1101"/>
      <c r="W109" s="1101"/>
      <c r="X109" s="1101"/>
      <c r="Y109" s="1102"/>
      <c r="Z109" s="1102"/>
      <c r="AA109" s="1101"/>
    </row>
    <row r="110" ht="15.75" customHeight="1">
      <c r="A110" s="213"/>
      <c r="B110" s="213"/>
      <c r="C110" s="1101"/>
      <c r="D110" s="1101"/>
      <c r="E110" s="1101"/>
      <c r="F110" s="1101"/>
      <c r="G110" s="1101"/>
      <c r="H110" s="1101"/>
      <c r="I110" s="1101"/>
      <c r="J110" s="1101"/>
      <c r="K110" s="1101"/>
      <c r="L110" s="1101"/>
      <c r="M110" s="1101"/>
      <c r="N110" s="1101"/>
      <c r="O110" s="1101"/>
      <c r="P110" s="1101"/>
      <c r="Q110" s="1101"/>
      <c r="R110" s="1101"/>
      <c r="S110" s="1101"/>
      <c r="T110" s="1101"/>
      <c r="U110" s="1101"/>
      <c r="V110" s="1101"/>
      <c r="W110" s="1101"/>
      <c r="X110" s="1101"/>
      <c r="Y110" s="1102"/>
      <c r="Z110" s="1102"/>
      <c r="AA110" s="1101"/>
    </row>
    <row r="111" ht="15.75" customHeight="1">
      <c r="A111" s="213"/>
      <c r="B111" s="213"/>
      <c r="C111" s="1101"/>
      <c r="D111" s="1101"/>
      <c r="E111" s="1101"/>
      <c r="F111" s="1101"/>
      <c r="G111" s="1101"/>
      <c r="H111" s="1101"/>
      <c r="I111" s="1101"/>
      <c r="J111" s="1101"/>
      <c r="K111" s="1101"/>
      <c r="L111" s="1101"/>
      <c r="M111" s="1101"/>
      <c r="N111" s="1101"/>
      <c r="O111" s="1101"/>
      <c r="P111" s="1101"/>
      <c r="Q111" s="1101"/>
      <c r="R111" s="1101"/>
      <c r="S111" s="1101"/>
      <c r="T111" s="1101"/>
      <c r="U111" s="1101"/>
      <c r="V111" s="1101"/>
      <c r="W111" s="1101"/>
      <c r="X111" s="1101"/>
      <c r="Y111" s="1102"/>
      <c r="Z111" s="1102"/>
      <c r="AA111" s="1101"/>
    </row>
    <row r="112" ht="15.75" customHeight="1">
      <c r="A112" s="213"/>
      <c r="B112" s="213"/>
      <c r="C112" s="1101"/>
      <c r="D112" s="1101"/>
      <c r="E112" s="1101"/>
      <c r="F112" s="1101"/>
      <c r="G112" s="1101"/>
      <c r="H112" s="1101"/>
      <c r="I112" s="1101"/>
      <c r="J112" s="1101"/>
      <c r="K112" s="1101"/>
      <c r="L112" s="1101"/>
      <c r="M112" s="1101"/>
      <c r="N112" s="1101"/>
      <c r="O112" s="1101"/>
      <c r="P112" s="1101"/>
      <c r="Q112" s="1101"/>
      <c r="R112" s="1101"/>
      <c r="S112" s="1101"/>
      <c r="T112" s="1101"/>
      <c r="U112" s="1101"/>
      <c r="V112" s="1101"/>
      <c r="W112" s="1101"/>
      <c r="X112" s="1101"/>
      <c r="Y112" s="1102"/>
      <c r="Z112" s="1102"/>
      <c r="AA112" s="1101"/>
    </row>
    <row r="113" ht="15.75" customHeight="1">
      <c r="A113" s="213"/>
      <c r="B113" s="213"/>
      <c r="C113" s="1101"/>
      <c r="D113" s="1101"/>
      <c r="E113" s="1101"/>
      <c r="F113" s="1101"/>
      <c r="G113" s="1101"/>
      <c r="H113" s="1101"/>
      <c r="I113" s="1101"/>
      <c r="J113" s="1101"/>
      <c r="K113" s="1101"/>
      <c r="L113" s="1101"/>
      <c r="M113" s="1101"/>
      <c r="N113" s="1101"/>
      <c r="O113" s="1101"/>
      <c r="P113" s="1101"/>
      <c r="Q113" s="1101"/>
      <c r="R113" s="1101"/>
      <c r="S113" s="1101"/>
      <c r="T113" s="1101"/>
      <c r="U113" s="1101"/>
      <c r="V113" s="1101"/>
      <c r="W113" s="1101"/>
      <c r="X113" s="1101"/>
      <c r="Y113" s="1102"/>
      <c r="Z113" s="1102"/>
      <c r="AA113" s="1101"/>
    </row>
    <row r="114" ht="15.75" customHeight="1">
      <c r="A114" s="213"/>
      <c r="B114" s="213"/>
      <c r="C114" s="1101"/>
      <c r="D114" s="1101"/>
      <c r="E114" s="1101"/>
      <c r="F114" s="1101"/>
      <c r="G114" s="1101"/>
      <c r="H114" s="1101"/>
      <c r="I114" s="1101"/>
      <c r="J114" s="1101"/>
      <c r="K114" s="1101"/>
      <c r="L114" s="1101"/>
      <c r="M114" s="1101"/>
      <c r="N114" s="1101"/>
      <c r="O114" s="1101"/>
      <c r="P114" s="1101"/>
      <c r="Q114" s="1101"/>
      <c r="R114" s="1101"/>
      <c r="S114" s="1101"/>
      <c r="T114" s="1101"/>
      <c r="U114" s="1101"/>
      <c r="V114" s="1101"/>
      <c r="W114" s="1101"/>
      <c r="X114" s="1101"/>
      <c r="Y114" s="1102"/>
      <c r="Z114" s="1102"/>
      <c r="AA114" s="1101"/>
    </row>
    <row r="115" ht="15.75" customHeight="1">
      <c r="A115" s="213"/>
      <c r="B115" s="213"/>
      <c r="C115" s="1101"/>
      <c r="D115" s="1101"/>
      <c r="E115" s="1101"/>
      <c r="F115" s="1101"/>
      <c r="G115" s="1101"/>
      <c r="H115" s="1101"/>
      <c r="I115" s="1101"/>
      <c r="J115" s="1101"/>
      <c r="K115" s="1101"/>
      <c r="L115" s="1101"/>
      <c r="M115" s="1101"/>
      <c r="N115" s="1101"/>
      <c r="O115" s="1101"/>
      <c r="P115" s="1101"/>
      <c r="Q115" s="1101"/>
      <c r="R115" s="1101"/>
      <c r="S115" s="1101"/>
      <c r="T115" s="1101"/>
      <c r="U115" s="1101"/>
      <c r="V115" s="1101"/>
      <c r="W115" s="1101"/>
      <c r="X115" s="1101"/>
      <c r="Y115" s="1102"/>
      <c r="Z115" s="1102"/>
      <c r="AA115" s="1101"/>
    </row>
    <row r="116" ht="15.75" customHeight="1">
      <c r="A116" s="213"/>
      <c r="B116" s="213"/>
      <c r="C116" s="1101"/>
      <c r="D116" s="1101"/>
      <c r="E116" s="1101"/>
      <c r="F116" s="1101"/>
      <c r="G116" s="1101"/>
      <c r="H116" s="1101"/>
      <c r="I116" s="1101"/>
      <c r="J116" s="1101"/>
      <c r="K116" s="1101"/>
      <c r="L116" s="1101"/>
      <c r="M116" s="1101"/>
      <c r="N116" s="1101"/>
      <c r="O116" s="1101"/>
      <c r="P116" s="1101"/>
      <c r="Q116" s="1101"/>
      <c r="R116" s="1101"/>
      <c r="S116" s="1101"/>
      <c r="T116" s="1101"/>
      <c r="U116" s="1101"/>
      <c r="V116" s="1101"/>
      <c r="W116" s="1101"/>
      <c r="X116" s="1101"/>
      <c r="Y116" s="1102"/>
      <c r="Z116" s="1102"/>
      <c r="AA116" s="1101"/>
    </row>
    <row r="117" ht="15.75" customHeight="1">
      <c r="A117" s="213"/>
      <c r="B117" s="213"/>
      <c r="C117" s="1101"/>
      <c r="D117" s="1101"/>
      <c r="E117" s="1101"/>
      <c r="F117" s="1101"/>
      <c r="G117" s="1101"/>
      <c r="H117" s="1101"/>
      <c r="I117" s="1101"/>
      <c r="J117" s="1101"/>
      <c r="K117" s="1101"/>
      <c r="L117" s="1101"/>
      <c r="M117" s="1101"/>
      <c r="N117" s="1101"/>
      <c r="O117" s="1101"/>
      <c r="P117" s="1101"/>
      <c r="Q117" s="1101"/>
      <c r="R117" s="1101"/>
      <c r="S117" s="1101"/>
      <c r="T117" s="1101"/>
      <c r="U117" s="1101"/>
      <c r="V117" s="1101"/>
      <c r="W117" s="1101"/>
      <c r="X117" s="1101"/>
      <c r="Y117" s="1102"/>
      <c r="Z117" s="1102"/>
      <c r="AA117" s="1101"/>
    </row>
    <row r="118" ht="15.75" customHeight="1">
      <c r="A118" s="213"/>
      <c r="B118" s="213"/>
      <c r="C118" s="1101"/>
      <c r="D118" s="1101"/>
      <c r="E118" s="1101"/>
      <c r="F118" s="1101"/>
      <c r="G118" s="1101"/>
      <c r="H118" s="1101"/>
      <c r="I118" s="1101"/>
      <c r="J118" s="1101"/>
      <c r="K118" s="1101"/>
      <c r="L118" s="1101"/>
      <c r="M118" s="1101"/>
      <c r="N118" s="1101"/>
      <c r="O118" s="1101"/>
      <c r="P118" s="1101"/>
      <c r="Q118" s="1101"/>
      <c r="R118" s="1101"/>
      <c r="S118" s="1101"/>
      <c r="T118" s="1101"/>
      <c r="U118" s="1101"/>
      <c r="V118" s="1101"/>
      <c r="W118" s="1101"/>
      <c r="X118" s="1101"/>
      <c r="Y118" s="1102"/>
      <c r="Z118" s="1102"/>
      <c r="AA118" s="1101"/>
    </row>
    <row r="119" ht="15.75" customHeight="1">
      <c r="A119" s="213"/>
      <c r="B119" s="213"/>
      <c r="C119" s="1101"/>
      <c r="D119" s="1101"/>
      <c r="E119" s="1101"/>
      <c r="F119" s="1101"/>
      <c r="G119" s="1101"/>
      <c r="H119" s="1101"/>
      <c r="I119" s="1101"/>
      <c r="J119" s="1101"/>
      <c r="K119" s="1101"/>
      <c r="L119" s="1101"/>
      <c r="M119" s="1101"/>
      <c r="N119" s="1101"/>
      <c r="O119" s="1101"/>
      <c r="P119" s="1101"/>
      <c r="Q119" s="1101"/>
      <c r="R119" s="1101"/>
      <c r="S119" s="1101"/>
      <c r="T119" s="1101"/>
      <c r="U119" s="1101"/>
      <c r="V119" s="1101"/>
      <c r="W119" s="1101"/>
      <c r="X119" s="1101"/>
      <c r="Y119" s="1102"/>
      <c r="Z119" s="1102"/>
      <c r="AA119" s="1101"/>
    </row>
    <row r="120" ht="15.75" customHeight="1">
      <c r="A120" s="213"/>
      <c r="B120" s="213"/>
      <c r="C120" s="1101"/>
      <c r="D120" s="1101"/>
      <c r="E120" s="1101"/>
      <c r="F120" s="1101"/>
      <c r="G120" s="1101"/>
      <c r="H120" s="1101"/>
      <c r="I120" s="1101"/>
      <c r="J120" s="1101"/>
      <c r="K120" s="1101"/>
      <c r="L120" s="1101"/>
      <c r="M120" s="1101"/>
      <c r="N120" s="1101"/>
      <c r="O120" s="1101"/>
      <c r="P120" s="1101"/>
      <c r="Q120" s="1101"/>
      <c r="R120" s="1101"/>
      <c r="S120" s="1101"/>
      <c r="T120" s="1101"/>
      <c r="U120" s="1101"/>
      <c r="V120" s="1101"/>
      <c r="W120" s="1101"/>
      <c r="X120" s="1101"/>
      <c r="Y120" s="1102"/>
      <c r="Z120" s="1102"/>
      <c r="AA120" s="1101"/>
    </row>
    <row r="121" ht="15.75" customHeight="1">
      <c r="A121" s="213"/>
      <c r="B121" s="213"/>
      <c r="C121" s="1101"/>
      <c r="D121" s="1101"/>
      <c r="E121" s="1101"/>
      <c r="F121" s="1101"/>
      <c r="G121" s="1101"/>
      <c r="H121" s="1101"/>
      <c r="I121" s="1101"/>
      <c r="J121" s="1101"/>
      <c r="K121" s="1101"/>
      <c r="L121" s="1101"/>
      <c r="M121" s="1101"/>
      <c r="N121" s="1101"/>
      <c r="O121" s="1101"/>
      <c r="P121" s="1101"/>
      <c r="Q121" s="1101"/>
      <c r="R121" s="1101"/>
      <c r="S121" s="1101"/>
      <c r="T121" s="1101"/>
      <c r="U121" s="1101"/>
      <c r="V121" s="1101"/>
      <c r="W121" s="1101"/>
      <c r="X121" s="1101"/>
      <c r="Y121" s="1102"/>
      <c r="Z121" s="1102"/>
      <c r="AA121" s="1101"/>
    </row>
    <row r="122" ht="15.75" customHeight="1">
      <c r="A122" s="213"/>
      <c r="B122" s="213"/>
      <c r="C122" s="1101"/>
      <c r="D122" s="1101"/>
      <c r="E122" s="1101"/>
      <c r="F122" s="1101"/>
      <c r="G122" s="1101"/>
      <c r="H122" s="1101"/>
      <c r="I122" s="1101"/>
      <c r="J122" s="1101"/>
      <c r="K122" s="1101"/>
      <c r="L122" s="1101"/>
      <c r="M122" s="1101"/>
      <c r="N122" s="1101"/>
      <c r="O122" s="1101"/>
      <c r="P122" s="1101"/>
      <c r="Q122" s="1101"/>
      <c r="R122" s="1101"/>
      <c r="S122" s="1101"/>
      <c r="T122" s="1101"/>
      <c r="U122" s="1101"/>
      <c r="V122" s="1101"/>
      <c r="W122" s="1101"/>
      <c r="X122" s="1101"/>
      <c r="Y122" s="1102"/>
      <c r="Z122" s="1102"/>
      <c r="AA122" s="1101"/>
    </row>
    <row r="123" ht="15.75" customHeight="1">
      <c r="A123" s="213"/>
      <c r="B123" s="213"/>
      <c r="C123" s="1101"/>
      <c r="D123" s="1101"/>
      <c r="E123" s="1101"/>
      <c r="F123" s="1101"/>
      <c r="G123" s="1101"/>
      <c r="H123" s="1101"/>
      <c r="I123" s="1101"/>
      <c r="J123" s="1101"/>
      <c r="K123" s="1101"/>
      <c r="L123" s="1101"/>
      <c r="M123" s="1101"/>
      <c r="N123" s="1101"/>
      <c r="O123" s="1101"/>
      <c r="P123" s="1101"/>
      <c r="Q123" s="1101"/>
      <c r="R123" s="1101"/>
      <c r="S123" s="1101"/>
      <c r="T123" s="1101"/>
      <c r="U123" s="1101"/>
      <c r="V123" s="1101"/>
      <c r="W123" s="1101"/>
      <c r="X123" s="1101"/>
      <c r="Y123" s="1102"/>
      <c r="Z123" s="1102"/>
      <c r="AA123" s="1101"/>
    </row>
    <row r="124" ht="15.75" customHeight="1">
      <c r="A124" s="213"/>
      <c r="B124" s="213"/>
      <c r="C124" s="1101"/>
      <c r="D124" s="1101"/>
      <c r="E124" s="1101"/>
      <c r="F124" s="1101"/>
      <c r="G124" s="1101"/>
      <c r="H124" s="1101"/>
      <c r="I124" s="1101"/>
      <c r="J124" s="1101"/>
      <c r="K124" s="1101"/>
      <c r="L124" s="1101"/>
      <c r="M124" s="1101"/>
      <c r="N124" s="1101"/>
      <c r="O124" s="1101"/>
      <c r="P124" s="1101"/>
      <c r="Q124" s="1101"/>
      <c r="R124" s="1101"/>
      <c r="S124" s="1101"/>
      <c r="T124" s="1101"/>
      <c r="U124" s="1101"/>
      <c r="V124" s="1101"/>
      <c r="W124" s="1101"/>
      <c r="X124" s="1101"/>
      <c r="Y124" s="1102"/>
      <c r="Z124" s="1102"/>
      <c r="AA124" s="1101"/>
    </row>
    <row r="125" ht="15.75" customHeight="1">
      <c r="A125" s="213"/>
      <c r="B125" s="213"/>
      <c r="C125" s="1101"/>
      <c r="D125" s="1101"/>
      <c r="E125" s="1101"/>
      <c r="F125" s="1101"/>
      <c r="G125" s="1101"/>
      <c r="H125" s="1101"/>
      <c r="I125" s="1101"/>
      <c r="J125" s="1101"/>
      <c r="K125" s="1101"/>
      <c r="L125" s="1101"/>
      <c r="M125" s="1101"/>
      <c r="N125" s="1101"/>
      <c r="O125" s="1101"/>
      <c r="P125" s="1101"/>
      <c r="Q125" s="1101"/>
      <c r="R125" s="1101"/>
      <c r="S125" s="1101"/>
      <c r="T125" s="1101"/>
      <c r="U125" s="1101"/>
      <c r="V125" s="1101"/>
      <c r="W125" s="1101"/>
      <c r="X125" s="1101"/>
      <c r="Y125" s="1102"/>
      <c r="Z125" s="1102"/>
      <c r="AA125" s="1101"/>
    </row>
    <row r="126" ht="15.75" customHeight="1">
      <c r="A126" s="213"/>
      <c r="B126" s="213"/>
      <c r="C126" s="1101"/>
      <c r="D126" s="1101"/>
      <c r="E126" s="1101"/>
      <c r="F126" s="1101"/>
      <c r="G126" s="1101"/>
      <c r="H126" s="1101"/>
      <c r="I126" s="1101"/>
      <c r="J126" s="1101"/>
      <c r="K126" s="1101"/>
      <c r="L126" s="1101"/>
      <c r="M126" s="1101"/>
      <c r="N126" s="1101"/>
      <c r="O126" s="1101"/>
      <c r="P126" s="1101"/>
      <c r="Q126" s="1101"/>
      <c r="R126" s="1101"/>
      <c r="S126" s="1101"/>
      <c r="T126" s="1101"/>
      <c r="U126" s="1101"/>
      <c r="V126" s="1101"/>
      <c r="W126" s="1101"/>
      <c r="X126" s="1101"/>
      <c r="Y126" s="1102"/>
      <c r="Z126" s="1102"/>
      <c r="AA126" s="1101"/>
    </row>
    <row r="127" ht="15.75" customHeight="1">
      <c r="A127" s="213"/>
      <c r="B127" s="213"/>
      <c r="C127" s="1101"/>
      <c r="D127" s="1101"/>
      <c r="E127" s="1101"/>
      <c r="F127" s="1101"/>
      <c r="G127" s="1101"/>
      <c r="H127" s="1101"/>
      <c r="I127" s="1101"/>
      <c r="J127" s="1101"/>
      <c r="K127" s="1101"/>
      <c r="L127" s="1101"/>
      <c r="M127" s="1101"/>
      <c r="N127" s="1101"/>
      <c r="O127" s="1101"/>
      <c r="P127" s="1101"/>
      <c r="Q127" s="1101"/>
      <c r="R127" s="1101"/>
      <c r="S127" s="1101"/>
      <c r="T127" s="1101"/>
      <c r="U127" s="1101"/>
      <c r="V127" s="1101"/>
      <c r="W127" s="1101"/>
      <c r="X127" s="1101"/>
      <c r="Y127" s="1102"/>
      <c r="Z127" s="1102"/>
      <c r="AA127" s="1101"/>
    </row>
    <row r="128" ht="15.75" customHeight="1">
      <c r="A128" s="213"/>
      <c r="B128" s="213"/>
      <c r="C128" s="1101"/>
      <c r="D128" s="1101"/>
      <c r="E128" s="1101"/>
      <c r="F128" s="1101"/>
      <c r="G128" s="1101"/>
      <c r="H128" s="1101"/>
      <c r="I128" s="1101"/>
      <c r="J128" s="1101"/>
      <c r="K128" s="1101"/>
      <c r="L128" s="1101"/>
      <c r="M128" s="1101"/>
      <c r="N128" s="1101"/>
      <c r="O128" s="1101"/>
      <c r="P128" s="1101"/>
      <c r="Q128" s="1101"/>
      <c r="R128" s="1101"/>
      <c r="S128" s="1101"/>
      <c r="T128" s="1101"/>
      <c r="U128" s="1101"/>
      <c r="V128" s="1101"/>
      <c r="W128" s="1101"/>
      <c r="X128" s="1101"/>
      <c r="Y128" s="1102"/>
      <c r="Z128" s="1102"/>
      <c r="AA128" s="1101"/>
    </row>
    <row r="129" ht="15.75" customHeight="1">
      <c r="A129" s="213"/>
      <c r="B129" s="213"/>
      <c r="C129" s="1101"/>
      <c r="D129" s="1101"/>
      <c r="E129" s="1101"/>
      <c r="F129" s="1101"/>
      <c r="G129" s="1101"/>
      <c r="H129" s="1101"/>
      <c r="I129" s="1101"/>
      <c r="J129" s="1101"/>
      <c r="K129" s="1101"/>
      <c r="L129" s="1101"/>
      <c r="M129" s="1101"/>
      <c r="N129" s="1101"/>
      <c r="O129" s="1101"/>
      <c r="P129" s="1101"/>
      <c r="Q129" s="1101"/>
      <c r="R129" s="1101"/>
      <c r="S129" s="1101"/>
      <c r="T129" s="1101"/>
      <c r="U129" s="1101"/>
      <c r="V129" s="1101"/>
      <c r="W129" s="1101"/>
      <c r="X129" s="1101"/>
      <c r="Y129" s="1102"/>
      <c r="Z129" s="1102"/>
      <c r="AA129" s="1101"/>
    </row>
    <row r="130" ht="15.75" customHeight="1">
      <c r="A130" s="213"/>
      <c r="B130" s="213"/>
      <c r="C130" s="1101"/>
      <c r="D130" s="1101"/>
      <c r="E130" s="1101"/>
      <c r="F130" s="1101"/>
      <c r="G130" s="1101"/>
      <c r="H130" s="1101"/>
      <c r="I130" s="1101"/>
      <c r="J130" s="1101"/>
      <c r="K130" s="1101"/>
      <c r="L130" s="1101"/>
      <c r="M130" s="1101"/>
      <c r="N130" s="1101"/>
      <c r="O130" s="1101"/>
      <c r="P130" s="1101"/>
      <c r="Q130" s="1101"/>
      <c r="R130" s="1101"/>
      <c r="S130" s="1101"/>
      <c r="T130" s="1101"/>
      <c r="U130" s="1101"/>
      <c r="V130" s="1101"/>
      <c r="W130" s="1101"/>
      <c r="X130" s="1101"/>
      <c r="Y130" s="1102"/>
      <c r="Z130" s="1102"/>
      <c r="AA130" s="1101"/>
    </row>
    <row r="131" ht="15.75" customHeight="1">
      <c r="A131" s="213"/>
      <c r="B131" s="213"/>
      <c r="C131" s="1101"/>
      <c r="D131" s="1101"/>
      <c r="E131" s="1101"/>
      <c r="F131" s="1101"/>
      <c r="G131" s="1101"/>
      <c r="H131" s="1101"/>
      <c r="I131" s="1101"/>
      <c r="J131" s="1101"/>
      <c r="K131" s="1101"/>
      <c r="L131" s="1101"/>
      <c r="M131" s="1101"/>
      <c r="N131" s="1101"/>
      <c r="O131" s="1101"/>
      <c r="P131" s="1101"/>
      <c r="Q131" s="1101"/>
      <c r="R131" s="1101"/>
      <c r="S131" s="1101"/>
      <c r="T131" s="1101"/>
      <c r="U131" s="1101"/>
      <c r="V131" s="1101"/>
      <c r="W131" s="1101"/>
      <c r="X131" s="1101"/>
      <c r="Y131" s="1102"/>
      <c r="Z131" s="1102"/>
      <c r="AA131" s="1101"/>
    </row>
    <row r="132" ht="15.75" customHeight="1">
      <c r="A132" s="213"/>
      <c r="B132" s="213"/>
      <c r="C132" s="1101"/>
      <c r="D132" s="1101"/>
      <c r="E132" s="1101"/>
      <c r="F132" s="1101"/>
      <c r="G132" s="1101"/>
      <c r="H132" s="1101"/>
      <c r="I132" s="1101"/>
      <c r="J132" s="1101"/>
      <c r="K132" s="1101"/>
      <c r="L132" s="1101"/>
      <c r="M132" s="1101"/>
      <c r="N132" s="1101"/>
      <c r="O132" s="1101"/>
      <c r="P132" s="1101"/>
      <c r="Q132" s="1101"/>
      <c r="R132" s="1101"/>
      <c r="S132" s="1101"/>
      <c r="T132" s="1101"/>
      <c r="U132" s="1101"/>
      <c r="V132" s="1101"/>
      <c r="W132" s="1101"/>
      <c r="X132" s="1101"/>
      <c r="Y132" s="1102"/>
      <c r="Z132" s="1102"/>
      <c r="AA132" s="1101"/>
    </row>
    <row r="133" ht="15.75" customHeight="1">
      <c r="A133" s="213"/>
      <c r="B133" s="213"/>
      <c r="C133" s="1101"/>
      <c r="D133" s="1101"/>
      <c r="E133" s="1101"/>
      <c r="F133" s="1101"/>
      <c r="G133" s="1101"/>
      <c r="H133" s="1101"/>
      <c r="I133" s="1101"/>
      <c r="J133" s="1101"/>
      <c r="K133" s="1101"/>
      <c r="L133" s="1101"/>
      <c r="M133" s="1101"/>
      <c r="N133" s="1101"/>
      <c r="O133" s="1101"/>
      <c r="P133" s="1101"/>
      <c r="Q133" s="1101"/>
      <c r="R133" s="1101"/>
      <c r="S133" s="1101"/>
      <c r="T133" s="1101"/>
      <c r="U133" s="1101"/>
      <c r="V133" s="1101"/>
      <c r="W133" s="1101"/>
      <c r="X133" s="1101"/>
      <c r="Y133" s="1102"/>
      <c r="Z133" s="1102"/>
      <c r="AA133" s="1101"/>
    </row>
    <row r="134" ht="15.75" customHeight="1">
      <c r="A134" s="213"/>
      <c r="B134" s="213"/>
      <c r="C134" s="1101"/>
      <c r="D134" s="1101"/>
      <c r="E134" s="1101"/>
      <c r="F134" s="1101"/>
      <c r="G134" s="1101"/>
      <c r="H134" s="1101"/>
      <c r="I134" s="1101"/>
      <c r="J134" s="1101"/>
      <c r="K134" s="1101"/>
      <c r="L134" s="1101"/>
      <c r="M134" s="1101"/>
      <c r="N134" s="1101"/>
      <c r="O134" s="1101"/>
      <c r="P134" s="1101"/>
      <c r="Q134" s="1101"/>
      <c r="R134" s="1101"/>
      <c r="S134" s="1101"/>
      <c r="T134" s="1101"/>
      <c r="U134" s="1101"/>
      <c r="V134" s="1101"/>
      <c r="W134" s="1101"/>
      <c r="X134" s="1101"/>
      <c r="Y134" s="1102"/>
      <c r="Z134" s="1102"/>
      <c r="AA134" s="1101"/>
    </row>
    <row r="135" ht="15.75" customHeight="1">
      <c r="A135" s="213"/>
      <c r="B135" s="213"/>
      <c r="C135" s="1101"/>
      <c r="D135" s="1101"/>
      <c r="E135" s="1101"/>
      <c r="F135" s="1101"/>
      <c r="G135" s="1101"/>
      <c r="H135" s="1101"/>
      <c r="I135" s="1101"/>
      <c r="J135" s="1101"/>
      <c r="K135" s="1101"/>
      <c r="L135" s="1101"/>
      <c r="M135" s="1101"/>
      <c r="N135" s="1101"/>
      <c r="O135" s="1101"/>
      <c r="P135" s="1101"/>
      <c r="Q135" s="1101"/>
      <c r="R135" s="1101"/>
      <c r="S135" s="1101"/>
      <c r="T135" s="1101"/>
      <c r="U135" s="1101"/>
      <c r="V135" s="1101"/>
      <c r="W135" s="1101"/>
      <c r="X135" s="1101"/>
      <c r="Y135" s="1102"/>
      <c r="Z135" s="1102"/>
      <c r="AA135" s="1101"/>
    </row>
    <row r="136" ht="15.75" customHeight="1">
      <c r="A136" s="213"/>
      <c r="B136" s="213"/>
      <c r="C136" s="1101"/>
      <c r="D136" s="1101"/>
      <c r="E136" s="1101"/>
      <c r="F136" s="1101"/>
      <c r="G136" s="1101"/>
      <c r="H136" s="1101"/>
      <c r="I136" s="1101"/>
      <c r="J136" s="1101"/>
      <c r="K136" s="1101"/>
      <c r="L136" s="1101"/>
      <c r="M136" s="1101"/>
      <c r="N136" s="1101"/>
      <c r="O136" s="1101"/>
      <c r="P136" s="1101"/>
      <c r="Q136" s="1101"/>
      <c r="R136" s="1101"/>
      <c r="S136" s="1101"/>
      <c r="T136" s="1101"/>
      <c r="U136" s="1101"/>
      <c r="V136" s="1101"/>
      <c r="W136" s="1101"/>
      <c r="X136" s="1101"/>
      <c r="Y136" s="1102"/>
      <c r="Z136" s="1102"/>
      <c r="AA136" s="1101"/>
    </row>
    <row r="137" ht="15.75" customHeight="1">
      <c r="A137" s="213"/>
      <c r="B137" s="213"/>
      <c r="C137" s="1101"/>
      <c r="D137" s="1101"/>
      <c r="E137" s="1101"/>
      <c r="F137" s="1101"/>
      <c r="G137" s="1101"/>
      <c r="H137" s="1101"/>
      <c r="I137" s="1101"/>
      <c r="J137" s="1101"/>
      <c r="K137" s="1101"/>
      <c r="L137" s="1101"/>
      <c r="M137" s="1101"/>
      <c r="N137" s="1101"/>
      <c r="O137" s="1101"/>
      <c r="P137" s="1101"/>
      <c r="Q137" s="1101"/>
      <c r="R137" s="1101"/>
      <c r="S137" s="1101"/>
      <c r="T137" s="1101"/>
      <c r="U137" s="1101"/>
      <c r="V137" s="1101"/>
      <c r="W137" s="1101"/>
      <c r="X137" s="1101"/>
      <c r="Y137" s="1102"/>
      <c r="Z137" s="1102"/>
      <c r="AA137" s="1101"/>
    </row>
    <row r="138" ht="15.75" customHeight="1">
      <c r="A138" s="213"/>
      <c r="B138" s="213"/>
      <c r="C138" s="1101"/>
      <c r="D138" s="1101"/>
      <c r="E138" s="1101"/>
      <c r="F138" s="1101"/>
      <c r="G138" s="1101"/>
      <c r="H138" s="1101"/>
      <c r="I138" s="1101"/>
      <c r="J138" s="1101"/>
      <c r="K138" s="1101"/>
      <c r="L138" s="1101"/>
      <c r="M138" s="1101"/>
      <c r="N138" s="1101"/>
      <c r="O138" s="1101"/>
      <c r="P138" s="1101"/>
      <c r="Q138" s="1101"/>
      <c r="R138" s="1101"/>
      <c r="S138" s="1101"/>
      <c r="T138" s="1101"/>
      <c r="U138" s="1101"/>
      <c r="V138" s="1101"/>
      <c r="W138" s="1101"/>
      <c r="X138" s="1101"/>
      <c r="Y138" s="1102"/>
      <c r="Z138" s="1102"/>
      <c r="AA138" s="1101"/>
    </row>
    <row r="139" ht="15.75" customHeight="1">
      <c r="A139" s="213"/>
      <c r="B139" s="213"/>
      <c r="C139" s="1101"/>
      <c r="D139" s="1101"/>
      <c r="E139" s="1101"/>
      <c r="F139" s="1101"/>
      <c r="G139" s="1101"/>
      <c r="H139" s="1101"/>
      <c r="I139" s="1101"/>
      <c r="J139" s="1101"/>
      <c r="K139" s="1101"/>
      <c r="L139" s="1101"/>
      <c r="M139" s="1101"/>
      <c r="N139" s="1101"/>
      <c r="O139" s="1101"/>
      <c r="P139" s="1101"/>
      <c r="Q139" s="1101"/>
      <c r="R139" s="1101"/>
      <c r="S139" s="1101"/>
      <c r="T139" s="1101"/>
      <c r="U139" s="1101"/>
      <c r="V139" s="1101"/>
      <c r="W139" s="1101"/>
      <c r="X139" s="1101"/>
      <c r="Y139" s="1102"/>
      <c r="Z139" s="1102"/>
      <c r="AA139" s="1101"/>
    </row>
    <row r="140" ht="15.75" customHeight="1">
      <c r="A140" s="213"/>
      <c r="B140" s="213"/>
      <c r="C140" s="1101"/>
      <c r="D140" s="1101"/>
      <c r="E140" s="1101"/>
      <c r="F140" s="1101"/>
      <c r="G140" s="1101"/>
      <c r="H140" s="1101"/>
      <c r="I140" s="1101"/>
      <c r="J140" s="1101"/>
      <c r="K140" s="1101"/>
      <c r="L140" s="1101"/>
      <c r="M140" s="1101"/>
      <c r="N140" s="1101"/>
      <c r="O140" s="1101"/>
      <c r="P140" s="1101"/>
      <c r="Q140" s="1101"/>
      <c r="R140" s="1101"/>
      <c r="S140" s="1101"/>
      <c r="T140" s="1101"/>
      <c r="U140" s="1101"/>
      <c r="V140" s="1101"/>
      <c r="W140" s="1101"/>
      <c r="X140" s="1101"/>
      <c r="Y140" s="1102"/>
      <c r="Z140" s="1102"/>
      <c r="AA140" s="1101"/>
    </row>
    <row r="141" ht="15.75" customHeight="1">
      <c r="A141" s="213"/>
      <c r="B141" s="213"/>
      <c r="C141" s="1101"/>
      <c r="D141" s="1101"/>
      <c r="E141" s="1101"/>
      <c r="F141" s="1101"/>
      <c r="G141" s="1101"/>
      <c r="H141" s="1101"/>
      <c r="I141" s="1101"/>
      <c r="J141" s="1101"/>
      <c r="K141" s="1101"/>
      <c r="L141" s="1101"/>
      <c r="M141" s="1101"/>
      <c r="N141" s="1101"/>
      <c r="O141" s="1101"/>
      <c r="P141" s="1101"/>
      <c r="Q141" s="1101"/>
      <c r="R141" s="1101"/>
      <c r="S141" s="1101"/>
      <c r="T141" s="1101"/>
      <c r="U141" s="1101"/>
      <c r="V141" s="1101"/>
      <c r="W141" s="1101"/>
      <c r="X141" s="1101"/>
      <c r="Y141" s="1102"/>
      <c r="Z141" s="1102"/>
      <c r="AA141" s="1101"/>
    </row>
    <row r="142" ht="15.75" customHeight="1">
      <c r="A142" s="213"/>
      <c r="B142" s="213"/>
      <c r="C142" s="1101"/>
      <c r="D142" s="1101"/>
      <c r="E142" s="1101"/>
      <c r="F142" s="1101"/>
      <c r="G142" s="1101"/>
      <c r="H142" s="1101"/>
      <c r="I142" s="1101"/>
      <c r="J142" s="1101"/>
      <c r="K142" s="1101"/>
      <c r="L142" s="1101"/>
      <c r="M142" s="1101"/>
      <c r="N142" s="1101"/>
      <c r="O142" s="1101"/>
      <c r="P142" s="1101"/>
      <c r="Q142" s="1101"/>
      <c r="R142" s="1101"/>
      <c r="S142" s="1101"/>
      <c r="T142" s="1101"/>
      <c r="U142" s="1101"/>
      <c r="V142" s="1101"/>
      <c r="W142" s="1101"/>
      <c r="X142" s="1101"/>
      <c r="Y142" s="1102"/>
      <c r="Z142" s="1102"/>
      <c r="AA142" s="1101"/>
    </row>
    <row r="143" ht="15.75" customHeight="1">
      <c r="A143" s="213"/>
      <c r="B143" s="213"/>
      <c r="C143" s="1101"/>
      <c r="D143" s="1101"/>
      <c r="E143" s="1101"/>
      <c r="F143" s="1101"/>
      <c r="G143" s="1101"/>
      <c r="H143" s="1101"/>
      <c r="I143" s="1101"/>
      <c r="J143" s="1101"/>
      <c r="K143" s="1101"/>
      <c r="L143" s="1101"/>
      <c r="M143" s="1101"/>
      <c r="N143" s="1101"/>
      <c r="O143" s="1101"/>
      <c r="P143" s="1101"/>
      <c r="Q143" s="1101"/>
      <c r="R143" s="1101"/>
      <c r="S143" s="1101"/>
      <c r="T143" s="1101"/>
      <c r="U143" s="1101"/>
      <c r="V143" s="1101"/>
      <c r="W143" s="1101"/>
      <c r="X143" s="1101"/>
      <c r="Y143" s="1102"/>
      <c r="Z143" s="1102"/>
      <c r="AA143" s="1101"/>
    </row>
    <row r="144" ht="15.75" customHeight="1">
      <c r="A144" s="213"/>
      <c r="B144" s="213"/>
      <c r="C144" s="1101"/>
      <c r="D144" s="1101"/>
      <c r="E144" s="1101"/>
      <c r="F144" s="1101"/>
      <c r="G144" s="1101"/>
      <c r="H144" s="1101"/>
      <c r="I144" s="1101"/>
      <c r="J144" s="1101"/>
      <c r="K144" s="1101"/>
      <c r="L144" s="1101"/>
      <c r="M144" s="1101"/>
      <c r="N144" s="1101"/>
      <c r="O144" s="1101"/>
      <c r="P144" s="1101"/>
      <c r="Q144" s="1101"/>
      <c r="R144" s="1101"/>
      <c r="S144" s="1101"/>
      <c r="T144" s="1101"/>
      <c r="U144" s="1101"/>
      <c r="V144" s="1101"/>
      <c r="W144" s="1101"/>
      <c r="X144" s="1101"/>
      <c r="Y144" s="1102"/>
      <c r="Z144" s="1102"/>
      <c r="AA144" s="1101"/>
    </row>
    <row r="145" ht="15.75" customHeight="1">
      <c r="A145" s="213"/>
      <c r="B145" s="213"/>
      <c r="C145" s="1101"/>
      <c r="D145" s="1101"/>
      <c r="E145" s="1101"/>
      <c r="F145" s="1101"/>
      <c r="G145" s="1101"/>
      <c r="H145" s="1101"/>
      <c r="I145" s="1101"/>
      <c r="J145" s="1101"/>
      <c r="K145" s="1101"/>
      <c r="L145" s="1101"/>
      <c r="M145" s="1101"/>
      <c r="N145" s="1101"/>
      <c r="O145" s="1101"/>
      <c r="P145" s="1101"/>
      <c r="Q145" s="1101"/>
      <c r="R145" s="1101"/>
      <c r="S145" s="1101"/>
      <c r="T145" s="1101"/>
      <c r="U145" s="1101"/>
      <c r="V145" s="1101"/>
      <c r="W145" s="1101"/>
      <c r="X145" s="1101"/>
      <c r="Y145" s="1102"/>
      <c r="Z145" s="1102"/>
      <c r="AA145" s="1101"/>
    </row>
    <row r="146" ht="15.75" customHeight="1">
      <c r="A146" s="213"/>
      <c r="B146" s="213"/>
      <c r="C146" s="1101"/>
      <c r="D146" s="1101"/>
      <c r="E146" s="1101"/>
      <c r="F146" s="1101"/>
      <c r="G146" s="1101"/>
      <c r="H146" s="1101"/>
      <c r="I146" s="1101"/>
      <c r="J146" s="1101"/>
      <c r="K146" s="1101"/>
      <c r="L146" s="1101"/>
      <c r="M146" s="1101"/>
      <c r="N146" s="1101"/>
      <c r="O146" s="1101"/>
      <c r="P146" s="1101"/>
      <c r="Q146" s="1101"/>
      <c r="R146" s="1101"/>
      <c r="S146" s="1101"/>
      <c r="T146" s="1101"/>
      <c r="U146" s="1101"/>
      <c r="V146" s="1101"/>
      <c r="W146" s="1101"/>
      <c r="X146" s="1101"/>
      <c r="Y146" s="1102"/>
      <c r="Z146" s="1102"/>
      <c r="AA146" s="1101"/>
    </row>
    <row r="147" ht="15.75" customHeight="1">
      <c r="A147" s="213"/>
      <c r="B147" s="213"/>
      <c r="C147" s="1101"/>
      <c r="D147" s="1101"/>
      <c r="E147" s="1101"/>
      <c r="F147" s="1101"/>
      <c r="G147" s="1101"/>
      <c r="H147" s="1101"/>
      <c r="I147" s="1101"/>
      <c r="J147" s="1101"/>
      <c r="K147" s="1101"/>
      <c r="L147" s="1101"/>
      <c r="M147" s="1101"/>
      <c r="N147" s="1101"/>
      <c r="O147" s="1101"/>
      <c r="P147" s="1101"/>
      <c r="Q147" s="1101"/>
      <c r="R147" s="1101"/>
      <c r="S147" s="1101"/>
      <c r="T147" s="1101"/>
      <c r="U147" s="1101"/>
      <c r="V147" s="1101"/>
      <c r="W147" s="1101"/>
      <c r="X147" s="1101"/>
      <c r="Y147" s="1102"/>
      <c r="Z147" s="1102"/>
      <c r="AA147" s="1101"/>
    </row>
    <row r="148" ht="15.75" customHeight="1">
      <c r="A148" s="213"/>
      <c r="B148" s="213"/>
      <c r="C148" s="1101"/>
      <c r="D148" s="1101"/>
      <c r="E148" s="1101"/>
      <c r="F148" s="1101"/>
      <c r="G148" s="1101"/>
      <c r="H148" s="1101"/>
      <c r="I148" s="1101"/>
      <c r="J148" s="1101"/>
      <c r="K148" s="1101"/>
      <c r="L148" s="1101"/>
      <c r="M148" s="1101"/>
      <c r="N148" s="1101"/>
      <c r="O148" s="1101"/>
      <c r="P148" s="1101"/>
      <c r="Q148" s="1101"/>
      <c r="R148" s="1101"/>
      <c r="S148" s="1101"/>
      <c r="T148" s="1101"/>
      <c r="U148" s="1101"/>
      <c r="V148" s="1101"/>
      <c r="W148" s="1101"/>
      <c r="X148" s="1101"/>
      <c r="Y148" s="1102"/>
      <c r="Z148" s="1102"/>
      <c r="AA148" s="1101"/>
    </row>
    <row r="149" ht="15.75" customHeight="1">
      <c r="A149" s="213"/>
      <c r="B149" s="213"/>
      <c r="C149" s="1101"/>
      <c r="D149" s="1101"/>
      <c r="E149" s="1101"/>
      <c r="F149" s="1101"/>
      <c r="G149" s="1101"/>
      <c r="H149" s="1101"/>
      <c r="I149" s="1101"/>
      <c r="J149" s="1101"/>
      <c r="K149" s="1101"/>
      <c r="L149" s="1101"/>
      <c r="M149" s="1101"/>
      <c r="N149" s="1101"/>
      <c r="O149" s="1101"/>
      <c r="P149" s="1101"/>
      <c r="Q149" s="1101"/>
      <c r="R149" s="1101"/>
      <c r="S149" s="1101"/>
      <c r="T149" s="1101"/>
      <c r="U149" s="1101"/>
      <c r="V149" s="1101"/>
      <c r="W149" s="1101"/>
      <c r="X149" s="1101"/>
      <c r="Y149" s="1102"/>
      <c r="Z149" s="1102"/>
      <c r="AA149" s="1101"/>
    </row>
    <row r="150" ht="15.75" customHeight="1">
      <c r="A150" s="213"/>
      <c r="B150" s="213"/>
      <c r="C150" s="1101"/>
      <c r="D150" s="1101"/>
      <c r="E150" s="1101"/>
      <c r="F150" s="1101"/>
      <c r="G150" s="1101"/>
      <c r="H150" s="1101"/>
      <c r="I150" s="1101"/>
      <c r="J150" s="1101"/>
      <c r="K150" s="1101"/>
      <c r="L150" s="1101"/>
      <c r="M150" s="1101"/>
      <c r="N150" s="1101"/>
      <c r="O150" s="1101"/>
      <c r="P150" s="1101"/>
      <c r="Q150" s="1101"/>
      <c r="R150" s="1101"/>
      <c r="S150" s="1101"/>
      <c r="T150" s="1101"/>
      <c r="U150" s="1101"/>
      <c r="V150" s="1101"/>
      <c r="W150" s="1101"/>
      <c r="X150" s="1101"/>
      <c r="Y150" s="1102"/>
      <c r="Z150" s="1102"/>
      <c r="AA150" s="1101"/>
    </row>
    <row r="151" ht="15.75" customHeight="1">
      <c r="A151" s="213"/>
      <c r="B151" s="213"/>
      <c r="C151" s="1101"/>
      <c r="D151" s="1101"/>
      <c r="E151" s="1101"/>
      <c r="F151" s="1101"/>
      <c r="G151" s="1101"/>
      <c r="H151" s="1101"/>
      <c r="I151" s="1101"/>
      <c r="J151" s="1101"/>
      <c r="K151" s="1101"/>
      <c r="L151" s="1101"/>
      <c r="M151" s="1101"/>
      <c r="N151" s="1101"/>
      <c r="O151" s="1101"/>
      <c r="P151" s="1101"/>
      <c r="Q151" s="1101"/>
      <c r="R151" s="1101"/>
      <c r="S151" s="1101"/>
      <c r="T151" s="1101"/>
      <c r="U151" s="1101"/>
      <c r="V151" s="1101"/>
      <c r="W151" s="1101"/>
      <c r="X151" s="1101"/>
      <c r="Y151" s="1102"/>
      <c r="Z151" s="1102"/>
      <c r="AA151" s="1101"/>
    </row>
    <row r="152" ht="15.75" customHeight="1">
      <c r="A152" s="213"/>
      <c r="B152" s="213"/>
      <c r="C152" s="1101"/>
      <c r="D152" s="1101"/>
      <c r="E152" s="1101"/>
      <c r="F152" s="1101"/>
      <c r="G152" s="1101"/>
      <c r="H152" s="1101"/>
      <c r="I152" s="1101"/>
      <c r="J152" s="1101"/>
      <c r="K152" s="1101"/>
      <c r="L152" s="1101"/>
      <c r="M152" s="1101"/>
      <c r="N152" s="1101"/>
      <c r="O152" s="1101"/>
      <c r="P152" s="1101"/>
      <c r="Q152" s="1101"/>
      <c r="R152" s="1101"/>
      <c r="S152" s="1101"/>
      <c r="T152" s="1101"/>
      <c r="U152" s="1101"/>
      <c r="V152" s="1101"/>
      <c r="W152" s="1101"/>
      <c r="X152" s="1101"/>
      <c r="Y152" s="1102"/>
      <c r="Z152" s="1102"/>
      <c r="AA152" s="1101"/>
    </row>
    <row r="153" ht="15.75" customHeight="1">
      <c r="A153" s="213"/>
      <c r="B153" s="213"/>
      <c r="C153" s="1101"/>
      <c r="D153" s="1101"/>
      <c r="E153" s="1101"/>
      <c r="F153" s="1101"/>
      <c r="G153" s="1101"/>
      <c r="H153" s="1101"/>
      <c r="I153" s="1101"/>
      <c r="J153" s="1101"/>
      <c r="K153" s="1101"/>
      <c r="L153" s="1101"/>
      <c r="M153" s="1101"/>
      <c r="N153" s="1101"/>
      <c r="O153" s="1101"/>
      <c r="P153" s="1101"/>
      <c r="Q153" s="1101"/>
      <c r="R153" s="1101"/>
      <c r="S153" s="1101"/>
      <c r="T153" s="1101"/>
      <c r="U153" s="1101"/>
      <c r="V153" s="1101"/>
      <c r="W153" s="1101"/>
      <c r="X153" s="1101"/>
      <c r="Y153" s="1102"/>
      <c r="Z153" s="1102"/>
      <c r="AA153" s="1101"/>
    </row>
    <row r="154" ht="15.75" customHeight="1">
      <c r="A154" s="213"/>
      <c r="B154" s="213"/>
      <c r="C154" s="1101"/>
      <c r="D154" s="1101"/>
      <c r="E154" s="1101"/>
      <c r="F154" s="1101"/>
      <c r="G154" s="1101"/>
      <c r="H154" s="1101"/>
      <c r="I154" s="1101"/>
      <c r="J154" s="1101"/>
      <c r="K154" s="1101"/>
      <c r="L154" s="1101"/>
      <c r="M154" s="1101"/>
      <c r="N154" s="1101"/>
      <c r="O154" s="1101"/>
      <c r="P154" s="1101"/>
      <c r="Q154" s="1101"/>
      <c r="R154" s="1101"/>
      <c r="S154" s="1101"/>
      <c r="T154" s="1101"/>
      <c r="U154" s="1101"/>
      <c r="V154" s="1101"/>
      <c r="W154" s="1101"/>
      <c r="X154" s="1101"/>
      <c r="Y154" s="1102"/>
      <c r="Z154" s="1102"/>
      <c r="AA154" s="1101"/>
    </row>
    <row r="155" ht="15.75" customHeight="1">
      <c r="A155" s="213"/>
      <c r="B155" s="213"/>
      <c r="C155" s="1101"/>
      <c r="D155" s="1101"/>
      <c r="E155" s="1101"/>
      <c r="F155" s="1101"/>
      <c r="G155" s="1101"/>
      <c r="H155" s="1101"/>
      <c r="I155" s="1101"/>
      <c r="J155" s="1101"/>
      <c r="K155" s="1101"/>
      <c r="L155" s="1101"/>
      <c r="M155" s="1101"/>
      <c r="N155" s="1101"/>
      <c r="O155" s="1101"/>
      <c r="P155" s="1101"/>
      <c r="Q155" s="1101"/>
      <c r="R155" s="1101"/>
      <c r="S155" s="1101"/>
      <c r="T155" s="1101"/>
      <c r="U155" s="1101"/>
      <c r="V155" s="1101"/>
      <c r="W155" s="1101"/>
      <c r="X155" s="1101"/>
      <c r="Y155" s="1102"/>
      <c r="Z155" s="1102"/>
      <c r="AA155" s="1101"/>
    </row>
    <row r="156" ht="15.75" customHeight="1">
      <c r="A156" s="213"/>
      <c r="B156" s="213"/>
      <c r="C156" s="1101"/>
      <c r="D156" s="1101"/>
      <c r="E156" s="1101"/>
      <c r="F156" s="1101"/>
      <c r="G156" s="1101"/>
      <c r="H156" s="1101"/>
      <c r="I156" s="1101"/>
      <c r="J156" s="1101"/>
      <c r="K156" s="1101"/>
      <c r="L156" s="1101"/>
      <c r="M156" s="1101"/>
      <c r="N156" s="1101"/>
      <c r="O156" s="1101"/>
      <c r="P156" s="1101"/>
      <c r="Q156" s="1101"/>
      <c r="R156" s="1101"/>
      <c r="S156" s="1101"/>
      <c r="T156" s="1101"/>
      <c r="U156" s="1101"/>
      <c r="V156" s="1101"/>
      <c r="W156" s="1101"/>
      <c r="X156" s="1101"/>
      <c r="Y156" s="1102"/>
      <c r="Z156" s="1102"/>
      <c r="AA156" s="1101"/>
    </row>
    <row r="157" ht="15.75" customHeight="1">
      <c r="A157" s="213"/>
      <c r="B157" s="213"/>
      <c r="C157" s="1101"/>
      <c r="D157" s="1101"/>
      <c r="E157" s="1101"/>
      <c r="F157" s="1101"/>
      <c r="G157" s="1101"/>
      <c r="H157" s="1101"/>
      <c r="I157" s="1101"/>
      <c r="J157" s="1101"/>
      <c r="K157" s="1101"/>
      <c r="L157" s="1101"/>
      <c r="M157" s="1101"/>
      <c r="N157" s="1101"/>
      <c r="O157" s="1101"/>
      <c r="P157" s="1101"/>
      <c r="Q157" s="1101"/>
      <c r="R157" s="1101"/>
      <c r="S157" s="1101"/>
      <c r="T157" s="1101"/>
      <c r="U157" s="1101"/>
      <c r="V157" s="1101"/>
      <c r="W157" s="1101"/>
      <c r="X157" s="1101"/>
      <c r="Y157" s="1102"/>
      <c r="Z157" s="1102"/>
      <c r="AA157" s="1101"/>
    </row>
    <row r="158" ht="15.75" customHeight="1">
      <c r="A158" s="213"/>
      <c r="B158" s="213"/>
      <c r="C158" s="1101"/>
      <c r="D158" s="1101"/>
      <c r="E158" s="1101"/>
      <c r="F158" s="1101"/>
      <c r="G158" s="1101"/>
      <c r="H158" s="1101"/>
      <c r="I158" s="1101"/>
      <c r="J158" s="1101"/>
      <c r="K158" s="1101"/>
      <c r="L158" s="1101"/>
      <c r="M158" s="1101"/>
      <c r="N158" s="1101"/>
      <c r="O158" s="1101"/>
      <c r="P158" s="1101"/>
      <c r="Q158" s="1101"/>
      <c r="R158" s="1101"/>
      <c r="S158" s="1101"/>
      <c r="T158" s="1101"/>
      <c r="U158" s="1101"/>
      <c r="V158" s="1101"/>
      <c r="W158" s="1101"/>
      <c r="X158" s="1101"/>
      <c r="Y158" s="1102"/>
      <c r="Z158" s="1102"/>
      <c r="AA158" s="1101"/>
    </row>
    <row r="159" ht="15.75" customHeight="1">
      <c r="A159" s="213"/>
      <c r="B159" s="213"/>
      <c r="C159" s="1101"/>
      <c r="D159" s="1101"/>
      <c r="E159" s="1101"/>
      <c r="F159" s="1101"/>
      <c r="G159" s="1101"/>
      <c r="H159" s="1101"/>
      <c r="I159" s="1101"/>
      <c r="J159" s="1101"/>
      <c r="K159" s="1101"/>
      <c r="L159" s="1101"/>
      <c r="M159" s="1101"/>
      <c r="N159" s="1101"/>
      <c r="O159" s="1101"/>
      <c r="P159" s="1101"/>
      <c r="Q159" s="1101"/>
      <c r="R159" s="1101"/>
      <c r="S159" s="1101"/>
      <c r="T159" s="1101"/>
      <c r="U159" s="1101"/>
      <c r="V159" s="1101"/>
      <c r="W159" s="1101"/>
      <c r="X159" s="1101"/>
      <c r="Y159" s="1102"/>
      <c r="Z159" s="1102"/>
      <c r="AA159" s="1101"/>
    </row>
    <row r="160" ht="15.75" customHeight="1">
      <c r="A160" s="213"/>
      <c r="B160" s="213"/>
      <c r="C160" s="1101"/>
      <c r="D160" s="1101"/>
      <c r="E160" s="1101"/>
      <c r="F160" s="1101"/>
      <c r="G160" s="1101"/>
      <c r="H160" s="1101"/>
      <c r="I160" s="1101"/>
      <c r="J160" s="1101"/>
      <c r="K160" s="1101"/>
      <c r="L160" s="1101"/>
      <c r="M160" s="1101"/>
      <c r="N160" s="1101"/>
      <c r="O160" s="1101"/>
      <c r="P160" s="1101"/>
      <c r="Q160" s="1101"/>
      <c r="R160" s="1101"/>
      <c r="S160" s="1101"/>
      <c r="T160" s="1101"/>
      <c r="U160" s="1101"/>
      <c r="V160" s="1101"/>
      <c r="W160" s="1101"/>
      <c r="X160" s="1101"/>
      <c r="Y160" s="1102"/>
      <c r="Z160" s="1102"/>
      <c r="AA160" s="1101"/>
    </row>
    <row r="161" ht="15.75" customHeight="1">
      <c r="A161" s="213"/>
      <c r="B161" s="213"/>
      <c r="C161" s="1101"/>
      <c r="D161" s="1101"/>
      <c r="E161" s="1101"/>
      <c r="F161" s="1101"/>
      <c r="G161" s="1101"/>
      <c r="H161" s="1101"/>
      <c r="I161" s="1101"/>
      <c r="J161" s="1101"/>
      <c r="K161" s="1101"/>
      <c r="L161" s="1101"/>
      <c r="M161" s="1101"/>
      <c r="N161" s="1101"/>
      <c r="O161" s="1101"/>
      <c r="P161" s="1101"/>
      <c r="Q161" s="1101"/>
      <c r="R161" s="1101"/>
      <c r="S161" s="1101"/>
      <c r="T161" s="1101"/>
      <c r="U161" s="1101"/>
      <c r="V161" s="1101"/>
      <c r="W161" s="1101"/>
      <c r="X161" s="1101"/>
      <c r="Y161" s="1102"/>
      <c r="Z161" s="1102"/>
      <c r="AA161" s="1101"/>
    </row>
    <row r="162" ht="15.75" customHeight="1">
      <c r="A162" s="213"/>
      <c r="B162" s="213"/>
      <c r="C162" s="1101"/>
      <c r="D162" s="1101"/>
      <c r="E162" s="1101"/>
      <c r="F162" s="1101"/>
      <c r="G162" s="1101"/>
      <c r="H162" s="1101"/>
      <c r="I162" s="1101"/>
      <c r="J162" s="1101"/>
      <c r="K162" s="1101"/>
      <c r="L162" s="1101"/>
      <c r="M162" s="1101"/>
      <c r="N162" s="1101"/>
      <c r="O162" s="1101"/>
      <c r="P162" s="1101"/>
      <c r="Q162" s="1101"/>
      <c r="R162" s="1101"/>
      <c r="S162" s="1101"/>
      <c r="T162" s="1101"/>
      <c r="U162" s="1101"/>
      <c r="V162" s="1101"/>
      <c r="W162" s="1101"/>
      <c r="X162" s="1101"/>
      <c r="Y162" s="1102"/>
      <c r="Z162" s="1102"/>
      <c r="AA162" s="1101"/>
    </row>
    <row r="163" ht="15.75" customHeight="1">
      <c r="A163" s="213"/>
      <c r="B163" s="213"/>
      <c r="C163" s="1101"/>
      <c r="D163" s="1101"/>
      <c r="E163" s="1101"/>
      <c r="F163" s="1101"/>
      <c r="G163" s="1101"/>
      <c r="H163" s="1101"/>
      <c r="I163" s="1101"/>
      <c r="J163" s="1101"/>
      <c r="K163" s="1101"/>
      <c r="L163" s="1101"/>
      <c r="M163" s="1101"/>
      <c r="N163" s="1101"/>
      <c r="O163" s="1101"/>
      <c r="P163" s="1101"/>
      <c r="Q163" s="1101"/>
      <c r="R163" s="1101"/>
      <c r="S163" s="1101"/>
      <c r="T163" s="1101"/>
      <c r="U163" s="1101"/>
      <c r="V163" s="1101"/>
      <c r="W163" s="1101"/>
      <c r="X163" s="1101"/>
      <c r="Y163" s="1102"/>
      <c r="Z163" s="1102"/>
      <c r="AA163" s="1101"/>
    </row>
    <row r="164" ht="15.75" customHeight="1">
      <c r="A164" s="213"/>
      <c r="B164" s="213"/>
      <c r="C164" s="1101"/>
      <c r="D164" s="1101"/>
      <c r="E164" s="1101"/>
      <c r="F164" s="1101"/>
      <c r="G164" s="1101"/>
      <c r="H164" s="1101"/>
      <c r="I164" s="1101"/>
      <c r="J164" s="1101"/>
      <c r="K164" s="1101"/>
      <c r="L164" s="1101"/>
      <c r="M164" s="1101"/>
      <c r="N164" s="1101"/>
      <c r="O164" s="1101"/>
      <c r="P164" s="1101"/>
      <c r="Q164" s="1101"/>
      <c r="R164" s="1101"/>
      <c r="S164" s="1101"/>
      <c r="T164" s="1101"/>
      <c r="U164" s="1101"/>
      <c r="V164" s="1101"/>
      <c r="W164" s="1101"/>
      <c r="X164" s="1101"/>
      <c r="Y164" s="1102"/>
      <c r="Z164" s="1102"/>
      <c r="AA164" s="1101"/>
    </row>
    <row r="165" ht="15.75" customHeight="1">
      <c r="A165" s="213"/>
      <c r="B165" s="213"/>
      <c r="C165" s="1101"/>
      <c r="D165" s="1101"/>
      <c r="E165" s="1101"/>
      <c r="F165" s="1101"/>
      <c r="G165" s="1101"/>
      <c r="H165" s="1101"/>
      <c r="I165" s="1101"/>
      <c r="J165" s="1101"/>
      <c r="K165" s="1101"/>
      <c r="L165" s="1101"/>
      <c r="M165" s="1101"/>
      <c r="N165" s="1101"/>
      <c r="O165" s="1101"/>
      <c r="P165" s="1101"/>
      <c r="Q165" s="1101"/>
      <c r="R165" s="1101"/>
      <c r="S165" s="1101"/>
      <c r="T165" s="1101"/>
      <c r="U165" s="1101"/>
      <c r="V165" s="1101"/>
      <c r="W165" s="1101"/>
      <c r="X165" s="1101"/>
      <c r="Y165" s="1102"/>
      <c r="Z165" s="1102"/>
      <c r="AA165" s="1101"/>
    </row>
    <row r="166" ht="15.75" customHeight="1">
      <c r="A166" s="213"/>
      <c r="B166" s="213"/>
      <c r="C166" s="1101"/>
      <c r="D166" s="1101"/>
      <c r="E166" s="1101"/>
      <c r="F166" s="1101"/>
      <c r="G166" s="1101"/>
      <c r="H166" s="1101"/>
      <c r="I166" s="1101"/>
      <c r="J166" s="1101"/>
      <c r="K166" s="1101"/>
      <c r="L166" s="1101"/>
      <c r="M166" s="1101"/>
      <c r="N166" s="1101"/>
      <c r="O166" s="1101"/>
      <c r="P166" s="1101"/>
      <c r="Q166" s="1101"/>
      <c r="R166" s="1101"/>
      <c r="S166" s="1101"/>
      <c r="T166" s="1101"/>
      <c r="U166" s="1101"/>
      <c r="V166" s="1101"/>
      <c r="W166" s="1101"/>
      <c r="X166" s="1101"/>
      <c r="Y166" s="1102"/>
      <c r="Z166" s="1102"/>
      <c r="AA166" s="1101"/>
    </row>
    <row r="167" ht="15.75" customHeight="1">
      <c r="A167" s="213"/>
      <c r="B167" s="213"/>
      <c r="C167" s="1101"/>
      <c r="D167" s="1101"/>
      <c r="E167" s="1101"/>
      <c r="F167" s="1101"/>
      <c r="G167" s="1101"/>
      <c r="H167" s="1101"/>
      <c r="I167" s="1101"/>
      <c r="J167" s="1101"/>
      <c r="K167" s="1101"/>
      <c r="L167" s="1101"/>
      <c r="M167" s="1101"/>
      <c r="N167" s="1101"/>
      <c r="O167" s="1101"/>
      <c r="P167" s="1101"/>
      <c r="Q167" s="1101"/>
      <c r="R167" s="1101"/>
      <c r="S167" s="1101"/>
      <c r="T167" s="1101"/>
      <c r="U167" s="1101"/>
      <c r="V167" s="1101"/>
      <c r="W167" s="1101"/>
      <c r="X167" s="1101"/>
      <c r="Y167" s="1102"/>
      <c r="Z167" s="1102"/>
      <c r="AA167" s="1101"/>
    </row>
    <row r="168" ht="15.75" customHeight="1">
      <c r="A168" s="213"/>
      <c r="B168" s="213"/>
      <c r="C168" s="1101"/>
      <c r="D168" s="1101"/>
      <c r="E168" s="1101"/>
      <c r="F168" s="1101"/>
      <c r="G168" s="1101"/>
      <c r="H168" s="1101"/>
      <c r="I168" s="1101"/>
      <c r="J168" s="1101"/>
      <c r="K168" s="1101"/>
      <c r="L168" s="1101"/>
      <c r="M168" s="1101"/>
      <c r="N168" s="1101"/>
      <c r="O168" s="1101"/>
      <c r="P168" s="1101"/>
      <c r="Q168" s="1101"/>
      <c r="R168" s="1101"/>
      <c r="S168" s="1101"/>
      <c r="T168" s="1101"/>
      <c r="U168" s="1101"/>
      <c r="V168" s="1101"/>
      <c r="W168" s="1101"/>
      <c r="X168" s="1101"/>
      <c r="Y168" s="1102"/>
      <c r="Z168" s="1102"/>
      <c r="AA168" s="1101"/>
    </row>
    <row r="169" ht="15.75" customHeight="1">
      <c r="A169" s="213"/>
      <c r="B169" s="213"/>
      <c r="C169" s="1101"/>
      <c r="D169" s="1101"/>
      <c r="E169" s="1101"/>
      <c r="F169" s="1101"/>
      <c r="G169" s="1101"/>
      <c r="H169" s="1101"/>
      <c r="I169" s="1101"/>
      <c r="J169" s="1101"/>
      <c r="K169" s="1101"/>
      <c r="L169" s="1101"/>
      <c r="M169" s="1101"/>
      <c r="N169" s="1101"/>
      <c r="O169" s="1101"/>
      <c r="P169" s="1101"/>
      <c r="Q169" s="1101"/>
      <c r="R169" s="1101"/>
      <c r="S169" s="1101"/>
      <c r="T169" s="1101"/>
      <c r="U169" s="1101"/>
      <c r="V169" s="1101"/>
      <c r="W169" s="1101"/>
      <c r="X169" s="1101"/>
      <c r="Y169" s="1102"/>
      <c r="Z169" s="1102"/>
      <c r="AA169" s="1101"/>
    </row>
    <row r="170" ht="15.75" customHeight="1">
      <c r="A170" s="213"/>
      <c r="B170" s="213"/>
      <c r="C170" s="1101"/>
      <c r="D170" s="1101"/>
      <c r="E170" s="1101"/>
      <c r="F170" s="1101"/>
      <c r="G170" s="1101"/>
      <c r="H170" s="1101"/>
      <c r="I170" s="1101"/>
      <c r="J170" s="1101"/>
      <c r="K170" s="1101"/>
      <c r="L170" s="1101"/>
      <c r="M170" s="1101"/>
      <c r="N170" s="1101"/>
      <c r="O170" s="1101"/>
      <c r="P170" s="1101"/>
      <c r="Q170" s="1101"/>
      <c r="R170" s="1101"/>
      <c r="S170" s="1101"/>
      <c r="T170" s="1101"/>
      <c r="U170" s="1101"/>
      <c r="V170" s="1101"/>
      <c r="W170" s="1101"/>
      <c r="X170" s="1101"/>
      <c r="Y170" s="1102"/>
      <c r="Z170" s="1102"/>
      <c r="AA170" s="1101"/>
    </row>
    <row r="171" ht="15.75" customHeight="1">
      <c r="A171" s="213"/>
      <c r="B171" s="213"/>
      <c r="C171" s="1101"/>
      <c r="D171" s="1101"/>
      <c r="E171" s="1101"/>
      <c r="F171" s="1101"/>
      <c r="G171" s="1101"/>
      <c r="H171" s="1101"/>
      <c r="I171" s="1101"/>
      <c r="J171" s="1101"/>
      <c r="K171" s="1101"/>
      <c r="L171" s="1101"/>
      <c r="M171" s="1101"/>
      <c r="N171" s="1101"/>
      <c r="O171" s="1101"/>
      <c r="P171" s="1101"/>
      <c r="Q171" s="1101"/>
      <c r="R171" s="1101"/>
      <c r="S171" s="1101"/>
      <c r="T171" s="1101"/>
      <c r="U171" s="1101"/>
      <c r="V171" s="1101"/>
      <c r="W171" s="1101"/>
      <c r="X171" s="1101"/>
      <c r="Y171" s="1102"/>
      <c r="Z171" s="1102"/>
      <c r="AA171" s="1101"/>
    </row>
    <row r="172" ht="15.75" customHeight="1">
      <c r="A172" s="213"/>
      <c r="B172" s="213"/>
      <c r="C172" s="1101"/>
      <c r="D172" s="1101"/>
      <c r="E172" s="1101"/>
      <c r="F172" s="1101"/>
      <c r="G172" s="1101"/>
      <c r="H172" s="1101"/>
      <c r="I172" s="1101"/>
      <c r="J172" s="1101"/>
      <c r="K172" s="1101"/>
      <c r="L172" s="1101"/>
      <c r="M172" s="1101"/>
      <c r="N172" s="1101"/>
      <c r="O172" s="1101"/>
      <c r="P172" s="1101"/>
      <c r="Q172" s="1101"/>
      <c r="R172" s="1101"/>
      <c r="S172" s="1101"/>
      <c r="T172" s="1101"/>
      <c r="U172" s="1101"/>
      <c r="V172" s="1101"/>
      <c r="W172" s="1101"/>
      <c r="X172" s="1101"/>
      <c r="Y172" s="1102"/>
      <c r="Z172" s="1102"/>
      <c r="AA172" s="1101"/>
    </row>
    <row r="173" ht="15.75" customHeight="1">
      <c r="A173" s="213"/>
      <c r="B173" s="213"/>
      <c r="C173" s="1101"/>
      <c r="D173" s="1101"/>
      <c r="E173" s="1101"/>
      <c r="F173" s="1101"/>
      <c r="G173" s="1101"/>
      <c r="H173" s="1101"/>
      <c r="I173" s="1101"/>
      <c r="J173" s="1101"/>
      <c r="K173" s="1101"/>
      <c r="L173" s="1101"/>
      <c r="M173" s="1101"/>
      <c r="N173" s="1101"/>
      <c r="O173" s="1101"/>
      <c r="P173" s="1101"/>
      <c r="Q173" s="1101"/>
      <c r="R173" s="1101"/>
      <c r="S173" s="1101"/>
      <c r="T173" s="1101"/>
      <c r="U173" s="1101"/>
      <c r="V173" s="1101"/>
      <c r="W173" s="1101"/>
      <c r="X173" s="1101"/>
      <c r="Y173" s="1102"/>
      <c r="Z173" s="1102"/>
      <c r="AA173" s="1101"/>
    </row>
    <row r="174" ht="15.75" customHeight="1">
      <c r="A174" s="213"/>
      <c r="B174" s="213"/>
      <c r="C174" s="1101"/>
      <c r="D174" s="1101"/>
      <c r="E174" s="1101"/>
      <c r="F174" s="1101"/>
      <c r="G174" s="1101"/>
      <c r="H174" s="1101"/>
      <c r="I174" s="1101"/>
      <c r="J174" s="1101"/>
      <c r="K174" s="1101"/>
      <c r="L174" s="1101"/>
      <c r="M174" s="1101"/>
      <c r="N174" s="1101"/>
      <c r="O174" s="1101"/>
      <c r="P174" s="1101"/>
      <c r="Q174" s="1101"/>
      <c r="R174" s="1101"/>
      <c r="S174" s="1101"/>
      <c r="T174" s="1101"/>
      <c r="U174" s="1101"/>
      <c r="V174" s="1101"/>
      <c r="W174" s="1101"/>
      <c r="X174" s="1101"/>
      <c r="Y174" s="1102"/>
      <c r="Z174" s="1102"/>
      <c r="AA174" s="1101"/>
    </row>
    <row r="175" ht="15.75" customHeight="1">
      <c r="A175" s="213"/>
      <c r="B175" s="213"/>
      <c r="C175" s="1101"/>
      <c r="D175" s="1101"/>
      <c r="E175" s="1101"/>
      <c r="F175" s="1101"/>
      <c r="G175" s="1101"/>
      <c r="H175" s="1101"/>
      <c r="I175" s="1101"/>
      <c r="J175" s="1101"/>
      <c r="K175" s="1101"/>
      <c r="L175" s="1101"/>
      <c r="M175" s="1101"/>
      <c r="N175" s="1101"/>
      <c r="O175" s="1101"/>
      <c r="P175" s="1101"/>
      <c r="Q175" s="1101"/>
      <c r="R175" s="1101"/>
      <c r="S175" s="1101"/>
      <c r="T175" s="1101"/>
      <c r="U175" s="1101"/>
      <c r="V175" s="1101"/>
      <c r="W175" s="1101"/>
      <c r="X175" s="1101"/>
      <c r="Y175" s="1102"/>
      <c r="Z175" s="1102"/>
      <c r="AA175" s="1101"/>
    </row>
    <row r="176" ht="15.75" customHeight="1">
      <c r="A176" s="213"/>
      <c r="B176" s="213"/>
      <c r="C176" s="1101"/>
      <c r="D176" s="1101"/>
      <c r="E176" s="1101"/>
      <c r="F176" s="1101"/>
      <c r="G176" s="1101"/>
      <c r="H176" s="1101"/>
      <c r="I176" s="1101"/>
      <c r="J176" s="1101"/>
      <c r="K176" s="1101"/>
      <c r="L176" s="1101"/>
      <c r="M176" s="1101"/>
      <c r="N176" s="1101"/>
      <c r="O176" s="1101"/>
      <c r="P176" s="1101"/>
      <c r="Q176" s="1101"/>
      <c r="R176" s="1101"/>
      <c r="S176" s="1101"/>
      <c r="T176" s="1101"/>
      <c r="U176" s="1101"/>
      <c r="V176" s="1101"/>
      <c r="W176" s="1101"/>
      <c r="X176" s="1101"/>
      <c r="Y176" s="1102"/>
      <c r="Z176" s="1102"/>
      <c r="AA176" s="1101"/>
    </row>
    <row r="177" ht="15.75" customHeight="1">
      <c r="A177" s="213"/>
      <c r="B177" s="213"/>
      <c r="C177" s="1101"/>
      <c r="D177" s="1101"/>
      <c r="E177" s="1101"/>
      <c r="F177" s="1101"/>
      <c r="G177" s="1101"/>
      <c r="H177" s="1101"/>
      <c r="I177" s="1101"/>
      <c r="J177" s="1101"/>
      <c r="K177" s="1101"/>
      <c r="L177" s="1101"/>
      <c r="M177" s="1101"/>
      <c r="N177" s="1101"/>
      <c r="O177" s="1101"/>
      <c r="P177" s="1101"/>
      <c r="Q177" s="1101"/>
      <c r="R177" s="1101"/>
      <c r="S177" s="1101"/>
      <c r="T177" s="1101"/>
      <c r="U177" s="1101"/>
      <c r="V177" s="1101"/>
      <c r="W177" s="1101"/>
      <c r="X177" s="1101"/>
      <c r="Y177" s="1102"/>
      <c r="Z177" s="1102"/>
      <c r="AA177" s="1101"/>
    </row>
    <row r="178" ht="15.75" customHeight="1">
      <c r="A178" s="213"/>
      <c r="B178" s="213"/>
      <c r="C178" s="1101"/>
      <c r="D178" s="1101"/>
      <c r="E178" s="1101"/>
      <c r="F178" s="1101"/>
      <c r="G178" s="1101"/>
      <c r="H178" s="1101"/>
      <c r="I178" s="1101"/>
      <c r="J178" s="1101"/>
      <c r="K178" s="1101"/>
      <c r="L178" s="1101"/>
      <c r="M178" s="1101"/>
      <c r="N178" s="1101"/>
      <c r="O178" s="1101"/>
      <c r="P178" s="1101"/>
      <c r="Q178" s="1101"/>
      <c r="R178" s="1101"/>
      <c r="S178" s="1101"/>
      <c r="T178" s="1101"/>
      <c r="U178" s="1101"/>
      <c r="V178" s="1101"/>
      <c r="W178" s="1101"/>
      <c r="X178" s="1101"/>
      <c r="Y178" s="1102"/>
      <c r="Z178" s="1102"/>
      <c r="AA178" s="1101"/>
    </row>
    <row r="179" ht="15.75" customHeight="1">
      <c r="A179" s="213"/>
      <c r="B179" s="213"/>
      <c r="C179" s="1101"/>
      <c r="D179" s="1101"/>
      <c r="E179" s="1101"/>
      <c r="F179" s="1101"/>
      <c r="G179" s="1101"/>
      <c r="H179" s="1101"/>
      <c r="I179" s="1101"/>
      <c r="J179" s="1101"/>
      <c r="K179" s="1101"/>
      <c r="L179" s="1101"/>
      <c r="M179" s="1101"/>
      <c r="N179" s="1101"/>
      <c r="O179" s="1101"/>
      <c r="P179" s="1101"/>
      <c r="Q179" s="1101"/>
      <c r="R179" s="1101"/>
      <c r="S179" s="1101"/>
      <c r="T179" s="1101"/>
      <c r="U179" s="1101"/>
      <c r="V179" s="1101"/>
      <c r="W179" s="1101"/>
      <c r="X179" s="1101"/>
      <c r="Y179" s="1102"/>
      <c r="Z179" s="1102"/>
      <c r="AA179" s="1101"/>
    </row>
    <row r="180" ht="15.75" customHeight="1">
      <c r="A180" s="213"/>
      <c r="B180" s="213"/>
      <c r="C180" s="1101"/>
      <c r="D180" s="1101"/>
      <c r="E180" s="1101"/>
      <c r="F180" s="1101"/>
      <c r="G180" s="1101"/>
      <c r="H180" s="1101"/>
      <c r="I180" s="1101"/>
      <c r="J180" s="1101"/>
      <c r="K180" s="1101"/>
      <c r="L180" s="1101"/>
      <c r="M180" s="1101"/>
      <c r="N180" s="1101"/>
      <c r="O180" s="1101"/>
      <c r="P180" s="1101"/>
      <c r="Q180" s="1101"/>
      <c r="R180" s="1101"/>
      <c r="S180" s="1101"/>
      <c r="T180" s="1101"/>
      <c r="U180" s="1101"/>
      <c r="V180" s="1101"/>
      <c r="W180" s="1101"/>
      <c r="X180" s="1101"/>
      <c r="Y180" s="1102"/>
      <c r="Z180" s="1102"/>
      <c r="AA180" s="1101"/>
    </row>
    <row r="181" ht="15.75" customHeight="1">
      <c r="A181" s="213"/>
      <c r="B181" s="213"/>
      <c r="C181" s="1101"/>
      <c r="D181" s="1101"/>
      <c r="E181" s="1101"/>
      <c r="F181" s="1101"/>
      <c r="G181" s="1101"/>
      <c r="H181" s="1101"/>
      <c r="I181" s="1101"/>
      <c r="J181" s="1101"/>
      <c r="K181" s="1101"/>
      <c r="L181" s="1101"/>
      <c r="M181" s="1101"/>
      <c r="N181" s="1101"/>
      <c r="O181" s="1101"/>
      <c r="P181" s="1101"/>
      <c r="Q181" s="1101"/>
      <c r="R181" s="1101"/>
      <c r="S181" s="1101"/>
      <c r="T181" s="1101"/>
      <c r="U181" s="1101"/>
      <c r="V181" s="1101"/>
      <c r="W181" s="1101"/>
      <c r="X181" s="1101"/>
      <c r="Y181" s="1102"/>
      <c r="Z181" s="1102"/>
      <c r="AA181" s="1101"/>
    </row>
    <row r="182" ht="15.75" customHeight="1">
      <c r="A182" s="213"/>
      <c r="B182" s="213"/>
      <c r="C182" s="1101"/>
      <c r="D182" s="1101"/>
      <c r="E182" s="1101"/>
      <c r="F182" s="1101"/>
      <c r="G182" s="1101"/>
      <c r="H182" s="1101"/>
      <c r="I182" s="1101"/>
      <c r="J182" s="1101"/>
      <c r="K182" s="1101"/>
      <c r="L182" s="1101"/>
      <c r="M182" s="1101"/>
      <c r="N182" s="1101"/>
      <c r="O182" s="1101"/>
      <c r="P182" s="1101"/>
      <c r="Q182" s="1101"/>
      <c r="R182" s="1101"/>
      <c r="S182" s="1101"/>
      <c r="T182" s="1101"/>
      <c r="U182" s="1101"/>
      <c r="V182" s="1101"/>
      <c r="W182" s="1101"/>
      <c r="X182" s="1101"/>
      <c r="Y182" s="1102"/>
      <c r="Z182" s="1102"/>
      <c r="AA182" s="1101"/>
    </row>
    <row r="183" ht="15.75" customHeight="1">
      <c r="A183" s="213"/>
      <c r="B183" s="213"/>
      <c r="C183" s="1101"/>
      <c r="D183" s="1101"/>
      <c r="E183" s="1101"/>
      <c r="F183" s="1101"/>
      <c r="G183" s="1101"/>
      <c r="H183" s="1101"/>
      <c r="I183" s="1101"/>
      <c r="J183" s="1101"/>
      <c r="K183" s="1101"/>
      <c r="L183" s="1101"/>
      <c r="M183" s="1101"/>
      <c r="N183" s="1101"/>
      <c r="O183" s="1101"/>
      <c r="P183" s="1101"/>
      <c r="Q183" s="1101"/>
      <c r="R183" s="1101"/>
      <c r="S183" s="1101"/>
      <c r="T183" s="1101"/>
      <c r="U183" s="1101"/>
      <c r="V183" s="1101"/>
      <c r="W183" s="1101"/>
      <c r="X183" s="1101"/>
      <c r="Y183" s="1102"/>
      <c r="Z183" s="1102"/>
      <c r="AA183" s="1101"/>
    </row>
    <row r="184" ht="15.75" customHeight="1">
      <c r="A184" s="213"/>
      <c r="B184" s="213"/>
      <c r="C184" s="1101"/>
      <c r="D184" s="1101"/>
      <c r="E184" s="1101"/>
      <c r="F184" s="1101"/>
      <c r="G184" s="1101"/>
      <c r="H184" s="1101"/>
      <c r="I184" s="1101"/>
      <c r="J184" s="1101"/>
      <c r="K184" s="1101"/>
      <c r="L184" s="1101"/>
      <c r="M184" s="1101"/>
      <c r="N184" s="1101"/>
      <c r="O184" s="1101"/>
      <c r="P184" s="1101"/>
      <c r="Q184" s="1101"/>
      <c r="R184" s="1101"/>
      <c r="S184" s="1101"/>
      <c r="T184" s="1101"/>
      <c r="U184" s="1101"/>
      <c r="V184" s="1101"/>
      <c r="W184" s="1101"/>
      <c r="X184" s="1101"/>
      <c r="Y184" s="1102"/>
      <c r="Z184" s="1102"/>
      <c r="AA184" s="1101"/>
    </row>
    <row r="185" ht="15.75" customHeight="1">
      <c r="A185" s="213"/>
      <c r="B185" s="213"/>
      <c r="C185" s="1101"/>
      <c r="D185" s="1101"/>
      <c r="E185" s="1101"/>
      <c r="F185" s="1101"/>
      <c r="G185" s="1101"/>
      <c r="H185" s="1101"/>
      <c r="I185" s="1101"/>
      <c r="J185" s="1101"/>
      <c r="K185" s="1101"/>
      <c r="L185" s="1101"/>
      <c r="M185" s="1101"/>
      <c r="N185" s="1101"/>
      <c r="O185" s="1101"/>
      <c r="P185" s="1101"/>
      <c r="Q185" s="1101"/>
      <c r="R185" s="1101"/>
      <c r="S185" s="1101"/>
      <c r="T185" s="1101"/>
      <c r="U185" s="1101"/>
      <c r="V185" s="1101"/>
      <c r="W185" s="1101"/>
      <c r="X185" s="1101"/>
      <c r="Y185" s="1102"/>
      <c r="Z185" s="1102"/>
      <c r="AA185" s="1101"/>
    </row>
    <row r="186" ht="15.75" customHeight="1">
      <c r="A186" s="213"/>
      <c r="B186" s="213"/>
      <c r="C186" s="1101"/>
      <c r="D186" s="1101"/>
      <c r="E186" s="1101"/>
      <c r="F186" s="1101"/>
      <c r="G186" s="1101"/>
      <c r="H186" s="1101"/>
      <c r="I186" s="1101"/>
      <c r="J186" s="1101"/>
      <c r="K186" s="1101"/>
      <c r="L186" s="1101"/>
      <c r="M186" s="1101"/>
      <c r="N186" s="1101"/>
      <c r="O186" s="1101"/>
      <c r="P186" s="1101"/>
      <c r="Q186" s="1101"/>
      <c r="R186" s="1101"/>
      <c r="S186" s="1101"/>
      <c r="T186" s="1101"/>
      <c r="U186" s="1101"/>
      <c r="V186" s="1101"/>
      <c r="W186" s="1101"/>
      <c r="X186" s="1101"/>
      <c r="Y186" s="1102"/>
      <c r="Z186" s="1102"/>
      <c r="AA186" s="1101"/>
    </row>
    <row r="187" ht="15.75" customHeight="1">
      <c r="A187" s="213"/>
      <c r="B187" s="213"/>
      <c r="C187" s="1101"/>
      <c r="D187" s="1101"/>
      <c r="E187" s="1101"/>
      <c r="F187" s="1101"/>
      <c r="G187" s="1101"/>
      <c r="H187" s="1101"/>
      <c r="I187" s="1101"/>
      <c r="J187" s="1101"/>
      <c r="K187" s="1101"/>
      <c r="L187" s="1101"/>
      <c r="M187" s="1101"/>
      <c r="N187" s="1101"/>
      <c r="O187" s="1101"/>
      <c r="P187" s="1101"/>
      <c r="Q187" s="1101"/>
      <c r="R187" s="1101"/>
      <c r="S187" s="1101"/>
      <c r="T187" s="1101"/>
      <c r="U187" s="1101"/>
      <c r="V187" s="1101"/>
      <c r="W187" s="1101"/>
      <c r="X187" s="1101"/>
      <c r="Y187" s="1102"/>
      <c r="Z187" s="1102"/>
      <c r="AA187" s="1101"/>
    </row>
    <row r="188" ht="15.75" customHeight="1">
      <c r="A188" s="213"/>
      <c r="B188" s="213"/>
      <c r="C188" s="1101"/>
      <c r="D188" s="1101"/>
      <c r="E188" s="1101"/>
      <c r="F188" s="1101"/>
      <c r="G188" s="1101"/>
      <c r="H188" s="1101"/>
      <c r="I188" s="1101"/>
      <c r="J188" s="1101"/>
      <c r="K188" s="1101"/>
      <c r="L188" s="1101"/>
      <c r="M188" s="1101"/>
      <c r="N188" s="1101"/>
      <c r="O188" s="1101"/>
      <c r="P188" s="1101"/>
      <c r="Q188" s="1101"/>
      <c r="R188" s="1101"/>
      <c r="S188" s="1101"/>
      <c r="T188" s="1101"/>
      <c r="U188" s="1101"/>
      <c r="V188" s="1101"/>
      <c r="W188" s="1101"/>
      <c r="X188" s="1101"/>
      <c r="Y188" s="1102"/>
      <c r="Z188" s="1102"/>
      <c r="AA188" s="1101"/>
    </row>
    <row r="189" ht="15.75" customHeight="1">
      <c r="A189" s="213"/>
      <c r="B189" s="213"/>
      <c r="C189" s="1101"/>
      <c r="D189" s="1101"/>
      <c r="E189" s="1101"/>
      <c r="F189" s="1101"/>
      <c r="G189" s="1101"/>
      <c r="H189" s="1101"/>
      <c r="I189" s="1101"/>
      <c r="J189" s="1101"/>
      <c r="K189" s="1101"/>
      <c r="L189" s="1101"/>
      <c r="M189" s="1101"/>
      <c r="N189" s="1101"/>
      <c r="O189" s="1101"/>
      <c r="P189" s="1101"/>
      <c r="Q189" s="1101"/>
      <c r="R189" s="1101"/>
      <c r="S189" s="1101"/>
      <c r="T189" s="1101"/>
      <c r="U189" s="1101"/>
      <c r="V189" s="1101"/>
      <c r="W189" s="1101"/>
      <c r="X189" s="1101"/>
      <c r="Y189" s="1102"/>
      <c r="Z189" s="1102"/>
      <c r="AA189" s="1101"/>
    </row>
    <row r="190" ht="15.75" customHeight="1">
      <c r="A190" s="213"/>
      <c r="B190" s="213"/>
      <c r="C190" s="1101"/>
      <c r="D190" s="1101"/>
      <c r="E190" s="1101"/>
      <c r="F190" s="1101"/>
      <c r="G190" s="1101"/>
      <c r="H190" s="1101"/>
      <c r="I190" s="1101"/>
      <c r="J190" s="1101"/>
      <c r="K190" s="1101"/>
      <c r="L190" s="1101"/>
      <c r="M190" s="1101"/>
      <c r="N190" s="1101"/>
      <c r="O190" s="1101"/>
      <c r="P190" s="1101"/>
      <c r="Q190" s="1101"/>
      <c r="R190" s="1101"/>
      <c r="S190" s="1101"/>
      <c r="T190" s="1101"/>
      <c r="U190" s="1101"/>
      <c r="V190" s="1101"/>
      <c r="W190" s="1101"/>
      <c r="X190" s="1101"/>
      <c r="Y190" s="1102"/>
      <c r="Z190" s="1102"/>
      <c r="AA190" s="1101"/>
    </row>
    <row r="191" ht="15.75" customHeight="1">
      <c r="A191" s="213"/>
      <c r="B191" s="213"/>
      <c r="C191" s="1101"/>
      <c r="D191" s="1101"/>
      <c r="E191" s="1101"/>
      <c r="F191" s="1101"/>
      <c r="G191" s="1101"/>
      <c r="H191" s="1101"/>
      <c r="I191" s="1101"/>
      <c r="J191" s="1101"/>
      <c r="K191" s="1101"/>
      <c r="L191" s="1101"/>
      <c r="M191" s="1101"/>
      <c r="N191" s="1101"/>
      <c r="O191" s="1101"/>
      <c r="P191" s="1101"/>
      <c r="Q191" s="1101"/>
      <c r="R191" s="1101"/>
      <c r="S191" s="1101"/>
      <c r="T191" s="1101"/>
      <c r="U191" s="1101"/>
      <c r="V191" s="1101"/>
      <c r="W191" s="1101"/>
      <c r="X191" s="1101"/>
      <c r="Y191" s="1102"/>
      <c r="Z191" s="1102"/>
      <c r="AA191" s="1101"/>
    </row>
    <row r="192" ht="15.75" customHeight="1">
      <c r="A192" s="213"/>
      <c r="B192" s="213"/>
      <c r="C192" s="1101"/>
      <c r="D192" s="1101"/>
      <c r="E192" s="1101"/>
      <c r="F192" s="1101"/>
      <c r="G192" s="1101"/>
      <c r="H192" s="1101"/>
      <c r="I192" s="1101"/>
      <c r="J192" s="1101"/>
      <c r="K192" s="1101"/>
      <c r="L192" s="1101"/>
      <c r="M192" s="1101"/>
      <c r="N192" s="1101"/>
      <c r="O192" s="1101"/>
      <c r="P192" s="1101"/>
      <c r="Q192" s="1101"/>
      <c r="R192" s="1101"/>
      <c r="S192" s="1101"/>
      <c r="T192" s="1101"/>
      <c r="U192" s="1101"/>
      <c r="V192" s="1101"/>
      <c r="W192" s="1101"/>
      <c r="X192" s="1101"/>
      <c r="Y192" s="1102"/>
      <c r="Z192" s="1102"/>
      <c r="AA192" s="1101"/>
    </row>
    <row r="193" ht="15.75" customHeight="1">
      <c r="A193" s="213"/>
      <c r="B193" s="213"/>
      <c r="C193" s="1101"/>
      <c r="D193" s="1101"/>
      <c r="E193" s="1101"/>
      <c r="F193" s="1101"/>
      <c r="G193" s="1101"/>
      <c r="H193" s="1101"/>
      <c r="I193" s="1101"/>
      <c r="J193" s="1101"/>
      <c r="K193" s="1101"/>
      <c r="L193" s="1101"/>
      <c r="M193" s="1101"/>
      <c r="N193" s="1101"/>
      <c r="O193" s="1101"/>
      <c r="P193" s="1101"/>
      <c r="Q193" s="1101"/>
      <c r="R193" s="1101"/>
      <c r="S193" s="1101"/>
      <c r="T193" s="1101"/>
      <c r="U193" s="1101"/>
      <c r="V193" s="1101"/>
      <c r="W193" s="1101"/>
      <c r="X193" s="1101"/>
      <c r="Y193" s="1102"/>
      <c r="Z193" s="1102"/>
      <c r="AA193" s="1101"/>
    </row>
    <row r="194" ht="15.75" customHeight="1">
      <c r="A194" s="213"/>
      <c r="B194" s="213"/>
      <c r="C194" s="1101"/>
      <c r="D194" s="1101"/>
      <c r="E194" s="1101"/>
      <c r="F194" s="1101"/>
      <c r="G194" s="1101"/>
      <c r="H194" s="1101"/>
      <c r="I194" s="1101"/>
      <c r="J194" s="1101"/>
      <c r="K194" s="1101"/>
      <c r="L194" s="1101"/>
      <c r="M194" s="1101"/>
      <c r="N194" s="1101"/>
      <c r="O194" s="1101"/>
      <c r="P194" s="1101"/>
      <c r="Q194" s="1101"/>
      <c r="R194" s="1101"/>
      <c r="S194" s="1101"/>
      <c r="T194" s="1101"/>
      <c r="U194" s="1101"/>
      <c r="V194" s="1101"/>
      <c r="W194" s="1101"/>
      <c r="X194" s="1101"/>
      <c r="Y194" s="1102"/>
      <c r="Z194" s="1102"/>
      <c r="AA194" s="1101"/>
    </row>
    <row r="195" ht="15.75" customHeight="1">
      <c r="A195" s="213"/>
      <c r="B195" s="213"/>
      <c r="C195" s="1101"/>
      <c r="D195" s="1101"/>
      <c r="E195" s="1101"/>
      <c r="F195" s="1101"/>
      <c r="G195" s="1101"/>
      <c r="H195" s="1101"/>
      <c r="I195" s="1101"/>
      <c r="J195" s="1101"/>
      <c r="K195" s="1101"/>
      <c r="L195" s="1101"/>
      <c r="M195" s="1101"/>
      <c r="N195" s="1101"/>
      <c r="O195" s="1101"/>
      <c r="P195" s="1101"/>
      <c r="Q195" s="1101"/>
      <c r="R195" s="1101"/>
      <c r="S195" s="1101"/>
      <c r="T195" s="1101"/>
      <c r="U195" s="1101"/>
      <c r="V195" s="1101"/>
      <c r="W195" s="1101"/>
      <c r="X195" s="1101"/>
      <c r="Y195" s="1102"/>
      <c r="Z195" s="1102"/>
      <c r="AA195" s="1101"/>
    </row>
    <row r="196" ht="15.75" customHeight="1">
      <c r="A196" s="213"/>
      <c r="B196" s="213"/>
      <c r="C196" s="1101"/>
      <c r="D196" s="1101"/>
      <c r="E196" s="1101"/>
      <c r="F196" s="1101"/>
      <c r="G196" s="1101"/>
      <c r="H196" s="1101"/>
      <c r="I196" s="1101"/>
      <c r="J196" s="1101"/>
      <c r="K196" s="1101"/>
      <c r="L196" s="1101"/>
      <c r="M196" s="1101"/>
      <c r="N196" s="1101"/>
      <c r="O196" s="1101"/>
      <c r="P196" s="1101"/>
      <c r="Q196" s="1101"/>
      <c r="R196" s="1101"/>
      <c r="S196" s="1101"/>
      <c r="T196" s="1101"/>
      <c r="U196" s="1101"/>
      <c r="V196" s="1101"/>
      <c r="W196" s="1101"/>
      <c r="X196" s="1101"/>
      <c r="Y196" s="1102"/>
      <c r="Z196" s="1102"/>
      <c r="AA196" s="1101"/>
    </row>
    <row r="197" ht="15.75" customHeight="1">
      <c r="A197" s="213"/>
      <c r="B197" s="213"/>
      <c r="C197" s="1101"/>
      <c r="D197" s="1101"/>
      <c r="E197" s="1101"/>
      <c r="F197" s="1101"/>
      <c r="G197" s="1101"/>
      <c r="H197" s="1101"/>
      <c r="I197" s="1101"/>
      <c r="J197" s="1101"/>
      <c r="K197" s="1101"/>
      <c r="L197" s="1101"/>
      <c r="M197" s="1101"/>
      <c r="N197" s="1101"/>
      <c r="O197" s="1101"/>
      <c r="P197" s="1101"/>
      <c r="Q197" s="1101"/>
      <c r="R197" s="1101"/>
      <c r="S197" s="1101"/>
      <c r="T197" s="1101"/>
      <c r="U197" s="1101"/>
      <c r="V197" s="1101"/>
      <c r="W197" s="1101"/>
      <c r="X197" s="1101"/>
      <c r="Y197" s="1102"/>
      <c r="Z197" s="1102"/>
      <c r="AA197" s="1101"/>
    </row>
    <row r="198" ht="15.75" customHeight="1">
      <c r="A198" s="213"/>
      <c r="B198" s="213"/>
      <c r="C198" s="1101"/>
      <c r="D198" s="1101"/>
      <c r="E198" s="1101"/>
      <c r="F198" s="1101"/>
      <c r="G198" s="1101"/>
      <c r="H198" s="1101"/>
      <c r="I198" s="1101"/>
      <c r="J198" s="1101"/>
      <c r="K198" s="1101"/>
      <c r="L198" s="1101"/>
      <c r="M198" s="1101"/>
      <c r="N198" s="1101"/>
      <c r="O198" s="1101"/>
      <c r="P198" s="1101"/>
      <c r="Q198" s="1101"/>
      <c r="R198" s="1101"/>
      <c r="S198" s="1101"/>
      <c r="T198" s="1101"/>
      <c r="U198" s="1101"/>
      <c r="V198" s="1101"/>
      <c r="W198" s="1101"/>
      <c r="X198" s="1101"/>
      <c r="Y198" s="1102"/>
      <c r="Z198" s="1102"/>
      <c r="AA198" s="1101"/>
    </row>
    <row r="199" ht="15.75" customHeight="1">
      <c r="A199" s="213"/>
      <c r="B199" s="213"/>
      <c r="C199" s="1101"/>
      <c r="D199" s="1101"/>
      <c r="E199" s="1101"/>
      <c r="F199" s="1101"/>
      <c r="G199" s="1101"/>
      <c r="H199" s="1101"/>
      <c r="I199" s="1101"/>
      <c r="J199" s="1101"/>
      <c r="K199" s="1101"/>
      <c r="L199" s="1101"/>
      <c r="M199" s="1101"/>
      <c r="N199" s="1101"/>
      <c r="O199" s="1101"/>
      <c r="P199" s="1101"/>
      <c r="Q199" s="1101"/>
      <c r="R199" s="1101"/>
      <c r="S199" s="1101"/>
      <c r="T199" s="1101"/>
      <c r="U199" s="1101"/>
      <c r="V199" s="1101"/>
      <c r="W199" s="1101"/>
      <c r="X199" s="1101"/>
      <c r="Y199" s="1102"/>
      <c r="Z199" s="1102"/>
      <c r="AA199" s="1101"/>
    </row>
    <row r="200" ht="15.75" customHeight="1">
      <c r="A200" s="213"/>
      <c r="B200" s="213"/>
      <c r="C200" s="1101"/>
      <c r="D200" s="1101"/>
      <c r="E200" s="1101"/>
      <c r="F200" s="1101"/>
      <c r="G200" s="1101"/>
      <c r="H200" s="1101"/>
      <c r="I200" s="1101"/>
      <c r="J200" s="1101"/>
      <c r="K200" s="1101"/>
      <c r="L200" s="1101"/>
      <c r="M200" s="1101"/>
      <c r="N200" s="1101"/>
      <c r="O200" s="1101"/>
      <c r="P200" s="1101"/>
      <c r="Q200" s="1101"/>
      <c r="R200" s="1101"/>
      <c r="S200" s="1101"/>
      <c r="T200" s="1101"/>
      <c r="U200" s="1101"/>
      <c r="V200" s="1101"/>
      <c r="W200" s="1101"/>
      <c r="X200" s="1101"/>
      <c r="Y200" s="1102"/>
      <c r="Z200" s="1102"/>
      <c r="AA200" s="1101"/>
    </row>
    <row r="201" ht="15.75" customHeight="1">
      <c r="A201" s="213"/>
      <c r="B201" s="213"/>
      <c r="C201" s="1101"/>
      <c r="D201" s="1101"/>
      <c r="E201" s="1101"/>
      <c r="F201" s="1101"/>
      <c r="G201" s="1101"/>
      <c r="H201" s="1101"/>
      <c r="I201" s="1101"/>
      <c r="J201" s="1101"/>
      <c r="K201" s="1101"/>
      <c r="L201" s="1101"/>
      <c r="M201" s="1101"/>
      <c r="N201" s="1101"/>
      <c r="O201" s="1101"/>
      <c r="P201" s="1101"/>
      <c r="Q201" s="1101"/>
      <c r="R201" s="1101"/>
      <c r="S201" s="1101"/>
      <c r="T201" s="1101"/>
      <c r="U201" s="1101"/>
      <c r="V201" s="1101"/>
      <c r="W201" s="1101"/>
      <c r="X201" s="1101"/>
      <c r="Y201" s="1102"/>
      <c r="Z201" s="1102"/>
      <c r="AA201" s="1101"/>
    </row>
    <row r="202" ht="15.75" customHeight="1">
      <c r="A202" s="213"/>
      <c r="B202" s="213"/>
      <c r="C202" s="1101"/>
      <c r="D202" s="1101"/>
      <c r="E202" s="1101"/>
      <c r="F202" s="1101"/>
      <c r="G202" s="1101"/>
      <c r="H202" s="1101"/>
      <c r="I202" s="1101"/>
      <c r="J202" s="1101"/>
      <c r="K202" s="1101"/>
      <c r="L202" s="1101"/>
      <c r="M202" s="1101"/>
      <c r="N202" s="1101"/>
      <c r="O202" s="1101"/>
      <c r="P202" s="1101"/>
      <c r="Q202" s="1101"/>
      <c r="R202" s="1101"/>
      <c r="S202" s="1101"/>
      <c r="T202" s="1101"/>
      <c r="U202" s="1101"/>
      <c r="V202" s="1101"/>
      <c r="W202" s="1101"/>
      <c r="X202" s="1101"/>
      <c r="Y202" s="1102"/>
      <c r="Z202" s="1102"/>
      <c r="AA202" s="1101"/>
    </row>
    <row r="203" ht="15.75" customHeight="1">
      <c r="A203" s="213"/>
      <c r="B203" s="213"/>
      <c r="C203" s="1101"/>
      <c r="D203" s="1101"/>
      <c r="E203" s="1101"/>
      <c r="F203" s="1101"/>
      <c r="G203" s="1101"/>
      <c r="H203" s="1101"/>
      <c r="I203" s="1101"/>
      <c r="J203" s="1101"/>
      <c r="K203" s="1101"/>
      <c r="L203" s="1101"/>
      <c r="M203" s="1101"/>
      <c r="N203" s="1101"/>
      <c r="O203" s="1101"/>
      <c r="P203" s="1101"/>
      <c r="Q203" s="1101"/>
      <c r="R203" s="1101"/>
      <c r="S203" s="1101"/>
      <c r="T203" s="1101"/>
      <c r="U203" s="1101"/>
      <c r="V203" s="1101"/>
      <c r="W203" s="1101"/>
      <c r="X203" s="1101"/>
      <c r="Y203" s="1102"/>
      <c r="Z203" s="1102"/>
      <c r="AA203" s="1101"/>
    </row>
    <row r="204" ht="15.75" customHeight="1">
      <c r="A204" s="213"/>
      <c r="B204" s="213"/>
      <c r="C204" s="1101"/>
      <c r="D204" s="1101"/>
      <c r="E204" s="1101"/>
      <c r="F204" s="1101"/>
      <c r="G204" s="1101"/>
      <c r="H204" s="1101"/>
      <c r="I204" s="1101"/>
      <c r="J204" s="1101"/>
      <c r="K204" s="1101"/>
      <c r="L204" s="1101"/>
      <c r="M204" s="1101"/>
      <c r="N204" s="1101"/>
      <c r="O204" s="1101"/>
      <c r="P204" s="1101"/>
      <c r="Q204" s="1101"/>
      <c r="R204" s="1101"/>
      <c r="S204" s="1101"/>
      <c r="T204" s="1101"/>
      <c r="U204" s="1101"/>
      <c r="V204" s="1101"/>
      <c r="W204" s="1101"/>
      <c r="X204" s="1101"/>
      <c r="Y204" s="1102"/>
      <c r="Z204" s="1102"/>
      <c r="AA204" s="1101"/>
    </row>
    <row r="205" ht="15.75" customHeight="1">
      <c r="A205" s="213"/>
      <c r="B205" s="213"/>
      <c r="C205" s="1101"/>
      <c r="D205" s="1101"/>
      <c r="E205" s="1101"/>
      <c r="F205" s="1101"/>
      <c r="G205" s="1101"/>
      <c r="H205" s="1101"/>
      <c r="I205" s="1101"/>
      <c r="J205" s="1101"/>
      <c r="K205" s="1101"/>
      <c r="L205" s="1101"/>
      <c r="M205" s="1101"/>
      <c r="N205" s="1101"/>
      <c r="O205" s="1101"/>
      <c r="P205" s="1101"/>
      <c r="Q205" s="1101"/>
      <c r="R205" s="1101"/>
      <c r="S205" s="1101"/>
      <c r="T205" s="1101"/>
      <c r="U205" s="1101"/>
      <c r="V205" s="1101"/>
      <c r="W205" s="1101"/>
      <c r="X205" s="1101"/>
      <c r="Y205" s="1102"/>
      <c r="Z205" s="1102"/>
      <c r="AA205" s="1101"/>
    </row>
    <row r="206" ht="15.75" customHeight="1">
      <c r="A206" s="213"/>
      <c r="B206" s="213"/>
      <c r="C206" s="1101"/>
      <c r="D206" s="1101"/>
      <c r="E206" s="1101"/>
      <c r="F206" s="1101"/>
      <c r="G206" s="1101"/>
      <c r="H206" s="1101"/>
      <c r="I206" s="1101"/>
      <c r="J206" s="1101"/>
      <c r="K206" s="1101"/>
      <c r="L206" s="1101"/>
      <c r="M206" s="1101"/>
      <c r="N206" s="1101"/>
      <c r="O206" s="1101"/>
      <c r="P206" s="1101"/>
      <c r="Q206" s="1101"/>
      <c r="R206" s="1101"/>
      <c r="S206" s="1101"/>
      <c r="T206" s="1101"/>
      <c r="U206" s="1101"/>
      <c r="V206" s="1101"/>
      <c r="W206" s="1101"/>
      <c r="X206" s="1101"/>
      <c r="Y206" s="1102"/>
      <c r="Z206" s="1102"/>
      <c r="AA206" s="1101"/>
    </row>
    <row r="207" ht="15.75" customHeight="1">
      <c r="A207" s="213"/>
      <c r="B207" s="213"/>
      <c r="C207" s="1101"/>
      <c r="D207" s="1101"/>
      <c r="E207" s="1101"/>
      <c r="F207" s="1101"/>
      <c r="G207" s="1101"/>
      <c r="H207" s="1101"/>
      <c r="I207" s="1101"/>
      <c r="J207" s="1101"/>
      <c r="K207" s="1101"/>
      <c r="L207" s="1101"/>
      <c r="M207" s="1101"/>
      <c r="N207" s="1101"/>
      <c r="O207" s="1101"/>
      <c r="P207" s="1101"/>
      <c r="Q207" s="1101"/>
      <c r="R207" s="1101"/>
      <c r="S207" s="1101"/>
      <c r="T207" s="1101"/>
      <c r="U207" s="1101"/>
      <c r="V207" s="1101"/>
      <c r="W207" s="1101"/>
      <c r="X207" s="1101"/>
      <c r="Y207" s="1102"/>
      <c r="Z207" s="1102"/>
      <c r="AA207" s="1101"/>
    </row>
    <row r="208" ht="15.75" customHeight="1">
      <c r="A208" s="213"/>
      <c r="B208" s="213"/>
      <c r="C208" s="1101"/>
      <c r="D208" s="1101"/>
      <c r="E208" s="1101"/>
      <c r="F208" s="1101"/>
      <c r="G208" s="1101"/>
      <c r="H208" s="1101"/>
      <c r="I208" s="1101"/>
      <c r="J208" s="1101"/>
      <c r="K208" s="1101"/>
      <c r="L208" s="1101"/>
      <c r="M208" s="1101"/>
      <c r="N208" s="1101"/>
      <c r="O208" s="1101"/>
      <c r="P208" s="1101"/>
      <c r="Q208" s="1101"/>
      <c r="R208" s="1101"/>
      <c r="S208" s="1101"/>
      <c r="T208" s="1101"/>
      <c r="U208" s="1101"/>
      <c r="V208" s="1101"/>
      <c r="W208" s="1101"/>
      <c r="X208" s="1101"/>
      <c r="Y208" s="1102"/>
      <c r="Z208" s="1102"/>
      <c r="AA208" s="1101"/>
    </row>
    <row r="209" ht="15.75" customHeight="1">
      <c r="A209" s="213"/>
      <c r="B209" s="213"/>
      <c r="C209" s="1101"/>
      <c r="D209" s="1101"/>
      <c r="E209" s="1101"/>
      <c r="F209" s="1101"/>
      <c r="G209" s="1101"/>
      <c r="H209" s="1101"/>
      <c r="I209" s="1101"/>
      <c r="J209" s="1101"/>
      <c r="K209" s="1101"/>
      <c r="L209" s="1101"/>
      <c r="M209" s="1101"/>
      <c r="N209" s="1101"/>
      <c r="O209" s="1101"/>
      <c r="P209" s="1101"/>
      <c r="Q209" s="1101"/>
      <c r="R209" s="1101"/>
      <c r="S209" s="1101"/>
      <c r="T209" s="1101"/>
      <c r="U209" s="1101"/>
      <c r="V209" s="1101"/>
      <c r="W209" s="1101"/>
      <c r="X209" s="1101"/>
      <c r="Y209" s="1102"/>
      <c r="Z209" s="1102"/>
      <c r="AA209" s="1101"/>
    </row>
    <row r="210" ht="15.75" customHeight="1">
      <c r="A210" s="213"/>
      <c r="B210" s="213"/>
      <c r="C210" s="1101"/>
      <c r="D210" s="1101"/>
      <c r="E210" s="1101"/>
      <c r="F210" s="1101"/>
      <c r="G210" s="1101"/>
      <c r="H210" s="1101"/>
      <c r="I210" s="1101"/>
      <c r="J210" s="1101"/>
      <c r="K210" s="1101"/>
      <c r="L210" s="1101"/>
      <c r="M210" s="1101"/>
      <c r="N210" s="1101"/>
      <c r="O210" s="1101"/>
      <c r="P210" s="1101"/>
      <c r="Q210" s="1101"/>
      <c r="R210" s="1101"/>
      <c r="S210" s="1101"/>
      <c r="T210" s="1101"/>
      <c r="U210" s="1101"/>
      <c r="V210" s="1101"/>
      <c r="W210" s="1101"/>
      <c r="X210" s="1101"/>
      <c r="Y210" s="1102"/>
      <c r="Z210" s="1102"/>
      <c r="AA210" s="1101"/>
    </row>
    <row r="211" ht="15.75" customHeight="1">
      <c r="A211" s="213"/>
      <c r="B211" s="213"/>
      <c r="C211" s="1101"/>
      <c r="D211" s="1101"/>
      <c r="E211" s="1101"/>
      <c r="F211" s="1101"/>
      <c r="G211" s="1101"/>
      <c r="H211" s="1101"/>
      <c r="I211" s="1101"/>
      <c r="J211" s="1101"/>
      <c r="K211" s="1101"/>
      <c r="L211" s="1101"/>
      <c r="M211" s="1101"/>
      <c r="N211" s="1101"/>
      <c r="O211" s="1101"/>
      <c r="P211" s="1101"/>
      <c r="Q211" s="1101"/>
      <c r="R211" s="1101"/>
      <c r="S211" s="1101"/>
      <c r="T211" s="1101"/>
      <c r="U211" s="1101"/>
      <c r="V211" s="1101"/>
      <c r="W211" s="1101"/>
      <c r="X211" s="1101"/>
      <c r="Y211" s="1102"/>
      <c r="Z211" s="1102"/>
      <c r="AA211" s="1101"/>
    </row>
    <row r="212" ht="15.75" customHeight="1">
      <c r="A212" s="213"/>
      <c r="B212" s="213"/>
      <c r="C212" s="1101"/>
      <c r="D212" s="1101"/>
      <c r="E212" s="1101"/>
      <c r="F212" s="1101"/>
      <c r="G212" s="1101"/>
      <c r="H212" s="1101"/>
      <c r="I212" s="1101"/>
      <c r="J212" s="1101"/>
      <c r="K212" s="1101"/>
      <c r="L212" s="1101"/>
      <c r="M212" s="1101"/>
      <c r="N212" s="1101"/>
      <c r="O212" s="1101"/>
      <c r="P212" s="1101"/>
      <c r="Q212" s="1101"/>
      <c r="R212" s="1101"/>
      <c r="S212" s="1101"/>
      <c r="T212" s="1101"/>
      <c r="U212" s="1101"/>
      <c r="V212" s="1101"/>
      <c r="W212" s="1101"/>
      <c r="X212" s="1101"/>
      <c r="Y212" s="1102"/>
      <c r="Z212" s="1102"/>
      <c r="AA212" s="1101"/>
    </row>
    <row r="213" ht="15.75" customHeight="1">
      <c r="A213" s="213"/>
      <c r="B213" s="213"/>
      <c r="C213" s="1101"/>
      <c r="D213" s="1101"/>
      <c r="E213" s="1101"/>
      <c r="F213" s="1101"/>
      <c r="G213" s="1101"/>
      <c r="H213" s="1101"/>
      <c r="I213" s="1101"/>
      <c r="J213" s="1101"/>
      <c r="K213" s="1101"/>
      <c r="L213" s="1101"/>
      <c r="M213" s="1101"/>
      <c r="N213" s="1101"/>
      <c r="O213" s="1101"/>
      <c r="P213" s="1101"/>
      <c r="Q213" s="1101"/>
      <c r="R213" s="1101"/>
      <c r="S213" s="1101"/>
      <c r="T213" s="1101"/>
      <c r="U213" s="1101"/>
      <c r="V213" s="1101"/>
      <c r="W213" s="1101"/>
      <c r="X213" s="1101"/>
      <c r="Y213" s="1102"/>
      <c r="Z213" s="1102"/>
      <c r="AA213" s="1101"/>
    </row>
    <row r="214" ht="15.75" customHeight="1">
      <c r="A214" s="213"/>
      <c r="B214" s="213"/>
      <c r="C214" s="1101"/>
      <c r="D214" s="1101"/>
      <c r="E214" s="1101"/>
      <c r="F214" s="1101"/>
      <c r="G214" s="1101"/>
      <c r="H214" s="1101"/>
      <c r="I214" s="1101"/>
      <c r="J214" s="1101"/>
      <c r="K214" s="1101"/>
      <c r="L214" s="1101"/>
      <c r="M214" s="1101"/>
      <c r="N214" s="1101"/>
      <c r="O214" s="1101"/>
      <c r="P214" s="1101"/>
      <c r="Q214" s="1101"/>
      <c r="R214" s="1101"/>
      <c r="S214" s="1101"/>
      <c r="T214" s="1101"/>
      <c r="U214" s="1101"/>
      <c r="V214" s="1101"/>
      <c r="W214" s="1101"/>
      <c r="X214" s="1101"/>
      <c r="Y214" s="1102"/>
      <c r="Z214" s="1102"/>
      <c r="AA214" s="1101"/>
    </row>
    <row r="215" ht="15.75" customHeight="1">
      <c r="A215" s="213"/>
      <c r="B215" s="213"/>
      <c r="C215" s="1101"/>
      <c r="D215" s="1101"/>
      <c r="E215" s="1101"/>
      <c r="F215" s="1101"/>
      <c r="G215" s="1101"/>
      <c r="H215" s="1101"/>
      <c r="I215" s="1101"/>
      <c r="J215" s="1101"/>
      <c r="K215" s="1101"/>
      <c r="L215" s="1101"/>
      <c r="M215" s="1101"/>
      <c r="N215" s="1101"/>
      <c r="O215" s="1101"/>
      <c r="P215" s="1101"/>
      <c r="Q215" s="1101"/>
      <c r="R215" s="1101"/>
      <c r="S215" s="1101"/>
      <c r="T215" s="1101"/>
      <c r="U215" s="1101"/>
      <c r="V215" s="1101"/>
      <c r="W215" s="1101"/>
      <c r="X215" s="1101"/>
      <c r="Y215" s="1102"/>
      <c r="Z215" s="1102"/>
      <c r="AA215" s="1101"/>
    </row>
    <row r="216" ht="15.75" customHeight="1">
      <c r="A216" s="213"/>
      <c r="B216" s="213"/>
      <c r="C216" s="1101"/>
      <c r="D216" s="1101"/>
      <c r="E216" s="1101"/>
      <c r="F216" s="1101"/>
      <c r="G216" s="1101"/>
      <c r="H216" s="1101"/>
      <c r="I216" s="1101"/>
      <c r="J216" s="1101"/>
      <c r="K216" s="1101"/>
      <c r="L216" s="1101"/>
      <c r="M216" s="1101"/>
      <c r="N216" s="1101"/>
      <c r="O216" s="1101"/>
      <c r="P216" s="1101"/>
      <c r="Q216" s="1101"/>
      <c r="R216" s="1101"/>
      <c r="S216" s="1101"/>
      <c r="T216" s="1101"/>
      <c r="U216" s="1101"/>
      <c r="V216" s="1101"/>
      <c r="W216" s="1101"/>
      <c r="X216" s="1101"/>
      <c r="Y216" s="1102"/>
      <c r="Z216" s="1102"/>
      <c r="AA216" s="1101"/>
    </row>
    <row r="217" ht="15.75" customHeight="1">
      <c r="A217" s="213"/>
      <c r="B217" s="213"/>
      <c r="C217" s="1101"/>
      <c r="D217" s="1101"/>
      <c r="E217" s="1101"/>
      <c r="F217" s="1101"/>
      <c r="G217" s="1101"/>
      <c r="H217" s="1101"/>
      <c r="I217" s="1101"/>
      <c r="J217" s="1101"/>
      <c r="K217" s="1101"/>
      <c r="L217" s="1101"/>
      <c r="M217" s="1101"/>
      <c r="N217" s="1101"/>
      <c r="O217" s="1101"/>
      <c r="P217" s="1101"/>
      <c r="Q217" s="1101"/>
      <c r="R217" s="1101"/>
      <c r="S217" s="1101"/>
      <c r="T217" s="1101"/>
      <c r="U217" s="1101"/>
      <c r="V217" s="1101"/>
      <c r="W217" s="1101"/>
      <c r="X217" s="1101"/>
      <c r="Y217" s="1102"/>
      <c r="Z217" s="1102"/>
      <c r="AA217" s="1101"/>
    </row>
    <row r="218" ht="15.75" customHeight="1">
      <c r="A218" s="213"/>
      <c r="B218" s="213"/>
      <c r="C218" s="1101"/>
      <c r="D218" s="1101"/>
      <c r="E218" s="1101"/>
      <c r="F218" s="1101"/>
      <c r="G218" s="1101"/>
      <c r="H218" s="1101"/>
      <c r="I218" s="1101"/>
      <c r="J218" s="1101"/>
      <c r="K218" s="1101"/>
      <c r="L218" s="1101"/>
      <c r="M218" s="1101"/>
      <c r="N218" s="1101"/>
      <c r="O218" s="1101"/>
      <c r="P218" s="1101"/>
      <c r="Q218" s="1101"/>
      <c r="R218" s="1101"/>
      <c r="S218" s="1101"/>
      <c r="T218" s="1101"/>
      <c r="U218" s="1101"/>
      <c r="V218" s="1101"/>
      <c r="W218" s="1101"/>
      <c r="X218" s="1101"/>
      <c r="Y218" s="1102"/>
      <c r="Z218" s="1102"/>
      <c r="AA218" s="1101"/>
    </row>
    <row r="219" ht="15.75" customHeight="1">
      <c r="A219" s="213"/>
      <c r="B219" s="213"/>
      <c r="C219" s="1101"/>
      <c r="D219" s="1101"/>
      <c r="E219" s="1101"/>
      <c r="F219" s="1101"/>
      <c r="G219" s="1101"/>
      <c r="H219" s="1101"/>
      <c r="I219" s="1101"/>
      <c r="J219" s="1101"/>
      <c r="K219" s="1101"/>
      <c r="L219" s="1101"/>
      <c r="M219" s="1101"/>
      <c r="N219" s="1101"/>
      <c r="O219" s="1101"/>
      <c r="P219" s="1101"/>
      <c r="Q219" s="1101"/>
      <c r="R219" s="1101"/>
      <c r="S219" s="1101"/>
      <c r="T219" s="1101"/>
      <c r="U219" s="1101"/>
      <c r="V219" s="1101"/>
      <c r="W219" s="1101"/>
      <c r="X219" s="1101"/>
      <c r="Y219" s="1102"/>
      <c r="Z219" s="1102"/>
      <c r="AA219" s="1101"/>
    </row>
    <row r="220" ht="15.75" customHeight="1">
      <c r="A220" s="213"/>
      <c r="B220" s="213"/>
      <c r="C220" s="1101"/>
      <c r="D220" s="1101"/>
      <c r="E220" s="1101"/>
      <c r="F220" s="1101"/>
      <c r="G220" s="1101"/>
      <c r="H220" s="1101"/>
      <c r="I220" s="1101"/>
      <c r="J220" s="1101"/>
      <c r="K220" s="1101"/>
      <c r="L220" s="1101"/>
      <c r="M220" s="1101"/>
      <c r="N220" s="1101"/>
      <c r="O220" s="1101"/>
      <c r="P220" s="1101"/>
      <c r="Q220" s="1101"/>
      <c r="R220" s="1101"/>
      <c r="S220" s="1101"/>
      <c r="T220" s="1101"/>
      <c r="U220" s="1101"/>
      <c r="V220" s="1101"/>
      <c r="W220" s="1101"/>
      <c r="X220" s="1101"/>
      <c r="Y220" s="1102"/>
      <c r="Z220" s="1102"/>
      <c r="AA220" s="1101"/>
    </row>
    <row r="221" ht="15.75" customHeight="1">
      <c r="A221" s="213"/>
      <c r="B221" s="213"/>
      <c r="C221" s="1101"/>
      <c r="D221" s="1101"/>
      <c r="E221" s="1101"/>
      <c r="F221" s="1101"/>
      <c r="G221" s="1101"/>
      <c r="H221" s="1101"/>
      <c r="I221" s="1101"/>
      <c r="J221" s="1101"/>
      <c r="K221" s="1101"/>
      <c r="L221" s="1101"/>
      <c r="M221" s="1101"/>
      <c r="N221" s="1101"/>
      <c r="O221" s="1101"/>
      <c r="P221" s="1101"/>
      <c r="Q221" s="1101"/>
      <c r="R221" s="1101"/>
      <c r="S221" s="1101"/>
      <c r="T221" s="1101"/>
      <c r="U221" s="1101"/>
      <c r="V221" s="1101"/>
      <c r="W221" s="1101"/>
      <c r="X221" s="1101"/>
      <c r="Y221" s="1102"/>
      <c r="Z221" s="1102"/>
      <c r="AA221" s="1101"/>
    </row>
    <row r="222" ht="15.75" customHeight="1">
      <c r="A222" s="213"/>
      <c r="B222" s="213"/>
      <c r="C222" s="1101"/>
      <c r="D222" s="1101"/>
      <c r="E222" s="1101"/>
      <c r="F222" s="1101"/>
      <c r="G222" s="1101"/>
      <c r="H222" s="1101"/>
      <c r="I222" s="1101"/>
      <c r="J222" s="1101"/>
      <c r="K222" s="1101"/>
      <c r="L222" s="1101"/>
      <c r="M222" s="1101"/>
      <c r="N222" s="1101"/>
      <c r="O222" s="1101"/>
      <c r="P222" s="1101"/>
      <c r="Q222" s="1101"/>
      <c r="R222" s="1101"/>
      <c r="S222" s="1101"/>
      <c r="T222" s="1101"/>
      <c r="U222" s="1101"/>
      <c r="V222" s="1101"/>
      <c r="W222" s="1101"/>
      <c r="X222" s="1101"/>
      <c r="Y222" s="1102"/>
      <c r="Z222" s="1102"/>
      <c r="AA222" s="1101"/>
    </row>
    <row r="223" ht="15.75" customHeight="1">
      <c r="A223" s="213"/>
      <c r="B223" s="213"/>
      <c r="C223" s="1101"/>
      <c r="D223" s="1101"/>
      <c r="E223" s="1101"/>
      <c r="F223" s="1101"/>
      <c r="G223" s="1101"/>
      <c r="H223" s="1101"/>
      <c r="I223" s="1101"/>
      <c r="J223" s="1101"/>
      <c r="K223" s="1101"/>
      <c r="L223" s="1101"/>
      <c r="M223" s="1101"/>
      <c r="N223" s="1101"/>
      <c r="O223" s="1101"/>
      <c r="P223" s="1101"/>
      <c r="Q223" s="1101"/>
      <c r="R223" s="1101"/>
      <c r="S223" s="1101"/>
      <c r="T223" s="1101"/>
      <c r="U223" s="1101"/>
      <c r="V223" s="1101"/>
      <c r="W223" s="1101"/>
      <c r="X223" s="1101"/>
      <c r="Y223" s="1102"/>
      <c r="Z223" s="1102"/>
      <c r="AA223" s="1101"/>
    </row>
    <row r="224" ht="15.75" customHeight="1">
      <c r="A224" s="213"/>
      <c r="B224" s="213"/>
      <c r="C224" s="1101"/>
      <c r="D224" s="1101"/>
      <c r="E224" s="1101"/>
      <c r="F224" s="1101"/>
      <c r="G224" s="1101"/>
      <c r="H224" s="1101"/>
      <c r="I224" s="1101"/>
      <c r="J224" s="1101"/>
      <c r="K224" s="1101"/>
      <c r="L224" s="1101"/>
      <c r="M224" s="1101"/>
      <c r="N224" s="1101"/>
      <c r="O224" s="1101"/>
      <c r="P224" s="1101"/>
      <c r="Q224" s="1101"/>
      <c r="R224" s="1101"/>
      <c r="S224" s="1101"/>
      <c r="T224" s="1101"/>
      <c r="U224" s="1101"/>
      <c r="V224" s="1101"/>
      <c r="W224" s="1101"/>
      <c r="X224" s="1101"/>
      <c r="Y224" s="1102"/>
      <c r="Z224" s="1102"/>
      <c r="AA224" s="1101"/>
    </row>
    <row r="225" ht="15.75" customHeight="1">
      <c r="A225" s="213"/>
      <c r="B225" s="213"/>
      <c r="C225" s="1101"/>
      <c r="D225" s="1101"/>
      <c r="E225" s="1101"/>
      <c r="F225" s="1101"/>
      <c r="G225" s="1101"/>
      <c r="H225" s="1101"/>
      <c r="I225" s="1101"/>
      <c r="J225" s="1101"/>
      <c r="K225" s="1101"/>
      <c r="L225" s="1101"/>
      <c r="M225" s="1101"/>
      <c r="N225" s="1101"/>
      <c r="O225" s="1101"/>
      <c r="P225" s="1101"/>
      <c r="Q225" s="1101"/>
      <c r="R225" s="1101"/>
      <c r="S225" s="1101"/>
      <c r="T225" s="1101"/>
      <c r="U225" s="1101"/>
      <c r="V225" s="1101"/>
      <c r="W225" s="1101"/>
      <c r="X225" s="1101"/>
      <c r="Y225" s="1102"/>
      <c r="Z225" s="1102"/>
      <c r="AA225" s="1101"/>
    </row>
    <row r="226" ht="15.75" customHeight="1">
      <c r="A226" s="213"/>
      <c r="B226" s="213"/>
      <c r="C226" s="1101"/>
      <c r="D226" s="1101"/>
      <c r="E226" s="1101"/>
      <c r="F226" s="1101"/>
      <c r="G226" s="1101"/>
      <c r="H226" s="1101"/>
      <c r="I226" s="1101"/>
      <c r="J226" s="1101"/>
      <c r="K226" s="1101"/>
      <c r="L226" s="1101"/>
      <c r="M226" s="1101"/>
      <c r="N226" s="1101"/>
      <c r="O226" s="1101"/>
      <c r="P226" s="1101"/>
      <c r="Q226" s="1101"/>
      <c r="R226" s="1101"/>
      <c r="S226" s="1101"/>
      <c r="T226" s="1101"/>
      <c r="U226" s="1101"/>
      <c r="V226" s="1101"/>
      <c r="W226" s="1101"/>
      <c r="X226" s="1101"/>
      <c r="Y226" s="1102"/>
      <c r="Z226" s="1102"/>
      <c r="AA226" s="1101"/>
    </row>
    <row r="227" ht="15.75" customHeight="1">
      <c r="A227" s="213"/>
      <c r="B227" s="213"/>
      <c r="C227" s="1101"/>
      <c r="D227" s="1101"/>
      <c r="E227" s="1101"/>
      <c r="F227" s="1101"/>
      <c r="G227" s="1101"/>
      <c r="H227" s="1101"/>
      <c r="I227" s="1101"/>
      <c r="J227" s="1101"/>
      <c r="K227" s="1101"/>
      <c r="L227" s="1101"/>
      <c r="M227" s="1101"/>
      <c r="N227" s="1101"/>
      <c r="O227" s="1101"/>
      <c r="P227" s="1101"/>
      <c r="Q227" s="1101"/>
      <c r="R227" s="1101"/>
      <c r="S227" s="1101"/>
      <c r="T227" s="1101"/>
      <c r="U227" s="1101"/>
      <c r="V227" s="1101"/>
      <c r="W227" s="1101"/>
      <c r="X227" s="1101"/>
      <c r="Y227" s="1102"/>
      <c r="Z227" s="1102"/>
      <c r="AA227" s="1101"/>
    </row>
    <row r="228" ht="15.75" customHeight="1">
      <c r="A228" s="213"/>
      <c r="B228" s="213"/>
      <c r="C228" s="1101"/>
      <c r="D228" s="1101"/>
      <c r="E228" s="1101"/>
      <c r="F228" s="1101"/>
      <c r="G228" s="1101"/>
      <c r="H228" s="1101"/>
      <c r="I228" s="1101"/>
      <c r="J228" s="1101"/>
      <c r="K228" s="1101"/>
      <c r="L228" s="1101"/>
      <c r="M228" s="1101"/>
      <c r="N228" s="1101"/>
      <c r="O228" s="1101"/>
      <c r="P228" s="1101"/>
      <c r="Q228" s="1101"/>
      <c r="R228" s="1101"/>
      <c r="S228" s="1101"/>
      <c r="T228" s="1101"/>
      <c r="U228" s="1101"/>
      <c r="V228" s="1101"/>
      <c r="W228" s="1101"/>
      <c r="X228" s="1101"/>
      <c r="Y228" s="1102"/>
      <c r="Z228" s="1102"/>
      <c r="AA228" s="1101"/>
    </row>
    <row r="229" ht="15.75" customHeight="1">
      <c r="A229" s="213"/>
      <c r="B229" s="213"/>
      <c r="C229" s="1101"/>
      <c r="D229" s="1101"/>
      <c r="E229" s="1101"/>
      <c r="F229" s="1101"/>
      <c r="G229" s="1101"/>
      <c r="H229" s="1101"/>
      <c r="I229" s="1101"/>
      <c r="J229" s="1101"/>
      <c r="K229" s="1101"/>
      <c r="L229" s="1101"/>
      <c r="M229" s="1101"/>
      <c r="N229" s="1101"/>
      <c r="O229" s="1101"/>
      <c r="P229" s="1101"/>
      <c r="Q229" s="1101"/>
      <c r="R229" s="1101"/>
      <c r="S229" s="1101"/>
      <c r="T229" s="1101"/>
      <c r="U229" s="1101"/>
      <c r="V229" s="1101"/>
      <c r="W229" s="1101"/>
      <c r="X229" s="1101"/>
      <c r="Y229" s="1102"/>
      <c r="Z229" s="1102"/>
      <c r="AA229" s="1101"/>
    </row>
    <row r="230" ht="15.75" customHeight="1">
      <c r="A230" s="213"/>
      <c r="B230" s="213"/>
      <c r="C230" s="1101"/>
      <c r="D230" s="1101"/>
      <c r="E230" s="1101"/>
      <c r="F230" s="1101"/>
      <c r="G230" s="1101"/>
      <c r="H230" s="1101"/>
      <c r="I230" s="1101"/>
      <c r="J230" s="1101"/>
      <c r="K230" s="1101"/>
      <c r="L230" s="1101"/>
      <c r="M230" s="1101"/>
      <c r="N230" s="1101"/>
      <c r="O230" s="1101"/>
      <c r="P230" s="1101"/>
      <c r="Q230" s="1101"/>
      <c r="R230" s="1101"/>
      <c r="S230" s="1101"/>
      <c r="T230" s="1101"/>
      <c r="U230" s="1101"/>
      <c r="V230" s="1101"/>
      <c r="W230" s="1101"/>
      <c r="X230" s="1101"/>
      <c r="Y230" s="1102"/>
      <c r="Z230" s="1102"/>
      <c r="AA230" s="1101"/>
    </row>
    <row r="231" ht="15.75" customHeight="1">
      <c r="A231" s="213"/>
      <c r="B231" s="213"/>
      <c r="C231" s="1101"/>
      <c r="D231" s="1101"/>
      <c r="E231" s="1101"/>
      <c r="F231" s="1101"/>
      <c r="G231" s="1101"/>
      <c r="H231" s="1101"/>
      <c r="I231" s="1101"/>
      <c r="J231" s="1101"/>
      <c r="K231" s="1101"/>
      <c r="L231" s="1101"/>
      <c r="M231" s="1101"/>
      <c r="N231" s="1101"/>
      <c r="O231" s="1101"/>
      <c r="P231" s="1101"/>
      <c r="Q231" s="1101"/>
      <c r="R231" s="1101"/>
      <c r="S231" s="1101"/>
      <c r="T231" s="1101"/>
      <c r="U231" s="1101"/>
      <c r="V231" s="1101"/>
      <c r="W231" s="1101"/>
      <c r="X231" s="1101"/>
      <c r="Y231" s="1102"/>
      <c r="Z231" s="1102"/>
      <c r="AA231" s="1101"/>
    </row>
    <row r="232" ht="15.75" customHeight="1">
      <c r="A232" s="213"/>
      <c r="B232" s="213"/>
      <c r="C232" s="1101"/>
      <c r="D232" s="1101"/>
      <c r="E232" s="1101"/>
      <c r="F232" s="1101"/>
      <c r="G232" s="1101"/>
      <c r="H232" s="1101"/>
      <c r="I232" s="1101"/>
      <c r="J232" s="1101"/>
      <c r="K232" s="1101"/>
      <c r="L232" s="1101"/>
      <c r="M232" s="1101"/>
      <c r="N232" s="1101"/>
      <c r="O232" s="1101"/>
      <c r="P232" s="1101"/>
      <c r="Q232" s="1101"/>
      <c r="R232" s="1101"/>
      <c r="S232" s="1101"/>
      <c r="T232" s="1101"/>
      <c r="U232" s="1101"/>
      <c r="V232" s="1101"/>
      <c r="W232" s="1101"/>
      <c r="X232" s="1101"/>
      <c r="Y232" s="1102"/>
      <c r="Z232" s="1102"/>
      <c r="AA232" s="1101"/>
    </row>
    <row r="233" ht="15.75" customHeight="1">
      <c r="A233" s="213"/>
      <c r="B233" s="213"/>
      <c r="C233" s="1101"/>
      <c r="D233" s="1101"/>
      <c r="E233" s="1101"/>
      <c r="F233" s="1101"/>
      <c r="G233" s="1101"/>
      <c r="H233" s="1101"/>
      <c r="I233" s="1101"/>
      <c r="J233" s="1101"/>
      <c r="K233" s="1101"/>
      <c r="L233" s="1101"/>
      <c r="M233" s="1101"/>
      <c r="N233" s="1101"/>
      <c r="O233" s="1101"/>
      <c r="P233" s="1101"/>
      <c r="Q233" s="1101"/>
      <c r="R233" s="1101"/>
      <c r="S233" s="1101"/>
      <c r="T233" s="1101"/>
      <c r="U233" s="1101"/>
      <c r="V233" s="1101"/>
      <c r="W233" s="1101"/>
      <c r="X233" s="1101"/>
      <c r="Y233" s="1102"/>
      <c r="Z233" s="1102"/>
      <c r="AA233" s="1101"/>
    </row>
    <row r="234" ht="15.75" customHeight="1">
      <c r="A234" s="213"/>
      <c r="B234" s="213"/>
      <c r="C234" s="1101"/>
      <c r="D234" s="1101"/>
      <c r="E234" s="1101"/>
      <c r="F234" s="1101"/>
      <c r="G234" s="1101"/>
      <c r="H234" s="1101"/>
      <c r="I234" s="1101"/>
      <c r="J234" s="1101"/>
      <c r="K234" s="1101"/>
      <c r="L234" s="1101"/>
      <c r="M234" s="1101"/>
      <c r="N234" s="1101"/>
      <c r="O234" s="1101"/>
      <c r="P234" s="1101"/>
      <c r="Q234" s="1101"/>
      <c r="R234" s="1101"/>
      <c r="S234" s="1101"/>
      <c r="T234" s="1101"/>
      <c r="U234" s="1101"/>
      <c r="V234" s="1101"/>
      <c r="W234" s="1101"/>
      <c r="X234" s="1101"/>
      <c r="Y234" s="1102"/>
      <c r="Z234" s="1102"/>
      <c r="AA234" s="1101"/>
    </row>
    <row r="235" ht="15.75" customHeight="1">
      <c r="A235" s="213"/>
      <c r="B235" s="213"/>
      <c r="C235" s="1101"/>
      <c r="D235" s="1101"/>
      <c r="E235" s="1101"/>
      <c r="F235" s="1101"/>
      <c r="G235" s="1101"/>
      <c r="H235" s="1101"/>
      <c r="I235" s="1101"/>
      <c r="J235" s="1101"/>
      <c r="K235" s="1101"/>
      <c r="L235" s="1101"/>
      <c r="M235" s="1101"/>
      <c r="N235" s="1101"/>
      <c r="O235" s="1101"/>
      <c r="P235" s="1101"/>
      <c r="Q235" s="1101"/>
      <c r="R235" s="1101"/>
      <c r="S235" s="1101"/>
      <c r="T235" s="1101"/>
      <c r="U235" s="1101"/>
      <c r="V235" s="1101"/>
      <c r="W235" s="1101"/>
      <c r="X235" s="1101"/>
      <c r="Y235" s="1102"/>
      <c r="Z235" s="1102"/>
      <c r="AA235" s="1101"/>
    </row>
    <row r="236" ht="15.75" customHeight="1">
      <c r="A236" s="213"/>
      <c r="B236" s="213"/>
      <c r="C236" s="1101"/>
      <c r="D236" s="1101"/>
      <c r="E236" s="1101"/>
      <c r="F236" s="1101"/>
      <c r="G236" s="1101"/>
      <c r="H236" s="1101"/>
      <c r="I236" s="1101"/>
      <c r="J236" s="1101"/>
      <c r="K236" s="1101"/>
      <c r="L236" s="1101"/>
      <c r="M236" s="1101"/>
      <c r="N236" s="1101"/>
      <c r="O236" s="1101"/>
      <c r="P236" s="1101"/>
      <c r="Q236" s="1101"/>
      <c r="R236" s="1101"/>
      <c r="S236" s="1101"/>
      <c r="T236" s="1101"/>
      <c r="U236" s="1101"/>
      <c r="V236" s="1101"/>
      <c r="W236" s="1101"/>
      <c r="X236" s="1101"/>
      <c r="Y236" s="1102"/>
      <c r="Z236" s="1102"/>
      <c r="AA236" s="1101"/>
    </row>
    <row r="237" ht="15.75" customHeight="1">
      <c r="A237" s="213"/>
      <c r="B237" s="213"/>
      <c r="C237" s="1101"/>
      <c r="D237" s="1101"/>
      <c r="E237" s="1101"/>
      <c r="F237" s="1101"/>
      <c r="G237" s="1101"/>
      <c r="H237" s="1101"/>
      <c r="I237" s="1101"/>
      <c r="J237" s="1101"/>
      <c r="K237" s="1101"/>
      <c r="L237" s="1101"/>
      <c r="M237" s="1101"/>
      <c r="N237" s="1101"/>
      <c r="O237" s="1101"/>
      <c r="P237" s="1101"/>
      <c r="Q237" s="1101"/>
      <c r="R237" s="1101"/>
      <c r="S237" s="1101"/>
      <c r="T237" s="1101"/>
      <c r="U237" s="1101"/>
      <c r="V237" s="1101"/>
      <c r="W237" s="1101"/>
      <c r="X237" s="1101"/>
      <c r="Y237" s="1102"/>
      <c r="Z237" s="1102"/>
      <c r="AA237" s="1101"/>
    </row>
    <row r="238" ht="15.75" customHeight="1">
      <c r="A238" s="213"/>
      <c r="B238" s="213"/>
      <c r="C238" s="1101"/>
      <c r="D238" s="1101"/>
      <c r="E238" s="1101"/>
      <c r="F238" s="1101"/>
      <c r="G238" s="1101"/>
      <c r="H238" s="1101"/>
      <c r="I238" s="1101"/>
      <c r="J238" s="1101"/>
      <c r="K238" s="1101"/>
      <c r="L238" s="1101"/>
      <c r="M238" s="1101"/>
      <c r="N238" s="1101"/>
      <c r="O238" s="1101"/>
      <c r="P238" s="1101"/>
      <c r="Q238" s="1101"/>
      <c r="R238" s="1101"/>
      <c r="S238" s="1101"/>
      <c r="T238" s="1101"/>
      <c r="U238" s="1101"/>
      <c r="V238" s="1101"/>
      <c r="W238" s="1101"/>
      <c r="X238" s="1101"/>
      <c r="Y238" s="1102"/>
      <c r="Z238" s="1102"/>
      <c r="AA238" s="1101"/>
    </row>
    <row r="239" ht="15.75" customHeight="1">
      <c r="A239" s="213"/>
      <c r="B239" s="213"/>
      <c r="C239" s="1101"/>
      <c r="D239" s="1101"/>
      <c r="E239" s="1101"/>
      <c r="F239" s="1101"/>
      <c r="G239" s="1101"/>
      <c r="H239" s="1101"/>
      <c r="I239" s="1101"/>
      <c r="J239" s="1101"/>
      <c r="K239" s="1101"/>
      <c r="L239" s="1101"/>
      <c r="M239" s="1101"/>
      <c r="N239" s="1101"/>
      <c r="O239" s="1101"/>
      <c r="P239" s="1101"/>
      <c r="Q239" s="1101"/>
      <c r="R239" s="1101"/>
      <c r="S239" s="1101"/>
      <c r="T239" s="1101"/>
      <c r="U239" s="1101"/>
      <c r="V239" s="1101"/>
      <c r="W239" s="1101"/>
      <c r="X239" s="1101"/>
      <c r="Y239" s="1102"/>
      <c r="Z239" s="1102"/>
      <c r="AA239" s="1101"/>
    </row>
    <row r="240" ht="15.75" customHeight="1">
      <c r="A240" s="213"/>
      <c r="B240" s="213"/>
      <c r="C240" s="1101"/>
      <c r="D240" s="1101"/>
      <c r="E240" s="1101"/>
      <c r="F240" s="1101"/>
      <c r="G240" s="1101"/>
      <c r="H240" s="1101"/>
      <c r="I240" s="1101"/>
      <c r="J240" s="1101"/>
      <c r="K240" s="1101"/>
      <c r="L240" s="1101"/>
      <c r="M240" s="1101"/>
      <c r="N240" s="1101"/>
      <c r="O240" s="1101"/>
      <c r="P240" s="1101"/>
      <c r="Q240" s="1101"/>
      <c r="R240" s="1101"/>
      <c r="S240" s="1101"/>
      <c r="T240" s="1101"/>
      <c r="U240" s="1101"/>
      <c r="V240" s="1101"/>
      <c r="W240" s="1101"/>
      <c r="X240" s="1101"/>
      <c r="Y240" s="1102"/>
      <c r="Z240" s="1102"/>
      <c r="AA240" s="1101"/>
    </row>
    <row r="241" ht="15.75" customHeight="1">
      <c r="A241" s="213"/>
      <c r="B241" s="213"/>
      <c r="C241" s="1101"/>
      <c r="D241" s="1101"/>
      <c r="E241" s="1101"/>
      <c r="F241" s="1101"/>
      <c r="G241" s="1101"/>
      <c r="H241" s="1101"/>
      <c r="I241" s="1101"/>
      <c r="J241" s="1101"/>
      <c r="K241" s="1101"/>
      <c r="L241" s="1101"/>
      <c r="M241" s="1101"/>
      <c r="N241" s="1101"/>
      <c r="O241" s="1101"/>
      <c r="P241" s="1101"/>
      <c r="Q241" s="1101"/>
      <c r="R241" s="1101"/>
      <c r="S241" s="1101"/>
      <c r="T241" s="1101"/>
      <c r="U241" s="1101"/>
      <c r="V241" s="1101"/>
      <c r="W241" s="1101"/>
      <c r="X241" s="1101"/>
      <c r="Y241" s="1102"/>
      <c r="Z241" s="1102"/>
      <c r="AA241" s="1101"/>
    </row>
    <row r="242" ht="15.75" customHeight="1">
      <c r="A242" s="213"/>
      <c r="B242" s="213"/>
      <c r="C242" s="1101"/>
      <c r="D242" s="1101"/>
      <c r="E242" s="1101"/>
      <c r="F242" s="1101"/>
      <c r="G242" s="1101"/>
      <c r="H242" s="1101"/>
      <c r="I242" s="1101"/>
      <c r="J242" s="1101"/>
      <c r="K242" s="1101"/>
      <c r="L242" s="1101"/>
      <c r="M242" s="1101"/>
      <c r="N242" s="1101"/>
      <c r="O242" s="1101"/>
      <c r="P242" s="1101"/>
      <c r="Q242" s="1101"/>
      <c r="R242" s="1101"/>
      <c r="S242" s="1101"/>
      <c r="T242" s="1101"/>
      <c r="U242" s="1101"/>
      <c r="V242" s="1101"/>
      <c r="W242" s="1101"/>
      <c r="X242" s="1101"/>
      <c r="Y242" s="1102"/>
      <c r="Z242" s="1102"/>
      <c r="AA242" s="1101"/>
    </row>
    <row r="243" ht="15.75" customHeight="1">
      <c r="A243" s="213"/>
      <c r="B243" s="213"/>
      <c r="C243" s="1101"/>
      <c r="D243" s="1101"/>
      <c r="E243" s="1101"/>
      <c r="F243" s="1101"/>
      <c r="G243" s="1101"/>
      <c r="H243" s="1101"/>
      <c r="I243" s="1101"/>
      <c r="J243" s="1101"/>
      <c r="K243" s="1101"/>
      <c r="L243" s="1101"/>
      <c r="M243" s="1101"/>
      <c r="N243" s="1101"/>
      <c r="O243" s="1101"/>
      <c r="P243" s="1101"/>
      <c r="Q243" s="1101"/>
      <c r="R243" s="1101"/>
      <c r="S243" s="1101"/>
      <c r="T243" s="1101"/>
      <c r="U243" s="1101"/>
      <c r="V243" s="1101"/>
      <c r="W243" s="1101"/>
      <c r="X243" s="1101"/>
      <c r="Y243" s="1102"/>
      <c r="Z243" s="1102"/>
      <c r="AA243" s="1101"/>
    </row>
    <row r="244" ht="15.75" customHeight="1">
      <c r="A244" s="213"/>
      <c r="B244" s="213"/>
      <c r="C244" s="1101"/>
      <c r="D244" s="1101"/>
      <c r="E244" s="1101"/>
      <c r="F244" s="1101"/>
      <c r="G244" s="1101"/>
      <c r="H244" s="1101"/>
      <c r="I244" s="1101"/>
      <c r="J244" s="1101"/>
      <c r="K244" s="1101"/>
      <c r="L244" s="1101"/>
      <c r="M244" s="1101"/>
      <c r="N244" s="1101"/>
      <c r="O244" s="1101"/>
      <c r="P244" s="1101"/>
      <c r="Q244" s="1101"/>
      <c r="R244" s="1101"/>
      <c r="S244" s="1101"/>
      <c r="T244" s="1101"/>
      <c r="U244" s="1101"/>
      <c r="V244" s="1101"/>
      <c r="W244" s="1101"/>
      <c r="X244" s="1101"/>
      <c r="Y244" s="1102"/>
      <c r="Z244" s="1102"/>
      <c r="AA244" s="1101"/>
    </row>
    <row r="245" ht="15.75" customHeight="1">
      <c r="A245" s="213"/>
      <c r="B245" s="213"/>
      <c r="C245" s="1101"/>
      <c r="D245" s="1101"/>
      <c r="E245" s="1101"/>
      <c r="F245" s="1101"/>
      <c r="G245" s="1101"/>
      <c r="H245" s="1101"/>
      <c r="I245" s="1101"/>
      <c r="J245" s="1101"/>
      <c r="K245" s="1101"/>
      <c r="L245" s="1101"/>
      <c r="M245" s="1101"/>
      <c r="N245" s="1101"/>
      <c r="O245" s="1101"/>
      <c r="P245" s="1101"/>
      <c r="Q245" s="1101"/>
      <c r="R245" s="1101"/>
      <c r="S245" s="1101"/>
      <c r="T245" s="1101"/>
      <c r="U245" s="1101"/>
      <c r="V245" s="1101"/>
      <c r="W245" s="1101"/>
      <c r="X245" s="1101"/>
      <c r="Y245" s="1102"/>
      <c r="Z245" s="1102"/>
      <c r="AA245" s="1101"/>
    </row>
    <row r="246" ht="15.75" customHeight="1">
      <c r="A246" s="213"/>
      <c r="B246" s="213"/>
      <c r="C246" s="1101"/>
      <c r="D246" s="1101"/>
      <c r="E246" s="1101"/>
      <c r="F246" s="1101"/>
      <c r="G246" s="1101"/>
      <c r="H246" s="1101"/>
      <c r="I246" s="1101"/>
      <c r="J246" s="1101"/>
      <c r="K246" s="1101"/>
      <c r="L246" s="1101"/>
      <c r="M246" s="1101"/>
      <c r="N246" s="1101"/>
      <c r="O246" s="1101"/>
      <c r="P246" s="1101"/>
      <c r="Q246" s="1101"/>
      <c r="R246" s="1101"/>
      <c r="S246" s="1101"/>
      <c r="T246" s="1101"/>
      <c r="U246" s="1101"/>
      <c r="V246" s="1101"/>
      <c r="W246" s="1101"/>
      <c r="X246" s="1101"/>
      <c r="Y246" s="1102"/>
      <c r="Z246" s="1102"/>
      <c r="AA246" s="1101"/>
    </row>
    <row r="247" ht="15.75" customHeight="1">
      <c r="A247" s="213"/>
      <c r="B247" s="213"/>
      <c r="C247" s="1101"/>
      <c r="D247" s="1101"/>
      <c r="E247" s="1101"/>
      <c r="F247" s="1101"/>
      <c r="G247" s="1101"/>
      <c r="H247" s="1101"/>
      <c r="I247" s="1101"/>
      <c r="J247" s="1101"/>
      <c r="K247" s="1101"/>
      <c r="L247" s="1101"/>
      <c r="M247" s="1101"/>
      <c r="N247" s="1101"/>
      <c r="O247" s="1101"/>
      <c r="P247" s="1101"/>
      <c r="Q247" s="1101"/>
      <c r="R247" s="1101"/>
      <c r="S247" s="1101"/>
      <c r="T247" s="1101"/>
      <c r="U247" s="1101"/>
      <c r="V247" s="1101"/>
      <c r="W247" s="1101"/>
      <c r="X247" s="1101"/>
      <c r="Y247" s="1102"/>
      <c r="Z247" s="1102"/>
      <c r="AA247" s="1101"/>
    </row>
    <row r="248" ht="15.75" customHeight="1">
      <c r="A248" s="213"/>
      <c r="B248" s="213"/>
      <c r="C248" s="1101"/>
      <c r="D248" s="1101"/>
      <c r="E248" s="1101"/>
      <c r="F248" s="1101"/>
      <c r="G248" s="1101"/>
      <c r="H248" s="1101"/>
      <c r="I248" s="1101"/>
      <c r="J248" s="1101"/>
      <c r="K248" s="1101"/>
      <c r="L248" s="1101"/>
      <c r="M248" s="1101"/>
      <c r="N248" s="1101"/>
      <c r="O248" s="1101"/>
      <c r="P248" s="1101"/>
      <c r="Q248" s="1101"/>
      <c r="R248" s="1101"/>
      <c r="S248" s="1101"/>
      <c r="T248" s="1101"/>
      <c r="U248" s="1101"/>
      <c r="V248" s="1101"/>
      <c r="W248" s="1101"/>
      <c r="X248" s="1101"/>
      <c r="Y248" s="1102"/>
      <c r="Z248" s="1102"/>
      <c r="AA248" s="1101"/>
    </row>
    <row r="249" ht="15.75" customHeight="1">
      <c r="A249" s="213"/>
      <c r="B249" s="213"/>
      <c r="C249" s="1101"/>
      <c r="D249" s="1101"/>
      <c r="E249" s="1101"/>
      <c r="F249" s="1101"/>
      <c r="G249" s="1101"/>
      <c r="H249" s="1101"/>
      <c r="I249" s="1101"/>
      <c r="J249" s="1101"/>
      <c r="K249" s="1101"/>
      <c r="L249" s="1101"/>
      <c r="M249" s="1101"/>
      <c r="N249" s="1101"/>
      <c r="O249" s="1101"/>
      <c r="P249" s="1101"/>
      <c r="Q249" s="1101"/>
      <c r="R249" s="1101"/>
      <c r="S249" s="1101"/>
      <c r="T249" s="1101"/>
      <c r="U249" s="1101"/>
      <c r="V249" s="1101"/>
      <c r="W249" s="1101"/>
      <c r="X249" s="1101"/>
      <c r="Y249" s="1102"/>
      <c r="Z249" s="1102"/>
      <c r="AA249" s="1101"/>
    </row>
    <row r="250" ht="15.75" customHeight="1">
      <c r="A250" s="213"/>
      <c r="B250" s="213"/>
      <c r="C250" s="1101"/>
      <c r="D250" s="1101"/>
      <c r="E250" s="1101"/>
      <c r="F250" s="1101"/>
      <c r="G250" s="1101"/>
      <c r="H250" s="1101"/>
      <c r="I250" s="1101"/>
      <c r="J250" s="1101"/>
      <c r="K250" s="1101"/>
      <c r="L250" s="1101"/>
      <c r="M250" s="1101"/>
      <c r="N250" s="1101"/>
      <c r="O250" s="1101"/>
      <c r="P250" s="1101"/>
      <c r="Q250" s="1101"/>
      <c r="R250" s="1101"/>
      <c r="S250" s="1101"/>
      <c r="T250" s="1101"/>
      <c r="U250" s="1101"/>
      <c r="V250" s="1101"/>
      <c r="W250" s="1101"/>
      <c r="X250" s="1101"/>
      <c r="Y250" s="1102"/>
      <c r="Z250" s="1102"/>
      <c r="AA250" s="1101"/>
    </row>
    <row r="251" ht="15.75" customHeight="1">
      <c r="A251" s="213"/>
      <c r="B251" s="213"/>
      <c r="C251" s="1101"/>
      <c r="D251" s="1101"/>
      <c r="E251" s="1101"/>
      <c r="F251" s="1101"/>
      <c r="G251" s="1101"/>
      <c r="H251" s="1101"/>
      <c r="I251" s="1101"/>
      <c r="J251" s="1101"/>
      <c r="K251" s="1101"/>
      <c r="L251" s="1101"/>
      <c r="M251" s="1101"/>
      <c r="N251" s="1101"/>
      <c r="O251" s="1101"/>
      <c r="P251" s="1101"/>
      <c r="Q251" s="1101"/>
      <c r="R251" s="1101"/>
      <c r="S251" s="1101"/>
      <c r="T251" s="1101"/>
      <c r="U251" s="1101"/>
      <c r="V251" s="1101"/>
      <c r="W251" s="1101"/>
      <c r="X251" s="1101"/>
      <c r="Y251" s="1102"/>
      <c r="Z251" s="1102"/>
      <c r="AA251" s="1101"/>
    </row>
    <row r="252" ht="15.75" customHeight="1">
      <c r="A252" s="213"/>
      <c r="B252" s="213"/>
      <c r="C252" s="1101"/>
      <c r="D252" s="1101"/>
      <c r="E252" s="1101"/>
      <c r="F252" s="1101"/>
      <c r="G252" s="1101"/>
      <c r="H252" s="1101"/>
      <c r="I252" s="1101"/>
      <c r="J252" s="1101"/>
      <c r="K252" s="1101"/>
      <c r="L252" s="1101"/>
      <c r="M252" s="1101"/>
      <c r="N252" s="1101"/>
      <c r="O252" s="1101"/>
      <c r="P252" s="1101"/>
      <c r="Q252" s="1101"/>
      <c r="R252" s="1101"/>
      <c r="S252" s="1101"/>
      <c r="T252" s="1101"/>
      <c r="U252" s="1101"/>
      <c r="V252" s="1101"/>
      <c r="W252" s="1101"/>
      <c r="X252" s="1101"/>
      <c r="Y252" s="1102"/>
      <c r="Z252" s="1102"/>
      <c r="AA252" s="1101"/>
    </row>
    <row r="253" ht="15.75" customHeight="1">
      <c r="A253" s="213"/>
      <c r="B253" s="213"/>
      <c r="C253" s="1101"/>
      <c r="D253" s="1101"/>
      <c r="E253" s="1101"/>
      <c r="F253" s="1101"/>
      <c r="G253" s="1101"/>
      <c r="H253" s="1101"/>
      <c r="I253" s="1101"/>
      <c r="J253" s="1101"/>
      <c r="K253" s="1101"/>
      <c r="L253" s="1101"/>
      <c r="M253" s="1101"/>
      <c r="N253" s="1101"/>
      <c r="O253" s="1101"/>
      <c r="P253" s="1101"/>
      <c r="Q253" s="1101"/>
      <c r="R253" s="1101"/>
      <c r="S253" s="1101"/>
      <c r="T253" s="1101"/>
      <c r="U253" s="1101"/>
      <c r="V253" s="1101"/>
      <c r="W253" s="1101"/>
      <c r="X253" s="1101"/>
      <c r="Y253" s="1102"/>
      <c r="Z253" s="1102"/>
      <c r="AA253" s="1101"/>
    </row>
    <row r="254" ht="15.75" customHeight="1">
      <c r="A254" s="213"/>
      <c r="B254" s="213"/>
      <c r="C254" s="1101"/>
      <c r="D254" s="1101"/>
      <c r="E254" s="1101"/>
      <c r="F254" s="1101"/>
      <c r="G254" s="1101"/>
      <c r="H254" s="1101"/>
      <c r="I254" s="1101"/>
      <c r="J254" s="1101"/>
      <c r="K254" s="1101"/>
      <c r="L254" s="1101"/>
      <c r="M254" s="1101"/>
      <c r="N254" s="1101"/>
      <c r="O254" s="1101"/>
      <c r="P254" s="1101"/>
      <c r="Q254" s="1101"/>
      <c r="R254" s="1101"/>
      <c r="S254" s="1101"/>
      <c r="T254" s="1101"/>
      <c r="U254" s="1101"/>
      <c r="V254" s="1101"/>
      <c r="W254" s="1101"/>
      <c r="X254" s="1101"/>
      <c r="Y254" s="1102"/>
      <c r="Z254" s="1102"/>
      <c r="AA254" s="1101"/>
    </row>
    <row r="255" ht="15.75" customHeight="1">
      <c r="A255" s="213"/>
      <c r="B255" s="213"/>
      <c r="C255" s="1101"/>
      <c r="D255" s="1101"/>
      <c r="E255" s="1101"/>
      <c r="F255" s="1101"/>
      <c r="G255" s="1101"/>
      <c r="H255" s="1101"/>
      <c r="I255" s="1101"/>
      <c r="J255" s="1101"/>
      <c r="K255" s="1101"/>
      <c r="L255" s="1101"/>
      <c r="M255" s="1101"/>
      <c r="N255" s="1101"/>
      <c r="O255" s="1101"/>
      <c r="P255" s="1101"/>
      <c r="Q255" s="1101"/>
      <c r="R255" s="1101"/>
      <c r="S255" s="1101"/>
      <c r="T255" s="1101"/>
      <c r="U255" s="1101"/>
      <c r="V255" s="1101"/>
      <c r="W255" s="1101"/>
      <c r="X255" s="1101"/>
      <c r="Y255" s="1102"/>
      <c r="Z255" s="1102"/>
      <c r="AA255" s="1101"/>
    </row>
    <row r="256" ht="15.75" customHeight="1">
      <c r="A256" s="213"/>
      <c r="B256" s="213"/>
      <c r="C256" s="1101"/>
      <c r="D256" s="1101"/>
      <c r="E256" s="1101"/>
      <c r="F256" s="1101"/>
      <c r="G256" s="1101"/>
      <c r="H256" s="1101"/>
      <c r="I256" s="1101"/>
      <c r="J256" s="1101"/>
      <c r="K256" s="1101"/>
      <c r="L256" s="1101"/>
      <c r="M256" s="1101"/>
      <c r="N256" s="1101"/>
      <c r="O256" s="1101"/>
      <c r="P256" s="1101"/>
      <c r="Q256" s="1101"/>
      <c r="R256" s="1101"/>
      <c r="S256" s="1101"/>
      <c r="T256" s="1101"/>
      <c r="U256" s="1101"/>
      <c r="V256" s="1101"/>
      <c r="W256" s="1101"/>
      <c r="X256" s="1101"/>
      <c r="Y256" s="1102"/>
      <c r="Z256" s="1102"/>
      <c r="AA256" s="1101"/>
    </row>
    <row r="257" ht="15.75" customHeight="1">
      <c r="A257" s="213"/>
      <c r="B257" s="213"/>
      <c r="C257" s="1101"/>
      <c r="D257" s="1101"/>
      <c r="E257" s="1101"/>
      <c r="F257" s="1101"/>
      <c r="G257" s="1101"/>
      <c r="H257" s="1101"/>
      <c r="I257" s="1101"/>
      <c r="J257" s="1101"/>
      <c r="K257" s="1101"/>
      <c r="L257" s="1101"/>
      <c r="M257" s="1101"/>
      <c r="N257" s="1101"/>
      <c r="O257" s="1101"/>
      <c r="P257" s="1101"/>
      <c r="Q257" s="1101"/>
      <c r="R257" s="1101"/>
      <c r="S257" s="1101"/>
      <c r="T257" s="1101"/>
      <c r="U257" s="1101"/>
      <c r="V257" s="1101"/>
      <c r="W257" s="1101"/>
      <c r="X257" s="1101"/>
      <c r="Y257" s="1102"/>
      <c r="Z257" s="1102"/>
      <c r="AA257" s="1101"/>
    </row>
    <row r="258" ht="15.75" customHeight="1">
      <c r="A258" s="213"/>
      <c r="B258" s="213"/>
      <c r="C258" s="1101"/>
      <c r="D258" s="1101"/>
      <c r="E258" s="1101"/>
      <c r="F258" s="1101"/>
      <c r="G258" s="1101"/>
      <c r="H258" s="1101"/>
      <c r="I258" s="1101"/>
      <c r="J258" s="1101"/>
      <c r="K258" s="1101"/>
      <c r="L258" s="1101"/>
      <c r="M258" s="1101"/>
      <c r="N258" s="1101"/>
      <c r="O258" s="1101"/>
      <c r="P258" s="1101"/>
      <c r="Q258" s="1101"/>
      <c r="R258" s="1101"/>
      <c r="S258" s="1101"/>
      <c r="T258" s="1101"/>
      <c r="U258" s="1101"/>
      <c r="V258" s="1101"/>
      <c r="W258" s="1101"/>
      <c r="X258" s="1101"/>
      <c r="Y258" s="1102"/>
      <c r="Z258" s="1102"/>
      <c r="AA258" s="1101"/>
    </row>
    <row r="259" ht="15.75" customHeight="1">
      <c r="A259" s="213"/>
      <c r="B259" s="213"/>
      <c r="C259" s="1101"/>
      <c r="D259" s="1101"/>
      <c r="E259" s="1101"/>
      <c r="F259" s="1101"/>
      <c r="G259" s="1101"/>
      <c r="H259" s="1101"/>
      <c r="I259" s="1101"/>
      <c r="J259" s="1101"/>
      <c r="K259" s="1101"/>
      <c r="L259" s="1101"/>
      <c r="M259" s="1101"/>
      <c r="N259" s="1101"/>
      <c r="O259" s="1101"/>
      <c r="P259" s="1101"/>
      <c r="Q259" s="1101"/>
      <c r="R259" s="1101"/>
      <c r="S259" s="1101"/>
      <c r="T259" s="1101"/>
      <c r="U259" s="1101"/>
      <c r="V259" s="1101"/>
      <c r="W259" s="1101"/>
      <c r="X259" s="1101"/>
      <c r="Y259" s="1102"/>
      <c r="Z259" s="1102"/>
      <c r="AA259" s="1101"/>
    </row>
    <row r="260" ht="15.75" customHeight="1">
      <c r="A260" s="213"/>
      <c r="B260" s="213"/>
      <c r="C260" s="1101"/>
      <c r="D260" s="1101"/>
      <c r="E260" s="1101"/>
      <c r="F260" s="1101"/>
      <c r="G260" s="1101"/>
      <c r="H260" s="1101"/>
      <c r="I260" s="1101"/>
      <c r="J260" s="1101"/>
      <c r="K260" s="1101"/>
      <c r="L260" s="1101"/>
      <c r="M260" s="1101"/>
      <c r="N260" s="1101"/>
      <c r="O260" s="1101"/>
      <c r="P260" s="1101"/>
      <c r="Q260" s="1101"/>
      <c r="R260" s="1101"/>
      <c r="S260" s="1101"/>
      <c r="T260" s="1101"/>
      <c r="U260" s="1101"/>
      <c r="V260" s="1101"/>
      <c r="W260" s="1101"/>
      <c r="X260" s="1101"/>
      <c r="Y260" s="1102"/>
      <c r="Z260" s="1102"/>
      <c r="AA260" s="1101"/>
    </row>
    <row r="261" ht="15.75" customHeight="1">
      <c r="A261" s="213"/>
      <c r="B261" s="213"/>
      <c r="C261" s="1101"/>
      <c r="D261" s="1101"/>
      <c r="E261" s="1101"/>
      <c r="F261" s="1101"/>
      <c r="G261" s="1101"/>
      <c r="H261" s="1101"/>
      <c r="I261" s="1101"/>
      <c r="J261" s="1101"/>
      <c r="K261" s="1101"/>
      <c r="L261" s="1101"/>
      <c r="M261" s="1101"/>
      <c r="N261" s="1101"/>
      <c r="O261" s="1101"/>
      <c r="P261" s="1101"/>
      <c r="Q261" s="1101"/>
      <c r="R261" s="1101"/>
      <c r="S261" s="1101"/>
      <c r="T261" s="1101"/>
      <c r="U261" s="1101"/>
      <c r="V261" s="1101"/>
      <c r="W261" s="1101"/>
      <c r="X261" s="1101"/>
      <c r="Y261" s="1102"/>
      <c r="Z261" s="1102"/>
      <c r="AA261" s="1101"/>
    </row>
    <row r="262" ht="15.75" customHeight="1">
      <c r="A262" s="213"/>
      <c r="B262" s="213"/>
      <c r="C262" s="1101"/>
      <c r="D262" s="1101"/>
      <c r="E262" s="1101"/>
      <c r="F262" s="1101"/>
      <c r="G262" s="1101"/>
      <c r="H262" s="1101"/>
      <c r="I262" s="1101"/>
      <c r="J262" s="1101"/>
      <c r="K262" s="1101"/>
      <c r="L262" s="1101"/>
      <c r="M262" s="1101"/>
      <c r="N262" s="1101"/>
      <c r="O262" s="1101"/>
      <c r="P262" s="1101"/>
      <c r="Q262" s="1101"/>
      <c r="R262" s="1101"/>
      <c r="S262" s="1101"/>
      <c r="T262" s="1101"/>
      <c r="U262" s="1101"/>
      <c r="V262" s="1101"/>
      <c r="W262" s="1101"/>
      <c r="X262" s="1101"/>
      <c r="Y262" s="1102"/>
      <c r="Z262" s="1102"/>
      <c r="AA262" s="1101"/>
    </row>
    <row r="263" ht="15.75" customHeight="1">
      <c r="A263" s="213"/>
      <c r="B263" s="213"/>
      <c r="C263" s="1101"/>
      <c r="D263" s="1101"/>
      <c r="E263" s="1101"/>
      <c r="F263" s="1101"/>
      <c r="G263" s="1101"/>
      <c r="H263" s="1101"/>
      <c r="I263" s="1101"/>
      <c r="J263" s="1101"/>
      <c r="K263" s="1101"/>
      <c r="L263" s="1101"/>
      <c r="M263" s="1101"/>
      <c r="N263" s="1101"/>
      <c r="O263" s="1101"/>
      <c r="P263" s="1101"/>
      <c r="Q263" s="1101"/>
      <c r="R263" s="1101"/>
      <c r="S263" s="1101"/>
      <c r="T263" s="1101"/>
      <c r="U263" s="1101"/>
      <c r="V263" s="1101"/>
      <c r="W263" s="1101"/>
      <c r="X263" s="1101"/>
      <c r="Y263" s="1102"/>
      <c r="Z263" s="1102"/>
      <c r="AA263" s="1101"/>
    </row>
    <row r="264" ht="15.75" customHeight="1">
      <c r="A264" s="213"/>
      <c r="B264" s="213"/>
      <c r="C264" s="1101"/>
      <c r="D264" s="1101"/>
      <c r="E264" s="1101"/>
      <c r="F264" s="1101"/>
      <c r="G264" s="1101"/>
      <c r="H264" s="1101"/>
      <c r="I264" s="1101"/>
      <c r="J264" s="1101"/>
      <c r="K264" s="1101"/>
      <c r="L264" s="1101"/>
      <c r="M264" s="1101"/>
      <c r="N264" s="1101"/>
      <c r="O264" s="1101"/>
      <c r="P264" s="1101"/>
      <c r="Q264" s="1101"/>
      <c r="R264" s="1101"/>
      <c r="S264" s="1101"/>
      <c r="T264" s="1101"/>
      <c r="U264" s="1101"/>
      <c r="V264" s="1101"/>
      <c r="W264" s="1101"/>
      <c r="X264" s="1101"/>
      <c r="Y264" s="1102"/>
      <c r="Z264" s="1102"/>
      <c r="AA264" s="1101"/>
    </row>
    <row r="265" ht="15.75" customHeight="1">
      <c r="A265" s="213"/>
      <c r="B265" s="213"/>
      <c r="C265" s="1101"/>
      <c r="D265" s="1101"/>
      <c r="E265" s="1101"/>
      <c r="F265" s="1101"/>
      <c r="G265" s="1101"/>
      <c r="H265" s="1101"/>
      <c r="I265" s="1101"/>
      <c r="J265" s="1101"/>
      <c r="K265" s="1101"/>
      <c r="L265" s="1101"/>
      <c r="M265" s="1101"/>
      <c r="N265" s="1101"/>
      <c r="O265" s="1101"/>
      <c r="P265" s="1101"/>
      <c r="Q265" s="1101"/>
      <c r="R265" s="1101"/>
      <c r="S265" s="1101"/>
      <c r="T265" s="1101"/>
      <c r="U265" s="1101"/>
      <c r="V265" s="1101"/>
      <c r="W265" s="1101"/>
      <c r="X265" s="1101"/>
      <c r="Y265" s="1102"/>
      <c r="Z265" s="1102"/>
      <c r="AA265" s="1101"/>
    </row>
    <row r="266" ht="15.75" customHeight="1">
      <c r="A266" s="213"/>
      <c r="B266" s="213"/>
      <c r="C266" s="1101"/>
      <c r="D266" s="1101"/>
      <c r="E266" s="1101"/>
      <c r="F266" s="1101"/>
      <c r="G266" s="1101"/>
      <c r="H266" s="1101"/>
      <c r="I266" s="1101"/>
      <c r="J266" s="1101"/>
      <c r="K266" s="1101"/>
      <c r="L266" s="1101"/>
      <c r="M266" s="1101"/>
      <c r="N266" s="1101"/>
      <c r="O266" s="1101"/>
      <c r="P266" s="1101"/>
      <c r="Q266" s="1101"/>
      <c r="R266" s="1101"/>
      <c r="S266" s="1101"/>
      <c r="T266" s="1101"/>
      <c r="U266" s="1101"/>
      <c r="V266" s="1101"/>
      <c r="W266" s="1101"/>
      <c r="X266" s="1101"/>
      <c r="Y266" s="1102"/>
      <c r="Z266" s="1102"/>
      <c r="AA266" s="1101"/>
    </row>
    <row r="267" ht="15.75" customHeight="1">
      <c r="A267" s="213"/>
      <c r="B267" s="213"/>
      <c r="C267" s="1101"/>
      <c r="D267" s="1101"/>
      <c r="E267" s="1101"/>
      <c r="F267" s="1101"/>
      <c r="G267" s="1101"/>
      <c r="H267" s="1101"/>
      <c r="I267" s="1101"/>
      <c r="J267" s="1101"/>
      <c r="K267" s="1101"/>
      <c r="L267" s="1101"/>
      <c r="M267" s="1101"/>
      <c r="N267" s="1101"/>
      <c r="O267" s="1101"/>
      <c r="P267" s="1101"/>
      <c r="Q267" s="1101"/>
      <c r="R267" s="1101"/>
      <c r="S267" s="1101"/>
      <c r="T267" s="1101"/>
      <c r="U267" s="1101"/>
      <c r="V267" s="1101"/>
      <c r="W267" s="1101"/>
      <c r="X267" s="1101"/>
      <c r="Y267" s="1102"/>
      <c r="Z267" s="1102"/>
      <c r="AA267" s="1101"/>
    </row>
    <row r="268" ht="15.75" customHeight="1">
      <c r="A268" s="213"/>
      <c r="B268" s="213"/>
      <c r="C268" s="1101"/>
      <c r="D268" s="1101"/>
      <c r="E268" s="1101"/>
      <c r="F268" s="1101"/>
      <c r="G268" s="1101"/>
      <c r="H268" s="1101"/>
      <c r="I268" s="1101"/>
      <c r="J268" s="1101"/>
      <c r="K268" s="1101"/>
      <c r="L268" s="1101"/>
      <c r="M268" s="1101"/>
      <c r="N268" s="1101"/>
      <c r="O268" s="1101"/>
      <c r="P268" s="1101"/>
      <c r="Q268" s="1101"/>
      <c r="R268" s="1101"/>
      <c r="S268" s="1101"/>
      <c r="T268" s="1101"/>
      <c r="U268" s="1101"/>
      <c r="V268" s="1101"/>
      <c r="W268" s="1101"/>
      <c r="X268" s="1101"/>
      <c r="Y268" s="1102"/>
      <c r="Z268" s="1102"/>
      <c r="AA268" s="1101"/>
    </row>
    <row r="269" ht="15.75" customHeight="1">
      <c r="A269" s="213"/>
      <c r="B269" s="213"/>
      <c r="C269" s="1101"/>
      <c r="D269" s="1101"/>
      <c r="E269" s="1101"/>
      <c r="F269" s="1101"/>
      <c r="G269" s="1101"/>
      <c r="H269" s="1101"/>
      <c r="I269" s="1101"/>
      <c r="J269" s="1101"/>
      <c r="K269" s="1101"/>
      <c r="L269" s="1101"/>
      <c r="M269" s="1101"/>
      <c r="N269" s="1101"/>
      <c r="O269" s="1101"/>
      <c r="P269" s="1101"/>
      <c r="Q269" s="1101"/>
      <c r="R269" s="1101"/>
      <c r="S269" s="1101"/>
      <c r="T269" s="1101"/>
      <c r="U269" s="1101"/>
      <c r="V269" s="1101"/>
      <c r="W269" s="1101"/>
      <c r="X269" s="1101"/>
      <c r="Y269" s="1102"/>
      <c r="Z269" s="1102"/>
      <c r="AA269" s="1101"/>
    </row>
    <row r="270" ht="15.75" customHeight="1">
      <c r="A270" s="213"/>
      <c r="B270" s="213"/>
      <c r="C270" s="1101"/>
      <c r="D270" s="1101"/>
      <c r="E270" s="1101"/>
      <c r="F270" s="1101"/>
      <c r="G270" s="1101"/>
      <c r="H270" s="1101"/>
      <c r="I270" s="1101"/>
      <c r="J270" s="1101"/>
      <c r="K270" s="1101"/>
      <c r="L270" s="1101"/>
      <c r="M270" s="1101"/>
      <c r="N270" s="1101"/>
      <c r="O270" s="1101"/>
      <c r="P270" s="1101"/>
      <c r="Q270" s="1101"/>
      <c r="R270" s="1101"/>
      <c r="S270" s="1101"/>
      <c r="T270" s="1101"/>
      <c r="U270" s="1101"/>
      <c r="V270" s="1101"/>
      <c r="W270" s="1101"/>
      <c r="X270" s="1101"/>
      <c r="Y270" s="1102"/>
      <c r="Z270" s="1102"/>
      <c r="AA270" s="1101"/>
    </row>
    <row r="271" ht="15.75" customHeight="1">
      <c r="A271" s="213"/>
      <c r="B271" s="213"/>
      <c r="C271" s="1101"/>
      <c r="D271" s="1101"/>
      <c r="E271" s="1101"/>
      <c r="F271" s="1101"/>
      <c r="G271" s="1101"/>
      <c r="H271" s="1101"/>
      <c r="I271" s="1101"/>
      <c r="J271" s="1101"/>
      <c r="K271" s="1101"/>
      <c r="L271" s="1101"/>
      <c r="M271" s="1101"/>
      <c r="N271" s="1101"/>
      <c r="O271" s="1101"/>
      <c r="P271" s="1101"/>
      <c r="Q271" s="1101"/>
      <c r="R271" s="1101"/>
      <c r="S271" s="1101"/>
      <c r="T271" s="1101"/>
      <c r="U271" s="1101"/>
      <c r="V271" s="1101"/>
      <c r="W271" s="1101"/>
      <c r="X271" s="1101"/>
      <c r="Y271" s="1102"/>
      <c r="Z271" s="1102"/>
      <c r="AA271" s="1101"/>
    </row>
    <row r="272" ht="15.75" customHeight="1">
      <c r="A272" s="213"/>
      <c r="B272" s="213"/>
      <c r="C272" s="1101"/>
      <c r="D272" s="1101"/>
      <c r="E272" s="1101"/>
      <c r="F272" s="1101"/>
      <c r="G272" s="1101"/>
      <c r="H272" s="1101"/>
      <c r="I272" s="1101"/>
      <c r="J272" s="1101"/>
      <c r="K272" s="1101"/>
      <c r="L272" s="1101"/>
      <c r="M272" s="1101"/>
      <c r="N272" s="1101"/>
      <c r="O272" s="1101"/>
      <c r="P272" s="1101"/>
      <c r="Q272" s="1101"/>
      <c r="R272" s="1101"/>
      <c r="S272" s="1101"/>
      <c r="T272" s="1101"/>
      <c r="U272" s="1101"/>
      <c r="V272" s="1101"/>
      <c r="W272" s="1101"/>
      <c r="X272" s="1101"/>
      <c r="Y272" s="1102"/>
      <c r="Z272" s="1102"/>
      <c r="AA272" s="1101"/>
    </row>
    <row r="273" ht="15.75" customHeight="1">
      <c r="A273" s="213"/>
      <c r="B273" s="213"/>
      <c r="C273" s="1101"/>
      <c r="D273" s="1101"/>
      <c r="E273" s="1101"/>
      <c r="F273" s="1101"/>
      <c r="G273" s="1101"/>
      <c r="H273" s="1101"/>
      <c r="I273" s="1101"/>
      <c r="J273" s="1101"/>
      <c r="K273" s="1101"/>
      <c r="L273" s="1101"/>
      <c r="M273" s="1101"/>
      <c r="N273" s="1101"/>
      <c r="O273" s="1101"/>
      <c r="P273" s="1101"/>
      <c r="Q273" s="1101"/>
      <c r="R273" s="1101"/>
      <c r="S273" s="1101"/>
      <c r="T273" s="1101"/>
      <c r="U273" s="1101"/>
      <c r="V273" s="1101"/>
      <c r="W273" s="1101"/>
      <c r="X273" s="1101"/>
      <c r="Y273" s="1102"/>
      <c r="Z273" s="1102"/>
      <c r="AA273" s="1101"/>
    </row>
    <row r="274" ht="15.75" customHeight="1">
      <c r="A274" s="213"/>
      <c r="B274" s="213"/>
      <c r="C274" s="1101"/>
      <c r="D274" s="1101"/>
      <c r="E274" s="1101"/>
      <c r="F274" s="1101"/>
      <c r="G274" s="1101"/>
      <c r="H274" s="1101"/>
      <c r="I274" s="1101"/>
      <c r="J274" s="1101"/>
      <c r="K274" s="1101"/>
      <c r="L274" s="1101"/>
      <c r="M274" s="1101"/>
      <c r="N274" s="1101"/>
      <c r="O274" s="1101"/>
      <c r="P274" s="1101"/>
      <c r="Q274" s="1101"/>
      <c r="R274" s="1101"/>
      <c r="S274" s="1101"/>
      <c r="T274" s="1101"/>
      <c r="U274" s="1101"/>
      <c r="V274" s="1101"/>
      <c r="W274" s="1101"/>
      <c r="X274" s="1101"/>
      <c r="Y274" s="1102"/>
      <c r="Z274" s="1102"/>
      <c r="AA274" s="1101"/>
    </row>
    <row r="275" ht="15.75" customHeight="1">
      <c r="A275" s="213"/>
      <c r="B275" s="213"/>
      <c r="C275" s="1101"/>
      <c r="D275" s="1101"/>
      <c r="E275" s="1101"/>
      <c r="F275" s="1101"/>
      <c r="G275" s="1101"/>
      <c r="H275" s="1101"/>
      <c r="I275" s="1101"/>
      <c r="J275" s="1101"/>
      <c r="K275" s="1101"/>
      <c r="L275" s="1101"/>
      <c r="M275" s="1101"/>
      <c r="N275" s="1101"/>
      <c r="O275" s="1101"/>
      <c r="P275" s="1101"/>
      <c r="Q275" s="1101"/>
      <c r="R275" s="1101"/>
      <c r="S275" s="1101"/>
      <c r="T275" s="1101"/>
      <c r="U275" s="1101"/>
      <c r="V275" s="1101"/>
      <c r="W275" s="1101"/>
      <c r="X275" s="1101"/>
      <c r="Y275" s="1102"/>
      <c r="Z275" s="1102"/>
      <c r="AA275" s="1101"/>
    </row>
    <row r="276" ht="15.75" customHeight="1">
      <c r="A276" s="213"/>
      <c r="B276" s="213"/>
      <c r="C276" s="1101"/>
      <c r="D276" s="1101"/>
      <c r="E276" s="1101"/>
      <c r="F276" s="1101"/>
      <c r="G276" s="1101"/>
      <c r="H276" s="1101"/>
      <c r="I276" s="1101"/>
      <c r="J276" s="1101"/>
      <c r="K276" s="1101"/>
      <c r="L276" s="1101"/>
      <c r="M276" s="1101"/>
      <c r="N276" s="1101"/>
      <c r="O276" s="1101"/>
      <c r="P276" s="1101"/>
      <c r="Q276" s="1101"/>
      <c r="R276" s="1101"/>
      <c r="S276" s="1101"/>
      <c r="T276" s="1101"/>
      <c r="U276" s="1101"/>
      <c r="V276" s="1101"/>
      <c r="W276" s="1101"/>
      <c r="X276" s="1101"/>
      <c r="Y276" s="1102"/>
      <c r="Z276" s="1102"/>
      <c r="AA276" s="1101"/>
    </row>
    <row r="277" ht="15.75" customHeight="1">
      <c r="A277" s="213"/>
      <c r="B277" s="213"/>
      <c r="C277" s="1101"/>
      <c r="D277" s="1101"/>
      <c r="E277" s="1101"/>
      <c r="F277" s="1101"/>
      <c r="G277" s="1101"/>
      <c r="H277" s="1101"/>
      <c r="I277" s="1101"/>
      <c r="J277" s="1101"/>
      <c r="K277" s="1101"/>
      <c r="L277" s="1101"/>
      <c r="M277" s="1101"/>
      <c r="N277" s="1101"/>
      <c r="O277" s="1101"/>
      <c r="P277" s="1101"/>
      <c r="Q277" s="1101"/>
      <c r="R277" s="1101"/>
      <c r="S277" s="1101"/>
      <c r="T277" s="1101"/>
      <c r="U277" s="1101"/>
      <c r="V277" s="1101"/>
      <c r="W277" s="1101"/>
      <c r="X277" s="1101"/>
      <c r="Y277" s="1102"/>
      <c r="Z277" s="1102"/>
      <c r="AA277" s="1101"/>
    </row>
    <row r="278" ht="15.75" customHeight="1">
      <c r="A278" s="213"/>
      <c r="B278" s="213"/>
      <c r="C278" s="1101"/>
      <c r="D278" s="1101"/>
      <c r="E278" s="1101"/>
      <c r="F278" s="1101"/>
      <c r="G278" s="1101"/>
      <c r="H278" s="1101"/>
      <c r="I278" s="1101"/>
      <c r="J278" s="1101"/>
      <c r="K278" s="1101"/>
      <c r="L278" s="1101"/>
      <c r="M278" s="1101"/>
      <c r="N278" s="1101"/>
      <c r="O278" s="1101"/>
      <c r="P278" s="1101"/>
      <c r="Q278" s="1101"/>
      <c r="R278" s="1101"/>
      <c r="S278" s="1101"/>
      <c r="T278" s="1101"/>
      <c r="U278" s="1101"/>
      <c r="V278" s="1101"/>
      <c r="W278" s="1101"/>
      <c r="X278" s="1101"/>
      <c r="Y278" s="1102"/>
      <c r="Z278" s="1102"/>
      <c r="AA278" s="1101"/>
    </row>
    <row r="279" ht="15.75" customHeight="1">
      <c r="A279" s="213"/>
      <c r="B279" s="213"/>
      <c r="C279" s="1101"/>
      <c r="D279" s="1101"/>
      <c r="E279" s="1101"/>
      <c r="F279" s="1101"/>
      <c r="G279" s="1101"/>
      <c r="H279" s="1101"/>
      <c r="I279" s="1101"/>
      <c r="J279" s="1101"/>
      <c r="K279" s="1101"/>
      <c r="L279" s="1101"/>
      <c r="M279" s="1101"/>
      <c r="N279" s="1101"/>
      <c r="O279" s="1101"/>
      <c r="P279" s="1101"/>
      <c r="Q279" s="1101"/>
      <c r="R279" s="1101"/>
      <c r="S279" s="1101"/>
      <c r="T279" s="1101"/>
      <c r="U279" s="1101"/>
      <c r="V279" s="1101"/>
      <c r="W279" s="1101"/>
      <c r="X279" s="1101"/>
      <c r="Y279" s="1102"/>
      <c r="Z279" s="1102"/>
      <c r="AA279" s="1101"/>
    </row>
    <row r="280" ht="15.75" customHeight="1">
      <c r="A280" s="213"/>
      <c r="B280" s="213"/>
      <c r="C280" s="1101"/>
      <c r="D280" s="1101"/>
      <c r="E280" s="1101"/>
      <c r="F280" s="1101"/>
      <c r="G280" s="1101"/>
      <c r="H280" s="1101"/>
      <c r="I280" s="1101"/>
      <c r="J280" s="1101"/>
      <c r="K280" s="1101"/>
      <c r="L280" s="1101"/>
      <c r="M280" s="1101"/>
      <c r="N280" s="1101"/>
      <c r="O280" s="1101"/>
      <c r="P280" s="1101"/>
      <c r="Q280" s="1101"/>
      <c r="R280" s="1101"/>
      <c r="S280" s="1101"/>
      <c r="T280" s="1101"/>
      <c r="U280" s="1101"/>
      <c r="V280" s="1101"/>
      <c r="W280" s="1101"/>
      <c r="X280" s="1101"/>
      <c r="Y280" s="1102"/>
      <c r="Z280" s="1102"/>
      <c r="AA280" s="1101"/>
    </row>
    <row r="281" ht="15.75" customHeight="1">
      <c r="A281" s="213"/>
      <c r="B281" s="213"/>
      <c r="C281" s="1101"/>
      <c r="D281" s="1101"/>
      <c r="E281" s="1101"/>
      <c r="F281" s="1101"/>
      <c r="G281" s="1101"/>
      <c r="H281" s="1101"/>
      <c r="I281" s="1101"/>
      <c r="J281" s="1101"/>
      <c r="K281" s="1101"/>
      <c r="L281" s="1101"/>
      <c r="M281" s="1101"/>
      <c r="N281" s="1101"/>
      <c r="O281" s="1101"/>
      <c r="P281" s="1101"/>
      <c r="Q281" s="1101"/>
      <c r="R281" s="1101"/>
      <c r="S281" s="1101"/>
      <c r="T281" s="1101"/>
      <c r="U281" s="1101"/>
      <c r="V281" s="1101"/>
      <c r="W281" s="1101"/>
      <c r="X281" s="1101"/>
      <c r="Y281" s="1102"/>
      <c r="Z281" s="1102"/>
      <c r="AA281" s="1101"/>
    </row>
    <row r="282" ht="15.75" customHeight="1">
      <c r="A282" s="213"/>
      <c r="B282" s="213"/>
      <c r="C282" s="1101"/>
      <c r="D282" s="1101"/>
      <c r="E282" s="1101"/>
      <c r="F282" s="1101"/>
      <c r="G282" s="1101"/>
      <c r="H282" s="1101"/>
      <c r="I282" s="1101"/>
      <c r="J282" s="1101"/>
      <c r="K282" s="1101"/>
      <c r="L282" s="1101"/>
      <c r="M282" s="1101"/>
      <c r="N282" s="1101"/>
      <c r="O282" s="1101"/>
      <c r="P282" s="1101"/>
      <c r="Q282" s="1101"/>
      <c r="R282" s="1101"/>
      <c r="S282" s="1101"/>
      <c r="T282" s="1101"/>
      <c r="U282" s="1101"/>
      <c r="V282" s="1101"/>
      <c r="W282" s="1101"/>
      <c r="X282" s="1101"/>
      <c r="Y282" s="1102"/>
      <c r="Z282" s="1102"/>
      <c r="AA282" s="1101"/>
    </row>
    <row r="283" ht="15.75" customHeight="1">
      <c r="A283" s="213"/>
      <c r="B283" s="213"/>
      <c r="C283" s="1101"/>
      <c r="D283" s="1101"/>
      <c r="E283" s="1101"/>
      <c r="F283" s="1101"/>
      <c r="G283" s="1101"/>
      <c r="H283" s="1101"/>
      <c r="I283" s="1101"/>
      <c r="J283" s="1101"/>
      <c r="K283" s="1101"/>
      <c r="L283" s="1101"/>
      <c r="M283" s="1101"/>
      <c r="N283" s="1101"/>
      <c r="O283" s="1101"/>
      <c r="P283" s="1101"/>
      <c r="Q283" s="1101"/>
      <c r="R283" s="1101"/>
      <c r="S283" s="1101"/>
      <c r="T283" s="1101"/>
      <c r="U283" s="1101"/>
      <c r="V283" s="1101"/>
      <c r="W283" s="1101"/>
      <c r="X283" s="1101"/>
      <c r="Y283" s="1102"/>
      <c r="Z283" s="1102"/>
      <c r="AA283" s="1101"/>
    </row>
    <row r="284" ht="15.75" customHeight="1">
      <c r="A284" s="213"/>
      <c r="B284" s="213"/>
      <c r="C284" s="1101"/>
      <c r="D284" s="1101"/>
      <c r="E284" s="1101"/>
      <c r="F284" s="1101"/>
      <c r="G284" s="1101"/>
      <c r="H284" s="1101"/>
      <c r="I284" s="1101"/>
      <c r="J284" s="1101"/>
      <c r="K284" s="1101"/>
      <c r="L284" s="1101"/>
      <c r="M284" s="1101"/>
      <c r="N284" s="1101"/>
      <c r="O284" s="1101"/>
      <c r="P284" s="1101"/>
      <c r="Q284" s="1101"/>
      <c r="R284" s="1101"/>
      <c r="S284" s="1101"/>
      <c r="T284" s="1101"/>
      <c r="U284" s="1101"/>
      <c r="V284" s="1101"/>
      <c r="W284" s="1101"/>
      <c r="X284" s="1101"/>
      <c r="Y284" s="1102"/>
      <c r="Z284" s="1102"/>
      <c r="AA284" s="1101"/>
    </row>
    <row r="285" ht="15.75" customHeight="1">
      <c r="A285" s="213"/>
      <c r="B285" s="213"/>
      <c r="C285" s="1101"/>
      <c r="D285" s="1101"/>
      <c r="E285" s="1101"/>
      <c r="F285" s="1101"/>
      <c r="G285" s="1101"/>
      <c r="H285" s="1101"/>
      <c r="I285" s="1101"/>
      <c r="J285" s="1101"/>
      <c r="K285" s="1101"/>
      <c r="L285" s="1101"/>
      <c r="M285" s="1101"/>
      <c r="N285" s="1101"/>
      <c r="O285" s="1101"/>
      <c r="P285" s="1101"/>
      <c r="Q285" s="1101"/>
      <c r="R285" s="1101"/>
      <c r="S285" s="1101"/>
      <c r="T285" s="1101"/>
      <c r="U285" s="1101"/>
      <c r="V285" s="1101"/>
      <c r="W285" s="1101"/>
      <c r="X285" s="1101"/>
      <c r="Y285" s="1102"/>
      <c r="Z285" s="1102"/>
      <c r="AA285" s="1101"/>
    </row>
    <row r="286" ht="15.75" customHeight="1">
      <c r="A286" s="213"/>
      <c r="B286" s="213"/>
      <c r="C286" s="1101"/>
      <c r="D286" s="1101"/>
      <c r="E286" s="1101"/>
      <c r="F286" s="1101"/>
      <c r="G286" s="1101"/>
      <c r="H286" s="1101"/>
      <c r="I286" s="1101"/>
      <c r="J286" s="1101"/>
      <c r="K286" s="1101"/>
      <c r="L286" s="1101"/>
      <c r="M286" s="1101"/>
      <c r="N286" s="1101"/>
      <c r="O286" s="1101"/>
      <c r="P286" s="1101"/>
      <c r="Q286" s="1101"/>
      <c r="R286" s="1101"/>
      <c r="S286" s="1101"/>
      <c r="T286" s="1101"/>
      <c r="U286" s="1101"/>
      <c r="V286" s="1101"/>
      <c r="W286" s="1101"/>
      <c r="X286" s="1101"/>
      <c r="Y286" s="1102"/>
      <c r="Z286" s="1102"/>
      <c r="AA286" s="1101"/>
    </row>
    <row r="287" ht="15.75" customHeight="1">
      <c r="A287" s="213"/>
      <c r="B287" s="213"/>
      <c r="C287" s="1101"/>
      <c r="D287" s="1101"/>
      <c r="E287" s="1101"/>
      <c r="F287" s="1101"/>
      <c r="G287" s="1101"/>
      <c r="H287" s="1101"/>
      <c r="I287" s="1101"/>
      <c r="J287" s="1101"/>
      <c r="K287" s="1101"/>
      <c r="L287" s="1101"/>
      <c r="M287" s="1101"/>
      <c r="N287" s="1101"/>
      <c r="O287" s="1101"/>
      <c r="P287" s="1101"/>
      <c r="Q287" s="1101"/>
      <c r="R287" s="1101"/>
      <c r="S287" s="1101"/>
      <c r="T287" s="1101"/>
      <c r="U287" s="1101"/>
      <c r="V287" s="1101"/>
      <c r="W287" s="1101"/>
      <c r="X287" s="1101"/>
      <c r="Y287" s="1102"/>
      <c r="Z287" s="1102"/>
      <c r="AA287" s="1101"/>
    </row>
    <row r="288" ht="15.75" customHeight="1">
      <c r="A288" s="213"/>
      <c r="B288" s="213"/>
      <c r="C288" s="1101"/>
      <c r="D288" s="1101"/>
      <c r="E288" s="1101"/>
      <c r="F288" s="1101"/>
      <c r="G288" s="1101"/>
      <c r="H288" s="1101"/>
      <c r="I288" s="1101"/>
      <c r="J288" s="1101"/>
      <c r="K288" s="1101"/>
      <c r="L288" s="1101"/>
      <c r="M288" s="1101"/>
      <c r="N288" s="1101"/>
      <c r="O288" s="1101"/>
      <c r="P288" s="1101"/>
      <c r="Q288" s="1101"/>
      <c r="R288" s="1101"/>
      <c r="S288" s="1101"/>
      <c r="T288" s="1101"/>
      <c r="U288" s="1101"/>
      <c r="V288" s="1101"/>
      <c r="W288" s="1101"/>
      <c r="X288" s="1101"/>
      <c r="Y288" s="1102"/>
      <c r="Z288" s="1102"/>
      <c r="AA288" s="1101"/>
    </row>
    <row r="289" ht="15.75" customHeight="1">
      <c r="A289" s="213"/>
      <c r="B289" s="213"/>
      <c r="C289" s="1101"/>
      <c r="D289" s="1101"/>
      <c r="E289" s="1101"/>
      <c r="F289" s="1101"/>
      <c r="G289" s="1101"/>
      <c r="H289" s="1101"/>
      <c r="I289" s="1101"/>
      <c r="J289" s="1101"/>
      <c r="K289" s="1101"/>
      <c r="L289" s="1101"/>
      <c r="M289" s="1101"/>
      <c r="N289" s="1101"/>
      <c r="O289" s="1101"/>
      <c r="P289" s="1101"/>
      <c r="Q289" s="1101"/>
      <c r="R289" s="1101"/>
      <c r="S289" s="1101"/>
      <c r="T289" s="1101"/>
      <c r="U289" s="1101"/>
      <c r="V289" s="1101"/>
      <c r="W289" s="1101"/>
      <c r="X289" s="1101"/>
      <c r="Y289" s="1102"/>
      <c r="Z289" s="1102"/>
      <c r="AA289" s="1101"/>
    </row>
    <row r="290" ht="15.75" customHeight="1">
      <c r="A290" s="213"/>
      <c r="B290" s="213"/>
      <c r="C290" s="1101"/>
      <c r="D290" s="1101"/>
      <c r="E290" s="1101"/>
      <c r="F290" s="1101"/>
      <c r="G290" s="1101"/>
      <c r="H290" s="1101"/>
      <c r="I290" s="1101"/>
      <c r="J290" s="1101"/>
      <c r="K290" s="1101"/>
      <c r="L290" s="1101"/>
      <c r="M290" s="1101"/>
      <c r="N290" s="1101"/>
      <c r="O290" s="1101"/>
      <c r="P290" s="1101"/>
      <c r="Q290" s="1101"/>
      <c r="R290" s="1101"/>
      <c r="S290" s="1101"/>
      <c r="T290" s="1101"/>
      <c r="U290" s="1101"/>
      <c r="V290" s="1101"/>
      <c r="W290" s="1101"/>
      <c r="X290" s="1101"/>
      <c r="Y290" s="1102"/>
      <c r="Z290" s="1102"/>
      <c r="AA290" s="1101"/>
    </row>
    <row r="291" ht="15.75" customHeight="1">
      <c r="A291" s="213"/>
      <c r="B291" s="213"/>
      <c r="C291" s="1101"/>
      <c r="D291" s="1101"/>
      <c r="E291" s="1101"/>
      <c r="F291" s="1101"/>
      <c r="G291" s="1101"/>
      <c r="H291" s="1101"/>
      <c r="I291" s="1101"/>
      <c r="J291" s="1101"/>
      <c r="K291" s="1101"/>
      <c r="L291" s="1101"/>
      <c r="M291" s="1101"/>
      <c r="N291" s="1101"/>
      <c r="O291" s="1101"/>
      <c r="P291" s="1101"/>
      <c r="Q291" s="1101"/>
      <c r="R291" s="1101"/>
      <c r="S291" s="1101"/>
      <c r="T291" s="1101"/>
      <c r="U291" s="1101"/>
      <c r="V291" s="1101"/>
      <c r="W291" s="1101"/>
      <c r="X291" s="1101"/>
      <c r="Y291" s="1102"/>
      <c r="Z291" s="1102"/>
      <c r="AA291" s="1101"/>
    </row>
    <row r="292" ht="15.75" customHeight="1">
      <c r="A292" s="213"/>
      <c r="B292" s="213"/>
      <c r="C292" s="1101"/>
      <c r="D292" s="1101"/>
      <c r="E292" s="1101"/>
      <c r="F292" s="1101"/>
      <c r="G292" s="1101"/>
      <c r="H292" s="1101"/>
      <c r="I292" s="1101"/>
      <c r="J292" s="1101"/>
      <c r="K292" s="1101"/>
      <c r="L292" s="1101"/>
      <c r="M292" s="1101"/>
      <c r="N292" s="1101"/>
      <c r="O292" s="1101"/>
      <c r="P292" s="1101"/>
      <c r="Q292" s="1101"/>
      <c r="R292" s="1101"/>
      <c r="S292" s="1101"/>
      <c r="T292" s="1101"/>
      <c r="U292" s="1101"/>
      <c r="V292" s="1101"/>
      <c r="W292" s="1101"/>
      <c r="X292" s="1101"/>
      <c r="Y292" s="1102"/>
      <c r="Z292" s="1102"/>
      <c r="AA292" s="1101"/>
    </row>
    <row r="293" ht="15.75" customHeight="1">
      <c r="A293" s="213"/>
      <c r="B293" s="213"/>
      <c r="C293" s="1101"/>
      <c r="D293" s="1101"/>
      <c r="E293" s="1101"/>
      <c r="F293" s="1101"/>
      <c r="G293" s="1101"/>
      <c r="H293" s="1101"/>
      <c r="I293" s="1101"/>
      <c r="J293" s="1101"/>
      <c r="K293" s="1101"/>
      <c r="L293" s="1101"/>
      <c r="M293" s="1101"/>
      <c r="N293" s="1101"/>
      <c r="O293" s="1101"/>
      <c r="P293" s="1101"/>
      <c r="Q293" s="1101"/>
      <c r="R293" s="1101"/>
      <c r="S293" s="1101"/>
      <c r="T293" s="1101"/>
      <c r="U293" s="1101"/>
      <c r="V293" s="1101"/>
      <c r="W293" s="1101"/>
      <c r="X293" s="1101"/>
      <c r="Y293" s="1102"/>
      <c r="Z293" s="1102"/>
      <c r="AA293" s="1101"/>
    </row>
    <row r="294" ht="15.75" customHeight="1">
      <c r="A294" s="213"/>
      <c r="B294" s="213"/>
      <c r="C294" s="1101"/>
      <c r="D294" s="1101"/>
      <c r="E294" s="1101"/>
      <c r="F294" s="1101"/>
      <c r="G294" s="1101"/>
      <c r="H294" s="1101"/>
      <c r="I294" s="1101"/>
      <c r="J294" s="1101"/>
      <c r="K294" s="1101"/>
      <c r="L294" s="1101"/>
      <c r="M294" s="1101"/>
      <c r="N294" s="1101"/>
      <c r="O294" s="1101"/>
      <c r="P294" s="1101"/>
      <c r="Q294" s="1101"/>
      <c r="R294" s="1101"/>
      <c r="S294" s="1101"/>
      <c r="T294" s="1101"/>
      <c r="U294" s="1101"/>
      <c r="V294" s="1101"/>
      <c r="W294" s="1101"/>
      <c r="X294" s="1101"/>
      <c r="Y294" s="1102"/>
      <c r="Z294" s="1102"/>
      <c r="AA294" s="1101"/>
    </row>
    <row r="295" ht="15.75" customHeight="1">
      <c r="A295" s="213"/>
      <c r="B295" s="213"/>
      <c r="C295" s="1101"/>
      <c r="D295" s="1101"/>
      <c r="E295" s="1101"/>
      <c r="F295" s="1101"/>
      <c r="G295" s="1101"/>
      <c r="H295" s="1101"/>
      <c r="I295" s="1101"/>
      <c r="J295" s="1101"/>
      <c r="K295" s="1101"/>
      <c r="L295" s="1101"/>
      <c r="M295" s="1101"/>
      <c r="N295" s="1101"/>
      <c r="O295" s="1101"/>
      <c r="P295" s="1101"/>
      <c r="Q295" s="1101"/>
      <c r="R295" s="1101"/>
      <c r="S295" s="1101"/>
      <c r="T295" s="1101"/>
      <c r="U295" s="1101"/>
      <c r="V295" s="1101"/>
      <c r="W295" s="1101"/>
      <c r="X295" s="1101"/>
      <c r="Y295" s="1102"/>
      <c r="Z295" s="1102"/>
      <c r="AA295" s="1101"/>
    </row>
    <row r="296" ht="15.75" customHeight="1">
      <c r="A296" s="213"/>
      <c r="B296" s="213"/>
      <c r="C296" s="1101"/>
      <c r="D296" s="1101"/>
      <c r="E296" s="1101"/>
      <c r="F296" s="1101"/>
      <c r="G296" s="1101"/>
      <c r="H296" s="1101"/>
      <c r="I296" s="1101"/>
      <c r="J296" s="1101"/>
      <c r="K296" s="1101"/>
      <c r="L296" s="1101"/>
      <c r="M296" s="1101"/>
      <c r="N296" s="1101"/>
      <c r="O296" s="1101"/>
      <c r="P296" s="1101"/>
      <c r="Q296" s="1101"/>
      <c r="R296" s="1101"/>
      <c r="S296" s="1101"/>
      <c r="T296" s="1101"/>
      <c r="U296" s="1101"/>
      <c r="V296" s="1101"/>
      <c r="W296" s="1101"/>
      <c r="X296" s="1101"/>
      <c r="Y296" s="1102"/>
      <c r="Z296" s="1102"/>
      <c r="AA296" s="1101"/>
    </row>
    <row r="297" ht="15.75" customHeight="1">
      <c r="A297" s="213"/>
      <c r="B297" s="213"/>
      <c r="C297" s="1101"/>
      <c r="D297" s="1101"/>
      <c r="E297" s="1101"/>
      <c r="F297" s="1101"/>
      <c r="G297" s="1101"/>
      <c r="H297" s="1101"/>
      <c r="I297" s="1101"/>
      <c r="J297" s="1101"/>
      <c r="K297" s="1101"/>
      <c r="L297" s="1101"/>
      <c r="M297" s="1101"/>
      <c r="N297" s="1101"/>
      <c r="O297" s="1101"/>
      <c r="P297" s="1101"/>
      <c r="Q297" s="1101"/>
      <c r="R297" s="1101"/>
      <c r="S297" s="1101"/>
      <c r="T297" s="1101"/>
      <c r="U297" s="1101"/>
      <c r="V297" s="1101"/>
      <c r="W297" s="1101"/>
      <c r="X297" s="1101"/>
      <c r="Y297" s="1102"/>
      <c r="Z297" s="1102"/>
      <c r="AA297" s="1101"/>
    </row>
    <row r="298" ht="15.75" customHeight="1">
      <c r="A298" s="213"/>
      <c r="B298" s="213"/>
      <c r="C298" s="1101"/>
      <c r="D298" s="1101"/>
      <c r="E298" s="1101"/>
      <c r="F298" s="1101"/>
      <c r="G298" s="1101"/>
      <c r="H298" s="1101"/>
      <c r="I298" s="1101"/>
      <c r="J298" s="1101"/>
      <c r="K298" s="1101"/>
      <c r="L298" s="1101"/>
      <c r="M298" s="1101"/>
      <c r="N298" s="1101"/>
      <c r="O298" s="1101"/>
      <c r="P298" s="1101"/>
      <c r="Q298" s="1101"/>
      <c r="R298" s="1101"/>
      <c r="S298" s="1101"/>
      <c r="T298" s="1101"/>
      <c r="U298" s="1101"/>
      <c r="V298" s="1101"/>
      <c r="W298" s="1101"/>
      <c r="X298" s="1101"/>
      <c r="Y298" s="1102"/>
      <c r="Z298" s="1102"/>
      <c r="AA298" s="1101"/>
    </row>
    <row r="299" ht="15.75" customHeight="1">
      <c r="A299" s="213"/>
      <c r="B299" s="213"/>
      <c r="C299" s="1101"/>
      <c r="D299" s="1101"/>
      <c r="E299" s="1101"/>
      <c r="F299" s="1101"/>
      <c r="G299" s="1101"/>
      <c r="H299" s="1101"/>
      <c r="I299" s="1101"/>
      <c r="J299" s="1101"/>
      <c r="K299" s="1101"/>
      <c r="L299" s="1101"/>
      <c r="M299" s="1101"/>
      <c r="N299" s="1101"/>
      <c r="O299" s="1101"/>
      <c r="P299" s="1101"/>
      <c r="Q299" s="1101"/>
      <c r="R299" s="1101"/>
      <c r="S299" s="1101"/>
      <c r="T299" s="1101"/>
      <c r="U299" s="1101"/>
      <c r="V299" s="1101"/>
      <c r="W299" s="1101"/>
      <c r="X299" s="1101"/>
      <c r="Y299" s="1102"/>
      <c r="Z299" s="1102"/>
      <c r="AA299" s="1101"/>
    </row>
    <row r="300" ht="15.75" customHeight="1">
      <c r="A300" s="213"/>
      <c r="B300" s="213"/>
      <c r="C300" s="1101"/>
      <c r="D300" s="1101"/>
      <c r="E300" s="1101"/>
      <c r="F300" s="1101"/>
      <c r="G300" s="1101"/>
      <c r="H300" s="1101"/>
      <c r="I300" s="1101"/>
      <c r="J300" s="1101"/>
      <c r="K300" s="1101"/>
      <c r="L300" s="1101"/>
      <c r="M300" s="1101"/>
      <c r="N300" s="1101"/>
      <c r="O300" s="1101"/>
      <c r="P300" s="1101"/>
      <c r="Q300" s="1101"/>
      <c r="R300" s="1101"/>
      <c r="S300" s="1101"/>
      <c r="T300" s="1101"/>
      <c r="U300" s="1101"/>
      <c r="V300" s="1101"/>
      <c r="W300" s="1101"/>
      <c r="X300" s="1101"/>
      <c r="Y300" s="1102"/>
      <c r="Z300" s="1102"/>
      <c r="AA300" s="1101"/>
    </row>
    <row r="301" ht="15.75" customHeight="1">
      <c r="A301" s="213"/>
      <c r="B301" s="213"/>
      <c r="C301" s="1101"/>
      <c r="D301" s="1101"/>
      <c r="E301" s="1101"/>
      <c r="F301" s="1101"/>
      <c r="G301" s="1101"/>
      <c r="H301" s="1101"/>
      <c r="I301" s="1101"/>
      <c r="J301" s="1101"/>
      <c r="K301" s="1101"/>
      <c r="L301" s="1101"/>
      <c r="M301" s="1101"/>
      <c r="N301" s="1101"/>
      <c r="O301" s="1101"/>
      <c r="P301" s="1101"/>
      <c r="Q301" s="1101"/>
      <c r="R301" s="1101"/>
      <c r="S301" s="1101"/>
      <c r="T301" s="1101"/>
      <c r="U301" s="1101"/>
      <c r="V301" s="1101"/>
      <c r="W301" s="1101"/>
      <c r="X301" s="1101"/>
      <c r="Y301" s="1102"/>
      <c r="Z301" s="1102"/>
      <c r="AA301" s="1101"/>
    </row>
    <row r="302" ht="15.75" customHeight="1">
      <c r="A302" s="213"/>
      <c r="B302" s="213"/>
      <c r="C302" s="1101"/>
      <c r="D302" s="1101"/>
      <c r="E302" s="1101"/>
      <c r="F302" s="1101"/>
      <c r="G302" s="1101"/>
      <c r="H302" s="1101"/>
      <c r="I302" s="1101"/>
      <c r="J302" s="1101"/>
      <c r="K302" s="1101"/>
      <c r="L302" s="1101"/>
      <c r="M302" s="1101"/>
      <c r="N302" s="1101"/>
      <c r="O302" s="1101"/>
      <c r="P302" s="1101"/>
      <c r="Q302" s="1101"/>
      <c r="R302" s="1101"/>
      <c r="S302" s="1101"/>
      <c r="T302" s="1101"/>
      <c r="U302" s="1101"/>
      <c r="V302" s="1101"/>
      <c r="W302" s="1101"/>
      <c r="X302" s="1101"/>
      <c r="Y302" s="1102"/>
      <c r="Z302" s="1102"/>
      <c r="AA302" s="1101"/>
    </row>
    <row r="303" ht="15.75" customHeight="1">
      <c r="A303" s="213"/>
      <c r="B303" s="213"/>
      <c r="C303" s="1101"/>
      <c r="D303" s="1101"/>
      <c r="E303" s="1101"/>
      <c r="F303" s="1101"/>
      <c r="G303" s="1101"/>
      <c r="H303" s="1101"/>
      <c r="I303" s="1101"/>
      <c r="J303" s="1101"/>
      <c r="K303" s="1101"/>
      <c r="L303" s="1101"/>
      <c r="M303" s="1101"/>
      <c r="N303" s="1101"/>
      <c r="O303" s="1101"/>
      <c r="P303" s="1101"/>
      <c r="Q303" s="1101"/>
      <c r="R303" s="1101"/>
      <c r="S303" s="1101"/>
      <c r="T303" s="1101"/>
      <c r="U303" s="1101"/>
      <c r="V303" s="1101"/>
      <c r="W303" s="1101"/>
      <c r="X303" s="1101"/>
      <c r="Y303" s="1102"/>
      <c r="Z303" s="1102"/>
      <c r="AA303" s="1101"/>
    </row>
    <row r="304" ht="15.75" customHeight="1">
      <c r="A304" s="213"/>
      <c r="B304" s="213"/>
      <c r="C304" s="1101"/>
      <c r="D304" s="1101"/>
      <c r="E304" s="1101"/>
      <c r="F304" s="1101"/>
      <c r="G304" s="1101"/>
      <c r="H304" s="1101"/>
      <c r="I304" s="1101"/>
      <c r="J304" s="1101"/>
      <c r="K304" s="1101"/>
      <c r="L304" s="1101"/>
      <c r="M304" s="1101"/>
      <c r="N304" s="1101"/>
      <c r="O304" s="1101"/>
      <c r="P304" s="1101"/>
      <c r="Q304" s="1101"/>
      <c r="R304" s="1101"/>
      <c r="S304" s="1101"/>
      <c r="T304" s="1101"/>
      <c r="U304" s="1101"/>
      <c r="V304" s="1101"/>
      <c r="W304" s="1101"/>
      <c r="X304" s="1101"/>
      <c r="Y304" s="1102"/>
      <c r="Z304" s="1102"/>
      <c r="AA304" s="1101"/>
    </row>
    <row r="305" ht="15.75" customHeight="1">
      <c r="A305" s="213"/>
      <c r="B305" s="213"/>
      <c r="C305" s="1101"/>
      <c r="D305" s="1101"/>
      <c r="E305" s="1101"/>
      <c r="F305" s="1101"/>
      <c r="G305" s="1101"/>
      <c r="H305" s="1101"/>
      <c r="I305" s="1101"/>
      <c r="J305" s="1101"/>
      <c r="K305" s="1101"/>
      <c r="L305" s="1101"/>
      <c r="M305" s="1101"/>
      <c r="N305" s="1101"/>
      <c r="O305" s="1101"/>
      <c r="P305" s="1101"/>
      <c r="Q305" s="1101"/>
      <c r="R305" s="1101"/>
      <c r="S305" s="1101"/>
      <c r="T305" s="1101"/>
      <c r="U305" s="1101"/>
      <c r="V305" s="1101"/>
      <c r="W305" s="1101"/>
      <c r="X305" s="1101"/>
      <c r="Y305" s="1102"/>
      <c r="Z305" s="1102"/>
      <c r="AA305" s="1101"/>
    </row>
    <row r="306" ht="15.75" customHeight="1">
      <c r="A306" s="213"/>
      <c r="B306" s="213"/>
      <c r="C306" s="1101"/>
      <c r="D306" s="1101"/>
      <c r="E306" s="1101"/>
      <c r="F306" s="1101"/>
      <c r="G306" s="1101"/>
      <c r="H306" s="1101"/>
      <c r="I306" s="1101"/>
      <c r="J306" s="1101"/>
      <c r="K306" s="1101"/>
      <c r="L306" s="1101"/>
      <c r="M306" s="1101"/>
      <c r="N306" s="1101"/>
      <c r="O306" s="1101"/>
      <c r="P306" s="1101"/>
      <c r="Q306" s="1101"/>
      <c r="R306" s="1101"/>
      <c r="S306" s="1101"/>
      <c r="T306" s="1101"/>
      <c r="U306" s="1101"/>
      <c r="V306" s="1101"/>
      <c r="W306" s="1101"/>
      <c r="X306" s="1101"/>
      <c r="Y306" s="1102"/>
      <c r="Z306" s="1102"/>
      <c r="AA306" s="1101"/>
    </row>
    <row r="307" ht="15.75" customHeight="1">
      <c r="A307" s="213"/>
      <c r="B307" s="213"/>
      <c r="C307" s="1101"/>
      <c r="D307" s="1101"/>
      <c r="E307" s="1101"/>
      <c r="F307" s="1101"/>
      <c r="G307" s="1101"/>
      <c r="H307" s="1101"/>
      <c r="I307" s="1101"/>
      <c r="J307" s="1101"/>
      <c r="K307" s="1101"/>
      <c r="L307" s="1101"/>
      <c r="M307" s="1101"/>
      <c r="N307" s="1101"/>
      <c r="O307" s="1101"/>
      <c r="P307" s="1101"/>
      <c r="Q307" s="1101"/>
      <c r="R307" s="1101"/>
      <c r="S307" s="1101"/>
      <c r="T307" s="1101"/>
      <c r="U307" s="1101"/>
      <c r="V307" s="1101"/>
      <c r="W307" s="1101"/>
      <c r="X307" s="1101"/>
      <c r="Y307" s="1102"/>
      <c r="Z307" s="1102"/>
      <c r="AA307" s="1101"/>
    </row>
    <row r="308" ht="15.75" customHeight="1">
      <c r="A308" s="213"/>
      <c r="B308" s="213"/>
      <c r="C308" s="1101"/>
      <c r="D308" s="1101"/>
      <c r="E308" s="1101"/>
      <c r="F308" s="1101"/>
      <c r="G308" s="1101"/>
      <c r="H308" s="1101"/>
      <c r="I308" s="1101"/>
      <c r="J308" s="1101"/>
      <c r="K308" s="1101"/>
      <c r="L308" s="1101"/>
      <c r="M308" s="1101"/>
      <c r="N308" s="1101"/>
      <c r="O308" s="1101"/>
      <c r="P308" s="1101"/>
      <c r="Q308" s="1101"/>
      <c r="R308" s="1101"/>
      <c r="S308" s="1101"/>
      <c r="T308" s="1101"/>
      <c r="U308" s="1101"/>
      <c r="V308" s="1101"/>
      <c r="W308" s="1101"/>
      <c r="X308" s="1101"/>
      <c r="Y308" s="1102"/>
      <c r="Z308" s="1102"/>
      <c r="AA308" s="1101"/>
    </row>
    <row r="309" ht="15.75" customHeight="1">
      <c r="A309" s="213"/>
      <c r="B309" s="213"/>
      <c r="C309" s="1101"/>
      <c r="D309" s="1101"/>
      <c r="E309" s="1101"/>
      <c r="F309" s="1101"/>
      <c r="G309" s="1101"/>
      <c r="H309" s="1101"/>
      <c r="I309" s="1101"/>
      <c r="J309" s="1101"/>
      <c r="K309" s="1101"/>
      <c r="L309" s="1101"/>
      <c r="M309" s="1101"/>
      <c r="N309" s="1101"/>
      <c r="O309" s="1101"/>
      <c r="P309" s="1101"/>
      <c r="Q309" s="1101"/>
      <c r="R309" s="1101"/>
      <c r="S309" s="1101"/>
      <c r="T309" s="1101"/>
      <c r="U309" s="1101"/>
      <c r="V309" s="1101"/>
      <c r="W309" s="1101"/>
      <c r="X309" s="1101"/>
      <c r="Y309" s="1102"/>
      <c r="Z309" s="1102"/>
      <c r="AA309" s="1101"/>
    </row>
    <row r="310" ht="15.75" customHeight="1">
      <c r="A310" s="213"/>
      <c r="B310" s="213"/>
      <c r="C310" s="1101"/>
      <c r="D310" s="1101"/>
      <c r="E310" s="1101"/>
      <c r="F310" s="1101"/>
      <c r="G310" s="1101"/>
      <c r="H310" s="1101"/>
      <c r="I310" s="1101"/>
      <c r="J310" s="1101"/>
      <c r="K310" s="1101"/>
      <c r="L310" s="1101"/>
      <c r="M310" s="1101"/>
      <c r="N310" s="1101"/>
      <c r="O310" s="1101"/>
      <c r="P310" s="1101"/>
      <c r="Q310" s="1101"/>
      <c r="R310" s="1101"/>
      <c r="S310" s="1101"/>
      <c r="T310" s="1101"/>
      <c r="U310" s="1101"/>
      <c r="V310" s="1101"/>
      <c r="W310" s="1101"/>
      <c r="X310" s="1101"/>
      <c r="Y310" s="1102"/>
      <c r="Z310" s="1102"/>
      <c r="AA310" s="1101"/>
    </row>
    <row r="311" ht="15.75" customHeight="1">
      <c r="A311" s="213"/>
      <c r="B311" s="213"/>
      <c r="C311" s="1101"/>
      <c r="D311" s="1101"/>
      <c r="E311" s="1101"/>
      <c r="F311" s="1101"/>
      <c r="G311" s="1101"/>
      <c r="H311" s="1101"/>
      <c r="I311" s="1101"/>
      <c r="J311" s="1101"/>
      <c r="K311" s="1101"/>
      <c r="L311" s="1101"/>
      <c r="M311" s="1101"/>
      <c r="N311" s="1101"/>
      <c r="O311" s="1101"/>
      <c r="P311" s="1101"/>
      <c r="Q311" s="1101"/>
      <c r="R311" s="1101"/>
      <c r="S311" s="1101"/>
      <c r="T311" s="1101"/>
      <c r="U311" s="1101"/>
      <c r="V311" s="1101"/>
      <c r="W311" s="1101"/>
      <c r="X311" s="1101"/>
      <c r="Y311" s="1102"/>
      <c r="Z311" s="1102"/>
      <c r="AA311" s="1101"/>
    </row>
    <row r="312" ht="15.75" customHeight="1">
      <c r="A312" s="213"/>
      <c r="B312" s="213"/>
      <c r="C312" s="1101"/>
      <c r="D312" s="1101"/>
      <c r="E312" s="1101"/>
      <c r="F312" s="1101"/>
      <c r="G312" s="1101"/>
      <c r="H312" s="1101"/>
      <c r="I312" s="1101"/>
      <c r="J312" s="1101"/>
      <c r="K312" s="1101"/>
      <c r="L312" s="1101"/>
      <c r="M312" s="1101"/>
      <c r="N312" s="1101"/>
      <c r="O312" s="1101"/>
      <c r="P312" s="1101"/>
      <c r="Q312" s="1101"/>
      <c r="R312" s="1101"/>
      <c r="S312" s="1101"/>
      <c r="T312" s="1101"/>
      <c r="U312" s="1101"/>
      <c r="V312" s="1101"/>
      <c r="W312" s="1101"/>
      <c r="X312" s="1101"/>
      <c r="Y312" s="1102"/>
      <c r="Z312" s="1102"/>
      <c r="AA312" s="1101"/>
    </row>
    <row r="313" ht="15.75" customHeight="1">
      <c r="A313" s="213"/>
      <c r="B313" s="213"/>
      <c r="C313" s="1101"/>
      <c r="D313" s="1101"/>
      <c r="E313" s="1101"/>
      <c r="F313" s="1101"/>
      <c r="G313" s="1101"/>
      <c r="H313" s="1101"/>
      <c r="I313" s="1101"/>
      <c r="J313" s="1101"/>
      <c r="K313" s="1101"/>
      <c r="L313" s="1101"/>
      <c r="M313" s="1101"/>
      <c r="N313" s="1101"/>
      <c r="O313" s="1101"/>
      <c r="P313" s="1101"/>
      <c r="Q313" s="1101"/>
      <c r="R313" s="1101"/>
      <c r="S313" s="1101"/>
      <c r="T313" s="1101"/>
      <c r="U313" s="1101"/>
      <c r="V313" s="1101"/>
      <c r="W313" s="1101"/>
      <c r="X313" s="1101"/>
      <c r="Y313" s="1102"/>
      <c r="Z313" s="1102"/>
      <c r="AA313" s="1101"/>
    </row>
    <row r="314" ht="15.75" customHeight="1">
      <c r="A314" s="213"/>
      <c r="B314" s="213"/>
      <c r="C314" s="1101"/>
      <c r="D314" s="1101"/>
      <c r="E314" s="1101"/>
      <c r="F314" s="1101"/>
      <c r="G314" s="1101"/>
      <c r="H314" s="1101"/>
      <c r="I314" s="1101"/>
      <c r="J314" s="1101"/>
      <c r="K314" s="1101"/>
      <c r="L314" s="1101"/>
      <c r="M314" s="1101"/>
      <c r="N314" s="1101"/>
      <c r="O314" s="1101"/>
      <c r="P314" s="1101"/>
      <c r="Q314" s="1101"/>
      <c r="R314" s="1101"/>
      <c r="S314" s="1101"/>
      <c r="T314" s="1101"/>
      <c r="U314" s="1101"/>
      <c r="V314" s="1101"/>
      <c r="W314" s="1101"/>
      <c r="X314" s="1101"/>
      <c r="Y314" s="1102"/>
      <c r="Z314" s="1102"/>
      <c r="AA314" s="1101"/>
    </row>
    <row r="315" ht="15.75" customHeight="1">
      <c r="A315" s="213"/>
      <c r="B315" s="213"/>
      <c r="C315" s="1101"/>
      <c r="D315" s="1101"/>
      <c r="E315" s="1101"/>
      <c r="F315" s="1101"/>
      <c r="G315" s="1101"/>
      <c r="H315" s="1101"/>
      <c r="I315" s="1101"/>
      <c r="J315" s="1101"/>
      <c r="K315" s="1101"/>
      <c r="L315" s="1101"/>
      <c r="M315" s="1101"/>
      <c r="N315" s="1101"/>
      <c r="O315" s="1101"/>
      <c r="P315" s="1101"/>
      <c r="Q315" s="1101"/>
      <c r="R315" s="1101"/>
      <c r="S315" s="1101"/>
      <c r="T315" s="1101"/>
      <c r="U315" s="1101"/>
      <c r="V315" s="1101"/>
      <c r="W315" s="1101"/>
      <c r="X315" s="1101"/>
      <c r="Y315" s="1102"/>
      <c r="Z315" s="1102"/>
      <c r="AA315" s="1101"/>
    </row>
    <row r="316" ht="15.75" customHeight="1">
      <c r="A316" s="213"/>
      <c r="B316" s="213"/>
      <c r="C316" s="1101"/>
      <c r="D316" s="1101"/>
      <c r="E316" s="1101"/>
      <c r="F316" s="1101"/>
      <c r="G316" s="1101"/>
      <c r="H316" s="1101"/>
      <c r="I316" s="1101"/>
      <c r="J316" s="1101"/>
      <c r="K316" s="1101"/>
      <c r="L316" s="1101"/>
      <c r="M316" s="1101"/>
      <c r="N316" s="1101"/>
      <c r="O316" s="1101"/>
      <c r="P316" s="1101"/>
      <c r="Q316" s="1101"/>
      <c r="R316" s="1101"/>
      <c r="S316" s="1101"/>
      <c r="T316" s="1101"/>
      <c r="U316" s="1101"/>
      <c r="V316" s="1101"/>
      <c r="W316" s="1101"/>
      <c r="X316" s="1101"/>
      <c r="Y316" s="1102"/>
      <c r="Z316" s="1102"/>
      <c r="AA316" s="1101"/>
    </row>
    <row r="317" ht="15.75" customHeight="1">
      <c r="A317" s="213"/>
      <c r="B317" s="213"/>
      <c r="C317" s="1101"/>
      <c r="D317" s="1101"/>
      <c r="E317" s="1101"/>
      <c r="F317" s="1101"/>
      <c r="G317" s="1101"/>
      <c r="H317" s="1101"/>
      <c r="I317" s="1101"/>
      <c r="J317" s="1101"/>
      <c r="K317" s="1101"/>
      <c r="L317" s="1101"/>
      <c r="M317" s="1101"/>
      <c r="N317" s="1101"/>
      <c r="O317" s="1101"/>
      <c r="P317" s="1101"/>
      <c r="Q317" s="1101"/>
      <c r="R317" s="1101"/>
      <c r="S317" s="1101"/>
      <c r="T317" s="1101"/>
      <c r="U317" s="1101"/>
      <c r="V317" s="1101"/>
      <c r="W317" s="1101"/>
      <c r="X317" s="1101"/>
      <c r="Y317" s="1102"/>
      <c r="Z317" s="1102"/>
      <c r="AA317" s="1101"/>
    </row>
    <row r="318" ht="15.75" customHeight="1">
      <c r="A318" s="213"/>
      <c r="B318" s="213"/>
      <c r="C318" s="1101"/>
      <c r="D318" s="1101"/>
      <c r="E318" s="1101"/>
      <c r="F318" s="1101"/>
      <c r="G318" s="1101"/>
      <c r="H318" s="1101"/>
      <c r="I318" s="1101"/>
      <c r="J318" s="1101"/>
      <c r="K318" s="1101"/>
      <c r="L318" s="1101"/>
      <c r="M318" s="1101"/>
      <c r="N318" s="1101"/>
      <c r="O318" s="1101"/>
      <c r="P318" s="1101"/>
      <c r="Q318" s="1101"/>
      <c r="R318" s="1101"/>
      <c r="S318" s="1101"/>
      <c r="T318" s="1101"/>
      <c r="U318" s="1101"/>
      <c r="V318" s="1101"/>
      <c r="W318" s="1101"/>
      <c r="X318" s="1101"/>
      <c r="Y318" s="1102"/>
      <c r="Z318" s="1102"/>
      <c r="AA318" s="1101"/>
    </row>
    <row r="319" ht="15.75" customHeight="1">
      <c r="A319" s="213"/>
      <c r="B319" s="213"/>
      <c r="C319" s="1101"/>
      <c r="D319" s="1101"/>
      <c r="E319" s="1101"/>
      <c r="F319" s="1101"/>
      <c r="G319" s="1101"/>
      <c r="H319" s="1101"/>
      <c r="I319" s="1101"/>
      <c r="J319" s="1101"/>
      <c r="K319" s="1101"/>
      <c r="L319" s="1101"/>
      <c r="M319" s="1101"/>
      <c r="N319" s="1101"/>
      <c r="O319" s="1101"/>
      <c r="P319" s="1101"/>
      <c r="Q319" s="1101"/>
      <c r="R319" s="1101"/>
      <c r="S319" s="1101"/>
      <c r="T319" s="1101"/>
      <c r="U319" s="1101"/>
      <c r="V319" s="1101"/>
      <c r="W319" s="1101"/>
      <c r="X319" s="1101"/>
      <c r="Y319" s="1102"/>
      <c r="Z319" s="1102"/>
      <c r="AA319" s="1101"/>
    </row>
    <row r="320" ht="15.75" customHeight="1">
      <c r="A320" s="213"/>
      <c r="B320" s="213"/>
      <c r="C320" s="1101"/>
      <c r="D320" s="1101"/>
      <c r="E320" s="1101"/>
      <c r="F320" s="1101"/>
      <c r="G320" s="1101"/>
      <c r="H320" s="1101"/>
      <c r="I320" s="1101"/>
      <c r="J320" s="1101"/>
      <c r="K320" s="1101"/>
      <c r="L320" s="1101"/>
      <c r="M320" s="1101"/>
      <c r="N320" s="1101"/>
      <c r="O320" s="1101"/>
      <c r="P320" s="1101"/>
      <c r="Q320" s="1101"/>
      <c r="R320" s="1101"/>
      <c r="S320" s="1101"/>
      <c r="T320" s="1101"/>
      <c r="U320" s="1101"/>
      <c r="V320" s="1101"/>
      <c r="W320" s="1101"/>
      <c r="X320" s="1101"/>
      <c r="Y320" s="1102"/>
      <c r="Z320" s="1102"/>
      <c r="AA320" s="1101"/>
    </row>
    <row r="321" ht="15.75" customHeight="1">
      <c r="A321" s="213"/>
      <c r="B321" s="213"/>
      <c r="C321" s="1101"/>
      <c r="D321" s="1101"/>
      <c r="E321" s="1101"/>
      <c r="F321" s="1101"/>
      <c r="G321" s="1101"/>
      <c r="H321" s="1101"/>
      <c r="I321" s="1101"/>
      <c r="J321" s="1101"/>
      <c r="K321" s="1101"/>
      <c r="L321" s="1101"/>
      <c r="M321" s="1101"/>
      <c r="N321" s="1101"/>
      <c r="O321" s="1101"/>
      <c r="P321" s="1101"/>
      <c r="Q321" s="1101"/>
      <c r="R321" s="1101"/>
      <c r="S321" s="1101"/>
      <c r="T321" s="1101"/>
      <c r="U321" s="1101"/>
      <c r="V321" s="1101"/>
      <c r="W321" s="1101"/>
      <c r="X321" s="1101"/>
      <c r="Y321" s="1102"/>
      <c r="Z321" s="1102"/>
      <c r="AA321" s="1101"/>
    </row>
    <row r="322" ht="15.75" customHeight="1">
      <c r="A322" s="213"/>
      <c r="B322" s="213"/>
      <c r="C322" s="1101"/>
      <c r="D322" s="1101"/>
      <c r="E322" s="1101"/>
      <c r="F322" s="1101"/>
      <c r="G322" s="1101"/>
      <c r="H322" s="1101"/>
      <c r="I322" s="1101"/>
      <c r="J322" s="1101"/>
      <c r="K322" s="1101"/>
      <c r="L322" s="1101"/>
      <c r="M322" s="1101"/>
      <c r="N322" s="1101"/>
      <c r="O322" s="1101"/>
      <c r="P322" s="1101"/>
      <c r="Q322" s="1101"/>
      <c r="R322" s="1101"/>
      <c r="S322" s="1101"/>
      <c r="T322" s="1101"/>
      <c r="U322" s="1101"/>
      <c r="V322" s="1101"/>
      <c r="W322" s="1101"/>
      <c r="X322" s="1101"/>
      <c r="Y322" s="1102"/>
      <c r="Z322" s="1102"/>
      <c r="AA322" s="1101"/>
    </row>
    <row r="323" ht="15.75" customHeight="1">
      <c r="A323" s="213"/>
      <c r="B323" s="213"/>
      <c r="C323" s="1101"/>
      <c r="D323" s="1101"/>
      <c r="E323" s="1101"/>
      <c r="F323" s="1101"/>
      <c r="G323" s="1101"/>
      <c r="H323" s="1101"/>
      <c r="I323" s="1101"/>
      <c r="J323" s="1101"/>
      <c r="K323" s="1101"/>
      <c r="L323" s="1101"/>
      <c r="M323" s="1101"/>
      <c r="N323" s="1101"/>
      <c r="O323" s="1101"/>
      <c r="P323" s="1101"/>
      <c r="Q323" s="1101"/>
      <c r="R323" s="1101"/>
      <c r="S323" s="1101"/>
      <c r="T323" s="1101"/>
      <c r="U323" s="1101"/>
      <c r="V323" s="1101"/>
      <c r="W323" s="1101"/>
      <c r="X323" s="1101"/>
      <c r="Y323" s="1102"/>
      <c r="Z323" s="1102"/>
      <c r="AA323" s="1101"/>
    </row>
    <row r="324" ht="15.75" customHeight="1">
      <c r="A324" s="213"/>
      <c r="B324" s="213"/>
      <c r="C324" s="1101"/>
      <c r="D324" s="1101"/>
      <c r="E324" s="1101"/>
      <c r="F324" s="1101"/>
      <c r="G324" s="1101"/>
      <c r="H324" s="1101"/>
      <c r="I324" s="1101"/>
      <c r="J324" s="1101"/>
      <c r="K324" s="1101"/>
      <c r="L324" s="1101"/>
      <c r="M324" s="1101"/>
      <c r="N324" s="1101"/>
      <c r="O324" s="1101"/>
      <c r="P324" s="1101"/>
      <c r="Q324" s="1101"/>
      <c r="R324" s="1101"/>
      <c r="S324" s="1101"/>
      <c r="T324" s="1101"/>
      <c r="U324" s="1101"/>
      <c r="V324" s="1101"/>
      <c r="W324" s="1101"/>
      <c r="X324" s="1101"/>
      <c r="Y324" s="1102"/>
      <c r="Z324" s="1102"/>
      <c r="AA324" s="1101"/>
    </row>
    <row r="325" ht="15.75" customHeight="1">
      <c r="A325" s="213"/>
      <c r="B325" s="213"/>
      <c r="C325" s="1101"/>
      <c r="D325" s="1101"/>
      <c r="E325" s="1101"/>
      <c r="F325" s="1101"/>
      <c r="G325" s="1101"/>
      <c r="H325" s="1101"/>
      <c r="I325" s="1101"/>
      <c r="J325" s="1101"/>
      <c r="K325" s="1101"/>
      <c r="L325" s="1101"/>
      <c r="M325" s="1101"/>
      <c r="N325" s="1101"/>
      <c r="O325" s="1101"/>
      <c r="P325" s="1101"/>
      <c r="Q325" s="1101"/>
      <c r="R325" s="1101"/>
      <c r="S325" s="1101"/>
      <c r="T325" s="1101"/>
      <c r="U325" s="1101"/>
      <c r="V325" s="1101"/>
      <c r="W325" s="1101"/>
      <c r="X325" s="1101"/>
      <c r="Y325" s="1102"/>
      <c r="Z325" s="1102"/>
      <c r="AA325" s="1101"/>
    </row>
    <row r="326" ht="15.75" customHeight="1">
      <c r="A326" s="213"/>
      <c r="B326" s="213"/>
      <c r="C326" s="1101"/>
      <c r="D326" s="1101"/>
      <c r="E326" s="1101"/>
      <c r="F326" s="1101"/>
      <c r="G326" s="1101"/>
      <c r="H326" s="1101"/>
      <c r="I326" s="1101"/>
      <c r="J326" s="1101"/>
      <c r="K326" s="1101"/>
      <c r="L326" s="1101"/>
      <c r="M326" s="1101"/>
      <c r="N326" s="1101"/>
      <c r="O326" s="1101"/>
      <c r="P326" s="1101"/>
      <c r="Q326" s="1101"/>
      <c r="R326" s="1101"/>
      <c r="S326" s="1101"/>
      <c r="T326" s="1101"/>
      <c r="U326" s="1101"/>
      <c r="V326" s="1101"/>
      <c r="W326" s="1101"/>
      <c r="X326" s="1101"/>
      <c r="Y326" s="1102"/>
      <c r="Z326" s="1102"/>
      <c r="AA326" s="1101"/>
    </row>
    <row r="327" ht="15.75" customHeight="1">
      <c r="A327" s="213"/>
      <c r="B327" s="213"/>
      <c r="C327" s="1101"/>
      <c r="D327" s="1101"/>
      <c r="E327" s="1101"/>
      <c r="F327" s="1101"/>
      <c r="G327" s="1101"/>
      <c r="H327" s="1101"/>
      <c r="I327" s="1101"/>
      <c r="J327" s="1101"/>
      <c r="K327" s="1101"/>
      <c r="L327" s="1101"/>
      <c r="M327" s="1101"/>
      <c r="N327" s="1101"/>
      <c r="O327" s="1101"/>
      <c r="P327" s="1101"/>
      <c r="Q327" s="1101"/>
      <c r="R327" s="1101"/>
      <c r="S327" s="1101"/>
      <c r="T327" s="1101"/>
      <c r="U327" s="1101"/>
      <c r="V327" s="1101"/>
      <c r="W327" s="1101"/>
      <c r="X327" s="1101"/>
      <c r="Y327" s="1102"/>
      <c r="Z327" s="1102"/>
      <c r="AA327" s="1101"/>
    </row>
    <row r="328" ht="15.75" customHeight="1">
      <c r="A328" s="213"/>
      <c r="B328" s="213"/>
      <c r="C328" s="1101"/>
      <c r="D328" s="1101"/>
      <c r="E328" s="1101"/>
      <c r="F328" s="1101"/>
      <c r="G328" s="1101"/>
      <c r="H328" s="1101"/>
      <c r="I328" s="1101"/>
      <c r="J328" s="1101"/>
      <c r="K328" s="1101"/>
      <c r="L328" s="1101"/>
      <c r="M328" s="1101"/>
      <c r="N328" s="1101"/>
      <c r="O328" s="1101"/>
      <c r="P328" s="1101"/>
      <c r="Q328" s="1101"/>
      <c r="R328" s="1101"/>
      <c r="S328" s="1101"/>
      <c r="T328" s="1101"/>
      <c r="U328" s="1101"/>
      <c r="V328" s="1101"/>
      <c r="W328" s="1101"/>
      <c r="X328" s="1101"/>
      <c r="Y328" s="1102"/>
      <c r="Z328" s="1102"/>
      <c r="AA328" s="1101"/>
    </row>
    <row r="329" ht="15.75" customHeight="1">
      <c r="A329" s="213"/>
      <c r="B329" s="213"/>
      <c r="C329" s="1101"/>
      <c r="D329" s="1101"/>
      <c r="E329" s="1101"/>
      <c r="F329" s="1101"/>
      <c r="G329" s="1101"/>
      <c r="H329" s="1101"/>
      <c r="I329" s="1101"/>
      <c r="J329" s="1101"/>
      <c r="K329" s="1101"/>
      <c r="L329" s="1101"/>
      <c r="M329" s="1101"/>
      <c r="N329" s="1101"/>
      <c r="O329" s="1101"/>
      <c r="P329" s="1101"/>
      <c r="Q329" s="1101"/>
      <c r="R329" s="1101"/>
      <c r="S329" s="1101"/>
      <c r="T329" s="1101"/>
      <c r="U329" s="1101"/>
      <c r="V329" s="1101"/>
      <c r="W329" s="1101"/>
      <c r="X329" s="1101"/>
      <c r="Y329" s="1102"/>
      <c r="Z329" s="1102"/>
      <c r="AA329" s="1101"/>
    </row>
    <row r="330" ht="15.75" customHeight="1">
      <c r="A330" s="213"/>
      <c r="B330" s="213"/>
      <c r="C330" s="1101"/>
      <c r="D330" s="1101"/>
      <c r="E330" s="1101"/>
      <c r="F330" s="1101"/>
      <c r="G330" s="1101"/>
      <c r="H330" s="1101"/>
      <c r="I330" s="1101"/>
      <c r="J330" s="1101"/>
      <c r="K330" s="1101"/>
      <c r="L330" s="1101"/>
      <c r="M330" s="1101"/>
      <c r="N330" s="1101"/>
      <c r="O330" s="1101"/>
      <c r="P330" s="1101"/>
      <c r="Q330" s="1101"/>
      <c r="R330" s="1101"/>
      <c r="S330" s="1101"/>
      <c r="T330" s="1101"/>
      <c r="U330" s="1101"/>
      <c r="V330" s="1101"/>
      <c r="W330" s="1101"/>
      <c r="X330" s="1101"/>
      <c r="Y330" s="1102"/>
      <c r="Z330" s="1102"/>
      <c r="AA330" s="1101"/>
    </row>
    <row r="331" ht="15.75" customHeight="1">
      <c r="A331" s="213"/>
      <c r="B331" s="213"/>
      <c r="C331" s="1101"/>
      <c r="D331" s="1101"/>
      <c r="E331" s="1101"/>
      <c r="F331" s="1101"/>
      <c r="G331" s="1101"/>
      <c r="H331" s="1101"/>
      <c r="I331" s="1101"/>
      <c r="J331" s="1101"/>
      <c r="K331" s="1101"/>
      <c r="L331" s="1101"/>
      <c r="M331" s="1101"/>
      <c r="N331" s="1101"/>
      <c r="O331" s="1101"/>
      <c r="P331" s="1101"/>
      <c r="Q331" s="1101"/>
      <c r="R331" s="1101"/>
      <c r="S331" s="1101"/>
      <c r="T331" s="1101"/>
      <c r="U331" s="1101"/>
      <c r="V331" s="1101"/>
      <c r="W331" s="1101"/>
      <c r="X331" s="1101"/>
      <c r="Y331" s="1102"/>
      <c r="Z331" s="1102"/>
      <c r="AA331" s="1101"/>
    </row>
    <row r="332" ht="15.75" customHeight="1">
      <c r="A332" s="213"/>
      <c r="B332" s="213"/>
      <c r="C332" s="1101"/>
      <c r="D332" s="1101"/>
      <c r="E332" s="1101"/>
      <c r="F332" s="1101"/>
      <c r="G332" s="1101"/>
      <c r="H332" s="1101"/>
      <c r="I332" s="1101"/>
      <c r="J332" s="1101"/>
      <c r="K332" s="1101"/>
      <c r="L332" s="1101"/>
      <c r="M332" s="1101"/>
      <c r="N332" s="1101"/>
      <c r="O332" s="1101"/>
      <c r="P332" s="1101"/>
      <c r="Q332" s="1101"/>
      <c r="R332" s="1101"/>
      <c r="S332" s="1101"/>
      <c r="T332" s="1101"/>
      <c r="U332" s="1101"/>
      <c r="V332" s="1101"/>
      <c r="W332" s="1101"/>
      <c r="X332" s="1101"/>
      <c r="Y332" s="1102"/>
      <c r="Z332" s="1102"/>
      <c r="AA332" s="1101"/>
    </row>
    <row r="333" ht="15.75" customHeight="1">
      <c r="A333" s="213"/>
      <c r="B333" s="213"/>
      <c r="C333" s="1101"/>
      <c r="D333" s="1101"/>
      <c r="E333" s="1101"/>
      <c r="F333" s="1101"/>
      <c r="G333" s="1101"/>
      <c r="H333" s="1101"/>
      <c r="I333" s="1101"/>
      <c r="J333" s="1101"/>
      <c r="K333" s="1101"/>
      <c r="L333" s="1101"/>
      <c r="M333" s="1101"/>
      <c r="N333" s="1101"/>
      <c r="O333" s="1101"/>
      <c r="P333" s="1101"/>
      <c r="Q333" s="1101"/>
      <c r="R333" s="1101"/>
      <c r="S333" s="1101"/>
      <c r="T333" s="1101"/>
      <c r="U333" s="1101"/>
      <c r="V333" s="1101"/>
      <c r="W333" s="1101"/>
      <c r="X333" s="1101"/>
      <c r="Y333" s="1102"/>
      <c r="Z333" s="1102"/>
      <c r="AA333" s="1101"/>
    </row>
    <row r="334" ht="15.75" customHeight="1">
      <c r="A334" s="213"/>
      <c r="B334" s="213"/>
      <c r="C334" s="1101"/>
      <c r="D334" s="1101"/>
      <c r="E334" s="1101"/>
      <c r="F334" s="1101"/>
      <c r="G334" s="1101"/>
      <c r="H334" s="1101"/>
      <c r="I334" s="1101"/>
      <c r="J334" s="1101"/>
      <c r="K334" s="1101"/>
      <c r="L334" s="1101"/>
      <c r="M334" s="1101"/>
      <c r="N334" s="1101"/>
      <c r="O334" s="1101"/>
      <c r="P334" s="1101"/>
      <c r="Q334" s="1101"/>
      <c r="R334" s="1101"/>
      <c r="S334" s="1101"/>
      <c r="T334" s="1101"/>
      <c r="U334" s="1101"/>
      <c r="V334" s="1101"/>
      <c r="W334" s="1101"/>
      <c r="X334" s="1101"/>
      <c r="Y334" s="1102"/>
      <c r="Z334" s="1102"/>
      <c r="AA334" s="1101"/>
    </row>
    <row r="335" ht="15.75" customHeight="1">
      <c r="A335" s="213"/>
      <c r="B335" s="213"/>
      <c r="C335" s="1101"/>
      <c r="D335" s="1101"/>
      <c r="E335" s="1101"/>
      <c r="F335" s="1101"/>
      <c r="G335" s="1101"/>
      <c r="H335" s="1101"/>
      <c r="I335" s="1101"/>
      <c r="J335" s="1101"/>
      <c r="K335" s="1101"/>
      <c r="L335" s="1101"/>
      <c r="M335" s="1101"/>
      <c r="N335" s="1101"/>
      <c r="O335" s="1101"/>
      <c r="P335" s="1101"/>
      <c r="Q335" s="1101"/>
      <c r="R335" s="1101"/>
      <c r="S335" s="1101"/>
      <c r="T335" s="1101"/>
      <c r="U335" s="1101"/>
      <c r="V335" s="1101"/>
      <c r="W335" s="1101"/>
      <c r="X335" s="1101"/>
      <c r="Y335" s="1102"/>
      <c r="Z335" s="1102"/>
      <c r="AA335" s="1101"/>
    </row>
    <row r="336" ht="15.75" customHeight="1">
      <c r="A336" s="213"/>
      <c r="B336" s="213"/>
      <c r="C336" s="1101"/>
      <c r="D336" s="1101"/>
      <c r="E336" s="1101"/>
      <c r="F336" s="1101"/>
      <c r="G336" s="1101"/>
      <c r="H336" s="1101"/>
      <c r="I336" s="1101"/>
      <c r="J336" s="1101"/>
      <c r="K336" s="1101"/>
      <c r="L336" s="1101"/>
      <c r="M336" s="1101"/>
      <c r="N336" s="1101"/>
      <c r="O336" s="1101"/>
      <c r="P336" s="1101"/>
      <c r="Q336" s="1101"/>
      <c r="R336" s="1101"/>
      <c r="S336" s="1101"/>
      <c r="T336" s="1101"/>
      <c r="U336" s="1101"/>
      <c r="V336" s="1101"/>
      <c r="W336" s="1101"/>
      <c r="X336" s="1101"/>
      <c r="Y336" s="1102"/>
      <c r="Z336" s="1102"/>
      <c r="AA336" s="1101"/>
    </row>
    <row r="337" ht="15.75" customHeight="1">
      <c r="A337" s="213"/>
      <c r="B337" s="213"/>
      <c r="C337" s="1101"/>
      <c r="D337" s="1101"/>
      <c r="E337" s="1101"/>
      <c r="F337" s="1101"/>
      <c r="G337" s="1101"/>
      <c r="H337" s="1101"/>
      <c r="I337" s="1101"/>
      <c r="J337" s="1101"/>
      <c r="K337" s="1101"/>
      <c r="L337" s="1101"/>
      <c r="M337" s="1101"/>
      <c r="N337" s="1101"/>
      <c r="O337" s="1101"/>
      <c r="P337" s="1101"/>
      <c r="Q337" s="1101"/>
      <c r="R337" s="1101"/>
      <c r="S337" s="1101"/>
      <c r="T337" s="1101"/>
      <c r="U337" s="1101"/>
      <c r="V337" s="1101"/>
      <c r="W337" s="1101"/>
      <c r="X337" s="1101"/>
      <c r="Y337" s="1102"/>
      <c r="Z337" s="1102"/>
      <c r="AA337" s="1101"/>
    </row>
    <row r="338" ht="15.75" customHeight="1">
      <c r="A338" s="213"/>
      <c r="B338" s="213"/>
      <c r="C338" s="1101"/>
      <c r="D338" s="1101"/>
      <c r="E338" s="1101"/>
      <c r="F338" s="1101"/>
      <c r="G338" s="1101"/>
      <c r="H338" s="1101"/>
      <c r="I338" s="1101"/>
      <c r="J338" s="1101"/>
      <c r="K338" s="1101"/>
      <c r="L338" s="1101"/>
      <c r="M338" s="1101"/>
      <c r="N338" s="1101"/>
      <c r="O338" s="1101"/>
      <c r="P338" s="1101"/>
      <c r="Q338" s="1101"/>
      <c r="R338" s="1101"/>
      <c r="S338" s="1101"/>
      <c r="T338" s="1101"/>
      <c r="U338" s="1101"/>
      <c r="V338" s="1101"/>
      <c r="W338" s="1101"/>
      <c r="X338" s="1101"/>
      <c r="Y338" s="1102"/>
      <c r="Z338" s="1102"/>
      <c r="AA338" s="1101"/>
    </row>
    <row r="339" ht="15.75" customHeight="1">
      <c r="A339" s="213"/>
      <c r="B339" s="213"/>
      <c r="C339" s="1101"/>
      <c r="D339" s="1101"/>
      <c r="E339" s="1101"/>
      <c r="F339" s="1101"/>
      <c r="G339" s="1101"/>
      <c r="H339" s="1101"/>
      <c r="I339" s="1101"/>
      <c r="J339" s="1101"/>
      <c r="K339" s="1101"/>
      <c r="L339" s="1101"/>
      <c r="M339" s="1101"/>
      <c r="N339" s="1101"/>
      <c r="O339" s="1101"/>
      <c r="P339" s="1101"/>
      <c r="Q339" s="1101"/>
      <c r="R339" s="1101"/>
      <c r="S339" s="1101"/>
      <c r="T339" s="1101"/>
      <c r="U339" s="1101"/>
      <c r="V339" s="1101"/>
      <c r="W339" s="1101"/>
      <c r="X339" s="1101"/>
      <c r="Y339" s="1102"/>
      <c r="Z339" s="1102"/>
      <c r="AA339" s="1101"/>
    </row>
    <row r="340" ht="15.75" customHeight="1">
      <c r="A340" s="213"/>
      <c r="B340" s="213"/>
      <c r="C340" s="1101"/>
      <c r="D340" s="1101"/>
      <c r="E340" s="1101"/>
      <c r="F340" s="1101"/>
      <c r="G340" s="1101"/>
      <c r="H340" s="1101"/>
      <c r="I340" s="1101"/>
      <c r="J340" s="1101"/>
      <c r="K340" s="1101"/>
      <c r="L340" s="1101"/>
      <c r="M340" s="1101"/>
      <c r="N340" s="1101"/>
      <c r="O340" s="1101"/>
      <c r="P340" s="1101"/>
      <c r="Q340" s="1101"/>
      <c r="R340" s="1101"/>
      <c r="S340" s="1101"/>
      <c r="T340" s="1101"/>
      <c r="U340" s="1101"/>
      <c r="V340" s="1101"/>
      <c r="W340" s="1101"/>
      <c r="X340" s="1101"/>
      <c r="Y340" s="1102"/>
      <c r="Z340" s="1102"/>
      <c r="AA340" s="1101"/>
    </row>
    <row r="341" ht="15.75" customHeight="1">
      <c r="A341" s="213"/>
      <c r="B341" s="213"/>
      <c r="C341" s="1101"/>
      <c r="D341" s="1101"/>
      <c r="E341" s="1101"/>
      <c r="F341" s="1101"/>
      <c r="G341" s="1101"/>
      <c r="H341" s="1101"/>
      <c r="I341" s="1101"/>
      <c r="J341" s="1101"/>
      <c r="K341" s="1101"/>
      <c r="L341" s="1101"/>
      <c r="M341" s="1101"/>
      <c r="N341" s="1101"/>
      <c r="O341" s="1101"/>
      <c r="P341" s="1101"/>
      <c r="Q341" s="1101"/>
      <c r="R341" s="1101"/>
      <c r="S341" s="1101"/>
      <c r="T341" s="1101"/>
      <c r="U341" s="1101"/>
      <c r="V341" s="1101"/>
      <c r="W341" s="1101"/>
      <c r="X341" s="1101"/>
      <c r="Y341" s="1102"/>
      <c r="Z341" s="1102"/>
      <c r="AA341" s="1101"/>
    </row>
    <row r="342" ht="15.75" customHeight="1">
      <c r="A342" s="213"/>
      <c r="B342" s="213"/>
      <c r="C342" s="1101"/>
      <c r="D342" s="1101"/>
      <c r="E342" s="1101"/>
      <c r="F342" s="1101"/>
      <c r="G342" s="1101"/>
      <c r="H342" s="1101"/>
      <c r="I342" s="1101"/>
      <c r="J342" s="1101"/>
      <c r="K342" s="1101"/>
      <c r="L342" s="1101"/>
      <c r="M342" s="1101"/>
      <c r="N342" s="1101"/>
      <c r="O342" s="1101"/>
      <c r="P342" s="1101"/>
      <c r="Q342" s="1101"/>
      <c r="R342" s="1101"/>
      <c r="S342" s="1101"/>
      <c r="T342" s="1101"/>
      <c r="U342" s="1101"/>
      <c r="V342" s="1101"/>
      <c r="W342" s="1101"/>
      <c r="X342" s="1101"/>
      <c r="Y342" s="1102"/>
      <c r="Z342" s="1102"/>
      <c r="AA342" s="1101"/>
    </row>
    <row r="343" ht="15.75" customHeight="1">
      <c r="A343" s="213"/>
      <c r="B343" s="213"/>
      <c r="C343" s="1101"/>
      <c r="D343" s="1101"/>
      <c r="E343" s="1101"/>
      <c r="F343" s="1101"/>
      <c r="G343" s="1101"/>
      <c r="H343" s="1101"/>
      <c r="I343" s="1101"/>
      <c r="J343" s="1101"/>
      <c r="K343" s="1101"/>
      <c r="L343" s="1101"/>
      <c r="M343" s="1101"/>
      <c r="N343" s="1101"/>
      <c r="O343" s="1101"/>
      <c r="P343" s="1101"/>
      <c r="Q343" s="1101"/>
      <c r="R343" s="1101"/>
      <c r="S343" s="1101"/>
      <c r="T343" s="1101"/>
      <c r="U343" s="1101"/>
      <c r="V343" s="1101"/>
      <c r="W343" s="1101"/>
      <c r="X343" s="1101"/>
      <c r="Y343" s="1102"/>
      <c r="Z343" s="1102"/>
      <c r="AA343" s="1101"/>
    </row>
    <row r="344" ht="15.75" customHeight="1">
      <c r="A344" s="213"/>
      <c r="B344" s="213"/>
      <c r="C344" s="1101"/>
      <c r="D344" s="1101"/>
      <c r="E344" s="1101"/>
      <c r="F344" s="1101"/>
      <c r="G344" s="1101"/>
      <c r="H344" s="1101"/>
      <c r="I344" s="1101"/>
      <c r="J344" s="1101"/>
      <c r="K344" s="1101"/>
      <c r="L344" s="1101"/>
      <c r="M344" s="1101"/>
      <c r="N344" s="1101"/>
      <c r="O344" s="1101"/>
      <c r="P344" s="1101"/>
      <c r="Q344" s="1101"/>
      <c r="R344" s="1101"/>
      <c r="S344" s="1101"/>
      <c r="T344" s="1101"/>
      <c r="U344" s="1101"/>
      <c r="V344" s="1101"/>
      <c r="W344" s="1101"/>
      <c r="X344" s="1101"/>
      <c r="Y344" s="1102"/>
      <c r="Z344" s="1102"/>
      <c r="AA344" s="1101"/>
    </row>
    <row r="345" ht="15.75" customHeight="1">
      <c r="A345" s="213"/>
      <c r="B345" s="213"/>
      <c r="C345" s="1101"/>
      <c r="D345" s="1101"/>
      <c r="E345" s="1101"/>
      <c r="F345" s="1101"/>
      <c r="G345" s="1101"/>
      <c r="H345" s="1101"/>
      <c r="I345" s="1101"/>
      <c r="J345" s="1101"/>
      <c r="K345" s="1101"/>
      <c r="L345" s="1101"/>
      <c r="M345" s="1101"/>
      <c r="N345" s="1101"/>
      <c r="O345" s="1101"/>
      <c r="P345" s="1101"/>
      <c r="Q345" s="1101"/>
      <c r="R345" s="1101"/>
      <c r="S345" s="1101"/>
      <c r="T345" s="1101"/>
      <c r="U345" s="1101"/>
      <c r="V345" s="1101"/>
      <c r="W345" s="1101"/>
      <c r="X345" s="1101"/>
      <c r="Y345" s="1102"/>
      <c r="Z345" s="1102"/>
      <c r="AA345" s="1101"/>
    </row>
    <row r="346" ht="15.75" customHeight="1">
      <c r="A346" s="213"/>
      <c r="B346" s="213"/>
      <c r="C346" s="1101"/>
      <c r="D346" s="1101"/>
      <c r="E346" s="1101"/>
      <c r="F346" s="1101"/>
      <c r="G346" s="1101"/>
      <c r="H346" s="1101"/>
      <c r="I346" s="1101"/>
      <c r="J346" s="1101"/>
      <c r="K346" s="1101"/>
      <c r="L346" s="1101"/>
      <c r="M346" s="1101"/>
      <c r="N346" s="1101"/>
      <c r="O346" s="1101"/>
      <c r="P346" s="1101"/>
      <c r="Q346" s="1101"/>
      <c r="R346" s="1101"/>
      <c r="S346" s="1101"/>
      <c r="T346" s="1101"/>
      <c r="U346" s="1101"/>
      <c r="V346" s="1101"/>
      <c r="W346" s="1101"/>
      <c r="X346" s="1101"/>
      <c r="Y346" s="1102"/>
      <c r="Z346" s="1102"/>
      <c r="AA346" s="1101"/>
    </row>
    <row r="347" ht="15.75" customHeight="1">
      <c r="A347" s="213"/>
      <c r="B347" s="213"/>
      <c r="C347" s="1101"/>
      <c r="D347" s="1101"/>
      <c r="E347" s="1101"/>
      <c r="F347" s="1101"/>
      <c r="G347" s="1101"/>
      <c r="H347" s="1101"/>
      <c r="I347" s="1101"/>
      <c r="J347" s="1101"/>
      <c r="K347" s="1101"/>
      <c r="L347" s="1101"/>
      <c r="M347" s="1101"/>
      <c r="N347" s="1101"/>
      <c r="O347" s="1101"/>
      <c r="P347" s="1101"/>
      <c r="Q347" s="1101"/>
      <c r="R347" s="1101"/>
      <c r="S347" s="1101"/>
      <c r="T347" s="1101"/>
      <c r="U347" s="1101"/>
      <c r="V347" s="1101"/>
      <c r="W347" s="1101"/>
      <c r="X347" s="1101"/>
      <c r="Y347" s="1102"/>
      <c r="Z347" s="1102"/>
      <c r="AA347" s="1101"/>
    </row>
    <row r="348" ht="15.75" customHeight="1">
      <c r="A348" s="213"/>
      <c r="B348" s="213"/>
      <c r="C348" s="1101"/>
      <c r="D348" s="1101"/>
      <c r="E348" s="1101"/>
      <c r="F348" s="1101"/>
      <c r="G348" s="1101"/>
      <c r="H348" s="1101"/>
      <c r="I348" s="1101"/>
      <c r="J348" s="1101"/>
      <c r="K348" s="1101"/>
      <c r="L348" s="1101"/>
      <c r="M348" s="1101"/>
      <c r="N348" s="1101"/>
      <c r="O348" s="1101"/>
      <c r="P348" s="1101"/>
      <c r="Q348" s="1101"/>
      <c r="R348" s="1101"/>
      <c r="S348" s="1101"/>
      <c r="T348" s="1101"/>
      <c r="U348" s="1101"/>
      <c r="V348" s="1101"/>
      <c r="W348" s="1101"/>
      <c r="X348" s="1101"/>
      <c r="Y348" s="1102"/>
      <c r="Z348" s="1102"/>
      <c r="AA348" s="1101"/>
    </row>
    <row r="349" ht="15.75" customHeight="1">
      <c r="A349" s="213"/>
      <c r="B349" s="213"/>
      <c r="C349" s="1101"/>
      <c r="D349" s="1101"/>
      <c r="E349" s="1101"/>
      <c r="F349" s="1101"/>
      <c r="G349" s="1101"/>
      <c r="H349" s="1101"/>
      <c r="I349" s="1101"/>
      <c r="J349" s="1101"/>
      <c r="K349" s="1101"/>
      <c r="L349" s="1101"/>
      <c r="M349" s="1101"/>
      <c r="N349" s="1101"/>
      <c r="O349" s="1101"/>
      <c r="P349" s="1101"/>
      <c r="Q349" s="1101"/>
      <c r="R349" s="1101"/>
      <c r="S349" s="1101"/>
      <c r="T349" s="1101"/>
      <c r="U349" s="1101"/>
      <c r="V349" s="1101"/>
      <c r="W349" s="1101"/>
      <c r="X349" s="1101"/>
      <c r="Y349" s="1102"/>
      <c r="Z349" s="1102"/>
      <c r="AA349" s="1101"/>
    </row>
    <row r="350" ht="15.75" customHeight="1">
      <c r="A350" s="213"/>
      <c r="B350" s="213"/>
      <c r="C350" s="1101"/>
      <c r="D350" s="1101"/>
      <c r="E350" s="1101"/>
      <c r="F350" s="1101"/>
      <c r="G350" s="1101"/>
      <c r="H350" s="1101"/>
      <c r="I350" s="1101"/>
      <c r="J350" s="1101"/>
      <c r="K350" s="1101"/>
      <c r="L350" s="1101"/>
      <c r="M350" s="1101"/>
      <c r="N350" s="1101"/>
      <c r="O350" s="1101"/>
      <c r="P350" s="1101"/>
      <c r="Q350" s="1101"/>
      <c r="R350" s="1101"/>
      <c r="S350" s="1101"/>
      <c r="T350" s="1101"/>
      <c r="U350" s="1101"/>
      <c r="V350" s="1101"/>
      <c r="W350" s="1101"/>
      <c r="X350" s="1101"/>
      <c r="Y350" s="1102"/>
      <c r="Z350" s="1102"/>
      <c r="AA350" s="1101"/>
    </row>
    <row r="351" ht="15.75" customHeight="1">
      <c r="A351" s="213"/>
      <c r="B351" s="213"/>
      <c r="C351" s="1101"/>
      <c r="D351" s="1101"/>
      <c r="E351" s="1101"/>
      <c r="F351" s="1101"/>
      <c r="G351" s="1101"/>
      <c r="H351" s="1101"/>
      <c r="I351" s="1101"/>
      <c r="J351" s="1101"/>
      <c r="K351" s="1101"/>
      <c r="L351" s="1101"/>
      <c r="M351" s="1101"/>
      <c r="N351" s="1101"/>
      <c r="O351" s="1101"/>
      <c r="P351" s="1101"/>
      <c r="Q351" s="1101"/>
      <c r="R351" s="1101"/>
      <c r="S351" s="1101"/>
      <c r="T351" s="1101"/>
      <c r="U351" s="1101"/>
      <c r="V351" s="1101"/>
      <c r="W351" s="1101"/>
      <c r="X351" s="1101"/>
      <c r="Y351" s="1102"/>
      <c r="Z351" s="1102"/>
      <c r="AA351" s="1101"/>
    </row>
    <row r="352" ht="15.75" customHeight="1">
      <c r="A352" s="213"/>
      <c r="B352" s="213"/>
      <c r="C352" s="1101"/>
      <c r="D352" s="1101"/>
      <c r="E352" s="1101"/>
      <c r="F352" s="1101"/>
      <c r="G352" s="1101"/>
      <c r="H352" s="1101"/>
      <c r="I352" s="1101"/>
      <c r="J352" s="1101"/>
      <c r="K352" s="1101"/>
      <c r="L352" s="1101"/>
      <c r="M352" s="1101"/>
      <c r="N352" s="1101"/>
      <c r="O352" s="1101"/>
      <c r="P352" s="1101"/>
      <c r="Q352" s="1101"/>
      <c r="R352" s="1101"/>
      <c r="S352" s="1101"/>
      <c r="T352" s="1101"/>
      <c r="U352" s="1101"/>
      <c r="V352" s="1101"/>
      <c r="W352" s="1101"/>
      <c r="X352" s="1101"/>
      <c r="Y352" s="1102"/>
      <c r="Z352" s="1102"/>
      <c r="AA352" s="1101"/>
    </row>
    <row r="353" ht="15.75" customHeight="1">
      <c r="A353" s="213"/>
      <c r="B353" s="213"/>
      <c r="C353" s="1101"/>
      <c r="D353" s="1101"/>
      <c r="E353" s="1101"/>
      <c r="F353" s="1101"/>
      <c r="G353" s="1101"/>
      <c r="H353" s="1101"/>
      <c r="I353" s="1101"/>
      <c r="J353" s="1101"/>
      <c r="K353" s="1101"/>
      <c r="L353" s="1101"/>
      <c r="M353" s="1101"/>
      <c r="N353" s="1101"/>
      <c r="O353" s="1101"/>
      <c r="P353" s="1101"/>
      <c r="Q353" s="1101"/>
      <c r="R353" s="1101"/>
      <c r="S353" s="1101"/>
      <c r="T353" s="1101"/>
      <c r="U353" s="1101"/>
      <c r="V353" s="1101"/>
      <c r="W353" s="1101"/>
      <c r="X353" s="1101"/>
      <c r="Y353" s="1102"/>
      <c r="Z353" s="1102"/>
      <c r="AA353" s="1101"/>
    </row>
    <row r="354" ht="15.75" customHeight="1">
      <c r="A354" s="213"/>
      <c r="B354" s="213"/>
      <c r="C354" s="1101"/>
      <c r="D354" s="1101"/>
      <c r="E354" s="1101"/>
      <c r="F354" s="1101"/>
      <c r="G354" s="1101"/>
      <c r="H354" s="1101"/>
      <c r="I354" s="1101"/>
      <c r="J354" s="1101"/>
      <c r="K354" s="1101"/>
      <c r="L354" s="1101"/>
      <c r="M354" s="1101"/>
      <c r="N354" s="1101"/>
      <c r="O354" s="1101"/>
      <c r="P354" s="1101"/>
      <c r="Q354" s="1101"/>
      <c r="R354" s="1101"/>
      <c r="S354" s="1101"/>
      <c r="T354" s="1101"/>
      <c r="U354" s="1101"/>
      <c r="V354" s="1101"/>
      <c r="W354" s="1101"/>
      <c r="X354" s="1101"/>
      <c r="Y354" s="1102"/>
      <c r="Z354" s="1102"/>
      <c r="AA354" s="1101"/>
    </row>
    <row r="355" ht="15.75" customHeight="1">
      <c r="A355" s="213"/>
      <c r="B355" s="213"/>
      <c r="C355" s="1101"/>
      <c r="D355" s="1101"/>
      <c r="E355" s="1101"/>
      <c r="F355" s="1101"/>
      <c r="G355" s="1101"/>
      <c r="H355" s="1101"/>
      <c r="I355" s="1101"/>
      <c r="J355" s="1101"/>
      <c r="K355" s="1101"/>
      <c r="L355" s="1101"/>
      <c r="M355" s="1101"/>
      <c r="N355" s="1101"/>
      <c r="O355" s="1101"/>
      <c r="P355" s="1101"/>
      <c r="Q355" s="1101"/>
      <c r="R355" s="1101"/>
      <c r="S355" s="1101"/>
      <c r="T355" s="1101"/>
      <c r="U355" s="1101"/>
      <c r="V355" s="1101"/>
      <c r="W355" s="1101"/>
      <c r="X355" s="1101"/>
      <c r="Y355" s="1102"/>
      <c r="Z355" s="1102"/>
      <c r="AA355" s="1101"/>
    </row>
    <row r="356" ht="15.75" customHeight="1">
      <c r="A356" s="213"/>
      <c r="B356" s="213"/>
      <c r="C356" s="1101"/>
      <c r="D356" s="1101"/>
      <c r="E356" s="1101"/>
      <c r="F356" s="1101"/>
      <c r="G356" s="1101"/>
      <c r="H356" s="1101"/>
      <c r="I356" s="1101"/>
      <c r="J356" s="1101"/>
      <c r="K356" s="1101"/>
      <c r="L356" s="1101"/>
      <c r="M356" s="1101"/>
      <c r="N356" s="1101"/>
      <c r="O356" s="1101"/>
      <c r="P356" s="1101"/>
      <c r="Q356" s="1101"/>
      <c r="R356" s="1101"/>
      <c r="S356" s="1101"/>
      <c r="T356" s="1101"/>
      <c r="U356" s="1101"/>
      <c r="V356" s="1101"/>
      <c r="W356" s="1101"/>
      <c r="X356" s="1101"/>
      <c r="Y356" s="1102"/>
      <c r="Z356" s="1102"/>
      <c r="AA356" s="1101"/>
    </row>
    <row r="357" ht="15.75" customHeight="1">
      <c r="A357" s="213"/>
      <c r="B357" s="213"/>
      <c r="C357" s="1101"/>
      <c r="D357" s="1101"/>
      <c r="E357" s="1101"/>
      <c r="F357" s="1101"/>
      <c r="G357" s="1101"/>
      <c r="H357" s="1101"/>
      <c r="I357" s="1101"/>
      <c r="J357" s="1101"/>
      <c r="K357" s="1101"/>
      <c r="L357" s="1101"/>
      <c r="M357" s="1101"/>
      <c r="N357" s="1101"/>
      <c r="O357" s="1101"/>
      <c r="P357" s="1101"/>
      <c r="Q357" s="1101"/>
      <c r="R357" s="1101"/>
      <c r="S357" s="1101"/>
      <c r="T357" s="1101"/>
      <c r="U357" s="1101"/>
      <c r="V357" s="1101"/>
      <c r="W357" s="1101"/>
      <c r="X357" s="1101"/>
      <c r="Y357" s="1102"/>
      <c r="Z357" s="1102"/>
      <c r="AA357" s="1101"/>
    </row>
    <row r="358" ht="15.75" customHeight="1">
      <c r="A358" s="213"/>
      <c r="B358" s="213"/>
      <c r="C358" s="1101"/>
      <c r="D358" s="1101"/>
      <c r="E358" s="1101"/>
      <c r="F358" s="1101"/>
      <c r="G358" s="1101"/>
      <c r="H358" s="1101"/>
      <c r="I358" s="1101"/>
      <c r="J358" s="1101"/>
      <c r="K358" s="1101"/>
      <c r="L358" s="1101"/>
      <c r="M358" s="1101"/>
      <c r="N358" s="1101"/>
      <c r="O358" s="1101"/>
      <c r="P358" s="1101"/>
      <c r="Q358" s="1101"/>
      <c r="R358" s="1101"/>
      <c r="S358" s="1101"/>
      <c r="T358" s="1101"/>
      <c r="U358" s="1101"/>
      <c r="V358" s="1101"/>
      <c r="W358" s="1101"/>
      <c r="X358" s="1101"/>
      <c r="Y358" s="1102"/>
      <c r="Z358" s="1102"/>
      <c r="AA358" s="1101"/>
    </row>
    <row r="359" ht="15.75" customHeight="1">
      <c r="A359" s="213"/>
      <c r="B359" s="213"/>
      <c r="C359" s="1101"/>
      <c r="D359" s="1101"/>
      <c r="E359" s="1101"/>
      <c r="F359" s="1101"/>
      <c r="G359" s="1101"/>
      <c r="H359" s="1101"/>
      <c r="I359" s="1101"/>
      <c r="J359" s="1101"/>
      <c r="K359" s="1101"/>
      <c r="L359" s="1101"/>
      <c r="M359" s="1101"/>
      <c r="N359" s="1101"/>
      <c r="O359" s="1101"/>
      <c r="P359" s="1101"/>
      <c r="Q359" s="1101"/>
      <c r="R359" s="1101"/>
      <c r="S359" s="1101"/>
      <c r="T359" s="1101"/>
      <c r="U359" s="1101"/>
      <c r="V359" s="1101"/>
      <c r="W359" s="1101"/>
      <c r="X359" s="1101"/>
      <c r="Y359" s="1102"/>
      <c r="Z359" s="1102"/>
      <c r="AA359" s="1101"/>
    </row>
    <row r="360" ht="15.75" customHeight="1">
      <c r="A360" s="213"/>
      <c r="B360" s="213"/>
      <c r="C360" s="1101"/>
      <c r="D360" s="1101"/>
      <c r="E360" s="1101"/>
      <c r="F360" s="1101"/>
      <c r="G360" s="1101"/>
      <c r="H360" s="1101"/>
      <c r="I360" s="1101"/>
      <c r="J360" s="1101"/>
      <c r="K360" s="1101"/>
      <c r="L360" s="1101"/>
      <c r="M360" s="1101"/>
      <c r="N360" s="1101"/>
      <c r="O360" s="1101"/>
      <c r="P360" s="1101"/>
      <c r="Q360" s="1101"/>
      <c r="R360" s="1101"/>
      <c r="S360" s="1101"/>
      <c r="T360" s="1101"/>
      <c r="U360" s="1101"/>
      <c r="V360" s="1101"/>
      <c r="W360" s="1101"/>
      <c r="X360" s="1101"/>
      <c r="Y360" s="1102"/>
      <c r="Z360" s="1102"/>
      <c r="AA360" s="1101"/>
    </row>
    <row r="361" ht="15.75" customHeight="1">
      <c r="A361" s="213"/>
      <c r="B361" s="213"/>
      <c r="C361" s="1101"/>
      <c r="D361" s="1101"/>
      <c r="E361" s="1101"/>
      <c r="F361" s="1101"/>
      <c r="G361" s="1101"/>
      <c r="H361" s="1101"/>
      <c r="I361" s="1101"/>
      <c r="J361" s="1101"/>
      <c r="K361" s="1101"/>
      <c r="L361" s="1101"/>
      <c r="M361" s="1101"/>
      <c r="N361" s="1101"/>
      <c r="O361" s="1101"/>
      <c r="P361" s="1101"/>
      <c r="Q361" s="1101"/>
      <c r="R361" s="1101"/>
      <c r="S361" s="1101"/>
      <c r="T361" s="1101"/>
      <c r="U361" s="1101"/>
      <c r="V361" s="1101"/>
      <c r="W361" s="1101"/>
      <c r="X361" s="1101"/>
      <c r="Y361" s="1102"/>
      <c r="Z361" s="1102"/>
      <c r="AA361" s="1101"/>
    </row>
    <row r="362" ht="15.75" customHeight="1">
      <c r="A362" s="213"/>
      <c r="B362" s="213"/>
      <c r="C362" s="1101"/>
      <c r="D362" s="1101"/>
      <c r="E362" s="1101"/>
      <c r="F362" s="1101"/>
      <c r="G362" s="1101"/>
      <c r="H362" s="1101"/>
      <c r="I362" s="1101"/>
      <c r="J362" s="1101"/>
      <c r="K362" s="1101"/>
      <c r="L362" s="1101"/>
      <c r="M362" s="1101"/>
      <c r="N362" s="1101"/>
      <c r="O362" s="1101"/>
      <c r="P362" s="1101"/>
      <c r="Q362" s="1101"/>
      <c r="R362" s="1101"/>
      <c r="S362" s="1101"/>
      <c r="T362" s="1101"/>
      <c r="U362" s="1101"/>
      <c r="V362" s="1101"/>
      <c r="W362" s="1101"/>
      <c r="X362" s="1101"/>
      <c r="Y362" s="1102"/>
      <c r="Z362" s="1102"/>
      <c r="AA362" s="1101"/>
    </row>
    <row r="363" ht="15.75" customHeight="1">
      <c r="A363" s="213"/>
      <c r="B363" s="213"/>
      <c r="C363" s="1101"/>
      <c r="D363" s="1101"/>
      <c r="E363" s="1101"/>
      <c r="F363" s="1101"/>
      <c r="G363" s="1101"/>
      <c r="H363" s="1101"/>
      <c r="I363" s="1101"/>
      <c r="J363" s="1101"/>
      <c r="K363" s="1101"/>
      <c r="L363" s="1101"/>
      <c r="M363" s="1101"/>
      <c r="N363" s="1101"/>
      <c r="O363" s="1101"/>
      <c r="P363" s="1101"/>
      <c r="Q363" s="1101"/>
      <c r="R363" s="1101"/>
      <c r="S363" s="1101"/>
      <c r="T363" s="1101"/>
      <c r="U363" s="1101"/>
      <c r="V363" s="1101"/>
      <c r="W363" s="1101"/>
      <c r="X363" s="1101"/>
      <c r="Y363" s="1102"/>
      <c r="Z363" s="1102"/>
      <c r="AA363" s="1101"/>
    </row>
    <row r="364" ht="15.75" customHeight="1">
      <c r="A364" s="213"/>
      <c r="B364" s="213"/>
      <c r="C364" s="1101"/>
      <c r="D364" s="1101"/>
      <c r="E364" s="1101"/>
      <c r="F364" s="1101"/>
      <c r="G364" s="1101"/>
      <c r="H364" s="1101"/>
      <c r="I364" s="1101"/>
      <c r="J364" s="1101"/>
      <c r="K364" s="1101"/>
      <c r="L364" s="1101"/>
      <c r="M364" s="1101"/>
      <c r="N364" s="1101"/>
      <c r="O364" s="1101"/>
      <c r="P364" s="1101"/>
      <c r="Q364" s="1101"/>
      <c r="R364" s="1101"/>
      <c r="S364" s="1101"/>
      <c r="T364" s="1101"/>
      <c r="U364" s="1101"/>
      <c r="V364" s="1101"/>
      <c r="W364" s="1101"/>
      <c r="X364" s="1101"/>
      <c r="Y364" s="1102"/>
      <c r="Z364" s="1102"/>
      <c r="AA364" s="1101"/>
    </row>
    <row r="365" ht="15.75" customHeight="1">
      <c r="A365" s="213"/>
      <c r="B365" s="213"/>
      <c r="C365" s="1101"/>
      <c r="D365" s="1101"/>
      <c r="E365" s="1101"/>
      <c r="F365" s="1101"/>
      <c r="G365" s="1101"/>
      <c r="H365" s="1101"/>
      <c r="I365" s="1101"/>
      <c r="J365" s="1101"/>
      <c r="K365" s="1101"/>
      <c r="L365" s="1101"/>
      <c r="M365" s="1101"/>
      <c r="N365" s="1101"/>
      <c r="O365" s="1101"/>
      <c r="P365" s="1101"/>
      <c r="Q365" s="1101"/>
      <c r="R365" s="1101"/>
      <c r="S365" s="1101"/>
      <c r="T365" s="1101"/>
      <c r="U365" s="1101"/>
      <c r="V365" s="1101"/>
      <c r="W365" s="1101"/>
      <c r="X365" s="1101"/>
      <c r="Y365" s="1102"/>
      <c r="Z365" s="1102"/>
      <c r="AA365" s="1101"/>
    </row>
    <row r="366" ht="15.75" customHeight="1">
      <c r="A366" s="213"/>
      <c r="B366" s="213"/>
      <c r="C366" s="1101"/>
      <c r="D366" s="1101"/>
      <c r="E366" s="1101"/>
      <c r="F366" s="1101"/>
      <c r="G366" s="1101"/>
      <c r="H366" s="1101"/>
      <c r="I366" s="1101"/>
      <c r="J366" s="1101"/>
      <c r="K366" s="1101"/>
      <c r="L366" s="1101"/>
      <c r="M366" s="1101"/>
      <c r="N366" s="1101"/>
      <c r="O366" s="1101"/>
      <c r="P366" s="1101"/>
      <c r="Q366" s="1101"/>
      <c r="R366" s="1101"/>
      <c r="S366" s="1101"/>
      <c r="T366" s="1101"/>
      <c r="U366" s="1101"/>
      <c r="V366" s="1101"/>
      <c r="W366" s="1101"/>
      <c r="X366" s="1101"/>
      <c r="Y366" s="1102"/>
      <c r="Z366" s="1102"/>
      <c r="AA366" s="1101"/>
    </row>
    <row r="367" ht="15.75" customHeight="1">
      <c r="A367" s="213"/>
      <c r="B367" s="213"/>
      <c r="C367" s="1101"/>
      <c r="D367" s="1101"/>
      <c r="E367" s="1101"/>
      <c r="F367" s="1101"/>
      <c r="G367" s="1101"/>
      <c r="H367" s="1101"/>
      <c r="I367" s="1101"/>
      <c r="J367" s="1101"/>
      <c r="K367" s="1101"/>
      <c r="L367" s="1101"/>
      <c r="M367" s="1101"/>
      <c r="N367" s="1101"/>
      <c r="O367" s="1101"/>
      <c r="P367" s="1101"/>
      <c r="Q367" s="1101"/>
      <c r="R367" s="1101"/>
      <c r="S367" s="1101"/>
      <c r="T367" s="1101"/>
      <c r="U367" s="1101"/>
      <c r="V367" s="1101"/>
      <c r="W367" s="1101"/>
      <c r="X367" s="1101"/>
      <c r="Y367" s="1102"/>
      <c r="Z367" s="1102"/>
      <c r="AA367" s="1101"/>
    </row>
    <row r="368" ht="15.75" customHeight="1">
      <c r="A368" s="213"/>
      <c r="B368" s="213"/>
      <c r="C368" s="1101"/>
      <c r="D368" s="1101"/>
      <c r="E368" s="1101"/>
      <c r="F368" s="1101"/>
      <c r="G368" s="1101"/>
      <c r="H368" s="1101"/>
      <c r="I368" s="1101"/>
      <c r="J368" s="1101"/>
      <c r="K368" s="1101"/>
      <c r="L368" s="1101"/>
      <c r="M368" s="1101"/>
      <c r="N368" s="1101"/>
      <c r="O368" s="1101"/>
      <c r="P368" s="1101"/>
      <c r="Q368" s="1101"/>
      <c r="R368" s="1101"/>
      <c r="S368" s="1101"/>
      <c r="T368" s="1101"/>
      <c r="U368" s="1101"/>
      <c r="V368" s="1101"/>
      <c r="W368" s="1101"/>
      <c r="X368" s="1101"/>
      <c r="Y368" s="1102"/>
      <c r="Z368" s="1102"/>
      <c r="AA368" s="1101"/>
    </row>
    <row r="369" ht="15.75" customHeight="1">
      <c r="A369" s="213"/>
      <c r="B369" s="213"/>
      <c r="C369" s="1101"/>
      <c r="D369" s="1101"/>
      <c r="E369" s="1101"/>
      <c r="F369" s="1101"/>
      <c r="G369" s="1101"/>
      <c r="H369" s="1101"/>
      <c r="I369" s="1101"/>
      <c r="J369" s="1101"/>
      <c r="K369" s="1101"/>
      <c r="L369" s="1101"/>
      <c r="M369" s="1101"/>
      <c r="N369" s="1101"/>
      <c r="O369" s="1101"/>
      <c r="P369" s="1101"/>
      <c r="Q369" s="1101"/>
      <c r="R369" s="1101"/>
      <c r="S369" s="1101"/>
      <c r="T369" s="1101"/>
      <c r="U369" s="1101"/>
      <c r="V369" s="1101"/>
      <c r="W369" s="1101"/>
      <c r="X369" s="1101"/>
      <c r="Y369" s="1102"/>
      <c r="Z369" s="1102"/>
      <c r="AA369" s="1101"/>
    </row>
    <row r="370" ht="15.75" customHeight="1">
      <c r="A370" s="213"/>
      <c r="B370" s="213"/>
      <c r="C370" s="1101"/>
      <c r="D370" s="1101"/>
      <c r="E370" s="1101"/>
      <c r="F370" s="1101"/>
      <c r="G370" s="1101"/>
      <c r="H370" s="1101"/>
      <c r="I370" s="1101"/>
      <c r="J370" s="1101"/>
      <c r="K370" s="1101"/>
      <c r="L370" s="1101"/>
      <c r="M370" s="1101"/>
      <c r="N370" s="1101"/>
      <c r="O370" s="1101"/>
      <c r="P370" s="1101"/>
      <c r="Q370" s="1101"/>
      <c r="R370" s="1101"/>
      <c r="S370" s="1101"/>
      <c r="T370" s="1101"/>
      <c r="U370" s="1101"/>
      <c r="V370" s="1101"/>
      <c r="W370" s="1101"/>
      <c r="X370" s="1101"/>
      <c r="Y370" s="1102"/>
      <c r="Z370" s="1102"/>
      <c r="AA370" s="1101"/>
    </row>
    <row r="371" ht="15.75" customHeight="1">
      <c r="A371" s="213"/>
      <c r="B371" s="213"/>
      <c r="C371" s="1101"/>
      <c r="D371" s="1101"/>
      <c r="E371" s="1101"/>
      <c r="F371" s="1101"/>
      <c r="G371" s="1101"/>
      <c r="H371" s="1101"/>
      <c r="I371" s="1101"/>
      <c r="J371" s="1101"/>
      <c r="K371" s="1101"/>
      <c r="L371" s="1101"/>
      <c r="M371" s="1101"/>
      <c r="N371" s="1101"/>
      <c r="O371" s="1101"/>
      <c r="P371" s="1101"/>
      <c r="Q371" s="1101"/>
      <c r="R371" s="1101"/>
      <c r="S371" s="1101"/>
      <c r="T371" s="1101"/>
      <c r="U371" s="1101"/>
      <c r="V371" s="1101"/>
      <c r="W371" s="1101"/>
      <c r="X371" s="1101"/>
      <c r="Y371" s="1102"/>
      <c r="Z371" s="1102"/>
      <c r="AA371" s="1101"/>
    </row>
    <row r="372" ht="15.75" customHeight="1">
      <c r="A372" s="213"/>
      <c r="B372" s="213"/>
      <c r="C372" s="1101"/>
      <c r="D372" s="1101"/>
      <c r="E372" s="1101"/>
      <c r="F372" s="1101"/>
      <c r="G372" s="1101"/>
      <c r="H372" s="1101"/>
      <c r="I372" s="1101"/>
      <c r="J372" s="1101"/>
      <c r="K372" s="1101"/>
      <c r="L372" s="1101"/>
      <c r="M372" s="1101"/>
      <c r="N372" s="1101"/>
      <c r="O372" s="1101"/>
      <c r="P372" s="1101"/>
      <c r="Q372" s="1101"/>
      <c r="R372" s="1101"/>
      <c r="S372" s="1101"/>
      <c r="T372" s="1101"/>
      <c r="U372" s="1101"/>
      <c r="V372" s="1101"/>
      <c r="W372" s="1101"/>
      <c r="X372" s="1101"/>
      <c r="Y372" s="1102"/>
      <c r="Z372" s="1102"/>
      <c r="AA372" s="1101"/>
    </row>
    <row r="373" ht="15.75" customHeight="1">
      <c r="A373" s="213"/>
      <c r="B373" s="213"/>
      <c r="C373" s="1101"/>
      <c r="D373" s="1101"/>
      <c r="E373" s="1101"/>
      <c r="F373" s="1101"/>
      <c r="G373" s="1101"/>
      <c r="H373" s="1101"/>
      <c r="I373" s="1101"/>
      <c r="J373" s="1101"/>
      <c r="K373" s="1101"/>
      <c r="L373" s="1101"/>
      <c r="M373" s="1101"/>
      <c r="N373" s="1101"/>
      <c r="O373" s="1101"/>
      <c r="P373" s="1101"/>
      <c r="Q373" s="1101"/>
      <c r="R373" s="1101"/>
      <c r="S373" s="1101"/>
      <c r="T373" s="1101"/>
      <c r="U373" s="1101"/>
      <c r="V373" s="1101"/>
      <c r="W373" s="1101"/>
      <c r="X373" s="1101"/>
      <c r="Y373" s="1102"/>
      <c r="Z373" s="1102"/>
      <c r="AA373" s="1101"/>
    </row>
    <row r="374" ht="15.75" customHeight="1">
      <c r="A374" s="213"/>
      <c r="B374" s="213"/>
      <c r="C374" s="1101"/>
      <c r="D374" s="1101"/>
      <c r="E374" s="1101"/>
      <c r="F374" s="1101"/>
      <c r="G374" s="1101"/>
      <c r="H374" s="1101"/>
      <c r="I374" s="1101"/>
      <c r="J374" s="1101"/>
      <c r="K374" s="1101"/>
      <c r="L374" s="1101"/>
      <c r="M374" s="1101"/>
      <c r="N374" s="1101"/>
      <c r="O374" s="1101"/>
      <c r="P374" s="1101"/>
      <c r="Q374" s="1101"/>
      <c r="R374" s="1101"/>
      <c r="S374" s="1101"/>
      <c r="T374" s="1101"/>
      <c r="U374" s="1101"/>
      <c r="V374" s="1101"/>
      <c r="W374" s="1101"/>
      <c r="X374" s="1101"/>
      <c r="Y374" s="1102"/>
      <c r="Z374" s="1102"/>
      <c r="AA374" s="1101"/>
    </row>
    <row r="375" ht="15.75" customHeight="1">
      <c r="A375" s="213"/>
      <c r="B375" s="213"/>
      <c r="C375" s="1101"/>
      <c r="D375" s="1101"/>
      <c r="E375" s="1101"/>
      <c r="F375" s="1101"/>
      <c r="G375" s="1101"/>
      <c r="H375" s="1101"/>
      <c r="I375" s="1101"/>
      <c r="J375" s="1101"/>
      <c r="K375" s="1101"/>
      <c r="L375" s="1101"/>
      <c r="M375" s="1101"/>
      <c r="N375" s="1101"/>
      <c r="O375" s="1101"/>
      <c r="P375" s="1101"/>
      <c r="Q375" s="1101"/>
      <c r="R375" s="1101"/>
      <c r="S375" s="1101"/>
      <c r="T375" s="1101"/>
      <c r="U375" s="1101"/>
      <c r="V375" s="1101"/>
      <c r="W375" s="1101"/>
      <c r="X375" s="1101"/>
      <c r="Y375" s="1102"/>
      <c r="Z375" s="1102"/>
      <c r="AA375" s="1101"/>
    </row>
    <row r="376" ht="15.75" customHeight="1">
      <c r="A376" s="213"/>
      <c r="B376" s="213"/>
      <c r="C376" s="1101"/>
      <c r="D376" s="1101"/>
      <c r="E376" s="1101"/>
      <c r="F376" s="1101"/>
      <c r="G376" s="1101"/>
      <c r="H376" s="1101"/>
      <c r="I376" s="1101"/>
      <c r="J376" s="1101"/>
      <c r="K376" s="1101"/>
      <c r="L376" s="1101"/>
      <c r="M376" s="1101"/>
      <c r="N376" s="1101"/>
      <c r="O376" s="1101"/>
      <c r="P376" s="1101"/>
      <c r="Q376" s="1101"/>
      <c r="R376" s="1101"/>
      <c r="S376" s="1101"/>
      <c r="T376" s="1101"/>
      <c r="U376" s="1101"/>
      <c r="V376" s="1101"/>
      <c r="W376" s="1101"/>
      <c r="X376" s="1101"/>
      <c r="Y376" s="1102"/>
      <c r="Z376" s="1102"/>
      <c r="AA376" s="1101"/>
    </row>
    <row r="377" ht="15.75" customHeight="1">
      <c r="A377" s="213"/>
      <c r="B377" s="213"/>
      <c r="C377" s="1101"/>
      <c r="D377" s="1101"/>
      <c r="E377" s="1101"/>
      <c r="F377" s="1101"/>
      <c r="G377" s="1101"/>
      <c r="H377" s="1101"/>
      <c r="I377" s="1101"/>
      <c r="J377" s="1101"/>
      <c r="K377" s="1101"/>
      <c r="L377" s="1101"/>
      <c r="M377" s="1101"/>
      <c r="N377" s="1101"/>
      <c r="O377" s="1101"/>
      <c r="P377" s="1101"/>
      <c r="Q377" s="1101"/>
      <c r="R377" s="1101"/>
      <c r="S377" s="1101"/>
      <c r="T377" s="1101"/>
      <c r="U377" s="1101"/>
      <c r="V377" s="1101"/>
      <c r="W377" s="1101"/>
      <c r="X377" s="1101"/>
      <c r="Y377" s="1102"/>
      <c r="Z377" s="1102"/>
      <c r="AA377" s="1101"/>
    </row>
    <row r="378" ht="15.75" customHeight="1">
      <c r="A378" s="213"/>
      <c r="B378" s="213"/>
      <c r="C378" s="1101"/>
      <c r="D378" s="1101"/>
      <c r="E378" s="1101"/>
      <c r="F378" s="1101"/>
      <c r="G378" s="1101"/>
      <c r="H378" s="1101"/>
      <c r="I378" s="1101"/>
      <c r="J378" s="1101"/>
      <c r="K378" s="1101"/>
      <c r="L378" s="1101"/>
      <c r="M378" s="1101"/>
      <c r="N378" s="1101"/>
      <c r="O378" s="1101"/>
      <c r="P378" s="1101"/>
      <c r="Q378" s="1101"/>
      <c r="R378" s="1101"/>
      <c r="S378" s="1101"/>
      <c r="T378" s="1101"/>
      <c r="U378" s="1101"/>
      <c r="V378" s="1101"/>
      <c r="W378" s="1101"/>
      <c r="X378" s="1101"/>
      <c r="Y378" s="1102"/>
      <c r="Z378" s="1102"/>
      <c r="AA378" s="1101"/>
    </row>
    <row r="379" ht="15.75" customHeight="1">
      <c r="A379" s="213"/>
      <c r="B379" s="213"/>
      <c r="C379" s="1101"/>
      <c r="D379" s="1101"/>
      <c r="E379" s="1101"/>
      <c r="F379" s="1101"/>
      <c r="G379" s="1101"/>
      <c r="H379" s="1101"/>
      <c r="I379" s="1101"/>
      <c r="J379" s="1101"/>
      <c r="K379" s="1101"/>
      <c r="L379" s="1101"/>
      <c r="M379" s="1101"/>
      <c r="N379" s="1101"/>
      <c r="O379" s="1101"/>
      <c r="P379" s="1101"/>
      <c r="Q379" s="1101"/>
      <c r="R379" s="1101"/>
      <c r="S379" s="1101"/>
      <c r="T379" s="1101"/>
      <c r="U379" s="1101"/>
      <c r="V379" s="1101"/>
      <c r="W379" s="1101"/>
      <c r="X379" s="1101"/>
      <c r="Y379" s="1102"/>
      <c r="Z379" s="1102"/>
      <c r="AA379" s="1101"/>
    </row>
    <row r="380" ht="15.75" customHeight="1">
      <c r="A380" s="213"/>
      <c r="B380" s="213"/>
      <c r="C380" s="1101"/>
      <c r="D380" s="1101"/>
      <c r="E380" s="1101"/>
      <c r="F380" s="1101"/>
      <c r="G380" s="1101"/>
      <c r="H380" s="1101"/>
      <c r="I380" s="1101"/>
      <c r="J380" s="1101"/>
      <c r="K380" s="1101"/>
      <c r="L380" s="1101"/>
      <c r="M380" s="1101"/>
      <c r="N380" s="1101"/>
      <c r="O380" s="1101"/>
      <c r="P380" s="1101"/>
      <c r="Q380" s="1101"/>
      <c r="R380" s="1101"/>
      <c r="S380" s="1101"/>
      <c r="T380" s="1101"/>
      <c r="U380" s="1101"/>
      <c r="V380" s="1101"/>
      <c r="W380" s="1101"/>
      <c r="X380" s="1101"/>
      <c r="Y380" s="1102"/>
      <c r="Z380" s="1102"/>
      <c r="AA380" s="1101"/>
    </row>
    <row r="381" ht="15.75" customHeight="1">
      <c r="A381" s="213"/>
      <c r="B381" s="213"/>
      <c r="C381" s="1101"/>
      <c r="D381" s="1101"/>
      <c r="E381" s="1101"/>
      <c r="F381" s="1101"/>
      <c r="G381" s="1101"/>
      <c r="H381" s="1101"/>
      <c r="I381" s="1101"/>
      <c r="J381" s="1101"/>
      <c r="K381" s="1101"/>
      <c r="L381" s="1101"/>
      <c r="M381" s="1101"/>
      <c r="N381" s="1101"/>
      <c r="O381" s="1101"/>
      <c r="P381" s="1101"/>
      <c r="Q381" s="1101"/>
      <c r="R381" s="1101"/>
      <c r="S381" s="1101"/>
      <c r="T381" s="1101"/>
      <c r="U381" s="1101"/>
      <c r="V381" s="1101"/>
      <c r="W381" s="1101"/>
      <c r="X381" s="1101"/>
      <c r="Y381" s="1102"/>
      <c r="Z381" s="1102"/>
      <c r="AA381" s="1101"/>
    </row>
    <row r="382" ht="15.75" customHeight="1">
      <c r="A382" s="213"/>
      <c r="B382" s="213"/>
      <c r="C382" s="1101"/>
      <c r="D382" s="1101"/>
      <c r="E382" s="1101"/>
      <c r="F382" s="1101"/>
      <c r="G382" s="1101"/>
      <c r="H382" s="1101"/>
      <c r="I382" s="1101"/>
      <c r="J382" s="1101"/>
      <c r="K382" s="1101"/>
      <c r="L382" s="1101"/>
      <c r="M382" s="1101"/>
      <c r="N382" s="1101"/>
      <c r="O382" s="1101"/>
      <c r="P382" s="1101"/>
      <c r="Q382" s="1101"/>
      <c r="R382" s="1101"/>
      <c r="S382" s="1101"/>
      <c r="T382" s="1101"/>
      <c r="U382" s="1101"/>
      <c r="V382" s="1101"/>
      <c r="W382" s="1101"/>
      <c r="X382" s="1101"/>
      <c r="Y382" s="1102"/>
      <c r="Z382" s="1102"/>
      <c r="AA382" s="1101"/>
    </row>
    <row r="383" ht="15.75" customHeight="1">
      <c r="A383" s="213"/>
      <c r="B383" s="213"/>
      <c r="C383" s="1101"/>
      <c r="D383" s="1101"/>
      <c r="E383" s="1101"/>
      <c r="F383" s="1101"/>
      <c r="G383" s="1101"/>
      <c r="H383" s="1101"/>
      <c r="I383" s="1101"/>
      <c r="J383" s="1101"/>
      <c r="K383" s="1101"/>
      <c r="L383" s="1101"/>
      <c r="M383" s="1101"/>
      <c r="N383" s="1101"/>
      <c r="O383" s="1101"/>
      <c r="P383" s="1101"/>
      <c r="Q383" s="1101"/>
      <c r="R383" s="1101"/>
      <c r="S383" s="1101"/>
      <c r="T383" s="1101"/>
      <c r="U383" s="1101"/>
      <c r="V383" s="1101"/>
      <c r="W383" s="1101"/>
      <c r="X383" s="1101"/>
      <c r="Y383" s="1102"/>
      <c r="Z383" s="1102"/>
      <c r="AA383" s="1101"/>
    </row>
    <row r="384" ht="15.75" customHeight="1">
      <c r="A384" s="213"/>
      <c r="B384" s="213"/>
      <c r="C384" s="1101"/>
      <c r="D384" s="1101"/>
      <c r="E384" s="1101"/>
      <c r="F384" s="1101"/>
      <c r="G384" s="1101"/>
      <c r="H384" s="1101"/>
      <c r="I384" s="1101"/>
      <c r="J384" s="1101"/>
      <c r="K384" s="1101"/>
      <c r="L384" s="1101"/>
      <c r="M384" s="1101"/>
      <c r="N384" s="1101"/>
      <c r="O384" s="1101"/>
      <c r="P384" s="1101"/>
      <c r="Q384" s="1101"/>
      <c r="R384" s="1101"/>
      <c r="S384" s="1101"/>
      <c r="T384" s="1101"/>
      <c r="U384" s="1101"/>
      <c r="V384" s="1101"/>
      <c r="W384" s="1101"/>
      <c r="X384" s="1101"/>
      <c r="Y384" s="1102"/>
      <c r="Z384" s="1102"/>
      <c r="AA384" s="1101"/>
    </row>
    <row r="385" ht="15.75" customHeight="1">
      <c r="A385" s="213"/>
      <c r="B385" s="213"/>
      <c r="C385" s="1101"/>
      <c r="D385" s="1101"/>
      <c r="E385" s="1101"/>
      <c r="F385" s="1101"/>
      <c r="G385" s="1101"/>
      <c r="H385" s="1101"/>
      <c r="I385" s="1101"/>
      <c r="J385" s="1101"/>
      <c r="K385" s="1101"/>
      <c r="L385" s="1101"/>
      <c r="M385" s="1101"/>
      <c r="N385" s="1101"/>
      <c r="O385" s="1101"/>
      <c r="P385" s="1101"/>
      <c r="Q385" s="1101"/>
      <c r="R385" s="1101"/>
      <c r="S385" s="1101"/>
      <c r="T385" s="1101"/>
      <c r="U385" s="1101"/>
      <c r="V385" s="1101"/>
      <c r="W385" s="1101"/>
      <c r="X385" s="1101"/>
      <c r="Y385" s="1102"/>
      <c r="Z385" s="1102"/>
      <c r="AA385" s="1101"/>
    </row>
    <row r="386" ht="15.75" customHeight="1">
      <c r="A386" s="213"/>
      <c r="B386" s="213"/>
      <c r="C386" s="1101"/>
      <c r="D386" s="1101"/>
      <c r="E386" s="1101"/>
      <c r="F386" s="1101"/>
      <c r="G386" s="1101"/>
      <c r="H386" s="1101"/>
      <c r="I386" s="1101"/>
      <c r="J386" s="1101"/>
      <c r="K386" s="1101"/>
      <c r="L386" s="1101"/>
      <c r="M386" s="1101"/>
      <c r="N386" s="1101"/>
      <c r="O386" s="1101"/>
      <c r="P386" s="1101"/>
      <c r="Q386" s="1101"/>
      <c r="R386" s="1101"/>
      <c r="S386" s="1101"/>
      <c r="T386" s="1101"/>
      <c r="U386" s="1101"/>
      <c r="V386" s="1101"/>
      <c r="W386" s="1101"/>
      <c r="X386" s="1101"/>
      <c r="Y386" s="1102"/>
      <c r="Z386" s="1102"/>
      <c r="AA386" s="1101"/>
    </row>
    <row r="387" ht="15.75" customHeight="1">
      <c r="A387" s="213"/>
      <c r="B387" s="213"/>
      <c r="C387" s="1101"/>
      <c r="D387" s="1101"/>
      <c r="E387" s="1101"/>
      <c r="F387" s="1101"/>
      <c r="G387" s="1101"/>
      <c r="H387" s="1101"/>
      <c r="I387" s="1101"/>
      <c r="J387" s="1101"/>
      <c r="K387" s="1101"/>
      <c r="L387" s="1101"/>
      <c r="M387" s="1101"/>
      <c r="N387" s="1101"/>
      <c r="O387" s="1101"/>
      <c r="P387" s="1101"/>
      <c r="Q387" s="1101"/>
      <c r="R387" s="1101"/>
      <c r="S387" s="1101"/>
      <c r="T387" s="1101"/>
      <c r="U387" s="1101"/>
      <c r="V387" s="1101"/>
      <c r="W387" s="1101"/>
      <c r="X387" s="1101"/>
      <c r="Y387" s="1102"/>
      <c r="Z387" s="1102"/>
      <c r="AA387" s="1101"/>
    </row>
    <row r="388" ht="15.75" customHeight="1">
      <c r="A388" s="213"/>
      <c r="B388" s="213"/>
      <c r="C388" s="1101"/>
      <c r="D388" s="1101"/>
      <c r="E388" s="1101"/>
      <c r="F388" s="1101"/>
      <c r="G388" s="1101"/>
      <c r="H388" s="1101"/>
      <c r="I388" s="1101"/>
      <c r="J388" s="1101"/>
      <c r="K388" s="1101"/>
      <c r="L388" s="1101"/>
      <c r="M388" s="1101"/>
      <c r="N388" s="1101"/>
      <c r="O388" s="1101"/>
      <c r="P388" s="1101"/>
      <c r="Q388" s="1101"/>
      <c r="R388" s="1101"/>
      <c r="S388" s="1101"/>
      <c r="T388" s="1101"/>
      <c r="U388" s="1101"/>
      <c r="V388" s="1101"/>
      <c r="W388" s="1101"/>
      <c r="X388" s="1101"/>
      <c r="Y388" s="1102"/>
      <c r="Z388" s="1102"/>
      <c r="AA388" s="1101"/>
    </row>
    <row r="389" ht="15.75" customHeight="1">
      <c r="A389" s="213"/>
      <c r="B389" s="213"/>
      <c r="C389" s="1101"/>
      <c r="D389" s="1101"/>
      <c r="E389" s="1101"/>
      <c r="F389" s="1101"/>
      <c r="G389" s="1101"/>
      <c r="H389" s="1101"/>
      <c r="I389" s="1101"/>
      <c r="J389" s="1101"/>
      <c r="K389" s="1101"/>
      <c r="L389" s="1101"/>
      <c r="M389" s="1101"/>
      <c r="N389" s="1101"/>
      <c r="O389" s="1101"/>
      <c r="P389" s="1101"/>
      <c r="Q389" s="1101"/>
      <c r="R389" s="1101"/>
      <c r="S389" s="1101"/>
      <c r="T389" s="1101"/>
      <c r="U389" s="1101"/>
      <c r="V389" s="1101"/>
      <c r="W389" s="1101"/>
      <c r="X389" s="1101"/>
      <c r="Y389" s="1102"/>
      <c r="Z389" s="1102"/>
      <c r="AA389" s="1101"/>
    </row>
    <row r="390" ht="15.75" customHeight="1">
      <c r="A390" s="213"/>
      <c r="B390" s="213"/>
      <c r="C390" s="1101"/>
      <c r="D390" s="1101"/>
      <c r="E390" s="1101"/>
      <c r="F390" s="1101"/>
      <c r="G390" s="1101"/>
      <c r="H390" s="1101"/>
      <c r="I390" s="1101"/>
      <c r="J390" s="1101"/>
      <c r="K390" s="1101"/>
      <c r="L390" s="1101"/>
      <c r="M390" s="1101"/>
      <c r="N390" s="1101"/>
      <c r="O390" s="1101"/>
      <c r="P390" s="1101"/>
      <c r="Q390" s="1101"/>
      <c r="R390" s="1101"/>
      <c r="S390" s="1101"/>
      <c r="T390" s="1101"/>
      <c r="U390" s="1101"/>
      <c r="V390" s="1101"/>
      <c r="W390" s="1101"/>
      <c r="X390" s="1101"/>
      <c r="Y390" s="1102"/>
      <c r="Z390" s="1102"/>
      <c r="AA390" s="1101"/>
    </row>
    <row r="391" ht="15.75" customHeight="1">
      <c r="A391" s="213"/>
      <c r="B391" s="213"/>
      <c r="C391" s="1101"/>
      <c r="D391" s="1101"/>
      <c r="E391" s="1101"/>
      <c r="F391" s="1101"/>
      <c r="G391" s="1101"/>
      <c r="H391" s="1101"/>
      <c r="I391" s="1101"/>
      <c r="J391" s="1101"/>
      <c r="K391" s="1101"/>
      <c r="L391" s="1101"/>
      <c r="M391" s="1101"/>
      <c r="N391" s="1101"/>
      <c r="O391" s="1101"/>
      <c r="P391" s="1101"/>
      <c r="Q391" s="1101"/>
      <c r="R391" s="1101"/>
      <c r="S391" s="1101"/>
      <c r="T391" s="1101"/>
      <c r="U391" s="1101"/>
      <c r="V391" s="1101"/>
      <c r="W391" s="1101"/>
      <c r="X391" s="1101"/>
      <c r="Y391" s="1102"/>
      <c r="Z391" s="1102"/>
      <c r="AA391" s="1101"/>
    </row>
    <row r="392" ht="15.75" customHeight="1">
      <c r="A392" s="213"/>
      <c r="B392" s="213"/>
      <c r="C392" s="1101"/>
      <c r="D392" s="1101"/>
      <c r="E392" s="1101"/>
      <c r="F392" s="1101"/>
      <c r="G392" s="1101"/>
      <c r="H392" s="1101"/>
      <c r="I392" s="1101"/>
      <c r="J392" s="1101"/>
      <c r="K392" s="1101"/>
      <c r="L392" s="1101"/>
      <c r="M392" s="1101"/>
      <c r="N392" s="1101"/>
      <c r="O392" s="1101"/>
      <c r="P392" s="1101"/>
      <c r="Q392" s="1101"/>
      <c r="R392" s="1101"/>
      <c r="S392" s="1101"/>
      <c r="T392" s="1101"/>
      <c r="U392" s="1101"/>
      <c r="V392" s="1101"/>
      <c r="W392" s="1101"/>
      <c r="X392" s="1101"/>
      <c r="Y392" s="1102"/>
      <c r="Z392" s="1102"/>
      <c r="AA392" s="1101"/>
    </row>
    <row r="393" ht="15.75" customHeight="1">
      <c r="A393" s="213"/>
      <c r="B393" s="213"/>
      <c r="C393" s="1101"/>
      <c r="D393" s="1101"/>
      <c r="E393" s="1101"/>
      <c r="F393" s="1101"/>
      <c r="G393" s="1101"/>
      <c r="H393" s="1101"/>
      <c r="I393" s="1101"/>
      <c r="J393" s="1101"/>
      <c r="K393" s="1101"/>
      <c r="L393" s="1101"/>
      <c r="M393" s="1101"/>
      <c r="N393" s="1101"/>
      <c r="O393" s="1101"/>
      <c r="P393" s="1101"/>
      <c r="Q393" s="1101"/>
      <c r="R393" s="1101"/>
      <c r="S393" s="1101"/>
      <c r="T393" s="1101"/>
      <c r="U393" s="1101"/>
      <c r="V393" s="1101"/>
      <c r="W393" s="1101"/>
      <c r="X393" s="1101"/>
      <c r="Y393" s="1102"/>
      <c r="Z393" s="1102"/>
      <c r="AA393" s="1101"/>
    </row>
    <row r="394" ht="15.75" customHeight="1">
      <c r="A394" s="213"/>
      <c r="B394" s="213"/>
      <c r="C394" s="1101"/>
      <c r="D394" s="1101"/>
      <c r="E394" s="1101"/>
      <c r="F394" s="1101"/>
      <c r="G394" s="1101"/>
      <c r="H394" s="1101"/>
      <c r="I394" s="1101"/>
      <c r="J394" s="1101"/>
      <c r="K394" s="1101"/>
      <c r="L394" s="1101"/>
      <c r="M394" s="1101"/>
      <c r="N394" s="1101"/>
      <c r="O394" s="1101"/>
      <c r="P394" s="1101"/>
      <c r="Q394" s="1101"/>
      <c r="R394" s="1101"/>
      <c r="S394" s="1101"/>
      <c r="T394" s="1101"/>
      <c r="U394" s="1101"/>
      <c r="V394" s="1101"/>
      <c r="W394" s="1101"/>
      <c r="X394" s="1101"/>
      <c r="Y394" s="1102"/>
      <c r="Z394" s="1102"/>
      <c r="AA394" s="1101"/>
    </row>
    <row r="395" ht="15.75" customHeight="1">
      <c r="A395" s="213"/>
      <c r="B395" s="213"/>
      <c r="C395" s="1101"/>
      <c r="D395" s="1101"/>
      <c r="E395" s="1101"/>
      <c r="F395" s="1101"/>
      <c r="G395" s="1101"/>
      <c r="H395" s="1101"/>
      <c r="I395" s="1101"/>
      <c r="J395" s="1101"/>
      <c r="K395" s="1101"/>
      <c r="L395" s="1101"/>
      <c r="M395" s="1101"/>
      <c r="N395" s="1101"/>
      <c r="O395" s="1101"/>
      <c r="P395" s="1101"/>
      <c r="Q395" s="1101"/>
      <c r="R395" s="1101"/>
      <c r="S395" s="1101"/>
      <c r="T395" s="1101"/>
      <c r="U395" s="1101"/>
      <c r="V395" s="1101"/>
      <c r="W395" s="1101"/>
      <c r="X395" s="1101"/>
      <c r="Y395" s="1102"/>
      <c r="Z395" s="1102"/>
      <c r="AA395" s="1101"/>
    </row>
    <row r="396" ht="15.75" customHeight="1">
      <c r="A396" s="213"/>
      <c r="B396" s="213"/>
      <c r="C396" s="1101"/>
      <c r="D396" s="1101"/>
      <c r="E396" s="1101"/>
      <c r="F396" s="1101"/>
      <c r="G396" s="1101"/>
      <c r="H396" s="1101"/>
      <c r="I396" s="1101"/>
      <c r="J396" s="1101"/>
      <c r="K396" s="1101"/>
      <c r="L396" s="1101"/>
      <c r="M396" s="1101"/>
      <c r="N396" s="1101"/>
      <c r="O396" s="1101"/>
      <c r="P396" s="1101"/>
      <c r="Q396" s="1101"/>
      <c r="R396" s="1101"/>
      <c r="S396" s="1101"/>
      <c r="T396" s="1101"/>
      <c r="U396" s="1101"/>
      <c r="V396" s="1101"/>
      <c r="W396" s="1101"/>
      <c r="X396" s="1101"/>
      <c r="Y396" s="1102"/>
      <c r="Z396" s="1102"/>
      <c r="AA396" s="1101"/>
    </row>
    <row r="397" ht="15.75" customHeight="1">
      <c r="A397" s="213"/>
      <c r="B397" s="213"/>
      <c r="C397" s="1101"/>
      <c r="D397" s="1101"/>
      <c r="E397" s="1101"/>
      <c r="F397" s="1101"/>
      <c r="G397" s="1101"/>
      <c r="H397" s="1101"/>
      <c r="I397" s="1101"/>
      <c r="J397" s="1101"/>
      <c r="K397" s="1101"/>
      <c r="L397" s="1101"/>
      <c r="M397" s="1101"/>
      <c r="N397" s="1101"/>
      <c r="O397" s="1101"/>
      <c r="P397" s="1101"/>
      <c r="Q397" s="1101"/>
      <c r="R397" s="1101"/>
      <c r="S397" s="1101"/>
      <c r="T397" s="1101"/>
      <c r="U397" s="1101"/>
      <c r="V397" s="1101"/>
      <c r="W397" s="1101"/>
      <c r="X397" s="1101"/>
      <c r="Y397" s="1102"/>
      <c r="Z397" s="1102"/>
      <c r="AA397" s="1101"/>
    </row>
    <row r="398" ht="15.75" customHeight="1">
      <c r="A398" s="213"/>
      <c r="B398" s="213"/>
      <c r="C398" s="1101"/>
      <c r="D398" s="1101"/>
      <c r="E398" s="1101"/>
      <c r="F398" s="1101"/>
      <c r="G398" s="1101"/>
      <c r="H398" s="1101"/>
      <c r="I398" s="1101"/>
      <c r="J398" s="1101"/>
      <c r="K398" s="1101"/>
      <c r="L398" s="1101"/>
      <c r="M398" s="1101"/>
      <c r="N398" s="1101"/>
      <c r="O398" s="1101"/>
      <c r="P398" s="1101"/>
      <c r="Q398" s="1101"/>
      <c r="R398" s="1101"/>
      <c r="S398" s="1101"/>
      <c r="T398" s="1101"/>
      <c r="U398" s="1101"/>
      <c r="V398" s="1101"/>
      <c r="W398" s="1101"/>
      <c r="X398" s="1101"/>
      <c r="Y398" s="1102"/>
      <c r="Z398" s="1102"/>
      <c r="AA398" s="1101"/>
    </row>
    <row r="399" ht="15.75" customHeight="1">
      <c r="A399" s="213"/>
      <c r="B399" s="213"/>
      <c r="C399" s="1101"/>
      <c r="D399" s="1101"/>
      <c r="E399" s="1101"/>
      <c r="F399" s="1101"/>
      <c r="G399" s="1101"/>
      <c r="H399" s="1101"/>
      <c r="I399" s="1101"/>
      <c r="J399" s="1101"/>
      <c r="K399" s="1101"/>
      <c r="L399" s="1101"/>
      <c r="M399" s="1101"/>
      <c r="N399" s="1101"/>
      <c r="O399" s="1101"/>
      <c r="P399" s="1101"/>
      <c r="Q399" s="1101"/>
      <c r="R399" s="1101"/>
      <c r="S399" s="1101"/>
      <c r="T399" s="1101"/>
      <c r="U399" s="1101"/>
      <c r="V399" s="1101"/>
      <c r="W399" s="1101"/>
      <c r="X399" s="1101"/>
      <c r="Y399" s="1102"/>
      <c r="Z399" s="1102"/>
      <c r="AA399" s="1101"/>
    </row>
    <row r="400" ht="15.75" customHeight="1">
      <c r="A400" s="213"/>
      <c r="B400" s="213"/>
      <c r="C400" s="1101"/>
      <c r="D400" s="1101"/>
      <c r="E400" s="1101"/>
      <c r="F400" s="1101"/>
      <c r="G400" s="1101"/>
      <c r="H400" s="1101"/>
      <c r="I400" s="1101"/>
      <c r="J400" s="1101"/>
      <c r="K400" s="1101"/>
      <c r="L400" s="1101"/>
      <c r="M400" s="1101"/>
      <c r="N400" s="1101"/>
      <c r="O400" s="1101"/>
      <c r="P400" s="1101"/>
      <c r="Q400" s="1101"/>
      <c r="R400" s="1101"/>
      <c r="S400" s="1101"/>
      <c r="T400" s="1101"/>
      <c r="U400" s="1101"/>
      <c r="V400" s="1101"/>
      <c r="W400" s="1101"/>
      <c r="X400" s="1101"/>
      <c r="Y400" s="1102"/>
      <c r="Z400" s="1102"/>
      <c r="AA400" s="1101"/>
    </row>
    <row r="401" ht="15.75" customHeight="1">
      <c r="A401" s="213"/>
      <c r="B401" s="213"/>
      <c r="C401" s="1101"/>
      <c r="D401" s="1101"/>
      <c r="E401" s="1101"/>
      <c r="F401" s="1101"/>
      <c r="G401" s="1101"/>
      <c r="H401" s="1101"/>
      <c r="I401" s="1101"/>
      <c r="J401" s="1101"/>
      <c r="K401" s="1101"/>
      <c r="L401" s="1101"/>
      <c r="M401" s="1101"/>
      <c r="N401" s="1101"/>
      <c r="O401" s="1101"/>
      <c r="P401" s="1101"/>
      <c r="Q401" s="1101"/>
      <c r="R401" s="1101"/>
      <c r="S401" s="1101"/>
      <c r="T401" s="1101"/>
      <c r="U401" s="1101"/>
      <c r="V401" s="1101"/>
      <c r="W401" s="1101"/>
      <c r="X401" s="1101"/>
      <c r="Y401" s="1102"/>
      <c r="Z401" s="1102"/>
      <c r="AA401" s="1101"/>
    </row>
    <row r="402" ht="15.75" customHeight="1">
      <c r="A402" s="213"/>
      <c r="B402" s="213"/>
      <c r="C402" s="1101"/>
      <c r="D402" s="1101"/>
      <c r="E402" s="1101"/>
      <c r="F402" s="1101"/>
      <c r="G402" s="1101"/>
      <c r="H402" s="1101"/>
      <c r="I402" s="1101"/>
      <c r="J402" s="1101"/>
      <c r="K402" s="1101"/>
      <c r="L402" s="1101"/>
      <c r="M402" s="1101"/>
      <c r="N402" s="1101"/>
      <c r="O402" s="1101"/>
      <c r="P402" s="1101"/>
      <c r="Q402" s="1101"/>
      <c r="R402" s="1101"/>
      <c r="S402" s="1101"/>
      <c r="T402" s="1101"/>
      <c r="U402" s="1101"/>
      <c r="V402" s="1101"/>
      <c r="W402" s="1101"/>
      <c r="X402" s="1101"/>
      <c r="Y402" s="1102"/>
      <c r="Z402" s="1102"/>
      <c r="AA402" s="1101"/>
    </row>
    <row r="403" ht="15.75" customHeight="1">
      <c r="A403" s="213"/>
      <c r="B403" s="213"/>
      <c r="C403" s="1101"/>
      <c r="D403" s="1101"/>
      <c r="E403" s="1101"/>
      <c r="F403" s="1101"/>
      <c r="G403" s="1101"/>
      <c r="H403" s="1101"/>
      <c r="I403" s="1101"/>
      <c r="J403" s="1101"/>
      <c r="K403" s="1101"/>
      <c r="L403" s="1101"/>
      <c r="M403" s="1101"/>
      <c r="N403" s="1101"/>
      <c r="O403" s="1101"/>
      <c r="P403" s="1101"/>
      <c r="Q403" s="1101"/>
      <c r="R403" s="1101"/>
      <c r="S403" s="1101"/>
      <c r="T403" s="1101"/>
      <c r="U403" s="1101"/>
      <c r="V403" s="1101"/>
      <c r="W403" s="1101"/>
      <c r="X403" s="1101"/>
      <c r="Y403" s="1102"/>
      <c r="Z403" s="1102"/>
      <c r="AA403" s="1101"/>
    </row>
    <row r="404" ht="15.75" customHeight="1">
      <c r="A404" s="213"/>
      <c r="B404" s="213"/>
      <c r="C404" s="1101"/>
      <c r="D404" s="1101"/>
      <c r="E404" s="1101"/>
      <c r="F404" s="1101"/>
      <c r="G404" s="1101"/>
      <c r="H404" s="1101"/>
      <c r="I404" s="1101"/>
      <c r="J404" s="1101"/>
      <c r="K404" s="1101"/>
      <c r="L404" s="1101"/>
      <c r="M404" s="1101"/>
      <c r="N404" s="1101"/>
      <c r="O404" s="1101"/>
      <c r="P404" s="1101"/>
      <c r="Q404" s="1101"/>
      <c r="R404" s="1101"/>
      <c r="S404" s="1101"/>
      <c r="T404" s="1101"/>
      <c r="U404" s="1101"/>
      <c r="V404" s="1101"/>
      <c r="W404" s="1101"/>
      <c r="X404" s="1101"/>
      <c r="Y404" s="1102"/>
      <c r="Z404" s="1102"/>
      <c r="AA404" s="1101"/>
    </row>
    <row r="405" ht="15.75" customHeight="1">
      <c r="A405" s="213"/>
      <c r="B405" s="213"/>
      <c r="C405" s="1101"/>
      <c r="D405" s="1101"/>
      <c r="E405" s="1101"/>
      <c r="F405" s="1101"/>
      <c r="G405" s="1101"/>
      <c r="H405" s="1101"/>
      <c r="I405" s="1101"/>
      <c r="J405" s="1101"/>
      <c r="K405" s="1101"/>
      <c r="L405" s="1101"/>
      <c r="M405" s="1101"/>
      <c r="N405" s="1101"/>
      <c r="O405" s="1101"/>
      <c r="P405" s="1101"/>
      <c r="Q405" s="1101"/>
      <c r="R405" s="1101"/>
      <c r="S405" s="1101"/>
      <c r="T405" s="1101"/>
      <c r="U405" s="1101"/>
      <c r="V405" s="1101"/>
      <c r="W405" s="1101"/>
      <c r="X405" s="1101"/>
      <c r="Y405" s="1102"/>
      <c r="Z405" s="1102"/>
      <c r="AA405" s="1101"/>
    </row>
    <row r="406" ht="15.75" customHeight="1">
      <c r="A406" s="213"/>
      <c r="B406" s="213"/>
      <c r="C406" s="1101"/>
      <c r="D406" s="1101"/>
      <c r="E406" s="1101"/>
      <c r="F406" s="1101"/>
      <c r="G406" s="1101"/>
      <c r="H406" s="1101"/>
      <c r="I406" s="1101"/>
      <c r="J406" s="1101"/>
      <c r="K406" s="1101"/>
      <c r="L406" s="1101"/>
      <c r="M406" s="1101"/>
      <c r="N406" s="1101"/>
      <c r="O406" s="1101"/>
      <c r="P406" s="1101"/>
      <c r="Q406" s="1101"/>
      <c r="R406" s="1101"/>
      <c r="S406" s="1101"/>
      <c r="T406" s="1101"/>
      <c r="U406" s="1101"/>
      <c r="V406" s="1101"/>
      <c r="W406" s="1101"/>
      <c r="X406" s="1101"/>
      <c r="Y406" s="1102"/>
      <c r="Z406" s="1102"/>
      <c r="AA406" s="1101"/>
    </row>
    <row r="407" ht="15.75" customHeight="1">
      <c r="A407" s="213"/>
      <c r="B407" s="213"/>
      <c r="C407" s="1101"/>
      <c r="D407" s="1101"/>
      <c r="E407" s="1101"/>
      <c r="F407" s="1101"/>
      <c r="G407" s="1101"/>
      <c r="H407" s="1101"/>
      <c r="I407" s="1101"/>
      <c r="J407" s="1101"/>
      <c r="K407" s="1101"/>
      <c r="L407" s="1101"/>
      <c r="M407" s="1101"/>
      <c r="N407" s="1101"/>
      <c r="O407" s="1101"/>
      <c r="P407" s="1101"/>
      <c r="Q407" s="1101"/>
      <c r="R407" s="1101"/>
      <c r="S407" s="1101"/>
      <c r="T407" s="1101"/>
      <c r="U407" s="1101"/>
      <c r="V407" s="1101"/>
      <c r="W407" s="1101"/>
      <c r="X407" s="1101"/>
      <c r="Y407" s="1102"/>
      <c r="Z407" s="1102"/>
      <c r="AA407" s="1101"/>
    </row>
    <row r="408" ht="15.75" customHeight="1">
      <c r="A408" s="213"/>
      <c r="B408" s="213"/>
      <c r="C408" s="1101"/>
      <c r="D408" s="1101"/>
      <c r="E408" s="1101"/>
      <c r="F408" s="1101"/>
      <c r="G408" s="1101"/>
      <c r="H408" s="1101"/>
      <c r="I408" s="1101"/>
      <c r="J408" s="1101"/>
      <c r="K408" s="1101"/>
      <c r="L408" s="1101"/>
      <c r="M408" s="1101"/>
      <c r="N408" s="1101"/>
      <c r="O408" s="1101"/>
      <c r="P408" s="1101"/>
      <c r="Q408" s="1101"/>
      <c r="R408" s="1101"/>
      <c r="S408" s="1101"/>
      <c r="T408" s="1101"/>
      <c r="U408" s="1101"/>
      <c r="V408" s="1101"/>
      <c r="W408" s="1101"/>
      <c r="X408" s="1101"/>
      <c r="Y408" s="1102"/>
      <c r="Z408" s="1102"/>
      <c r="AA408" s="1101"/>
    </row>
    <row r="409" ht="15.75" customHeight="1">
      <c r="A409" s="213"/>
      <c r="B409" s="213"/>
      <c r="C409" s="1101"/>
      <c r="D409" s="1101"/>
      <c r="E409" s="1101"/>
      <c r="F409" s="1101"/>
      <c r="G409" s="1101"/>
      <c r="H409" s="1101"/>
      <c r="I409" s="1101"/>
      <c r="J409" s="1101"/>
      <c r="K409" s="1101"/>
      <c r="L409" s="1101"/>
      <c r="M409" s="1101"/>
      <c r="N409" s="1101"/>
      <c r="O409" s="1101"/>
      <c r="P409" s="1101"/>
      <c r="Q409" s="1101"/>
      <c r="R409" s="1101"/>
      <c r="S409" s="1101"/>
      <c r="T409" s="1101"/>
      <c r="U409" s="1101"/>
      <c r="V409" s="1101"/>
      <c r="W409" s="1101"/>
      <c r="X409" s="1101"/>
      <c r="Y409" s="1102"/>
      <c r="Z409" s="1102"/>
      <c r="AA409" s="1101"/>
    </row>
    <row r="410" ht="15.75" customHeight="1">
      <c r="A410" s="213"/>
      <c r="B410" s="213"/>
      <c r="C410" s="1101"/>
      <c r="D410" s="1101"/>
      <c r="E410" s="1101"/>
      <c r="F410" s="1101"/>
      <c r="G410" s="1101"/>
      <c r="H410" s="1101"/>
      <c r="I410" s="1101"/>
      <c r="J410" s="1101"/>
      <c r="K410" s="1101"/>
      <c r="L410" s="1101"/>
      <c r="M410" s="1101"/>
      <c r="N410" s="1101"/>
      <c r="O410" s="1101"/>
      <c r="P410" s="1101"/>
      <c r="Q410" s="1101"/>
      <c r="R410" s="1101"/>
      <c r="S410" s="1101"/>
      <c r="T410" s="1101"/>
      <c r="U410" s="1101"/>
      <c r="V410" s="1101"/>
      <c r="W410" s="1101"/>
      <c r="X410" s="1101"/>
      <c r="Y410" s="1102"/>
      <c r="Z410" s="1102"/>
      <c r="AA410" s="1101"/>
    </row>
    <row r="411" ht="15.75" customHeight="1">
      <c r="A411" s="213"/>
      <c r="B411" s="213"/>
      <c r="C411" s="1101"/>
      <c r="D411" s="1101"/>
      <c r="E411" s="1101"/>
      <c r="F411" s="1101"/>
      <c r="G411" s="1101"/>
      <c r="H411" s="1101"/>
      <c r="I411" s="1101"/>
      <c r="J411" s="1101"/>
      <c r="K411" s="1101"/>
      <c r="L411" s="1101"/>
      <c r="M411" s="1101"/>
      <c r="N411" s="1101"/>
      <c r="O411" s="1101"/>
      <c r="P411" s="1101"/>
      <c r="Q411" s="1101"/>
      <c r="R411" s="1101"/>
      <c r="S411" s="1101"/>
      <c r="T411" s="1101"/>
      <c r="U411" s="1101"/>
      <c r="V411" s="1101"/>
      <c r="W411" s="1101"/>
      <c r="X411" s="1101"/>
      <c r="Y411" s="1102"/>
      <c r="Z411" s="1102"/>
      <c r="AA411" s="1101"/>
    </row>
    <row r="412" ht="15.75" customHeight="1">
      <c r="A412" s="213"/>
      <c r="B412" s="213"/>
      <c r="C412" s="1101"/>
      <c r="D412" s="1101"/>
      <c r="E412" s="1101"/>
      <c r="F412" s="1101"/>
      <c r="G412" s="1101"/>
      <c r="H412" s="1101"/>
      <c r="I412" s="1101"/>
      <c r="J412" s="1101"/>
      <c r="K412" s="1101"/>
      <c r="L412" s="1101"/>
      <c r="M412" s="1101"/>
      <c r="N412" s="1101"/>
      <c r="O412" s="1101"/>
      <c r="P412" s="1101"/>
      <c r="Q412" s="1101"/>
      <c r="R412" s="1101"/>
      <c r="S412" s="1101"/>
      <c r="T412" s="1101"/>
      <c r="U412" s="1101"/>
      <c r="V412" s="1101"/>
      <c r="W412" s="1101"/>
      <c r="X412" s="1101"/>
      <c r="Y412" s="1102"/>
      <c r="Z412" s="1102"/>
      <c r="AA412" s="1101"/>
    </row>
    <row r="413" ht="15.75" customHeight="1">
      <c r="A413" s="213"/>
      <c r="B413" s="213"/>
      <c r="C413" s="1101"/>
      <c r="D413" s="1101"/>
      <c r="E413" s="1101"/>
      <c r="F413" s="1101"/>
      <c r="G413" s="1101"/>
      <c r="H413" s="1101"/>
      <c r="I413" s="1101"/>
      <c r="J413" s="1101"/>
      <c r="K413" s="1101"/>
      <c r="L413" s="1101"/>
      <c r="M413" s="1101"/>
      <c r="N413" s="1101"/>
      <c r="O413" s="1101"/>
      <c r="P413" s="1101"/>
      <c r="Q413" s="1101"/>
      <c r="R413" s="1101"/>
      <c r="S413" s="1101"/>
      <c r="T413" s="1101"/>
      <c r="U413" s="1101"/>
      <c r="V413" s="1101"/>
      <c r="W413" s="1101"/>
      <c r="X413" s="1101"/>
      <c r="Y413" s="1102"/>
      <c r="Z413" s="1102"/>
      <c r="AA413" s="1101"/>
    </row>
    <row r="414" ht="15.75" customHeight="1">
      <c r="A414" s="213"/>
      <c r="B414" s="213"/>
      <c r="C414" s="1101"/>
      <c r="D414" s="1101"/>
      <c r="E414" s="1101"/>
      <c r="F414" s="1101"/>
      <c r="G414" s="1101"/>
      <c r="H414" s="1101"/>
      <c r="I414" s="1101"/>
      <c r="J414" s="1101"/>
      <c r="K414" s="1101"/>
      <c r="L414" s="1101"/>
      <c r="M414" s="1101"/>
      <c r="N414" s="1101"/>
      <c r="O414" s="1101"/>
      <c r="P414" s="1101"/>
      <c r="Q414" s="1101"/>
      <c r="R414" s="1101"/>
      <c r="S414" s="1101"/>
      <c r="T414" s="1101"/>
      <c r="U414" s="1101"/>
      <c r="V414" s="1101"/>
      <c r="W414" s="1101"/>
      <c r="X414" s="1101"/>
      <c r="Y414" s="1102"/>
      <c r="Z414" s="1102"/>
      <c r="AA414" s="1101"/>
    </row>
    <row r="415" ht="15.75" customHeight="1">
      <c r="A415" s="213"/>
      <c r="B415" s="213"/>
      <c r="C415" s="1101"/>
      <c r="D415" s="1101"/>
      <c r="E415" s="1101"/>
      <c r="F415" s="1101"/>
      <c r="G415" s="1101"/>
      <c r="H415" s="1101"/>
      <c r="I415" s="1101"/>
      <c r="J415" s="1101"/>
      <c r="K415" s="1101"/>
      <c r="L415" s="1101"/>
      <c r="M415" s="1101"/>
      <c r="N415" s="1101"/>
      <c r="O415" s="1101"/>
      <c r="P415" s="1101"/>
      <c r="Q415" s="1101"/>
      <c r="R415" s="1101"/>
      <c r="S415" s="1101"/>
      <c r="T415" s="1101"/>
      <c r="U415" s="1101"/>
      <c r="V415" s="1101"/>
      <c r="W415" s="1101"/>
      <c r="X415" s="1101"/>
      <c r="Y415" s="1102"/>
      <c r="Z415" s="1102"/>
      <c r="AA415" s="1101"/>
    </row>
    <row r="416" ht="15.75" customHeight="1">
      <c r="A416" s="213"/>
      <c r="B416" s="213"/>
      <c r="C416" s="1101"/>
      <c r="D416" s="1101"/>
      <c r="E416" s="1101"/>
      <c r="F416" s="1101"/>
      <c r="G416" s="1101"/>
      <c r="H416" s="1101"/>
      <c r="I416" s="1101"/>
      <c r="J416" s="1101"/>
      <c r="K416" s="1101"/>
      <c r="L416" s="1101"/>
      <c r="M416" s="1101"/>
      <c r="N416" s="1101"/>
      <c r="O416" s="1101"/>
      <c r="P416" s="1101"/>
      <c r="Q416" s="1101"/>
      <c r="R416" s="1101"/>
      <c r="S416" s="1101"/>
      <c r="T416" s="1101"/>
      <c r="U416" s="1101"/>
      <c r="V416" s="1101"/>
      <c r="W416" s="1101"/>
      <c r="X416" s="1101"/>
      <c r="Y416" s="1102"/>
      <c r="Z416" s="1102"/>
      <c r="AA416" s="1101"/>
    </row>
    <row r="417" ht="15.75" customHeight="1">
      <c r="A417" s="213"/>
      <c r="B417" s="213"/>
      <c r="C417" s="1101"/>
      <c r="D417" s="1101"/>
      <c r="E417" s="1101"/>
      <c r="F417" s="1101"/>
      <c r="G417" s="1101"/>
      <c r="H417" s="1101"/>
      <c r="I417" s="1101"/>
      <c r="J417" s="1101"/>
      <c r="K417" s="1101"/>
      <c r="L417" s="1101"/>
      <c r="M417" s="1101"/>
      <c r="N417" s="1101"/>
      <c r="O417" s="1101"/>
      <c r="P417" s="1101"/>
      <c r="Q417" s="1101"/>
      <c r="R417" s="1101"/>
      <c r="S417" s="1101"/>
      <c r="T417" s="1101"/>
      <c r="U417" s="1101"/>
      <c r="V417" s="1101"/>
      <c r="W417" s="1101"/>
      <c r="X417" s="1101"/>
      <c r="Y417" s="1102"/>
      <c r="Z417" s="1102"/>
      <c r="AA417" s="1101"/>
    </row>
    <row r="418" ht="15.75" customHeight="1">
      <c r="A418" s="213"/>
      <c r="B418" s="213"/>
      <c r="C418" s="1101"/>
      <c r="D418" s="1101"/>
      <c r="E418" s="1101"/>
      <c r="F418" s="1101"/>
      <c r="G418" s="1101"/>
      <c r="H418" s="1101"/>
      <c r="I418" s="1101"/>
      <c r="J418" s="1101"/>
      <c r="K418" s="1101"/>
      <c r="L418" s="1101"/>
      <c r="M418" s="1101"/>
      <c r="N418" s="1101"/>
      <c r="O418" s="1101"/>
      <c r="P418" s="1101"/>
      <c r="Q418" s="1101"/>
      <c r="R418" s="1101"/>
      <c r="S418" s="1101"/>
      <c r="T418" s="1101"/>
      <c r="U418" s="1101"/>
      <c r="V418" s="1101"/>
      <c r="W418" s="1101"/>
      <c r="X418" s="1101"/>
      <c r="Y418" s="1102"/>
      <c r="Z418" s="1102"/>
      <c r="AA418" s="1101"/>
    </row>
    <row r="419" ht="15.75" customHeight="1">
      <c r="A419" s="213"/>
      <c r="B419" s="213"/>
      <c r="C419" s="1101"/>
      <c r="D419" s="1101"/>
      <c r="E419" s="1101"/>
      <c r="F419" s="1101"/>
      <c r="G419" s="1101"/>
      <c r="H419" s="1101"/>
      <c r="I419" s="1101"/>
      <c r="J419" s="1101"/>
      <c r="K419" s="1101"/>
      <c r="L419" s="1101"/>
      <c r="M419" s="1101"/>
      <c r="N419" s="1101"/>
      <c r="O419" s="1101"/>
      <c r="P419" s="1101"/>
      <c r="Q419" s="1101"/>
      <c r="R419" s="1101"/>
      <c r="S419" s="1101"/>
      <c r="T419" s="1101"/>
      <c r="U419" s="1101"/>
      <c r="V419" s="1101"/>
      <c r="W419" s="1101"/>
      <c r="X419" s="1101"/>
      <c r="Y419" s="1102"/>
      <c r="Z419" s="1102"/>
      <c r="AA419" s="1101"/>
    </row>
    <row r="420" ht="15.75" customHeight="1">
      <c r="A420" s="213"/>
      <c r="B420" s="213"/>
      <c r="C420" s="1101"/>
      <c r="D420" s="1101"/>
      <c r="E420" s="1101"/>
      <c r="F420" s="1101"/>
      <c r="G420" s="1101"/>
      <c r="H420" s="1101"/>
      <c r="I420" s="1101"/>
      <c r="J420" s="1101"/>
      <c r="K420" s="1101"/>
      <c r="L420" s="1101"/>
      <c r="M420" s="1101"/>
      <c r="N420" s="1101"/>
      <c r="O420" s="1101"/>
      <c r="P420" s="1101"/>
      <c r="Q420" s="1101"/>
      <c r="R420" s="1101"/>
      <c r="S420" s="1101"/>
      <c r="T420" s="1101"/>
      <c r="U420" s="1101"/>
      <c r="V420" s="1101"/>
      <c r="W420" s="1101"/>
      <c r="X420" s="1101"/>
      <c r="Y420" s="1102"/>
      <c r="Z420" s="1102"/>
      <c r="AA420" s="1101"/>
    </row>
    <row r="421" ht="15.75" customHeight="1">
      <c r="A421" s="213"/>
      <c r="B421" s="213"/>
      <c r="C421" s="1101"/>
      <c r="D421" s="1101"/>
      <c r="E421" s="1101"/>
      <c r="F421" s="1101"/>
      <c r="G421" s="1101"/>
      <c r="H421" s="1101"/>
      <c r="I421" s="1101"/>
      <c r="J421" s="1101"/>
      <c r="K421" s="1101"/>
      <c r="L421" s="1101"/>
      <c r="M421" s="1101"/>
      <c r="N421" s="1101"/>
      <c r="O421" s="1101"/>
      <c r="P421" s="1101"/>
      <c r="Q421" s="1101"/>
      <c r="R421" s="1101"/>
      <c r="S421" s="1101"/>
      <c r="T421" s="1101"/>
      <c r="U421" s="1101"/>
      <c r="V421" s="1101"/>
      <c r="W421" s="1101"/>
      <c r="X421" s="1101"/>
      <c r="Y421" s="1102"/>
      <c r="Z421" s="1102"/>
      <c r="AA421" s="1101"/>
    </row>
    <row r="422" ht="15.75" customHeight="1">
      <c r="A422" s="213"/>
      <c r="B422" s="213"/>
      <c r="C422" s="1101"/>
      <c r="D422" s="1101"/>
      <c r="E422" s="1101"/>
      <c r="F422" s="1101"/>
      <c r="G422" s="1101"/>
      <c r="H422" s="1101"/>
      <c r="I422" s="1101"/>
      <c r="J422" s="1101"/>
      <c r="K422" s="1101"/>
      <c r="L422" s="1101"/>
      <c r="M422" s="1101"/>
      <c r="N422" s="1101"/>
      <c r="O422" s="1101"/>
      <c r="P422" s="1101"/>
      <c r="Q422" s="1101"/>
      <c r="R422" s="1101"/>
      <c r="S422" s="1101"/>
      <c r="T422" s="1101"/>
      <c r="U422" s="1101"/>
      <c r="V422" s="1101"/>
      <c r="W422" s="1101"/>
      <c r="X422" s="1101"/>
      <c r="Y422" s="1102"/>
      <c r="Z422" s="1102"/>
      <c r="AA422" s="1101"/>
    </row>
    <row r="423" ht="15.75" customHeight="1">
      <c r="A423" s="213"/>
      <c r="B423" s="213"/>
      <c r="C423" s="1101"/>
      <c r="D423" s="1101"/>
      <c r="E423" s="1101"/>
      <c r="F423" s="1101"/>
      <c r="G423" s="1101"/>
      <c r="H423" s="1101"/>
      <c r="I423" s="1101"/>
      <c r="J423" s="1101"/>
      <c r="K423" s="1101"/>
      <c r="L423" s="1101"/>
      <c r="M423" s="1101"/>
      <c r="N423" s="1101"/>
      <c r="O423" s="1101"/>
      <c r="P423" s="1101"/>
      <c r="Q423" s="1101"/>
      <c r="R423" s="1101"/>
      <c r="S423" s="1101"/>
      <c r="T423" s="1101"/>
      <c r="U423" s="1101"/>
      <c r="V423" s="1101"/>
      <c r="W423" s="1101"/>
      <c r="X423" s="1101"/>
      <c r="Y423" s="1102"/>
      <c r="Z423" s="1102"/>
      <c r="AA423" s="1101"/>
    </row>
    <row r="424" ht="15.75" customHeight="1">
      <c r="A424" s="213"/>
      <c r="B424" s="213"/>
      <c r="C424" s="1101"/>
      <c r="D424" s="1101"/>
      <c r="E424" s="1101"/>
      <c r="F424" s="1101"/>
      <c r="G424" s="1101"/>
      <c r="H424" s="1101"/>
      <c r="I424" s="1101"/>
      <c r="J424" s="1101"/>
      <c r="K424" s="1101"/>
      <c r="L424" s="1101"/>
      <c r="M424" s="1101"/>
      <c r="N424" s="1101"/>
      <c r="O424" s="1101"/>
      <c r="P424" s="1101"/>
      <c r="Q424" s="1101"/>
      <c r="R424" s="1101"/>
      <c r="S424" s="1101"/>
      <c r="T424" s="1101"/>
      <c r="U424" s="1101"/>
      <c r="V424" s="1101"/>
      <c r="W424" s="1101"/>
      <c r="X424" s="1101"/>
      <c r="Y424" s="1102"/>
      <c r="Z424" s="1102"/>
      <c r="AA424" s="1101"/>
    </row>
    <row r="425" ht="15.75" customHeight="1">
      <c r="A425" s="213"/>
      <c r="B425" s="213"/>
      <c r="C425" s="1101"/>
      <c r="D425" s="1101"/>
      <c r="E425" s="1101"/>
      <c r="F425" s="1101"/>
      <c r="G425" s="1101"/>
      <c r="H425" s="1101"/>
      <c r="I425" s="1101"/>
      <c r="J425" s="1101"/>
      <c r="K425" s="1101"/>
      <c r="L425" s="1101"/>
      <c r="M425" s="1101"/>
      <c r="N425" s="1101"/>
      <c r="O425" s="1101"/>
      <c r="P425" s="1101"/>
      <c r="Q425" s="1101"/>
      <c r="R425" s="1101"/>
      <c r="S425" s="1101"/>
      <c r="T425" s="1101"/>
      <c r="U425" s="1101"/>
      <c r="V425" s="1101"/>
      <c r="W425" s="1101"/>
      <c r="X425" s="1101"/>
      <c r="Y425" s="1102"/>
      <c r="Z425" s="1102"/>
      <c r="AA425" s="1101"/>
    </row>
    <row r="426" ht="15.75" customHeight="1">
      <c r="A426" s="213"/>
      <c r="B426" s="213"/>
      <c r="C426" s="1101"/>
      <c r="D426" s="1101"/>
      <c r="E426" s="1101"/>
      <c r="F426" s="1101"/>
      <c r="G426" s="1101"/>
      <c r="H426" s="1101"/>
      <c r="I426" s="1101"/>
      <c r="J426" s="1101"/>
      <c r="K426" s="1101"/>
      <c r="L426" s="1101"/>
      <c r="M426" s="1101"/>
      <c r="N426" s="1101"/>
      <c r="O426" s="1101"/>
      <c r="P426" s="1101"/>
      <c r="Q426" s="1101"/>
      <c r="R426" s="1101"/>
      <c r="S426" s="1101"/>
      <c r="T426" s="1101"/>
      <c r="U426" s="1101"/>
      <c r="V426" s="1101"/>
      <c r="W426" s="1101"/>
      <c r="X426" s="1101"/>
      <c r="Y426" s="1102"/>
      <c r="Z426" s="1102"/>
      <c r="AA426" s="1101"/>
    </row>
    <row r="427" ht="15.75" customHeight="1">
      <c r="A427" s="213"/>
      <c r="B427" s="213"/>
      <c r="C427" s="1101"/>
      <c r="D427" s="1101"/>
      <c r="E427" s="1101"/>
      <c r="F427" s="1101"/>
      <c r="G427" s="1101"/>
      <c r="H427" s="1101"/>
      <c r="I427" s="1101"/>
      <c r="J427" s="1101"/>
      <c r="K427" s="1101"/>
      <c r="L427" s="1101"/>
      <c r="M427" s="1101"/>
      <c r="N427" s="1101"/>
      <c r="O427" s="1101"/>
      <c r="P427" s="1101"/>
      <c r="Q427" s="1101"/>
      <c r="R427" s="1101"/>
      <c r="S427" s="1101"/>
      <c r="T427" s="1101"/>
      <c r="U427" s="1101"/>
      <c r="V427" s="1101"/>
      <c r="W427" s="1101"/>
      <c r="X427" s="1101"/>
      <c r="Y427" s="1102"/>
      <c r="Z427" s="1102"/>
      <c r="AA427" s="1101"/>
    </row>
    <row r="428" ht="15.75" customHeight="1">
      <c r="A428" s="213"/>
      <c r="B428" s="213"/>
      <c r="C428" s="1101"/>
      <c r="D428" s="1101"/>
      <c r="E428" s="1101"/>
      <c r="F428" s="1101"/>
      <c r="G428" s="1101"/>
      <c r="H428" s="1101"/>
      <c r="I428" s="1101"/>
      <c r="J428" s="1101"/>
      <c r="K428" s="1101"/>
      <c r="L428" s="1101"/>
      <c r="M428" s="1101"/>
      <c r="N428" s="1101"/>
      <c r="O428" s="1101"/>
      <c r="P428" s="1101"/>
      <c r="Q428" s="1101"/>
      <c r="R428" s="1101"/>
      <c r="S428" s="1101"/>
      <c r="T428" s="1101"/>
      <c r="U428" s="1101"/>
      <c r="V428" s="1101"/>
      <c r="W428" s="1101"/>
      <c r="X428" s="1101"/>
      <c r="Y428" s="1102"/>
      <c r="Z428" s="1102"/>
      <c r="AA428" s="1101"/>
    </row>
    <row r="429" ht="15.75" customHeight="1">
      <c r="A429" s="213"/>
      <c r="B429" s="213"/>
      <c r="C429" s="1101"/>
      <c r="D429" s="1101"/>
      <c r="E429" s="1101"/>
      <c r="F429" s="1101"/>
      <c r="G429" s="1101"/>
      <c r="H429" s="1101"/>
      <c r="I429" s="1101"/>
      <c r="J429" s="1101"/>
      <c r="K429" s="1101"/>
      <c r="L429" s="1101"/>
      <c r="M429" s="1101"/>
      <c r="N429" s="1101"/>
      <c r="O429" s="1101"/>
      <c r="P429" s="1101"/>
      <c r="Q429" s="1101"/>
      <c r="R429" s="1101"/>
      <c r="S429" s="1101"/>
      <c r="T429" s="1101"/>
      <c r="U429" s="1101"/>
      <c r="V429" s="1101"/>
      <c r="W429" s="1101"/>
      <c r="X429" s="1101"/>
      <c r="Y429" s="1102"/>
      <c r="Z429" s="1102"/>
      <c r="AA429" s="1101"/>
    </row>
    <row r="430" ht="15.75" customHeight="1">
      <c r="A430" s="213"/>
      <c r="B430" s="213"/>
      <c r="C430" s="1101"/>
      <c r="D430" s="1101"/>
      <c r="E430" s="1101"/>
      <c r="F430" s="1101"/>
      <c r="G430" s="1101"/>
      <c r="H430" s="1101"/>
      <c r="I430" s="1101"/>
      <c r="J430" s="1101"/>
      <c r="K430" s="1101"/>
      <c r="L430" s="1101"/>
      <c r="M430" s="1101"/>
      <c r="N430" s="1101"/>
      <c r="O430" s="1101"/>
      <c r="P430" s="1101"/>
      <c r="Q430" s="1101"/>
      <c r="R430" s="1101"/>
      <c r="S430" s="1101"/>
      <c r="T430" s="1101"/>
      <c r="U430" s="1101"/>
      <c r="V430" s="1101"/>
      <c r="W430" s="1101"/>
      <c r="X430" s="1101"/>
      <c r="Y430" s="1102"/>
      <c r="Z430" s="1102"/>
      <c r="AA430" s="1101"/>
    </row>
    <row r="431" ht="15.75" customHeight="1">
      <c r="A431" s="213"/>
      <c r="B431" s="213"/>
      <c r="C431" s="1101"/>
      <c r="D431" s="1101"/>
      <c r="E431" s="1101"/>
      <c r="F431" s="1101"/>
      <c r="G431" s="1101"/>
      <c r="H431" s="1101"/>
      <c r="I431" s="1101"/>
      <c r="J431" s="1101"/>
      <c r="K431" s="1101"/>
      <c r="L431" s="1101"/>
      <c r="M431" s="1101"/>
      <c r="N431" s="1101"/>
      <c r="O431" s="1101"/>
      <c r="P431" s="1101"/>
      <c r="Q431" s="1101"/>
      <c r="R431" s="1101"/>
      <c r="S431" s="1101"/>
      <c r="T431" s="1101"/>
      <c r="U431" s="1101"/>
      <c r="V431" s="1101"/>
      <c r="W431" s="1101"/>
      <c r="X431" s="1101"/>
      <c r="Y431" s="1102"/>
      <c r="Z431" s="1102"/>
      <c r="AA431" s="1101"/>
    </row>
    <row r="432" ht="15.75" customHeight="1">
      <c r="A432" s="213"/>
      <c r="B432" s="213"/>
      <c r="C432" s="1101"/>
      <c r="D432" s="1101"/>
      <c r="E432" s="1101"/>
      <c r="F432" s="1101"/>
      <c r="G432" s="1101"/>
      <c r="H432" s="1101"/>
      <c r="I432" s="1101"/>
      <c r="J432" s="1101"/>
      <c r="K432" s="1101"/>
      <c r="L432" s="1101"/>
      <c r="M432" s="1101"/>
      <c r="N432" s="1101"/>
      <c r="O432" s="1101"/>
      <c r="P432" s="1101"/>
      <c r="Q432" s="1101"/>
      <c r="R432" s="1101"/>
      <c r="S432" s="1101"/>
      <c r="T432" s="1101"/>
      <c r="U432" s="1101"/>
      <c r="V432" s="1101"/>
      <c r="W432" s="1101"/>
      <c r="X432" s="1101"/>
      <c r="Y432" s="1102"/>
      <c r="Z432" s="1102"/>
      <c r="AA432" s="1101"/>
    </row>
    <row r="433" ht="15.75" customHeight="1">
      <c r="A433" s="213"/>
      <c r="B433" s="213"/>
      <c r="C433" s="1101"/>
      <c r="D433" s="1101"/>
      <c r="E433" s="1101"/>
      <c r="F433" s="1101"/>
      <c r="G433" s="1101"/>
      <c r="H433" s="1101"/>
      <c r="I433" s="1101"/>
      <c r="J433" s="1101"/>
      <c r="K433" s="1101"/>
      <c r="L433" s="1101"/>
      <c r="M433" s="1101"/>
      <c r="N433" s="1101"/>
      <c r="O433" s="1101"/>
      <c r="P433" s="1101"/>
      <c r="Q433" s="1101"/>
      <c r="R433" s="1101"/>
      <c r="S433" s="1101"/>
      <c r="T433" s="1101"/>
      <c r="U433" s="1101"/>
      <c r="V433" s="1101"/>
      <c r="W433" s="1101"/>
      <c r="X433" s="1101"/>
      <c r="Y433" s="1102"/>
      <c r="Z433" s="1102"/>
      <c r="AA433" s="1101"/>
    </row>
    <row r="434" ht="15.75" customHeight="1">
      <c r="A434" s="213"/>
      <c r="B434" s="213"/>
      <c r="C434" s="1101"/>
      <c r="D434" s="1101"/>
      <c r="E434" s="1101"/>
      <c r="F434" s="1101"/>
      <c r="G434" s="1101"/>
      <c r="H434" s="1101"/>
      <c r="I434" s="1101"/>
      <c r="J434" s="1101"/>
      <c r="K434" s="1101"/>
      <c r="L434" s="1101"/>
      <c r="M434" s="1101"/>
      <c r="N434" s="1101"/>
      <c r="O434" s="1101"/>
      <c r="P434" s="1101"/>
      <c r="Q434" s="1101"/>
      <c r="R434" s="1101"/>
      <c r="S434" s="1101"/>
      <c r="T434" s="1101"/>
      <c r="U434" s="1101"/>
      <c r="V434" s="1101"/>
      <c r="W434" s="1101"/>
      <c r="X434" s="1101"/>
      <c r="Y434" s="1102"/>
      <c r="Z434" s="1102"/>
      <c r="AA434" s="1101"/>
    </row>
    <row r="435" ht="15.75" customHeight="1">
      <c r="A435" s="213"/>
      <c r="B435" s="213"/>
      <c r="C435" s="1101"/>
      <c r="D435" s="1101"/>
      <c r="E435" s="1101"/>
      <c r="F435" s="1101"/>
      <c r="G435" s="1101"/>
      <c r="H435" s="1101"/>
      <c r="I435" s="1101"/>
      <c r="J435" s="1101"/>
      <c r="K435" s="1101"/>
      <c r="L435" s="1101"/>
      <c r="M435" s="1101"/>
      <c r="N435" s="1101"/>
      <c r="O435" s="1101"/>
      <c r="P435" s="1101"/>
      <c r="Q435" s="1101"/>
      <c r="R435" s="1101"/>
      <c r="S435" s="1101"/>
      <c r="T435" s="1101"/>
      <c r="U435" s="1101"/>
      <c r="V435" s="1101"/>
      <c r="W435" s="1101"/>
      <c r="X435" s="1101"/>
      <c r="Y435" s="1102"/>
      <c r="Z435" s="1102"/>
      <c r="AA435" s="1101"/>
    </row>
    <row r="436" ht="15.75" customHeight="1">
      <c r="A436" s="213"/>
      <c r="B436" s="213"/>
      <c r="C436" s="1101"/>
      <c r="D436" s="1101"/>
      <c r="E436" s="1101"/>
      <c r="F436" s="1101"/>
      <c r="G436" s="1101"/>
      <c r="H436" s="1101"/>
      <c r="I436" s="1101"/>
      <c r="J436" s="1101"/>
      <c r="K436" s="1101"/>
      <c r="L436" s="1101"/>
      <c r="M436" s="1101"/>
      <c r="N436" s="1101"/>
      <c r="O436" s="1101"/>
      <c r="P436" s="1101"/>
      <c r="Q436" s="1101"/>
      <c r="R436" s="1101"/>
      <c r="S436" s="1101"/>
      <c r="T436" s="1101"/>
      <c r="U436" s="1101"/>
      <c r="V436" s="1101"/>
      <c r="W436" s="1101"/>
      <c r="X436" s="1101"/>
      <c r="Y436" s="1102"/>
      <c r="Z436" s="1102"/>
      <c r="AA436" s="1101"/>
    </row>
    <row r="437" ht="15.75" customHeight="1">
      <c r="A437" s="213"/>
      <c r="B437" s="213"/>
      <c r="C437" s="1101"/>
      <c r="D437" s="1101"/>
      <c r="E437" s="1101"/>
      <c r="F437" s="1101"/>
      <c r="G437" s="1101"/>
      <c r="H437" s="1101"/>
      <c r="I437" s="1101"/>
      <c r="J437" s="1101"/>
      <c r="K437" s="1101"/>
      <c r="L437" s="1101"/>
      <c r="M437" s="1101"/>
      <c r="N437" s="1101"/>
      <c r="O437" s="1101"/>
      <c r="P437" s="1101"/>
      <c r="Q437" s="1101"/>
      <c r="R437" s="1101"/>
      <c r="S437" s="1101"/>
      <c r="T437" s="1101"/>
      <c r="U437" s="1101"/>
      <c r="V437" s="1101"/>
      <c r="W437" s="1101"/>
      <c r="X437" s="1101"/>
      <c r="Y437" s="1102"/>
      <c r="Z437" s="1102"/>
      <c r="AA437" s="1101"/>
    </row>
    <row r="438" ht="15.75" customHeight="1">
      <c r="A438" s="213"/>
      <c r="B438" s="213"/>
      <c r="C438" s="1101"/>
      <c r="D438" s="1101"/>
      <c r="E438" s="1101"/>
      <c r="F438" s="1101"/>
      <c r="G438" s="1101"/>
      <c r="H438" s="1101"/>
      <c r="I438" s="1101"/>
      <c r="J438" s="1101"/>
      <c r="K438" s="1101"/>
      <c r="L438" s="1101"/>
      <c r="M438" s="1101"/>
      <c r="N438" s="1101"/>
      <c r="O438" s="1101"/>
      <c r="P438" s="1101"/>
      <c r="Q438" s="1101"/>
      <c r="R438" s="1101"/>
      <c r="S438" s="1101"/>
      <c r="T438" s="1101"/>
      <c r="U438" s="1101"/>
      <c r="V438" s="1101"/>
      <c r="W438" s="1101"/>
      <c r="X438" s="1101"/>
      <c r="Y438" s="1102"/>
      <c r="Z438" s="1102"/>
      <c r="AA438" s="1101"/>
    </row>
    <row r="439" ht="15.75" customHeight="1">
      <c r="A439" s="213"/>
      <c r="B439" s="213"/>
      <c r="C439" s="1101"/>
      <c r="D439" s="1101"/>
      <c r="E439" s="1101"/>
      <c r="F439" s="1101"/>
      <c r="G439" s="1101"/>
      <c r="H439" s="1101"/>
      <c r="I439" s="1101"/>
      <c r="J439" s="1101"/>
      <c r="K439" s="1101"/>
      <c r="L439" s="1101"/>
      <c r="M439" s="1101"/>
      <c r="N439" s="1101"/>
      <c r="O439" s="1101"/>
      <c r="P439" s="1101"/>
      <c r="Q439" s="1101"/>
      <c r="R439" s="1101"/>
      <c r="S439" s="1101"/>
      <c r="T439" s="1101"/>
      <c r="U439" s="1101"/>
      <c r="V439" s="1101"/>
      <c r="W439" s="1101"/>
      <c r="X439" s="1101"/>
      <c r="Y439" s="1102"/>
      <c r="Z439" s="1102"/>
      <c r="AA439" s="1101"/>
    </row>
    <row r="440" ht="15.75" customHeight="1">
      <c r="A440" s="213"/>
      <c r="B440" s="213"/>
      <c r="C440" s="1101"/>
      <c r="D440" s="1101"/>
      <c r="E440" s="1101"/>
      <c r="F440" s="1101"/>
      <c r="G440" s="1101"/>
      <c r="H440" s="1101"/>
      <c r="I440" s="1101"/>
      <c r="J440" s="1101"/>
      <c r="K440" s="1101"/>
      <c r="L440" s="1101"/>
      <c r="M440" s="1101"/>
      <c r="N440" s="1101"/>
      <c r="O440" s="1101"/>
      <c r="P440" s="1101"/>
      <c r="Q440" s="1101"/>
      <c r="R440" s="1101"/>
      <c r="S440" s="1101"/>
      <c r="T440" s="1101"/>
      <c r="U440" s="1101"/>
      <c r="V440" s="1101"/>
      <c r="W440" s="1101"/>
      <c r="X440" s="1101"/>
      <c r="Y440" s="1102"/>
      <c r="Z440" s="1102"/>
      <c r="AA440" s="1101"/>
    </row>
    <row r="441" ht="15.75" customHeight="1">
      <c r="A441" s="213"/>
      <c r="B441" s="213"/>
      <c r="C441" s="1101"/>
      <c r="D441" s="1101"/>
      <c r="E441" s="1101"/>
      <c r="F441" s="1101"/>
      <c r="G441" s="1101"/>
      <c r="H441" s="1101"/>
      <c r="I441" s="1101"/>
      <c r="J441" s="1101"/>
      <c r="K441" s="1101"/>
      <c r="L441" s="1101"/>
      <c r="M441" s="1101"/>
      <c r="N441" s="1101"/>
      <c r="O441" s="1101"/>
      <c r="P441" s="1101"/>
      <c r="Q441" s="1101"/>
      <c r="R441" s="1101"/>
      <c r="S441" s="1101"/>
      <c r="T441" s="1101"/>
      <c r="U441" s="1101"/>
      <c r="V441" s="1101"/>
      <c r="W441" s="1101"/>
      <c r="X441" s="1101"/>
      <c r="Y441" s="1102"/>
      <c r="Z441" s="1102"/>
      <c r="AA441" s="1101"/>
    </row>
    <row r="442" ht="15.75" customHeight="1">
      <c r="A442" s="213"/>
      <c r="B442" s="213"/>
      <c r="C442" s="1101"/>
      <c r="D442" s="1101"/>
      <c r="E442" s="1101"/>
      <c r="F442" s="1101"/>
      <c r="G442" s="1101"/>
      <c r="H442" s="1101"/>
      <c r="I442" s="1101"/>
      <c r="J442" s="1101"/>
      <c r="K442" s="1101"/>
      <c r="L442" s="1101"/>
      <c r="M442" s="1101"/>
      <c r="N442" s="1101"/>
      <c r="O442" s="1101"/>
      <c r="P442" s="1101"/>
      <c r="Q442" s="1101"/>
      <c r="R442" s="1101"/>
      <c r="S442" s="1101"/>
      <c r="T442" s="1101"/>
      <c r="U442" s="1101"/>
      <c r="V442" s="1101"/>
      <c r="W442" s="1101"/>
      <c r="X442" s="1101"/>
      <c r="Y442" s="1102"/>
      <c r="Z442" s="1102"/>
      <c r="AA442" s="1101"/>
    </row>
    <row r="443" ht="15.75" customHeight="1">
      <c r="A443" s="213"/>
      <c r="B443" s="213"/>
      <c r="C443" s="1101"/>
      <c r="D443" s="1101"/>
      <c r="E443" s="1101"/>
      <c r="F443" s="1101"/>
      <c r="G443" s="1101"/>
      <c r="H443" s="1101"/>
      <c r="I443" s="1101"/>
      <c r="J443" s="1101"/>
      <c r="K443" s="1101"/>
      <c r="L443" s="1101"/>
      <c r="M443" s="1101"/>
      <c r="N443" s="1101"/>
      <c r="O443" s="1101"/>
      <c r="P443" s="1101"/>
      <c r="Q443" s="1101"/>
      <c r="R443" s="1101"/>
      <c r="S443" s="1101"/>
      <c r="T443" s="1101"/>
      <c r="U443" s="1101"/>
      <c r="V443" s="1101"/>
      <c r="W443" s="1101"/>
      <c r="X443" s="1101"/>
      <c r="Y443" s="1102"/>
      <c r="Z443" s="1102"/>
      <c r="AA443" s="1101"/>
    </row>
    <row r="444" ht="15.75" customHeight="1">
      <c r="A444" s="213"/>
      <c r="B444" s="213"/>
      <c r="C444" s="1101"/>
      <c r="D444" s="1101"/>
      <c r="E444" s="1101"/>
      <c r="F444" s="1101"/>
      <c r="G444" s="1101"/>
      <c r="H444" s="1101"/>
      <c r="I444" s="1101"/>
      <c r="J444" s="1101"/>
      <c r="K444" s="1101"/>
      <c r="L444" s="1101"/>
      <c r="M444" s="1101"/>
      <c r="N444" s="1101"/>
      <c r="O444" s="1101"/>
      <c r="P444" s="1101"/>
      <c r="Q444" s="1101"/>
      <c r="R444" s="1101"/>
      <c r="S444" s="1101"/>
      <c r="T444" s="1101"/>
      <c r="U444" s="1101"/>
      <c r="V444" s="1101"/>
      <c r="W444" s="1101"/>
      <c r="X444" s="1101"/>
      <c r="Y444" s="1102"/>
      <c r="Z444" s="1102"/>
      <c r="AA444" s="1101"/>
    </row>
    <row r="445" ht="15.75" customHeight="1">
      <c r="A445" s="213"/>
      <c r="B445" s="213"/>
      <c r="C445" s="1101"/>
      <c r="D445" s="1101"/>
      <c r="E445" s="1101"/>
      <c r="F445" s="1101"/>
      <c r="G445" s="1101"/>
      <c r="H445" s="1101"/>
      <c r="I445" s="1101"/>
      <c r="J445" s="1101"/>
      <c r="K445" s="1101"/>
      <c r="L445" s="1101"/>
      <c r="M445" s="1101"/>
      <c r="N445" s="1101"/>
      <c r="O445" s="1101"/>
      <c r="P445" s="1101"/>
      <c r="Q445" s="1101"/>
      <c r="R445" s="1101"/>
      <c r="S445" s="1101"/>
      <c r="T445" s="1101"/>
      <c r="U445" s="1101"/>
      <c r="V445" s="1101"/>
      <c r="W445" s="1101"/>
      <c r="X445" s="1101"/>
      <c r="Y445" s="1102"/>
      <c r="Z445" s="1102"/>
      <c r="AA445" s="1101"/>
    </row>
    <row r="446" ht="15.75" customHeight="1">
      <c r="A446" s="213"/>
      <c r="B446" s="213"/>
      <c r="C446" s="1101"/>
      <c r="D446" s="1101"/>
      <c r="E446" s="1101"/>
      <c r="F446" s="1101"/>
      <c r="G446" s="1101"/>
      <c r="H446" s="1101"/>
      <c r="I446" s="1101"/>
      <c r="J446" s="1101"/>
      <c r="K446" s="1101"/>
      <c r="L446" s="1101"/>
      <c r="M446" s="1101"/>
      <c r="N446" s="1101"/>
      <c r="O446" s="1101"/>
      <c r="P446" s="1101"/>
      <c r="Q446" s="1101"/>
      <c r="R446" s="1101"/>
      <c r="S446" s="1101"/>
      <c r="T446" s="1101"/>
      <c r="U446" s="1101"/>
      <c r="V446" s="1101"/>
      <c r="W446" s="1101"/>
      <c r="X446" s="1101"/>
      <c r="Y446" s="1102"/>
      <c r="Z446" s="1102"/>
      <c r="AA446" s="1101"/>
    </row>
    <row r="447" ht="15.75" customHeight="1">
      <c r="A447" s="213"/>
      <c r="B447" s="213"/>
      <c r="C447" s="1101"/>
      <c r="D447" s="1101"/>
      <c r="E447" s="1101"/>
      <c r="F447" s="1101"/>
      <c r="G447" s="1101"/>
      <c r="H447" s="1101"/>
      <c r="I447" s="1101"/>
      <c r="J447" s="1101"/>
      <c r="K447" s="1101"/>
      <c r="L447" s="1101"/>
      <c r="M447" s="1101"/>
      <c r="N447" s="1101"/>
      <c r="O447" s="1101"/>
      <c r="P447" s="1101"/>
      <c r="Q447" s="1101"/>
      <c r="R447" s="1101"/>
      <c r="S447" s="1101"/>
      <c r="T447" s="1101"/>
      <c r="U447" s="1101"/>
      <c r="V447" s="1101"/>
      <c r="W447" s="1101"/>
      <c r="X447" s="1101"/>
      <c r="Y447" s="1102"/>
      <c r="Z447" s="1102"/>
      <c r="AA447" s="1101"/>
    </row>
    <row r="448" ht="15.75" customHeight="1">
      <c r="A448" s="213"/>
      <c r="B448" s="213"/>
      <c r="C448" s="1101"/>
      <c r="D448" s="1101"/>
      <c r="E448" s="1101"/>
      <c r="F448" s="1101"/>
      <c r="G448" s="1101"/>
      <c r="H448" s="1101"/>
      <c r="I448" s="1101"/>
      <c r="J448" s="1101"/>
      <c r="K448" s="1101"/>
      <c r="L448" s="1101"/>
      <c r="M448" s="1101"/>
      <c r="N448" s="1101"/>
      <c r="O448" s="1101"/>
      <c r="P448" s="1101"/>
      <c r="Q448" s="1101"/>
      <c r="R448" s="1101"/>
      <c r="S448" s="1101"/>
      <c r="T448" s="1101"/>
      <c r="U448" s="1101"/>
      <c r="V448" s="1101"/>
      <c r="W448" s="1101"/>
      <c r="X448" s="1101"/>
      <c r="Y448" s="1102"/>
      <c r="Z448" s="1102"/>
      <c r="AA448" s="1101"/>
    </row>
    <row r="449" ht="15.75" customHeight="1">
      <c r="A449" s="213"/>
      <c r="B449" s="213"/>
      <c r="C449" s="1101"/>
      <c r="D449" s="1101"/>
      <c r="E449" s="1101"/>
      <c r="F449" s="1101"/>
      <c r="G449" s="1101"/>
      <c r="H449" s="1101"/>
      <c r="I449" s="1101"/>
      <c r="J449" s="1101"/>
      <c r="K449" s="1101"/>
      <c r="L449" s="1101"/>
      <c r="M449" s="1101"/>
      <c r="N449" s="1101"/>
      <c r="O449" s="1101"/>
      <c r="P449" s="1101"/>
      <c r="Q449" s="1101"/>
      <c r="R449" s="1101"/>
      <c r="S449" s="1101"/>
      <c r="T449" s="1101"/>
      <c r="U449" s="1101"/>
      <c r="V449" s="1101"/>
      <c r="W449" s="1101"/>
      <c r="X449" s="1101"/>
      <c r="Y449" s="1102"/>
      <c r="Z449" s="1102"/>
      <c r="AA449" s="1101"/>
    </row>
    <row r="450" ht="15.75" customHeight="1">
      <c r="A450" s="213"/>
      <c r="B450" s="213"/>
      <c r="C450" s="1101"/>
      <c r="D450" s="1101"/>
      <c r="E450" s="1101"/>
      <c r="F450" s="1101"/>
      <c r="G450" s="1101"/>
      <c r="H450" s="1101"/>
      <c r="I450" s="1101"/>
      <c r="J450" s="1101"/>
      <c r="K450" s="1101"/>
      <c r="L450" s="1101"/>
      <c r="M450" s="1101"/>
      <c r="N450" s="1101"/>
      <c r="O450" s="1101"/>
      <c r="P450" s="1101"/>
      <c r="Q450" s="1101"/>
      <c r="R450" s="1101"/>
      <c r="S450" s="1101"/>
      <c r="T450" s="1101"/>
      <c r="U450" s="1101"/>
      <c r="V450" s="1101"/>
      <c r="W450" s="1101"/>
      <c r="X450" s="1101"/>
      <c r="Y450" s="1102"/>
      <c r="Z450" s="1102"/>
      <c r="AA450" s="1101"/>
    </row>
    <row r="451" ht="15.75" customHeight="1">
      <c r="A451" s="213"/>
      <c r="B451" s="213"/>
      <c r="C451" s="1101"/>
      <c r="D451" s="1101"/>
      <c r="E451" s="1101"/>
      <c r="F451" s="1101"/>
      <c r="G451" s="1101"/>
      <c r="H451" s="1101"/>
      <c r="I451" s="1101"/>
      <c r="J451" s="1101"/>
      <c r="K451" s="1101"/>
      <c r="L451" s="1101"/>
      <c r="M451" s="1101"/>
      <c r="N451" s="1101"/>
      <c r="O451" s="1101"/>
      <c r="P451" s="1101"/>
      <c r="Q451" s="1101"/>
      <c r="R451" s="1101"/>
      <c r="S451" s="1101"/>
      <c r="T451" s="1101"/>
      <c r="U451" s="1101"/>
      <c r="V451" s="1101"/>
      <c r="W451" s="1101"/>
      <c r="X451" s="1101"/>
      <c r="Y451" s="1102"/>
      <c r="Z451" s="1102"/>
      <c r="AA451" s="1101"/>
    </row>
    <row r="452" ht="15.75" customHeight="1">
      <c r="A452" s="213"/>
      <c r="B452" s="213"/>
      <c r="C452" s="1101"/>
      <c r="D452" s="1101"/>
      <c r="E452" s="1101"/>
      <c r="F452" s="1101"/>
      <c r="G452" s="1101"/>
      <c r="H452" s="1101"/>
      <c r="I452" s="1101"/>
      <c r="J452" s="1101"/>
      <c r="K452" s="1101"/>
      <c r="L452" s="1101"/>
      <c r="M452" s="1101"/>
      <c r="N452" s="1101"/>
      <c r="O452" s="1101"/>
      <c r="P452" s="1101"/>
      <c r="Q452" s="1101"/>
      <c r="R452" s="1101"/>
      <c r="S452" s="1101"/>
      <c r="T452" s="1101"/>
      <c r="U452" s="1101"/>
      <c r="V452" s="1101"/>
      <c r="W452" s="1101"/>
      <c r="X452" s="1101"/>
      <c r="Y452" s="1102"/>
      <c r="Z452" s="1102"/>
      <c r="AA452" s="1101"/>
    </row>
    <row r="453" ht="15.75" customHeight="1">
      <c r="A453" s="213"/>
      <c r="B453" s="213"/>
      <c r="C453" s="1101"/>
      <c r="D453" s="1101"/>
      <c r="E453" s="1101"/>
      <c r="F453" s="1101"/>
      <c r="G453" s="1101"/>
      <c r="H453" s="1101"/>
      <c r="I453" s="1101"/>
      <c r="J453" s="1101"/>
      <c r="K453" s="1101"/>
      <c r="L453" s="1101"/>
      <c r="M453" s="1101"/>
      <c r="N453" s="1101"/>
      <c r="O453" s="1101"/>
      <c r="P453" s="1101"/>
      <c r="Q453" s="1101"/>
      <c r="R453" s="1101"/>
      <c r="S453" s="1101"/>
      <c r="T453" s="1101"/>
      <c r="U453" s="1101"/>
      <c r="V453" s="1101"/>
      <c r="W453" s="1101"/>
      <c r="X453" s="1101"/>
      <c r="Y453" s="1102"/>
      <c r="Z453" s="1102"/>
      <c r="AA453" s="1101"/>
    </row>
    <row r="454" ht="15.75" customHeight="1">
      <c r="A454" s="213"/>
      <c r="B454" s="213"/>
      <c r="C454" s="1101"/>
      <c r="D454" s="1101"/>
      <c r="E454" s="1101"/>
      <c r="F454" s="1101"/>
      <c r="G454" s="1101"/>
      <c r="H454" s="1101"/>
      <c r="I454" s="1101"/>
      <c r="J454" s="1101"/>
      <c r="K454" s="1101"/>
      <c r="L454" s="1101"/>
      <c r="M454" s="1101"/>
      <c r="N454" s="1101"/>
      <c r="O454" s="1101"/>
      <c r="P454" s="1101"/>
      <c r="Q454" s="1101"/>
      <c r="R454" s="1101"/>
      <c r="S454" s="1101"/>
      <c r="T454" s="1101"/>
      <c r="U454" s="1101"/>
      <c r="V454" s="1101"/>
      <c r="W454" s="1101"/>
      <c r="X454" s="1101"/>
      <c r="Y454" s="1102"/>
      <c r="Z454" s="1102"/>
      <c r="AA454" s="1101"/>
    </row>
    <row r="455" ht="15.75" customHeight="1">
      <c r="A455" s="213"/>
      <c r="B455" s="213"/>
      <c r="C455" s="1101"/>
      <c r="D455" s="1101"/>
      <c r="E455" s="1101"/>
      <c r="F455" s="1101"/>
      <c r="G455" s="1101"/>
      <c r="H455" s="1101"/>
      <c r="I455" s="1101"/>
      <c r="J455" s="1101"/>
      <c r="K455" s="1101"/>
      <c r="L455" s="1101"/>
      <c r="M455" s="1101"/>
      <c r="N455" s="1101"/>
      <c r="O455" s="1101"/>
      <c r="P455" s="1101"/>
      <c r="Q455" s="1101"/>
      <c r="R455" s="1101"/>
      <c r="S455" s="1101"/>
      <c r="T455" s="1101"/>
      <c r="U455" s="1101"/>
      <c r="V455" s="1101"/>
      <c r="W455" s="1101"/>
      <c r="X455" s="1101"/>
      <c r="Y455" s="1102"/>
      <c r="Z455" s="1102"/>
      <c r="AA455" s="1101"/>
    </row>
    <row r="456" ht="15.75" customHeight="1">
      <c r="A456" s="213"/>
      <c r="B456" s="213"/>
      <c r="C456" s="1101"/>
      <c r="D456" s="1101"/>
      <c r="E456" s="1101"/>
      <c r="F456" s="1101"/>
      <c r="G456" s="1101"/>
      <c r="H456" s="1101"/>
      <c r="I456" s="1101"/>
      <c r="J456" s="1101"/>
      <c r="K456" s="1101"/>
      <c r="L456" s="1101"/>
      <c r="M456" s="1101"/>
      <c r="N456" s="1101"/>
      <c r="O456" s="1101"/>
      <c r="P456" s="1101"/>
      <c r="Q456" s="1101"/>
      <c r="R456" s="1101"/>
      <c r="S456" s="1101"/>
      <c r="T456" s="1101"/>
      <c r="U456" s="1101"/>
      <c r="V456" s="1101"/>
      <c r="W456" s="1101"/>
      <c r="X456" s="1101"/>
      <c r="Y456" s="1102"/>
      <c r="Z456" s="1102"/>
      <c r="AA456" s="1101"/>
    </row>
    <row r="457" ht="15.75" customHeight="1">
      <c r="A457" s="213"/>
      <c r="B457" s="213"/>
      <c r="C457" s="1101"/>
      <c r="D457" s="1101"/>
      <c r="E457" s="1101"/>
      <c r="F457" s="1101"/>
      <c r="G457" s="1101"/>
      <c r="H457" s="1101"/>
      <c r="I457" s="1101"/>
      <c r="J457" s="1101"/>
      <c r="K457" s="1101"/>
      <c r="L457" s="1101"/>
      <c r="M457" s="1101"/>
      <c r="N457" s="1101"/>
      <c r="O457" s="1101"/>
      <c r="P457" s="1101"/>
      <c r="Q457" s="1101"/>
      <c r="R457" s="1101"/>
      <c r="S457" s="1101"/>
      <c r="T457" s="1101"/>
      <c r="U457" s="1101"/>
      <c r="V457" s="1101"/>
      <c r="W457" s="1101"/>
      <c r="X457" s="1101"/>
      <c r="Y457" s="1102"/>
      <c r="Z457" s="1102"/>
      <c r="AA457" s="1101"/>
    </row>
    <row r="458" ht="15.75" customHeight="1">
      <c r="A458" s="213"/>
      <c r="B458" s="213"/>
      <c r="C458" s="1101"/>
      <c r="D458" s="1101"/>
      <c r="E458" s="1101"/>
      <c r="F458" s="1101"/>
      <c r="G458" s="1101"/>
      <c r="H458" s="1101"/>
      <c r="I458" s="1101"/>
      <c r="J458" s="1101"/>
      <c r="K458" s="1101"/>
      <c r="L458" s="1101"/>
      <c r="M458" s="1101"/>
      <c r="N458" s="1101"/>
      <c r="O458" s="1101"/>
      <c r="P458" s="1101"/>
      <c r="Q458" s="1101"/>
      <c r="R458" s="1101"/>
      <c r="S458" s="1101"/>
      <c r="T458" s="1101"/>
      <c r="U458" s="1101"/>
      <c r="V458" s="1101"/>
      <c r="W458" s="1101"/>
      <c r="X458" s="1101"/>
      <c r="Y458" s="1102"/>
      <c r="Z458" s="1102"/>
      <c r="AA458" s="1101"/>
    </row>
    <row r="459" ht="15.75" customHeight="1">
      <c r="A459" s="213"/>
      <c r="B459" s="213"/>
      <c r="C459" s="1101"/>
      <c r="D459" s="1101"/>
      <c r="E459" s="1101"/>
      <c r="F459" s="1101"/>
      <c r="G459" s="1101"/>
      <c r="H459" s="1101"/>
      <c r="I459" s="1101"/>
      <c r="J459" s="1101"/>
      <c r="K459" s="1101"/>
      <c r="L459" s="1101"/>
      <c r="M459" s="1101"/>
      <c r="N459" s="1101"/>
      <c r="O459" s="1101"/>
      <c r="P459" s="1101"/>
      <c r="Q459" s="1101"/>
      <c r="R459" s="1101"/>
      <c r="S459" s="1101"/>
      <c r="T459" s="1101"/>
      <c r="U459" s="1101"/>
      <c r="V459" s="1101"/>
      <c r="W459" s="1101"/>
      <c r="X459" s="1101"/>
      <c r="Y459" s="1102"/>
      <c r="Z459" s="1102"/>
      <c r="AA459" s="1101"/>
    </row>
    <row r="460" ht="15.75" customHeight="1">
      <c r="A460" s="213"/>
      <c r="B460" s="213"/>
      <c r="C460" s="1101"/>
      <c r="D460" s="1101"/>
      <c r="E460" s="1101"/>
      <c r="F460" s="1101"/>
      <c r="G460" s="1101"/>
      <c r="H460" s="1101"/>
      <c r="I460" s="1101"/>
      <c r="J460" s="1101"/>
      <c r="K460" s="1101"/>
      <c r="L460" s="1101"/>
      <c r="M460" s="1101"/>
      <c r="N460" s="1101"/>
      <c r="O460" s="1101"/>
      <c r="P460" s="1101"/>
      <c r="Q460" s="1101"/>
      <c r="R460" s="1101"/>
      <c r="S460" s="1101"/>
      <c r="T460" s="1101"/>
      <c r="U460" s="1101"/>
      <c r="V460" s="1101"/>
      <c r="W460" s="1101"/>
      <c r="X460" s="1101"/>
      <c r="Y460" s="1102"/>
      <c r="Z460" s="1102"/>
      <c r="AA460" s="1101"/>
    </row>
    <row r="461" ht="15.75" customHeight="1">
      <c r="A461" s="213"/>
      <c r="B461" s="213"/>
      <c r="C461" s="1101"/>
      <c r="D461" s="1101"/>
      <c r="E461" s="1101"/>
      <c r="F461" s="1101"/>
      <c r="G461" s="1101"/>
      <c r="H461" s="1101"/>
      <c r="I461" s="1101"/>
      <c r="J461" s="1101"/>
      <c r="K461" s="1101"/>
      <c r="L461" s="1101"/>
      <c r="M461" s="1101"/>
      <c r="N461" s="1101"/>
      <c r="O461" s="1101"/>
      <c r="P461" s="1101"/>
      <c r="Q461" s="1101"/>
      <c r="R461" s="1101"/>
      <c r="S461" s="1101"/>
      <c r="T461" s="1101"/>
      <c r="U461" s="1101"/>
      <c r="V461" s="1101"/>
      <c r="W461" s="1101"/>
      <c r="X461" s="1101"/>
      <c r="Y461" s="1102"/>
      <c r="Z461" s="1102"/>
      <c r="AA461" s="1101"/>
    </row>
    <row r="462" ht="15.75" customHeight="1">
      <c r="A462" s="213"/>
      <c r="B462" s="213"/>
      <c r="C462" s="1101"/>
      <c r="D462" s="1101"/>
      <c r="E462" s="1101"/>
      <c r="F462" s="1101"/>
      <c r="G462" s="1101"/>
      <c r="H462" s="1101"/>
      <c r="I462" s="1101"/>
      <c r="J462" s="1101"/>
      <c r="K462" s="1101"/>
      <c r="L462" s="1101"/>
      <c r="M462" s="1101"/>
      <c r="N462" s="1101"/>
      <c r="O462" s="1101"/>
      <c r="P462" s="1101"/>
      <c r="Q462" s="1101"/>
      <c r="R462" s="1101"/>
      <c r="S462" s="1101"/>
      <c r="T462" s="1101"/>
      <c r="U462" s="1101"/>
      <c r="V462" s="1101"/>
      <c r="W462" s="1101"/>
      <c r="X462" s="1101"/>
      <c r="Y462" s="1102"/>
      <c r="Z462" s="1102"/>
      <c r="AA462" s="1101"/>
    </row>
    <row r="463" ht="15.75" customHeight="1">
      <c r="A463" s="213"/>
      <c r="B463" s="213"/>
      <c r="C463" s="1101"/>
      <c r="D463" s="1101"/>
      <c r="E463" s="1101"/>
      <c r="F463" s="1101"/>
      <c r="G463" s="1101"/>
      <c r="H463" s="1101"/>
      <c r="I463" s="1101"/>
      <c r="J463" s="1101"/>
      <c r="K463" s="1101"/>
      <c r="L463" s="1101"/>
      <c r="M463" s="1101"/>
      <c r="N463" s="1101"/>
      <c r="O463" s="1101"/>
      <c r="P463" s="1101"/>
      <c r="Q463" s="1101"/>
      <c r="R463" s="1101"/>
      <c r="S463" s="1101"/>
      <c r="T463" s="1101"/>
      <c r="U463" s="1101"/>
      <c r="V463" s="1101"/>
      <c r="W463" s="1101"/>
      <c r="X463" s="1101"/>
      <c r="Y463" s="1102"/>
      <c r="Z463" s="1102"/>
      <c r="AA463" s="1101"/>
    </row>
    <row r="464" ht="15.75" customHeight="1">
      <c r="A464" s="213"/>
      <c r="B464" s="213"/>
      <c r="C464" s="1101"/>
      <c r="D464" s="1101"/>
      <c r="E464" s="1101"/>
      <c r="F464" s="1101"/>
      <c r="G464" s="1101"/>
      <c r="H464" s="1101"/>
      <c r="I464" s="1101"/>
      <c r="J464" s="1101"/>
      <c r="K464" s="1101"/>
      <c r="L464" s="1101"/>
      <c r="M464" s="1101"/>
      <c r="N464" s="1101"/>
      <c r="O464" s="1101"/>
      <c r="P464" s="1101"/>
      <c r="Q464" s="1101"/>
      <c r="R464" s="1101"/>
      <c r="S464" s="1101"/>
      <c r="T464" s="1101"/>
      <c r="U464" s="1101"/>
      <c r="V464" s="1101"/>
      <c r="W464" s="1101"/>
      <c r="X464" s="1101"/>
      <c r="Y464" s="1102"/>
      <c r="Z464" s="1102"/>
      <c r="AA464" s="1101"/>
    </row>
    <row r="465" ht="15.75" customHeight="1">
      <c r="A465" s="213"/>
      <c r="B465" s="213"/>
      <c r="C465" s="1101"/>
      <c r="D465" s="1101"/>
      <c r="E465" s="1101"/>
      <c r="F465" s="1101"/>
      <c r="G465" s="1101"/>
      <c r="H465" s="1101"/>
      <c r="I465" s="1101"/>
      <c r="J465" s="1101"/>
      <c r="K465" s="1101"/>
      <c r="L465" s="1101"/>
      <c r="M465" s="1101"/>
      <c r="N465" s="1101"/>
      <c r="O465" s="1101"/>
      <c r="P465" s="1101"/>
      <c r="Q465" s="1101"/>
      <c r="R465" s="1101"/>
      <c r="S465" s="1101"/>
      <c r="T465" s="1101"/>
      <c r="U465" s="1101"/>
      <c r="V465" s="1101"/>
      <c r="W465" s="1101"/>
      <c r="X465" s="1101"/>
      <c r="Y465" s="1102"/>
      <c r="Z465" s="1102"/>
      <c r="AA465" s="1101"/>
    </row>
    <row r="466" ht="15.75" customHeight="1">
      <c r="A466" s="213"/>
      <c r="B466" s="213"/>
      <c r="C466" s="1101"/>
      <c r="D466" s="1101"/>
      <c r="E466" s="1101"/>
      <c r="F466" s="1101"/>
      <c r="G466" s="1101"/>
      <c r="H466" s="1101"/>
      <c r="I466" s="1101"/>
      <c r="J466" s="1101"/>
      <c r="K466" s="1101"/>
      <c r="L466" s="1101"/>
      <c r="M466" s="1101"/>
      <c r="N466" s="1101"/>
      <c r="O466" s="1101"/>
      <c r="P466" s="1101"/>
      <c r="Q466" s="1101"/>
      <c r="R466" s="1101"/>
      <c r="S466" s="1101"/>
      <c r="T466" s="1101"/>
      <c r="U466" s="1101"/>
      <c r="V466" s="1101"/>
      <c r="W466" s="1101"/>
      <c r="X466" s="1101"/>
      <c r="Y466" s="1102"/>
      <c r="Z466" s="1102"/>
      <c r="AA466" s="1101"/>
    </row>
    <row r="467" ht="15.75" customHeight="1">
      <c r="A467" s="213"/>
      <c r="B467" s="213"/>
      <c r="C467" s="1101"/>
      <c r="D467" s="1101"/>
      <c r="E467" s="1101"/>
      <c r="F467" s="1101"/>
      <c r="G467" s="1101"/>
      <c r="H467" s="1101"/>
      <c r="I467" s="1101"/>
      <c r="J467" s="1101"/>
      <c r="K467" s="1101"/>
      <c r="L467" s="1101"/>
      <c r="M467" s="1101"/>
      <c r="N467" s="1101"/>
      <c r="O467" s="1101"/>
      <c r="P467" s="1101"/>
      <c r="Q467" s="1101"/>
      <c r="R467" s="1101"/>
      <c r="S467" s="1101"/>
      <c r="T467" s="1101"/>
      <c r="U467" s="1101"/>
      <c r="V467" s="1101"/>
      <c r="W467" s="1101"/>
      <c r="X467" s="1101"/>
      <c r="Y467" s="1102"/>
      <c r="Z467" s="1102"/>
      <c r="AA467" s="1101"/>
    </row>
    <row r="468" ht="15.75" customHeight="1">
      <c r="A468" s="213"/>
      <c r="B468" s="213"/>
      <c r="C468" s="1101"/>
      <c r="D468" s="1101"/>
      <c r="E468" s="1101"/>
      <c r="F468" s="1101"/>
      <c r="G468" s="1101"/>
      <c r="H468" s="1101"/>
      <c r="I468" s="1101"/>
      <c r="J468" s="1101"/>
      <c r="K468" s="1101"/>
      <c r="L468" s="1101"/>
      <c r="M468" s="1101"/>
      <c r="N468" s="1101"/>
      <c r="O468" s="1101"/>
      <c r="P468" s="1101"/>
      <c r="Q468" s="1101"/>
      <c r="R468" s="1101"/>
      <c r="S468" s="1101"/>
      <c r="T468" s="1101"/>
      <c r="U468" s="1101"/>
      <c r="V468" s="1101"/>
      <c r="W468" s="1101"/>
      <c r="X468" s="1101"/>
      <c r="Y468" s="1102"/>
      <c r="Z468" s="1102"/>
      <c r="AA468" s="1101"/>
    </row>
    <row r="469" ht="15.75" customHeight="1">
      <c r="A469" s="213"/>
      <c r="B469" s="213"/>
      <c r="C469" s="1101"/>
      <c r="D469" s="1101"/>
      <c r="E469" s="1101"/>
      <c r="F469" s="1101"/>
      <c r="G469" s="1101"/>
      <c r="H469" s="1101"/>
      <c r="I469" s="1101"/>
      <c r="J469" s="1101"/>
      <c r="K469" s="1101"/>
      <c r="L469" s="1101"/>
      <c r="M469" s="1101"/>
      <c r="N469" s="1101"/>
      <c r="O469" s="1101"/>
      <c r="P469" s="1101"/>
      <c r="Q469" s="1101"/>
      <c r="R469" s="1101"/>
      <c r="S469" s="1101"/>
      <c r="T469" s="1101"/>
      <c r="U469" s="1101"/>
      <c r="V469" s="1101"/>
      <c r="W469" s="1101"/>
      <c r="X469" s="1101"/>
      <c r="Y469" s="1102"/>
      <c r="Z469" s="1102"/>
      <c r="AA469" s="1101"/>
    </row>
    <row r="470" ht="15.75" customHeight="1">
      <c r="A470" s="213"/>
      <c r="B470" s="213"/>
      <c r="C470" s="1101"/>
      <c r="D470" s="1101"/>
      <c r="E470" s="1101"/>
      <c r="F470" s="1101"/>
      <c r="G470" s="1101"/>
      <c r="H470" s="1101"/>
      <c r="I470" s="1101"/>
      <c r="J470" s="1101"/>
      <c r="K470" s="1101"/>
      <c r="L470" s="1101"/>
      <c r="M470" s="1101"/>
      <c r="N470" s="1101"/>
      <c r="O470" s="1101"/>
      <c r="P470" s="1101"/>
      <c r="Q470" s="1101"/>
      <c r="R470" s="1101"/>
      <c r="S470" s="1101"/>
      <c r="T470" s="1101"/>
      <c r="U470" s="1101"/>
      <c r="V470" s="1101"/>
      <c r="W470" s="1101"/>
      <c r="X470" s="1101"/>
      <c r="Y470" s="1102"/>
      <c r="Z470" s="1102"/>
      <c r="AA470" s="1101"/>
    </row>
    <row r="471" ht="15.75" customHeight="1">
      <c r="A471" s="213"/>
      <c r="B471" s="213"/>
      <c r="C471" s="1101"/>
      <c r="D471" s="1101"/>
      <c r="E471" s="1101"/>
      <c r="F471" s="1101"/>
      <c r="G471" s="1101"/>
      <c r="H471" s="1101"/>
      <c r="I471" s="1101"/>
      <c r="J471" s="1101"/>
      <c r="K471" s="1101"/>
      <c r="L471" s="1101"/>
      <c r="M471" s="1101"/>
      <c r="N471" s="1101"/>
      <c r="O471" s="1101"/>
      <c r="P471" s="1101"/>
      <c r="Q471" s="1101"/>
      <c r="R471" s="1101"/>
      <c r="S471" s="1101"/>
      <c r="T471" s="1101"/>
      <c r="U471" s="1101"/>
      <c r="V471" s="1101"/>
      <c r="W471" s="1101"/>
      <c r="X471" s="1101"/>
      <c r="Y471" s="1102"/>
      <c r="Z471" s="1102"/>
      <c r="AA471" s="1101"/>
    </row>
    <row r="472" ht="15.75" customHeight="1">
      <c r="A472" s="213"/>
      <c r="B472" s="213"/>
      <c r="C472" s="1101"/>
      <c r="D472" s="1101"/>
      <c r="E472" s="1101"/>
      <c r="F472" s="1101"/>
      <c r="G472" s="1101"/>
      <c r="H472" s="1101"/>
      <c r="I472" s="1101"/>
      <c r="J472" s="1101"/>
      <c r="K472" s="1101"/>
      <c r="L472" s="1101"/>
      <c r="M472" s="1101"/>
      <c r="N472" s="1101"/>
      <c r="O472" s="1101"/>
      <c r="P472" s="1101"/>
      <c r="Q472" s="1101"/>
      <c r="R472" s="1101"/>
      <c r="S472" s="1101"/>
      <c r="T472" s="1101"/>
      <c r="U472" s="1101"/>
      <c r="V472" s="1101"/>
      <c r="W472" s="1101"/>
      <c r="X472" s="1101"/>
      <c r="Y472" s="1102"/>
      <c r="Z472" s="1102"/>
      <c r="AA472" s="1101"/>
    </row>
    <row r="473" ht="15.75" customHeight="1">
      <c r="A473" s="213"/>
      <c r="B473" s="213"/>
      <c r="C473" s="1101"/>
      <c r="D473" s="1101"/>
      <c r="E473" s="1101"/>
      <c r="F473" s="1101"/>
      <c r="G473" s="1101"/>
      <c r="H473" s="1101"/>
      <c r="I473" s="1101"/>
      <c r="J473" s="1101"/>
      <c r="K473" s="1101"/>
      <c r="L473" s="1101"/>
      <c r="M473" s="1101"/>
      <c r="N473" s="1101"/>
      <c r="O473" s="1101"/>
      <c r="P473" s="1101"/>
      <c r="Q473" s="1101"/>
      <c r="R473" s="1101"/>
      <c r="S473" s="1101"/>
      <c r="T473" s="1101"/>
      <c r="U473" s="1101"/>
      <c r="V473" s="1101"/>
      <c r="W473" s="1101"/>
      <c r="X473" s="1101"/>
      <c r="Y473" s="1102"/>
      <c r="Z473" s="1102"/>
      <c r="AA473" s="1101"/>
    </row>
    <row r="474" ht="15.75" customHeight="1">
      <c r="A474" s="213"/>
      <c r="B474" s="213"/>
      <c r="C474" s="1101"/>
      <c r="D474" s="1101"/>
      <c r="E474" s="1101"/>
      <c r="F474" s="1101"/>
      <c r="G474" s="1101"/>
      <c r="H474" s="1101"/>
      <c r="I474" s="1101"/>
      <c r="J474" s="1101"/>
      <c r="K474" s="1101"/>
      <c r="L474" s="1101"/>
      <c r="M474" s="1101"/>
      <c r="N474" s="1101"/>
      <c r="O474" s="1101"/>
      <c r="P474" s="1101"/>
      <c r="Q474" s="1101"/>
      <c r="R474" s="1101"/>
      <c r="S474" s="1101"/>
      <c r="T474" s="1101"/>
      <c r="U474" s="1101"/>
      <c r="V474" s="1101"/>
      <c r="W474" s="1101"/>
      <c r="X474" s="1101"/>
      <c r="Y474" s="1102"/>
      <c r="Z474" s="1102"/>
      <c r="AA474" s="1101"/>
    </row>
    <row r="475" ht="15.75" customHeight="1">
      <c r="A475" s="213"/>
      <c r="B475" s="213"/>
      <c r="C475" s="1101"/>
      <c r="D475" s="1101"/>
      <c r="E475" s="1101"/>
      <c r="F475" s="1101"/>
      <c r="G475" s="1101"/>
      <c r="H475" s="1101"/>
      <c r="I475" s="1101"/>
      <c r="J475" s="1101"/>
      <c r="K475" s="1101"/>
      <c r="L475" s="1101"/>
      <c r="M475" s="1101"/>
      <c r="N475" s="1101"/>
      <c r="O475" s="1101"/>
      <c r="P475" s="1101"/>
      <c r="Q475" s="1101"/>
      <c r="R475" s="1101"/>
      <c r="S475" s="1101"/>
      <c r="T475" s="1101"/>
      <c r="U475" s="1101"/>
      <c r="V475" s="1101"/>
      <c r="W475" s="1101"/>
      <c r="X475" s="1101"/>
      <c r="Y475" s="1102"/>
      <c r="Z475" s="1102"/>
      <c r="AA475" s="1101"/>
    </row>
    <row r="476" ht="15.75" customHeight="1">
      <c r="A476" s="213"/>
      <c r="B476" s="213"/>
      <c r="C476" s="1101"/>
      <c r="D476" s="1101"/>
      <c r="E476" s="1101"/>
      <c r="F476" s="1101"/>
      <c r="G476" s="1101"/>
      <c r="H476" s="1101"/>
      <c r="I476" s="1101"/>
      <c r="J476" s="1101"/>
      <c r="K476" s="1101"/>
      <c r="L476" s="1101"/>
      <c r="M476" s="1101"/>
      <c r="N476" s="1101"/>
      <c r="O476" s="1101"/>
      <c r="P476" s="1101"/>
      <c r="Q476" s="1101"/>
      <c r="R476" s="1101"/>
      <c r="S476" s="1101"/>
      <c r="T476" s="1101"/>
      <c r="U476" s="1101"/>
      <c r="V476" s="1101"/>
      <c r="W476" s="1101"/>
      <c r="X476" s="1101"/>
      <c r="Y476" s="1102"/>
      <c r="Z476" s="1102"/>
      <c r="AA476" s="1101"/>
    </row>
    <row r="477" ht="15.75" customHeight="1">
      <c r="A477" s="213"/>
      <c r="B477" s="213"/>
      <c r="C477" s="1101"/>
      <c r="D477" s="1101"/>
      <c r="E477" s="1101"/>
      <c r="F477" s="1101"/>
      <c r="G477" s="1101"/>
      <c r="H477" s="1101"/>
      <c r="I477" s="1101"/>
      <c r="J477" s="1101"/>
      <c r="K477" s="1101"/>
      <c r="L477" s="1101"/>
      <c r="M477" s="1101"/>
      <c r="N477" s="1101"/>
      <c r="O477" s="1101"/>
      <c r="P477" s="1101"/>
      <c r="Q477" s="1101"/>
      <c r="R477" s="1101"/>
      <c r="S477" s="1101"/>
      <c r="T477" s="1101"/>
      <c r="U477" s="1101"/>
      <c r="V477" s="1101"/>
      <c r="W477" s="1101"/>
      <c r="X477" s="1101"/>
      <c r="Y477" s="1102"/>
      <c r="Z477" s="1102"/>
      <c r="AA477" s="1101"/>
    </row>
    <row r="478" ht="15.75" customHeight="1">
      <c r="A478" s="213"/>
      <c r="B478" s="213"/>
      <c r="C478" s="1101"/>
      <c r="D478" s="1101"/>
      <c r="E478" s="1101"/>
      <c r="F478" s="1101"/>
      <c r="G478" s="1101"/>
      <c r="H478" s="1101"/>
      <c r="I478" s="1101"/>
      <c r="J478" s="1101"/>
      <c r="K478" s="1101"/>
      <c r="L478" s="1101"/>
      <c r="M478" s="1101"/>
      <c r="N478" s="1101"/>
      <c r="O478" s="1101"/>
      <c r="P478" s="1101"/>
      <c r="Q478" s="1101"/>
      <c r="R478" s="1101"/>
      <c r="S478" s="1101"/>
      <c r="T478" s="1101"/>
      <c r="U478" s="1101"/>
      <c r="V478" s="1101"/>
      <c r="W478" s="1101"/>
      <c r="X478" s="1101"/>
      <c r="Y478" s="1102"/>
      <c r="Z478" s="1102"/>
      <c r="AA478" s="1101"/>
    </row>
    <row r="479" ht="15.75" customHeight="1">
      <c r="A479" s="213"/>
      <c r="B479" s="213"/>
      <c r="C479" s="1101"/>
      <c r="D479" s="1101"/>
      <c r="E479" s="1101"/>
      <c r="F479" s="1101"/>
      <c r="G479" s="1101"/>
      <c r="H479" s="1101"/>
      <c r="I479" s="1101"/>
      <c r="J479" s="1101"/>
      <c r="K479" s="1101"/>
      <c r="L479" s="1101"/>
      <c r="M479" s="1101"/>
      <c r="N479" s="1101"/>
      <c r="O479" s="1101"/>
      <c r="P479" s="1101"/>
      <c r="Q479" s="1101"/>
      <c r="R479" s="1101"/>
      <c r="S479" s="1101"/>
      <c r="T479" s="1101"/>
      <c r="U479" s="1101"/>
      <c r="V479" s="1101"/>
      <c r="W479" s="1101"/>
      <c r="X479" s="1101"/>
      <c r="Y479" s="1102"/>
      <c r="Z479" s="1102"/>
      <c r="AA479" s="1101"/>
    </row>
    <row r="480" ht="15.75" customHeight="1">
      <c r="A480" s="213"/>
      <c r="B480" s="213"/>
      <c r="C480" s="1101"/>
      <c r="D480" s="1101"/>
      <c r="E480" s="1101"/>
      <c r="F480" s="1101"/>
      <c r="G480" s="1101"/>
      <c r="H480" s="1101"/>
      <c r="I480" s="1101"/>
      <c r="J480" s="1101"/>
      <c r="K480" s="1101"/>
      <c r="L480" s="1101"/>
      <c r="M480" s="1101"/>
      <c r="N480" s="1101"/>
      <c r="O480" s="1101"/>
      <c r="P480" s="1101"/>
      <c r="Q480" s="1101"/>
      <c r="R480" s="1101"/>
      <c r="S480" s="1101"/>
      <c r="T480" s="1101"/>
      <c r="U480" s="1101"/>
      <c r="V480" s="1101"/>
      <c r="W480" s="1101"/>
      <c r="X480" s="1101"/>
      <c r="Y480" s="1102"/>
      <c r="Z480" s="1102"/>
      <c r="AA480" s="1101"/>
    </row>
    <row r="481" ht="15.75" customHeight="1">
      <c r="A481" s="213"/>
      <c r="B481" s="213"/>
      <c r="C481" s="1101"/>
      <c r="D481" s="1101"/>
      <c r="E481" s="1101"/>
      <c r="F481" s="1101"/>
      <c r="G481" s="1101"/>
      <c r="H481" s="1101"/>
      <c r="I481" s="1101"/>
      <c r="J481" s="1101"/>
      <c r="K481" s="1101"/>
      <c r="L481" s="1101"/>
      <c r="M481" s="1101"/>
      <c r="N481" s="1101"/>
      <c r="O481" s="1101"/>
      <c r="P481" s="1101"/>
      <c r="Q481" s="1101"/>
      <c r="R481" s="1101"/>
      <c r="S481" s="1101"/>
      <c r="T481" s="1101"/>
      <c r="U481" s="1101"/>
      <c r="V481" s="1101"/>
      <c r="W481" s="1101"/>
      <c r="X481" s="1101"/>
      <c r="Y481" s="1102"/>
      <c r="Z481" s="1102"/>
      <c r="AA481" s="1101"/>
    </row>
    <row r="482" ht="15.75" customHeight="1">
      <c r="A482" s="213"/>
      <c r="B482" s="213"/>
      <c r="C482" s="1101"/>
      <c r="D482" s="1101"/>
      <c r="E482" s="1101"/>
      <c r="F482" s="1101"/>
      <c r="G482" s="1101"/>
      <c r="H482" s="1101"/>
      <c r="I482" s="1101"/>
      <c r="J482" s="1101"/>
      <c r="K482" s="1101"/>
      <c r="L482" s="1101"/>
      <c r="M482" s="1101"/>
      <c r="N482" s="1101"/>
      <c r="O482" s="1101"/>
      <c r="P482" s="1101"/>
      <c r="Q482" s="1101"/>
      <c r="R482" s="1101"/>
      <c r="S482" s="1101"/>
      <c r="T482" s="1101"/>
      <c r="U482" s="1101"/>
      <c r="V482" s="1101"/>
      <c r="W482" s="1101"/>
      <c r="X482" s="1101"/>
      <c r="Y482" s="1102"/>
      <c r="Z482" s="1102"/>
      <c r="AA482" s="1101"/>
    </row>
    <row r="483" ht="15.75" customHeight="1">
      <c r="A483" s="213"/>
      <c r="B483" s="213"/>
      <c r="C483" s="1101"/>
      <c r="D483" s="1101"/>
      <c r="E483" s="1101"/>
      <c r="F483" s="1101"/>
      <c r="G483" s="1101"/>
      <c r="H483" s="1101"/>
      <c r="I483" s="1101"/>
      <c r="J483" s="1101"/>
      <c r="K483" s="1101"/>
      <c r="L483" s="1101"/>
      <c r="M483" s="1101"/>
      <c r="N483" s="1101"/>
      <c r="O483" s="1101"/>
      <c r="P483" s="1101"/>
      <c r="Q483" s="1101"/>
      <c r="R483" s="1101"/>
      <c r="S483" s="1101"/>
      <c r="T483" s="1101"/>
      <c r="U483" s="1101"/>
      <c r="V483" s="1101"/>
      <c r="W483" s="1101"/>
      <c r="X483" s="1101"/>
      <c r="Y483" s="1102"/>
      <c r="Z483" s="1102"/>
      <c r="AA483" s="1101"/>
    </row>
    <row r="484" ht="15.75" customHeight="1">
      <c r="A484" s="213"/>
      <c r="B484" s="213"/>
      <c r="C484" s="1101"/>
      <c r="D484" s="1101"/>
      <c r="E484" s="1101"/>
      <c r="F484" s="1101"/>
      <c r="G484" s="1101"/>
      <c r="H484" s="1101"/>
      <c r="I484" s="1101"/>
      <c r="J484" s="1101"/>
      <c r="K484" s="1101"/>
      <c r="L484" s="1101"/>
      <c r="M484" s="1101"/>
      <c r="N484" s="1101"/>
      <c r="O484" s="1101"/>
      <c r="P484" s="1101"/>
      <c r="Q484" s="1101"/>
      <c r="R484" s="1101"/>
      <c r="S484" s="1101"/>
      <c r="T484" s="1101"/>
      <c r="U484" s="1101"/>
      <c r="V484" s="1101"/>
      <c r="W484" s="1101"/>
      <c r="X484" s="1101"/>
      <c r="Y484" s="1102"/>
      <c r="Z484" s="1102"/>
      <c r="AA484" s="1101"/>
    </row>
    <row r="485" ht="15.75" customHeight="1">
      <c r="A485" s="213"/>
      <c r="B485" s="213"/>
      <c r="C485" s="1101"/>
      <c r="D485" s="1101"/>
      <c r="E485" s="1101"/>
      <c r="F485" s="1101"/>
      <c r="G485" s="1101"/>
      <c r="H485" s="1101"/>
      <c r="I485" s="1101"/>
      <c r="J485" s="1101"/>
      <c r="K485" s="1101"/>
      <c r="L485" s="1101"/>
      <c r="M485" s="1101"/>
      <c r="N485" s="1101"/>
      <c r="O485" s="1101"/>
      <c r="P485" s="1101"/>
      <c r="Q485" s="1101"/>
      <c r="R485" s="1101"/>
      <c r="S485" s="1101"/>
      <c r="T485" s="1101"/>
      <c r="U485" s="1101"/>
      <c r="V485" s="1101"/>
      <c r="W485" s="1101"/>
      <c r="X485" s="1101"/>
      <c r="Y485" s="1102"/>
      <c r="Z485" s="1102"/>
      <c r="AA485" s="1101"/>
    </row>
    <row r="486" ht="15.75" customHeight="1">
      <c r="A486" s="213"/>
      <c r="B486" s="213"/>
      <c r="C486" s="1101"/>
      <c r="D486" s="1101"/>
      <c r="E486" s="1101"/>
      <c r="F486" s="1101"/>
      <c r="G486" s="1101"/>
      <c r="H486" s="1101"/>
      <c r="I486" s="1101"/>
      <c r="J486" s="1101"/>
      <c r="K486" s="1101"/>
      <c r="L486" s="1101"/>
      <c r="M486" s="1101"/>
      <c r="N486" s="1101"/>
      <c r="O486" s="1101"/>
      <c r="P486" s="1101"/>
      <c r="Q486" s="1101"/>
      <c r="R486" s="1101"/>
      <c r="S486" s="1101"/>
      <c r="T486" s="1101"/>
      <c r="U486" s="1101"/>
      <c r="V486" s="1101"/>
      <c r="W486" s="1101"/>
      <c r="X486" s="1101"/>
      <c r="Y486" s="1102"/>
      <c r="Z486" s="1102"/>
      <c r="AA486" s="1101"/>
    </row>
    <row r="487" ht="15.75" customHeight="1">
      <c r="A487" s="213"/>
      <c r="B487" s="213"/>
      <c r="C487" s="1101"/>
      <c r="D487" s="1101"/>
      <c r="E487" s="1101"/>
      <c r="F487" s="1101"/>
      <c r="G487" s="1101"/>
      <c r="H487" s="1101"/>
      <c r="I487" s="1101"/>
      <c r="J487" s="1101"/>
      <c r="K487" s="1101"/>
      <c r="L487" s="1101"/>
      <c r="M487" s="1101"/>
      <c r="N487" s="1101"/>
      <c r="O487" s="1101"/>
      <c r="P487" s="1101"/>
      <c r="Q487" s="1101"/>
      <c r="R487" s="1101"/>
      <c r="S487" s="1101"/>
      <c r="T487" s="1101"/>
      <c r="U487" s="1101"/>
      <c r="V487" s="1101"/>
      <c r="W487" s="1101"/>
      <c r="X487" s="1101"/>
      <c r="Y487" s="1102"/>
      <c r="Z487" s="1102"/>
      <c r="AA487" s="1101"/>
    </row>
    <row r="488" ht="15.75" customHeight="1">
      <c r="A488" s="213"/>
      <c r="B488" s="213"/>
      <c r="C488" s="1101"/>
      <c r="D488" s="1101"/>
      <c r="E488" s="1101"/>
      <c r="F488" s="1101"/>
      <c r="G488" s="1101"/>
      <c r="H488" s="1101"/>
      <c r="I488" s="1101"/>
      <c r="J488" s="1101"/>
      <c r="K488" s="1101"/>
      <c r="L488" s="1101"/>
      <c r="M488" s="1101"/>
      <c r="N488" s="1101"/>
      <c r="O488" s="1101"/>
      <c r="P488" s="1101"/>
      <c r="Q488" s="1101"/>
      <c r="R488" s="1101"/>
      <c r="S488" s="1101"/>
      <c r="T488" s="1101"/>
      <c r="U488" s="1101"/>
      <c r="V488" s="1101"/>
      <c r="W488" s="1101"/>
      <c r="X488" s="1101"/>
      <c r="Y488" s="1102"/>
      <c r="Z488" s="1102"/>
      <c r="AA488" s="1101"/>
    </row>
    <row r="489" ht="15.75" customHeight="1">
      <c r="A489" s="213"/>
      <c r="B489" s="213"/>
      <c r="C489" s="1101"/>
      <c r="D489" s="1101"/>
      <c r="E489" s="1101"/>
      <c r="F489" s="1101"/>
      <c r="G489" s="1101"/>
      <c r="H489" s="1101"/>
      <c r="I489" s="1101"/>
      <c r="J489" s="1101"/>
      <c r="K489" s="1101"/>
      <c r="L489" s="1101"/>
      <c r="M489" s="1101"/>
      <c r="N489" s="1101"/>
      <c r="O489" s="1101"/>
      <c r="P489" s="1101"/>
      <c r="Q489" s="1101"/>
      <c r="R489" s="1101"/>
      <c r="S489" s="1101"/>
      <c r="T489" s="1101"/>
      <c r="U489" s="1101"/>
      <c r="V489" s="1101"/>
      <c r="W489" s="1101"/>
      <c r="X489" s="1101"/>
      <c r="Y489" s="1102"/>
      <c r="Z489" s="1102"/>
      <c r="AA489" s="1101"/>
    </row>
    <row r="490" ht="15.75" customHeight="1">
      <c r="A490" s="213"/>
      <c r="B490" s="213"/>
      <c r="C490" s="1101"/>
      <c r="D490" s="1101"/>
      <c r="E490" s="1101"/>
      <c r="F490" s="1101"/>
      <c r="G490" s="1101"/>
      <c r="H490" s="1101"/>
      <c r="I490" s="1101"/>
      <c r="J490" s="1101"/>
      <c r="K490" s="1101"/>
      <c r="L490" s="1101"/>
      <c r="M490" s="1101"/>
      <c r="N490" s="1101"/>
      <c r="O490" s="1101"/>
      <c r="P490" s="1101"/>
      <c r="Q490" s="1101"/>
      <c r="R490" s="1101"/>
      <c r="S490" s="1101"/>
      <c r="T490" s="1101"/>
      <c r="U490" s="1101"/>
      <c r="V490" s="1101"/>
      <c r="W490" s="1101"/>
      <c r="X490" s="1101"/>
      <c r="Y490" s="1102"/>
      <c r="Z490" s="1102"/>
      <c r="AA490" s="1101"/>
    </row>
    <row r="491" ht="15.75" customHeight="1">
      <c r="A491" s="213"/>
      <c r="B491" s="213"/>
      <c r="C491" s="1101"/>
      <c r="D491" s="1101"/>
      <c r="E491" s="1101"/>
      <c r="F491" s="1101"/>
      <c r="G491" s="1101"/>
      <c r="H491" s="1101"/>
      <c r="I491" s="1101"/>
      <c r="J491" s="1101"/>
      <c r="K491" s="1101"/>
      <c r="L491" s="1101"/>
      <c r="M491" s="1101"/>
      <c r="N491" s="1101"/>
      <c r="O491" s="1101"/>
      <c r="P491" s="1101"/>
      <c r="Q491" s="1101"/>
      <c r="R491" s="1101"/>
      <c r="S491" s="1101"/>
      <c r="T491" s="1101"/>
      <c r="U491" s="1101"/>
      <c r="V491" s="1101"/>
      <c r="W491" s="1101"/>
      <c r="X491" s="1101"/>
      <c r="Y491" s="1102"/>
      <c r="Z491" s="1102"/>
      <c r="AA491" s="1101"/>
    </row>
    <row r="492" ht="15.75" customHeight="1">
      <c r="A492" s="213"/>
      <c r="B492" s="213"/>
      <c r="C492" s="1101"/>
      <c r="D492" s="1101"/>
      <c r="E492" s="1101"/>
      <c r="F492" s="1101"/>
      <c r="G492" s="1101"/>
      <c r="H492" s="1101"/>
      <c r="I492" s="1101"/>
      <c r="J492" s="1101"/>
      <c r="K492" s="1101"/>
      <c r="L492" s="1101"/>
      <c r="M492" s="1101"/>
      <c r="N492" s="1101"/>
      <c r="O492" s="1101"/>
      <c r="P492" s="1101"/>
      <c r="Q492" s="1101"/>
      <c r="R492" s="1101"/>
      <c r="S492" s="1101"/>
      <c r="T492" s="1101"/>
      <c r="U492" s="1101"/>
      <c r="V492" s="1101"/>
      <c r="W492" s="1101"/>
      <c r="X492" s="1101"/>
      <c r="Y492" s="1102"/>
      <c r="Z492" s="1102"/>
      <c r="AA492" s="1101"/>
    </row>
    <row r="493" ht="15.75" customHeight="1">
      <c r="A493" s="213"/>
      <c r="B493" s="213"/>
      <c r="C493" s="1101"/>
      <c r="D493" s="1101"/>
      <c r="E493" s="1101"/>
      <c r="F493" s="1101"/>
      <c r="G493" s="1101"/>
      <c r="H493" s="1101"/>
      <c r="I493" s="1101"/>
      <c r="J493" s="1101"/>
      <c r="K493" s="1101"/>
      <c r="L493" s="1101"/>
      <c r="M493" s="1101"/>
      <c r="N493" s="1101"/>
      <c r="O493" s="1101"/>
      <c r="P493" s="1101"/>
      <c r="Q493" s="1101"/>
      <c r="R493" s="1101"/>
      <c r="S493" s="1101"/>
      <c r="T493" s="1101"/>
      <c r="U493" s="1101"/>
      <c r="V493" s="1101"/>
      <c r="W493" s="1101"/>
      <c r="X493" s="1101"/>
      <c r="Y493" s="1102"/>
      <c r="Z493" s="1102"/>
      <c r="AA493" s="1101"/>
    </row>
    <row r="494" ht="15.75" customHeight="1">
      <c r="A494" s="213"/>
      <c r="B494" s="213"/>
      <c r="C494" s="1101"/>
      <c r="D494" s="1101"/>
      <c r="E494" s="1101"/>
      <c r="F494" s="1101"/>
      <c r="G494" s="1101"/>
      <c r="H494" s="1101"/>
      <c r="I494" s="1101"/>
      <c r="J494" s="1101"/>
      <c r="K494" s="1101"/>
      <c r="L494" s="1101"/>
      <c r="M494" s="1101"/>
      <c r="N494" s="1101"/>
      <c r="O494" s="1101"/>
      <c r="P494" s="1101"/>
      <c r="Q494" s="1101"/>
      <c r="R494" s="1101"/>
      <c r="S494" s="1101"/>
      <c r="T494" s="1101"/>
      <c r="U494" s="1101"/>
      <c r="V494" s="1101"/>
      <c r="W494" s="1101"/>
      <c r="X494" s="1101"/>
      <c r="Y494" s="1102"/>
      <c r="Z494" s="1102"/>
      <c r="AA494" s="1101"/>
    </row>
    <row r="495" ht="15.75" customHeight="1">
      <c r="A495" s="213"/>
      <c r="B495" s="213"/>
      <c r="C495" s="1101"/>
      <c r="D495" s="1101"/>
      <c r="E495" s="1101"/>
      <c r="F495" s="1101"/>
      <c r="G495" s="1101"/>
      <c r="H495" s="1101"/>
      <c r="I495" s="1101"/>
      <c r="J495" s="1101"/>
      <c r="K495" s="1101"/>
      <c r="L495" s="1101"/>
      <c r="M495" s="1101"/>
      <c r="N495" s="1101"/>
      <c r="O495" s="1101"/>
      <c r="P495" s="1101"/>
      <c r="Q495" s="1101"/>
      <c r="R495" s="1101"/>
      <c r="S495" s="1101"/>
      <c r="T495" s="1101"/>
      <c r="U495" s="1101"/>
      <c r="V495" s="1101"/>
      <c r="W495" s="1101"/>
      <c r="X495" s="1101"/>
      <c r="Y495" s="1102"/>
      <c r="Z495" s="1102"/>
      <c r="AA495" s="1101"/>
    </row>
    <row r="496" ht="15.75" customHeight="1">
      <c r="A496" s="213"/>
      <c r="B496" s="213"/>
      <c r="C496" s="1101"/>
      <c r="D496" s="1101"/>
      <c r="E496" s="1101"/>
      <c r="F496" s="1101"/>
      <c r="G496" s="1101"/>
      <c r="H496" s="1101"/>
      <c r="I496" s="1101"/>
      <c r="J496" s="1101"/>
      <c r="K496" s="1101"/>
      <c r="L496" s="1101"/>
      <c r="M496" s="1101"/>
      <c r="N496" s="1101"/>
      <c r="O496" s="1101"/>
      <c r="P496" s="1101"/>
      <c r="Q496" s="1101"/>
      <c r="R496" s="1101"/>
      <c r="S496" s="1101"/>
      <c r="T496" s="1101"/>
      <c r="U496" s="1101"/>
      <c r="V496" s="1101"/>
      <c r="W496" s="1101"/>
      <c r="X496" s="1101"/>
      <c r="Y496" s="1102"/>
      <c r="Z496" s="1102"/>
      <c r="AA496" s="1101"/>
    </row>
    <row r="497" ht="15.75" customHeight="1">
      <c r="A497" s="213"/>
      <c r="B497" s="213"/>
      <c r="C497" s="1101"/>
      <c r="D497" s="1101"/>
      <c r="E497" s="1101"/>
      <c r="F497" s="1101"/>
      <c r="G497" s="1101"/>
      <c r="H497" s="1101"/>
      <c r="I497" s="1101"/>
      <c r="J497" s="1101"/>
      <c r="K497" s="1101"/>
      <c r="L497" s="1101"/>
      <c r="M497" s="1101"/>
      <c r="N497" s="1101"/>
      <c r="O497" s="1101"/>
      <c r="P497" s="1101"/>
      <c r="Q497" s="1101"/>
      <c r="R497" s="1101"/>
      <c r="S497" s="1101"/>
      <c r="T497" s="1101"/>
      <c r="U497" s="1101"/>
      <c r="V497" s="1101"/>
      <c r="W497" s="1101"/>
      <c r="X497" s="1101"/>
      <c r="Y497" s="1102"/>
      <c r="Z497" s="1102"/>
      <c r="AA497" s="1101"/>
    </row>
    <row r="498" ht="15.75" customHeight="1">
      <c r="A498" s="213"/>
      <c r="B498" s="213"/>
      <c r="C498" s="1101"/>
      <c r="D498" s="1101"/>
      <c r="E498" s="1101"/>
      <c r="F498" s="1101"/>
      <c r="G498" s="1101"/>
      <c r="H498" s="1101"/>
      <c r="I498" s="1101"/>
      <c r="J498" s="1101"/>
      <c r="K498" s="1101"/>
      <c r="L498" s="1101"/>
      <c r="M498" s="1101"/>
      <c r="N498" s="1101"/>
      <c r="O498" s="1101"/>
      <c r="P498" s="1101"/>
      <c r="Q498" s="1101"/>
      <c r="R498" s="1101"/>
      <c r="S498" s="1101"/>
      <c r="T498" s="1101"/>
      <c r="U498" s="1101"/>
      <c r="V498" s="1101"/>
      <c r="W498" s="1101"/>
      <c r="X498" s="1101"/>
      <c r="Y498" s="1102"/>
      <c r="Z498" s="1102"/>
      <c r="AA498" s="1101"/>
    </row>
    <row r="499" ht="15.75" customHeight="1">
      <c r="A499" s="213"/>
      <c r="B499" s="213"/>
      <c r="C499" s="1101"/>
      <c r="D499" s="1101"/>
      <c r="E499" s="1101"/>
      <c r="F499" s="1101"/>
      <c r="G499" s="1101"/>
      <c r="H499" s="1101"/>
      <c r="I499" s="1101"/>
      <c r="J499" s="1101"/>
      <c r="K499" s="1101"/>
      <c r="L499" s="1101"/>
      <c r="M499" s="1101"/>
      <c r="N499" s="1101"/>
      <c r="O499" s="1101"/>
      <c r="P499" s="1101"/>
      <c r="Q499" s="1101"/>
      <c r="R499" s="1101"/>
      <c r="S499" s="1101"/>
      <c r="T499" s="1101"/>
      <c r="U499" s="1101"/>
      <c r="V499" s="1101"/>
      <c r="W499" s="1101"/>
      <c r="X499" s="1101"/>
      <c r="Y499" s="1102"/>
      <c r="Z499" s="1102"/>
      <c r="AA499" s="1101"/>
    </row>
    <row r="500" ht="15.75" customHeight="1">
      <c r="A500" s="213"/>
      <c r="B500" s="213"/>
      <c r="C500" s="1101"/>
      <c r="D500" s="1101"/>
      <c r="E500" s="1101"/>
      <c r="F500" s="1101"/>
      <c r="G500" s="1101"/>
      <c r="H500" s="1101"/>
      <c r="I500" s="1101"/>
      <c r="J500" s="1101"/>
      <c r="K500" s="1101"/>
      <c r="L500" s="1101"/>
      <c r="M500" s="1101"/>
      <c r="N500" s="1101"/>
      <c r="O500" s="1101"/>
      <c r="P500" s="1101"/>
      <c r="Q500" s="1101"/>
      <c r="R500" s="1101"/>
      <c r="S500" s="1101"/>
      <c r="T500" s="1101"/>
      <c r="U500" s="1101"/>
      <c r="V500" s="1101"/>
      <c r="W500" s="1101"/>
      <c r="X500" s="1101"/>
      <c r="Y500" s="1102"/>
      <c r="Z500" s="1102"/>
      <c r="AA500" s="1101"/>
    </row>
    <row r="501" ht="15.75" customHeight="1">
      <c r="A501" s="213"/>
      <c r="B501" s="213"/>
      <c r="C501" s="1101"/>
      <c r="D501" s="1101"/>
      <c r="E501" s="1101"/>
      <c r="F501" s="1101"/>
      <c r="G501" s="1101"/>
      <c r="H501" s="1101"/>
      <c r="I501" s="1101"/>
      <c r="J501" s="1101"/>
      <c r="K501" s="1101"/>
      <c r="L501" s="1101"/>
      <c r="M501" s="1101"/>
      <c r="N501" s="1101"/>
      <c r="O501" s="1101"/>
      <c r="P501" s="1101"/>
      <c r="Q501" s="1101"/>
      <c r="R501" s="1101"/>
      <c r="S501" s="1101"/>
      <c r="T501" s="1101"/>
      <c r="U501" s="1101"/>
      <c r="V501" s="1101"/>
      <c r="W501" s="1101"/>
      <c r="X501" s="1101"/>
      <c r="Y501" s="1102"/>
      <c r="Z501" s="1102"/>
      <c r="AA501" s="1101"/>
    </row>
    <row r="502" ht="15.75" customHeight="1">
      <c r="A502" s="213"/>
      <c r="B502" s="213"/>
      <c r="C502" s="1101"/>
      <c r="D502" s="1101"/>
      <c r="E502" s="1101"/>
      <c r="F502" s="1101"/>
      <c r="G502" s="1101"/>
      <c r="H502" s="1101"/>
      <c r="I502" s="1101"/>
      <c r="J502" s="1101"/>
      <c r="K502" s="1101"/>
      <c r="L502" s="1101"/>
      <c r="M502" s="1101"/>
      <c r="N502" s="1101"/>
      <c r="O502" s="1101"/>
      <c r="P502" s="1101"/>
      <c r="Q502" s="1101"/>
      <c r="R502" s="1101"/>
      <c r="S502" s="1101"/>
      <c r="T502" s="1101"/>
      <c r="U502" s="1101"/>
      <c r="V502" s="1101"/>
      <c r="W502" s="1101"/>
      <c r="X502" s="1101"/>
      <c r="Y502" s="1102"/>
      <c r="Z502" s="1102"/>
      <c r="AA502" s="1101"/>
    </row>
    <row r="503" ht="15.75" customHeight="1">
      <c r="A503" s="213"/>
      <c r="B503" s="213"/>
      <c r="C503" s="1101"/>
      <c r="D503" s="1101"/>
      <c r="E503" s="1101"/>
      <c r="F503" s="1101"/>
      <c r="G503" s="1101"/>
      <c r="H503" s="1101"/>
      <c r="I503" s="1101"/>
      <c r="J503" s="1101"/>
      <c r="K503" s="1101"/>
      <c r="L503" s="1101"/>
      <c r="M503" s="1101"/>
      <c r="N503" s="1101"/>
      <c r="O503" s="1101"/>
      <c r="P503" s="1101"/>
      <c r="Q503" s="1101"/>
      <c r="R503" s="1101"/>
      <c r="S503" s="1101"/>
      <c r="T503" s="1101"/>
      <c r="U503" s="1101"/>
      <c r="V503" s="1101"/>
      <c r="W503" s="1101"/>
      <c r="X503" s="1101"/>
      <c r="Y503" s="1102"/>
      <c r="Z503" s="1102"/>
      <c r="AA503" s="1101"/>
    </row>
    <row r="504" ht="15.75" customHeight="1">
      <c r="A504" s="213"/>
      <c r="B504" s="213"/>
      <c r="C504" s="1101"/>
      <c r="D504" s="1101"/>
      <c r="E504" s="1101"/>
      <c r="F504" s="1101"/>
      <c r="G504" s="1101"/>
      <c r="H504" s="1101"/>
      <c r="I504" s="1101"/>
      <c r="J504" s="1101"/>
      <c r="K504" s="1101"/>
      <c r="L504" s="1101"/>
      <c r="M504" s="1101"/>
      <c r="N504" s="1101"/>
      <c r="O504" s="1101"/>
      <c r="P504" s="1101"/>
      <c r="Q504" s="1101"/>
      <c r="R504" s="1101"/>
      <c r="S504" s="1101"/>
      <c r="T504" s="1101"/>
      <c r="U504" s="1101"/>
      <c r="V504" s="1101"/>
      <c r="W504" s="1101"/>
      <c r="X504" s="1101"/>
      <c r="Y504" s="1102"/>
      <c r="Z504" s="1102"/>
      <c r="AA504" s="1101"/>
    </row>
    <row r="505" ht="15.75" customHeight="1">
      <c r="A505" s="213"/>
      <c r="B505" s="213"/>
      <c r="C505" s="1101"/>
      <c r="D505" s="1101"/>
      <c r="E505" s="1101"/>
      <c r="F505" s="1101"/>
      <c r="G505" s="1101"/>
      <c r="H505" s="1101"/>
      <c r="I505" s="1101"/>
      <c r="J505" s="1101"/>
      <c r="K505" s="1101"/>
      <c r="L505" s="1101"/>
      <c r="M505" s="1101"/>
      <c r="N505" s="1101"/>
      <c r="O505" s="1101"/>
      <c r="P505" s="1101"/>
      <c r="Q505" s="1101"/>
      <c r="R505" s="1101"/>
      <c r="S505" s="1101"/>
      <c r="T505" s="1101"/>
      <c r="U505" s="1101"/>
      <c r="V505" s="1101"/>
      <c r="W505" s="1101"/>
      <c r="X505" s="1101"/>
      <c r="Y505" s="1102"/>
      <c r="Z505" s="1102"/>
      <c r="AA505" s="1101"/>
    </row>
    <row r="506" ht="15.75" customHeight="1">
      <c r="A506" s="213"/>
      <c r="B506" s="213"/>
      <c r="C506" s="1101"/>
      <c r="D506" s="1101"/>
      <c r="E506" s="1101"/>
      <c r="F506" s="1101"/>
      <c r="G506" s="1101"/>
      <c r="H506" s="1101"/>
      <c r="I506" s="1101"/>
      <c r="J506" s="1101"/>
      <c r="K506" s="1101"/>
      <c r="L506" s="1101"/>
      <c r="M506" s="1101"/>
      <c r="N506" s="1101"/>
      <c r="O506" s="1101"/>
      <c r="P506" s="1101"/>
      <c r="Q506" s="1101"/>
      <c r="R506" s="1101"/>
      <c r="S506" s="1101"/>
      <c r="T506" s="1101"/>
      <c r="U506" s="1101"/>
      <c r="V506" s="1101"/>
      <c r="W506" s="1101"/>
      <c r="X506" s="1101"/>
      <c r="Y506" s="1102"/>
      <c r="Z506" s="1102"/>
      <c r="AA506" s="1101"/>
    </row>
    <row r="507" ht="15.75" customHeight="1">
      <c r="A507" s="213"/>
      <c r="B507" s="213"/>
      <c r="C507" s="1101"/>
      <c r="D507" s="1101"/>
      <c r="E507" s="1101"/>
      <c r="F507" s="1101"/>
      <c r="G507" s="1101"/>
      <c r="H507" s="1101"/>
      <c r="I507" s="1101"/>
      <c r="J507" s="1101"/>
      <c r="K507" s="1101"/>
      <c r="L507" s="1101"/>
      <c r="M507" s="1101"/>
      <c r="N507" s="1101"/>
      <c r="O507" s="1101"/>
      <c r="P507" s="1101"/>
      <c r="Q507" s="1101"/>
      <c r="R507" s="1101"/>
      <c r="S507" s="1101"/>
      <c r="T507" s="1101"/>
      <c r="U507" s="1101"/>
      <c r="V507" s="1101"/>
      <c r="W507" s="1101"/>
      <c r="X507" s="1101"/>
      <c r="Y507" s="1102"/>
      <c r="Z507" s="1102"/>
      <c r="AA507" s="1101"/>
    </row>
    <row r="508" ht="15.75" customHeight="1">
      <c r="A508" s="213"/>
      <c r="B508" s="213"/>
      <c r="C508" s="1101"/>
      <c r="D508" s="1101"/>
      <c r="E508" s="1101"/>
      <c r="F508" s="1101"/>
      <c r="G508" s="1101"/>
      <c r="H508" s="1101"/>
      <c r="I508" s="1101"/>
      <c r="J508" s="1101"/>
      <c r="K508" s="1101"/>
      <c r="L508" s="1101"/>
      <c r="M508" s="1101"/>
      <c r="N508" s="1101"/>
      <c r="O508" s="1101"/>
      <c r="P508" s="1101"/>
      <c r="Q508" s="1101"/>
      <c r="R508" s="1101"/>
      <c r="S508" s="1101"/>
      <c r="T508" s="1101"/>
      <c r="U508" s="1101"/>
      <c r="V508" s="1101"/>
      <c r="W508" s="1101"/>
      <c r="X508" s="1101"/>
      <c r="Y508" s="1102"/>
      <c r="Z508" s="1102"/>
      <c r="AA508" s="1101"/>
    </row>
    <row r="509" ht="15.75" customHeight="1">
      <c r="A509" s="213"/>
      <c r="B509" s="213"/>
      <c r="C509" s="1101"/>
      <c r="D509" s="1101"/>
      <c r="E509" s="1101"/>
      <c r="F509" s="1101"/>
      <c r="G509" s="1101"/>
      <c r="H509" s="1101"/>
      <c r="I509" s="1101"/>
      <c r="J509" s="1101"/>
      <c r="K509" s="1101"/>
      <c r="L509" s="1101"/>
      <c r="M509" s="1101"/>
      <c r="N509" s="1101"/>
      <c r="O509" s="1101"/>
      <c r="P509" s="1101"/>
      <c r="Q509" s="1101"/>
      <c r="R509" s="1101"/>
      <c r="S509" s="1101"/>
      <c r="T509" s="1101"/>
      <c r="U509" s="1101"/>
      <c r="V509" s="1101"/>
      <c r="W509" s="1101"/>
      <c r="X509" s="1101"/>
      <c r="Y509" s="1102"/>
      <c r="Z509" s="1102"/>
      <c r="AA509" s="1101"/>
    </row>
    <row r="510" ht="15.75" customHeight="1">
      <c r="A510" s="213"/>
      <c r="B510" s="213"/>
      <c r="C510" s="1101"/>
      <c r="D510" s="1101"/>
      <c r="E510" s="1101"/>
      <c r="F510" s="1101"/>
      <c r="G510" s="1101"/>
      <c r="H510" s="1101"/>
      <c r="I510" s="1101"/>
      <c r="J510" s="1101"/>
      <c r="K510" s="1101"/>
      <c r="L510" s="1101"/>
      <c r="M510" s="1101"/>
      <c r="N510" s="1101"/>
      <c r="O510" s="1101"/>
      <c r="P510" s="1101"/>
      <c r="Q510" s="1101"/>
      <c r="R510" s="1101"/>
      <c r="S510" s="1101"/>
      <c r="T510" s="1101"/>
      <c r="U510" s="1101"/>
      <c r="V510" s="1101"/>
      <c r="W510" s="1101"/>
      <c r="X510" s="1101"/>
      <c r="Y510" s="1102"/>
      <c r="Z510" s="1102"/>
      <c r="AA510" s="1101"/>
    </row>
    <row r="511" ht="15.75" customHeight="1">
      <c r="A511" s="213"/>
      <c r="B511" s="213"/>
      <c r="C511" s="1101"/>
      <c r="D511" s="1101"/>
      <c r="E511" s="1101"/>
      <c r="F511" s="1101"/>
      <c r="G511" s="1101"/>
      <c r="H511" s="1101"/>
      <c r="I511" s="1101"/>
      <c r="J511" s="1101"/>
      <c r="K511" s="1101"/>
      <c r="L511" s="1101"/>
      <c r="M511" s="1101"/>
      <c r="N511" s="1101"/>
      <c r="O511" s="1101"/>
      <c r="P511" s="1101"/>
      <c r="Q511" s="1101"/>
      <c r="R511" s="1101"/>
      <c r="S511" s="1101"/>
      <c r="T511" s="1101"/>
      <c r="U511" s="1101"/>
      <c r="V511" s="1101"/>
      <c r="W511" s="1101"/>
      <c r="X511" s="1101"/>
      <c r="Y511" s="1102"/>
      <c r="Z511" s="1102"/>
      <c r="AA511" s="1101"/>
    </row>
    <row r="512" ht="15.75" customHeight="1">
      <c r="A512" s="213"/>
      <c r="B512" s="213"/>
      <c r="C512" s="1101"/>
      <c r="D512" s="1101"/>
      <c r="E512" s="1101"/>
      <c r="F512" s="1101"/>
      <c r="G512" s="1101"/>
      <c r="H512" s="1101"/>
      <c r="I512" s="1101"/>
      <c r="J512" s="1101"/>
      <c r="K512" s="1101"/>
      <c r="L512" s="1101"/>
      <c r="M512" s="1101"/>
      <c r="N512" s="1101"/>
      <c r="O512" s="1101"/>
      <c r="P512" s="1101"/>
      <c r="Q512" s="1101"/>
      <c r="R512" s="1101"/>
      <c r="S512" s="1101"/>
      <c r="T512" s="1101"/>
      <c r="U512" s="1101"/>
      <c r="V512" s="1101"/>
      <c r="W512" s="1101"/>
      <c r="X512" s="1101"/>
      <c r="Y512" s="1102"/>
      <c r="Z512" s="1102"/>
      <c r="AA512" s="1101"/>
    </row>
    <row r="513" ht="15.75" customHeight="1">
      <c r="A513" s="213"/>
      <c r="B513" s="213"/>
      <c r="C513" s="1101"/>
      <c r="D513" s="1101"/>
      <c r="E513" s="1101"/>
      <c r="F513" s="1101"/>
      <c r="G513" s="1101"/>
      <c r="H513" s="1101"/>
      <c r="I513" s="1101"/>
      <c r="J513" s="1101"/>
      <c r="K513" s="1101"/>
      <c r="L513" s="1101"/>
      <c r="M513" s="1101"/>
      <c r="N513" s="1101"/>
      <c r="O513" s="1101"/>
      <c r="P513" s="1101"/>
      <c r="Q513" s="1101"/>
      <c r="R513" s="1101"/>
      <c r="S513" s="1101"/>
      <c r="T513" s="1101"/>
      <c r="U513" s="1101"/>
      <c r="V513" s="1101"/>
      <c r="W513" s="1101"/>
      <c r="X513" s="1101"/>
      <c r="Y513" s="1102"/>
      <c r="Z513" s="1102"/>
      <c r="AA513" s="1101"/>
    </row>
    <row r="514" ht="15.75" customHeight="1">
      <c r="A514" s="213"/>
      <c r="B514" s="213"/>
      <c r="C514" s="1101"/>
      <c r="D514" s="1101"/>
      <c r="E514" s="1101"/>
      <c r="F514" s="1101"/>
      <c r="G514" s="1101"/>
      <c r="H514" s="1101"/>
      <c r="I514" s="1101"/>
      <c r="J514" s="1101"/>
      <c r="K514" s="1101"/>
      <c r="L514" s="1101"/>
      <c r="M514" s="1101"/>
      <c r="N514" s="1101"/>
      <c r="O514" s="1101"/>
      <c r="P514" s="1101"/>
      <c r="Q514" s="1101"/>
      <c r="R514" s="1101"/>
      <c r="S514" s="1101"/>
      <c r="T514" s="1101"/>
      <c r="U514" s="1101"/>
      <c r="V514" s="1101"/>
      <c r="W514" s="1101"/>
      <c r="X514" s="1101"/>
      <c r="Y514" s="1102"/>
      <c r="Z514" s="1102"/>
      <c r="AA514" s="1101"/>
    </row>
    <row r="515" ht="15.75" customHeight="1">
      <c r="A515" s="213"/>
      <c r="B515" s="213"/>
      <c r="C515" s="1101"/>
      <c r="D515" s="1101"/>
      <c r="E515" s="1101"/>
      <c r="F515" s="1101"/>
      <c r="G515" s="1101"/>
      <c r="H515" s="1101"/>
      <c r="I515" s="1101"/>
      <c r="J515" s="1101"/>
      <c r="K515" s="1101"/>
      <c r="L515" s="1101"/>
      <c r="M515" s="1101"/>
      <c r="N515" s="1101"/>
      <c r="O515" s="1101"/>
      <c r="P515" s="1101"/>
      <c r="Q515" s="1101"/>
      <c r="R515" s="1101"/>
      <c r="S515" s="1101"/>
      <c r="T515" s="1101"/>
      <c r="U515" s="1101"/>
      <c r="V515" s="1101"/>
      <c r="W515" s="1101"/>
      <c r="X515" s="1101"/>
      <c r="Y515" s="1102"/>
      <c r="Z515" s="1102"/>
      <c r="AA515" s="1101"/>
    </row>
    <row r="516" ht="15.75" customHeight="1">
      <c r="A516" s="213"/>
      <c r="B516" s="213"/>
      <c r="C516" s="1101"/>
      <c r="D516" s="1101"/>
      <c r="E516" s="1101"/>
      <c r="F516" s="1101"/>
      <c r="G516" s="1101"/>
      <c r="H516" s="1101"/>
      <c r="I516" s="1101"/>
      <c r="J516" s="1101"/>
      <c r="K516" s="1101"/>
      <c r="L516" s="1101"/>
      <c r="M516" s="1101"/>
      <c r="N516" s="1101"/>
      <c r="O516" s="1101"/>
      <c r="P516" s="1101"/>
      <c r="Q516" s="1101"/>
      <c r="R516" s="1101"/>
      <c r="S516" s="1101"/>
      <c r="T516" s="1101"/>
      <c r="U516" s="1101"/>
      <c r="V516" s="1101"/>
      <c r="W516" s="1101"/>
      <c r="X516" s="1101"/>
      <c r="Y516" s="1102"/>
      <c r="Z516" s="1102"/>
      <c r="AA516" s="1101"/>
    </row>
    <row r="517" ht="15.75" customHeight="1">
      <c r="A517" s="213"/>
      <c r="B517" s="213"/>
      <c r="C517" s="1101"/>
      <c r="D517" s="1101"/>
      <c r="E517" s="1101"/>
      <c r="F517" s="1101"/>
      <c r="G517" s="1101"/>
      <c r="H517" s="1101"/>
      <c r="I517" s="1101"/>
      <c r="J517" s="1101"/>
      <c r="K517" s="1101"/>
      <c r="L517" s="1101"/>
      <c r="M517" s="1101"/>
      <c r="N517" s="1101"/>
      <c r="O517" s="1101"/>
      <c r="P517" s="1101"/>
      <c r="Q517" s="1101"/>
      <c r="R517" s="1101"/>
      <c r="S517" s="1101"/>
      <c r="T517" s="1101"/>
      <c r="U517" s="1101"/>
      <c r="V517" s="1101"/>
      <c r="W517" s="1101"/>
      <c r="X517" s="1101"/>
      <c r="Y517" s="1102"/>
      <c r="Z517" s="1102"/>
      <c r="AA517" s="1101"/>
    </row>
    <row r="518" ht="15.75" customHeight="1">
      <c r="A518" s="213"/>
      <c r="B518" s="213"/>
      <c r="C518" s="1101"/>
      <c r="D518" s="1101"/>
      <c r="E518" s="1101"/>
      <c r="F518" s="1101"/>
      <c r="G518" s="1101"/>
      <c r="H518" s="1101"/>
      <c r="I518" s="1101"/>
      <c r="J518" s="1101"/>
      <c r="K518" s="1101"/>
      <c r="L518" s="1101"/>
      <c r="M518" s="1101"/>
      <c r="N518" s="1101"/>
      <c r="O518" s="1101"/>
      <c r="P518" s="1101"/>
      <c r="Q518" s="1101"/>
      <c r="R518" s="1101"/>
      <c r="S518" s="1101"/>
      <c r="T518" s="1101"/>
      <c r="U518" s="1101"/>
      <c r="V518" s="1101"/>
      <c r="W518" s="1101"/>
      <c r="X518" s="1101"/>
      <c r="Y518" s="1102"/>
      <c r="Z518" s="1102"/>
      <c r="AA518" s="1101"/>
    </row>
    <row r="519" ht="15.75" customHeight="1">
      <c r="A519" s="213"/>
      <c r="B519" s="213"/>
      <c r="C519" s="1101"/>
      <c r="D519" s="1101"/>
      <c r="E519" s="1101"/>
      <c r="F519" s="1101"/>
      <c r="G519" s="1101"/>
      <c r="H519" s="1101"/>
      <c r="I519" s="1101"/>
      <c r="J519" s="1101"/>
      <c r="K519" s="1101"/>
      <c r="L519" s="1101"/>
      <c r="M519" s="1101"/>
      <c r="N519" s="1101"/>
      <c r="O519" s="1101"/>
      <c r="P519" s="1101"/>
      <c r="Q519" s="1101"/>
      <c r="R519" s="1101"/>
      <c r="S519" s="1101"/>
      <c r="T519" s="1101"/>
      <c r="U519" s="1101"/>
      <c r="V519" s="1101"/>
      <c r="W519" s="1101"/>
      <c r="X519" s="1101"/>
      <c r="Y519" s="1102"/>
      <c r="Z519" s="1102"/>
      <c r="AA519" s="1101"/>
    </row>
    <row r="520" ht="15.75" customHeight="1">
      <c r="A520" s="213"/>
      <c r="B520" s="213"/>
      <c r="C520" s="1101"/>
      <c r="D520" s="1101"/>
      <c r="E520" s="1101"/>
      <c r="F520" s="1101"/>
      <c r="G520" s="1101"/>
      <c r="H520" s="1101"/>
      <c r="I520" s="1101"/>
      <c r="J520" s="1101"/>
      <c r="K520" s="1101"/>
      <c r="L520" s="1101"/>
      <c r="M520" s="1101"/>
      <c r="N520" s="1101"/>
      <c r="O520" s="1101"/>
      <c r="P520" s="1101"/>
      <c r="Q520" s="1101"/>
      <c r="R520" s="1101"/>
      <c r="S520" s="1101"/>
      <c r="T520" s="1101"/>
      <c r="U520" s="1101"/>
      <c r="V520" s="1101"/>
      <c r="W520" s="1101"/>
      <c r="X520" s="1101"/>
      <c r="Y520" s="1102"/>
      <c r="Z520" s="1102"/>
      <c r="AA520" s="1101"/>
    </row>
    <row r="521" ht="15.75" customHeight="1">
      <c r="A521" s="213"/>
      <c r="B521" s="213"/>
      <c r="C521" s="1101"/>
      <c r="D521" s="1101"/>
      <c r="E521" s="1101"/>
      <c r="F521" s="1101"/>
      <c r="G521" s="1101"/>
      <c r="H521" s="1101"/>
      <c r="I521" s="1101"/>
      <c r="J521" s="1101"/>
      <c r="K521" s="1101"/>
      <c r="L521" s="1101"/>
      <c r="M521" s="1101"/>
      <c r="N521" s="1101"/>
      <c r="O521" s="1101"/>
      <c r="P521" s="1101"/>
      <c r="Q521" s="1101"/>
      <c r="R521" s="1101"/>
      <c r="S521" s="1101"/>
      <c r="T521" s="1101"/>
      <c r="U521" s="1101"/>
      <c r="V521" s="1101"/>
      <c r="W521" s="1101"/>
      <c r="X521" s="1101"/>
      <c r="Y521" s="1102"/>
      <c r="Z521" s="1102"/>
      <c r="AA521" s="1101"/>
    </row>
    <row r="522" ht="15.75" customHeight="1">
      <c r="A522" s="213"/>
      <c r="B522" s="213"/>
      <c r="C522" s="1101"/>
      <c r="D522" s="1101"/>
      <c r="E522" s="1101"/>
      <c r="F522" s="1101"/>
      <c r="G522" s="1101"/>
      <c r="H522" s="1101"/>
      <c r="I522" s="1101"/>
      <c r="J522" s="1101"/>
      <c r="K522" s="1101"/>
      <c r="L522" s="1101"/>
      <c r="M522" s="1101"/>
      <c r="N522" s="1101"/>
      <c r="O522" s="1101"/>
      <c r="P522" s="1101"/>
      <c r="Q522" s="1101"/>
      <c r="R522" s="1101"/>
      <c r="S522" s="1101"/>
      <c r="T522" s="1101"/>
      <c r="U522" s="1101"/>
      <c r="V522" s="1101"/>
      <c r="W522" s="1101"/>
      <c r="X522" s="1101"/>
      <c r="Y522" s="1102"/>
      <c r="Z522" s="1102"/>
      <c r="AA522" s="1101"/>
    </row>
    <row r="523" ht="15.75" customHeight="1">
      <c r="A523" s="213"/>
      <c r="B523" s="213"/>
      <c r="C523" s="1101"/>
      <c r="D523" s="1101"/>
      <c r="E523" s="1101"/>
      <c r="F523" s="1101"/>
      <c r="G523" s="1101"/>
      <c r="H523" s="1101"/>
      <c r="I523" s="1101"/>
      <c r="J523" s="1101"/>
      <c r="K523" s="1101"/>
      <c r="L523" s="1101"/>
      <c r="M523" s="1101"/>
      <c r="N523" s="1101"/>
      <c r="O523" s="1101"/>
      <c r="P523" s="1101"/>
      <c r="Q523" s="1101"/>
      <c r="R523" s="1101"/>
      <c r="S523" s="1101"/>
      <c r="T523" s="1101"/>
      <c r="U523" s="1101"/>
      <c r="V523" s="1101"/>
      <c r="W523" s="1101"/>
      <c r="X523" s="1101"/>
      <c r="Y523" s="1102"/>
      <c r="Z523" s="1102"/>
      <c r="AA523" s="1101"/>
    </row>
    <row r="524" ht="15.75" customHeight="1">
      <c r="A524" s="213"/>
      <c r="B524" s="213"/>
      <c r="C524" s="1101"/>
      <c r="D524" s="1101"/>
      <c r="E524" s="1101"/>
      <c r="F524" s="1101"/>
      <c r="G524" s="1101"/>
      <c r="H524" s="1101"/>
      <c r="I524" s="1101"/>
      <c r="J524" s="1101"/>
      <c r="K524" s="1101"/>
      <c r="L524" s="1101"/>
      <c r="M524" s="1101"/>
      <c r="N524" s="1101"/>
      <c r="O524" s="1101"/>
      <c r="P524" s="1101"/>
      <c r="Q524" s="1101"/>
      <c r="R524" s="1101"/>
      <c r="S524" s="1101"/>
      <c r="T524" s="1101"/>
      <c r="U524" s="1101"/>
      <c r="V524" s="1101"/>
      <c r="W524" s="1101"/>
      <c r="X524" s="1101"/>
      <c r="Y524" s="1102"/>
      <c r="Z524" s="1102"/>
      <c r="AA524" s="1101"/>
    </row>
    <row r="525" ht="15.75" customHeight="1">
      <c r="A525" s="213"/>
      <c r="B525" s="213"/>
      <c r="C525" s="1101"/>
      <c r="D525" s="1101"/>
      <c r="E525" s="1101"/>
      <c r="F525" s="1101"/>
      <c r="G525" s="1101"/>
      <c r="H525" s="1101"/>
      <c r="I525" s="1101"/>
      <c r="J525" s="1101"/>
      <c r="K525" s="1101"/>
      <c r="L525" s="1101"/>
      <c r="M525" s="1101"/>
      <c r="N525" s="1101"/>
      <c r="O525" s="1101"/>
      <c r="P525" s="1101"/>
      <c r="Q525" s="1101"/>
      <c r="R525" s="1101"/>
      <c r="S525" s="1101"/>
      <c r="T525" s="1101"/>
      <c r="U525" s="1101"/>
      <c r="V525" s="1101"/>
      <c r="W525" s="1101"/>
      <c r="X525" s="1101"/>
      <c r="Y525" s="1102"/>
      <c r="Z525" s="1102"/>
      <c r="AA525" s="1101"/>
    </row>
    <row r="526" ht="15.75" customHeight="1">
      <c r="A526" s="213"/>
      <c r="B526" s="213"/>
      <c r="C526" s="1101"/>
      <c r="D526" s="1101"/>
      <c r="E526" s="1101"/>
      <c r="F526" s="1101"/>
      <c r="G526" s="1101"/>
      <c r="H526" s="1101"/>
      <c r="I526" s="1101"/>
      <c r="J526" s="1101"/>
      <c r="K526" s="1101"/>
      <c r="L526" s="1101"/>
      <c r="M526" s="1101"/>
      <c r="N526" s="1101"/>
      <c r="O526" s="1101"/>
      <c r="P526" s="1101"/>
      <c r="Q526" s="1101"/>
      <c r="R526" s="1101"/>
      <c r="S526" s="1101"/>
      <c r="T526" s="1101"/>
      <c r="U526" s="1101"/>
      <c r="V526" s="1101"/>
      <c r="W526" s="1101"/>
      <c r="X526" s="1101"/>
      <c r="Y526" s="1102"/>
      <c r="Z526" s="1102"/>
      <c r="AA526" s="1101"/>
    </row>
    <row r="527" ht="15.75" customHeight="1">
      <c r="A527" s="213"/>
      <c r="B527" s="213"/>
      <c r="C527" s="1101"/>
      <c r="D527" s="1101"/>
      <c r="E527" s="1101"/>
      <c r="F527" s="1101"/>
      <c r="G527" s="1101"/>
      <c r="H527" s="1101"/>
      <c r="I527" s="1101"/>
      <c r="J527" s="1101"/>
      <c r="K527" s="1101"/>
      <c r="L527" s="1101"/>
      <c r="M527" s="1101"/>
      <c r="N527" s="1101"/>
      <c r="O527" s="1101"/>
      <c r="P527" s="1101"/>
      <c r="Q527" s="1101"/>
      <c r="R527" s="1101"/>
      <c r="S527" s="1101"/>
      <c r="T527" s="1101"/>
      <c r="U527" s="1101"/>
      <c r="V527" s="1101"/>
      <c r="W527" s="1101"/>
      <c r="X527" s="1101"/>
      <c r="Y527" s="1102"/>
      <c r="Z527" s="1102"/>
      <c r="AA527" s="1101"/>
    </row>
    <row r="528" ht="15.75" customHeight="1">
      <c r="A528" s="213"/>
      <c r="B528" s="213"/>
      <c r="C528" s="1101"/>
      <c r="D528" s="1101"/>
      <c r="E528" s="1101"/>
      <c r="F528" s="1101"/>
      <c r="G528" s="1101"/>
      <c r="H528" s="1101"/>
      <c r="I528" s="1101"/>
      <c r="J528" s="1101"/>
      <c r="K528" s="1101"/>
      <c r="L528" s="1101"/>
      <c r="M528" s="1101"/>
      <c r="N528" s="1101"/>
      <c r="O528" s="1101"/>
      <c r="P528" s="1101"/>
      <c r="Q528" s="1101"/>
      <c r="R528" s="1101"/>
      <c r="S528" s="1101"/>
      <c r="T528" s="1101"/>
      <c r="U528" s="1101"/>
      <c r="V528" s="1101"/>
      <c r="W528" s="1101"/>
      <c r="X528" s="1101"/>
      <c r="Y528" s="1102"/>
      <c r="Z528" s="1102"/>
      <c r="AA528" s="1101"/>
    </row>
    <row r="529" ht="15.75" customHeight="1">
      <c r="A529" s="213"/>
      <c r="B529" s="213"/>
      <c r="C529" s="1101"/>
      <c r="D529" s="1101"/>
      <c r="E529" s="1101"/>
      <c r="F529" s="1101"/>
      <c r="G529" s="1101"/>
      <c r="H529" s="1101"/>
      <c r="I529" s="1101"/>
      <c r="J529" s="1101"/>
      <c r="K529" s="1101"/>
      <c r="L529" s="1101"/>
      <c r="M529" s="1101"/>
      <c r="N529" s="1101"/>
      <c r="O529" s="1101"/>
      <c r="P529" s="1101"/>
      <c r="Q529" s="1101"/>
      <c r="R529" s="1101"/>
      <c r="S529" s="1101"/>
      <c r="T529" s="1101"/>
      <c r="U529" s="1101"/>
      <c r="V529" s="1101"/>
      <c r="W529" s="1101"/>
      <c r="X529" s="1101"/>
      <c r="Y529" s="1102"/>
      <c r="Z529" s="1102"/>
      <c r="AA529" s="1101"/>
    </row>
    <row r="530" ht="15.75" customHeight="1">
      <c r="A530" s="213"/>
      <c r="B530" s="213"/>
      <c r="C530" s="1101"/>
      <c r="D530" s="1101"/>
      <c r="E530" s="1101"/>
      <c r="F530" s="1101"/>
      <c r="G530" s="1101"/>
      <c r="H530" s="1101"/>
      <c r="I530" s="1101"/>
      <c r="J530" s="1101"/>
      <c r="K530" s="1101"/>
      <c r="L530" s="1101"/>
      <c r="M530" s="1101"/>
      <c r="N530" s="1101"/>
      <c r="O530" s="1101"/>
      <c r="P530" s="1101"/>
      <c r="Q530" s="1101"/>
      <c r="R530" s="1101"/>
      <c r="S530" s="1101"/>
      <c r="T530" s="1101"/>
      <c r="U530" s="1101"/>
      <c r="V530" s="1101"/>
      <c r="W530" s="1101"/>
      <c r="X530" s="1101"/>
      <c r="Y530" s="1102"/>
      <c r="Z530" s="1102"/>
      <c r="AA530" s="1101"/>
    </row>
    <row r="531" ht="15.75" customHeight="1">
      <c r="A531" s="213"/>
      <c r="B531" s="213"/>
      <c r="C531" s="1101"/>
      <c r="D531" s="1101"/>
      <c r="E531" s="1101"/>
      <c r="F531" s="1101"/>
      <c r="G531" s="1101"/>
      <c r="H531" s="1101"/>
      <c r="I531" s="1101"/>
      <c r="J531" s="1101"/>
      <c r="K531" s="1101"/>
      <c r="L531" s="1101"/>
      <c r="M531" s="1101"/>
      <c r="N531" s="1101"/>
      <c r="O531" s="1101"/>
      <c r="P531" s="1101"/>
      <c r="Q531" s="1101"/>
      <c r="R531" s="1101"/>
      <c r="S531" s="1101"/>
      <c r="T531" s="1101"/>
      <c r="U531" s="1101"/>
      <c r="V531" s="1101"/>
      <c r="W531" s="1101"/>
      <c r="X531" s="1101"/>
      <c r="Y531" s="1102"/>
      <c r="Z531" s="1102"/>
      <c r="AA531" s="1101"/>
    </row>
    <row r="532" ht="15.75" customHeight="1">
      <c r="A532" s="213"/>
      <c r="B532" s="213"/>
      <c r="C532" s="1101"/>
      <c r="D532" s="1101"/>
      <c r="E532" s="1101"/>
      <c r="F532" s="1101"/>
      <c r="G532" s="1101"/>
      <c r="H532" s="1101"/>
      <c r="I532" s="1101"/>
      <c r="J532" s="1101"/>
      <c r="K532" s="1101"/>
      <c r="L532" s="1101"/>
      <c r="M532" s="1101"/>
      <c r="N532" s="1101"/>
      <c r="O532" s="1101"/>
      <c r="P532" s="1101"/>
      <c r="Q532" s="1101"/>
      <c r="R532" s="1101"/>
      <c r="S532" s="1101"/>
      <c r="T532" s="1101"/>
      <c r="U532" s="1101"/>
      <c r="V532" s="1101"/>
      <c r="W532" s="1101"/>
      <c r="X532" s="1101"/>
      <c r="Y532" s="1102"/>
      <c r="Z532" s="1102"/>
      <c r="AA532" s="1101"/>
    </row>
    <row r="533" ht="15.75" customHeight="1">
      <c r="A533" s="213"/>
      <c r="B533" s="213"/>
      <c r="C533" s="1101"/>
      <c r="D533" s="1101"/>
      <c r="E533" s="1101"/>
      <c r="F533" s="1101"/>
      <c r="G533" s="1101"/>
      <c r="H533" s="1101"/>
      <c r="I533" s="1101"/>
      <c r="J533" s="1101"/>
      <c r="K533" s="1101"/>
      <c r="L533" s="1101"/>
      <c r="M533" s="1101"/>
      <c r="N533" s="1101"/>
      <c r="O533" s="1101"/>
      <c r="P533" s="1101"/>
      <c r="Q533" s="1101"/>
      <c r="R533" s="1101"/>
      <c r="S533" s="1101"/>
      <c r="T533" s="1101"/>
      <c r="U533" s="1101"/>
      <c r="V533" s="1101"/>
      <c r="W533" s="1101"/>
      <c r="X533" s="1101"/>
      <c r="Y533" s="1102"/>
      <c r="Z533" s="1102"/>
      <c r="AA533" s="1101"/>
    </row>
    <row r="534" ht="15.75" customHeight="1">
      <c r="A534" s="213"/>
      <c r="B534" s="213"/>
      <c r="C534" s="1101"/>
      <c r="D534" s="1101"/>
      <c r="E534" s="1101"/>
      <c r="F534" s="1101"/>
      <c r="G534" s="1101"/>
      <c r="H534" s="1101"/>
      <c r="I534" s="1101"/>
      <c r="J534" s="1101"/>
      <c r="K534" s="1101"/>
      <c r="L534" s="1101"/>
      <c r="M534" s="1101"/>
      <c r="N534" s="1101"/>
      <c r="O534" s="1101"/>
      <c r="P534" s="1101"/>
      <c r="Q534" s="1101"/>
      <c r="R534" s="1101"/>
      <c r="S534" s="1101"/>
      <c r="T534" s="1101"/>
      <c r="U534" s="1101"/>
      <c r="V534" s="1101"/>
      <c r="W534" s="1101"/>
      <c r="X534" s="1101"/>
      <c r="Y534" s="1102"/>
      <c r="Z534" s="1102"/>
      <c r="AA534" s="1101"/>
    </row>
    <row r="535" ht="15.75" customHeight="1">
      <c r="A535" s="213"/>
      <c r="B535" s="213"/>
      <c r="C535" s="1101"/>
      <c r="D535" s="1101"/>
      <c r="E535" s="1101"/>
      <c r="F535" s="1101"/>
      <c r="G535" s="1101"/>
      <c r="H535" s="1101"/>
      <c r="I535" s="1101"/>
      <c r="J535" s="1101"/>
      <c r="K535" s="1101"/>
      <c r="L535" s="1101"/>
      <c r="M535" s="1101"/>
      <c r="N535" s="1101"/>
      <c r="O535" s="1101"/>
      <c r="P535" s="1101"/>
      <c r="Q535" s="1101"/>
      <c r="R535" s="1101"/>
      <c r="S535" s="1101"/>
      <c r="T535" s="1101"/>
      <c r="U535" s="1101"/>
      <c r="V535" s="1101"/>
      <c r="W535" s="1101"/>
      <c r="X535" s="1101"/>
      <c r="Y535" s="1102"/>
      <c r="Z535" s="1102"/>
      <c r="AA535" s="1101"/>
    </row>
    <row r="536" ht="15.75" customHeight="1">
      <c r="A536" s="213"/>
      <c r="B536" s="213"/>
      <c r="C536" s="1101"/>
      <c r="D536" s="1101"/>
      <c r="E536" s="1101"/>
      <c r="F536" s="1101"/>
      <c r="G536" s="1101"/>
      <c r="H536" s="1101"/>
      <c r="I536" s="1101"/>
      <c r="J536" s="1101"/>
      <c r="K536" s="1101"/>
      <c r="L536" s="1101"/>
      <c r="M536" s="1101"/>
      <c r="N536" s="1101"/>
      <c r="O536" s="1101"/>
      <c r="P536" s="1101"/>
      <c r="Q536" s="1101"/>
      <c r="R536" s="1101"/>
      <c r="S536" s="1101"/>
      <c r="T536" s="1101"/>
      <c r="U536" s="1101"/>
      <c r="V536" s="1101"/>
      <c r="W536" s="1101"/>
      <c r="X536" s="1101"/>
      <c r="Y536" s="1102"/>
      <c r="Z536" s="1102"/>
      <c r="AA536" s="1101"/>
    </row>
    <row r="537" ht="15.75" customHeight="1">
      <c r="A537" s="213"/>
      <c r="B537" s="213"/>
      <c r="C537" s="1101"/>
      <c r="D537" s="1101"/>
      <c r="E537" s="1101"/>
      <c r="F537" s="1101"/>
      <c r="G537" s="1101"/>
      <c r="H537" s="1101"/>
      <c r="I537" s="1101"/>
      <c r="J537" s="1101"/>
      <c r="K537" s="1101"/>
      <c r="L537" s="1101"/>
      <c r="M537" s="1101"/>
      <c r="N537" s="1101"/>
      <c r="O537" s="1101"/>
      <c r="P537" s="1101"/>
      <c r="Q537" s="1101"/>
      <c r="R537" s="1101"/>
      <c r="S537" s="1101"/>
      <c r="T537" s="1101"/>
      <c r="U537" s="1101"/>
      <c r="V537" s="1101"/>
      <c r="W537" s="1101"/>
      <c r="X537" s="1101"/>
      <c r="Y537" s="1102"/>
      <c r="Z537" s="1102"/>
      <c r="AA537" s="1101"/>
    </row>
    <row r="538" ht="15.75" customHeight="1">
      <c r="A538" s="213"/>
      <c r="B538" s="213"/>
      <c r="C538" s="1101"/>
      <c r="D538" s="1101"/>
      <c r="E538" s="1101"/>
      <c r="F538" s="1101"/>
      <c r="G538" s="1101"/>
      <c r="H538" s="1101"/>
      <c r="I538" s="1101"/>
      <c r="J538" s="1101"/>
      <c r="K538" s="1101"/>
      <c r="L538" s="1101"/>
      <c r="M538" s="1101"/>
      <c r="N538" s="1101"/>
      <c r="O538" s="1101"/>
      <c r="P538" s="1101"/>
      <c r="Q538" s="1101"/>
      <c r="R538" s="1101"/>
      <c r="S538" s="1101"/>
      <c r="T538" s="1101"/>
      <c r="U538" s="1101"/>
      <c r="V538" s="1101"/>
      <c r="W538" s="1101"/>
      <c r="X538" s="1101"/>
      <c r="Y538" s="1102"/>
      <c r="Z538" s="1102"/>
      <c r="AA538" s="1101"/>
    </row>
    <row r="539" ht="15.75" customHeight="1">
      <c r="A539" s="213"/>
      <c r="B539" s="213"/>
      <c r="C539" s="1101"/>
      <c r="D539" s="1101"/>
      <c r="E539" s="1101"/>
      <c r="F539" s="1101"/>
      <c r="G539" s="1101"/>
      <c r="H539" s="1101"/>
      <c r="I539" s="1101"/>
      <c r="J539" s="1101"/>
      <c r="K539" s="1101"/>
      <c r="L539" s="1101"/>
      <c r="M539" s="1101"/>
      <c r="N539" s="1101"/>
      <c r="O539" s="1101"/>
      <c r="P539" s="1101"/>
      <c r="Q539" s="1101"/>
      <c r="R539" s="1101"/>
      <c r="S539" s="1101"/>
      <c r="T539" s="1101"/>
      <c r="U539" s="1101"/>
      <c r="V539" s="1101"/>
      <c r="W539" s="1101"/>
      <c r="X539" s="1101"/>
      <c r="Y539" s="1102"/>
      <c r="Z539" s="1102"/>
      <c r="AA539" s="1101"/>
    </row>
    <row r="540" ht="15.75" customHeight="1">
      <c r="A540" s="213"/>
      <c r="B540" s="213"/>
      <c r="C540" s="1101"/>
      <c r="D540" s="1101"/>
      <c r="E540" s="1101"/>
      <c r="F540" s="1101"/>
      <c r="G540" s="1101"/>
      <c r="H540" s="1101"/>
      <c r="I540" s="1101"/>
      <c r="J540" s="1101"/>
      <c r="K540" s="1101"/>
      <c r="L540" s="1101"/>
      <c r="M540" s="1101"/>
      <c r="N540" s="1101"/>
      <c r="O540" s="1101"/>
      <c r="P540" s="1101"/>
      <c r="Q540" s="1101"/>
      <c r="R540" s="1101"/>
      <c r="S540" s="1101"/>
      <c r="T540" s="1101"/>
      <c r="U540" s="1101"/>
      <c r="V540" s="1101"/>
      <c r="W540" s="1101"/>
      <c r="X540" s="1101"/>
      <c r="Y540" s="1102"/>
      <c r="Z540" s="1102"/>
      <c r="AA540" s="1101"/>
    </row>
    <row r="541" ht="15.75" customHeight="1">
      <c r="A541" s="213"/>
      <c r="B541" s="213"/>
      <c r="C541" s="1101"/>
      <c r="D541" s="1101"/>
      <c r="E541" s="1101"/>
      <c r="F541" s="1101"/>
      <c r="G541" s="1101"/>
      <c r="H541" s="1101"/>
      <c r="I541" s="1101"/>
      <c r="J541" s="1101"/>
      <c r="K541" s="1101"/>
      <c r="L541" s="1101"/>
      <c r="M541" s="1101"/>
      <c r="N541" s="1101"/>
      <c r="O541" s="1101"/>
      <c r="P541" s="1101"/>
      <c r="Q541" s="1101"/>
      <c r="R541" s="1101"/>
      <c r="S541" s="1101"/>
      <c r="T541" s="1101"/>
      <c r="U541" s="1101"/>
      <c r="V541" s="1101"/>
      <c r="W541" s="1101"/>
      <c r="X541" s="1101"/>
      <c r="Y541" s="1102"/>
      <c r="Z541" s="1102"/>
      <c r="AA541" s="1101"/>
    </row>
    <row r="542" ht="15.75" customHeight="1">
      <c r="A542" s="213"/>
      <c r="B542" s="213"/>
      <c r="C542" s="1101"/>
      <c r="D542" s="1101"/>
      <c r="E542" s="1101"/>
      <c r="F542" s="1101"/>
      <c r="G542" s="1101"/>
      <c r="H542" s="1101"/>
      <c r="I542" s="1101"/>
      <c r="J542" s="1101"/>
      <c r="K542" s="1101"/>
      <c r="L542" s="1101"/>
      <c r="M542" s="1101"/>
      <c r="N542" s="1101"/>
      <c r="O542" s="1101"/>
      <c r="P542" s="1101"/>
      <c r="Q542" s="1101"/>
      <c r="R542" s="1101"/>
      <c r="S542" s="1101"/>
      <c r="T542" s="1101"/>
      <c r="U542" s="1101"/>
      <c r="V542" s="1101"/>
      <c r="W542" s="1101"/>
      <c r="X542" s="1101"/>
      <c r="Y542" s="1102"/>
      <c r="Z542" s="1102"/>
      <c r="AA542" s="1101"/>
    </row>
    <row r="543" ht="15.75" customHeight="1">
      <c r="A543" s="213"/>
      <c r="B543" s="213"/>
      <c r="C543" s="1101"/>
      <c r="D543" s="1101"/>
      <c r="E543" s="1101"/>
      <c r="F543" s="1101"/>
      <c r="G543" s="1101"/>
      <c r="H543" s="1101"/>
      <c r="I543" s="1101"/>
      <c r="J543" s="1101"/>
      <c r="K543" s="1101"/>
      <c r="L543" s="1101"/>
      <c r="M543" s="1101"/>
      <c r="N543" s="1101"/>
      <c r="O543" s="1101"/>
      <c r="P543" s="1101"/>
      <c r="Q543" s="1101"/>
      <c r="R543" s="1101"/>
      <c r="S543" s="1101"/>
      <c r="T543" s="1101"/>
      <c r="U543" s="1101"/>
      <c r="V543" s="1101"/>
      <c r="W543" s="1101"/>
      <c r="X543" s="1101"/>
      <c r="Y543" s="1102"/>
      <c r="Z543" s="1102"/>
      <c r="AA543" s="1101"/>
    </row>
    <row r="544" ht="15.75" customHeight="1">
      <c r="A544" s="213"/>
      <c r="B544" s="213"/>
      <c r="C544" s="1101"/>
      <c r="D544" s="1101"/>
      <c r="E544" s="1101"/>
      <c r="F544" s="1101"/>
      <c r="G544" s="1101"/>
      <c r="H544" s="1101"/>
      <c r="I544" s="1101"/>
      <c r="J544" s="1101"/>
      <c r="K544" s="1101"/>
      <c r="L544" s="1101"/>
      <c r="M544" s="1101"/>
      <c r="N544" s="1101"/>
      <c r="O544" s="1101"/>
      <c r="P544" s="1101"/>
      <c r="Q544" s="1101"/>
      <c r="R544" s="1101"/>
      <c r="S544" s="1101"/>
      <c r="T544" s="1101"/>
      <c r="U544" s="1101"/>
      <c r="V544" s="1101"/>
      <c r="W544" s="1101"/>
      <c r="X544" s="1101"/>
      <c r="Y544" s="1102"/>
      <c r="Z544" s="1102"/>
      <c r="AA544" s="1101"/>
    </row>
    <row r="545" ht="15.75" customHeight="1">
      <c r="A545" s="213"/>
      <c r="B545" s="213"/>
      <c r="C545" s="1101"/>
      <c r="D545" s="1101"/>
      <c r="E545" s="1101"/>
      <c r="F545" s="1101"/>
      <c r="G545" s="1101"/>
      <c r="H545" s="1101"/>
      <c r="I545" s="1101"/>
      <c r="J545" s="1101"/>
      <c r="K545" s="1101"/>
      <c r="L545" s="1101"/>
      <c r="M545" s="1101"/>
      <c r="N545" s="1101"/>
      <c r="O545" s="1101"/>
      <c r="P545" s="1101"/>
      <c r="Q545" s="1101"/>
      <c r="R545" s="1101"/>
      <c r="S545" s="1101"/>
      <c r="T545" s="1101"/>
      <c r="U545" s="1101"/>
      <c r="V545" s="1101"/>
      <c r="W545" s="1101"/>
      <c r="X545" s="1101"/>
      <c r="Y545" s="1102"/>
      <c r="Z545" s="1102"/>
      <c r="AA545" s="1101"/>
    </row>
    <row r="546" ht="15.75" customHeight="1">
      <c r="A546" s="213"/>
      <c r="B546" s="213"/>
      <c r="C546" s="1101"/>
      <c r="D546" s="1101"/>
      <c r="E546" s="1101"/>
      <c r="F546" s="1101"/>
      <c r="G546" s="1101"/>
      <c r="H546" s="1101"/>
      <c r="I546" s="1101"/>
      <c r="J546" s="1101"/>
      <c r="K546" s="1101"/>
      <c r="L546" s="1101"/>
      <c r="M546" s="1101"/>
      <c r="N546" s="1101"/>
      <c r="O546" s="1101"/>
      <c r="P546" s="1101"/>
      <c r="Q546" s="1101"/>
      <c r="R546" s="1101"/>
      <c r="S546" s="1101"/>
      <c r="T546" s="1101"/>
      <c r="U546" s="1101"/>
      <c r="V546" s="1101"/>
      <c r="W546" s="1101"/>
      <c r="X546" s="1101"/>
      <c r="Y546" s="1102"/>
      <c r="Z546" s="1102"/>
      <c r="AA546" s="1101"/>
    </row>
    <row r="547" ht="15.75" customHeight="1">
      <c r="A547" s="213"/>
      <c r="B547" s="213"/>
      <c r="C547" s="1101"/>
      <c r="D547" s="1101"/>
      <c r="E547" s="1101"/>
      <c r="F547" s="1101"/>
      <c r="G547" s="1101"/>
      <c r="H547" s="1101"/>
      <c r="I547" s="1101"/>
      <c r="J547" s="1101"/>
      <c r="K547" s="1101"/>
      <c r="L547" s="1101"/>
      <c r="M547" s="1101"/>
      <c r="N547" s="1101"/>
      <c r="O547" s="1101"/>
      <c r="P547" s="1101"/>
      <c r="Q547" s="1101"/>
      <c r="R547" s="1101"/>
      <c r="S547" s="1101"/>
      <c r="T547" s="1101"/>
      <c r="U547" s="1101"/>
      <c r="V547" s="1101"/>
      <c r="W547" s="1101"/>
      <c r="X547" s="1101"/>
      <c r="Y547" s="1102"/>
      <c r="Z547" s="1102"/>
      <c r="AA547" s="1101"/>
    </row>
    <row r="548" ht="15.75" customHeight="1">
      <c r="A548" s="213"/>
      <c r="B548" s="213"/>
      <c r="C548" s="1101"/>
      <c r="D548" s="1101"/>
      <c r="E548" s="1101"/>
      <c r="F548" s="1101"/>
      <c r="G548" s="1101"/>
      <c r="H548" s="1101"/>
      <c r="I548" s="1101"/>
      <c r="J548" s="1101"/>
      <c r="K548" s="1101"/>
      <c r="L548" s="1101"/>
      <c r="M548" s="1101"/>
      <c r="N548" s="1101"/>
      <c r="O548" s="1101"/>
      <c r="P548" s="1101"/>
      <c r="Q548" s="1101"/>
      <c r="R548" s="1101"/>
      <c r="S548" s="1101"/>
      <c r="T548" s="1101"/>
      <c r="U548" s="1101"/>
      <c r="V548" s="1101"/>
      <c r="W548" s="1101"/>
      <c r="X548" s="1101"/>
      <c r="Y548" s="1102"/>
      <c r="Z548" s="1102"/>
      <c r="AA548" s="1101"/>
    </row>
    <row r="549" ht="15.75" customHeight="1">
      <c r="A549" s="213"/>
      <c r="B549" s="213"/>
      <c r="C549" s="1101"/>
      <c r="D549" s="1101"/>
      <c r="E549" s="1101"/>
      <c r="F549" s="1101"/>
      <c r="G549" s="1101"/>
      <c r="H549" s="1101"/>
      <c r="I549" s="1101"/>
      <c r="J549" s="1101"/>
      <c r="K549" s="1101"/>
      <c r="L549" s="1101"/>
      <c r="M549" s="1101"/>
      <c r="N549" s="1101"/>
      <c r="O549" s="1101"/>
      <c r="P549" s="1101"/>
      <c r="Q549" s="1101"/>
      <c r="R549" s="1101"/>
      <c r="S549" s="1101"/>
      <c r="T549" s="1101"/>
      <c r="U549" s="1101"/>
      <c r="V549" s="1101"/>
      <c r="W549" s="1101"/>
      <c r="X549" s="1101"/>
      <c r="Y549" s="1102"/>
      <c r="Z549" s="1102"/>
      <c r="AA549" s="1101"/>
    </row>
    <row r="550" ht="15.75" customHeight="1">
      <c r="A550" s="213"/>
      <c r="B550" s="213"/>
      <c r="C550" s="1101"/>
      <c r="D550" s="1101"/>
      <c r="E550" s="1101"/>
      <c r="F550" s="1101"/>
      <c r="G550" s="1101"/>
      <c r="H550" s="1101"/>
      <c r="I550" s="1101"/>
      <c r="J550" s="1101"/>
      <c r="K550" s="1101"/>
      <c r="L550" s="1101"/>
      <c r="M550" s="1101"/>
      <c r="N550" s="1101"/>
      <c r="O550" s="1101"/>
      <c r="P550" s="1101"/>
      <c r="Q550" s="1101"/>
      <c r="R550" s="1101"/>
      <c r="S550" s="1101"/>
      <c r="T550" s="1101"/>
      <c r="U550" s="1101"/>
      <c r="V550" s="1101"/>
      <c r="W550" s="1101"/>
      <c r="X550" s="1101"/>
      <c r="Y550" s="1102"/>
      <c r="Z550" s="1102"/>
      <c r="AA550" s="1101"/>
    </row>
    <row r="551" ht="15.75" customHeight="1">
      <c r="A551" s="213"/>
      <c r="B551" s="213"/>
      <c r="C551" s="1101"/>
      <c r="D551" s="1101"/>
      <c r="E551" s="1101"/>
      <c r="F551" s="1101"/>
      <c r="G551" s="1101"/>
      <c r="H551" s="1101"/>
      <c r="I551" s="1101"/>
      <c r="J551" s="1101"/>
      <c r="K551" s="1101"/>
      <c r="L551" s="1101"/>
      <c r="M551" s="1101"/>
      <c r="N551" s="1101"/>
      <c r="O551" s="1101"/>
      <c r="P551" s="1101"/>
      <c r="Q551" s="1101"/>
      <c r="R551" s="1101"/>
      <c r="S551" s="1101"/>
      <c r="T551" s="1101"/>
      <c r="U551" s="1101"/>
      <c r="V551" s="1101"/>
      <c r="W551" s="1101"/>
      <c r="X551" s="1101"/>
      <c r="Y551" s="1102"/>
      <c r="Z551" s="1102"/>
      <c r="AA551" s="1101"/>
    </row>
    <row r="552" ht="15.75" customHeight="1">
      <c r="A552" s="213"/>
      <c r="B552" s="213"/>
      <c r="C552" s="1101"/>
      <c r="D552" s="1101"/>
      <c r="E552" s="1101"/>
      <c r="F552" s="1101"/>
      <c r="G552" s="1101"/>
      <c r="H552" s="1101"/>
      <c r="I552" s="1101"/>
      <c r="J552" s="1101"/>
      <c r="K552" s="1101"/>
      <c r="L552" s="1101"/>
      <c r="M552" s="1101"/>
      <c r="N552" s="1101"/>
      <c r="O552" s="1101"/>
      <c r="P552" s="1101"/>
      <c r="Q552" s="1101"/>
      <c r="R552" s="1101"/>
      <c r="S552" s="1101"/>
      <c r="T552" s="1101"/>
      <c r="U552" s="1101"/>
      <c r="V552" s="1101"/>
      <c r="W552" s="1101"/>
      <c r="X552" s="1101"/>
      <c r="Y552" s="1102"/>
      <c r="Z552" s="1102"/>
      <c r="AA552" s="1101"/>
    </row>
    <row r="553" ht="15.75" customHeight="1">
      <c r="A553" s="213"/>
      <c r="B553" s="213"/>
      <c r="C553" s="1101"/>
      <c r="D553" s="1101"/>
      <c r="E553" s="1101"/>
      <c r="F553" s="1101"/>
      <c r="G553" s="1101"/>
      <c r="H553" s="1101"/>
      <c r="I553" s="1101"/>
      <c r="J553" s="1101"/>
      <c r="K553" s="1101"/>
      <c r="L553" s="1101"/>
      <c r="M553" s="1101"/>
      <c r="N553" s="1101"/>
      <c r="O553" s="1101"/>
      <c r="P553" s="1101"/>
      <c r="Q553" s="1101"/>
      <c r="R553" s="1101"/>
      <c r="S553" s="1101"/>
      <c r="T553" s="1101"/>
      <c r="U553" s="1101"/>
      <c r="V553" s="1101"/>
      <c r="W553" s="1101"/>
      <c r="X553" s="1101"/>
      <c r="Y553" s="1102"/>
      <c r="Z553" s="1102"/>
      <c r="AA553" s="1101"/>
    </row>
    <row r="554" ht="15.75" customHeight="1">
      <c r="A554" s="213"/>
      <c r="B554" s="213"/>
      <c r="C554" s="1101"/>
      <c r="D554" s="1101"/>
      <c r="E554" s="1101"/>
      <c r="F554" s="1101"/>
      <c r="G554" s="1101"/>
      <c r="H554" s="1101"/>
      <c r="I554" s="1101"/>
      <c r="J554" s="1101"/>
      <c r="K554" s="1101"/>
      <c r="L554" s="1101"/>
      <c r="M554" s="1101"/>
      <c r="N554" s="1101"/>
      <c r="O554" s="1101"/>
      <c r="P554" s="1101"/>
      <c r="Q554" s="1101"/>
      <c r="R554" s="1101"/>
      <c r="S554" s="1101"/>
      <c r="T554" s="1101"/>
      <c r="U554" s="1101"/>
      <c r="V554" s="1101"/>
      <c r="W554" s="1101"/>
      <c r="X554" s="1101"/>
      <c r="Y554" s="1102"/>
      <c r="Z554" s="1102"/>
      <c r="AA554" s="1101"/>
    </row>
    <row r="555" ht="15.75" customHeight="1">
      <c r="A555" s="213"/>
      <c r="B555" s="213"/>
      <c r="C555" s="1101"/>
      <c r="D555" s="1101"/>
      <c r="E555" s="1101"/>
      <c r="F555" s="1101"/>
      <c r="G555" s="1101"/>
      <c r="H555" s="1101"/>
      <c r="I555" s="1101"/>
      <c r="J555" s="1101"/>
      <c r="K555" s="1101"/>
      <c r="L555" s="1101"/>
      <c r="M555" s="1101"/>
      <c r="N555" s="1101"/>
      <c r="O555" s="1101"/>
      <c r="P555" s="1101"/>
      <c r="Q555" s="1101"/>
      <c r="R555" s="1101"/>
      <c r="S555" s="1101"/>
      <c r="T555" s="1101"/>
      <c r="U555" s="1101"/>
      <c r="V555" s="1101"/>
      <c r="W555" s="1101"/>
      <c r="X555" s="1101"/>
      <c r="Y555" s="1102"/>
      <c r="Z555" s="1102"/>
      <c r="AA555" s="1101"/>
    </row>
    <row r="556" ht="15.75" customHeight="1">
      <c r="A556" s="213"/>
      <c r="B556" s="213"/>
      <c r="C556" s="1101"/>
      <c r="D556" s="1101"/>
      <c r="E556" s="1101"/>
      <c r="F556" s="1101"/>
      <c r="G556" s="1101"/>
      <c r="H556" s="1101"/>
      <c r="I556" s="1101"/>
      <c r="J556" s="1101"/>
      <c r="K556" s="1101"/>
      <c r="L556" s="1101"/>
      <c r="M556" s="1101"/>
      <c r="N556" s="1101"/>
      <c r="O556" s="1101"/>
      <c r="P556" s="1101"/>
      <c r="Q556" s="1101"/>
      <c r="R556" s="1101"/>
      <c r="S556" s="1101"/>
      <c r="T556" s="1101"/>
      <c r="U556" s="1101"/>
      <c r="V556" s="1101"/>
      <c r="W556" s="1101"/>
      <c r="X556" s="1101"/>
      <c r="Y556" s="1102"/>
      <c r="Z556" s="1102"/>
      <c r="AA556" s="1101"/>
    </row>
    <row r="557" ht="15.75" customHeight="1">
      <c r="A557" s="213"/>
      <c r="B557" s="213"/>
      <c r="C557" s="1101"/>
      <c r="D557" s="1101"/>
      <c r="E557" s="1101"/>
      <c r="F557" s="1101"/>
      <c r="G557" s="1101"/>
      <c r="H557" s="1101"/>
      <c r="I557" s="1101"/>
      <c r="J557" s="1101"/>
      <c r="K557" s="1101"/>
      <c r="L557" s="1101"/>
      <c r="M557" s="1101"/>
      <c r="N557" s="1101"/>
      <c r="O557" s="1101"/>
      <c r="P557" s="1101"/>
      <c r="Q557" s="1101"/>
      <c r="R557" s="1101"/>
      <c r="S557" s="1101"/>
      <c r="T557" s="1101"/>
      <c r="U557" s="1101"/>
      <c r="V557" s="1101"/>
      <c r="W557" s="1101"/>
      <c r="X557" s="1101"/>
      <c r="Y557" s="1102"/>
      <c r="Z557" s="1102"/>
      <c r="AA557" s="1101"/>
    </row>
    <row r="558" ht="15.75" customHeight="1">
      <c r="A558" s="213"/>
      <c r="B558" s="213"/>
      <c r="C558" s="1101"/>
      <c r="D558" s="1101"/>
      <c r="E558" s="1101"/>
      <c r="F558" s="1101"/>
      <c r="G558" s="1101"/>
      <c r="H558" s="1101"/>
      <c r="I558" s="1101"/>
      <c r="J558" s="1101"/>
      <c r="K558" s="1101"/>
      <c r="L558" s="1101"/>
      <c r="M558" s="1101"/>
      <c r="N558" s="1101"/>
      <c r="O558" s="1101"/>
      <c r="P558" s="1101"/>
      <c r="Q558" s="1101"/>
      <c r="R558" s="1101"/>
      <c r="S558" s="1101"/>
      <c r="T558" s="1101"/>
      <c r="U558" s="1101"/>
      <c r="V558" s="1101"/>
      <c r="W558" s="1101"/>
      <c r="X558" s="1101"/>
      <c r="Y558" s="1102"/>
      <c r="Z558" s="1102"/>
      <c r="AA558" s="1101"/>
    </row>
    <row r="559" ht="15.75" customHeight="1">
      <c r="A559" s="213"/>
      <c r="B559" s="213"/>
      <c r="C559" s="1101"/>
      <c r="D559" s="1101"/>
      <c r="E559" s="1101"/>
      <c r="F559" s="1101"/>
      <c r="G559" s="1101"/>
      <c r="H559" s="1101"/>
      <c r="I559" s="1101"/>
      <c r="J559" s="1101"/>
      <c r="K559" s="1101"/>
      <c r="L559" s="1101"/>
      <c r="M559" s="1101"/>
      <c r="N559" s="1101"/>
      <c r="O559" s="1101"/>
      <c r="P559" s="1101"/>
      <c r="Q559" s="1101"/>
      <c r="R559" s="1101"/>
      <c r="S559" s="1101"/>
      <c r="T559" s="1101"/>
      <c r="U559" s="1101"/>
      <c r="V559" s="1101"/>
      <c r="W559" s="1101"/>
      <c r="X559" s="1101"/>
      <c r="Y559" s="1102"/>
      <c r="Z559" s="1102"/>
      <c r="AA559" s="1101"/>
    </row>
    <row r="560" ht="15.75" customHeight="1">
      <c r="A560" s="213"/>
      <c r="B560" s="213"/>
      <c r="C560" s="1101"/>
      <c r="D560" s="1101"/>
      <c r="E560" s="1101"/>
      <c r="F560" s="1101"/>
      <c r="G560" s="1101"/>
      <c r="H560" s="1101"/>
      <c r="I560" s="1101"/>
      <c r="J560" s="1101"/>
      <c r="K560" s="1101"/>
      <c r="L560" s="1101"/>
      <c r="M560" s="1101"/>
      <c r="N560" s="1101"/>
      <c r="O560" s="1101"/>
      <c r="P560" s="1101"/>
      <c r="Q560" s="1101"/>
      <c r="R560" s="1101"/>
      <c r="S560" s="1101"/>
      <c r="T560" s="1101"/>
      <c r="U560" s="1101"/>
      <c r="V560" s="1101"/>
      <c r="W560" s="1101"/>
      <c r="X560" s="1101"/>
      <c r="Y560" s="1102"/>
      <c r="Z560" s="1102"/>
      <c r="AA560" s="1101"/>
    </row>
    <row r="561" ht="15.75" customHeight="1">
      <c r="A561" s="213"/>
      <c r="B561" s="213"/>
      <c r="C561" s="1101"/>
      <c r="D561" s="1101"/>
      <c r="E561" s="1101"/>
      <c r="F561" s="1101"/>
      <c r="G561" s="1101"/>
      <c r="H561" s="1101"/>
      <c r="I561" s="1101"/>
      <c r="J561" s="1101"/>
      <c r="K561" s="1101"/>
      <c r="L561" s="1101"/>
      <c r="M561" s="1101"/>
      <c r="N561" s="1101"/>
      <c r="O561" s="1101"/>
      <c r="P561" s="1101"/>
      <c r="Q561" s="1101"/>
      <c r="R561" s="1101"/>
      <c r="S561" s="1101"/>
      <c r="T561" s="1101"/>
      <c r="U561" s="1101"/>
      <c r="V561" s="1101"/>
      <c r="W561" s="1101"/>
      <c r="X561" s="1101"/>
      <c r="Y561" s="1102"/>
      <c r="Z561" s="1102"/>
      <c r="AA561" s="1101"/>
    </row>
    <row r="562" ht="15.75" customHeight="1">
      <c r="A562" s="213"/>
      <c r="B562" s="213"/>
      <c r="C562" s="1101"/>
      <c r="D562" s="1101"/>
      <c r="E562" s="1101"/>
      <c r="F562" s="1101"/>
      <c r="G562" s="1101"/>
      <c r="H562" s="1101"/>
      <c r="I562" s="1101"/>
      <c r="J562" s="1101"/>
      <c r="K562" s="1101"/>
      <c r="L562" s="1101"/>
      <c r="M562" s="1101"/>
      <c r="N562" s="1101"/>
      <c r="O562" s="1101"/>
      <c r="P562" s="1101"/>
      <c r="Q562" s="1101"/>
      <c r="R562" s="1101"/>
      <c r="S562" s="1101"/>
      <c r="T562" s="1101"/>
      <c r="U562" s="1101"/>
      <c r="V562" s="1101"/>
      <c r="W562" s="1101"/>
      <c r="X562" s="1101"/>
      <c r="Y562" s="1102"/>
      <c r="Z562" s="1102"/>
      <c r="AA562" s="1101"/>
    </row>
    <row r="563" ht="15.75" customHeight="1">
      <c r="A563" s="213"/>
      <c r="B563" s="213"/>
      <c r="C563" s="1101"/>
      <c r="D563" s="1101"/>
      <c r="E563" s="1101"/>
      <c r="F563" s="1101"/>
      <c r="G563" s="1101"/>
      <c r="H563" s="1101"/>
      <c r="I563" s="1101"/>
      <c r="J563" s="1101"/>
      <c r="K563" s="1101"/>
      <c r="L563" s="1101"/>
      <c r="M563" s="1101"/>
      <c r="N563" s="1101"/>
      <c r="O563" s="1101"/>
      <c r="P563" s="1101"/>
      <c r="Q563" s="1101"/>
      <c r="R563" s="1101"/>
      <c r="S563" s="1101"/>
      <c r="T563" s="1101"/>
      <c r="U563" s="1101"/>
      <c r="V563" s="1101"/>
      <c r="W563" s="1101"/>
      <c r="X563" s="1101"/>
      <c r="Y563" s="1102"/>
      <c r="Z563" s="1102"/>
      <c r="AA563" s="1101"/>
    </row>
    <row r="564" ht="15.75" customHeight="1">
      <c r="A564" s="213"/>
      <c r="B564" s="213"/>
      <c r="C564" s="1101"/>
      <c r="D564" s="1101"/>
      <c r="E564" s="1101"/>
      <c r="F564" s="1101"/>
      <c r="G564" s="1101"/>
      <c r="H564" s="1101"/>
      <c r="I564" s="1101"/>
      <c r="J564" s="1101"/>
      <c r="K564" s="1101"/>
      <c r="L564" s="1101"/>
      <c r="M564" s="1101"/>
      <c r="N564" s="1101"/>
      <c r="O564" s="1101"/>
      <c r="P564" s="1101"/>
      <c r="Q564" s="1101"/>
      <c r="R564" s="1101"/>
      <c r="S564" s="1101"/>
      <c r="T564" s="1101"/>
      <c r="U564" s="1101"/>
      <c r="V564" s="1101"/>
      <c r="W564" s="1101"/>
      <c r="X564" s="1101"/>
      <c r="Y564" s="1102"/>
      <c r="Z564" s="1102"/>
      <c r="AA564" s="1101"/>
    </row>
    <row r="565" ht="15.75" customHeight="1">
      <c r="A565" s="213"/>
      <c r="B565" s="213"/>
      <c r="C565" s="1101"/>
      <c r="D565" s="1101"/>
      <c r="E565" s="1101"/>
      <c r="F565" s="1101"/>
      <c r="G565" s="1101"/>
      <c r="H565" s="1101"/>
      <c r="I565" s="1101"/>
      <c r="J565" s="1101"/>
      <c r="K565" s="1101"/>
      <c r="L565" s="1101"/>
      <c r="M565" s="1101"/>
      <c r="N565" s="1101"/>
      <c r="O565" s="1101"/>
      <c r="P565" s="1101"/>
      <c r="Q565" s="1101"/>
      <c r="R565" s="1101"/>
      <c r="S565" s="1101"/>
      <c r="T565" s="1101"/>
      <c r="U565" s="1101"/>
      <c r="V565" s="1101"/>
      <c r="W565" s="1101"/>
      <c r="X565" s="1101"/>
      <c r="Y565" s="1102"/>
      <c r="Z565" s="1102"/>
      <c r="AA565" s="1101"/>
    </row>
    <row r="566" ht="15.75" customHeight="1">
      <c r="A566" s="213"/>
      <c r="B566" s="213"/>
      <c r="C566" s="1101"/>
      <c r="D566" s="1101"/>
      <c r="E566" s="1101"/>
      <c r="F566" s="1101"/>
      <c r="G566" s="1101"/>
      <c r="H566" s="1101"/>
      <c r="I566" s="1101"/>
      <c r="J566" s="1101"/>
      <c r="K566" s="1101"/>
      <c r="L566" s="1101"/>
      <c r="M566" s="1101"/>
      <c r="N566" s="1101"/>
      <c r="O566" s="1101"/>
      <c r="P566" s="1101"/>
      <c r="Q566" s="1101"/>
      <c r="R566" s="1101"/>
      <c r="S566" s="1101"/>
      <c r="T566" s="1101"/>
      <c r="U566" s="1101"/>
      <c r="V566" s="1101"/>
      <c r="W566" s="1101"/>
      <c r="X566" s="1101"/>
      <c r="Y566" s="1102"/>
      <c r="Z566" s="1102"/>
      <c r="AA566" s="1101"/>
    </row>
    <row r="567" ht="15.75" customHeight="1">
      <c r="A567" s="213"/>
      <c r="B567" s="213"/>
      <c r="C567" s="1101"/>
      <c r="D567" s="1101"/>
      <c r="E567" s="1101"/>
      <c r="F567" s="1101"/>
      <c r="G567" s="1101"/>
      <c r="H567" s="1101"/>
      <c r="I567" s="1101"/>
      <c r="J567" s="1101"/>
      <c r="K567" s="1101"/>
      <c r="L567" s="1101"/>
      <c r="M567" s="1101"/>
      <c r="N567" s="1101"/>
      <c r="O567" s="1101"/>
      <c r="P567" s="1101"/>
      <c r="Q567" s="1101"/>
      <c r="R567" s="1101"/>
      <c r="S567" s="1101"/>
      <c r="T567" s="1101"/>
      <c r="U567" s="1101"/>
      <c r="V567" s="1101"/>
      <c r="W567" s="1101"/>
      <c r="X567" s="1101"/>
      <c r="Y567" s="1102"/>
      <c r="Z567" s="1102"/>
      <c r="AA567" s="1101"/>
    </row>
    <row r="568" ht="15.75" customHeight="1">
      <c r="A568" s="213"/>
      <c r="B568" s="213"/>
      <c r="C568" s="1101"/>
      <c r="D568" s="1101"/>
      <c r="E568" s="1101"/>
      <c r="F568" s="1101"/>
      <c r="G568" s="1101"/>
      <c r="H568" s="1101"/>
      <c r="I568" s="1101"/>
      <c r="J568" s="1101"/>
      <c r="K568" s="1101"/>
      <c r="L568" s="1101"/>
      <c r="M568" s="1101"/>
      <c r="N568" s="1101"/>
      <c r="O568" s="1101"/>
      <c r="P568" s="1101"/>
      <c r="Q568" s="1101"/>
      <c r="R568" s="1101"/>
      <c r="S568" s="1101"/>
      <c r="T568" s="1101"/>
      <c r="U568" s="1101"/>
      <c r="V568" s="1101"/>
      <c r="W568" s="1101"/>
      <c r="X568" s="1101"/>
      <c r="Y568" s="1102"/>
      <c r="Z568" s="1102"/>
      <c r="AA568" s="1101"/>
    </row>
    <row r="569" ht="15.75" customHeight="1">
      <c r="A569" s="213"/>
      <c r="B569" s="213"/>
      <c r="C569" s="1101"/>
      <c r="D569" s="1101"/>
      <c r="E569" s="1101"/>
      <c r="F569" s="1101"/>
      <c r="G569" s="1101"/>
      <c r="H569" s="1101"/>
      <c r="I569" s="1101"/>
      <c r="J569" s="1101"/>
      <c r="K569" s="1101"/>
      <c r="L569" s="1101"/>
      <c r="M569" s="1101"/>
      <c r="N569" s="1101"/>
      <c r="O569" s="1101"/>
      <c r="P569" s="1101"/>
      <c r="Q569" s="1101"/>
      <c r="R569" s="1101"/>
      <c r="S569" s="1101"/>
      <c r="T569" s="1101"/>
      <c r="U569" s="1101"/>
      <c r="V569" s="1101"/>
      <c r="W569" s="1101"/>
      <c r="X569" s="1101"/>
      <c r="Y569" s="1102"/>
      <c r="Z569" s="1102"/>
      <c r="AA569" s="1101"/>
    </row>
    <row r="570" ht="15.75" customHeight="1">
      <c r="A570" s="213"/>
      <c r="B570" s="213"/>
      <c r="C570" s="1101"/>
      <c r="D570" s="1101"/>
      <c r="E570" s="1101"/>
      <c r="F570" s="1101"/>
      <c r="G570" s="1101"/>
      <c r="H570" s="1101"/>
      <c r="I570" s="1101"/>
      <c r="J570" s="1101"/>
      <c r="K570" s="1101"/>
      <c r="L570" s="1101"/>
      <c r="M570" s="1101"/>
      <c r="N570" s="1101"/>
      <c r="O570" s="1101"/>
      <c r="P570" s="1101"/>
      <c r="Q570" s="1101"/>
      <c r="R570" s="1101"/>
      <c r="S570" s="1101"/>
      <c r="T570" s="1101"/>
      <c r="U570" s="1101"/>
      <c r="V570" s="1101"/>
      <c r="W570" s="1101"/>
      <c r="X570" s="1101"/>
      <c r="Y570" s="1102"/>
      <c r="Z570" s="1102"/>
      <c r="AA570" s="1101"/>
    </row>
    <row r="571" ht="15.75" customHeight="1">
      <c r="A571" s="213"/>
      <c r="B571" s="213"/>
      <c r="C571" s="1101"/>
      <c r="D571" s="1101"/>
      <c r="E571" s="1101"/>
      <c r="F571" s="1101"/>
      <c r="G571" s="1101"/>
      <c r="H571" s="1101"/>
      <c r="I571" s="1101"/>
      <c r="J571" s="1101"/>
      <c r="K571" s="1101"/>
      <c r="L571" s="1101"/>
      <c r="M571" s="1101"/>
      <c r="N571" s="1101"/>
      <c r="O571" s="1101"/>
      <c r="P571" s="1101"/>
      <c r="Q571" s="1101"/>
      <c r="R571" s="1101"/>
      <c r="S571" s="1101"/>
      <c r="T571" s="1101"/>
      <c r="U571" s="1101"/>
      <c r="V571" s="1101"/>
      <c r="W571" s="1101"/>
      <c r="X571" s="1101"/>
      <c r="Y571" s="1102"/>
      <c r="Z571" s="1102"/>
      <c r="AA571" s="1101"/>
    </row>
    <row r="572" ht="15.75" customHeight="1">
      <c r="A572" s="213"/>
      <c r="B572" s="213"/>
      <c r="C572" s="1101"/>
      <c r="D572" s="1101"/>
      <c r="E572" s="1101"/>
      <c r="F572" s="1101"/>
      <c r="G572" s="1101"/>
      <c r="H572" s="1101"/>
      <c r="I572" s="1101"/>
      <c r="J572" s="1101"/>
      <c r="K572" s="1101"/>
      <c r="L572" s="1101"/>
      <c r="M572" s="1101"/>
      <c r="N572" s="1101"/>
      <c r="O572" s="1101"/>
      <c r="P572" s="1101"/>
      <c r="Q572" s="1101"/>
      <c r="R572" s="1101"/>
      <c r="S572" s="1101"/>
      <c r="T572" s="1101"/>
      <c r="U572" s="1101"/>
      <c r="V572" s="1101"/>
      <c r="W572" s="1101"/>
      <c r="X572" s="1101"/>
      <c r="Y572" s="1102"/>
      <c r="Z572" s="1102"/>
      <c r="AA572" s="1101"/>
    </row>
    <row r="573" ht="15.75" customHeight="1">
      <c r="A573" s="213"/>
      <c r="B573" s="213"/>
      <c r="C573" s="1101"/>
      <c r="D573" s="1101"/>
      <c r="E573" s="1101"/>
      <c r="F573" s="1101"/>
      <c r="G573" s="1101"/>
      <c r="H573" s="1101"/>
      <c r="I573" s="1101"/>
      <c r="J573" s="1101"/>
      <c r="K573" s="1101"/>
      <c r="L573" s="1101"/>
      <c r="M573" s="1101"/>
      <c r="N573" s="1101"/>
      <c r="O573" s="1101"/>
      <c r="P573" s="1101"/>
      <c r="Q573" s="1101"/>
      <c r="R573" s="1101"/>
      <c r="S573" s="1101"/>
      <c r="T573" s="1101"/>
      <c r="U573" s="1101"/>
      <c r="V573" s="1101"/>
      <c r="W573" s="1101"/>
      <c r="X573" s="1101"/>
      <c r="Y573" s="1102"/>
      <c r="Z573" s="1102"/>
      <c r="AA573" s="1101"/>
    </row>
    <row r="574" ht="15.75" customHeight="1">
      <c r="A574" s="213"/>
      <c r="B574" s="213"/>
      <c r="C574" s="1101"/>
      <c r="D574" s="1101"/>
      <c r="E574" s="1101"/>
      <c r="F574" s="1101"/>
      <c r="G574" s="1101"/>
      <c r="H574" s="1101"/>
      <c r="I574" s="1101"/>
      <c r="J574" s="1101"/>
      <c r="K574" s="1101"/>
      <c r="L574" s="1101"/>
      <c r="M574" s="1101"/>
      <c r="N574" s="1101"/>
      <c r="O574" s="1101"/>
      <c r="P574" s="1101"/>
      <c r="Q574" s="1101"/>
      <c r="R574" s="1101"/>
      <c r="S574" s="1101"/>
      <c r="T574" s="1101"/>
      <c r="U574" s="1101"/>
      <c r="V574" s="1101"/>
      <c r="W574" s="1101"/>
      <c r="X574" s="1101"/>
      <c r="Y574" s="1102"/>
      <c r="Z574" s="1102"/>
      <c r="AA574" s="1101"/>
    </row>
    <row r="575" ht="15.75" customHeight="1">
      <c r="A575" s="213"/>
      <c r="B575" s="213"/>
      <c r="C575" s="1101"/>
      <c r="D575" s="1101"/>
      <c r="E575" s="1101"/>
      <c r="F575" s="1101"/>
      <c r="G575" s="1101"/>
      <c r="H575" s="1101"/>
      <c r="I575" s="1101"/>
      <c r="J575" s="1101"/>
      <c r="K575" s="1101"/>
      <c r="L575" s="1101"/>
      <c r="M575" s="1101"/>
      <c r="N575" s="1101"/>
      <c r="O575" s="1101"/>
      <c r="P575" s="1101"/>
      <c r="Q575" s="1101"/>
      <c r="R575" s="1101"/>
      <c r="S575" s="1101"/>
      <c r="T575" s="1101"/>
      <c r="U575" s="1101"/>
      <c r="V575" s="1101"/>
      <c r="W575" s="1101"/>
      <c r="X575" s="1101"/>
      <c r="Y575" s="1102"/>
      <c r="Z575" s="1102"/>
      <c r="AA575" s="1101"/>
    </row>
    <row r="576" ht="15.75" customHeight="1">
      <c r="A576" s="213"/>
      <c r="B576" s="213"/>
      <c r="C576" s="1101"/>
      <c r="D576" s="1101"/>
      <c r="E576" s="1101"/>
      <c r="F576" s="1101"/>
      <c r="G576" s="1101"/>
      <c r="H576" s="1101"/>
      <c r="I576" s="1101"/>
      <c r="J576" s="1101"/>
      <c r="K576" s="1101"/>
      <c r="L576" s="1101"/>
      <c r="M576" s="1101"/>
      <c r="N576" s="1101"/>
      <c r="O576" s="1101"/>
      <c r="P576" s="1101"/>
      <c r="Q576" s="1101"/>
      <c r="R576" s="1101"/>
      <c r="S576" s="1101"/>
      <c r="T576" s="1101"/>
      <c r="U576" s="1101"/>
      <c r="V576" s="1101"/>
      <c r="W576" s="1101"/>
      <c r="X576" s="1101"/>
      <c r="Y576" s="1102"/>
      <c r="Z576" s="1102"/>
      <c r="AA576" s="1101"/>
    </row>
    <row r="577" ht="15.75" customHeight="1">
      <c r="A577" s="213"/>
      <c r="B577" s="213"/>
      <c r="C577" s="1101"/>
      <c r="D577" s="1101"/>
      <c r="E577" s="1101"/>
      <c r="F577" s="1101"/>
      <c r="G577" s="1101"/>
      <c r="H577" s="1101"/>
      <c r="I577" s="1101"/>
      <c r="J577" s="1101"/>
      <c r="K577" s="1101"/>
      <c r="L577" s="1101"/>
      <c r="M577" s="1101"/>
      <c r="N577" s="1101"/>
      <c r="O577" s="1101"/>
      <c r="P577" s="1101"/>
      <c r="Q577" s="1101"/>
      <c r="R577" s="1101"/>
      <c r="S577" s="1101"/>
      <c r="T577" s="1101"/>
      <c r="U577" s="1101"/>
      <c r="V577" s="1101"/>
      <c r="W577" s="1101"/>
      <c r="X577" s="1101"/>
      <c r="Y577" s="1102"/>
      <c r="Z577" s="1102"/>
      <c r="AA577" s="1101"/>
    </row>
    <row r="578" ht="15.75" customHeight="1">
      <c r="A578" s="213"/>
      <c r="B578" s="213"/>
      <c r="C578" s="1101"/>
      <c r="D578" s="1101"/>
      <c r="E578" s="1101"/>
      <c r="F578" s="1101"/>
      <c r="G578" s="1101"/>
      <c r="H578" s="1101"/>
      <c r="I578" s="1101"/>
      <c r="J578" s="1101"/>
      <c r="K578" s="1101"/>
      <c r="L578" s="1101"/>
      <c r="M578" s="1101"/>
      <c r="N578" s="1101"/>
      <c r="O578" s="1101"/>
      <c r="P578" s="1101"/>
      <c r="Q578" s="1101"/>
      <c r="R578" s="1101"/>
      <c r="S578" s="1101"/>
      <c r="T578" s="1101"/>
      <c r="U578" s="1101"/>
      <c r="V578" s="1101"/>
      <c r="W578" s="1101"/>
      <c r="X578" s="1101"/>
      <c r="Y578" s="1102"/>
      <c r="Z578" s="1102"/>
      <c r="AA578" s="1101"/>
    </row>
    <row r="579" ht="15.75" customHeight="1">
      <c r="A579" s="213"/>
      <c r="B579" s="213"/>
      <c r="C579" s="1101"/>
      <c r="D579" s="1101"/>
      <c r="E579" s="1101"/>
      <c r="F579" s="1101"/>
      <c r="G579" s="1101"/>
      <c r="H579" s="1101"/>
      <c r="I579" s="1101"/>
      <c r="J579" s="1101"/>
      <c r="K579" s="1101"/>
      <c r="L579" s="1101"/>
      <c r="M579" s="1101"/>
      <c r="N579" s="1101"/>
      <c r="O579" s="1101"/>
      <c r="P579" s="1101"/>
      <c r="Q579" s="1101"/>
      <c r="R579" s="1101"/>
      <c r="S579" s="1101"/>
      <c r="T579" s="1101"/>
      <c r="U579" s="1101"/>
      <c r="V579" s="1101"/>
      <c r="W579" s="1101"/>
      <c r="X579" s="1101"/>
      <c r="Y579" s="1102"/>
      <c r="Z579" s="1102"/>
      <c r="AA579" s="1101"/>
    </row>
    <row r="580" ht="15.75" customHeight="1">
      <c r="A580" s="213"/>
      <c r="B580" s="213"/>
      <c r="C580" s="1101"/>
      <c r="D580" s="1101"/>
      <c r="E580" s="1101"/>
      <c r="F580" s="1101"/>
      <c r="G580" s="1101"/>
      <c r="H580" s="1101"/>
      <c r="I580" s="1101"/>
      <c r="J580" s="1101"/>
      <c r="K580" s="1101"/>
      <c r="L580" s="1101"/>
      <c r="M580" s="1101"/>
      <c r="N580" s="1101"/>
      <c r="O580" s="1101"/>
      <c r="P580" s="1101"/>
      <c r="Q580" s="1101"/>
      <c r="R580" s="1101"/>
      <c r="S580" s="1101"/>
      <c r="T580" s="1101"/>
      <c r="U580" s="1101"/>
      <c r="V580" s="1101"/>
      <c r="W580" s="1101"/>
      <c r="X580" s="1101"/>
      <c r="Y580" s="1102"/>
      <c r="Z580" s="1102"/>
      <c r="AA580" s="1101"/>
    </row>
    <row r="581" ht="15.75" customHeight="1">
      <c r="A581" s="213"/>
      <c r="B581" s="213"/>
      <c r="C581" s="1101"/>
      <c r="D581" s="1101"/>
      <c r="E581" s="1101"/>
      <c r="F581" s="1101"/>
      <c r="G581" s="1101"/>
      <c r="H581" s="1101"/>
      <c r="I581" s="1101"/>
      <c r="J581" s="1101"/>
      <c r="K581" s="1101"/>
      <c r="L581" s="1101"/>
      <c r="M581" s="1101"/>
      <c r="N581" s="1101"/>
      <c r="O581" s="1101"/>
      <c r="P581" s="1101"/>
      <c r="Q581" s="1101"/>
      <c r="R581" s="1101"/>
      <c r="S581" s="1101"/>
      <c r="T581" s="1101"/>
      <c r="U581" s="1101"/>
      <c r="V581" s="1101"/>
      <c r="W581" s="1101"/>
      <c r="X581" s="1101"/>
      <c r="Y581" s="1102"/>
      <c r="Z581" s="1102"/>
      <c r="AA581" s="1101"/>
    </row>
    <row r="582" ht="15.75" customHeight="1">
      <c r="A582" s="213"/>
      <c r="B582" s="213"/>
      <c r="C582" s="1101"/>
      <c r="D582" s="1101"/>
      <c r="E582" s="1101"/>
      <c r="F582" s="1101"/>
      <c r="G582" s="1101"/>
      <c r="H582" s="1101"/>
      <c r="I582" s="1101"/>
      <c r="J582" s="1101"/>
      <c r="K582" s="1101"/>
      <c r="L582" s="1101"/>
      <c r="M582" s="1101"/>
      <c r="N582" s="1101"/>
      <c r="O582" s="1101"/>
      <c r="P582" s="1101"/>
      <c r="Q582" s="1101"/>
      <c r="R582" s="1101"/>
      <c r="S582" s="1101"/>
      <c r="T582" s="1101"/>
      <c r="U582" s="1101"/>
      <c r="V582" s="1101"/>
      <c r="W582" s="1101"/>
      <c r="X582" s="1101"/>
      <c r="Y582" s="1102"/>
      <c r="Z582" s="1102"/>
      <c r="AA582" s="1101"/>
    </row>
    <row r="583" ht="15.75" customHeight="1">
      <c r="A583" s="213"/>
      <c r="B583" s="213"/>
      <c r="C583" s="1101"/>
      <c r="D583" s="1101"/>
      <c r="E583" s="1101"/>
      <c r="F583" s="1101"/>
      <c r="G583" s="1101"/>
      <c r="H583" s="1101"/>
      <c r="I583" s="1101"/>
      <c r="J583" s="1101"/>
      <c r="K583" s="1101"/>
      <c r="L583" s="1101"/>
      <c r="M583" s="1101"/>
      <c r="N583" s="1101"/>
      <c r="O583" s="1101"/>
      <c r="P583" s="1101"/>
      <c r="Q583" s="1101"/>
      <c r="R583" s="1101"/>
      <c r="S583" s="1101"/>
      <c r="T583" s="1101"/>
      <c r="U583" s="1101"/>
      <c r="V583" s="1101"/>
      <c r="W583" s="1101"/>
      <c r="X583" s="1101"/>
      <c r="Y583" s="1102"/>
      <c r="Z583" s="1102"/>
      <c r="AA583" s="1101"/>
    </row>
    <row r="584" ht="15.75" customHeight="1">
      <c r="A584" s="213"/>
      <c r="B584" s="213"/>
      <c r="C584" s="1101"/>
      <c r="D584" s="1101"/>
      <c r="E584" s="1101"/>
      <c r="F584" s="1101"/>
      <c r="G584" s="1101"/>
      <c r="H584" s="1101"/>
      <c r="I584" s="1101"/>
      <c r="J584" s="1101"/>
      <c r="K584" s="1101"/>
      <c r="L584" s="1101"/>
      <c r="M584" s="1101"/>
      <c r="N584" s="1101"/>
      <c r="O584" s="1101"/>
      <c r="P584" s="1101"/>
      <c r="Q584" s="1101"/>
      <c r="R584" s="1101"/>
      <c r="S584" s="1101"/>
      <c r="T584" s="1101"/>
      <c r="U584" s="1101"/>
      <c r="V584" s="1101"/>
      <c r="W584" s="1101"/>
      <c r="X584" s="1101"/>
      <c r="Y584" s="1102"/>
      <c r="Z584" s="1102"/>
      <c r="AA584" s="1101"/>
    </row>
    <row r="585" ht="15.75" customHeight="1">
      <c r="A585" s="213"/>
      <c r="B585" s="213"/>
      <c r="C585" s="1101"/>
      <c r="D585" s="1101"/>
      <c r="E585" s="1101"/>
      <c r="F585" s="1101"/>
      <c r="G585" s="1101"/>
      <c r="H585" s="1101"/>
      <c r="I585" s="1101"/>
      <c r="J585" s="1101"/>
      <c r="K585" s="1101"/>
      <c r="L585" s="1101"/>
      <c r="M585" s="1101"/>
      <c r="N585" s="1101"/>
      <c r="O585" s="1101"/>
      <c r="P585" s="1101"/>
      <c r="Q585" s="1101"/>
      <c r="R585" s="1101"/>
      <c r="S585" s="1101"/>
      <c r="T585" s="1101"/>
      <c r="U585" s="1101"/>
      <c r="V585" s="1101"/>
      <c r="W585" s="1101"/>
      <c r="X585" s="1101"/>
      <c r="Y585" s="1102"/>
      <c r="Z585" s="1102"/>
      <c r="AA585" s="1101"/>
    </row>
    <row r="586" ht="15.75" customHeight="1">
      <c r="A586" s="213"/>
      <c r="B586" s="213"/>
      <c r="C586" s="1101"/>
      <c r="D586" s="1101"/>
      <c r="E586" s="1101"/>
      <c r="F586" s="1101"/>
      <c r="G586" s="1101"/>
      <c r="H586" s="1101"/>
      <c r="I586" s="1101"/>
      <c r="J586" s="1101"/>
      <c r="K586" s="1101"/>
      <c r="L586" s="1101"/>
      <c r="M586" s="1101"/>
      <c r="N586" s="1101"/>
      <c r="O586" s="1101"/>
      <c r="P586" s="1101"/>
      <c r="Q586" s="1101"/>
      <c r="R586" s="1101"/>
      <c r="S586" s="1101"/>
      <c r="T586" s="1101"/>
      <c r="U586" s="1101"/>
      <c r="V586" s="1101"/>
      <c r="W586" s="1101"/>
      <c r="X586" s="1101"/>
      <c r="Y586" s="1102"/>
      <c r="Z586" s="1102"/>
      <c r="AA586" s="1101"/>
    </row>
    <row r="587" ht="15.75" customHeight="1">
      <c r="A587" s="213"/>
      <c r="B587" s="213"/>
      <c r="C587" s="1101"/>
      <c r="D587" s="1101"/>
      <c r="E587" s="1101"/>
      <c r="F587" s="1101"/>
      <c r="G587" s="1101"/>
      <c r="H587" s="1101"/>
      <c r="I587" s="1101"/>
      <c r="J587" s="1101"/>
      <c r="K587" s="1101"/>
      <c r="L587" s="1101"/>
      <c r="M587" s="1101"/>
      <c r="N587" s="1101"/>
      <c r="O587" s="1101"/>
      <c r="P587" s="1101"/>
      <c r="Q587" s="1101"/>
      <c r="R587" s="1101"/>
      <c r="S587" s="1101"/>
      <c r="T587" s="1101"/>
      <c r="U587" s="1101"/>
      <c r="V587" s="1101"/>
      <c r="W587" s="1101"/>
      <c r="X587" s="1101"/>
      <c r="Y587" s="1102"/>
      <c r="Z587" s="1102"/>
      <c r="AA587" s="1101"/>
    </row>
    <row r="588" ht="15.75" customHeight="1">
      <c r="A588" s="213"/>
      <c r="B588" s="213"/>
      <c r="C588" s="1101"/>
      <c r="D588" s="1101"/>
      <c r="E588" s="1101"/>
      <c r="F588" s="1101"/>
      <c r="G588" s="1101"/>
      <c r="H588" s="1101"/>
      <c r="I588" s="1101"/>
      <c r="J588" s="1101"/>
      <c r="K588" s="1101"/>
      <c r="L588" s="1101"/>
      <c r="M588" s="1101"/>
      <c r="N588" s="1101"/>
      <c r="O588" s="1101"/>
      <c r="P588" s="1101"/>
      <c r="Q588" s="1101"/>
      <c r="R588" s="1101"/>
      <c r="S588" s="1101"/>
      <c r="T588" s="1101"/>
      <c r="U588" s="1101"/>
      <c r="V588" s="1101"/>
      <c r="W588" s="1101"/>
      <c r="X588" s="1101"/>
      <c r="Y588" s="1102"/>
      <c r="Z588" s="1102"/>
      <c r="AA588" s="1101"/>
    </row>
    <row r="589" ht="15.75" customHeight="1">
      <c r="A589" s="213"/>
      <c r="B589" s="213"/>
      <c r="C589" s="1101"/>
      <c r="D589" s="1101"/>
      <c r="E589" s="1101"/>
      <c r="F589" s="1101"/>
      <c r="G589" s="1101"/>
      <c r="H589" s="1101"/>
      <c r="I589" s="1101"/>
      <c r="J589" s="1101"/>
      <c r="K589" s="1101"/>
      <c r="L589" s="1101"/>
      <c r="M589" s="1101"/>
      <c r="N589" s="1101"/>
      <c r="O589" s="1101"/>
      <c r="P589" s="1101"/>
      <c r="Q589" s="1101"/>
      <c r="R589" s="1101"/>
      <c r="S589" s="1101"/>
      <c r="T589" s="1101"/>
      <c r="U589" s="1101"/>
      <c r="V589" s="1101"/>
      <c r="W589" s="1101"/>
      <c r="X589" s="1101"/>
      <c r="Y589" s="1102"/>
      <c r="Z589" s="1102"/>
      <c r="AA589" s="1101"/>
    </row>
    <row r="590" ht="15.75" customHeight="1">
      <c r="A590" s="213"/>
      <c r="B590" s="213"/>
      <c r="C590" s="1101"/>
      <c r="D590" s="1101"/>
      <c r="E590" s="1101"/>
      <c r="F590" s="1101"/>
      <c r="G590" s="1101"/>
      <c r="H590" s="1101"/>
      <c r="I590" s="1101"/>
      <c r="J590" s="1101"/>
      <c r="K590" s="1101"/>
      <c r="L590" s="1101"/>
      <c r="M590" s="1101"/>
      <c r="N590" s="1101"/>
      <c r="O590" s="1101"/>
      <c r="P590" s="1101"/>
      <c r="Q590" s="1101"/>
      <c r="R590" s="1101"/>
      <c r="S590" s="1101"/>
      <c r="T590" s="1101"/>
      <c r="U590" s="1101"/>
      <c r="V590" s="1101"/>
      <c r="W590" s="1101"/>
      <c r="X590" s="1101"/>
      <c r="Y590" s="1102"/>
      <c r="Z590" s="1102"/>
      <c r="AA590" s="1101"/>
    </row>
    <row r="591" ht="15.75" customHeight="1">
      <c r="A591" s="213"/>
      <c r="B591" s="213"/>
      <c r="C591" s="1101"/>
      <c r="D591" s="1101"/>
      <c r="E591" s="1101"/>
      <c r="F591" s="1101"/>
      <c r="G591" s="1101"/>
      <c r="H591" s="1101"/>
      <c r="I591" s="1101"/>
      <c r="J591" s="1101"/>
      <c r="K591" s="1101"/>
      <c r="L591" s="1101"/>
      <c r="M591" s="1101"/>
      <c r="N591" s="1101"/>
      <c r="O591" s="1101"/>
      <c r="P591" s="1101"/>
      <c r="Q591" s="1101"/>
      <c r="R591" s="1101"/>
      <c r="S591" s="1101"/>
      <c r="T591" s="1101"/>
      <c r="U591" s="1101"/>
      <c r="V591" s="1101"/>
      <c r="W591" s="1101"/>
      <c r="X591" s="1101"/>
      <c r="Y591" s="1102"/>
      <c r="Z591" s="1102"/>
      <c r="AA591" s="1101"/>
    </row>
    <row r="592" ht="15.75" customHeight="1">
      <c r="A592" s="213"/>
      <c r="B592" s="213"/>
      <c r="C592" s="1101"/>
      <c r="D592" s="1101"/>
      <c r="E592" s="1101"/>
      <c r="F592" s="1101"/>
      <c r="G592" s="1101"/>
      <c r="H592" s="1101"/>
      <c r="I592" s="1101"/>
      <c r="J592" s="1101"/>
      <c r="K592" s="1101"/>
      <c r="L592" s="1101"/>
      <c r="M592" s="1101"/>
      <c r="N592" s="1101"/>
      <c r="O592" s="1101"/>
      <c r="P592" s="1101"/>
      <c r="Q592" s="1101"/>
      <c r="R592" s="1101"/>
      <c r="S592" s="1101"/>
      <c r="T592" s="1101"/>
      <c r="U592" s="1101"/>
      <c r="V592" s="1101"/>
      <c r="W592" s="1101"/>
      <c r="X592" s="1101"/>
      <c r="Y592" s="1102"/>
      <c r="Z592" s="1102"/>
      <c r="AA592" s="1101"/>
    </row>
    <row r="593" ht="15.75" customHeight="1">
      <c r="A593" s="213"/>
      <c r="B593" s="213"/>
      <c r="C593" s="1101"/>
      <c r="D593" s="1101"/>
      <c r="E593" s="1101"/>
      <c r="F593" s="1101"/>
      <c r="G593" s="1101"/>
      <c r="H593" s="1101"/>
      <c r="I593" s="1101"/>
      <c r="J593" s="1101"/>
      <c r="K593" s="1101"/>
      <c r="L593" s="1101"/>
      <c r="M593" s="1101"/>
      <c r="N593" s="1101"/>
      <c r="O593" s="1101"/>
      <c r="P593" s="1101"/>
      <c r="Q593" s="1101"/>
      <c r="R593" s="1101"/>
      <c r="S593" s="1101"/>
      <c r="T593" s="1101"/>
      <c r="U593" s="1101"/>
      <c r="V593" s="1101"/>
      <c r="W593" s="1101"/>
      <c r="X593" s="1101"/>
      <c r="Y593" s="1102"/>
      <c r="Z593" s="1102"/>
      <c r="AA593" s="1101"/>
    </row>
    <row r="594" ht="15.75" customHeight="1">
      <c r="A594" s="213"/>
      <c r="B594" s="213"/>
      <c r="C594" s="1101"/>
      <c r="D594" s="1101"/>
      <c r="E594" s="1101"/>
      <c r="F594" s="1101"/>
      <c r="G594" s="1101"/>
      <c r="H594" s="1101"/>
      <c r="I594" s="1101"/>
      <c r="J594" s="1101"/>
      <c r="K594" s="1101"/>
      <c r="L594" s="1101"/>
      <c r="M594" s="1101"/>
      <c r="N594" s="1101"/>
      <c r="O594" s="1101"/>
      <c r="P594" s="1101"/>
      <c r="Q594" s="1101"/>
      <c r="R594" s="1101"/>
      <c r="S594" s="1101"/>
      <c r="T594" s="1101"/>
      <c r="U594" s="1101"/>
      <c r="V594" s="1101"/>
      <c r="W594" s="1101"/>
      <c r="X594" s="1101"/>
      <c r="Y594" s="1102"/>
      <c r="Z594" s="1102"/>
      <c r="AA594" s="1101"/>
    </row>
    <row r="595" ht="15.75" customHeight="1">
      <c r="A595" s="213"/>
      <c r="B595" s="213"/>
      <c r="C595" s="1101"/>
      <c r="D595" s="1101"/>
      <c r="E595" s="1101"/>
      <c r="F595" s="1101"/>
      <c r="G595" s="1101"/>
      <c r="H595" s="1101"/>
      <c r="I595" s="1101"/>
      <c r="J595" s="1101"/>
      <c r="K595" s="1101"/>
      <c r="L595" s="1101"/>
      <c r="M595" s="1101"/>
      <c r="N595" s="1101"/>
      <c r="O595" s="1101"/>
      <c r="P595" s="1101"/>
      <c r="Q595" s="1101"/>
      <c r="R595" s="1101"/>
      <c r="S595" s="1101"/>
      <c r="T595" s="1101"/>
      <c r="U595" s="1101"/>
      <c r="V595" s="1101"/>
      <c r="W595" s="1101"/>
      <c r="X595" s="1101"/>
      <c r="Y595" s="1102"/>
      <c r="Z595" s="1102"/>
      <c r="AA595" s="1101"/>
    </row>
    <row r="596" ht="15.75" customHeight="1">
      <c r="A596" s="213"/>
      <c r="B596" s="213"/>
      <c r="C596" s="1101"/>
      <c r="D596" s="1101"/>
      <c r="E596" s="1101"/>
      <c r="F596" s="1101"/>
      <c r="G596" s="1101"/>
      <c r="H596" s="1101"/>
      <c r="I596" s="1101"/>
      <c r="J596" s="1101"/>
      <c r="K596" s="1101"/>
      <c r="L596" s="1101"/>
      <c r="M596" s="1101"/>
      <c r="N596" s="1101"/>
      <c r="O596" s="1101"/>
      <c r="P596" s="1101"/>
      <c r="Q596" s="1101"/>
      <c r="R596" s="1101"/>
      <c r="S596" s="1101"/>
      <c r="T596" s="1101"/>
      <c r="U596" s="1101"/>
      <c r="V596" s="1101"/>
      <c r="W596" s="1101"/>
      <c r="X596" s="1101"/>
      <c r="Y596" s="1102"/>
      <c r="Z596" s="1102"/>
      <c r="AA596" s="1101"/>
    </row>
    <row r="597" ht="15.75" customHeight="1">
      <c r="A597" s="213"/>
      <c r="B597" s="213"/>
      <c r="C597" s="1101"/>
      <c r="D597" s="1101"/>
      <c r="E597" s="1101"/>
      <c r="F597" s="1101"/>
      <c r="G597" s="1101"/>
      <c r="H597" s="1101"/>
      <c r="I597" s="1101"/>
      <c r="J597" s="1101"/>
      <c r="K597" s="1101"/>
      <c r="L597" s="1101"/>
      <c r="M597" s="1101"/>
      <c r="N597" s="1101"/>
      <c r="O597" s="1101"/>
      <c r="P597" s="1101"/>
      <c r="Q597" s="1101"/>
      <c r="R597" s="1101"/>
      <c r="S597" s="1101"/>
      <c r="T597" s="1101"/>
      <c r="U597" s="1101"/>
      <c r="V597" s="1101"/>
      <c r="W597" s="1101"/>
      <c r="X597" s="1101"/>
      <c r="Y597" s="1102"/>
      <c r="Z597" s="1102"/>
      <c r="AA597" s="1101"/>
    </row>
    <row r="598" ht="15.75" customHeight="1">
      <c r="A598" s="213"/>
      <c r="B598" s="213"/>
      <c r="C598" s="1101"/>
      <c r="D598" s="1101"/>
      <c r="E598" s="1101"/>
      <c r="F598" s="1101"/>
      <c r="G598" s="1101"/>
      <c r="H598" s="1101"/>
      <c r="I598" s="1101"/>
      <c r="J598" s="1101"/>
      <c r="K598" s="1101"/>
      <c r="L598" s="1101"/>
      <c r="M598" s="1101"/>
      <c r="N598" s="1101"/>
      <c r="O598" s="1101"/>
      <c r="P598" s="1101"/>
      <c r="Q598" s="1101"/>
      <c r="R598" s="1101"/>
      <c r="S598" s="1101"/>
      <c r="T598" s="1101"/>
      <c r="U598" s="1101"/>
      <c r="V598" s="1101"/>
      <c r="W598" s="1101"/>
      <c r="X598" s="1101"/>
      <c r="Y598" s="1102"/>
      <c r="Z598" s="1102"/>
      <c r="AA598" s="1101"/>
    </row>
    <row r="599" ht="15.75" customHeight="1">
      <c r="A599" s="213"/>
      <c r="B599" s="213"/>
      <c r="C599" s="1101"/>
      <c r="D599" s="1101"/>
      <c r="E599" s="1101"/>
      <c r="F599" s="1101"/>
      <c r="G599" s="1101"/>
      <c r="H599" s="1101"/>
      <c r="I599" s="1101"/>
      <c r="J599" s="1101"/>
      <c r="K599" s="1101"/>
      <c r="L599" s="1101"/>
      <c r="M599" s="1101"/>
      <c r="N599" s="1101"/>
      <c r="O599" s="1101"/>
      <c r="P599" s="1101"/>
      <c r="Q599" s="1101"/>
      <c r="R599" s="1101"/>
      <c r="S599" s="1101"/>
      <c r="T599" s="1101"/>
      <c r="U599" s="1101"/>
      <c r="V599" s="1101"/>
      <c r="W599" s="1101"/>
      <c r="X599" s="1101"/>
      <c r="Y599" s="1102"/>
      <c r="Z599" s="1102"/>
      <c r="AA599" s="1101"/>
    </row>
    <row r="600" ht="15.75" customHeight="1">
      <c r="A600" s="213"/>
      <c r="B600" s="213"/>
      <c r="C600" s="1101"/>
      <c r="D600" s="1101"/>
      <c r="E600" s="1101"/>
      <c r="F600" s="1101"/>
      <c r="G600" s="1101"/>
      <c r="H600" s="1101"/>
      <c r="I600" s="1101"/>
      <c r="J600" s="1101"/>
      <c r="K600" s="1101"/>
      <c r="L600" s="1101"/>
      <c r="M600" s="1101"/>
      <c r="N600" s="1101"/>
      <c r="O600" s="1101"/>
      <c r="P600" s="1101"/>
      <c r="Q600" s="1101"/>
      <c r="R600" s="1101"/>
      <c r="S600" s="1101"/>
      <c r="T600" s="1101"/>
      <c r="U600" s="1101"/>
      <c r="V600" s="1101"/>
      <c r="W600" s="1101"/>
      <c r="X600" s="1101"/>
      <c r="Y600" s="1102"/>
      <c r="Z600" s="1102"/>
      <c r="AA600" s="1101"/>
    </row>
    <row r="601" ht="15.75" customHeight="1">
      <c r="A601" s="213"/>
      <c r="B601" s="213"/>
      <c r="C601" s="1101"/>
      <c r="D601" s="1101"/>
      <c r="E601" s="1101"/>
      <c r="F601" s="1101"/>
      <c r="G601" s="1101"/>
      <c r="H601" s="1101"/>
      <c r="I601" s="1101"/>
      <c r="J601" s="1101"/>
      <c r="K601" s="1101"/>
      <c r="L601" s="1101"/>
      <c r="M601" s="1101"/>
      <c r="N601" s="1101"/>
      <c r="O601" s="1101"/>
      <c r="P601" s="1101"/>
      <c r="Q601" s="1101"/>
      <c r="R601" s="1101"/>
      <c r="S601" s="1101"/>
      <c r="T601" s="1101"/>
      <c r="U601" s="1101"/>
      <c r="V601" s="1101"/>
      <c r="W601" s="1101"/>
      <c r="X601" s="1101"/>
      <c r="Y601" s="1102"/>
      <c r="Z601" s="1102"/>
      <c r="AA601" s="1101"/>
    </row>
    <row r="602" ht="15.75" customHeight="1">
      <c r="A602" s="213"/>
      <c r="B602" s="213"/>
      <c r="C602" s="1101"/>
      <c r="D602" s="1101"/>
      <c r="E602" s="1101"/>
      <c r="F602" s="1101"/>
      <c r="G602" s="1101"/>
      <c r="H602" s="1101"/>
      <c r="I602" s="1101"/>
      <c r="J602" s="1101"/>
      <c r="K602" s="1101"/>
      <c r="L602" s="1101"/>
      <c r="M602" s="1101"/>
      <c r="N602" s="1101"/>
      <c r="O602" s="1101"/>
      <c r="P602" s="1101"/>
      <c r="Q602" s="1101"/>
      <c r="R602" s="1101"/>
      <c r="S602" s="1101"/>
      <c r="T602" s="1101"/>
      <c r="U602" s="1101"/>
      <c r="V602" s="1101"/>
      <c r="W602" s="1101"/>
      <c r="X602" s="1101"/>
      <c r="Y602" s="1102"/>
      <c r="Z602" s="1102"/>
      <c r="AA602" s="1101"/>
    </row>
    <row r="603" ht="15.75" customHeight="1">
      <c r="A603" s="213"/>
      <c r="B603" s="213"/>
      <c r="C603" s="1101"/>
      <c r="D603" s="1101"/>
      <c r="E603" s="1101"/>
      <c r="F603" s="1101"/>
      <c r="G603" s="1101"/>
      <c r="H603" s="1101"/>
      <c r="I603" s="1101"/>
      <c r="J603" s="1101"/>
      <c r="K603" s="1101"/>
      <c r="L603" s="1101"/>
      <c r="M603" s="1101"/>
      <c r="N603" s="1101"/>
      <c r="O603" s="1101"/>
      <c r="P603" s="1101"/>
      <c r="Q603" s="1101"/>
      <c r="R603" s="1101"/>
      <c r="S603" s="1101"/>
      <c r="T603" s="1101"/>
      <c r="U603" s="1101"/>
      <c r="V603" s="1101"/>
      <c r="W603" s="1101"/>
      <c r="X603" s="1101"/>
      <c r="Y603" s="1102"/>
      <c r="Z603" s="1102"/>
      <c r="AA603" s="1101"/>
    </row>
    <row r="604" ht="15.75" customHeight="1">
      <c r="A604" s="213"/>
      <c r="B604" s="213"/>
      <c r="C604" s="1101"/>
      <c r="D604" s="1101"/>
      <c r="E604" s="1101"/>
      <c r="F604" s="1101"/>
      <c r="G604" s="1101"/>
      <c r="H604" s="1101"/>
      <c r="I604" s="1101"/>
      <c r="J604" s="1101"/>
      <c r="K604" s="1101"/>
      <c r="L604" s="1101"/>
      <c r="M604" s="1101"/>
      <c r="N604" s="1101"/>
      <c r="O604" s="1101"/>
      <c r="P604" s="1101"/>
      <c r="Q604" s="1101"/>
      <c r="R604" s="1101"/>
      <c r="S604" s="1101"/>
      <c r="T604" s="1101"/>
      <c r="U604" s="1101"/>
      <c r="V604" s="1101"/>
      <c r="W604" s="1101"/>
      <c r="X604" s="1101"/>
      <c r="Y604" s="1102"/>
      <c r="Z604" s="1102"/>
      <c r="AA604" s="1101"/>
    </row>
    <row r="605" ht="15.75" customHeight="1">
      <c r="A605" s="213"/>
      <c r="B605" s="213"/>
      <c r="C605" s="1101"/>
      <c r="D605" s="1101"/>
      <c r="E605" s="1101"/>
      <c r="F605" s="1101"/>
      <c r="G605" s="1101"/>
      <c r="H605" s="1101"/>
      <c r="I605" s="1101"/>
      <c r="J605" s="1101"/>
      <c r="K605" s="1101"/>
      <c r="L605" s="1101"/>
      <c r="M605" s="1101"/>
      <c r="N605" s="1101"/>
      <c r="O605" s="1101"/>
      <c r="P605" s="1101"/>
      <c r="Q605" s="1101"/>
      <c r="R605" s="1101"/>
      <c r="S605" s="1101"/>
      <c r="T605" s="1101"/>
      <c r="U605" s="1101"/>
      <c r="V605" s="1101"/>
      <c r="W605" s="1101"/>
      <c r="X605" s="1101"/>
      <c r="Y605" s="1102"/>
      <c r="Z605" s="1102"/>
      <c r="AA605" s="1101"/>
    </row>
    <row r="606" ht="15.75" customHeight="1">
      <c r="A606" s="213"/>
      <c r="B606" s="213"/>
      <c r="C606" s="1101"/>
      <c r="D606" s="1101"/>
      <c r="E606" s="1101"/>
      <c r="F606" s="1101"/>
      <c r="G606" s="1101"/>
      <c r="H606" s="1101"/>
      <c r="I606" s="1101"/>
      <c r="J606" s="1101"/>
      <c r="K606" s="1101"/>
      <c r="L606" s="1101"/>
      <c r="M606" s="1101"/>
      <c r="N606" s="1101"/>
      <c r="O606" s="1101"/>
      <c r="P606" s="1101"/>
      <c r="Q606" s="1101"/>
      <c r="R606" s="1101"/>
      <c r="S606" s="1101"/>
      <c r="T606" s="1101"/>
      <c r="U606" s="1101"/>
      <c r="V606" s="1101"/>
      <c r="W606" s="1101"/>
      <c r="X606" s="1101"/>
      <c r="Y606" s="1102"/>
      <c r="Z606" s="1102"/>
      <c r="AA606" s="1101"/>
    </row>
    <row r="607" ht="15.75" customHeight="1">
      <c r="A607" s="213"/>
      <c r="B607" s="213"/>
      <c r="C607" s="1101"/>
      <c r="D607" s="1101"/>
      <c r="E607" s="1101"/>
      <c r="F607" s="1101"/>
      <c r="G607" s="1101"/>
      <c r="H607" s="1101"/>
      <c r="I607" s="1101"/>
      <c r="J607" s="1101"/>
      <c r="K607" s="1101"/>
      <c r="L607" s="1101"/>
      <c r="M607" s="1101"/>
      <c r="N607" s="1101"/>
      <c r="O607" s="1101"/>
      <c r="P607" s="1101"/>
      <c r="Q607" s="1101"/>
      <c r="R607" s="1101"/>
      <c r="S607" s="1101"/>
      <c r="T607" s="1101"/>
      <c r="U607" s="1101"/>
      <c r="V607" s="1101"/>
      <c r="W607" s="1101"/>
      <c r="X607" s="1101"/>
      <c r="Y607" s="1102"/>
      <c r="Z607" s="1102"/>
      <c r="AA607" s="1101"/>
    </row>
    <row r="608" ht="15.75" customHeight="1">
      <c r="A608" s="213"/>
      <c r="B608" s="213"/>
      <c r="C608" s="1101"/>
      <c r="D608" s="1101"/>
      <c r="E608" s="1101"/>
      <c r="F608" s="1101"/>
      <c r="G608" s="1101"/>
      <c r="H608" s="1101"/>
      <c r="I608" s="1101"/>
      <c r="J608" s="1101"/>
      <c r="K608" s="1101"/>
      <c r="L608" s="1101"/>
      <c r="M608" s="1101"/>
      <c r="N608" s="1101"/>
      <c r="O608" s="1101"/>
      <c r="P608" s="1101"/>
      <c r="Q608" s="1101"/>
      <c r="R608" s="1101"/>
      <c r="S608" s="1101"/>
      <c r="T608" s="1101"/>
      <c r="U608" s="1101"/>
      <c r="V608" s="1101"/>
      <c r="W608" s="1101"/>
      <c r="X608" s="1101"/>
      <c r="Y608" s="1102"/>
      <c r="Z608" s="1102"/>
      <c r="AA608" s="1101"/>
    </row>
    <row r="609" ht="15.75" customHeight="1">
      <c r="A609" s="213"/>
      <c r="B609" s="213"/>
      <c r="C609" s="1101"/>
      <c r="D609" s="1101"/>
      <c r="E609" s="1101"/>
      <c r="F609" s="1101"/>
      <c r="G609" s="1101"/>
      <c r="H609" s="1101"/>
      <c r="I609" s="1101"/>
      <c r="J609" s="1101"/>
      <c r="K609" s="1101"/>
      <c r="L609" s="1101"/>
      <c r="M609" s="1101"/>
      <c r="N609" s="1101"/>
      <c r="O609" s="1101"/>
      <c r="P609" s="1101"/>
      <c r="Q609" s="1101"/>
      <c r="R609" s="1101"/>
      <c r="S609" s="1101"/>
      <c r="T609" s="1101"/>
      <c r="U609" s="1101"/>
      <c r="V609" s="1101"/>
      <c r="W609" s="1101"/>
      <c r="X609" s="1101"/>
      <c r="Y609" s="1102"/>
      <c r="Z609" s="1102"/>
      <c r="AA609" s="1101"/>
    </row>
    <row r="610" ht="15.75" customHeight="1">
      <c r="A610" s="213"/>
      <c r="B610" s="213"/>
      <c r="C610" s="1101"/>
      <c r="D610" s="1101"/>
      <c r="E610" s="1101"/>
      <c r="F610" s="1101"/>
      <c r="G610" s="1101"/>
      <c r="H610" s="1101"/>
      <c r="I610" s="1101"/>
      <c r="J610" s="1101"/>
      <c r="K610" s="1101"/>
      <c r="L610" s="1101"/>
      <c r="M610" s="1101"/>
      <c r="N610" s="1101"/>
      <c r="O610" s="1101"/>
      <c r="P610" s="1101"/>
      <c r="Q610" s="1101"/>
      <c r="R610" s="1101"/>
      <c r="S610" s="1101"/>
      <c r="T610" s="1101"/>
      <c r="U610" s="1101"/>
      <c r="V610" s="1101"/>
      <c r="W610" s="1101"/>
      <c r="X610" s="1101"/>
      <c r="Y610" s="1102"/>
      <c r="Z610" s="1102"/>
      <c r="AA610" s="1101"/>
    </row>
    <row r="611" ht="15.75" customHeight="1">
      <c r="A611" s="213"/>
      <c r="B611" s="213"/>
      <c r="C611" s="1101"/>
      <c r="D611" s="1101"/>
      <c r="E611" s="1101"/>
      <c r="F611" s="1101"/>
      <c r="G611" s="1101"/>
      <c r="H611" s="1101"/>
      <c r="I611" s="1101"/>
      <c r="J611" s="1101"/>
      <c r="K611" s="1101"/>
      <c r="L611" s="1101"/>
      <c r="M611" s="1101"/>
      <c r="N611" s="1101"/>
      <c r="O611" s="1101"/>
      <c r="P611" s="1101"/>
      <c r="Q611" s="1101"/>
      <c r="R611" s="1101"/>
      <c r="S611" s="1101"/>
      <c r="T611" s="1101"/>
      <c r="U611" s="1101"/>
      <c r="V611" s="1101"/>
      <c r="W611" s="1101"/>
      <c r="X611" s="1101"/>
      <c r="Y611" s="1102"/>
      <c r="Z611" s="1102"/>
      <c r="AA611" s="1101"/>
    </row>
    <row r="612" ht="15.75" customHeight="1">
      <c r="A612" s="213"/>
      <c r="B612" s="213"/>
      <c r="C612" s="1101"/>
      <c r="D612" s="1101"/>
      <c r="E612" s="1101"/>
      <c r="F612" s="1101"/>
      <c r="G612" s="1101"/>
      <c r="H612" s="1101"/>
      <c r="I612" s="1101"/>
      <c r="J612" s="1101"/>
      <c r="K612" s="1101"/>
      <c r="L612" s="1101"/>
      <c r="M612" s="1101"/>
      <c r="N612" s="1101"/>
      <c r="O612" s="1101"/>
      <c r="P612" s="1101"/>
      <c r="Q612" s="1101"/>
      <c r="R612" s="1101"/>
      <c r="S612" s="1101"/>
      <c r="T612" s="1101"/>
      <c r="U612" s="1101"/>
      <c r="V612" s="1101"/>
      <c r="W612" s="1101"/>
      <c r="X612" s="1101"/>
      <c r="Y612" s="1102"/>
      <c r="Z612" s="1102"/>
      <c r="AA612" s="1101"/>
    </row>
    <row r="613" ht="15.75" customHeight="1">
      <c r="A613" s="213"/>
      <c r="B613" s="213"/>
      <c r="C613" s="1101"/>
      <c r="D613" s="1101"/>
      <c r="E613" s="1101"/>
      <c r="F613" s="1101"/>
      <c r="G613" s="1101"/>
      <c r="H613" s="1101"/>
      <c r="I613" s="1101"/>
      <c r="J613" s="1101"/>
      <c r="K613" s="1101"/>
      <c r="L613" s="1101"/>
      <c r="M613" s="1101"/>
      <c r="N613" s="1101"/>
      <c r="O613" s="1101"/>
      <c r="P613" s="1101"/>
      <c r="Q613" s="1101"/>
      <c r="R613" s="1101"/>
      <c r="S613" s="1101"/>
      <c r="T613" s="1101"/>
      <c r="U613" s="1101"/>
      <c r="V613" s="1101"/>
      <c r="W613" s="1101"/>
      <c r="X613" s="1101"/>
      <c r="Y613" s="1102"/>
      <c r="Z613" s="1102"/>
      <c r="AA613" s="1101"/>
    </row>
    <row r="614" ht="15.75" customHeight="1">
      <c r="A614" s="213"/>
      <c r="B614" s="213"/>
      <c r="C614" s="1101"/>
      <c r="D614" s="1101"/>
      <c r="E614" s="1101"/>
      <c r="F614" s="1101"/>
      <c r="G614" s="1101"/>
      <c r="H614" s="1101"/>
      <c r="I614" s="1101"/>
      <c r="J614" s="1101"/>
      <c r="K614" s="1101"/>
      <c r="L614" s="1101"/>
      <c r="M614" s="1101"/>
      <c r="N614" s="1101"/>
      <c r="O614" s="1101"/>
      <c r="P614" s="1101"/>
      <c r="Q614" s="1101"/>
      <c r="R614" s="1101"/>
      <c r="S614" s="1101"/>
      <c r="T614" s="1101"/>
      <c r="U614" s="1101"/>
      <c r="V614" s="1101"/>
      <c r="W614" s="1101"/>
      <c r="X614" s="1101"/>
      <c r="Y614" s="1102"/>
      <c r="Z614" s="1102"/>
      <c r="AA614" s="1101"/>
    </row>
    <row r="615" ht="15.75" customHeight="1">
      <c r="A615" s="213"/>
      <c r="B615" s="213"/>
      <c r="C615" s="1101"/>
      <c r="D615" s="1101"/>
      <c r="E615" s="1101"/>
      <c r="F615" s="1101"/>
      <c r="G615" s="1101"/>
      <c r="H615" s="1101"/>
      <c r="I615" s="1101"/>
      <c r="J615" s="1101"/>
      <c r="K615" s="1101"/>
      <c r="L615" s="1101"/>
      <c r="M615" s="1101"/>
      <c r="N615" s="1101"/>
      <c r="O615" s="1101"/>
      <c r="P615" s="1101"/>
      <c r="Q615" s="1101"/>
      <c r="R615" s="1101"/>
      <c r="S615" s="1101"/>
      <c r="T615" s="1101"/>
      <c r="U615" s="1101"/>
      <c r="V615" s="1101"/>
      <c r="W615" s="1101"/>
      <c r="X615" s="1101"/>
      <c r="Y615" s="1102"/>
      <c r="Z615" s="1102"/>
      <c r="AA615" s="1101"/>
    </row>
    <row r="616" ht="15.75" customHeight="1">
      <c r="A616" s="213"/>
      <c r="B616" s="213"/>
      <c r="C616" s="1101"/>
      <c r="D616" s="1101"/>
      <c r="E616" s="1101"/>
      <c r="F616" s="1101"/>
      <c r="G616" s="1101"/>
      <c r="H616" s="1101"/>
      <c r="I616" s="1101"/>
      <c r="J616" s="1101"/>
      <c r="K616" s="1101"/>
      <c r="L616" s="1101"/>
      <c r="M616" s="1101"/>
      <c r="N616" s="1101"/>
      <c r="O616" s="1101"/>
      <c r="P616" s="1101"/>
      <c r="Q616" s="1101"/>
      <c r="R616" s="1101"/>
      <c r="S616" s="1101"/>
      <c r="T616" s="1101"/>
      <c r="U616" s="1101"/>
      <c r="V616" s="1101"/>
      <c r="W616" s="1101"/>
      <c r="X616" s="1101"/>
      <c r="Y616" s="1102"/>
      <c r="Z616" s="1102"/>
      <c r="AA616" s="1101"/>
    </row>
    <row r="617" ht="15.75" customHeight="1">
      <c r="A617" s="213"/>
      <c r="B617" s="213"/>
      <c r="C617" s="1101"/>
      <c r="D617" s="1101"/>
      <c r="E617" s="1101"/>
      <c r="F617" s="1101"/>
      <c r="G617" s="1101"/>
      <c r="H617" s="1101"/>
      <c r="I617" s="1101"/>
      <c r="J617" s="1101"/>
      <c r="K617" s="1101"/>
      <c r="L617" s="1101"/>
      <c r="M617" s="1101"/>
      <c r="N617" s="1101"/>
      <c r="O617" s="1101"/>
      <c r="P617" s="1101"/>
      <c r="Q617" s="1101"/>
      <c r="R617" s="1101"/>
      <c r="S617" s="1101"/>
      <c r="T617" s="1101"/>
      <c r="U617" s="1101"/>
      <c r="V617" s="1101"/>
      <c r="W617" s="1101"/>
      <c r="X617" s="1101"/>
      <c r="Y617" s="1102"/>
      <c r="Z617" s="1102"/>
      <c r="AA617" s="1101"/>
    </row>
    <row r="618" ht="15.75" customHeight="1">
      <c r="A618" s="213"/>
      <c r="B618" s="213"/>
      <c r="C618" s="1101"/>
      <c r="D618" s="1101"/>
      <c r="E618" s="1101"/>
      <c r="F618" s="1101"/>
      <c r="G618" s="1101"/>
      <c r="H618" s="1101"/>
      <c r="I618" s="1101"/>
      <c r="J618" s="1101"/>
      <c r="K618" s="1101"/>
      <c r="L618" s="1101"/>
      <c r="M618" s="1101"/>
      <c r="N618" s="1101"/>
      <c r="O618" s="1101"/>
      <c r="P618" s="1101"/>
      <c r="Q618" s="1101"/>
      <c r="R618" s="1101"/>
      <c r="S618" s="1101"/>
      <c r="T618" s="1101"/>
      <c r="U618" s="1101"/>
      <c r="V618" s="1101"/>
      <c r="W618" s="1101"/>
      <c r="X618" s="1101"/>
      <c r="Y618" s="1102"/>
      <c r="Z618" s="1102"/>
      <c r="AA618" s="1101"/>
    </row>
    <row r="619" ht="15.75" customHeight="1">
      <c r="A619" s="213"/>
      <c r="B619" s="213"/>
      <c r="C619" s="1101"/>
      <c r="D619" s="1101"/>
      <c r="E619" s="1101"/>
      <c r="F619" s="1101"/>
      <c r="G619" s="1101"/>
      <c r="H619" s="1101"/>
      <c r="I619" s="1101"/>
      <c r="J619" s="1101"/>
      <c r="K619" s="1101"/>
      <c r="L619" s="1101"/>
      <c r="M619" s="1101"/>
      <c r="N619" s="1101"/>
      <c r="O619" s="1101"/>
      <c r="P619" s="1101"/>
      <c r="Q619" s="1101"/>
      <c r="R619" s="1101"/>
      <c r="S619" s="1101"/>
      <c r="T619" s="1101"/>
      <c r="U619" s="1101"/>
      <c r="V619" s="1101"/>
      <c r="W619" s="1101"/>
      <c r="X619" s="1101"/>
      <c r="Y619" s="1102"/>
      <c r="Z619" s="1102"/>
      <c r="AA619" s="1101"/>
    </row>
    <row r="620" ht="15.75" customHeight="1">
      <c r="A620" s="213"/>
      <c r="B620" s="213"/>
      <c r="C620" s="1101"/>
      <c r="D620" s="1101"/>
      <c r="E620" s="1101"/>
      <c r="F620" s="1101"/>
      <c r="G620" s="1101"/>
      <c r="H620" s="1101"/>
      <c r="I620" s="1101"/>
      <c r="J620" s="1101"/>
      <c r="K620" s="1101"/>
      <c r="L620" s="1101"/>
      <c r="M620" s="1101"/>
      <c r="N620" s="1101"/>
      <c r="O620" s="1101"/>
      <c r="P620" s="1101"/>
      <c r="Q620" s="1101"/>
      <c r="R620" s="1101"/>
      <c r="S620" s="1101"/>
      <c r="T620" s="1101"/>
      <c r="U620" s="1101"/>
      <c r="V620" s="1101"/>
      <c r="W620" s="1101"/>
      <c r="X620" s="1101"/>
      <c r="Y620" s="1102"/>
      <c r="Z620" s="1102"/>
      <c r="AA620" s="1101"/>
    </row>
    <row r="621" ht="15.75" customHeight="1">
      <c r="A621" s="213"/>
      <c r="B621" s="213"/>
      <c r="C621" s="1101"/>
      <c r="D621" s="1101"/>
      <c r="E621" s="1101"/>
      <c r="F621" s="1101"/>
      <c r="G621" s="1101"/>
      <c r="H621" s="1101"/>
      <c r="I621" s="1101"/>
      <c r="J621" s="1101"/>
      <c r="K621" s="1101"/>
      <c r="L621" s="1101"/>
      <c r="M621" s="1101"/>
      <c r="N621" s="1101"/>
      <c r="O621" s="1101"/>
      <c r="P621" s="1101"/>
      <c r="Q621" s="1101"/>
      <c r="R621" s="1101"/>
      <c r="S621" s="1101"/>
      <c r="T621" s="1101"/>
      <c r="U621" s="1101"/>
      <c r="V621" s="1101"/>
      <c r="W621" s="1101"/>
      <c r="X621" s="1101"/>
      <c r="Y621" s="1102"/>
      <c r="Z621" s="1102"/>
      <c r="AA621" s="1101"/>
    </row>
    <row r="622" ht="15.75" customHeight="1">
      <c r="A622" s="213"/>
      <c r="B622" s="213"/>
      <c r="C622" s="1101"/>
      <c r="D622" s="1101"/>
      <c r="E622" s="1101"/>
      <c r="F622" s="1101"/>
      <c r="G622" s="1101"/>
      <c r="H622" s="1101"/>
      <c r="I622" s="1101"/>
      <c r="J622" s="1101"/>
      <c r="K622" s="1101"/>
      <c r="L622" s="1101"/>
      <c r="M622" s="1101"/>
      <c r="N622" s="1101"/>
      <c r="O622" s="1101"/>
      <c r="P622" s="1101"/>
      <c r="Q622" s="1101"/>
      <c r="R622" s="1101"/>
      <c r="S622" s="1101"/>
      <c r="T622" s="1101"/>
      <c r="U622" s="1101"/>
      <c r="V622" s="1101"/>
      <c r="W622" s="1101"/>
      <c r="X622" s="1101"/>
      <c r="Y622" s="1102"/>
      <c r="Z622" s="1102"/>
      <c r="AA622" s="1101"/>
    </row>
    <row r="623" ht="15.75" customHeight="1">
      <c r="A623" s="213"/>
      <c r="B623" s="213"/>
      <c r="C623" s="1101"/>
      <c r="D623" s="1101"/>
      <c r="E623" s="1101"/>
      <c r="F623" s="1101"/>
      <c r="G623" s="1101"/>
      <c r="H623" s="1101"/>
      <c r="I623" s="1101"/>
      <c r="J623" s="1101"/>
      <c r="K623" s="1101"/>
      <c r="L623" s="1101"/>
      <c r="M623" s="1101"/>
      <c r="N623" s="1101"/>
      <c r="O623" s="1101"/>
      <c r="P623" s="1101"/>
      <c r="Q623" s="1101"/>
      <c r="R623" s="1101"/>
      <c r="S623" s="1101"/>
      <c r="T623" s="1101"/>
      <c r="U623" s="1101"/>
      <c r="V623" s="1101"/>
      <c r="W623" s="1101"/>
      <c r="X623" s="1101"/>
      <c r="Y623" s="1102"/>
      <c r="Z623" s="1102"/>
      <c r="AA623" s="1101"/>
    </row>
    <row r="624" ht="15.75" customHeight="1">
      <c r="A624" s="213"/>
      <c r="B624" s="213"/>
      <c r="C624" s="1101"/>
      <c r="D624" s="1101"/>
      <c r="E624" s="1101"/>
      <c r="F624" s="1101"/>
      <c r="G624" s="1101"/>
      <c r="H624" s="1101"/>
      <c r="I624" s="1101"/>
      <c r="J624" s="1101"/>
      <c r="K624" s="1101"/>
      <c r="L624" s="1101"/>
      <c r="M624" s="1101"/>
      <c r="N624" s="1101"/>
      <c r="O624" s="1101"/>
      <c r="P624" s="1101"/>
      <c r="Q624" s="1101"/>
      <c r="R624" s="1101"/>
      <c r="S624" s="1101"/>
      <c r="T624" s="1101"/>
      <c r="U624" s="1101"/>
      <c r="V624" s="1101"/>
      <c r="W624" s="1101"/>
      <c r="X624" s="1101"/>
      <c r="Y624" s="1102"/>
      <c r="Z624" s="1102"/>
      <c r="AA624" s="1101"/>
    </row>
    <row r="625" ht="15.75" customHeight="1">
      <c r="A625" s="213"/>
      <c r="B625" s="213"/>
      <c r="C625" s="1101"/>
      <c r="D625" s="1101"/>
      <c r="E625" s="1101"/>
      <c r="F625" s="1101"/>
      <c r="G625" s="1101"/>
      <c r="H625" s="1101"/>
      <c r="I625" s="1101"/>
      <c r="J625" s="1101"/>
      <c r="K625" s="1101"/>
      <c r="L625" s="1101"/>
      <c r="M625" s="1101"/>
      <c r="N625" s="1101"/>
      <c r="O625" s="1101"/>
      <c r="P625" s="1101"/>
      <c r="Q625" s="1101"/>
      <c r="R625" s="1101"/>
      <c r="S625" s="1101"/>
      <c r="T625" s="1101"/>
      <c r="U625" s="1101"/>
      <c r="V625" s="1101"/>
      <c r="W625" s="1101"/>
      <c r="X625" s="1101"/>
      <c r="Y625" s="1102"/>
      <c r="Z625" s="1102"/>
      <c r="AA625" s="1101"/>
    </row>
    <row r="626" ht="15.75" customHeight="1">
      <c r="A626" s="213"/>
      <c r="B626" s="213"/>
      <c r="C626" s="1101"/>
      <c r="D626" s="1101"/>
      <c r="E626" s="1101"/>
      <c r="F626" s="1101"/>
      <c r="G626" s="1101"/>
      <c r="H626" s="1101"/>
      <c r="I626" s="1101"/>
      <c r="J626" s="1101"/>
      <c r="K626" s="1101"/>
      <c r="L626" s="1101"/>
      <c r="M626" s="1101"/>
      <c r="N626" s="1101"/>
      <c r="O626" s="1101"/>
      <c r="P626" s="1101"/>
      <c r="Q626" s="1101"/>
      <c r="R626" s="1101"/>
      <c r="S626" s="1101"/>
      <c r="T626" s="1101"/>
      <c r="U626" s="1101"/>
      <c r="V626" s="1101"/>
      <c r="W626" s="1101"/>
      <c r="X626" s="1101"/>
      <c r="Y626" s="1102"/>
      <c r="Z626" s="1102"/>
      <c r="AA626" s="1101"/>
    </row>
    <row r="627" ht="15.75" customHeight="1">
      <c r="A627" s="213"/>
      <c r="B627" s="213"/>
      <c r="C627" s="1101"/>
      <c r="D627" s="1101"/>
      <c r="E627" s="1101"/>
      <c r="F627" s="1101"/>
      <c r="G627" s="1101"/>
      <c r="H627" s="1101"/>
      <c r="I627" s="1101"/>
      <c r="J627" s="1101"/>
      <c r="K627" s="1101"/>
      <c r="L627" s="1101"/>
      <c r="M627" s="1101"/>
      <c r="N627" s="1101"/>
      <c r="O627" s="1101"/>
      <c r="P627" s="1101"/>
      <c r="Q627" s="1101"/>
      <c r="R627" s="1101"/>
      <c r="S627" s="1101"/>
      <c r="T627" s="1101"/>
      <c r="U627" s="1101"/>
      <c r="V627" s="1101"/>
      <c r="W627" s="1101"/>
      <c r="X627" s="1101"/>
      <c r="Y627" s="1102"/>
      <c r="Z627" s="1102"/>
      <c r="AA627" s="1101"/>
    </row>
    <row r="628" ht="15.75" customHeight="1">
      <c r="A628" s="213"/>
      <c r="B628" s="213"/>
      <c r="C628" s="1101"/>
      <c r="D628" s="1101"/>
      <c r="E628" s="1101"/>
      <c r="F628" s="1101"/>
      <c r="G628" s="1101"/>
      <c r="H628" s="1101"/>
      <c r="I628" s="1101"/>
      <c r="J628" s="1101"/>
      <c r="K628" s="1101"/>
      <c r="L628" s="1101"/>
      <c r="M628" s="1101"/>
      <c r="N628" s="1101"/>
      <c r="O628" s="1101"/>
      <c r="P628" s="1101"/>
      <c r="Q628" s="1101"/>
      <c r="R628" s="1101"/>
      <c r="S628" s="1101"/>
      <c r="T628" s="1101"/>
      <c r="U628" s="1101"/>
      <c r="V628" s="1101"/>
      <c r="W628" s="1101"/>
      <c r="X628" s="1101"/>
      <c r="Y628" s="1102"/>
      <c r="Z628" s="1102"/>
      <c r="AA628" s="1101"/>
    </row>
    <row r="629" ht="15.75" customHeight="1">
      <c r="A629" s="213"/>
      <c r="B629" s="213"/>
      <c r="C629" s="1101"/>
      <c r="D629" s="1101"/>
      <c r="E629" s="1101"/>
      <c r="F629" s="1101"/>
      <c r="G629" s="1101"/>
      <c r="H629" s="1101"/>
      <c r="I629" s="1101"/>
      <c r="J629" s="1101"/>
      <c r="K629" s="1101"/>
      <c r="L629" s="1101"/>
      <c r="M629" s="1101"/>
      <c r="N629" s="1101"/>
      <c r="O629" s="1101"/>
      <c r="P629" s="1101"/>
      <c r="Q629" s="1101"/>
      <c r="R629" s="1101"/>
      <c r="S629" s="1101"/>
      <c r="T629" s="1101"/>
      <c r="U629" s="1101"/>
      <c r="V629" s="1101"/>
      <c r="W629" s="1101"/>
      <c r="X629" s="1101"/>
      <c r="Y629" s="1102"/>
      <c r="Z629" s="1102"/>
      <c r="AA629" s="1101"/>
    </row>
    <row r="630" ht="15.75" customHeight="1">
      <c r="A630" s="213"/>
      <c r="B630" s="213"/>
      <c r="C630" s="1101"/>
      <c r="D630" s="1101"/>
      <c r="E630" s="1101"/>
      <c r="F630" s="1101"/>
      <c r="G630" s="1101"/>
      <c r="H630" s="1101"/>
      <c r="I630" s="1101"/>
      <c r="J630" s="1101"/>
      <c r="K630" s="1101"/>
      <c r="L630" s="1101"/>
      <c r="M630" s="1101"/>
      <c r="N630" s="1101"/>
      <c r="O630" s="1101"/>
      <c r="P630" s="1101"/>
      <c r="Q630" s="1101"/>
      <c r="R630" s="1101"/>
      <c r="S630" s="1101"/>
      <c r="T630" s="1101"/>
      <c r="U630" s="1101"/>
      <c r="V630" s="1101"/>
      <c r="W630" s="1101"/>
      <c r="X630" s="1101"/>
      <c r="Y630" s="1102"/>
      <c r="Z630" s="1102"/>
      <c r="AA630" s="1101"/>
    </row>
    <row r="631" ht="15.75" customHeight="1">
      <c r="A631" s="213"/>
      <c r="B631" s="213"/>
      <c r="C631" s="1101"/>
      <c r="D631" s="1101"/>
      <c r="E631" s="1101"/>
      <c r="F631" s="1101"/>
      <c r="G631" s="1101"/>
      <c r="H631" s="1101"/>
      <c r="I631" s="1101"/>
      <c r="J631" s="1101"/>
      <c r="K631" s="1101"/>
      <c r="L631" s="1101"/>
      <c r="M631" s="1101"/>
      <c r="N631" s="1101"/>
      <c r="O631" s="1101"/>
      <c r="P631" s="1101"/>
      <c r="Q631" s="1101"/>
      <c r="R631" s="1101"/>
      <c r="S631" s="1101"/>
      <c r="T631" s="1101"/>
      <c r="U631" s="1101"/>
      <c r="V631" s="1101"/>
      <c r="W631" s="1101"/>
      <c r="X631" s="1101"/>
      <c r="Y631" s="1102"/>
      <c r="Z631" s="1102"/>
      <c r="AA631" s="1101"/>
    </row>
    <row r="632" ht="15.75" customHeight="1">
      <c r="A632" s="213"/>
      <c r="B632" s="213"/>
      <c r="C632" s="1101"/>
      <c r="D632" s="1101"/>
      <c r="E632" s="1101"/>
      <c r="F632" s="1101"/>
      <c r="G632" s="1101"/>
      <c r="H632" s="1101"/>
      <c r="I632" s="1101"/>
      <c r="J632" s="1101"/>
      <c r="K632" s="1101"/>
      <c r="L632" s="1101"/>
      <c r="M632" s="1101"/>
      <c r="N632" s="1101"/>
      <c r="O632" s="1101"/>
      <c r="P632" s="1101"/>
      <c r="Q632" s="1101"/>
      <c r="R632" s="1101"/>
      <c r="S632" s="1101"/>
      <c r="T632" s="1101"/>
      <c r="U632" s="1101"/>
      <c r="V632" s="1101"/>
      <c r="W632" s="1101"/>
      <c r="X632" s="1101"/>
      <c r="Y632" s="1102"/>
      <c r="Z632" s="1102"/>
      <c r="AA632" s="1101"/>
    </row>
    <row r="633" ht="15.75" customHeight="1">
      <c r="A633" s="213"/>
      <c r="B633" s="213"/>
      <c r="C633" s="1101"/>
      <c r="D633" s="1101"/>
      <c r="E633" s="1101"/>
      <c r="F633" s="1101"/>
      <c r="G633" s="1101"/>
      <c r="H633" s="1101"/>
      <c r="I633" s="1101"/>
      <c r="J633" s="1101"/>
      <c r="K633" s="1101"/>
      <c r="L633" s="1101"/>
      <c r="M633" s="1101"/>
      <c r="N633" s="1101"/>
      <c r="O633" s="1101"/>
      <c r="P633" s="1101"/>
      <c r="Q633" s="1101"/>
      <c r="R633" s="1101"/>
      <c r="S633" s="1101"/>
      <c r="T633" s="1101"/>
      <c r="U633" s="1101"/>
      <c r="V633" s="1101"/>
      <c r="W633" s="1101"/>
      <c r="X633" s="1101"/>
      <c r="Y633" s="1102"/>
      <c r="Z633" s="1102"/>
      <c r="AA633" s="1101"/>
    </row>
    <row r="634" ht="15.75" customHeight="1">
      <c r="A634" s="213"/>
      <c r="B634" s="213"/>
      <c r="C634" s="1101"/>
      <c r="D634" s="1101"/>
      <c r="E634" s="1101"/>
      <c r="F634" s="1101"/>
      <c r="G634" s="1101"/>
      <c r="H634" s="1101"/>
      <c r="I634" s="1101"/>
      <c r="J634" s="1101"/>
      <c r="K634" s="1101"/>
      <c r="L634" s="1101"/>
      <c r="M634" s="1101"/>
      <c r="N634" s="1101"/>
      <c r="O634" s="1101"/>
      <c r="P634" s="1101"/>
      <c r="Q634" s="1101"/>
      <c r="R634" s="1101"/>
      <c r="S634" s="1101"/>
      <c r="T634" s="1101"/>
      <c r="U634" s="1101"/>
      <c r="V634" s="1101"/>
      <c r="W634" s="1101"/>
      <c r="X634" s="1101"/>
      <c r="Y634" s="1102"/>
      <c r="Z634" s="1102"/>
      <c r="AA634" s="1101"/>
    </row>
    <row r="635" ht="15.75" customHeight="1">
      <c r="A635" s="213"/>
      <c r="B635" s="213"/>
      <c r="C635" s="1101"/>
      <c r="D635" s="1101"/>
      <c r="E635" s="1101"/>
      <c r="F635" s="1101"/>
      <c r="G635" s="1101"/>
      <c r="H635" s="1101"/>
      <c r="I635" s="1101"/>
      <c r="J635" s="1101"/>
      <c r="K635" s="1101"/>
      <c r="L635" s="1101"/>
      <c r="M635" s="1101"/>
      <c r="N635" s="1101"/>
      <c r="O635" s="1101"/>
      <c r="P635" s="1101"/>
      <c r="Q635" s="1101"/>
      <c r="R635" s="1101"/>
      <c r="S635" s="1101"/>
      <c r="T635" s="1101"/>
      <c r="U635" s="1101"/>
      <c r="V635" s="1101"/>
      <c r="W635" s="1101"/>
      <c r="X635" s="1101"/>
      <c r="Y635" s="1102"/>
      <c r="Z635" s="1102"/>
      <c r="AA635" s="1101"/>
    </row>
    <row r="636" ht="15.75" customHeight="1">
      <c r="A636" s="213"/>
      <c r="B636" s="213"/>
      <c r="C636" s="1101"/>
      <c r="D636" s="1101"/>
      <c r="E636" s="1101"/>
      <c r="F636" s="1101"/>
      <c r="G636" s="1101"/>
      <c r="H636" s="1101"/>
      <c r="I636" s="1101"/>
      <c r="J636" s="1101"/>
      <c r="K636" s="1101"/>
      <c r="L636" s="1101"/>
      <c r="M636" s="1101"/>
      <c r="N636" s="1101"/>
      <c r="O636" s="1101"/>
      <c r="P636" s="1101"/>
      <c r="Q636" s="1101"/>
      <c r="R636" s="1101"/>
      <c r="S636" s="1101"/>
      <c r="T636" s="1101"/>
      <c r="U636" s="1101"/>
      <c r="V636" s="1101"/>
      <c r="W636" s="1101"/>
      <c r="X636" s="1101"/>
      <c r="Y636" s="1102"/>
      <c r="Z636" s="1102"/>
      <c r="AA636" s="1101"/>
    </row>
    <row r="637" ht="15.75" customHeight="1">
      <c r="A637" s="213"/>
      <c r="B637" s="213"/>
      <c r="C637" s="1101"/>
      <c r="D637" s="1101"/>
      <c r="E637" s="1101"/>
      <c r="F637" s="1101"/>
      <c r="G637" s="1101"/>
      <c r="H637" s="1101"/>
      <c r="I637" s="1101"/>
      <c r="J637" s="1101"/>
      <c r="K637" s="1101"/>
      <c r="L637" s="1101"/>
      <c r="M637" s="1101"/>
      <c r="N637" s="1101"/>
      <c r="O637" s="1101"/>
      <c r="P637" s="1101"/>
      <c r="Q637" s="1101"/>
      <c r="R637" s="1101"/>
      <c r="S637" s="1101"/>
      <c r="T637" s="1101"/>
      <c r="U637" s="1101"/>
      <c r="V637" s="1101"/>
      <c r="W637" s="1101"/>
      <c r="X637" s="1101"/>
      <c r="Y637" s="1102"/>
      <c r="Z637" s="1102"/>
      <c r="AA637" s="1101"/>
    </row>
    <row r="638" ht="15.75" customHeight="1">
      <c r="A638" s="213"/>
      <c r="B638" s="213"/>
      <c r="C638" s="1101"/>
      <c r="D638" s="1101"/>
      <c r="E638" s="1101"/>
      <c r="F638" s="1101"/>
      <c r="G638" s="1101"/>
      <c r="H638" s="1101"/>
      <c r="I638" s="1101"/>
      <c r="J638" s="1101"/>
      <c r="K638" s="1101"/>
      <c r="L638" s="1101"/>
      <c r="M638" s="1101"/>
      <c r="N638" s="1101"/>
      <c r="O638" s="1101"/>
      <c r="P638" s="1101"/>
      <c r="Q638" s="1101"/>
      <c r="R638" s="1101"/>
      <c r="S638" s="1101"/>
      <c r="T638" s="1101"/>
      <c r="U638" s="1101"/>
      <c r="V638" s="1101"/>
      <c r="W638" s="1101"/>
      <c r="X638" s="1101"/>
      <c r="Y638" s="1102"/>
      <c r="Z638" s="1102"/>
      <c r="AA638" s="1101"/>
    </row>
    <row r="639" ht="15.75" customHeight="1">
      <c r="A639" s="213"/>
      <c r="B639" s="213"/>
      <c r="C639" s="1101"/>
      <c r="D639" s="1101"/>
      <c r="E639" s="1101"/>
      <c r="F639" s="1101"/>
      <c r="G639" s="1101"/>
      <c r="H639" s="1101"/>
      <c r="I639" s="1101"/>
      <c r="J639" s="1101"/>
      <c r="K639" s="1101"/>
      <c r="L639" s="1101"/>
      <c r="M639" s="1101"/>
      <c r="N639" s="1101"/>
      <c r="O639" s="1101"/>
      <c r="P639" s="1101"/>
      <c r="Q639" s="1101"/>
      <c r="R639" s="1101"/>
      <c r="S639" s="1101"/>
      <c r="T639" s="1101"/>
      <c r="U639" s="1101"/>
      <c r="V639" s="1101"/>
      <c r="W639" s="1101"/>
      <c r="X639" s="1101"/>
      <c r="Y639" s="1102"/>
      <c r="Z639" s="1102"/>
      <c r="AA639" s="1101"/>
    </row>
    <row r="640" ht="15.75" customHeight="1">
      <c r="A640" s="213"/>
      <c r="B640" s="213"/>
      <c r="C640" s="1101"/>
      <c r="D640" s="1101"/>
      <c r="E640" s="1101"/>
      <c r="F640" s="1101"/>
      <c r="G640" s="1101"/>
      <c r="H640" s="1101"/>
      <c r="I640" s="1101"/>
      <c r="J640" s="1101"/>
      <c r="K640" s="1101"/>
      <c r="L640" s="1101"/>
      <c r="M640" s="1101"/>
      <c r="N640" s="1101"/>
      <c r="O640" s="1101"/>
      <c r="P640" s="1101"/>
      <c r="Q640" s="1101"/>
      <c r="R640" s="1101"/>
      <c r="S640" s="1101"/>
      <c r="T640" s="1101"/>
      <c r="U640" s="1101"/>
      <c r="V640" s="1101"/>
      <c r="W640" s="1101"/>
      <c r="X640" s="1101"/>
      <c r="Y640" s="1102"/>
      <c r="Z640" s="1102"/>
      <c r="AA640" s="1101"/>
    </row>
    <row r="641" ht="15.75" customHeight="1">
      <c r="A641" s="213"/>
      <c r="B641" s="213"/>
      <c r="C641" s="1101"/>
      <c r="D641" s="1101"/>
      <c r="E641" s="1101"/>
      <c r="F641" s="1101"/>
      <c r="G641" s="1101"/>
      <c r="H641" s="1101"/>
      <c r="I641" s="1101"/>
      <c r="J641" s="1101"/>
      <c r="K641" s="1101"/>
      <c r="L641" s="1101"/>
      <c r="M641" s="1101"/>
      <c r="N641" s="1101"/>
      <c r="O641" s="1101"/>
      <c r="P641" s="1101"/>
      <c r="Q641" s="1101"/>
      <c r="R641" s="1101"/>
      <c r="S641" s="1101"/>
      <c r="T641" s="1101"/>
      <c r="U641" s="1101"/>
      <c r="V641" s="1101"/>
      <c r="W641" s="1101"/>
      <c r="X641" s="1101"/>
      <c r="Y641" s="1102"/>
      <c r="Z641" s="1102"/>
      <c r="AA641" s="1101"/>
    </row>
    <row r="642" ht="15.75" customHeight="1">
      <c r="A642" s="213"/>
      <c r="B642" s="213"/>
      <c r="C642" s="1101"/>
      <c r="D642" s="1101"/>
      <c r="E642" s="1101"/>
      <c r="F642" s="1101"/>
      <c r="G642" s="1101"/>
      <c r="H642" s="1101"/>
      <c r="I642" s="1101"/>
      <c r="J642" s="1101"/>
      <c r="K642" s="1101"/>
      <c r="L642" s="1101"/>
      <c r="M642" s="1101"/>
      <c r="N642" s="1101"/>
      <c r="O642" s="1101"/>
      <c r="P642" s="1101"/>
      <c r="Q642" s="1101"/>
      <c r="R642" s="1101"/>
      <c r="S642" s="1101"/>
      <c r="T642" s="1101"/>
      <c r="U642" s="1101"/>
      <c r="V642" s="1101"/>
      <c r="W642" s="1101"/>
      <c r="X642" s="1101"/>
      <c r="Y642" s="1102"/>
      <c r="Z642" s="1102"/>
      <c r="AA642" s="1101"/>
    </row>
    <row r="643" ht="15.75" customHeight="1">
      <c r="A643" s="213"/>
      <c r="B643" s="213"/>
      <c r="C643" s="1101"/>
      <c r="D643" s="1101"/>
      <c r="E643" s="1101"/>
      <c r="F643" s="1101"/>
      <c r="G643" s="1101"/>
      <c r="H643" s="1101"/>
      <c r="I643" s="1101"/>
      <c r="J643" s="1101"/>
      <c r="K643" s="1101"/>
      <c r="L643" s="1101"/>
      <c r="M643" s="1101"/>
      <c r="N643" s="1101"/>
      <c r="O643" s="1101"/>
      <c r="P643" s="1101"/>
      <c r="Q643" s="1101"/>
      <c r="R643" s="1101"/>
      <c r="S643" s="1101"/>
      <c r="T643" s="1101"/>
      <c r="U643" s="1101"/>
      <c r="V643" s="1101"/>
      <c r="W643" s="1101"/>
      <c r="X643" s="1101"/>
      <c r="Y643" s="1102"/>
      <c r="Z643" s="1102"/>
      <c r="AA643" s="1101"/>
    </row>
    <row r="644" ht="15.75" customHeight="1">
      <c r="A644" s="213"/>
      <c r="B644" s="213"/>
      <c r="C644" s="1101"/>
      <c r="D644" s="1101"/>
      <c r="E644" s="1101"/>
      <c r="F644" s="1101"/>
      <c r="G644" s="1101"/>
      <c r="H644" s="1101"/>
      <c r="I644" s="1101"/>
      <c r="J644" s="1101"/>
      <c r="K644" s="1101"/>
      <c r="L644" s="1101"/>
      <c r="M644" s="1101"/>
      <c r="N644" s="1101"/>
      <c r="O644" s="1101"/>
      <c r="P644" s="1101"/>
      <c r="Q644" s="1101"/>
      <c r="R644" s="1101"/>
      <c r="S644" s="1101"/>
      <c r="T644" s="1101"/>
      <c r="U644" s="1101"/>
      <c r="V644" s="1101"/>
      <c r="W644" s="1101"/>
      <c r="X644" s="1101"/>
      <c r="Y644" s="1102"/>
      <c r="Z644" s="1102"/>
      <c r="AA644" s="1101"/>
    </row>
    <row r="645" ht="15.75" customHeight="1">
      <c r="A645" s="213"/>
      <c r="B645" s="213"/>
      <c r="C645" s="1101"/>
      <c r="D645" s="1101"/>
      <c r="E645" s="1101"/>
      <c r="F645" s="1101"/>
      <c r="G645" s="1101"/>
      <c r="H645" s="1101"/>
      <c r="I645" s="1101"/>
      <c r="J645" s="1101"/>
      <c r="K645" s="1101"/>
      <c r="L645" s="1101"/>
      <c r="M645" s="1101"/>
      <c r="N645" s="1101"/>
      <c r="O645" s="1101"/>
      <c r="P645" s="1101"/>
      <c r="Q645" s="1101"/>
      <c r="R645" s="1101"/>
      <c r="S645" s="1101"/>
      <c r="T645" s="1101"/>
      <c r="U645" s="1101"/>
      <c r="V645" s="1101"/>
      <c r="W645" s="1101"/>
      <c r="X645" s="1101"/>
      <c r="Y645" s="1102"/>
      <c r="Z645" s="1102"/>
      <c r="AA645" s="1101"/>
    </row>
    <row r="646" ht="15.75" customHeight="1">
      <c r="A646" s="213"/>
      <c r="B646" s="213"/>
      <c r="C646" s="1101"/>
      <c r="D646" s="1101"/>
      <c r="E646" s="1101"/>
      <c r="F646" s="1101"/>
      <c r="G646" s="1101"/>
      <c r="H646" s="1101"/>
      <c r="I646" s="1101"/>
      <c r="J646" s="1101"/>
      <c r="K646" s="1101"/>
      <c r="L646" s="1101"/>
      <c r="M646" s="1101"/>
      <c r="N646" s="1101"/>
      <c r="O646" s="1101"/>
      <c r="P646" s="1101"/>
      <c r="Q646" s="1101"/>
      <c r="R646" s="1101"/>
      <c r="S646" s="1101"/>
      <c r="T646" s="1101"/>
      <c r="U646" s="1101"/>
      <c r="V646" s="1101"/>
      <c r="W646" s="1101"/>
      <c r="X646" s="1101"/>
      <c r="Y646" s="1102"/>
      <c r="Z646" s="1102"/>
      <c r="AA646" s="1101"/>
    </row>
    <row r="647" ht="15.75" customHeight="1">
      <c r="A647" s="213"/>
      <c r="B647" s="213"/>
      <c r="C647" s="1101"/>
      <c r="D647" s="1101"/>
      <c r="E647" s="1101"/>
      <c r="F647" s="1101"/>
      <c r="G647" s="1101"/>
      <c r="H647" s="1101"/>
      <c r="I647" s="1101"/>
      <c r="J647" s="1101"/>
      <c r="K647" s="1101"/>
      <c r="L647" s="1101"/>
      <c r="M647" s="1101"/>
      <c r="N647" s="1101"/>
      <c r="O647" s="1101"/>
      <c r="P647" s="1101"/>
      <c r="Q647" s="1101"/>
      <c r="R647" s="1101"/>
      <c r="S647" s="1101"/>
      <c r="T647" s="1101"/>
      <c r="U647" s="1101"/>
      <c r="V647" s="1101"/>
      <c r="W647" s="1101"/>
      <c r="X647" s="1101"/>
      <c r="Y647" s="1102"/>
      <c r="Z647" s="1102"/>
      <c r="AA647" s="1101"/>
    </row>
    <row r="648" ht="15.75" customHeight="1">
      <c r="A648" s="213"/>
      <c r="B648" s="213"/>
      <c r="C648" s="1101"/>
      <c r="D648" s="1101"/>
      <c r="E648" s="1101"/>
      <c r="F648" s="1101"/>
      <c r="G648" s="1101"/>
      <c r="H648" s="1101"/>
      <c r="I648" s="1101"/>
      <c r="J648" s="1101"/>
      <c r="K648" s="1101"/>
      <c r="L648" s="1101"/>
      <c r="M648" s="1101"/>
      <c r="N648" s="1101"/>
      <c r="O648" s="1101"/>
      <c r="P648" s="1101"/>
      <c r="Q648" s="1101"/>
      <c r="R648" s="1101"/>
      <c r="S648" s="1101"/>
      <c r="T648" s="1101"/>
      <c r="U648" s="1101"/>
      <c r="V648" s="1101"/>
      <c r="W648" s="1101"/>
      <c r="X648" s="1101"/>
      <c r="Y648" s="1102"/>
      <c r="Z648" s="1102"/>
      <c r="AA648" s="1101"/>
    </row>
    <row r="649" ht="15.75" customHeight="1">
      <c r="A649" s="213"/>
      <c r="B649" s="213"/>
      <c r="C649" s="1101"/>
      <c r="D649" s="1101"/>
      <c r="E649" s="1101"/>
      <c r="F649" s="1101"/>
      <c r="G649" s="1101"/>
      <c r="H649" s="1101"/>
      <c r="I649" s="1101"/>
      <c r="J649" s="1101"/>
      <c r="K649" s="1101"/>
      <c r="L649" s="1101"/>
      <c r="M649" s="1101"/>
      <c r="N649" s="1101"/>
      <c r="O649" s="1101"/>
      <c r="P649" s="1101"/>
      <c r="Q649" s="1101"/>
      <c r="R649" s="1101"/>
      <c r="S649" s="1101"/>
      <c r="T649" s="1101"/>
      <c r="U649" s="1101"/>
      <c r="V649" s="1101"/>
      <c r="W649" s="1101"/>
      <c r="X649" s="1101"/>
      <c r="Y649" s="1102"/>
      <c r="Z649" s="1102"/>
      <c r="AA649" s="1101"/>
    </row>
    <row r="650" ht="15.75" customHeight="1">
      <c r="A650" s="213"/>
      <c r="B650" s="213"/>
      <c r="C650" s="1101"/>
      <c r="D650" s="1101"/>
      <c r="E650" s="1101"/>
      <c r="F650" s="1101"/>
      <c r="G650" s="1101"/>
      <c r="H650" s="1101"/>
      <c r="I650" s="1101"/>
      <c r="J650" s="1101"/>
      <c r="K650" s="1101"/>
      <c r="L650" s="1101"/>
      <c r="M650" s="1101"/>
      <c r="N650" s="1101"/>
      <c r="O650" s="1101"/>
      <c r="P650" s="1101"/>
      <c r="Q650" s="1101"/>
      <c r="R650" s="1101"/>
      <c r="S650" s="1101"/>
      <c r="T650" s="1101"/>
      <c r="U650" s="1101"/>
      <c r="V650" s="1101"/>
      <c r="W650" s="1101"/>
      <c r="X650" s="1101"/>
      <c r="Y650" s="1102"/>
      <c r="Z650" s="1102"/>
      <c r="AA650" s="1101"/>
    </row>
    <row r="651" ht="15.75" customHeight="1">
      <c r="A651" s="213"/>
      <c r="B651" s="213"/>
      <c r="C651" s="1101"/>
      <c r="D651" s="1101"/>
      <c r="E651" s="1101"/>
      <c r="F651" s="1101"/>
      <c r="G651" s="1101"/>
      <c r="H651" s="1101"/>
      <c r="I651" s="1101"/>
      <c r="J651" s="1101"/>
      <c r="K651" s="1101"/>
      <c r="L651" s="1101"/>
      <c r="M651" s="1101"/>
      <c r="N651" s="1101"/>
      <c r="O651" s="1101"/>
      <c r="P651" s="1101"/>
      <c r="Q651" s="1101"/>
      <c r="R651" s="1101"/>
      <c r="S651" s="1101"/>
      <c r="T651" s="1101"/>
      <c r="U651" s="1101"/>
      <c r="V651" s="1101"/>
      <c r="W651" s="1101"/>
      <c r="X651" s="1101"/>
      <c r="Y651" s="1102"/>
      <c r="Z651" s="1102"/>
      <c r="AA651" s="1101"/>
    </row>
    <row r="652" ht="15.75" customHeight="1">
      <c r="A652" s="213"/>
      <c r="B652" s="213"/>
      <c r="C652" s="1101"/>
      <c r="D652" s="1101"/>
      <c r="E652" s="1101"/>
      <c r="F652" s="1101"/>
      <c r="G652" s="1101"/>
      <c r="H652" s="1101"/>
      <c r="I652" s="1101"/>
      <c r="J652" s="1101"/>
      <c r="K652" s="1101"/>
      <c r="L652" s="1101"/>
      <c r="M652" s="1101"/>
      <c r="N652" s="1101"/>
      <c r="O652" s="1101"/>
      <c r="P652" s="1101"/>
      <c r="Q652" s="1101"/>
      <c r="R652" s="1101"/>
      <c r="S652" s="1101"/>
      <c r="T652" s="1101"/>
      <c r="U652" s="1101"/>
      <c r="V652" s="1101"/>
      <c r="W652" s="1101"/>
      <c r="X652" s="1101"/>
      <c r="Y652" s="1102"/>
      <c r="Z652" s="1102"/>
      <c r="AA652" s="1101"/>
    </row>
    <row r="653" ht="15.75" customHeight="1">
      <c r="A653" s="213"/>
      <c r="B653" s="213"/>
      <c r="C653" s="1101"/>
      <c r="D653" s="1101"/>
      <c r="E653" s="1101"/>
      <c r="F653" s="1101"/>
      <c r="G653" s="1101"/>
      <c r="H653" s="1101"/>
      <c r="I653" s="1101"/>
      <c r="J653" s="1101"/>
      <c r="K653" s="1101"/>
      <c r="L653" s="1101"/>
      <c r="M653" s="1101"/>
      <c r="N653" s="1101"/>
      <c r="O653" s="1101"/>
      <c r="P653" s="1101"/>
      <c r="Q653" s="1101"/>
      <c r="R653" s="1101"/>
      <c r="S653" s="1101"/>
      <c r="T653" s="1101"/>
      <c r="U653" s="1101"/>
      <c r="V653" s="1101"/>
      <c r="W653" s="1101"/>
      <c r="X653" s="1101"/>
      <c r="Y653" s="1102"/>
      <c r="Z653" s="1102"/>
      <c r="AA653" s="1101"/>
    </row>
    <row r="654" ht="15.75" customHeight="1">
      <c r="A654" s="213"/>
      <c r="B654" s="213"/>
      <c r="C654" s="1101"/>
      <c r="D654" s="1101"/>
      <c r="E654" s="1101"/>
      <c r="F654" s="1101"/>
      <c r="G654" s="1101"/>
      <c r="H654" s="1101"/>
      <c r="I654" s="1101"/>
      <c r="J654" s="1101"/>
      <c r="K654" s="1101"/>
      <c r="L654" s="1101"/>
      <c r="M654" s="1101"/>
      <c r="N654" s="1101"/>
      <c r="O654" s="1101"/>
      <c r="P654" s="1101"/>
      <c r="Q654" s="1101"/>
      <c r="R654" s="1101"/>
      <c r="S654" s="1101"/>
      <c r="T654" s="1101"/>
      <c r="U654" s="1101"/>
      <c r="V654" s="1101"/>
      <c r="W654" s="1101"/>
      <c r="X654" s="1101"/>
      <c r="Y654" s="1102"/>
      <c r="Z654" s="1102"/>
      <c r="AA654" s="1101"/>
    </row>
    <row r="655" ht="15.75" customHeight="1">
      <c r="A655" s="213"/>
      <c r="B655" s="213"/>
      <c r="C655" s="1101"/>
      <c r="D655" s="1101"/>
      <c r="E655" s="1101"/>
      <c r="F655" s="1101"/>
      <c r="G655" s="1101"/>
      <c r="H655" s="1101"/>
      <c r="I655" s="1101"/>
      <c r="J655" s="1101"/>
      <c r="K655" s="1101"/>
      <c r="L655" s="1101"/>
      <c r="M655" s="1101"/>
      <c r="N655" s="1101"/>
      <c r="O655" s="1101"/>
      <c r="P655" s="1101"/>
      <c r="Q655" s="1101"/>
      <c r="R655" s="1101"/>
      <c r="S655" s="1101"/>
      <c r="T655" s="1101"/>
      <c r="U655" s="1101"/>
      <c r="V655" s="1101"/>
      <c r="W655" s="1101"/>
      <c r="X655" s="1101"/>
      <c r="Y655" s="1102"/>
      <c r="Z655" s="1102"/>
      <c r="AA655" s="1101"/>
    </row>
    <row r="656" ht="15.75" customHeight="1">
      <c r="A656" s="213"/>
      <c r="B656" s="213"/>
      <c r="C656" s="1101"/>
      <c r="D656" s="1101"/>
      <c r="E656" s="1101"/>
      <c r="F656" s="1101"/>
      <c r="G656" s="1101"/>
      <c r="H656" s="1101"/>
      <c r="I656" s="1101"/>
      <c r="J656" s="1101"/>
      <c r="K656" s="1101"/>
      <c r="L656" s="1101"/>
      <c r="M656" s="1101"/>
      <c r="N656" s="1101"/>
      <c r="O656" s="1101"/>
      <c r="P656" s="1101"/>
      <c r="Q656" s="1101"/>
      <c r="R656" s="1101"/>
      <c r="S656" s="1101"/>
      <c r="T656" s="1101"/>
      <c r="U656" s="1101"/>
      <c r="V656" s="1101"/>
      <c r="W656" s="1101"/>
      <c r="X656" s="1101"/>
      <c r="Y656" s="1102"/>
      <c r="Z656" s="1102"/>
      <c r="AA656" s="1101"/>
    </row>
    <row r="657" ht="15.75" customHeight="1">
      <c r="A657" s="213"/>
      <c r="B657" s="213"/>
      <c r="C657" s="1101"/>
      <c r="D657" s="1101"/>
      <c r="E657" s="1101"/>
      <c r="F657" s="1101"/>
      <c r="G657" s="1101"/>
      <c r="H657" s="1101"/>
      <c r="I657" s="1101"/>
      <c r="J657" s="1101"/>
      <c r="K657" s="1101"/>
      <c r="L657" s="1101"/>
      <c r="M657" s="1101"/>
      <c r="N657" s="1101"/>
      <c r="O657" s="1101"/>
      <c r="P657" s="1101"/>
      <c r="Q657" s="1101"/>
      <c r="R657" s="1101"/>
      <c r="S657" s="1101"/>
      <c r="T657" s="1101"/>
      <c r="U657" s="1101"/>
      <c r="V657" s="1101"/>
      <c r="W657" s="1101"/>
      <c r="X657" s="1101"/>
      <c r="Y657" s="1102"/>
      <c r="Z657" s="1102"/>
      <c r="AA657" s="1101"/>
    </row>
    <row r="658" ht="15.75" customHeight="1">
      <c r="A658" s="213"/>
      <c r="B658" s="213"/>
      <c r="C658" s="1101"/>
      <c r="D658" s="1101"/>
      <c r="E658" s="1101"/>
      <c r="F658" s="1101"/>
      <c r="G658" s="1101"/>
      <c r="H658" s="1101"/>
      <c r="I658" s="1101"/>
      <c r="J658" s="1101"/>
      <c r="K658" s="1101"/>
      <c r="L658" s="1101"/>
      <c r="M658" s="1101"/>
      <c r="N658" s="1101"/>
      <c r="O658" s="1101"/>
      <c r="P658" s="1101"/>
      <c r="Q658" s="1101"/>
      <c r="R658" s="1101"/>
      <c r="S658" s="1101"/>
      <c r="T658" s="1101"/>
      <c r="U658" s="1101"/>
      <c r="V658" s="1101"/>
      <c r="W658" s="1101"/>
      <c r="X658" s="1101"/>
      <c r="Y658" s="1102"/>
      <c r="Z658" s="1102"/>
      <c r="AA658" s="1101"/>
    </row>
    <row r="659" ht="15.75" customHeight="1">
      <c r="A659" s="213"/>
      <c r="B659" s="213"/>
      <c r="C659" s="1101"/>
      <c r="D659" s="1101"/>
      <c r="E659" s="1101"/>
      <c r="F659" s="1101"/>
      <c r="G659" s="1101"/>
      <c r="H659" s="1101"/>
      <c r="I659" s="1101"/>
      <c r="J659" s="1101"/>
      <c r="K659" s="1101"/>
      <c r="L659" s="1101"/>
      <c r="M659" s="1101"/>
      <c r="N659" s="1101"/>
      <c r="O659" s="1101"/>
      <c r="P659" s="1101"/>
      <c r="Q659" s="1101"/>
      <c r="R659" s="1101"/>
      <c r="S659" s="1101"/>
      <c r="T659" s="1101"/>
      <c r="U659" s="1101"/>
      <c r="V659" s="1101"/>
      <c r="W659" s="1101"/>
      <c r="X659" s="1101"/>
      <c r="Y659" s="1102"/>
      <c r="Z659" s="1102"/>
      <c r="AA659" s="1101"/>
    </row>
    <row r="660" ht="15.75" customHeight="1">
      <c r="A660" s="213"/>
      <c r="B660" s="213"/>
      <c r="C660" s="1101"/>
      <c r="D660" s="1101"/>
      <c r="E660" s="1101"/>
      <c r="F660" s="1101"/>
      <c r="G660" s="1101"/>
      <c r="H660" s="1101"/>
      <c r="I660" s="1101"/>
      <c r="J660" s="1101"/>
      <c r="K660" s="1101"/>
      <c r="L660" s="1101"/>
      <c r="M660" s="1101"/>
      <c r="N660" s="1101"/>
      <c r="O660" s="1101"/>
      <c r="P660" s="1101"/>
      <c r="Q660" s="1101"/>
      <c r="R660" s="1101"/>
      <c r="S660" s="1101"/>
      <c r="T660" s="1101"/>
      <c r="U660" s="1101"/>
      <c r="V660" s="1101"/>
      <c r="W660" s="1101"/>
      <c r="X660" s="1101"/>
      <c r="Y660" s="1102"/>
      <c r="Z660" s="1102"/>
      <c r="AA660" s="1101"/>
    </row>
    <row r="661" ht="15.75" customHeight="1">
      <c r="A661" s="213"/>
      <c r="B661" s="213"/>
      <c r="C661" s="1101"/>
      <c r="D661" s="1101"/>
      <c r="E661" s="1101"/>
      <c r="F661" s="1101"/>
      <c r="G661" s="1101"/>
      <c r="H661" s="1101"/>
      <c r="I661" s="1101"/>
      <c r="J661" s="1101"/>
      <c r="K661" s="1101"/>
      <c r="L661" s="1101"/>
      <c r="M661" s="1101"/>
      <c r="N661" s="1101"/>
      <c r="O661" s="1101"/>
      <c r="P661" s="1101"/>
      <c r="Q661" s="1101"/>
      <c r="R661" s="1101"/>
      <c r="S661" s="1101"/>
      <c r="T661" s="1101"/>
      <c r="U661" s="1101"/>
      <c r="V661" s="1101"/>
      <c r="W661" s="1101"/>
      <c r="X661" s="1101"/>
      <c r="Y661" s="1102"/>
      <c r="Z661" s="1102"/>
      <c r="AA661" s="1101"/>
    </row>
    <row r="662" ht="15.75" customHeight="1">
      <c r="A662" s="213"/>
      <c r="B662" s="213"/>
      <c r="C662" s="1101"/>
      <c r="D662" s="1101"/>
      <c r="E662" s="1101"/>
      <c r="F662" s="1101"/>
      <c r="G662" s="1101"/>
      <c r="H662" s="1101"/>
      <c r="I662" s="1101"/>
      <c r="J662" s="1101"/>
      <c r="K662" s="1101"/>
      <c r="L662" s="1101"/>
      <c r="M662" s="1101"/>
      <c r="N662" s="1101"/>
      <c r="O662" s="1101"/>
      <c r="P662" s="1101"/>
      <c r="Q662" s="1101"/>
      <c r="R662" s="1101"/>
      <c r="S662" s="1101"/>
      <c r="T662" s="1101"/>
      <c r="U662" s="1101"/>
      <c r="V662" s="1101"/>
      <c r="W662" s="1101"/>
      <c r="X662" s="1101"/>
      <c r="Y662" s="1102"/>
      <c r="Z662" s="1102"/>
      <c r="AA662" s="1101"/>
    </row>
    <row r="663" ht="15.75" customHeight="1">
      <c r="A663" s="213"/>
      <c r="B663" s="213"/>
      <c r="C663" s="1101"/>
      <c r="D663" s="1101"/>
      <c r="E663" s="1101"/>
      <c r="F663" s="1101"/>
      <c r="G663" s="1101"/>
      <c r="H663" s="1101"/>
      <c r="I663" s="1101"/>
      <c r="J663" s="1101"/>
      <c r="K663" s="1101"/>
      <c r="L663" s="1101"/>
      <c r="M663" s="1101"/>
      <c r="N663" s="1101"/>
      <c r="O663" s="1101"/>
      <c r="P663" s="1101"/>
      <c r="Q663" s="1101"/>
      <c r="R663" s="1101"/>
      <c r="S663" s="1101"/>
      <c r="T663" s="1101"/>
      <c r="U663" s="1101"/>
      <c r="V663" s="1101"/>
      <c r="W663" s="1101"/>
      <c r="X663" s="1101"/>
      <c r="Y663" s="1102"/>
      <c r="Z663" s="1102"/>
      <c r="AA663" s="1101"/>
    </row>
    <row r="664" ht="15.75" customHeight="1">
      <c r="A664" s="213"/>
      <c r="B664" s="213"/>
      <c r="C664" s="1101"/>
      <c r="D664" s="1101"/>
      <c r="E664" s="1101"/>
      <c r="F664" s="1101"/>
      <c r="G664" s="1101"/>
      <c r="H664" s="1101"/>
      <c r="I664" s="1101"/>
      <c r="J664" s="1101"/>
      <c r="K664" s="1101"/>
      <c r="L664" s="1101"/>
      <c r="M664" s="1101"/>
      <c r="N664" s="1101"/>
      <c r="O664" s="1101"/>
      <c r="P664" s="1101"/>
      <c r="Q664" s="1101"/>
      <c r="R664" s="1101"/>
      <c r="S664" s="1101"/>
      <c r="T664" s="1101"/>
      <c r="U664" s="1101"/>
      <c r="V664" s="1101"/>
      <c r="W664" s="1101"/>
      <c r="X664" s="1101"/>
      <c r="Y664" s="1102"/>
      <c r="Z664" s="1102"/>
      <c r="AA664" s="1101"/>
    </row>
    <row r="665" ht="15.75" customHeight="1">
      <c r="A665" s="213"/>
      <c r="B665" s="213"/>
      <c r="C665" s="1101"/>
      <c r="D665" s="1101"/>
      <c r="E665" s="1101"/>
      <c r="F665" s="1101"/>
      <c r="G665" s="1101"/>
      <c r="H665" s="1101"/>
      <c r="I665" s="1101"/>
      <c r="J665" s="1101"/>
      <c r="K665" s="1101"/>
      <c r="L665" s="1101"/>
      <c r="M665" s="1101"/>
      <c r="N665" s="1101"/>
      <c r="O665" s="1101"/>
      <c r="P665" s="1101"/>
      <c r="Q665" s="1101"/>
      <c r="R665" s="1101"/>
      <c r="S665" s="1101"/>
      <c r="T665" s="1101"/>
      <c r="U665" s="1101"/>
      <c r="V665" s="1101"/>
      <c r="W665" s="1101"/>
      <c r="X665" s="1101"/>
      <c r="Y665" s="1102"/>
      <c r="Z665" s="1102"/>
      <c r="AA665" s="1101"/>
    </row>
    <row r="666" ht="15.75" customHeight="1">
      <c r="A666" s="213"/>
      <c r="B666" s="213"/>
      <c r="C666" s="1101"/>
      <c r="D666" s="1101"/>
      <c r="E666" s="1101"/>
      <c r="F666" s="1101"/>
      <c r="G666" s="1101"/>
      <c r="H666" s="1101"/>
      <c r="I666" s="1101"/>
      <c r="J666" s="1101"/>
      <c r="K666" s="1101"/>
      <c r="L666" s="1101"/>
      <c r="M666" s="1101"/>
      <c r="N666" s="1101"/>
      <c r="O666" s="1101"/>
      <c r="P666" s="1101"/>
      <c r="Q666" s="1101"/>
      <c r="R666" s="1101"/>
      <c r="S666" s="1101"/>
      <c r="T666" s="1101"/>
      <c r="U666" s="1101"/>
      <c r="V666" s="1101"/>
      <c r="W666" s="1101"/>
      <c r="X666" s="1101"/>
      <c r="Y666" s="1102"/>
      <c r="Z666" s="1102"/>
      <c r="AA666" s="1101"/>
    </row>
    <row r="667" ht="15.75" customHeight="1">
      <c r="A667" s="213"/>
      <c r="B667" s="213"/>
      <c r="C667" s="1101"/>
      <c r="D667" s="1101"/>
      <c r="E667" s="1101"/>
      <c r="F667" s="1101"/>
      <c r="G667" s="1101"/>
      <c r="H667" s="1101"/>
      <c r="I667" s="1101"/>
      <c r="J667" s="1101"/>
      <c r="K667" s="1101"/>
      <c r="L667" s="1101"/>
      <c r="M667" s="1101"/>
      <c r="N667" s="1101"/>
      <c r="O667" s="1101"/>
      <c r="P667" s="1101"/>
      <c r="Q667" s="1101"/>
      <c r="R667" s="1101"/>
      <c r="S667" s="1101"/>
      <c r="T667" s="1101"/>
      <c r="U667" s="1101"/>
      <c r="V667" s="1101"/>
      <c r="W667" s="1101"/>
      <c r="X667" s="1101"/>
      <c r="Y667" s="1102"/>
      <c r="Z667" s="1102"/>
      <c r="AA667" s="1101"/>
    </row>
    <row r="668" ht="15.75" customHeight="1">
      <c r="A668" s="213"/>
      <c r="B668" s="213"/>
      <c r="C668" s="1101"/>
      <c r="D668" s="1101"/>
      <c r="E668" s="1101"/>
      <c r="F668" s="1101"/>
      <c r="G668" s="1101"/>
      <c r="H668" s="1101"/>
      <c r="I668" s="1101"/>
      <c r="J668" s="1101"/>
      <c r="K668" s="1101"/>
      <c r="L668" s="1101"/>
      <c r="M668" s="1101"/>
      <c r="N668" s="1101"/>
      <c r="O668" s="1101"/>
      <c r="P668" s="1101"/>
      <c r="Q668" s="1101"/>
      <c r="R668" s="1101"/>
      <c r="S668" s="1101"/>
      <c r="T668" s="1101"/>
      <c r="U668" s="1101"/>
      <c r="V668" s="1101"/>
      <c r="W668" s="1101"/>
      <c r="X668" s="1101"/>
      <c r="Y668" s="1102"/>
      <c r="Z668" s="1102"/>
      <c r="AA668" s="1101"/>
    </row>
    <row r="669" ht="15.75" customHeight="1">
      <c r="A669" s="213"/>
      <c r="B669" s="213"/>
      <c r="C669" s="1101"/>
      <c r="D669" s="1101"/>
      <c r="E669" s="1101"/>
      <c r="F669" s="1101"/>
      <c r="G669" s="1101"/>
      <c r="H669" s="1101"/>
      <c r="I669" s="1101"/>
      <c r="J669" s="1101"/>
      <c r="K669" s="1101"/>
      <c r="L669" s="1101"/>
      <c r="M669" s="1101"/>
      <c r="N669" s="1101"/>
      <c r="O669" s="1101"/>
      <c r="P669" s="1101"/>
      <c r="Q669" s="1101"/>
      <c r="R669" s="1101"/>
      <c r="S669" s="1101"/>
      <c r="T669" s="1101"/>
      <c r="U669" s="1101"/>
      <c r="V669" s="1101"/>
      <c r="W669" s="1101"/>
      <c r="X669" s="1101"/>
      <c r="Y669" s="1102"/>
      <c r="Z669" s="1102"/>
      <c r="AA669" s="1101"/>
    </row>
    <row r="670" ht="15.75" customHeight="1">
      <c r="A670" s="213"/>
      <c r="B670" s="213"/>
      <c r="C670" s="1101"/>
      <c r="D670" s="1101"/>
      <c r="E670" s="1101"/>
      <c r="F670" s="1101"/>
      <c r="G670" s="1101"/>
      <c r="H670" s="1101"/>
      <c r="I670" s="1101"/>
      <c r="J670" s="1101"/>
      <c r="K670" s="1101"/>
      <c r="L670" s="1101"/>
      <c r="M670" s="1101"/>
      <c r="N670" s="1101"/>
      <c r="O670" s="1101"/>
      <c r="P670" s="1101"/>
      <c r="Q670" s="1101"/>
      <c r="R670" s="1101"/>
      <c r="S670" s="1101"/>
      <c r="T670" s="1101"/>
      <c r="U670" s="1101"/>
      <c r="V670" s="1101"/>
      <c r="W670" s="1101"/>
      <c r="X670" s="1101"/>
      <c r="Y670" s="1102"/>
      <c r="Z670" s="1102"/>
      <c r="AA670" s="1101"/>
    </row>
    <row r="671" ht="15.75" customHeight="1">
      <c r="A671" s="213"/>
      <c r="B671" s="213"/>
      <c r="C671" s="1101"/>
      <c r="D671" s="1101"/>
      <c r="E671" s="1101"/>
      <c r="F671" s="1101"/>
      <c r="G671" s="1101"/>
      <c r="H671" s="1101"/>
      <c r="I671" s="1101"/>
      <c r="J671" s="1101"/>
      <c r="K671" s="1101"/>
      <c r="L671" s="1101"/>
      <c r="M671" s="1101"/>
      <c r="N671" s="1101"/>
      <c r="O671" s="1101"/>
      <c r="P671" s="1101"/>
      <c r="Q671" s="1101"/>
      <c r="R671" s="1101"/>
      <c r="S671" s="1101"/>
      <c r="T671" s="1101"/>
      <c r="U671" s="1101"/>
      <c r="V671" s="1101"/>
      <c r="W671" s="1101"/>
      <c r="X671" s="1101"/>
      <c r="Y671" s="1102"/>
      <c r="Z671" s="1102"/>
      <c r="AA671" s="1101"/>
    </row>
    <row r="672" ht="15.75" customHeight="1">
      <c r="A672" s="213"/>
      <c r="B672" s="213"/>
      <c r="C672" s="1101"/>
      <c r="D672" s="1101"/>
      <c r="E672" s="1101"/>
      <c r="F672" s="1101"/>
      <c r="G672" s="1101"/>
      <c r="H672" s="1101"/>
      <c r="I672" s="1101"/>
      <c r="J672" s="1101"/>
      <c r="K672" s="1101"/>
      <c r="L672" s="1101"/>
      <c r="M672" s="1101"/>
      <c r="N672" s="1101"/>
      <c r="O672" s="1101"/>
      <c r="P672" s="1101"/>
      <c r="Q672" s="1101"/>
      <c r="R672" s="1101"/>
      <c r="S672" s="1101"/>
      <c r="T672" s="1101"/>
      <c r="U672" s="1101"/>
      <c r="V672" s="1101"/>
      <c r="W672" s="1101"/>
      <c r="X672" s="1101"/>
      <c r="Y672" s="1102"/>
      <c r="Z672" s="1102"/>
      <c r="AA672" s="1101"/>
    </row>
    <row r="673" ht="15.75" customHeight="1">
      <c r="A673" s="213"/>
      <c r="B673" s="213"/>
      <c r="C673" s="1101"/>
      <c r="D673" s="1101"/>
      <c r="E673" s="1101"/>
      <c r="F673" s="1101"/>
      <c r="G673" s="1101"/>
      <c r="H673" s="1101"/>
      <c r="I673" s="1101"/>
      <c r="J673" s="1101"/>
      <c r="K673" s="1101"/>
      <c r="L673" s="1101"/>
      <c r="M673" s="1101"/>
      <c r="N673" s="1101"/>
      <c r="O673" s="1101"/>
      <c r="P673" s="1101"/>
      <c r="Q673" s="1101"/>
      <c r="R673" s="1101"/>
      <c r="S673" s="1101"/>
      <c r="T673" s="1101"/>
      <c r="U673" s="1101"/>
      <c r="V673" s="1101"/>
      <c r="W673" s="1101"/>
      <c r="X673" s="1101"/>
      <c r="Y673" s="1102"/>
      <c r="Z673" s="1102"/>
      <c r="AA673" s="1101"/>
    </row>
    <row r="674" ht="15.75" customHeight="1">
      <c r="A674" s="213"/>
      <c r="B674" s="213"/>
      <c r="C674" s="1101"/>
      <c r="D674" s="1101"/>
      <c r="E674" s="1101"/>
      <c r="F674" s="1101"/>
      <c r="G674" s="1101"/>
      <c r="H674" s="1101"/>
      <c r="I674" s="1101"/>
      <c r="J674" s="1101"/>
      <c r="K674" s="1101"/>
      <c r="L674" s="1101"/>
      <c r="M674" s="1101"/>
      <c r="N674" s="1101"/>
      <c r="O674" s="1101"/>
      <c r="P674" s="1101"/>
      <c r="Q674" s="1101"/>
      <c r="R674" s="1101"/>
      <c r="S674" s="1101"/>
      <c r="T674" s="1101"/>
      <c r="U674" s="1101"/>
      <c r="V674" s="1101"/>
      <c r="W674" s="1101"/>
      <c r="X674" s="1101"/>
      <c r="Y674" s="1102"/>
      <c r="Z674" s="1102"/>
      <c r="AA674" s="1101"/>
    </row>
    <row r="675" ht="15.75" customHeight="1">
      <c r="A675" s="213"/>
      <c r="B675" s="213"/>
      <c r="C675" s="1101"/>
      <c r="D675" s="1101"/>
      <c r="E675" s="1101"/>
      <c r="F675" s="1101"/>
      <c r="G675" s="1101"/>
      <c r="H675" s="1101"/>
      <c r="I675" s="1101"/>
      <c r="J675" s="1101"/>
      <c r="K675" s="1101"/>
      <c r="L675" s="1101"/>
      <c r="M675" s="1101"/>
      <c r="N675" s="1101"/>
      <c r="O675" s="1101"/>
      <c r="P675" s="1101"/>
      <c r="Q675" s="1101"/>
      <c r="R675" s="1101"/>
      <c r="S675" s="1101"/>
      <c r="T675" s="1101"/>
      <c r="U675" s="1101"/>
      <c r="V675" s="1101"/>
      <c r="W675" s="1101"/>
      <c r="X675" s="1101"/>
      <c r="Y675" s="1102"/>
      <c r="Z675" s="1102"/>
      <c r="AA675" s="1101"/>
    </row>
    <row r="676" ht="15.75" customHeight="1">
      <c r="A676" s="213"/>
      <c r="B676" s="213"/>
      <c r="C676" s="1101"/>
      <c r="D676" s="1101"/>
      <c r="E676" s="1101"/>
      <c r="F676" s="1101"/>
      <c r="G676" s="1101"/>
      <c r="H676" s="1101"/>
      <c r="I676" s="1101"/>
      <c r="J676" s="1101"/>
      <c r="K676" s="1101"/>
      <c r="L676" s="1101"/>
      <c r="M676" s="1101"/>
      <c r="N676" s="1101"/>
      <c r="O676" s="1101"/>
      <c r="P676" s="1101"/>
      <c r="Q676" s="1101"/>
      <c r="R676" s="1101"/>
      <c r="S676" s="1101"/>
      <c r="T676" s="1101"/>
      <c r="U676" s="1101"/>
      <c r="V676" s="1101"/>
      <c r="W676" s="1101"/>
      <c r="X676" s="1101"/>
      <c r="Y676" s="1102"/>
      <c r="Z676" s="1102"/>
      <c r="AA676" s="1101"/>
    </row>
    <row r="677" ht="15.75" customHeight="1">
      <c r="A677" s="213"/>
      <c r="B677" s="213"/>
      <c r="C677" s="1101"/>
      <c r="D677" s="1101"/>
      <c r="E677" s="1101"/>
      <c r="F677" s="1101"/>
      <c r="G677" s="1101"/>
      <c r="H677" s="1101"/>
      <c r="I677" s="1101"/>
      <c r="J677" s="1101"/>
      <c r="K677" s="1101"/>
      <c r="L677" s="1101"/>
      <c r="M677" s="1101"/>
      <c r="N677" s="1101"/>
      <c r="O677" s="1101"/>
      <c r="P677" s="1101"/>
      <c r="Q677" s="1101"/>
      <c r="R677" s="1101"/>
      <c r="S677" s="1101"/>
      <c r="T677" s="1101"/>
      <c r="U677" s="1101"/>
      <c r="V677" s="1101"/>
      <c r="W677" s="1101"/>
      <c r="X677" s="1101"/>
      <c r="Y677" s="1102"/>
      <c r="Z677" s="1102"/>
      <c r="AA677" s="1101"/>
    </row>
    <row r="678" ht="15.75" customHeight="1">
      <c r="A678" s="213"/>
      <c r="B678" s="213"/>
      <c r="C678" s="1101"/>
      <c r="D678" s="1101"/>
      <c r="E678" s="1101"/>
      <c r="F678" s="1101"/>
      <c r="G678" s="1101"/>
      <c r="H678" s="1101"/>
      <c r="I678" s="1101"/>
      <c r="J678" s="1101"/>
      <c r="K678" s="1101"/>
      <c r="L678" s="1101"/>
      <c r="M678" s="1101"/>
      <c r="N678" s="1101"/>
      <c r="O678" s="1101"/>
      <c r="P678" s="1101"/>
      <c r="Q678" s="1101"/>
      <c r="R678" s="1101"/>
      <c r="S678" s="1101"/>
      <c r="T678" s="1101"/>
      <c r="U678" s="1101"/>
      <c r="V678" s="1101"/>
      <c r="W678" s="1101"/>
      <c r="X678" s="1101"/>
      <c r="Y678" s="1102"/>
      <c r="Z678" s="1102"/>
      <c r="AA678" s="1101"/>
    </row>
    <row r="679" ht="15.75" customHeight="1">
      <c r="A679" s="213"/>
      <c r="B679" s="213"/>
      <c r="C679" s="1101"/>
      <c r="D679" s="1101"/>
      <c r="E679" s="1101"/>
      <c r="F679" s="1101"/>
      <c r="G679" s="1101"/>
      <c r="H679" s="1101"/>
      <c r="I679" s="1101"/>
      <c r="J679" s="1101"/>
      <c r="K679" s="1101"/>
      <c r="L679" s="1101"/>
      <c r="M679" s="1101"/>
      <c r="N679" s="1101"/>
      <c r="O679" s="1101"/>
      <c r="P679" s="1101"/>
      <c r="Q679" s="1101"/>
      <c r="R679" s="1101"/>
      <c r="S679" s="1101"/>
      <c r="T679" s="1101"/>
      <c r="U679" s="1101"/>
      <c r="V679" s="1101"/>
      <c r="W679" s="1101"/>
      <c r="X679" s="1101"/>
      <c r="Y679" s="1102"/>
      <c r="Z679" s="1102"/>
      <c r="AA679" s="1101"/>
    </row>
    <row r="680" ht="15.75" customHeight="1">
      <c r="A680" s="213"/>
      <c r="B680" s="213"/>
      <c r="C680" s="1101"/>
      <c r="D680" s="1101"/>
      <c r="E680" s="1101"/>
      <c r="F680" s="1101"/>
      <c r="G680" s="1101"/>
      <c r="H680" s="1101"/>
      <c r="I680" s="1101"/>
      <c r="J680" s="1101"/>
      <c r="K680" s="1101"/>
      <c r="L680" s="1101"/>
      <c r="M680" s="1101"/>
      <c r="N680" s="1101"/>
      <c r="O680" s="1101"/>
      <c r="P680" s="1101"/>
      <c r="Q680" s="1101"/>
      <c r="R680" s="1101"/>
      <c r="S680" s="1101"/>
      <c r="T680" s="1101"/>
      <c r="U680" s="1101"/>
      <c r="V680" s="1101"/>
      <c r="W680" s="1101"/>
      <c r="X680" s="1101"/>
      <c r="Y680" s="1102"/>
      <c r="Z680" s="1102"/>
      <c r="AA680" s="1101"/>
    </row>
    <row r="681" ht="15.75" customHeight="1">
      <c r="A681" s="213"/>
      <c r="B681" s="213"/>
      <c r="C681" s="1101"/>
      <c r="D681" s="1101"/>
      <c r="E681" s="1101"/>
      <c r="F681" s="1101"/>
      <c r="G681" s="1101"/>
      <c r="H681" s="1101"/>
      <c r="I681" s="1101"/>
      <c r="J681" s="1101"/>
      <c r="K681" s="1101"/>
      <c r="L681" s="1101"/>
      <c r="M681" s="1101"/>
      <c r="N681" s="1101"/>
      <c r="O681" s="1101"/>
      <c r="P681" s="1101"/>
      <c r="Q681" s="1101"/>
      <c r="R681" s="1101"/>
      <c r="S681" s="1101"/>
      <c r="T681" s="1101"/>
      <c r="U681" s="1101"/>
      <c r="V681" s="1101"/>
      <c r="W681" s="1101"/>
      <c r="X681" s="1101"/>
      <c r="Y681" s="1102"/>
      <c r="Z681" s="1102"/>
      <c r="AA681" s="1101"/>
    </row>
    <row r="682" ht="15.75" customHeight="1">
      <c r="A682" s="213"/>
      <c r="B682" s="213"/>
      <c r="C682" s="1101"/>
      <c r="D682" s="1101"/>
      <c r="E682" s="1101"/>
      <c r="F682" s="1101"/>
      <c r="G682" s="1101"/>
      <c r="H682" s="1101"/>
      <c r="I682" s="1101"/>
      <c r="J682" s="1101"/>
      <c r="K682" s="1101"/>
      <c r="L682" s="1101"/>
      <c r="M682" s="1101"/>
      <c r="N682" s="1101"/>
      <c r="O682" s="1101"/>
      <c r="P682" s="1101"/>
      <c r="Q682" s="1101"/>
      <c r="R682" s="1101"/>
      <c r="S682" s="1101"/>
      <c r="T682" s="1101"/>
      <c r="U682" s="1101"/>
      <c r="V682" s="1101"/>
      <c r="W682" s="1101"/>
      <c r="X682" s="1101"/>
      <c r="Y682" s="1102"/>
      <c r="Z682" s="1102"/>
      <c r="AA682" s="1101"/>
    </row>
    <row r="683" ht="15.75" customHeight="1">
      <c r="A683" s="213"/>
      <c r="B683" s="213"/>
      <c r="C683" s="1101"/>
      <c r="D683" s="1101"/>
      <c r="E683" s="1101"/>
      <c r="F683" s="1101"/>
      <c r="G683" s="1101"/>
      <c r="H683" s="1101"/>
      <c r="I683" s="1101"/>
      <c r="J683" s="1101"/>
      <c r="K683" s="1101"/>
      <c r="L683" s="1101"/>
      <c r="M683" s="1101"/>
      <c r="N683" s="1101"/>
      <c r="O683" s="1101"/>
      <c r="P683" s="1101"/>
      <c r="Q683" s="1101"/>
      <c r="R683" s="1101"/>
      <c r="S683" s="1101"/>
      <c r="T683" s="1101"/>
      <c r="U683" s="1101"/>
      <c r="V683" s="1101"/>
      <c r="W683" s="1101"/>
      <c r="X683" s="1101"/>
      <c r="Y683" s="1102"/>
      <c r="Z683" s="1102"/>
      <c r="AA683" s="1101"/>
    </row>
    <row r="684" ht="15.75" customHeight="1">
      <c r="A684" s="213"/>
      <c r="B684" s="213"/>
      <c r="C684" s="1101"/>
      <c r="D684" s="1101"/>
      <c r="E684" s="1101"/>
      <c r="F684" s="1101"/>
      <c r="G684" s="1101"/>
      <c r="H684" s="1101"/>
      <c r="I684" s="1101"/>
      <c r="J684" s="1101"/>
      <c r="K684" s="1101"/>
      <c r="L684" s="1101"/>
      <c r="M684" s="1101"/>
      <c r="N684" s="1101"/>
      <c r="O684" s="1101"/>
      <c r="P684" s="1101"/>
      <c r="Q684" s="1101"/>
      <c r="R684" s="1101"/>
      <c r="S684" s="1101"/>
      <c r="T684" s="1101"/>
      <c r="U684" s="1101"/>
      <c r="V684" s="1101"/>
      <c r="W684" s="1101"/>
      <c r="X684" s="1101"/>
      <c r="Y684" s="1102"/>
      <c r="Z684" s="1102"/>
      <c r="AA684" s="1101"/>
    </row>
    <row r="685" ht="15.75" customHeight="1">
      <c r="A685" s="213"/>
      <c r="B685" s="213"/>
      <c r="C685" s="1101"/>
      <c r="D685" s="1101"/>
      <c r="E685" s="1101"/>
      <c r="F685" s="1101"/>
      <c r="G685" s="1101"/>
      <c r="H685" s="1101"/>
      <c r="I685" s="1101"/>
      <c r="J685" s="1101"/>
      <c r="K685" s="1101"/>
      <c r="L685" s="1101"/>
      <c r="M685" s="1101"/>
      <c r="N685" s="1101"/>
      <c r="O685" s="1101"/>
      <c r="P685" s="1101"/>
      <c r="Q685" s="1101"/>
      <c r="R685" s="1101"/>
      <c r="S685" s="1101"/>
      <c r="T685" s="1101"/>
      <c r="U685" s="1101"/>
      <c r="V685" s="1101"/>
      <c r="W685" s="1101"/>
      <c r="X685" s="1101"/>
      <c r="Y685" s="1102"/>
      <c r="Z685" s="1102"/>
      <c r="AA685" s="1101"/>
    </row>
    <row r="686" ht="15.75" customHeight="1">
      <c r="A686" s="213"/>
      <c r="B686" s="213"/>
      <c r="C686" s="1101"/>
      <c r="D686" s="1101"/>
      <c r="E686" s="1101"/>
      <c r="F686" s="1101"/>
      <c r="G686" s="1101"/>
      <c r="H686" s="1101"/>
      <c r="I686" s="1101"/>
      <c r="J686" s="1101"/>
      <c r="K686" s="1101"/>
      <c r="L686" s="1101"/>
      <c r="M686" s="1101"/>
      <c r="N686" s="1101"/>
      <c r="O686" s="1101"/>
      <c r="P686" s="1101"/>
      <c r="Q686" s="1101"/>
      <c r="R686" s="1101"/>
      <c r="S686" s="1101"/>
      <c r="T686" s="1101"/>
      <c r="U686" s="1101"/>
      <c r="V686" s="1101"/>
      <c r="W686" s="1101"/>
      <c r="X686" s="1101"/>
      <c r="Y686" s="1102"/>
      <c r="Z686" s="1102"/>
      <c r="AA686" s="1101"/>
    </row>
    <row r="687" ht="15.75" customHeight="1">
      <c r="A687" s="213"/>
      <c r="B687" s="213"/>
      <c r="C687" s="1101"/>
      <c r="D687" s="1101"/>
      <c r="E687" s="1101"/>
      <c r="F687" s="1101"/>
      <c r="G687" s="1101"/>
      <c r="H687" s="1101"/>
      <c r="I687" s="1101"/>
      <c r="J687" s="1101"/>
      <c r="K687" s="1101"/>
      <c r="L687" s="1101"/>
      <c r="M687" s="1101"/>
      <c r="N687" s="1101"/>
      <c r="O687" s="1101"/>
      <c r="P687" s="1101"/>
      <c r="Q687" s="1101"/>
      <c r="R687" s="1101"/>
      <c r="S687" s="1101"/>
      <c r="T687" s="1101"/>
      <c r="U687" s="1101"/>
      <c r="V687" s="1101"/>
      <c r="W687" s="1101"/>
      <c r="X687" s="1101"/>
      <c r="Y687" s="1102"/>
      <c r="Z687" s="1102"/>
      <c r="AA687" s="1101"/>
    </row>
    <row r="688" ht="15.75" customHeight="1">
      <c r="A688" s="213"/>
      <c r="B688" s="213"/>
      <c r="C688" s="1101"/>
      <c r="D688" s="1101"/>
      <c r="E688" s="1101"/>
      <c r="F688" s="1101"/>
      <c r="G688" s="1101"/>
      <c r="H688" s="1101"/>
      <c r="I688" s="1101"/>
      <c r="J688" s="1101"/>
      <c r="K688" s="1101"/>
      <c r="L688" s="1101"/>
      <c r="M688" s="1101"/>
      <c r="N688" s="1101"/>
      <c r="O688" s="1101"/>
      <c r="P688" s="1101"/>
      <c r="Q688" s="1101"/>
      <c r="R688" s="1101"/>
      <c r="S688" s="1101"/>
      <c r="T688" s="1101"/>
      <c r="U688" s="1101"/>
      <c r="V688" s="1101"/>
      <c r="W688" s="1101"/>
      <c r="X688" s="1101"/>
      <c r="Y688" s="1102"/>
      <c r="Z688" s="1102"/>
      <c r="AA688" s="1101"/>
    </row>
    <row r="689" ht="15.75" customHeight="1">
      <c r="A689" s="213"/>
      <c r="B689" s="213"/>
      <c r="C689" s="1101"/>
      <c r="D689" s="1101"/>
      <c r="E689" s="1101"/>
      <c r="F689" s="1101"/>
      <c r="G689" s="1101"/>
      <c r="H689" s="1101"/>
      <c r="I689" s="1101"/>
      <c r="J689" s="1101"/>
      <c r="K689" s="1101"/>
      <c r="L689" s="1101"/>
      <c r="M689" s="1101"/>
      <c r="N689" s="1101"/>
      <c r="O689" s="1101"/>
      <c r="P689" s="1101"/>
      <c r="Q689" s="1101"/>
      <c r="R689" s="1101"/>
      <c r="S689" s="1101"/>
      <c r="T689" s="1101"/>
      <c r="U689" s="1101"/>
      <c r="V689" s="1101"/>
      <c r="W689" s="1101"/>
      <c r="X689" s="1101"/>
      <c r="Y689" s="1102"/>
      <c r="Z689" s="1102"/>
      <c r="AA689" s="1101"/>
    </row>
    <row r="690" ht="15.75" customHeight="1">
      <c r="A690" s="213"/>
      <c r="B690" s="213"/>
      <c r="C690" s="1101"/>
      <c r="D690" s="1101"/>
      <c r="E690" s="1101"/>
      <c r="F690" s="1101"/>
      <c r="G690" s="1101"/>
      <c r="H690" s="1101"/>
      <c r="I690" s="1101"/>
      <c r="J690" s="1101"/>
      <c r="K690" s="1101"/>
      <c r="L690" s="1101"/>
      <c r="M690" s="1101"/>
      <c r="N690" s="1101"/>
      <c r="O690" s="1101"/>
      <c r="P690" s="1101"/>
      <c r="Q690" s="1101"/>
      <c r="R690" s="1101"/>
      <c r="S690" s="1101"/>
      <c r="T690" s="1101"/>
      <c r="U690" s="1101"/>
      <c r="V690" s="1101"/>
      <c r="W690" s="1101"/>
      <c r="X690" s="1101"/>
      <c r="Y690" s="1102"/>
      <c r="Z690" s="1102"/>
      <c r="AA690" s="1101"/>
    </row>
    <row r="691" ht="15.75" customHeight="1">
      <c r="A691" s="213"/>
      <c r="B691" s="213"/>
      <c r="C691" s="1101"/>
      <c r="D691" s="1101"/>
      <c r="E691" s="1101"/>
      <c r="F691" s="1101"/>
      <c r="G691" s="1101"/>
      <c r="H691" s="1101"/>
      <c r="I691" s="1101"/>
      <c r="J691" s="1101"/>
      <c r="K691" s="1101"/>
      <c r="L691" s="1101"/>
      <c r="M691" s="1101"/>
      <c r="N691" s="1101"/>
      <c r="O691" s="1101"/>
      <c r="P691" s="1101"/>
      <c r="Q691" s="1101"/>
      <c r="R691" s="1101"/>
      <c r="S691" s="1101"/>
      <c r="T691" s="1101"/>
      <c r="U691" s="1101"/>
      <c r="V691" s="1101"/>
      <c r="W691" s="1101"/>
      <c r="X691" s="1101"/>
      <c r="Y691" s="1102"/>
      <c r="Z691" s="1102"/>
      <c r="AA691" s="1101"/>
    </row>
    <row r="692" ht="15.75" customHeight="1">
      <c r="A692" s="213"/>
      <c r="B692" s="213"/>
      <c r="C692" s="1101"/>
      <c r="D692" s="1101"/>
      <c r="E692" s="1101"/>
      <c r="F692" s="1101"/>
      <c r="G692" s="1101"/>
      <c r="H692" s="1101"/>
      <c r="I692" s="1101"/>
      <c r="J692" s="1101"/>
      <c r="K692" s="1101"/>
      <c r="L692" s="1101"/>
      <c r="M692" s="1101"/>
      <c r="N692" s="1101"/>
      <c r="O692" s="1101"/>
      <c r="P692" s="1101"/>
      <c r="Q692" s="1101"/>
      <c r="R692" s="1101"/>
      <c r="S692" s="1101"/>
      <c r="T692" s="1101"/>
      <c r="U692" s="1101"/>
      <c r="V692" s="1101"/>
      <c r="W692" s="1101"/>
      <c r="X692" s="1101"/>
      <c r="Y692" s="1102"/>
      <c r="Z692" s="1102"/>
      <c r="AA692" s="1101"/>
    </row>
    <row r="693" ht="15.75" customHeight="1">
      <c r="A693" s="213"/>
      <c r="B693" s="213"/>
      <c r="C693" s="1101"/>
      <c r="D693" s="1101"/>
      <c r="E693" s="1101"/>
      <c r="F693" s="1101"/>
      <c r="G693" s="1101"/>
      <c r="H693" s="1101"/>
      <c r="I693" s="1101"/>
      <c r="J693" s="1101"/>
      <c r="K693" s="1101"/>
      <c r="L693" s="1101"/>
      <c r="M693" s="1101"/>
      <c r="N693" s="1101"/>
      <c r="O693" s="1101"/>
      <c r="P693" s="1101"/>
      <c r="Q693" s="1101"/>
      <c r="R693" s="1101"/>
      <c r="S693" s="1101"/>
      <c r="T693" s="1101"/>
      <c r="U693" s="1101"/>
      <c r="V693" s="1101"/>
      <c r="W693" s="1101"/>
      <c r="X693" s="1101"/>
      <c r="Y693" s="1102"/>
      <c r="Z693" s="1102"/>
      <c r="AA693" s="1101"/>
    </row>
    <row r="694" ht="15.75" customHeight="1">
      <c r="A694" s="213"/>
      <c r="B694" s="213"/>
      <c r="C694" s="1101"/>
      <c r="D694" s="1101"/>
      <c r="E694" s="1101"/>
      <c r="F694" s="1101"/>
      <c r="G694" s="1101"/>
      <c r="H694" s="1101"/>
      <c r="I694" s="1101"/>
      <c r="J694" s="1101"/>
      <c r="K694" s="1101"/>
      <c r="L694" s="1101"/>
      <c r="M694" s="1101"/>
      <c r="N694" s="1101"/>
      <c r="O694" s="1101"/>
      <c r="P694" s="1101"/>
      <c r="Q694" s="1101"/>
      <c r="R694" s="1101"/>
      <c r="S694" s="1101"/>
      <c r="T694" s="1101"/>
      <c r="U694" s="1101"/>
      <c r="V694" s="1101"/>
      <c r="W694" s="1101"/>
      <c r="X694" s="1101"/>
      <c r="Y694" s="1102"/>
      <c r="Z694" s="1102"/>
      <c r="AA694" s="1101"/>
    </row>
    <row r="695" ht="15.75" customHeight="1">
      <c r="A695" s="213"/>
      <c r="B695" s="213"/>
      <c r="C695" s="1101"/>
      <c r="D695" s="1101"/>
      <c r="E695" s="1101"/>
      <c r="F695" s="1101"/>
      <c r="G695" s="1101"/>
      <c r="H695" s="1101"/>
      <c r="I695" s="1101"/>
      <c r="J695" s="1101"/>
      <c r="K695" s="1101"/>
      <c r="L695" s="1101"/>
      <c r="M695" s="1101"/>
      <c r="N695" s="1101"/>
      <c r="O695" s="1101"/>
      <c r="P695" s="1101"/>
      <c r="Q695" s="1101"/>
      <c r="R695" s="1101"/>
      <c r="S695" s="1101"/>
      <c r="T695" s="1101"/>
      <c r="U695" s="1101"/>
      <c r="V695" s="1101"/>
      <c r="W695" s="1101"/>
      <c r="X695" s="1101"/>
      <c r="Y695" s="1102"/>
      <c r="Z695" s="1102"/>
      <c r="AA695" s="1101"/>
    </row>
    <row r="696" ht="15.75" customHeight="1">
      <c r="A696" s="213"/>
      <c r="B696" s="213"/>
      <c r="C696" s="1101"/>
      <c r="D696" s="1101"/>
      <c r="E696" s="1101"/>
      <c r="F696" s="1101"/>
      <c r="G696" s="1101"/>
      <c r="H696" s="1101"/>
      <c r="I696" s="1101"/>
      <c r="J696" s="1101"/>
      <c r="K696" s="1101"/>
      <c r="L696" s="1101"/>
      <c r="M696" s="1101"/>
      <c r="N696" s="1101"/>
      <c r="O696" s="1101"/>
      <c r="P696" s="1101"/>
      <c r="Q696" s="1101"/>
      <c r="R696" s="1101"/>
      <c r="S696" s="1101"/>
      <c r="T696" s="1101"/>
      <c r="U696" s="1101"/>
      <c r="V696" s="1101"/>
      <c r="W696" s="1101"/>
      <c r="X696" s="1101"/>
      <c r="Y696" s="1102"/>
      <c r="Z696" s="1102"/>
      <c r="AA696" s="1101"/>
    </row>
    <row r="697" ht="15.75" customHeight="1">
      <c r="A697" s="213"/>
      <c r="B697" s="213"/>
      <c r="C697" s="1101"/>
      <c r="D697" s="1101"/>
      <c r="E697" s="1101"/>
      <c r="F697" s="1101"/>
      <c r="G697" s="1101"/>
      <c r="H697" s="1101"/>
      <c r="I697" s="1101"/>
      <c r="J697" s="1101"/>
      <c r="K697" s="1101"/>
      <c r="L697" s="1101"/>
      <c r="M697" s="1101"/>
      <c r="N697" s="1101"/>
      <c r="O697" s="1101"/>
      <c r="P697" s="1101"/>
      <c r="Q697" s="1101"/>
      <c r="R697" s="1101"/>
      <c r="S697" s="1101"/>
      <c r="T697" s="1101"/>
      <c r="U697" s="1101"/>
      <c r="V697" s="1101"/>
      <c r="W697" s="1101"/>
      <c r="X697" s="1101"/>
      <c r="Y697" s="1102"/>
      <c r="Z697" s="1102"/>
      <c r="AA697" s="1101"/>
    </row>
    <row r="698" ht="15.75" customHeight="1">
      <c r="A698" s="213"/>
      <c r="B698" s="213"/>
      <c r="C698" s="1101"/>
      <c r="D698" s="1101"/>
      <c r="E698" s="1101"/>
      <c r="F698" s="1101"/>
      <c r="G698" s="1101"/>
      <c r="H698" s="1101"/>
      <c r="I698" s="1101"/>
      <c r="J698" s="1101"/>
      <c r="K698" s="1101"/>
      <c r="L698" s="1101"/>
      <c r="M698" s="1101"/>
      <c r="N698" s="1101"/>
      <c r="O698" s="1101"/>
      <c r="P698" s="1101"/>
      <c r="Q698" s="1101"/>
      <c r="R698" s="1101"/>
      <c r="S698" s="1101"/>
      <c r="T698" s="1101"/>
      <c r="U698" s="1101"/>
      <c r="V698" s="1101"/>
      <c r="W698" s="1101"/>
      <c r="X698" s="1101"/>
      <c r="Y698" s="1102"/>
      <c r="Z698" s="1102"/>
      <c r="AA698" s="1101"/>
    </row>
    <row r="699" ht="15.75" customHeight="1">
      <c r="A699" s="213"/>
      <c r="B699" s="213"/>
      <c r="C699" s="1101"/>
      <c r="D699" s="1101"/>
      <c r="E699" s="1101"/>
      <c r="F699" s="1101"/>
      <c r="G699" s="1101"/>
      <c r="H699" s="1101"/>
      <c r="I699" s="1101"/>
      <c r="J699" s="1101"/>
      <c r="K699" s="1101"/>
      <c r="L699" s="1101"/>
      <c r="M699" s="1101"/>
      <c r="N699" s="1101"/>
      <c r="O699" s="1101"/>
      <c r="P699" s="1101"/>
      <c r="Q699" s="1101"/>
      <c r="R699" s="1101"/>
      <c r="S699" s="1101"/>
      <c r="T699" s="1101"/>
      <c r="U699" s="1101"/>
      <c r="V699" s="1101"/>
      <c r="W699" s="1101"/>
      <c r="X699" s="1101"/>
      <c r="Y699" s="1102"/>
      <c r="Z699" s="1102"/>
      <c r="AA699" s="1101"/>
    </row>
    <row r="700" ht="15.75" customHeight="1">
      <c r="A700" s="213"/>
      <c r="B700" s="213"/>
      <c r="C700" s="1101"/>
      <c r="D700" s="1101"/>
      <c r="E700" s="1101"/>
      <c r="F700" s="1101"/>
      <c r="G700" s="1101"/>
      <c r="H700" s="1101"/>
      <c r="I700" s="1101"/>
      <c r="J700" s="1101"/>
      <c r="K700" s="1101"/>
      <c r="L700" s="1101"/>
      <c r="M700" s="1101"/>
      <c r="N700" s="1101"/>
      <c r="O700" s="1101"/>
      <c r="P700" s="1101"/>
      <c r="Q700" s="1101"/>
      <c r="R700" s="1101"/>
      <c r="S700" s="1101"/>
      <c r="T700" s="1101"/>
      <c r="U700" s="1101"/>
      <c r="V700" s="1101"/>
      <c r="W700" s="1101"/>
      <c r="X700" s="1101"/>
      <c r="Y700" s="1102"/>
      <c r="Z700" s="1102"/>
      <c r="AA700" s="1101"/>
    </row>
    <row r="701" ht="15.75" customHeight="1">
      <c r="A701" s="213"/>
      <c r="B701" s="213"/>
      <c r="C701" s="1101"/>
      <c r="D701" s="1101"/>
      <c r="E701" s="1101"/>
      <c r="F701" s="1101"/>
      <c r="G701" s="1101"/>
      <c r="H701" s="1101"/>
      <c r="I701" s="1101"/>
      <c r="J701" s="1101"/>
      <c r="K701" s="1101"/>
      <c r="L701" s="1101"/>
      <c r="M701" s="1101"/>
      <c r="N701" s="1101"/>
      <c r="O701" s="1101"/>
      <c r="P701" s="1101"/>
      <c r="Q701" s="1101"/>
      <c r="R701" s="1101"/>
      <c r="S701" s="1101"/>
      <c r="T701" s="1101"/>
      <c r="U701" s="1101"/>
      <c r="V701" s="1101"/>
      <c r="W701" s="1101"/>
      <c r="X701" s="1101"/>
      <c r="Y701" s="1102"/>
      <c r="Z701" s="1102"/>
      <c r="AA701" s="1101"/>
    </row>
    <row r="702" ht="15.75" customHeight="1">
      <c r="A702" s="213"/>
      <c r="B702" s="213"/>
      <c r="C702" s="1101"/>
      <c r="D702" s="1101"/>
      <c r="E702" s="1101"/>
      <c r="F702" s="1101"/>
      <c r="G702" s="1101"/>
      <c r="H702" s="1101"/>
      <c r="I702" s="1101"/>
      <c r="J702" s="1101"/>
      <c r="K702" s="1101"/>
      <c r="L702" s="1101"/>
      <c r="M702" s="1101"/>
      <c r="N702" s="1101"/>
      <c r="O702" s="1101"/>
      <c r="P702" s="1101"/>
      <c r="Q702" s="1101"/>
      <c r="R702" s="1101"/>
      <c r="S702" s="1101"/>
      <c r="T702" s="1101"/>
      <c r="U702" s="1101"/>
      <c r="V702" s="1101"/>
      <c r="W702" s="1101"/>
      <c r="X702" s="1101"/>
      <c r="Y702" s="1102"/>
      <c r="Z702" s="1102"/>
      <c r="AA702" s="1101"/>
    </row>
    <row r="703" ht="15.75" customHeight="1">
      <c r="A703" s="213"/>
      <c r="B703" s="213"/>
      <c r="C703" s="1101"/>
      <c r="D703" s="1101"/>
      <c r="E703" s="1101"/>
      <c r="F703" s="1101"/>
      <c r="G703" s="1101"/>
      <c r="H703" s="1101"/>
      <c r="I703" s="1101"/>
      <c r="J703" s="1101"/>
      <c r="K703" s="1101"/>
      <c r="L703" s="1101"/>
      <c r="M703" s="1101"/>
      <c r="N703" s="1101"/>
      <c r="O703" s="1101"/>
      <c r="P703" s="1101"/>
      <c r="Q703" s="1101"/>
      <c r="R703" s="1101"/>
      <c r="S703" s="1101"/>
      <c r="T703" s="1101"/>
      <c r="U703" s="1101"/>
      <c r="V703" s="1101"/>
      <c r="W703" s="1101"/>
      <c r="X703" s="1101"/>
      <c r="Y703" s="1102"/>
      <c r="Z703" s="1102"/>
      <c r="AA703" s="1101"/>
    </row>
    <row r="704" ht="15.75" customHeight="1">
      <c r="A704" s="213"/>
      <c r="B704" s="213"/>
      <c r="C704" s="1101"/>
      <c r="D704" s="1101"/>
      <c r="E704" s="1101"/>
      <c r="F704" s="1101"/>
      <c r="G704" s="1101"/>
      <c r="H704" s="1101"/>
      <c r="I704" s="1101"/>
      <c r="J704" s="1101"/>
      <c r="K704" s="1101"/>
      <c r="L704" s="1101"/>
      <c r="M704" s="1101"/>
      <c r="N704" s="1101"/>
      <c r="O704" s="1101"/>
      <c r="P704" s="1101"/>
      <c r="Q704" s="1101"/>
      <c r="R704" s="1101"/>
      <c r="S704" s="1101"/>
      <c r="T704" s="1101"/>
      <c r="U704" s="1101"/>
      <c r="V704" s="1101"/>
      <c r="W704" s="1101"/>
      <c r="X704" s="1101"/>
      <c r="Y704" s="1102"/>
      <c r="Z704" s="1102"/>
      <c r="AA704" s="1101"/>
    </row>
    <row r="705" ht="15.75" customHeight="1">
      <c r="A705" s="213"/>
      <c r="B705" s="213"/>
      <c r="C705" s="1101"/>
      <c r="D705" s="1101"/>
      <c r="E705" s="1101"/>
      <c r="F705" s="1101"/>
      <c r="G705" s="1101"/>
      <c r="H705" s="1101"/>
      <c r="I705" s="1101"/>
      <c r="J705" s="1101"/>
      <c r="K705" s="1101"/>
      <c r="L705" s="1101"/>
      <c r="M705" s="1101"/>
      <c r="N705" s="1101"/>
      <c r="O705" s="1101"/>
      <c r="P705" s="1101"/>
      <c r="Q705" s="1101"/>
      <c r="R705" s="1101"/>
      <c r="S705" s="1101"/>
      <c r="T705" s="1101"/>
      <c r="U705" s="1101"/>
      <c r="V705" s="1101"/>
      <c r="W705" s="1101"/>
      <c r="X705" s="1101"/>
      <c r="Y705" s="1102"/>
      <c r="Z705" s="1102"/>
      <c r="AA705" s="1101"/>
    </row>
    <row r="706" ht="15.75" customHeight="1">
      <c r="A706" s="213"/>
      <c r="B706" s="213"/>
      <c r="C706" s="1101"/>
      <c r="D706" s="1101"/>
      <c r="E706" s="1101"/>
      <c r="F706" s="1101"/>
      <c r="G706" s="1101"/>
      <c r="H706" s="1101"/>
      <c r="I706" s="1101"/>
      <c r="J706" s="1101"/>
      <c r="K706" s="1101"/>
      <c r="L706" s="1101"/>
      <c r="M706" s="1101"/>
      <c r="N706" s="1101"/>
      <c r="O706" s="1101"/>
      <c r="P706" s="1101"/>
      <c r="Q706" s="1101"/>
      <c r="R706" s="1101"/>
      <c r="S706" s="1101"/>
      <c r="T706" s="1101"/>
      <c r="U706" s="1101"/>
      <c r="V706" s="1101"/>
      <c r="W706" s="1101"/>
      <c r="X706" s="1101"/>
      <c r="Y706" s="1102"/>
      <c r="Z706" s="1102"/>
      <c r="AA706" s="1101"/>
    </row>
    <row r="707" ht="15.75" customHeight="1">
      <c r="A707" s="213"/>
      <c r="B707" s="213"/>
      <c r="C707" s="1101"/>
      <c r="D707" s="1101"/>
      <c r="E707" s="1101"/>
      <c r="F707" s="1101"/>
      <c r="G707" s="1101"/>
      <c r="H707" s="1101"/>
      <c r="I707" s="1101"/>
      <c r="J707" s="1101"/>
      <c r="K707" s="1101"/>
      <c r="L707" s="1101"/>
      <c r="M707" s="1101"/>
      <c r="N707" s="1101"/>
      <c r="O707" s="1101"/>
      <c r="P707" s="1101"/>
      <c r="Q707" s="1101"/>
      <c r="R707" s="1101"/>
      <c r="S707" s="1101"/>
      <c r="T707" s="1101"/>
      <c r="U707" s="1101"/>
      <c r="V707" s="1101"/>
      <c r="W707" s="1101"/>
      <c r="X707" s="1101"/>
      <c r="Y707" s="1102"/>
      <c r="Z707" s="1102"/>
      <c r="AA707" s="1101"/>
    </row>
    <row r="708" ht="15.75" customHeight="1">
      <c r="A708" s="213"/>
      <c r="B708" s="213"/>
      <c r="C708" s="1101"/>
      <c r="D708" s="1101"/>
      <c r="E708" s="1101"/>
      <c r="F708" s="1101"/>
      <c r="G708" s="1101"/>
      <c r="H708" s="1101"/>
      <c r="I708" s="1101"/>
      <c r="J708" s="1101"/>
      <c r="K708" s="1101"/>
      <c r="L708" s="1101"/>
      <c r="M708" s="1101"/>
      <c r="N708" s="1101"/>
      <c r="O708" s="1101"/>
      <c r="P708" s="1101"/>
      <c r="Q708" s="1101"/>
      <c r="R708" s="1101"/>
      <c r="S708" s="1101"/>
      <c r="T708" s="1101"/>
      <c r="U708" s="1101"/>
      <c r="V708" s="1101"/>
      <c r="W708" s="1101"/>
      <c r="X708" s="1101"/>
      <c r="Y708" s="1102"/>
      <c r="Z708" s="1102"/>
      <c r="AA708" s="1101"/>
    </row>
    <row r="709" ht="15.75" customHeight="1">
      <c r="A709" s="213"/>
      <c r="B709" s="213"/>
      <c r="C709" s="1101"/>
      <c r="D709" s="1101"/>
      <c r="E709" s="1101"/>
      <c r="F709" s="1101"/>
      <c r="G709" s="1101"/>
      <c r="H709" s="1101"/>
      <c r="I709" s="1101"/>
      <c r="J709" s="1101"/>
      <c r="K709" s="1101"/>
      <c r="L709" s="1101"/>
      <c r="M709" s="1101"/>
      <c r="N709" s="1101"/>
      <c r="O709" s="1101"/>
      <c r="P709" s="1101"/>
      <c r="Q709" s="1101"/>
      <c r="R709" s="1101"/>
      <c r="S709" s="1101"/>
      <c r="T709" s="1101"/>
      <c r="U709" s="1101"/>
      <c r="V709" s="1101"/>
      <c r="W709" s="1101"/>
      <c r="X709" s="1101"/>
      <c r="Y709" s="1102"/>
      <c r="Z709" s="1102"/>
      <c r="AA709" s="1101"/>
    </row>
    <row r="710" ht="15.75" customHeight="1">
      <c r="A710" s="213"/>
      <c r="B710" s="213"/>
      <c r="C710" s="1101"/>
      <c r="D710" s="1101"/>
      <c r="E710" s="1101"/>
      <c r="F710" s="1101"/>
      <c r="G710" s="1101"/>
      <c r="H710" s="1101"/>
      <c r="I710" s="1101"/>
      <c r="J710" s="1101"/>
      <c r="K710" s="1101"/>
      <c r="L710" s="1101"/>
      <c r="M710" s="1101"/>
      <c r="N710" s="1101"/>
      <c r="O710" s="1101"/>
      <c r="P710" s="1101"/>
      <c r="Q710" s="1101"/>
      <c r="R710" s="1101"/>
      <c r="S710" s="1101"/>
      <c r="T710" s="1101"/>
      <c r="U710" s="1101"/>
      <c r="V710" s="1101"/>
      <c r="W710" s="1101"/>
      <c r="X710" s="1101"/>
      <c r="Y710" s="1102"/>
      <c r="Z710" s="1102"/>
      <c r="AA710" s="1101"/>
    </row>
    <row r="711" ht="15.75" customHeight="1">
      <c r="A711" s="213"/>
      <c r="B711" s="213"/>
      <c r="C711" s="1101"/>
      <c r="D711" s="1101"/>
      <c r="E711" s="1101"/>
      <c r="F711" s="1101"/>
      <c r="G711" s="1101"/>
      <c r="H711" s="1101"/>
      <c r="I711" s="1101"/>
      <c r="J711" s="1101"/>
      <c r="K711" s="1101"/>
      <c r="L711" s="1101"/>
      <c r="M711" s="1101"/>
      <c r="N711" s="1101"/>
      <c r="O711" s="1101"/>
      <c r="P711" s="1101"/>
      <c r="Q711" s="1101"/>
      <c r="R711" s="1101"/>
      <c r="S711" s="1101"/>
      <c r="T711" s="1101"/>
      <c r="U711" s="1101"/>
      <c r="V711" s="1101"/>
      <c r="W711" s="1101"/>
      <c r="X711" s="1101"/>
      <c r="Y711" s="1102"/>
      <c r="Z711" s="1102"/>
      <c r="AA711" s="1101"/>
    </row>
    <row r="712" ht="15.75" customHeight="1">
      <c r="A712" s="213"/>
      <c r="B712" s="213"/>
      <c r="C712" s="1101"/>
      <c r="D712" s="1101"/>
      <c r="E712" s="1101"/>
      <c r="F712" s="1101"/>
      <c r="G712" s="1101"/>
      <c r="H712" s="1101"/>
      <c r="I712" s="1101"/>
      <c r="J712" s="1101"/>
      <c r="K712" s="1101"/>
      <c r="L712" s="1101"/>
      <c r="M712" s="1101"/>
      <c r="N712" s="1101"/>
      <c r="O712" s="1101"/>
      <c r="P712" s="1101"/>
      <c r="Q712" s="1101"/>
      <c r="R712" s="1101"/>
      <c r="S712" s="1101"/>
      <c r="T712" s="1101"/>
      <c r="U712" s="1101"/>
      <c r="V712" s="1101"/>
      <c r="W712" s="1101"/>
      <c r="X712" s="1101"/>
      <c r="Y712" s="1102"/>
      <c r="Z712" s="1102"/>
      <c r="AA712" s="1101"/>
    </row>
    <row r="713" ht="15.75" customHeight="1">
      <c r="A713" s="213"/>
      <c r="B713" s="213"/>
      <c r="C713" s="1101"/>
      <c r="D713" s="1101"/>
      <c r="E713" s="1101"/>
      <c r="F713" s="1101"/>
      <c r="G713" s="1101"/>
      <c r="H713" s="1101"/>
      <c r="I713" s="1101"/>
      <c r="J713" s="1101"/>
      <c r="K713" s="1101"/>
      <c r="L713" s="1101"/>
      <c r="M713" s="1101"/>
      <c r="N713" s="1101"/>
      <c r="O713" s="1101"/>
      <c r="P713" s="1101"/>
      <c r="Q713" s="1101"/>
      <c r="R713" s="1101"/>
      <c r="S713" s="1101"/>
      <c r="T713" s="1101"/>
      <c r="U713" s="1101"/>
      <c r="V713" s="1101"/>
      <c r="W713" s="1101"/>
      <c r="X713" s="1101"/>
      <c r="Y713" s="1102"/>
      <c r="Z713" s="1102"/>
      <c r="AA713" s="1101"/>
    </row>
    <row r="714" ht="15.75" customHeight="1">
      <c r="A714" s="213"/>
      <c r="B714" s="213"/>
      <c r="C714" s="1101"/>
      <c r="D714" s="1101"/>
      <c r="E714" s="1101"/>
      <c r="F714" s="1101"/>
      <c r="G714" s="1101"/>
      <c r="H714" s="1101"/>
      <c r="I714" s="1101"/>
      <c r="J714" s="1101"/>
      <c r="K714" s="1101"/>
      <c r="L714" s="1101"/>
      <c r="M714" s="1101"/>
      <c r="N714" s="1101"/>
      <c r="O714" s="1101"/>
      <c r="P714" s="1101"/>
      <c r="Q714" s="1101"/>
      <c r="R714" s="1101"/>
      <c r="S714" s="1101"/>
      <c r="T714" s="1101"/>
      <c r="U714" s="1101"/>
      <c r="V714" s="1101"/>
      <c r="W714" s="1101"/>
      <c r="X714" s="1101"/>
      <c r="Y714" s="1102"/>
      <c r="Z714" s="1102"/>
      <c r="AA714" s="1101"/>
    </row>
    <row r="715" ht="15.75" customHeight="1">
      <c r="A715" s="213"/>
      <c r="B715" s="213"/>
      <c r="C715" s="1101"/>
      <c r="D715" s="1101"/>
      <c r="E715" s="1101"/>
      <c r="F715" s="1101"/>
      <c r="G715" s="1101"/>
      <c r="H715" s="1101"/>
      <c r="I715" s="1101"/>
      <c r="J715" s="1101"/>
      <c r="K715" s="1101"/>
      <c r="L715" s="1101"/>
      <c r="M715" s="1101"/>
      <c r="N715" s="1101"/>
      <c r="O715" s="1101"/>
      <c r="P715" s="1101"/>
      <c r="Q715" s="1101"/>
      <c r="R715" s="1101"/>
      <c r="S715" s="1101"/>
      <c r="T715" s="1101"/>
      <c r="U715" s="1101"/>
      <c r="V715" s="1101"/>
      <c r="W715" s="1101"/>
      <c r="X715" s="1101"/>
      <c r="Y715" s="1102"/>
      <c r="Z715" s="1102"/>
      <c r="AA715" s="1101"/>
    </row>
    <row r="716" ht="15.75" customHeight="1">
      <c r="A716" s="213"/>
      <c r="B716" s="213"/>
      <c r="C716" s="1101"/>
      <c r="D716" s="1101"/>
      <c r="E716" s="1101"/>
      <c r="F716" s="1101"/>
      <c r="G716" s="1101"/>
      <c r="H716" s="1101"/>
      <c r="I716" s="1101"/>
      <c r="J716" s="1101"/>
      <c r="K716" s="1101"/>
      <c r="L716" s="1101"/>
      <c r="M716" s="1101"/>
      <c r="N716" s="1101"/>
      <c r="O716" s="1101"/>
      <c r="P716" s="1101"/>
      <c r="Q716" s="1101"/>
      <c r="R716" s="1101"/>
      <c r="S716" s="1101"/>
      <c r="T716" s="1101"/>
      <c r="U716" s="1101"/>
      <c r="V716" s="1101"/>
      <c r="W716" s="1101"/>
      <c r="X716" s="1101"/>
      <c r="Y716" s="1102"/>
      <c r="Z716" s="1102"/>
      <c r="AA716" s="1101"/>
    </row>
    <row r="717" ht="15.75" customHeight="1">
      <c r="A717" s="213"/>
      <c r="B717" s="213"/>
      <c r="C717" s="1101"/>
      <c r="D717" s="1101"/>
      <c r="E717" s="1101"/>
      <c r="F717" s="1101"/>
      <c r="G717" s="1101"/>
      <c r="H717" s="1101"/>
      <c r="I717" s="1101"/>
      <c r="J717" s="1101"/>
      <c r="K717" s="1101"/>
      <c r="L717" s="1101"/>
      <c r="M717" s="1101"/>
      <c r="N717" s="1101"/>
      <c r="O717" s="1101"/>
      <c r="P717" s="1101"/>
      <c r="Q717" s="1101"/>
      <c r="R717" s="1101"/>
      <c r="S717" s="1101"/>
      <c r="T717" s="1101"/>
      <c r="U717" s="1101"/>
      <c r="V717" s="1101"/>
      <c r="W717" s="1101"/>
      <c r="X717" s="1101"/>
      <c r="Y717" s="1102"/>
      <c r="Z717" s="1102"/>
      <c r="AA717" s="1101"/>
    </row>
    <row r="718" ht="15.75" customHeight="1">
      <c r="A718" s="213"/>
      <c r="B718" s="213"/>
      <c r="C718" s="1101"/>
      <c r="D718" s="1101"/>
      <c r="E718" s="1101"/>
      <c r="F718" s="1101"/>
      <c r="G718" s="1101"/>
      <c r="H718" s="1101"/>
      <c r="I718" s="1101"/>
      <c r="J718" s="1101"/>
      <c r="K718" s="1101"/>
      <c r="L718" s="1101"/>
      <c r="M718" s="1101"/>
      <c r="N718" s="1101"/>
      <c r="O718" s="1101"/>
      <c r="P718" s="1101"/>
      <c r="Q718" s="1101"/>
      <c r="R718" s="1101"/>
      <c r="S718" s="1101"/>
      <c r="T718" s="1101"/>
      <c r="U718" s="1101"/>
      <c r="V718" s="1101"/>
      <c r="W718" s="1101"/>
      <c r="X718" s="1101"/>
      <c r="Y718" s="1102"/>
      <c r="Z718" s="1102"/>
      <c r="AA718" s="1101"/>
    </row>
    <row r="719" ht="15.75" customHeight="1">
      <c r="A719" s="213"/>
      <c r="B719" s="213"/>
      <c r="C719" s="1101"/>
      <c r="D719" s="1101"/>
      <c r="E719" s="1101"/>
      <c r="F719" s="1101"/>
      <c r="G719" s="1101"/>
      <c r="H719" s="1101"/>
      <c r="I719" s="1101"/>
      <c r="J719" s="1101"/>
      <c r="K719" s="1101"/>
      <c r="L719" s="1101"/>
      <c r="M719" s="1101"/>
      <c r="N719" s="1101"/>
      <c r="O719" s="1101"/>
      <c r="P719" s="1101"/>
      <c r="Q719" s="1101"/>
      <c r="R719" s="1101"/>
      <c r="S719" s="1101"/>
      <c r="T719" s="1101"/>
      <c r="U719" s="1101"/>
      <c r="V719" s="1101"/>
      <c r="W719" s="1101"/>
      <c r="X719" s="1101"/>
      <c r="Y719" s="1102"/>
      <c r="Z719" s="1102"/>
      <c r="AA719" s="1101"/>
    </row>
    <row r="720" ht="15.75" customHeight="1">
      <c r="A720" s="213"/>
      <c r="B720" s="213"/>
      <c r="C720" s="1101"/>
      <c r="D720" s="1101"/>
      <c r="E720" s="1101"/>
      <c r="F720" s="1101"/>
      <c r="G720" s="1101"/>
      <c r="H720" s="1101"/>
      <c r="I720" s="1101"/>
      <c r="J720" s="1101"/>
      <c r="K720" s="1101"/>
      <c r="L720" s="1101"/>
      <c r="M720" s="1101"/>
      <c r="N720" s="1101"/>
      <c r="O720" s="1101"/>
      <c r="P720" s="1101"/>
      <c r="Q720" s="1101"/>
      <c r="R720" s="1101"/>
      <c r="S720" s="1101"/>
      <c r="T720" s="1101"/>
      <c r="U720" s="1101"/>
      <c r="V720" s="1101"/>
      <c r="W720" s="1101"/>
      <c r="X720" s="1101"/>
      <c r="Y720" s="1102"/>
      <c r="Z720" s="1102"/>
      <c r="AA720" s="1101"/>
    </row>
    <row r="721" ht="15.75" customHeight="1">
      <c r="A721" s="213"/>
      <c r="B721" s="213"/>
      <c r="C721" s="1101"/>
      <c r="D721" s="1101"/>
      <c r="E721" s="1101"/>
      <c r="F721" s="1101"/>
      <c r="G721" s="1101"/>
      <c r="H721" s="1101"/>
      <c r="I721" s="1101"/>
      <c r="J721" s="1101"/>
      <c r="K721" s="1101"/>
      <c r="L721" s="1101"/>
      <c r="M721" s="1101"/>
      <c r="N721" s="1101"/>
      <c r="O721" s="1101"/>
      <c r="P721" s="1101"/>
      <c r="Q721" s="1101"/>
      <c r="R721" s="1101"/>
      <c r="S721" s="1101"/>
      <c r="T721" s="1101"/>
      <c r="U721" s="1101"/>
      <c r="V721" s="1101"/>
      <c r="W721" s="1101"/>
      <c r="X721" s="1101"/>
      <c r="Y721" s="1102"/>
      <c r="Z721" s="1102"/>
      <c r="AA721" s="1101"/>
    </row>
    <row r="722" ht="15.75" customHeight="1">
      <c r="A722" s="213"/>
      <c r="B722" s="213"/>
      <c r="C722" s="1101"/>
      <c r="D722" s="1101"/>
      <c r="E722" s="1101"/>
      <c r="F722" s="1101"/>
      <c r="G722" s="1101"/>
      <c r="H722" s="1101"/>
      <c r="I722" s="1101"/>
      <c r="J722" s="1101"/>
      <c r="K722" s="1101"/>
      <c r="L722" s="1101"/>
      <c r="M722" s="1101"/>
      <c r="N722" s="1101"/>
      <c r="O722" s="1101"/>
      <c r="P722" s="1101"/>
      <c r="Q722" s="1101"/>
      <c r="R722" s="1101"/>
      <c r="S722" s="1101"/>
      <c r="T722" s="1101"/>
      <c r="U722" s="1101"/>
      <c r="V722" s="1101"/>
      <c r="W722" s="1101"/>
      <c r="X722" s="1101"/>
      <c r="Y722" s="1102"/>
      <c r="Z722" s="1102"/>
      <c r="AA722" s="1101"/>
    </row>
    <row r="723" ht="15.75" customHeight="1">
      <c r="A723" s="213"/>
      <c r="B723" s="213"/>
      <c r="C723" s="1101"/>
      <c r="D723" s="1101"/>
      <c r="E723" s="1101"/>
      <c r="F723" s="1101"/>
      <c r="G723" s="1101"/>
      <c r="H723" s="1101"/>
      <c r="I723" s="1101"/>
      <c r="J723" s="1101"/>
      <c r="K723" s="1101"/>
      <c r="L723" s="1101"/>
      <c r="M723" s="1101"/>
      <c r="N723" s="1101"/>
      <c r="O723" s="1101"/>
      <c r="P723" s="1101"/>
      <c r="Q723" s="1101"/>
      <c r="R723" s="1101"/>
      <c r="S723" s="1101"/>
      <c r="T723" s="1101"/>
      <c r="U723" s="1101"/>
      <c r="V723" s="1101"/>
      <c r="W723" s="1101"/>
      <c r="X723" s="1101"/>
      <c r="Y723" s="1102"/>
      <c r="Z723" s="1102"/>
      <c r="AA723" s="1101"/>
    </row>
    <row r="724" ht="15.75" customHeight="1">
      <c r="A724" s="213"/>
      <c r="B724" s="213"/>
      <c r="C724" s="1101"/>
      <c r="D724" s="1101"/>
      <c r="E724" s="1101"/>
      <c r="F724" s="1101"/>
      <c r="G724" s="1101"/>
      <c r="H724" s="1101"/>
      <c r="I724" s="1101"/>
      <c r="J724" s="1101"/>
      <c r="K724" s="1101"/>
      <c r="L724" s="1101"/>
      <c r="M724" s="1101"/>
      <c r="N724" s="1101"/>
      <c r="O724" s="1101"/>
      <c r="P724" s="1101"/>
      <c r="Q724" s="1101"/>
      <c r="R724" s="1101"/>
      <c r="S724" s="1101"/>
      <c r="T724" s="1101"/>
      <c r="U724" s="1101"/>
      <c r="V724" s="1101"/>
      <c r="W724" s="1101"/>
      <c r="X724" s="1101"/>
      <c r="Y724" s="1102"/>
      <c r="Z724" s="1102"/>
      <c r="AA724" s="1101"/>
    </row>
    <row r="725" ht="15.75" customHeight="1">
      <c r="A725" s="213"/>
      <c r="B725" s="213"/>
      <c r="C725" s="1101"/>
      <c r="D725" s="1101"/>
      <c r="E725" s="1101"/>
      <c r="F725" s="1101"/>
      <c r="G725" s="1101"/>
      <c r="H725" s="1101"/>
      <c r="I725" s="1101"/>
      <c r="J725" s="1101"/>
      <c r="K725" s="1101"/>
      <c r="L725" s="1101"/>
      <c r="M725" s="1101"/>
      <c r="N725" s="1101"/>
      <c r="O725" s="1101"/>
      <c r="P725" s="1101"/>
      <c r="Q725" s="1101"/>
      <c r="R725" s="1101"/>
      <c r="S725" s="1101"/>
      <c r="T725" s="1101"/>
      <c r="U725" s="1101"/>
      <c r="V725" s="1101"/>
      <c r="W725" s="1101"/>
      <c r="X725" s="1101"/>
      <c r="Y725" s="1102"/>
      <c r="Z725" s="1102"/>
      <c r="AA725" s="1101"/>
    </row>
    <row r="726" ht="15.75" customHeight="1">
      <c r="A726" s="213"/>
      <c r="B726" s="213"/>
      <c r="C726" s="1101"/>
      <c r="D726" s="1101"/>
      <c r="E726" s="1101"/>
      <c r="F726" s="1101"/>
      <c r="G726" s="1101"/>
      <c r="H726" s="1101"/>
      <c r="I726" s="1101"/>
      <c r="J726" s="1101"/>
      <c r="K726" s="1101"/>
      <c r="L726" s="1101"/>
      <c r="M726" s="1101"/>
      <c r="N726" s="1101"/>
      <c r="O726" s="1101"/>
      <c r="P726" s="1101"/>
      <c r="Q726" s="1101"/>
      <c r="R726" s="1101"/>
      <c r="S726" s="1101"/>
      <c r="T726" s="1101"/>
      <c r="U726" s="1101"/>
      <c r="V726" s="1101"/>
      <c r="W726" s="1101"/>
      <c r="X726" s="1101"/>
      <c r="Y726" s="1102"/>
      <c r="Z726" s="1102"/>
      <c r="AA726" s="1101"/>
    </row>
    <row r="727" ht="15.75" customHeight="1">
      <c r="A727" s="213"/>
      <c r="B727" s="213"/>
      <c r="C727" s="1101"/>
      <c r="D727" s="1101"/>
      <c r="E727" s="1101"/>
      <c r="F727" s="1101"/>
      <c r="G727" s="1101"/>
      <c r="H727" s="1101"/>
      <c r="I727" s="1101"/>
      <c r="J727" s="1101"/>
      <c r="K727" s="1101"/>
      <c r="L727" s="1101"/>
      <c r="M727" s="1101"/>
      <c r="N727" s="1101"/>
      <c r="O727" s="1101"/>
      <c r="P727" s="1101"/>
      <c r="Q727" s="1101"/>
      <c r="R727" s="1101"/>
      <c r="S727" s="1101"/>
      <c r="T727" s="1101"/>
      <c r="U727" s="1101"/>
      <c r="V727" s="1101"/>
      <c r="W727" s="1101"/>
      <c r="X727" s="1101"/>
      <c r="Y727" s="1102"/>
      <c r="Z727" s="1102"/>
      <c r="AA727" s="1101"/>
    </row>
    <row r="728" ht="15.75" customHeight="1">
      <c r="A728" s="213"/>
      <c r="B728" s="213"/>
      <c r="C728" s="1101"/>
      <c r="D728" s="1101"/>
      <c r="E728" s="1101"/>
      <c r="F728" s="1101"/>
      <c r="G728" s="1101"/>
      <c r="H728" s="1101"/>
      <c r="I728" s="1101"/>
      <c r="J728" s="1101"/>
      <c r="K728" s="1101"/>
      <c r="L728" s="1101"/>
      <c r="M728" s="1101"/>
      <c r="N728" s="1101"/>
      <c r="O728" s="1101"/>
      <c r="P728" s="1101"/>
      <c r="Q728" s="1101"/>
      <c r="R728" s="1101"/>
      <c r="S728" s="1101"/>
      <c r="T728" s="1101"/>
      <c r="U728" s="1101"/>
      <c r="V728" s="1101"/>
      <c r="W728" s="1101"/>
      <c r="X728" s="1101"/>
      <c r="Y728" s="1102"/>
      <c r="Z728" s="1102"/>
      <c r="AA728" s="1101"/>
    </row>
    <row r="729" ht="15.75" customHeight="1">
      <c r="A729" s="213"/>
      <c r="B729" s="213"/>
      <c r="C729" s="1101"/>
      <c r="D729" s="1101"/>
      <c r="E729" s="1101"/>
      <c r="F729" s="1101"/>
      <c r="G729" s="1101"/>
      <c r="H729" s="1101"/>
      <c r="I729" s="1101"/>
      <c r="J729" s="1101"/>
      <c r="K729" s="1101"/>
      <c r="L729" s="1101"/>
      <c r="M729" s="1101"/>
      <c r="N729" s="1101"/>
      <c r="O729" s="1101"/>
      <c r="P729" s="1101"/>
      <c r="Q729" s="1101"/>
      <c r="R729" s="1101"/>
      <c r="S729" s="1101"/>
      <c r="T729" s="1101"/>
      <c r="U729" s="1101"/>
      <c r="V729" s="1101"/>
      <c r="W729" s="1101"/>
      <c r="X729" s="1101"/>
      <c r="Y729" s="1102"/>
      <c r="Z729" s="1102"/>
      <c r="AA729" s="1101"/>
    </row>
    <row r="730" ht="15.75" customHeight="1">
      <c r="A730" s="213"/>
      <c r="B730" s="213"/>
      <c r="C730" s="1101"/>
      <c r="D730" s="1101"/>
      <c r="E730" s="1101"/>
      <c r="F730" s="1101"/>
      <c r="G730" s="1101"/>
      <c r="H730" s="1101"/>
      <c r="I730" s="1101"/>
      <c r="J730" s="1101"/>
      <c r="K730" s="1101"/>
      <c r="L730" s="1101"/>
      <c r="M730" s="1101"/>
      <c r="N730" s="1101"/>
      <c r="O730" s="1101"/>
      <c r="P730" s="1101"/>
      <c r="Q730" s="1101"/>
      <c r="R730" s="1101"/>
      <c r="S730" s="1101"/>
      <c r="T730" s="1101"/>
      <c r="U730" s="1101"/>
      <c r="V730" s="1101"/>
      <c r="W730" s="1101"/>
      <c r="X730" s="1101"/>
      <c r="Y730" s="1102"/>
      <c r="Z730" s="1102"/>
      <c r="AA730" s="1101"/>
    </row>
    <row r="731" ht="15.75" customHeight="1">
      <c r="A731" s="213"/>
      <c r="B731" s="213"/>
      <c r="C731" s="1101"/>
      <c r="D731" s="1101"/>
      <c r="E731" s="1101"/>
      <c r="F731" s="1101"/>
      <c r="G731" s="1101"/>
      <c r="H731" s="1101"/>
      <c r="I731" s="1101"/>
      <c r="J731" s="1101"/>
      <c r="K731" s="1101"/>
      <c r="L731" s="1101"/>
      <c r="M731" s="1101"/>
      <c r="N731" s="1101"/>
      <c r="O731" s="1101"/>
      <c r="P731" s="1101"/>
      <c r="Q731" s="1101"/>
      <c r="R731" s="1101"/>
      <c r="S731" s="1101"/>
      <c r="T731" s="1101"/>
      <c r="U731" s="1101"/>
      <c r="V731" s="1101"/>
      <c r="W731" s="1101"/>
      <c r="X731" s="1101"/>
      <c r="Y731" s="1102"/>
      <c r="Z731" s="1102"/>
      <c r="AA731" s="1101"/>
    </row>
    <row r="732" ht="15.75" customHeight="1">
      <c r="A732" s="213"/>
      <c r="B732" s="213"/>
      <c r="C732" s="1101"/>
      <c r="D732" s="1101"/>
      <c r="E732" s="1101"/>
      <c r="F732" s="1101"/>
      <c r="G732" s="1101"/>
      <c r="H732" s="1101"/>
      <c r="I732" s="1101"/>
      <c r="J732" s="1101"/>
      <c r="K732" s="1101"/>
      <c r="L732" s="1101"/>
      <c r="M732" s="1101"/>
      <c r="N732" s="1101"/>
      <c r="O732" s="1101"/>
      <c r="P732" s="1101"/>
      <c r="Q732" s="1101"/>
      <c r="R732" s="1101"/>
      <c r="S732" s="1101"/>
      <c r="T732" s="1101"/>
      <c r="U732" s="1101"/>
      <c r="V732" s="1101"/>
      <c r="W732" s="1101"/>
      <c r="X732" s="1101"/>
      <c r="Y732" s="1102"/>
      <c r="Z732" s="1102"/>
      <c r="AA732" s="1101"/>
    </row>
    <row r="733" ht="15.75" customHeight="1">
      <c r="A733" s="213"/>
      <c r="B733" s="213"/>
      <c r="C733" s="1101"/>
      <c r="D733" s="1101"/>
      <c r="E733" s="1101"/>
      <c r="F733" s="1101"/>
      <c r="G733" s="1101"/>
      <c r="H733" s="1101"/>
      <c r="I733" s="1101"/>
      <c r="J733" s="1101"/>
      <c r="K733" s="1101"/>
      <c r="L733" s="1101"/>
      <c r="M733" s="1101"/>
      <c r="N733" s="1101"/>
      <c r="O733" s="1101"/>
      <c r="P733" s="1101"/>
      <c r="Q733" s="1101"/>
      <c r="R733" s="1101"/>
      <c r="S733" s="1101"/>
      <c r="T733" s="1101"/>
      <c r="U733" s="1101"/>
      <c r="V733" s="1101"/>
      <c r="W733" s="1101"/>
      <c r="X733" s="1101"/>
      <c r="Y733" s="1102"/>
      <c r="Z733" s="1102"/>
      <c r="AA733" s="1101"/>
    </row>
    <row r="734" ht="15.75" customHeight="1">
      <c r="A734" s="213"/>
      <c r="B734" s="213"/>
      <c r="C734" s="1101"/>
      <c r="D734" s="1101"/>
      <c r="E734" s="1101"/>
      <c r="F734" s="1101"/>
      <c r="G734" s="1101"/>
      <c r="H734" s="1101"/>
      <c r="I734" s="1101"/>
      <c r="J734" s="1101"/>
      <c r="K734" s="1101"/>
      <c r="L734" s="1101"/>
      <c r="M734" s="1101"/>
      <c r="N734" s="1101"/>
      <c r="O734" s="1101"/>
      <c r="P734" s="1101"/>
      <c r="Q734" s="1101"/>
      <c r="R734" s="1101"/>
      <c r="S734" s="1101"/>
      <c r="T734" s="1101"/>
      <c r="U734" s="1101"/>
      <c r="V734" s="1101"/>
      <c r="W734" s="1101"/>
      <c r="X734" s="1101"/>
      <c r="Y734" s="1102"/>
      <c r="Z734" s="1102"/>
      <c r="AA734" s="1101"/>
    </row>
    <row r="735" ht="15.75" customHeight="1">
      <c r="A735" s="213"/>
      <c r="B735" s="213"/>
      <c r="C735" s="1101"/>
      <c r="D735" s="1101"/>
      <c r="E735" s="1101"/>
      <c r="F735" s="1101"/>
      <c r="G735" s="1101"/>
      <c r="H735" s="1101"/>
      <c r="I735" s="1101"/>
      <c r="J735" s="1101"/>
      <c r="K735" s="1101"/>
      <c r="L735" s="1101"/>
      <c r="M735" s="1101"/>
      <c r="N735" s="1101"/>
      <c r="O735" s="1101"/>
      <c r="P735" s="1101"/>
      <c r="Q735" s="1101"/>
      <c r="R735" s="1101"/>
      <c r="S735" s="1101"/>
      <c r="T735" s="1101"/>
      <c r="U735" s="1101"/>
      <c r="V735" s="1101"/>
      <c r="W735" s="1101"/>
      <c r="X735" s="1101"/>
      <c r="Y735" s="1102"/>
      <c r="Z735" s="1102"/>
      <c r="AA735" s="1101"/>
    </row>
    <row r="736" ht="15.75" customHeight="1">
      <c r="A736" s="213"/>
      <c r="B736" s="213"/>
      <c r="C736" s="1101"/>
      <c r="D736" s="1101"/>
      <c r="E736" s="1101"/>
      <c r="F736" s="1101"/>
      <c r="G736" s="1101"/>
      <c r="H736" s="1101"/>
      <c r="I736" s="1101"/>
      <c r="J736" s="1101"/>
      <c r="K736" s="1101"/>
      <c r="L736" s="1101"/>
      <c r="M736" s="1101"/>
      <c r="N736" s="1101"/>
      <c r="O736" s="1101"/>
      <c r="P736" s="1101"/>
      <c r="Q736" s="1101"/>
      <c r="R736" s="1101"/>
      <c r="S736" s="1101"/>
      <c r="T736" s="1101"/>
      <c r="U736" s="1101"/>
      <c r="V736" s="1101"/>
      <c r="W736" s="1101"/>
      <c r="X736" s="1101"/>
      <c r="Y736" s="1102"/>
      <c r="Z736" s="1102"/>
      <c r="AA736" s="1101"/>
    </row>
    <row r="737" ht="15.75" customHeight="1">
      <c r="A737" s="213"/>
      <c r="B737" s="213"/>
      <c r="C737" s="1101"/>
      <c r="D737" s="1101"/>
      <c r="E737" s="1101"/>
      <c r="F737" s="1101"/>
      <c r="G737" s="1101"/>
      <c r="H737" s="1101"/>
      <c r="I737" s="1101"/>
      <c r="J737" s="1101"/>
      <c r="K737" s="1101"/>
      <c r="L737" s="1101"/>
      <c r="M737" s="1101"/>
      <c r="N737" s="1101"/>
      <c r="O737" s="1101"/>
      <c r="P737" s="1101"/>
      <c r="Q737" s="1101"/>
      <c r="R737" s="1101"/>
      <c r="S737" s="1101"/>
      <c r="T737" s="1101"/>
      <c r="U737" s="1101"/>
      <c r="V737" s="1101"/>
      <c r="W737" s="1101"/>
      <c r="X737" s="1101"/>
      <c r="Y737" s="1102"/>
      <c r="Z737" s="1102"/>
      <c r="AA737" s="1101"/>
    </row>
    <row r="738" ht="15.75" customHeight="1">
      <c r="A738" s="213"/>
      <c r="B738" s="213"/>
      <c r="C738" s="1101"/>
      <c r="D738" s="1101"/>
      <c r="E738" s="1101"/>
      <c r="F738" s="1101"/>
      <c r="G738" s="1101"/>
      <c r="H738" s="1101"/>
      <c r="I738" s="1101"/>
      <c r="J738" s="1101"/>
      <c r="K738" s="1101"/>
      <c r="L738" s="1101"/>
      <c r="M738" s="1101"/>
      <c r="N738" s="1101"/>
      <c r="O738" s="1101"/>
      <c r="P738" s="1101"/>
      <c r="Q738" s="1101"/>
      <c r="R738" s="1101"/>
      <c r="S738" s="1101"/>
      <c r="T738" s="1101"/>
      <c r="U738" s="1101"/>
      <c r="V738" s="1101"/>
      <c r="W738" s="1101"/>
      <c r="X738" s="1101"/>
      <c r="Y738" s="1102"/>
      <c r="Z738" s="1102"/>
      <c r="AA738" s="1101"/>
    </row>
    <row r="739" ht="15.75" customHeight="1">
      <c r="A739" s="213"/>
      <c r="B739" s="213"/>
      <c r="C739" s="1101"/>
      <c r="D739" s="1101"/>
      <c r="E739" s="1101"/>
      <c r="F739" s="1101"/>
      <c r="G739" s="1101"/>
      <c r="H739" s="1101"/>
      <c r="I739" s="1101"/>
      <c r="J739" s="1101"/>
      <c r="K739" s="1101"/>
      <c r="L739" s="1101"/>
      <c r="M739" s="1101"/>
      <c r="N739" s="1101"/>
      <c r="O739" s="1101"/>
      <c r="P739" s="1101"/>
      <c r="Q739" s="1101"/>
      <c r="R739" s="1101"/>
      <c r="S739" s="1101"/>
      <c r="T739" s="1101"/>
      <c r="U739" s="1101"/>
      <c r="V739" s="1101"/>
      <c r="W739" s="1101"/>
      <c r="X739" s="1101"/>
      <c r="Y739" s="1102"/>
      <c r="Z739" s="1102"/>
      <c r="AA739" s="1101"/>
    </row>
    <row r="740" ht="15.75" customHeight="1">
      <c r="A740" s="213"/>
      <c r="B740" s="213"/>
      <c r="C740" s="1101"/>
      <c r="D740" s="1101"/>
      <c r="E740" s="1101"/>
      <c r="F740" s="1101"/>
      <c r="G740" s="1101"/>
      <c r="H740" s="1101"/>
      <c r="I740" s="1101"/>
      <c r="J740" s="1101"/>
      <c r="K740" s="1101"/>
      <c r="L740" s="1101"/>
      <c r="M740" s="1101"/>
      <c r="N740" s="1101"/>
      <c r="O740" s="1101"/>
      <c r="P740" s="1101"/>
      <c r="Q740" s="1101"/>
      <c r="R740" s="1101"/>
      <c r="S740" s="1101"/>
      <c r="T740" s="1101"/>
      <c r="U740" s="1101"/>
      <c r="V740" s="1101"/>
      <c r="W740" s="1101"/>
      <c r="X740" s="1101"/>
      <c r="Y740" s="1102"/>
      <c r="Z740" s="1102"/>
      <c r="AA740" s="1101"/>
    </row>
    <row r="741" ht="15.75" customHeight="1">
      <c r="A741" s="213"/>
      <c r="B741" s="213"/>
      <c r="C741" s="1101"/>
      <c r="D741" s="1101"/>
      <c r="E741" s="1101"/>
      <c r="F741" s="1101"/>
      <c r="G741" s="1101"/>
      <c r="H741" s="1101"/>
      <c r="I741" s="1101"/>
      <c r="J741" s="1101"/>
      <c r="K741" s="1101"/>
      <c r="L741" s="1101"/>
      <c r="M741" s="1101"/>
      <c r="N741" s="1101"/>
      <c r="O741" s="1101"/>
      <c r="P741" s="1101"/>
      <c r="Q741" s="1101"/>
      <c r="R741" s="1101"/>
      <c r="S741" s="1101"/>
      <c r="T741" s="1101"/>
      <c r="U741" s="1101"/>
      <c r="V741" s="1101"/>
      <c r="W741" s="1101"/>
      <c r="X741" s="1101"/>
      <c r="Y741" s="1102"/>
      <c r="Z741" s="1102"/>
      <c r="AA741" s="1101"/>
    </row>
    <row r="742" ht="15.75" customHeight="1">
      <c r="A742" s="213"/>
      <c r="B742" s="213"/>
      <c r="C742" s="1101"/>
      <c r="D742" s="1101"/>
      <c r="E742" s="1101"/>
      <c r="F742" s="1101"/>
      <c r="G742" s="1101"/>
      <c r="H742" s="1101"/>
      <c r="I742" s="1101"/>
      <c r="J742" s="1101"/>
      <c r="K742" s="1101"/>
      <c r="L742" s="1101"/>
      <c r="M742" s="1101"/>
      <c r="N742" s="1101"/>
      <c r="O742" s="1101"/>
      <c r="P742" s="1101"/>
      <c r="Q742" s="1101"/>
      <c r="R742" s="1101"/>
      <c r="S742" s="1101"/>
      <c r="T742" s="1101"/>
      <c r="U742" s="1101"/>
      <c r="V742" s="1101"/>
      <c r="W742" s="1101"/>
      <c r="X742" s="1101"/>
      <c r="Y742" s="1102"/>
      <c r="Z742" s="1102"/>
      <c r="AA742" s="1101"/>
    </row>
    <row r="743" ht="15.75" customHeight="1">
      <c r="A743" s="213"/>
      <c r="B743" s="213"/>
      <c r="C743" s="1101"/>
      <c r="D743" s="1101"/>
      <c r="E743" s="1101"/>
      <c r="F743" s="1101"/>
      <c r="G743" s="1101"/>
      <c r="H743" s="1101"/>
      <c r="I743" s="1101"/>
      <c r="J743" s="1101"/>
      <c r="K743" s="1101"/>
      <c r="L743" s="1101"/>
      <c r="M743" s="1101"/>
      <c r="N743" s="1101"/>
      <c r="O743" s="1101"/>
      <c r="P743" s="1101"/>
      <c r="Q743" s="1101"/>
      <c r="R743" s="1101"/>
      <c r="S743" s="1101"/>
      <c r="T743" s="1101"/>
      <c r="U743" s="1101"/>
      <c r="V743" s="1101"/>
      <c r="W743" s="1101"/>
      <c r="X743" s="1101"/>
      <c r="Y743" s="1102"/>
      <c r="Z743" s="1102"/>
      <c r="AA743" s="1101"/>
    </row>
    <row r="744" ht="15.75" customHeight="1">
      <c r="A744" s="213"/>
      <c r="B744" s="213"/>
      <c r="C744" s="1101"/>
      <c r="D744" s="1101"/>
      <c r="E744" s="1101"/>
      <c r="F744" s="1101"/>
      <c r="G744" s="1101"/>
      <c r="H744" s="1101"/>
      <c r="I744" s="1101"/>
      <c r="J744" s="1101"/>
      <c r="K744" s="1101"/>
      <c r="L744" s="1101"/>
      <c r="M744" s="1101"/>
      <c r="N744" s="1101"/>
      <c r="O744" s="1101"/>
      <c r="P744" s="1101"/>
      <c r="Q744" s="1101"/>
      <c r="R744" s="1101"/>
      <c r="S744" s="1101"/>
      <c r="T744" s="1101"/>
      <c r="U744" s="1101"/>
      <c r="V744" s="1101"/>
      <c r="W744" s="1101"/>
      <c r="X744" s="1101"/>
      <c r="Y744" s="1102"/>
      <c r="Z744" s="1102"/>
      <c r="AA744" s="1101"/>
    </row>
    <row r="745" ht="15.75" customHeight="1">
      <c r="A745" s="213"/>
      <c r="B745" s="213"/>
      <c r="C745" s="1101"/>
      <c r="D745" s="1101"/>
      <c r="E745" s="1101"/>
      <c r="F745" s="1101"/>
      <c r="G745" s="1101"/>
      <c r="H745" s="1101"/>
      <c r="I745" s="1101"/>
      <c r="J745" s="1101"/>
      <c r="K745" s="1101"/>
      <c r="L745" s="1101"/>
      <c r="M745" s="1101"/>
      <c r="N745" s="1101"/>
      <c r="O745" s="1101"/>
      <c r="P745" s="1101"/>
      <c r="Q745" s="1101"/>
      <c r="R745" s="1101"/>
      <c r="S745" s="1101"/>
      <c r="T745" s="1101"/>
      <c r="U745" s="1101"/>
      <c r="V745" s="1101"/>
      <c r="W745" s="1101"/>
      <c r="X745" s="1101"/>
      <c r="Y745" s="1102"/>
      <c r="Z745" s="1102"/>
      <c r="AA745" s="1101"/>
    </row>
    <row r="746" ht="15.75" customHeight="1">
      <c r="A746" s="213"/>
      <c r="B746" s="213"/>
      <c r="C746" s="1101"/>
      <c r="D746" s="1101"/>
      <c r="E746" s="1101"/>
      <c r="F746" s="1101"/>
      <c r="G746" s="1101"/>
      <c r="H746" s="1101"/>
      <c r="I746" s="1101"/>
      <c r="J746" s="1101"/>
      <c r="K746" s="1101"/>
      <c r="L746" s="1101"/>
      <c r="M746" s="1101"/>
      <c r="N746" s="1101"/>
      <c r="O746" s="1101"/>
      <c r="P746" s="1101"/>
      <c r="Q746" s="1101"/>
      <c r="R746" s="1101"/>
      <c r="S746" s="1101"/>
      <c r="T746" s="1101"/>
      <c r="U746" s="1101"/>
      <c r="V746" s="1101"/>
      <c r="W746" s="1101"/>
      <c r="X746" s="1101"/>
      <c r="Y746" s="1102"/>
      <c r="Z746" s="1102"/>
      <c r="AA746" s="1101"/>
    </row>
    <row r="747" ht="15.75" customHeight="1">
      <c r="A747" s="213"/>
      <c r="B747" s="213"/>
      <c r="C747" s="1101"/>
      <c r="D747" s="1101"/>
      <c r="E747" s="1101"/>
      <c r="F747" s="1101"/>
      <c r="G747" s="1101"/>
      <c r="H747" s="1101"/>
      <c r="I747" s="1101"/>
      <c r="J747" s="1101"/>
      <c r="K747" s="1101"/>
      <c r="L747" s="1101"/>
      <c r="M747" s="1101"/>
      <c r="N747" s="1101"/>
      <c r="O747" s="1101"/>
      <c r="P747" s="1101"/>
      <c r="Q747" s="1101"/>
      <c r="R747" s="1101"/>
      <c r="S747" s="1101"/>
      <c r="T747" s="1101"/>
      <c r="U747" s="1101"/>
      <c r="V747" s="1101"/>
      <c r="W747" s="1101"/>
      <c r="X747" s="1101"/>
      <c r="Y747" s="1102"/>
      <c r="Z747" s="1102"/>
      <c r="AA747" s="1101"/>
    </row>
    <row r="748" ht="15.75" customHeight="1">
      <c r="A748" s="213"/>
      <c r="B748" s="213"/>
      <c r="C748" s="1101"/>
      <c r="D748" s="1101"/>
      <c r="E748" s="1101"/>
      <c r="F748" s="1101"/>
      <c r="G748" s="1101"/>
      <c r="H748" s="1101"/>
      <c r="I748" s="1101"/>
      <c r="J748" s="1101"/>
      <c r="K748" s="1101"/>
      <c r="L748" s="1101"/>
      <c r="M748" s="1101"/>
      <c r="N748" s="1101"/>
      <c r="O748" s="1101"/>
      <c r="P748" s="1101"/>
      <c r="Q748" s="1101"/>
      <c r="R748" s="1101"/>
      <c r="S748" s="1101"/>
      <c r="T748" s="1101"/>
      <c r="U748" s="1101"/>
      <c r="V748" s="1101"/>
      <c r="W748" s="1101"/>
      <c r="X748" s="1101"/>
      <c r="Y748" s="1102"/>
      <c r="Z748" s="1102"/>
      <c r="AA748" s="1101"/>
    </row>
    <row r="749" ht="15.75" customHeight="1">
      <c r="A749" s="213"/>
      <c r="B749" s="213"/>
      <c r="C749" s="1101"/>
      <c r="D749" s="1101"/>
      <c r="E749" s="1101"/>
      <c r="F749" s="1101"/>
      <c r="G749" s="1101"/>
      <c r="H749" s="1101"/>
      <c r="I749" s="1101"/>
      <c r="J749" s="1101"/>
      <c r="K749" s="1101"/>
      <c r="L749" s="1101"/>
      <c r="M749" s="1101"/>
      <c r="N749" s="1101"/>
      <c r="O749" s="1101"/>
      <c r="P749" s="1101"/>
      <c r="Q749" s="1101"/>
      <c r="R749" s="1101"/>
      <c r="S749" s="1101"/>
      <c r="T749" s="1101"/>
      <c r="U749" s="1101"/>
      <c r="V749" s="1101"/>
      <c r="W749" s="1101"/>
      <c r="X749" s="1101"/>
      <c r="Y749" s="1102"/>
      <c r="Z749" s="1102"/>
      <c r="AA749" s="1101"/>
    </row>
    <row r="750" ht="15.75" customHeight="1">
      <c r="A750" s="213"/>
      <c r="B750" s="213"/>
      <c r="C750" s="1101"/>
      <c r="D750" s="1101"/>
      <c r="E750" s="1101"/>
      <c r="F750" s="1101"/>
      <c r="G750" s="1101"/>
      <c r="H750" s="1101"/>
      <c r="I750" s="1101"/>
      <c r="J750" s="1101"/>
      <c r="K750" s="1101"/>
      <c r="L750" s="1101"/>
      <c r="M750" s="1101"/>
      <c r="N750" s="1101"/>
      <c r="O750" s="1101"/>
      <c r="P750" s="1101"/>
      <c r="Q750" s="1101"/>
      <c r="R750" s="1101"/>
      <c r="S750" s="1101"/>
      <c r="T750" s="1101"/>
      <c r="U750" s="1101"/>
      <c r="V750" s="1101"/>
      <c r="W750" s="1101"/>
      <c r="X750" s="1101"/>
      <c r="Y750" s="1102"/>
      <c r="Z750" s="1102"/>
      <c r="AA750" s="1101"/>
    </row>
    <row r="751" ht="15.75" customHeight="1">
      <c r="A751" s="213"/>
      <c r="B751" s="213"/>
      <c r="C751" s="1101"/>
      <c r="D751" s="1101"/>
      <c r="E751" s="1101"/>
      <c r="F751" s="1101"/>
      <c r="G751" s="1101"/>
      <c r="H751" s="1101"/>
      <c r="I751" s="1101"/>
      <c r="J751" s="1101"/>
      <c r="K751" s="1101"/>
      <c r="L751" s="1101"/>
      <c r="M751" s="1101"/>
      <c r="N751" s="1101"/>
      <c r="O751" s="1101"/>
      <c r="P751" s="1101"/>
      <c r="Q751" s="1101"/>
      <c r="R751" s="1101"/>
      <c r="S751" s="1101"/>
      <c r="T751" s="1101"/>
      <c r="U751" s="1101"/>
      <c r="V751" s="1101"/>
      <c r="W751" s="1101"/>
      <c r="X751" s="1101"/>
      <c r="Y751" s="1102"/>
      <c r="Z751" s="1102"/>
      <c r="AA751" s="1101"/>
    </row>
    <row r="752" ht="15.75" customHeight="1">
      <c r="A752" s="213"/>
      <c r="B752" s="213"/>
      <c r="C752" s="1101"/>
      <c r="D752" s="1101"/>
      <c r="E752" s="1101"/>
      <c r="F752" s="1101"/>
      <c r="G752" s="1101"/>
      <c r="H752" s="1101"/>
      <c r="I752" s="1101"/>
      <c r="J752" s="1101"/>
      <c r="K752" s="1101"/>
      <c r="L752" s="1101"/>
      <c r="M752" s="1101"/>
      <c r="N752" s="1101"/>
      <c r="O752" s="1101"/>
      <c r="P752" s="1101"/>
      <c r="Q752" s="1101"/>
      <c r="R752" s="1101"/>
      <c r="S752" s="1101"/>
      <c r="T752" s="1101"/>
      <c r="U752" s="1101"/>
      <c r="V752" s="1101"/>
      <c r="W752" s="1101"/>
      <c r="X752" s="1101"/>
      <c r="Y752" s="1102"/>
      <c r="Z752" s="1102"/>
      <c r="AA752" s="1101"/>
    </row>
    <row r="753" ht="15.75" customHeight="1">
      <c r="A753" s="213"/>
      <c r="B753" s="213"/>
      <c r="C753" s="1101"/>
      <c r="D753" s="1101"/>
      <c r="E753" s="1101"/>
      <c r="F753" s="1101"/>
      <c r="G753" s="1101"/>
      <c r="H753" s="1101"/>
      <c r="I753" s="1101"/>
      <c r="J753" s="1101"/>
      <c r="K753" s="1101"/>
      <c r="L753" s="1101"/>
      <c r="M753" s="1101"/>
      <c r="N753" s="1101"/>
      <c r="O753" s="1101"/>
      <c r="P753" s="1101"/>
      <c r="Q753" s="1101"/>
      <c r="R753" s="1101"/>
      <c r="S753" s="1101"/>
      <c r="T753" s="1101"/>
      <c r="U753" s="1101"/>
      <c r="V753" s="1101"/>
      <c r="W753" s="1101"/>
      <c r="X753" s="1101"/>
      <c r="Y753" s="1102"/>
      <c r="Z753" s="1102"/>
      <c r="AA753" s="1101"/>
    </row>
    <row r="754" ht="15.75" customHeight="1">
      <c r="A754" s="213"/>
      <c r="B754" s="213"/>
      <c r="C754" s="1101"/>
      <c r="D754" s="1101"/>
      <c r="E754" s="1101"/>
      <c r="F754" s="1101"/>
      <c r="G754" s="1101"/>
      <c r="H754" s="1101"/>
      <c r="I754" s="1101"/>
      <c r="J754" s="1101"/>
      <c r="K754" s="1101"/>
      <c r="L754" s="1101"/>
      <c r="M754" s="1101"/>
      <c r="N754" s="1101"/>
      <c r="O754" s="1101"/>
      <c r="P754" s="1101"/>
      <c r="Q754" s="1101"/>
      <c r="R754" s="1101"/>
      <c r="S754" s="1101"/>
      <c r="T754" s="1101"/>
      <c r="U754" s="1101"/>
      <c r="V754" s="1101"/>
      <c r="W754" s="1101"/>
      <c r="X754" s="1101"/>
      <c r="Y754" s="1102"/>
      <c r="Z754" s="1102"/>
      <c r="AA754" s="1101"/>
    </row>
    <row r="755" ht="15.75" customHeight="1">
      <c r="A755" s="213"/>
      <c r="B755" s="213"/>
      <c r="C755" s="1101"/>
      <c r="D755" s="1101"/>
      <c r="E755" s="1101"/>
      <c r="F755" s="1101"/>
      <c r="G755" s="1101"/>
      <c r="H755" s="1101"/>
      <c r="I755" s="1101"/>
      <c r="J755" s="1101"/>
      <c r="K755" s="1101"/>
      <c r="L755" s="1101"/>
      <c r="M755" s="1101"/>
      <c r="N755" s="1101"/>
      <c r="O755" s="1101"/>
      <c r="P755" s="1101"/>
      <c r="Q755" s="1101"/>
      <c r="R755" s="1101"/>
      <c r="S755" s="1101"/>
      <c r="T755" s="1101"/>
      <c r="U755" s="1101"/>
      <c r="V755" s="1101"/>
      <c r="W755" s="1101"/>
      <c r="X755" s="1101"/>
      <c r="Y755" s="1102"/>
      <c r="Z755" s="1102"/>
      <c r="AA755" s="1101"/>
    </row>
    <row r="756" ht="15.75" customHeight="1">
      <c r="A756" s="213"/>
      <c r="B756" s="213"/>
      <c r="C756" s="1101"/>
      <c r="D756" s="1101"/>
      <c r="E756" s="1101"/>
      <c r="F756" s="1101"/>
      <c r="G756" s="1101"/>
      <c r="H756" s="1101"/>
      <c r="I756" s="1101"/>
      <c r="J756" s="1101"/>
      <c r="K756" s="1101"/>
      <c r="L756" s="1101"/>
      <c r="M756" s="1101"/>
      <c r="N756" s="1101"/>
      <c r="O756" s="1101"/>
      <c r="P756" s="1101"/>
      <c r="Q756" s="1101"/>
      <c r="R756" s="1101"/>
      <c r="S756" s="1101"/>
      <c r="T756" s="1101"/>
      <c r="U756" s="1101"/>
      <c r="V756" s="1101"/>
      <c r="W756" s="1101"/>
      <c r="X756" s="1101"/>
      <c r="Y756" s="1102"/>
      <c r="Z756" s="1102"/>
      <c r="AA756" s="1101"/>
    </row>
    <row r="757" ht="15.75" customHeight="1">
      <c r="A757" s="213"/>
      <c r="B757" s="213"/>
      <c r="C757" s="1101"/>
      <c r="D757" s="1101"/>
      <c r="E757" s="1101"/>
      <c r="F757" s="1101"/>
      <c r="G757" s="1101"/>
      <c r="H757" s="1101"/>
      <c r="I757" s="1101"/>
      <c r="J757" s="1101"/>
      <c r="K757" s="1101"/>
      <c r="L757" s="1101"/>
      <c r="M757" s="1101"/>
      <c r="N757" s="1101"/>
      <c r="O757" s="1101"/>
      <c r="P757" s="1101"/>
      <c r="Q757" s="1101"/>
      <c r="R757" s="1101"/>
      <c r="S757" s="1101"/>
      <c r="T757" s="1101"/>
      <c r="U757" s="1101"/>
      <c r="V757" s="1101"/>
      <c r="W757" s="1101"/>
      <c r="X757" s="1101"/>
      <c r="Y757" s="1102"/>
      <c r="Z757" s="1102"/>
      <c r="AA757" s="1101"/>
    </row>
    <row r="758" ht="15.75" customHeight="1">
      <c r="A758" s="213"/>
      <c r="B758" s="213"/>
      <c r="C758" s="1101"/>
      <c r="D758" s="1101"/>
      <c r="E758" s="1101"/>
      <c r="F758" s="1101"/>
      <c r="G758" s="1101"/>
      <c r="H758" s="1101"/>
      <c r="I758" s="1101"/>
      <c r="J758" s="1101"/>
      <c r="K758" s="1101"/>
      <c r="L758" s="1101"/>
      <c r="M758" s="1101"/>
      <c r="N758" s="1101"/>
      <c r="O758" s="1101"/>
      <c r="P758" s="1101"/>
      <c r="Q758" s="1101"/>
      <c r="R758" s="1101"/>
      <c r="S758" s="1101"/>
      <c r="T758" s="1101"/>
      <c r="U758" s="1101"/>
      <c r="V758" s="1101"/>
      <c r="W758" s="1101"/>
      <c r="X758" s="1101"/>
      <c r="Y758" s="1102"/>
      <c r="Z758" s="1102"/>
      <c r="AA758" s="1101"/>
    </row>
    <row r="759" ht="15.75" customHeight="1">
      <c r="A759" s="213"/>
      <c r="B759" s="213"/>
      <c r="C759" s="1101"/>
      <c r="D759" s="1101"/>
      <c r="E759" s="1101"/>
      <c r="F759" s="1101"/>
      <c r="G759" s="1101"/>
      <c r="H759" s="1101"/>
      <c r="I759" s="1101"/>
      <c r="J759" s="1101"/>
      <c r="K759" s="1101"/>
      <c r="L759" s="1101"/>
      <c r="M759" s="1101"/>
      <c r="N759" s="1101"/>
      <c r="O759" s="1101"/>
      <c r="P759" s="1101"/>
      <c r="Q759" s="1101"/>
      <c r="R759" s="1101"/>
      <c r="S759" s="1101"/>
      <c r="T759" s="1101"/>
      <c r="U759" s="1101"/>
      <c r="V759" s="1101"/>
      <c r="W759" s="1101"/>
      <c r="X759" s="1101"/>
      <c r="Y759" s="1102"/>
      <c r="Z759" s="1102"/>
      <c r="AA759" s="1101"/>
    </row>
    <row r="760" ht="15.75" customHeight="1">
      <c r="A760" s="213"/>
      <c r="B760" s="213"/>
      <c r="C760" s="1101"/>
      <c r="D760" s="1101"/>
      <c r="E760" s="1101"/>
      <c r="F760" s="1101"/>
      <c r="G760" s="1101"/>
      <c r="H760" s="1101"/>
      <c r="I760" s="1101"/>
      <c r="J760" s="1101"/>
      <c r="K760" s="1101"/>
      <c r="L760" s="1101"/>
      <c r="M760" s="1101"/>
      <c r="N760" s="1101"/>
      <c r="O760" s="1101"/>
      <c r="P760" s="1101"/>
      <c r="Q760" s="1101"/>
      <c r="R760" s="1101"/>
      <c r="S760" s="1101"/>
      <c r="T760" s="1101"/>
      <c r="U760" s="1101"/>
      <c r="V760" s="1101"/>
      <c r="W760" s="1101"/>
      <c r="X760" s="1101"/>
      <c r="Y760" s="1102"/>
      <c r="Z760" s="1102"/>
      <c r="AA760" s="1101"/>
    </row>
    <row r="761" ht="15.75" customHeight="1">
      <c r="A761" s="213"/>
      <c r="B761" s="213"/>
      <c r="C761" s="1101"/>
      <c r="D761" s="1101"/>
      <c r="E761" s="1101"/>
      <c r="F761" s="1101"/>
      <c r="G761" s="1101"/>
      <c r="H761" s="1101"/>
      <c r="I761" s="1101"/>
      <c r="J761" s="1101"/>
      <c r="K761" s="1101"/>
      <c r="L761" s="1101"/>
      <c r="M761" s="1101"/>
      <c r="N761" s="1101"/>
      <c r="O761" s="1101"/>
      <c r="P761" s="1101"/>
      <c r="Q761" s="1101"/>
      <c r="R761" s="1101"/>
      <c r="S761" s="1101"/>
      <c r="T761" s="1101"/>
      <c r="U761" s="1101"/>
      <c r="V761" s="1101"/>
      <c r="W761" s="1101"/>
      <c r="X761" s="1101"/>
      <c r="Y761" s="1102"/>
      <c r="Z761" s="1102"/>
      <c r="AA761" s="1101"/>
    </row>
    <row r="762" ht="15.75" customHeight="1">
      <c r="A762" s="213"/>
      <c r="B762" s="213"/>
      <c r="C762" s="1101"/>
      <c r="D762" s="1101"/>
      <c r="E762" s="1101"/>
      <c r="F762" s="1101"/>
      <c r="G762" s="1101"/>
      <c r="H762" s="1101"/>
      <c r="I762" s="1101"/>
      <c r="J762" s="1101"/>
      <c r="K762" s="1101"/>
      <c r="L762" s="1101"/>
      <c r="M762" s="1101"/>
      <c r="N762" s="1101"/>
      <c r="O762" s="1101"/>
      <c r="P762" s="1101"/>
      <c r="Q762" s="1101"/>
      <c r="R762" s="1101"/>
      <c r="S762" s="1101"/>
      <c r="T762" s="1101"/>
      <c r="U762" s="1101"/>
      <c r="V762" s="1101"/>
      <c r="W762" s="1101"/>
      <c r="X762" s="1101"/>
      <c r="Y762" s="1102"/>
      <c r="Z762" s="1102"/>
      <c r="AA762" s="1101"/>
    </row>
    <row r="763" ht="15.75" customHeight="1">
      <c r="A763" s="213"/>
      <c r="B763" s="213"/>
      <c r="C763" s="1101"/>
      <c r="D763" s="1101"/>
      <c r="E763" s="1101"/>
      <c r="F763" s="1101"/>
      <c r="G763" s="1101"/>
      <c r="H763" s="1101"/>
      <c r="I763" s="1101"/>
      <c r="J763" s="1101"/>
      <c r="K763" s="1101"/>
      <c r="L763" s="1101"/>
      <c r="M763" s="1101"/>
      <c r="N763" s="1101"/>
      <c r="O763" s="1101"/>
      <c r="P763" s="1101"/>
      <c r="Q763" s="1101"/>
      <c r="R763" s="1101"/>
      <c r="S763" s="1101"/>
      <c r="T763" s="1101"/>
      <c r="U763" s="1101"/>
      <c r="V763" s="1101"/>
      <c r="W763" s="1101"/>
      <c r="X763" s="1101"/>
      <c r="Y763" s="1102"/>
      <c r="Z763" s="1102"/>
      <c r="AA763" s="1101"/>
    </row>
    <row r="764" ht="15.75" customHeight="1">
      <c r="A764" s="213"/>
      <c r="B764" s="213"/>
      <c r="C764" s="1101"/>
      <c r="D764" s="1101"/>
      <c r="E764" s="1101"/>
      <c r="F764" s="1101"/>
      <c r="G764" s="1101"/>
      <c r="H764" s="1101"/>
      <c r="I764" s="1101"/>
      <c r="J764" s="1101"/>
      <c r="K764" s="1101"/>
      <c r="L764" s="1101"/>
      <c r="M764" s="1101"/>
      <c r="N764" s="1101"/>
      <c r="O764" s="1101"/>
      <c r="P764" s="1101"/>
      <c r="Q764" s="1101"/>
      <c r="R764" s="1101"/>
      <c r="S764" s="1101"/>
      <c r="T764" s="1101"/>
      <c r="U764" s="1101"/>
      <c r="V764" s="1101"/>
      <c r="W764" s="1101"/>
      <c r="X764" s="1101"/>
      <c r="Y764" s="1102"/>
      <c r="Z764" s="1102"/>
      <c r="AA764" s="1101"/>
    </row>
    <row r="765" ht="15.75" customHeight="1">
      <c r="A765" s="213"/>
      <c r="B765" s="213"/>
      <c r="C765" s="1101"/>
      <c r="D765" s="1101"/>
      <c r="E765" s="1101"/>
      <c r="F765" s="1101"/>
      <c r="G765" s="1101"/>
      <c r="H765" s="1101"/>
      <c r="I765" s="1101"/>
      <c r="J765" s="1101"/>
      <c r="K765" s="1101"/>
      <c r="L765" s="1101"/>
      <c r="M765" s="1101"/>
      <c r="N765" s="1101"/>
      <c r="O765" s="1101"/>
      <c r="P765" s="1101"/>
      <c r="Q765" s="1101"/>
      <c r="R765" s="1101"/>
      <c r="S765" s="1101"/>
      <c r="T765" s="1101"/>
      <c r="U765" s="1101"/>
      <c r="V765" s="1101"/>
      <c r="W765" s="1101"/>
      <c r="X765" s="1101"/>
      <c r="Y765" s="1102"/>
      <c r="Z765" s="1102"/>
      <c r="AA765" s="1101"/>
    </row>
    <row r="766" ht="15.75" customHeight="1">
      <c r="A766" s="213"/>
      <c r="B766" s="213"/>
      <c r="C766" s="1101"/>
      <c r="D766" s="1101"/>
      <c r="E766" s="1101"/>
      <c r="F766" s="1101"/>
      <c r="G766" s="1101"/>
      <c r="H766" s="1101"/>
      <c r="I766" s="1101"/>
      <c r="J766" s="1101"/>
      <c r="K766" s="1101"/>
      <c r="L766" s="1101"/>
      <c r="M766" s="1101"/>
      <c r="N766" s="1101"/>
      <c r="O766" s="1101"/>
      <c r="P766" s="1101"/>
      <c r="Q766" s="1101"/>
      <c r="R766" s="1101"/>
      <c r="S766" s="1101"/>
      <c r="T766" s="1101"/>
      <c r="U766" s="1101"/>
      <c r="V766" s="1101"/>
      <c r="W766" s="1101"/>
      <c r="X766" s="1101"/>
      <c r="Y766" s="1102"/>
      <c r="Z766" s="1102"/>
      <c r="AA766" s="1101"/>
    </row>
    <row r="767" ht="15.75" customHeight="1">
      <c r="A767" s="213"/>
      <c r="B767" s="213"/>
      <c r="C767" s="1101"/>
      <c r="D767" s="1101"/>
      <c r="E767" s="1101"/>
      <c r="F767" s="1101"/>
      <c r="G767" s="1101"/>
      <c r="H767" s="1101"/>
      <c r="I767" s="1101"/>
      <c r="J767" s="1101"/>
      <c r="K767" s="1101"/>
      <c r="L767" s="1101"/>
      <c r="M767" s="1101"/>
      <c r="N767" s="1101"/>
      <c r="O767" s="1101"/>
      <c r="P767" s="1101"/>
      <c r="Q767" s="1101"/>
      <c r="R767" s="1101"/>
      <c r="S767" s="1101"/>
      <c r="T767" s="1101"/>
      <c r="U767" s="1101"/>
      <c r="V767" s="1101"/>
      <c r="W767" s="1101"/>
      <c r="X767" s="1101"/>
      <c r="Y767" s="1102"/>
      <c r="Z767" s="1102"/>
      <c r="AA767" s="1101"/>
    </row>
    <row r="768" ht="15.75" customHeight="1">
      <c r="A768" s="213"/>
      <c r="B768" s="213"/>
      <c r="C768" s="1101"/>
      <c r="D768" s="1101"/>
      <c r="E768" s="1101"/>
      <c r="F768" s="1101"/>
      <c r="G768" s="1101"/>
      <c r="H768" s="1101"/>
      <c r="I768" s="1101"/>
      <c r="J768" s="1101"/>
      <c r="K768" s="1101"/>
      <c r="L768" s="1101"/>
      <c r="M768" s="1101"/>
      <c r="N768" s="1101"/>
      <c r="O768" s="1101"/>
      <c r="P768" s="1101"/>
      <c r="Q768" s="1101"/>
      <c r="R768" s="1101"/>
      <c r="S768" s="1101"/>
      <c r="T768" s="1101"/>
      <c r="U768" s="1101"/>
      <c r="V768" s="1101"/>
      <c r="W768" s="1101"/>
      <c r="X768" s="1101"/>
      <c r="Y768" s="1102"/>
      <c r="Z768" s="1102"/>
      <c r="AA768" s="1101"/>
    </row>
    <row r="769" ht="15.75" customHeight="1">
      <c r="A769" s="213"/>
      <c r="B769" s="213"/>
      <c r="C769" s="1101"/>
      <c r="D769" s="1101"/>
      <c r="E769" s="1101"/>
      <c r="F769" s="1101"/>
      <c r="G769" s="1101"/>
      <c r="H769" s="1101"/>
      <c r="I769" s="1101"/>
      <c r="J769" s="1101"/>
      <c r="K769" s="1101"/>
      <c r="L769" s="1101"/>
      <c r="M769" s="1101"/>
      <c r="N769" s="1101"/>
      <c r="O769" s="1101"/>
      <c r="P769" s="1101"/>
      <c r="Q769" s="1101"/>
      <c r="R769" s="1101"/>
      <c r="S769" s="1101"/>
      <c r="T769" s="1101"/>
      <c r="U769" s="1101"/>
      <c r="V769" s="1101"/>
      <c r="W769" s="1101"/>
      <c r="X769" s="1101"/>
      <c r="Y769" s="1102"/>
      <c r="Z769" s="1102"/>
      <c r="AA769" s="1101"/>
    </row>
    <row r="770" ht="15.75" customHeight="1">
      <c r="A770" s="213"/>
      <c r="B770" s="213"/>
      <c r="C770" s="1101"/>
      <c r="D770" s="1101"/>
      <c r="E770" s="1101"/>
      <c r="F770" s="1101"/>
      <c r="G770" s="1101"/>
      <c r="H770" s="1101"/>
      <c r="I770" s="1101"/>
      <c r="J770" s="1101"/>
      <c r="K770" s="1101"/>
      <c r="L770" s="1101"/>
      <c r="M770" s="1101"/>
      <c r="N770" s="1101"/>
      <c r="O770" s="1101"/>
      <c r="P770" s="1101"/>
      <c r="Q770" s="1101"/>
      <c r="R770" s="1101"/>
      <c r="S770" s="1101"/>
      <c r="T770" s="1101"/>
      <c r="U770" s="1101"/>
      <c r="V770" s="1101"/>
      <c r="W770" s="1101"/>
      <c r="X770" s="1101"/>
      <c r="Y770" s="1102"/>
      <c r="Z770" s="1102"/>
      <c r="AA770" s="1101"/>
    </row>
    <row r="771" ht="15.75" customHeight="1">
      <c r="A771" s="213"/>
      <c r="B771" s="213"/>
      <c r="C771" s="1101"/>
      <c r="D771" s="1101"/>
      <c r="E771" s="1101"/>
      <c r="F771" s="1101"/>
      <c r="G771" s="1101"/>
      <c r="H771" s="1101"/>
      <c r="I771" s="1101"/>
      <c r="J771" s="1101"/>
      <c r="K771" s="1101"/>
      <c r="L771" s="1101"/>
      <c r="M771" s="1101"/>
      <c r="N771" s="1101"/>
      <c r="O771" s="1101"/>
      <c r="P771" s="1101"/>
      <c r="Q771" s="1101"/>
      <c r="R771" s="1101"/>
      <c r="S771" s="1101"/>
      <c r="T771" s="1101"/>
      <c r="U771" s="1101"/>
      <c r="V771" s="1101"/>
      <c r="W771" s="1101"/>
      <c r="X771" s="1101"/>
      <c r="Y771" s="1102"/>
      <c r="Z771" s="1102"/>
      <c r="AA771" s="1101"/>
    </row>
    <row r="772" ht="15.75" customHeight="1">
      <c r="A772" s="213"/>
      <c r="B772" s="213"/>
      <c r="C772" s="1101"/>
      <c r="D772" s="1101"/>
      <c r="E772" s="1101"/>
      <c r="F772" s="1101"/>
      <c r="G772" s="1101"/>
      <c r="H772" s="1101"/>
      <c r="I772" s="1101"/>
      <c r="J772" s="1101"/>
      <c r="K772" s="1101"/>
      <c r="L772" s="1101"/>
      <c r="M772" s="1101"/>
      <c r="N772" s="1101"/>
      <c r="O772" s="1101"/>
      <c r="P772" s="1101"/>
      <c r="Q772" s="1101"/>
      <c r="R772" s="1101"/>
      <c r="S772" s="1101"/>
      <c r="T772" s="1101"/>
      <c r="U772" s="1101"/>
      <c r="V772" s="1101"/>
      <c r="W772" s="1101"/>
      <c r="X772" s="1101"/>
      <c r="Y772" s="1102"/>
      <c r="Z772" s="1102"/>
      <c r="AA772" s="1101"/>
    </row>
    <row r="773" ht="15.75" customHeight="1">
      <c r="A773" s="213"/>
      <c r="B773" s="213"/>
      <c r="C773" s="1101"/>
      <c r="D773" s="1101"/>
      <c r="E773" s="1101"/>
      <c r="F773" s="1101"/>
      <c r="G773" s="1101"/>
      <c r="H773" s="1101"/>
      <c r="I773" s="1101"/>
      <c r="J773" s="1101"/>
      <c r="K773" s="1101"/>
      <c r="L773" s="1101"/>
      <c r="M773" s="1101"/>
      <c r="N773" s="1101"/>
      <c r="O773" s="1101"/>
      <c r="P773" s="1101"/>
      <c r="Q773" s="1101"/>
      <c r="R773" s="1101"/>
      <c r="S773" s="1101"/>
      <c r="T773" s="1101"/>
      <c r="U773" s="1101"/>
      <c r="V773" s="1101"/>
      <c r="W773" s="1101"/>
      <c r="X773" s="1101"/>
      <c r="Y773" s="1102"/>
      <c r="Z773" s="1102"/>
      <c r="AA773" s="1101"/>
    </row>
    <row r="774" ht="15.75" customHeight="1">
      <c r="A774" s="213"/>
      <c r="B774" s="213"/>
      <c r="C774" s="1101"/>
      <c r="D774" s="1101"/>
      <c r="E774" s="1101"/>
      <c r="F774" s="1101"/>
      <c r="G774" s="1101"/>
      <c r="H774" s="1101"/>
      <c r="I774" s="1101"/>
      <c r="J774" s="1101"/>
      <c r="K774" s="1101"/>
      <c r="L774" s="1101"/>
      <c r="M774" s="1101"/>
      <c r="N774" s="1101"/>
      <c r="O774" s="1101"/>
      <c r="P774" s="1101"/>
      <c r="Q774" s="1101"/>
      <c r="R774" s="1101"/>
      <c r="S774" s="1101"/>
      <c r="T774" s="1101"/>
      <c r="U774" s="1101"/>
      <c r="V774" s="1101"/>
      <c r="W774" s="1101"/>
      <c r="X774" s="1101"/>
      <c r="Y774" s="1102"/>
      <c r="Z774" s="1102"/>
      <c r="AA774" s="1101"/>
    </row>
    <row r="775" ht="15.75" customHeight="1">
      <c r="A775" s="213"/>
      <c r="B775" s="213"/>
      <c r="C775" s="1101"/>
      <c r="D775" s="1101"/>
      <c r="E775" s="1101"/>
      <c r="F775" s="1101"/>
      <c r="G775" s="1101"/>
      <c r="H775" s="1101"/>
      <c r="I775" s="1101"/>
      <c r="J775" s="1101"/>
      <c r="K775" s="1101"/>
      <c r="L775" s="1101"/>
      <c r="M775" s="1101"/>
      <c r="N775" s="1101"/>
      <c r="O775" s="1101"/>
      <c r="P775" s="1101"/>
      <c r="Q775" s="1101"/>
      <c r="R775" s="1101"/>
      <c r="S775" s="1101"/>
      <c r="T775" s="1101"/>
      <c r="U775" s="1101"/>
      <c r="V775" s="1101"/>
      <c r="W775" s="1101"/>
      <c r="X775" s="1101"/>
      <c r="Y775" s="1102"/>
      <c r="Z775" s="1102"/>
      <c r="AA775" s="1101"/>
    </row>
    <row r="776" ht="15.75" customHeight="1">
      <c r="A776" s="213"/>
      <c r="B776" s="213"/>
      <c r="C776" s="1101"/>
      <c r="D776" s="1101"/>
      <c r="E776" s="1101"/>
      <c r="F776" s="1101"/>
      <c r="G776" s="1101"/>
      <c r="H776" s="1101"/>
      <c r="I776" s="1101"/>
      <c r="J776" s="1101"/>
      <c r="K776" s="1101"/>
      <c r="L776" s="1101"/>
      <c r="M776" s="1101"/>
      <c r="N776" s="1101"/>
      <c r="O776" s="1101"/>
      <c r="P776" s="1101"/>
      <c r="Q776" s="1101"/>
      <c r="R776" s="1101"/>
      <c r="S776" s="1101"/>
      <c r="T776" s="1101"/>
      <c r="U776" s="1101"/>
      <c r="V776" s="1101"/>
      <c r="W776" s="1101"/>
      <c r="X776" s="1101"/>
      <c r="Y776" s="1102"/>
      <c r="Z776" s="1102"/>
      <c r="AA776" s="1101"/>
    </row>
    <row r="777" ht="15.75" customHeight="1">
      <c r="A777" s="213"/>
      <c r="B777" s="213"/>
      <c r="C777" s="1101"/>
      <c r="D777" s="1101"/>
      <c r="E777" s="1101"/>
      <c r="F777" s="1101"/>
      <c r="G777" s="1101"/>
      <c r="H777" s="1101"/>
      <c r="I777" s="1101"/>
      <c r="J777" s="1101"/>
      <c r="K777" s="1101"/>
      <c r="L777" s="1101"/>
      <c r="M777" s="1101"/>
      <c r="N777" s="1101"/>
      <c r="O777" s="1101"/>
      <c r="P777" s="1101"/>
      <c r="Q777" s="1101"/>
      <c r="R777" s="1101"/>
      <c r="S777" s="1101"/>
      <c r="T777" s="1101"/>
      <c r="U777" s="1101"/>
      <c r="V777" s="1101"/>
      <c r="W777" s="1101"/>
      <c r="X777" s="1101"/>
      <c r="Y777" s="1102"/>
      <c r="Z777" s="1102"/>
      <c r="AA777" s="1101"/>
    </row>
    <row r="778" ht="15.75" customHeight="1">
      <c r="A778" s="213"/>
      <c r="B778" s="213"/>
      <c r="C778" s="1101"/>
      <c r="D778" s="1101"/>
      <c r="E778" s="1101"/>
      <c r="F778" s="1101"/>
      <c r="G778" s="1101"/>
      <c r="H778" s="1101"/>
      <c r="I778" s="1101"/>
      <c r="J778" s="1101"/>
      <c r="K778" s="1101"/>
      <c r="L778" s="1101"/>
      <c r="M778" s="1101"/>
      <c r="N778" s="1101"/>
      <c r="O778" s="1101"/>
      <c r="P778" s="1101"/>
      <c r="Q778" s="1101"/>
      <c r="R778" s="1101"/>
      <c r="S778" s="1101"/>
      <c r="T778" s="1101"/>
      <c r="U778" s="1101"/>
      <c r="V778" s="1101"/>
      <c r="W778" s="1101"/>
      <c r="X778" s="1101"/>
      <c r="Y778" s="1102"/>
      <c r="Z778" s="1102"/>
      <c r="AA778" s="1101"/>
    </row>
    <row r="779" ht="15.75" customHeight="1">
      <c r="A779" s="213"/>
      <c r="B779" s="213"/>
      <c r="C779" s="1101"/>
      <c r="D779" s="1101"/>
      <c r="E779" s="1101"/>
      <c r="F779" s="1101"/>
      <c r="G779" s="1101"/>
      <c r="H779" s="1101"/>
      <c r="I779" s="1101"/>
      <c r="J779" s="1101"/>
      <c r="K779" s="1101"/>
      <c r="L779" s="1101"/>
      <c r="M779" s="1101"/>
      <c r="N779" s="1101"/>
      <c r="O779" s="1101"/>
      <c r="P779" s="1101"/>
      <c r="Q779" s="1101"/>
      <c r="R779" s="1101"/>
      <c r="S779" s="1101"/>
      <c r="T779" s="1101"/>
      <c r="U779" s="1101"/>
      <c r="V779" s="1101"/>
      <c r="W779" s="1101"/>
      <c r="X779" s="1101"/>
      <c r="Y779" s="1102"/>
      <c r="Z779" s="1102"/>
      <c r="AA779" s="1101"/>
    </row>
    <row r="780" ht="15.75" customHeight="1">
      <c r="A780" s="213"/>
      <c r="B780" s="213"/>
      <c r="C780" s="1101"/>
      <c r="D780" s="1101"/>
      <c r="E780" s="1101"/>
      <c r="F780" s="1101"/>
      <c r="G780" s="1101"/>
      <c r="H780" s="1101"/>
      <c r="I780" s="1101"/>
      <c r="J780" s="1101"/>
      <c r="K780" s="1101"/>
      <c r="L780" s="1101"/>
      <c r="M780" s="1101"/>
      <c r="N780" s="1101"/>
      <c r="O780" s="1101"/>
      <c r="P780" s="1101"/>
      <c r="Q780" s="1101"/>
      <c r="R780" s="1101"/>
      <c r="S780" s="1101"/>
      <c r="T780" s="1101"/>
      <c r="U780" s="1101"/>
      <c r="V780" s="1101"/>
      <c r="W780" s="1101"/>
      <c r="X780" s="1101"/>
      <c r="Y780" s="1102"/>
      <c r="Z780" s="1102"/>
      <c r="AA780" s="1101"/>
    </row>
    <row r="781" ht="15.75" customHeight="1">
      <c r="A781" s="213"/>
      <c r="B781" s="213"/>
      <c r="C781" s="1101"/>
      <c r="D781" s="1101"/>
      <c r="E781" s="1101"/>
      <c r="F781" s="1101"/>
      <c r="G781" s="1101"/>
      <c r="H781" s="1101"/>
      <c r="I781" s="1101"/>
      <c r="J781" s="1101"/>
      <c r="K781" s="1101"/>
      <c r="L781" s="1101"/>
      <c r="M781" s="1101"/>
      <c r="N781" s="1101"/>
      <c r="O781" s="1101"/>
      <c r="P781" s="1101"/>
      <c r="Q781" s="1101"/>
      <c r="R781" s="1101"/>
      <c r="S781" s="1101"/>
      <c r="T781" s="1101"/>
      <c r="U781" s="1101"/>
      <c r="V781" s="1101"/>
      <c r="W781" s="1101"/>
      <c r="X781" s="1101"/>
      <c r="Y781" s="1102"/>
      <c r="Z781" s="1102"/>
      <c r="AA781" s="1101"/>
    </row>
    <row r="782" ht="15.75" customHeight="1">
      <c r="A782" s="213"/>
      <c r="B782" s="213"/>
      <c r="C782" s="1101"/>
      <c r="D782" s="1101"/>
      <c r="E782" s="1101"/>
      <c r="F782" s="1101"/>
      <c r="G782" s="1101"/>
      <c r="H782" s="1101"/>
      <c r="I782" s="1101"/>
      <c r="J782" s="1101"/>
      <c r="K782" s="1101"/>
      <c r="L782" s="1101"/>
      <c r="M782" s="1101"/>
      <c r="N782" s="1101"/>
      <c r="O782" s="1101"/>
      <c r="P782" s="1101"/>
      <c r="Q782" s="1101"/>
      <c r="R782" s="1101"/>
      <c r="S782" s="1101"/>
      <c r="T782" s="1101"/>
      <c r="U782" s="1101"/>
      <c r="V782" s="1101"/>
      <c r="W782" s="1101"/>
      <c r="X782" s="1101"/>
      <c r="Y782" s="1102"/>
      <c r="Z782" s="1102"/>
      <c r="AA782" s="1101"/>
    </row>
    <row r="783" ht="15.75" customHeight="1">
      <c r="A783" s="213"/>
      <c r="B783" s="213"/>
      <c r="C783" s="1101"/>
      <c r="D783" s="1101"/>
      <c r="E783" s="1101"/>
      <c r="F783" s="1101"/>
      <c r="G783" s="1101"/>
      <c r="H783" s="1101"/>
      <c r="I783" s="1101"/>
      <c r="J783" s="1101"/>
      <c r="K783" s="1101"/>
      <c r="L783" s="1101"/>
      <c r="M783" s="1101"/>
      <c r="N783" s="1101"/>
      <c r="O783" s="1101"/>
      <c r="P783" s="1101"/>
      <c r="Q783" s="1101"/>
      <c r="R783" s="1101"/>
      <c r="S783" s="1101"/>
      <c r="T783" s="1101"/>
      <c r="U783" s="1101"/>
      <c r="V783" s="1101"/>
      <c r="W783" s="1101"/>
      <c r="X783" s="1101"/>
      <c r="Y783" s="1102"/>
      <c r="Z783" s="1102"/>
      <c r="AA783" s="1101"/>
    </row>
    <row r="784" ht="15.75" customHeight="1">
      <c r="A784" s="213"/>
      <c r="B784" s="213"/>
      <c r="C784" s="1101"/>
      <c r="D784" s="1101"/>
      <c r="E784" s="1101"/>
      <c r="F784" s="1101"/>
      <c r="G784" s="1101"/>
      <c r="H784" s="1101"/>
      <c r="I784" s="1101"/>
      <c r="J784" s="1101"/>
      <c r="K784" s="1101"/>
      <c r="L784" s="1101"/>
      <c r="M784" s="1101"/>
      <c r="N784" s="1101"/>
      <c r="O784" s="1101"/>
      <c r="P784" s="1101"/>
      <c r="Q784" s="1101"/>
      <c r="R784" s="1101"/>
      <c r="S784" s="1101"/>
      <c r="T784" s="1101"/>
      <c r="U784" s="1101"/>
      <c r="V784" s="1101"/>
      <c r="W784" s="1101"/>
      <c r="X784" s="1101"/>
      <c r="Y784" s="1102"/>
      <c r="Z784" s="1102"/>
      <c r="AA784" s="1101"/>
    </row>
    <row r="785" ht="15.75" customHeight="1">
      <c r="A785" s="213"/>
      <c r="B785" s="213"/>
      <c r="C785" s="1101"/>
      <c r="D785" s="1101"/>
      <c r="E785" s="1101"/>
      <c r="F785" s="1101"/>
      <c r="G785" s="1101"/>
      <c r="H785" s="1101"/>
      <c r="I785" s="1101"/>
      <c r="J785" s="1101"/>
      <c r="K785" s="1101"/>
      <c r="L785" s="1101"/>
      <c r="M785" s="1101"/>
      <c r="N785" s="1101"/>
      <c r="O785" s="1101"/>
      <c r="P785" s="1101"/>
      <c r="Q785" s="1101"/>
      <c r="R785" s="1101"/>
      <c r="S785" s="1101"/>
      <c r="T785" s="1101"/>
      <c r="U785" s="1101"/>
      <c r="V785" s="1101"/>
      <c r="W785" s="1101"/>
      <c r="X785" s="1101"/>
      <c r="Y785" s="1102"/>
      <c r="Z785" s="1102"/>
      <c r="AA785" s="1101"/>
    </row>
    <row r="786" ht="15.75" customHeight="1">
      <c r="A786" s="213"/>
      <c r="B786" s="213"/>
      <c r="C786" s="1101"/>
      <c r="D786" s="1101"/>
      <c r="E786" s="1101"/>
      <c r="F786" s="1101"/>
      <c r="G786" s="1101"/>
      <c r="H786" s="1101"/>
      <c r="I786" s="1101"/>
      <c r="J786" s="1101"/>
      <c r="K786" s="1101"/>
      <c r="L786" s="1101"/>
      <c r="M786" s="1101"/>
      <c r="N786" s="1101"/>
      <c r="O786" s="1101"/>
      <c r="P786" s="1101"/>
      <c r="Q786" s="1101"/>
      <c r="R786" s="1101"/>
      <c r="S786" s="1101"/>
      <c r="T786" s="1101"/>
      <c r="U786" s="1101"/>
      <c r="V786" s="1101"/>
      <c r="W786" s="1101"/>
      <c r="X786" s="1101"/>
      <c r="Y786" s="1102"/>
      <c r="Z786" s="1102"/>
      <c r="AA786" s="1101"/>
    </row>
    <row r="787" ht="15.75" customHeight="1">
      <c r="A787" s="213"/>
      <c r="B787" s="213"/>
      <c r="C787" s="1101"/>
      <c r="D787" s="1101"/>
      <c r="E787" s="1101"/>
      <c r="F787" s="1101"/>
      <c r="G787" s="1101"/>
      <c r="H787" s="1101"/>
      <c r="I787" s="1101"/>
      <c r="J787" s="1101"/>
      <c r="K787" s="1101"/>
      <c r="L787" s="1101"/>
      <c r="M787" s="1101"/>
      <c r="N787" s="1101"/>
      <c r="O787" s="1101"/>
      <c r="P787" s="1101"/>
      <c r="Q787" s="1101"/>
      <c r="R787" s="1101"/>
      <c r="S787" s="1101"/>
      <c r="T787" s="1101"/>
      <c r="U787" s="1101"/>
      <c r="V787" s="1101"/>
      <c r="W787" s="1101"/>
      <c r="X787" s="1101"/>
      <c r="Y787" s="1102"/>
      <c r="Z787" s="1102"/>
      <c r="AA787" s="1101"/>
    </row>
    <row r="788" ht="15.75" customHeight="1">
      <c r="A788" s="213"/>
      <c r="B788" s="213"/>
      <c r="C788" s="1101"/>
      <c r="D788" s="1101"/>
      <c r="E788" s="1101"/>
      <c r="F788" s="1101"/>
      <c r="G788" s="1101"/>
      <c r="H788" s="1101"/>
      <c r="I788" s="1101"/>
      <c r="J788" s="1101"/>
      <c r="K788" s="1101"/>
      <c r="L788" s="1101"/>
      <c r="M788" s="1101"/>
      <c r="N788" s="1101"/>
      <c r="O788" s="1101"/>
      <c r="P788" s="1101"/>
      <c r="Q788" s="1101"/>
      <c r="R788" s="1101"/>
      <c r="S788" s="1101"/>
      <c r="T788" s="1101"/>
      <c r="U788" s="1101"/>
      <c r="V788" s="1101"/>
      <c r="W788" s="1101"/>
      <c r="X788" s="1101"/>
      <c r="Y788" s="1102"/>
      <c r="Z788" s="1102"/>
      <c r="AA788" s="1101"/>
    </row>
    <row r="789" ht="15.75" customHeight="1">
      <c r="A789" s="213"/>
      <c r="B789" s="213"/>
      <c r="C789" s="1101"/>
      <c r="D789" s="1101"/>
      <c r="E789" s="1101"/>
      <c r="F789" s="1101"/>
      <c r="G789" s="1101"/>
      <c r="H789" s="1101"/>
      <c r="I789" s="1101"/>
      <c r="J789" s="1101"/>
      <c r="K789" s="1101"/>
      <c r="L789" s="1101"/>
      <c r="M789" s="1101"/>
      <c r="N789" s="1101"/>
      <c r="O789" s="1101"/>
      <c r="P789" s="1101"/>
      <c r="Q789" s="1101"/>
      <c r="R789" s="1101"/>
      <c r="S789" s="1101"/>
      <c r="T789" s="1101"/>
      <c r="U789" s="1101"/>
      <c r="V789" s="1101"/>
      <c r="W789" s="1101"/>
      <c r="X789" s="1101"/>
      <c r="Y789" s="1102"/>
      <c r="Z789" s="1102"/>
      <c r="AA789" s="1101"/>
    </row>
    <row r="790" ht="15.75" customHeight="1">
      <c r="A790" s="213"/>
      <c r="B790" s="213"/>
      <c r="C790" s="1101"/>
      <c r="D790" s="1101"/>
      <c r="E790" s="1101"/>
      <c r="F790" s="1101"/>
      <c r="G790" s="1101"/>
      <c r="H790" s="1101"/>
      <c r="I790" s="1101"/>
      <c r="J790" s="1101"/>
      <c r="K790" s="1101"/>
      <c r="L790" s="1101"/>
      <c r="M790" s="1101"/>
      <c r="N790" s="1101"/>
      <c r="O790" s="1101"/>
      <c r="P790" s="1101"/>
      <c r="Q790" s="1101"/>
      <c r="R790" s="1101"/>
      <c r="S790" s="1101"/>
      <c r="T790" s="1101"/>
      <c r="U790" s="1101"/>
      <c r="V790" s="1101"/>
      <c r="W790" s="1101"/>
      <c r="X790" s="1101"/>
      <c r="Y790" s="1102"/>
      <c r="Z790" s="1102"/>
      <c r="AA790" s="1101"/>
    </row>
    <row r="791" ht="15.75" customHeight="1">
      <c r="A791" s="213"/>
      <c r="B791" s="213"/>
      <c r="C791" s="1101"/>
      <c r="D791" s="1101"/>
      <c r="E791" s="1101"/>
      <c r="F791" s="1101"/>
      <c r="G791" s="1101"/>
      <c r="H791" s="1101"/>
      <c r="I791" s="1101"/>
      <c r="J791" s="1101"/>
      <c r="K791" s="1101"/>
      <c r="L791" s="1101"/>
      <c r="M791" s="1101"/>
      <c r="N791" s="1101"/>
      <c r="O791" s="1101"/>
      <c r="P791" s="1101"/>
      <c r="Q791" s="1101"/>
      <c r="R791" s="1101"/>
      <c r="S791" s="1101"/>
      <c r="T791" s="1101"/>
      <c r="U791" s="1101"/>
      <c r="V791" s="1101"/>
      <c r="W791" s="1101"/>
      <c r="X791" s="1101"/>
      <c r="Y791" s="1102"/>
      <c r="Z791" s="1102"/>
      <c r="AA791" s="1101"/>
    </row>
    <row r="792" ht="15.75" customHeight="1">
      <c r="A792" s="213"/>
      <c r="B792" s="213"/>
      <c r="C792" s="1101"/>
      <c r="D792" s="1101"/>
      <c r="E792" s="1101"/>
      <c r="F792" s="1101"/>
      <c r="G792" s="1101"/>
      <c r="H792" s="1101"/>
      <c r="I792" s="1101"/>
      <c r="J792" s="1101"/>
      <c r="K792" s="1101"/>
      <c r="L792" s="1101"/>
      <c r="M792" s="1101"/>
      <c r="N792" s="1101"/>
      <c r="O792" s="1101"/>
      <c r="P792" s="1101"/>
      <c r="Q792" s="1101"/>
      <c r="R792" s="1101"/>
      <c r="S792" s="1101"/>
      <c r="T792" s="1101"/>
      <c r="U792" s="1101"/>
      <c r="V792" s="1101"/>
      <c r="W792" s="1101"/>
      <c r="X792" s="1101"/>
      <c r="Y792" s="1102"/>
      <c r="Z792" s="1102"/>
      <c r="AA792" s="1101"/>
    </row>
    <row r="793" ht="15.75" customHeight="1">
      <c r="A793" s="213"/>
      <c r="B793" s="213"/>
      <c r="C793" s="1101"/>
      <c r="D793" s="1101"/>
      <c r="E793" s="1101"/>
      <c r="F793" s="1101"/>
      <c r="G793" s="1101"/>
      <c r="H793" s="1101"/>
      <c r="I793" s="1101"/>
      <c r="J793" s="1101"/>
      <c r="K793" s="1101"/>
      <c r="L793" s="1101"/>
      <c r="M793" s="1101"/>
      <c r="N793" s="1101"/>
      <c r="O793" s="1101"/>
      <c r="P793" s="1101"/>
      <c r="Q793" s="1101"/>
      <c r="R793" s="1101"/>
      <c r="S793" s="1101"/>
      <c r="T793" s="1101"/>
      <c r="U793" s="1101"/>
      <c r="V793" s="1101"/>
      <c r="W793" s="1101"/>
      <c r="X793" s="1101"/>
      <c r="Y793" s="1102"/>
      <c r="Z793" s="1102"/>
      <c r="AA793" s="1101"/>
    </row>
    <row r="794" ht="15.75" customHeight="1">
      <c r="A794" s="213"/>
      <c r="B794" s="213"/>
      <c r="C794" s="1101"/>
      <c r="D794" s="1101"/>
      <c r="E794" s="1101"/>
      <c r="F794" s="1101"/>
      <c r="G794" s="1101"/>
      <c r="H794" s="1101"/>
      <c r="I794" s="1101"/>
      <c r="J794" s="1101"/>
      <c r="K794" s="1101"/>
      <c r="L794" s="1101"/>
      <c r="M794" s="1101"/>
      <c r="N794" s="1101"/>
      <c r="O794" s="1101"/>
      <c r="P794" s="1101"/>
      <c r="Q794" s="1101"/>
      <c r="R794" s="1101"/>
      <c r="S794" s="1101"/>
      <c r="T794" s="1101"/>
      <c r="U794" s="1101"/>
      <c r="V794" s="1101"/>
      <c r="W794" s="1101"/>
      <c r="X794" s="1101"/>
      <c r="Y794" s="1102"/>
      <c r="Z794" s="1102"/>
      <c r="AA794" s="1101"/>
    </row>
    <row r="795" ht="15.75" customHeight="1">
      <c r="A795" s="213"/>
      <c r="B795" s="213"/>
      <c r="C795" s="1101"/>
      <c r="D795" s="1101"/>
      <c r="E795" s="1101"/>
      <c r="F795" s="1101"/>
      <c r="G795" s="1101"/>
      <c r="H795" s="1101"/>
      <c r="I795" s="1101"/>
      <c r="J795" s="1101"/>
      <c r="K795" s="1101"/>
      <c r="L795" s="1101"/>
      <c r="M795" s="1101"/>
      <c r="N795" s="1101"/>
      <c r="O795" s="1101"/>
      <c r="P795" s="1101"/>
      <c r="Q795" s="1101"/>
      <c r="R795" s="1101"/>
      <c r="S795" s="1101"/>
      <c r="T795" s="1101"/>
      <c r="U795" s="1101"/>
      <c r="V795" s="1101"/>
      <c r="W795" s="1101"/>
      <c r="X795" s="1101"/>
      <c r="Y795" s="1102"/>
      <c r="Z795" s="1102"/>
      <c r="AA795" s="1101"/>
    </row>
    <row r="796" ht="15.75" customHeight="1">
      <c r="A796" s="213"/>
      <c r="B796" s="213"/>
      <c r="C796" s="1101"/>
      <c r="D796" s="1101"/>
      <c r="E796" s="1101"/>
      <c r="F796" s="1101"/>
      <c r="G796" s="1101"/>
      <c r="H796" s="1101"/>
      <c r="I796" s="1101"/>
      <c r="J796" s="1101"/>
      <c r="K796" s="1101"/>
      <c r="L796" s="1101"/>
      <c r="M796" s="1101"/>
      <c r="N796" s="1101"/>
      <c r="O796" s="1101"/>
      <c r="P796" s="1101"/>
      <c r="Q796" s="1101"/>
      <c r="R796" s="1101"/>
      <c r="S796" s="1101"/>
      <c r="T796" s="1101"/>
      <c r="U796" s="1101"/>
      <c r="V796" s="1101"/>
      <c r="W796" s="1101"/>
      <c r="X796" s="1101"/>
      <c r="Y796" s="1102"/>
      <c r="Z796" s="1102"/>
      <c r="AA796" s="1101"/>
    </row>
    <row r="797" ht="15.75" customHeight="1">
      <c r="A797" s="213"/>
      <c r="B797" s="213"/>
      <c r="C797" s="1101"/>
      <c r="D797" s="1101"/>
      <c r="E797" s="1101"/>
      <c r="F797" s="1101"/>
      <c r="G797" s="1101"/>
      <c r="H797" s="1101"/>
      <c r="I797" s="1101"/>
      <c r="J797" s="1101"/>
      <c r="K797" s="1101"/>
      <c r="L797" s="1101"/>
      <c r="M797" s="1101"/>
      <c r="N797" s="1101"/>
      <c r="O797" s="1101"/>
      <c r="P797" s="1101"/>
      <c r="Q797" s="1101"/>
      <c r="R797" s="1101"/>
      <c r="S797" s="1101"/>
      <c r="T797" s="1101"/>
      <c r="U797" s="1101"/>
      <c r="V797" s="1101"/>
      <c r="W797" s="1101"/>
      <c r="X797" s="1101"/>
      <c r="Y797" s="1102"/>
      <c r="Z797" s="1102"/>
      <c r="AA797" s="1101"/>
    </row>
    <row r="798" ht="15.75" customHeight="1">
      <c r="A798" s="213"/>
      <c r="B798" s="213"/>
      <c r="C798" s="1101"/>
      <c r="D798" s="1101"/>
      <c r="E798" s="1101"/>
      <c r="F798" s="1101"/>
      <c r="G798" s="1101"/>
      <c r="H798" s="1101"/>
      <c r="I798" s="1101"/>
      <c r="J798" s="1101"/>
      <c r="K798" s="1101"/>
      <c r="L798" s="1101"/>
      <c r="M798" s="1101"/>
      <c r="N798" s="1101"/>
      <c r="O798" s="1101"/>
      <c r="P798" s="1101"/>
      <c r="Q798" s="1101"/>
      <c r="R798" s="1101"/>
      <c r="S798" s="1101"/>
      <c r="T798" s="1101"/>
      <c r="U798" s="1101"/>
      <c r="V798" s="1101"/>
      <c r="W798" s="1101"/>
      <c r="X798" s="1101"/>
      <c r="Y798" s="1102"/>
      <c r="Z798" s="1102"/>
      <c r="AA798" s="1101"/>
    </row>
    <row r="799" ht="15.75" customHeight="1">
      <c r="A799" s="213"/>
      <c r="B799" s="213"/>
      <c r="C799" s="1101"/>
      <c r="D799" s="1101"/>
      <c r="E799" s="1101"/>
      <c r="F799" s="1101"/>
      <c r="G799" s="1101"/>
      <c r="H799" s="1101"/>
      <c r="I799" s="1101"/>
      <c r="J799" s="1101"/>
      <c r="K799" s="1101"/>
      <c r="L799" s="1101"/>
      <c r="M799" s="1101"/>
      <c r="N799" s="1101"/>
      <c r="O799" s="1101"/>
      <c r="P799" s="1101"/>
      <c r="Q799" s="1101"/>
      <c r="R799" s="1101"/>
      <c r="S799" s="1101"/>
      <c r="T799" s="1101"/>
      <c r="U799" s="1101"/>
      <c r="V799" s="1101"/>
      <c r="W799" s="1101"/>
      <c r="X799" s="1101"/>
      <c r="Y799" s="1102"/>
      <c r="Z799" s="1102"/>
      <c r="AA799" s="1101"/>
    </row>
    <row r="800" ht="15.75" customHeight="1">
      <c r="A800" s="213"/>
      <c r="B800" s="213"/>
      <c r="C800" s="1101"/>
      <c r="D800" s="1101"/>
      <c r="E800" s="1101"/>
      <c r="F800" s="1101"/>
      <c r="G800" s="1101"/>
      <c r="H800" s="1101"/>
      <c r="I800" s="1101"/>
      <c r="J800" s="1101"/>
      <c r="K800" s="1101"/>
      <c r="L800" s="1101"/>
      <c r="M800" s="1101"/>
      <c r="N800" s="1101"/>
      <c r="O800" s="1101"/>
      <c r="P800" s="1101"/>
      <c r="Q800" s="1101"/>
      <c r="R800" s="1101"/>
      <c r="S800" s="1101"/>
      <c r="T800" s="1101"/>
      <c r="U800" s="1101"/>
      <c r="V800" s="1101"/>
      <c r="W800" s="1101"/>
      <c r="X800" s="1101"/>
      <c r="Y800" s="1102"/>
      <c r="Z800" s="1102"/>
      <c r="AA800" s="1101"/>
    </row>
    <row r="801" ht="15.75" customHeight="1">
      <c r="A801" s="213"/>
      <c r="B801" s="213"/>
      <c r="C801" s="1101"/>
      <c r="D801" s="1101"/>
      <c r="E801" s="1101"/>
      <c r="F801" s="1101"/>
      <c r="G801" s="1101"/>
      <c r="H801" s="1101"/>
      <c r="I801" s="1101"/>
      <c r="J801" s="1101"/>
      <c r="K801" s="1101"/>
      <c r="L801" s="1101"/>
      <c r="M801" s="1101"/>
      <c r="N801" s="1101"/>
      <c r="O801" s="1101"/>
      <c r="P801" s="1101"/>
      <c r="Q801" s="1101"/>
      <c r="R801" s="1101"/>
      <c r="S801" s="1101"/>
      <c r="T801" s="1101"/>
      <c r="U801" s="1101"/>
      <c r="V801" s="1101"/>
      <c r="W801" s="1101"/>
      <c r="X801" s="1101"/>
      <c r="Y801" s="1102"/>
      <c r="Z801" s="1102"/>
      <c r="AA801" s="1101"/>
    </row>
    <row r="802" ht="15.75" customHeight="1">
      <c r="A802" s="213"/>
      <c r="B802" s="213"/>
      <c r="C802" s="1101"/>
      <c r="D802" s="1101"/>
      <c r="E802" s="1101"/>
      <c r="F802" s="1101"/>
      <c r="G802" s="1101"/>
      <c r="H802" s="1101"/>
      <c r="I802" s="1101"/>
      <c r="J802" s="1101"/>
      <c r="K802" s="1101"/>
      <c r="L802" s="1101"/>
      <c r="M802" s="1101"/>
      <c r="N802" s="1101"/>
      <c r="O802" s="1101"/>
      <c r="P802" s="1101"/>
      <c r="Q802" s="1101"/>
      <c r="R802" s="1101"/>
      <c r="S802" s="1101"/>
      <c r="T802" s="1101"/>
      <c r="U802" s="1101"/>
      <c r="V802" s="1101"/>
      <c r="W802" s="1101"/>
      <c r="X802" s="1101"/>
      <c r="Y802" s="1102"/>
      <c r="Z802" s="1102"/>
      <c r="AA802" s="1101"/>
    </row>
    <row r="803" ht="15.75" customHeight="1">
      <c r="A803" s="213"/>
      <c r="B803" s="213"/>
      <c r="C803" s="1101"/>
      <c r="D803" s="1101"/>
      <c r="E803" s="1101"/>
      <c r="F803" s="1101"/>
      <c r="G803" s="1101"/>
      <c r="H803" s="1101"/>
      <c r="I803" s="1101"/>
      <c r="J803" s="1101"/>
      <c r="K803" s="1101"/>
      <c r="L803" s="1101"/>
      <c r="M803" s="1101"/>
      <c r="N803" s="1101"/>
      <c r="O803" s="1101"/>
      <c r="P803" s="1101"/>
      <c r="Q803" s="1101"/>
      <c r="R803" s="1101"/>
      <c r="S803" s="1101"/>
      <c r="T803" s="1101"/>
      <c r="U803" s="1101"/>
      <c r="V803" s="1101"/>
      <c r="W803" s="1101"/>
      <c r="X803" s="1101"/>
      <c r="Y803" s="1102"/>
      <c r="Z803" s="1102"/>
      <c r="AA803" s="1101"/>
    </row>
    <row r="804" ht="15.75" customHeight="1">
      <c r="A804" s="213"/>
      <c r="B804" s="213"/>
      <c r="C804" s="1101"/>
      <c r="D804" s="1101"/>
      <c r="E804" s="1101"/>
      <c r="F804" s="1101"/>
      <c r="G804" s="1101"/>
      <c r="H804" s="1101"/>
      <c r="I804" s="1101"/>
      <c r="J804" s="1101"/>
      <c r="K804" s="1101"/>
      <c r="L804" s="1101"/>
      <c r="M804" s="1101"/>
      <c r="N804" s="1101"/>
      <c r="O804" s="1101"/>
      <c r="P804" s="1101"/>
      <c r="Q804" s="1101"/>
      <c r="R804" s="1101"/>
      <c r="S804" s="1101"/>
      <c r="T804" s="1101"/>
      <c r="U804" s="1101"/>
      <c r="V804" s="1101"/>
      <c r="W804" s="1101"/>
      <c r="X804" s="1101"/>
      <c r="Y804" s="1102"/>
      <c r="Z804" s="1102"/>
      <c r="AA804" s="1101"/>
    </row>
    <row r="805" ht="15.75" customHeight="1">
      <c r="A805" s="213"/>
      <c r="B805" s="213"/>
      <c r="C805" s="1101"/>
      <c r="D805" s="1101"/>
      <c r="E805" s="1101"/>
      <c r="F805" s="1101"/>
      <c r="G805" s="1101"/>
      <c r="H805" s="1101"/>
      <c r="I805" s="1101"/>
      <c r="J805" s="1101"/>
      <c r="K805" s="1101"/>
      <c r="L805" s="1101"/>
      <c r="M805" s="1101"/>
      <c r="N805" s="1101"/>
      <c r="O805" s="1101"/>
      <c r="P805" s="1101"/>
      <c r="Q805" s="1101"/>
      <c r="R805" s="1101"/>
      <c r="S805" s="1101"/>
      <c r="T805" s="1101"/>
      <c r="U805" s="1101"/>
      <c r="V805" s="1101"/>
      <c r="W805" s="1101"/>
      <c r="X805" s="1101"/>
      <c r="Y805" s="1102"/>
      <c r="Z805" s="1102"/>
      <c r="AA805" s="1101"/>
    </row>
    <row r="806" ht="15.75" customHeight="1">
      <c r="A806" s="213"/>
      <c r="B806" s="213"/>
      <c r="C806" s="1101"/>
      <c r="D806" s="1101"/>
      <c r="E806" s="1101"/>
      <c r="F806" s="1101"/>
      <c r="G806" s="1101"/>
      <c r="H806" s="1101"/>
      <c r="I806" s="1101"/>
      <c r="J806" s="1101"/>
      <c r="K806" s="1101"/>
      <c r="L806" s="1101"/>
      <c r="M806" s="1101"/>
      <c r="N806" s="1101"/>
      <c r="O806" s="1101"/>
      <c r="P806" s="1101"/>
      <c r="Q806" s="1101"/>
      <c r="R806" s="1101"/>
      <c r="S806" s="1101"/>
      <c r="T806" s="1101"/>
      <c r="U806" s="1101"/>
      <c r="V806" s="1101"/>
      <c r="W806" s="1101"/>
      <c r="X806" s="1101"/>
      <c r="Y806" s="1102"/>
      <c r="Z806" s="1102"/>
      <c r="AA806" s="1101"/>
    </row>
    <row r="807" ht="15.75" customHeight="1">
      <c r="A807" s="213"/>
      <c r="B807" s="213"/>
      <c r="C807" s="1101"/>
      <c r="D807" s="1101"/>
      <c r="E807" s="1101"/>
      <c r="F807" s="1101"/>
      <c r="G807" s="1101"/>
      <c r="H807" s="1101"/>
      <c r="I807" s="1101"/>
      <c r="J807" s="1101"/>
      <c r="K807" s="1101"/>
      <c r="L807" s="1101"/>
      <c r="M807" s="1101"/>
      <c r="N807" s="1101"/>
      <c r="O807" s="1101"/>
      <c r="P807" s="1101"/>
      <c r="Q807" s="1101"/>
      <c r="R807" s="1101"/>
      <c r="S807" s="1101"/>
      <c r="T807" s="1101"/>
      <c r="U807" s="1101"/>
      <c r="V807" s="1101"/>
      <c r="W807" s="1101"/>
      <c r="X807" s="1101"/>
      <c r="Y807" s="1102"/>
      <c r="Z807" s="1102"/>
      <c r="AA807" s="1101"/>
    </row>
    <row r="808" ht="15.75" customHeight="1">
      <c r="A808" s="213"/>
      <c r="B808" s="213"/>
      <c r="C808" s="1101"/>
      <c r="D808" s="1101"/>
      <c r="E808" s="1101"/>
      <c r="F808" s="1101"/>
      <c r="G808" s="1101"/>
      <c r="H808" s="1101"/>
      <c r="I808" s="1101"/>
      <c r="J808" s="1101"/>
      <c r="K808" s="1101"/>
      <c r="L808" s="1101"/>
      <c r="M808" s="1101"/>
      <c r="N808" s="1101"/>
      <c r="O808" s="1101"/>
      <c r="P808" s="1101"/>
      <c r="Q808" s="1101"/>
      <c r="R808" s="1101"/>
      <c r="S808" s="1101"/>
      <c r="T808" s="1101"/>
      <c r="U808" s="1101"/>
      <c r="V808" s="1101"/>
      <c r="W808" s="1101"/>
      <c r="X808" s="1101"/>
      <c r="Y808" s="1102"/>
      <c r="Z808" s="1102"/>
      <c r="AA808" s="1101"/>
    </row>
    <row r="809" ht="15.75" customHeight="1">
      <c r="A809" s="213"/>
      <c r="B809" s="213"/>
      <c r="C809" s="1101"/>
      <c r="D809" s="1101"/>
      <c r="E809" s="1101"/>
      <c r="F809" s="1101"/>
      <c r="G809" s="1101"/>
      <c r="H809" s="1101"/>
      <c r="I809" s="1101"/>
      <c r="J809" s="1101"/>
      <c r="K809" s="1101"/>
      <c r="L809" s="1101"/>
      <c r="M809" s="1101"/>
      <c r="N809" s="1101"/>
      <c r="O809" s="1101"/>
      <c r="P809" s="1101"/>
      <c r="Q809" s="1101"/>
      <c r="R809" s="1101"/>
      <c r="S809" s="1101"/>
      <c r="T809" s="1101"/>
      <c r="U809" s="1101"/>
      <c r="V809" s="1101"/>
      <c r="W809" s="1101"/>
      <c r="X809" s="1101"/>
      <c r="Y809" s="1102"/>
      <c r="Z809" s="1102"/>
      <c r="AA809" s="1101"/>
    </row>
    <row r="810" ht="15.75" customHeight="1">
      <c r="A810" s="213"/>
      <c r="B810" s="213"/>
      <c r="C810" s="1101"/>
      <c r="D810" s="1101"/>
      <c r="E810" s="1101"/>
      <c r="F810" s="1101"/>
      <c r="G810" s="1101"/>
      <c r="H810" s="1101"/>
      <c r="I810" s="1101"/>
      <c r="J810" s="1101"/>
      <c r="K810" s="1101"/>
      <c r="L810" s="1101"/>
      <c r="M810" s="1101"/>
      <c r="N810" s="1101"/>
      <c r="O810" s="1101"/>
      <c r="P810" s="1101"/>
      <c r="Q810" s="1101"/>
      <c r="R810" s="1101"/>
      <c r="S810" s="1101"/>
      <c r="T810" s="1101"/>
      <c r="U810" s="1101"/>
      <c r="V810" s="1101"/>
      <c r="W810" s="1101"/>
      <c r="X810" s="1101"/>
      <c r="Y810" s="1102"/>
      <c r="Z810" s="1102"/>
      <c r="AA810" s="1101"/>
    </row>
    <row r="811" ht="15.75" customHeight="1">
      <c r="A811" s="213"/>
      <c r="B811" s="213"/>
      <c r="C811" s="1101"/>
      <c r="D811" s="1101"/>
      <c r="E811" s="1101"/>
      <c r="F811" s="1101"/>
      <c r="G811" s="1101"/>
      <c r="H811" s="1101"/>
      <c r="I811" s="1101"/>
      <c r="J811" s="1101"/>
      <c r="K811" s="1101"/>
      <c r="L811" s="1101"/>
      <c r="M811" s="1101"/>
      <c r="N811" s="1101"/>
      <c r="O811" s="1101"/>
      <c r="P811" s="1101"/>
      <c r="Q811" s="1101"/>
      <c r="R811" s="1101"/>
      <c r="S811" s="1101"/>
      <c r="T811" s="1101"/>
      <c r="U811" s="1101"/>
      <c r="V811" s="1101"/>
      <c r="W811" s="1101"/>
      <c r="X811" s="1101"/>
      <c r="Y811" s="1102"/>
      <c r="Z811" s="1102"/>
      <c r="AA811" s="1101"/>
    </row>
    <row r="812" ht="15.75" customHeight="1">
      <c r="A812" s="213"/>
      <c r="B812" s="213"/>
      <c r="C812" s="1101"/>
      <c r="D812" s="1101"/>
      <c r="E812" s="1101"/>
      <c r="F812" s="1101"/>
      <c r="G812" s="1101"/>
      <c r="H812" s="1101"/>
      <c r="I812" s="1101"/>
      <c r="J812" s="1101"/>
      <c r="K812" s="1101"/>
      <c r="L812" s="1101"/>
      <c r="M812" s="1101"/>
      <c r="N812" s="1101"/>
      <c r="O812" s="1101"/>
      <c r="P812" s="1101"/>
      <c r="Q812" s="1101"/>
      <c r="R812" s="1101"/>
      <c r="S812" s="1101"/>
      <c r="T812" s="1101"/>
      <c r="U812" s="1101"/>
      <c r="V812" s="1101"/>
      <c r="W812" s="1101"/>
      <c r="X812" s="1101"/>
      <c r="Y812" s="1102"/>
      <c r="Z812" s="1102"/>
      <c r="AA812" s="1101"/>
    </row>
    <row r="813" ht="15.75" customHeight="1">
      <c r="A813" s="213"/>
      <c r="B813" s="213"/>
      <c r="C813" s="1101"/>
      <c r="D813" s="1101"/>
      <c r="E813" s="1101"/>
      <c r="F813" s="1101"/>
      <c r="G813" s="1101"/>
      <c r="H813" s="1101"/>
      <c r="I813" s="1101"/>
      <c r="J813" s="1101"/>
      <c r="K813" s="1101"/>
      <c r="L813" s="1101"/>
      <c r="M813" s="1101"/>
      <c r="N813" s="1101"/>
      <c r="O813" s="1101"/>
      <c r="P813" s="1101"/>
      <c r="Q813" s="1101"/>
      <c r="R813" s="1101"/>
      <c r="S813" s="1101"/>
      <c r="T813" s="1101"/>
      <c r="U813" s="1101"/>
      <c r="V813" s="1101"/>
      <c r="W813" s="1101"/>
      <c r="X813" s="1101"/>
      <c r="Y813" s="1102"/>
      <c r="Z813" s="1102"/>
      <c r="AA813" s="1101"/>
    </row>
    <row r="814" ht="15.75" customHeight="1">
      <c r="A814" s="213"/>
      <c r="B814" s="213"/>
      <c r="C814" s="1101"/>
      <c r="D814" s="1101"/>
      <c r="E814" s="1101"/>
      <c r="F814" s="1101"/>
      <c r="G814" s="1101"/>
      <c r="H814" s="1101"/>
      <c r="I814" s="1101"/>
      <c r="J814" s="1101"/>
      <c r="K814" s="1101"/>
      <c r="L814" s="1101"/>
      <c r="M814" s="1101"/>
      <c r="N814" s="1101"/>
      <c r="O814" s="1101"/>
      <c r="P814" s="1101"/>
      <c r="Q814" s="1101"/>
      <c r="R814" s="1101"/>
      <c r="S814" s="1101"/>
      <c r="T814" s="1101"/>
      <c r="U814" s="1101"/>
      <c r="V814" s="1101"/>
      <c r="W814" s="1101"/>
      <c r="X814" s="1101"/>
      <c r="Y814" s="1102"/>
      <c r="Z814" s="1102"/>
      <c r="AA814" s="1101"/>
    </row>
    <row r="815" ht="15.75" customHeight="1">
      <c r="A815" s="213"/>
      <c r="B815" s="213"/>
      <c r="C815" s="1101"/>
      <c r="D815" s="1101"/>
      <c r="E815" s="1101"/>
      <c r="F815" s="1101"/>
      <c r="G815" s="1101"/>
      <c r="H815" s="1101"/>
      <c r="I815" s="1101"/>
      <c r="J815" s="1101"/>
      <c r="K815" s="1101"/>
      <c r="L815" s="1101"/>
      <c r="M815" s="1101"/>
      <c r="N815" s="1101"/>
      <c r="O815" s="1101"/>
      <c r="P815" s="1101"/>
      <c r="Q815" s="1101"/>
      <c r="R815" s="1101"/>
      <c r="S815" s="1101"/>
      <c r="T815" s="1101"/>
      <c r="U815" s="1101"/>
      <c r="V815" s="1101"/>
      <c r="W815" s="1101"/>
      <c r="X815" s="1101"/>
      <c r="Y815" s="1102"/>
      <c r="Z815" s="1102"/>
      <c r="AA815" s="1101"/>
    </row>
    <row r="816" ht="15.75" customHeight="1">
      <c r="A816" s="213"/>
      <c r="B816" s="213"/>
      <c r="C816" s="1101"/>
      <c r="D816" s="1101"/>
      <c r="E816" s="1101"/>
      <c r="F816" s="1101"/>
      <c r="G816" s="1101"/>
      <c r="H816" s="1101"/>
      <c r="I816" s="1101"/>
      <c r="J816" s="1101"/>
      <c r="K816" s="1101"/>
      <c r="L816" s="1101"/>
      <c r="M816" s="1101"/>
      <c r="N816" s="1101"/>
      <c r="O816" s="1101"/>
      <c r="P816" s="1101"/>
      <c r="Q816" s="1101"/>
      <c r="R816" s="1101"/>
      <c r="S816" s="1101"/>
      <c r="T816" s="1101"/>
      <c r="U816" s="1101"/>
      <c r="V816" s="1101"/>
      <c r="W816" s="1101"/>
      <c r="X816" s="1101"/>
      <c r="Y816" s="1102"/>
      <c r="Z816" s="1102"/>
      <c r="AA816" s="1101"/>
    </row>
    <row r="817" ht="15.75" customHeight="1">
      <c r="A817" s="213"/>
      <c r="B817" s="213"/>
      <c r="C817" s="1101"/>
      <c r="D817" s="1101"/>
      <c r="E817" s="1101"/>
      <c r="F817" s="1101"/>
      <c r="G817" s="1101"/>
      <c r="H817" s="1101"/>
      <c r="I817" s="1101"/>
      <c r="J817" s="1101"/>
      <c r="K817" s="1101"/>
      <c r="L817" s="1101"/>
      <c r="M817" s="1101"/>
      <c r="N817" s="1101"/>
      <c r="O817" s="1101"/>
      <c r="P817" s="1101"/>
      <c r="Q817" s="1101"/>
      <c r="R817" s="1101"/>
      <c r="S817" s="1101"/>
      <c r="T817" s="1101"/>
      <c r="U817" s="1101"/>
      <c r="V817" s="1101"/>
      <c r="W817" s="1101"/>
      <c r="X817" s="1101"/>
      <c r="Y817" s="1102"/>
      <c r="Z817" s="1102"/>
      <c r="AA817" s="1101"/>
    </row>
    <row r="818" ht="15.75" customHeight="1">
      <c r="A818" s="213"/>
      <c r="B818" s="213"/>
      <c r="C818" s="1101"/>
      <c r="D818" s="1101"/>
      <c r="E818" s="1101"/>
      <c r="F818" s="1101"/>
      <c r="G818" s="1101"/>
      <c r="H818" s="1101"/>
      <c r="I818" s="1101"/>
      <c r="J818" s="1101"/>
      <c r="K818" s="1101"/>
      <c r="L818" s="1101"/>
      <c r="M818" s="1101"/>
      <c r="N818" s="1101"/>
      <c r="O818" s="1101"/>
      <c r="P818" s="1101"/>
      <c r="Q818" s="1101"/>
      <c r="R818" s="1101"/>
      <c r="S818" s="1101"/>
      <c r="T818" s="1101"/>
      <c r="U818" s="1101"/>
      <c r="V818" s="1101"/>
      <c r="W818" s="1101"/>
      <c r="X818" s="1101"/>
      <c r="Y818" s="1102"/>
      <c r="Z818" s="1102"/>
      <c r="AA818" s="1101"/>
    </row>
    <row r="819" ht="15.75" customHeight="1">
      <c r="A819" s="213"/>
      <c r="B819" s="213"/>
      <c r="C819" s="1101"/>
      <c r="D819" s="1101"/>
      <c r="E819" s="1101"/>
      <c r="F819" s="1101"/>
      <c r="G819" s="1101"/>
      <c r="H819" s="1101"/>
      <c r="I819" s="1101"/>
      <c r="J819" s="1101"/>
      <c r="K819" s="1101"/>
      <c r="L819" s="1101"/>
      <c r="M819" s="1101"/>
      <c r="N819" s="1101"/>
      <c r="O819" s="1101"/>
      <c r="P819" s="1101"/>
      <c r="Q819" s="1101"/>
      <c r="R819" s="1101"/>
      <c r="S819" s="1101"/>
      <c r="T819" s="1101"/>
      <c r="U819" s="1101"/>
      <c r="V819" s="1101"/>
      <c r="W819" s="1101"/>
      <c r="X819" s="1101"/>
      <c r="Y819" s="1102"/>
      <c r="Z819" s="1102"/>
      <c r="AA819" s="1101"/>
    </row>
    <row r="820" ht="15.75" customHeight="1">
      <c r="A820" s="213"/>
      <c r="B820" s="213"/>
      <c r="C820" s="1101"/>
      <c r="D820" s="1101"/>
      <c r="E820" s="1101"/>
      <c r="F820" s="1101"/>
      <c r="G820" s="1101"/>
      <c r="H820" s="1101"/>
      <c r="I820" s="1101"/>
      <c r="J820" s="1101"/>
      <c r="K820" s="1101"/>
      <c r="L820" s="1101"/>
      <c r="M820" s="1101"/>
      <c r="N820" s="1101"/>
      <c r="O820" s="1101"/>
      <c r="P820" s="1101"/>
      <c r="Q820" s="1101"/>
      <c r="R820" s="1101"/>
      <c r="S820" s="1101"/>
      <c r="T820" s="1101"/>
      <c r="U820" s="1101"/>
      <c r="V820" s="1101"/>
      <c r="W820" s="1101"/>
      <c r="X820" s="1101"/>
      <c r="Y820" s="1102"/>
      <c r="Z820" s="1102"/>
      <c r="AA820" s="1101"/>
    </row>
    <row r="821" ht="15.75" customHeight="1">
      <c r="A821" s="213"/>
      <c r="B821" s="213"/>
      <c r="C821" s="1101"/>
      <c r="D821" s="1101"/>
      <c r="E821" s="1101"/>
      <c r="F821" s="1101"/>
      <c r="G821" s="1101"/>
      <c r="H821" s="1101"/>
      <c r="I821" s="1101"/>
      <c r="J821" s="1101"/>
      <c r="K821" s="1101"/>
      <c r="L821" s="1101"/>
      <c r="M821" s="1101"/>
      <c r="N821" s="1101"/>
      <c r="O821" s="1101"/>
      <c r="P821" s="1101"/>
      <c r="Q821" s="1101"/>
      <c r="R821" s="1101"/>
      <c r="S821" s="1101"/>
      <c r="T821" s="1101"/>
      <c r="U821" s="1101"/>
      <c r="V821" s="1101"/>
      <c r="W821" s="1101"/>
      <c r="X821" s="1101"/>
      <c r="Y821" s="1102"/>
      <c r="Z821" s="1102"/>
      <c r="AA821" s="1101"/>
    </row>
    <row r="822" ht="15.75" customHeight="1">
      <c r="A822" s="213"/>
      <c r="B822" s="213"/>
      <c r="C822" s="1101"/>
      <c r="D822" s="1101"/>
      <c r="E822" s="1101"/>
      <c r="F822" s="1101"/>
      <c r="G822" s="1101"/>
      <c r="H822" s="1101"/>
      <c r="I822" s="1101"/>
      <c r="J822" s="1101"/>
      <c r="K822" s="1101"/>
      <c r="L822" s="1101"/>
      <c r="M822" s="1101"/>
      <c r="N822" s="1101"/>
      <c r="O822" s="1101"/>
      <c r="P822" s="1101"/>
      <c r="Q822" s="1101"/>
      <c r="R822" s="1101"/>
      <c r="S822" s="1101"/>
      <c r="T822" s="1101"/>
      <c r="U822" s="1101"/>
      <c r="V822" s="1101"/>
      <c r="W822" s="1101"/>
      <c r="X822" s="1101"/>
      <c r="Y822" s="1102"/>
      <c r="Z822" s="1102"/>
      <c r="AA822" s="1101"/>
    </row>
    <row r="823" ht="15.75" customHeight="1">
      <c r="A823" s="213"/>
      <c r="B823" s="213"/>
      <c r="C823" s="1101"/>
      <c r="D823" s="1101"/>
      <c r="E823" s="1101"/>
      <c r="F823" s="1101"/>
      <c r="G823" s="1101"/>
      <c r="H823" s="1101"/>
      <c r="I823" s="1101"/>
      <c r="J823" s="1101"/>
      <c r="K823" s="1101"/>
      <c r="L823" s="1101"/>
      <c r="M823" s="1101"/>
      <c r="N823" s="1101"/>
      <c r="O823" s="1101"/>
      <c r="P823" s="1101"/>
      <c r="Q823" s="1101"/>
      <c r="R823" s="1101"/>
      <c r="S823" s="1101"/>
      <c r="T823" s="1101"/>
      <c r="U823" s="1101"/>
      <c r="V823" s="1101"/>
      <c r="W823" s="1101"/>
      <c r="X823" s="1101"/>
      <c r="Y823" s="1102"/>
      <c r="Z823" s="1102"/>
      <c r="AA823" s="1101"/>
    </row>
    <row r="824" ht="15.75" customHeight="1">
      <c r="A824" s="213"/>
      <c r="B824" s="213"/>
      <c r="C824" s="1101"/>
      <c r="D824" s="1101"/>
      <c r="E824" s="1101"/>
      <c r="F824" s="1101"/>
      <c r="G824" s="1101"/>
      <c r="H824" s="1101"/>
      <c r="I824" s="1101"/>
      <c r="J824" s="1101"/>
      <c r="K824" s="1101"/>
      <c r="L824" s="1101"/>
      <c r="M824" s="1101"/>
      <c r="N824" s="1101"/>
      <c r="O824" s="1101"/>
      <c r="P824" s="1101"/>
      <c r="Q824" s="1101"/>
      <c r="R824" s="1101"/>
      <c r="S824" s="1101"/>
      <c r="T824" s="1101"/>
      <c r="U824" s="1101"/>
      <c r="V824" s="1101"/>
      <c r="W824" s="1101"/>
      <c r="X824" s="1101"/>
      <c r="Y824" s="1102"/>
      <c r="Z824" s="1102"/>
      <c r="AA824" s="1101"/>
    </row>
    <row r="825" ht="15.75" customHeight="1">
      <c r="A825" s="213"/>
      <c r="B825" s="213"/>
      <c r="C825" s="1101"/>
      <c r="D825" s="1101"/>
      <c r="E825" s="1101"/>
      <c r="F825" s="1101"/>
      <c r="G825" s="1101"/>
      <c r="H825" s="1101"/>
      <c r="I825" s="1101"/>
      <c r="J825" s="1101"/>
      <c r="K825" s="1101"/>
      <c r="L825" s="1101"/>
      <c r="M825" s="1101"/>
      <c r="N825" s="1101"/>
      <c r="O825" s="1101"/>
      <c r="P825" s="1101"/>
      <c r="Q825" s="1101"/>
      <c r="R825" s="1101"/>
      <c r="S825" s="1101"/>
      <c r="T825" s="1101"/>
      <c r="U825" s="1101"/>
      <c r="V825" s="1101"/>
      <c r="W825" s="1101"/>
      <c r="X825" s="1101"/>
      <c r="Y825" s="1102"/>
      <c r="Z825" s="1102"/>
      <c r="AA825" s="1101"/>
    </row>
    <row r="826" ht="15.75" customHeight="1">
      <c r="A826" s="213"/>
      <c r="B826" s="213"/>
      <c r="C826" s="1101"/>
      <c r="D826" s="1101"/>
      <c r="E826" s="1101"/>
      <c r="F826" s="1101"/>
      <c r="G826" s="1101"/>
      <c r="H826" s="1101"/>
      <c r="I826" s="1101"/>
      <c r="J826" s="1101"/>
      <c r="K826" s="1101"/>
      <c r="L826" s="1101"/>
      <c r="M826" s="1101"/>
      <c r="N826" s="1101"/>
      <c r="O826" s="1101"/>
      <c r="P826" s="1101"/>
      <c r="Q826" s="1101"/>
      <c r="R826" s="1101"/>
      <c r="S826" s="1101"/>
      <c r="T826" s="1101"/>
      <c r="U826" s="1101"/>
      <c r="V826" s="1101"/>
      <c r="W826" s="1101"/>
      <c r="X826" s="1101"/>
      <c r="Y826" s="1102"/>
      <c r="Z826" s="1102"/>
      <c r="AA826" s="1101"/>
    </row>
    <row r="827" ht="15.75" customHeight="1">
      <c r="A827" s="213"/>
      <c r="B827" s="213"/>
      <c r="C827" s="1101"/>
      <c r="D827" s="1101"/>
      <c r="E827" s="1101"/>
      <c r="F827" s="1101"/>
      <c r="G827" s="1101"/>
      <c r="H827" s="1101"/>
      <c r="I827" s="1101"/>
      <c r="J827" s="1101"/>
      <c r="K827" s="1101"/>
      <c r="L827" s="1101"/>
      <c r="M827" s="1101"/>
      <c r="N827" s="1101"/>
      <c r="O827" s="1101"/>
      <c r="P827" s="1101"/>
      <c r="Q827" s="1101"/>
      <c r="R827" s="1101"/>
      <c r="S827" s="1101"/>
      <c r="T827" s="1101"/>
      <c r="U827" s="1101"/>
      <c r="V827" s="1101"/>
      <c r="W827" s="1101"/>
      <c r="X827" s="1101"/>
      <c r="Y827" s="1102"/>
      <c r="Z827" s="1102"/>
      <c r="AA827" s="1101"/>
    </row>
    <row r="828" ht="15.75" customHeight="1">
      <c r="A828" s="213"/>
      <c r="B828" s="213"/>
      <c r="C828" s="1101"/>
      <c r="D828" s="1101"/>
      <c r="E828" s="1101"/>
      <c r="F828" s="1101"/>
      <c r="G828" s="1101"/>
      <c r="H828" s="1101"/>
      <c r="I828" s="1101"/>
      <c r="J828" s="1101"/>
      <c r="K828" s="1101"/>
      <c r="L828" s="1101"/>
      <c r="M828" s="1101"/>
      <c r="N828" s="1101"/>
      <c r="O828" s="1101"/>
      <c r="P828" s="1101"/>
      <c r="Q828" s="1101"/>
      <c r="R828" s="1101"/>
      <c r="S828" s="1101"/>
      <c r="T828" s="1101"/>
      <c r="U828" s="1101"/>
      <c r="V828" s="1101"/>
      <c r="W828" s="1101"/>
      <c r="X828" s="1101"/>
      <c r="Y828" s="1102"/>
      <c r="Z828" s="1102"/>
      <c r="AA828" s="1101"/>
    </row>
    <row r="829" ht="15.75" customHeight="1">
      <c r="A829" s="213"/>
      <c r="B829" s="213"/>
      <c r="C829" s="1101"/>
      <c r="D829" s="1101"/>
      <c r="E829" s="1101"/>
      <c r="F829" s="1101"/>
      <c r="G829" s="1101"/>
      <c r="H829" s="1101"/>
      <c r="I829" s="1101"/>
      <c r="J829" s="1101"/>
      <c r="K829" s="1101"/>
      <c r="L829" s="1101"/>
      <c r="M829" s="1101"/>
      <c r="N829" s="1101"/>
      <c r="O829" s="1101"/>
      <c r="P829" s="1101"/>
      <c r="Q829" s="1101"/>
      <c r="R829" s="1101"/>
      <c r="S829" s="1101"/>
      <c r="T829" s="1101"/>
      <c r="U829" s="1101"/>
      <c r="V829" s="1101"/>
      <c r="W829" s="1101"/>
      <c r="X829" s="1101"/>
      <c r="Y829" s="1102"/>
      <c r="Z829" s="1102"/>
      <c r="AA829" s="1101"/>
    </row>
    <row r="830" ht="15.75" customHeight="1">
      <c r="A830" s="213"/>
      <c r="B830" s="213"/>
      <c r="C830" s="1101"/>
      <c r="D830" s="1101"/>
      <c r="E830" s="1101"/>
      <c r="F830" s="1101"/>
      <c r="G830" s="1101"/>
      <c r="H830" s="1101"/>
      <c r="I830" s="1101"/>
      <c r="J830" s="1101"/>
      <c r="K830" s="1101"/>
      <c r="L830" s="1101"/>
      <c r="M830" s="1101"/>
      <c r="N830" s="1101"/>
      <c r="O830" s="1101"/>
      <c r="P830" s="1101"/>
      <c r="Q830" s="1101"/>
      <c r="R830" s="1101"/>
      <c r="S830" s="1101"/>
      <c r="T830" s="1101"/>
      <c r="U830" s="1101"/>
      <c r="V830" s="1101"/>
      <c r="W830" s="1101"/>
      <c r="X830" s="1101"/>
      <c r="Y830" s="1102"/>
      <c r="Z830" s="1102"/>
      <c r="AA830" s="1101"/>
    </row>
    <row r="831" ht="15.75" customHeight="1">
      <c r="A831" s="213"/>
      <c r="B831" s="213"/>
      <c r="C831" s="1101"/>
      <c r="D831" s="1101"/>
      <c r="E831" s="1101"/>
      <c r="F831" s="1101"/>
      <c r="G831" s="1101"/>
      <c r="H831" s="1101"/>
      <c r="I831" s="1101"/>
      <c r="J831" s="1101"/>
      <c r="K831" s="1101"/>
      <c r="L831" s="1101"/>
      <c r="M831" s="1101"/>
      <c r="N831" s="1101"/>
      <c r="O831" s="1101"/>
      <c r="P831" s="1101"/>
      <c r="Q831" s="1101"/>
      <c r="R831" s="1101"/>
      <c r="S831" s="1101"/>
      <c r="T831" s="1101"/>
      <c r="U831" s="1101"/>
      <c r="V831" s="1101"/>
      <c r="W831" s="1101"/>
      <c r="X831" s="1101"/>
      <c r="Y831" s="1102"/>
      <c r="Z831" s="1102"/>
      <c r="AA831" s="1101"/>
    </row>
    <row r="832" ht="15.75" customHeight="1">
      <c r="A832" s="213"/>
      <c r="B832" s="213"/>
      <c r="C832" s="1101"/>
      <c r="D832" s="1101"/>
      <c r="E832" s="1101"/>
      <c r="F832" s="1101"/>
      <c r="G832" s="1101"/>
      <c r="H832" s="1101"/>
      <c r="I832" s="1101"/>
      <c r="J832" s="1101"/>
      <c r="K832" s="1101"/>
      <c r="L832" s="1101"/>
      <c r="M832" s="1101"/>
      <c r="N832" s="1101"/>
      <c r="O832" s="1101"/>
      <c r="P832" s="1101"/>
      <c r="Q832" s="1101"/>
      <c r="R832" s="1101"/>
      <c r="S832" s="1101"/>
      <c r="T832" s="1101"/>
      <c r="U832" s="1101"/>
      <c r="V832" s="1101"/>
      <c r="W832" s="1101"/>
      <c r="X832" s="1101"/>
      <c r="Y832" s="1102"/>
      <c r="Z832" s="1102"/>
      <c r="AA832" s="1101"/>
    </row>
    <row r="833" ht="15.75" customHeight="1">
      <c r="A833" s="213"/>
      <c r="B833" s="213"/>
      <c r="C833" s="1101"/>
      <c r="D833" s="1101"/>
      <c r="E833" s="1101"/>
      <c r="F833" s="1101"/>
      <c r="G833" s="1101"/>
      <c r="H833" s="1101"/>
      <c r="I833" s="1101"/>
      <c r="J833" s="1101"/>
      <c r="K833" s="1101"/>
      <c r="L833" s="1101"/>
      <c r="M833" s="1101"/>
      <c r="N833" s="1101"/>
      <c r="O833" s="1101"/>
      <c r="P833" s="1101"/>
      <c r="Q833" s="1101"/>
      <c r="R833" s="1101"/>
      <c r="S833" s="1101"/>
      <c r="T833" s="1101"/>
      <c r="U833" s="1101"/>
      <c r="V833" s="1101"/>
      <c r="W833" s="1101"/>
      <c r="X833" s="1101"/>
      <c r="Y833" s="1102"/>
      <c r="Z833" s="1102"/>
      <c r="AA833" s="1101"/>
    </row>
    <row r="834" ht="15.75" customHeight="1">
      <c r="A834" s="213"/>
      <c r="B834" s="213"/>
      <c r="C834" s="1101"/>
      <c r="D834" s="1101"/>
      <c r="E834" s="1101"/>
      <c r="F834" s="1101"/>
      <c r="G834" s="1101"/>
      <c r="H834" s="1101"/>
      <c r="I834" s="1101"/>
      <c r="J834" s="1101"/>
      <c r="K834" s="1101"/>
      <c r="L834" s="1101"/>
      <c r="M834" s="1101"/>
      <c r="N834" s="1101"/>
      <c r="O834" s="1101"/>
      <c r="P834" s="1101"/>
      <c r="Q834" s="1101"/>
      <c r="R834" s="1101"/>
      <c r="S834" s="1101"/>
      <c r="T834" s="1101"/>
      <c r="U834" s="1101"/>
      <c r="V834" s="1101"/>
      <c r="W834" s="1101"/>
      <c r="X834" s="1101"/>
      <c r="Y834" s="1102"/>
      <c r="Z834" s="1102"/>
      <c r="AA834" s="1101"/>
    </row>
    <row r="835" ht="15.75" customHeight="1">
      <c r="A835" s="213"/>
      <c r="B835" s="213"/>
      <c r="C835" s="1101"/>
      <c r="D835" s="1101"/>
      <c r="E835" s="1101"/>
      <c r="F835" s="1101"/>
      <c r="G835" s="1101"/>
      <c r="H835" s="1101"/>
      <c r="I835" s="1101"/>
      <c r="J835" s="1101"/>
      <c r="K835" s="1101"/>
      <c r="L835" s="1101"/>
      <c r="M835" s="1101"/>
      <c r="N835" s="1101"/>
      <c r="O835" s="1101"/>
      <c r="P835" s="1101"/>
      <c r="Q835" s="1101"/>
      <c r="R835" s="1101"/>
      <c r="S835" s="1101"/>
      <c r="T835" s="1101"/>
      <c r="U835" s="1101"/>
      <c r="V835" s="1101"/>
      <c r="W835" s="1101"/>
      <c r="X835" s="1101"/>
      <c r="Y835" s="1102"/>
      <c r="Z835" s="1102"/>
      <c r="AA835" s="1101"/>
    </row>
    <row r="836" ht="15.75" customHeight="1">
      <c r="A836" s="213"/>
      <c r="B836" s="213"/>
      <c r="C836" s="1101"/>
      <c r="D836" s="1101"/>
      <c r="E836" s="1101"/>
      <c r="F836" s="1101"/>
      <c r="G836" s="1101"/>
      <c r="H836" s="1101"/>
      <c r="I836" s="1101"/>
      <c r="J836" s="1101"/>
      <c r="K836" s="1101"/>
      <c r="L836" s="1101"/>
      <c r="M836" s="1101"/>
      <c r="N836" s="1101"/>
      <c r="O836" s="1101"/>
      <c r="P836" s="1101"/>
      <c r="Q836" s="1101"/>
      <c r="R836" s="1101"/>
      <c r="S836" s="1101"/>
      <c r="T836" s="1101"/>
      <c r="U836" s="1101"/>
      <c r="V836" s="1101"/>
      <c r="W836" s="1101"/>
      <c r="X836" s="1101"/>
      <c r="Y836" s="1102"/>
      <c r="Z836" s="1102"/>
      <c r="AA836" s="1101"/>
    </row>
    <row r="837" ht="15.75" customHeight="1">
      <c r="A837" s="213"/>
      <c r="B837" s="213"/>
      <c r="C837" s="1101"/>
      <c r="D837" s="1101"/>
      <c r="E837" s="1101"/>
      <c r="F837" s="1101"/>
      <c r="G837" s="1101"/>
      <c r="H837" s="1101"/>
      <c r="I837" s="1101"/>
      <c r="J837" s="1101"/>
      <c r="K837" s="1101"/>
      <c r="L837" s="1101"/>
      <c r="M837" s="1101"/>
      <c r="N837" s="1101"/>
      <c r="O837" s="1101"/>
      <c r="P837" s="1101"/>
      <c r="Q837" s="1101"/>
      <c r="R837" s="1101"/>
      <c r="S837" s="1101"/>
      <c r="T837" s="1101"/>
      <c r="U837" s="1101"/>
      <c r="V837" s="1101"/>
      <c r="W837" s="1101"/>
      <c r="X837" s="1101"/>
      <c r="Y837" s="1102"/>
      <c r="Z837" s="1102"/>
      <c r="AA837" s="1101"/>
    </row>
    <row r="838" ht="15.75" customHeight="1">
      <c r="A838" s="213"/>
      <c r="B838" s="213"/>
      <c r="C838" s="1101"/>
      <c r="D838" s="1101"/>
      <c r="E838" s="1101"/>
      <c r="F838" s="1101"/>
      <c r="G838" s="1101"/>
      <c r="H838" s="1101"/>
      <c r="I838" s="1101"/>
      <c r="J838" s="1101"/>
      <c r="K838" s="1101"/>
      <c r="L838" s="1101"/>
      <c r="M838" s="1101"/>
      <c r="N838" s="1101"/>
      <c r="O838" s="1101"/>
      <c r="P838" s="1101"/>
      <c r="Q838" s="1101"/>
      <c r="R838" s="1101"/>
      <c r="S838" s="1101"/>
      <c r="T838" s="1101"/>
      <c r="U838" s="1101"/>
      <c r="V838" s="1101"/>
      <c r="W838" s="1101"/>
      <c r="X838" s="1101"/>
      <c r="Y838" s="1102"/>
      <c r="Z838" s="1102"/>
      <c r="AA838" s="1101"/>
    </row>
    <row r="839" ht="15.75" customHeight="1">
      <c r="A839" s="213"/>
      <c r="B839" s="213"/>
      <c r="C839" s="1101"/>
      <c r="D839" s="1101"/>
      <c r="E839" s="1101"/>
      <c r="F839" s="1101"/>
      <c r="G839" s="1101"/>
      <c r="H839" s="1101"/>
      <c r="I839" s="1101"/>
      <c r="J839" s="1101"/>
      <c r="K839" s="1101"/>
      <c r="L839" s="1101"/>
      <c r="M839" s="1101"/>
      <c r="N839" s="1101"/>
      <c r="O839" s="1101"/>
      <c r="P839" s="1101"/>
      <c r="Q839" s="1101"/>
      <c r="R839" s="1101"/>
      <c r="S839" s="1101"/>
      <c r="T839" s="1101"/>
      <c r="U839" s="1101"/>
      <c r="V839" s="1101"/>
      <c r="W839" s="1101"/>
      <c r="X839" s="1101"/>
      <c r="Y839" s="1102"/>
      <c r="Z839" s="1102"/>
      <c r="AA839" s="1101"/>
    </row>
    <row r="840" ht="15.75" customHeight="1">
      <c r="A840" s="213"/>
      <c r="B840" s="213"/>
      <c r="C840" s="1101"/>
      <c r="D840" s="1101"/>
      <c r="E840" s="1101"/>
      <c r="F840" s="1101"/>
      <c r="G840" s="1101"/>
      <c r="H840" s="1101"/>
      <c r="I840" s="1101"/>
      <c r="J840" s="1101"/>
      <c r="K840" s="1101"/>
      <c r="L840" s="1101"/>
      <c r="M840" s="1101"/>
      <c r="N840" s="1101"/>
      <c r="O840" s="1101"/>
      <c r="P840" s="1101"/>
      <c r="Q840" s="1101"/>
      <c r="R840" s="1101"/>
      <c r="S840" s="1101"/>
      <c r="T840" s="1101"/>
      <c r="U840" s="1101"/>
      <c r="V840" s="1101"/>
      <c r="W840" s="1101"/>
      <c r="X840" s="1101"/>
      <c r="Y840" s="1102"/>
      <c r="Z840" s="1102"/>
      <c r="AA840" s="1101"/>
    </row>
    <row r="841" ht="15.75" customHeight="1">
      <c r="A841" s="213"/>
      <c r="B841" s="213"/>
      <c r="C841" s="1101"/>
      <c r="D841" s="1101"/>
      <c r="E841" s="1101"/>
      <c r="F841" s="1101"/>
      <c r="G841" s="1101"/>
      <c r="H841" s="1101"/>
      <c r="I841" s="1101"/>
      <c r="J841" s="1101"/>
      <c r="K841" s="1101"/>
      <c r="L841" s="1101"/>
      <c r="M841" s="1101"/>
      <c r="N841" s="1101"/>
      <c r="O841" s="1101"/>
      <c r="P841" s="1101"/>
      <c r="Q841" s="1101"/>
      <c r="R841" s="1101"/>
      <c r="S841" s="1101"/>
      <c r="T841" s="1101"/>
      <c r="U841" s="1101"/>
      <c r="V841" s="1101"/>
      <c r="W841" s="1101"/>
      <c r="X841" s="1101"/>
      <c r="Y841" s="1102"/>
      <c r="Z841" s="1102"/>
      <c r="AA841" s="1101"/>
    </row>
    <row r="842" ht="15.75" customHeight="1">
      <c r="A842" s="213"/>
      <c r="B842" s="213"/>
      <c r="C842" s="1101"/>
      <c r="D842" s="1101"/>
      <c r="E842" s="1101"/>
      <c r="F842" s="1101"/>
      <c r="G842" s="1101"/>
      <c r="H842" s="1101"/>
      <c r="I842" s="1101"/>
      <c r="J842" s="1101"/>
      <c r="K842" s="1101"/>
      <c r="L842" s="1101"/>
      <c r="M842" s="1101"/>
      <c r="N842" s="1101"/>
      <c r="O842" s="1101"/>
      <c r="P842" s="1101"/>
      <c r="Q842" s="1101"/>
      <c r="R842" s="1101"/>
      <c r="S842" s="1101"/>
      <c r="T842" s="1101"/>
      <c r="U842" s="1101"/>
      <c r="V842" s="1101"/>
      <c r="W842" s="1101"/>
      <c r="X842" s="1101"/>
      <c r="Y842" s="1102"/>
      <c r="Z842" s="1102"/>
      <c r="AA842" s="1101"/>
    </row>
    <row r="843" ht="15.75" customHeight="1">
      <c r="A843" s="213"/>
      <c r="B843" s="213"/>
      <c r="C843" s="1101"/>
      <c r="D843" s="1101"/>
      <c r="E843" s="1101"/>
      <c r="F843" s="1101"/>
      <c r="G843" s="1101"/>
      <c r="H843" s="1101"/>
      <c r="I843" s="1101"/>
      <c r="J843" s="1101"/>
      <c r="K843" s="1101"/>
      <c r="L843" s="1101"/>
      <c r="M843" s="1101"/>
      <c r="N843" s="1101"/>
      <c r="O843" s="1101"/>
      <c r="P843" s="1101"/>
      <c r="Q843" s="1101"/>
      <c r="R843" s="1101"/>
      <c r="S843" s="1101"/>
      <c r="T843" s="1101"/>
      <c r="U843" s="1101"/>
      <c r="V843" s="1101"/>
      <c r="W843" s="1101"/>
      <c r="X843" s="1101"/>
      <c r="Y843" s="1102"/>
      <c r="Z843" s="1102"/>
      <c r="AA843" s="1101"/>
    </row>
    <row r="844" ht="15.75" customHeight="1">
      <c r="A844" s="213"/>
      <c r="B844" s="213"/>
      <c r="C844" s="1101"/>
      <c r="D844" s="1101"/>
      <c r="E844" s="1101"/>
      <c r="F844" s="1101"/>
      <c r="G844" s="1101"/>
      <c r="H844" s="1101"/>
      <c r="I844" s="1101"/>
      <c r="J844" s="1101"/>
      <c r="K844" s="1101"/>
      <c r="L844" s="1101"/>
      <c r="M844" s="1101"/>
      <c r="N844" s="1101"/>
      <c r="O844" s="1101"/>
      <c r="P844" s="1101"/>
      <c r="Q844" s="1101"/>
      <c r="R844" s="1101"/>
      <c r="S844" s="1101"/>
      <c r="T844" s="1101"/>
      <c r="U844" s="1101"/>
      <c r="V844" s="1101"/>
      <c r="W844" s="1101"/>
      <c r="X844" s="1101"/>
      <c r="Y844" s="1102"/>
      <c r="Z844" s="1102"/>
      <c r="AA844" s="1101"/>
    </row>
    <row r="845" ht="15.75" customHeight="1">
      <c r="A845" s="213"/>
      <c r="B845" s="213"/>
      <c r="C845" s="1101"/>
      <c r="D845" s="1101"/>
      <c r="E845" s="1101"/>
      <c r="F845" s="1101"/>
      <c r="G845" s="1101"/>
      <c r="H845" s="1101"/>
      <c r="I845" s="1101"/>
      <c r="J845" s="1101"/>
      <c r="K845" s="1101"/>
      <c r="L845" s="1101"/>
      <c r="M845" s="1101"/>
      <c r="N845" s="1101"/>
      <c r="O845" s="1101"/>
      <c r="P845" s="1101"/>
      <c r="Q845" s="1101"/>
      <c r="R845" s="1101"/>
      <c r="S845" s="1101"/>
      <c r="T845" s="1101"/>
      <c r="U845" s="1101"/>
      <c r="V845" s="1101"/>
      <c r="W845" s="1101"/>
      <c r="X845" s="1101"/>
      <c r="Y845" s="1102"/>
      <c r="Z845" s="1102"/>
      <c r="AA845" s="1101"/>
    </row>
    <row r="846" ht="15.75" customHeight="1">
      <c r="A846" s="213"/>
      <c r="B846" s="213"/>
      <c r="C846" s="1101"/>
      <c r="D846" s="1101"/>
      <c r="E846" s="1101"/>
      <c r="F846" s="1101"/>
      <c r="G846" s="1101"/>
      <c r="H846" s="1101"/>
      <c r="I846" s="1101"/>
      <c r="J846" s="1101"/>
      <c r="K846" s="1101"/>
      <c r="L846" s="1101"/>
      <c r="M846" s="1101"/>
      <c r="N846" s="1101"/>
      <c r="O846" s="1101"/>
      <c r="P846" s="1101"/>
      <c r="Q846" s="1101"/>
      <c r="R846" s="1101"/>
      <c r="S846" s="1101"/>
      <c r="T846" s="1101"/>
      <c r="U846" s="1101"/>
      <c r="V846" s="1101"/>
      <c r="W846" s="1101"/>
      <c r="X846" s="1101"/>
      <c r="Y846" s="1102"/>
      <c r="Z846" s="1102"/>
      <c r="AA846" s="1101"/>
    </row>
    <row r="847" ht="15.75" customHeight="1">
      <c r="A847" s="213"/>
      <c r="B847" s="213"/>
      <c r="C847" s="1101"/>
      <c r="D847" s="1101"/>
      <c r="E847" s="1101"/>
      <c r="F847" s="1101"/>
      <c r="G847" s="1101"/>
      <c r="H847" s="1101"/>
      <c r="I847" s="1101"/>
      <c r="J847" s="1101"/>
      <c r="K847" s="1101"/>
      <c r="L847" s="1101"/>
      <c r="M847" s="1101"/>
      <c r="N847" s="1101"/>
      <c r="O847" s="1101"/>
      <c r="P847" s="1101"/>
      <c r="Q847" s="1101"/>
      <c r="R847" s="1101"/>
      <c r="S847" s="1101"/>
      <c r="T847" s="1101"/>
      <c r="U847" s="1101"/>
      <c r="V847" s="1101"/>
      <c r="W847" s="1101"/>
      <c r="X847" s="1101"/>
      <c r="Y847" s="1102"/>
      <c r="Z847" s="1102"/>
      <c r="AA847" s="1101"/>
    </row>
    <row r="848" ht="15.75" customHeight="1">
      <c r="A848" s="213"/>
      <c r="B848" s="213"/>
      <c r="C848" s="1101"/>
      <c r="D848" s="1101"/>
      <c r="E848" s="1101"/>
      <c r="F848" s="1101"/>
      <c r="G848" s="1101"/>
      <c r="H848" s="1101"/>
      <c r="I848" s="1101"/>
      <c r="J848" s="1101"/>
      <c r="K848" s="1101"/>
      <c r="L848" s="1101"/>
      <c r="M848" s="1101"/>
      <c r="N848" s="1101"/>
      <c r="O848" s="1101"/>
      <c r="P848" s="1101"/>
      <c r="Q848" s="1101"/>
      <c r="R848" s="1101"/>
      <c r="S848" s="1101"/>
      <c r="T848" s="1101"/>
      <c r="U848" s="1101"/>
      <c r="V848" s="1101"/>
      <c r="W848" s="1101"/>
      <c r="X848" s="1101"/>
      <c r="Y848" s="1102"/>
      <c r="Z848" s="1102"/>
      <c r="AA848" s="1101"/>
    </row>
    <row r="849" ht="15.75" customHeight="1">
      <c r="A849" s="213"/>
      <c r="B849" s="213"/>
      <c r="C849" s="1101"/>
      <c r="D849" s="1101"/>
      <c r="E849" s="1101"/>
      <c r="F849" s="1101"/>
      <c r="G849" s="1101"/>
      <c r="H849" s="1101"/>
      <c r="I849" s="1101"/>
      <c r="J849" s="1101"/>
      <c r="K849" s="1101"/>
      <c r="L849" s="1101"/>
      <c r="M849" s="1101"/>
      <c r="N849" s="1101"/>
      <c r="O849" s="1101"/>
      <c r="P849" s="1101"/>
      <c r="Q849" s="1101"/>
      <c r="R849" s="1101"/>
      <c r="S849" s="1101"/>
      <c r="T849" s="1101"/>
      <c r="U849" s="1101"/>
      <c r="V849" s="1101"/>
      <c r="W849" s="1101"/>
      <c r="X849" s="1101"/>
      <c r="Y849" s="1102"/>
      <c r="Z849" s="1102"/>
      <c r="AA849" s="1101"/>
    </row>
    <row r="850" ht="15.75" customHeight="1">
      <c r="A850" s="213"/>
      <c r="B850" s="213"/>
      <c r="C850" s="1101"/>
      <c r="D850" s="1101"/>
      <c r="E850" s="1101"/>
      <c r="F850" s="1101"/>
      <c r="G850" s="1101"/>
      <c r="H850" s="1101"/>
      <c r="I850" s="1101"/>
      <c r="J850" s="1101"/>
      <c r="K850" s="1101"/>
      <c r="L850" s="1101"/>
      <c r="M850" s="1101"/>
      <c r="N850" s="1101"/>
      <c r="O850" s="1101"/>
      <c r="P850" s="1101"/>
      <c r="Q850" s="1101"/>
      <c r="R850" s="1101"/>
      <c r="S850" s="1101"/>
      <c r="T850" s="1101"/>
      <c r="U850" s="1101"/>
      <c r="V850" s="1101"/>
      <c r="W850" s="1101"/>
      <c r="X850" s="1101"/>
      <c r="Y850" s="1102"/>
      <c r="Z850" s="1102"/>
      <c r="AA850" s="1101"/>
    </row>
    <row r="851" ht="15.75" customHeight="1">
      <c r="A851" s="213"/>
      <c r="B851" s="213"/>
      <c r="C851" s="1101"/>
      <c r="D851" s="1101"/>
      <c r="E851" s="1101"/>
      <c r="F851" s="1101"/>
      <c r="G851" s="1101"/>
      <c r="H851" s="1101"/>
      <c r="I851" s="1101"/>
      <c r="J851" s="1101"/>
      <c r="K851" s="1101"/>
      <c r="L851" s="1101"/>
      <c r="M851" s="1101"/>
      <c r="N851" s="1101"/>
      <c r="O851" s="1101"/>
      <c r="P851" s="1101"/>
      <c r="Q851" s="1101"/>
      <c r="R851" s="1101"/>
      <c r="S851" s="1101"/>
      <c r="T851" s="1101"/>
      <c r="U851" s="1101"/>
      <c r="V851" s="1101"/>
      <c r="W851" s="1101"/>
      <c r="X851" s="1101"/>
      <c r="Y851" s="1102"/>
      <c r="Z851" s="1102"/>
      <c r="AA851" s="1101"/>
    </row>
    <row r="852" ht="15.75" customHeight="1">
      <c r="A852" s="213"/>
      <c r="B852" s="213"/>
      <c r="C852" s="1101"/>
      <c r="D852" s="1101"/>
      <c r="E852" s="1101"/>
      <c r="F852" s="1101"/>
      <c r="G852" s="1101"/>
      <c r="H852" s="1101"/>
      <c r="I852" s="1101"/>
      <c r="J852" s="1101"/>
      <c r="K852" s="1101"/>
      <c r="L852" s="1101"/>
      <c r="M852" s="1101"/>
      <c r="N852" s="1101"/>
      <c r="O852" s="1101"/>
      <c r="P852" s="1101"/>
      <c r="Q852" s="1101"/>
      <c r="R852" s="1101"/>
      <c r="S852" s="1101"/>
      <c r="T852" s="1101"/>
      <c r="U852" s="1101"/>
      <c r="V852" s="1101"/>
      <c r="W852" s="1101"/>
      <c r="X852" s="1101"/>
      <c r="Y852" s="1102"/>
      <c r="Z852" s="1102"/>
      <c r="AA852" s="1101"/>
    </row>
    <row r="853" ht="15.75" customHeight="1">
      <c r="A853" s="213"/>
      <c r="B853" s="213"/>
      <c r="C853" s="1101"/>
      <c r="D853" s="1101"/>
      <c r="E853" s="1101"/>
      <c r="F853" s="1101"/>
      <c r="G853" s="1101"/>
      <c r="H853" s="1101"/>
      <c r="I853" s="1101"/>
      <c r="J853" s="1101"/>
      <c r="K853" s="1101"/>
      <c r="L853" s="1101"/>
      <c r="M853" s="1101"/>
      <c r="N853" s="1101"/>
      <c r="O853" s="1101"/>
      <c r="P853" s="1101"/>
      <c r="Q853" s="1101"/>
      <c r="R853" s="1101"/>
      <c r="S853" s="1101"/>
      <c r="T853" s="1101"/>
      <c r="U853" s="1101"/>
      <c r="V853" s="1101"/>
      <c r="W853" s="1101"/>
      <c r="X853" s="1101"/>
      <c r="Y853" s="1102"/>
      <c r="Z853" s="1102"/>
      <c r="AA853" s="1101"/>
    </row>
    <row r="854" ht="15.75" customHeight="1">
      <c r="A854" s="213"/>
      <c r="B854" s="213"/>
      <c r="C854" s="1101"/>
      <c r="D854" s="1101"/>
      <c r="E854" s="1101"/>
      <c r="F854" s="1101"/>
      <c r="G854" s="1101"/>
      <c r="H854" s="1101"/>
      <c r="I854" s="1101"/>
      <c r="J854" s="1101"/>
      <c r="K854" s="1101"/>
      <c r="L854" s="1101"/>
      <c r="M854" s="1101"/>
      <c r="N854" s="1101"/>
      <c r="O854" s="1101"/>
      <c r="P854" s="1101"/>
      <c r="Q854" s="1101"/>
      <c r="R854" s="1101"/>
      <c r="S854" s="1101"/>
      <c r="T854" s="1101"/>
      <c r="U854" s="1101"/>
      <c r="V854" s="1101"/>
      <c r="W854" s="1101"/>
      <c r="X854" s="1101"/>
      <c r="Y854" s="1102"/>
      <c r="Z854" s="1102"/>
      <c r="AA854" s="1101"/>
    </row>
    <row r="855" ht="15.75" customHeight="1">
      <c r="A855" s="213"/>
      <c r="B855" s="213"/>
      <c r="C855" s="1101"/>
      <c r="D855" s="1101"/>
      <c r="E855" s="1101"/>
      <c r="F855" s="1101"/>
      <c r="G855" s="1101"/>
      <c r="H855" s="1101"/>
      <c r="I855" s="1101"/>
      <c r="J855" s="1101"/>
      <c r="K855" s="1101"/>
      <c r="L855" s="1101"/>
      <c r="M855" s="1101"/>
      <c r="N855" s="1101"/>
      <c r="O855" s="1101"/>
      <c r="P855" s="1101"/>
      <c r="Q855" s="1101"/>
      <c r="R855" s="1101"/>
      <c r="S855" s="1101"/>
      <c r="T855" s="1101"/>
      <c r="U855" s="1101"/>
      <c r="V855" s="1101"/>
      <c r="W855" s="1101"/>
      <c r="X855" s="1101"/>
      <c r="Y855" s="1102"/>
      <c r="Z855" s="1102"/>
      <c r="AA855" s="1101"/>
    </row>
    <row r="856" ht="15.75" customHeight="1">
      <c r="A856" s="213"/>
      <c r="B856" s="213"/>
      <c r="C856" s="1101"/>
      <c r="D856" s="1101"/>
      <c r="E856" s="1101"/>
      <c r="F856" s="1101"/>
      <c r="G856" s="1101"/>
      <c r="H856" s="1101"/>
      <c r="I856" s="1101"/>
      <c r="J856" s="1101"/>
      <c r="K856" s="1101"/>
      <c r="L856" s="1101"/>
      <c r="M856" s="1101"/>
      <c r="N856" s="1101"/>
      <c r="O856" s="1101"/>
      <c r="P856" s="1101"/>
      <c r="Q856" s="1101"/>
      <c r="R856" s="1101"/>
      <c r="S856" s="1101"/>
      <c r="T856" s="1101"/>
      <c r="U856" s="1101"/>
      <c r="V856" s="1101"/>
      <c r="W856" s="1101"/>
      <c r="X856" s="1101"/>
      <c r="Y856" s="1102"/>
      <c r="Z856" s="1102"/>
      <c r="AA856" s="1101"/>
    </row>
    <row r="857" ht="15.75" customHeight="1">
      <c r="A857" s="213"/>
      <c r="B857" s="213"/>
      <c r="C857" s="1101"/>
      <c r="D857" s="1101"/>
      <c r="E857" s="1101"/>
      <c r="F857" s="1101"/>
      <c r="G857" s="1101"/>
      <c r="H857" s="1101"/>
      <c r="I857" s="1101"/>
      <c r="J857" s="1101"/>
      <c r="K857" s="1101"/>
      <c r="L857" s="1101"/>
      <c r="M857" s="1101"/>
      <c r="N857" s="1101"/>
      <c r="O857" s="1101"/>
      <c r="P857" s="1101"/>
      <c r="Q857" s="1101"/>
      <c r="R857" s="1101"/>
      <c r="S857" s="1101"/>
      <c r="T857" s="1101"/>
      <c r="U857" s="1101"/>
      <c r="V857" s="1101"/>
      <c r="W857" s="1101"/>
      <c r="X857" s="1101"/>
      <c r="Y857" s="1102"/>
      <c r="Z857" s="1102"/>
      <c r="AA857" s="1101"/>
    </row>
    <row r="858" ht="15.75" customHeight="1">
      <c r="A858" s="213"/>
      <c r="B858" s="213"/>
      <c r="C858" s="1101"/>
      <c r="D858" s="1101"/>
      <c r="E858" s="1101"/>
      <c r="F858" s="1101"/>
      <c r="G858" s="1101"/>
      <c r="H858" s="1101"/>
      <c r="I858" s="1101"/>
      <c r="J858" s="1101"/>
      <c r="K858" s="1101"/>
      <c r="L858" s="1101"/>
      <c r="M858" s="1101"/>
      <c r="N858" s="1101"/>
      <c r="O858" s="1101"/>
      <c r="P858" s="1101"/>
      <c r="Q858" s="1101"/>
      <c r="R858" s="1101"/>
      <c r="S858" s="1101"/>
      <c r="T858" s="1101"/>
      <c r="U858" s="1101"/>
      <c r="V858" s="1101"/>
      <c r="W858" s="1101"/>
      <c r="X858" s="1101"/>
      <c r="Y858" s="1102"/>
      <c r="Z858" s="1102"/>
      <c r="AA858" s="1101"/>
    </row>
    <row r="859" ht="15.75" customHeight="1">
      <c r="A859" s="213"/>
      <c r="B859" s="213"/>
      <c r="C859" s="1101"/>
      <c r="D859" s="1101"/>
      <c r="E859" s="1101"/>
      <c r="F859" s="1101"/>
      <c r="G859" s="1101"/>
      <c r="H859" s="1101"/>
      <c r="I859" s="1101"/>
      <c r="J859" s="1101"/>
      <c r="K859" s="1101"/>
      <c r="L859" s="1101"/>
      <c r="M859" s="1101"/>
      <c r="N859" s="1101"/>
      <c r="O859" s="1101"/>
      <c r="P859" s="1101"/>
      <c r="Q859" s="1101"/>
      <c r="R859" s="1101"/>
      <c r="S859" s="1101"/>
      <c r="T859" s="1101"/>
      <c r="U859" s="1101"/>
      <c r="V859" s="1101"/>
      <c r="W859" s="1101"/>
      <c r="X859" s="1101"/>
      <c r="Y859" s="1102"/>
      <c r="Z859" s="1102"/>
      <c r="AA859" s="1101"/>
    </row>
    <row r="860" ht="15.75" customHeight="1">
      <c r="A860" s="213"/>
      <c r="B860" s="213"/>
      <c r="C860" s="1101"/>
      <c r="D860" s="1101"/>
      <c r="E860" s="1101"/>
      <c r="F860" s="1101"/>
      <c r="G860" s="1101"/>
      <c r="H860" s="1101"/>
      <c r="I860" s="1101"/>
      <c r="J860" s="1101"/>
      <c r="K860" s="1101"/>
      <c r="L860" s="1101"/>
      <c r="M860" s="1101"/>
      <c r="N860" s="1101"/>
      <c r="O860" s="1101"/>
      <c r="P860" s="1101"/>
      <c r="Q860" s="1101"/>
      <c r="R860" s="1101"/>
      <c r="S860" s="1101"/>
      <c r="T860" s="1101"/>
      <c r="U860" s="1101"/>
      <c r="V860" s="1101"/>
      <c r="W860" s="1101"/>
      <c r="X860" s="1101"/>
      <c r="Y860" s="1102"/>
      <c r="Z860" s="1102"/>
      <c r="AA860" s="1101"/>
    </row>
    <row r="861" ht="15.75" customHeight="1">
      <c r="A861" s="213"/>
      <c r="B861" s="213"/>
      <c r="C861" s="1101"/>
      <c r="D861" s="1101"/>
      <c r="E861" s="1101"/>
      <c r="F861" s="1101"/>
      <c r="G861" s="1101"/>
      <c r="H861" s="1101"/>
      <c r="I861" s="1101"/>
      <c r="J861" s="1101"/>
      <c r="K861" s="1101"/>
      <c r="L861" s="1101"/>
      <c r="M861" s="1101"/>
      <c r="N861" s="1101"/>
      <c r="O861" s="1101"/>
      <c r="P861" s="1101"/>
      <c r="Q861" s="1101"/>
      <c r="R861" s="1101"/>
      <c r="S861" s="1101"/>
      <c r="T861" s="1101"/>
      <c r="U861" s="1101"/>
      <c r="V861" s="1101"/>
      <c r="W861" s="1101"/>
      <c r="X861" s="1101"/>
      <c r="Y861" s="1102"/>
      <c r="Z861" s="1102"/>
      <c r="AA861" s="1101"/>
    </row>
    <row r="862" ht="15.75" customHeight="1">
      <c r="A862" s="213"/>
      <c r="B862" s="213"/>
      <c r="C862" s="1101"/>
      <c r="D862" s="1101"/>
      <c r="E862" s="1101"/>
      <c r="F862" s="1101"/>
      <c r="G862" s="1101"/>
      <c r="H862" s="1101"/>
      <c r="I862" s="1101"/>
      <c r="J862" s="1101"/>
      <c r="K862" s="1101"/>
      <c r="L862" s="1101"/>
      <c r="M862" s="1101"/>
      <c r="N862" s="1101"/>
      <c r="O862" s="1101"/>
      <c r="P862" s="1101"/>
      <c r="Q862" s="1101"/>
      <c r="R862" s="1101"/>
      <c r="S862" s="1101"/>
      <c r="T862" s="1101"/>
      <c r="U862" s="1101"/>
      <c r="V862" s="1101"/>
      <c r="W862" s="1101"/>
      <c r="X862" s="1101"/>
      <c r="Y862" s="1102"/>
      <c r="Z862" s="1102"/>
      <c r="AA862" s="1101"/>
    </row>
    <row r="863" ht="15.75" customHeight="1">
      <c r="A863" s="213"/>
      <c r="B863" s="213"/>
      <c r="C863" s="1101"/>
      <c r="D863" s="1101"/>
      <c r="E863" s="1101"/>
      <c r="F863" s="1101"/>
      <c r="G863" s="1101"/>
      <c r="H863" s="1101"/>
      <c r="I863" s="1101"/>
      <c r="J863" s="1101"/>
      <c r="K863" s="1101"/>
      <c r="L863" s="1101"/>
      <c r="M863" s="1101"/>
      <c r="N863" s="1101"/>
      <c r="O863" s="1101"/>
      <c r="P863" s="1101"/>
      <c r="Q863" s="1101"/>
      <c r="R863" s="1101"/>
      <c r="S863" s="1101"/>
      <c r="T863" s="1101"/>
      <c r="U863" s="1101"/>
      <c r="V863" s="1101"/>
      <c r="W863" s="1101"/>
      <c r="X863" s="1101"/>
      <c r="Y863" s="1102"/>
      <c r="Z863" s="1102"/>
      <c r="AA863" s="1101"/>
    </row>
    <row r="864" ht="15.75" customHeight="1">
      <c r="A864" s="213"/>
      <c r="B864" s="213"/>
      <c r="C864" s="1101"/>
      <c r="D864" s="1101"/>
      <c r="E864" s="1101"/>
      <c r="F864" s="1101"/>
      <c r="G864" s="1101"/>
      <c r="H864" s="1101"/>
      <c r="I864" s="1101"/>
      <c r="J864" s="1101"/>
      <c r="K864" s="1101"/>
      <c r="L864" s="1101"/>
      <c r="M864" s="1101"/>
      <c r="N864" s="1101"/>
      <c r="O864" s="1101"/>
      <c r="P864" s="1101"/>
      <c r="Q864" s="1101"/>
      <c r="R864" s="1101"/>
      <c r="S864" s="1101"/>
      <c r="T864" s="1101"/>
      <c r="U864" s="1101"/>
      <c r="V864" s="1101"/>
      <c r="W864" s="1101"/>
      <c r="X864" s="1101"/>
      <c r="Y864" s="1102"/>
      <c r="Z864" s="1102"/>
      <c r="AA864" s="1101"/>
    </row>
    <row r="865" ht="15.75" customHeight="1">
      <c r="A865" s="213"/>
      <c r="B865" s="213"/>
      <c r="C865" s="1101"/>
      <c r="D865" s="1101"/>
      <c r="E865" s="1101"/>
      <c r="F865" s="1101"/>
      <c r="G865" s="1101"/>
      <c r="H865" s="1101"/>
      <c r="I865" s="1101"/>
      <c r="J865" s="1101"/>
      <c r="K865" s="1101"/>
      <c r="L865" s="1101"/>
      <c r="M865" s="1101"/>
      <c r="N865" s="1101"/>
      <c r="O865" s="1101"/>
      <c r="P865" s="1101"/>
      <c r="Q865" s="1101"/>
      <c r="R865" s="1101"/>
      <c r="S865" s="1101"/>
      <c r="T865" s="1101"/>
      <c r="U865" s="1101"/>
      <c r="V865" s="1101"/>
      <c r="W865" s="1101"/>
      <c r="X865" s="1101"/>
      <c r="Y865" s="1102"/>
      <c r="Z865" s="1102"/>
      <c r="AA865" s="1101"/>
    </row>
    <row r="866" ht="15.75" customHeight="1">
      <c r="A866" s="213"/>
      <c r="B866" s="213"/>
      <c r="C866" s="1101"/>
      <c r="D866" s="1101"/>
      <c r="E866" s="1101"/>
      <c r="F866" s="1101"/>
      <c r="G866" s="1101"/>
      <c r="H866" s="1101"/>
      <c r="I866" s="1101"/>
      <c r="J866" s="1101"/>
      <c r="K866" s="1101"/>
      <c r="L866" s="1101"/>
      <c r="M866" s="1101"/>
      <c r="N866" s="1101"/>
      <c r="O866" s="1101"/>
      <c r="P866" s="1101"/>
      <c r="Q866" s="1101"/>
      <c r="R866" s="1101"/>
      <c r="S866" s="1101"/>
      <c r="T866" s="1101"/>
      <c r="U866" s="1101"/>
      <c r="V866" s="1101"/>
      <c r="W866" s="1101"/>
      <c r="X866" s="1101"/>
      <c r="Y866" s="1102"/>
      <c r="Z866" s="1102"/>
      <c r="AA866" s="1101"/>
    </row>
    <row r="867" ht="15.75" customHeight="1">
      <c r="A867" s="213"/>
      <c r="B867" s="213"/>
      <c r="C867" s="1101"/>
      <c r="D867" s="1101"/>
      <c r="E867" s="1101"/>
      <c r="F867" s="1101"/>
      <c r="G867" s="1101"/>
      <c r="H867" s="1101"/>
      <c r="I867" s="1101"/>
      <c r="J867" s="1101"/>
      <c r="K867" s="1101"/>
      <c r="L867" s="1101"/>
      <c r="M867" s="1101"/>
      <c r="N867" s="1101"/>
      <c r="O867" s="1101"/>
      <c r="P867" s="1101"/>
      <c r="Q867" s="1101"/>
      <c r="R867" s="1101"/>
      <c r="S867" s="1101"/>
      <c r="T867" s="1101"/>
      <c r="U867" s="1101"/>
      <c r="V867" s="1101"/>
      <c r="W867" s="1101"/>
      <c r="X867" s="1101"/>
      <c r="Y867" s="1102"/>
      <c r="Z867" s="1102"/>
      <c r="AA867" s="1101"/>
    </row>
    <row r="868" ht="15.75" customHeight="1">
      <c r="A868" s="213"/>
      <c r="B868" s="213"/>
      <c r="C868" s="1101"/>
      <c r="D868" s="1101"/>
      <c r="E868" s="1101"/>
      <c r="F868" s="1101"/>
      <c r="G868" s="1101"/>
      <c r="H868" s="1101"/>
      <c r="I868" s="1101"/>
      <c r="J868" s="1101"/>
      <c r="K868" s="1101"/>
      <c r="L868" s="1101"/>
      <c r="M868" s="1101"/>
      <c r="N868" s="1101"/>
      <c r="O868" s="1101"/>
      <c r="P868" s="1101"/>
      <c r="Q868" s="1101"/>
      <c r="R868" s="1101"/>
      <c r="S868" s="1101"/>
      <c r="T868" s="1101"/>
      <c r="U868" s="1101"/>
      <c r="V868" s="1101"/>
      <c r="W868" s="1101"/>
      <c r="X868" s="1101"/>
      <c r="Y868" s="1102"/>
      <c r="Z868" s="1102"/>
      <c r="AA868" s="1101"/>
    </row>
    <row r="869" ht="15.75" customHeight="1">
      <c r="A869" s="213"/>
      <c r="B869" s="213"/>
      <c r="C869" s="1101"/>
      <c r="D869" s="1101"/>
      <c r="E869" s="1101"/>
      <c r="F869" s="1101"/>
      <c r="G869" s="1101"/>
      <c r="H869" s="1101"/>
      <c r="I869" s="1101"/>
      <c r="J869" s="1101"/>
      <c r="K869" s="1101"/>
      <c r="L869" s="1101"/>
      <c r="M869" s="1101"/>
      <c r="N869" s="1101"/>
      <c r="O869" s="1101"/>
      <c r="P869" s="1101"/>
      <c r="Q869" s="1101"/>
      <c r="R869" s="1101"/>
      <c r="S869" s="1101"/>
      <c r="T869" s="1101"/>
      <c r="U869" s="1101"/>
      <c r="V869" s="1101"/>
      <c r="W869" s="1101"/>
      <c r="X869" s="1101"/>
      <c r="Y869" s="1102"/>
      <c r="Z869" s="1102"/>
      <c r="AA869" s="1101"/>
    </row>
    <row r="870" ht="15.75" customHeight="1">
      <c r="A870" s="213"/>
      <c r="B870" s="213"/>
      <c r="C870" s="1101"/>
      <c r="D870" s="1101"/>
      <c r="E870" s="1101"/>
      <c r="F870" s="1101"/>
      <c r="G870" s="1101"/>
      <c r="H870" s="1101"/>
      <c r="I870" s="1101"/>
      <c r="J870" s="1101"/>
      <c r="K870" s="1101"/>
      <c r="L870" s="1101"/>
      <c r="M870" s="1101"/>
      <c r="N870" s="1101"/>
      <c r="O870" s="1101"/>
      <c r="P870" s="1101"/>
      <c r="Q870" s="1101"/>
      <c r="R870" s="1101"/>
      <c r="S870" s="1101"/>
      <c r="T870" s="1101"/>
      <c r="U870" s="1101"/>
      <c r="V870" s="1101"/>
      <c r="W870" s="1101"/>
      <c r="X870" s="1101"/>
      <c r="Y870" s="1102"/>
      <c r="Z870" s="1102"/>
      <c r="AA870" s="1101"/>
    </row>
    <row r="871" ht="15.75" customHeight="1">
      <c r="A871" s="213"/>
      <c r="B871" s="213"/>
      <c r="C871" s="1101"/>
      <c r="D871" s="1101"/>
      <c r="E871" s="1101"/>
      <c r="F871" s="1101"/>
      <c r="G871" s="1101"/>
      <c r="H871" s="1101"/>
      <c r="I871" s="1101"/>
      <c r="J871" s="1101"/>
      <c r="K871" s="1101"/>
      <c r="L871" s="1101"/>
      <c r="M871" s="1101"/>
      <c r="N871" s="1101"/>
      <c r="O871" s="1101"/>
      <c r="P871" s="1101"/>
      <c r="Q871" s="1101"/>
      <c r="R871" s="1101"/>
      <c r="S871" s="1101"/>
      <c r="T871" s="1101"/>
      <c r="U871" s="1101"/>
      <c r="V871" s="1101"/>
      <c r="W871" s="1101"/>
      <c r="X871" s="1101"/>
      <c r="Y871" s="1102"/>
      <c r="Z871" s="1102"/>
      <c r="AA871" s="1101"/>
    </row>
    <row r="872" ht="15.75" customHeight="1">
      <c r="A872" s="213"/>
      <c r="B872" s="213"/>
      <c r="C872" s="1101"/>
      <c r="D872" s="1101"/>
      <c r="E872" s="1101"/>
      <c r="F872" s="1101"/>
      <c r="G872" s="1101"/>
      <c r="H872" s="1101"/>
      <c r="I872" s="1101"/>
      <c r="J872" s="1101"/>
      <c r="K872" s="1101"/>
      <c r="L872" s="1101"/>
      <c r="M872" s="1101"/>
      <c r="N872" s="1101"/>
      <c r="O872" s="1101"/>
      <c r="P872" s="1101"/>
      <c r="Q872" s="1101"/>
      <c r="R872" s="1101"/>
      <c r="S872" s="1101"/>
      <c r="T872" s="1101"/>
      <c r="U872" s="1101"/>
      <c r="V872" s="1101"/>
      <c r="W872" s="1101"/>
      <c r="X872" s="1101"/>
      <c r="Y872" s="1102"/>
      <c r="Z872" s="1102"/>
      <c r="AA872" s="1101"/>
    </row>
    <row r="873" ht="15.75" customHeight="1">
      <c r="A873" s="213"/>
      <c r="B873" s="213"/>
      <c r="C873" s="1101"/>
      <c r="D873" s="1101"/>
      <c r="E873" s="1101"/>
      <c r="F873" s="1101"/>
      <c r="G873" s="1101"/>
      <c r="H873" s="1101"/>
      <c r="I873" s="1101"/>
      <c r="J873" s="1101"/>
      <c r="K873" s="1101"/>
      <c r="L873" s="1101"/>
      <c r="M873" s="1101"/>
      <c r="N873" s="1101"/>
      <c r="O873" s="1101"/>
      <c r="P873" s="1101"/>
      <c r="Q873" s="1101"/>
      <c r="R873" s="1101"/>
      <c r="S873" s="1101"/>
      <c r="T873" s="1101"/>
      <c r="U873" s="1101"/>
      <c r="V873" s="1101"/>
      <c r="W873" s="1101"/>
      <c r="X873" s="1101"/>
      <c r="Y873" s="1102"/>
      <c r="Z873" s="1102"/>
      <c r="AA873" s="1101"/>
    </row>
    <row r="874" ht="15.75" customHeight="1">
      <c r="A874" s="213"/>
      <c r="B874" s="213"/>
      <c r="C874" s="1101"/>
      <c r="D874" s="1101"/>
      <c r="E874" s="1101"/>
      <c r="F874" s="1101"/>
      <c r="G874" s="1101"/>
      <c r="H874" s="1101"/>
      <c r="I874" s="1101"/>
      <c r="J874" s="1101"/>
      <c r="K874" s="1101"/>
      <c r="L874" s="1101"/>
      <c r="M874" s="1101"/>
      <c r="N874" s="1101"/>
      <c r="O874" s="1101"/>
      <c r="P874" s="1101"/>
      <c r="Q874" s="1101"/>
      <c r="R874" s="1101"/>
      <c r="S874" s="1101"/>
      <c r="T874" s="1101"/>
      <c r="U874" s="1101"/>
      <c r="V874" s="1101"/>
      <c r="W874" s="1101"/>
      <c r="X874" s="1101"/>
      <c r="Y874" s="1102"/>
      <c r="Z874" s="1102"/>
      <c r="AA874" s="1101"/>
    </row>
    <row r="875" ht="15.75" customHeight="1">
      <c r="A875" s="213"/>
      <c r="B875" s="213"/>
      <c r="C875" s="1101"/>
      <c r="D875" s="1101"/>
      <c r="E875" s="1101"/>
      <c r="F875" s="1101"/>
      <c r="G875" s="1101"/>
      <c r="H875" s="1101"/>
      <c r="I875" s="1101"/>
      <c r="J875" s="1101"/>
      <c r="K875" s="1101"/>
      <c r="L875" s="1101"/>
      <c r="M875" s="1101"/>
      <c r="N875" s="1101"/>
      <c r="O875" s="1101"/>
      <c r="P875" s="1101"/>
      <c r="Q875" s="1101"/>
      <c r="R875" s="1101"/>
      <c r="S875" s="1101"/>
      <c r="T875" s="1101"/>
      <c r="U875" s="1101"/>
      <c r="V875" s="1101"/>
      <c r="W875" s="1101"/>
      <c r="X875" s="1101"/>
      <c r="Y875" s="1102"/>
      <c r="Z875" s="1102"/>
      <c r="AA875" s="1101"/>
    </row>
    <row r="876" ht="15.75" customHeight="1">
      <c r="A876" s="213"/>
      <c r="B876" s="213"/>
      <c r="C876" s="1101"/>
      <c r="D876" s="1101"/>
      <c r="E876" s="1101"/>
      <c r="F876" s="1101"/>
      <c r="G876" s="1101"/>
      <c r="H876" s="1101"/>
      <c r="I876" s="1101"/>
      <c r="J876" s="1101"/>
      <c r="K876" s="1101"/>
      <c r="L876" s="1101"/>
      <c r="M876" s="1101"/>
      <c r="N876" s="1101"/>
      <c r="O876" s="1101"/>
      <c r="P876" s="1101"/>
      <c r="Q876" s="1101"/>
      <c r="R876" s="1101"/>
      <c r="S876" s="1101"/>
      <c r="T876" s="1101"/>
      <c r="U876" s="1101"/>
      <c r="V876" s="1101"/>
      <c r="W876" s="1101"/>
      <c r="X876" s="1101"/>
      <c r="Y876" s="1102"/>
      <c r="Z876" s="1102"/>
      <c r="AA876" s="1101"/>
    </row>
    <row r="877" ht="15.75" customHeight="1">
      <c r="A877" s="213"/>
      <c r="B877" s="213"/>
      <c r="C877" s="1101"/>
      <c r="D877" s="1101"/>
      <c r="E877" s="1101"/>
      <c r="F877" s="1101"/>
      <c r="G877" s="1101"/>
      <c r="H877" s="1101"/>
      <c r="I877" s="1101"/>
      <c r="J877" s="1101"/>
      <c r="K877" s="1101"/>
      <c r="L877" s="1101"/>
      <c r="M877" s="1101"/>
      <c r="N877" s="1101"/>
      <c r="O877" s="1101"/>
      <c r="P877" s="1101"/>
      <c r="Q877" s="1101"/>
      <c r="R877" s="1101"/>
      <c r="S877" s="1101"/>
      <c r="T877" s="1101"/>
      <c r="U877" s="1101"/>
      <c r="V877" s="1101"/>
      <c r="W877" s="1101"/>
      <c r="X877" s="1101"/>
      <c r="Y877" s="1102"/>
      <c r="Z877" s="1102"/>
      <c r="AA877" s="1101"/>
    </row>
    <row r="878" ht="15.75" customHeight="1">
      <c r="A878" s="213"/>
      <c r="B878" s="213"/>
      <c r="C878" s="1101"/>
      <c r="D878" s="1101"/>
      <c r="E878" s="1101"/>
      <c r="F878" s="1101"/>
      <c r="G878" s="1101"/>
      <c r="H878" s="1101"/>
      <c r="I878" s="1101"/>
      <c r="J878" s="1101"/>
      <c r="K878" s="1101"/>
      <c r="L878" s="1101"/>
      <c r="M878" s="1101"/>
      <c r="N878" s="1101"/>
      <c r="O878" s="1101"/>
      <c r="P878" s="1101"/>
      <c r="Q878" s="1101"/>
      <c r="R878" s="1101"/>
      <c r="S878" s="1101"/>
      <c r="T878" s="1101"/>
      <c r="U878" s="1101"/>
      <c r="V878" s="1101"/>
      <c r="W878" s="1101"/>
      <c r="X878" s="1101"/>
      <c r="Y878" s="1102"/>
      <c r="Z878" s="1102"/>
      <c r="AA878" s="1101"/>
    </row>
    <row r="879" ht="15.75" customHeight="1">
      <c r="A879" s="213"/>
      <c r="B879" s="213"/>
      <c r="C879" s="1101"/>
      <c r="D879" s="1101"/>
      <c r="E879" s="1101"/>
      <c r="F879" s="1101"/>
      <c r="G879" s="1101"/>
      <c r="H879" s="1101"/>
      <c r="I879" s="1101"/>
      <c r="J879" s="1101"/>
      <c r="K879" s="1101"/>
      <c r="L879" s="1101"/>
      <c r="M879" s="1101"/>
      <c r="N879" s="1101"/>
      <c r="O879" s="1101"/>
      <c r="P879" s="1101"/>
      <c r="Q879" s="1101"/>
      <c r="R879" s="1101"/>
      <c r="S879" s="1101"/>
      <c r="T879" s="1101"/>
      <c r="U879" s="1101"/>
      <c r="V879" s="1101"/>
      <c r="W879" s="1101"/>
      <c r="X879" s="1101"/>
      <c r="Y879" s="1102"/>
      <c r="Z879" s="1102"/>
      <c r="AA879" s="1101"/>
    </row>
    <row r="880" ht="15.75" customHeight="1">
      <c r="A880" s="213"/>
      <c r="B880" s="213"/>
      <c r="C880" s="1101"/>
      <c r="D880" s="1101"/>
      <c r="E880" s="1101"/>
      <c r="F880" s="1101"/>
      <c r="G880" s="1101"/>
      <c r="H880" s="1101"/>
      <c r="I880" s="1101"/>
      <c r="J880" s="1101"/>
      <c r="K880" s="1101"/>
      <c r="L880" s="1101"/>
      <c r="M880" s="1101"/>
      <c r="N880" s="1101"/>
      <c r="O880" s="1101"/>
      <c r="P880" s="1101"/>
      <c r="Q880" s="1101"/>
      <c r="R880" s="1101"/>
      <c r="S880" s="1101"/>
      <c r="T880" s="1101"/>
      <c r="U880" s="1101"/>
      <c r="V880" s="1101"/>
      <c r="W880" s="1101"/>
      <c r="X880" s="1101"/>
      <c r="Y880" s="1102"/>
      <c r="Z880" s="1102"/>
      <c r="AA880" s="1101"/>
    </row>
    <row r="881" ht="15.75" customHeight="1">
      <c r="A881" s="213"/>
      <c r="B881" s="213"/>
      <c r="C881" s="1101"/>
      <c r="D881" s="1101"/>
      <c r="E881" s="1101"/>
      <c r="F881" s="1101"/>
      <c r="G881" s="1101"/>
      <c r="H881" s="1101"/>
      <c r="I881" s="1101"/>
      <c r="J881" s="1101"/>
      <c r="K881" s="1101"/>
      <c r="L881" s="1101"/>
      <c r="M881" s="1101"/>
      <c r="N881" s="1101"/>
      <c r="O881" s="1101"/>
      <c r="P881" s="1101"/>
      <c r="Q881" s="1101"/>
      <c r="R881" s="1101"/>
      <c r="S881" s="1101"/>
      <c r="T881" s="1101"/>
      <c r="U881" s="1101"/>
      <c r="V881" s="1101"/>
      <c r="W881" s="1101"/>
      <c r="X881" s="1101"/>
      <c r="Y881" s="1102"/>
      <c r="Z881" s="1102"/>
      <c r="AA881" s="1101"/>
    </row>
    <row r="882" ht="15.75" customHeight="1">
      <c r="A882" s="213"/>
      <c r="B882" s="213"/>
      <c r="C882" s="1101"/>
      <c r="D882" s="1101"/>
      <c r="E882" s="1101"/>
      <c r="F882" s="1101"/>
      <c r="G882" s="1101"/>
      <c r="H882" s="1101"/>
      <c r="I882" s="1101"/>
      <c r="J882" s="1101"/>
      <c r="K882" s="1101"/>
      <c r="L882" s="1101"/>
      <c r="M882" s="1101"/>
      <c r="N882" s="1101"/>
      <c r="O882" s="1101"/>
      <c r="P882" s="1101"/>
      <c r="Q882" s="1101"/>
      <c r="R882" s="1101"/>
      <c r="S882" s="1101"/>
      <c r="T882" s="1101"/>
      <c r="U882" s="1101"/>
      <c r="V882" s="1101"/>
      <c r="W882" s="1101"/>
      <c r="X882" s="1101"/>
      <c r="Y882" s="1102"/>
      <c r="Z882" s="1102"/>
      <c r="AA882" s="1101"/>
    </row>
    <row r="883" ht="15.75" customHeight="1">
      <c r="A883" s="213"/>
      <c r="B883" s="213"/>
      <c r="C883" s="1101"/>
      <c r="D883" s="1101"/>
      <c r="E883" s="1101"/>
      <c r="F883" s="1101"/>
      <c r="G883" s="1101"/>
      <c r="H883" s="1101"/>
      <c r="I883" s="1101"/>
      <c r="J883" s="1101"/>
      <c r="K883" s="1101"/>
      <c r="L883" s="1101"/>
      <c r="M883" s="1101"/>
      <c r="N883" s="1101"/>
      <c r="O883" s="1101"/>
      <c r="P883" s="1101"/>
      <c r="Q883" s="1101"/>
      <c r="R883" s="1101"/>
      <c r="S883" s="1101"/>
      <c r="T883" s="1101"/>
      <c r="U883" s="1101"/>
      <c r="V883" s="1101"/>
      <c r="W883" s="1101"/>
      <c r="X883" s="1101"/>
      <c r="Y883" s="1102"/>
      <c r="Z883" s="1102"/>
      <c r="AA883" s="1101"/>
    </row>
    <row r="884" ht="15.75" customHeight="1">
      <c r="A884" s="213"/>
      <c r="B884" s="213"/>
      <c r="C884" s="1101"/>
      <c r="D884" s="1101"/>
      <c r="E884" s="1101"/>
      <c r="F884" s="1101"/>
      <c r="G884" s="1101"/>
      <c r="H884" s="1101"/>
      <c r="I884" s="1101"/>
      <c r="J884" s="1101"/>
      <c r="K884" s="1101"/>
      <c r="L884" s="1101"/>
      <c r="M884" s="1101"/>
      <c r="N884" s="1101"/>
      <c r="O884" s="1101"/>
      <c r="P884" s="1101"/>
      <c r="Q884" s="1101"/>
      <c r="R884" s="1101"/>
      <c r="S884" s="1101"/>
      <c r="T884" s="1101"/>
      <c r="U884" s="1101"/>
      <c r="V884" s="1101"/>
      <c r="W884" s="1101"/>
      <c r="X884" s="1101"/>
      <c r="Y884" s="1102"/>
      <c r="Z884" s="1102"/>
      <c r="AA884" s="1101"/>
    </row>
    <row r="885" ht="15.75" customHeight="1">
      <c r="A885" s="213"/>
      <c r="B885" s="213"/>
      <c r="C885" s="1101"/>
      <c r="D885" s="1101"/>
      <c r="E885" s="1101"/>
      <c r="F885" s="1101"/>
      <c r="G885" s="1101"/>
      <c r="H885" s="1101"/>
      <c r="I885" s="1101"/>
      <c r="J885" s="1101"/>
      <c r="K885" s="1101"/>
      <c r="L885" s="1101"/>
      <c r="M885" s="1101"/>
      <c r="N885" s="1101"/>
      <c r="O885" s="1101"/>
      <c r="P885" s="1101"/>
      <c r="Q885" s="1101"/>
      <c r="R885" s="1101"/>
      <c r="S885" s="1101"/>
      <c r="T885" s="1101"/>
      <c r="U885" s="1101"/>
      <c r="V885" s="1101"/>
      <c r="W885" s="1101"/>
      <c r="X885" s="1101"/>
      <c r="Y885" s="1102"/>
      <c r="Z885" s="1102"/>
      <c r="AA885" s="1101"/>
    </row>
    <row r="886" ht="15.75" customHeight="1">
      <c r="A886" s="213"/>
      <c r="B886" s="213"/>
      <c r="C886" s="1101"/>
      <c r="D886" s="1101"/>
      <c r="E886" s="1101"/>
      <c r="F886" s="1101"/>
      <c r="G886" s="1101"/>
      <c r="H886" s="1101"/>
      <c r="I886" s="1101"/>
      <c r="J886" s="1101"/>
      <c r="K886" s="1101"/>
      <c r="L886" s="1101"/>
      <c r="M886" s="1101"/>
      <c r="N886" s="1101"/>
      <c r="O886" s="1101"/>
      <c r="P886" s="1101"/>
      <c r="Q886" s="1101"/>
      <c r="R886" s="1101"/>
      <c r="S886" s="1101"/>
      <c r="T886" s="1101"/>
      <c r="U886" s="1101"/>
      <c r="V886" s="1101"/>
      <c r="W886" s="1101"/>
      <c r="X886" s="1101"/>
      <c r="Y886" s="1102"/>
      <c r="Z886" s="1102"/>
      <c r="AA886" s="1101"/>
    </row>
    <row r="887" ht="15.75" customHeight="1">
      <c r="A887" s="213"/>
      <c r="B887" s="213"/>
      <c r="C887" s="1101"/>
      <c r="D887" s="1101"/>
      <c r="E887" s="1101"/>
      <c r="F887" s="1101"/>
      <c r="G887" s="1101"/>
      <c r="H887" s="1101"/>
      <c r="I887" s="1101"/>
      <c r="J887" s="1101"/>
      <c r="K887" s="1101"/>
      <c r="L887" s="1101"/>
      <c r="M887" s="1101"/>
      <c r="N887" s="1101"/>
      <c r="O887" s="1101"/>
      <c r="P887" s="1101"/>
      <c r="Q887" s="1101"/>
      <c r="R887" s="1101"/>
      <c r="S887" s="1101"/>
      <c r="T887" s="1101"/>
      <c r="U887" s="1101"/>
      <c r="V887" s="1101"/>
      <c r="W887" s="1101"/>
      <c r="X887" s="1101"/>
      <c r="Y887" s="1102"/>
      <c r="Z887" s="1102"/>
      <c r="AA887" s="1101"/>
    </row>
    <row r="888" ht="15.75" customHeight="1">
      <c r="A888" s="213"/>
      <c r="B888" s="213"/>
      <c r="C888" s="1101"/>
      <c r="D888" s="1101"/>
      <c r="E888" s="1101"/>
      <c r="F888" s="1101"/>
      <c r="G888" s="1101"/>
      <c r="H888" s="1101"/>
      <c r="I888" s="1101"/>
      <c r="J888" s="1101"/>
      <c r="K888" s="1101"/>
      <c r="L888" s="1101"/>
      <c r="M888" s="1101"/>
      <c r="N888" s="1101"/>
      <c r="O888" s="1101"/>
      <c r="P888" s="1101"/>
      <c r="Q888" s="1101"/>
      <c r="R888" s="1101"/>
      <c r="S888" s="1101"/>
      <c r="T888" s="1101"/>
      <c r="U888" s="1101"/>
      <c r="V888" s="1101"/>
      <c r="W888" s="1101"/>
      <c r="X888" s="1101"/>
      <c r="Y888" s="1102"/>
      <c r="Z888" s="1102"/>
      <c r="AA888" s="1101"/>
    </row>
    <row r="889" ht="15.75" customHeight="1">
      <c r="A889" s="213"/>
      <c r="B889" s="213"/>
      <c r="C889" s="1101"/>
      <c r="D889" s="1101"/>
      <c r="E889" s="1101"/>
      <c r="F889" s="1101"/>
      <c r="G889" s="1101"/>
      <c r="H889" s="1101"/>
      <c r="I889" s="1101"/>
      <c r="J889" s="1101"/>
      <c r="K889" s="1101"/>
      <c r="L889" s="1101"/>
      <c r="M889" s="1101"/>
      <c r="N889" s="1101"/>
      <c r="O889" s="1101"/>
      <c r="P889" s="1101"/>
      <c r="Q889" s="1101"/>
      <c r="R889" s="1101"/>
      <c r="S889" s="1101"/>
      <c r="T889" s="1101"/>
      <c r="U889" s="1101"/>
      <c r="V889" s="1101"/>
      <c r="W889" s="1101"/>
      <c r="X889" s="1101"/>
      <c r="Y889" s="1102"/>
      <c r="Z889" s="1102"/>
      <c r="AA889" s="1101"/>
    </row>
    <row r="890" ht="15.75" customHeight="1">
      <c r="A890" s="213"/>
      <c r="B890" s="213"/>
      <c r="C890" s="1101"/>
      <c r="D890" s="1101"/>
      <c r="E890" s="1101"/>
      <c r="F890" s="1101"/>
      <c r="G890" s="1101"/>
      <c r="H890" s="1101"/>
      <c r="I890" s="1101"/>
      <c r="J890" s="1101"/>
      <c r="K890" s="1101"/>
      <c r="L890" s="1101"/>
      <c r="M890" s="1101"/>
      <c r="N890" s="1101"/>
      <c r="O890" s="1101"/>
      <c r="P890" s="1101"/>
      <c r="Q890" s="1101"/>
      <c r="R890" s="1101"/>
      <c r="S890" s="1101"/>
      <c r="T890" s="1101"/>
      <c r="U890" s="1101"/>
      <c r="V890" s="1101"/>
      <c r="W890" s="1101"/>
      <c r="X890" s="1101"/>
      <c r="Y890" s="1102"/>
      <c r="Z890" s="1102"/>
      <c r="AA890" s="1101"/>
    </row>
    <row r="891" ht="15.75" customHeight="1">
      <c r="A891" s="213"/>
      <c r="B891" s="213"/>
      <c r="C891" s="1101"/>
      <c r="D891" s="1101"/>
      <c r="E891" s="1101"/>
      <c r="F891" s="1101"/>
      <c r="G891" s="1101"/>
      <c r="H891" s="1101"/>
      <c r="I891" s="1101"/>
      <c r="J891" s="1101"/>
      <c r="K891" s="1101"/>
      <c r="L891" s="1101"/>
      <c r="M891" s="1101"/>
      <c r="N891" s="1101"/>
      <c r="O891" s="1101"/>
      <c r="P891" s="1101"/>
      <c r="Q891" s="1101"/>
      <c r="R891" s="1101"/>
      <c r="S891" s="1101"/>
      <c r="T891" s="1101"/>
      <c r="U891" s="1101"/>
      <c r="V891" s="1101"/>
      <c r="W891" s="1101"/>
      <c r="X891" s="1101"/>
      <c r="Y891" s="1102"/>
      <c r="Z891" s="1102"/>
      <c r="AA891" s="1101"/>
    </row>
    <row r="892" ht="15.75" customHeight="1">
      <c r="A892" s="213"/>
      <c r="B892" s="213"/>
      <c r="C892" s="1101"/>
      <c r="D892" s="1101"/>
      <c r="E892" s="1101"/>
      <c r="F892" s="1101"/>
      <c r="G892" s="1101"/>
      <c r="H892" s="1101"/>
      <c r="I892" s="1101"/>
      <c r="J892" s="1101"/>
      <c r="K892" s="1101"/>
      <c r="L892" s="1101"/>
      <c r="M892" s="1101"/>
      <c r="N892" s="1101"/>
      <c r="O892" s="1101"/>
      <c r="P892" s="1101"/>
      <c r="Q892" s="1101"/>
      <c r="R892" s="1101"/>
      <c r="S892" s="1101"/>
      <c r="T892" s="1101"/>
      <c r="U892" s="1101"/>
      <c r="V892" s="1101"/>
      <c r="W892" s="1101"/>
      <c r="X892" s="1101"/>
      <c r="Y892" s="1102"/>
      <c r="Z892" s="1102"/>
      <c r="AA892" s="1101"/>
    </row>
    <row r="893" ht="15.75" customHeight="1">
      <c r="A893" s="213"/>
      <c r="B893" s="213"/>
      <c r="C893" s="1101"/>
      <c r="D893" s="1101"/>
      <c r="E893" s="1101"/>
      <c r="F893" s="1101"/>
      <c r="G893" s="1101"/>
      <c r="H893" s="1101"/>
      <c r="I893" s="1101"/>
      <c r="J893" s="1101"/>
      <c r="K893" s="1101"/>
      <c r="L893" s="1101"/>
      <c r="M893" s="1101"/>
      <c r="N893" s="1101"/>
      <c r="O893" s="1101"/>
      <c r="P893" s="1101"/>
      <c r="Q893" s="1101"/>
      <c r="R893" s="1101"/>
      <c r="S893" s="1101"/>
      <c r="T893" s="1101"/>
      <c r="U893" s="1101"/>
      <c r="V893" s="1101"/>
      <c r="W893" s="1101"/>
      <c r="X893" s="1101"/>
      <c r="Y893" s="1102"/>
      <c r="Z893" s="1102"/>
      <c r="AA893" s="1101"/>
    </row>
    <row r="894" ht="15.75" customHeight="1">
      <c r="A894" s="213"/>
      <c r="B894" s="213"/>
      <c r="C894" s="1101"/>
      <c r="D894" s="1101"/>
      <c r="E894" s="1101"/>
      <c r="F894" s="1101"/>
      <c r="G894" s="1101"/>
      <c r="H894" s="1101"/>
      <c r="I894" s="1101"/>
      <c r="J894" s="1101"/>
      <c r="K894" s="1101"/>
      <c r="L894" s="1101"/>
      <c r="M894" s="1101"/>
      <c r="N894" s="1101"/>
      <c r="O894" s="1101"/>
      <c r="P894" s="1101"/>
      <c r="Q894" s="1101"/>
      <c r="R894" s="1101"/>
      <c r="S894" s="1101"/>
      <c r="T894" s="1101"/>
      <c r="U894" s="1101"/>
      <c r="V894" s="1101"/>
      <c r="W894" s="1101"/>
      <c r="X894" s="1101"/>
      <c r="Y894" s="1102"/>
      <c r="Z894" s="1102"/>
      <c r="AA894" s="1101"/>
    </row>
    <row r="895" ht="15.75" customHeight="1">
      <c r="A895" s="213"/>
      <c r="B895" s="213"/>
      <c r="C895" s="1101"/>
      <c r="D895" s="1101"/>
      <c r="E895" s="1101"/>
      <c r="F895" s="1101"/>
      <c r="G895" s="1101"/>
      <c r="H895" s="1101"/>
      <c r="I895" s="1101"/>
      <c r="J895" s="1101"/>
      <c r="K895" s="1101"/>
      <c r="L895" s="1101"/>
      <c r="M895" s="1101"/>
      <c r="N895" s="1101"/>
      <c r="O895" s="1101"/>
      <c r="P895" s="1101"/>
      <c r="Q895" s="1101"/>
      <c r="R895" s="1101"/>
      <c r="S895" s="1101"/>
      <c r="T895" s="1101"/>
      <c r="U895" s="1101"/>
      <c r="V895" s="1101"/>
      <c r="W895" s="1101"/>
      <c r="X895" s="1101"/>
      <c r="Y895" s="1102"/>
      <c r="Z895" s="1102"/>
      <c r="AA895" s="1101"/>
    </row>
    <row r="896" ht="15.75" customHeight="1">
      <c r="A896" s="213"/>
      <c r="B896" s="213"/>
      <c r="C896" s="1101"/>
      <c r="D896" s="1101"/>
      <c r="E896" s="1101"/>
      <c r="F896" s="1101"/>
      <c r="G896" s="1101"/>
      <c r="H896" s="1101"/>
      <c r="I896" s="1101"/>
      <c r="J896" s="1101"/>
      <c r="K896" s="1101"/>
      <c r="L896" s="1101"/>
      <c r="M896" s="1101"/>
      <c r="N896" s="1101"/>
      <c r="O896" s="1101"/>
      <c r="P896" s="1101"/>
      <c r="Q896" s="1101"/>
      <c r="R896" s="1101"/>
      <c r="S896" s="1101"/>
      <c r="T896" s="1101"/>
      <c r="U896" s="1101"/>
      <c r="V896" s="1101"/>
      <c r="W896" s="1101"/>
      <c r="X896" s="1101"/>
      <c r="Y896" s="1102"/>
      <c r="Z896" s="1102"/>
      <c r="AA896" s="1101"/>
    </row>
    <row r="897" ht="15.75" customHeight="1">
      <c r="A897" s="213"/>
      <c r="B897" s="213"/>
      <c r="C897" s="1101"/>
      <c r="D897" s="1101"/>
      <c r="E897" s="1101"/>
      <c r="F897" s="1101"/>
      <c r="G897" s="1101"/>
      <c r="H897" s="1101"/>
      <c r="I897" s="1101"/>
      <c r="J897" s="1101"/>
      <c r="K897" s="1101"/>
      <c r="L897" s="1101"/>
      <c r="M897" s="1101"/>
      <c r="N897" s="1101"/>
      <c r="O897" s="1101"/>
      <c r="P897" s="1101"/>
      <c r="Q897" s="1101"/>
      <c r="R897" s="1101"/>
      <c r="S897" s="1101"/>
      <c r="T897" s="1101"/>
      <c r="U897" s="1101"/>
      <c r="V897" s="1101"/>
      <c r="W897" s="1101"/>
      <c r="X897" s="1101"/>
      <c r="Y897" s="1102"/>
      <c r="Z897" s="1102"/>
      <c r="AA897" s="1101"/>
    </row>
    <row r="898" ht="15.75" customHeight="1">
      <c r="A898" s="213"/>
      <c r="B898" s="213"/>
      <c r="C898" s="1101"/>
      <c r="D898" s="1101"/>
      <c r="E898" s="1101"/>
      <c r="F898" s="1101"/>
      <c r="G898" s="1101"/>
      <c r="H898" s="1101"/>
      <c r="I898" s="1101"/>
      <c r="J898" s="1101"/>
      <c r="K898" s="1101"/>
      <c r="L898" s="1101"/>
      <c r="M898" s="1101"/>
      <c r="N898" s="1101"/>
      <c r="O898" s="1101"/>
      <c r="P898" s="1101"/>
      <c r="Q898" s="1101"/>
      <c r="R898" s="1101"/>
      <c r="S898" s="1101"/>
      <c r="T898" s="1101"/>
      <c r="U898" s="1101"/>
      <c r="V898" s="1101"/>
      <c r="W898" s="1101"/>
      <c r="X898" s="1101"/>
      <c r="Y898" s="1102"/>
      <c r="Z898" s="1102"/>
      <c r="AA898" s="1101"/>
    </row>
    <row r="899" ht="15.75" customHeight="1">
      <c r="A899" s="213"/>
      <c r="B899" s="213"/>
      <c r="C899" s="1101"/>
      <c r="D899" s="1101"/>
      <c r="E899" s="1101"/>
      <c r="F899" s="1101"/>
      <c r="G899" s="1101"/>
      <c r="H899" s="1101"/>
      <c r="I899" s="1101"/>
      <c r="J899" s="1101"/>
      <c r="K899" s="1101"/>
      <c r="L899" s="1101"/>
      <c r="M899" s="1101"/>
      <c r="N899" s="1101"/>
      <c r="O899" s="1101"/>
      <c r="P899" s="1101"/>
      <c r="Q899" s="1101"/>
      <c r="R899" s="1101"/>
      <c r="S899" s="1101"/>
      <c r="T899" s="1101"/>
      <c r="U899" s="1101"/>
      <c r="V899" s="1101"/>
      <c r="W899" s="1101"/>
      <c r="X899" s="1101"/>
      <c r="Y899" s="1102"/>
      <c r="Z899" s="1102"/>
      <c r="AA899" s="1101"/>
    </row>
    <row r="900" ht="15.75" customHeight="1">
      <c r="A900" s="213"/>
      <c r="B900" s="213"/>
      <c r="C900" s="1101"/>
      <c r="D900" s="1101"/>
      <c r="E900" s="1101"/>
      <c r="F900" s="1101"/>
      <c r="G900" s="1101"/>
      <c r="H900" s="1101"/>
      <c r="I900" s="1101"/>
      <c r="J900" s="1101"/>
      <c r="K900" s="1101"/>
      <c r="L900" s="1101"/>
      <c r="M900" s="1101"/>
      <c r="N900" s="1101"/>
      <c r="O900" s="1101"/>
      <c r="P900" s="1101"/>
      <c r="Q900" s="1101"/>
      <c r="R900" s="1101"/>
      <c r="S900" s="1101"/>
      <c r="T900" s="1101"/>
      <c r="U900" s="1101"/>
      <c r="V900" s="1101"/>
      <c r="W900" s="1101"/>
      <c r="X900" s="1101"/>
      <c r="Y900" s="1102"/>
      <c r="Z900" s="1102"/>
      <c r="AA900" s="1101"/>
    </row>
    <row r="901" ht="15.75" customHeight="1">
      <c r="A901" s="213"/>
      <c r="B901" s="213"/>
      <c r="C901" s="1101"/>
      <c r="D901" s="1101"/>
      <c r="E901" s="1101"/>
      <c r="F901" s="1101"/>
      <c r="G901" s="1101"/>
      <c r="H901" s="1101"/>
      <c r="I901" s="1101"/>
      <c r="J901" s="1101"/>
      <c r="K901" s="1101"/>
      <c r="L901" s="1101"/>
      <c r="M901" s="1101"/>
      <c r="N901" s="1101"/>
      <c r="O901" s="1101"/>
      <c r="P901" s="1101"/>
      <c r="Q901" s="1101"/>
      <c r="R901" s="1101"/>
      <c r="S901" s="1101"/>
      <c r="T901" s="1101"/>
      <c r="U901" s="1101"/>
      <c r="V901" s="1101"/>
      <c r="W901" s="1101"/>
      <c r="X901" s="1101"/>
      <c r="Y901" s="1102"/>
      <c r="Z901" s="1102"/>
      <c r="AA901" s="1101"/>
    </row>
    <row r="902" ht="15.75" customHeight="1">
      <c r="A902" s="213"/>
      <c r="B902" s="213"/>
      <c r="C902" s="1101"/>
      <c r="D902" s="1101"/>
      <c r="E902" s="1101"/>
      <c r="F902" s="1101"/>
      <c r="G902" s="1101"/>
      <c r="H902" s="1101"/>
      <c r="I902" s="1101"/>
      <c r="J902" s="1101"/>
      <c r="K902" s="1101"/>
      <c r="L902" s="1101"/>
      <c r="M902" s="1101"/>
      <c r="N902" s="1101"/>
      <c r="O902" s="1101"/>
      <c r="P902" s="1101"/>
      <c r="Q902" s="1101"/>
      <c r="R902" s="1101"/>
      <c r="S902" s="1101"/>
      <c r="T902" s="1101"/>
      <c r="U902" s="1101"/>
      <c r="V902" s="1101"/>
      <c r="W902" s="1101"/>
      <c r="X902" s="1101"/>
      <c r="Y902" s="1102"/>
      <c r="Z902" s="1102"/>
      <c r="AA902" s="1101"/>
    </row>
    <row r="903" ht="15.75" customHeight="1">
      <c r="A903" s="213"/>
      <c r="B903" s="213"/>
      <c r="C903" s="1101"/>
      <c r="D903" s="1101"/>
      <c r="E903" s="1101"/>
      <c r="F903" s="1101"/>
      <c r="G903" s="1101"/>
      <c r="H903" s="1101"/>
      <c r="I903" s="1101"/>
      <c r="J903" s="1101"/>
      <c r="K903" s="1101"/>
      <c r="L903" s="1101"/>
      <c r="M903" s="1101"/>
      <c r="N903" s="1101"/>
      <c r="O903" s="1101"/>
      <c r="P903" s="1101"/>
      <c r="Q903" s="1101"/>
      <c r="R903" s="1101"/>
      <c r="S903" s="1101"/>
      <c r="T903" s="1101"/>
      <c r="U903" s="1101"/>
      <c r="V903" s="1101"/>
      <c r="W903" s="1101"/>
      <c r="X903" s="1101"/>
      <c r="Y903" s="1102"/>
      <c r="Z903" s="1102"/>
      <c r="AA903" s="1101"/>
    </row>
    <row r="904" ht="15.75" customHeight="1">
      <c r="A904" s="213"/>
      <c r="B904" s="213"/>
      <c r="C904" s="1101"/>
      <c r="D904" s="1101"/>
      <c r="E904" s="1101"/>
      <c r="F904" s="1101"/>
      <c r="G904" s="1101"/>
      <c r="H904" s="1101"/>
      <c r="I904" s="1101"/>
      <c r="J904" s="1101"/>
      <c r="K904" s="1101"/>
      <c r="L904" s="1101"/>
      <c r="M904" s="1101"/>
      <c r="N904" s="1101"/>
      <c r="O904" s="1101"/>
      <c r="P904" s="1101"/>
      <c r="Q904" s="1101"/>
      <c r="R904" s="1101"/>
      <c r="S904" s="1101"/>
      <c r="T904" s="1101"/>
      <c r="U904" s="1101"/>
      <c r="V904" s="1101"/>
      <c r="W904" s="1101"/>
      <c r="X904" s="1101"/>
      <c r="Y904" s="1102"/>
      <c r="Z904" s="1102"/>
      <c r="AA904" s="1101"/>
    </row>
    <row r="905" ht="15.75" customHeight="1">
      <c r="A905" s="213"/>
      <c r="B905" s="213"/>
      <c r="C905" s="1101"/>
      <c r="D905" s="1101"/>
      <c r="E905" s="1101"/>
      <c r="F905" s="1101"/>
      <c r="G905" s="1101"/>
      <c r="H905" s="1101"/>
      <c r="I905" s="1101"/>
      <c r="J905" s="1101"/>
      <c r="K905" s="1101"/>
      <c r="L905" s="1101"/>
      <c r="M905" s="1101"/>
      <c r="N905" s="1101"/>
      <c r="O905" s="1101"/>
      <c r="P905" s="1101"/>
      <c r="Q905" s="1101"/>
      <c r="R905" s="1101"/>
      <c r="S905" s="1101"/>
      <c r="T905" s="1101"/>
      <c r="U905" s="1101"/>
      <c r="V905" s="1101"/>
      <c r="W905" s="1101"/>
      <c r="X905" s="1101"/>
      <c r="Y905" s="1102"/>
      <c r="Z905" s="1102"/>
      <c r="AA905" s="1101"/>
    </row>
    <row r="906" ht="15.75" customHeight="1">
      <c r="A906" s="213"/>
      <c r="B906" s="213"/>
      <c r="C906" s="1101"/>
      <c r="D906" s="1101"/>
      <c r="E906" s="1101"/>
      <c r="F906" s="1101"/>
      <c r="G906" s="1101"/>
      <c r="H906" s="1101"/>
      <c r="I906" s="1101"/>
      <c r="J906" s="1101"/>
      <c r="K906" s="1101"/>
      <c r="L906" s="1101"/>
      <c r="M906" s="1101"/>
      <c r="N906" s="1101"/>
      <c r="O906" s="1101"/>
      <c r="P906" s="1101"/>
      <c r="Q906" s="1101"/>
      <c r="R906" s="1101"/>
      <c r="S906" s="1101"/>
      <c r="T906" s="1101"/>
      <c r="U906" s="1101"/>
      <c r="V906" s="1101"/>
      <c r="W906" s="1101"/>
      <c r="X906" s="1101"/>
      <c r="Y906" s="1102"/>
      <c r="Z906" s="1102"/>
      <c r="AA906" s="1101"/>
    </row>
    <row r="907" ht="15.75" customHeight="1">
      <c r="A907" s="213"/>
      <c r="B907" s="213"/>
      <c r="C907" s="1101"/>
      <c r="D907" s="1101"/>
      <c r="E907" s="1101"/>
      <c r="F907" s="1101"/>
      <c r="G907" s="1101"/>
      <c r="H907" s="1101"/>
      <c r="I907" s="1101"/>
      <c r="J907" s="1101"/>
      <c r="K907" s="1101"/>
      <c r="L907" s="1101"/>
      <c r="M907" s="1101"/>
      <c r="N907" s="1101"/>
      <c r="O907" s="1101"/>
      <c r="P907" s="1101"/>
      <c r="Q907" s="1101"/>
      <c r="R907" s="1101"/>
      <c r="S907" s="1101"/>
      <c r="T907" s="1101"/>
      <c r="U907" s="1101"/>
      <c r="V907" s="1101"/>
      <c r="W907" s="1101"/>
      <c r="X907" s="1101"/>
      <c r="Y907" s="1102"/>
      <c r="Z907" s="1102"/>
      <c r="AA907" s="1101"/>
    </row>
    <row r="908" ht="15.75" customHeight="1">
      <c r="A908" s="213"/>
      <c r="B908" s="213"/>
      <c r="C908" s="1101"/>
      <c r="D908" s="1101"/>
      <c r="E908" s="1101"/>
      <c r="F908" s="1101"/>
      <c r="G908" s="1101"/>
      <c r="H908" s="1101"/>
      <c r="I908" s="1101"/>
      <c r="J908" s="1101"/>
      <c r="K908" s="1101"/>
      <c r="L908" s="1101"/>
      <c r="M908" s="1101"/>
      <c r="N908" s="1101"/>
      <c r="O908" s="1101"/>
      <c r="P908" s="1101"/>
      <c r="Q908" s="1101"/>
      <c r="R908" s="1101"/>
      <c r="S908" s="1101"/>
      <c r="T908" s="1101"/>
      <c r="U908" s="1101"/>
      <c r="V908" s="1101"/>
      <c r="W908" s="1101"/>
      <c r="X908" s="1101"/>
      <c r="Y908" s="1102"/>
      <c r="Z908" s="1102"/>
      <c r="AA908" s="1101"/>
    </row>
    <row r="909" ht="15.75" customHeight="1">
      <c r="A909" s="213"/>
      <c r="B909" s="213"/>
      <c r="C909" s="1101"/>
      <c r="D909" s="1101"/>
      <c r="E909" s="1101"/>
      <c r="F909" s="1101"/>
      <c r="G909" s="1101"/>
      <c r="H909" s="1101"/>
      <c r="I909" s="1101"/>
      <c r="J909" s="1101"/>
      <c r="K909" s="1101"/>
      <c r="L909" s="1101"/>
      <c r="M909" s="1101"/>
      <c r="N909" s="1101"/>
      <c r="O909" s="1101"/>
      <c r="P909" s="1101"/>
      <c r="Q909" s="1101"/>
      <c r="R909" s="1101"/>
      <c r="S909" s="1101"/>
      <c r="T909" s="1101"/>
      <c r="U909" s="1101"/>
      <c r="V909" s="1101"/>
      <c r="W909" s="1101"/>
      <c r="X909" s="1101"/>
      <c r="Y909" s="1102"/>
      <c r="Z909" s="1102"/>
      <c r="AA909" s="1101"/>
    </row>
    <row r="910" ht="15.75" customHeight="1">
      <c r="A910" s="213"/>
      <c r="B910" s="213"/>
      <c r="C910" s="1101"/>
      <c r="D910" s="1101"/>
      <c r="E910" s="1101"/>
      <c r="F910" s="1101"/>
      <c r="G910" s="1101"/>
      <c r="H910" s="1101"/>
      <c r="I910" s="1101"/>
      <c r="J910" s="1101"/>
      <c r="K910" s="1101"/>
      <c r="L910" s="1101"/>
      <c r="M910" s="1101"/>
      <c r="N910" s="1101"/>
      <c r="O910" s="1101"/>
      <c r="P910" s="1101"/>
      <c r="Q910" s="1101"/>
      <c r="R910" s="1101"/>
      <c r="S910" s="1101"/>
      <c r="T910" s="1101"/>
      <c r="U910" s="1101"/>
      <c r="V910" s="1101"/>
      <c r="W910" s="1101"/>
      <c r="X910" s="1101"/>
      <c r="Y910" s="1102"/>
      <c r="Z910" s="1102"/>
      <c r="AA910" s="1101"/>
    </row>
    <row r="911" ht="15.75" customHeight="1">
      <c r="A911" s="213"/>
      <c r="B911" s="213"/>
      <c r="C911" s="1101"/>
      <c r="D911" s="1101"/>
      <c r="E911" s="1101"/>
      <c r="F911" s="1101"/>
      <c r="G911" s="1101"/>
      <c r="H911" s="1101"/>
      <c r="I911" s="1101"/>
      <c r="J911" s="1101"/>
      <c r="K911" s="1101"/>
      <c r="L911" s="1101"/>
      <c r="M911" s="1101"/>
      <c r="N911" s="1101"/>
      <c r="O911" s="1101"/>
      <c r="P911" s="1101"/>
      <c r="Q911" s="1101"/>
      <c r="R911" s="1101"/>
      <c r="S911" s="1101"/>
      <c r="T911" s="1101"/>
      <c r="U911" s="1101"/>
      <c r="V911" s="1101"/>
      <c r="W911" s="1101"/>
      <c r="X911" s="1101"/>
      <c r="Y911" s="1102"/>
      <c r="Z911" s="1102"/>
      <c r="AA911" s="1101"/>
    </row>
    <row r="912" ht="15.75" customHeight="1">
      <c r="A912" s="213"/>
      <c r="B912" s="213"/>
      <c r="C912" s="1101"/>
      <c r="D912" s="1101"/>
      <c r="E912" s="1101"/>
      <c r="F912" s="1101"/>
      <c r="G912" s="1101"/>
      <c r="H912" s="1101"/>
      <c r="I912" s="1101"/>
      <c r="J912" s="1101"/>
      <c r="K912" s="1101"/>
      <c r="L912" s="1101"/>
      <c r="M912" s="1101"/>
      <c r="N912" s="1101"/>
      <c r="O912" s="1101"/>
      <c r="P912" s="1101"/>
      <c r="Q912" s="1101"/>
      <c r="R912" s="1101"/>
      <c r="S912" s="1101"/>
      <c r="T912" s="1101"/>
      <c r="U912" s="1101"/>
      <c r="V912" s="1101"/>
      <c r="W912" s="1101"/>
      <c r="X912" s="1101"/>
      <c r="Y912" s="1102"/>
      <c r="Z912" s="1102"/>
      <c r="AA912" s="1101"/>
    </row>
    <row r="913" ht="15.75" customHeight="1">
      <c r="A913" s="213"/>
      <c r="B913" s="213"/>
      <c r="C913" s="1101"/>
      <c r="D913" s="1101"/>
      <c r="E913" s="1101"/>
      <c r="F913" s="1101"/>
      <c r="G913" s="1101"/>
      <c r="H913" s="1101"/>
      <c r="I913" s="1101"/>
      <c r="J913" s="1101"/>
      <c r="K913" s="1101"/>
      <c r="L913" s="1101"/>
      <c r="M913" s="1101"/>
      <c r="N913" s="1101"/>
      <c r="O913" s="1101"/>
      <c r="P913" s="1101"/>
      <c r="Q913" s="1101"/>
      <c r="R913" s="1101"/>
      <c r="S913" s="1101"/>
      <c r="T913" s="1101"/>
      <c r="U913" s="1101"/>
      <c r="V913" s="1101"/>
      <c r="W913" s="1101"/>
      <c r="X913" s="1101"/>
      <c r="Y913" s="1102"/>
      <c r="Z913" s="1102"/>
      <c r="AA913" s="1101"/>
    </row>
    <row r="914" ht="15.75" customHeight="1">
      <c r="A914" s="213"/>
      <c r="B914" s="213"/>
      <c r="C914" s="1101"/>
      <c r="D914" s="1101"/>
      <c r="E914" s="1101"/>
      <c r="F914" s="1101"/>
      <c r="G914" s="1101"/>
      <c r="H914" s="1101"/>
      <c r="I914" s="1101"/>
      <c r="J914" s="1101"/>
      <c r="K914" s="1101"/>
      <c r="L914" s="1101"/>
      <c r="M914" s="1101"/>
      <c r="N914" s="1101"/>
      <c r="O914" s="1101"/>
      <c r="P914" s="1101"/>
      <c r="Q914" s="1101"/>
      <c r="R914" s="1101"/>
      <c r="S914" s="1101"/>
      <c r="T914" s="1101"/>
      <c r="U914" s="1101"/>
      <c r="V914" s="1101"/>
      <c r="W914" s="1101"/>
      <c r="X914" s="1101"/>
      <c r="Y914" s="1102"/>
      <c r="Z914" s="1102"/>
      <c r="AA914" s="1101"/>
    </row>
    <row r="915" ht="15.75" customHeight="1">
      <c r="A915" s="213"/>
      <c r="B915" s="213"/>
      <c r="C915" s="1101"/>
      <c r="D915" s="1101"/>
      <c r="E915" s="1101"/>
      <c r="F915" s="1101"/>
      <c r="G915" s="1101"/>
      <c r="H915" s="1101"/>
      <c r="I915" s="1101"/>
      <c r="J915" s="1101"/>
      <c r="K915" s="1101"/>
      <c r="L915" s="1101"/>
      <c r="M915" s="1101"/>
      <c r="N915" s="1101"/>
      <c r="O915" s="1101"/>
      <c r="P915" s="1101"/>
      <c r="Q915" s="1101"/>
      <c r="R915" s="1101"/>
      <c r="S915" s="1101"/>
      <c r="T915" s="1101"/>
      <c r="U915" s="1101"/>
      <c r="V915" s="1101"/>
      <c r="W915" s="1101"/>
      <c r="X915" s="1101"/>
      <c r="Y915" s="1102"/>
      <c r="Z915" s="1102"/>
      <c r="AA915" s="1101"/>
    </row>
    <row r="916" ht="15.75" customHeight="1">
      <c r="A916" s="213"/>
      <c r="B916" s="213"/>
      <c r="C916" s="1101"/>
      <c r="D916" s="1101"/>
      <c r="E916" s="1101"/>
      <c r="F916" s="1101"/>
      <c r="G916" s="1101"/>
      <c r="H916" s="1101"/>
      <c r="I916" s="1101"/>
      <c r="J916" s="1101"/>
      <c r="K916" s="1101"/>
      <c r="L916" s="1101"/>
      <c r="M916" s="1101"/>
      <c r="N916" s="1101"/>
      <c r="O916" s="1101"/>
      <c r="P916" s="1101"/>
      <c r="Q916" s="1101"/>
      <c r="R916" s="1101"/>
      <c r="S916" s="1101"/>
      <c r="T916" s="1101"/>
      <c r="U916" s="1101"/>
      <c r="V916" s="1101"/>
      <c r="W916" s="1101"/>
      <c r="X916" s="1101"/>
      <c r="Y916" s="1102"/>
      <c r="Z916" s="1102"/>
      <c r="AA916" s="1101"/>
    </row>
    <row r="917" ht="15.75" customHeight="1">
      <c r="A917" s="213"/>
      <c r="B917" s="213"/>
      <c r="C917" s="1101"/>
      <c r="D917" s="1101"/>
      <c r="E917" s="1101"/>
      <c r="F917" s="1101"/>
      <c r="G917" s="1101"/>
      <c r="H917" s="1101"/>
      <c r="I917" s="1101"/>
      <c r="J917" s="1101"/>
      <c r="K917" s="1101"/>
      <c r="L917" s="1101"/>
      <c r="M917" s="1101"/>
      <c r="N917" s="1101"/>
      <c r="O917" s="1101"/>
      <c r="P917" s="1101"/>
      <c r="Q917" s="1101"/>
      <c r="R917" s="1101"/>
      <c r="S917" s="1101"/>
      <c r="T917" s="1101"/>
      <c r="U917" s="1101"/>
      <c r="V917" s="1101"/>
      <c r="W917" s="1101"/>
      <c r="X917" s="1101"/>
      <c r="Y917" s="1102"/>
      <c r="Z917" s="1102"/>
      <c r="AA917" s="1101"/>
    </row>
    <row r="918" ht="15.75" customHeight="1">
      <c r="A918" s="213"/>
      <c r="B918" s="213"/>
      <c r="C918" s="1101"/>
      <c r="D918" s="1101"/>
      <c r="E918" s="1101"/>
      <c r="F918" s="1101"/>
      <c r="G918" s="1101"/>
      <c r="H918" s="1101"/>
      <c r="I918" s="1101"/>
      <c r="J918" s="1101"/>
      <c r="K918" s="1101"/>
      <c r="L918" s="1101"/>
      <c r="M918" s="1101"/>
      <c r="N918" s="1101"/>
      <c r="O918" s="1101"/>
      <c r="P918" s="1101"/>
      <c r="Q918" s="1101"/>
      <c r="R918" s="1101"/>
      <c r="S918" s="1101"/>
      <c r="T918" s="1101"/>
      <c r="U918" s="1101"/>
      <c r="V918" s="1101"/>
      <c r="W918" s="1101"/>
      <c r="X918" s="1101"/>
      <c r="Y918" s="1102"/>
      <c r="Z918" s="1102"/>
      <c r="AA918" s="1101"/>
    </row>
    <row r="919" ht="15.75" customHeight="1">
      <c r="A919" s="213"/>
      <c r="B919" s="213"/>
      <c r="C919" s="1101"/>
      <c r="D919" s="1101"/>
      <c r="E919" s="1101"/>
      <c r="F919" s="1101"/>
      <c r="G919" s="1101"/>
      <c r="H919" s="1101"/>
      <c r="I919" s="1101"/>
      <c r="J919" s="1101"/>
      <c r="K919" s="1101"/>
      <c r="L919" s="1101"/>
      <c r="M919" s="1101"/>
      <c r="N919" s="1101"/>
      <c r="O919" s="1101"/>
      <c r="P919" s="1101"/>
      <c r="Q919" s="1101"/>
      <c r="R919" s="1101"/>
      <c r="S919" s="1101"/>
      <c r="T919" s="1101"/>
      <c r="U919" s="1101"/>
      <c r="V919" s="1101"/>
      <c r="W919" s="1101"/>
      <c r="X919" s="1101"/>
      <c r="Y919" s="1102"/>
      <c r="Z919" s="1102"/>
      <c r="AA919" s="1101"/>
    </row>
    <row r="920" ht="15.75" customHeight="1">
      <c r="A920" s="213"/>
      <c r="B920" s="213"/>
      <c r="C920" s="1101"/>
      <c r="D920" s="1101"/>
      <c r="E920" s="1101"/>
      <c r="F920" s="1101"/>
      <c r="G920" s="1101"/>
      <c r="H920" s="1101"/>
      <c r="I920" s="1101"/>
      <c r="J920" s="1101"/>
      <c r="K920" s="1101"/>
      <c r="L920" s="1101"/>
      <c r="M920" s="1101"/>
      <c r="N920" s="1101"/>
      <c r="O920" s="1101"/>
      <c r="P920" s="1101"/>
      <c r="Q920" s="1101"/>
      <c r="R920" s="1101"/>
      <c r="S920" s="1101"/>
      <c r="T920" s="1101"/>
      <c r="U920" s="1101"/>
      <c r="V920" s="1101"/>
      <c r="W920" s="1101"/>
      <c r="X920" s="1101"/>
      <c r="Y920" s="1102"/>
      <c r="Z920" s="1102"/>
      <c r="AA920" s="1101"/>
    </row>
    <row r="921" ht="15.75" customHeight="1">
      <c r="A921" s="213"/>
      <c r="B921" s="213"/>
      <c r="C921" s="1101"/>
      <c r="D921" s="1101"/>
      <c r="E921" s="1101"/>
      <c r="F921" s="1101"/>
      <c r="G921" s="1101"/>
      <c r="H921" s="1101"/>
      <c r="I921" s="1101"/>
      <c r="J921" s="1101"/>
      <c r="K921" s="1101"/>
      <c r="L921" s="1101"/>
      <c r="M921" s="1101"/>
      <c r="N921" s="1101"/>
      <c r="O921" s="1101"/>
      <c r="P921" s="1101"/>
      <c r="Q921" s="1101"/>
      <c r="R921" s="1101"/>
      <c r="S921" s="1101"/>
      <c r="T921" s="1101"/>
      <c r="U921" s="1101"/>
      <c r="V921" s="1101"/>
      <c r="W921" s="1101"/>
      <c r="X921" s="1101"/>
      <c r="Y921" s="1102"/>
      <c r="Z921" s="1102"/>
      <c r="AA921" s="1101"/>
    </row>
    <row r="922" ht="15.75" customHeight="1">
      <c r="A922" s="213"/>
      <c r="B922" s="213"/>
      <c r="C922" s="1101"/>
      <c r="D922" s="1101"/>
      <c r="E922" s="1101"/>
      <c r="F922" s="1101"/>
      <c r="G922" s="1101"/>
      <c r="H922" s="1101"/>
      <c r="I922" s="1101"/>
      <c r="J922" s="1101"/>
      <c r="K922" s="1101"/>
      <c r="L922" s="1101"/>
      <c r="M922" s="1101"/>
      <c r="N922" s="1101"/>
      <c r="O922" s="1101"/>
      <c r="P922" s="1101"/>
      <c r="Q922" s="1101"/>
      <c r="R922" s="1101"/>
      <c r="S922" s="1101"/>
      <c r="T922" s="1101"/>
      <c r="U922" s="1101"/>
      <c r="V922" s="1101"/>
      <c r="W922" s="1101"/>
      <c r="X922" s="1101"/>
      <c r="Y922" s="1102"/>
      <c r="Z922" s="1102"/>
      <c r="AA922" s="1101"/>
    </row>
    <row r="923" ht="15.75" customHeight="1">
      <c r="A923" s="213"/>
      <c r="B923" s="213"/>
      <c r="C923" s="1101"/>
      <c r="D923" s="1101"/>
      <c r="E923" s="1101"/>
      <c r="F923" s="1101"/>
      <c r="G923" s="1101"/>
      <c r="H923" s="1101"/>
      <c r="I923" s="1101"/>
      <c r="J923" s="1101"/>
      <c r="K923" s="1101"/>
      <c r="L923" s="1101"/>
      <c r="M923" s="1101"/>
      <c r="N923" s="1101"/>
      <c r="O923" s="1101"/>
      <c r="P923" s="1101"/>
      <c r="Q923" s="1101"/>
      <c r="R923" s="1101"/>
      <c r="S923" s="1101"/>
      <c r="T923" s="1101"/>
      <c r="U923" s="1101"/>
      <c r="V923" s="1101"/>
      <c r="W923" s="1101"/>
      <c r="X923" s="1101"/>
      <c r="Y923" s="1102"/>
      <c r="Z923" s="1102"/>
      <c r="AA923" s="1101"/>
    </row>
    <row r="924" ht="15.75" customHeight="1">
      <c r="A924" s="213"/>
      <c r="B924" s="213"/>
      <c r="C924" s="1101"/>
      <c r="D924" s="1101"/>
      <c r="E924" s="1101"/>
      <c r="F924" s="1101"/>
      <c r="G924" s="1101"/>
      <c r="H924" s="1101"/>
      <c r="I924" s="1101"/>
      <c r="J924" s="1101"/>
      <c r="K924" s="1101"/>
      <c r="L924" s="1101"/>
      <c r="M924" s="1101"/>
      <c r="N924" s="1101"/>
      <c r="O924" s="1101"/>
      <c r="P924" s="1101"/>
      <c r="Q924" s="1101"/>
      <c r="R924" s="1101"/>
      <c r="S924" s="1101"/>
      <c r="T924" s="1101"/>
      <c r="U924" s="1101"/>
      <c r="V924" s="1101"/>
      <c r="W924" s="1101"/>
      <c r="X924" s="1101"/>
      <c r="Y924" s="1102"/>
      <c r="Z924" s="1102"/>
      <c r="AA924" s="1101"/>
    </row>
    <row r="925" ht="15.75" customHeight="1">
      <c r="A925" s="213"/>
      <c r="B925" s="213"/>
      <c r="C925" s="1101"/>
      <c r="D925" s="1101"/>
      <c r="E925" s="1101"/>
      <c r="F925" s="1101"/>
      <c r="G925" s="1101"/>
      <c r="H925" s="1101"/>
      <c r="I925" s="1101"/>
      <c r="J925" s="1101"/>
      <c r="K925" s="1101"/>
      <c r="L925" s="1101"/>
      <c r="M925" s="1101"/>
      <c r="N925" s="1101"/>
      <c r="O925" s="1101"/>
      <c r="P925" s="1101"/>
      <c r="Q925" s="1101"/>
      <c r="R925" s="1101"/>
      <c r="S925" s="1101"/>
      <c r="T925" s="1101"/>
      <c r="U925" s="1101"/>
      <c r="V925" s="1101"/>
      <c r="W925" s="1101"/>
      <c r="X925" s="1101"/>
      <c r="Y925" s="1102"/>
      <c r="Z925" s="1102"/>
      <c r="AA925" s="1101"/>
    </row>
    <row r="926" ht="15.75" customHeight="1">
      <c r="A926" s="213"/>
      <c r="B926" s="213"/>
      <c r="C926" s="1101"/>
      <c r="D926" s="1101"/>
      <c r="E926" s="1101"/>
      <c r="F926" s="1101"/>
      <c r="G926" s="1101"/>
      <c r="H926" s="1101"/>
      <c r="I926" s="1101"/>
      <c r="J926" s="1101"/>
      <c r="K926" s="1101"/>
      <c r="L926" s="1101"/>
      <c r="M926" s="1101"/>
      <c r="N926" s="1101"/>
      <c r="O926" s="1101"/>
      <c r="P926" s="1101"/>
      <c r="Q926" s="1101"/>
      <c r="R926" s="1101"/>
      <c r="S926" s="1101"/>
      <c r="T926" s="1101"/>
      <c r="U926" s="1101"/>
      <c r="V926" s="1101"/>
      <c r="W926" s="1101"/>
      <c r="X926" s="1101"/>
      <c r="Y926" s="1102"/>
      <c r="Z926" s="1102"/>
      <c r="AA926" s="1101"/>
    </row>
    <row r="927" ht="15.75" customHeight="1">
      <c r="A927" s="213"/>
      <c r="B927" s="213"/>
      <c r="C927" s="1101"/>
      <c r="D927" s="1101"/>
      <c r="E927" s="1101"/>
      <c r="F927" s="1101"/>
      <c r="G927" s="1101"/>
      <c r="H927" s="1101"/>
      <c r="I927" s="1101"/>
      <c r="J927" s="1101"/>
      <c r="K927" s="1101"/>
      <c r="L927" s="1101"/>
      <c r="M927" s="1101"/>
      <c r="N927" s="1101"/>
      <c r="O927" s="1101"/>
      <c r="P927" s="1101"/>
      <c r="Q927" s="1101"/>
      <c r="R927" s="1101"/>
      <c r="S927" s="1101"/>
      <c r="T927" s="1101"/>
      <c r="U927" s="1101"/>
      <c r="V927" s="1101"/>
      <c r="W927" s="1101"/>
      <c r="X927" s="1101"/>
      <c r="Y927" s="1102"/>
      <c r="Z927" s="1102"/>
      <c r="AA927" s="1101"/>
    </row>
    <row r="928" ht="15.75" customHeight="1">
      <c r="A928" s="213"/>
      <c r="B928" s="213"/>
      <c r="C928" s="1101"/>
      <c r="D928" s="1101"/>
      <c r="E928" s="1101"/>
      <c r="F928" s="1101"/>
      <c r="G928" s="1101"/>
      <c r="H928" s="1101"/>
      <c r="I928" s="1101"/>
      <c r="J928" s="1101"/>
      <c r="K928" s="1101"/>
      <c r="L928" s="1101"/>
      <c r="M928" s="1101"/>
      <c r="N928" s="1101"/>
      <c r="O928" s="1101"/>
      <c r="P928" s="1101"/>
      <c r="Q928" s="1101"/>
      <c r="R928" s="1101"/>
      <c r="S928" s="1101"/>
      <c r="T928" s="1101"/>
      <c r="U928" s="1101"/>
      <c r="V928" s="1101"/>
      <c r="W928" s="1101"/>
      <c r="X928" s="1101"/>
      <c r="Y928" s="1102"/>
      <c r="Z928" s="1102"/>
      <c r="AA928" s="1101"/>
    </row>
    <row r="929" ht="15.75" customHeight="1">
      <c r="A929" s="213"/>
      <c r="B929" s="213"/>
      <c r="C929" s="1101"/>
      <c r="D929" s="1101"/>
      <c r="E929" s="1101"/>
      <c r="F929" s="1101"/>
      <c r="G929" s="1101"/>
      <c r="H929" s="1101"/>
      <c r="I929" s="1101"/>
      <c r="J929" s="1101"/>
      <c r="K929" s="1101"/>
      <c r="L929" s="1101"/>
      <c r="M929" s="1101"/>
      <c r="N929" s="1101"/>
      <c r="O929" s="1101"/>
      <c r="P929" s="1101"/>
      <c r="Q929" s="1101"/>
      <c r="R929" s="1101"/>
      <c r="S929" s="1101"/>
      <c r="T929" s="1101"/>
      <c r="U929" s="1101"/>
      <c r="V929" s="1101"/>
      <c r="W929" s="1101"/>
      <c r="X929" s="1101"/>
      <c r="Y929" s="1102"/>
      <c r="Z929" s="1102"/>
      <c r="AA929" s="1101"/>
    </row>
    <row r="930" ht="15.75" customHeight="1">
      <c r="A930" s="213"/>
      <c r="B930" s="213"/>
      <c r="C930" s="1101"/>
      <c r="D930" s="1101"/>
      <c r="E930" s="1101"/>
      <c r="F930" s="1101"/>
      <c r="G930" s="1101"/>
      <c r="H930" s="1101"/>
      <c r="I930" s="1101"/>
      <c r="J930" s="1101"/>
      <c r="K930" s="1101"/>
      <c r="L930" s="1101"/>
      <c r="M930" s="1101"/>
      <c r="N930" s="1101"/>
      <c r="O930" s="1101"/>
      <c r="P930" s="1101"/>
      <c r="Q930" s="1101"/>
      <c r="R930" s="1101"/>
      <c r="S930" s="1101"/>
      <c r="T930" s="1101"/>
      <c r="U930" s="1101"/>
      <c r="V930" s="1101"/>
      <c r="W930" s="1101"/>
      <c r="X930" s="1101"/>
      <c r="Y930" s="1102"/>
      <c r="Z930" s="1102"/>
      <c r="AA930" s="1101"/>
    </row>
    <row r="931" ht="15.75" customHeight="1">
      <c r="A931" s="213"/>
      <c r="B931" s="213"/>
      <c r="C931" s="1101"/>
      <c r="D931" s="1101"/>
      <c r="E931" s="1101"/>
      <c r="F931" s="1101"/>
      <c r="G931" s="1101"/>
      <c r="H931" s="1101"/>
      <c r="I931" s="1101"/>
      <c r="J931" s="1101"/>
      <c r="K931" s="1101"/>
      <c r="L931" s="1101"/>
      <c r="M931" s="1101"/>
      <c r="N931" s="1101"/>
      <c r="O931" s="1101"/>
      <c r="P931" s="1101"/>
      <c r="Q931" s="1101"/>
      <c r="R931" s="1101"/>
      <c r="S931" s="1101"/>
      <c r="T931" s="1101"/>
      <c r="U931" s="1101"/>
      <c r="V931" s="1101"/>
      <c r="W931" s="1101"/>
      <c r="X931" s="1101"/>
      <c r="Y931" s="1102"/>
      <c r="Z931" s="1102"/>
      <c r="AA931" s="1101"/>
    </row>
    <row r="932" ht="15.75" customHeight="1">
      <c r="A932" s="213"/>
      <c r="B932" s="213"/>
      <c r="C932" s="1101"/>
      <c r="D932" s="1101"/>
      <c r="E932" s="1101"/>
      <c r="F932" s="1101"/>
      <c r="G932" s="1101"/>
      <c r="H932" s="1101"/>
      <c r="I932" s="1101"/>
      <c r="J932" s="1101"/>
      <c r="K932" s="1101"/>
      <c r="L932" s="1101"/>
      <c r="M932" s="1101"/>
      <c r="N932" s="1101"/>
      <c r="O932" s="1101"/>
      <c r="P932" s="1101"/>
      <c r="Q932" s="1101"/>
      <c r="R932" s="1101"/>
      <c r="S932" s="1101"/>
      <c r="T932" s="1101"/>
      <c r="U932" s="1101"/>
      <c r="V932" s="1101"/>
      <c r="W932" s="1101"/>
      <c r="X932" s="1101"/>
      <c r="Y932" s="1102"/>
      <c r="Z932" s="1102"/>
      <c r="AA932" s="1101"/>
    </row>
    <row r="933" ht="15.75" customHeight="1">
      <c r="A933" s="213"/>
      <c r="B933" s="213"/>
      <c r="C933" s="1101"/>
      <c r="D933" s="1101"/>
      <c r="E933" s="1101"/>
      <c r="F933" s="1101"/>
      <c r="G933" s="1101"/>
      <c r="H933" s="1101"/>
      <c r="I933" s="1101"/>
      <c r="J933" s="1101"/>
      <c r="K933" s="1101"/>
      <c r="L933" s="1101"/>
      <c r="M933" s="1101"/>
      <c r="N933" s="1101"/>
      <c r="O933" s="1101"/>
      <c r="P933" s="1101"/>
      <c r="Q933" s="1101"/>
      <c r="R933" s="1101"/>
      <c r="S933" s="1101"/>
      <c r="T933" s="1101"/>
      <c r="U933" s="1101"/>
      <c r="V933" s="1101"/>
      <c r="W933" s="1101"/>
      <c r="X933" s="1101"/>
      <c r="Y933" s="1102"/>
      <c r="Z933" s="1102"/>
      <c r="AA933" s="1101"/>
    </row>
    <row r="934" ht="15.75" customHeight="1">
      <c r="A934" s="213"/>
      <c r="B934" s="213"/>
      <c r="C934" s="1101"/>
      <c r="D934" s="1101"/>
      <c r="E934" s="1101"/>
      <c r="F934" s="1101"/>
      <c r="G934" s="1101"/>
      <c r="H934" s="1101"/>
      <c r="I934" s="1101"/>
      <c r="J934" s="1101"/>
      <c r="K934" s="1101"/>
      <c r="L934" s="1101"/>
      <c r="M934" s="1101"/>
      <c r="N934" s="1101"/>
      <c r="O934" s="1101"/>
      <c r="P934" s="1101"/>
      <c r="Q934" s="1101"/>
      <c r="R934" s="1101"/>
      <c r="S934" s="1101"/>
      <c r="T934" s="1101"/>
      <c r="U934" s="1101"/>
      <c r="V934" s="1101"/>
      <c r="W934" s="1101"/>
      <c r="X934" s="1101"/>
      <c r="Y934" s="1102"/>
      <c r="Z934" s="1102"/>
      <c r="AA934" s="1101"/>
    </row>
    <row r="935" ht="15.75" customHeight="1">
      <c r="A935" s="213"/>
      <c r="B935" s="213"/>
      <c r="C935" s="1101"/>
      <c r="D935" s="1101"/>
      <c r="E935" s="1101"/>
      <c r="F935" s="1101"/>
      <c r="G935" s="1101"/>
      <c r="H935" s="1101"/>
      <c r="I935" s="1101"/>
      <c r="J935" s="1101"/>
      <c r="K935" s="1101"/>
      <c r="L935" s="1101"/>
      <c r="M935" s="1101"/>
      <c r="N935" s="1101"/>
      <c r="O935" s="1101"/>
      <c r="P935" s="1101"/>
      <c r="Q935" s="1101"/>
      <c r="R935" s="1101"/>
      <c r="S935" s="1101"/>
      <c r="T935" s="1101"/>
      <c r="U935" s="1101"/>
      <c r="V935" s="1101"/>
      <c r="W935" s="1101"/>
      <c r="X935" s="1101"/>
      <c r="Y935" s="1102"/>
      <c r="Z935" s="1102"/>
      <c r="AA935" s="1101"/>
    </row>
    <row r="936" ht="15.75" customHeight="1">
      <c r="A936" s="213"/>
      <c r="B936" s="213"/>
      <c r="C936" s="1101"/>
      <c r="D936" s="1101"/>
      <c r="E936" s="1101"/>
      <c r="F936" s="1101"/>
      <c r="G936" s="1101"/>
      <c r="H936" s="1101"/>
      <c r="I936" s="1101"/>
      <c r="J936" s="1101"/>
      <c r="K936" s="1101"/>
      <c r="L936" s="1101"/>
      <c r="M936" s="1101"/>
      <c r="N936" s="1101"/>
      <c r="O936" s="1101"/>
      <c r="P936" s="1101"/>
      <c r="Q936" s="1101"/>
      <c r="R936" s="1101"/>
      <c r="S936" s="1101"/>
      <c r="T936" s="1101"/>
      <c r="U936" s="1101"/>
      <c r="V936" s="1101"/>
      <c r="W936" s="1101"/>
      <c r="X936" s="1101"/>
      <c r="Y936" s="1102"/>
      <c r="Z936" s="1102"/>
      <c r="AA936" s="1101"/>
    </row>
    <row r="937" ht="15.75" customHeight="1">
      <c r="A937" s="213"/>
      <c r="B937" s="213"/>
      <c r="C937" s="1101"/>
      <c r="D937" s="1101"/>
      <c r="E937" s="1101"/>
      <c r="F937" s="1101"/>
      <c r="G937" s="1101"/>
      <c r="H937" s="1101"/>
      <c r="I937" s="1101"/>
      <c r="J937" s="1101"/>
      <c r="K937" s="1101"/>
      <c r="L937" s="1101"/>
      <c r="M937" s="1101"/>
      <c r="N937" s="1101"/>
      <c r="O937" s="1101"/>
      <c r="P937" s="1101"/>
      <c r="Q937" s="1101"/>
      <c r="R937" s="1101"/>
      <c r="S937" s="1101"/>
      <c r="T937" s="1101"/>
      <c r="U937" s="1101"/>
      <c r="V937" s="1101"/>
      <c r="W937" s="1101"/>
      <c r="X937" s="1101"/>
      <c r="Y937" s="1102"/>
      <c r="Z937" s="1102"/>
      <c r="AA937" s="1101"/>
    </row>
    <row r="938" ht="15.75" customHeight="1">
      <c r="A938" s="213"/>
      <c r="B938" s="213"/>
      <c r="C938" s="1101"/>
      <c r="D938" s="1101"/>
      <c r="E938" s="1101"/>
      <c r="F938" s="1101"/>
      <c r="G938" s="1101"/>
      <c r="H938" s="1101"/>
      <c r="I938" s="1101"/>
      <c r="J938" s="1101"/>
      <c r="K938" s="1101"/>
      <c r="L938" s="1101"/>
      <c r="M938" s="1101"/>
      <c r="N938" s="1101"/>
      <c r="O938" s="1101"/>
      <c r="P938" s="1101"/>
      <c r="Q938" s="1101"/>
      <c r="R938" s="1101"/>
      <c r="S938" s="1101"/>
      <c r="T938" s="1101"/>
      <c r="U938" s="1101"/>
      <c r="V938" s="1101"/>
      <c r="W938" s="1101"/>
      <c r="X938" s="1101"/>
      <c r="Y938" s="1102"/>
      <c r="Z938" s="1102"/>
      <c r="AA938" s="1101"/>
    </row>
    <row r="939" ht="15.75" customHeight="1">
      <c r="A939" s="213"/>
      <c r="B939" s="213"/>
      <c r="C939" s="1101"/>
      <c r="D939" s="1101"/>
      <c r="E939" s="1101"/>
      <c r="F939" s="1101"/>
      <c r="G939" s="1101"/>
      <c r="H939" s="1101"/>
      <c r="I939" s="1101"/>
      <c r="J939" s="1101"/>
      <c r="K939" s="1101"/>
      <c r="L939" s="1101"/>
      <c r="M939" s="1101"/>
      <c r="N939" s="1101"/>
      <c r="O939" s="1101"/>
      <c r="P939" s="1101"/>
      <c r="Q939" s="1101"/>
      <c r="R939" s="1101"/>
      <c r="S939" s="1101"/>
      <c r="T939" s="1101"/>
      <c r="U939" s="1101"/>
      <c r="V939" s="1101"/>
      <c r="W939" s="1101"/>
      <c r="X939" s="1101"/>
      <c r="Y939" s="1102"/>
      <c r="Z939" s="1102"/>
      <c r="AA939" s="1101"/>
    </row>
    <row r="940" ht="15.75" customHeight="1">
      <c r="A940" s="213"/>
      <c r="B940" s="213"/>
      <c r="C940" s="1101"/>
      <c r="D940" s="1101"/>
      <c r="E940" s="1101"/>
      <c r="F940" s="1101"/>
      <c r="G940" s="1101"/>
      <c r="H940" s="1101"/>
      <c r="I940" s="1101"/>
      <c r="J940" s="1101"/>
      <c r="K940" s="1101"/>
      <c r="L940" s="1101"/>
      <c r="M940" s="1101"/>
      <c r="N940" s="1101"/>
      <c r="O940" s="1101"/>
      <c r="P940" s="1101"/>
      <c r="Q940" s="1101"/>
      <c r="R940" s="1101"/>
      <c r="S940" s="1101"/>
      <c r="T940" s="1101"/>
      <c r="U940" s="1101"/>
      <c r="V940" s="1101"/>
      <c r="W940" s="1101"/>
      <c r="X940" s="1101"/>
      <c r="Y940" s="1102"/>
      <c r="Z940" s="1102"/>
      <c r="AA940" s="1101"/>
    </row>
    <row r="941" ht="15.75" customHeight="1">
      <c r="A941" s="213"/>
      <c r="B941" s="213"/>
      <c r="C941" s="1101"/>
      <c r="D941" s="1101"/>
      <c r="E941" s="1101"/>
      <c r="F941" s="1101"/>
      <c r="G941" s="1101"/>
      <c r="H941" s="1101"/>
      <c r="I941" s="1101"/>
      <c r="J941" s="1101"/>
      <c r="K941" s="1101"/>
      <c r="L941" s="1101"/>
      <c r="M941" s="1101"/>
      <c r="N941" s="1101"/>
      <c r="O941" s="1101"/>
      <c r="P941" s="1101"/>
      <c r="Q941" s="1101"/>
      <c r="R941" s="1101"/>
      <c r="S941" s="1101"/>
      <c r="T941" s="1101"/>
      <c r="U941" s="1101"/>
      <c r="V941" s="1101"/>
      <c r="W941" s="1101"/>
      <c r="X941" s="1101"/>
      <c r="Y941" s="1102"/>
      <c r="Z941" s="1102"/>
      <c r="AA941" s="1101"/>
    </row>
    <row r="942" ht="15.75" customHeight="1">
      <c r="A942" s="213"/>
      <c r="B942" s="213"/>
      <c r="C942" s="1101"/>
      <c r="D942" s="1101"/>
      <c r="E942" s="1101"/>
      <c r="F942" s="1101"/>
      <c r="G942" s="1101"/>
      <c r="H942" s="1101"/>
      <c r="I942" s="1101"/>
      <c r="J942" s="1101"/>
      <c r="K942" s="1101"/>
      <c r="L942" s="1101"/>
      <c r="M942" s="1101"/>
      <c r="N942" s="1101"/>
      <c r="O942" s="1101"/>
      <c r="P942" s="1101"/>
      <c r="Q942" s="1101"/>
      <c r="R942" s="1101"/>
      <c r="S942" s="1101"/>
      <c r="T942" s="1101"/>
      <c r="U942" s="1101"/>
      <c r="V942" s="1101"/>
      <c r="W942" s="1101"/>
      <c r="X942" s="1101"/>
      <c r="Y942" s="1102"/>
      <c r="Z942" s="1102"/>
      <c r="AA942" s="1101"/>
    </row>
    <row r="943" ht="15.75" customHeight="1">
      <c r="A943" s="213"/>
      <c r="B943" s="213"/>
      <c r="C943" s="1101"/>
      <c r="D943" s="1101"/>
      <c r="E943" s="1101"/>
      <c r="F943" s="1101"/>
      <c r="G943" s="1101"/>
      <c r="H943" s="1101"/>
      <c r="I943" s="1101"/>
      <c r="J943" s="1101"/>
      <c r="K943" s="1101"/>
      <c r="L943" s="1101"/>
      <c r="M943" s="1101"/>
      <c r="N943" s="1101"/>
      <c r="O943" s="1101"/>
      <c r="P943" s="1101"/>
      <c r="Q943" s="1101"/>
      <c r="R943" s="1101"/>
      <c r="S943" s="1101"/>
      <c r="T943" s="1101"/>
      <c r="U943" s="1101"/>
      <c r="V943" s="1101"/>
      <c r="W943" s="1101"/>
      <c r="X943" s="1101"/>
      <c r="Y943" s="1102"/>
      <c r="Z943" s="1102"/>
      <c r="AA943" s="1101"/>
    </row>
    <row r="944" ht="15.75" customHeight="1">
      <c r="A944" s="213"/>
      <c r="B944" s="213"/>
      <c r="C944" s="1101"/>
      <c r="D944" s="1101"/>
      <c r="E944" s="1101"/>
      <c r="F944" s="1101"/>
      <c r="G944" s="1101"/>
      <c r="H944" s="1101"/>
      <c r="I944" s="1101"/>
      <c r="J944" s="1101"/>
      <c r="K944" s="1101"/>
      <c r="L944" s="1101"/>
      <c r="M944" s="1101"/>
      <c r="N944" s="1101"/>
      <c r="O944" s="1101"/>
      <c r="P944" s="1101"/>
      <c r="Q944" s="1101"/>
      <c r="R944" s="1101"/>
      <c r="S944" s="1101"/>
      <c r="T944" s="1101"/>
      <c r="U944" s="1101"/>
      <c r="V944" s="1101"/>
      <c r="W944" s="1101"/>
      <c r="X944" s="1101"/>
      <c r="Y944" s="1102"/>
      <c r="Z944" s="1102"/>
      <c r="AA944" s="1101"/>
    </row>
    <row r="945" ht="15.75" customHeight="1">
      <c r="A945" s="213"/>
      <c r="B945" s="213"/>
      <c r="C945" s="1101"/>
      <c r="D945" s="1101"/>
      <c r="E945" s="1101"/>
      <c r="F945" s="1101"/>
      <c r="G945" s="1101"/>
      <c r="H945" s="1101"/>
      <c r="I945" s="1101"/>
      <c r="J945" s="1101"/>
      <c r="K945" s="1101"/>
      <c r="L945" s="1101"/>
      <c r="M945" s="1101"/>
      <c r="N945" s="1101"/>
      <c r="O945" s="1101"/>
      <c r="P945" s="1101"/>
      <c r="Q945" s="1101"/>
      <c r="R945" s="1101"/>
      <c r="S945" s="1101"/>
      <c r="T945" s="1101"/>
      <c r="U945" s="1101"/>
      <c r="V945" s="1101"/>
      <c r="W945" s="1101"/>
      <c r="X945" s="1101"/>
      <c r="Y945" s="1102"/>
      <c r="Z945" s="1102"/>
      <c r="AA945" s="1101"/>
    </row>
    <row r="946" ht="15.75" customHeight="1">
      <c r="A946" s="213"/>
      <c r="B946" s="213"/>
      <c r="C946" s="1101"/>
      <c r="D946" s="1101"/>
      <c r="E946" s="1101"/>
      <c r="F946" s="1101"/>
      <c r="G946" s="1101"/>
      <c r="H946" s="1101"/>
      <c r="I946" s="1101"/>
      <c r="J946" s="1101"/>
      <c r="K946" s="1101"/>
      <c r="L946" s="1101"/>
      <c r="M946" s="1101"/>
      <c r="N946" s="1101"/>
      <c r="O946" s="1101"/>
      <c r="P946" s="1101"/>
      <c r="Q946" s="1101"/>
      <c r="R946" s="1101"/>
      <c r="S946" s="1101"/>
      <c r="T946" s="1101"/>
      <c r="U946" s="1101"/>
      <c r="V946" s="1101"/>
      <c r="W946" s="1101"/>
      <c r="X946" s="1101"/>
      <c r="Y946" s="1102"/>
      <c r="Z946" s="1102"/>
      <c r="AA946" s="1101"/>
    </row>
    <row r="947" ht="15.75" customHeight="1">
      <c r="A947" s="213"/>
      <c r="B947" s="213"/>
      <c r="C947" s="1101"/>
      <c r="D947" s="1101"/>
      <c r="E947" s="1101"/>
      <c r="F947" s="1101"/>
      <c r="G947" s="1101"/>
      <c r="H947" s="1101"/>
      <c r="I947" s="1101"/>
      <c r="J947" s="1101"/>
      <c r="K947" s="1101"/>
      <c r="L947" s="1101"/>
      <c r="M947" s="1101"/>
      <c r="N947" s="1101"/>
      <c r="O947" s="1101"/>
      <c r="P947" s="1101"/>
      <c r="Q947" s="1101"/>
      <c r="R947" s="1101"/>
      <c r="S947" s="1101"/>
      <c r="T947" s="1101"/>
      <c r="U947" s="1101"/>
      <c r="V947" s="1101"/>
      <c r="W947" s="1101"/>
      <c r="X947" s="1101"/>
      <c r="Y947" s="1102"/>
      <c r="Z947" s="1102"/>
      <c r="AA947" s="1101"/>
    </row>
    <row r="948" ht="15.75" customHeight="1">
      <c r="A948" s="213"/>
      <c r="B948" s="213"/>
      <c r="C948" s="1101"/>
      <c r="D948" s="1101"/>
      <c r="E948" s="1101"/>
      <c r="F948" s="1101"/>
      <c r="G948" s="1101"/>
      <c r="H948" s="1101"/>
      <c r="I948" s="1101"/>
      <c r="J948" s="1101"/>
      <c r="K948" s="1101"/>
      <c r="L948" s="1101"/>
      <c r="M948" s="1101"/>
      <c r="N948" s="1101"/>
      <c r="O948" s="1101"/>
      <c r="P948" s="1101"/>
      <c r="Q948" s="1101"/>
      <c r="R948" s="1101"/>
      <c r="S948" s="1101"/>
      <c r="T948" s="1101"/>
      <c r="U948" s="1101"/>
      <c r="V948" s="1101"/>
      <c r="W948" s="1101"/>
      <c r="X948" s="1101"/>
      <c r="Y948" s="1102"/>
      <c r="Z948" s="1102"/>
      <c r="AA948" s="1101"/>
    </row>
    <row r="949" ht="15.75" customHeight="1">
      <c r="A949" s="213"/>
      <c r="B949" s="213"/>
      <c r="C949" s="1101"/>
      <c r="D949" s="1101"/>
      <c r="E949" s="1101"/>
      <c r="F949" s="1101"/>
      <c r="G949" s="1101"/>
      <c r="H949" s="1101"/>
      <c r="I949" s="1101"/>
      <c r="J949" s="1101"/>
      <c r="K949" s="1101"/>
      <c r="L949" s="1101"/>
      <c r="M949" s="1101"/>
      <c r="N949" s="1101"/>
      <c r="O949" s="1101"/>
      <c r="P949" s="1101"/>
      <c r="Q949" s="1101"/>
      <c r="R949" s="1101"/>
      <c r="S949" s="1101"/>
      <c r="T949" s="1101"/>
      <c r="U949" s="1101"/>
      <c r="V949" s="1101"/>
      <c r="W949" s="1101"/>
      <c r="X949" s="1101"/>
      <c r="Y949" s="1102"/>
      <c r="Z949" s="1102"/>
      <c r="AA949" s="1101"/>
    </row>
    <row r="950" ht="15.75" customHeight="1">
      <c r="A950" s="213"/>
      <c r="B950" s="213"/>
      <c r="C950" s="1101"/>
      <c r="D950" s="1101"/>
      <c r="E950" s="1101"/>
      <c r="F950" s="1101"/>
      <c r="G950" s="1101"/>
      <c r="H950" s="1101"/>
      <c r="I950" s="1101"/>
      <c r="J950" s="1101"/>
      <c r="K950" s="1101"/>
      <c r="L950" s="1101"/>
      <c r="M950" s="1101"/>
      <c r="N950" s="1101"/>
      <c r="O950" s="1101"/>
      <c r="P950" s="1101"/>
      <c r="Q950" s="1101"/>
      <c r="R950" s="1101"/>
      <c r="S950" s="1101"/>
      <c r="T950" s="1101"/>
      <c r="U950" s="1101"/>
      <c r="V950" s="1101"/>
      <c r="W950" s="1101"/>
      <c r="X950" s="1101"/>
      <c r="Y950" s="1102"/>
      <c r="Z950" s="1102"/>
      <c r="AA950" s="1101"/>
    </row>
    <row r="951" ht="15.75" customHeight="1">
      <c r="A951" s="213"/>
      <c r="B951" s="213"/>
      <c r="C951" s="1101"/>
      <c r="D951" s="1101"/>
      <c r="E951" s="1101"/>
      <c r="F951" s="1101"/>
      <c r="G951" s="1101"/>
      <c r="H951" s="1101"/>
      <c r="I951" s="1101"/>
      <c r="J951" s="1101"/>
      <c r="K951" s="1101"/>
      <c r="L951" s="1101"/>
      <c r="M951" s="1101"/>
      <c r="N951" s="1101"/>
      <c r="O951" s="1101"/>
      <c r="P951" s="1101"/>
      <c r="Q951" s="1101"/>
      <c r="R951" s="1101"/>
      <c r="S951" s="1101"/>
      <c r="T951" s="1101"/>
      <c r="U951" s="1101"/>
      <c r="V951" s="1101"/>
      <c r="W951" s="1101"/>
      <c r="X951" s="1101"/>
      <c r="Y951" s="1102"/>
      <c r="Z951" s="1102"/>
      <c r="AA951" s="1101"/>
    </row>
    <row r="952" ht="15.75" customHeight="1">
      <c r="A952" s="213"/>
      <c r="B952" s="213"/>
      <c r="C952" s="1101"/>
      <c r="D952" s="1101"/>
      <c r="E952" s="1101"/>
      <c r="F952" s="1101"/>
      <c r="G952" s="1101"/>
      <c r="H952" s="1101"/>
      <c r="I952" s="1101"/>
      <c r="J952" s="1101"/>
      <c r="K952" s="1101"/>
      <c r="L952" s="1101"/>
      <c r="M952" s="1101"/>
      <c r="N952" s="1101"/>
      <c r="O952" s="1101"/>
      <c r="P952" s="1101"/>
      <c r="Q952" s="1101"/>
      <c r="R952" s="1101"/>
      <c r="S952" s="1101"/>
      <c r="T952" s="1101"/>
      <c r="U952" s="1101"/>
      <c r="V952" s="1101"/>
      <c r="W952" s="1101"/>
      <c r="X952" s="1101"/>
      <c r="Y952" s="1102"/>
      <c r="Z952" s="1102"/>
      <c r="AA952" s="1101"/>
    </row>
    <row r="953" ht="15.75" customHeight="1">
      <c r="A953" s="213"/>
      <c r="B953" s="213"/>
      <c r="C953" s="1101"/>
      <c r="D953" s="1101"/>
      <c r="E953" s="1101"/>
      <c r="F953" s="1101"/>
      <c r="G953" s="1101"/>
      <c r="H953" s="1101"/>
      <c r="I953" s="1101"/>
      <c r="J953" s="1101"/>
      <c r="K953" s="1101"/>
      <c r="L953" s="1101"/>
      <c r="M953" s="1101"/>
      <c r="N953" s="1101"/>
      <c r="O953" s="1101"/>
      <c r="P953" s="1101"/>
      <c r="Q953" s="1101"/>
      <c r="R953" s="1101"/>
      <c r="S953" s="1101"/>
      <c r="T953" s="1101"/>
      <c r="U953" s="1101"/>
      <c r="V953" s="1101"/>
      <c r="W953" s="1101"/>
      <c r="X953" s="1101"/>
      <c r="Y953" s="1102"/>
      <c r="Z953" s="1102"/>
      <c r="AA953" s="1101"/>
    </row>
    <row r="954" ht="15.75" customHeight="1">
      <c r="A954" s="213"/>
      <c r="B954" s="213"/>
      <c r="C954" s="1101"/>
      <c r="D954" s="1101"/>
      <c r="E954" s="1101"/>
      <c r="F954" s="1101"/>
      <c r="G954" s="1101"/>
      <c r="H954" s="1101"/>
      <c r="I954" s="1101"/>
      <c r="J954" s="1101"/>
      <c r="K954" s="1101"/>
      <c r="L954" s="1101"/>
      <c r="M954" s="1101"/>
      <c r="N954" s="1101"/>
      <c r="O954" s="1101"/>
      <c r="P954" s="1101"/>
      <c r="Q954" s="1101"/>
      <c r="R954" s="1101"/>
      <c r="S954" s="1101"/>
      <c r="T954" s="1101"/>
      <c r="U954" s="1101"/>
      <c r="V954" s="1101"/>
      <c r="W954" s="1101"/>
      <c r="X954" s="1101"/>
      <c r="Y954" s="1102"/>
      <c r="Z954" s="1102"/>
      <c r="AA954" s="1101"/>
    </row>
    <row r="955" ht="15.75" customHeight="1">
      <c r="A955" s="213"/>
      <c r="B955" s="213"/>
      <c r="C955" s="1101"/>
      <c r="D955" s="1101"/>
      <c r="E955" s="1101"/>
      <c r="F955" s="1101"/>
      <c r="G955" s="1101"/>
      <c r="H955" s="1101"/>
      <c r="I955" s="1101"/>
      <c r="J955" s="1101"/>
      <c r="K955" s="1101"/>
      <c r="L955" s="1101"/>
      <c r="M955" s="1101"/>
      <c r="N955" s="1101"/>
      <c r="O955" s="1101"/>
      <c r="P955" s="1101"/>
      <c r="Q955" s="1101"/>
      <c r="R955" s="1101"/>
      <c r="S955" s="1101"/>
      <c r="T955" s="1101"/>
      <c r="U955" s="1101"/>
      <c r="V955" s="1101"/>
      <c r="W955" s="1101"/>
      <c r="X955" s="1101"/>
      <c r="Y955" s="1102"/>
      <c r="Z955" s="1102"/>
      <c r="AA955" s="1101"/>
    </row>
    <row r="956" ht="15.75" customHeight="1">
      <c r="A956" s="213"/>
      <c r="B956" s="213"/>
      <c r="C956" s="1101"/>
      <c r="D956" s="1101"/>
      <c r="E956" s="1101"/>
      <c r="F956" s="1101"/>
      <c r="G956" s="1101"/>
      <c r="H956" s="1101"/>
      <c r="I956" s="1101"/>
      <c r="J956" s="1101"/>
      <c r="K956" s="1101"/>
      <c r="L956" s="1101"/>
      <c r="M956" s="1101"/>
      <c r="N956" s="1101"/>
      <c r="O956" s="1101"/>
      <c r="P956" s="1101"/>
      <c r="Q956" s="1101"/>
      <c r="R956" s="1101"/>
      <c r="S956" s="1101"/>
      <c r="T956" s="1101"/>
      <c r="U956" s="1101"/>
      <c r="V956" s="1101"/>
      <c r="W956" s="1101"/>
      <c r="X956" s="1101"/>
      <c r="Y956" s="1102"/>
      <c r="Z956" s="1102"/>
      <c r="AA956" s="1101"/>
    </row>
    <row r="957" ht="15.75" customHeight="1">
      <c r="A957" s="213"/>
      <c r="B957" s="213"/>
      <c r="C957" s="1101"/>
      <c r="D957" s="1101"/>
      <c r="E957" s="1101"/>
      <c r="F957" s="1101"/>
      <c r="G957" s="1101"/>
      <c r="H957" s="1101"/>
      <c r="I957" s="1101"/>
      <c r="J957" s="1101"/>
      <c r="K957" s="1101"/>
      <c r="L957" s="1101"/>
      <c r="M957" s="1101"/>
      <c r="N957" s="1101"/>
      <c r="O957" s="1101"/>
      <c r="P957" s="1101"/>
      <c r="Q957" s="1101"/>
      <c r="R957" s="1101"/>
      <c r="S957" s="1101"/>
      <c r="T957" s="1101"/>
      <c r="U957" s="1101"/>
      <c r="V957" s="1101"/>
      <c r="W957" s="1101"/>
      <c r="X957" s="1101"/>
      <c r="Y957" s="1102"/>
      <c r="Z957" s="1102"/>
      <c r="AA957" s="1101"/>
    </row>
    <row r="958" ht="15.75" customHeight="1">
      <c r="A958" s="213"/>
      <c r="B958" s="213"/>
      <c r="C958" s="1101"/>
      <c r="D958" s="1101"/>
      <c r="E958" s="1101"/>
      <c r="F958" s="1101"/>
      <c r="G958" s="1101"/>
      <c r="H958" s="1101"/>
      <c r="I958" s="1101"/>
      <c r="J958" s="1101"/>
      <c r="K958" s="1101"/>
      <c r="L958" s="1101"/>
      <c r="M958" s="1101"/>
      <c r="N958" s="1101"/>
      <c r="O958" s="1101"/>
      <c r="P958" s="1101"/>
      <c r="Q958" s="1101"/>
      <c r="R958" s="1101"/>
      <c r="S958" s="1101"/>
      <c r="T958" s="1101"/>
      <c r="U958" s="1101"/>
      <c r="V958" s="1101"/>
      <c r="W958" s="1101"/>
      <c r="X958" s="1101"/>
      <c r="Y958" s="1102"/>
      <c r="Z958" s="1102"/>
      <c r="AA958" s="1101"/>
    </row>
    <row r="959" ht="15.75" customHeight="1">
      <c r="A959" s="213"/>
      <c r="B959" s="213"/>
      <c r="C959" s="1101"/>
      <c r="D959" s="1101"/>
      <c r="E959" s="1101"/>
      <c r="F959" s="1101"/>
      <c r="G959" s="1101"/>
      <c r="H959" s="1101"/>
      <c r="I959" s="1101"/>
      <c r="J959" s="1101"/>
      <c r="K959" s="1101"/>
      <c r="L959" s="1101"/>
      <c r="M959" s="1101"/>
      <c r="N959" s="1101"/>
      <c r="O959" s="1101"/>
      <c r="P959" s="1101"/>
      <c r="Q959" s="1101"/>
      <c r="R959" s="1101"/>
      <c r="S959" s="1101"/>
      <c r="T959" s="1101"/>
      <c r="U959" s="1101"/>
      <c r="V959" s="1101"/>
      <c r="W959" s="1101"/>
      <c r="X959" s="1101"/>
      <c r="Y959" s="1102"/>
      <c r="Z959" s="1102"/>
      <c r="AA959" s="1101"/>
    </row>
    <row r="960" ht="15.75" customHeight="1">
      <c r="A960" s="213"/>
      <c r="B960" s="213"/>
      <c r="C960" s="1101"/>
      <c r="D960" s="1101"/>
      <c r="E960" s="1101"/>
      <c r="F960" s="1101"/>
      <c r="G960" s="1101"/>
      <c r="H960" s="1101"/>
      <c r="I960" s="1101"/>
      <c r="J960" s="1101"/>
      <c r="K960" s="1101"/>
      <c r="L960" s="1101"/>
      <c r="M960" s="1101"/>
      <c r="N960" s="1101"/>
      <c r="O960" s="1101"/>
      <c r="P960" s="1101"/>
      <c r="Q960" s="1101"/>
      <c r="R960" s="1101"/>
      <c r="S960" s="1101"/>
      <c r="T960" s="1101"/>
      <c r="U960" s="1101"/>
      <c r="V960" s="1101"/>
      <c r="W960" s="1101"/>
      <c r="X960" s="1101"/>
      <c r="Y960" s="1102"/>
      <c r="Z960" s="1102"/>
      <c r="AA960" s="1101"/>
    </row>
    <row r="961" ht="15.75" customHeight="1">
      <c r="A961" s="213"/>
      <c r="B961" s="213"/>
      <c r="C961" s="1101"/>
      <c r="D961" s="1101"/>
      <c r="E961" s="1101"/>
      <c r="F961" s="1101"/>
      <c r="G961" s="1101"/>
      <c r="H961" s="1101"/>
      <c r="I961" s="1101"/>
      <c r="J961" s="1101"/>
      <c r="K961" s="1101"/>
      <c r="L961" s="1101"/>
      <c r="M961" s="1101"/>
      <c r="N961" s="1101"/>
      <c r="O961" s="1101"/>
      <c r="P961" s="1101"/>
      <c r="Q961" s="1101"/>
      <c r="R961" s="1101"/>
      <c r="S961" s="1101"/>
      <c r="T961" s="1101"/>
      <c r="U961" s="1101"/>
      <c r="V961" s="1101"/>
      <c r="W961" s="1101"/>
      <c r="X961" s="1101"/>
      <c r="Y961" s="1102"/>
      <c r="Z961" s="1102"/>
      <c r="AA961" s="1101"/>
    </row>
    <row r="962" ht="15.75" customHeight="1">
      <c r="A962" s="213"/>
      <c r="B962" s="213"/>
      <c r="C962" s="1101"/>
      <c r="D962" s="1101"/>
      <c r="E962" s="1101"/>
      <c r="F962" s="1101"/>
      <c r="G962" s="1101"/>
      <c r="H962" s="1101"/>
      <c r="I962" s="1101"/>
      <c r="J962" s="1101"/>
      <c r="K962" s="1101"/>
      <c r="L962" s="1101"/>
      <c r="M962" s="1101"/>
      <c r="N962" s="1101"/>
      <c r="O962" s="1101"/>
      <c r="P962" s="1101"/>
      <c r="Q962" s="1101"/>
      <c r="R962" s="1101"/>
      <c r="S962" s="1101"/>
      <c r="T962" s="1101"/>
      <c r="U962" s="1101"/>
      <c r="V962" s="1101"/>
      <c r="W962" s="1101"/>
      <c r="X962" s="1101"/>
      <c r="Y962" s="1102"/>
      <c r="Z962" s="1102"/>
      <c r="AA962" s="1101"/>
    </row>
    <row r="963" ht="15.75" customHeight="1">
      <c r="A963" s="213"/>
      <c r="B963" s="213"/>
      <c r="C963" s="1101"/>
      <c r="D963" s="1101"/>
      <c r="E963" s="1101"/>
      <c r="F963" s="1101"/>
      <c r="G963" s="1101"/>
      <c r="H963" s="1101"/>
      <c r="I963" s="1101"/>
      <c r="J963" s="1101"/>
      <c r="K963" s="1101"/>
      <c r="L963" s="1101"/>
      <c r="M963" s="1101"/>
      <c r="N963" s="1101"/>
      <c r="O963" s="1101"/>
      <c r="P963" s="1101"/>
      <c r="Q963" s="1101"/>
      <c r="R963" s="1101"/>
      <c r="S963" s="1101"/>
      <c r="T963" s="1101"/>
      <c r="U963" s="1101"/>
      <c r="V963" s="1101"/>
      <c r="W963" s="1101"/>
      <c r="X963" s="1101"/>
      <c r="Y963" s="1102"/>
      <c r="Z963" s="1102"/>
      <c r="AA963" s="1101"/>
    </row>
    <row r="964" ht="15.75" customHeight="1">
      <c r="A964" s="213"/>
      <c r="B964" s="213"/>
      <c r="C964" s="1101"/>
      <c r="D964" s="1101"/>
      <c r="E964" s="1101"/>
      <c r="F964" s="1101"/>
      <c r="G964" s="1101"/>
      <c r="H964" s="1101"/>
      <c r="I964" s="1101"/>
      <c r="J964" s="1101"/>
      <c r="K964" s="1101"/>
      <c r="L964" s="1101"/>
      <c r="M964" s="1101"/>
      <c r="N964" s="1101"/>
      <c r="O964" s="1101"/>
      <c r="P964" s="1101"/>
      <c r="Q964" s="1101"/>
      <c r="R964" s="1101"/>
      <c r="S964" s="1101"/>
      <c r="T964" s="1101"/>
      <c r="U964" s="1101"/>
      <c r="V964" s="1101"/>
      <c r="W964" s="1101"/>
      <c r="X964" s="1101"/>
      <c r="Y964" s="1102"/>
      <c r="Z964" s="1102"/>
      <c r="AA964" s="1101"/>
    </row>
    <row r="965" ht="15.75" customHeight="1">
      <c r="A965" s="213"/>
      <c r="B965" s="213"/>
      <c r="C965" s="1101"/>
      <c r="D965" s="1101"/>
      <c r="E965" s="1101"/>
      <c r="F965" s="1101"/>
      <c r="G965" s="1101"/>
      <c r="H965" s="1101"/>
      <c r="I965" s="1101"/>
      <c r="J965" s="1101"/>
      <c r="K965" s="1101"/>
      <c r="L965" s="1101"/>
      <c r="M965" s="1101"/>
      <c r="N965" s="1101"/>
      <c r="O965" s="1101"/>
      <c r="P965" s="1101"/>
      <c r="Q965" s="1101"/>
      <c r="R965" s="1101"/>
      <c r="S965" s="1101"/>
      <c r="T965" s="1101"/>
      <c r="U965" s="1101"/>
      <c r="V965" s="1101"/>
      <c r="W965" s="1101"/>
      <c r="X965" s="1101"/>
      <c r="Y965" s="1102"/>
      <c r="Z965" s="1102"/>
      <c r="AA965" s="1101"/>
    </row>
    <row r="966" ht="15.75" customHeight="1">
      <c r="A966" s="213"/>
      <c r="B966" s="213"/>
      <c r="C966" s="1101"/>
      <c r="D966" s="1101"/>
      <c r="E966" s="1101"/>
      <c r="F966" s="1101"/>
      <c r="G966" s="1101"/>
      <c r="H966" s="1101"/>
      <c r="I966" s="1101"/>
      <c r="J966" s="1101"/>
      <c r="K966" s="1101"/>
      <c r="L966" s="1101"/>
      <c r="M966" s="1101"/>
      <c r="N966" s="1101"/>
      <c r="O966" s="1101"/>
      <c r="P966" s="1101"/>
      <c r="Q966" s="1101"/>
      <c r="R966" s="1101"/>
      <c r="S966" s="1101"/>
      <c r="T966" s="1101"/>
      <c r="U966" s="1101"/>
      <c r="V966" s="1101"/>
      <c r="W966" s="1101"/>
      <c r="X966" s="1101"/>
      <c r="Y966" s="1102"/>
      <c r="Z966" s="1102"/>
      <c r="AA966" s="1101"/>
    </row>
    <row r="967" ht="15.75" customHeight="1">
      <c r="A967" s="213"/>
      <c r="B967" s="213"/>
      <c r="C967" s="1101"/>
      <c r="D967" s="1101"/>
      <c r="E967" s="1101"/>
      <c r="F967" s="1101"/>
      <c r="G967" s="1101"/>
      <c r="H967" s="1101"/>
      <c r="I967" s="1101"/>
      <c r="J967" s="1101"/>
      <c r="K967" s="1101"/>
      <c r="L967" s="1101"/>
      <c r="M967" s="1101"/>
      <c r="N967" s="1101"/>
      <c r="O967" s="1101"/>
      <c r="P967" s="1101"/>
      <c r="Q967" s="1101"/>
      <c r="R967" s="1101"/>
      <c r="S967" s="1101"/>
      <c r="T967" s="1101"/>
      <c r="U967" s="1101"/>
      <c r="V967" s="1101"/>
      <c r="W967" s="1101"/>
      <c r="X967" s="1101"/>
      <c r="Y967" s="1102"/>
      <c r="Z967" s="1102"/>
      <c r="AA967" s="1101"/>
    </row>
    <row r="968" ht="15.75" customHeight="1">
      <c r="A968" s="213"/>
      <c r="B968" s="213"/>
      <c r="C968" s="1101"/>
      <c r="D968" s="1101"/>
      <c r="E968" s="1101"/>
      <c r="F968" s="1101"/>
      <c r="G968" s="1101"/>
      <c r="H968" s="1101"/>
      <c r="I968" s="1101"/>
      <c r="J968" s="1101"/>
      <c r="K968" s="1101"/>
      <c r="L968" s="1101"/>
      <c r="M968" s="1101"/>
      <c r="N968" s="1101"/>
      <c r="O968" s="1101"/>
      <c r="P968" s="1101"/>
      <c r="Q968" s="1101"/>
      <c r="R968" s="1101"/>
      <c r="S968" s="1101"/>
      <c r="T968" s="1101"/>
      <c r="U968" s="1101"/>
      <c r="V968" s="1101"/>
      <c r="W968" s="1101"/>
      <c r="X968" s="1101"/>
      <c r="Y968" s="1102"/>
      <c r="Z968" s="1102"/>
      <c r="AA968" s="1101"/>
    </row>
    <row r="969" ht="15.75" customHeight="1">
      <c r="A969" s="213"/>
      <c r="B969" s="213"/>
      <c r="C969" s="1101"/>
      <c r="D969" s="1101"/>
      <c r="E969" s="1101"/>
      <c r="F969" s="1101"/>
      <c r="G969" s="1101"/>
      <c r="H969" s="1101"/>
      <c r="I969" s="1101"/>
      <c r="J969" s="1101"/>
      <c r="K969" s="1101"/>
      <c r="L969" s="1101"/>
      <c r="M969" s="1101"/>
      <c r="N969" s="1101"/>
      <c r="O969" s="1101"/>
      <c r="P969" s="1101"/>
      <c r="Q969" s="1101"/>
      <c r="R969" s="1101"/>
      <c r="S969" s="1101"/>
      <c r="T969" s="1101"/>
      <c r="U969" s="1101"/>
      <c r="V969" s="1101"/>
      <c r="W969" s="1101"/>
      <c r="X969" s="1101"/>
      <c r="Y969" s="1102"/>
      <c r="Z969" s="1102"/>
      <c r="AA969" s="1101"/>
    </row>
    <row r="970" ht="15.75" customHeight="1">
      <c r="A970" s="213"/>
      <c r="B970" s="213"/>
      <c r="C970" s="1101"/>
      <c r="D970" s="1101"/>
      <c r="E970" s="1101"/>
      <c r="F970" s="1101"/>
      <c r="G970" s="1101"/>
      <c r="H970" s="1101"/>
      <c r="I970" s="1101"/>
      <c r="J970" s="1101"/>
      <c r="K970" s="1101"/>
      <c r="L970" s="1101"/>
      <c r="M970" s="1101"/>
      <c r="N970" s="1101"/>
      <c r="O970" s="1101"/>
      <c r="P970" s="1101"/>
      <c r="Q970" s="1101"/>
      <c r="R970" s="1101"/>
      <c r="S970" s="1101"/>
      <c r="T970" s="1101"/>
      <c r="U970" s="1101"/>
      <c r="V970" s="1101"/>
      <c r="W970" s="1101"/>
      <c r="X970" s="1101"/>
      <c r="Y970" s="1102"/>
      <c r="Z970" s="1102"/>
      <c r="AA970" s="1101"/>
    </row>
    <row r="971" ht="15.75" customHeight="1">
      <c r="A971" s="213"/>
      <c r="B971" s="213"/>
      <c r="C971" s="1101"/>
      <c r="D971" s="1101"/>
      <c r="E971" s="1101"/>
      <c r="F971" s="1101"/>
      <c r="G971" s="1101"/>
      <c r="H971" s="1101"/>
      <c r="I971" s="1101"/>
      <c r="J971" s="1101"/>
      <c r="K971" s="1101"/>
      <c r="L971" s="1101"/>
      <c r="M971" s="1101"/>
      <c r="N971" s="1101"/>
      <c r="O971" s="1101"/>
      <c r="P971" s="1101"/>
      <c r="Q971" s="1101"/>
      <c r="R971" s="1101"/>
      <c r="S971" s="1101"/>
      <c r="T971" s="1101"/>
      <c r="U971" s="1101"/>
      <c r="V971" s="1101"/>
      <c r="W971" s="1101"/>
      <c r="X971" s="1101"/>
      <c r="Y971" s="1102"/>
      <c r="Z971" s="1102"/>
      <c r="AA971" s="1101"/>
    </row>
    <row r="972" ht="15.75" customHeight="1">
      <c r="A972" s="213"/>
      <c r="B972" s="213"/>
      <c r="C972" s="1101"/>
      <c r="D972" s="1101"/>
      <c r="E972" s="1101"/>
      <c r="F972" s="1101"/>
      <c r="G972" s="1101"/>
      <c r="H972" s="1101"/>
      <c r="I972" s="1101"/>
      <c r="J972" s="1101"/>
      <c r="K972" s="1101"/>
      <c r="L972" s="1101"/>
      <c r="M972" s="1101"/>
      <c r="N972" s="1101"/>
      <c r="O972" s="1101"/>
      <c r="P972" s="1101"/>
      <c r="Q972" s="1101"/>
      <c r="R972" s="1101"/>
      <c r="S972" s="1101"/>
      <c r="T972" s="1101"/>
      <c r="U972" s="1101"/>
      <c r="V972" s="1101"/>
      <c r="W972" s="1101"/>
      <c r="X972" s="1101"/>
      <c r="Y972" s="1102"/>
      <c r="Z972" s="1102"/>
      <c r="AA972" s="1101"/>
    </row>
    <row r="973" ht="15.75" customHeight="1">
      <c r="A973" s="213"/>
      <c r="B973" s="213"/>
      <c r="C973" s="1101"/>
      <c r="D973" s="1101"/>
      <c r="E973" s="1101"/>
      <c r="F973" s="1101"/>
      <c r="G973" s="1101"/>
      <c r="H973" s="1101"/>
      <c r="I973" s="1101"/>
      <c r="J973" s="1101"/>
      <c r="K973" s="1101"/>
      <c r="L973" s="1101"/>
      <c r="M973" s="1101"/>
      <c r="N973" s="1101"/>
      <c r="O973" s="1101"/>
      <c r="P973" s="1101"/>
      <c r="Q973" s="1101"/>
      <c r="R973" s="1101"/>
      <c r="S973" s="1101"/>
      <c r="T973" s="1101"/>
      <c r="U973" s="1101"/>
      <c r="V973" s="1101"/>
      <c r="W973" s="1101"/>
      <c r="X973" s="1101"/>
      <c r="Y973" s="1102"/>
      <c r="Z973" s="1102"/>
      <c r="AA973" s="1101"/>
    </row>
    <row r="974" ht="15.75" customHeight="1">
      <c r="A974" s="213"/>
      <c r="B974" s="213"/>
      <c r="C974" s="1101"/>
      <c r="D974" s="1101"/>
      <c r="E974" s="1101"/>
      <c r="F974" s="1101"/>
      <c r="G974" s="1101"/>
      <c r="H974" s="1101"/>
      <c r="I974" s="1101"/>
      <c r="J974" s="1101"/>
      <c r="K974" s="1101"/>
      <c r="L974" s="1101"/>
      <c r="M974" s="1101"/>
      <c r="N974" s="1101"/>
      <c r="O974" s="1101"/>
      <c r="P974" s="1101"/>
      <c r="Q974" s="1101"/>
      <c r="R974" s="1101"/>
      <c r="S974" s="1101"/>
      <c r="T974" s="1101"/>
      <c r="U974" s="1101"/>
      <c r="V974" s="1101"/>
      <c r="W974" s="1101"/>
      <c r="X974" s="1101"/>
      <c r="Y974" s="1102"/>
      <c r="Z974" s="1102"/>
      <c r="AA974" s="1101"/>
    </row>
    <row r="975" ht="15.75" customHeight="1">
      <c r="A975" s="213"/>
      <c r="B975" s="213"/>
      <c r="C975" s="1101"/>
      <c r="D975" s="1101"/>
      <c r="E975" s="1101"/>
      <c r="F975" s="1101"/>
      <c r="G975" s="1101"/>
      <c r="H975" s="1101"/>
      <c r="I975" s="1101"/>
      <c r="J975" s="1101"/>
      <c r="K975" s="1101"/>
      <c r="L975" s="1101"/>
      <c r="M975" s="1101"/>
      <c r="N975" s="1101"/>
      <c r="O975" s="1101"/>
      <c r="P975" s="1101"/>
      <c r="Q975" s="1101"/>
      <c r="R975" s="1101"/>
      <c r="S975" s="1101"/>
      <c r="T975" s="1101"/>
      <c r="U975" s="1101"/>
      <c r="V975" s="1101"/>
      <c r="W975" s="1101"/>
      <c r="X975" s="1101"/>
      <c r="Y975" s="1102"/>
      <c r="Z975" s="1102"/>
      <c r="AA975" s="1101"/>
    </row>
    <row r="976" ht="15.75" customHeight="1">
      <c r="A976" s="213"/>
      <c r="B976" s="213"/>
      <c r="C976" s="1101"/>
      <c r="D976" s="1101"/>
      <c r="E976" s="1101"/>
      <c r="F976" s="1101"/>
      <c r="G976" s="1101"/>
      <c r="H976" s="1101"/>
      <c r="I976" s="1101"/>
      <c r="J976" s="1101"/>
      <c r="K976" s="1101"/>
      <c r="L976" s="1101"/>
      <c r="M976" s="1101"/>
      <c r="N976" s="1101"/>
      <c r="O976" s="1101"/>
      <c r="P976" s="1101"/>
      <c r="Q976" s="1101"/>
      <c r="R976" s="1101"/>
      <c r="S976" s="1101"/>
      <c r="T976" s="1101"/>
      <c r="U976" s="1101"/>
      <c r="V976" s="1101"/>
      <c r="W976" s="1101"/>
      <c r="X976" s="1101"/>
      <c r="Y976" s="1102"/>
      <c r="Z976" s="1102"/>
      <c r="AA976" s="1101"/>
    </row>
    <row r="977" ht="15.75" customHeight="1">
      <c r="A977" s="213"/>
      <c r="B977" s="213"/>
      <c r="C977" s="1101"/>
      <c r="D977" s="1101"/>
      <c r="E977" s="1101"/>
      <c r="F977" s="1101"/>
      <c r="G977" s="1101"/>
      <c r="H977" s="1101"/>
      <c r="I977" s="1101"/>
      <c r="J977" s="1101"/>
      <c r="K977" s="1101"/>
      <c r="L977" s="1101"/>
      <c r="M977" s="1101"/>
      <c r="N977" s="1101"/>
      <c r="O977" s="1101"/>
      <c r="P977" s="1101"/>
      <c r="Q977" s="1101"/>
      <c r="R977" s="1101"/>
      <c r="S977" s="1101"/>
      <c r="T977" s="1101"/>
      <c r="U977" s="1101"/>
      <c r="V977" s="1101"/>
      <c r="W977" s="1101"/>
      <c r="X977" s="1101"/>
      <c r="Y977" s="1102"/>
      <c r="Z977" s="1102"/>
      <c r="AA977" s="1101"/>
    </row>
    <row r="978" ht="15.75" customHeight="1">
      <c r="A978" s="213"/>
      <c r="B978" s="213"/>
      <c r="C978" s="1101"/>
      <c r="D978" s="1101"/>
      <c r="E978" s="1101"/>
      <c r="F978" s="1101"/>
      <c r="G978" s="1101"/>
      <c r="H978" s="1101"/>
      <c r="I978" s="1101"/>
      <c r="J978" s="1101"/>
      <c r="K978" s="1101"/>
      <c r="L978" s="1101"/>
      <c r="M978" s="1101"/>
      <c r="N978" s="1101"/>
      <c r="O978" s="1101"/>
      <c r="P978" s="1101"/>
      <c r="Q978" s="1101"/>
      <c r="R978" s="1101"/>
      <c r="S978" s="1101"/>
      <c r="T978" s="1101"/>
      <c r="U978" s="1101"/>
      <c r="V978" s="1101"/>
      <c r="W978" s="1101"/>
      <c r="X978" s="1101"/>
      <c r="Y978" s="1102"/>
      <c r="Z978" s="1102"/>
      <c r="AA978" s="1101"/>
    </row>
    <row r="979" ht="15.75" customHeight="1">
      <c r="A979" s="213"/>
      <c r="B979" s="213"/>
      <c r="C979" s="1101"/>
      <c r="D979" s="1101"/>
      <c r="E979" s="1101"/>
      <c r="F979" s="1101"/>
      <c r="G979" s="1101"/>
      <c r="H979" s="1101"/>
      <c r="I979" s="1101"/>
      <c r="J979" s="1101"/>
      <c r="K979" s="1101"/>
      <c r="L979" s="1101"/>
      <c r="M979" s="1101"/>
      <c r="N979" s="1101"/>
      <c r="O979" s="1101"/>
      <c r="P979" s="1101"/>
      <c r="Q979" s="1101"/>
      <c r="R979" s="1101"/>
      <c r="S979" s="1101"/>
      <c r="T979" s="1101"/>
      <c r="U979" s="1101"/>
      <c r="V979" s="1101"/>
      <c r="W979" s="1101"/>
      <c r="X979" s="1101"/>
      <c r="Y979" s="1102"/>
      <c r="Z979" s="1102"/>
      <c r="AA979" s="1101"/>
    </row>
    <row r="980" ht="15.75" customHeight="1">
      <c r="A980" s="213"/>
      <c r="B980" s="213"/>
      <c r="C980" s="1101"/>
      <c r="D980" s="1101"/>
      <c r="E980" s="1101"/>
      <c r="F980" s="1101"/>
      <c r="G980" s="1101"/>
      <c r="H980" s="1101"/>
      <c r="I980" s="1101"/>
      <c r="J980" s="1101"/>
      <c r="K980" s="1101"/>
      <c r="L980" s="1101"/>
      <c r="M980" s="1101"/>
      <c r="N980" s="1101"/>
      <c r="O980" s="1101"/>
      <c r="P980" s="1101"/>
      <c r="Q980" s="1101"/>
      <c r="R980" s="1101"/>
      <c r="S980" s="1101"/>
      <c r="T980" s="1101"/>
      <c r="U980" s="1101"/>
      <c r="V980" s="1101"/>
      <c r="W980" s="1101"/>
      <c r="X980" s="1101"/>
      <c r="Y980" s="1102"/>
      <c r="Z980" s="1102"/>
      <c r="AA980" s="1101"/>
    </row>
    <row r="981" ht="15.75" customHeight="1">
      <c r="A981" s="213"/>
      <c r="B981" s="213"/>
      <c r="C981" s="1101"/>
      <c r="D981" s="1101"/>
      <c r="E981" s="1101"/>
      <c r="F981" s="1101"/>
      <c r="G981" s="1101"/>
      <c r="H981" s="1101"/>
      <c r="I981" s="1101"/>
      <c r="J981" s="1101"/>
      <c r="K981" s="1101"/>
      <c r="L981" s="1101"/>
      <c r="M981" s="1101"/>
      <c r="N981" s="1101"/>
      <c r="O981" s="1101"/>
      <c r="P981" s="1101"/>
      <c r="Q981" s="1101"/>
      <c r="R981" s="1101"/>
      <c r="S981" s="1101"/>
      <c r="T981" s="1101"/>
      <c r="U981" s="1101"/>
      <c r="V981" s="1101"/>
      <c r="W981" s="1101"/>
      <c r="X981" s="1101"/>
      <c r="Y981" s="1102"/>
      <c r="Z981" s="1102"/>
      <c r="AA981" s="1101"/>
    </row>
    <row r="982" ht="15.75" customHeight="1">
      <c r="A982" s="213"/>
      <c r="B982" s="213"/>
      <c r="C982" s="1101"/>
      <c r="D982" s="1101"/>
      <c r="E982" s="1101"/>
      <c r="F982" s="1101"/>
      <c r="G982" s="1101"/>
      <c r="H982" s="1101"/>
      <c r="I982" s="1101"/>
      <c r="J982" s="1101"/>
      <c r="K982" s="1101"/>
      <c r="L982" s="1101"/>
      <c r="M982" s="1101"/>
      <c r="N982" s="1101"/>
      <c r="O982" s="1101"/>
      <c r="P982" s="1101"/>
      <c r="Q982" s="1101"/>
      <c r="R982" s="1101"/>
      <c r="S982" s="1101"/>
      <c r="T982" s="1101"/>
      <c r="U982" s="1101"/>
      <c r="V982" s="1101"/>
      <c r="W982" s="1101"/>
      <c r="X982" s="1101"/>
      <c r="Y982" s="1102"/>
      <c r="Z982" s="1102"/>
      <c r="AA982" s="1101"/>
    </row>
    <row r="983" ht="15.75" customHeight="1">
      <c r="A983" s="213"/>
      <c r="B983" s="213"/>
      <c r="C983" s="1101"/>
      <c r="D983" s="1101"/>
      <c r="E983" s="1101"/>
      <c r="F983" s="1101"/>
      <c r="G983" s="1101"/>
      <c r="H983" s="1101"/>
      <c r="I983" s="1101"/>
      <c r="J983" s="1101"/>
      <c r="K983" s="1101"/>
      <c r="L983" s="1101"/>
      <c r="M983" s="1101"/>
      <c r="N983" s="1101"/>
      <c r="O983" s="1101"/>
      <c r="P983" s="1101"/>
      <c r="Q983" s="1101"/>
      <c r="R983" s="1101"/>
      <c r="S983" s="1101"/>
      <c r="T983" s="1101"/>
      <c r="U983" s="1101"/>
      <c r="V983" s="1101"/>
      <c r="W983" s="1101"/>
      <c r="X983" s="1101"/>
      <c r="Y983" s="1102"/>
      <c r="Z983" s="1102"/>
      <c r="AA983" s="1101"/>
    </row>
    <row r="984" ht="15.75" customHeight="1">
      <c r="A984" s="213"/>
      <c r="B984" s="213"/>
      <c r="C984" s="1101"/>
      <c r="D984" s="1101"/>
      <c r="E984" s="1101"/>
      <c r="F984" s="1101"/>
      <c r="G984" s="1101"/>
      <c r="H984" s="1101"/>
      <c r="I984" s="1101"/>
      <c r="J984" s="1101"/>
      <c r="K984" s="1101"/>
      <c r="L984" s="1101"/>
      <c r="M984" s="1101"/>
      <c r="N984" s="1101"/>
      <c r="O984" s="1101"/>
      <c r="P984" s="1101"/>
      <c r="Q984" s="1101"/>
      <c r="R984" s="1101"/>
      <c r="S984" s="1101"/>
      <c r="T984" s="1101"/>
      <c r="U984" s="1101"/>
      <c r="V984" s="1101"/>
      <c r="W984" s="1101"/>
      <c r="X984" s="1101"/>
      <c r="Y984" s="1102"/>
      <c r="Z984" s="1102"/>
      <c r="AA984" s="1101"/>
    </row>
    <row r="985" ht="15.75" customHeight="1">
      <c r="A985" s="213"/>
      <c r="B985" s="213"/>
      <c r="C985" s="1101"/>
      <c r="D985" s="1101"/>
      <c r="E985" s="1101"/>
      <c r="F985" s="1101"/>
      <c r="G985" s="1101"/>
      <c r="H985" s="1101"/>
      <c r="I985" s="1101"/>
      <c r="J985" s="1101"/>
      <c r="K985" s="1101"/>
      <c r="L985" s="1101"/>
      <c r="M985" s="1101"/>
      <c r="N985" s="1101"/>
      <c r="O985" s="1101"/>
      <c r="P985" s="1101"/>
      <c r="Q985" s="1101"/>
      <c r="R985" s="1101"/>
      <c r="S985" s="1101"/>
      <c r="T985" s="1101"/>
      <c r="U985" s="1101"/>
      <c r="V985" s="1101"/>
      <c r="W985" s="1101"/>
      <c r="X985" s="1101"/>
      <c r="Y985" s="1102"/>
      <c r="Z985" s="1102"/>
      <c r="AA985" s="1101"/>
    </row>
    <row r="986" ht="15.75" customHeight="1">
      <c r="A986" s="213"/>
      <c r="B986" s="213"/>
      <c r="C986" s="1101"/>
      <c r="D986" s="1101"/>
      <c r="E986" s="1101"/>
      <c r="F986" s="1101"/>
      <c r="G986" s="1101"/>
      <c r="H986" s="1101"/>
      <c r="I986" s="1101"/>
      <c r="J986" s="1101"/>
      <c r="K986" s="1101"/>
      <c r="L986" s="1101"/>
      <c r="M986" s="1101"/>
      <c r="N986" s="1101"/>
      <c r="O986" s="1101"/>
      <c r="P986" s="1101"/>
      <c r="Q986" s="1101"/>
      <c r="R986" s="1101"/>
      <c r="S986" s="1101"/>
      <c r="T986" s="1101"/>
      <c r="U986" s="1101"/>
      <c r="V986" s="1101"/>
      <c r="W986" s="1101"/>
      <c r="X986" s="1101"/>
      <c r="Y986" s="1102"/>
      <c r="Z986" s="1102"/>
      <c r="AA986" s="1101"/>
    </row>
    <row r="987" ht="15.75" customHeight="1">
      <c r="A987" s="213"/>
      <c r="B987" s="213"/>
      <c r="C987" s="1101"/>
      <c r="D987" s="1101"/>
      <c r="E987" s="1101"/>
      <c r="F987" s="1101"/>
      <c r="G987" s="1101"/>
      <c r="H987" s="1101"/>
      <c r="I987" s="1101"/>
      <c r="J987" s="1101"/>
      <c r="K987" s="1101"/>
      <c r="L987" s="1101"/>
      <c r="M987" s="1101"/>
      <c r="N987" s="1101"/>
      <c r="O987" s="1101"/>
      <c r="P987" s="1101"/>
      <c r="Q987" s="1101"/>
      <c r="R987" s="1101"/>
      <c r="S987" s="1101"/>
      <c r="T987" s="1101"/>
      <c r="U987" s="1101"/>
      <c r="V987" s="1101"/>
      <c r="W987" s="1101"/>
      <c r="X987" s="1101"/>
      <c r="Y987" s="1102"/>
      <c r="Z987" s="1102"/>
      <c r="AA987" s="1101"/>
    </row>
    <row r="988" ht="15.75" customHeight="1">
      <c r="A988" s="213"/>
      <c r="B988" s="213"/>
      <c r="C988" s="1101"/>
      <c r="D988" s="1101"/>
      <c r="E988" s="1101"/>
      <c r="F988" s="1101"/>
      <c r="G988" s="1101"/>
      <c r="H988" s="1101"/>
      <c r="I988" s="1101"/>
      <c r="J988" s="1101"/>
      <c r="K988" s="1101"/>
      <c r="L988" s="1101"/>
      <c r="M988" s="1101"/>
      <c r="N988" s="1101"/>
      <c r="O988" s="1101"/>
      <c r="P988" s="1101"/>
      <c r="Q988" s="1101"/>
      <c r="R988" s="1101"/>
      <c r="S988" s="1101"/>
      <c r="T988" s="1101"/>
      <c r="U988" s="1101"/>
      <c r="V988" s="1101"/>
      <c r="W988" s="1101"/>
      <c r="X988" s="1101"/>
      <c r="Y988" s="1102"/>
      <c r="Z988" s="1102"/>
      <c r="AA988" s="1101"/>
    </row>
    <row r="989" ht="15.75" customHeight="1">
      <c r="A989" s="213"/>
      <c r="B989" s="213"/>
      <c r="C989" s="1101"/>
      <c r="D989" s="1101"/>
      <c r="E989" s="1101"/>
      <c r="F989" s="1101"/>
      <c r="G989" s="1101"/>
      <c r="H989" s="1101"/>
      <c r="I989" s="1101"/>
      <c r="J989" s="1101"/>
      <c r="K989" s="1101"/>
      <c r="L989" s="1101"/>
      <c r="M989" s="1101"/>
      <c r="N989" s="1101"/>
      <c r="O989" s="1101"/>
      <c r="P989" s="1101"/>
      <c r="Q989" s="1101"/>
      <c r="R989" s="1101"/>
      <c r="S989" s="1101"/>
      <c r="T989" s="1101"/>
      <c r="U989" s="1101"/>
      <c r="V989" s="1101"/>
      <c r="W989" s="1101"/>
      <c r="X989" s="1101"/>
      <c r="Y989" s="1102"/>
      <c r="Z989" s="1102"/>
      <c r="AA989" s="1101"/>
    </row>
    <row r="990" ht="15.75" customHeight="1">
      <c r="A990" s="213"/>
      <c r="B990" s="213"/>
      <c r="C990" s="1101"/>
      <c r="D990" s="1101"/>
      <c r="E990" s="1101"/>
      <c r="F990" s="1101"/>
      <c r="G990" s="1101"/>
      <c r="H990" s="1101"/>
      <c r="I990" s="1101"/>
      <c r="J990" s="1101"/>
      <c r="K990" s="1101"/>
      <c r="L990" s="1101"/>
      <c r="M990" s="1101"/>
      <c r="N990" s="1101"/>
      <c r="O990" s="1101"/>
      <c r="P990" s="1101"/>
      <c r="Q990" s="1101"/>
      <c r="R990" s="1101"/>
      <c r="S990" s="1101"/>
      <c r="T990" s="1101"/>
      <c r="U990" s="1101"/>
      <c r="V990" s="1101"/>
      <c r="W990" s="1101"/>
      <c r="X990" s="1101"/>
      <c r="Y990" s="1102"/>
      <c r="Z990" s="1102"/>
      <c r="AA990" s="1101"/>
    </row>
    <row r="991" ht="15.75" customHeight="1">
      <c r="A991" s="213"/>
      <c r="B991" s="213"/>
      <c r="C991" s="1101"/>
      <c r="D991" s="1101"/>
      <c r="E991" s="1101"/>
      <c r="F991" s="1101"/>
      <c r="G991" s="1101"/>
      <c r="H991" s="1101"/>
      <c r="I991" s="1101"/>
      <c r="J991" s="1101"/>
      <c r="K991" s="1101"/>
      <c r="L991" s="1101"/>
      <c r="M991" s="1101"/>
      <c r="N991" s="1101"/>
      <c r="O991" s="1101"/>
      <c r="P991" s="1101"/>
      <c r="Q991" s="1101"/>
      <c r="R991" s="1101"/>
      <c r="S991" s="1101"/>
      <c r="T991" s="1101"/>
      <c r="U991" s="1101"/>
      <c r="V991" s="1101"/>
      <c r="W991" s="1101"/>
      <c r="X991" s="1101"/>
      <c r="Y991" s="1102"/>
      <c r="Z991" s="1102"/>
      <c r="AA991" s="1101"/>
    </row>
    <row r="992" ht="15.75" customHeight="1">
      <c r="A992" s="213"/>
      <c r="B992" s="213"/>
      <c r="C992" s="1101"/>
      <c r="D992" s="1101"/>
      <c r="E992" s="1101"/>
      <c r="F992" s="1101"/>
      <c r="G992" s="1101"/>
      <c r="H992" s="1101"/>
      <c r="I992" s="1101"/>
      <c r="J992" s="1101"/>
      <c r="K992" s="1101"/>
      <c r="L992" s="1101"/>
      <c r="M992" s="1101"/>
      <c r="N992" s="1101"/>
      <c r="O992" s="1101"/>
      <c r="P992" s="1101"/>
      <c r="Q992" s="1101"/>
      <c r="R992" s="1101"/>
      <c r="S992" s="1101"/>
      <c r="T992" s="1101"/>
      <c r="U992" s="1101"/>
      <c r="V992" s="1101"/>
      <c r="W992" s="1101"/>
      <c r="X992" s="1101"/>
      <c r="Y992" s="1102"/>
      <c r="Z992" s="1102"/>
      <c r="AA992" s="1101"/>
    </row>
    <row r="993" ht="15.75" customHeight="1">
      <c r="A993" s="213"/>
      <c r="B993" s="213"/>
      <c r="C993" s="1101"/>
      <c r="D993" s="1101"/>
      <c r="E993" s="1101"/>
      <c r="F993" s="1101"/>
      <c r="G993" s="1101"/>
      <c r="H993" s="1101"/>
      <c r="I993" s="1101"/>
      <c r="J993" s="1101"/>
      <c r="K993" s="1101"/>
      <c r="L993" s="1101"/>
      <c r="M993" s="1101"/>
      <c r="N993" s="1101"/>
      <c r="O993" s="1101"/>
      <c r="P993" s="1101"/>
      <c r="Q993" s="1101"/>
      <c r="R993" s="1101"/>
      <c r="S993" s="1101"/>
      <c r="T993" s="1101"/>
      <c r="U993" s="1101"/>
      <c r="V993" s="1101"/>
      <c r="W993" s="1101"/>
      <c r="X993" s="1101"/>
      <c r="Y993" s="1102"/>
      <c r="Z993" s="1102"/>
      <c r="AA993" s="1101"/>
    </row>
    <row r="994" ht="15.75" customHeight="1">
      <c r="A994" s="213"/>
      <c r="B994" s="213"/>
      <c r="C994" s="1101"/>
      <c r="D994" s="1101"/>
      <c r="E994" s="1101"/>
      <c r="F994" s="1101"/>
      <c r="G994" s="1101"/>
      <c r="H994" s="1101"/>
      <c r="I994" s="1101"/>
      <c r="J994" s="1101"/>
      <c r="K994" s="1101"/>
      <c r="L994" s="1101"/>
      <c r="M994" s="1101"/>
      <c r="N994" s="1101"/>
      <c r="O994" s="1101"/>
      <c r="P994" s="1101"/>
      <c r="Q994" s="1101"/>
      <c r="R994" s="1101"/>
      <c r="S994" s="1101"/>
      <c r="T994" s="1101"/>
      <c r="U994" s="1101"/>
      <c r="V994" s="1101"/>
      <c r="W994" s="1101"/>
      <c r="X994" s="1101"/>
      <c r="Y994" s="1102"/>
      <c r="Z994" s="1102"/>
      <c r="AA994" s="1101"/>
    </row>
    <row r="995" ht="15.75" customHeight="1">
      <c r="A995" s="213"/>
      <c r="B995" s="213"/>
      <c r="C995" s="1101"/>
      <c r="D995" s="1101"/>
      <c r="E995" s="1101"/>
      <c r="F995" s="1101"/>
      <c r="G995" s="1101"/>
      <c r="H995" s="1101"/>
      <c r="I995" s="1101"/>
      <c r="J995" s="1101"/>
      <c r="K995" s="1101"/>
      <c r="L995" s="1101"/>
      <c r="M995" s="1101"/>
      <c r="N995" s="1101"/>
      <c r="O995" s="1101"/>
      <c r="P995" s="1101"/>
      <c r="Q995" s="1101"/>
      <c r="R995" s="1101"/>
      <c r="S995" s="1101"/>
      <c r="T995" s="1101"/>
      <c r="U995" s="1101"/>
      <c r="V995" s="1101"/>
      <c r="W995" s="1101"/>
      <c r="X995" s="1101"/>
      <c r="Y995" s="1102"/>
      <c r="Z995" s="1102"/>
      <c r="AA995" s="1101"/>
    </row>
    <row r="996" ht="15.75" customHeight="1">
      <c r="A996" s="213"/>
      <c r="B996" s="213"/>
      <c r="C996" s="1101"/>
      <c r="D996" s="1101"/>
      <c r="E996" s="1101"/>
      <c r="F996" s="1101"/>
      <c r="G996" s="1101"/>
      <c r="H996" s="1101"/>
      <c r="I996" s="1101"/>
      <c r="J996" s="1101"/>
      <c r="K996" s="1101"/>
      <c r="L996" s="1101"/>
      <c r="M996" s="1101"/>
      <c r="N996" s="1101"/>
      <c r="O996" s="1101"/>
      <c r="P996" s="1101"/>
      <c r="Q996" s="1101"/>
      <c r="R996" s="1101"/>
      <c r="S996" s="1101"/>
      <c r="T996" s="1101"/>
      <c r="U996" s="1101"/>
      <c r="V996" s="1101"/>
      <c r="W996" s="1101"/>
      <c r="X996" s="1101"/>
      <c r="Y996" s="1102"/>
      <c r="Z996" s="1102"/>
      <c r="AA996" s="1101"/>
    </row>
    <row r="997" ht="15.75" customHeight="1">
      <c r="A997" s="213"/>
      <c r="B997" s="213"/>
      <c r="C997" s="1101"/>
      <c r="D997" s="1101"/>
      <c r="E997" s="1101"/>
      <c r="F997" s="1101"/>
      <c r="G997" s="1101"/>
      <c r="H997" s="1101"/>
      <c r="I997" s="1101"/>
      <c r="J997" s="1101"/>
      <c r="K997" s="1101"/>
      <c r="L997" s="1101"/>
      <c r="M997" s="1101"/>
      <c r="N997" s="1101"/>
      <c r="O997" s="1101"/>
      <c r="P997" s="1101"/>
      <c r="Q997" s="1101"/>
      <c r="R997" s="1101"/>
      <c r="S997" s="1101"/>
      <c r="T997" s="1101"/>
      <c r="U997" s="1101"/>
      <c r="V997" s="1101"/>
      <c r="W997" s="1101"/>
      <c r="X997" s="1101"/>
      <c r="Y997" s="1102"/>
      <c r="Z997" s="1102"/>
      <c r="AA997" s="1101"/>
    </row>
    <row r="998" ht="15.75" customHeight="1">
      <c r="A998" s="213"/>
      <c r="B998" s="213"/>
      <c r="C998" s="1101"/>
      <c r="D998" s="1101"/>
      <c r="E998" s="1101"/>
      <c r="F998" s="1101"/>
      <c r="G998" s="1101"/>
      <c r="H998" s="1101"/>
      <c r="I998" s="1101"/>
      <c r="J998" s="1101"/>
      <c r="K998" s="1101"/>
      <c r="L998" s="1101"/>
      <c r="M998" s="1101"/>
      <c r="N998" s="1101"/>
      <c r="O998" s="1101"/>
      <c r="P998" s="1101"/>
      <c r="Q998" s="1101"/>
      <c r="R998" s="1101"/>
      <c r="S998" s="1101"/>
      <c r="T998" s="1101"/>
      <c r="U998" s="1101"/>
      <c r="V998" s="1101"/>
      <c r="W998" s="1101"/>
      <c r="X998" s="1101"/>
      <c r="Y998" s="1102"/>
      <c r="Z998" s="1102"/>
      <c r="AA998" s="1101"/>
    </row>
    <row r="999" ht="15.75" customHeight="1">
      <c r="A999" s="213"/>
      <c r="B999" s="213"/>
      <c r="C999" s="1101"/>
      <c r="D999" s="1101"/>
      <c r="E999" s="1101"/>
      <c r="F999" s="1101"/>
      <c r="G999" s="1101"/>
      <c r="H999" s="1101"/>
      <c r="I999" s="1101"/>
      <c r="J999" s="1101"/>
      <c r="K999" s="1101"/>
      <c r="L999" s="1101"/>
      <c r="M999" s="1101"/>
      <c r="N999" s="1101"/>
      <c r="O999" s="1101"/>
      <c r="P999" s="1101"/>
      <c r="Q999" s="1101"/>
      <c r="R999" s="1101"/>
      <c r="S999" s="1101"/>
      <c r="T999" s="1101"/>
      <c r="U999" s="1101"/>
      <c r="V999" s="1101"/>
      <c r="W999" s="1101"/>
      <c r="X999" s="1101"/>
      <c r="Y999" s="1102"/>
      <c r="Z999" s="1102"/>
      <c r="AA999" s="1101"/>
    </row>
    <row r="1000" ht="15.75" customHeight="1">
      <c r="A1000" s="213"/>
      <c r="B1000" s="213"/>
      <c r="C1000" s="1101"/>
      <c r="D1000" s="1101"/>
      <c r="E1000" s="1101"/>
      <c r="F1000" s="1101"/>
      <c r="G1000" s="1101"/>
      <c r="H1000" s="1101"/>
      <c r="I1000" s="1101"/>
      <c r="J1000" s="1101"/>
      <c r="K1000" s="1101"/>
      <c r="L1000" s="1101"/>
      <c r="M1000" s="1101"/>
      <c r="N1000" s="1101"/>
      <c r="O1000" s="1101"/>
      <c r="P1000" s="1101"/>
      <c r="Q1000" s="1101"/>
      <c r="R1000" s="1101"/>
      <c r="S1000" s="1101"/>
      <c r="T1000" s="1101"/>
      <c r="U1000" s="1101"/>
      <c r="V1000" s="1101"/>
      <c r="W1000" s="1101"/>
      <c r="X1000" s="1101"/>
      <c r="Y1000" s="1102"/>
      <c r="Z1000" s="1102"/>
      <c r="AA1000" s="1101"/>
    </row>
  </sheetData>
  <mergeCells count="14">
    <mergeCell ref="Q5:R5"/>
    <mergeCell ref="S5:T5"/>
    <mergeCell ref="U5:V5"/>
    <mergeCell ref="W5:X5"/>
    <mergeCell ref="Y5:Y6"/>
    <mergeCell ref="Z5:Z6"/>
    <mergeCell ref="AA5:AA6"/>
    <mergeCell ref="C5:D5"/>
    <mergeCell ref="E5:F5"/>
    <mergeCell ref="G5:H5"/>
    <mergeCell ref="I5:J5"/>
    <mergeCell ref="K5:L5"/>
    <mergeCell ref="M5:N5"/>
    <mergeCell ref="O5:P5"/>
  </mergeCells>
  <printOptions horizontalCentered="1"/>
  <pageMargins bottom="0.1968503937007874" footer="0.0" header="0.0" left="0.1968503937007874" right="0.1968503937007874" top="0.1968503937007874"/>
  <pageSetup paperSize="9" orientation="landscape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6.0" ySplit="9.0" topLeftCell="Q10" activePane="bottomRight" state="frozen"/>
      <selection activeCell="Q1" sqref="Q1" pane="topRight"/>
      <selection activeCell="A10" sqref="A10" pane="bottomLeft"/>
      <selection activeCell="Q10" sqref="Q10" pane="bottomRight"/>
    </sheetView>
  </sheetViews>
  <sheetFormatPr customHeight="1" defaultColWidth="12.63" defaultRowHeight="15.0"/>
  <cols>
    <col customWidth="1" min="1" max="1" width="12.63"/>
    <col customWidth="1" min="2" max="2" width="26.38"/>
    <col customWidth="1" hidden="1" min="3" max="3" width="13.0"/>
    <col customWidth="1" hidden="1" min="4" max="4" width="10.63"/>
    <col customWidth="1" hidden="1" min="5" max="5" width="13.13"/>
    <col customWidth="1" hidden="1" min="6" max="6" width="10.63"/>
    <col customWidth="1" hidden="1" min="7" max="7" width="13.13"/>
    <col customWidth="1" hidden="1" min="8" max="8" width="10.63"/>
    <col customWidth="1" hidden="1" min="9" max="9" width="13.13"/>
    <col customWidth="1" hidden="1" min="10" max="10" width="11.88"/>
    <col customWidth="1" hidden="1" min="11" max="13" width="13.13"/>
    <col customWidth="1" hidden="1" min="14" max="14" width="10.63"/>
    <col customWidth="1" hidden="1" min="15" max="15" width="14.25"/>
    <col customWidth="1" hidden="1" min="16" max="16" width="10.63"/>
    <col customWidth="1" min="17" max="17" width="12.0"/>
    <col customWidth="1" hidden="1" min="18" max="18" width="11.88"/>
    <col customWidth="1" min="19" max="19" width="13.13"/>
    <col customWidth="1" hidden="1" min="20" max="20" width="11.88"/>
    <col customWidth="1" min="21" max="21" width="13.13"/>
    <col customWidth="1" hidden="1" min="22" max="22" width="11.88"/>
    <col customWidth="1" min="23" max="23" width="13.13"/>
    <col customWidth="1" hidden="1" min="24" max="24" width="11.88"/>
    <col customWidth="1" min="25" max="25" width="14.25"/>
    <col customWidth="1" hidden="1" min="26" max="26" width="13.13"/>
    <col customWidth="1" hidden="1" min="27" max="27" width="12.75"/>
  </cols>
  <sheetData>
    <row r="1" ht="15.75" customHeight="1">
      <c r="A1" s="213"/>
      <c r="B1" s="213"/>
      <c r="C1" s="1101"/>
      <c r="D1" s="1101"/>
      <c r="E1" s="1101"/>
      <c r="F1" s="1101"/>
      <c r="G1" s="1101"/>
      <c r="H1" s="1101"/>
      <c r="I1" s="1101"/>
      <c r="J1" s="1101"/>
      <c r="K1" s="1101"/>
      <c r="L1" s="1101"/>
      <c r="M1" s="1101"/>
      <c r="N1" s="1101"/>
      <c r="O1" s="1101"/>
      <c r="P1" s="1101"/>
      <c r="Q1" s="1101"/>
      <c r="R1" s="1101"/>
      <c r="S1" s="1101"/>
      <c r="T1" s="1101"/>
      <c r="U1" s="1101"/>
      <c r="V1" s="1101"/>
      <c r="W1" s="1101"/>
      <c r="X1" s="1101"/>
      <c r="Y1" s="1102"/>
      <c r="Z1" s="1102"/>
      <c r="AA1" s="1101"/>
    </row>
    <row r="2" ht="15.75" customHeight="1">
      <c r="A2" s="213"/>
      <c r="B2" s="740" t="s">
        <v>13</v>
      </c>
      <c r="C2" s="1101"/>
      <c r="D2" s="1101"/>
      <c r="E2" s="1101"/>
      <c r="F2" s="1101"/>
      <c r="G2" s="1101"/>
      <c r="H2" s="1101"/>
      <c r="I2" s="1101"/>
      <c r="J2" s="1101"/>
      <c r="K2" s="1101"/>
      <c r="L2" s="1101"/>
      <c r="M2" s="1101"/>
      <c r="N2" s="1101"/>
      <c r="O2" s="1101"/>
      <c r="P2" s="1101"/>
      <c r="Q2" s="1101"/>
      <c r="R2" s="1101"/>
      <c r="S2" s="1101"/>
      <c r="T2" s="1101"/>
      <c r="U2" s="1101"/>
      <c r="V2" s="1101"/>
      <c r="W2" s="1101"/>
      <c r="X2" s="1101"/>
      <c r="Y2" s="1102"/>
      <c r="Z2" s="1102"/>
      <c r="AA2" s="1101"/>
    </row>
    <row r="3" ht="15.75" customHeight="1">
      <c r="A3" s="213"/>
      <c r="B3" s="214" t="s">
        <v>535</v>
      </c>
      <c r="C3" s="1101"/>
      <c r="D3" s="1101"/>
      <c r="E3" s="1101"/>
      <c r="F3" s="1101"/>
      <c r="G3" s="1101"/>
      <c r="H3" s="1101"/>
      <c r="I3" s="1101"/>
      <c r="J3" s="1101"/>
      <c r="K3" s="1101"/>
      <c r="L3" s="1101"/>
      <c r="M3" s="1101"/>
      <c r="N3" s="1101"/>
      <c r="O3" s="1101"/>
      <c r="P3" s="1101"/>
      <c r="Q3" s="1101"/>
      <c r="R3" s="1101"/>
      <c r="S3" s="1101"/>
      <c r="T3" s="1101"/>
      <c r="U3" s="1101"/>
      <c r="V3" s="1101"/>
      <c r="W3" s="1101"/>
      <c r="X3" s="1101"/>
      <c r="Y3" s="1102"/>
      <c r="Z3" s="1102"/>
      <c r="AA3" s="1101"/>
    </row>
    <row r="4" ht="15.75" customHeight="1">
      <c r="A4" s="213"/>
      <c r="B4" s="214" t="s">
        <v>545</v>
      </c>
      <c r="C4" s="1101"/>
      <c r="D4" s="1101"/>
      <c r="E4" s="1101"/>
      <c r="F4" s="1101"/>
      <c r="G4" s="1101"/>
      <c r="H4" s="1101"/>
      <c r="I4" s="1101"/>
      <c r="J4" s="1101"/>
      <c r="K4" s="1101"/>
      <c r="L4" s="1101"/>
      <c r="M4" s="1101"/>
      <c r="N4" s="1101"/>
      <c r="O4" s="1101"/>
      <c r="P4" s="1101"/>
      <c r="Q4" s="1101"/>
      <c r="R4" s="1101"/>
      <c r="S4" s="1101"/>
      <c r="T4" s="1101"/>
      <c r="U4" s="1101"/>
      <c r="V4" s="1101"/>
      <c r="W4" s="1101"/>
      <c r="X4" s="1101"/>
      <c r="Y4" s="1102"/>
      <c r="Z4" s="1102"/>
      <c r="AA4" s="1101"/>
    </row>
    <row r="5" ht="15.75" customHeight="1">
      <c r="A5" s="213"/>
      <c r="B5" s="1162" t="s">
        <v>546</v>
      </c>
      <c r="C5" s="1101"/>
      <c r="D5" s="1101"/>
      <c r="E5" s="1101"/>
      <c r="F5" s="1101"/>
      <c r="G5" s="1101"/>
      <c r="H5" s="1101"/>
      <c r="I5" s="1101"/>
      <c r="J5" s="1101"/>
      <c r="K5" s="1101"/>
      <c r="L5" s="1101"/>
      <c r="M5" s="1101"/>
      <c r="N5" s="1101"/>
      <c r="O5" s="1101"/>
      <c r="P5" s="1101"/>
      <c r="Q5" s="1101"/>
      <c r="R5" s="1101"/>
      <c r="S5" s="1101"/>
      <c r="T5" s="1101"/>
      <c r="U5" s="1101"/>
      <c r="V5" s="1101"/>
      <c r="W5" s="1101"/>
      <c r="X5" s="1101"/>
      <c r="Y5" s="1102"/>
      <c r="Z5" s="1102"/>
      <c r="AA5" s="1101"/>
    </row>
    <row r="6" ht="15.75" customHeight="1">
      <c r="A6" s="213"/>
      <c r="B6" s="1162" t="s">
        <v>547</v>
      </c>
      <c r="C6" s="1101"/>
      <c r="D6" s="1101"/>
      <c r="E6" s="1101"/>
      <c r="F6" s="1101"/>
      <c r="G6" s="1101"/>
      <c r="H6" s="1101"/>
      <c r="I6" s="1101"/>
      <c r="J6" s="1101"/>
      <c r="K6" s="1101"/>
      <c r="L6" s="1101"/>
      <c r="M6" s="1101"/>
      <c r="N6" s="1101"/>
      <c r="O6" s="1101"/>
      <c r="P6" s="1101"/>
      <c r="Q6" s="1101"/>
      <c r="R6" s="1101"/>
      <c r="S6" s="1101"/>
      <c r="T6" s="1101"/>
      <c r="U6" s="1101"/>
      <c r="V6" s="1101"/>
      <c r="W6" s="1101"/>
      <c r="X6" s="1101"/>
      <c r="Y6" s="1102"/>
      <c r="Z6" s="1102"/>
      <c r="AA6" s="1101"/>
    </row>
    <row r="7" ht="15.75" customHeight="1">
      <c r="A7" s="213"/>
      <c r="B7" s="213"/>
      <c r="C7" s="1103"/>
      <c r="D7" s="1103"/>
      <c r="E7" s="1103"/>
      <c r="F7" s="1103"/>
      <c r="G7" s="1103"/>
      <c r="H7" s="1103"/>
      <c r="I7" s="1103"/>
      <c r="J7" s="1103"/>
      <c r="K7" s="238"/>
      <c r="L7" s="238"/>
      <c r="M7" s="1101"/>
      <c r="N7" s="1101"/>
      <c r="O7" s="1101"/>
      <c r="P7" s="1101"/>
      <c r="Q7" s="1101"/>
      <c r="R7" s="1101"/>
      <c r="S7" s="1101"/>
      <c r="T7" s="1101"/>
      <c r="U7" s="1101"/>
      <c r="V7" s="1101"/>
      <c r="W7" s="1101"/>
      <c r="X7" s="1101"/>
      <c r="Y7" s="1102"/>
      <c r="Z7" s="1102"/>
      <c r="AA7" s="1101"/>
    </row>
    <row r="8" ht="15.75" customHeight="1">
      <c r="A8" s="213"/>
      <c r="B8" s="1104" t="s">
        <v>47</v>
      </c>
      <c r="C8" s="1105">
        <v>45748.0</v>
      </c>
      <c r="D8" s="14"/>
      <c r="E8" s="1105">
        <v>45778.0</v>
      </c>
      <c r="F8" s="14"/>
      <c r="G8" s="1105">
        <v>45809.0</v>
      </c>
      <c r="H8" s="14"/>
      <c r="I8" s="1105">
        <v>45839.0</v>
      </c>
      <c r="J8" s="12"/>
      <c r="K8" s="1105">
        <v>45870.0</v>
      </c>
      <c r="L8" s="14"/>
      <c r="M8" s="1105">
        <v>45901.0</v>
      </c>
      <c r="N8" s="14"/>
      <c r="O8" s="1105">
        <v>45931.0</v>
      </c>
      <c r="P8" s="14"/>
      <c r="Q8" s="1106" t="s">
        <v>525</v>
      </c>
      <c r="R8" s="14"/>
      <c r="S8" s="1106" t="s">
        <v>526</v>
      </c>
      <c r="T8" s="14"/>
      <c r="U8" s="1106" t="s">
        <v>536</v>
      </c>
      <c r="V8" s="14"/>
      <c r="W8" s="1106" t="s">
        <v>537</v>
      </c>
      <c r="X8" s="14"/>
      <c r="Y8" s="1107" t="s">
        <v>538</v>
      </c>
      <c r="Z8" s="1107" t="s">
        <v>20</v>
      </c>
      <c r="AA8" s="1107" t="s">
        <v>539</v>
      </c>
    </row>
    <row r="9" ht="15.75" customHeight="1">
      <c r="A9" s="213"/>
      <c r="B9" s="1108" t="s">
        <v>540</v>
      </c>
      <c r="C9" s="1109" t="s">
        <v>21</v>
      </c>
      <c r="D9" s="1110" t="s">
        <v>541</v>
      </c>
      <c r="E9" s="1109" t="s">
        <v>21</v>
      </c>
      <c r="F9" s="1110" t="s">
        <v>541</v>
      </c>
      <c r="G9" s="1109" t="s">
        <v>21</v>
      </c>
      <c r="H9" s="1110" t="s">
        <v>541</v>
      </c>
      <c r="I9" s="1109" t="s">
        <v>21</v>
      </c>
      <c r="J9" s="1111" t="s">
        <v>541</v>
      </c>
      <c r="K9" s="1109" t="s">
        <v>21</v>
      </c>
      <c r="L9" s="1110" t="s">
        <v>541</v>
      </c>
      <c r="M9" s="1109" t="s">
        <v>21</v>
      </c>
      <c r="N9" s="1110" t="s">
        <v>541</v>
      </c>
      <c r="O9" s="1109" t="s">
        <v>21</v>
      </c>
      <c r="P9" s="1110" t="s">
        <v>541</v>
      </c>
      <c r="Q9" s="1109" t="s">
        <v>21</v>
      </c>
      <c r="R9" s="1110" t="s">
        <v>541</v>
      </c>
      <c r="S9" s="1109" t="s">
        <v>21</v>
      </c>
      <c r="T9" s="1110" t="s">
        <v>541</v>
      </c>
      <c r="U9" s="1109" t="s">
        <v>21</v>
      </c>
      <c r="V9" s="1110" t="s">
        <v>541</v>
      </c>
      <c r="W9" s="1109" t="s">
        <v>21</v>
      </c>
      <c r="X9" s="1110" t="s">
        <v>541</v>
      </c>
      <c r="Y9" s="134"/>
      <c r="Z9" s="134"/>
      <c r="AA9" s="134"/>
    </row>
    <row r="10" ht="15.75" customHeight="1">
      <c r="A10" s="213"/>
      <c r="B10" s="488" t="s">
        <v>22</v>
      </c>
      <c r="C10" s="384"/>
      <c r="D10" s="1112"/>
      <c r="E10" s="1113"/>
      <c r="F10" s="1112"/>
      <c r="G10" s="1113"/>
      <c r="H10" s="1112"/>
      <c r="I10" s="1113"/>
      <c r="J10" s="1114"/>
      <c r="K10" s="1113"/>
      <c r="L10" s="1112"/>
      <c r="M10" s="1113"/>
      <c r="N10" s="1112"/>
      <c r="O10" s="1113"/>
      <c r="P10" s="1112"/>
      <c r="Q10" s="1113">
        <f>Kaspers!AF26</f>
        <v>134900</v>
      </c>
      <c r="R10" s="1112"/>
      <c r="S10" s="1113">
        <f>Kaspers!AJ26</f>
        <v>227900</v>
      </c>
      <c r="T10" s="1112"/>
      <c r="U10" s="1113">
        <f>Kaspers!AN26</f>
        <v>369275</v>
      </c>
      <c r="V10" s="1112"/>
      <c r="W10" s="1113">
        <f>Kaspers!AT26</f>
        <v>287275</v>
      </c>
      <c r="X10" s="1114">
        <f t="shared" ref="X10:X14" si="1">W10/$W$15</f>
        <v>0.03579808435</v>
      </c>
      <c r="Y10" s="1115">
        <f t="shared" ref="Y10:Y14" si="2">C10+E10+G10+I10+K10+M10+O10+Q10+S10+U10+W10</f>
        <v>1019350</v>
      </c>
      <c r="Z10" s="1115"/>
      <c r="AA10" s="1116" t="str">
        <f t="shared" ref="AA10:AA13" si="3">Y10/Z10</f>
        <v>#DIV/0!</v>
      </c>
    </row>
    <row r="11" ht="15.75" customHeight="1">
      <c r="A11" s="213"/>
      <c r="B11" s="492" t="s">
        <v>23</v>
      </c>
      <c r="C11" s="351"/>
      <c r="D11" s="1117"/>
      <c r="E11" s="1118"/>
      <c r="F11" s="1117"/>
      <c r="G11" s="1118"/>
      <c r="H11" s="1112"/>
      <c r="I11" s="1118"/>
      <c r="J11" s="1114"/>
      <c r="K11" s="1118"/>
      <c r="L11" s="1112"/>
      <c r="M11" s="1118"/>
      <c r="N11" s="1112"/>
      <c r="O11" s="1118"/>
      <c r="P11" s="1112"/>
      <c r="Q11" s="1113">
        <f>Kaspers!AF27</f>
        <v>2020249</v>
      </c>
      <c r="R11" s="1112"/>
      <c r="S11" s="1113">
        <f>Kaspers!AJ27</f>
        <v>3431842</v>
      </c>
      <c r="T11" s="1112"/>
      <c r="U11" s="1113">
        <f>Kaspers!AN27</f>
        <v>2878650</v>
      </c>
      <c r="V11" s="1112"/>
      <c r="W11" s="1113">
        <f>Kaspers!AT27</f>
        <v>3025765</v>
      </c>
      <c r="X11" s="1114">
        <f t="shared" si="1"/>
        <v>0.3770484403</v>
      </c>
      <c r="Y11" s="1115">
        <f t="shared" si="2"/>
        <v>11356506</v>
      </c>
      <c r="Z11" s="1115"/>
      <c r="AA11" s="1119" t="str">
        <f t="shared" si="3"/>
        <v>#DIV/0!</v>
      </c>
    </row>
    <row r="12" ht="15.75" customHeight="1">
      <c r="A12" s="213"/>
      <c r="B12" s="492" t="s">
        <v>24</v>
      </c>
      <c r="C12" s="351"/>
      <c r="D12" s="1117"/>
      <c r="E12" s="1118"/>
      <c r="F12" s="1117"/>
      <c r="G12" s="1118"/>
      <c r="H12" s="1112"/>
      <c r="I12" s="1118"/>
      <c r="J12" s="1114"/>
      <c r="K12" s="1118"/>
      <c r="L12" s="1112"/>
      <c r="M12" s="1118"/>
      <c r="N12" s="1112"/>
      <c r="O12" s="1118"/>
      <c r="P12" s="1112"/>
      <c r="Q12" s="1113">
        <f>Kaspers!AF28</f>
        <v>2907975</v>
      </c>
      <c r="R12" s="1112"/>
      <c r="S12" s="1113">
        <f>Kaspers!AJ28</f>
        <v>4171216</v>
      </c>
      <c r="T12" s="1112"/>
      <c r="U12" s="1113">
        <f>Kaspers!AN28</f>
        <v>4342452.5</v>
      </c>
      <c r="V12" s="1112"/>
      <c r="W12" s="1113">
        <f>Kaspers!AT28</f>
        <v>3990142.5</v>
      </c>
      <c r="X12" s="1114">
        <f t="shared" si="1"/>
        <v>0.4972220269</v>
      </c>
      <c r="Y12" s="1115">
        <f t="shared" si="2"/>
        <v>15411786</v>
      </c>
      <c r="Z12" s="1115"/>
      <c r="AA12" s="1119" t="str">
        <f t="shared" si="3"/>
        <v>#DIV/0!</v>
      </c>
    </row>
    <row r="13" ht="15.75" customHeight="1">
      <c r="A13" s="213"/>
      <c r="B13" s="492" t="s">
        <v>25</v>
      </c>
      <c r="C13" s="351"/>
      <c r="D13" s="1117"/>
      <c r="E13" s="1118"/>
      <c r="F13" s="1117"/>
      <c r="G13" s="1118"/>
      <c r="H13" s="1112"/>
      <c r="I13" s="1118"/>
      <c r="J13" s="1114"/>
      <c r="K13" s="1118"/>
      <c r="L13" s="1112"/>
      <c r="M13" s="1118"/>
      <c r="N13" s="1112"/>
      <c r="O13" s="1118"/>
      <c r="P13" s="1112"/>
      <c r="Q13" s="1113">
        <f>Kaspers!AF30</f>
        <v>413804</v>
      </c>
      <c r="R13" s="1112"/>
      <c r="S13" s="1118">
        <f>Kaspers!AJ30</f>
        <v>735821</v>
      </c>
      <c r="T13" s="1112"/>
      <c r="U13" s="1118">
        <f>Kaspers!AN30</f>
        <v>748615.75</v>
      </c>
      <c r="V13" s="1112"/>
      <c r="W13" s="1118">
        <f>Kaspers!AT30</f>
        <v>721688.25</v>
      </c>
      <c r="X13" s="1114">
        <f t="shared" si="1"/>
        <v>0.08993144843</v>
      </c>
      <c r="Y13" s="1115">
        <f t="shared" si="2"/>
        <v>2619929</v>
      </c>
      <c r="Z13" s="1120"/>
      <c r="AA13" s="1119" t="str">
        <f t="shared" si="3"/>
        <v>#DIV/0!</v>
      </c>
    </row>
    <row r="14" ht="15.75" customHeight="1">
      <c r="A14" s="213"/>
      <c r="B14" s="502" t="s">
        <v>169</v>
      </c>
      <c r="C14" s="363"/>
      <c r="D14" s="1121"/>
      <c r="E14" s="1122"/>
      <c r="F14" s="1117"/>
      <c r="G14" s="1123"/>
      <c r="H14" s="1112"/>
      <c r="I14" s="1123"/>
      <c r="J14" s="1114"/>
      <c r="K14" s="1123"/>
      <c r="L14" s="1112"/>
      <c r="M14" s="1123"/>
      <c r="N14" s="1112"/>
      <c r="O14" s="1123"/>
      <c r="P14" s="1112"/>
      <c r="Q14" s="1123">
        <f>Kaspers!AF21</f>
        <v>4140</v>
      </c>
      <c r="R14" s="1112"/>
      <c r="S14" s="1123">
        <f>Kaspers!AJ21</f>
        <v>14160</v>
      </c>
      <c r="T14" s="1112"/>
      <c r="U14" s="1125">
        <v>0.0</v>
      </c>
      <c r="V14" s="1112"/>
      <c r="W14" s="1125">
        <v>0.0</v>
      </c>
      <c r="X14" s="1114">
        <f t="shared" si="1"/>
        <v>0</v>
      </c>
      <c r="Y14" s="1115">
        <f t="shared" si="2"/>
        <v>18300</v>
      </c>
      <c r="Z14" s="1126"/>
      <c r="AA14" s="1119">
        <v>0.0</v>
      </c>
    </row>
    <row r="15" ht="15.75" customHeight="1">
      <c r="A15" s="213"/>
      <c r="B15" s="1104" t="s">
        <v>542</v>
      </c>
      <c r="C15" s="1127">
        <f>SUM(C10:C14)</f>
        <v>0</v>
      </c>
      <c r="D15" s="1128" t="str">
        <f>C15/$C$15</f>
        <v>#DIV/0!</v>
      </c>
      <c r="E15" s="1127">
        <f>SUM(E10:E14)</f>
        <v>0</v>
      </c>
      <c r="F15" s="1128" t="str">
        <f>E15/E15</f>
        <v>#DIV/0!</v>
      </c>
      <c r="G15" s="1127">
        <f>SUM(G10:G14)</f>
        <v>0</v>
      </c>
      <c r="H15" s="1128" t="str">
        <f>G15/G15</f>
        <v>#DIV/0!</v>
      </c>
      <c r="I15" s="1127">
        <f>SUM(I10:I14)</f>
        <v>0</v>
      </c>
      <c r="J15" s="1129" t="str">
        <f>I15/I15</f>
        <v>#DIV/0!</v>
      </c>
      <c r="K15" s="1127">
        <f>SUM(K10:K14)</f>
        <v>0</v>
      </c>
      <c r="L15" s="1128" t="str">
        <f>K15/K15</f>
        <v>#DIV/0!</v>
      </c>
      <c r="M15" s="1127">
        <f>SUM(M10:M14)</f>
        <v>0</v>
      </c>
      <c r="N15" s="1128" t="str">
        <f>M15/M15</f>
        <v>#DIV/0!</v>
      </c>
      <c r="O15" s="1127">
        <f>SUM(O10:O14)</f>
        <v>0</v>
      </c>
      <c r="P15" s="1128" t="str">
        <f>O15/O15</f>
        <v>#DIV/0!</v>
      </c>
      <c r="Q15" s="1127">
        <f>SUM(Q10:Q14)</f>
        <v>5481068</v>
      </c>
      <c r="R15" s="1128">
        <f>Q15/Q15</f>
        <v>1</v>
      </c>
      <c r="S15" s="1127">
        <f>SUM(S10:S14)</f>
        <v>8580939</v>
      </c>
      <c r="T15" s="1128">
        <f>S15/S15</f>
        <v>1</v>
      </c>
      <c r="U15" s="1127">
        <f>SUM(U10:U14)</f>
        <v>8338993.25</v>
      </c>
      <c r="V15" s="1128">
        <f>U15/U15</f>
        <v>1</v>
      </c>
      <c r="W15" s="1127">
        <f>SUM(W10:W14)</f>
        <v>8024870.75</v>
      </c>
      <c r="X15" s="1129">
        <f>W15/W15</f>
        <v>1</v>
      </c>
      <c r="Y15" s="1130">
        <f t="shared" ref="Y15:Z15" si="4">SUM(Y10:Y14)</f>
        <v>30425871</v>
      </c>
      <c r="Z15" s="1130">
        <f t="shared" si="4"/>
        <v>0</v>
      </c>
      <c r="AA15" s="1131" t="str">
        <f>Y15/Z15</f>
        <v>#DIV/0!</v>
      </c>
    </row>
    <row r="16" ht="15.75" customHeight="1">
      <c r="A16" s="213"/>
      <c r="B16" s="488"/>
      <c r="C16" s="384"/>
      <c r="D16" s="1132"/>
      <c r="E16" s="1133"/>
      <c r="F16" s="1132"/>
      <c r="G16" s="1133"/>
      <c r="H16" s="1132"/>
      <c r="I16" s="1133"/>
      <c r="J16" s="1134"/>
      <c r="K16" s="1133"/>
      <c r="L16" s="1132"/>
      <c r="M16" s="1133"/>
      <c r="N16" s="1132"/>
      <c r="O16" s="1133"/>
      <c r="P16" s="1132"/>
      <c r="Q16" s="1133"/>
      <c r="R16" s="1132"/>
      <c r="S16" s="1133"/>
      <c r="T16" s="1132"/>
      <c r="U16" s="1133"/>
      <c r="V16" s="1132"/>
      <c r="W16" s="1133"/>
      <c r="X16" s="1134"/>
      <c r="Y16" s="1135"/>
      <c r="Z16" s="1135"/>
      <c r="AA16" s="614"/>
    </row>
    <row r="17" ht="15.75" customHeight="1">
      <c r="A17" s="213"/>
      <c r="B17" s="501" t="s">
        <v>233</v>
      </c>
      <c r="C17" s="351"/>
      <c r="D17" s="1136"/>
      <c r="E17" s="1137"/>
      <c r="F17" s="1136"/>
      <c r="G17" s="1137"/>
      <c r="H17" s="1136"/>
      <c r="I17" s="1137"/>
      <c r="J17" s="1138"/>
      <c r="K17" s="1137"/>
      <c r="L17" s="1136"/>
      <c r="M17" s="1137"/>
      <c r="N17" s="1136"/>
      <c r="O17" s="1137"/>
      <c r="P17" s="1136"/>
      <c r="Q17" s="1137"/>
      <c r="R17" s="1136"/>
      <c r="S17" s="1137"/>
      <c r="T17" s="1136"/>
      <c r="U17" s="1137"/>
      <c r="V17" s="1136"/>
      <c r="W17" s="1137"/>
      <c r="X17" s="1138"/>
      <c r="Y17" s="1139"/>
      <c r="Z17" s="1139"/>
      <c r="AA17" s="603"/>
    </row>
    <row r="18" ht="15.75" customHeight="1">
      <c r="A18" s="213"/>
      <c r="B18" s="492" t="s">
        <v>29</v>
      </c>
      <c r="C18" s="351"/>
      <c r="D18" s="1117"/>
      <c r="E18" s="1118"/>
      <c r="F18" s="1117"/>
      <c r="G18" s="1118"/>
      <c r="H18" s="1112"/>
      <c r="I18" s="1118"/>
      <c r="J18" s="1140"/>
      <c r="K18" s="1118"/>
      <c r="L18" s="1112"/>
      <c r="M18" s="1118"/>
      <c r="N18" s="1112"/>
      <c r="O18" s="1118"/>
      <c r="P18" s="1112"/>
      <c r="Q18" s="1118">
        <f>Kaspers!AF49</f>
        <v>2960570.583</v>
      </c>
      <c r="R18" s="1117"/>
      <c r="S18" s="1118">
        <f>Kaspers!AJ51</f>
        <v>3650097.777</v>
      </c>
      <c r="T18" s="1117"/>
      <c r="U18" s="1118">
        <f>Kaspers!AN51</f>
        <v>3563865.425</v>
      </c>
      <c r="V18" s="1112"/>
      <c r="W18" s="1118">
        <f>Kaspers!AT51</f>
        <v>3380869.994</v>
      </c>
      <c r="X18" s="1114">
        <f t="shared" ref="X18:X19" si="5">W18/$W$15</f>
        <v>0.4212989966</v>
      </c>
      <c r="Y18" s="1115">
        <f t="shared" ref="Y18:Y19" si="6">C18+E18+G18+I18+K18+M18+O18+Q18+S18+U18+W18</f>
        <v>13555403.78</v>
      </c>
      <c r="Z18" s="1120"/>
      <c r="AA18" s="1119" t="str">
        <f t="shared" ref="AA18:AA19" si="7">Y18/Z18</f>
        <v>#DIV/0!</v>
      </c>
    </row>
    <row r="19" ht="15.75" customHeight="1">
      <c r="A19" s="213"/>
      <c r="B19" s="492" t="s">
        <v>30</v>
      </c>
      <c r="C19" s="351"/>
      <c r="D19" s="1117"/>
      <c r="E19" s="1118"/>
      <c r="F19" s="1117"/>
      <c r="G19" s="1118"/>
      <c r="H19" s="1112"/>
      <c r="I19" s="1118"/>
      <c r="J19" s="1140"/>
      <c r="K19" s="1118"/>
      <c r="L19" s="1112"/>
      <c r="M19" s="1118"/>
      <c r="N19" s="1112"/>
      <c r="O19" s="1118"/>
      <c r="P19" s="1112"/>
      <c r="Q19" s="1163">
        <v>0.0</v>
      </c>
      <c r="R19" s="1117"/>
      <c r="S19" s="1163">
        <v>0.0</v>
      </c>
      <c r="T19" s="1117"/>
      <c r="U19" s="1163">
        <v>0.0</v>
      </c>
      <c r="V19" s="1112"/>
      <c r="W19" s="1163">
        <v>0.0</v>
      </c>
      <c r="X19" s="1114">
        <f t="shared" si="5"/>
        <v>0</v>
      </c>
      <c r="Y19" s="1115">
        <f t="shared" si="6"/>
        <v>0</v>
      </c>
      <c r="Z19" s="1120"/>
      <c r="AA19" s="1119" t="str">
        <f t="shared" si="7"/>
        <v>#DIV/0!</v>
      </c>
    </row>
    <row r="20" ht="15.75" customHeight="1">
      <c r="A20" s="213"/>
      <c r="B20" s="502" t="s">
        <v>174</v>
      </c>
      <c r="C20" s="363">
        <v>0.0</v>
      </c>
      <c r="D20" s="1121" t="str">
        <f t="shared" ref="D20:D21" si="8">C20/$C$15</f>
        <v>#DIV/0!</v>
      </c>
      <c r="E20" s="1123"/>
      <c r="F20" s="1117" t="str">
        <f>E20/$E$15</f>
        <v>#DIV/0!</v>
      </c>
      <c r="G20" s="1123"/>
      <c r="H20" s="1112" t="str">
        <f>G20/$G$15</f>
        <v>#DIV/0!</v>
      </c>
      <c r="I20" s="1123"/>
      <c r="J20" s="1140" t="str">
        <f t="shared" ref="J20:J21" si="9">I20/$I$15</f>
        <v>#DIV/0!</v>
      </c>
      <c r="K20" s="1123"/>
      <c r="L20" s="1141"/>
      <c r="M20" s="1123"/>
      <c r="N20" s="1141"/>
      <c r="O20" s="1123"/>
      <c r="P20" s="1141"/>
      <c r="Q20" s="1163">
        <v>0.0</v>
      </c>
      <c r="R20" s="1141"/>
      <c r="S20" s="1163">
        <v>0.0</v>
      </c>
      <c r="T20" s="1141"/>
      <c r="U20" s="1163">
        <v>0.0</v>
      </c>
      <c r="V20" s="1141"/>
      <c r="W20" s="1163">
        <v>0.0</v>
      </c>
      <c r="X20" s="1142"/>
      <c r="Y20" s="1143"/>
      <c r="Z20" s="1143"/>
      <c r="AA20" s="1144"/>
    </row>
    <row r="21" ht="15.75" customHeight="1">
      <c r="A21" s="213"/>
      <c r="B21" s="1104" t="s">
        <v>31</v>
      </c>
      <c r="C21" s="1127">
        <f>SUM(C18:C20)</f>
        <v>0</v>
      </c>
      <c r="D21" s="1128" t="str">
        <f t="shared" si="8"/>
        <v>#DIV/0!</v>
      </c>
      <c r="E21" s="1145">
        <f>SUM(E18:E20)</f>
        <v>0</v>
      </c>
      <c r="F21" s="1128" t="str">
        <f>E21/E15</f>
        <v>#DIV/0!</v>
      </c>
      <c r="G21" s="1145">
        <f>SUM(G18:G20)</f>
        <v>0</v>
      </c>
      <c r="H21" s="1128" t="str">
        <f>G21/G15</f>
        <v>#DIV/0!</v>
      </c>
      <c r="I21" s="1145">
        <f>SUM(I18:I20)</f>
        <v>0</v>
      </c>
      <c r="J21" s="1129" t="str">
        <f t="shared" si="9"/>
        <v>#DIV/0!</v>
      </c>
      <c r="K21" s="1145">
        <f>SUM(K18:K20)</f>
        <v>0</v>
      </c>
      <c r="L21" s="1128" t="str">
        <f>K21/K15</f>
        <v>#DIV/0!</v>
      </c>
      <c r="M21" s="1145">
        <f>SUM(M18:M20)</f>
        <v>0</v>
      </c>
      <c r="N21" s="1128" t="str">
        <f>M21/M15</f>
        <v>#DIV/0!</v>
      </c>
      <c r="O21" s="1145">
        <f>SUM(O18:O20)</f>
        <v>0</v>
      </c>
      <c r="P21" s="1128" t="str">
        <f>+O21/O15</f>
        <v>#DIV/0!</v>
      </c>
      <c r="Q21" s="1145">
        <f>SUM(Q18:Q20)</f>
        <v>2960570.583</v>
      </c>
      <c r="R21" s="1128">
        <f>Q21/Q15</f>
        <v>0.5401448373</v>
      </c>
      <c r="S21" s="1145">
        <f>SUM(S18:S20)</f>
        <v>3650097.777</v>
      </c>
      <c r="T21" s="1128">
        <f>S21/S15</f>
        <v>0.4253727683</v>
      </c>
      <c r="U21" s="1145">
        <f>SUM(U18:U20)</f>
        <v>3563865.425</v>
      </c>
      <c r="V21" s="1128">
        <f>U21/U15</f>
        <v>0.4273735832</v>
      </c>
      <c r="W21" s="1145">
        <f>SUM(W18:W20)</f>
        <v>3380869.994</v>
      </c>
      <c r="X21" s="1129">
        <f>W21/W15</f>
        <v>0.4212989966</v>
      </c>
      <c r="Y21" s="1130">
        <f t="shared" ref="Y21:Z21" si="10">SUM(Y18:Y20)</f>
        <v>13555403.78</v>
      </c>
      <c r="Z21" s="1130">
        <f t="shared" si="10"/>
        <v>0</v>
      </c>
      <c r="AA21" s="1131" t="str">
        <f>Y21/Z21</f>
        <v>#DIV/0!</v>
      </c>
    </row>
    <row r="22" ht="15.75" customHeight="1">
      <c r="A22" s="213"/>
      <c r="B22" s="476"/>
      <c r="C22" s="417"/>
      <c r="D22" s="1146"/>
      <c r="E22" s="1147"/>
      <c r="F22" s="1146"/>
      <c r="G22" s="1148" t="str">
        <f>'Summary Sheet - June 2025'!O15</f>
        <v/>
      </c>
      <c r="H22" s="1146"/>
      <c r="I22" s="1147"/>
      <c r="J22" s="1149"/>
      <c r="K22" s="1147"/>
      <c r="L22" s="1146"/>
      <c r="M22" s="1147"/>
      <c r="N22" s="1146"/>
      <c r="O22" s="1147"/>
      <c r="P22" s="1146"/>
      <c r="Q22" s="1147"/>
      <c r="R22" s="1146"/>
      <c r="S22" s="1147"/>
      <c r="T22" s="1146"/>
      <c r="U22" s="1147"/>
      <c r="V22" s="1146"/>
      <c r="W22" s="1147"/>
      <c r="X22" s="1149"/>
      <c r="Y22" s="1150"/>
      <c r="Z22" s="1150"/>
      <c r="AA22" s="620"/>
    </row>
    <row r="23" ht="15.75" customHeight="1">
      <c r="A23" s="213"/>
      <c r="B23" s="1104" t="s">
        <v>33</v>
      </c>
      <c r="C23" s="1127">
        <f>C15-C21</f>
        <v>0</v>
      </c>
      <c r="D23" s="1128" t="str">
        <f>C23/$C$15</f>
        <v>#DIV/0!</v>
      </c>
      <c r="E23" s="1145">
        <f>E15-E21</f>
        <v>0</v>
      </c>
      <c r="F23" s="1128" t="str">
        <f>E23/E15</f>
        <v>#DIV/0!</v>
      </c>
      <c r="G23" s="1145">
        <f>G15-G21</f>
        <v>0</v>
      </c>
      <c r="H23" s="1151"/>
      <c r="I23" s="1145">
        <f>I15-I21</f>
        <v>0</v>
      </c>
      <c r="J23" s="1129" t="str">
        <f>I23/$I$15</f>
        <v>#DIV/0!</v>
      </c>
      <c r="K23" s="1145">
        <f>K15-K21</f>
        <v>0</v>
      </c>
      <c r="L23" s="1128" t="str">
        <f>K23/K15</f>
        <v>#DIV/0!</v>
      </c>
      <c r="M23" s="1145">
        <f>M15-M21</f>
        <v>0</v>
      </c>
      <c r="N23" s="1128" t="str">
        <f>M23/$M$15</f>
        <v>#DIV/0!</v>
      </c>
      <c r="O23" s="1145">
        <f>O15-O21</f>
        <v>0</v>
      </c>
      <c r="P23" s="1128" t="str">
        <f>O23/O15</f>
        <v>#DIV/0!</v>
      </c>
      <c r="Q23" s="1145">
        <f>Q15-Q21</f>
        <v>2520497.417</v>
      </c>
      <c r="R23" s="1128">
        <f>Q23/Q15</f>
        <v>0.4598551627</v>
      </c>
      <c r="S23" s="1145">
        <f>S15-S21</f>
        <v>4930841.223</v>
      </c>
      <c r="T23" s="1128">
        <f>S23/S15</f>
        <v>0.5746272317</v>
      </c>
      <c r="U23" s="1145">
        <f>U15-U21</f>
        <v>4775127.825</v>
      </c>
      <c r="V23" s="1128">
        <f>U23/U15</f>
        <v>0.5726264168</v>
      </c>
      <c r="W23" s="1145">
        <f>W15-W21</f>
        <v>4644000.756</v>
      </c>
      <c r="X23" s="1129">
        <f>W23/W15</f>
        <v>0.5787010034</v>
      </c>
      <c r="Y23" s="1130">
        <f t="shared" ref="Y23:Z23" si="11">Y15-Y21</f>
        <v>16870467.22</v>
      </c>
      <c r="Z23" s="1130">
        <f t="shared" si="11"/>
        <v>0</v>
      </c>
      <c r="AA23" s="1131" t="str">
        <f>Y23/Z23</f>
        <v>#DIV/0!</v>
      </c>
    </row>
    <row r="24" ht="15.75" customHeight="1">
      <c r="A24" s="213"/>
      <c r="B24" s="488"/>
      <c r="C24" s="384"/>
      <c r="D24" s="1132"/>
      <c r="E24" s="1133"/>
      <c r="F24" s="1132"/>
      <c r="G24" s="1133"/>
      <c r="H24" s="1132"/>
      <c r="I24" s="1133"/>
      <c r="J24" s="1134"/>
      <c r="K24" s="1133"/>
      <c r="L24" s="1132"/>
      <c r="M24" s="1133"/>
      <c r="N24" s="1132"/>
      <c r="O24" s="1133"/>
      <c r="P24" s="1132"/>
      <c r="Q24" s="1133"/>
      <c r="R24" s="1132"/>
      <c r="S24" s="1133"/>
      <c r="T24" s="1132"/>
      <c r="U24" s="1133"/>
      <c r="V24" s="1132"/>
      <c r="W24" s="1133"/>
      <c r="X24" s="1134"/>
      <c r="Y24" s="1135"/>
      <c r="Z24" s="1135"/>
      <c r="AA24" s="614"/>
    </row>
    <row r="25" ht="15.75" customHeight="1">
      <c r="A25" s="213"/>
      <c r="B25" s="492" t="s">
        <v>34</v>
      </c>
      <c r="C25" s="351"/>
      <c r="D25" s="1117"/>
      <c r="E25" s="1118"/>
      <c r="F25" s="1117"/>
      <c r="G25" s="1118"/>
      <c r="H25" s="1117"/>
      <c r="I25" s="1118"/>
      <c r="J25" s="1140"/>
      <c r="K25" s="1118"/>
      <c r="L25" s="1112"/>
      <c r="M25" s="1118"/>
      <c r="N25" s="1112"/>
      <c r="O25" s="1118"/>
      <c r="P25" s="1112"/>
      <c r="Q25" s="1163">
        <v>0.0</v>
      </c>
      <c r="R25" s="1117"/>
      <c r="S25" s="1152">
        <f>Kaspers!AJ64</f>
        <v>140013</v>
      </c>
      <c r="T25" s="1164"/>
      <c r="U25" s="1152">
        <f>Kaspers!AN64</f>
        <v>101350.43</v>
      </c>
      <c r="V25" s="1124"/>
      <c r="W25" s="1152">
        <f>Kaspers!AT64</f>
        <v>76693.14</v>
      </c>
      <c r="X25" s="1114">
        <f t="shared" ref="X25:X40" si="12">W25/$W$15</f>
        <v>0.009556931493</v>
      </c>
      <c r="Y25" s="1115">
        <f t="shared" ref="Y25:Y40" si="13">C25+E25+G25+I25+K25+M25+O25+Q25+S25+U25+W25</f>
        <v>318056.57</v>
      </c>
      <c r="Z25" s="1120"/>
      <c r="AA25" s="1119" t="str">
        <f t="shared" ref="AA25:AA37" si="14">Y25/Z25</f>
        <v>#DIV/0!</v>
      </c>
    </row>
    <row r="26" ht="15.75" customHeight="1">
      <c r="A26" s="213"/>
      <c r="B26" s="492" t="s">
        <v>35</v>
      </c>
      <c r="C26" s="351"/>
      <c r="D26" s="1117"/>
      <c r="E26" s="1118"/>
      <c r="F26" s="1117"/>
      <c r="G26" s="1118"/>
      <c r="H26" s="1117"/>
      <c r="I26" s="1118"/>
      <c r="J26" s="1140"/>
      <c r="K26" s="1118"/>
      <c r="L26" s="1112"/>
      <c r="M26" s="1118"/>
      <c r="N26" s="1112"/>
      <c r="O26" s="1118"/>
      <c r="P26" s="1112"/>
      <c r="Q26" s="1118">
        <f>Kaspers!AF76</f>
        <v>246107.3333</v>
      </c>
      <c r="R26" s="1117"/>
      <c r="S26" s="1152">
        <f>Kaspers!AJ76</f>
        <v>5937.333333</v>
      </c>
      <c r="T26" s="1164"/>
      <c r="U26" s="1152">
        <f>Kaspers!AN76</f>
        <v>190263.3333</v>
      </c>
      <c r="V26" s="1124"/>
      <c r="W26" s="1152">
        <f>Kaspers!AT76</f>
        <v>6701.333333</v>
      </c>
      <c r="X26" s="1114">
        <f t="shared" si="12"/>
        <v>0.0008350705628</v>
      </c>
      <c r="Y26" s="1115">
        <f t="shared" si="13"/>
        <v>449009.3333</v>
      </c>
      <c r="Z26" s="1120"/>
      <c r="AA26" s="1119" t="str">
        <f t="shared" si="14"/>
        <v>#DIV/0!</v>
      </c>
    </row>
    <row r="27" ht="15.75" customHeight="1">
      <c r="A27" s="213"/>
      <c r="B27" s="492" t="s">
        <v>36</v>
      </c>
      <c r="C27" s="351"/>
      <c r="D27" s="1117"/>
      <c r="E27" s="1118"/>
      <c r="F27" s="1117"/>
      <c r="G27" s="1118"/>
      <c r="H27" s="1117"/>
      <c r="I27" s="1118"/>
      <c r="J27" s="1140"/>
      <c r="K27" s="1118"/>
      <c r="L27" s="1112"/>
      <c r="M27" s="1118"/>
      <c r="N27" s="1112"/>
      <c r="O27" s="1118"/>
      <c r="P27" s="1112"/>
      <c r="Q27" s="1163">
        <f>Kaspers!AF83</f>
        <v>0</v>
      </c>
      <c r="R27" s="1117"/>
      <c r="S27" s="1152">
        <f>Kaspers!AJ83</f>
        <v>0</v>
      </c>
      <c r="T27" s="1164"/>
      <c r="U27" s="1152">
        <f>Kaspers!AN83</f>
        <v>0</v>
      </c>
      <c r="V27" s="1124"/>
      <c r="W27" s="1152">
        <f>Kaspers!AT83</f>
        <v>0</v>
      </c>
      <c r="X27" s="1114">
        <f t="shared" si="12"/>
        <v>0</v>
      </c>
      <c r="Y27" s="1115">
        <f t="shared" si="13"/>
        <v>0</v>
      </c>
      <c r="Z27" s="1120"/>
      <c r="AA27" s="1119" t="str">
        <f t="shared" si="14"/>
        <v>#DIV/0!</v>
      </c>
    </row>
    <row r="28" ht="15.75" customHeight="1">
      <c r="A28" s="213"/>
      <c r="B28" s="492" t="s">
        <v>37</v>
      </c>
      <c r="C28" s="351"/>
      <c r="D28" s="1117"/>
      <c r="E28" s="1118"/>
      <c r="F28" s="1117"/>
      <c r="G28" s="1118"/>
      <c r="H28" s="1117"/>
      <c r="I28" s="1118"/>
      <c r="J28" s="1140"/>
      <c r="K28" s="1118"/>
      <c r="L28" s="1112"/>
      <c r="M28" s="1118"/>
      <c r="N28" s="1112"/>
      <c r="O28" s="1118"/>
      <c r="P28" s="1112"/>
      <c r="Q28" s="1152">
        <f>Kaspers!AF90</f>
        <v>332425.4167</v>
      </c>
      <c r="R28" s="1117"/>
      <c r="S28" s="1152">
        <f>Kaspers!AJ90</f>
        <v>375686.4167</v>
      </c>
      <c r="T28" s="1164"/>
      <c r="U28" s="1152">
        <f>Kaspers!AN90</f>
        <v>378681.4167</v>
      </c>
      <c r="V28" s="1124"/>
      <c r="W28" s="1152">
        <f>Kaspers!AT90</f>
        <v>379549.4167</v>
      </c>
      <c r="X28" s="1114">
        <f t="shared" si="12"/>
        <v>0.04729663922</v>
      </c>
      <c r="Y28" s="1115">
        <f t="shared" si="13"/>
        <v>1466342.667</v>
      </c>
      <c r="Z28" s="1120"/>
      <c r="AA28" s="1119" t="str">
        <f t="shared" si="14"/>
        <v>#DIV/0!</v>
      </c>
    </row>
    <row r="29" ht="15.75" customHeight="1">
      <c r="A29" s="213"/>
      <c r="B29" s="492" t="s">
        <v>38</v>
      </c>
      <c r="C29" s="351"/>
      <c r="D29" s="1117"/>
      <c r="E29" s="1118"/>
      <c r="F29" s="1117"/>
      <c r="G29" s="1118"/>
      <c r="H29" s="1117"/>
      <c r="I29" s="1118"/>
      <c r="J29" s="1140"/>
      <c r="K29" s="1118"/>
      <c r="L29" s="1112"/>
      <c r="M29" s="1118"/>
      <c r="N29" s="1112"/>
      <c r="O29" s="1118"/>
      <c r="P29" s="1112"/>
      <c r="Q29" s="1152">
        <f>Kaspers!AF97</f>
        <v>2386450</v>
      </c>
      <c r="R29" s="1117"/>
      <c r="S29" s="1152">
        <f>Kaspers!AJ97</f>
        <v>2733940</v>
      </c>
      <c r="T29" s="1164"/>
      <c r="U29" s="1152">
        <f>Kaspers!AN97</f>
        <v>2821922</v>
      </c>
      <c r="V29" s="1124"/>
      <c r="W29" s="1152">
        <f>Kaspers!AT97</f>
        <v>3168915.18</v>
      </c>
      <c r="X29" s="1114">
        <f t="shared" si="12"/>
        <v>0.3948867563</v>
      </c>
      <c r="Y29" s="1115">
        <f t="shared" si="13"/>
        <v>11111227.18</v>
      </c>
      <c r="Z29" s="1120"/>
      <c r="AA29" s="1119" t="str">
        <f t="shared" si="14"/>
        <v>#DIV/0!</v>
      </c>
    </row>
    <row r="30" ht="15.75" customHeight="1">
      <c r="A30" s="213"/>
      <c r="B30" s="492" t="s">
        <v>39</v>
      </c>
      <c r="C30" s="351"/>
      <c r="D30" s="1117"/>
      <c r="E30" s="1118"/>
      <c r="F30" s="1117"/>
      <c r="G30" s="1118"/>
      <c r="H30" s="1117"/>
      <c r="I30" s="1118"/>
      <c r="J30" s="1140"/>
      <c r="K30" s="1118"/>
      <c r="L30" s="1112"/>
      <c r="M30" s="1118"/>
      <c r="N30" s="1112"/>
      <c r="O30" s="1118"/>
      <c r="P30" s="1112"/>
      <c r="Q30" s="1152">
        <f>Kaspers!AF109</f>
        <v>80141.11</v>
      </c>
      <c r="R30" s="1164"/>
      <c r="S30" s="1152">
        <f>Kaspers!AJ109</f>
        <v>126952.82</v>
      </c>
      <c r="T30" s="1164"/>
      <c r="U30" s="1152">
        <f>Kaspers!AN109</f>
        <v>125796.74</v>
      </c>
      <c r="V30" s="1124"/>
      <c r="W30" s="1152">
        <f>Kaspers!AT109</f>
        <v>26040.67</v>
      </c>
      <c r="X30" s="1165">
        <f t="shared" si="12"/>
        <v>0.003244995566</v>
      </c>
      <c r="Y30" s="1166">
        <f t="shared" si="13"/>
        <v>358931.34</v>
      </c>
      <c r="Z30" s="1120"/>
      <c r="AA30" s="1119" t="str">
        <f t="shared" si="14"/>
        <v>#DIV/0!</v>
      </c>
    </row>
    <row r="31" ht="15.75" customHeight="1">
      <c r="A31" s="213"/>
      <c r="B31" s="492" t="s">
        <v>40</v>
      </c>
      <c r="C31" s="351"/>
      <c r="D31" s="1117"/>
      <c r="E31" s="1118"/>
      <c r="F31" s="1117"/>
      <c r="G31" s="1118"/>
      <c r="H31" s="1117"/>
      <c r="I31" s="1118"/>
      <c r="J31" s="1140"/>
      <c r="K31" s="1118"/>
      <c r="L31" s="1112"/>
      <c r="M31" s="1118"/>
      <c r="N31" s="1112"/>
      <c r="O31" s="1118"/>
      <c r="P31" s="1112"/>
      <c r="Q31" s="1152">
        <f>Kaspers!AF113</f>
        <v>23550.83333</v>
      </c>
      <c r="R31" s="1164"/>
      <c r="S31" s="1152">
        <f>Kaspers!AJ113</f>
        <v>22075.83333</v>
      </c>
      <c r="T31" s="1164"/>
      <c r="U31" s="1152">
        <f>Kaspers!AN113</f>
        <v>34465.83333</v>
      </c>
      <c r="V31" s="1124"/>
      <c r="W31" s="1152">
        <f>Kaspers!AT113</f>
        <v>26613.83333</v>
      </c>
      <c r="X31" s="1165">
        <f t="shared" si="12"/>
        <v>0.003316418938</v>
      </c>
      <c r="Y31" s="1166">
        <f t="shared" si="13"/>
        <v>106706.3333</v>
      </c>
      <c r="Z31" s="1120"/>
      <c r="AA31" s="1119" t="str">
        <f t="shared" si="14"/>
        <v>#DIV/0!</v>
      </c>
    </row>
    <row r="32" ht="15.75" customHeight="1">
      <c r="A32" s="213"/>
      <c r="B32" s="492" t="s">
        <v>41</v>
      </c>
      <c r="C32" s="351"/>
      <c r="D32" s="1117"/>
      <c r="E32" s="1118"/>
      <c r="F32" s="1117"/>
      <c r="G32" s="1118"/>
      <c r="H32" s="1117"/>
      <c r="I32" s="1118"/>
      <c r="J32" s="1140"/>
      <c r="K32" s="1118"/>
      <c r="L32" s="1112"/>
      <c r="M32" s="1118"/>
      <c r="N32" s="1112"/>
      <c r="O32" s="1118"/>
      <c r="P32" s="1112"/>
      <c r="Q32" s="1152">
        <f>Kaspers!AF117</f>
        <v>786450</v>
      </c>
      <c r="R32" s="1164"/>
      <c r="S32" s="1152">
        <f>Kaspers!AJ117</f>
        <v>723703</v>
      </c>
      <c r="T32" s="1164"/>
      <c r="U32" s="1152">
        <f>Kaspers!AN117</f>
        <v>219177</v>
      </c>
      <c r="V32" s="1124"/>
      <c r="W32" s="1152">
        <f>Kaspers!AT117</f>
        <v>566207.46</v>
      </c>
      <c r="X32" s="1165">
        <f t="shared" si="12"/>
        <v>0.07055658311</v>
      </c>
      <c r="Y32" s="1166">
        <f t="shared" si="13"/>
        <v>2295537.46</v>
      </c>
      <c r="Z32" s="1120"/>
      <c r="AA32" s="1119" t="str">
        <f t="shared" si="14"/>
        <v>#DIV/0!</v>
      </c>
    </row>
    <row r="33" ht="15.75" customHeight="1">
      <c r="A33" s="213"/>
      <c r="B33" s="492" t="s">
        <v>543</v>
      </c>
      <c r="C33" s="351"/>
      <c r="D33" s="1117"/>
      <c r="E33" s="1118"/>
      <c r="F33" s="1117"/>
      <c r="G33" s="1118"/>
      <c r="H33" s="1117"/>
      <c r="I33" s="1118"/>
      <c r="J33" s="1140"/>
      <c r="K33" s="1118"/>
      <c r="L33" s="1112"/>
      <c r="M33" s="1118"/>
      <c r="N33" s="1112"/>
      <c r="O33" s="1118"/>
      <c r="P33" s="1112"/>
      <c r="Q33" s="1152">
        <f>Kaspers!AF124+Kaspers!AF125</f>
        <v>656382.3333</v>
      </c>
      <c r="R33" s="1164"/>
      <c r="S33" s="1152">
        <f>Kaspers!AJ124+Kaspers!AJ125</f>
        <v>213386.3333</v>
      </c>
      <c r="T33" s="1164"/>
      <c r="U33" s="1152">
        <f>Kaspers!AN124+Kaspers!AN125</f>
        <v>63038.33333</v>
      </c>
      <c r="V33" s="1124"/>
      <c r="W33" s="1152">
        <f>Kaspers!AT124+Kaspers!AT125</f>
        <v>108065.3333</v>
      </c>
      <c r="X33" s="1165">
        <f t="shared" si="12"/>
        <v>0.01346630204</v>
      </c>
      <c r="Y33" s="1166">
        <f t="shared" si="13"/>
        <v>1040872.333</v>
      </c>
      <c r="Z33" s="1120"/>
      <c r="AA33" s="1119" t="str">
        <f t="shared" si="14"/>
        <v>#DIV/0!</v>
      </c>
    </row>
    <row r="34" ht="15.75" customHeight="1">
      <c r="A34" s="213"/>
      <c r="B34" s="492" t="s">
        <v>285</v>
      </c>
      <c r="C34" s="351"/>
      <c r="D34" s="1117"/>
      <c r="E34" s="1118"/>
      <c r="F34" s="1117"/>
      <c r="G34" s="1118"/>
      <c r="H34" s="1117"/>
      <c r="I34" s="1118"/>
      <c r="J34" s="1140"/>
      <c r="K34" s="1118"/>
      <c r="L34" s="1112"/>
      <c r="M34" s="1118"/>
      <c r="N34" s="1112"/>
      <c r="O34" s="1118"/>
      <c r="P34" s="1112"/>
      <c r="Q34" s="1152" t="str">
        <f>Kaspers!AF127</f>
        <v/>
      </c>
      <c r="R34" s="1164"/>
      <c r="S34" s="1152" t="str">
        <f>Kaspers!AJ127</f>
        <v/>
      </c>
      <c r="T34" s="1164"/>
      <c r="U34" s="1152">
        <v>0.0</v>
      </c>
      <c r="V34" s="1124"/>
      <c r="W34" s="1152">
        <v>0.0</v>
      </c>
      <c r="X34" s="1165">
        <f t="shared" si="12"/>
        <v>0</v>
      </c>
      <c r="Y34" s="1166">
        <f t="shared" si="13"/>
        <v>0</v>
      </c>
      <c r="Z34" s="1120"/>
      <c r="AA34" s="1119" t="str">
        <f t="shared" si="14"/>
        <v>#DIV/0!</v>
      </c>
    </row>
    <row r="35" ht="15.75" customHeight="1">
      <c r="A35" s="213"/>
      <c r="B35" s="492" t="s">
        <v>286</v>
      </c>
      <c r="C35" s="351"/>
      <c r="D35" s="1117"/>
      <c r="E35" s="1118"/>
      <c r="F35" s="1117"/>
      <c r="G35" s="1118"/>
      <c r="H35" s="1117"/>
      <c r="I35" s="1118"/>
      <c r="J35" s="1140"/>
      <c r="K35" s="1118"/>
      <c r="L35" s="1112"/>
      <c r="M35" s="1118"/>
      <c r="N35" s="1112"/>
      <c r="O35" s="1118"/>
      <c r="P35" s="1112"/>
      <c r="Q35" s="1152">
        <f>Kaspers!AF129</f>
        <v>23975</v>
      </c>
      <c r="R35" s="1164"/>
      <c r="S35" s="1152">
        <f>Kaspers!AJ129</f>
        <v>29100</v>
      </c>
      <c r="T35" s="1164"/>
      <c r="U35" s="1152">
        <f>Kaspers!AN129</f>
        <v>34072</v>
      </c>
      <c r="V35" s="1124"/>
      <c r="W35" s="1152">
        <f>Kaspers!AT129</f>
        <v>30883</v>
      </c>
      <c r="X35" s="1165">
        <f t="shared" si="12"/>
        <v>0.003848410892</v>
      </c>
      <c r="Y35" s="1166">
        <f t="shared" si="13"/>
        <v>118030</v>
      </c>
      <c r="Z35" s="1120"/>
      <c r="AA35" s="1119" t="str">
        <f t="shared" si="14"/>
        <v>#DIV/0!</v>
      </c>
    </row>
    <row r="36" ht="15.75" customHeight="1">
      <c r="A36" s="213"/>
      <c r="B36" s="492" t="s">
        <v>287</v>
      </c>
      <c r="C36" s="351"/>
      <c r="D36" s="1117"/>
      <c r="E36" s="1118"/>
      <c r="F36" s="1117"/>
      <c r="G36" s="1118"/>
      <c r="H36" s="1117"/>
      <c r="I36" s="1118"/>
      <c r="J36" s="1140"/>
      <c r="K36" s="1118"/>
      <c r="L36" s="1112"/>
      <c r="M36" s="1118"/>
      <c r="N36" s="1112"/>
      <c r="O36" s="1118"/>
      <c r="P36" s="1112"/>
      <c r="Q36" s="1152">
        <v>0.0</v>
      </c>
      <c r="R36" s="1164"/>
      <c r="S36" s="1152">
        <v>0.0</v>
      </c>
      <c r="T36" s="1164"/>
      <c r="U36" s="1152">
        <v>0.0</v>
      </c>
      <c r="V36" s="1124"/>
      <c r="W36" s="1152">
        <v>0.0</v>
      </c>
      <c r="X36" s="1165">
        <f t="shared" si="12"/>
        <v>0</v>
      </c>
      <c r="Y36" s="1166">
        <f t="shared" si="13"/>
        <v>0</v>
      </c>
      <c r="Z36" s="1120"/>
      <c r="AA36" s="1119" t="str">
        <f t="shared" si="14"/>
        <v>#DIV/0!</v>
      </c>
    </row>
    <row r="37" ht="15.75" customHeight="1">
      <c r="A37" s="213"/>
      <c r="B37" s="492" t="s">
        <v>288</v>
      </c>
      <c r="C37" s="351"/>
      <c r="D37" s="1117"/>
      <c r="E37" s="1118"/>
      <c r="F37" s="1117"/>
      <c r="G37" s="1118"/>
      <c r="H37" s="1117"/>
      <c r="I37" s="1118"/>
      <c r="J37" s="1140"/>
      <c r="K37" s="1118"/>
      <c r="L37" s="1112"/>
      <c r="M37" s="1118"/>
      <c r="N37" s="1112"/>
      <c r="O37" s="1118"/>
      <c r="P37" s="1112"/>
      <c r="Q37" s="1152">
        <v>0.0</v>
      </c>
      <c r="R37" s="1164"/>
      <c r="S37" s="1152">
        <v>0.0</v>
      </c>
      <c r="T37" s="1164"/>
      <c r="U37" s="1152">
        <v>0.0</v>
      </c>
      <c r="V37" s="1124"/>
      <c r="W37" s="1152">
        <v>0.0</v>
      </c>
      <c r="X37" s="1165">
        <f t="shared" si="12"/>
        <v>0</v>
      </c>
      <c r="Y37" s="1166">
        <f t="shared" si="13"/>
        <v>0</v>
      </c>
      <c r="Z37" s="1120"/>
      <c r="AA37" s="1119" t="str">
        <f t="shared" si="14"/>
        <v>#DIV/0!</v>
      </c>
    </row>
    <row r="38" ht="15.75" customHeight="1">
      <c r="A38" s="213"/>
      <c r="B38" s="492" t="s">
        <v>544</v>
      </c>
      <c r="C38" s="351"/>
      <c r="D38" s="1117"/>
      <c r="E38" s="1118"/>
      <c r="F38" s="1117"/>
      <c r="G38" s="1152"/>
      <c r="H38" s="1117"/>
      <c r="I38" s="1118"/>
      <c r="J38" s="1140"/>
      <c r="K38" s="1118"/>
      <c r="L38" s="1112"/>
      <c r="M38" s="1118"/>
      <c r="N38" s="1112"/>
      <c r="O38" s="1118"/>
      <c r="P38" s="1112"/>
      <c r="Q38" s="1152">
        <v>0.0</v>
      </c>
      <c r="R38" s="1164"/>
      <c r="S38" s="1152">
        <v>0.0</v>
      </c>
      <c r="T38" s="1164"/>
      <c r="U38" s="1152">
        <v>0.0</v>
      </c>
      <c r="V38" s="1124"/>
      <c r="W38" s="1152" t="str">
        <f>Kaspers!AT136</f>
        <v/>
      </c>
      <c r="X38" s="1165">
        <f t="shared" si="12"/>
        <v>0</v>
      </c>
      <c r="Y38" s="1166">
        <f t="shared" si="13"/>
        <v>0</v>
      </c>
      <c r="Z38" s="1153"/>
      <c r="AA38" s="1119">
        <v>0.0</v>
      </c>
    </row>
    <row r="39" ht="15.75" customHeight="1">
      <c r="A39" s="213"/>
      <c r="B39" s="492" t="s">
        <v>42</v>
      </c>
      <c r="C39" s="351"/>
      <c r="D39" s="1117"/>
      <c r="E39" s="1152"/>
      <c r="F39" s="1117"/>
      <c r="G39" s="1152"/>
      <c r="H39" s="1117"/>
      <c r="I39" s="1152"/>
      <c r="J39" s="1140"/>
      <c r="K39" s="1152"/>
      <c r="L39" s="1112"/>
      <c r="M39" s="1152"/>
      <c r="N39" s="1112"/>
      <c r="O39" s="1152"/>
      <c r="P39" s="1112"/>
      <c r="Q39" s="1152">
        <v>0.0</v>
      </c>
      <c r="R39" s="1124"/>
      <c r="S39" s="1152">
        <f>Kaspers!AJ138+Kaspers!AJ142</f>
        <v>376550</v>
      </c>
      <c r="T39" s="1164"/>
      <c r="U39" s="1152">
        <v>0.0</v>
      </c>
      <c r="V39" s="1124"/>
      <c r="W39" s="1152"/>
      <c r="X39" s="1165">
        <f t="shared" si="12"/>
        <v>0</v>
      </c>
      <c r="Y39" s="1166">
        <f t="shared" si="13"/>
        <v>376550</v>
      </c>
      <c r="Z39" s="1153"/>
      <c r="AA39" s="1119">
        <v>0.0</v>
      </c>
    </row>
    <row r="40" ht="15.75" customHeight="1">
      <c r="A40" s="213"/>
      <c r="B40" s="502" t="s">
        <v>43</v>
      </c>
      <c r="C40" s="363"/>
      <c r="D40" s="1121"/>
      <c r="E40" s="1122"/>
      <c r="F40" s="1117"/>
      <c r="G40" s="1122"/>
      <c r="H40" s="1117"/>
      <c r="I40" s="1122"/>
      <c r="J40" s="1140"/>
      <c r="K40" s="1122"/>
      <c r="L40" s="1112"/>
      <c r="M40" s="1122"/>
      <c r="N40" s="1112"/>
      <c r="O40" s="1122"/>
      <c r="P40" s="1112"/>
      <c r="Q40" s="1122">
        <v>0.0</v>
      </c>
      <c r="R40" s="1124"/>
      <c r="S40" s="1122">
        <v>0.0</v>
      </c>
      <c r="T40" s="1164"/>
      <c r="U40" s="1152">
        <v>0.0</v>
      </c>
      <c r="V40" s="1124"/>
      <c r="W40" s="1122"/>
      <c r="X40" s="1165">
        <f t="shared" si="12"/>
        <v>0</v>
      </c>
      <c r="Y40" s="1166">
        <f t="shared" si="13"/>
        <v>0</v>
      </c>
      <c r="Z40" s="1154"/>
      <c r="AA40" s="1119">
        <v>0.0</v>
      </c>
    </row>
    <row r="41" ht="15.75" customHeight="1">
      <c r="A41" s="213"/>
      <c r="B41" s="1104" t="s">
        <v>44</v>
      </c>
      <c r="C41" s="1127">
        <f>SUM(C25:C40)</f>
        <v>0</v>
      </c>
      <c r="D41" s="1128" t="str">
        <f>C41/$C$15</f>
        <v>#DIV/0!</v>
      </c>
      <c r="E41" s="1145">
        <f>SUM(E25:E40)</f>
        <v>0</v>
      </c>
      <c r="F41" s="1128" t="str">
        <f>E41/E15</f>
        <v>#DIV/0!</v>
      </c>
      <c r="G41" s="1145">
        <f>SUM(G25:G40)</f>
        <v>0</v>
      </c>
      <c r="H41" s="1129" t="str">
        <f>G41/G15</f>
        <v>#DIV/0!</v>
      </c>
      <c r="I41" s="1145">
        <f>SUM(I25:I40)</f>
        <v>0</v>
      </c>
      <c r="J41" s="1129" t="str">
        <f>I41/I15</f>
        <v>#DIV/0!</v>
      </c>
      <c r="K41" s="1145">
        <f>SUM(K25:K40)</f>
        <v>0</v>
      </c>
      <c r="L41" s="1151"/>
      <c r="M41" s="1145">
        <f>SUM(M25:M40)</f>
        <v>0</v>
      </c>
      <c r="N41" s="1128" t="str">
        <f>M41/$M$15</f>
        <v>#DIV/0!</v>
      </c>
      <c r="O41" s="1145">
        <f>SUM(O25:O40)</f>
        <v>0</v>
      </c>
      <c r="P41" s="1128" t="str">
        <f>O41/O15</f>
        <v>#DIV/0!</v>
      </c>
      <c r="Q41" s="1145">
        <f>SUM(Q25:Q40)</f>
        <v>4535482.027</v>
      </c>
      <c r="R41" s="1128">
        <f>Q41/Q15</f>
        <v>0.8274814373</v>
      </c>
      <c r="S41" s="1145">
        <f>SUM(S25:S40)</f>
        <v>4747344.737</v>
      </c>
      <c r="T41" s="1128">
        <f>S41/S15</f>
        <v>0.5532430351</v>
      </c>
      <c r="U41" s="1145">
        <f>SUM(U25:U40)</f>
        <v>3968767.087</v>
      </c>
      <c r="V41" s="1128">
        <f>U41/U15</f>
        <v>0.4759288043</v>
      </c>
      <c r="W41" s="1145">
        <f>SUM(W25:W40)</f>
        <v>4389669.367</v>
      </c>
      <c r="X41" s="1129">
        <f>W41/W15</f>
        <v>0.5470081081</v>
      </c>
      <c r="Y41" s="1130">
        <f t="shared" ref="Y41:Z41" si="15">SUM(Y25:Y40)</f>
        <v>17641263.22</v>
      </c>
      <c r="Z41" s="1130">
        <f t="shared" si="15"/>
        <v>0</v>
      </c>
      <c r="AA41" s="1131" t="str">
        <f>Y41/Z41</f>
        <v>#DIV/0!</v>
      </c>
    </row>
    <row r="42" ht="15.75" customHeight="1">
      <c r="A42" s="213"/>
      <c r="B42" s="476"/>
      <c r="C42" s="417"/>
      <c r="D42" s="1146"/>
      <c r="E42" s="1147"/>
      <c r="F42" s="1146"/>
      <c r="G42" s="1147"/>
      <c r="H42" s="1146"/>
      <c r="I42" s="1155"/>
      <c r="J42" s="1156"/>
      <c r="K42" s="1147"/>
      <c r="L42" s="1146"/>
      <c r="M42" s="1147"/>
      <c r="N42" s="1146"/>
      <c r="O42" s="1147"/>
      <c r="P42" s="1146"/>
      <c r="Q42" s="1147"/>
      <c r="R42" s="1146"/>
      <c r="S42" s="1147"/>
      <c r="T42" s="1146"/>
      <c r="U42" s="1147"/>
      <c r="V42" s="1146"/>
      <c r="W42" s="1155"/>
      <c r="X42" s="1156"/>
      <c r="Y42" s="1150"/>
      <c r="Z42" s="1150"/>
      <c r="AA42" s="620"/>
    </row>
    <row r="43" ht="15.75" customHeight="1">
      <c r="A43" s="213"/>
      <c r="B43" s="1104" t="s">
        <v>45</v>
      </c>
      <c r="C43" s="1127">
        <f>C23-C41</f>
        <v>0</v>
      </c>
      <c r="D43" s="1128" t="str">
        <f>C43/$C$15</f>
        <v>#DIV/0!</v>
      </c>
      <c r="E43" s="1145">
        <f>E23-E41</f>
        <v>0</v>
      </c>
      <c r="F43" s="1128" t="str">
        <f>E43/E15</f>
        <v>#DIV/0!</v>
      </c>
      <c r="G43" s="1145">
        <f>G23-G41</f>
        <v>0</v>
      </c>
      <c r="H43" s="1129" t="str">
        <f>G43/G15</f>
        <v>#DIV/0!</v>
      </c>
      <c r="I43" s="1157">
        <f>I23-I41</f>
        <v>0</v>
      </c>
      <c r="J43" s="1129" t="str">
        <f>I43/I15</f>
        <v>#DIV/0!</v>
      </c>
      <c r="K43" s="1145">
        <f>K23-K41</f>
        <v>0</v>
      </c>
      <c r="L43" s="1151"/>
      <c r="M43" s="1145">
        <f>M23-M41</f>
        <v>0</v>
      </c>
      <c r="N43" s="1128" t="str">
        <f>M43/$M$15</f>
        <v>#DIV/0!</v>
      </c>
      <c r="O43" s="1145">
        <f>O23-O41</f>
        <v>0</v>
      </c>
      <c r="P43" s="1128" t="str">
        <f>O43/O15</f>
        <v>#DIV/0!</v>
      </c>
      <c r="Q43" s="1145">
        <f>Q23-Q41</f>
        <v>-2014984.61</v>
      </c>
      <c r="R43" s="1128">
        <f>Q43/Q15</f>
        <v>-0.3676262746</v>
      </c>
      <c r="S43" s="1145">
        <f>S23-S41</f>
        <v>183496.4867</v>
      </c>
      <c r="T43" s="1128">
        <f>S43/S15</f>
        <v>0.02138419661</v>
      </c>
      <c r="U43" s="1145">
        <f>U23-U41</f>
        <v>806360.7381</v>
      </c>
      <c r="V43" s="1128">
        <f>U43/U15</f>
        <v>0.09669761252</v>
      </c>
      <c r="W43" s="1145">
        <f>W23-W41</f>
        <v>254331.3889</v>
      </c>
      <c r="X43" s="1128">
        <f>W43/W15</f>
        <v>0.03169289535</v>
      </c>
      <c r="Y43" s="1130">
        <f t="shared" ref="Y43:Z43" si="16">Y23-Y41</f>
        <v>-770795.9962</v>
      </c>
      <c r="Z43" s="1130">
        <f t="shared" si="16"/>
        <v>0</v>
      </c>
      <c r="AA43" s="1131" t="str">
        <f>Y43/Z43</f>
        <v>#DIV/0!</v>
      </c>
    </row>
    <row r="44" ht="15.75" customHeight="1">
      <c r="A44" s="213"/>
      <c r="B44" s="213"/>
      <c r="C44" s="1101"/>
      <c r="D44" s="1101"/>
      <c r="E44" s="1101"/>
      <c r="F44" s="1101"/>
      <c r="G44" s="1101"/>
      <c r="H44" s="1101"/>
      <c r="I44" s="1101"/>
      <c r="J44" s="1101"/>
      <c r="K44" s="1101"/>
      <c r="L44" s="1101"/>
      <c r="M44" s="1101"/>
      <c r="N44" s="1101"/>
      <c r="O44" s="1101"/>
      <c r="P44" s="1101"/>
      <c r="Q44" s="1101"/>
      <c r="R44" s="1101"/>
      <c r="S44" s="1101"/>
      <c r="T44" s="1101"/>
      <c r="U44" s="1101"/>
      <c r="V44" s="1101"/>
      <c r="W44" s="1101"/>
      <c r="X44" s="1101"/>
      <c r="Y44" s="1102"/>
      <c r="Z44" s="1102"/>
      <c r="AA44" s="1101"/>
    </row>
    <row r="45" ht="15.75" customHeight="1">
      <c r="A45" s="213"/>
      <c r="B45" s="213"/>
      <c r="C45" s="1158"/>
      <c r="D45" s="1158"/>
      <c r="E45" s="1158"/>
      <c r="F45" s="1158"/>
      <c r="G45" s="1158"/>
      <c r="H45" s="1158"/>
      <c r="I45" s="1158"/>
      <c r="J45" s="1158"/>
      <c r="K45" s="1158"/>
      <c r="L45" s="1158"/>
      <c r="M45" s="1158"/>
      <c r="N45" s="1158"/>
      <c r="O45" s="1158"/>
      <c r="P45" s="1158"/>
      <c r="Q45" s="1158">
        <f>Kaspers!AF152</f>
        <v>-1566726.717</v>
      </c>
      <c r="R45" s="1158"/>
      <c r="S45" s="1158">
        <f>Kaspers!AJ152</f>
        <v>777032.82</v>
      </c>
      <c r="T45" s="1158"/>
      <c r="U45" s="1158">
        <f>Kaspers!AN152</f>
        <v>903471.0714</v>
      </c>
      <c r="V45" s="1158"/>
      <c r="W45" s="1158">
        <f>Kaspers!AT152</f>
        <v>393279.7222</v>
      </c>
      <c r="X45" s="1158"/>
      <c r="Y45" s="1159"/>
      <c r="Z45" s="1159"/>
      <c r="AA45" s="1158"/>
    </row>
    <row r="46" ht="15.75" customHeight="1">
      <c r="A46" s="213"/>
      <c r="B46" s="213"/>
      <c r="C46" s="1160">
        <f>+C43-C45</f>
        <v>0</v>
      </c>
      <c r="D46" s="1101"/>
      <c r="E46" s="1160">
        <f>+E43-E45</f>
        <v>0</v>
      </c>
      <c r="F46" s="1101"/>
      <c r="G46" s="1160">
        <f>+G43-G45</f>
        <v>0</v>
      </c>
      <c r="H46" s="1101"/>
      <c r="I46" s="1160">
        <f>+I43-I45</f>
        <v>0</v>
      </c>
      <c r="J46" s="1101"/>
      <c r="K46" s="1160">
        <f>+K43-K45</f>
        <v>0</v>
      </c>
      <c r="L46" s="1101"/>
      <c r="M46" s="1158">
        <f>+M43-M45</f>
        <v>0</v>
      </c>
      <c r="N46" s="1101"/>
      <c r="O46" s="1158">
        <f>+O43-O45</f>
        <v>0</v>
      </c>
      <c r="P46" s="1101"/>
      <c r="Q46" s="1158">
        <f>+Q43-Q45</f>
        <v>-448257.8933</v>
      </c>
      <c r="R46" s="1101"/>
      <c r="S46" s="1158">
        <f>+S43-S45</f>
        <v>-593536.3333</v>
      </c>
      <c r="T46" s="1101"/>
      <c r="U46" s="1158">
        <f>+U43-U45</f>
        <v>-97110.33333</v>
      </c>
      <c r="V46" s="1101"/>
      <c r="W46" s="1158">
        <f>+W43-W45</f>
        <v>-138948.3333</v>
      </c>
      <c r="X46" s="1101"/>
      <c r="Y46" s="1161"/>
      <c r="Z46" s="1102"/>
      <c r="AA46" s="1101"/>
    </row>
    <row r="47" ht="15.75" customHeight="1">
      <c r="A47" s="213"/>
      <c r="B47" s="213"/>
      <c r="C47" s="1101"/>
      <c r="D47" s="1101"/>
      <c r="E47" s="1101"/>
      <c r="F47" s="1101"/>
      <c r="G47" s="1101"/>
      <c r="H47" s="1101"/>
      <c r="I47" s="1101"/>
      <c r="J47" s="1101"/>
      <c r="K47" s="1101"/>
      <c r="L47" s="1101"/>
      <c r="M47" s="1101"/>
      <c r="N47" s="1101"/>
      <c r="O47" s="1101"/>
      <c r="P47" s="1101"/>
      <c r="Q47" s="1101"/>
      <c r="R47" s="1101"/>
      <c r="S47" s="1101"/>
      <c r="T47" s="1101"/>
      <c r="U47" s="1101"/>
      <c r="V47" s="1101"/>
      <c r="W47" s="1101"/>
      <c r="X47" s="1101"/>
      <c r="Y47" s="1102"/>
      <c r="Z47" s="1102"/>
      <c r="AA47" s="1101"/>
    </row>
    <row r="48" ht="15.75" customHeight="1">
      <c r="A48" s="213"/>
      <c r="B48" s="213"/>
      <c r="C48" s="1101"/>
      <c r="D48" s="1101"/>
      <c r="E48" s="1101"/>
      <c r="F48" s="1101"/>
      <c r="G48" s="1101"/>
      <c r="H48" s="1101"/>
      <c r="I48" s="1101"/>
      <c r="J48" s="1101"/>
      <c r="K48" s="1101"/>
      <c r="L48" s="1101"/>
      <c r="M48" s="1101"/>
      <c r="N48" s="1101"/>
      <c r="O48" s="1101"/>
      <c r="P48" s="1101"/>
      <c r="Q48" s="1101"/>
      <c r="R48" s="1101"/>
      <c r="S48" s="1101"/>
      <c r="T48" s="1101"/>
      <c r="U48" s="1101"/>
      <c r="V48" s="1101"/>
      <c r="W48" s="1101"/>
      <c r="X48" s="1101"/>
      <c r="Y48" s="1102"/>
      <c r="Z48" s="1102"/>
      <c r="AA48" s="1101"/>
    </row>
    <row r="49" ht="15.75" customHeight="1">
      <c r="A49" s="213"/>
      <c r="B49" s="213"/>
      <c r="C49" s="1101"/>
      <c r="D49" s="1101"/>
      <c r="E49" s="1101"/>
      <c r="F49" s="1101"/>
      <c r="G49" s="1101"/>
      <c r="H49" s="1101"/>
      <c r="I49" s="1101"/>
      <c r="J49" s="1101"/>
      <c r="K49" s="1101"/>
      <c r="L49" s="1101"/>
      <c r="M49" s="1101"/>
      <c r="N49" s="1101"/>
      <c r="O49" s="1101"/>
      <c r="P49" s="1101"/>
      <c r="Q49" s="1101"/>
      <c r="R49" s="1101"/>
      <c r="S49" s="1101"/>
      <c r="T49" s="1101"/>
      <c r="U49" s="1101"/>
      <c r="V49" s="1101"/>
      <c r="W49" s="1101"/>
      <c r="X49" s="1101"/>
      <c r="Y49" s="1102"/>
      <c r="Z49" s="1102"/>
      <c r="AA49" s="1101"/>
    </row>
    <row r="50" ht="15.75" customHeight="1">
      <c r="A50" s="213"/>
      <c r="B50" s="213"/>
      <c r="C50" s="1101"/>
      <c r="D50" s="1101"/>
      <c r="E50" s="1101"/>
      <c r="F50" s="1101"/>
      <c r="G50" s="1101"/>
      <c r="H50" s="1101"/>
      <c r="I50" s="1101"/>
      <c r="J50" s="1101"/>
      <c r="K50" s="1101"/>
      <c r="L50" s="1101"/>
      <c r="M50" s="1101"/>
      <c r="N50" s="1101"/>
      <c r="O50" s="1101"/>
      <c r="P50" s="1101"/>
      <c r="Q50" s="1101"/>
      <c r="R50" s="1101"/>
      <c r="S50" s="1101"/>
      <c r="T50" s="1101"/>
      <c r="U50" s="1101"/>
      <c r="V50" s="1101"/>
      <c r="W50" s="1101"/>
      <c r="X50" s="1101"/>
      <c r="Y50" s="1102"/>
      <c r="Z50" s="1102"/>
      <c r="AA50" s="1101"/>
    </row>
    <row r="51" ht="15.75" customHeight="1">
      <c r="A51" s="213"/>
      <c r="B51" s="213"/>
      <c r="C51" s="1101"/>
      <c r="D51" s="1101"/>
      <c r="E51" s="1101"/>
      <c r="F51" s="1101"/>
      <c r="G51" s="1101"/>
      <c r="H51" s="1101"/>
      <c r="I51" s="1101"/>
      <c r="J51" s="1101"/>
      <c r="K51" s="1101"/>
      <c r="L51" s="1101"/>
      <c r="M51" s="1101"/>
      <c r="N51" s="1101"/>
      <c r="O51" s="1101"/>
      <c r="P51" s="1101"/>
      <c r="Q51" s="1101"/>
      <c r="R51" s="1101"/>
      <c r="S51" s="1101"/>
      <c r="T51" s="1101"/>
      <c r="U51" s="1101"/>
      <c r="V51" s="1101"/>
      <c r="W51" s="1101"/>
      <c r="X51" s="1101"/>
      <c r="Y51" s="1102"/>
      <c r="Z51" s="1102"/>
      <c r="AA51" s="1101"/>
    </row>
    <row r="52" ht="15.75" customHeight="1">
      <c r="A52" s="213"/>
      <c r="B52" s="213"/>
      <c r="C52" s="1101"/>
      <c r="D52" s="1101"/>
      <c r="E52" s="1101"/>
      <c r="F52" s="1101"/>
      <c r="G52" s="1101"/>
      <c r="H52" s="1101"/>
      <c r="I52" s="1101"/>
      <c r="J52" s="1101"/>
      <c r="K52" s="1101"/>
      <c r="L52" s="1101"/>
      <c r="M52" s="1101"/>
      <c r="N52" s="1101"/>
      <c r="O52" s="1101"/>
      <c r="P52" s="1101"/>
      <c r="Q52" s="1101"/>
      <c r="R52" s="1101"/>
      <c r="S52" s="1101"/>
      <c r="T52" s="1101"/>
      <c r="U52" s="1101"/>
      <c r="V52" s="1101"/>
      <c r="W52" s="1101"/>
      <c r="X52" s="1101"/>
      <c r="Y52" s="1102"/>
      <c r="Z52" s="1102"/>
      <c r="AA52" s="1101"/>
    </row>
    <row r="53" ht="15.75" customHeight="1">
      <c r="A53" s="213"/>
      <c r="B53" s="213"/>
      <c r="C53" s="1101"/>
      <c r="D53" s="1101"/>
      <c r="E53" s="1101"/>
      <c r="F53" s="1101"/>
      <c r="G53" s="1101"/>
      <c r="H53" s="1101"/>
      <c r="I53" s="1101"/>
      <c r="J53" s="1101"/>
      <c r="K53" s="1101"/>
      <c r="L53" s="1101"/>
      <c r="M53" s="1101"/>
      <c r="N53" s="1101"/>
      <c r="O53" s="1101"/>
      <c r="P53" s="1101"/>
      <c r="Q53" s="1101"/>
      <c r="R53" s="1101"/>
      <c r="S53" s="1101"/>
      <c r="T53" s="1101"/>
      <c r="U53" s="1101"/>
      <c r="V53" s="1101"/>
      <c r="W53" s="1101"/>
      <c r="X53" s="1101"/>
      <c r="Y53" s="1102"/>
      <c r="Z53" s="1102"/>
      <c r="AA53" s="1101"/>
    </row>
    <row r="54" ht="15.75" customHeight="1">
      <c r="A54" s="213"/>
      <c r="B54" s="213"/>
      <c r="C54" s="1101"/>
      <c r="D54" s="1101"/>
      <c r="E54" s="1101"/>
      <c r="F54" s="1101"/>
      <c r="G54" s="1101"/>
      <c r="H54" s="1101"/>
      <c r="I54" s="1101"/>
      <c r="J54" s="1101"/>
      <c r="K54" s="1101"/>
      <c r="L54" s="1101"/>
      <c r="M54" s="1101"/>
      <c r="N54" s="1101"/>
      <c r="O54" s="1101"/>
      <c r="P54" s="1101"/>
      <c r="Q54" s="1101"/>
      <c r="R54" s="1101"/>
      <c r="S54" s="1101"/>
      <c r="T54" s="1101"/>
      <c r="U54" s="1101"/>
      <c r="V54" s="1101"/>
      <c r="W54" s="1101"/>
      <c r="X54" s="1101"/>
      <c r="Y54" s="1102"/>
      <c r="Z54" s="1102"/>
      <c r="AA54" s="1101"/>
    </row>
    <row r="55" ht="15.75" customHeight="1">
      <c r="A55" s="213"/>
      <c r="B55" s="213"/>
      <c r="C55" s="1101"/>
      <c r="D55" s="1101"/>
      <c r="E55" s="1101"/>
      <c r="F55" s="1101"/>
      <c r="G55" s="1101"/>
      <c r="H55" s="1101"/>
      <c r="I55" s="1101"/>
      <c r="J55" s="1101"/>
      <c r="K55" s="1101"/>
      <c r="L55" s="1101"/>
      <c r="M55" s="1101"/>
      <c r="N55" s="1101"/>
      <c r="O55" s="1101"/>
      <c r="P55" s="1101"/>
      <c r="Q55" s="1101"/>
      <c r="R55" s="1101"/>
      <c r="S55" s="1101"/>
      <c r="T55" s="1101"/>
      <c r="U55" s="1101"/>
      <c r="V55" s="1101"/>
      <c r="W55" s="1101"/>
      <c r="X55" s="1101"/>
      <c r="Y55" s="1102"/>
      <c r="Z55" s="1102"/>
      <c r="AA55" s="1101"/>
    </row>
    <row r="56" ht="15.75" customHeight="1">
      <c r="A56" s="213"/>
      <c r="B56" s="213"/>
      <c r="C56" s="1101"/>
      <c r="D56" s="1101"/>
      <c r="E56" s="1101"/>
      <c r="F56" s="1101"/>
      <c r="G56" s="1101"/>
      <c r="H56" s="1101"/>
      <c r="I56" s="1101"/>
      <c r="J56" s="1101"/>
      <c r="K56" s="1101"/>
      <c r="L56" s="1101"/>
      <c r="M56" s="1101"/>
      <c r="N56" s="1101"/>
      <c r="O56" s="1101"/>
      <c r="P56" s="1101"/>
      <c r="Q56" s="1101"/>
      <c r="R56" s="1101"/>
      <c r="S56" s="1101"/>
      <c r="T56" s="1101"/>
      <c r="U56" s="1101"/>
      <c r="V56" s="1101"/>
      <c r="W56" s="1101"/>
      <c r="X56" s="1101"/>
      <c r="Y56" s="1102"/>
      <c r="Z56" s="1102"/>
      <c r="AA56" s="1101"/>
    </row>
    <row r="57" ht="15.75" customHeight="1">
      <c r="A57" s="213"/>
      <c r="B57" s="213"/>
      <c r="C57" s="1101"/>
      <c r="D57" s="1101"/>
      <c r="E57" s="1101"/>
      <c r="F57" s="1101"/>
      <c r="G57" s="1101"/>
      <c r="H57" s="1101"/>
      <c r="I57" s="1101"/>
      <c r="J57" s="1101"/>
      <c r="K57" s="1101"/>
      <c r="L57" s="1101"/>
      <c r="M57" s="1101"/>
      <c r="N57" s="1101"/>
      <c r="O57" s="1101"/>
      <c r="P57" s="1101"/>
      <c r="Q57" s="1101"/>
      <c r="R57" s="1101"/>
      <c r="S57" s="1101"/>
      <c r="T57" s="1101"/>
      <c r="U57" s="1101"/>
      <c r="V57" s="1101"/>
      <c r="W57" s="1101"/>
      <c r="X57" s="1101"/>
      <c r="Y57" s="1102"/>
      <c r="Z57" s="1102"/>
      <c r="AA57" s="1101"/>
    </row>
    <row r="58" ht="15.75" customHeight="1">
      <c r="A58" s="213"/>
      <c r="B58" s="213"/>
      <c r="C58" s="1101"/>
      <c r="D58" s="1101"/>
      <c r="E58" s="1101"/>
      <c r="F58" s="1101"/>
      <c r="G58" s="1101"/>
      <c r="H58" s="1101"/>
      <c r="I58" s="1101"/>
      <c r="J58" s="1101"/>
      <c r="K58" s="1101"/>
      <c r="L58" s="1101"/>
      <c r="M58" s="1101"/>
      <c r="N58" s="1101"/>
      <c r="O58" s="1101"/>
      <c r="P58" s="1101"/>
      <c r="Q58" s="1101"/>
      <c r="R58" s="1101"/>
      <c r="S58" s="1101"/>
      <c r="T58" s="1101"/>
      <c r="U58" s="1101"/>
      <c r="V58" s="1101"/>
      <c r="W58" s="1101"/>
      <c r="X58" s="1101"/>
      <c r="Y58" s="1102"/>
      <c r="Z58" s="1102"/>
      <c r="AA58" s="1101"/>
    </row>
    <row r="59" ht="15.75" customHeight="1">
      <c r="A59" s="213"/>
      <c r="B59" s="213"/>
      <c r="C59" s="1101"/>
      <c r="D59" s="1101"/>
      <c r="E59" s="1101"/>
      <c r="F59" s="1101"/>
      <c r="G59" s="1101"/>
      <c r="H59" s="1101"/>
      <c r="I59" s="1101"/>
      <c r="J59" s="1101"/>
      <c r="K59" s="1101"/>
      <c r="L59" s="1101"/>
      <c r="M59" s="1101"/>
      <c r="N59" s="1101"/>
      <c r="O59" s="1101"/>
      <c r="P59" s="1101"/>
      <c r="Q59" s="1101"/>
      <c r="R59" s="1101"/>
      <c r="S59" s="1101"/>
      <c r="T59" s="1101"/>
      <c r="U59" s="1101"/>
      <c r="V59" s="1101"/>
      <c r="W59" s="1101"/>
      <c r="X59" s="1101"/>
      <c r="Y59" s="1102"/>
      <c r="Z59" s="1102"/>
      <c r="AA59" s="1101"/>
    </row>
    <row r="60" ht="15.75" customHeight="1">
      <c r="A60" s="213"/>
      <c r="B60" s="213"/>
      <c r="C60" s="1101"/>
      <c r="D60" s="1101"/>
      <c r="E60" s="1101"/>
      <c r="F60" s="1101"/>
      <c r="G60" s="1101"/>
      <c r="H60" s="1101"/>
      <c r="I60" s="1101"/>
      <c r="J60" s="1101"/>
      <c r="K60" s="1101"/>
      <c r="L60" s="1101"/>
      <c r="M60" s="1101"/>
      <c r="N60" s="1101"/>
      <c r="O60" s="1101"/>
      <c r="P60" s="1101"/>
      <c r="Q60" s="1101"/>
      <c r="R60" s="1101"/>
      <c r="S60" s="1101"/>
      <c r="T60" s="1101"/>
      <c r="U60" s="1101"/>
      <c r="V60" s="1101"/>
      <c r="W60" s="1101"/>
      <c r="X60" s="1101"/>
      <c r="Y60" s="1102"/>
      <c r="Z60" s="1102"/>
      <c r="AA60" s="1101"/>
    </row>
    <row r="61" ht="15.75" customHeight="1">
      <c r="A61" s="213"/>
      <c r="B61" s="213"/>
      <c r="C61" s="1101"/>
      <c r="D61" s="1101"/>
      <c r="E61" s="1101"/>
      <c r="F61" s="1101"/>
      <c r="G61" s="1101"/>
      <c r="H61" s="1101"/>
      <c r="I61" s="1101"/>
      <c r="J61" s="1101"/>
      <c r="K61" s="1101"/>
      <c r="L61" s="1101"/>
      <c r="M61" s="1101"/>
      <c r="N61" s="1101"/>
      <c r="O61" s="1101"/>
      <c r="P61" s="1101"/>
      <c r="Q61" s="1101"/>
      <c r="R61" s="1101"/>
      <c r="S61" s="1101"/>
      <c r="T61" s="1101"/>
      <c r="U61" s="1101"/>
      <c r="V61" s="1101"/>
      <c r="W61" s="1101"/>
      <c r="X61" s="1101"/>
      <c r="Y61" s="1102"/>
      <c r="Z61" s="1102"/>
      <c r="AA61" s="1101"/>
    </row>
    <row r="62" ht="15.75" customHeight="1">
      <c r="A62" s="213"/>
      <c r="B62" s="213"/>
      <c r="C62" s="1101"/>
      <c r="D62" s="1101"/>
      <c r="E62" s="1101"/>
      <c r="F62" s="1101"/>
      <c r="G62" s="1101"/>
      <c r="H62" s="1101"/>
      <c r="I62" s="1101"/>
      <c r="J62" s="1101"/>
      <c r="K62" s="1101"/>
      <c r="L62" s="1101"/>
      <c r="M62" s="1101"/>
      <c r="N62" s="1101"/>
      <c r="O62" s="1101"/>
      <c r="P62" s="1101"/>
      <c r="Q62" s="1101"/>
      <c r="R62" s="1101"/>
      <c r="S62" s="1101"/>
      <c r="T62" s="1101"/>
      <c r="U62" s="1101"/>
      <c r="V62" s="1101"/>
      <c r="W62" s="1101"/>
      <c r="X62" s="1101"/>
      <c r="Y62" s="1102"/>
      <c r="Z62" s="1102"/>
      <c r="AA62" s="1101"/>
    </row>
    <row r="63" ht="15.75" customHeight="1">
      <c r="A63" s="213"/>
      <c r="B63" s="213"/>
      <c r="C63" s="1101"/>
      <c r="D63" s="1101"/>
      <c r="E63" s="1101"/>
      <c r="F63" s="1101"/>
      <c r="G63" s="1101"/>
      <c r="H63" s="1101"/>
      <c r="I63" s="1101"/>
      <c r="J63" s="1101"/>
      <c r="K63" s="1101"/>
      <c r="L63" s="1101"/>
      <c r="M63" s="1101"/>
      <c r="N63" s="1101"/>
      <c r="O63" s="1101"/>
      <c r="P63" s="1101"/>
      <c r="Q63" s="1101"/>
      <c r="R63" s="1101"/>
      <c r="S63" s="1101"/>
      <c r="T63" s="1101"/>
      <c r="U63" s="1101"/>
      <c r="V63" s="1101"/>
      <c r="W63" s="1101"/>
      <c r="X63" s="1101"/>
      <c r="Y63" s="1102"/>
      <c r="Z63" s="1102"/>
      <c r="AA63" s="1101"/>
    </row>
    <row r="64" ht="15.75" customHeight="1">
      <c r="A64" s="213"/>
      <c r="B64" s="213"/>
      <c r="C64" s="1101"/>
      <c r="D64" s="1101"/>
      <c r="E64" s="1101"/>
      <c r="F64" s="1101"/>
      <c r="G64" s="1101"/>
      <c r="H64" s="1101"/>
      <c r="I64" s="1101"/>
      <c r="J64" s="1101"/>
      <c r="K64" s="1101"/>
      <c r="L64" s="1101"/>
      <c r="M64" s="1101"/>
      <c r="N64" s="1101"/>
      <c r="O64" s="1101"/>
      <c r="P64" s="1101"/>
      <c r="Q64" s="1101"/>
      <c r="R64" s="1101"/>
      <c r="S64" s="1101"/>
      <c r="T64" s="1101"/>
      <c r="U64" s="1101"/>
      <c r="V64" s="1101"/>
      <c r="W64" s="1101"/>
      <c r="X64" s="1101"/>
      <c r="Y64" s="1102"/>
      <c r="Z64" s="1102"/>
      <c r="AA64" s="1101"/>
    </row>
    <row r="65" ht="15.75" customHeight="1">
      <c r="A65" s="213"/>
      <c r="B65" s="213"/>
      <c r="C65" s="1101"/>
      <c r="D65" s="1101"/>
      <c r="E65" s="1101"/>
      <c r="F65" s="1101"/>
      <c r="G65" s="1101"/>
      <c r="H65" s="1101"/>
      <c r="I65" s="1101"/>
      <c r="J65" s="1101"/>
      <c r="K65" s="1101"/>
      <c r="L65" s="1101"/>
      <c r="M65" s="1101"/>
      <c r="N65" s="1101"/>
      <c r="O65" s="1101"/>
      <c r="P65" s="1101"/>
      <c r="Q65" s="1101"/>
      <c r="R65" s="1101"/>
      <c r="S65" s="1101"/>
      <c r="T65" s="1101"/>
      <c r="U65" s="1101"/>
      <c r="V65" s="1101"/>
      <c r="W65" s="1101"/>
      <c r="X65" s="1101"/>
      <c r="Y65" s="1102"/>
      <c r="Z65" s="1102"/>
      <c r="AA65" s="1101"/>
    </row>
    <row r="66" ht="15.75" customHeight="1">
      <c r="A66" s="213"/>
      <c r="B66" s="213"/>
      <c r="C66" s="1101"/>
      <c r="D66" s="1101"/>
      <c r="E66" s="1101"/>
      <c r="F66" s="1101"/>
      <c r="G66" s="1101"/>
      <c r="H66" s="1101"/>
      <c r="I66" s="1101"/>
      <c r="J66" s="1101"/>
      <c r="K66" s="1101"/>
      <c r="L66" s="1101"/>
      <c r="M66" s="1101"/>
      <c r="N66" s="1101"/>
      <c r="O66" s="1101"/>
      <c r="P66" s="1101"/>
      <c r="Q66" s="1101"/>
      <c r="R66" s="1101"/>
      <c r="S66" s="1101"/>
      <c r="T66" s="1101"/>
      <c r="U66" s="1101"/>
      <c r="V66" s="1101"/>
      <c r="W66" s="1101"/>
      <c r="X66" s="1101"/>
      <c r="Y66" s="1102"/>
      <c r="Z66" s="1102"/>
      <c r="AA66" s="1101"/>
    </row>
    <row r="67" ht="15.75" customHeight="1">
      <c r="A67" s="213"/>
      <c r="B67" s="213"/>
      <c r="C67" s="1101"/>
      <c r="D67" s="1101"/>
      <c r="E67" s="1101"/>
      <c r="F67" s="1101"/>
      <c r="G67" s="1101"/>
      <c r="H67" s="1101"/>
      <c r="I67" s="1101"/>
      <c r="J67" s="1101"/>
      <c r="K67" s="1101"/>
      <c r="L67" s="1101"/>
      <c r="M67" s="1101"/>
      <c r="N67" s="1101"/>
      <c r="O67" s="1101"/>
      <c r="P67" s="1101"/>
      <c r="Q67" s="1101"/>
      <c r="R67" s="1101"/>
      <c r="S67" s="1101"/>
      <c r="T67" s="1101"/>
      <c r="U67" s="1101"/>
      <c r="V67" s="1101"/>
      <c r="W67" s="1101"/>
      <c r="X67" s="1101"/>
      <c r="Y67" s="1102"/>
      <c r="Z67" s="1102"/>
      <c r="AA67" s="1101"/>
    </row>
    <row r="68" ht="15.75" customHeight="1">
      <c r="A68" s="213"/>
      <c r="B68" s="213"/>
      <c r="C68" s="1101"/>
      <c r="D68" s="1101"/>
      <c r="E68" s="1101"/>
      <c r="F68" s="1101"/>
      <c r="G68" s="1101"/>
      <c r="H68" s="1101"/>
      <c r="I68" s="1101"/>
      <c r="J68" s="1101"/>
      <c r="K68" s="1101"/>
      <c r="L68" s="1101"/>
      <c r="M68" s="1101"/>
      <c r="N68" s="1101"/>
      <c r="O68" s="1101"/>
      <c r="P68" s="1101"/>
      <c r="Q68" s="1101"/>
      <c r="R68" s="1101"/>
      <c r="S68" s="1101"/>
      <c r="T68" s="1101"/>
      <c r="U68" s="1101"/>
      <c r="V68" s="1101"/>
      <c r="W68" s="1101"/>
      <c r="X68" s="1101"/>
      <c r="Y68" s="1102"/>
      <c r="Z68" s="1102"/>
      <c r="AA68" s="1101"/>
    </row>
    <row r="69" ht="15.75" customHeight="1">
      <c r="A69" s="213"/>
      <c r="B69" s="213"/>
      <c r="C69" s="1101"/>
      <c r="D69" s="1101"/>
      <c r="E69" s="1101"/>
      <c r="F69" s="1101"/>
      <c r="G69" s="1101"/>
      <c r="H69" s="1101"/>
      <c r="I69" s="1101"/>
      <c r="J69" s="1101"/>
      <c r="K69" s="1101"/>
      <c r="L69" s="1101"/>
      <c r="M69" s="1101"/>
      <c r="N69" s="1101"/>
      <c r="O69" s="1101"/>
      <c r="P69" s="1101"/>
      <c r="Q69" s="1101"/>
      <c r="R69" s="1101"/>
      <c r="S69" s="1101"/>
      <c r="T69" s="1101"/>
      <c r="U69" s="1101"/>
      <c r="V69" s="1101"/>
      <c r="W69" s="1101"/>
      <c r="X69" s="1101"/>
      <c r="Y69" s="1102"/>
      <c r="Z69" s="1102"/>
      <c r="AA69" s="1101"/>
    </row>
    <row r="70" ht="15.75" customHeight="1">
      <c r="A70" s="213"/>
      <c r="B70" s="213"/>
      <c r="C70" s="1101"/>
      <c r="D70" s="1101"/>
      <c r="E70" s="1101"/>
      <c r="F70" s="1101"/>
      <c r="G70" s="1101"/>
      <c r="H70" s="1101"/>
      <c r="I70" s="1101"/>
      <c r="J70" s="1101"/>
      <c r="K70" s="1101"/>
      <c r="L70" s="1101"/>
      <c r="M70" s="1101"/>
      <c r="N70" s="1101"/>
      <c r="O70" s="1101"/>
      <c r="P70" s="1101"/>
      <c r="Q70" s="1101"/>
      <c r="R70" s="1101"/>
      <c r="S70" s="1101"/>
      <c r="T70" s="1101"/>
      <c r="U70" s="1101"/>
      <c r="V70" s="1101"/>
      <c r="W70" s="1101"/>
      <c r="X70" s="1101"/>
      <c r="Y70" s="1102"/>
      <c r="Z70" s="1102"/>
      <c r="AA70" s="1101"/>
    </row>
    <row r="71" ht="15.75" customHeight="1">
      <c r="A71" s="213"/>
      <c r="B71" s="213"/>
      <c r="C71" s="1101"/>
      <c r="D71" s="1101"/>
      <c r="E71" s="1101"/>
      <c r="F71" s="1101"/>
      <c r="G71" s="1101"/>
      <c r="H71" s="1101"/>
      <c r="I71" s="1101"/>
      <c r="J71" s="1101"/>
      <c r="K71" s="1101"/>
      <c r="L71" s="1101"/>
      <c r="M71" s="1101"/>
      <c r="N71" s="1101"/>
      <c r="O71" s="1101"/>
      <c r="P71" s="1101"/>
      <c r="Q71" s="1101"/>
      <c r="R71" s="1101"/>
      <c r="S71" s="1101"/>
      <c r="T71" s="1101"/>
      <c r="U71" s="1101"/>
      <c r="V71" s="1101"/>
      <c r="W71" s="1101"/>
      <c r="X71" s="1101"/>
      <c r="Y71" s="1102"/>
      <c r="Z71" s="1102"/>
      <c r="AA71" s="1101"/>
    </row>
    <row r="72" ht="15.75" customHeight="1">
      <c r="A72" s="213"/>
      <c r="B72" s="213"/>
      <c r="C72" s="1101"/>
      <c r="D72" s="1101"/>
      <c r="E72" s="1101"/>
      <c r="F72" s="1101"/>
      <c r="G72" s="1101"/>
      <c r="H72" s="1101"/>
      <c r="I72" s="1101"/>
      <c r="J72" s="1101"/>
      <c r="K72" s="1101"/>
      <c r="L72" s="1101"/>
      <c r="M72" s="1101"/>
      <c r="N72" s="1101"/>
      <c r="O72" s="1101"/>
      <c r="P72" s="1101"/>
      <c r="Q72" s="1101"/>
      <c r="R72" s="1101"/>
      <c r="S72" s="1101"/>
      <c r="T72" s="1101"/>
      <c r="U72" s="1101"/>
      <c r="V72" s="1101"/>
      <c r="W72" s="1101"/>
      <c r="X72" s="1101"/>
      <c r="Y72" s="1102"/>
      <c r="Z72" s="1102"/>
      <c r="AA72" s="1101"/>
    </row>
    <row r="73" ht="15.75" customHeight="1">
      <c r="A73" s="213"/>
      <c r="B73" s="213"/>
      <c r="C73" s="1101"/>
      <c r="D73" s="1101"/>
      <c r="E73" s="1101"/>
      <c r="F73" s="1101"/>
      <c r="G73" s="1101"/>
      <c r="H73" s="1101"/>
      <c r="I73" s="1101"/>
      <c r="J73" s="1101"/>
      <c r="K73" s="1101"/>
      <c r="L73" s="1101"/>
      <c r="M73" s="1101"/>
      <c r="N73" s="1101"/>
      <c r="O73" s="1101"/>
      <c r="P73" s="1101"/>
      <c r="Q73" s="1101"/>
      <c r="R73" s="1101"/>
      <c r="S73" s="1101"/>
      <c r="T73" s="1101"/>
      <c r="U73" s="1101"/>
      <c r="V73" s="1101"/>
      <c r="W73" s="1101"/>
      <c r="X73" s="1101"/>
      <c r="Y73" s="1102"/>
      <c r="Z73" s="1102"/>
      <c r="AA73" s="1101"/>
    </row>
    <row r="74" ht="15.75" customHeight="1">
      <c r="A74" s="213"/>
      <c r="B74" s="213"/>
      <c r="C74" s="1101"/>
      <c r="D74" s="1101"/>
      <c r="E74" s="1101"/>
      <c r="F74" s="1101"/>
      <c r="G74" s="1101"/>
      <c r="H74" s="1101"/>
      <c r="I74" s="1101"/>
      <c r="J74" s="1101"/>
      <c r="K74" s="1101"/>
      <c r="L74" s="1101"/>
      <c r="M74" s="1101"/>
      <c r="N74" s="1101"/>
      <c r="O74" s="1101"/>
      <c r="P74" s="1101"/>
      <c r="Q74" s="1101"/>
      <c r="R74" s="1101"/>
      <c r="S74" s="1101"/>
      <c r="T74" s="1101"/>
      <c r="U74" s="1101"/>
      <c r="V74" s="1101"/>
      <c r="W74" s="1101"/>
      <c r="X74" s="1101"/>
      <c r="Y74" s="1102"/>
      <c r="Z74" s="1102"/>
      <c r="AA74" s="1101"/>
    </row>
    <row r="75" ht="15.75" customHeight="1">
      <c r="A75" s="213"/>
      <c r="B75" s="213"/>
      <c r="C75" s="1101"/>
      <c r="D75" s="1101"/>
      <c r="E75" s="1101"/>
      <c r="F75" s="1101"/>
      <c r="G75" s="1101"/>
      <c r="H75" s="1101"/>
      <c r="I75" s="1101"/>
      <c r="J75" s="1101"/>
      <c r="K75" s="1101"/>
      <c r="L75" s="1101"/>
      <c r="M75" s="1101"/>
      <c r="N75" s="1101"/>
      <c r="O75" s="1101"/>
      <c r="P75" s="1101"/>
      <c r="Q75" s="1101"/>
      <c r="R75" s="1101"/>
      <c r="S75" s="1101"/>
      <c r="T75" s="1101"/>
      <c r="U75" s="1101"/>
      <c r="V75" s="1101"/>
      <c r="W75" s="1101"/>
      <c r="X75" s="1101"/>
      <c r="Y75" s="1102"/>
      <c r="Z75" s="1102"/>
      <c r="AA75" s="1101"/>
    </row>
    <row r="76" ht="15.75" customHeight="1">
      <c r="A76" s="213"/>
      <c r="B76" s="213"/>
      <c r="C76" s="1101"/>
      <c r="D76" s="1101"/>
      <c r="E76" s="1101"/>
      <c r="F76" s="1101"/>
      <c r="G76" s="1101"/>
      <c r="H76" s="1101"/>
      <c r="I76" s="1101"/>
      <c r="J76" s="1101"/>
      <c r="K76" s="1101"/>
      <c r="L76" s="1101"/>
      <c r="M76" s="1101"/>
      <c r="N76" s="1101"/>
      <c r="O76" s="1101"/>
      <c r="P76" s="1101"/>
      <c r="Q76" s="1101"/>
      <c r="R76" s="1101"/>
      <c r="S76" s="1101"/>
      <c r="T76" s="1101"/>
      <c r="U76" s="1101"/>
      <c r="V76" s="1101"/>
      <c r="W76" s="1101"/>
      <c r="X76" s="1101"/>
      <c r="Y76" s="1102"/>
      <c r="Z76" s="1102"/>
      <c r="AA76" s="1101"/>
    </row>
    <row r="77" ht="15.75" customHeight="1">
      <c r="A77" s="213"/>
      <c r="B77" s="213"/>
      <c r="C77" s="1101"/>
      <c r="D77" s="1101"/>
      <c r="E77" s="1101"/>
      <c r="F77" s="1101"/>
      <c r="G77" s="1101"/>
      <c r="H77" s="1101"/>
      <c r="I77" s="1101"/>
      <c r="J77" s="1101"/>
      <c r="K77" s="1101"/>
      <c r="L77" s="1101"/>
      <c r="M77" s="1101"/>
      <c r="N77" s="1101"/>
      <c r="O77" s="1101"/>
      <c r="P77" s="1101"/>
      <c r="Q77" s="1101"/>
      <c r="R77" s="1101"/>
      <c r="S77" s="1101"/>
      <c r="T77" s="1101"/>
      <c r="U77" s="1101"/>
      <c r="V77" s="1101"/>
      <c r="W77" s="1101"/>
      <c r="X77" s="1101"/>
      <c r="Y77" s="1102"/>
      <c r="Z77" s="1102"/>
      <c r="AA77" s="1101"/>
    </row>
    <row r="78" ht="15.75" customHeight="1">
      <c r="A78" s="213"/>
      <c r="B78" s="213"/>
      <c r="C78" s="1101"/>
      <c r="D78" s="1101"/>
      <c r="E78" s="1101"/>
      <c r="F78" s="1101"/>
      <c r="G78" s="1101"/>
      <c r="H78" s="1101"/>
      <c r="I78" s="1101"/>
      <c r="J78" s="1101"/>
      <c r="K78" s="1101"/>
      <c r="L78" s="1101"/>
      <c r="M78" s="1101"/>
      <c r="N78" s="1101"/>
      <c r="O78" s="1101"/>
      <c r="P78" s="1101"/>
      <c r="Q78" s="1101"/>
      <c r="R78" s="1101"/>
      <c r="S78" s="1101"/>
      <c r="T78" s="1101"/>
      <c r="U78" s="1101"/>
      <c r="V78" s="1101"/>
      <c r="W78" s="1101"/>
      <c r="X78" s="1101"/>
      <c r="Y78" s="1102"/>
      <c r="Z78" s="1102"/>
      <c r="AA78" s="1101"/>
    </row>
    <row r="79" ht="15.75" customHeight="1">
      <c r="A79" s="213"/>
      <c r="B79" s="213"/>
      <c r="C79" s="1101"/>
      <c r="D79" s="1101"/>
      <c r="E79" s="1101"/>
      <c r="F79" s="1101"/>
      <c r="G79" s="1101"/>
      <c r="H79" s="1101"/>
      <c r="I79" s="1101"/>
      <c r="J79" s="1101"/>
      <c r="K79" s="1101"/>
      <c r="L79" s="1101"/>
      <c r="M79" s="1101"/>
      <c r="N79" s="1101"/>
      <c r="O79" s="1101"/>
      <c r="P79" s="1101"/>
      <c r="Q79" s="1101"/>
      <c r="R79" s="1101"/>
      <c r="S79" s="1101"/>
      <c r="T79" s="1101"/>
      <c r="U79" s="1101"/>
      <c r="V79" s="1101"/>
      <c r="W79" s="1101"/>
      <c r="X79" s="1101"/>
      <c r="Y79" s="1102"/>
      <c r="Z79" s="1102"/>
      <c r="AA79" s="1101"/>
    </row>
    <row r="80" ht="15.75" customHeight="1">
      <c r="A80" s="213"/>
      <c r="B80" s="213"/>
      <c r="C80" s="1101"/>
      <c r="D80" s="1101"/>
      <c r="E80" s="1101"/>
      <c r="F80" s="1101"/>
      <c r="G80" s="1101"/>
      <c r="H80" s="1101"/>
      <c r="I80" s="1101"/>
      <c r="J80" s="1101"/>
      <c r="K80" s="1101"/>
      <c r="L80" s="1101"/>
      <c r="M80" s="1101"/>
      <c r="N80" s="1101"/>
      <c r="O80" s="1101"/>
      <c r="P80" s="1101"/>
      <c r="Q80" s="1101"/>
      <c r="R80" s="1101"/>
      <c r="S80" s="1101"/>
      <c r="T80" s="1101"/>
      <c r="U80" s="1101"/>
      <c r="V80" s="1101"/>
      <c r="W80" s="1101"/>
      <c r="X80" s="1101"/>
      <c r="Y80" s="1102"/>
      <c r="Z80" s="1102"/>
      <c r="AA80" s="1101"/>
    </row>
    <row r="81" ht="15.75" customHeight="1">
      <c r="A81" s="213"/>
      <c r="B81" s="213"/>
      <c r="C81" s="1101"/>
      <c r="D81" s="1101"/>
      <c r="E81" s="1101"/>
      <c r="F81" s="1101"/>
      <c r="G81" s="1101"/>
      <c r="H81" s="1101"/>
      <c r="I81" s="1101"/>
      <c r="J81" s="1101"/>
      <c r="K81" s="1101"/>
      <c r="L81" s="1101"/>
      <c r="M81" s="1101"/>
      <c r="N81" s="1101"/>
      <c r="O81" s="1101"/>
      <c r="P81" s="1101"/>
      <c r="Q81" s="1101"/>
      <c r="R81" s="1101"/>
      <c r="S81" s="1101"/>
      <c r="T81" s="1101"/>
      <c r="U81" s="1101"/>
      <c r="V81" s="1101"/>
      <c r="W81" s="1101"/>
      <c r="X81" s="1101"/>
      <c r="Y81" s="1102"/>
      <c r="Z81" s="1102"/>
      <c r="AA81" s="1101"/>
    </row>
    <row r="82" ht="15.75" customHeight="1">
      <c r="A82" s="213"/>
      <c r="B82" s="213"/>
      <c r="C82" s="1101"/>
      <c r="D82" s="1101"/>
      <c r="E82" s="1101"/>
      <c r="F82" s="1101"/>
      <c r="G82" s="1101"/>
      <c r="H82" s="1101"/>
      <c r="I82" s="1101"/>
      <c r="J82" s="1101"/>
      <c r="K82" s="1101"/>
      <c r="L82" s="1101"/>
      <c r="M82" s="1101"/>
      <c r="N82" s="1101"/>
      <c r="O82" s="1101"/>
      <c r="P82" s="1101"/>
      <c r="Q82" s="1101"/>
      <c r="R82" s="1101"/>
      <c r="S82" s="1101"/>
      <c r="T82" s="1101"/>
      <c r="U82" s="1101"/>
      <c r="V82" s="1101"/>
      <c r="W82" s="1101"/>
      <c r="X82" s="1101"/>
      <c r="Y82" s="1102"/>
      <c r="Z82" s="1102"/>
      <c r="AA82" s="1101"/>
    </row>
    <row r="83" ht="15.75" customHeight="1">
      <c r="A83" s="213"/>
      <c r="B83" s="213"/>
      <c r="C83" s="1101"/>
      <c r="D83" s="1101"/>
      <c r="E83" s="1101"/>
      <c r="F83" s="1101"/>
      <c r="G83" s="1101"/>
      <c r="H83" s="1101"/>
      <c r="I83" s="1101"/>
      <c r="J83" s="1101"/>
      <c r="K83" s="1101"/>
      <c r="L83" s="1101"/>
      <c r="M83" s="1101"/>
      <c r="N83" s="1101"/>
      <c r="O83" s="1101"/>
      <c r="P83" s="1101"/>
      <c r="Q83" s="1101"/>
      <c r="R83" s="1101"/>
      <c r="S83" s="1101"/>
      <c r="T83" s="1101"/>
      <c r="U83" s="1101"/>
      <c r="V83" s="1101"/>
      <c r="W83" s="1101"/>
      <c r="X83" s="1101"/>
      <c r="Y83" s="1102"/>
      <c r="Z83" s="1102"/>
      <c r="AA83" s="1101"/>
    </row>
    <row r="84" ht="15.75" customHeight="1">
      <c r="A84" s="213"/>
      <c r="B84" s="213"/>
      <c r="C84" s="1101"/>
      <c r="D84" s="1101"/>
      <c r="E84" s="1101"/>
      <c r="F84" s="1101"/>
      <c r="G84" s="1101"/>
      <c r="H84" s="1101"/>
      <c r="I84" s="1101"/>
      <c r="J84" s="1101"/>
      <c r="K84" s="1101"/>
      <c r="L84" s="1101"/>
      <c r="M84" s="1101"/>
      <c r="N84" s="1101"/>
      <c r="O84" s="1101"/>
      <c r="P84" s="1101"/>
      <c r="Q84" s="1101"/>
      <c r="R84" s="1101"/>
      <c r="S84" s="1101"/>
      <c r="T84" s="1101"/>
      <c r="U84" s="1101"/>
      <c r="V84" s="1101"/>
      <c r="W84" s="1101"/>
      <c r="X84" s="1101"/>
      <c r="Y84" s="1102"/>
      <c r="Z84" s="1102"/>
      <c r="AA84" s="1101"/>
    </row>
    <row r="85" ht="15.75" customHeight="1">
      <c r="A85" s="213"/>
      <c r="B85" s="213"/>
      <c r="C85" s="1101"/>
      <c r="D85" s="1101"/>
      <c r="E85" s="1101"/>
      <c r="F85" s="1101"/>
      <c r="G85" s="1101"/>
      <c r="H85" s="1101"/>
      <c r="I85" s="1101"/>
      <c r="J85" s="1101"/>
      <c r="K85" s="1101"/>
      <c r="L85" s="1101"/>
      <c r="M85" s="1101"/>
      <c r="N85" s="1101"/>
      <c r="O85" s="1101"/>
      <c r="P85" s="1101"/>
      <c r="Q85" s="1101"/>
      <c r="R85" s="1101"/>
      <c r="S85" s="1101"/>
      <c r="T85" s="1101"/>
      <c r="U85" s="1101"/>
      <c r="V85" s="1101"/>
      <c r="W85" s="1101"/>
      <c r="X85" s="1101"/>
      <c r="Y85" s="1102"/>
      <c r="Z85" s="1102"/>
      <c r="AA85" s="1101"/>
    </row>
    <row r="86" ht="15.75" customHeight="1">
      <c r="A86" s="213"/>
      <c r="B86" s="213"/>
      <c r="C86" s="1101"/>
      <c r="D86" s="1101"/>
      <c r="E86" s="1101"/>
      <c r="F86" s="1101"/>
      <c r="G86" s="1101"/>
      <c r="H86" s="1101"/>
      <c r="I86" s="1101"/>
      <c r="J86" s="1101"/>
      <c r="K86" s="1101"/>
      <c r="L86" s="1101"/>
      <c r="M86" s="1101"/>
      <c r="N86" s="1101"/>
      <c r="O86" s="1101"/>
      <c r="P86" s="1101"/>
      <c r="Q86" s="1101"/>
      <c r="R86" s="1101"/>
      <c r="S86" s="1101"/>
      <c r="T86" s="1101"/>
      <c r="U86" s="1101"/>
      <c r="V86" s="1101"/>
      <c r="W86" s="1101"/>
      <c r="X86" s="1101"/>
      <c r="Y86" s="1102"/>
      <c r="Z86" s="1102"/>
      <c r="AA86" s="1101"/>
    </row>
    <row r="87" ht="15.75" customHeight="1">
      <c r="A87" s="213"/>
      <c r="B87" s="213"/>
      <c r="C87" s="1101"/>
      <c r="D87" s="1101"/>
      <c r="E87" s="1101"/>
      <c r="F87" s="1101"/>
      <c r="G87" s="1101"/>
      <c r="H87" s="1101"/>
      <c r="I87" s="1101"/>
      <c r="J87" s="1101"/>
      <c r="K87" s="1101"/>
      <c r="L87" s="1101"/>
      <c r="M87" s="1101"/>
      <c r="N87" s="1101"/>
      <c r="O87" s="1101"/>
      <c r="P87" s="1101"/>
      <c r="Q87" s="1101"/>
      <c r="R87" s="1101"/>
      <c r="S87" s="1101"/>
      <c r="T87" s="1101"/>
      <c r="U87" s="1101"/>
      <c r="V87" s="1101"/>
      <c r="W87" s="1101"/>
      <c r="X87" s="1101"/>
      <c r="Y87" s="1102"/>
      <c r="Z87" s="1102"/>
      <c r="AA87" s="1101"/>
    </row>
    <row r="88" ht="15.75" customHeight="1">
      <c r="A88" s="213"/>
      <c r="B88" s="213"/>
      <c r="C88" s="1101"/>
      <c r="D88" s="1101"/>
      <c r="E88" s="1101"/>
      <c r="F88" s="1101"/>
      <c r="G88" s="1101"/>
      <c r="H88" s="1101"/>
      <c r="I88" s="1101"/>
      <c r="J88" s="1101"/>
      <c r="K88" s="1101"/>
      <c r="L88" s="1101"/>
      <c r="M88" s="1101"/>
      <c r="N88" s="1101"/>
      <c r="O88" s="1101"/>
      <c r="P88" s="1101"/>
      <c r="Q88" s="1101"/>
      <c r="R88" s="1101"/>
      <c r="S88" s="1101"/>
      <c r="T88" s="1101"/>
      <c r="U88" s="1101"/>
      <c r="V88" s="1101"/>
      <c r="W88" s="1101"/>
      <c r="X88" s="1101"/>
      <c r="Y88" s="1102"/>
      <c r="Z88" s="1102"/>
      <c r="AA88" s="1101"/>
    </row>
    <row r="89" ht="15.75" customHeight="1">
      <c r="A89" s="213"/>
      <c r="B89" s="213"/>
      <c r="C89" s="1101"/>
      <c r="D89" s="1101"/>
      <c r="E89" s="1101"/>
      <c r="F89" s="1101"/>
      <c r="G89" s="1101"/>
      <c r="H89" s="1101"/>
      <c r="I89" s="1101"/>
      <c r="J89" s="1101"/>
      <c r="K89" s="1101"/>
      <c r="L89" s="1101"/>
      <c r="M89" s="1101"/>
      <c r="N89" s="1101"/>
      <c r="O89" s="1101"/>
      <c r="P89" s="1101"/>
      <c r="Q89" s="1101"/>
      <c r="R89" s="1101"/>
      <c r="S89" s="1101"/>
      <c r="T89" s="1101"/>
      <c r="U89" s="1101"/>
      <c r="V89" s="1101"/>
      <c r="W89" s="1101"/>
      <c r="X89" s="1101"/>
      <c r="Y89" s="1102"/>
      <c r="Z89" s="1102"/>
      <c r="AA89" s="1101"/>
    </row>
    <row r="90" ht="15.75" customHeight="1">
      <c r="A90" s="213"/>
      <c r="B90" s="213"/>
      <c r="C90" s="1101"/>
      <c r="D90" s="1101"/>
      <c r="E90" s="1101"/>
      <c r="F90" s="1101"/>
      <c r="G90" s="1101"/>
      <c r="H90" s="1101"/>
      <c r="I90" s="1101"/>
      <c r="J90" s="1101"/>
      <c r="K90" s="1101"/>
      <c r="L90" s="1101"/>
      <c r="M90" s="1101"/>
      <c r="N90" s="1101"/>
      <c r="O90" s="1101"/>
      <c r="P90" s="1101"/>
      <c r="Q90" s="1101"/>
      <c r="R90" s="1101"/>
      <c r="S90" s="1101"/>
      <c r="T90" s="1101"/>
      <c r="U90" s="1101"/>
      <c r="V90" s="1101"/>
      <c r="W90" s="1101"/>
      <c r="X90" s="1101"/>
      <c r="Y90" s="1102"/>
      <c r="Z90" s="1102"/>
      <c r="AA90" s="1101"/>
    </row>
    <row r="91" ht="15.75" customHeight="1">
      <c r="A91" s="213"/>
      <c r="B91" s="213"/>
      <c r="C91" s="1101"/>
      <c r="D91" s="1101"/>
      <c r="E91" s="1101"/>
      <c r="F91" s="1101"/>
      <c r="G91" s="1101"/>
      <c r="H91" s="1101"/>
      <c r="I91" s="1101"/>
      <c r="J91" s="1101"/>
      <c r="K91" s="1101"/>
      <c r="L91" s="1101"/>
      <c r="M91" s="1101"/>
      <c r="N91" s="1101"/>
      <c r="O91" s="1101"/>
      <c r="P91" s="1101"/>
      <c r="Q91" s="1101"/>
      <c r="R91" s="1101"/>
      <c r="S91" s="1101"/>
      <c r="T91" s="1101"/>
      <c r="U91" s="1101"/>
      <c r="V91" s="1101"/>
      <c r="W91" s="1101"/>
      <c r="X91" s="1101"/>
      <c r="Y91" s="1102"/>
      <c r="Z91" s="1102"/>
      <c r="AA91" s="1101"/>
    </row>
    <row r="92" ht="15.75" customHeight="1">
      <c r="A92" s="213"/>
      <c r="B92" s="213"/>
      <c r="C92" s="1101"/>
      <c r="D92" s="1101"/>
      <c r="E92" s="1101"/>
      <c r="F92" s="1101"/>
      <c r="G92" s="1101"/>
      <c r="H92" s="1101"/>
      <c r="I92" s="1101"/>
      <c r="J92" s="1101"/>
      <c r="K92" s="1101"/>
      <c r="L92" s="1101"/>
      <c r="M92" s="1101"/>
      <c r="N92" s="1101"/>
      <c r="O92" s="1101"/>
      <c r="P92" s="1101"/>
      <c r="Q92" s="1101"/>
      <c r="R92" s="1101"/>
      <c r="S92" s="1101"/>
      <c r="T92" s="1101"/>
      <c r="U92" s="1101"/>
      <c r="V92" s="1101"/>
      <c r="W92" s="1101"/>
      <c r="X92" s="1101"/>
      <c r="Y92" s="1102"/>
      <c r="Z92" s="1102"/>
      <c r="AA92" s="1101"/>
    </row>
    <row r="93" ht="15.75" customHeight="1">
      <c r="A93" s="213"/>
      <c r="B93" s="213"/>
      <c r="C93" s="1101"/>
      <c r="D93" s="1101"/>
      <c r="E93" s="1101"/>
      <c r="F93" s="1101"/>
      <c r="G93" s="1101"/>
      <c r="H93" s="1101"/>
      <c r="I93" s="1101"/>
      <c r="J93" s="1101"/>
      <c r="K93" s="1101"/>
      <c r="L93" s="1101"/>
      <c r="M93" s="1101"/>
      <c r="N93" s="1101"/>
      <c r="O93" s="1101"/>
      <c r="P93" s="1101"/>
      <c r="Q93" s="1101"/>
      <c r="R93" s="1101"/>
      <c r="S93" s="1101"/>
      <c r="T93" s="1101"/>
      <c r="U93" s="1101"/>
      <c r="V93" s="1101"/>
      <c r="W93" s="1101"/>
      <c r="X93" s="1101"/>
      <c r="Y93" s="1102"/>
      <c r="Z93" s="1102"/>
      <c r="AA93" s="1101"/>
    </row>
    <row r="94" ht="15.75" customHeight="1">
      <c r="A94" s="213"/>
      <c r="B94" s="213"/>
      <c r="C94" s="1101"/>
      <c r="D94" s="1101"/>
      <c r="E94" s="1101"/>
      <c r="F94" s="1101"/>
      <c r="G94" s="1101"/>
      <c r="H94" s="1101"/>
      <c r="I94" s="1101"/>
      <c r="J94" s="1101"/>
      <c r="K94" s="1101"/>
      <c r="L94" s="1101"/>
      <c r="M94" s="1101"/>
      <c r="N94" s="1101"/>
      <c r="O94" s="1101"/>
      <c r="P94" s="1101"/>
      <c r="Q94" s="1101"/>
      <c r="R94" s="1101"/>
      <c r="S94" s="1101"/>
      <c r="T94" s="1101"/>
      <c r="U94" s="1101"/>
      <c r="V94" s="1101"/>
      <c r="W94" s="1101"/>
      <c r="X94" s="1101"/>
      <c r="Y94" s="1102"/>
      <c r="Z94" s="1102"/>
      <c r="AA94" s="1101"/>
    </row>
    <row r="95" ht="15.75" customHeight="1">
      <c r="A95" s="213"/>
      <c r="B95" s="213"/>
      <c r="C95" s="1101"/>
      <c r="D95" s="1101"/>
      <c r="E95" s="1101"/>
      <c r="F95" s="1101"/>
      <c r="G95" s="1101"/>
      <c r="H95" s="1101"/>
      <c r="I95" s="1101"/>
      <c r="J95" s="1101"/>
      <c r="K95" s="1101"/>
      <c r="L95" s="1101"/>
      <c r="M95" s="1101"/>
      <c r="N95" s="1101"/>
      <c r="O95" s="1101"/>
      <c r="P95" s="1101"/>
      <c r="Q95" s="1101"/>
      <c r="R95" s="1101"/>
      <c r="S95" s="1101"/>
      <c r="T95" s="1101"/>
      <c r="U95" s="1101"/>
      <c r="V95" s="1101"/>
      <c r="W95" s="1101"/>
      <c r="X95" s="1101"/>
      <c r="Y95" s="1102"/>
      <c r="Z95" s="1102"/>
      <c r="AA95" s="1101"/>
    </row>
    <row r="96" ht="15.75" customHeight="1">
      <c r="A96" s="213"/>
      <c r="B96" s="213"/>
      <c r="C96" s="1101"/>
      <c r="D96" s="1101"/>
      <c r="E96" s="1101"/>
      <c r="F96" s="1101"/>
      <c r="G96" s="1101"/>
      <c r="H96" s="1101"/>
      <c r="I96" s="1101"/>
      <c r="J96" s="1101"/>
      <c r="K96" s="1101"/>
      <c r="L96" s="1101"/>
      <c r="M96" s="1101"/>
      <c r="N96" s="1101"/>
      <c r="O96" s="1101"/>
      <c r="P96" s="1101"/>
      <c r="Q96" s="1101"/>
      <c r="R96" s="1101"/>
      <c r="S96" s="1101"/>
      <c r="T96" s="1101"/>
      <c r="U96" s="1101"/>
      <c r="V96" s="1101"/>
      <c r="W96" s="1101"/>
      <c r="X96" s="1101"/>
      <c r="Y96" s="1102"/>
      <c r="Z96" s="1102"/>
      <c r="AA96" s="1101"/>
    </row>
    <row r="97" ht="15.75" customHeight="1">
      <c r="A97" s="213"/>
      <c r="B97" s="213"/>
      <c r="C97" s="1101"/>
      <c r="D97" s="1101"/>
      <c r="E97" s="1101"/>
      <c r="F97" s="1101"/>
      <c r="G97" s="1101"/>
      <c r="H97" s="1101"/>
      <c r="I97" s="1101"/>
      <c r="J97" s="1101"/>
      <c r="K97" s="1101"/>
      <c r="L97" s="1101"/>
      <c r="M97" s="1101"/>
      <c r="N97" s="1101"/>
      <c r="O97" s="1101"/>
      <c r="P97" s="1101"/>
      <c r="Q97" s="1101"/>
      <c r="R97" s="1101"/>
      <c r="S97" s="1101"/>
      <c r="T97" s="1101"/>
      <c r="U97" s="1101"/>
      <c r="V97" s="1101"/>
      <c r="W97" s="1101"/>
      <c r="X97" s="1101"/>
      <c r="Y97" s="1102"/>
      <c r="Z97" s="1102"/>
      <c r="AA97" s="1101"/>
    </row>
    <row r="98" ht="15.75" customHeight="1">
      <c r="A98" s="213"/>
      <c r="B98" s="213"/>
      <c r="C98" s="1101"/>
      <c r="D98" s="1101"/>
      <c r="E98" s="1101"/>
      <c r="F98" s="1101"/>
      <c r="G98" s="1101"/>
      <c r="H98" s="1101"/>
      <c r="I98" s="1101"/>
      <c r="J98" s="1101"/>
      <c r="K98" s="1101"/>
      <c r="L98" s="1101"/>
      <c r="M98" s="1101"/>
      <c r="N98" s="1101"/>
      <c r="O98" s="1101"/>
      <c r="P98" s="1101"/>
      <c r="Q98" s="1101"/>
      <c r="R98" s="1101"/>
      <c r="S98" s="1101"/>
      <c r="T98" s="1101"/>
      <c r="U98" s="1101"/>
      <c r="V98" s="1101"/>
      <c r="W98" s="1101"/>
      <c r="X98" s="1101"/>
      <c r="Y98" s="1102"/>
      <c r="Z98" s="1102"/>
      <c r="AA98" s="1101"/>
    </row>
    <row r="99" ht="15.75" customHeight="1">
      <c r="A99" s="213"/>
      <c r="B99" s="213"/>
      <c r="C99" s="1101"/>
      <c r="D99" s="1101"/>
      <c r="E99" s="1101"/>
      <c r="F99" s="1101"/>
      <c r="G99" s="1101"/>
      <c r="H99" s="1101"/>
      <c r="I99" s="1101"/>
      <c r="J99" s="1101"/>
      <c r="K99" s="1101"/>
      <c r="L99" s="1101"/>
      <c r="M99" s="1101"/>
      <c r="N99" s="1101"/>
      <c r="O99" s="1101"/>
      <c r="P99" s="1101"/>
      <c r="Q99" s="1101"/>
      <c r="R99" s="1101"/>
      <c r="S99" s="1101"/>
      <c r="T99" s="1101"/>
      <c r="U99" s="1101"/>
      <c r="V99" s="1101"/>
      <c r="W99" s="1101"/>
      <c r="X99" s="1101"/>
      <c r="Y99" s="1102"/>
      <c r="Z99" s="1102"/>
      <c r="AA99" s="1101"/>
    </row>
    <row r="100" ht="15.75" customHeight="1">
      <c r="A100" s="213"/>
      <c r="B100" s="213"/>
      <c r="C100" s="1101"/>
      <c r="D100" s="1101"/>
      <c r="E100" s="1101"/>
      <c r="F100" s="1101"/>
      <c r="G100" s="1101"/>
      <c r="H100" s="1101"/>
      <c r="I100" s="1101"/>
      <c r="J100" s="1101"/>
      <c r="K100" s="1101"/>
      <c r="L100" s="1101"/>
      <c r="M100" s="1101"/>
      <c r="N100" s="1101"/>
      <c r="O100" s="1101"/>
      <c r="P100" s="1101"/>
      <c r="Q100" s="1101"/>
      <c r="R100" s="1101"/>
      <c r="S100" s="1101"/>
      <c r="T100" s="1101"/>
      <c r="U100" s="1101"/>
      <c r="V100" s="1101"/>
      <c r="W100" s="1101"/>
      <c r="X100" s="1101"/>
      <c r="Y100" s="1102"/>
      <c r="Z100" s="1102"/>
      <c r="AA100" s="1101"/>
    </row>
    <row r="101" ht="15.75" customHeight="1">
      <c r="A101" s="213"/>
      <c r="B101" s="213"/>
      <c r="C101" s="1101"/>
      <c r="D101" s="1101"/>
      <c r="E101" s="1101"/>
      <c r="F101" s="1101"/>
      <c r="G101" s="1101"/>
      <c r="H101" s="1101"/>
      <c r="I101" s="1101"/>
      <c r="J101" s="1101"/>
      <c r="K101" s="1101"/>
      <c r="L101" s="1101"/>
      <c r="M101" s="1101"/>
      <c r="N101" s="1101"/>
      <c r="O101" s="1101"/>
      <c r="P101" s="1101"/>
      <c r="Q101" s="1101"/>
      <c r="R101" s="1101"/>
      <c r="S101" s="1101"/>
      <c r="T101" s="1101"/>
      <c r="U101" s="1101"/>
      <c r="V101" s="1101"/>
      <c r="W101" s="1101"/>
      <c r="X101" s="1101"/>
      <c r="Y101" s="1102"/>
      <c r="Z101" s="1102"/>
      <c r="AA101" s="1101"/>
    </row>
    <row r="102" ht="15.75" customHeight="1">
      <c r="A102" s="213"/>
      <c r="B102" s="213"/>
      <c r="C102" s="1101"/>
      <c r="D102" s="1101"/>
      <c r="E102" s="1101"/>
      <c r="F102" s="1101"/>
      <c r="G102" s="1101"/>
      <c r="H102" s="1101"/>
      <c r="I102" s="1101"/>
      <c r="J102" s="1101"/>
      <c r="K102" s="1101"/>
      <c r="L102" s="1101"/>
      <c r="M102" s="1101"/>
      <c r="N102" s="1101"/>
      <c r="O102" s="1101"/>
      <c r="P102" s="1101"/>
      <c r="Q102" s="1101"/>
      <c r="R102" s="1101"/>
      <c r="S102" s="1101"/>
      <c r="T102" s="1101"/>
      <c r="U102" s="1101"/>
      <c r="V102" s="1101"/>
      <c r="W102" s="1101"/>
      <c r="X102" s="1101"/>
      <c r="Y102" s="1102"/>
      <c r="Z102" s="1102"/>
      <c r="AA102" s="1101"/>
    </row>
    <row r="103" ht="15.75" customHeight="1">
      <c r="A103" s="213"/>
      <c r="B103" s="213"/>
      <c r="C103" s="1101"/>
      <c r="D103" s="1101"/>
      <c r="E103" s="1101"/>
      <c r="F103" s="1101"/>
      <c r="G103" s="1101"/>
      <c r="H103" s="1101"/>
      <c r="I103" s="1101"/>
      <c r="J103" s="1101"/>
      <c r="K103" s="1101"/>
      <c r="L103" s="1101"/>
      <c r="M103" s="1101"/>
      <c r="N103" s="1101"/>
      <c r="O103" s="1101"/>
      <c r="P103" s="1101"/>
      <c r="Q103" s="1101"/>
      <c r="R103" s="1101"/>
      <c r="S103" s="1101"/>
      <c r="T103" s="1101"/>
      <c r="U103" s="1101"/>
      <c r="V103" s="1101"/>
      <c r="W103" s="1101"/>
      <c r="X103" s="1101"/>
      <c r="Y103" s="1102"/>
      <c r="Z103" s="1102"/>
      <c r="AA103" s="1101"/>
    </row>
    <row r="104" ht="15.75" customHeight="1">
      <c r="A104" s="213"/>
      <c r="B104" s="213"/>
      <c r="C104" s="1101"/>
      <c r="D104" s="1101"/>
      <c r="E104" s="1101"/>
      <c r="F104" s="1101"/>
      <c r="G104" s="1101"/>
      <c r="H104" s="1101"/>
      <c r="I104" s="1101"/>
      <c r="J104" s="1101"/>
      <c r="K104" s="1101"/>
      <c r="L104" s="1101"/>
      <c r="M104" s="1101"/>
      <c r="N104" s="1101"/>
      <c r="O104" s="1101"/>
      <c r="P104" s="1101"/>
      <c r="Q104" s="1101"/>
      <c r="R104" s="1101"/>
      <c r="S104" s="1101"/>
      <c r="T104" s="1101"/>
      <c r="U104" s="1101"/>
      <c r="V104" s="1101"/>
      <c r="W104" s="1101"/>
      <c r="X104" s="1101"/>
      <c r="Y104" s="1102"/>
      <c r="Z104" s="1102"/>
      <c r="AA104" s="1101"/>
    </row>
    <row r="105" ht="15.75" customHeight="1">
      <c r="A105" s="213"/>
      <c r="B105" s="213"/>
      <c r="C105" s="1101"/>
      <c r="D105" s="1101"/>
      <c r="E105" s="1101"/>
      <c r="F105" s="1101"/>
      <c r="G105" s="1101"/>
      <c r="H105" s="1101"/>
      <c r="I105" s="1101"/>
      <c r="J105" s="1101"/>
      <c r="K105" s="1101"/>
      <c r="L105" s="1101"/>
      <c r="M105" s="1101"/>
      <c r="N105" s="1101"/>
      <c r="O105" s="1101"/>
      <c r="P105" s="1101"/>
      <c r="Q105" s="1101"/>
      <c r="R105" s="1101"/>
      <c r="S105" s="1101"/>
      <c r="T105" s="1101"/>
      <c r="U105" s="1101"/>
      <c r="V105" s="1101"/>
      <c r="W105" s="1101"/>
      <c r="X105" s="1101"/>
      <c r="Y105" s="1102"/>
      <c r="Z105" s="1102"/>
      <c r="AA105" s="1101"/>
    </row>
    <row r="106" ht="15.75" customHeight="1">
      <c r="A106" s="213"/>
      <c r="B106" s="213"/>
      <c r="C106" s="1101"/>
      <c r="D106" s="1101"/>
      <c r="E106" s="1101"/>
      <c r="F106" s="1101"/>
      <c r="G106" s="1101"/>
      <c r="H106" s="1101"/>
      <c r="I106" s="1101"/>
      <c r="J106" s="1101"/>
      <c r="K106" s="1101"/>
      <c r="L106" s="1101"/>
      <c r="M106" s="1101"/>
      <c r="N106" s="1101"/>
      <c r="O106" s="1101"/>
      <c r="P106" s="1101"/>
      <c r="Q106" s="1101"/>
      <c r="R106" s="1101"/>
      <c r="S106" s="1101"/>
      <c r="T106" s="1101"/>
      <c r="U106" s="1101"/>
      <c r="V106" s="1101"/>
      <c r="W106" s="1101"/>
      <c r="X106" s="1101"/>
      <c r="Y106" s="1102"/>
      <c r="Z106" s="1102"/>
      <c r="AA106" s="1101"/>
    </row>
    <row r="107" ht="15.75" customHeight="1">
      <c r="A107" s="213"/>
      <c r="B107" s="213"/>
      <c r="C107" s="1101"/>
      <c r="D107" s="1101"/>
      <c r="E107" s="1101"/>
      <c r="F107" s="1101"/>
      <c r="G107" s="1101"/>
      <c r="H107" s="1101"/>
      <c r="I107" s="1101"/>
      <c r="J107" s="1101"/>
      <c r="K107" s="1101"/>
      <c r="L107" s="1101"/>
      <c r="M107" s="1101"/>
      <c r="N107" s="1101"/>
      <c r="O107" s="1101"/>
      <c r="P107" s="1101"/>
      <c r="Q107" s="1101"/>
      <c r="R107" s="1101"/>
      <c r="S107" s="1101"/>
      <c r="T107" s="1101"/>
      <c r="U107" s="1101"/>
      <c r="V107" s="1101"/>
      <c r="W107" s="1101"/>
      <c r="X107" s="1101"/>
      <c r="Y107" s="1102"/>
      <c r="Z107" s="1102"/>
      <c r="AA107" s="1101"/>
    </row>
    <row r="108" ht="15.75" customHeight="1">
      <c r="A108" s="213"/>
      <c r="B108" s="213"/>
      <c r="C108" s="1101"/>
      <c r="D108" s="1101"/>
      <c r="E108" s="1101"/>
      <c r="F108" s="1101"/>
      <c r="G108" s="1101"/>
      <c r="H108" s="1101"/>
      <c r="I108" s="1101"/>
      <c r="J108" s="1101"/>
      <c r="K108" s="1101"/>
      <c r="L108" s="1101"/>
      <c r="M108" s="1101"/>
      <c r="N108" s="1101"/>
      <c r="O108" s="1101"/>
      <c r="P108" s="1101"/>
      <c r="Q108" s="1101"/>
      <c r="R108" s="1101"/>
      <c r="S108" s="1101"/>
      <c r="T108" s="1101"/>
      <c r="U108" s="1101"/>
      <c r="V108" s="1101"/>
      <c r="W108" s="1101"/>
      <c r="X108" s="1101"/>
      <c r="Y108" s="1102"/>
      <c r="Z108" s="1102"/>
      <c r="AA108" s="1101"/>
    </row>
    <row r="109" ht="15.75" customHeight="1">
      <c r="A109" s="213"/>
      <c r="B109" s="213"/>
      <c r="C109" s="1101"/>
      <c r="D109" s="1101"/>
      <c r="E109" s="1101"/>
      <c r="F109" s="1101"/>
      <c r="G109" s="1101"/>
      <c r="H109" s="1101"/>
      <c r="I109" s="1101"/>
      <c r="J109" s="1101"/>
      <c r="K109" s="1101"/>
      <c r="L109" s="1101"/>
      <c r="M109" s="1101"/>
      <c r="N109" s="1101"/>
      <c r="O109" s="1101"/>
      <c r="P109" s="1101"/>
      <c r="Q109" s="1101"/>
      <c r="R109" s="1101"/>
      <c r="S109" s="1101"/>
      <c r="T109" s="1101"/>
      <c r="U109" s="1101"/>
      <c r="V109" s="1101"/>
      <c r="W109" s="1101"/>
      <c r="X109" s="1101"/>
      <c r="Y109" s="1102"/>
      <c r="Z109" s="1102"/>
      <c r="AA109" s="1101"/>
    </row>
    <row r="110" ht="15.75" customHeight="1">
      <c r="A110" s="213"/>
      <c r="B110" s="213"/>
      <c r="C110" s="1101"/>
      <c r="D110" s="1101"/>
      <c r="E110" s="1101"/>
      <c r="F110" s="1101"/>
      <c r="G110" s="1101"/>
      <c r="H110" s="1101"/>
      <c r="I110" s="1101"/>
      <c r="J110" s="1101"/>
      <c r="K110" s="1101"/>
      <c r="L110" s="1101"/>
      <c r="M110" s="1101"/>
      <c r="N110" s="1101"/>
      <c r="O110" s="1101"/>
      <c r="P110" s="1101"/>
      <c r="Q110" s="1101"/>
      <c r="R110" s="1101"/>
      <c r="S110" s="1101"/>
      <c r="T110" s="1101"/>
      <c r="U110" s="1101"/>
      <c r="V110" s="1101"/>
      <c r="W110" s="1101"/>
      <c r="X110" s="1101"/>
      <c r="Y110" s="1102"/>
      <c r="Z110" s="1102"/>
      <c r="AA110" s="1101"/>
    </row>
    <row r="111" ht="15.75" customHeight="1">
      <c r="A111" s="213"/>
      <c r="B111" s="213"/>
      <c r="C111" s="1101"/>
      <c r="D111" s="1101"/>
      <c r="E111" s="1101"/>
      <c r="F111" s="1101"/>
      <c r="G111" s="1101"/>
      <c r="H111" s="1101"/>
      <c r="I111" s="1101"/>
      <c r="J111" s="1101"/>
      <c r="K111" s="1101"/>
      <c r="L111" s="1101"/>
      <c r="M111" s="1101"/>
      <c r="N111" s="1101"/>
      <c r="O111" s="1101"/>
      <c r="P111" s="1101"/>
      <c r="Q111" s="1101"/>
      <c r="R111" s="1101"/>
      <c r="S111" s="1101"/>
      <c r="T111" s="1101"/>
      <c r="U111" s="1101"/>
      <c r="V111" s="1101"/>
      <c r="W111" s="1101"/>
      <c r="X111" s="1101"/>
      <c r="Y111" s="1102"/>
      <c r="Z111" s="1102"/>
      <c r="AA111" s="1101"/>
    </row>
    <row r="112" ht="15.75" customHeight="1">
      <c r="A112" s="213"/>
      <c r="B112" s="213"/>
      <c r="C112" s="1101"/>
      <c r="D112" s="1101"/>
      <c r="E112" s="1101"/>
      <c r="F112" s="1101"/>
      <c r="G112" s="1101"/>
      <c r="H112" s="1101"/>
      <c r="I112" s="1101"/>
      <c r="J112" s="1101"/>
      <c r="K112" s="1101"/>
      <c r="L112" s="1101"/>
      <c r="M112" s="1101"/>
      <c r="N112" s="1101"/>
      <c r="O112" s="1101"/>
      <c r="P112" s="1101"/>
      <c r="Q112" s="1101"/>
      <c r="R112" s="1101"/>
      <c r="S112" s="1101"/>
      <c r="T112" s="1101"/>
      <c r="U112" s="1101"/>
      <c r="V112" s="1101"/>
      <c r="W112" s="1101"/>
      <c r="X112" s="1101"/>
      <c r="Y112" s="1102"/>
      <c r="Z112" s="1102"/>
      <c r="AA112" s="1101"/>
    </row>
    <row r="113" ht="15.75" customHeight="1">
      <c r="A113" s="213"/>
      <c r="B113" s="213"/>
      <c r="C113" s="1101"/>
      <c r="D113" s="1101"/>
      <c r="E113" s="1101"/>
      <c r="F113" s="1101"/>
      <c r="G113" s="1101"/>
      <c r="H113" s="1101"/>
      <c r="I113" s="1101"/>
      <c r="J113" s="1101"/>
      <c r="K113" s="1101"/>
      <c r="L113" s="1101"/>
      <c r="M113" s="1101"/>
      <c r="N113" s="1101"/>
      <c r="O113" s="1101"/>
      <c r="P113" s="1101"/>
      <c r="Q113" s="1101"/>
      <c r="R113" s="1101"/>
      <c r="S113" s="1101"/>
      <c r="T113" s="1101"/>
      <c r="U113" s="1101"/>
      <c r="V113" s="1101"/>
      <c r="W113" s="1101"/>
      <c r="X113" s="1101"/>
      <c r="Y113" s="1102"/>
      <c r="Z113" s="1102"/>
      <c r="AA113" s="1101"/>
    </row>
    <row r="114" ht="15.75" customHeight="1">
      <c r="A114" s="213"/>
      <c r="B114" s="213"/>
      <c r="C114" s="1101"/>
      <c r="D114" s="1101"/>
      <c r="E114" s="1101"/>
      <c r="F114" s="1101"/>
      <c r="G114" s="1101"/>
      <c r="H114" s="1101"/>
      <c r="I114" s="1101"/>
      <c r="J114" s="1101"/>
      <c r="K114" s="1101"/>
      <c r="L114" s="1101"/>
      <c r="M114" s="1101"/>
      <c r="N114" s="1101"/>
      <c r="O114" s="1101"/>
      <c r="P114" s="1101"/>
      <c r="Q114" s="1101"/>
      <c r="R114" s="1101"/>
      <c r="S114" s="1101"/>
      <c r="T114" s="1101"/>
      <c r="U114" s="1101"/>
      <c r="V114" s="1101"/>
      <c r="W114" s="1101"/>
      <c r="X114" s="1101"/>
      <c r="Y114" s="1102"/>
      <c r="Z114" s="1102"/>
      <c r="AA114" s="1101"/>
    </row>
    <row r="115" ht="15.75" customHeight="1">
      <c r="A115" s="213"/>
      <c r="B115" s="213"/>
      <c r="C115" s="1101"/>
      <c r="D115" s="1101"/>
      <c r="E115" s="1101"/>
      <c r="F115" s="1101"/>
      <c r="G115" s="1101"/>
      <c r="H115" s="1101"/>
      <c r="I115" s="1101"/>
      <c r="J115" s="1101"/>
      <c r="K115" s="1101"/>
      <c r="L115" s="1101"/>
      <c r="M115" s="1101"/>
      <c r="N115" s="1101"/>
      <c r="O115" s="1101"/>
      <c r="P115" s="1101"/>
      <c r="Q115" s="1101"/>
      <c r="R115" s="1101"/>
      <c r="S115" s="1101"/>
      <c r="T115" s="1101"/>
      <c r="U115" s="1101"/>
      <c r="V115" s="1101"/>
      <c r="W115" s="1101"/>
      <c r="X115" s="1101"/>
      <c r="Y115" s="1102"/>
      <c r="Z115" s="1102"/>
      <c r="AA115" s="1101"/>
    </row>
    <row r="116" ht="15.75" customHeight="1">
      <c r="A116" s="213"/>
      <c r="B116" s="213"/>
      <c r="C116" s="1101"/>
      <c r="D116" s="1101"/>
      <c r="E116" s="1101"/>
      <c r="F116" s="1101"/>
      <c r="G116" s="1101"/>
      <c r="H116" s="1101"/>
      <c r="I116" s="1101"/>
      <c r="J116" s="1101"/>
      <c r="K116" s="1101"/>
      <c r="L116" s="1101"/>
      <c r="M116" s="1101"/>
      <c r="N116" s="1101"/>
      <c r="O116" s="1101"/>
      <c r="P116" s="1101"/>
      <c r="Q116" s="1101"/>
      <c r="R116" s="1101"/>
      <c r="S116" s="1101"/>
      <c r="T116" s="1101"/>
      <c r="U116" s="1101"/>
      <c r="V116" s="1101"/>
      <c r="W116" s="1101"/>
      <c r="X116" s="1101"/>
      <c r="Y116" s="1102"/>
      <c r="Z116" s="1102"/>
      <c r="AA116" s="1101"/>
    </row>
    <row r="117" ht="15.75" customHeight="1">
      <c r="A117" s="213"/>
      <c r="B117" s="213"/>
      <c r="C117" s="1101"/>
      <c r="D117" s="1101"/>
      <c r="E117" s="1101"/>
      <c r="F117" s="1101"/>
      <c r="G117" s="1101"/>
      <c r="H117" s="1101"/>
      <c r="I117" s="1101"/>
      <c r="J117" s="1101"/>
      <c r="K117" s="1101"/>
      <c r="L117" s="1101"/>
      <c r="M117" s="1101"/>
      <c r="N117" s="1101"/>
      <c r="O117" s="1101"/>
      <c r="P117" s="1101"/>
      <c r="Q117" s="1101"/>
      <c r="R117" s="1101"/>
      <c r="S117" s="1101"/>
      <c r="T117" s="1101"/>
      <c r="U117" s="1101"/>
      <c r="V117" s="1101"/>
      <c r="W117" s="1101"/>
      <c r="X117" s="1101"/>
      <c r="Y117" s="1102"/>
      <c r="Z117" s="1102"/>
      <c r="AA117" s="1101"/>
    </row>
    <row r="118" ht="15.75" customHeight="1">
      <c r="A118" s="213"/>
      <c r="B118" s="213"/>
      <c r="C118" s="1101"/>
      <c r="D118" s="1101"/>
      <c r="E118" s="1101"/>
      <c r="F118" s="1101"/>
      <c r="G118" s="1101"/>
      <c r="H118" s="1101"/>
      <c r="I118" s="1101"/>
      <c r="J118" s="1101"/>
      <c r="K118" s="1101"/>
      <c r="L118" s="1101"/>
      <c r="M118" s="1101"/>
      <c r="N118" s="1101"/>
      <c r="O118" s="1101"/>
      <c r="P118" s="1101"/>
      <c r="Q118" s="1101"/>
      <c r="R118" s="1101"/>
      <c r="S118" s="1101"/>
      <c r="T118" s="1101"/>
      <c r="U118" s="1101"/>
      <c r="V118" s="1101"/>
      <c r="W118" s="1101"/>
      <c r="X118" s="1101"/>
      <c r="Y118" s="1102"/>
      <c r="Z118" s="1102"/>
      <c r="AA118" s="1101"/>
    </row>
    <row r="119" ht="15.75" customHeight="1">
      <c r="A119" s="213"/>
      <c r="B119" s="213"/>
      <c r="C119" s="1101"/>
      <c r="D119" s="1101"/>
      <c r="E119" s="1101"/>
      <c r="F119" s="1101"/>
      <c r="G119" s="1101"/>
      <c r="H119" s="1101"/>
      <c r="I119" s="1101"/>
      <c r="J119" s="1101"/>
      <c r="K119" s="1101"/>
      <c r="L119" s="1101"/>
      <c r="M119" s="1101"/>
      <c r="N119" s="1101"/>
      <c r="O119" s="1101"/>
      <c r="P119" s="1101"/>
      <c r="Q119" s="1101"/>
      <c r="R119" s="1101"/>
      <c r="S119" s="1101"/>
      <c r="T119" s="1101"/>
      <c r="U119" s="1101"/>
      <c r="V119" s="1101"/>
      <c r="W119" s="1101"/>
      <c r="X119" s="1101"/>
      <c r="Y119" s="1102"/>
      <c r="Z119" s="1102"/>
      <c r="AA119" s="1101"/>
    </row>
    <row r="120" ht="15.75" customHeight="1">
      <c r="A120" s="213"/>
      <c r="B120" s="213"/>
      <c r="C120" s="1101"/>
      <c r="D120" s="1101"/>
      <c r="E120" s="1101"/>
      <c r="F120" s="1101"/>
      <c r="G120" s="1101"/>
      <c r="H120" s="1101"/>
      <c r="I120" s="1101"/>
      <c r="J120" s="1101"/>
      <c r="K120" s="1101"/>
      <c r="L120" s="1101"/>
      <c r="M120" s="1101"/>
      <c r="N120" s="1101"/>
      <c r="O120" s="1101"/>
      <c r="P120" s="1101"/>
      <c r="Q120" s="1101"/>
      <c r="R120" s="1101"/>
      <c r="S120" s="1101"/>
      <c r="T120" s="1101"/>
      <c r="U120" s="1101"/>
      <c r="V120" s="1101"/>
      <c r="W120" s="1101"/>
      <c r="X120" s="1101"/>
      <c r="Y120" s="1102"/>
      <c r="Z120" s="1102"/>
      <c r="AA120" s="1101"/>
    </row>
    <row r="121" ht="15.75" customHeight="1">
      <c r="A121" s="213"/>
      <c r="B121" s="213"/>
      <c r="C121" s="1101"/>
      <c r="D121" s="1101"/>
      <c r="E121" s="1101"/>
      <c r="F121" s="1101"/>
      <c r="G121" s="1101"/>
      <c r="H121" s="1101"/>
      <c r="I121" s="1101"/>
      <c r="J121" s="1101"/>
      <c r="K121" s="1101"/>
      <c r="L121" s="1101"/>
      <c r="M121" s="1101"/>
      <c r="N121" s="1101"/>
      <c r="O121" s="1101"/>
      <c r="P121" s="1101"/>
      <c r="Q121" s="1101"/>
      <c r="R121" s="1101"/>
      <c r="S121" s="1101"/>
      <c r="T121" s="1101"/>
      <c r="U121" s="1101"/>
      <c r="V121" s="1101"/>
      <c r="W121" s="1101"/>
      <c r="X121" s="1101"/>
      <c r="Y121" s="1102"/>
      <c r="Z121" s="1102"/>
      <c r="AA121" s="1101"/>
    </row>
    <row r="122" ht="15.75" customHeight="1">
      <c r="A122" s="213"/>
      <c r="B122" s="213"/>
      <c r="C122" s="1101"/>
      <c r="D122" s="1101"/>
      <c r="E122" s="1101"/>
      <c r="F122" s="1101"/>
      <c r="G122" s="1101"/>
      <c r="H122" s="1101"/>
      <c r="I122" s="1101"/>
      <c r="J122" s="1101"/>
      <c r="K122" s="1101"/>
      <c r="L122" s="1101"/>
      <c r="M122" s="1101"/>
      <c r="N122" s="1101"/>
      <c r="O122" s="1101"/>
      <c r="P122" s="1101"/>
      <c r="Q122" s="1101"/>
      <c r="R122" s="1101"/>
      <c r="S122" s="1101"/>
      <c r="T122" s="1101"/>
      <c r="U122" s="1101"/>
      <c r="V122" s="1101"/>
      <c r="W122" s="1101"/>
      <c r="X122" s="1101"/>
      <c r="Y122" s="1102"/>
      <c r="Z122" s="1102"/>
      <c r="AA122" s="1101"/>
    </row>
    <row r="123" ht="15.75" customHeight="1">
      <c r="A123" s="213"/>
      <c r="B123" s="213"/>
      <c r="C123" s="1101"/>
      <c r="D123" s="1101"/>
      <c r="E123" s="1101"/>
      <c r="F123" s="1101"/>
      <c r="G123" s="1101"/>
      <c r="H123" s="1101"/>
      <c r="I123" s="1101"/>
      <c r="J123" s="1101"/>
      <c r="K123" s="1101"/>
      <c r="L123" s="1101"/>
      <c r="M123" s="1101"/>
      <c r="N123" s="1101"/>
      <c r="O123" s="1101"/>
      <c r="P123" s="1101"/>
      <c r="Q123" s="1101"/>
      <c r="R123" s="1101"/>
      <c r="S123" s="1101"/>
      <c r="T123" s="1101"/>
      <c r="U123" s="1101"/>
      <c r="V123" s="1101"/>
      <c r="W123" s="1101"/>
      <c r="X123" s="1101"/>
      <c r="Y123" s="1102"/>
      <c r="Z123" s="1102"/>
      <c r="AA123" s="1101"/>
    </row>
    <row r="124" ht="15.75" customHeight="1">
      <c r="A124" s="213"/>
      <c r="B124" s="213"/>
      <c r="C124" s="1101"/>
      <c r="D124" s="1101"/>
      <c r="E124" s="1101"/>
      <c r="F124" s="1101"/>
      <c r="G124" s="1101"/>
      <c r="H124" s="1101"/>
      <c r="I124" s="1101"/>
      <c r="J124" s="1101"/>
      <c r="K124" s="1101"/>
      <c r="L124" s="1101"/>
      <c r="M124" s="1101"/>
      <c r="N124" s="1101"/>
      <c r="O124" s="1101"/>
      <c r="P124" s="1101"/>
      <c r="Q124" s="1101"/>
      <c r="R124" s="1101"/>
      <c r="S124" s="1101"/>
      <c r="T124" s="1101"/>
      <c r="U124" s="1101"/>
      <c r="V124" s="1101"/>
      <c r="W124" s="1101"/>
      <c r="X124" s="1101"/>
      <c r="Y124" s="1102"/>
      <c r="Z124" s="1102"/>
      <c r="AA124" s="1101"/>
    </row>
    <row r="125" ht="15.75" customHeight="1">
      <c r="A125" s="213"/>
      <c r="B125" s="213"/>
      <c r="C125" s="1101"/>
      <c r="D125" s="1101"/>
      <c r="E125" s="1101"/>
      <c r="F125" s="1101"/>
      <c r="G125" s="1101"/>
      <c r="H125" s="1101"/>
      <c r="I125" s="1101"/>
      <c r="J125" s="1101"/>
      <c r="K125" s="1101"/>
      <c r="L125" s="1101"/>
      <c r="M125" s="1101"/>
      <c r="N125" s="1101"/>
      <c r="O125" s="1101"/>
      <c r="P125" s="1101"/>
      <c r="Q125" s="1101"/>
      <c r="R125" s="1101"/>
      <c r="S125" s="1101"/>
      <c r="T125" s="1101"/>
      <c r="U125" s="1101"/>
      <c r="V125" s="1101"/>
      <c r="W125" s="1101"/>
      <c r="X125" s="1101"/>
      <c r="Y125" s="1102"/>
      <c r="Z125" s="1102"/>
      <c r="AA125" s="1101"/>
    </row>
    <row r="126" ht="15.75" customHeight="1">
      <c r="A126" s="213"/>
      <c r="B126" s="213"/>
      <c r="C126" s="1101"/>
      <c r="D126" s="1101"/>
      <c r="E126" s="1101"/>
      <c r="F126" s="1101"/>
      <c r="G126" s="1101"/>
      <c r="H126" s="1101"/>
      <c r="I126" s="1101"/>
      <c r="J126" s="1101"/>
      <c r="K126" s="1101"/>
      <c r="L126" s="1101"/>
      <c r="M126" s="1101"/>
      <c r="N126" s="1101"/>
      <c r="O126" s="1101"/>
      <c r="P126" s="1101"/>
      <c r="Q126" s="1101"/>
      <c r="R126" s="1101"/>
      <c r="S126" s="1101"/>
      <c r="T126" s="1101"/>
      <c r="U126" s="1101"/>
      <c r="V126" s="1101"/>
      <c r="W126" s="1101"/>
      <c r="X126" s="1101"/>
      <c r="Y126" s="1102"/>
      <c r="Z126" s="1102"/>
      <c r="AA126" s="1101"/>
    </row>
    <row r="127" ht="15.75" customHeight="1">
      <c r="A127" s="213"/>
      <c r="B127" s="213"/>
      <c r="C127" s="1101"/>
      <c r="D127" s="1101"/>
      <c r="E127" s="1101"/>
      <c r="F127" s="1101"/>
      <c r="G127" s="1101"/>
      <c r="H127" s="1101"/>
      <c r="I127" s="1101"/>
      <c r="J127" s="1101"/>
      <c r="K127" s="1101"/>
      <c r="L127" s="1101"/>
      <c r="M127" s="1101"/>
      <c r="N127" s="1101"/>
      <c r="O127" s="1101"/>
      <c r="P127" s="1101"/>
      <c r="Q127" s="1101"/>
      <c r="R127" s="1101"/>
      <c r="S127" s="1101"/>
      <c r="T127" s="1101"/>
      <c r="U127" s="1101"/>
      <c r="V127" s="1101"/>
      <c r="W127" s="1101"/>
      <c r="X127" s="1101"/>
      <c r="Y127" s="1102"/>
      <c r="Z127" s="1102"/>
      <c r="AA127" s="1101"/>
    </row>
    <row r="128" ht="15.75" customHeight="1">
      <c r="A128" s="213"/>
      <c r="B128" s="213"/>
      <c r="C128" s="1101"/>
      <c r="D128" s="1101"/>
      <c r="E128" s="1101"/>
      <c r="F128" s="1101"/>
      <c r="G128" s="1101"/>
      <c r="H128" s="1101"/>
      <c r="I128" s="1101"/>
      <c r="J128" s="1101"/>
      <c r="K128" s="1101"/>
      <c r="L128" s="1101"/>
      <c r="M128" s="1101"/>
      <c r="N128" s="1101"/>
      <c r="O128" s="1101"/>
      <c r="P128" s="1101"/>
      <c r="Q128" s="1101"/>
      <c r="R128" s="1101"/>
      <c r="S128" s="1101"/>
      <c r="T128" s="1101"/>
      <c r="U128" s="1101"/>
      <c r="V128" s="1101"/>
      <c r="W128" s="1101"/>
      <c r="X128" s="1101"/>
      <c r="Y128" s="1102"/>
      <c r="Z128" s="1102"/>
      <c r="AA128" s="1101"/>
    </row>
    <row r="129" ht="15.75" customHeight="1">
      <c r="A129" s="213"/>
      <c r="B129" s="213"/>
      <c r="C129" s="1101"/>
      <c r="D129" s="1101"/>
      <c r="E129" s="1101"/>
      <c r="F129" s="1101"/>
      <c r="G129" s="1101"/>
      <c r="H129" s="1101"/>
      <c r="I129" s="1101"/>
      <c r="J129" s="1101"/>
      <c r="K129" s="1101"/>
      <c r="L129" s="1101"/>
      <c r="M129" s="1101"/>
      <c r="N129" s="1101"/>
      <c r="O129" s="1101"/>
      <c r="P129" s="1101"/>
      <c r="Q129" s="1101"/>
      <c r="R129" s="1101"/>
      <c r="S129" s="1101"/>
      <c r="T129" s="1101"/>
      <c r="U129" s="1101"/>
      <c r="V129" s="1101"/>
      <c r="W129" s="1101"/>
      <c r="X129" s="1101"/>
      <c r="Y129" s="1102"/>
      <c r="Z129" s="1102"/>
      <c r="AA129" s="1101"/>
    </row>
    <row r="130" ht="15.75" customHeight="1">
      <c r="A130" s="213"/>
      <c r="B130" s="213"/>
      <c r="C130" s="1101"/>
      <c r="D130" s="1101"/>
      <c r="E130" s="1101"/>
      <c r="F130" s="1101"/>
      <c r="G130" s="1101"/>
      <c r="H130" s="1101"/>
      <c r="I130" s="1101"/>
      <c r="J130" s="1101"/>
      <c r="K130" s="1101"/>
      <c r="L130" s="1101"/>
      <c r="M130" s="1101"/>
      <c r="N130" s="1101"/>
      <c r="O130" s="1101"/>
      <c r="P130" s="1101"/>
      <c r="Q130" s="1101"/>
      <c r="R130" s="1101"/>
      <c r="S130" s="1101"/>
      <c r="T130" s="1101"/>
      <c r="U130" s="1101"/>
      <c r="V130" s="1101"/>
      <c r="W130" s="1101"/>
      <c r="X130" s="1101"/>
      <c r="Y130" s="1102"/>
      <c r="Z130" s="1102"/>
      <c r="AA130" s="1101"/>
    </row>
    <row r="131" ht="15.75" customHeight="1">
      <c r="A131" s="213"/>
      <c r="B131" s="213"/>
      <c r="C131" s="1101"/>
      <c r="D131" s="1101"/>
      <c r="E131" s="1101"/>
      <c r="F131" s="1101"/>
      <c r="G131" s="1101"/>
      <c r="H131" s="1101"/>
      <c r="I131" s="1101"/>
      <c r="J131" s="1101"/>
      <c r="K131" s="1101"/>
      <c r="L131" s="1101"/>
      <c r="M131" s="1101"/>
      <c r="N131" s="1101"/>
      <c r="O131" s="1101"/>
      <c r="P131" s="1101"/>
      <c r="Q131" s="1101"/>
      <c r="R131" s="1101"/>
      <c r="S131" s="1101"/>
      <c r="T131" s="1101"/>
      <c r="U131" s="1101"/>
      <c r="V131" s="1101"/>
      <c r="W131" s="1101"/>
      <c r="X131" s="1101"/>
      <c r="Y131" s="1102"/>
      <c r="Z131" s="1102"/>
      <c r="AA131" s="1101"/>
    </row>
    <row r="132" ht="15.75" customHeight="1">
      <c r="A132" s="213"/>
      <c r="B132" s="213"/>
      <c r="C132" s="1101"/>
      <c r="D132" s="1101"/>
      <c r="E132" s="1101"/>
      <c r="F132" s="1101"/>
      <c r="G132" s="1101"/>
      <c r="H132" s="1101"/>
      <c r="I132" s="1101"/>
      <c r="J132" s="1101"/>
      <c r="K132" s="1101"/>
      <c r="L132" s="1101"/>
      <c r="M132" s="1101"/>
      <c r="N132" s="1101"/>
      <c r="O132" s="1101"/>
      <c r="P132" s="1101"/>
      <c r="Q132" s="1101"/>
      <c r="R132" s="1101"/>
      <c r="S132" s="1101"/>
      <c r="T132" s="1101"/>
      <c r="U132" s="1101"/>
      <c r="V132" s="1101"/>
      <c r="W132" s="1101"/>
      <c r="X132" s="1101"/>
      <c r="Y132" s="1102"/>
      <c r="Z132" s="1102"/>
      <c r="AA132" s="1101"/>
    </row>
    <row r="133" ht="15.75" customHeight="1">
      <c r="A133" s="213"/>
      <c r="B133" s="213"/>
      <c r="C133" s="1101"/>
      <c r="D133" s="1101"/>
      <c r="E133" s="1101"/>
      <c r="F133" s="1101"/>
      <c r="G133" s="1101"/>
      <c r="H133" s="1101"/>
      <c r="I133" s="1101"/>
      <c r="J133" s="1101"/>
      <c r="K133" s="1101"/>
      <c r="L133" s="1101"/>
      <c r="M133" s="1101"/>
      <c r="N133" s="1101"/>
      <c r="O133" s="1101"/>
      <c r="P133" s="1101"/>
      <c r="Q133" s="1101"/>
      <c r="R133" s="1101"/>
      <c r="S133" s="1101"/>
      <c r="T133" s="1101"/>
      <c r="U133" s="1101"/>
      <c r="V133" s="1101"/>
      <c r="W133" s="1101"/>
      <c r="X133" s="1101"/>
      <c r="Y133" s="1102"/>
      <c r="Z133" s="1102"/>
      <c r="AA133" s="1101"/>
    </row>
    <row r="134" ht="15.75" customHeight="1">
      <c r="A134" s="213"/>
      <c r="B134" s="213"/>
      <c r="C134" s="1101"/>
      <c r="D134" s="1101"/>
      <c r="E134" s="1101"/>
      <c r="F134" s="1101"/>
      <c r="G134" s="1101"/>
      <c r="H134" s="1101"/>
      <c r="I134" s="1101"/>
      <c r="J134" s="1101"/>
      <c r="K134" s="1101"/>
      <c r="L134" s="1101"/>
      <c r="M134" s="1101"/>
      <c r="N134" s="1101"/>
      <c r="O134" s="1101"/>
      <c r="P134" s="1101"/>
      <c r="Q134" s="1101"/>
      <c r="R134" s="1101"/>
      <c r="S134" s="1101"/>
      <c r="T134" s="1101"/>
      <c r="U134" s="1101"/>
      <c r="V134" s="1101"/>
      <c r="W134" s="1101"/>
      <c r="X134" s="1101"/>
      <c r="Y134" s="1102"/>
      <c r="Z134" s="1102"/>
      <c r="AA134" s="1101"/>
    </row>
    <row r="135" ht="15.75" customHeight="1">
      <c r="A135" s="213"/>
      <c r="B135" s="213"/>
      <c r="C135" s="1101"/>
      <c r="D135" s="1101"/>
      <c r="E135" s="1101"/>
      <c r="F135" s="1101"/>
      <c r="G135" s="1101"/>
      <c r="H135" s="1101"/>
      <c r="I135" s="1101"/>
      <c r="J135" s="1101"/>
      <c r="K135" s="1101"/>
      <c r="L135" s="1101"/>
      <c r="M135" s="1101"/>
      <c r="N135" s="1101"/>
      <c r="O135" s="1101"/>
      <c r="P135" s="1101"/>
      <c r="Q135" s="1101"/>
      <c r="R135" s="1101"/>
      <c r="S135" s="1101"/>
      <c r="T135" s="1101"/>
      <c r="U135" s="1101"/>
      <c r="V135" s="1101"/>
      <c r="W135" s="1101"/>
      <c r="X135" s="1101"/>
      <c r="Y135" s="1102"/>
      <c r="Z135" s="1102"/>
      <c r="AA135" s="1101"/>
    </row>
    <row r="136" ht="15.75" customHeight="1">
      <c r="A136" s="213"/>
      <c r="B136" s="213"/>
      <c r="C136" s="1101"/>
      <c r="D136" s="1101"/>
      <c r="E136" s="1101"/>
      <c r="F136" s="1101"/>
      <c r="G136" s="1101"/>
      <c r="H136" s="1101"/>
      <c r="I136" s="1101"/>
      <c r="J136" s="1101"/>
      <c r="K136" s="1101"/>
      <c r="L136" s="1101"/>
      <c r="M136" s="1101"/>
      <c r="N136" s="1101"/>
      <c r="O136" s="1101"/>
      <c r="P136" s="1101"/>
      <c r="Q136" s="1101"/>
      <c r="R136" s="1101"/>
      <c r="S136" s="1101"/>
      <c r="T136" s="1101"/>
      <c r="U136" s="1101"/>
      <c r="V136" s="1101"/>
      <c r="W136" s="1101"/>
      <c r="X136" s="1101"/>
      <c r="Y136" s="1102"/>
      <c r="Z136" s="1102"/>
      <c r="AA136" s="1101"/>
    </row>
    <row r="137" ht="15.75" customHeight="1">
      <c r="A137" s="213"/>
      <c r="B137" s="213"/>
      <c r="C137" s="1101"/>
      <c r="D137" s="1101"/>
      <c r="E137" s="1101"/>
      <c r="F137" s="1101"/>
      <c r="G137" s="1101"/>
      <c r="H137" s="1101"/>
      <c r="I137" s="1101"/>
      <c r="J137" s="1101"/>
      <c r="K137" s="1101"/>
      <c r="L137" s="1101"/>
      <c r="M137" s="1101"/>
      <c r="N137" s="1101"/>
      <c r="O137" s="1101"/>
      <c r="P137" s="1101"/>
      <c r="Q137" s="1101"/>
      <c r="R137" s="1101"/>
      <c r="S137" s="1101"/>
      <c r="T137" s="1101"/>
      <c r="U137" s="1101"/>
      <c r="V137" s="1101"/>
      <c r="W137" s="1101"/>
      <c r="X137" s="1101"/>
      <c r="Y137" s="1102"/>
      <c r="Z137" s="1102"/>
      <c r="AA137" s="1101"/>
    </row>
    <row r="138" ht="15.75" customHeight="1">
      <c r="A138" s="213"/>
      <c r="B138" s="213"/>
      <c r="C138" s="1101"/>
      <c r="D138" s="1101"/>
      <c r="E138" s="1101"/>
      <c r="F138" s="1101"/>
      <c r="G138" s="1101"/>
      <c r="H138" s="1101"/>
      <c r="I138" s="1101"/>
      <c r="J138" s="1101"/>
      <c r="K138" s="1101"/>
      <c r="L138" s="1101"/>
      <c r="M138" s="1101"/>
      <c r="N138" s="1101"/>
      <c r="O138" s="1101"/>
      <c r="P138" s="1101"/>
      <c r="Q138" s="1101"/>
      <c r="R138" s="1101"/>
      <c r="S138" s="1101"/>
      <c r="T138" s="1101"/>
      <c r="U138" s="1101"/>
      <c r="V138" s="1101"/>
      <c r="W138" s="1101"/>
      <c r="X138" s="1101"/>
      <c r="Y138" s="1102"/>
      <c r="Z138" s="1102"/>
      <c r="AA138" s="1101"/>
    </row>
    <row r="139" ht="15.75" customHeight="1">
      <c r="A139" s="213"/>
      <c r="B139" s="213"/>
      <c r="C139" s="1101"/>
      <c r="D139" s="1101"/>
      <c r="E139" s="1101"/>
      <c r="F139" s="1101"/>
      <c r="G139" s="1101"/>
      <c r="H139" s="1101"/>
      <c r="I139" s="1101"/>
      <c r="J139" s="1101"/>
      <c r="K139" s="1101"/>
      <c r="L139" s="1101"/>
      <c r="M139" s="1101"/>
      <c r="N139" s="1101"/>
      <c r="O139" s="1101"/>
      <c r="P139" s="1101"/>
      <c r="Q139" s="1101"/>
      <c r="R139" s="1101"/>
      <c r="S139" s="1101"/>
      <c r="T139" s="1101"/>
      <c r="U139" s="1101"/>
      <c r="V139" s="1101"/>
      <c r="W139" s="1101"/>
      <c r="X139" s="1101"/>
      <c r="Y139" s="1102"/>
      <c r="Z139" s="1102"/>
      <c r="AA139" s="1101"/>
    </row>
    <row r="140" ht="15.75" customHeight="1">
      <c r="A140" s="213"/>
      <c r="B140" s="213"/>
      <c r="C140" s="1101"/>
      <c r="D140" s="1101"/>
      <c r="E140" s="1101"/>
      <c r="F140" s="1101"/>
      <c r="G140" s="1101"/>
      <c r="H140" s="1101"/>
      <c r="I140" s="1101"/>
      <c r="J140" s="1101"/>
      <c r="K140" s="1101"/>
      <c r="L140" s="1101"/>
      <c r="M140" s="1101"/>
      <c r="N140" s="1101"/>
      <c r="O140" s="1101"/>
      <c r="P140" s="1101"/>
      <c r="Q140" s="1101"/>
      <c r="R140" s="1101"/>
      <c r="S140" s="1101"/>
      <c r="T140" s="1101"/>
      <c r="U140" s="1101"/>
      <c r="V140" s="1101"/>
      <c r="W140" s="1101"/>
      <c r="X140" s="1101"/>
      <c r="Y140" s="1102"/>
      <c r="Z140" s="1102"/>
      <c r="AA140" s="1101"/>
    </row>
    <row r="141" ht="15.75" customHeight="1">
      <c r="A141" s="213"/>
      <c r="B141" s="213"/>
      <c r="C141" s="1101"/>
      <c r="D141" s="1101"/>
      <c r="E141" s="1101"/>
      <c r="F141" s="1101"/>
      <c r="G141" s="1101"/>
      <c r="H141" s="1101"/>
      <c r="I141" s="1101"/>
      <c r="J141" s="1101"/>
      <c r="K141" s="1101"/>
      <c r="L141" s="1101"/>
      <c r="M141" s="1101"/>
      <c r="N141" s="1101"/>
      <c r="O141" s="1101"/>
      <c r="P141" s="1101"/>
      <c r="Q141" s="1101"/>
      <c r="R141" s="1101"/>
      <c r="S141" s="1101"/>
      <c r="T141" s="1101"/>
      <c r="U141" s="1101"/>
      <c r="V141" s="1101"/>
      <c r="W141" s="1101"/>
      <c r="X141" s="1101"/>
      <c r="Y141" s="1102"/>
      <c r="Z141" s="1102"/>
      <c r="AA141" s="1101"/>
    </row>
    <row r="142" ht="15.75" customHeight="1">
      <c r="A142" s="213"/>
      <c r="B142" s="213"/>
      <c r="C142" s="1101"/>
      <c r="D142" s="1101"/>
      <c r="E142" s="1101"/>
      <c r="F142" s="1101"/>
      <c r="G142" s="1101"/>
      <c r="H142" s="1101"/>
      <c r="I142" s="1101"/>
      <c r="J142" s="1101"/>
      <c r="K142" s="1101"/>
      <c r="L142" s="1101"/>
      <c r="M142" s="1101"/>
      <c r="N142" s="1101"/>
      <c r="O142" s="1101"/>
      <c r="P142" s="1101"/>
      <c r="Q142" s="1101"/>
      <c r="R142" s="1101"/>
      <c r="S142" s="1101"/>
      <c r="T142" s="1101"/>
      <c r="U142" s="1101"/>
      <c r="V142" s="1101"/>
      <c r="W142" s="1101"/>
      <c r="X142" s="1101"/>
      <c r="Y142" s="1102"/>
      <c r="Z142" s="1102"/>
      <c r="AA142" s="1101"/>
    </row>
    <row r="143" ht="15.75" customHeight="1">
      <c r="A143" s="213"/>
      <c r="B143" s="213"/>
      <c r="C143" s="1101"/>
      <c r="D143" s="1101"/>
      <c r="E143" s="1101"/>
      <c r="F143" s="1101"/>
      <c r="G143" s="1101"/>
      <c r="H143" s="1101"/>
      <c r="I143" s="1101"/>
      <c r="J143" s="1101"/>
      <c r="K143" s="1101"/>
      <c r="L143" s="1101"/>
      <c r="M143" s="1101"/>
      <c r="N143" s="1101"/>
      <c r="O143" s="1101"/>
      <c r="P143" s="1101"/>
      <c r="Q143" s="1101"/>
      <c r="R143" s="1101"/>
      <c r="S143" s="1101"/>
      <c r="T143" s="1101"/>
      <c r="U143" s="1101"/>
      <c r="V143" s="1101"/>
      <c r="W143" s="1101"/>
      <c r="X143" s="1101"/>
      <c r="Y143" s="1102"/>
      <c r="Z143" s="1102"/>
      <c r="AA143" s="1101"/>
    </row>
    <row r="144" ht="15.75" customHeight="1">
      <c r="A144" s="213"/>
      <c r="B144" s="213"/>
      <c r="C144" s="1101"/>
      <c r="D144" s="1101"/>
      <c r="E144" s="1101"/>
      <c r="F144" s="1101"/>
      <c r="G144" s="1101"/>
      <c r="H144" s="1101"/>
      <c r="I144" s="1101"/>
      <c r="J144" s="1101"/>
      <c r="K144" s="1101"/>
      <c r="L144" s="1101"/>
      <c r="M144" s="1101"/>
      <c r="N144" s="1101"/>
      <c r="O144" s="1101"/>
      <c r="P144" s="1101"/>
      <c r="Q144" s="1101"/>
      <c r="R144" s="1101"/>
      <c r="S144" s="1101"/>
      <c r="T144" s="1101"/>
      <c r="U144" s="1101"/>
      <c r="V144" s="1101"/>
      <c r="W144" s="1101"/>
      <c r="X144" s="1101"/>
      <c r="Y144" s="1102"/>
      <c r="Z144" s="1102"/>
      <c r="AA144" s="1101"/>
    </row>
    <row r="145" ht="15.75" customHeight="1">
      <c r="A145" s="213"/>
      <c r="B145" s="213"/>
      <c r="C145" s="1101"/>
      <c r="D145" s="1101"/>
      <c r="E145" s="1101"/>
      <c r="F145" s="1101"/>
      <c r="G145" s="1101"/>
      <c r="H145" s="1101"/>
      <c r="I145" s="1101"/>
      <c r="J145" s="1101"/>
      <c r="K145" s="1101"/>
      <c r="L145" s="1101"/>
      <c r="M145" s="1101"/>
      <c r="N145" s="1101"/>
      <c r="O145" s="1101"/>
      <c r="P145" s="1101"/>
      <c r="Q145" s="1101"/>
      <c r="R145" s="1101"/>
      <c r="S145" s="1101"/>
      <c r="T145" s="1101"/>
      <c r="U145" s="1101"/>
      <c r="V145" s="1101"/>
      <c r="W145" s="1101"/>
      <c r="X145" s="1101"/>
      <c r="Y145" s="1102"/>
      <c r="Z145" s="1102"/>
      <c r="AA145" s="1101"/>
    </row>
    <row r="146" ht="15.75" customHeight="1">
      <c r="A146" s="213"/>
      <c r="B146" s="213"/>
      <c r="C146" s="1101"/>
      <c r="D146" s="1101"/>
      <c r="E146" s="1101"/>
      <c r="F146" s="1101"/>
      <c r="G146" s="1101"/>
      <c r="H146" s="1101"/>
      <c r="I146" s="1101"/>
      <c r="J146" s="1101"/>
      <c r="K146" s="1101"/>
      <c r="L146" s="1101"/>
      <c r="M146" s="1101"/>
      <c r="N146" s="1101"/>
      <c r="O146" s="1101"/>
      <c r="P146" s="1101"/>
      <c r="Q146" s="1101"/>
      <c r="R146" s="1101"/>
      <c r="S146" s="1101"/>
      <c r="T146" s="1101"/>
      <c r="U146" s="1101"/>
      <c r="V146" s="1101"/>
      <c r="W146" s="1101"/>
      <c r="X146" s="1101"/>
      <c r="Y146" s="1102"/>
      <c r="Z146" s="1102"/>
      <c r="AA146" s="1101"/>
    </row>
    <row r="147" ht="15.75" customHeight="1">
      <c r="A147" s="213"/>
      <c r="B147" s="213"/>
      <c r="C147" s="1101"/>
      <c r="D147" s="1101"/>
      <c r="E147" s="1101"/>
      <c r="F147" s="1101"/>
      <c r="G147" s="1101"/>
      <c r="H147" s="1101"/>
      <c r="I147" s="1101"/>
      <c r="J147" s="1101"/>
      <c r="K147" s="1101"/>
      <c r="L147" s="1101"/>
      <c r="M147" s="1101"/>
      <c r="N147" s="1101"/>
      <c r="O147" s="1101"/>
      <c r="P147" s="1101"/>
      <c r="Q147" s="1101"/>
      <c r="R147" s="1101"/>
      <c r="S147" s="1101"/>
      <c r="T147" s="1101"/>
      <c r="U147" s="1101"/>
      <c r="V147" s="1101"/>
      <c r="W147" s="1101"/>
      <c r="X147" s="1101"/>
      <c r="Y147" s="1102"/>
      <c r="Z147" s="1102"/>
      <c r="AA147" s="1101"/>
    </row>
    <row r="148" ht="15.75" customHeight="1">
      <c r="A148" s="213"/>
      <c r="B148" s="213"/>
      <c r="C148" s="1101"/>
      <c r="D148" s="1101"/>
      <c r="E148" s="1101"/>
      <c r="F148" s="1101"/>
      <c r="G148" s="1101"/>
      <c r="H148" s="1101"/>
      <c r="I148" s="1101"/>
      <c r="J148" s="1101"/>
      <c r="K148" s="1101"/>
      <c r="L148" s="1101"/>
      <c r="M148" s="1101"/>
      <c r="N148" s="1101"/>
      <c r="O148" s="1101"/>
      <c r="P148" s="1101"/>
      <c r="Q148" s="1101"/>
      <c r="R148" s="1101"/>
      <c r="S148" s="1101"/>
      <c r="T148" s="1101"/>
      <c r="U148" s="1101"/>
      <c r="V148" s="1101"/>
      <c r="W148" s="1101"/>
      <c r="X148" s="1101"/>
      <c r="Y148" s="1102"/>
      <c r="Z148" s="1102"/>
      <c r="AA148" s="1101"/>
    </row>
    <row r="149" ht="15.75" customHeight="1">
      <c r="A149" s="213"/>
      <c r="B149" s="213"/>
      <c r="C149" s="1101"/>
      <c r="D149" s="1101"/>
      <c r="E149" s="1101"/>
      <c r="F149" s="1101"/>
      <c r="G149" s="1101"/>
      <c r="H149" s="1101"/>
      <c r="I149" s="1101"/>
      <c r="J149" s="1101"/>
      <c r="K149" s="1101"/>
      <c r="L149" s="1101"/>
      <c r="M149" s="1101"/>
      <c r="N149" s="1101"/>
      <c r="O149" s="1101"/>
      <c r="P149" s="1101"/>
      <c r="Q149" s="1101"/>
      <c r="R149" s="1101"/>
      <c r="S149" s="1101"/>
      <c r="T149" s="1101"/>
      <c r="U149" s="1101"/>
      <c r="V149" s="1101"/>
      <c r="W149" s="1101"/>
      <c r="X149" s="1101"/>
      <c r="Y149" s="1102"/>
      <c r="Z149" s="1102"/>
      <c r="AA149" s="1101"/>
    </row>
    <row r="150" ht="15.75" customHeight="1">
      <c r="A150" s="213"/>
      <c r="B150" s="213"/>
      <c r="C150" s="1101"/>
      <c r="D150" s="1101"/>
      <c r="E150" s="1101"/>
      <c r="F150" s="1101"/>
      <c r="G150" s="1101"/>
      <c r="H150" s="1101"/>
      <c r="I150" s="1101"/>
      <c r="J150" s="1101"/>
      <c r="K150" s="1101"/>
      <c r="L150" s="1101"/>
      <c r="M150" s="1101"/>
      <c r="N150" s="1101"/>
      <c r="O150" s="1101"/>
      <c r="P150" s="1101"/>
      <c r="Q150" s="1101"/>
      <c r="R150" s="1101"/>
      <c r="S150" s="1101"/>
      <c r="T150" s="1101"/>
      <c r="U150" s="1101"/>
      <c r="V150" s="1101"/>
      <c r="W150" s="1101"/>
      <c r="X150" s="1101"/>
      <c r="Y150" s="1102"/>
      <c r="Z150" s="1102"/>
      <c r="AA150" s="1101"/>
    </row>
    <row r="151" ht="15.75" customHeight="1">
      <c r="A151" s="213"/>
      <c r="B151" s="213"/>
      <c r="C151" s="1101"/>
      <c r="D151" s="1101"/>
      <c r="E151" s="1101"/>
      <c r="F151" s="1101"/>
      <c r="G151" s="1101"/>
      <c r="H151" s="1101"/>
      <c r="I151" s="1101"/>
      <c r="J151" s="1101"/>
      <c r="K151" s="1101"/>
      <c r="L151" s="1101"/>
      <c r="M151" s="1101"/>
      <c r="N151" s="1101"/>
      <c r="O151" s="1101"/>
      <c r="P151" s="1101"/>
      <c r="Q151" s="1101"/>
      <c r="R151" s="1101"/>
      <c r="S151" s="1101"/>
      <c r="T151" s="1101"/>
      <c r="U151" s="1101"/>
      <c r="V151" s="1101"/>
      <c r="W151" s="1101"/>
      <c r="X151" s="1101"/>
      <c r="Y151" s="1102"/>
      <c r="Z151" s="1102"/>
      <c r="AA151" s="1101"/>
    </row>
    <row r="152" ht="15.75" customHeight="1">
      <c r="A152" s="213"/>
      <c r="B152" s="213"/>
      <c r="C152" s="1101"/>
      <c r="D152" s="1101"/>
      <c r="E152" s="1101"/>
      <c r="F152" s="1101"/>
      <c r="G152" s="1101"/>
      <c r="H152" s="1101"/>
      <c r="I152" s="1101"/>
      <c r="J152" s="1101"/>
      <c r="K152" s="1101"/>
      <c r="L152" s="1101"/>
      <c r="M152" s="1101"/>
      <c r="N152" s="1101"/>
      <c r="O152" s="1101"/>
      <c r="P152" s="1101"/>
      <c r="Q152" s="1101"/>
      <c r="R152" s="1101"/>
      <c r="S152" s="1101"/>
      <c r="T152" s="1101"/>
      <c r="U152" s="1101"/>
      <c r="V152" s="1101"/>
      <c r="W152" s="1101"/>
      <c r="X152" s="1101"/>
      <c r="Y152" s="1102"/>
      <c r="Z152" s="1102"/>
      <c r="AA152" s="1101"/>
    </row>
    <row r="153" ht="15.75" customHeight="1">
      <c r="A153" s="213"/>
      <c r="B153" s="213"/>
      <c r="C153" s="1101"/>
      <c r="D153" s="1101"/>
      <c r="E153" s="1101"/>
      <c r="F153" s="1101"/>
      <c r="G153" s="1101"/>
      <c r="H153" s="1101"/>
      <c r="I153" s="1101"/>
      <c r="J153" s="1101"/>
      <c r="K153" s="1101"/>
      <c r="L153" s="1101"/>
      <c r="M153" s="1101"/>
      <c r="N153" s="1101"/>
      <c r="O153" s="1101"/>
      <c r="P153" s="1101"/>
      <c r="Q153" s="1101"/>
      <c r="R153" s="1101"/>
      <c r="S153" s="1101"/>
      <c r="T153" s="1101"/>
      <c r="U153" s="1101"/>
      <c r="V153" s="1101"/>
      <c r="W153" s="1101"/>
      <c r="X153" s="1101"/>
      <c r="Y153" s="1102"/>
      <c r="Z153" s="1102"/>
      <c r="AA153" s="1101"/>
    </row>
    <row r="154" ht="15.75" customHeight="1">
      <c r="A154" s="213"/>
      <c r="B154" s="213"/>
      <c r="C154" s="1101"/>
      <c r="D154" s="1101"/>
      <c r="E154" s="1101"/>
      <c r="F154" s="1101"/>
      <c r="G154" s="1101"/>
      <c r="H154" s="1101"/>
      <c r="I154" s="1101"/>
      <c r="J154" s="1101"/>
      <c r="K154" s="1101"/>
      <c r="L154" s="1101"/>
      <c r="M154" s="1101"/>
      <c r="N154" s="1101"/>
      <c r="O154" s="1101"/>
      <c r="P154" s="1101"/>
      <c r="Q154" s="1101"/>
      <c r="R154" s="1101"/>
      <c r="S154" s="1101"/>
      <c r="T154" s="1101"/>
      <c r="U154" s="1101"/>
      <c r="V154" s="1101"/>
      <c r="W154" s="1101"/>
      <c r="X154" s="1101"/>
      <c r="Y154" s="1102"/>
      <c r="Z154" s="1102"/>
      <c r="AA154" s="1101"/>
    </row>
    <row r="155" ht="15.75" customHeight="1">
      <c r="A155" s="213"/>
      <c r="B155" s="213"/>
      <c r="C155" s="1101"/>
      <c r="D155" s="1101"/>
      <c r="E155" s="1101"/>
      <c r="F155" s="1101"/>
      <c r="G155" s="1101"/>
      <c r="H155" s="1101"/>
      <c r="I155" s="1101"/>
      <c r="J155" s="1101"/>
      <c r="K155" s="1101"/>
      <c r="L155" s="1101"/>
      <c r="M155" s="1101"/>
      <c r="N155" s="1101"/>
      <c r="O155" s="1101"/>
      <c r="P155" s="1101"/>
      <c r="Q155" s="1101"/>
      <c r="R155" s="1101"/>
      <c r="S155" s="1101"/>
      <c r="T155" s="1101"/>
      <c r="U155" s="1101"/>
      <c r="V155" s="1101"/>
      <c r="W155" s="1101"/>
      <c r="X155" s="1101"/>
      <c r="Y155" s="1102"/>
      <c r="Z155" s="1102"/>
      <c r="AA155" s="1101"/>
    </row>
    <row r="156" ht="15.75" customHeight="1">
      <c r="A156" s="213"/>
      <c r="B156" s="213"/>
      <c r="C156" s="1101"/>
      <c r="D156" s="1101"/>
      <c r="E156" s="1101"/>
      <c r="F156" s="1101"/>
      <c r="G156" s="1101"/>
      <c r="H156" s="1101"/>
      <c r="I156" s="1101"/>
      <c r="J156" s="1101"/>
      <c r="K156" s="1101"/>
      <c r="L156" s="1101"/>
      <c r="M156" s="1101"/>
      <c r="N156" s="1101"/>
      <c r="O156" s="1101"/>
      <c r="P156" s="1101"/>
      <c r="Q156" s="1101"/>
      <c r="R156" s="1101"/>
      <c r="S156" s="1101"/>
      <c r="T156" s="1101"/>
      <c r="U156" s="1101"/>
      <c r="V156" s="1101"/>
      <c r="W156" s="1101"/>
      <c r="X156" s="1101"/>
      <c r="Y156" s="1102"/>
      <c r="Z156" s="1102"/>
      <c r="AA156" s="1101"/>
    </row>
    <row r="157" ht="15.75" customHeight="1">
      <c r="A157" s="213"/>
      <c r="B157" s="213"/>
      <c r="C157" s="1101"/>
      <c r="D157" s="1101"/>
      <c r="E157" s="1101"/>
      <c r="F157" s="1101"/>
      <c r="G157" s="1101"/>
      <c r="H157" s="1101"/>
      <c r="I157" s="1101"/>
      <c r="J157" s="1101"/>
      <c r="K157" s="1101"/>
      <c r="L157" s="1101"/>
      <c r="M157" s="1101"/>
      <c r="N157" s="1101"/>
      <c r="O157" s="1101"/>
      <c r="P157" s="1101"/>
      <c r="Q157" s="1101"/>
      <c r="R157" s="1101"/>
      <c r="S157" s="1101"/>
      <c r="T157" s="1101"/>
      <c r="U157" s="1101"/>
      <c r="V157" s="1101"/>
      <c r="W157" s="1101"/>
      <c r="X157" s="1101"/>
      <c r="Y157" s="1102"/>
      <c r="Z157" s="1102"/>
      <c r="AA157" s="1101"/>
    </row>
    <row r="158" ht="15.75" customHeight="1">
      <c r="A158" s="213"/>
      <c r="B158" s="213"/>
      <c r="C158" s="1101"/>
      <c r="D158" s="1101"/>
      <c r="E158" s="1101"/>
      <c r="F158" s="1101"/>
      <c r="G158" s="1101"/>
      <c r="H158" s="1101"/>
      <c r="I158" s="1101"/>
      <c r="J158" s="1101"/>
      <c r="K158" s="1101"/>
      <c r="L158" s="1101"/>
      <c r="M158" s="1101"/>
      <c r="N158" s="1101"/>
      <c r="O158" s="1101"/>
      <c r="P158" s="1101"/>
      <c r="Q158" s="1101"/>
      <c r="R158" s="1101"/>
      <c r="S158" s="1101"/>
      <c r="T158" s="1101"/>
      <c r="U158" s="1101"/>
      <c r="V158" s="1101"/>
      <c r="W158" s="1101"/>
      <c r="X158" s="1101"/>
      <c r="Y158" s="1102"/>
      <c r="Z158" s="1102"/>
      <c r="AA158" s="1101"/>
    </row>
    <row r="159" ht="15.75" customHeight="1">
      <c r="A159" s="213"/>
      <c r="B159" s="213"/>
      <c r="C159" s="1101"/>
      <c r="D159" s="1101"/>
      <c r="E159" s="1101"/>
      <c r="F159" s="1101"/>
      <c r="G159" s="1101"/>
      <c r="H159" s="1101"/>
      <c r="I159" s="1101"/>
      <c r="J159" s="1101"/>
      <c r="K159" s="1101"/>
      <c r="L159" s="1101"/>
      <c r="M159" s="1101"/>
      <c r="N159" s="1101"/>
      <c r="O159" s="1101"/>
      <c r="P159" s="1101"/>
      <c r="Q159" s="1101"/>
      <c r="R159" s="1101"/>
      <c r="S159" s="1101"/>
      <c r="T159" s="1101"/>
      <c r="U159" s="1101"/>
      <c r="V159" s="1101"/>
      <c r="W159" s="1101"/>
      <c r="X159" s="1101"/>
      <c r="Y159" s="1102"/>
      <c r="Z159" s="1102"/>
      <c r="AA159" s="1101"/>
    </row>
    <row r="160" ht="15.75" customHeight="1">
      <c r="A160" s="213"/>
      <c r="B160" s="213"/>
      <c r="C160" s="1101"/>
      <c r="D160" s="1101"/>
      <c r="E160" s="1101"/>
      <c r="F160" s="1101"/>
      <c r="G160" s="1101"/>
      <c r="H160" s="1101"/>
      <c r="I160" s="1101"/>
      <c r="J160" s="1101"/>
      <c r="K160" s="1101"/>
      <c r="L160" s="1101"/>
      <c r="M160" s="1101"/>
      <c r="N160" s="1101"/>
      <c r="O160" s="1101"/>
      <c r="P160" s="1101"/>
      <c r="Q160" s="1101"/>
      <c r="R160" s="1101"/>
      <c r="S160" s="1101"/>
      <c r="T160" s="1101"/>
      <c r="U160" s="1101"/>
      <c r="V160" s="1101"/>
      <c r="W160" s="1101"/>
      <c r="X160" s="1101"/>
      <c r="Y160" s="1102"/>
      <c r="Z160" s="1102"/>
      <c r="AA160" s="1101"/>
    </row>
    <row r="161" ht="15.75" customHeight="1">
      <c r="A161" s="213"/>
      <c r="B161" s="213"/>
      <c r="C161" s="1101"/>
      <c r="D161" s="1101"/>
      <c r="E161" s="1101"/>
      <c r="F161" s="1101"/>
      <c r="G161" s="1101"/>
      <c r="H161" s="1101"/>
      <c r="I161" s="1101"/>
      <c r="J161" s="1101"/>
      <c r="K161" s="1101"/>
      <c r="L161" s="1101"/>
      <c r="M161" s="1101"/>
      <c r="N161" s="1101"/>
      <c r="O161" s="1101"/>
      <c r="P161" s="1101"/>
      <c r="Q161" s="1101"/>
      <c r="R161" s="1101"/>
      <c r="S161" s="1101"/>
      <c r="T161" s="1101"/>
      <c r="U161" s="1101"/>
      <c r="V161" s="1101"/>
      <c r="W161" s="1101"/>
      <c r="X161" s="1101"/>
      <c r="Y161" s="1102"/>
      <c r="Z161" s="1102"/>
      <c r="AA161" s="1101"/>
    </row>
    <row r="162" ht="15.75" customHeight="1">
      <c r="A162" s="213"/>
      <c r="B162" s="213"/>
      <c r="C162" s="1101"/>
      <c r="D162" s="1101"/>
      <c r="E162" s="1101"/>
      <c r="F162" s="1101"/>
      <c r="G162" s="1101"/>
      <c r="H162" s="1101"/>
      <c r="I162" s="1101"/>
      <c r="J162" s="1101"/>
      <c r="K162" s="1101"/>
      <c r="L162" s="1101"/>
      <c r="M162" s="1101"/>
      <c r="N162" s="1101"/>
      <c r="O162" s="1101"/>
      <c r="P162" s="1101"/>
      <c r="Q162" s="1101"/>
      <c r="R162" s="1101"/>
      <c r="S162" s="1101"/>
      <c r="T162" s="1101"/>
      <c r="U162" s="1101"/>
      <c r="V162" s="1101"/>
      <c r="W162" s="1101"/>
      <c r="X162" s="1101"/>
      <c r="Y162" s="1102"/>
      <c r="Z162" s="1102"/>
      <c r="AA162" s="1101"/>
    </row>
    <row r="163" ht="15.75" customHeight="1">
      <c r="A163" s="213"/>
      <c r="B163" s="213"/>
      <c r="C163" s="1101"/>
      <c r="D163" s="1101"/>
      <c r="E163" s="1101"/>
      <c r="F163" s="1101"/>
      <c r="G163" s="1101"/>
      <c r="H163" s="1101"/>
      <c r="I163" s="1101"/>
      <c r="J163" s="1101"/>
      <c r="K163" s="1101"/>
      <c r="L163" s="1101"/>
      <c r="M163" s="1101"/>
      <c r="N163" s="1101"/>
      <c r="O163" s="1101"/>
      <c r="P163" s="1101"/>
      <c r="Q163" s="1101"/>
      <c r="R163" s="1101"/>
      <c r="S163" s="1101"/>
      <c r="T163" s="1101"/>
      <c r="U163" s="1101"/>
      <c r="V163" s="1101"/>
      <c r="W163" s="1101"/>
      <c r="X163" s="1101"/>
      <c r="Y163" s="1102"/>
      <c r="Z163" s="1102"/>
      <c r="AA163" s="1101"/>
    </row>
    <row r="164" ht="15.75" customHeight="1">
      <c r="A164" s="213"/>
      <c r="B164" s="213"/>
      <c r="C164" s="1101"/>
      <c r="D164" s="1101"/>
      <c r="E164" s="1101"/>
      <c r="F164" s="1101"/>
      <c r="G164" s="1101"/>
      <c r="H164" s="1101"/>
      <c r="I164" s="1101"/>
      <c r="J164" s="1101"/>
      <c r="K164" s="1101"/>
      <c r="L164" s="1101"/>
      <c r="M164" s="1101"/>
      <c r="N164" s="1101"/>
      <c r="O164" s="1101"/>
      <c r="P164" s="1101"/>
      <c r="Q164" s="1101"/>
      <c r="R164" s="1101"/>
      <c r="S164" s="1101"/>
      <c r="T164" s="1101"/>
      <c r="U164" s="1101"/>
      <c r="V164" s="1101"/>
      <c r="W164" s="1101"/>
      <c r="X164" s="1101"/>
      <c r="Y164" s="1102"/>
      <c r="Z164" s="1102"/>
      <c r="AA164" s="1101"/>
    </row>
    <row r="165" ht="15.75" customHeight="1">
      <c r="A165" s="213"/>
      <c r="B165" s="213"/>
      <c r="C165" s="1101"/>
      <c r="D165" s="1101"/>
      <c r="E165" s="1101"/>
      <c r="F165" s="1101"/>
      <c r="G165" s="1101"/>
      <c r="H165" s="1101"/>
      <c r="I165" s="1101"/>
      <c r="J165" s="1101"/>
      <c r="K165" s="1101"/>
      <c r="L165" s="1101"/>
      <c r="M165" s="1101"/>
      <c r="N165" s="1101"/>
      <c r="O165" s="1101"/>
      <c r="P165" s="1101"/>
      <c r="Q165" s="1101"/>
      <c r="R165" s="1101"/>
      <c r="S165" s="1101"/>
      <c r="T165" s="1101"/>
      <c r="U165" s="1101"/>
      <c r="V165" s="1101"/>
      <c r="W165" s="1101"/>
      <c r="X165" s="1101"/>
      <c r="Y165" s="1102"/>
      <c r="Z165" s="1102"/>
      <c r="AA165" s="1101"/>
    </row>
    <row r="166" ht="15.75" customHeight="1">
      <c r="A166" s="213"/>
      <c r="B166" s="213"/>
      <c r="C166" s="1101"/>
      <c r="D166" s="1101"/>
      <c r="E166" s="1101"/>
      <c r="F166" s="1101"/>
      <c r="G166" s="1101"/>
      <c r="H166" s="1101"/>
      <c r="I166" s="1101"/>
      <c r="J166" s="1101"/>
      <c r="K166" s="1101"/>
      <c r="L166" s="1101"/>
      <c r="M166" s="1101"/>
      <c r="N166" s="1101"/>
      <c r="O166" s="1101"/>
      <c r="P166" s="1101"/>
      <c r="Q166" s="1101"/>
      <c r="R166" s="1101"/>
      <c r="S166" s="1101"/>
      <c r="T166" s="1101"/>
      <c r="U166" s="1101"/>
      <c r="V166" s="1101"/>
      <c r="W166" s="1101"/>
      <c r="X166" s="1101"/>
      <c r="Y166" s="1102"/>
      <c r="Z166" s="1102"/>
      <c r="AA166" s="1101"/>
    </row>
    <row r="167" ht="15.75" customHeight="1">
      <c r="A167" s="213"/>
      <c r="B167" s="213"/>
      <c r="C167" s="1101"/>
      <c r="D167" s="1101"/>
      <c r="E167" s="1101"/>
      <c r="F167" s="1101"/>
      <c r="G167" s="1101"/>
      <c r="H167" s="1101"/>
      <c r="I167" s="1101"/>
      <c r="J167" s="1101"/>
      <c r="K167" s="1101"/>
      <c r="L167" s="1101"/>
      <c r="M167" s="1101"/>
      <c r="N167" s="1101"/>
      <c r="O167" s="1101"/>
      <c r="P167" s="1101"/>
      <c r="Q167" s="1101"/>
      <c r="R167" s="1101"/>
      <c r="S167" s="1101"/>
      <c r="T167" s="1101"/>
      <c r="U167" s="1101"/>
      <c r="V167" s="1101"/>
      <c r="W167" s="1101"/>
      <c r="X167" s="1101"/>
      <c r="Y167" s="1102"/>
      <c r="Z167" s="1102"/>
      <c r="AA167" s="1101"/>
    </row>
    <row r="168" ht="15.75" customHeight="1">
      <c r="A168" s="213"/>
      <c r="B168" s="213"/>
      <c r="C168" s="1101"/>
      <c r="D168" s="1101"/>
      <c r="E168" s="1101"/>
      <c r="F168" s="1101"/>
      <c r="G168" s="1101"/>
      <c r="H168" s="1101"/>
      <c r="I168" s="1101"/>
      <c r="J168" s="1101"/>
      <c r="K168" s="1101"/>
      <c r="L168" s="1101"/>
      <c r="M168" s="1101"/>
      <c r="N168" s="1101"/>
      <c r="O168" s="1101"/>
      <c r="P168" s="1101"/>
      <c r="Q168" s="1101"/>
      <c r="R168" s="1101"/>
      <c r="S168" s="1101"/>
      <c r="T168" s="1101"/>
      <c r="U168" s="1101"/>
      <c r="V168" s="1101"/>
      <c r="W168" s="1101"/>
      <c r="X168" s="1101"/>
      <c r="Y168" s="1102"/>
      <c r="Z168" s="1102"/>
      <c r="AA168" s="1101"/>
    </row>
    <row r="169" ht="15.75" customHeight="1">
      <c r="A169" s="213"/>
      <c r="B169" s="213"/>
      <c r="C169" s="1101"/>
      <c r="D169" s="1101"/>
      <c r="E169" s="1101"/>
      <c r="F169" s="1101"/>
      <c r="G169" s="1101"/>
      <c r="H169" s="1101"/>
      <c r="I169" s="1101"/>
      <c r="J169" s="1101"/>
      <c r="K169" s="1101"/>
      <c r="L169" s="1101"/>
      <c r="M169" s="1101"/>
      <c r="N169" s="1101"/>
      <c r="O169" s="1101"/>
      <c r="P169" s="1101"/>
      <c r="Q169" s="1101"/>
      <c r="R169" s="1101"/>
      <c r="S169" s="1101"/>
      <c r="T169" s="1101"/>
      <c r="U169" s="1101"/>
      <c r="V169" s="1101"/>
      <c r="W169" s="1101"/>
      <c r="X169" s="1101"/>
      <c r="Y169" s="1102"/>
      <c r="Z169" s="1102"/>
      <c r="AA169" s="1101"/>
    </row>
    <row r="170" ht="15.75" customHeight="1">
      <c r="A170" s="213"/>
      <c r="B170" s="213"/>
      <c r="C170" s="1101"/>
      <c r="D170" s="1101"/>
      <c r="E170" s="1101"/>
      <c r="F170" s="1101"/>
      <c r="G170" s="1101"/>
      <c r="H170" s="1101"/>
      <c r="I170" s="1101"/>
      <c r="J170" s="1101"/>
      <c r="K170" s="1101"/>
      <c r="L170" s="1101"/>
      <c r="M170" s="1101"/>
      <c r="N170" s="1101"/>
      <c r="O170" s="1101"/>
      <c r="P170" s="1101"/>
      <c r="Q170" s="1101"/>
      <c r="R170" s="1101"/>
      <c r="S170" s="1101"/>
      <c r="T170" s="1101"/>
      <c r="U170" s="1101"/>
      <c r="V170" s="1101"/>
      <c r="W170" s="1101"/>
      <c r="X170" s="1101"/>
      <c r="Y170" s="1102"/>
      <c r="Z170" s="1102"/>
      <c r="AA170" s="1101"/>
    </row>
    <row r="171" ht="15.75" customHeight="1">
      <c r="A171" s="213"/>
      <c r="B171" s="213"/>
      <c r="C171" s="1101"/>
      <c r="D171" s="1101"/>
      <c r="E171" s="1101"/>
      <c r="F171" s="1101"/>
      <c r="G171" s="1101"/>
      <c r="H171" s="1101"/>
      <c r="I171" s="1101"/>
      <c r="J171" s="1101"/>
      <c r="K171" s="1101"/>
      <c r="L171" s="1101"/>
      <c r="M171" s="1101"/>
      <c r="N171" s="1101"/>
      <c r="O171" s="1101"/>
      <c r="P171" s="1101"/>
      <c r="Q171" s="1101"/>
      <c r="R171" s="1101"/>
      <c r="S171" s="1101"/>
      <c r="T171" s="1101"/>
      <c r="U171" s="1101"/>
      <c r="V171" s="1101"/>
      <c r="W171" s="1101"/>
      <c r="X171" s="1101"/>
      <c r="Y171" s="1102"/>
      <c r="Z171" s="1102"/>
      <c r="AA171" s="1101"/>
    </row>
    <row r="172" ht="15.75" customHeight="1">
      <c r="A172" s="213"/>
      <c r="B172" s="213"/>
      <c r="C172" s="1101"/>
      <c r="D172" s="1101"/>
      <c r="E172" s="1101"/>
      <c r="F172" s="1101"/>
      <c r="G172" s="1101"/>
      <c r="H172" s="1101"/>
      <c r="I172" s="1101"/>
      <c r="J172" s="1101"/>
      <c r="K172" s="1101"/>
      <c r="L172" s="1101"/>
      <c r="M172" s="1101"/>
      <c r="N172" s="1101"/>
      <c r="O172" s="1101"/>
      <c r="P172" s="1101"/>
      <c r="Q172" s="1101"/>
      <c r="R172" s="1101"/>
      <c r="S172" s="1101"/>
      <c r="T172" s="1101"/>
      <c r="U172" s="1101"/>
      <c r="V172" s="1101"/>
      <c r="W172" s="1101"/>
      <c r="X172" s="1101"/>
      <c r="Y172" s="1102"/>
      <c r="Z172" s="1102"/>
      <c r="AA172" s="1101"/>
    </row>
    <row r="173" ht="15.75" customHeight="1">
      <c r="A173" s="213"/>
      <c r="B173" s="213"/>
      <c r="C173" s="1101"/>
      <c r="D173" s="1101"/>
      <c r="E173" s="1101"/>
      <c r="F173" s="1101"/>
      <c r="G173" s="1101"/>
      <c r="H173" s="1101"/>
      <c r="I173" s="1101"/>
      <c r="J173" s="1101"/>
      <c r="K173" s="1101"/>
      <c r="L173" s="1101"/>
      <c r="M173" s="1101"/>
      <c r="N173" s="1101"/>
      <c r="O173" s="1101"/>
      <c r="P173" s="1101"/>
      <c r="Q173" s="1101"/>
      <c r="R173" s="1101"/>
      <c r="S173" s="1101"/>
      <c r="T173" s="1101"/>
      <c r="U173" s="1101"/>
      <c r="V173" s="1101"/>
      <c r="W173" s="1101"/>
      <c r="X173" s="1101"/>
      <c r="Y173" s="1102"/>
      <c r="Z173" s="1102"/>
      <c r="AA173" s="1101"/>
    </row>
    <row r="174" ht="15.75" customHeight="1">
      <c r="A174" s="213"/>
      <c r="B174" s="213"/>
      <c r="C174" s="1101"/>
      <c r="D174" s="1101"/>
      <c r="E174" s="1101"/>
      <c r="F174" s="1101"/>
      <c r="G174" s="1101"/>
      <c r="H174" s="1101"/>
      <c r="I174" s="1101"/>
      <c r="J174" s="1101"/>
      <c r="K174" s="1101"/>
      <c r="L174" s="1101"/>
      <c r="M174" s="1101"/>
      <c r="N174" s="1101"/>
      <c r="O174" s="1101"/>
      <c r="P174" s="1101"/>
      <c r="Q174" s="1101"/>
      <c r="R174" s="1101"/>
      <c r="S174" s="1101"/>
      <c r="T174" s="1101"/>
      <c r="U174" s="1101"/>
      <c r="V174" s="1101"/>
      <c r="W174" s="1101"/>
      <c r="X174" s="1101"/>
      <c r="Y174" s="1102"/>
      <c r="Z174" s="1102"/>
      <c r="AA174" s="1101"/>
    </row>
    <row r="175" ht="15.75" customHeight="1">
      <c r="A175" s="213"/>
      <c r="B175" s="213"/>
      <c r="C175" s="1101"/>
      <c r="D175" s="1101"/>
      <c r="E175" s="1101"/>
      <c r="F175" s="1101"/>
      <c r="G175" s="1101"/>
      <c r="H175" s="1101"/>
      <c r="I175" s="1101"/>
      <c r="J175" s="1101"/>
      <c r="K175" s="1101"/>
      <c r="L175" s="1101"/>
      <c r="M175" s="1101"/>
      <c r="N175" s="1101"/>
      <c r="O175" s="1101"/>
      <c r="P175" s="1101"/>
      <c r="Q175" s="1101"/>
      <c r="R175" s="1101"/>
      <c r="S175" s="1101"/>
      <c r="T175" s="1101"/>
      <c r="U175" s="1101"/>
      <c r="V175" s="1101"/>
      <c r="W175" s="1101"/>
      <c r="X175" s="1101"/>
      <c r="Y175" s="1102"/>
      <c r="Z175" s="1102"/>
      <c r="AA175" s="1101"/>
    </row>
    <row r="176" ht="15.75" customHeight="1">
      <c r="A176" s="213"/>
      <c r="B176" s="213"/>
      <c r="C176" s="1101"/>
      <c r="D176" s="1101"/>
      <c r="E176" s="1101"/>
      <c r="F176" s="1101"/>
      <c r="G176" s="1101"/>
      <c r="H176" s="1101"/>
      <c r="I176" s="1101"/>
      <c r="J176" s="1101"/>
      <c r="K176" s="1101"/>
      <c r="L176" s="1101"/>
      <c r="M176" s="1101"/>
      <c r="N176" s="1101"/>
      <c r="O176" s="1101"/>
      <c r="P176" s="1101"/>
      <c r="Q176" s="1101"/>
      <c r="R176" s="1101"/>
      <c r="S176" s="1101"/>
      <c r="T176" s="1101"/>
      <c r="U176" s="1101"/>
      <c r="V176" s="1101"/>
      <c r="W176" s="1101"/>
      <c r="X176" s="1101"/>
      <c r="Y176" s="1102"/>
      <c r="Z176" s="1102"/>
      <c r="AA176" s="1101"/>
    </row>
    <row r="177" ht="15.75" customHeight="1">
      <c r="A177" s="213"/>
      <c r="B177" s="213"/>
      <c r="C177" s="1101"/>
      <c r="D177" s="1101"/>
      <c r="E177" s="1101"/>
      <c r="F177" s="1101"/>
      <c r="G177" s="1101"/>
      <c r="H177" s="1101"/>
      <c r="I177" s="1101"/>
      <c r="J177" s="1101"/>
      <c r="K177" s="1101"/>
      <c r="L177" s="1101"/>
      <c r="M177" s="1101"/>
      <c r="N177" s="1101"/>
      <c r="O177" s="1101"/>
      <c r="P177" s="1101"/>
      <c r="Q177" s="1101"/>
      <c r="R177" s="1101"/>
      <c r="S177" s="1101"/>
      <c r="T177" s="1101"/>
      <c r="U177" s="1101"/>
      <c r="V177" s="1101"/>
      <c r="W177" s="1101"/>
      <c r="X177" s="1101"/>
      <c r="Y177" s="1102"/>
      <c r="Z177" s="1102"/>
      <c r="AA177" s="1101"/>
    </row>
    <row r="178" ht="15.75" customHeight="1">
      <c r="A178" s="213"/>
      <c r="B178" s="213"/>
      <c r="C178" s="1101"/>
      <c r="D178" s="1101"/>
      <c r="E178" s="1101"/>
      <c r="F178" s="1101"/>
      <c r="G178" s="1101"/>
      <c r="H178" s="1101"/>
      <c r="I178" s="1101"/>
      <c r="J178" s="1101"/>
      <c r="K178" s="1101"/>
      <c r="L178" s="1101"/>
      <c r="M178" s="1101"/>
      <c r="N178" s="1101"/>
      <c r="O178" s="1101"/>
      <c r="P178" s="1101"/>
      <c r="Q178" s="1101"/>
      <c r="R178" s="1101"/>
      <c r="S178" s="1101"/>
      <c r="T178" s="1101"/>
      <c r="U178" s="1101"/>
      <c r="V178" s="1101"/>
      <c r="W178" s="1101"/>
      <c r="X178" s="1101"/>
      <c r="Y178" s="1102"/>
      <c r="Z178" s="1102"/>
      <c r="AA178" s="1101"/>
    </row>
    <row r="179" ht="15.75" customHeight="1">
      <c r="A179" s="213"/>
      <c r="B179" s="213"/>
      <c r="C179" s="1101"/>
      <c r="D179" s="1101"/>
      <c r="E179" s="1101"/>
      <c r="F179" s="1101"/>
      <c r="G179" s="1101"/>
      <c r="H179" s="1101"/>
      <c r="I179" s="1101"/>
      <c r="J179" s="1101"/>
      <c r="K179" s="1101"/>
      <c r="L179" s="1101"/>
      <c r="M179" s="1101"/>
      <c r="N179" s="1101"/>
      <c r="O179" s="1101"/>
      <c r="P179" s="1101"/>
      <c r="Q179" s="1101"/>
      <c r="R179" s="1101"/>
      <c r="S179" s="1101"/>
      <c r="T179" s="1101"/>
      <c r="U179" s="1101"/>
      <c r="V179" s="1101"/>
      <c r="W179" s="1101"/>
      <c r="X179" s="1101"/>
      <c r="Y179" s="1102"/>
      <c r="Z179" s="1102"/>
      <c r="AA179" s="1101"/>
    </row>
    <row r="180" ht="15.75" customHeight="1">
      <c r="A180" s="213"/>
      <c r="B180" s="213"/>
      <c r="C180" s="1101"/>
      <c r="D180" s="1101"/>
      <c r="E180" s="1101"/>
      <c r="F180" s="1101"/>
      <c r="G180" s="1101"/>
      <c r="H180" s="1101"/>
      <c r="I180" s="1101"/>
      <c r="J180" s="1101"/>
      <c r="K180" s="1101"/>
      <c r="L180" s="1101"/>
      <c r="M180" s="1101"/>
      <c r="N180" s="1101"/>
      <c r="O180" s="1101"/>
      <c r="P180" s="1101"/>
      <c r="Q180" s="1101"/>
      <c r="R180" s="1101"/>
      <c r="S180" s="1101"/>
      <c r="T180" s="1101"/>
      <c r="U180" s="1101"/>
      <c r="V180" s="1101"/>
      <c r="W180" s="1101"/>
      <c r="X180" s="1101"/>
      <c r="Y180" s="1102"/>
      <c r="Z180" s="1102"/>
      <c r="AA180" s="1101"/>
    </row>
    <row r="181" ht="15.75" customHeight="1">
      <c r="A181" s="213"/>
      <c r="B181" s="213"/>
      <c r="C181" s="1101"/>
      <c r="D181" s="1101"/>
      <c r="E181" s="1101"/>
      <c r="F181" s="1101"/>
      <c r="G181" s="1101"/>
      <c r="H181" s="1101"/>
      <c r="I181" s="1101"/>
      <c r="J181" s="1101"/>
      <c r="K181" s="1101"/>
      <c r="L181" s="1101"/>
      <c r="M181" s="1101"/>
      <c r="N181" s="1101"/>
      <c r="O181" s="1101"/>
      <c r="P181" s="1101"/>
      <c r="Q181" s="1101"/>
      <c r="R181" s="1101"/>
      <c r="S181" s="1101"/>
      <c r="T181" s="1101"/>
      <c r="U181" s="1101"/>
      <c r="V181" s="1101"/>
      <c r="W181" s="1101"/>
      <c r="X181" s="1101"/>
      <c r="Y181" s="1102"/>
      <c r="Z181" s="1102"/>
      <c r="AA181" s="1101"/>
    </row>
    <row r="182" ht="15.75" customHeight="1">
      <c r="A182" s="213"/>
      <c r="B182" s="213"/>
      <c r="C182" s="1101"/>
      <c r="D182" s="1101"/>
      <c r="E182" s="1101"/>
      <c r="F182" s="1101"/>
      <c r="G182" s="1101"/>
      <c r="H182" s="1101"/>
      <c r="I182" s="1101"/>
      <c r="J182" s="1101"/>
      <c r="K182" s="1101"/>
      <c r="L182" s="1101"/>
      <c r="M182" s="1101"/>
      <c r="N182" s="1101"/>
      <c r="O182" s="1101"/>
      <c r="P182" s="1101"/>
      <c r="Q182" s="1101"/>
      <c r="R182" s="1101"/>
      <c r="S182" s="1101"/>
      <c r="T182" s="1101"/>
      <c r="U182" s="1101"/>
      <c r="V182" s="1101"/>
      <c r="W182" s="1101"/>
      <c r="X182" s="1101"/>
      <c r="Y182" s="1102"/>
      <c r="Z182" s="1102"/>
      <c r="AA182" s="1101"/>
    </row>
    <row r="183" ht="15.75" customHeight="1">
      <c r="A183" s="213"/>
      <c r="B183" s="213"/>
      <c r="C183" s="1101"/>
      <c r="D183" s="1101"/>
      <c r="E183" s="1101"/>
      <c r="F183" s="1101"/>
      <c r="G183" s="1101"/>
      <c r="H183" s="1101"/>
      <c r="I183" s="1101"/>
      <c r="J183" s="1101"/>
      <c r="K183" s="1101"/>
      <c r="L183" s="1101"/>
      <c r="M183" s="1101"/>
      <c r="N183" s="1101"/>
      <c r="O183" s="1101"/>
      <c r="P183" s="1101"/>
      <c r="Q183" s="1101"/>
      <c r="R183" s="1101"/>
      <c r="S183" s="1101"/>
      <c r="T183" s="1101"/>
      <c r="U183" s="1101"/>
      <c r="V183" s="1101"/>
      <c r="W183" s="1101"/>
      <c r="X183" s="1101"/>
      <c r="Y183" s="1102"/>
      <c r="Z183" s="1102"/>
      <c r="AA183" s="1101"/>
    </row>
    <row r="184" ht="15.75" customHeight="1">
      <c r="A184" s="213"/>
      <c r="B184" s="213"/>
      <c r="C184" s="1101"/>
      <c r="D184" s="1101"/>
      <c r="E184" s="1101"/>
      <c r="F184" s="1101"/>
      <c r="G184" s="1101"/>
      <c r="H184" s="1101"/>
      <c r="I184" s="1101"/>
      <c r="J184" s="1101"/>
      <c r="K184" s="1101"/>
      <c r="L184" s="1101"/>
      <c r="M184" s="1101"/>
      <c r="N184" s="1101"/>
      <c r="O184" s="1101"/>
      <c r="P184" s="1101"/>
      <c r="Q184" s="1101"/>
      <c r="R184" s="1101"/>
      <c r="S184" s="1101"/>
      <c r="T184" s="1101"/>
      <c r="U184" s="1101"/>
      <c r="V184" s="1101"/>
      <c r="W184" s="1101"/>
      <c r="X184" s="1101"/>
      <c r="Y184" s="1102"/>
      <c r="Z184" s="1102"/>
      <c r="AA184" s="1101"/>
    </row>
    <row r="185" ht="15.75" customHeight="1">
      <c r="A185" s="213"/>
      <c r="B185" s="213"/>
      <c r="C185" s="1101"/>
      <c r="D185" s="1101"/>
      <c r="E185" s="1101"/>
      <c r="F185" s="1101"/>
      <c r="G185" s="1101"/>
      <c r="H185" s="1101"/>
      <c r="I185" s="1101"/>
      <c r="J185" s="1101"/>
      <c r="K185" s="1101"/>
      <c r="L185" s="1101"/>
      <c r="M185" s="1101"/>
      <c r="N185" s="1101"/>
      <c r="O185" s="1101"/>
      <c r="P185" s="1101"/>
      <c r="Q185" s="1101"/>
      <c r="R185" s="1101"/>
      <c r="S185" s="1101"/>
      <c r="T185" s="1101"/>
      <c r="U185" s="1101"/>
      <c r="V185" s="1101"/>
      <c r="W185" s="1101"/>
      <c r="X185" s="1101"/>
      <c r="Y185" s="1102"/>
      <c r="Z185" s="1102"/>
      <c r="AA185" s="1101"/>
    </row>
    <row r="186" ht="15.75" customHeight="1">
      <c r="A186" s="213"/>
      <c r="B186" s="213"/>
      <c r="C186" s="1101"/>
      <c r="D186" s="1101"/>
      <c r="E186" s="1101"/>
      <c r="F186" s="1101"/>
      <c r="G186" s="1101"/>
      <c r="H186" s="1101"/>
      <c r="I186" s="1101"/>
      <c r="J186" s="1101"/>
      <c r="K186" s="1101"/>
      <c r="L186" s="1101"/>
      <c r="M186" s="1101"/>
      <c r="N186" s="1101"/>
      <c r="O186" s="1101"/>
      <c r="P186" s="1101"/>
      <c r="Q186" s="1101"/>
      <c r="R186" s="1101"/>
      <c r="S186" s="1101"/>
      <c r="T186" s="1101"/>
      <c r="U186" s="1101"/>
      <c r="V186" s="1101"/>
      <c r="W186" s="1101"/>
      <c r="X186" s="1101"/>
      <c r="Y186" s="1102"/>
      <c r="Z186" s="1102"/>
      <c r="AA186" s="1101"/>
    </row>
    <row r="187" ht="15.75" customHeight="1">
      <c r="A187" s="213"/>
      <c r="B187" s="213"/>
      <c r="C187" s="1101"/>
      <c r="D187" s="1101"/>
      <c r="E187" s="1101"/>
      <c r="F187" s="1101"/>
      <c r="G187" s="1101"/>
      <c r="H187" s="1101"/>
      <c r="I187" s="1101"/>
      <c r="J187" s="1101"/>
      <c r="K187" s="1101"/>
      <c r="L187" s="1101"/>
      <c r="M187" s="1101"/>
      <c r="N187" s="1101"/>
      <c r="O187" s="1101"/>
      <c r="P187" s="1101"/>
      <c r="Q187" s="1101"/>
      <c r="R187" s="1101"/>
      <c r="S187" s="1101"/>
      <c r="T187" s="1101"/>
      <c r="U187" s="1101"/>
      <c r="V187" s="1101"/>
      <c r="W187" s="1101"/>
      <c r="X187" s="1101"/>
      <c r="Y187" s="1102"/>
      <c r="Z187" s="1102"/>
      <c r="AA187" s="1101"/>
    </row>
    <row r="188" ht="15.75" customHeight="1">
      <c r="A188" s="213"/>
      <c r="B188" s="213"/>
      <c r="C188" s="1101"/>
      <c r="D188" s="1101"/>
      <c r="E188" s="1101"/>
      <c r="F188" s="1101"/>
      <c r="G188" s="1101"/>
      <c r="H188" s="1101"/>
      <c r="I188" s="1101"/>
      <c r="J188" s="1101"/>
      <c r="K188" s="1101"/>
      <c r="L188" s="1101"/>
      <c r="M188" s="1101"/>
      <c r="N188" s="1101"/>
      <c r="O188" s="1101"/>
      <c r="P188" s="1101"/>
      <c r="Q188" s="1101"/>
      <c r="R188" s="1101"/>
      <c r="S188" s="1101"/>
      <c r="T188" s="1101"/>
      <c r="U188" s="1101"/>
      <c r="V188" s="1101"/>
      <c r="W188" s="1101"/>
      <c r="X188" s="1101"/>
      <c r="Y188" s="1102"/>
      <c r="Z188" s="1102"/>
      <c r="AA188" s="1101"/>
    </row>
    <row r="189" ht="15.75" customHeight="1">
      <c r="A189" s="213"/>
      <c r="B189" s="213"/>
      <c r="C189" s="1101"/>
      <c r="D189" s="1101"/>
      <c r="E189" s="1101"/>
      <c r="F189" s="1101"/>
      <c r="G189" s="1101"/>
      <c r="H189" s="1101"/>
      <c r="I189" s="1101"/>
      <c r="J189" s="1101"/>
      <c r="K189" s="1101"/>
      <c r="L189" s="1101"/>
      <c r="M189" s="1101"/>
      <c r="N189" s="1101"/>
      <c r="O189" s="1101"/>
      <c r="P189" s="1101"/>
      <c r="Q189" s="1101"/>
      <c r="R189" s="1101"/>
      <c r="S189" s="1101"/>
      <c r="T189" s="1101"/>
      <c r="U189" s="1101"/>
      <c r="V189" s="1101"/>
      <c r="W189" s="1101"/>
      <c r="X189" s="1101"/>
      <c r="Y189" s="1102"/>
      <c r="Z189" s="1102"/>
      <c r="AA189" s="1101"/>
    </row>
    <row r="190" ht="15.75" customHeight="1">
      <c r="A190" s="213"/>
      <c r="B190" s="213"/>
      <c r="C190" s="1101"/>
      <c r="D190" s="1101"/>
      <c r="E190" s="1101"/>
      <c r="F190" s="1101"/>
      <c r="G190" s="1101"/>
      <c r="H190" s="1101"/>
      <c r="I190" s="1101"/>
      <c r="J190" s="1101"/>
      <c r="K190" s="1101"/>
      <c r="L190" s="1101"/>
      <c r="M190" s="1101"/>
      <c r="N190" s="1101"/>
      <c r="O190" s="1101"/>
      <c r="P190" s="1101"/>
      <c r="Q190" s="1101"/>
      <c r="R190" s="1101"/>
      <c r="S190" s="1101"/>
      <c r="T190" s="1101"/>
      <c r="U190" s="1101"/>
      <c r="V190" s="1101"/>
      <c r="W190" s="1101"/>
      <c r="X190" s="1101"/>
      <c r="Y190" s="1102"/>
      <c r="Z190" s="1102"/>
      <c r="AA190" s="1101"/>
    </row>
    <row r="191" ht="15.75" customHeight="1">
      <c r="A191" s="213"/>
      <c r="B191" s="213"/>
      <c r="C191" s="1101"/>
      <c r="D191" s="1101"/>
      <c r="E191" s="1101"/>
      <c r="F191" s="1101"/>
      <c r="G191" s="1101"/>
      <c r="H191" s="1101"/>
      <c r="I191" s="1101"/>
      <c r="J191" s="1101"/>
      <c r="K191" s="1101"/>
      <c r="L191" s="1101"/>
      <c r="M191" s="1101"/>
      <c r="N191" s="1101"/>
      <c r="O191" s="1101"/>
      <c r="P191" s="1101"/>
      <c r="Q191" s="1101"/>
      <c r="R191" s="1101"/>
      <c r="S191" s="1101"/>
      <c r="T191" s="1101"/>
      <c r="U191" s="1101"/>
      <c r="V191" s="1101"/>
      <c r="W191" s="1101"/>
      <c r="X191" s="1101"/>
      <c r="Y191" s="1102"/>
      <c r="Z191" s="1102"/>
      <c r="AA191" s="1101"/>
    </row>
    <row r="192" ht="15.75" customHeight="1">
      <c r="A192" s="213"/>
      <c r="B192" s="213"/>
      <c r="C192" s="1101"/>
      <c r="D192" s="1101"/>
      <c r="E192" s="1101"/>
      <c r="F192" s="1101"/>
      <c r="G192" s="1101"/>
      <c r="H192" s="1101"/>
      <c r="I192" s="1101"/>
      <c r="J192" s="1101"/>
      <c r="K192" s="1101"/>
      <c r="L192" s="1101"/>
      <c r="M192" s="1101"/>
      <c r="N192" s="1101"/>
      <c r="O192" s="1101"/>
      <c r="P192" s="1101"/>
      <c r="Q192" s="1101"/>
      <c r="R192" s="1101"/>
      <c r="S192" s="1101"/>
      <c r="T192" s="1101"/>
      <c r="U192" s="1101"/>
      <c r="V192" s="1101"/>
      <c r="W192" s="1101"/>
      <c r="X192" s="1101"/>
      <c r="Y192" s="1102"/>
      <c r="Z192" s="1102"/>
      <c r="AA192" s="1101"/>
    </row>
    <row r="193" ht="15.75" customHeight="1">
      <c r="A193" s="213"/>
      <c r="B193" s="213"/>
      <c r="C193" s="1101"/>
      <c r="D193" s="1101"/>
      <c r="E193" s="1101"/>
      <c r="F193" s="1101"/>
      <c r="G193" s="1101"/>
      <c r="H193" s="1101"/>
      <c r="I193" s="1101"/>
      <c r="J193" s="1101"/>
      <c r="K193" s="1101"/>
      <c r="L193" s="1101"/>
      <c r="M193" s="1101"/>
      <c r="N193" s="1101"/>
      <c r="O193" s="1101"/>
      <c r="P193" s="1101"/>
      <c r="Q193" s="1101"/>
      <c r="R193" s="1101"/>
      <c r="S193" s="1101"/>
      <c r="T193" s="1101"/>
      <c r="U193" s="1101"/>
      <c r="V193" s="1101"/>
      <c r="W193" s="1101"/>
      <c r="X193" s="1101"/>
      <c r="Y193" s="1102"/>
      <c r="Z193" s="1102"/>
      <c r="AA193" s="1101"/>
    </row>
    <row r="194" ht="15.75" customHeight="1">
      <c r="A194" s="213"/>
      <c r="B194" s="213"/>
      <c r="C194" s="1101"/>
      <c r="D194" s="1101"/>
      <c r="E194" s="1101"/>
      <c r="F194" s="1101"/>
      <c r="G194" s="1101"/>
      <c r="H194" s="1101"/>
      <c r="I194" s="1101"/>
      <c r="J194" s="1101"/>
      <c r="K194" s="1101"/>
      <c r="L194" s="1101"/>
      <c r="M194" s="1101"/>
      <c r="N194" s="1101"/>
      <c r="O194" s="1101"/>
      <c r="P194" s="1101"/>
      <c r="Q194" s="1101"/>
      <c r="R194" s="1101"/>
      <c r="S194" s="1101"/>
      <c r="T194" s="1101"/>
      <c r="U194" s="1101"/>
      <c r="V194" s="1101"/>
      <c r="W194" s="1101"/>
      <c r="X194" s="1101"/>
      <c r="Y194" s="1102"/>
      <c r="Z194" s="1102"/>
      <c r="AA194" s="1101"/>
    </row>
    <row r="195" ht="15.75" customHeight="1">
      <c r="A195" s="213"/>
      <c r="B195" s="213"/>
      <c r="C195" s="1101"/>
      <c r="D195" s="1101"/>
      <c r="E195" s="1101"/>
      <c r="F195" s="1101"/>
      <c r="G195" s="1101"/>
      <c r="H195" s="1101"/>
      <c r="I195" s="1101"/>
      <c r="J195" s="1101"/>
      <c r="K195" s="1101"/>
      <c r="L195" s="1101"/>
      <c r="M195" s="1101"/>
      <c r="N195" s="1101"/>
      <c r="O195" s="1101"/>
      <c r="P195" s="1101"/>
      <c r="Q195" s="1101"/>
      <c r="R195" s="1101"/>
      <c r="S195" s="1101"/>
      <c r="T195" s="1101"/>
      <c r="U195" s="1101"/>
      <c r="V195" s="1101"/>
      <c r="W195" s="1101"/>
      <c r="X195" s="1101"/>
      <c r="Y195" s="1102"/>
      <c r="Z195" s="1102"/>
      <c r="AA195" s="1101"/>
    </row>
    <row r="196" ht="15.75" customHeight="1">
      <c r="A196" s="213"/>
      <c r="B196" s="213"/>
      <c r="C196" s="1101"/>
      <c r="D196" s="1101"/>
      <c r="E196" s="1101"/>
      <c r="F196" s="1101"/>
      <c r="G196" s="1101"/>
      <c r="H196" s="1101"/>
      <c r="I196" s="1101"/>
      <c r="J196" s="1101"/>
      <c r="K196" s="1101"/>
      <c r="L196" s="1101"/>
      <c r="M196" s="1101"/>
      <c r="N196" s="1101"/>
      <c r="O196" s="1101"/>
      <c r="P196" s="1101"/>
      <c r="Q196" s="1101"/>
      <c r="R196" s="1101"/>
      <c r="S196" s="1101"/>
      <c r="T196" s="1101"/>
      <c r="U196" s="1101"/>
      <c r="V196" s="1101"/>
      <c r="W196" s="1101"/>
      <c r="X196" s="1101"/>
      <c r="Y196" s="1102"/>
      <c r="Z196" s="1102"/>
      <c r="AA196" s="1101"/>
    </row>
    <row r="197" ht="15.75" customHeight="1">
      <c r="A197" s="213"/>
      <c r="B197" s="213"/>
      <c r="C197" s="1101"/>
      <c r="D197" s="1101"/>
      <c r="E197" s="1101"/>
      <c r="F197" s="1101"/>
      <c r="G197" s="1101"/>
      <c r="H197" s="1101"/>
      <c r="I197" s="1101"/>
      <c r="J197" s="1101"/>
      <c r="K197" s="1101"/>
      <c r="L197" s="1101"/>
      <c r="M197" s="1101"/>
      <c r="N197" s="1101"/>
      <c r="O197" s="1101"/>
      <c r="P197" s="1101"/>
      <c r="Q197" s="1101"/>
      <c r="R197" s="1101"/>
      <c r="S197" s="1101"/>
      <c r="T197" s="1101"/>
      <c r="U197" s="1101"/>
      <c r="V197" s="1101"/>
      <c r="W197" s="1101"/>
      <c r="X197" s="1101"/>
      <c r="Y197" s="1102"/>
      <c r="Z197" s="1102"/>
      <c r="AA197" s="1101"/>
    </row>
    <row r="198" ht="15.75" customHeight="1">
      <c r="A198" s="213"/>
      <c r="B198" s="213"/>
      <c r="C198" s="1101"/>
      <c r="D198" s="1101"/>
      <c r="E198" s="1101"/>
      <c r="F198" s="1101"/>
      <c r="G198" s="1101"/>
      <c r="H198" s="1101"/>
      <c r="I198" s="1101"/>
      <c r="J198" s="1101"/>
      <c r="K198" s="1101"/>
      <c r="L198" s="1101"/>
      <c r="M198" s="1101"/>
      <c r="N198" s="1101"/>
      <c r="O198" s="1101"/>
      <c r="P198" s="1101"/>
      <c r="Q198" s="1101"/>
      <c r="R198" s="1101"/>
      <c r="S198" s="1101"/>
      <c r="T198" s="1101"/>
      <c r="U198" s="1101"/>
      <c r="V198" s="1101"/>
      <c r="W198" s="1101"/>
      <c r="X198" s="1101"/>
      <c r="Y198" s="1102"/>
      <c r="Z198" s="1102"/>
      <c r="AA198" s="1101"/>
    </row>
    <row r="199" ht="15.75" customHeight="1">
      <c r="A199" s="213"/>
      <c r="B199" s="213"/>
      <c r="C199" s="1101"/>
      <c r="D199" s="1101"/>
      <c r="E199" s="1101"/>
      <c r="F199" s="1101"/>
      <c r="G199" s="1101"/>
      <c r="H199" s="1101"/>
      <c r="I199" s="1101"/>
      <c r="J199" s="1101"/>
      <c r="K199" s="1101"/>
      <c r="L199" s="1101"/>
      <c r="M199" s="1101"/>
      <c r="N199" s="1101"/>
      <c r="O199" s="1101"/>
      <c r="P199" s="1101"/>
      <c r="Q199" s="1101"/>
      <c r="R199" s="1101"/>
      <c r="S199" s="1101"/>
      <c r="T199" s="1101"/>
      <c r="U199" s="1101"/>
      <c r="V199" s="1101"/>
      <c r="W199" s="1101"/>
      <c r="X199" s="1101"/>
      <c r="Y199" s="1102"/>
      <c r="Z199" s="1102"/>
      <c r="AA199" s="1101"/>
    </row>
    <row r="200" ht="15.75" customHeight="1">
      <c r="A200" s="213"/>
      <c r="B200" s="213"/>
      <c r="C200" s="1101"/>
      <c r="D200" s="1101"/>
      <c r="E200" s="1101"/>
      <c r="F200" s="1101"/>
      <c r="G200" s="1101"/>
      <c r="H200" s="1101"/>
      <c r="I200" s="1101"/>
      <c r="J200" s="1101"/>
      <c r="K200" s="1101"/>
      <c r="L200" s="1101"/>
      <c r="M200" s="1101"/>
      <c r="N200" s="1101"/>
      <c r="O200" s="1101"/>
      <c r="P200" s="1101"/>
      <c r="Q200" s="1101"/>
      <c r="R200" s="1101"/>
      <c r="S200" s="1101"/>
      <c r="T200" s="1101"/>
      <c r="U200" s="1101"/>
      <c r="V200" s="1101"/>
      <c r="W200" s="1101"/>
      <c r="X200" s="1101"/>
      <c r="Y200" s="1102"/>
      <c r="Z200" s="1102"/>
      <c r="AA200" s="1101"/>
    </row>
    <row r="201" ht="15.75" customHeight="1">
      <c r="A201" s="213"/>
      <c r="B201" s="213"/>
      <c r="C201" s="1101"/>
      <c r="D201" s="1101"/>
      <c r="E201" s="1101"/>
      <c r="F201" s="1101"/>
      <c r="G201" s="1101"/>
      <c r="H201" s="1101"/>
      <c r="I201" s="1101"/>
      <c r="J201" s="1101"/>
      <c r="K201" s="1101"/>
      <c r="L201" s="1101"/>
      <c r="M201" s="1101"/>
      <c r="N201" s="1101"/>
      <c r="O201" s="1101"/>
      <c r="P201" s="1101"/>
      <c r="Q201" s="1101"/>
      <c r="R201" s="1101"/>
      <c r="S201" s="1101"/>
      <c r="T201" s="1101"/>
      <c r="U201" s="1101"/>
      <c r="V201" s="1101"/>
      <c r="W201" s="1101"/>
      <c r="X201" s="1101"/>
      <c r="Y201" s="1102"/>
      <c r="Z201" s="1102"/>
      <c r="AA201" s="1101"/>
    </row>
    <row r="202" ht="15.75" customHeight="1">
      <c r="A202" s="213"/>
      <c r="B202" s="213"/>
      <c r="C202" s="1101"/>
      <c r="D202" s="1101"/>
      <c r="E202" s="1101"/>
      <c r="F202" s="1101"/>
      <c r="G202" s="1101"/>
      <c r="H202" s="1101"/>
      <c r="I202" s="1101"/>
      <c r="J202" s="1101"/>
      <c r="K202" s="1101"/>
      <c r="L202" s="1101"/>
      <c r="M202" s="1101"/>
      <c r="N202" s="1101"/>
      <c r="O202" s="1101"/>
      <c r="P202" s="1101"/>
      <c r="Q202" s="1101"/>
      <c r="R202" s="1101"/>
      <c r="S202" s="1101"/>
      <c r="T202" s="1101"/>
      <c r="U202" s="1101"/>
      <c r="V202" s="1101"/>
      <c r="W202" s="1101"/>
      <c r="X202" s="1101"/>
      <c r="Y202" s="1102"/>
      <c r="Z202" s="1102"/>
      <c r="AA202" s="1101"/>
    </row>
    <row r="203" ht="15.75" customHeight="1">
      <c r="A203" s="213"/>
      <c r="B203" s="213"/>
      <c r="C203" s="1101"/>
      <c r="D203" s="1101"/>
      <c r="E203" s="1101"/>
      <c r="F203" s="1101"/>
      <c r="G203" s="1101"/>
      <c r="H203" s="1101"/>
      <c r="I203" s="1101"/>
      <c r="J203" s="1101"/>
      <c r="K203" s="1101"/>
      <c r="L203" s="1101"/>
      <c r="M203" s="1101"/>
      <c r="N203" s="1101"/>
      <c r="O203" s="1101"/>
      <c r="P203" s="1101"/>
      <c r="Q203" s="1101"/>
      <c r="R203" s="1101"/>
      <c r="S203" s="1101"/>
      <c r="T203" s="1101"/>
      <c r="U203" s="1101"/>
      <c r="V203" s="1101"/>
      <c r="W203" s="1101"/>
      <c r="X203" s="1101"/>
      <c r="Y203" s="1102"/>
      <c r="Z203" s="1102"/>
      <c r="AA203" s="1101"/>
    </row>
    <row r="204" ht="15.75" customHeight="1">
      <c r="A204" s="213"/>
      <c r="B204" s="213"/>
      <c r="C204" s="1101"/>
      <c r="D204" s="1101"/>
      <c r="E204" s="1101"/>
      <c r="F204" s="1101"/>
      <c r="G204" s="1101"/>
      <c r="H204" s="1101"/>
      <c r="I204" s="1101"/>
      <c r="J204" s="1101"/>
      <c r="K204" s="1101"/>
      <c r="L204" s="1101"/>
      <c r="M204" s="1101"/>
      <c r="N204" s="1101"/>
      <c r="O204" s="1101"/>
      <c r="P204" s="1101"/>
      <c r="Q204" s="1101"/>
      <c r="R204" s="1101"/>
      <c r="S204" s="1101"/>
      <c r="T204" s="1101"/>
      <c r="U204" s="1101"/>
      <c r="V204" s="1101"/>
      <c r="W204" s="1101"/>
      <c r="X204" s="1101"/>
      <c r="Y204" s="1102"/>
      <c r="Z204" s="1102"/>
      <c r="AA204" s="1101"/>
    </row>
    <row r="205" ht="15.75" customHeight="1">
      <c r="A205" s="213"/>
      <c r="B205" s="213"/>
      <c r="C205" s="1101"/>
      <c r="D205" s="1101"/>
      <c r="E205" s="1101"/>
      <c r="F205" s="1101"/>
      <c r="G205" s="1101"/>
      <c r="H205" s="1101"/>
      <c r="I205" s="1101"/>
      <c r="J205" s="1101"/>
      <c r="K205" s="1101"/>
      <c r="L205" s="1101"/>
      <c r="M205" s="1101"/>
      <c r="N205" s="1101"/>
      <c r="O205" s="1101"/>
      <c r="P205" s="1101"/>
      <c r="Q205" s="1101"/>
      <c r="R205" s="1101"/>
      <c r="S205" s="1101"/>
      <c r="T205" s="1101"/>
      <c r="U205" s="1101"/>
      <c r="V205" s="1101"/>
      <c r="W205" s="1101"/>
      <c r="X205" s="1101"/>
      <c r="Y205" s="1102"/>
      <c r="Z205" s="1102"/>
      <c r="AA205" s="1101"/>
    </row>
    <row r="206" ht="15.75" customHeight="1">
      <c r="A206" s="213"/>
      <c r="B206" s="213"/>
      <c r="C206" s="1101"/>
      <c r="D206" s="1101"/>
      <c r="E206" s="1101"/>
      <c r="F206" s="1101"/>
      <c r="G206" s="1101"/>
      <c r="H206" s="1101"/>
      <c r="I206" s="1101"/>
      <c r="J206" s="1101"/>
      <c r="K206" s="1101"/>
      <c r="L206" s="1101"/>
      <c r="M206" s="1101"/>
      <c r="N206" s="1101"/>
      <c r="O206" s="1101"/>
      <c r="P206" s="1101"/>
      <c r="Q206" s="1101"/>
      <c r="R206" s="1101"/>
      <c r="S206" s="1101"/>
      <c r="T206" s="1101"/>
      <c r="U206" s="1101"/>
      <c r="V206" s="1101"/>
      <c r="W206" s="1101"/>
      <c r="X206" s="1101"/>
      <c r="Y206" s="1102"/>
      <c r="Z206" s="1102"/>
      <c r="AA206" s="1101"/>
    </row>
    <row r="207" ht="15.75" customHeight="1">
      <c r="A207" s="213"/>
      <c r="B207" s="213"/>
      <c r="C207" s="1101"/>
      <c r="D207" s="1101"/>
      <c r="E207" s="1101"/>
      <c r="F207" s="1101"/>
      <c r="G207" s="1101"/>
      <c r="H207" s="1101"/>
      <c r="I207" s="1101"/>
      <c r="J207" s="1101"/>
      <c r="K207" s="1101"/>
      <c r="L207" s="1101"/>
      <c r="M207" s="1101"/>
      <c r="N207" s="1101"/>
      <c r="O207" s="1101"/>
      <c r="P207" s="1101"/>
      <c r="Q207" s="1101"/>
      <c r="R207" s="1101"/>
      <c r="S207" s="1101"/>
      <c r="T207" s="1101"/>
      <c r="U207" s="1101"/>
      <c r="V207" s="1101"/>
      <c r="W207" s="1101"/>
      <c r="X207" s="1101"/>
      <c r="Y207" s="1102"/>
      <c r="Z207" s="1102"/>
      <c r="AA207" s="1101"/>
    </row>
    <row r="208" ht="15.75" customHeight="1">
      <c r="A208" s="213"/>
      <c r="B208" s="213"/>
      <c r="C208" s="1101"/>
      <c r="D208" s="1101"/>
      <c r="E208" s="1101"/>
      <c r="F208" s="1101"/>
      <c r="G208" s="1101"/>
      <c r="H208" s="1101"/>
      <c r="I208" s="1101"/>
      <c r="J208" s="1101"/>
      <c r="K208" s="1101"/>
      <c r="L208" s="1101"/>
      <c r="M208" s="1101"/>
      <c r="N208" s="1101"/>
      <c r="O208" s="1101"/>
      <c r="P208" s="1101"/>
      <c r="Q208" s="1101"/>
      <c r="R208" s="1101"/>
      <c r="S208" s="1101"/>
      <c r="T208" s="1101"/>
      <c r="U208" s="1101"/>
      <c r="V208" s="1101"/>
      <c r="W208" s="1101"/>
      <c r="X208" s="1101"/>
      <c r="Y208" s="1102"/>
      <c r="Z208" s="1102"/>
      <c r="AA208" s="1101"/>
    </row>
    <row r="209" ht="15.75" customHeight="1">
      <c r="A209" s="213"/>
      <c r="B209" s="213"/>
      <c r="C209" s="1101"/>
      <c r="D209" s="1101"/>
      <c r="E209" s="1101"/>
      <c r="F209" s="1101"/>
      <c r="G209" s="1101"/>
      <c r="H209" s="1101"/>
      <c r="I209" s="1101"/>
      <c r="J209" s="1101"/>
      <c r="K209" s="1101"/>
      <c r="L209" s="1101"/>
      <c r="M209" s="1101"/>
      <c r="N209" s="1101"/>
      <c r="O209" s="1101"/>
      <c r="P209" s="1101"/>
      <c r="Q209" s="1101"/>
      <c r="R209" s="1101"/>
      <c r="S209" s="1101"/>
      <c r="T209" s="1101"/>
      <c r="U209" s="1101"/>
      <c r="V209" s="1101"/>
      <c r="W209" s="1101"/>
      <c r="X209" s="1101"/>
      <c r="Y209" s="1102"/>
      <c r="Z209" s="1102"/>
      <c r="AA209" s="1101"/>
    </row>
    <row r="210" ht="15.75" customHeight="1">
      <c r="A210" s="213"/>
      <c r="B210" s="213"/>
      <c r="C210" s="1101"/>
      <c r="D210" s="1101"/>
      <c r="E210" s="1101"/>
      <c r="F210" s="1101"/>
      <c r="G210" s="1101"/>
      <c r="H210" s="1101"/>
      <c r="I210" s="1101"/>
      <c r="J210" s="1101"/>
      <c r="K210" s="1101"/>
      <c r="L210" s="1101"/>
      <c r="M210" s="1101"/>
      <c r="N210" s="1101"/>
      <c r="O210" s="1101"/>
      <c r="P210" s="1101"/>
      <c r="Q210" s="1101"/>
      <c r="R210" s="1101"/>
      <c r="S210" s="1101"/>
      <c r="T210" s="1101"/>
      <c r="U210" s="1101"/>
      <c r="V210" s="1101"/>
      <c r="W210" s="1101"/>
      <c r="X210" s="1101"/>
      <c r="Y210" s="1102"/>
      <c r="Z210" s="1102"/>
      <c r="AA210" s="1101"/>
    </row>
    <row r="211" ht="15.75" customHeight="1">
      <c r="A211" s="213"/>
      <c r="B211" s="213"/>
      <c r="C211" s="1101"/>
      <c r="D211" s="1101"/>
      <c r="E211" s="1101"/>
      <c r="F211" s="1101"/>
      <c r="G211" s="1101"/>
      <c r="H211" s="1101"/>
      <c r="I211" s="1101"/>
      <c r="J211" s="1101"/>
      <c r="K211" s="1101"/>
      <c r="L211" s="1101"/>
      <c r="M211" s="1101"/>
      <c r="N211" s="1101"/>
      <c r="O211" s="1101"/>
      <c r="P211" s="1101"/>
      <c r="Q211" s="1101"/>
      <c r="R211" s="1101"/>
      <c r="S211" s="1101"/>
      <c r="T211" s="1101"/>
      <c r="U211" s="1101"/>
      <c r="V211" s="1101"/>
      <c r="W211" s="1101"/>
      <c r="X211" s="1101"/>
      <c r="Y211" s="1102"/>
      <c r="Z211" s="1102"/>
      <c r="AA211" s="1101"/>
    </row>
    <row r="212" ht="15.75" customHeight="1">
      <c r="A212" s="213"/>
      <c r="B212" s="213"/>
      <c r="C212" s="1101"/>
      <c r="D212" s="1101"/>
      <c r="E212" s="1101"/>
      <c r="F212" s="1101"/>
      <c r="G212" s="1101"/>
      <c r="H212" s="1101"/>
      <c r="I212" s="1101"/>
      <c r="J212" s="1101"/>
      <c r="K212" s="1101"/>
      <c r="L212" s="1101"/>
      <c r="M212" s="1101"/>
      <c r="N212" s="1101"/>
      <c r="O212" s="1101"/>
      <c r="P212" s="1101"/>
      <c r="Q212" s="1101"/>
      <c r="R212" s="1101"/>
      <c r="S212" s="1101"/>
      <c r="T212" s="1101"/>
      <c r="U212" s="1101"/>
      <c r="V212" s="1101"/>
      <c r="W212" s="1101"/>
      <c r="X212" s="1101"/>
      <c r="Y212" s="1102"/>
      <c r="Z212" s="1102"/>
      <c r="AA212" s="1101"/>
    </row>
    <row r="213" ht="15.75" customHeight="1">
      <c r="A213" s="213"/>
      <c r="B213" s="213"/>
      <c r="C213" s="1101"/>
      <c r="D213" s="1101"/>
      <c r="E213" s="1101"/>
      <c r="F213" s="1101"/>
      <c r="G213" s="1101"/>
      <c r="H213" s="1101"/>
      <c r="I213" s="1101"/>
      <c r="J213" s="1101"/>
      <c r="K213" s="1101"/>
      <c r="L213" s="1101"/>
      <c r="M213" s="1101"/>
      <c r="N213" s="1101"/>
      <c r="O213" s="1101"/>
      <c r="P213" s="1101"/>
      <c r="Q213" s="1101"/>
      <c r="R213" s="1101"/>
      <c r="S213" s="1101"/>
      <c r="T213" s="1101"/>
      <c r="U213" s="1101"/>
      <c r="V213" s="1101"/>
      <c r="W213" s="1101"/>
      <c r="X213" s="1101"/>
      <c r="Y213" s="1102"/>
      <c r="Z213" s="1102"/>
      <c r="AA213" s="1101"/>
    </row>
    <row r="214" ht="15.75" customHeight="1">
      <c r="A214" s="213"/>
      <c r="B214" s="213"/>
      <c r="C214" s="1101"/>
      <c r="D214" s="1101"/>
      <c r="E214" s="1101"/>
      <c r="F214" s="1101"/>
      <c r="G214" s="1101"/>
      <c r="H214" s="1101"/>
      <c r="I214" s="1101"/>
      <c r="J214" s="1101"/>
      <c r="K214" s="1101"/>
      <c r="L214" s="1101"/>
      <c r="M214" s="1101"/>
      <c r="N214" s="1101"/>
      <c r="O214" s="1101"/>
      <c r="P214" s="1101"/>
      <c r="Q214" s="1101"/>
      <c r="R214" s="1101"/>
      <c r="S214" s="1101"/>
      <c r="T214" s="1101"/>
      <c r="U214" s="1101"/>
      <c r="V214" s="1101"/>
      <c r="W214" s="1101"/>
      <c r="X214" s="1101"/>
      <c r="Y214" s="1102"/>
      <c r="Z214" s="1102"/>
      <c r="AA214" s="1101"/>
    </row>
    <row r="215" ht="15.75" customHeight="1">
      <c r="A215" s="213"/>
      <c r="B215" s="213"/>
      <c r="C215" s="1101"/>
      <c r="D215" s="1101"/>
      <c r="E215" s="1101"/>
      <c r="F215" s="1101"/>
      <c r="G215" s="1101"/>
      <c r="H215" s="1101"/>
      <c r="I215" s="1101"/>
      <c r="J215" s="1101"/>
      <c r="K215" s="1101"/>
      <c r="L215" s="1101"/>
      <c r="M215" s="1101"/>
      <c r="N215" s="1101"/>
      <c r="O215" s="1101"/>
      <c r="P215" s="1101"/>
      <c r="Q215" s="1101"/>
      <c r="R215" s="1101"/>
      <c r="S215" s="1101"/>
      <c r="T215" s="1101"/>
      <c r="U215" s="1101"/>
      <c r="V215" s="1101"/>
      <c r="W215" s="1101"/>
      <c r="X215" s="1101"/>
      <c r="Y215" s="1102"/>
      <c r="Z215" s="1102"/>
      <c r="AA215" s="1101"/>
    </row>
    <row r="216" ht="15.75" customHeight="1">
      <c r="A216" s="213"/>
      <c r="B216" s="213"/>
      <c r="C216" s="1101"/>
      <c r="D216" s="1101"/>
      <c r="E216" s="1101"/>
      <c r="F216" s="1101"/>
      <c r="G216" s="1101"/>
      <c r="H216" s="1101"/>
      <c r="I216" s="1101"/>
      <c r="J216" s="1101"/>
      <c r="K216" s="1101"/>
      <c r="L216" s="1101"/>
      <c r="M216" s="1101"/>
      <c r="N216" s="1101"/>
      <c r="O216" s="1101"/>
      <c r="P216" s="1101"/>
      <c r="Q216" s="1101"/>
      <c r="R216" s="1101"/>
      <c r="S216" s="1101"/>
      <c r="T216" s="1101"/>
      <c r="U216" s="1101"/>
      <c r="V216" s="1101"/>
      <c r="W216" s="1101"/>
      <c r="X216" s="1101"/>
      <c r="Y216" s="1102"/>
      <c r="Z216" s="1102"/>
      <c r="AA216" s="1101"/>
    </row>
    <row r="217" ht="15.75" customHeight="1">
      <c r="A217" s="213"/>
      <c r="B217" s="213"/>
      <c r="C217" s="1101"/>
      <c r="D217" s="1101"/>
      <c r="E217" s="1101"/>
      <c r="F217" s="1101"/>
      <c r="G217" s="1101"/>
      <c r="H217" s="1101"/>
      <c r="I217" s="1101"/>
      <c r="J217" s="1101"/>
      <c r="K217" s="1101"/>
      <c r="L217" s="1101"/>
      <c r="M217" s="1101"/>
      <c r="N217" s="1101"/>
      <c r="O217" s="1101"/>
      <c r="P217" s="1101"/>
      <c r="Q217" s="1101"/>
      <c r="R217" s="1101"/>
      <c r="S217" s="1101"/>
      <c r="T217" s="1101"/>
      <c r="U217" s="1101"/>
      <c r="V217" s="1101"/>
      <c r="W217" s="1101"/>
      <c r="X217" s="1101"/>
      <c r="Y217" s="1102"/>
      <c r="Z217" s="1102"/>
      <c r="AA217" s="1101"/>
    </row>
    <row r="218" ht="15.75" customHeight="1">
      <c r="A218" s="213"/>
      <c r="B218" s="213"/>
      <c r="C218" s="1101"/>
      <c r="D218" s="1101"/>
      <c r="E218" s="1101"/>
      <c r="F218" s="1101"/>
      <c r="G218" s="1101"/>
      <c r="H218" s="1101"/>
      <c r="I218" s="1101"/>
      <c r="J218" s="1101"/>
      <c r="K218" s="1101"/>
      <c r="L218" s="1101"/>
      <c r="M218" s="1101"/>
      <c r="N218" s="1101"/>
      <c r="O218" s="1101"/>
      <c r="P218" s="1101"/>
      <c r="Q218" s="1101"/>
      <c r="R218" s="1101"/>
      <c r="S218" s="1101"/>
      <c r="T218" s="1101"/>
      <c r="U218" s="1101"/>
      <c r="V218" s="1101"/>
      <c r="W218" s="1101"/>
      <c r="X218" s="1101"/>
      <c r="Y218" s="1102"/>
      <c r="Z218" s="1102"/>
      <c r="AA218" s="1101"/>
    </row>
    <row r="219" ht="15.75" customHeight="1">
      <c r="A219" s="213"/>
      <c r="B219" s="213"/>
      <c r="C219" s="1101"/>
      <c r="D219" s="1101"/>
      <c r="E219" s="1101"/>
      <c r="F219" s="1101"/>
      <c r="G219" s="1101"/>
      <c r="H219" s="1101"/>
      <c r="I219" s="1101"/>
      <c r="J219" s="1101"/>
      <c r="K219" s="1101"/>
      <c r="L219" s="1101"/>
      <c r="M219" s="1101"/>
      <c r="N219" s="1101"/>
      <c r="O219" s="1101"/>
      <c r="P219" s="1101"/>
      <c r="Q219" s="1101"/>
      <c r="R219" s="1101"/>
      <c r="S219" s="1101"/>
      <c r="T219" s="1101"/>
      <c r="U219" s="1101"/>
      <c r="V219" s="1101"/>
      <c r="W219" s="1101"/>
      <c r="X219" s="1101"/>
      <c r="Y219" s="1102"/>
      <c r="Z219" s="1102"/>
      <c r="AA219" s="1101"/>
    </row>
    <row r="220" ht="15.75" customHeight="1">
      <c r="A220" s="213"/>
      <c r="B220" s="213"/>
      <c r="C220" s="1101"/>
      <c r="D220" s="1101"/>
      <c r="E220" s="1101"/>
      <c r="F220" s="1101"/>
      <c r="G220" s="1101"/>
      <c r="H220" s="1101"/>
      <c r="I220" s="1101"/>
      <c r="J220" s="1101"/>
      <c r="K220" s="1101"/>
      <c r="L220" s="1101"/>
      <c r="M220" s="1101"/>
      <c r="N220" s="1101"/>
      <c r="O220" s="1101"/>
      <c r="P220" s="1101"/>
      <c r="Q220" s="1101"/>
      <c r="R220" s="1101"/>
      <c r="S220" s="1101"/>
      <c r="T220" s="1101"/>
      <c r="U220" s="1101"/>
      <c r="V220" s="1101"/>
      <c r="W220" s="1101"/>
      <c r="X220" s="1101"/>
      <c r="Y220" s="1102"/>
      <c r="Z220" s="1102"/>
      <c r="AA220" s="1101"/>
    </row>
    <row r="221" ht="15.75" customHeight="1">
      <c r="A221" s="213"/>
      <c r="B221" s="213"/>
      <c r="C221" s="1101"/>
      <c r="D221" s="1101"/>
      <c r="E221" s="1101"/>
      <c r="F221" s="1101"/>
      <c r="G221" s="1101"/>
      <c r="H221" s="1101"/>
      <c r="I221" s="1101"/>
      <c r="J221" s="1101"/>
      <c r="K221" s="1101"/>
      <c r="L221" s="1101"/>
      <c r="M221" s="1101"/>
      <c r="N221" s="1101"/>
      <c r="O221" s="1101"/>
      <c r="P221" s="1101"/>
      <c r="Q221" s="1101"/>
      <c r="R221" s="1101"/>
      <c r="S221" s="1101"/>
      <c r="T221" s="1101"/>
      <c r="U221" s="1101"/>
      <c r="V221" s="1101"/>
      <c r="W221" s="1101"/>
      <c r="X221" s="1101"/>
      <c r="Y221" s="1102"/>
      <c r="Z221" s="1102"/>
      <c r="AA221" s="1101"/>
    </row>
    <row r="222" ht="15.75" customHeight="1">
      <c r="A222" s="213"/>
      <c r="B222" s="213"/>
      <c r="C222" s="1101"/>
      <c r="D222" s="1101"/>
      <c r="E222" s="1101"/>
      <c r="F222" s="1101"/>
      <c r="G222" s="1101"/>
      <c r="H222" s="1101"/>
      <c r="I222" s="1101"/>
      <c r="J222" s="1101"/>
      <c r="K222" s="1101"/>
      <c r="L222" s="1101"/>
      <c r="M222" s="1101"/>
      <c r="N222" s="1101"/>
      <c r="O222" s="1101"/>
      <c r="P222" s="1101"/>
      <c r="Q222" s="1101"/>
      <c r="R222" s="1101"/>
      <c r="S222" s="1101"/>
      <c r="T222" s="1101"/>
      <c r="U222" s="1101"/>
      <c r="V222" s="1101"/>
      <c r="W222" s="1101"/>
      <c r="X222" s="1101"/>
      <c r="Y222" s="1102"/>
      <c r="Z222" s="1102"/>
      <c r="AA222" s="1101"/>
    </row>
    <row r="223" ht="15.75" customHeight="1">
      <c r="A223" s="213"/>
      <c r="B223" s="213"/>
      <c r="C223" s="1101"/>
      <c r="D223" s="1101"/>
      <c r="E223" s="1101"/>
      <c r="F223" s="1101"/>
      <c r="G223" s="1101"/>
      <c r="H223" s="1101"/>
      <c r="I223" s="1101"/>
      <c r="J223" s="1101"/>
      <c r="K223" s="1101"/>
      <c r="L223" s="1101"/>
      <c r="M223" s="1101"/>
      <c r="N223" s="1101"/>
      <c r="O223" s="1101"/>
      <c r="P223" s="1101"/>
      <c r="Q223" s="1101"/>
      <c r="R223" s="1101"/>
      <c r="S223" s="1101"/>
      <c r="T223" s="1101"/>
      <c r="U223" s="1101"/>
      <c r="V223" s="1101"/>
      <c r="W223" s="1101"/>
      <c r="X223" s="1101"/>
      <c r="Y223" s="1102"/>
      <c r="Z223" s="1102"/>
      <c r="AA223" s="1101"/>
    </row>
    <row r="224" ht="15.75" customHeight="1">
      <c r="A224" s="213"/>
      <c r="B224" s="213"/>
      <c r="C224" s="1101"/>
      <c r="D224" s="1101"/>
      <c r="E224" s="1101"/>
      <c r="F224" s="1101"/>
      <c r="G224" s="1101"/>
      <c r="H224" s="1101"/>
      <c r="I224" s="1101"/>
      <c r="J224" s="1101"/>
      <c r="K224" s="1101"/>
      <c r="L224" s="1101"/>
      <c r="M224" s="1101"/>
      <c r="N224" s="1101"/>
      <c r="O224" s="1101"/>
      <c r="P224" s="1101"/>
      <c r="Q224" s="1101"/>
      <c r="R224" s="1101"/>
      <c r="S224" s="1101"/>
      <c r="T224" s="1101"/>
      <c r="U224" s="1101"/>
      <c r="V224" s="1101"/>
      <c r="W224" s="1101"/>
      <c r="X224" s="1101"/>
      <c r="Y224" s="1102"/>
      <c r="Z224" s="1102"/>
      <c r="AA224" s="1101"/>
    </row>
    <row r="225" ht="15.75" customHeight="1">
      <c r="A225" s="213"/>
      <c r="B225" s="213"/>
      <c r="C225" s="1101"/>
      <c r="D225" s="1101"/>
      <c r="E225" s="1101"/>
      <c r="F225" s="1101"/>
      <c r="G225" s="1101"/>
      <c r="H225" s="1101"/>
      <c r="I225" s="1101"/>
      <c r="J225" s="1101"/>
      <c r="K225" s="1101"/>
      <c r="L225" s="1101"/>
      <c r="M225" s="1101"/>
      <c r="N225" s="1101"/>
      <c r="O225" s="1101"/>
      <c r="P225" s="1101"/>
      <c r="Q225" s="1101"/>
      <c r="R225" s="1101"/>
      <c r="S225" s="1101"/>
      <c r="T225" s="1101"/>
      <c r="U225" s="1101"/>
      <c r="V225" s="1101"/>
      <c r="W225" s="1101"/>
      <c r="X225" s="1101"/>
      <c r="Y225" s="1102"/>
      <c r="Z225" s="1102"/>
      <c r="AA225" s="1101"/>
    </row>
    <row r="226" ht="15.75" customHeight="1">
      <c r="A226" s="213"/>
      <c r="B226" s="213"/>
      <c r="C226" s="1101"/>
      <c r="D226" s="1101"/>
      <c r="E226" s="1101"/>
      <c r="F226" s="1101"/>
      <c r="G226" s="1101"/>
      <c r="H226" s="1101"/>
      <c r="I226" s="1101"/>
      <c r="J226" s="1101"/>
      <c r="K226" s="1101"/>
      <c r="L226" s="1101"/>
      <c r="M226" s="1101"/>
      <c r="N226" s="1101"/>
      <c r="O226" s="1101"/>
      <c r="P226" s="1101"/>
      <c r="Q226" s="1101"/>
      <c r="R226" s="1101"/>
      <c r="S226" s="1101"/>
      <c r="T226" s="1101"/>
      <c r="U226" s="1101"/>
      <c r="V226" s="1101"/>
      <c r="W226" s="1101"/>
      <c r="X226" s="1101"/>
      <c r="Y226" s="1102"/>
      <c r="Z226" s="1102"/>
      <c r="AA226" s="1101"/>
    </row>
    <row r="227" ht="15.75" customHeight="1">
      <c r="A227" s="213"/>
      <c r="B227" s="213"/>
      <c r="C227" s="1101"/>
      <c r="D227" s="1101"/>
      <c r="E227" s="1101"/>
      <c r="F227" s="1101"/>
      <c r="G227" s="1101"/>
      <c r="H227" s="1101"/>
      <c r="I227" s="1101"/>
      <c r="J227" s="1101"/>
      <c r="K227" s="1101"/>
      <c r="L227" s="1101"/>
      <c r="M227" s="1101"/>
      <c r="N227" s="1101"/>
      <c r="O227" s="1101"/>
      <c r="P227" s="1101"/>
      <c r="Q227" s="1101"/>
      <c r="R227" s="1101"/>
      <c r="S227" s="1101"/>
      <c r="T227" s="1101"/>
      <c r="U227" s="1101"/>
      <c r="V227" s="1101"/>
      <c r="W227" s="1101"/>
      <c r="X227" s="1101"/>
      <c r="Y227" s="1102"/>
      <c r="Z227" s="1102"/>
      <c r="AA227" s="1101"/>
    </row>
    <row r="228" ht="15.75" customHeight="1">
      <c r="A228" s="213"/>
      <c r="B228" s="213"/>
      <c r="C228" s="1101"/>
      <c r="D228" s="1101"/>
      <c r="E228" s="1101"/>
      <c r="F228" s="1101"/>
      <c r="G228" s="1101"/>
      <c r="H228" s="1101"/>
      <c r="I228" s="1101"/>
      <c r="J228" s="1101"/>
      <c r="K228" s="1101"/>
      <c r="L228" s="1101"/>
      <c r="M228" s="1101"/>
      <c r="N228" s="1101"/>
      <c r="O228" s="1101"/>
      <c r="P228" s="1101"/>
      <c r="Q228" s="1101"/>
      <c r="R228" s="1101"/>
      <c r="S228" s="1101"/>
      <c r="T228" s="1101"/>
      <c r="U228" s="1101"/>
      <c r="V228" s="1101"/>
      <c r="W228" s="1101"/>
      <c r="X228" s="1101"/>
      <c r="Y228" s="1102"/>
      <c r="Z228" s="1102"/>
      <c r="AA228" s="1101"/>
    </row>
    <row r="229" ht="15.75" customHeight="1">
      <c r="A229" s="213"/>
      <c r="B229" s="213"/>
      <c r="C229" s="1101"/>
      <c r="D229" s="1101"/>
      <c r="E229" s="1101"/>
      <c r="F229" s="1101"/>
      <c r="G229" s="1101"/>
      <c r="H229" s="1101"/>
      <c r="I229" s="1101"/>
      <c r="J229" s="1101"/>
      <c r="K229" s="1101"/>
      <c r="L229" s="1101"/>
      <c r="M229" s="1101"/>
      <c r="N229" s="1101"/>
      <c r="O229" s="1101"/>
      <c r="P229" s="1101"/>
      <c r="Q229" s="1101"/>
      <c r="R229" s="1101"/>
      <c r="S229" s="1101"/>
      <c r="T229" s="1101"/>
      <c r="U229" s="1101"/>
      <c r="V229" s="1101"/>
      <c r="W229" s="1101"/>
      <c r="X229" s="1101"/>
      <c r="Y229" s="1102"/>
      <c r="Z229" s="1102"/>
      <c r="AA229" s="1101"/>
    </row>
    <row r="230" ht="15.75" customHeight="1">
      <c r="A230" s="213"/>
      <c r="B230" s="213"/>
      <c r="C230" s="1101"/>
      <c r="D230" s="1101"/>
      <c r="E230" s="1101"/>
      <c r="F230" s="1101"/>
      <c r="G230" s="1101"/>
      <c r="H230" s="1101"/>
      <c r="I230" s="1101"/>
      <c r="J230" s="1101"/>
      <c r="K230" s="1101"/>
      <c r="L230" s="1101"/>
      <c r="M230" s="1101"/>
      <c r="N230" s="1101"/>
      <c r="O230" s="1101"/>
      <c r="P230" s="1101"/>
      <c r="Q230" s="1101"/>
      <c r="R230" s="1101"/>
      <c r="S230" s="1101"/>
      <c r="T230" s="1101"/>
      <c r="U230" s="1101"/>
      <c r="V230" s="1101"/>
      <c r="W230" s="1101"/>
      <c r="X230" s="1101"/>
      <c r="Y230" s="1102"/>
      <c r="Z230" s="1102"/>
      <c r="AA230" s="1101"/>
    </row>
    <row r="231" ht="15.75" customHeight="1">
      <c r="A231" s="213"/>
      <c r="B231" s="213"/>
      <c r="C231" s="1101"/>
      <c r="D231" s="1101"/>
      <c r="E231" s="1101"/>
      <c r="F231" s="1101"/>
      <c r="G231" s="1101"/>
      <c r="H231" s="1101"/>
      <c r="I231" s="1101"/>
      <c r="J231" s="1101"/>
      <c r="K231" s="1101"/>
      <c r="L231" s="1101"/>
      <c r="M231" s="1101"/>
      <c r="N231" s="1101"/>
      <c r="O231" s="1101"/>
      <c r="P231" s="1101"/>
      <c r="Q231" s="1101"/>
      <c r="R231" s="1101"/>
      <c r="S231" s="1101"/>
      <c r="T231" s="1101"/>
      <c r="U231" s="1101"/>
      <c r="V231" s="1101"/>
      <c r="W231" s="1101"/>
      <c r="X231" s="1101"/>
      <c r="Y231" s="1102"/>
      <c r="Z231" s="1102"/>
      <c r="AA231" s="1101"/>
    </row>
    <row r="232" ht="15.75" customHeight="1">
      <c r="A232" s="213"/>
      <c r="B232" s="213"/>
      <c r="C232" s="1101"/>
      <c r="D232" s="1101"/>
      <c r="E232" s="1101"/>
      <c r="F232" s="1101"/>
      <c r="G232" s="1101"/>
      <c r="H232" s="1101"/>
      <c r="I232" s="1101"/>
      <c r="J232" s="1101"/>
      <c r="K232" s="1101"/>
      <c r="L232" s="1101"/>
      <c r="M232" s="1101"/>
      <c r="N232" s="1101"/>
      <c r="O232" s="1101"/>
      <c r="P232" s="1101"/>
      <c r="Q232" s="1101"/>
      <c r="R232" s="1101"/>
      <c r="S232" s="1101"/>
      <c r="T232" s="1101"/>
      <c r="U232" s="1101"/>
      <c r="V232" s="1101"/>
      <c r="W232" s="1101"/>
      <c r="X232" s="1101"/>
      <c r="Y232" s="1102"/>
      <c r="Z232" s="1102"/>
      <c r="AA232" s="1101"/>
    </row>
    <row r="233" ht="15.75" customHeight="1">
      <c r="A233" s="213"/>
      <c r="B233" s="213"/>
      <c r="C233" s="1101"/>
      <c r="D233" s="1101"/>
      <c r="E233" s="1101"/>
      <c r="F233" s="1101"/>
      <c r="G233" s="1101"/>
      <c r="H233" s="1101"/>
      <c r="I233" s="1101"/>
      <c r="J233" s="1101"/>
      <c r="K233" s="1101"/>
      <c r="L233" s="1101"/>
      <c r="M233" s="1101"/>
      <c r="N233" s="1101"/>
      <c r="O233" s="1101"/>
      <c r="P233" s="1101"/>
      <c r="Q233" s="1101"/>
      <c r="R233" s="1101"/>
      <c r="S233" s="1101"/>
      <c r="T233" s="1101"/>
      <c r="U233" s="1101"/>
      <c r="V233" s="1101"/>
      <c r="W233" s="1101"/>
      <c r="X233" s="1101"/>
      <c r="Y233" s="1102"/>
      <c r="Z233" s="1102"/>
      <c r="AA233" s="1101"/>
    </row>
    <row r="234" ht="15.75" customHeight="1">
      <c r="A234" s="213"/>
      <c r="B234" s="213"/>
      <c r="C234" s="1101"/>
      <c r="D234" s="1101"/>
      <c r="E234" s="1101"/>
      <c r="F234" s="1101"/>
      <c r="G234" s="1101"/>
      <c r="H234" s="1101"/>
      <c r="I234" s="1101"/>
      <c r="J234" s="1101"/>
      <c r="K234" s="1101"/>
      <c r="L234" s="1101"/>
      <c r="M234" s="1101"/>
      <c r="N234" s="1101"/>
      <c r="O234" s="1101"/>
      <c r="P234" s="1101"/>
      <c r="Q234" s="1101"/>
      <c r="R234" s="1101"/>
      <c r="S234" s="1101"/>
      <c r="T234" s="1101"/>
      <c r="U234" s="1101"/>
      <c r="V234" s="1101"/>
      <c r="W234" s="1101"/>
      <c r="X234" s="1101"/>
      <c r="Y234" s="1102"/>
      <c r="Z234" s="1102"/>
      <c r="AA234" s="1101"/>
    </row>
    <row r="235" ht="15.75" customHeight="1">
      <c r="A235" s="213"/>
      <c r="B235" s="213"/>
      <c r="C235" s="1101"/>
      <c r="D235" s="1101"/>
      <c r="E235" s="1101"/>
      <c r="F235" s="1101"/>
      <c r="G235" s="1101"/>
      <c r="H235" s="1101"/>
      <c r="I235" s="1101"/>
      <c r="J235" s="1101"/>
      <c r="K235" s="1101"/>
      <c r="L235" s="1101"/>
      <c r="M235" s="1101"/>
      <c r="N235" s="1101"/>
      <c r="O235" s="1101"/>
      <c r="P235" s="1101"/>
      <c r="Q235" s="1101"/>
      <c r="R235" s="1101"/>
      <c r="S235" s="1101"/>
      <c r="T235" s="1101"/>
      <c r="U235" s="1101"/>
      <c r="V235" s="1101"/>
      <c r="W235" s="1101"/>
      <c r="X235" s="1101"/>
      <c r="Y235" s="1102"/>
      <c r="Z235" s="1102"/>
      <c r="AA235" s="1101"/>
    </row>
    <row r="236" ht="15.75" customHeight="1">
      <c r="A236" s="213"/>
      <c r="B236" s="213"/>
      <c r="C236" s="1101"/>
      <c r="D236" s="1101"/>
      <c r="E236" s="1101"/>
      <c r="F236" s="1101"/>
      <c r="G236" s="1101"/>
      <c r="H236" s="1101"/>
      <c r="I236" s="1101"/>
      <c r="J236" s="1101"/>
      <c r="K236" s="1101"/>
      <c r="L236" s="1101"/>
      <c r="M236" s="1101"/>
      <c r="N236" s="1101"/>
      <c r="O236" s="1101"/>
      <c r="P236" s="1101"/>
      <c r="Q236" s="1101"/>
      <c r="R236" s="1101"/>
      <c r="S236" s="1101"/>
      <c r="T236" s="1101"/>
      <c r="U236" s="1101"/>
      <c r="V236" s="1101"/>
      <c r="W236" s="1101"/>
      <c r="X236" s="1101"/>
      <c r="Y236" s="1102"/>
      <c r="Z236" s="1102"/>
      <c r="AA236" s="1101"/>
    </row>
    <row r="237" ht="15.75" customHeight="1">
      <c r="A237" s="213"/>
      <c r="B237" s="213"/>
      <c r="C237" s="1101"/>
      <c r="D237" s="1101"/>
      <c r="E237" s="1101"/>
      <c r="F237" s="1101"/>
      <c r="G237" s="1101"/>
      <c r="H237" s="1101"/>
      <c r="I237" s="1101"/>
      <c r="J237" s="1101"/>
      <c r="K237" s="1101"/>
      <c r="L237" s="1101"/>
      <c r="M237" s="1101"/>
      <c r="N237" s="1101"/>
      <c r="O237" s="1101"/>
      <c r="P237" s="1101"/>
      <c r="Q237" s="1101"/>
      <c r="R237" s="1101"/>
      <c r="S237" s="1101"/>
      <c r="T237" s="1101"/>
      <c r="U237" s="1101"/>
      <c r="V237" s="1101"/>
      <c r="W237" s="1101"/>
      <c r="X237" s="1101"/>
      <c r="Y237" s="1102"/>
      <c r="Z237" s="1102"/>
      <c r="AA237" s="1101"/>
    </row>
    <row r="238" ht="15.75" customHeight="1">
      <c r="A238" s="213"/>
      <c r="B238" s="213"/>
      <c r="C238" s="1101"/>
      <c r="D238" s="1101"/>
      <c r="E238" s="1101"/>
      <c r="F238" s="1101"/>
      <c r="G238" s="1101"/>
      <c r="H238" s="1101"/>
      <c r="I238" s="1101"/>
      <c r="J238" s="1101"/>
      <c r="K238" s="1101"/>
      <c r="L238" s="1101"/>
      <c r="M238" s="1101"/>
      <c r="N238" s="1101"/>
      <c r="O238" s="1101"/>
      <c r="P238" s="1101"/>
      <c r="Q238" s="1101"/>
      <c r="R238" s="1101"/>
      <c r="S238" s="1101"/>
      <c r="T238" s="1101"/>
      <c r="U238" s="1101"/>
      <c r="V238" s="1101"/>
      <c r="W238" s="1101"/>
      <c r="X238" s="1101"/>
      <c r="Y238" s="1102"/>
      <c r="Z238" s="1102"/>
      <c r="AA238" s="1101"/>
    </row>
    <row r="239" ht="15.75" customHeight="1">
      <c r="A239" s="213"/>
      <c r="B239" s="213"/>
      <c r="C239" s="1101"/>
      <c r="D239" s="1101"/>
      <c r="E239" s="1101"/>
      <c r="F239" s="1101"/>
      <c r="G239" s="1101"/>
      <c r="H239" s="1101"/>
      <c r="I239" s="1101"/>
      <c r="J239" s="1101"/>
      <c r="K239" s="1101"/>
      <c r="L239" s="1101"/>
      <c r="M239" s="1101"/>
      <c r="N239" s="1101"/>
      <c r="O239" s="1101"/>
      <c r="P239" s="1101"/>
      <c r="Q239" s="1101"/>
      <c r="R239" s="1101"/>
      <c r="S239" s="1101"/>
      <c r="T239" s="1101"/>
      <c r="U239" s="1101"/>
      <c r="V239" s="1101"/>
      <c r="W239" s="1101"/>
      <c r="X239" s="1101"/>
      <c r="Y239" s="1102"/>
      <c r="Z239" s="1102"/>
      <c r="AA239" s="1101"/>
    </row>
    <row r="240" ht="15.75" customHeight="1">
      <c r="A240" s="213"/>
      <c r="B240" s="213"/>
      <c r="C240" s="1101"/>
      <c r="D240" s="1101"/>
      <c r="E240" s="1101"/>
      <c r="F240" s="1101"/>
      <c r="G240" s="1101"/>
      <c r="H240" s="1101"/>
      <c r="I240" s="1101"/>
      <c r="J240" s="1101"/>
      <c r="K240" s="1101"/>
      <c r="L240" s="1101"/>
      <c r="M240" s="1101"/>
      <c r="N240" s="1101"/>
      <c r="O240" s="1101"/>
      <c r="P240" s="1101"/>
      <c r="Q240" s="1101"/>
      <c r="R240" s="1101"/>
      <c r="S240" s="1101"/>
      <c r="T240" s="1101"/>
      <c r="U240" s="1101"/>
      <c r="V240" s="1101"/>
      <c r="W240" s="1101"/>
      <c r="X240" s="1101"/>
      <c r="Y240" s="1102"/>
      <c r="Z240" s="1102"/>
      <c r="AA240" s="1101"/>
    </row>
    <row r="241" ht="15.75" customHeight="1">
      <c r="A241" s="213"/>
      <c r="B241" s="213"/>
      <c r="C241" s="1101"/>
      <c r="D241" s="1101"/>
      <c r="E241" s="1101"/>
      <c r="F241" s="1101"/>
      <c r="G241" s="1101"/>
      <c r="H241" s="1101"/>
      <c r="I241" s="1101"/>
      <c r="J241" s="1101"/>
      <c r="K241" s="1101"/>
      <c r="L241" s="1101"/>
      <c r="M241" s="1101"/>
      <c r="N241" s="1101"/>
      <c r="O241" s="1101"/>
      <c r="P241" s="1101"/>
      <c r="Q241" s="1101"/>
      <c r="R241" s="1101"/>
      <c r="S241" s="1101"/>
      <c r="T241" s="1101"/>
      <c r="U241" s="1101"/>
      <c r="V241" s="1101"/>
      <c r="W241" s="1101"/>
      <c r="X241" s="1101"/>
      <c r="Y241" s="1102"/>
      <c r="Z241" s="1102"/>
      <c r="AA241" s="1101"/>
    </row>
    <row r="242" ht="15.75" customHeight="1">
      <c r="A242" s="213"/>
      <c r="B242" s="213"/>
      <c r="C242" s="1101"/>
      <c r="D242" s="1101"/>
      <c r="E242" s="1101"/>
      <c r="F242" s="1101"/>
      <c r="G242" s="1101"/>
      <c r="H242" s="1101"/>
      <c r="I242" s="1101"/>
      <c r="J242" s="1101"/>
      <c r="K242" s="1101"/>
      <c r="L242" s="1101"/>
      <c r="M242" s="1101"/>
      <c r="N242" s="1101"/>
      <c r="O242" s="1101"/>
      <c r="P242" s="1101"/>
      <c r="Q242" s="1101"/>
      <c r="R242" s="1101"/>
      <c r="S242" s="1101"/>
      <c r="T242" s="1101"/>
      <c r="U242" s="1101"/>
      <c r="V242" s="1101"/>
      <c r="W242" s="1101"/>
      <c r="X242" s="1101"/>
      <c r="Y242" s="1102"/>
      <c r="Z242" s="1102"/>
      <c r="AA242" s="1101"/>
    </row>
    <row r="243" ht="15.75" customHeight="1">
      <c r="A243" s="213"/>
      <c r="B243" s="213"/>
      <c r="C243" s="1101"/>
      <c r="D243" s="1101"/>
      <c r="E243" s="1101"/>
      <c r="F243" s="1101"/>
      <c r="G243" s="1101"/>
      <c r="H243" s="1101"/>
      <c r="I243" s="1101"/>
      <c r="J243" s="1101"/>
      <c r="K243" s="1101"/>
      <c r="L243" s="1101"/>
      <c r="M243" s="1101"/>
      <c r="N243" s="1101"/>
      <c r="O243" s="1101"/>
      <c r="P243" s="1101"/>
      <c r="Q243" s="1101"/>
      <c r="R243" s="1101"/>
      <c r="S243" s="1101"/>
      <c r="T243" s="1101"/>
      <c r="U243" s="1101"/>
      <c r="V243" s="1101"/>
      <c r="W243" s="1101"/>
      <c r="X243" s="1101"/>
      <c r="Y243" s="1102"/>
      <c r="Z243" s="1102"/>
      <c r="AA243" s="1101"/>
    </row>
    <row r="244" ht="15.75" customHeight="1">
      <c r="A244" s="213"/>
      <c r="B244" s="213"/>
      <c r="C244" s="1101"/>
      <c r="D244" s="1101"/>
      <c r="E244" s="1101"/>
      <c r="F244" s="1101"/>
      <c r="G244" s="1101"/>
      <c r="H244" s="1101"/>
      <c r="I244" s="1101"/>
      <c r="J244" s="1101"/>
      <c r="K244" s="1101"/>
      <c r="L244" s="1101"/>
      <c r="M244" s="1101"/>
      <c r="N244" s="1101"/>
      <c r="O244" s="1101"/>
      <c r="P244" s="1101"/>
      <c r="Q244" s="1101"/>
      <c r="R244" s="1101"/>
      <c r="S244" s="1101"/>
      <c r="T244" s="1101"/>
      <c r="U244" s="1101"/>
      <c r="V244" s="1101"/>
      <c r="W244" s="1101"/>
      <c r="X244" s="1101"/>
      <c r="Y244" s="1102"/>
      <c r="Z244" s="1102"/>
      <c r="AA244" s="1101"/>
    </row>
    <row r="245" ht="15.75" customHeight="1">
      <c r="A245" s="213"/>
      <c r="B245" s="213"/>
      <c r="C245" s="1101"/>
      <c r="D245" s="1101"/>
      <c r="E245" s="1101"/>
      <c r="F245" s="1101"/>
      <c r="G245" s="1101"/>
      <c r="H245" s="1101"/>
      <c r="I245" s="1101"/>
      <c r="J245" s="1101"/>
      <c r="K245" s="1101"/>
      <c r="L245" s="1101"/>
      <c r="M245" s="1101"/>
      <c r="N245" s="1101"/>
      <c r="O245" s="1101"/>
      <c r="P245" s="1101"/>
      <c r="Q245" s="1101"/>
      <c r="R245" s="1101"/>
      <c r="S245" s="1101"/>
      <c r="T245" s="1101"/>
      <c r="U245" s="1101"/>
      <c r="V245" s="1101"/>
      <c r="W245" s="1101"/>
      <c r="X245" s="1101"/>
      <c r="Y245" s="1102"/>
      <c r="Z245" s="1102"/>
      <c r="AA245" s="1101"/>
    </row>
    <row r="246" ht="15.75" customHeight="1">
      <c r="A246" s="213"/>
      <c r="B246" s="213"/>
      <c r="C246" s="1101"/>
      <c r="D246" s="1101"/>
      <c r="E246" s="1101"/>
      <c r="F246" s="1101"/>
      <c r="G246" s="1101"/>
      <c r="H246" s="1101"/>
      <c r="I246" s="1101"/>
      <c r="J246" s="1101"/>
      <c r="K246" s="1101"/>
      <c r="L246" s="1101"/>
      <c r="M246" s="1101"/>
      <c r="N246" s="1101"/>
      <c r="O246" s="1101"/>
      <c r="P246" s="1101"/>
      <c r="Q246" s="1101"/>
      <c r="R246" s="1101"/>
      <c r="S246" s="1101"/>
      <c r="T246" s="1101"/>
      <c r="U246" s="1101"/>
      <c r="V246" s="1101"/>
      <c r="W246" s="1101"/>
      <c r="X246" s="1101"/>
      <c r="Y246" s="1102"/>
      <c r="Z246" s="1102"/>
      <c r="AA246" s="1101"/>
    </row>
    <row r="247" ht="15.75" customHeight="1">
      <c r="A247" s="213"/>
      <c r="B247" s="213"/>
      <c r="C247" s="1101"/>
      <c r="D247" s="1101"/>
      <c r="E247" s="1101"/>
      <c r="F247" s="1101"/>
      <c r="G247" s="1101"/>
      <c r="H247" s="1101"/>
      <c r="I247" s="1101"/>
      <c r="J247" s="1101"/>
      <c r="K247" s="1101"/>
      <c r="L247" s="1101"/>
      <c r="M247" s="1101"/>
      <c r="N247" s="1101"/>
      <c r="O247" s="1101"/>
      <c r="P247" s="1101"/>
      <c r="Q247" s="1101"/>
      <c r="R247" s="1101"/>
      <c r="S247" s="1101"/>
      <c r="T247" s="1101"/>
      <c r="U247" s="1101"/>
      <c r="V247" s="1101"/>
      <c r="W247" s="1101"/>
      <c r="X247" s="1101"/>
      <c r="Y247" s="1102"/>
      <c r="Z247" s="1102"/>
      <c r="AA247" s="1101"/>
    </row>
    <row r="248" ht="15.75" customHeight="1">
      <c r="A248" s="213"/>
      <c r="B248" s="213"/>
      <c r="C248" s="1101"/>
      <c r="D248" s="1101"/>
      <c r="E248" s="1101"/>
      <c r="F248" s="1101"/>
      <c r="G248" s="1101"/>
      <c r="H248" s="1101"/>
      <c r="I248" s="1101"/>
      <c r="J248" s="1101"/>
      <c r="K248" s="1101"/>
      <c r="L248" s="1101"/>
      <c r="M248" s="1101"/>
      <c r="N248" s="1101"/>
      <c r="O248" s="1101"/>
      <c r="P248" s="1101"/>
      <c r="Q248" s="1101"/>
      <c r="R248" s="1101"/>
      <c r="S248" s="1101"/>
      <c r="T248" s="1101"/>
      <c r="U248" s="1101"/>
      <c r="V248" s="1101"/>
      <c r="W248" s="1101"/>
      <c r="X248" s="1101"/>
      <c r="Y248" s="1102"/>
      <c r="Z248" s="1102"/>
      <c r="AA248" s="1101"/>
    </row>
    <row r="249" ht="15.75" customHeight="1">
      <c r="A249" s="213"/>
      <c r="B249" s="213"/>
      <c r="C249" s="1101"/>
      <c r="D249" s="1101"/>
      <c r="E249" s="1101"/>
      <c r="F249" s="1101"/>
      <c r="G249" s="1101"/>
      <c r="H249" s="1101"/>
      <c r="I249" s="1101"/>
      <c r="J249" s="1101"/>
      <c r="K249" s="1101"/>
      <c r="L249" s="1101"/>
      <c r="M249" s="1101"/>
      <c r="N249" s="1101"/>
      <c r="O249" s="1101"/>
      <c r="P249" s="1101"/>
      <c r="Q249" s="1101"/>
      <c r="R249" s="1101"/>
      <c r="S249" s="1101"/>
      <c r="T249" s="1101"/>
      <c r="U249" s="1101"/>
      <c r="V249" s="1101"/>
      <c r="W249" s="1101"/>
      <c r="X249" s="1101"/>
      <c r="Y249" s="1102"/>
      <c r="Z249" s="1102"/>
      <c r="AA249" s="1101"/>
    </row>
    <row r="250" ht="15.75" customHeight="1">
      <c r="A250" s="213"/>
      <c r="B250" s="213"/>
      <c r="C250" s="1101"/>
      <c r="D250" s="1101"/>
      <c r="E250" s="1101"/>
      <c r="F250" s="1101"/>
      <c r="G250" s="1101"/>
      <c r="H250" s="1101"/>
      <c r="I250" s="1101"/>
      <c r="J250" s="1101"/>
      <c r="K250" s="1101"/>
      <c r="L250" s="1101"/>
      <c r="M250" s="1101"/>
      <c r="N250" s="1101"/>
      <c r="O250" s="1101"/>
      <c r="P250" s="1101"/>
      <c r="Q250" s="1101"/>
      <c r="R250" s="1101"/>
      <c r="S250" s="1101"/>
      <c r="T250" s="1101"/>
      <c r="U250" s="1101"/>
      <c r="V250" s="1101"/>
      <c r="W250" s="1101"/>
      <c r="X250" s="1101"/>
      <c r="Y250" s="1102"/>
      <c r="Z250" s="1102"/>
      <c r="AA250" s="1101"/>
    </row>
    <row r="251" ht="15.75" customHeight="1">
      <c r="A251" s="213"/>
      <c r="B251" s="213"/>
      <c r="C251" s="1101"/>
      <c r="D251" s="1101"/>
      <c r="E251" s="1101"/>
      <c r="F251" s="1101"/>
      <c r="G251" s="1101"/>
      <c r="H251" s="1101"/>
      <c r="I251" s="1101"/>
      <c r="J251" s="1101"/>
      <c r="K251" s="1101"/>
      <c r="L251" s="1101"/>
      <c r="M251" s="1101"/>
      <c r="N251" s="1101"/>
      <c r="O251" s="1101"/>
      <c r="P251" s="1101"/>
      <c r="Q251" s="1101"/>
      <c r="R251" s="1101"/>
      <c r="S251" s="1101"/>
      <c r="T251" s="1101"/>
      <c r="U251" s="1101"/>
      <c r="V251" s="1101"/>
      <c r="W251" s="1101"/>
      <c r="X251" s="1101"/>
      <c r="Y251" s="1102"/>
      <c r="Z251" s="1102"/>
      <c r="AA251" s="1101"/>
    </row>
    <row r="252" ht="15.75" customHeight="1">
      <c r="A252" s="213"/>
      <c r="B252" s="213"/>
      <c r="C252" s="1101"/>
      <c r="D252" s="1101"/>
      <c r="E252" s="1101"/>
      <c r="F252" s="1101"/>
      <c r="G252" s="1101"/>
      <c r="H252" s="1101"/>
      <c r="I252" s="1101"/>
      <c r="J252" s="1101"/>
      <c r="K252" s="1101"/>
      <c r="L252" s="1101"/>
      <c r="M252" s="1101"/>
      <c r="N252" s="1101"/>
      <c r="O252" s="1101"/>
      <c r="P252" s="1101"/>
      <c r="Q252" s="1101"/>
      <c r="R252" s="1101"/>
      <c r="S252" s="1101"/>
      <c r="T252" s="1101"/>
      <c r="U252" s="1101"/>
      <c r="V252" s="1101"/>
      <c r="W252" s="1101"/>
      <c r="X252" s="1101"/>
      <c r="Y252" s="1102"/>
      <c r="Z252" s="1102"/>
      <c r="AA252" s="1101"/>
    </row>
    <row r="253" ht="15.75" customHeight="1">
      <c r="A253" s="213"/>
      <c r="B253" s="213"/>
      <c r="C253" s="1101"/>
      <c r="D253" s="1101"/>
      <c r="E253" s="1101"/>
      <c r="F253" s="1101"/>
      <c r="G253" s="1101"/>
      <c r="H253" s="1101"/>
      <c r="I253" s="1101"/>
      <c r="J253" s="1101"/>
      <c r="K253" s="1101"/>
      <c r="L253" s="1101"/>
      <c r="M253" s="1101"/>
      <c r="N253" s="1101"/>
      <c r="O253" s="1101"/>
      <c r="P253" s="1101"/>
      <c r="Q253" s="1101"/>
      <c r="R253" s="1101"/>
      <c r="S253" s="1101"/>
      <c r="T253" s="1101"/>
      <c r="U253" s="1101"/>
      <c r="V253" s="1101"/>
      <c r="W253" s="1101"/>
      <c r="X253" s="1101"/>
      <c r="Y253" s="1102"/>
      <c r="Z253" s="1102"/>
      <c r="AA253" s="1101"/>
    </row>
    <row r="254" ht="15.75" customHeight="1">
      <c r="A254" s="213"/>
      <c r="B254" s="213"/>
      <c r="C254" s="1101"/>
      <c r="D254" s="1101"/>
      <c r="E254" s="1101"/>
      <c r="F254" s="1101"/>
      <c r="G254" s="1101"/>
      <c r="H254" s="1101"/>
      <c r="I254" s="1101"/>
      <c r="J254" s="1101"/>
      <c r="K254" s="1101"/>
      <c r="L254" s="1101"/>
      <c r="M254" s="1101"/>
      <c r="N254" s="1101"/>
      <c r="O254" s="1101"/>
      <c r="P254" s="1101"/>
      <c r="Q254" s="1101"/>
      <c r="R254" s="1101"/>
      <c r="S254" s="1101"/>
      <c r="T254" s="1101"/>
      <c r="U254" s="1101"/>
      <c r="V254" s="1101"/>
      <c r="W254" s="1101"/>
      <c r="X254" s="1101"/>
      <c r="Y254" s="1102"/>
      <c r="Z254" s="1102"/>
      <c r="AA254" s="1101"/>
    </row>
    <row r="255" ht="15.75" customHeight="1">
      <c r="A255" s="213"/>
      <c r="B255" s="213"/>
      <c r="C255" s="1101"/>
      <c r="D255" s="1101"/>
      <c r="E255" s="1101"/>
      <c r="F255" s="1101"/>
      <c r="G255" s="1101"/>
      <c r="H255" s="1101"/>
      <c r="I255" s="1101"/>
      <c r="J255" s="1101"/>
      <c r="K255" s="1101"/>
      <c r="L255" s="1101"/>
      <c r="M255" s="1101"/>
      <c r="N255" s="1101"/>
      <c r="O255" s="1101"/>
      <c r="P255" s="1101"/>
      <c r="Q255" s="1101"/>
      <c r="R255" s="1101"/>
      <c r="S255" s="1101"/>
      <c r="T255" s="1101"/>
      <c r="U255" s="1101"/>
      <c r="V255" s="1101"/>
      <c r="W255" s="1101"/>
      <c r="X255" s="1101"/>
      <c r="Y255" s="1102"/>
      <c r="Z255" s="1102"/>
      <c r="AA255" s="1101"/>
    </row>
    <row r="256" ht="15.75" customHeight="1">
      <c r="A256" s="213"/>
      <c r="B256" s="213"/>
      <c r="C256" s="1101"/>
      <c r="D256" s="1101"/>
      <c r="E256" s="1101"/>
      <c r="F256" s="1101"/>
      <c r="G256" s="1101"/>
      <c r="H256" s="1101"/>
      <c r="I256" s="1101"/>
      <c r="J256" s="1101"/>
      <c r="K256" s="1101"/>
      <c r="L256" s="1101"/>
      <c r="M256" s="1101"/>
      <c r="N256" s="1101"/>
      <c r="O256" s="1101"/>
      <c r="P256" s="1101"/>
      <c r="Q256" s="1101"/>
      <c r="R256" s="1101"/>
      <c r="S256" s="1101"/>
      <c r="T256" s="1101"/>
      <c r="U256" s="1101"/>
      <c r="V256" s="1101"/>
      <c r="W256" s="1101"/>
      <c r="X256" s="1101"/>
      <c r="Y256" s="1102"/>
      <c r="Z256" s="1102"/>
      <c r="AA256" s="1101"/>
    </row>
    <row r="257" ht="15.75" customHeight="1">
      <c r="A257" s="213"/>
      <c r="B257" s="213"/>
      <c r="C257" s="1101"/>
      <c r="D257" s="1101"/>
      <c r="E257" s="1101"/>
      <c r="F257" s="1101"/>
      <c r="G257" s="1101"/>
      <c r="H257" s="1101"/>
      <c r="I257" s="1101"/>
      <c r="J257" s="1101"/>
      <c r="K257" s="1101"/>
      <c r="L257" s="1101"/>
      <c r="M257" s="1101"/>
      <c r="N257" s="1101"/>
      <c r="O257" s="1101"/>
      <c r="P257" s="1101"/>
      <c r="Q257" s="1101"/>
      <c r="R257" s="1101"/>
      <c r="S257" s="1101"/>
      <c r="T257" s="1101"/>
      <c r="U257" s="1101"/>
      <c r="V257" s="1101"/>
      <c r="W257" s="1101"/>
      <c r="X257" s="1101"/>
      <c r="Y257" s="1102"/>
      <c r="Z257" s="1102"/>
      <c r="AA257" s="1101"/>
    </row>
    <row r="258" ht="15.75" customHeight="1">
      <c r="A258" s="213"/>
      <c r="B258" s="213"/>
      <c r="C258" s="1101"/>
      <c r="D258" s="1101"/>
      <c r="E258" s="1101"/>
      <c r="F258" s="1101"/>
      <c r="G258" s="1101"/>
      <c r="H258" s="1101"/>
      <c r="I258" s="1101"/>
      <c r="J258" s="1101"/>
      <c r="K258" s="1101"/>
      <c r="L258" s="1101"/>
      <c r="M258" s="1101"/>
      <c r="N258" s="1101"/>
      <c r="O258" s="1101"/>
      <c r="P258" s="1101"/>
      <c r="Q258" s="1101"/>
      <c r="R258" s="1101"/>
      <c r="S258" s="1101"/>
      <c r="T258" s="1101"/>
      <c r="U258" s="1101"/>
      <c r="V258" s="1101"/>
      <c r="W258" s="1101"/>
      <c r="X258" s="1101"/>
      <c r="Y258" s="1102"/>
      <c r="Z258" s="1102"/>
      <c r="AA258" s="1101"/>
    </row>
    <row r="259" ht="15.75" customHeight="1">
      <c r="A259" s="213"/>
      <c r="B259" s="213"/>
      <c r="C259" s="1101"/>
      <c r="D259" s="1101"/>
      <c r="E259" s="1101"/>
      <c r="F259" s="1101"/>
      <c r="G259" s="1101"/>
      <c r="H259" s="1101"/>
      <c r="I259" s="1101"/>
      <c r="J259" s="1101"/>
      <c r="K259" s="1101"/>
      <c r="L259" s="1101"/>
      <c r="M259" s="1101"/>
      <c r="N259" s="1101"/>
      <c r="O259" s="1101"/>
      <c r="P259" s="1101"/>
      <c r="Q259" s="1101"/>
      <c r="R259" s="1101"/>
      <c r="S259" s="1101"/>
      <c r="T259" s="1101"/>
      <c r="U259" s="1101"/>
      <c r="V259" s="1101"/>
      <c r="W259" s="1101"/>
      <c r="X259" s="1101"/>
      <c r="Y259" s="1102"/>
      <c r="Z259" s="1102"/>
      <c r="AA259" s="1101"/>
    </row>
    <row r="260" ht="15.75" customHeight="1">
      <c r="A260" s="213"/>
      <c r="B260" s="213"/>
      <c r="C260" s="1101"/>
      <c r="D260" s="1101"/>
      <c r="E260" s="1101"/>
      <c r="F260" s="1101"/>
      <c r="G260" s="1101"/>
      <c r="H260" s="1101"/>
      <c r="I260" s="1101"/>
      <c r="J260" s="1101"/>
      <c r="K260" s="1101"/>
      <c r="L260" s="1101"/>
      <c r="M260" s="1101"/>
      <c r="N260" s="1101"/>
      <c r="O260" s="1101"/>
      <c r="P260" s="1101"/>
      <c r="Q260" s="1101"/>
      <c r="R260" s="1101"/>
      <c r="S260" s="1101"/>
      <c r="T260" s="1101"/>
      <c r="U260" s="1101"/>
      <c r="V260" s="1101"/>
      <c r="W260" s="1101"/>
      <c r="X260" s="1101"/>
      <c r="Y260" s="1102"/>
      <c r="Z260" s="1102"/>
      <c r="AA260" s="1101"/>
    </row>
    <row r="261" ht="15.75" customHeight="1">
      <c r="A261" s="213"/>
      <c r="B261" s="213"/>
      <c r="C261" s="1101"/>
      <c r="D261" s="1101"/>
      <c r="E261" s="1101"/>
      <c r="F261" s="1101"/>
      <c r="G261" s="1101"/>
      <c r="H261" s="1101"/>
      <c r="I261" s="1101"/>
      <c r="J261" s="1101"/>
      <c r="K261" s="1101"/>
      <c r="L261" s="1101"/>
      <c r="M261" s="1101"/>
      <c r="N261" s="1101"/>
      <c r="O261" s="1101"/>
      <c r="P261" s="1101"/>
      <c r="Q261" s="1101"/>
      <c r="R261" s="1101"/>
      <c r="S261" s="1101"/>
      <c r="T261" s="1101"/>
      <c r="U261" s="1101"/>
      <c r="V261" s="1101"/>
      <c r="W261" s="1101"/>
      <c r="X261" s="1101"/>
      <c r="Y261" s="1102"/>
      <c r="Z261" s="1102"/>
      <c r="AA261" s="1101"/>
    </row>
    <row r="262" ht="15.75" customHeight="1">
      <c r="A262" s="213"/>
      <c r="B262" s="213"/>
      <c r="C262" s="1101"/>
      <c r="D262" s="1101"/>
      <c r="E262" s="1101"/>
      <c r="F262" s="1101"/>
      <c r="G262" s="1101"/>
      <c r="H262" s="1101"/>
      <c r="I262" s="1101"/>
      <c r="J262" s="1101"/>
      <c r="K262" s="1101"/>
      <c r="L262" s="1101"/>
      <c r="M262" s="1101"/>
      <c r="N262" s="1101"/>
      <c r="O262" s="1101"/>
      <c r="P262" s="1101"/>
      <c r="Q262" s="1101"/>
      <c r="R262" s="1101"/>
      <c r="S262" s="1101"/>
      <c r="T262" s="1101"/>
      <c r="U262" s="1101"/>
      <c r="V262" s="1101"/>
      <c r="W262" s="1101"/>
      <c r="X262" s="1101"/>
      <c r="Y262" s="1102"/>
      <c r="Z262" s="1102"/>
      <c r="AA262" s="1101"/>
    </row>
    <row r="263" ht="15.75" customHeight="1">
      <c r="A263" s="213"/>
      <c r="B263" s="213"/>
      <c r="C263" s="1101"/>
      <c r="D263" s="1101"/>
      <c r="E263" s="1101"/>
      <c r="F263" s="1101"/>
      <c r="G263" s="1101"/>
      <c r="H263" s="1101"/>
      <c r="I263" s="1101"/>
      <c r="J263" s="1101"/>
      <c r="K263" s="1101"/>
      <c r="L263" s="1101"/>
      <c r="M263" s="1101"/>
      <c r="N263" s="1101"/>
      <c r="O263" s="1101"/>
      <c r="P263" s="1101"/>
      <c r="Q263" s="1101"/>
      <c r="R263" s="1101"/>
      <c r="S263" s="1101"/>
      <c r="T263" s="1101"/>
      <c r="U263" s="1101"/>
      <c r="V263" s="1101"/>
      <c r="W263" s="1101"/>
      <c r="X263" s="1101"/>
      <c r="Y263" s="1102"/>
      <c r="Z263" s="1102"/>
      <c r="AA263" s="1101"/>
    </row>
    <row r="264" ht="15.75" customHeight="1">
      <c r="A264" s="213"/>
      <c r="B264" s="213"/>
      <c r="C264" s="1101"/>
      <c r="D264" s="1101"/>
      <c r="E264" s="1101"/>
      <c r="F264" s="1101"/>
      <c r="G264" s="1101"/>
      <c r="H264" s="1101"/>
      <c r="I264" s="1101"/>
      <c r="J264" s="1101"/>
      <c r="K264" s="1101"/>
      <c r="L264" s="1101"/>
      <c r="M264" s="1101"/>
      <c r="N264" s="1101"/>
      <c r="O264" s="1101"/>
      <c r="P264" s="1101"/>
      <c r="Q264" s="1101"/>
      <c r="R264" s="1101"/>
      <c r="S264" s="1101"/>
      <c r="T264" s="1101"/>
      <c r="U264" s="1101"/>
      <c r="V264" s="1101"/>
      <c r="W264" s="1101"/>
      <c r="X264" s="1101"/>
      <c r="Y264" s="1102"/>
      <c r="Z264" s="1102"/>
      <c r="AA264" s="1101"/>
    </row>
    <row r="265" ht="15.75" customHeight="1">
      <c r="A265" s="213"/>
      <c r="B265" s="213"/>
      <c r="C265" s="1101"/>
      <c r="D265" s="1101"/>
      <c r="E265" s="1101"/>
      <c r="F265" s="1101"/>
      <c r="G265" s="1101"/>
      <c r="H265" s="1101"/>
      <c r="I265" s="1101"/>
      <c r="J265" s="1101"/>
      <c r="K265" s="1101"/>
      <c r="L265" s="1101"/>
      <c r="M265" s="1101"/>
      <c r="N265" s="1101"/>
      <c r="O265" s="1101"/>
      <c r="P265" s="1101"/>
      <c r="Q265" s="1101"/>
      <c r="R265" s="1101"/>
      <c r="S265" s="1101"/>
      <c r="T265" s="1101"/>
      <c r="U265" s="1101"/>
      <c r="V265" s="1101"/>
      <c r="W265" s="1101"/>
      <c r="X265" s="1101"/>
      <c r="Y265" s="1102"/>
      <c r="Z265" s="1102"/>
      <c r="AA265" s="1101"/>
    </row>
    <row r="266" ht="15.75" customHeight="1">
      <c r="A266" s="213"/>
      <c r="B266" s="213"/>
      <c r="C266" s="1101"/>
      <c r="D266" s="1101"/>
      <c r="E266" s="1101"/>
      <c r="F266" s="1101"/>
      <c r="G266" s="1101"/>
      <c r="H266" s="1101"/>
      <c r="I266" s="1101"/>
      <c r="J266" s="1101"/>
      <c r="K266" s="1101"/>
      <c r="L266" s="1101"/>
      <c r="M266" s="1101"/>
      <c r="N266" s="1101"/>
      <c r="O266" s="1101"/>
      <c r="P266" s="1101"/>
      <c r="Q266" s="1101"/>
      <c r="R266" s="1101"/>
      <c r="S266" s="1101"/>
      <c r="T266" s="1101"/>
      <c r="U266" s="1101"/>
      <c r="V266" s="1101"/>
      <c r="W266" s="1101"/>
      <c r="X266" s="1101"/>
      <c r="Y266" s="1102"/>
      <c r="Z266" s="1102"/>
      <c r="AA266" s="1101"/>
    </row>
    <row r="267" ht="15.75" customHeight="1">
      <c r="A267" s="213"/>
      <c r="B267" s="213"/>
      <c r="C267" s="1101"/>
      <c r="D267" s="1101"/>
      <c r="E267" s="1101"/>
      <c r="F267" s="1101"/>
      <c r="G267" s="1101"/>
      <c r="H267" s="1101"/>
      <c r="I267" s="1101"/>
      <c r="J267" s="1101"/>
      <c r="K267" s="1101"/>
      <c r="L267" s="1101"/>
      <c r="M267" s="1101"/>
      <c r="N267" s="1101"/>
      <c r="O267" s="1101"/>
      <c r="P267" s="1101"/>
      <c r="Q267" s="1101"/>
      <c r="R267" s="1101"/>
      <c r="S267" s="1101"/>
      <c r="T267" s="1101"/>
      <c r="U267" s="1101"/>
      <c r="V267" s="1101"/>
      <c r="W267" s="1101"/>
      <c r="X267" s="1101"/>
      <c r="Y267" s="1102"/>
      <c r="Z267" s="1102"/>
      <c r="AA267" s="1101"/>
    </row>
    <row r="268" ht="15.75" customHeight="1">
      <c r="A268" s="213"/>
      <c r="B268" s="213"/>
      <c r="C268" s="1101"/>
      <c r="D268" s="1101"/>
      <c r="E268" s="1101"/>
      <c r="F268" s="1101"/>
      <c r="G268" s="1101"/>
      <c r="H268" s="1101"/>
      <c r="I268" s="1101"/>
      <c r="J268" s="1101"/>
      <c r="K268" s="1101"/>
      <c r="L268" s="1101"/>
      <c r="M268" s="1101"/>
      <c r="N268" s="1101"/>
      <c r="O268" s="1101"/>
      <c r="P268" s="1101"/>
      <c r="Q268" s="1101"/>
      <c r="R268" s="1101"/>
      <c r="S268" s="1101"/>
      <c r="T268" s="1101"/>
      <c r="U268" s="1101"/>
      <c r="V268" s="1101"/>
      <c r="W268" s="1101"/>
      <c r="X268" s="1101"/>
      <c r="Y268" s="1102"/>
      <c r="Z268" s="1102"/>
      <c r="AA268" s="1101"/>
    </row>
    <row r="269" ht="15.75" customHeight="1">
      <c r="A269" s="213"/>
      <c r="B269" s="213"/>
      <c r="C269" s="1101"/>
      <c r="D269" s="1101"/>
      <c r="E269" s="1101"/>
      <c r="F269" s="1101"/>
      <c r="G269" s="1101"/>
      <c r="H269" s="1101"/>
      <c r="I269" s="1101"/>
      <c r="J269" s="1101"/>
      <c r="K269" s="1101"/>
      <c r="L269" s="1101"/>
      <c r="M269" s="1101"/>
      <c r="N269" s="1101"/>
      <c r="O269" s="1101"/>
      <c r="P269" s="1101"/>
      <c r="Q269" s="1101"/>
      <c r="R269" s="1101"/>
      <c r="S269" s="1101"/>
      <c r="T269" s="1101"/>
      <c r="U269" s="1101"/>
      <c r="V269" s="1101"/>
      <c r="W269" s="1101"/>
      <c r="X269" s="1101"/>
      <c r="Y269" s="1102"/>
      <c r="Z269" s="1102"/>
      <c r="AA269" s="1101"/>
    </row>
    <row r="270" ht="15.75" customHeight="1">
      <c r="A270" s="213"/>
      <c r="B270" s="213"/>
      <c r="C270" s="1101"/>
      <c r="D270" s="1101"/>
      <c r="E270" s="1101"/>
      <c r="F270" s="1101"/>
      <c r="G270" s="1101"/>
      <c r="H270" s="1101"/>
      <c r="I270" s="1101"/>
      <c r="J270" s="1101"/>
      <c r="K270" s="1101"/>
      <c r="L270" s="1101"/>
      <c r="M270" s="1101"/>
      <c r="N270" s="1101"/>
      <c r="O270" s="1101"/>
      <c r="P270" s="1101"/>
      <c r="Q270" s="1101"/>
      <c r="R270" s="1101"/>
      <c r="S270" s="1101"/>
      <c r="T270" s="1101"/>
      <c r="U270" s="1101"/>
      <c r="V270" s="1101"/>
      <c r="W270" s="1101"/>
      <c r="X270" s="1101"/>
      <c r="Y270" s="1102"/>
      <c r="Z270" s="1102"/>
      <c r="AA270" s="1101"/>
    </row>
    <row r="271" ht="15.75" customHeight="1">
      <c r="A271" s="213"/>
      <c r="B271" s="213"/>
      <c r="C271" s="1101"/>
      <c r="D271" s="1101"/>
      <c r="E271" s="1101"/>
      <c r="F271" s="1101"/>
      <c r="G271" s="1101"/>
      <c r="H271" s="1101"/>
      <c r="I271" s="1101"/>
      <c r="J271" s="1101"/>
      <c r="K271" s="1101"/>
      <c r="L271" s="1101"/>
      <c r="M271" s="1101"/>
      <c r="N271" s="1101"/>
      <c r="O271" s="1101"/>
      <c r="P271" s="1101"/>
      <c r="Q271" s="1101"/>
      <c r="R271" s="1101"/>
      <c r="S271" s="1101"/>
      <c r="T271" s="1101"/>
      <c r="U271" s="1101"/>
      <c r="V271" s="1101"/>
      <c r="W271" s="1101"/>
      <c r="X271" s="1101"/>
      <c r="Y271" s="1102"/>
      <c r="Z271" s="1102"/>
      <c r="AA271" s="1101"/>
    </row>
    <row r="272" ht="15.75" customHeight="1">
      <c r="A272" s="213"/>
      <c r="B272" s="213"/>
      <c r="C272" s="1101"/>
      <c r="D272" s="1101"/>
      <c r="E272" s="1101"/>
      <c r="F272" s="1101"/>
      <c r="G272" s="1101"/>
      <c r="H272" s="1101"/>
      <c r="I272" s="1101"/>
      <c r="J272" s="1101"/>
      <c r="K272" s="1101"/>
      <c r="L272" s="1101"/>
      <c r="M272" s="1101"/>
      <c r="N272" s="1101"/>
      <c r="O272" s="1101"/>
      <c r="P272" s="1101"/>
      <c r="Q272" s="1101"/>
      <c r="R272" s="1101"/>
      <c r="S272" s="1101"/>
      <c r="T272" s="1101"/>
      <c r="U272" s="1101"/>
      <c r="V272" s="1101"/>
      <c r="W272" s="1101"/>
      <c r="X272" s="1101"/>
      <c r="Y272" s="1102"/>
      <c r="Z272" s="1102"/>
      <c r="AA272" s="1101"/>
    </row>
    <row r="273" ht="15.75" customHeight="1">
      <c r="A273" s="213"/>
      <c r="B273" s="213"/>
      <c r="C273" s="1101"/>
      <c r="D273" s="1101"/>
      <c r="E273" s="1101"/>
      <c r="F273" s="1101"/>
      <c r="G273" s="1101"/>
      <c r="H273" s="1101"/>
      <c r="I273" s="1101"/>
      <c r="J273" s="1101"/>
      <c r="K273" s="1101"/>
      <c r="L273" s="1101"/>
      <c r="M273" s="1101"/>
      <c r="N273" s="1101"/>
      <c r="O273" s="1101"/>
      <c r="P273" s="1101"/>
      <c r="Q273" s="1101"/>
      <c r="R273" s="1101"/>
      <c r="S273" s="1101"/>
      <c r="T273" s="1101"/>
      <c r="U273" s="1101"/>
      <c r="V273" s="1101"/>
      <c r="W273" s="1101"/>
      <c r="X273" s="1101"/>
      <c r="Y273" s="1102"/>
      <c r="Z273" s="1102"/>
      <c r="AA273" s="1101"/>
    </row>
    <row r="274" ht="15.75" customHeight="1">
      <c r="A274" s="213"/>
      <c r="B274" s="213"/>
      <c r="C274" s="1101"/>
      <c r="D274" s="1101"/>
      <c r="E274" s="1101"/>
      <c r="F274" s="1101"/>
      <c r="G274" s="1101"/>
      <c r="H274" s="1101"/>
      <c r="I274" s="1101"/>
      <c r="J274" s="1101"/>
      <c r="K274" s="1101"/>
      <c r="L274" s="1101"/>
      <c r="M274" s="1101"/>
      <c r="N274" s="1101"/>
      <c r="O274" s="1101"/>
      <c r="P274" s="1101"/>
      <c r="Q274" s="1101"/>
      <c r="R274" s="1101"/>
      <c r="S274" s="1101"/>
      <c r="T274" s="1101"/>
      <c r="U274" s="1101"/>
      <c r="V274" s="1101"/>
      <c r="W274" s="1101"/>
      <c r="X274" s="1101"/>
      <c r="Y274" s="1102"/>
      <c r="Z274" s="1102"/>
      <c r="AA274" s="1101"/>
    </row>
    <row r="275" ht="15.75" customHeight="1">
      <c r="A275" s="213"/>
      <c r="B275" s="213"/>
      <c r="C275" s="1101"/>
      <c r="D275" s="1101"/>
      <c r="E275" s="1101"/>
      <c r="F275" s="1101"/>
      <c r="G275" s="1101"/>
      <c r="H275" s="1101"/>
      <c r="I275" s="1101"/>
      <c r="J275" s="1101"/>
      <c r="K275" s="1101"/>
      <c r="L275" s="1101"/>
      <c r="M275" s="1101"/>
      <c r="N275" s="1101"/>
      <c r="O275" s="1101"/>
      <c r="P275" s="1101"/>
      <c r="Q275" s="1101"/>
      <c r="R275" s="1101"/>
      <c r="S275" s="1101"/>
      <c r="T275" s="1101"/>
      <c r="U275" s="1101"/>
      <c r="V275" s="1101"/>
      <c r="W275" s="1101"/>
      <c r="X275" s="1101"/>
      <c r="Y275" s="1102"/>
      <c r="Z275" s="1102"/>
      <c r="AA275" s="1101"/>
    </row>
    <row r="276" ht="15.75" customHeight="1">
      <c r="A276" s="213"/>
      <c r="B276" s="213"/>
      <c r="C276" s="1101"/>
      <c r="D276" s="1101"/>
      <c r="E276" s="1101"/>
      <c r="F276" s="1101"/>
      <c r="G276" s="1101"/>
      <c r="H276" s="1101"/>
      <c r="I276" s="1101"/>
      <c r="J276" s="1101"/>
      <c r="K276" s="1101"/>
      <c r="L276" s="1101"/>
      <c r="M276" s="1101"/>
      <c r="N276" s="1101"/>
      <c r="O276" s="1101"/>
      <c r="P276" s="1101"/>
      <c r="Q276" s="1101"/>
      <c r="R276" s="1101"/>
      <c r="S276" s="1101"/>
      <c r="T276" s="1101"/>
      <c r="U276" s="1101"/>
      <c r="V276" s="1101"/>
      <c r="W276" s="1101"/>
      <c r="X276" s="1101"/>
      <c r="Y276" s="1102"/>
      <c r="Z276" s="1102"/>
      <c r="AA276" s="1101"/>
    </row>
    <row r="277" ht="15.75" customHeight="1">
      <c r="A277" s="213"/>
      <c r="B277" s="213"/>
      <c r="C277" s="1101"/>
      <c r="D277" s="1101"/>
      <c r="E277" s="1101"/>
      <c r="F277" s="1101"/>
      <c r="G277" s="1101"/>
      <c r="H277" s="1101"/>
      <c r="I277" s="1101"/>
      <c r="J277" s="1101"/>
      <c r="K277" s="1101"/>
      <c r="L277" s="1101"/>
      <c r="M277" s="1101"/>
      <c r="N277" s="1101"/>
      <c r="O277" s="1101"/>
      <c r="P277" s="1101"/>
      <c r="Q277" s="1101"/>
      <c r="R277" s="1101"/>
      <c r="S277" s="1101"/>
      <c r="T277" s="1101"/>
      <c r="U277" s="1101"/>
      <c r="V277" s="1101"/>
      <c r="W277" s="1101"/>
      <c r="X277" s="1101"/>
      <c r="Y277" s="1102"/>
      <c r="Z277" s="1102"/>
      <c r="AA277" s="1101"/>
    </row>
    <row r="278" ht="15.75" customHeight="1">
      <c r="A278" s="213"/>
      <c r="B278" s="213"/>
      <c r="C278" s="1101"/>
      <c r="D278" s="1101"/>
      <c r="E278" s="1101"/>
      <c r="F278" s="1101"/>
      <c r="G278" s="1101"/>
      <c r="H278" s="1101"/>
      <c r="I278" s="1101"/>
      <c r="J278" s="1101"/>
      <c r="K278" s="1101"/>
      <c r="L278" s="1101"/>
      <c r="M278" s="1101"/>
      <c r="N278" s="1101"/>
      <c r="O278" s="1101"/>
      <c r="P278" s="1101"/>
      <c r="Q278" s="1101"/>
      <c r="R278" s="1101"/>
      <c r="S278" s="1101"/>
      <c r="T278" s="1101"/>
      <c r="U278" s="1101"/>
      <c r="V278" s="1101"/>
      <c r="W278" s="1101"/>
      <c r="X278" s="1101"/>
      <c r="Y278" s="1102"/>
      <c r="Z278" s="1102"/>
      <c r="AA278" s="1101"/>
    </row>
    <row r="279" ht="15.75" customHeight="1">
      <c r="A279" s="213"/>
      <c r="B279" s="213"/>
      <c r="C279" s="1101"/>
      <c r="D279" s="1101"/>
      <c r="E279" s="1101"/>
      <c r="F279" s="1101"/>
      <c r="G279" s="1101"/>
      <c r="H279" s="1101"/>
      <c r="I279" s="1101"/>
      <c r="J279" s="1101"/>
      <c r="K279" s="1101"/>
      <c r="L279" s="1101"/>
      <c r="M279" s="1101"/>
      <c r="N279" s="1101"/>
      <c r="O279" s="1101"/>
      <c r="P279" s="1101"/>
      <c r="Q279" s="1101"/>
      <c r="R279" s="1101"/>
      <c r="S279" s="1101"/>
      <c r="T279" s="1101"/>
      <c r="U279" s="1101"/>
      <c r="V279" s="1101"/>
      <c r="W279" s="1101"/>
      <c r="X279" s="1101"/>
      <c r="Y279" s="1102"/>
      <c r="Z279" s="1102"/>
      <c r="AA279" s="1101"/>
    </row>
    <row r="280" ht="15.75" customHeight="1">
      <c r="A280" s="213"/>
      <c r="B280" s="213"/>
      <c r="C280" s="1101"/>
      <c r="D280" s="1101"/>
      <c r="E280" s="1101"/>
      <c r="F280" s="1101"/>
      <c r="G280" s="1101"/>
      <c r="H280" s="1101"/>
      <c r="I280" s="1101"/>
      <c r="J280" s="1101"/>
      <c r="K280" s="1101"/>
      <c r="L280" s="1101"/>
      <c r="M280" s="1101"/>
      <c r="N280" s="1101"/>
      <c r="O280" s="1101"/>
      <c r="P280" s="1101"/>
      <c r="Q280" s="1101"/>
      <c r="R280" s="1101"/>
      <c r="S280" s="1101"/>
      <c r="T280" s="1101"/>
      <c r="U280" s="1101"/>
      <c r="V280" s="1101"/>
      <c r="W280" s="1101"/>
      <c r="X280" s="1101"/>
      <c r="Y280" s="1102"/>
      <c r="Z280" s="1102"/>
      <c r="AA280" s="1101"/>
    </row>
    <row r="281" ht="15.75" customHeight="1">
      <c r="A281" s="213"/>
      <c r="B281" s="213"/>
      <c r="C281" s="1101"/>
      <c r="D281" s="1101"/>
      <c r="E281" s="1101"/>
      <c r="F281" s="1101"/>
      <c r="G281" s="1101"/>
      <c r="H281" s="1101"/>
      <c r="I281" s="1101"/>
      <c r="J281" s="1101"/>
      <c r="K281" s="1101"/>
      <c r="L281" s="1101"/>
      <c r="M281" s="1101"/>
      <c r="N281" s="1101"/>
      <c r="O281" s="1101"/>
      <c r="P281" s="1101"/>
      <c r="Q281" s="1101"/>
      <c r="R281" s="1101"/>
      <c r="S281" s="1101"/>
      <c r="T281" s="1101"/>
      <c r="U281" s="1101"/>
      <c r="V281" s="1101"/>
      <c r="W281" s="1101"/>
      <c r="X281" s="1101"/>
      <c r="Y281" s="1102"/>
      <c r="Z281" s="1102"/>
      <c r="AA281" s="1101"/>
    </row>
    <row r="282" ht="15.75" customHeight="1">
      <c r="A282" s="213"/>
      <c r="B282" s="213"/>
      <c r="C282" s="1101"/>
      <c r="D282" s="1101"/>
      <c r="E282" s="1101"/>
      <c r="F282" s="1101"/>
      <c r="G282" s="1101"/>
      <c r="H282" s="1101"/>
      <c r="I282" s="1101"/>
      <c r="J282" s="1101"/>
      <c r="K282" s="1101"/>
      <c r="L282" s="1101"/>
      <c r="M282" s="1101"/>
      <c r="N282" s="1101"/>
      <c r="O282" s="1101"/>
      <c r="P282" s="1101"/>
      <c r="Q282" s="1101"/>
      <c r="R282" s="1101"/>
      <c r="S282" s="1101"/>
      <c r="T282" s="1101"/>
      <c r="U282" s="1101"/>
      <c r="V282" s="1101"/>
      <c r="W282" s="1101"/>
      <c r="X282" s="1101"/>
      <c r="Y282" s="1102"/>
      <c r="Z282" s="1102"/>
      <c r="AA282" s="1101"/>
    </row>
    <row r="283" ht="15.75" customHeight="1">
      <c r="A283" s="213"/>
      <c r="B283" s="213"/>
      <c r="C283" s="1101"/>
      <c r="D283" s="1101"/>
      <c r="E283" s="1101"/>
      <c r="F283" s="1101"/>
      <c r="G283" s="1101"/>
      <c r="H283" s="1101"/>
      <c r="I283" s="1101"/>
      <c r="J283" s="1101"/>
      <c r="K283" s="1101"/>
      <c r="L283" s="1101"/>
      <c r="M283" s="1101"/>
      <c r="N283" s="1101"/>
      <c r="O283" s="1101"/>
      <c r="P283" s="1101"/>
      <c r="Q283" s="1101"/>
      <c r="R283" s="1101"/>
      <c r="S283" s="1101"/>
      <c r="T283" s="1101"/>
      <c r="U283" s="1101"/>
      <c r="V283" s="1101"/>
      <c r="W283" s="1101"/>
      <c r="X283" s="1101"/>
      <c r="Y283" s="1102"/>
      <c r="Z283" s="1102"/>
      <c r="AA283" s="1101"/>
    </row>
    <row r="284" ht="15.75" customHeight="1">
      <c r="A284" s="213"/>
      <c r="B284" s="213"/>
      <c r="C284" s="1101"/>
      <c r="D284" s="1101"/>
      <c r="E284" s="1101"/>
      <c r="F284" s="1101"/>
      <c r="G284" s="1101"/>
      <c r="H284" s="1101"/>
      <c r="I284" s="1101"/>
      <c r="J284" s="1101"/>
      <c r="K284" s="1101"/>
      <c r="L284" s="1101"/>
      <c r="M284" s="1101"/>
      <c r="N284" s="1101"/>
      <c r="O284" s="1101"/>
      <c r="P284" s="1101"/>
      <c r="Q284" s="1101"/>
      <c r="R284" s="1101"/>
      <c r="S284" s="1101"/>
      <c r="T284" s="1101"/>
      <c r="U284" s="1101"/>
      <c r="V284" s="1101"/>
      <c r="W284" s="1101"/>
      <c r="X284" s="1101"/>
      <c r="Y284" s="1102"/>
      <c r="Z284" s="1102"/>
      <c r="AA284" s="1101"/>
    </row>
    <row r="285" ht="15.75" customHeight="1">
      <c r="A285" s="213"/>
      <c r="B285" s="213"/>
      <c r="C285" s="1101"/>
      <c r="D285" s="1101"/>
      <c r="E285" s="1101"/>
      <c r="F285" s="1101"/>
      <c r="G285" s="1101"/>
      <c r="H285" s="1101"/>
      <c r="I285" s="1101"/>
      <c r="J285" s="1101"/>
      <c r="K285" s="1101"/>
      <c r="L285" s="1101"/>
      <c r="M285" s="1101"/>
      <c r="N285" s="1101"/>
      <c r="O285" s="1101"/>
      <c r="P285" s="1101"/>
      <c r="Q285" s="1101"/>
      <c r="R285" s="1101"/>
      <c r="S285" s="1101"/>
      <c r="T285" s="1101"/>
      <c r="U285" s="1101"/>
      <c r="V285" s="1101"/>
      <c r="W285" s="1101"/>
      <c r="X285" s="1101"/>
      <c r="Y285" s="1102"/>
      <c r="Z285" s="1102"/>
      <c r="AA285" s="1101"/>
    </row>
    <row r="286" ht="15.75" customHeight="1">
      <c r="A286" s="213"/>
      <c r="B286" s="213"/>
      <c r="C286" s="1101"/>
      <c r="D286" s="1101"/>
      <c r="E286" s="1101"/>
      <c r="F286" s="1101"/>
      <c r="G286" s="1101"/>
      <c r="H286" s="1101"/>
      <c r="I286" s="1101"/>
      <c r="J286" s="1101"/>
      <c r="K286" s="1101"/>
      <c r="L286" s="1101"/>
      <c r="M286" s="1101"/>
      <c r="N286" s="1101"/>
      <c r="O286" s="1101"/>
      <c r="P286" s="1101"/>
      <c r="Q286" s="1101"/>
      <c r="R286" s="1101"/>
      <c r="S286" s="1101"/>
      <c r="T286" s="1101"/>
      <c r="U286" s="1101"/>
      <c r="V286" s="1101"/>
      <c r="W286" s="1101"/>
      <c r="X286" s="1101"/>
      <c r="Y286" s="1102"/>
      <c r="Z286" s="1102"/>
      <c r="AA286" s="1101"/>
    </row>
    <row r="287" ht="15.75" customHeight="1">
      <c r="A287" s="213"/>
      <c r="B287" s="213"/>
      <c r="C287" s="1101"/>
      <c r="D287" s="1101"/>
      <c r="E287" s="1101"/>
      <c r="F287" s="1101"/>
      <c r="G287" s="1101"/>
      <c r="H287" s="1101"/>
      <c r="I287" s="1101"/>
      <c r="J287" s="1101"/>
      <c r="K287" s="1101"/>
      <c r="L287" s="1101"/>
      <c r="M287" s="1101"/>
      <c r="N287" s="1101"/>
      <c r="O287" s="1101"/>
      <c r="P287" s="1101"/>
      <c r="Q287" s="1101"/>
      <c r="R287" s="1101"/>
      <c r="S287" s="1101"/>
      <c r="T287" s="1101"/>
      <c r="U287" s="1101"/>
      <c r="V287" s="1101"/>
      <c r="W287" s="1101"/>
      <c r="X287" s="1101"/>
      <c r="Y287" s="1102"/>
      <c r="Z287" s="1102"/>
      <c r="AA287" s="1101"/>
    </row>
    <row r="288" ht="15.75" customHeight="1">
      <c r="A288" s="213"/>
      <c r="B288" s="213"/>
      <c r="C288" s="1101"/>
      <c r="D288" s="1101"/>
      <c r="E288" s="1101"/>
      <c r="F288" s="1101"/>
      <c r="G288" s="1101"/>
      <c r="H288" s="1101"/>
      <c r="I288" s="1101"/>
      <c r="J288" s="1101"/>
      <c r="K288" s="1101"/>
      <c r="L288" s="1101"/>
      <c r="M288" s="1101"/>
      <c r="N288" s="1101"/>
      <c r="O288" s="1101"/>
      <c r="P288" s="1101"/>
      <c r="Q288" s="1101"/>
      <c r="R288" s="1101"/>
      <c r="S288" s="1101"/>
      <c r="T288" s="1101"/>
      <c r="U288" s="1101"/>
      <c r="V288" s="1101"/>
      <c r="W288" s="1101"/>
      <c r="X288" s="1101"/>
      <c r="Y288" s="1102"/>
      <c r="Z288" s="1102"/>
      <c r="AA288" s="1101"/>
    </row>
    <row r="289" ht="15.75" customHeight="1">
      <c r="A289" s="213"/>
      <c r="B289" s="213"/>
      <c r="C289" s="1101"/>
      <c r="D289" s="1101"/>
      <c r="E289" s="1101"/>
      <c r="F289" s="1101"/>
      <c r="G289" s="1101"/>
      <c r="H289" s="1101"/>
      <c r="I289" s="1101"/>
      <c r="J289" s="1101"/>
      <c r="K289" s="1101"/>
      <c r="L289" s="1101"/>
      <c r="M289" s="1101"/>
      <c r="N289" s="1101"/>
      <c r="O289" s="1101"/>
      <c r="P289" s="1101"/>
      <c r="Q289" s="1101"/>
      <c r="R289" s="1101"/>
      <c r="S289" s="1101"/>
      <c r="T289" s="1101"/>
      <c r="U289" s="1101"/>
      <c r="V289" s="1101"/>
      <c r="W289" s="1101"/>
      <c r="X289" s="1101"/>
      <c r="Y289" s="1102"/>
      <c r="Z289" s="1102"/>
      <c r="AA289" s="1101"/>
    </row>
    <row r="290" ht="15.75" customHeight="1">
      <c r="A290" s="213"/>
      <c r="B290" s="213"/>
      <c r="C290" s="1101"/>
      <c r="D290" s="1101"/>
      <c r="E290" s="1101"/>
      <c r="F290" s="1101"/>
      <c r="G290" s="1101"/>
      <c r="H290" s="1101"/>
      <c r="I290" s="1101"/>
      <c r="J290" s="1101"/>
      <c r="K290" s="1101"/>
      <c r="L290" s="1101"/>
      <c r="M290" s="1101"/>
      <c r="N290" s="1101"/>
      <c r="O290" s="1101"/>
      <c r="P290" s="1101"/>
      <c r="Q290" s="1101"/>
      <c r="R290" s="1101"/>
      <c r="S290" s="1101"/>
      <c r="T290" s="1101"/>
      <c r="U290" s="1101"/>
      <c r="V290" s="1101"/>
      <c r="W290" s="1101"/>
      <c r="X290" s="1101"/>
      <c r="Y290" s="1102"/>
      <c r="Z290" s="1102"/>
      <c r="AA290" s="1101"/>
    </row>
    <row r="291" ht="15.75" customHeight="1">
      <c r="A291" s="213"/>
      <c r="B291" s="213"/>
      <c r="C291" s="1101"/>
      <c r="D291" s="1101"/>
      <c r="E291" s="1101"/>
      <c r="F291" s="1101"/>
      <c r="G291" s="1101"/>
      <c r="H291" s="1101"/>
      <c r="I291" s="1101"/>
      <c r="J291" s="1101"/>
      <c r="K291" s="1101"/>
      <c r="L291" s="1101"/>
      <c r="M291" s="1101"/>
      <c r="N291" s="1101"/>
      <c r="O291" s="1101"/>
      <c r="P291" s="1101"/>
      <c r="Q291" s="1101"/>
      <c r="R291" s="1101"/>
      <c r="S291" s="1101"/>
      <c r="T291" s="1101"/>
      <c r="U291" s="1101"/>
      <c r="V291" s="1101"/>
      <c r="W291" s="1101"/>
      <c r="X291" s="1101"/>
      <c r="Y291" s="1102"/>
      <c r="Z291" s="1102"/>
      <c r="AA291" s="1101"/>
    </row>
    <row r="292" ht="15.75" customHeight="1">
      <c r="A292" s="213"/>
      <c r="B292" s="213"/>
      <c r="C292" s="1101"/>
      <c r="D292" s="1101"/>
      <c r="E292" s="1101"/>
      <c r="F292" s="1101"/>
      <c r="G292" s="1101"/>
      <c r="H292" s="1101"/>
      <c r="I292" s="1101"/>
      <c r="J292" s="1101"/>
      <c r="K292" s="1101"/>
      <c r="L292" s="1101"/>
      <c r="M292" s="1101"/>
      <c r="N292" s="1101"/>
      <c r="O292" s="1101"/>
      <c r="P292" s="1101"/>
      <c r="Q292" s="1101"/>
      <c r="R292" s="1101"/>
      <c r="S292" s="1101"/>
      <c r="T292" s="1101"/>
      <c r="U292" s="1101"/>
      <c r="V292" s="1101"/>
      <c r="W292" s="1101"/>
      <c r="X292" s="1101"/>
      <c r="Y292" s="1102"/>
      <c r="Z292" s="1102"/>
      <c r="AA292" s="1101"/>
    </row>
    <row r="293" ht="15.75" customHeight="1">
      <c r="A293" s="213"/>
      <c r="B293" s="213"/>
      <c r="C293" s="1101"/>
      <c r="D293" s="1101"/>
      <c r="E293" s="1101"/>
      <c r="F293" s="1101"/>
      <c r="G293" s="1101"/>
      <c r="H293" s="1101"/>
      <c r="I293" s="1101"/>
      <c r="J293" s="1101"/>
      <c r="K293" s="1101"/>
      <c r="L293" s="1101"/>
      <c r="M293" s="1101"/>
      <c r="N293" s="1101"/>
      <c r="O293" s="1101"/>
      <c r="P293" s="1101"/>
      <c r="Q293" s="1101"/>
      <c r="R293" s="1101"/>
      <c r="S293" s="1101"/>
      <c r="T293" s="1101"/>
      <c r="U293" s="1101"/>
      <c r="V293" s="1101"/>
      <c r="W293" s="1101"/>
      <c r="X293" s="1101"/>
      <c r="Y293" s="1102"/>
      <c r="Z293" s="1102"/>
      <c r="AA293" s="1101"/>
    </row>
    <row r="294" ht="15.75" customHeight="1">
      <c r="A294" s="213"/>
      <c r="B294" s="213"/>
      <c r="C294" s="1101"/>
      <c r="D294" s="1101"/>
      <c r="E294" s="1101"/>
      <c r="F294" s="1101"/>
      <c r="G294" s="1101"/>
      <c r="H294" s="1101"/>
      <c r="I294" s="1101"/>
      <c r="J294" s="1101"/>
      <c r="K294" s="1101"/>
      <c r="L294" s="1101"/>
      <c r="M294" s="1101"/>
      <c r="N294" s="1101"/>
      <c r="O294" s="1101"/>
      <c r="P294" s="1101"/>
      <c r="Q294" s="1101"/>
      <c r="R294" s="1101"/>
      <c r="S294" s="1101"/>
      <c r="T294" s="1101"/>
      <c r="U294" s="1101"/>
      <c r="V294" s="1101"/>
      <c r="W294" s="1101"/>
      <c r="X294" s="1101"/>
      <c r="Y294" s="1102"/>
      <c r="Z294" s="1102"/>
      <c r="AA294" s="1101"/>
    </row>
    <row r="295" ht="15.75" customHeight="1">
      <c r="A295" s="213"/>
      <c r="B295" s="213"/>
      <c r="C295" s="1101"/>
      <c r="D295" s="1101"/>
      <c r="E295" s="1101"/>
      <c r="F295" s="1101"/>
      <c r="G295" s="1101"/>
      <c r="H295" s="1101"/>
      <c r="I295" s="1101"/>
      <c r="J295" s="1101"/>
      <c r="K295" s="1101"/>
      <c r="L295" s="1101"/>
      <c r="M295" s="1101"/>
      <c r="N295" s="1101"/>
      <c r="O295" s="1101"/>
      <c r="P295" s="1101"/>
      <c r="Q295" s="1101"/>
      <c r="R295" s="1101"/>
      <c r="S295" s="1101"/>
      <c r="T295" s="1101"/>
      <c r="U295" s="1101"/>
      <c r="V295" s="1101"/>
      <c r="W295" s="1101"/>
      <c r="X295" s="1101"/>
      <c r="Y295" s="1102"/>
      <c r="Z295" s="1102"/>
      <c r="AA295" s="1101"/>
    </row>
    <row r="296" ht="15.75" customHeight="1">
      <c r="A296" s="213"/>
      <c r="B296" s="213"/>
      <c r="C296" s="1101"/>
      <c r="D296" s="1101"/>
      <c r="E296" s="1101"/>
      <c r="F296" s="1101"/>
      <c r="G296" s="1101"/>
      <c r="H296" s="1101"/>
      <c r="I296" s="1101"/>
      <c r="J296" s="1101"/>
      <c r="K296" s="1101"/>
      <c r="L296" s="1101"/>
      <c r="M296" s="1101"/>
      <c r="N296" s="1101"/>
      <c r="O296" s="1101"/>
      <c r="P296" s="1101"/>
      <c r="Q296" s="1101"/>
      <c r="R296" s="1101"/>
      <c r="S296" s="1101"/>
      <c r="T296" s="1101"/>
      <c r="U296" s="1101"/>
      <c r="V296" s="1101"/>
      <c r="W296" s="1101"/>
      <c r="X296" s="1101"/>
      <c r="Y296" s="1102"/>
      <c r="Z296" s="1102"/>
      <c r="AA296" s="1101"/>
    </row>
    <row r="297" ht="15.75" customHeight="1">
      <c r="A297" s="213"/>
      <c r="B297" s="213"/>
      <c r="C297" s="1101"/>
      <c r="D297" s="1101"/>
      <c r="E297" s="1101"/>
      <c r="F297" s="1101"/>
      <c r="G297" s="1101"/>
      <c r="H297" s="1101"/>
      <c r="I297" s="1101"/>
      <c r="J297" s="1101"/>
      <c r="K297" s="1101"/>
      <c r="L297" s="1101"/>
      <c r="M297" s="1101"/>
      <c r="N297" s="1101"/>
      <c r="O297" s="1101"/>
      <c r="P297" s="1101"/>
      <c r="Q297" s="1101"/>
      <c r="R297" s="1101"/>
      <c r="S297" s="1101"/>
      <c r="T297" s="1101"/>
      <c r="U297" s="1101"/>
      <c r="V297" s="1101"/>
      <c r="W297" s="1101"/>
      <c r="X297" s="1101"/>
      <c r="Y297" s="1102"/>
      <c r="Z297" s="1102"/>
      <c r="AA297" s="1101"/>
    </row>
    <row r="298" ht="15.75" customHeight="1">
      <c r="A298" s="213"/>
      <c r="B298" s="213"/>
      <c r="C298" s="1101"/>
      <c r="D298" s="1101"/>
      <c r="E298" s="1101"/>
      <c r="F298" s="1101"/>
      <c r="G298" s="1101"/>
      <c r="H298" s="1101"/>
      <c r="I298" s="1101"/>
      <c r="J298" s="1101"/>
      <c r="K298" s="1101"/>
      <c r="L298" s="1101"/>
      <c r="M298" s="1101"/>
      <c r="N298" s="1101"/>
      <c r="O298" s="1101"/>
      <c r="P298" s="1101"/>
      <c r="Q298" s="1101"/>
      <c r="R298" s="1101"/>
      <c r="S298" s="1101"/>
      <c r="T298" s="1101"/>
      <c r="U298" s="1101"/>
      <c r="V298" s="1101"/>
      <c r="W298" s="1101"/>
      <c r="X298" s="1101"/>
      <c r="Y298" s="1102"/>
      <c r="Z298" s="1102"/>
      <c r="AA298" s="1101"/>
    </row>
    <row r="299" ht="15.75" customHeight="1">
      <c r="A299" s="213"/>
      <c r="B299" s="213"/>
      <c r="C299" s="1101"/>
      <c r="D299" s="1101"/>
      <c r="E299" s="1101"/>
      <c r="F299" s="1101"/>
      <c r="G299" s="1101"/>
      <c r="H299" s="1101"/>
      <c r="I299" s="1101"/>
      <c r="J299" s="1101"/>
      <c r="K299" s="1101"/>
      <c r="L299" s="1101"/>
      <c r="M299" s="1101"/>
      <c r="N299" s="1101"/>
      <c r="O299" s="1101"/>
      <c r="P299" s="1101"/>
      <c r="Q299" s="1101"/>
      <c r="R299" s="1101"/>
      <c r="S299" s="1101"/>
      <c r="T299" s="1101"/>
      <c r="U299" s="1101"/>
      <c r="V299" s="1101"/>
      <c r="W299" s="1101"/>
      <c r="X299" s="1101"/>
      <c r="Y299" s="1102"/>
      <c r="Z299" s="1102"/>
      <c r="AA299" s="1101"/>
    </row>
    <row r="300" ht="15.75" customHeight="1">
      <c r="A300" s="213"/>
      <c r="B300" s="213"/>
      <c r="C300" s="1101"/>
      <c r="D300" s="1101"/>
      <c r="E300" s="1101"/>
      <c r="F300" s="1101"/>
      <c r="G300" s="1101"/>
      <c r="H300" s="1101"/>
      <c r="I300" s="1101"/>
      <c r="J300" s="1101"/>
      <c r="K300" s="1101"/>
      <c r="L300" s="1101"/>
      <c r="M300" s="1101"/>
      <c r="N300" s="1101"/>
      <c r="O300" s="1101"/>
      <c r="P300" s="1101"/>
      <c r="Q300" s="1101"/>
      <c r="R300" s="1101"/>
      <c r="S300" s="1101"/>
      <c r="T300" s="1101"/>
      <c r="U300" s="1101"/>
      <c r="V300" s="1101"/>
      <c r="W300" s="1101"/>
      <c r="X300" s="1101"/>
      <c r="Y300" s="1102"/>
      <c r="Z300" s="1102"/>
      <c r="AA300" s="1101"/>
    </row>
    <row r="301" ht="15.75" customHeight="1">
      <c r="A301" s="213"/>
      <c r="B301" s="213"/>
      <c r="C301" s="1101"/>
      <c r="D301" s="1101"/>
      <c r="E301" s="1101"/>
      <c r="F301" s="1101"/>
      <c r="G301" s="1101"/>
      <c r="H301" s="1101"/>
      <c r="I301" s="1101"/>
      <c r="J301" s="1101"/>
      <c r="K301" s="1101"/>
      <c r="L301" s="1101"/>
      <c r="M301" s="1101"/>
      <c r="N301" s="1101"/>
      <c r="O301" s="1101"/>
      <c r="P301" s="1101"/>
      <c r="Q301" s="1101"/>
      <c r="R301" s="1101"/>
      <c r="S301" s="1101"/>
      <c r="T301" s="1101"/>
      <c r="U301" s="1101"/>
      <c r="V301" s="1101"/>
      <c r="W301" s="1101"/>
      <c r="X301" s="1101"/>
      <c r="Y301" s="1102"/>
      <c r="Z301" s="1102"/>
      <c r="AA301" s="1101"/>
    </row>
    <row r="302" ht="15.75" customHeight="1">
      <c r="A302" s="213"/>
      <c r="B302" s="213"/>
      <c r="C302" s="1101"/>
      <c r="D302" s="1101"/>
      <c r="E302" s="1101"/>
      <c r="F302" s="1101"/>
      <c r="G302" s="1101"/>
      <c r="H302" s="1101"/>
      <c r="I302" s="1101"/>
      <c r="J302" s="1101"/>
      <c r="K302" s="1101"/>
      <c r="L302" s="1101"/>
      <c r="M302" s="1101"/>
      <c r="N302" s="1101"/>
      <c r="O302" s="1101"/>
      <c r="P302" s="1101"/>
      <c r="Q302" s="1101"/>
      <c r="R302" s="1101"/>
      <c r="S302" s="1101"/>
      <c r="T302" s="1101"/>
      <c r="U302" s="1101"/>
      <c r="V302" s="1101"/>
      <c r="W302" s="1101"/>
      <c r="X302" s="1101"/>
      <c r="Y302" s="1102"/>
      <c r="Z302" s="1102"/>
      <c r="AA302" s="1101"/>
    </row>
    <row r="303" ht="15.75" customHeight="1">
      <c r="A303" s="213"/>
      <c r="B303" s="213"/>
      <c r="C303" s="1101"/>
      <c r="D303" s="1101"/>
      <c r="E303" s="1101"/>
      <c r="F303" s="1101"/>
      <c r="G303" s="1101"/>
      <c r="H303" s="1101"/>
      <c r="I303" s="1101"/>
      <c r="J303" s="1101"/>
      <c r="K303" s="1101"/>
      <c r="L303" s="1101"/>
      <c r="M303" s="1101"/>
      <c r="N303" s="1101"/>
      <c r="O303" s="1101"/>
      <c r="P303" s="1101"/>
      <c r="Q303" s="1101"/>
      <c r="R303" s="1101"/>
      <c r="S303" s="1101"/>
      <c r="T303" s="1101"/>
      <c r="U303" s="1101"/>
      <c r="V303" s="1101"/>
      <c r="W303" s="1101"/>
      <c r="X303" s="1101"/>
      <c r="Y303" s="1102"/>
      <c r="Z303" s="1102"/>
      <c r="AA303" s="1101"/>
    </row>
    <row r="304" ht="15.75" customHeight="1">
      <c r="A304" s="213"/>
      <c r="B304" s="213"/>
      <c r="C304" s="1101"/>
      <c r="D304" s="1101"/>
      <c r="E304" s="1101"/>
      <c r="F304" s="1101"/>
      <c r="G304" s="1101"/>
      <c r="H304" s="1101"/>
      <c r="I304" s="1101"/>
      <c r="J304" s="1101"/>
      <c r="K304" s="1101"/>
      <c r="L304" s="1101"/>
      <c r="M304" s="1101"/>
      <c r="N304" s="1101"/>
      <c r="O304" s="1101"/>
      <c r="P304" s="1101"/>
      <c r="Q304" s="1101"/>
      <c r="R304" s="1101"/>
      <c r="S304" s="1101"/>
      <c r="T304" s="1101"/>
      <c r="U304" s="1101"/>
      <c r="V304" s="1101"/>
      <c r="W304" s="1101"/>
      <c r="X304" s="1101"/>
      <c r="Y304" s="1102"/>
      <c r="Z304" s="1102"/>
      <c r="AA304" s="1101"/>
    </row>
    <row r="305" ht="15.75" customHeight="1">
      <c r="A305" s="213"/>
      <c r="B305" s="213"/>
      <c r="C305" s="1101"/>
      <c r="D305" s="1101"/>
      <c r="E305" s="1101"/>
      <c r="F305" s="1101"/>
      <c r="G305" s="1101"/>
      <c r="H305" s="1101"/>
      <c r="I305" s="1101"/>
      <c r="J305" s="1101"/>
      <c r="K305" s="1101"/>
      <c r="L305" s="1101"/>
      <c r="M305" s="1101"/>
      <c r="N305" s="1101"/>
      <c r="O305" s="1101"/>
      <c r="P305" s="1101"/>
      <c r="Q305" s="1101"/>
      <c r="R305" s="1101"/>
      <c r="S305" s="1101"/>
      <c r="T305" s="1101"/>
      <c r="U305" s="1101"/>
      <c r="V305" s="1101"/>
      <c r="W305" s="1101"/>
      <c r="X305" s="1101"/>
      <c r="Y305" s="1102"/>
      <c r="Z305" s="1102"/>
      <c r="AA305" s="1101"/>
    </row>
    <row r="306" ht="15.75" customHeight="1">
      <c r="A306" s="213"/>
      <c r="B306" s="213"/>
      <c r="C306" s="1101"/>
      <c r="D306" s="1101"/>
      <c r="E306" s="1101"/>
      <c r="F306" s="1101"/>
      <c r="G306" s="1101"/>
      <c r="H306" s="1101"/>
      <c r="I306" s="1101"/>
      <c r="J306" s="1101"/>
      <c r="K306" s="1101"/>
      <c r="L306" s="1101"/>
      <c r="M306" s="1101"/>
      <c r="N306" s="1101"/>
      <c r="O306" s="1101"/>
      <c r="P306" s="1101"/>
      <c r="Q306" s="1101"/>
      <c r="R306" s="1101"/>
      <c r="S306" s="1101"/>
      <c r="T306" s="1101"/>
      <c r="U306" s="1101"/>
      <c r="V306" s="1101"/>
      <c r="W306" s="1101"/>
      <c r="X306" s="1101"/>
      <c r="Y306" s="1102"/>
      <c r="Z306" s="1102"/>
      <c r="AA306" s="1101"/>
    </row>
    <row r="307" ht="15.75" customHeight="1">
      <c r="A307" s="213"/>
      <c r="B307" s="213"/>
      <c r="C307" s="1101"/>
      <c r="D307" s="1101"/>
      <c r="E307" s="1101"/>
      <c r="F307" s="1101"/>
      <c r="G307" s="1101"/>
      <c r="H307" s="1101"/>
      <c r="I307" s="1101"/>
      <c r="J307" s="1101"/>
      <c r="K307" s="1101"/>
      <c r="L307" s="1101"/>
      <c r="M307" s="1101"/>
      <c r="N307" s="1101"/>
      <c r="O307" s="1101"/>
      <c r="P307" s="1101"/>
      <c r="Q307" s="1101"/>
      <c r="R307" s="1101"/>
      <c r="S307" s="1101"/>
      <c r="T307" s="1101"/>
      <c r="U307" s="1101"/>
      <c r="V307" s="1101"/>
      <c r="W307" s="1101"/>
      <c r="X307" s="1101"/>
      <c r="Y307" s="1102"/>
      <c r="Z307" s="1102"/>
      <c r="AA307" s="1101"/>
    </row>
    <row r="308" ht="15.75" customHeight="1">
      <c r="A308" s="213"/>
      <c r="B308" s="213"/>
      <c r="C308" s="1101"/>
      <c r="D308" s="1101"/>
      <c r="E308" s="1101"/>
      <c r="F308" s="1101"/>
      <c r="G308" s="1101"/>
      <c r="H308" s="1101"/>
      <c r="I308" s="1101"/>
      <c r="J308" s="1101"/>
      <c r="K308" s="1101"/>
      <c r="L308" s="1101"/>
      <c r="M308" s="1101"/>
      <c r="N308" s="1101"/>
      <c r="O308" s="1101"/>
      <c r="P308" s="1101"/>
      <c r="Q308" s="1101"/>
      <c r="R308" s="1101"/>
      <c r="S308" s="1101"/>
      <c r="T308" s="1101"/>
      <c r="U308" s="1101"/>
      <c r="V308" s="1101"/>
      <c r="W308" s="1101"/>
      <c r="X308" s="1101"/>
      <c r="Y308" s="1102"/>
      <c r="Z308" s="1102"/>
      <c r="AA308" s="1101"/>
    </row>
    <row r="309" ht="15.75" customHeight="1">
      <c r="A309" s="213"/>
      <c r="B309" s="213"/>
      <c r="C309" s="1101"/>
      <c r="D309" s="1101"/>
      <c r="E309" s="1101"/>
      <c r="F309" s="1101"/>
      <c r="G309" s="1101"/>
      <c r="H309" s="1101"/>
      <c r="I309" s="1101"/>
      <c r="J309" s="1101"/>
      <c r="K309" s="1101"/>
      <c r="L309" s="1101"/>
      <c r="M309" s="1101"/>
      <c r="N309" s="1101"/>
      <c r="O309" s="1101"/>
      <c r="P309" s="1101"/>
      <c r="Q309" s="1101"/>
      <c r="R309" s="1101"/>
      <c r="S309" s="1101"/>
      <c r="T309" s="1101"/>
      <c r="U309" s="1101"/>
      <c r="V309" s="1101"/>
      <c r="W309" s="1101"/>
      <c r="X309" s="1101"/>
      <c r="Y309" s="1102"/>
      <c r="Z309" s="1102"/>
      <c r="AA309" s="1101"/>
    </row>
    <row r="310" ht="15.75" customHeight="1">
      <c r="A310" s="213"/>
      <c r="B310" s="213"/>
      <c r="C310" s="1101"/>
      <c r="D310" s="1101"/>
      <c r="E310" s="1101"/>
      <c r="F310" s="1101"/>
      <c r="G310" s="1101"/>
      <c r="H310" s="1101"/>
      <c r="I310" s="1101"/>
      <c r="J310" s="1101"/>
      <c r="K310" s="1101"/>
      <c r="L310" s="1101"/>
      <c r="M310" s="1101"/>
      <c r="N310" s="1101"/>
      <c r="O310" s="1101"/>
      <c r="P310" s="1101"/>
      <c r="Q310" s="1101"/>
      <c r="R310" s="1101"/>
      <c r="S310" s="1101"/>
      <c r="T310" s="1101"/>
      <c r="U310" s="1101"/>
      <c r="V310" s="1101"/>
      <c r="W310" s="1101"/>
      <c r="X310" s="1101"/>
      <c r="Y310" s="1102"/>
      <c r="Z310" s="1102"/>
      <c r="AA310" s="1101"/>
    </row>
    <row r="311" ht="15.75" customHeight="1">
      <c r="A311" s="213"/>
      <c r="B311" s="213"/>
      <c r="C311" s="1101"/>
      <c r="D311" s="1101"/>
      <c r="E311" s="1101"/>
      <c r="F311" s="1101"/>
      <c r="G311" s="1101"/>
      <c r="H311" s="1101"/>
      <c r="I311" s="1101"/>
      <c r="J311" s="1101"/>
      <c r="K311" s="1101"/>
      <c r="L311" s="1101"/>
      <c r="M311" s="1101"/>
      <c r="N311" s="1101"/>
      <c r="O311" s="1101"/>
      <c r="P311" s="1101"/>
      <c r="Q311" s="1101"/>
      <c r="R311" s="1101"/>
      <c r="S311" s="1101"/>
      <c r="T311" s="1101"/>
      <c r="U311" s="1101"/>
      <c r="V311" s="1101"/>
      <c r="W311" s="1101"/>
      <c r="X311" s="1101"/>
      <c r="Y311" s="1102"/>
      <c r="Z311" s="1102"/>
      <c r="AA311" s="1101"/>
    </row>
    <row r="312" ht="15.75" customHeight="1">
      <c r="A312" s="213"/>
      <c r="B312" s="213"/>
      <c r="C312" s="1101"/>
      <c r="D312" s="1101"/>
      <c r="E312" s="1101"/>
      <c r="F312" s="1101"/>
      <c r="G312" s="1101"/>
      <c r="H312" s="1101"/>
      <c r="I312" s="1101"/>
      <c r="J312" s="1101"/>
      <c r="K312" s="1101"/>
      <c r="L312" s="1101"/>
      <c r="M312" s="1101"/>
      <c r="N312" s="1101"/>
      <c r="O312" s="1101"/>
      <c r="P312" s="1101"/>
      <c r="Q312" s="1101"/>
      <c r="R312" s="1101"/>
      <c r="S312" s="1101"/>
      <c r="T312" s="1101"/>
      <c r="U312" s="1101"/>
      <c r="V312" s="1101"/>
      <c r="W312" s="1101"/>
      <c r="X312" s="1101"/>
      <c r="Y312" s="1102"/>
      <c r="Z312" s="1102"/>
      <c r="AA312" s="1101"/>
    </row>
    <row r="313" ht="15.75" customHeight="1">
      <c r="A313" s="213"/>
      <c r="B313" s="213"/>
      <c r="C313" s="1101"/>
      <c r="D313" s="1101"/>
      <c r="E313" s="1101"/>
      <c r="F313" s="1101"/>
      <c r="G313" s="1101"/>
      <c r="H313" s="1101"/>
      <c r="I313" s="1101"/>
      <c r="J313" s="1101"/>
      <c r="K313" s="1101"/>
      <c r="L313" s="1101"/>
      <c r="M313" s="1101"/>
      <c r="N313" s="1101"/>
      <c r="O313" s="1101"/>
      <c r="P313" s="1101"/>
      <c r="Q313" s="1101"/>
      <c r="R313" s="1101"/>
      <c r="S313" s="1101"/>
      <c r="T313" s="1101"/>
      <c r="U313" s="1101"/>
      <c r="V313" s="1101"/>
      <c r="W313" s="1101"/>
      <c r="X313" s="1101"/>
      <c r="Y313" s="1102"/>
      <c r="Z313" s="1102"/>
      <c r="AA313" s="1101"/>
    </row>
    <row r="314" ht="15.75" customHeight="1">
      <c r="A314" s="213"/>
      <c r="B314" s="213"/>
      <c r="C314" s="1101"/>
      <c r="D314" s="1101"/>
      <c r="E314" s="1101"/>
      <c r="F314" s="1101"/>
      <c r="G314" s="1101"/>
      <c r="H314" s="1101"/>
      <c r="I314" s="1101"/>
      <c r="J314" s="1101"/>
      <c r="K314" s="1101"/>
      <c r="L314" s="1101"/>
      <c r="M314" s="1101"/>
      <c r="N314" s="1101"/>
      <c r="O314" s="1101"/>
      <c r="P314" s="1101"/>
      <c r="Q314" s="1101"/>
      <c r="R314" s="1101"/>
      <c r="S314" s="1101"/>
      <c r="T314" s="1101"/>
      <c r="U314" s="1101"/>
      <c r="V314" s="1101"/>
      <c r="W314" s="1101"/>
      <c r="X314" s="1101"/>
      <c r="Y314" s="1102"/>
      <c r="Z314" s="1102"/>
      <c r="AA314" s="1101"/>
    </row>
    <row r="315" ht="15.75" customHeight="1">
      <c r="A315" s="213"/>
      <c r="B315" s="213"/>
      <c r="C315" s="1101"/>
      <c r="D315" s="1101"/>
      <c r="E315" s="1101"/>
      <c r="F315" s="1101"/>
      <c r="G315" s="1101"/>
      <c r="H315" s="1101"/>
      <c r="I315" s="1101"/>
      <c r="J315" s="1101"/>
      <c r="K315" s="1101"/>
      <c r="L315" s="1101"/>
      <c r="M315" s="1101"/>
      <c r="N315" s="1101"/>
      <c r="O315" s="1101"/>
      <c r="P315" s="1101"/>
      <c r="Q315" s="1101"/>
      <c r="R315" s="1101"/>
      <c r="S315" s="1101"/>
      <c r="T315" s="1101"/>
      <c r="U315" s="1101"/>
      <c r="V315" s="1101"/>
      <c r="W315" s="1101"/>
      <c r="X315" s="1101"/>
      <c r="Y315" s="1102"/>
      <c r="Z315" s="1102"/>
      <c r="AA315" s="1101"/>
    </row>
    <row r="316" ht="15.75" customHeight="1">
      <c r="A316" s="213"/>
      <c r="B316" s="213"/>
      <c r="C316" s="1101"/>
      <c r="D316" s="1101"/>
      <c r="E316" s="1101"/>
      <c r="F316" s="1101"/>
      <c r="G316" s="1101"/>
      <c r="H316" s="1101"/>
      <c r="I316" s="1101"/>
      <c r="J316" s="1101"/>
      <c r="K316" s="1101"/>
      <c r="L316" s="1101"/>
      <c r="M316" s="1101"/>
      <c r="N316" s="1101"/>
      <c r="O316" s="1101"/>
      <c r="P316" s="1101"/>
      <c r="Q316" s="1101"/>
      <c r="R316" s="1101"/>
      <c r="S316" s="1101"/>
      <c r="T316" s="1101"/>
      <c r="U316" s="1101"/>
      <c r="V316" s="1101"/>
      <c r="W316" s="1101"/>
      <c r="X316" s="1101"/>
      <c r="Y316" s="1102"/>
      <c r="Z316" s="1102"/>
      <c r="AA316" s="1101"/>
    </row>
    <row r="317" ht="15.75" customHeight="1">
      <c r="A317" s="213"/>
      <c r="B317" s="213"/>
      <c r="C317" s="1101"/>
      <c r="D317" s="1101"/>
      <c r="E317" s="1101"/>
      <c r="F317" s="1101"/>
      <c r="G317" s="1101"/>
      <c r="H317" s="1101"/>
      <c r="I317" s="1101"/>
      <c r="J317" s="1101"/>
      <c r="K317" s="1101"/>
      <c r="L317" s="1101"/>
      <c r="M317" s="1101"/>
      <c r="N317" s="1101"/>
      <c r="O317" s="1101"/>
      <c r="P317" s="1101"/>
      <c r="Q317" s="1101"/>
      <c r="R317" s="1101"/>
      <c r="S317" s="1101"/>
      <c r="T317" s="1101"/>
      <c r="U317" s="1101"/>
      <c r="V317" s="1101"/>
      <c r="W317" s="1101"/>
      <c r="X317" s="1101"/>
      <c r="Y317" s="1102"/>
      <c r="Z317" s="1102"/>
      <c r="AA317" s="1101"/>
    </row>
    <row r="318" ht="15.75" customHeight="1">
      <c r="A318" s="213"/>
      <c r="B318" s="213"/>
      <c r="C318" s="1101"/>
      <c r="D318" s="1101"/>
      <c r="E318" s="1101"/>
      <c r="F318" s="1101"/>
      <c r="G318" s="1101"/>
      <c r="H318" s="1101"/>
      <c r="I318" s="1101"/>
      <c r="J318" s="1101"/>
      <c r="K318" s="1101"/>
      <c r="L318" s="1101"/>
      <c r="M318" s="1101"/>
      <c r="N318" s="1101"/>
      <c r="O318" s="1101"/>
      <c r="P318" s="1101"/>
      <c r="Q318" s="1101"/>
      <c r="R318" s="1101"/>
      <c r="S318" s="1101"/>
      <c r="T318" s="1101"/>
      <c r="U318" s="1101"/>
      <c r="V318" s="1101"/>
      <c r="W318" s="1101"/>
      <c r="X318" s="1101"/>
      <c r="Y318" s="1102"/>
      <c r="Z318" s="1102"/>
      <c r="AA318" s="1101"/>
    </row>
    <row r="319" ht="15.75" customHeight="1">
      <c r="A319" s="213"/>
      <c r="B319" s="213"/>
      <c r="C319" s="1101"/>
      <c r="D319" s="1101"/>
      <c r="E319" s="1101"/>
      <c r="F319" s="1101"/>
      <c r="G319" s="1101"/>
      <c r="H319" s="1101"/>
      <c r="I319" s="1101"/>
      <c r="J319" s="1101"/>
      <c r="K319" s="1101"/>
      <c r="L319" s="1101"/>
      <c r="M319" s="1101"/>
      <c r="N319" s="1101"/>
      <c r="O319" s="1101"/>
      <c r="P319" s="1101"/>
      <c r="Q319" s="1101"/>
      <c r="R319" s="1101"/>
      <c r="S319" s="1101"/>
      <c r="T319" s="1101"/>
      <c r="U319" s="1101"/>
      <c r="V319" s="1101"/>
      <c r="W319" s="1101"/>
      <c r="X319" s="1101"/>
      <c r="Y319" s="1102"/>
      <c r="Z319" s="1102"/>
      <c r="AA319" s="1101"/>
    </row>
    <row r="320" ht="15.75" customHeight="1">
      <c r="A320" s="213"/>
      <c r="B320" s="213"/>
      <c r="C320" s="1101"/>
      <c r="D320" s="1101"/>
      <c r="E320" s="1101"/>
      <c r="F320" s="1101"/>
      <c r="G320" s="1101"/>
      <c r="H320" s="1101"/>
      <c r="I320" s="1101"/>
      <c r="J320" s="1101"/>
      <c r="K320" s="1101"/>
      <c r="L320" s="1101"/>
      <c r="M320" s="1101"/>
      <c r="N320" s="1101"/>
      <c r="O320" s="1101"/>
      <c r="P320" s="1101"/>
      <c r="Q320" s="1101"/>
      <c r="R320" s="1101"/>
      <c r="S320" s="1101"/>
      <c r="T320" s="1101"/>
      <c r="U320" s="1101"/>
      <c r="V320" s="1101"/>
      <c r="W320" s="1101"/>
      <c r="X320" s="1101"/>
      <c r="Y320" s="1102"/>
      <c r="Z320" s="1102"/>
      <c r="AA320" s="1101"/>
    </row>
    <row r="321" ht="15.75" customHeight="1">
      <c r="A321" s="213"/>
      <c r="B321" s="213"/>
      <c r="C321" s="1101"/>
      <c r="D321" s="1101"/>
      <c r="E321" s="1101"/>
      <c r="F321" s="1101"/>
      <c r="G321" s="1101"/>
      <c r="H321" s="1101"/>
      <c r="I321" s="1101"/>
      <c r="J321" s="1101"/>
      <c r="K321" s="1101"/>
      <c r="L321" s="1101"/>
      <c r="M321" s="1101"/>
      <c r="N321" s="1101"/>
      <c r="O321" s="1101"/>
      <c r="P321" s="1101"/>
      <c r="Q321" s="1101"/>
      <c r="R321" s="1101"/>
      <c r="S321" s="1101"/>
      <c r="T321" s="1101"/>
      <c r="U321" s="1101"/>
      <c r="V321" s="1101"/>
      <c r="W321" s="1101"/>
      <c r="X321" s="1101"/>
      <c r="Y321" s="1102"/>
      <c r="Z321" s="1102"/>
      <c r="AA321" s="1101"/>
    </row>
    <row r="322" ht="15.75" customHeight="1">
      <c r="A322" s="213"/>
      <c r="B322" s="213"/>
      <c r="C322" s="1101"/>
      <c r="D322" s="1101"/>
      <c r="E322" s="1101"/>
      <c r="F322" s="1101"/>
      <c r="G322" s="1101"/>
      <c r="H322" s="1101"/>
      <c r="I322" s="1101"/>
      <c r="J322" s="1101"/>
      <c r="K322" s="1101"/>
      <c r="L322" s="1101"/>
      <c r="M322" s="1101"/>
      <c r="N322" s="1101"/>
      <c r="O322" s="1101"/>
      <c r="P322" s="1101"/>
      <c r="Q322" s="1101"/>
      <c r="R322" s="1101"/>
      <c r="S322" s="1101"/>
      <c r="T322" s="1101"/>
      <c r="U322" s="1101"/>
      <c r="V322" s="1101"/>
      <c r="W322" s="1101"/>
      <c r="X322" s="1101"/>
      <c r="Y322" s="1102"/>
      <c r="Z322" s="1102"/>
      <c r="AA322" s="1101"/>
    </row>
    <row r="323" ht="15.75" customHeight="1">
      <c r="A323" s="213"/>
      <c r="B323" s="213"/>
      <c r="C323" s="1101"/>
      <c r="D323" s="1101"/>
      <c r="E323" s="1101"/>
      <c r="F323" s="1101"/>
      <c r="G323" s="1101"/>
      <c r="H323" s="1101"/>
      <c r="I323" s="1101"/>
      <c r="J323" s="1101"/>
      <c r="K323" s="1101"/>
      <c r="L323" s="1101"/>
      <c r="M323" s="1101"/>
      <c r="N323" s="1101"/>
      <c r="O323" s="1101"/>
      <c r="P323" s="1101"/>
      <c r="Q323" s="1101"/>
      <c r="R323" s="1101"/>
      <c r="S323" s="1101"/>
      <c r="T323" s="1101"/>
      <c r="U323" s="1101"/>
      <c r="V323" s="1101"/>
      <c r="W323" s="1101"/>
      <c r="X323" s="1101"/>
      <c r="Y323" s="1102"/>
      <c r="Z323" s="1102"/>
      <c r="AA323" s="1101"/>
    </row>
    <row r="324" ht="15.75" customHeight="1">
      <c r="A324" s="213"/>
      <c r="B324" s="213"/>
      <c r="C324" s="1101"/>
      <c r="D324" s="1101"/>
      <c r="E324" s="1101"/>
      <c r="F324" s="1101"/>
      <c r="G324" s="1101"/>
      <c r="H324" s="1101"/>
      <c r="I324" s="1101"/>
      <c r="J324" s="1101"/>
      <c r="K324" s="1101"/>
      <c r="L324" s="1101"/>
      <c r="M324" s="1101"/>
      <c r="N324" s="1101"/>
      <c r="O324" s="1101"/>
      <c r="P324" s="1101"/>
      <c r="Q324" s="1101"/>
      <c r="R324" s="1101"/>
      <c r="S324" s="1101"/>
      <c r="T324" s="1101"/>
      <c r="U324" s="1101"/>
      <c r="V324" s="1101"/>
      <c r="W324" s="1101"/>
      <c r="X324" s="1101"/>
      <c r="Y324" s="1102"/>
      <c r="Z324" s="1102"/>
      <c r="AA324" s="1101"/>
    </row>
    <row r="325" ht="15.75" customHeight="1">
      <c r="A325" s="213"/>
      <c r="B325" s="213"/>
      <c r="C325" s="1101"/>
      <c r="D325" s="1101"/>
      <c r="E325" s="1101"/>
      <c r="F325" s="1101"/>
      <c r="G325" s="1101"/>
      <c r="H325" s="1101"/>
      <c r="I325" s="1101"/>
      <c r="J325" s="1101"/>
      <c r="K325" s="1101"/>
      <c r="L325" s="1101"/>
      <c r="M325" s="1101"/>
      <c r="N325" s="1101"/>
      <c r="O325" s="1101"/>
      <c r="P325" s="1101"/>
      <c r="Q325" s="1101"/>
      <c r="R325" s="1101"/>
      <c r="S325" s="1101"/>
      <c r="T325" s="1101"/>
      <c r="U325" s="1101"/>
      <c r="V325" s="1101"/>
      <c r="W325" s="1101"/>
      <c r="X325" s="1101"/>
      <c r="Y325" s="1102"/>
      <c r="Z325" s="1102"/>
      <c r="AA325" s="1101"/>
    </row>
    <row r="326" ht="15.75" customHeight="1">
      <c r="A326" s="213"/>
      <c r="B326" s="213"/>
      <c r="C326" s="1101"/>
      <c r="D326" s="1101"/>
      <c r="E326" s="1101"/>
      <c r="F326" s="1101"/>
      <c r="G326" s="1101"/>
      <c r="H326" s="1101"/>
      <c r="I326" s="1101"/>
      <c r="J326" s="1101"/>
      <c r="K326" s="1101"/>
      <c r="L326" s="1101"/>
      <c r="M326" s="1101"/>
      <c r="N326" s="1101"/>
      <c r="O326" s="1101"/>
      <c r="P326" s="1101"/>
      <c r="Q326" s="1101"/>
      <c r="R326" s="1101"/>
      <c r="S326" s="1101"/>
      <c r="T326" s="1101"/>
      <c r="U326" s="1101"/>
      <c r="V326" s="1101"/>
      <c r="W326" s="1101"/>
      <c r="X326" s="1101"/>
      <c r="Y326" s="1102"/>
      <c r="Z326" s="1102"/>
      <c r="AA326" s="1101"/>
    </row>
    <row r="327" ht="15.75" customHeight="1">
      <c r="A327" s="213"/>
      <c r="B327" s="213"/>
      <c r="C327" s="1101"/>
      <c r="D327" s="1101"/>
      <c r="E327" s="1101"/>
      <c r="F327" s="1101"/>
      <c r="G327" s="1101"/>
      <c r="H327" s="1101"/>
      <c r="I327" s="1101"/>
      <c r="J327" s="1101"/>
      <c r="K327" s="1101"/>
      <c r="L327" s="1101"/>
      <c r="M327" s="1101"/>
      <c r="N327" s="1101"/>
      <c r="O327" s="1101"/>
      <c r="P327" s="1101"/>
      <c r="Q327" s="1101"/>
      <c r="R327" s="1101"/>
      <c r="S327" s="1101"/>
      <c r="T327" s="1101"/>
      <c r="U327" s="1101"/>
      <c r="V327" s="1101"/>
      <c r="W327" s="1101"/>
      <c r="X327" s="1101"/>
      <c r="Y327" s="1102"/>
      <c r="Z327" s="1102"/>
      <c r="AA327" s="1101"/>
    </row>
    <row r="328" ht="15.75" customHeight="1">
      <c r="A328" s="213"/>
      <c r="B328" s="213"/>
      <c r="C328" s="1101"/>
      <c r="D328" s="1101"/>
      <c r="E328" s="1101"/>
      <c r="F328" s="1101"/>
      <c r="G328" s="1101"/>
      <c r="H328" s="1101"/>
      <c r="I328" s="1101"/>
      <c r="J328" s="1101"/>
      <c r="K328" s="1101"/>
      <c r="L328" s="1101"/>
      <c r="M328" s="1101"/>
      <c r="N328" s="1101"/>
      <c r="O328" s="1101"/>
      <c r="P328" s="1101"/>
      <c r="Q328" s="1101"/>
      <c r="R328" s="1101"/>
      <c r="S328" s="1101"/>
      <c r="T328" s="1101"/>
      <c r="U328" s="1101"/>
      <c r="V328" s="1101"/>
      <c r="W328" s="1101"/>
      <c r="X328" s="1101"/>
      <c r="Y328" s="1102"/>
      <c r="Z328" s="1102"/>
      <c r="AA328" s="1101"/>
    </row>
    <row r="329" ht="15.75" customHeight="1">
      <c r="A329" s="213"/>
      <c r="B329" s="213"/>
      <c r="C329" s="1101"/>
      <c r="D329" s="1101"/>
      <c r="E329" s="1101"/>
      <c r="F329" s="1101"/>
      <c r="G329" s="1101"/>
      <c r="H329" s="1101"/>
      <c r="I329" s="1101"/>
      <c r="J329" s="1101"/>
      <c r="K329" s="1101"/>
      <c r="L329" s="1101"/>
      <c r="M329" s="1101"/>
      <c r="N329" s="1101"/>
      <c r="O329" s="1101"/>
      <c r="P329" s="1101"/>
      <c r="Q329" s="1101"/>
      <c r="R329" s="1101"/>
      <c r="S329" s="1101"/>
      <c r="T329" s="1101"/>
      <c r="U329" s="1101"/>
      <c r="V329" s="1101"/>
      <c r="W329" s="1101"/>
      <c r="X329" s="1101"/>
      <c r="Y329" s="1102"/>
      <c r="Z329" s="1102"/>
      <c r="AA329" s="1101"/>
    </row>
    <row r="330" ht="15.75" customHeight="1">
      <c r="A330" s="213"/>
      <c r="B330" s="213"/>
      <c r="C330" s="1101"/>
      <c r="D330" s="1101"/>
      <c r="E330" s="1101"/>
      <c r="F330" s="1101"/>
      <c r="G330" s="1101"/>
      <c r="H330" s="1101"/>
      <c r="I330" s="1101"/>
      <c r="J330" s="1101"/>
      <c r="K330" s="1101"/>
      <c r="L330" s="1101"/>
      <c r="M330" s="1101"/>
      <c r="N330" s="1101"/>
      <c r="O330" s="1101"/>
      <c r="P330" s="1101"/>
      <c r="Q330" s="1101"/>
      <c r="R330" s="1101"/>
      <c r="S330" s="1101"/>
      <c r="T330" s="1101"/>
      <c r="U330" s="1101"/>
      <c r="V330" s="1101"/>
      <c r="W330" s="1101"/>
      <c r="X330" s="1101"/>
      <c r="Y330" s="1102"/>
      <c r="Z330" s="1102"/>
      <c r="AA330" s="1101"/>
    </row>
    <row r="331" ht="15.75" customHeight="1">
      <c r="A331" s="213"/>
      <c r="B331" s="213"/>
      <c r="C331" s="1101"/>
      <c r="D331" s="1101"/>
      <c r="E331" s="1101"/>
      <c r="F331" s="1101"/>
      <c r="G331" s="1101"/>
      <c r="H331" s="1101"/>
      <c r="I331" s="1101"/>
      <c r="J331" s="1101"/>
      <c r="K331" s="1101"/>
      <c r="L331" s="1101"/>
      <c r="M331" s="1101"/>
      <c r="N331" s="1101"/>
      <c r="O331" s="1101"/>
      <c r="P331" s="1101"/>
      <c r="Q331" s="1101"/>
      <c r="R331" s="1101"/>
      <c r="S331" s="1101"/>
      <c r="T331" s="1101"/>
      <c r="U331" s="1101"/>
      <c r="V331" s="1101"/>
      <c r="W331" s="1101"/>
      <c r="X331" s="1101"/>
      <c r="Y331" s="1102"/>
      <c r="Z331" s="1102"/>
      <c r="AA331" s="1101"/>
    </row>
    <row r="332" ht="15.75" customHeight="1">
      <c r="A332" s="213"/>
      <c r="B332" s="213"/>
      <c r="C332" s="1101"/>
      <c r="D332" s="1101"/>
      <c r="E332" s="1101"/>
      <c r="F332" s="1101"/>
      <c r="G332" s="1101"/>
      <c r="H332" s="1101"/>
      <c r="I332" s="1101"/>
      <c r="J332" s="1101"/>
      <c r="K332" s="1101"/>
      <c r="L332" s="1101"/>
      <c r="M332" s="1101"/>
      <c r="N332" s="1101"/>
      <c r="O332" s="1101"/>
      <c r="P332" s="1101"/>
      <c r="Q332" s="1101"/>
      <c r="R332" s="1101"/>
      <c r="S332" s="1101"/>
      <c r="T332" s="1101"/>
      <c r="U332" s="1101"/>
      <c r="V332" s="1101"/>
      <c r="W332" s="1101"/>
      <c r="X332" s="1101"/>
      <c r="Y332" s="1102"/>
      <c r="Z332" s="1102"/>
      <c r="AA332" s="1101"/>
    </row>
    <row r="333" ht="15.75" customHeight="1">
      <c r="A333" s="213"/>
      <c r="B333" s="213"/>
      <c r="C333" s="1101"/>
      <c r="D333" s="1101"/>
      <c r="E333" s="1101"/>
      <c r="F333" s="1101"/>
      <c r="G333" s="1101"/>
      <c r="H333" s="1101"/>
      <c r="I333" s="1101"/>
      <c r="J333" s="1101"/>
      <c r="K333" s="1101"/>
      <c r="L333" s="1101"/>
      <c r="M333" s="1101"/>
      <c r="N333" s="1101"/>
      <c r="O333" s="1101"/>
      <c r="P333" s="1101"/>
      <c r="Q333" s="1101"/>
      <c r="R333" s="1101"/>
      <c r="S333" s="1101"/>
      <c r="T333" s="1101"/>
      <c r="U333" s="1101"/>
      <c r="V333" s="1101"/>
      <c r="W333" s="1101"/>
      <c r="X333" s="1101"/>
      <c r="Y333" s="1102"/>
      <c r="Z333" s="1102"/>
      <c r="AA333" s="1101"/>
    </row>
    <row r="334" ht="15.75" customHeight="1">
      <c r="A334" s="213"/>
      <c r="B334" s="213"/>
      <c r="C334" s="1101"/>
      <c r="D334" s="1101"/>
      <c r="E334" s="1101"/>
      <c r="F334" s="1101"/>
      <c r="G334" s="1101"/>
      <c r="H334" s="1101"/>
      <c r="I334" s="1101"/>
      <c r="J334" s="1101"/>
      <c r="K334" s="1101"/>
      <c r="L334" s="1101"/>
      <c r="M334" s="1101"/>
      <c r="N334" s="1101"/>
      <c r="O334" s="1101"/>
      <c r="P334" s="1101"/>
      <c r="Q334" s="1101"/>
      <c r="R334" s="1101"/>
      <c r="S334" s="1101"/>
      <c r="T334" s="1101"/>
      <c r="U334" s="1101"/>
      <c r="V334" s="1101"/>
      <c r="W334" s="1101"/>
      <c r="X334" s="1101"/>
      <c r="Y334" s="1102"/>
      <c r="Z334" s="1102"/>
      <c r="AA334" s="1101"/>
    </row>
    <row r="335" ht="15.75" customHeight="1">
      <c r="A335" s="213"/>
      <c r="B335" s="213"/>
      <c r="C335" s="1101"/>
      <c r="D335" s="1101"/>
      <c r="E335" s="1101"/>
      <c r="F335" s="1101"/>
      <c r="G335" s="1101"/>
      <c r="H335" s="1101"/>
      <c r="I335" s="1101"/>
      <c r="J335" s="1101"/>
      <c r="K335" s="1101"/>
      <c r="L335" s="1101"/>
      <c r="M335" s="1101"/>
      <c r="N335" s="1101"/>
      <c r="O335" s="1101"/>
      <c r="P335" s="1101"/>
      <c r="Q335" s="1101"/>
      <c r="R335" s="1101"/>
      <c r="S335" s="1101"/>
      <c r="T335" s="1101"/>
      <c r="U335" s="1101"/>
      <c r="V335" s="1101"/>
      <c r="W335" s="1101"/>
      <c r="X335" s="1101"/>
      <c r="Y335" s="1102"/>
      <c r="Z335" s="1102"/>
      <c r="AA335" s="1101"/>
    </row>
    <row r="336" ht="15.75" customHeight="1">
      <c r="A336" s="213"/>
      <c r="B336" s="213"/>
      <c r="C336" s="1101"/>
      <c r="D336" s="1101"/>
      <c r="E336" s="1101"/>
      <c r="F336" s="1101"/>
      <c r="G336" s="1101"/>
      <c r="H336" s="1101"/>
      <c r="I336" s="1101"/>
      <c r="J336" s="1101"/>
      <c r="K336" s="1101"/>
      <c r="L336" s="1101"/>
      <c r="M336" s="1101"/>
      <c r="N336" s="1101"/>
      <c r="O336" s="1101"/>
      <c r="P336" s="1101"/>
      <c r="Q336" s="1101"/>
      <c r="R336" s="1101"/>
      <c r="S336" s="1101"/>
      <c r="T336" s="1101"/>
      <c r="U336" s="1101"/>
      <c r="V336" s="1101"/>
      <c r="W336" s="1101"/>
      <c r="X336" s="1101"/>
      <c r="Y336" s="1102"/>
      <c r="Z336" s="1102"/>
      <c r="AA336" s="1101"/>
    </row>
    <row r="337" ht="15.75" customHeight="1">
      <c r="A337" s="213"/>
      <c r="B337" s="213"/>
      <c r="C337" s="1101"/>
      <c r="D337" s="1101"/>
      <c r="E337" s="1101"/>
      <c r="F337" s="1101"/>
      <c r="G337" s="1101"/>
      <c r="H337" s="1101"/>
      <c r="I337" s="1101"/>
      <c r="J337" s="1101"/>
      <c r="K337" s="1101"/>
      <c r="L337" s="1101"/>
      <c r="M337" s="1101"/>
      <c r="N337" s="1101"/>
      <c r="O337" s="1101"/>
      <c r="P337" s="1101"/>
      <c r="Q337" s="1101"/>
      <c r="R337" s="1101"/>
      <c r="S337" s="1101"/>
      <c r="T337" s="1101"/>
      <c r="U337" s="1101"/>
      <c r="V337" s="1101"/>
      <c r="W337" s="1101"/>
      <c r="X337" s="1101"/>
      <c r="Y337" s="1102"/>
      <c r="Z337" s="1102"/>
      <c r="AA337" s="1101"/>
    </row>
    <row r="338" ht="15.75" customHeight="1">
      <c r="A338" s="213"/>
      <c r="B338" s="213"/>
      <c r="C338" s="1101"/>
      <c r="D338" s="1101"/>
      <c r="E338" s="1101"/>
      <c r="F338" s="1101"/>
      <c r="G338" s="1101"/>
      <c r="H338" s="1101"/>
      <c r="I338" s="1101"/>
      <c r="J338" s="1101"/>
      <c r="K338" s="1101"/>
      <c r="L338" s="1101"/>
      <c r="M338" s="1101"/>
      <c r="N338" s="1101"/>
      <c r="O338" s="1101"/>
      <c r="P338" s="1101"/>
      <c r="Q338" s="1101"/>
      <c r="R338" s="1101"/>
      <c r="S338" s="1101"/>
      <c r="T338" s="1101"/>
      <c r="U338" s="1101"/>
      <c r="V338" s="1101"/>
      <c r="W338" s="1101"/>
      <c r="X338" s="1101"/>
      <c r="Y338" s="1102"/>
      <c r="Z338" s="1102"/>
      <c r="AA338" s="1101"/>
    </row>
    <row r="339" ht="15.75" customHeight="1">
      <c r="A339" s="213"/>
      <c r="B339" s="213"/>
      <c r="C339" s="1101"/>
      <c r="D339" s="1101"/>
      <c r="E339" s="1101"/>
      <c r="F339" s="1101"/>
      <c r="G339" s="1101"/>
      <c r="H339" s="1101"/>
      <c r="I339" s="1101"/>
      <c r="J339" s="1101"/>
      <c r="K339" s="1101"/>
      <c r="L339" s="1101"/>
      <c r="M339" s="1101"/>
      <c r="N339" s="1101"/>
      <c r="O339" s="1101"/>
      <c r="P339" s="1101"/>
      <c r="Q339" s="1101"/>
      <c r="R339" s="1101"/>
      <c r="S339" s="1101"/>
      <c r="T339" s="1101"/>
      <c r="U339" s="1101"/>
      <c r="V339" s="1101"/>
      <c r="W339" s="1101"/>
      <c r="X339" s="1101"/>
      <c r="Y339" s="1102"/>
      <c r="Z339" s="1102"/>
      <c r="AA339" s="1101"/>
    </row>
    <row r="340" ht="15.75" customHeight="1">
      <c r="A340" s="213"/>
      <c r="B340" s="213"/>
      <c r="C340" s="1101"/>
      <c r="D340" s="1101"/>
      <c r="E340" s="1101"/>
      <c r="F340" s="1101"/>
      <c r="G340" s="1101"/>
      <c r="H340" s="1101"/>
      <c r="I340" s="1101"/>
      <c r="J340" s="1101"/>
      <c r="K340" s="1101"/>
      <c r="L340" s="1101"/>
      <c r="M340" s="1101"/>
      <c r="N340" s="1101"/>
      <c r="O340" s="1101"/>
      <c r="P340" s="1101"/>
      <c r="Q340" s="1101"/>
      <c r="R340" s="1101"/>
      <c r="S340" s="1101"/>
      <c r="T340" s="1101"/>
      <c r="U340" s="1101"/>
      <c r="V340" s="1101"/>
      <c r="W340" s="1101"/>
      <c r="X340" s="1101"/>
      <c r="Y340" s="1102"/>
      <c r="Z340" s="1102"/>
      <c r="AA340" s="1101"/>
    </row>
    <row r="341" ht="15.75" customHeight="1">
      <c r="A341" s="213"/>
      <c r="B341" s="213"/>
      <c r="C341" s="1101"/>
      <c r="D341" s="1101"/>
      <c r="E341" s="1101"/>
      <c r="F341" s="1101"/>
      <c r="G341" s="1101"/>
      <c r="H341" s="1101"/>
      <c r="I341" s="1101"/>
      <c r="J341" s="1101"/>
      <c r="K341" s="1101"/>
      <c r="L341" s="1101"/>
      <c r="M341" s="1101"/>
      <c r="N341" s="1101"/>
      <c r="O341" s="1101"/>
      <c r="P341" s="1101"/>
      <c r="Q341" s="1101"/>
      <c r="R341" s="1101"/>
      <c r="S341" s="1101"/>
      <c r="T341" s="1101"/>
      <c r="U341" s="1101"/>
      <c r="V341" s="1101"/>
      <c r="W341" s="1101"/>
      <c r="X341" s="1101"/>
      <c r="Y341" s="1102"/>
      <c r="Z341" s="1102"/>
      <c r="AA341" s="1101"/>
    </row>
    <row r="342" ht="15.75" customHeight="1">
      <c r="A342" s="213"/>
      <c r="B342" s="213"/>
      <c r="C342" s="1101"/>
      <c r="D342" s="1101"/>
      <c r="E342" s="1101"/>
      <c r="F342" s="1101"/>
      <c r="G342" s="1101"/>
      <c r="H342" s="1101"/>
      <c r="I342" s="1101"/>
      <c r="J342" s="1101"/>
      <c r="K342" s="1101"/>
      <c r="L342" s="1101"/>
      <c r="M342" s="1101"/>
      <c r="N342" s="1101"/>
      <c r="O342" s="1101"/>
      <c r="P342" s="1101"/>
      <c r="Q342" s="1101"/>
      <c r="R342" s="1101"/>
      <c r="S342" s="1101"/>
      <c r="T342" s="1101"/>
      <c r="U342" s="1101"/>
      <c r="V342" s="1101"/>
      <c r="W342" s="1101"/>
      <c r="X342" s="1101"/>
      <c r="Y342" s="1102"/>
      <c r="Z342" s="1102"/>
      <c r="AA342" s="1101"/>
    </row>
    <row r="343" ht="15.75" customHeight="1">
      <c r="A343" s="213"/>
      <c r="B343" s="213"/>
      <c r="C343" s="1101"/>
      <c r="D343" s="1101"/>
      <c r="E343" s="1101"/>
      <c r="F343" s="1101"/>
      <c r="G343" s="1101"/>
      <c r="H343" s="1101"/>
      <c r="I343" s="1101"/>
      <c r="J343" s="1101"/>
      <c r="K343" s="1101"/>
      <c r="L343" s="1101"/>
      <c r="M343" s="1101"/>
      <c r="N343" s="1101"/>
      <c r="O343" s="1101"/>
      <c r="P343" s="1101"/>
      <c r="Q343" s="1101"/>
      <c r="R343" s="1101"/>
      <c r="S343" s="1101"/>
      <c r="T343" s="1101"/>
      <c r="U343" s="1101"/>
      <c r="V343" s="1101"/>
      <c r="W343" s="1101"/>
      <c r="X343" s="1101"/>
      <c r="Y343" s="1102"/>
      <c r="Z343" s="1102"/>
      <c r="AA343" s="1101"/>
    </row>
    <row r="344" ht="15.75" customHeight="1">
      <c r="A344" s="213"/>
      <c r="B344" s="213"/>
      <c r="C344" s="1101"/>
      <c r="D344" s="1101"/>
      <c r="E344" s="1101"/>
      <c r="F344" s="1101"/>
      <c r="G344" s="1101"/>
      <c r="H344" s="1101"/>
      <c r="I344" s="1101"/>
      <c r="J344" s="1101"/>
      <c r="K344" s="1101"/>
      <c r="L344" s="1101"/>
      <c r="M344" s="1101"/>
      <c r="N344" s="1101"/>
      <c r="O344" s="1101"/>
      <c r="P344" s="1101"/>
      <c r="Q344" s="1101"/>
      <c r="R344" s="1101"/>
      <c r="S344" s="1101"/>
      <c r="T344" s="1101"/>
      <c r="U344" s="1101"/>
      <c r="V344" s="1101"/>
      <c r="W344" s="1101"/>
      <c r="X344" s="1101"/>
      <c r="Y344" s="1102"/>
      <c r="Z344" s="1102"/>
      <c r="AA344" s="1101"/>
    </row>
    <row r="345" ht="15.75" customHeight="1">
      <c r="A345" s="213"/>
      <c r="B345" s="213"/>
      <c r="C345" s="1101"/>
      <c r="D345" s="1101"/>
      <c r="E345" s="1101"/>
      <c r="F345" s="1101"/>
      <c r="G345" s="1101"/>
      <c r="H345" s="1101"/>
      <c r="I345" s="1101"/>
      <c r="J345" s="1101"/>
      <c r="K345" s="1101"/>
      <c r="L345" s="1101"/>
      <c r="M345" s="1101"/>
      <c r="N345" s="1101"/>
      <c r="O345" s="1101"/>
      <c r="P345" s="1101"/>
      <c r="Q345" s="1101"/>
      <c r="R345" s="1101"/>
      <c r="S345" s="1101"/>
      <c r="T345" s="1101"/>
      <c r="U345" s="1101"/>
      <c r="V345" s="1101"/>
      <c r="W345" s="1101"/>
      <c r="X345" s="1101"/>
      <c r="Y345" s="1102"/>
      <c r="Z345" s="1102"/>
      <c r="AA345" s="1101"/>
    </row>
    <row r="346" ht="15.75" customHeight="1">
      <c r="A346" s="213"/>
      <c r="B346" s="213"/>
      <c r="C346" s="1101"/>
      <c r="D346" s="1101"/>
      <c r="E346" s="1101"/>
      <c r="F346" s="1101"/>
      <c r="G346" s="1101"/>
      <c r="H346" s="1101"/>
      <c r="I346" s="1101"/>
      <c r="J346" s="1101"/>
      <c r="K346" s="1101"/>
      <c r="L346" s="1101"/>
      <c r="M346" s="1101"/>
      <c r="N346" s="1101"/>
      <c r="O346" s="1101"/>
      <c r="P346" s="1101"/>
      <c r="Q346" s="1101"/>
      <c r="R346" s="1101"/>
      <c r="S346" s="1101"/>
      <c r="T346" s="1101"/>
      <c r="U346" s="1101"/>
      <c r="V346" s="1101"/>
      <c r="W346" s="1101"/>
      <c r="X346" s="1101"/>
      <c r="Y346" s="1102"/>
      <c r="Z346" s="1102"/>
      <c r="AA346" s="1101"/>
    </row>
    <row r="347" ht="15.75" customHeight="1">
      <c r="A347" s="213"/>
      <c r="B347" s="213"/>
      <c r="C347" s="1101"/>
      <c r="D347" s="1101"/>
      <c r="E347" s="1101"/>
      <c r="F347" s="1101"/>
      <c r="G347" s="1101"/>
      <c r="H347" s="1101"/>
      <c r="I347" s="1101"/>
      <c r="J347" s="1101"/>
      <c r="K347" s="1101"/>
      <c r="L347" s="1101"/>
      <c r="M347" s="1101"/>
      <c r="N347" s="1101"/>
      <c r="O347" s="1101"/>
      <c r="P347" s="1101"/>
      <c r="Q347" s="1101"/>
      <c r="R347" s="1101"/>
      <c r="S347" s="1101"/>
      <c r="T347" s="1101"/>
      <c r="U347" s="1101"/>
      <c r="V347" s="1101"/>
      <c r="W347" s="1101"/>
      <c r="X347" s="1101"/>
      <c r="Y347" s="1102"/>
      <c r="Z347" s="1102"/>
      <c r="AA347" s="1101"/>
    </row>
    <row r="348" ht="15.75" customHeight="1">
      <c r="A348" s="213"/>
      <c r="B348" s="213"/>
      <c r="C348" s="1101"/>
      <c r="D348" s="1101"/>
      <c r="E348" s="1101"/>
      <c r="F348" s="1101"/>
      <c r="G348" s="1101"/>
      <c r="H348" s="1101"/>
      <c r="I348" s="1101"/>
      <c r="J348" s="1101"/>
      <c r="K348" s="1101"/>
      <c r="L348" s="1101"/>
      <c r="M348" s="1101"/>
      <c r="N348" s="1101"/>
      <c r="O348" s="1101"/>
      <c r="P348" s="1101"/>
      <c r="Q348" s="1101"/>
      <c r="R348" s="1101"/>
      <c r="S348" s="1101"/>
      <c r="T348" s="1101"/>
      <c r="U348" s="1101"/>
      <c r="V348" s="1101"/>
      <c r="W348" s="1101"/>
      <c r="X348" s="1101"/>
      <c r="Y348" s="1102"/>
      <c r="Z348" s="1102"/>
      <c r="AA348" s="1101"/>
    </row>
    <row r="349" ht="15.75" customHeight="1">
      <c r="A349" s="213"/>
      <c r="B349" s="213"/>
      <c r="C349" s="1101"/>
      <c r="D349" s="1101"/>
      <c r="E349" s="1101"/>
      <c r="F349" s="1101"/>
      <c r="G349" s="1101"/>
      <c r="H349" s="1101"/>
      <c r="I349" s="1101"/>
      <c r="J349" s="1101"/>
      <c r="K349" s="1101"/>
      <c r="L349" s="1101"/>
      <c r="M349" s="1101"/>
      <c r="N349" s="1101"/>
      <c r="O349" s="1101"/>
      <c r="P349" s="1101"/>
      <c r="Q349" s="1101"/>
      <c r="R349" s="1101"/>
      <c r="S349" s="1101"/>
      <c r="T349" s="1101"/>
      <c r="U349" s="1101"/>
      <c r="V349" s="1101"/>
      <c r="W349" s="1101"/>
      <c r="X349" s="1101"/>
      <c r="Y349" s="1102"/>
      <c r="Z349" s="1102"/>
      <c r="AA349" s="1101"/>
    </row>
    <row r="350" ht="15.75" customHeight="1">
      <c r="A350" s="213"/>
      <c r="B350" s="213"/>
      <c r="C350" s="1101"/>
      <c r="D350" s="1101"/>
      <c r="E350" s="1101"/>
      <c r="F350" s="1101"/>
      <c r="G350" s="1101"/>
      <c r="H350" s="1101"/>
      <c r="I350" s="1101"/>
      <c r="J350" s="1101"/>
      <c r="K350" s="1101"/>
      <c r="L350" s="1101"/>
      <c r="M350" s="1101"/>
      <c r="N350" s="1101"/>
      <c r="O350" s="1101"/>
      <c r="P350" s="1101"/>
      <c r="Q350" s="1101"/>
      <c r="R350" s="1101"/>
      <c r="S350" s="1101"/>
      <c r="T350" s="1101"/>
      <c r="U350" s="1101"/>
      <c r="V350" s="1101"/>
      <c r="W350" s="1101"/>
      <c r="X350" s="1101"/>
      <c r="Y350" s="1102"/>
      <c r="Z350" s="1102"/>
      <c r="AA350" s="1101"/>
    </row>
    <row r="351" ht="15.75" customHeight="1">
      <c r="A351" s="213"/>
      <c r="B351" s="213"/>
      <c r="C351" s="1101"/>
      <c r="D351" s="1101"/>
      <c r="E351" s="1101"/>
      <c r="F351" s="1101"/>
      <c r="G351" s="1101"/>
      <c r="H351" s="1101"/>
      <c r="I351" s="1101"/>
      <c r="J351" s="1101"/>
      <c r="K351" s="1101"/>
      <c r="L351" s="1101"/>
      <c r="M351" s="1101"/>
      <c r="N351" s="1101"/>
      <c r="O351" s="1101"/>
      <c r="P351" s="1101"/>
      <c r="Q351" s="1101"/>
      <c r="R351" s="1101"/>
      <c r="S351" s="1101"/>
      <c r="T351" s="1101"/>
      <c r="U351" s="1101"/>
      <c r="V351" s="1101"/>
      <c r="W351" s="1101"/>
      <c r="X351" s="1101"/>
      <c r="Y351" s="1102"/>
      <c r="Z351" s="1102"/>
      <c r="AA351" s="1101"/>
    </row>
    <row r="352" ht="15.75" customHeight="1">
      <c r="A352" s="213"/>
      <c r="B352" s="213"/>
      <c r="C352" s="1101"/>
      <c r="D352" s="1101"/>
      <c r="E352" s="1101"/>
      <c r="F352" s="1101"/>
      <c r="G352" s="1101"/>
      <c r="H352" s="1101"/>
      <c r="I352" s="1101"/>
      <c r="J352" s="1101"/>
      <c r="K352" s="1101"/>
      <c r="L352" s="1101"/>
      <c r="M352" s="1101"/>
      <c r="N352" s="1101"/>
      <c r="O352" s="1101"/>
      <c r="P352" s="1101"/>
      <c r="Q352" s="1101"/>
      <c r="R352" s="1101"/>
      <c r="S352" s="1101"/>
      <c r="T352" s="1101"/>
      <c r="U352" s="1101"/>
      <c r="V352" s="1101"/>
      <c r="W352" s="1101"/>
      <c r="X352" s="1101"/>
      <c r="Y352" s="1102"/>
      <c r="Z352" s="1102"/>
      <c r="AA352" s="1101"/>
    </row>
    <row r="353" ht="15.75" customHeight="1">
      <c r="A353" s="213"/>
      <c r="B353" s="213"/>
      <c r="C353" s="1101"/>
      <c r="D353" s="1101"/>
      <c r="E353" s="1101"/>
      <c r="F353" s="1101"/>
      <c r="G353" s="1101"/>
      <c r="H353" s="1101"/>
      <c r="I353" s="1101"/>
      <c r="J353" s="1101"/>
      <c r="K353" s="1101"/>
      <c r="L353" s="1101"/>
      <c r="M353" s="1101"/>
      <c r="N353" s="1101"/>
      <c r="O353" s="1101"/>
      <c r="P353" s="1101"/>
      <c r="Q353" s="1101"/>
      <c r="R353" s="1101"/>
      <c r="S353" s="1101"/>
      <c r="T353" s="1101"/>
      <c r="U353" s="1101"/>
      <c r="V353" s="1101"/>
      <c r="W353" s="1101"/>
      <c r="X353" s="1101"/>
      <c r="Y353" s="1102"/>
      <c r="Z353" s="1102"/>
      <c r="AA353" s="1101"/>
    </row>
    <row r="354" ht="15.75" customHeight="1">
      <c r="A354" s="213"/>
      <c r="B354" s="213"/>
      <c r="C354" s="1101"/>
      <c r="D354" s="1101"/>
      <c r="E354" s="1101"/>
      <c r="F354" s="1101"/>
      <c r="G354" s="1101"/>
      <c r="H354" s="1101"/>
      <c r="I354" s="1101"/>
      <c r="J354" s="1101"/>
      <c r="K354" s="1101"/>
      <c r="L354" s="1101"/>
      <c r="M354" s="1101"/>
      <c r="N354" s="1101"/>
      <c r="O354" s="1101"/>
      <c r="P354" s="1101"/>
      <c r="Q354" s="1101"/>
      <c r="R354" s="1101"/>
      <c r="S354" s="1101"/>
      <c r="T354" s="1101"/>
      <c r="U354" s="1101"/>
      <c r="V354" s="1101"/>
      <c r="W354" s="1101"/>
      <c r="X354" s="1101"/>
      <c r="Y354" s="1102"/>
      <c r="Z354" s="1102"/>
      <c r="AA354" s="1101"/>
    </row>
    <row r="355" ht="15.75" customHeight="1">
      <c r="A355" s="213"/>
      <c r="B355" s="213"/>
      <c r="C355" s="1101"/>
      <c r="D355" s="1101"/>
      <c r="E355" s="1101"/>
      <c r="F355" s="1101"/>
      <c r="G355" s="1101"/>
      <c r="H355" s="1101"/>
      <c r="I355" s="1101"/>
      <c r="J355" s="1101"/>
      <c r="K355" s="1101"/>
      <c r="L355" s="1101"/>
      <c r="M355" s="1101"/>
      <c r="N355" s="1101"/>
      <c r="O355" s="1101"/>
      <c r="P355" s="1101"/>
      <c r="Q355" s="1101"/>
      <c r="R355" s="1101"/>
      <c r="S355" s="1101"/>
      <c r="T355" s="1101"/>
      <c r="U355" s="1101"/>
      <c r="V355" s="1101"/>
      <c r="W355" s="1101"/>
      <c r="X355" s="1101"/>
      <c r="Y355" s="1102"/>
      <c r="Z355" s="1102"/>
      <c r="AA355" s="1101"/>
    </row>
    <row r="356" ht="15.75" customHeight="1">
      <c r="A356" s="213"/>
      <c r="B356" s="213"/>
      <c r="C356" s="1101"/>
      <c r="D356" s="1101"/>
      <c r="E356" s="1101"/>
      <c r="F356" s="1101"/>
      <c r="G356" s="1101"/>
      <c r="H356" s="1101"/>
      <c r="I356" s="1101"/>
      <c r="J356" s="1101"/>
      <c r="K356" s="1101"/>
      <c r="L356" s="1101"/>
      <c r="M356" s="1101"/>
      <c r="N356" s="1101"/>
      <c r="O356" s="1101"/>
      <c r="P356" s="1101"/>
      <c r="Q356" s="1101"/>
      <c r="R356" s="1101"/>
      <c r="S356" s="1101"/>
      <c r="T356" s="1101"/>
      <c r="U356" s="1101"/>
      <c r="V356" s="1101"/>
      <c r="W356" s="1101"/>
      <c r="X356" s="1101"/>
      <c r="Y356" s="1102"/>
      <c r="Z356" s="1102"/>
      <c r="AA356" s="1101"/>
    </row>
    <row r="357" ht="15.75" customHeight="1">
      <c r="A357" s="213"/>
      <c r="B357" s="213"/>
      <c r="C357" s="1101"/>
      <c r="D357" s="1101"/>
      <c r="E357" s="1101"/>
      <c r="F357" s="1101"/>
      <c r="G357" s="1101"/>
      <c r="H357" s="1101"/>
      <c r="I357" s="1101"/>
      <c r="J357" s="1101"/>
      <c r="K357" s="1101"/>
      <c r="L357" s="1101"/>
      <c r="M357" s="1101"/>
      <c r="N357" s="1101"/>
      <c r="O357" s="1101"/>
      <c r="P357" s="1101"/>
      <c r="Q357" s="1101"/>
      <c r="R357" s="1101"/>
      <c r="S357" s="1101"/>
      <c r="T357" s="1101"/>
      <c r="U357" s="1101"/>
      <c r="V357" s="1101"/>
      <c r="W357" s="1101"/>
      <c r="X357" s="1101"/>
      <c r="Y357" s="1102"/>
      <c r="Z357" s="1102"/>
      <c r="AA357" s="1101"/>
    </row>
    <row r="358" ht="15.75" customHeight="1">
      <c r="A358" s="213"/>
      <c r="B358" s="213"/>
      <c r="C358" s="1101"/>
      <c r="D358" s="1101"/>
      <c r="E358" s="1101"/>
      <c r="F358" s="1101"/>
      <c r="G358" s="1101"/>
      <c r="H358" s="1101"/>
      <c r="I358" s="1101"/>
      <c r="J358" s="1101"/>
      <c r="K358" s="1101"/>
      <c r="L358" s="1101"/>
      <c r="M358" s="1101"/>
      <c r="N358" s="1101"/>
      <c r="O358" s="1101"/>
      <c r="P358" s="1101"/>
      <c r="Q358" s="1101"/>
      <c r="R358" s="1101"/>
      <c r="S358" s="1101"/>
      <c r="T358" s="1101"/>
      <c r="U358" s="1101"/>
      <c r="V358" s="1101"/>
      <c r="W358" s="1101"/>
      <c r="X358" s="1101"/>
      <c r="Y358" s="1102"/>
      <c r="Z358" s="1102"/>
      <c r="AA358" s="1101"/>
    </row>
    <row r="359" ht="15.75" customHeight="1">
      <c r="A359" s="213"/>
      <c r="B359" s="213"/>
      <c r="C359" s="1101"/>
      <c r="D359" s="1101"/>
      <c r="E359" s="1101"/>
      <c r="F359" s="1101"/>
      <c r="G359" s="1101"/>
      <c r="H359" s="1101"/>
      <c r="I359" s="1101"/>
      <c r="J359" s="1101"/>
      <c r="K359" s="1101"/>
      <c r="L359" s="1101"/>
      <c r="M359" s="1101"/>
      <c r="N359" s="1101"/>
      <c r="O359" s="1101"/>
      <c r="P359" s="1101"/>
      <c r="Q359" s="1101"/>
      <c r="R359" s="1101"/>
      <c r="S359" s="1101"/>
      <c r="T359" s="1101"/>
      <c r="U359" s="1101"/>
      <c r="V359" s="1101"/>
      <c r="W359" s="1101"/>
      <c r="X359" s="1101"/>
      <c r="Y359" s="1102"/>
      <c r="Z359" s="1102"/>
      <c r="AA359" s="1101"/>
    </row>
    <row r="360" ht="15.75" customHeight="1">
      <c r="A360" s="213"/>
      <c r="B360" s="213"/>
      <c r="C360" s="1101"/>
      <c r="D360" s="1101"/>
      <c r="E360" s="1101"/>
      <c r="F360" s="1101"/>
      <c r="G360" s="1101"/>
      <c r="H360" s="1101"/>
      <c r="I360" s="1101"/>
      <c r="J360" s="1101"/>
      <c r="K360" s="1101"/>
      <c r="L360" s="1101"/>
      <c r="M360" s="1101"/>
      <c r="N360" s="1101"/>
      <c r="O360" s="1101"/>
      <c r="P360" s="1101"/>
      <c r="Q360" s="1101"/>
      <c r="R360" s="1101"/>
      <c r="S360" s="1101"/>
      <c r="T360" s="1101"/>
      <c r="U360" s="1101"/>
      <c r="V360" s="1101"/>
      <c r="W360" s="1101"/>
      <c r="X360" s="1101"/>
      <c r="Y360" s="1102"/>
      <c r="Z360" s="1102"/>
      <c r="AA360" s="1101"/>
    </row>
    <row r="361" ht="15.75" customHeight="1">
      <c r="A361" s="213"/>
      <c r="B361" s="213"/>
      <c r="C361" s="1101"/>
      <c r="D361" s="1101"/>
      <c r="E361" s="1101"/>
      <c r="F361" s="1101"/>
      <c r="G361" s="1101"/>
      <c r="H361" s="1101"/>
      <c r="I361" s="1101"/>
      <c r="J361" s="1101"/>
      <c r="K361" s="1101"/>
      <c r="L361" s="1101"/>
      <c r="M361" s="1101"/>
      <c r="N361" s="1101"/>
      <c r="O361" s="1101"/>
      <c r="P361" s="1101"/>
      <c r="Q361" s="1101"/>
      <c r="R361" s="1101"/>
      <c r="S361" s="1101"/>
      <c r="T361" s="1101"/>
      <c r="U361" s="1101"/>
      <c r="V361" s="1101"/>
      <c r="W361" s="1101"/>
      <c r="X361" s="1101"/>
      <c r="Y361" s="1102"/>
      <c r="Z361" s="1102"/>
      <c r="AA361" s="1101"/>
    </row>
    <row r="362" ht="15.75" customHeight="1">
      <c r="A362" s="213"/>
      <c r="B362" s="213"/>
      <c r="C362" s="1101"/>
      <c r="D362" s="1101"/>
      <c r="E362" s="1101"/>
      <c r="F362" s="1101"/>
      <c r="G362" s="1101"/>
      <c r="H362" s="1101"/>
      <c r="I362" s="1101"/>
      <c r="J362" s="1101"/>
      <c r="K362" s="1101"/>
      <c r="L362" s="1101"/>
      <c r="M362" s="1101"/>
      <c r="N362" s="1101"/>
      <c r="O362" s="1101"/>
      <c r="P362" s="1101"/>
      <c r="Q362" s="1101"/>
      <c r="R362" s="1101"/>
      <c r="S362" s="1101"/>
      <c r="T362" s="1101"/>
      <c r="U362" s="1101"/>
      <c r="V362" s="1101"/>
      <c r="W362" s="1101"/>
      <c r="X362" s="1101"/>
      <c r="Y362" s="1102"/>
      <c r="Z362" s="1102"/>
      <c r="AA362" s="1101"/>
    </row>
    <row r="363" ht="15.75" customHeight="1">
      <c r="A363" s="213"/>
      <c r="B363" s="213"/>
      <c r="C363" s="1101"/>
      <c r="D363" s="1101"/>
      <c r="E363" s="1101"/>
      <c r="F363" s="1101"/>
      <c r="G363" s="1101"/>
      <c r="H363" s="1101"/>
      <c r="I363" s="1101"/>
      <c r="J363" s="1101"/>
      <c r="K363" s="1101"/>
      <c r="L363" s="1101"/>
      <c r="M363" s="1101"/>
      <c r="N363" s="1101"/>
      <c r="O363" s="1101"/>
      <c r="P363" s="1101"/>
      <c r="Q363" s="1101"/>
      <c r="R363" s="1101"/>
      <c r="S363" s="1101"/>
      <c r="T363" s="1101"/>
      <c r="U363" s="1101"/>
      <c r="V363" s="1101"/>
      <c r="W363" s="1101"/>
      <c r="X363" s="1101"/>
      <c r="Y363" s="1102"/>
      <c r="Z363" s="1102"/>
      <c r="AA363" s="1101"/>
    </row>
    <row r="364" ht="15.75" customHeight="1">
      <c r="A364" s="213"/>
      <c r="B364" s="213"/>
      <c r="C364" s="1101"/>
      <c r="D364" s="1101"/>
      <c r="E364" s="1101"/>
      <c r="F364" s="1101"/>
      <c r="G364" s="1101"/>
      <c r="H364" s="1101"/>
      <c r="I364" s="1101"/>
      <c r="J364" s="1101"/>
      <c r="K364" s="1101"/>
      <c r="L364" s="1101"/>
      <c r="M364" s="1101"/>
      <c r="N364" s="1101"/>
      <c r="O364" s="1101"/>
      <c r="P364" s="1101"/>
      <c r="Q364" s="1101"/>
      <c r="R364" s="1101"/>
      <c r="S364" s="1101"/>
      <c r="T364" s="1101"/>
      <c r="U364" s="1101"/>
      <c r="V364" s="1101"/>
      <c r="W364" s="1101"/>
      <c r="X364" s="1101"/>
      <c r="Y364" s="1102"/>
      <c r="Z364" s="1102"/>
      <c r="AA364" s="1101"/>
    </row>
    <row r="365" ht="15.75" customHeight="1">
      <c r="A365" s="213"/>
      <c r="B365" s="213"/>
      <c r="C365" s="1101"/>
      <c r="D365" s="1101"/>
      <c r="E365" s="1101"/>
      <c r="F365" s="1101"/>
      <c r="G365" s="1101"/>
      <c r="H365" s="1101"/>
      <c r="I365" s="1101"/>
      <c r="J365" s="1101"/>
      <c r="K365" s="1101"/>
      <c r="L365" s="1101"/>
      <c r="M365" s="1101"/>
      <c r="N365" s="1101"/>
      <c r="O365" s="1101"/>
      <c r="P365" s="1101"/>
      <c r="Q365" s="1101"/>
      <c r="R365" s="1101"/>
      <c r="S365" s="1101"/>
      <c r="T365" s="1101"/>
      <c r="U365" s="1101"/>
      <c r="V365" s="1101"/>
      <c r="W365" s="1101"/>
      <c r="X365" s="1101"/>
      <c r="Y365" s="1102"/>
      <c r="Z365" s="1102"/>
      <c r="AA365" s="1101"/>
    </row>
    <row r="366" ht="15.75" customHeight="1">
      <c r="A366" s="213"/>
      <c r="B366" s="213"/>
      <c r="C366" s="1101"/>
      <c r="D366" s="1101"/>
      <c r="E366" s="1101"/>
      <c r="F366" s="1101"/>
      <c r="G366" s="1101"/>
      <c r="H366" s="1101"/>
      <c r="I366" s="1101"/>
      <c r="J366" s="1101"/>
      <c r="K366" s="1101"/>
      <c r="L366" s="1101"/>
      <c r="M366" s="1101"/>
      <c r="N366" s="1101"/>
      <c r="O366" s="1101"/>
      <c r="P366" s="1101"/>
      <c r="Q366" s="1101"/>
      <c r="R366" s="1101"/>
      <c r="S366" s="1101"/>
      <c r="T366" s="1101"/>
      <c r="U366" s="1101"/>
      <c r="V366" s="1101"/>
      <c r="W366" s="1101"/>
      <c r="X366" s="1101"/>
      <c r="Y366" s="1102"/>
      <c r="Z366" s="1102"/>
      <c r="AA366" s="1101"/>
    </row>
    <row r="367" ht="15.75" customHeight="1">
      <c r="A367" s="213"/>
      <c r="B367" s="213"/>
      <c r="C367" s="1101"/>
      <c r="D367" s="1101"/>
      <c r="E367" s="1101"/>
      <c r="F367" s="1101"/>
      <c r="G367" s="1101"/>
      <c r="H367" s="1101"/>
      <c r="I367" s="1101"/>
      <c r="J367" s="1101"/>
      <c r="K367" s="1101"/>
      <c r="L367" s="1101"/>
      <c r="M367" s="1101"/>
      <c r="N367" s="1101"/>
      <c r="O367" s="1101"/>
      <c r="P367" s="1101"/>
      <c r="Q367" s="1101"/>
      <c r="R367" s="1101"/>
      <c r="S367" s="1101"/>
      <c r="T367" s="1101"/>
      <c r="U367" s="1101"/>
      <c r="V367" s="1101"/>
      <c r="W367" s="1101"/>
      <c r="X367" s="1101"/>
      <c r="Y367" s="1102"/>
      <c r="Z367" s="1102"/>
      <c r="AA367" s="1101"/>
    </row>
    <row r="368" ht="15.75" customHeight="1">
      <c r="A368" s="213"/>
      <c r="B368" s="213"/>
      <c r="C368" s="1101"/>
      <c r="D368" s="1101"/>
      <c r="E368" s="1101"/>
      <c r="F368" s="1101"/>
      <c r="G368" s="1101"/>
      <c r="H368" s="1101"/>
      <c r="I368" s="1101"/>
      <c r="J368" s="1101"/>
      <c r="K368" s="1101"/>
      <c r="L368" s="1101"/>
      <c r="M368" s="1101"/>
      <c r="N368" s="1101"/>
      <c r="O368" s="1101"/>
      <c r="P368" s="1101"/>
      <c r="Q368" s="1101"/>
      <c r="R368" s="1101"/>
      <c r="S368" s="1101"/>
      <c r="T368" s="1101"/>
      <c r="U368" s="1101"/>
      <c r="V368" s="1101"/>
      <c r="W368" s="1101"/>
      <c r="X368" s="1101"/>
      <c r="Y368" s="1102"/>
      <c r="Z368" s="1102"/>
      <c r="AA368" s="1101"/>
    </row>
    <row r="369" ht="15.75" customHeight="1">
      <c r="A369" s="213"/>
      <c r="B369" s="213"/>
      <c r="C369" s="1101"/>
      <c r="D369" s="1101"/>
      <c r="E369" s="1101"/>
      <c r="F369" s="1101"/>
      <c r="G369" s="1101"/>
      <c r="H369" s="1101"/>
      <c r="I369" s="1101"/>
      <c r="J369" s="1101"/>
      <c r="K369" s="1101"/>
      <c r="L369" s="1101"/>
      <c r="M369" s="1101"/>
      <c r="N369" s="1101"/>
      <c r="O369" s="1101"/>
      <c r="P369" s="1101"/>
      <c r="Q369" s="1101"/>
      <c r="R369" s="1101"/>
      <c r="S369" s="1101"/>
      <c r="T369" s="1101"/>
      <c r="U369" s="1101"/>
      <c r="V369" s="1101"/>
      <c r="W369" s="1101"/>
      <c r="X369" s="1101"/>
      <c r="Y369" s="1102"/>
      <c r="Z369" s="1102"/>
      <c r="AA369" s="1101"/>
    </row>
    <row r="370" ht="15.75" customHeight="1">
      <c r="A370" s="213"/>
      <c r="B370" s="213"/>
      <c r="C370" s="1101"/>
      <c r="D370" s="1101"/>
      <c r="E370" s="1101"/>
      <c r="F370" s="1101"/>
      <c r="G370" s="1101"/>
      <c r="H370" s="1101"/>
      <c r="I370" s="1101"/>
      <c r="J370" s="1101"/>
      <c r="K370" s="1101"/>
      <c r="L370" s="1101"/>
      <c r="M370" s="1101"/>
      <c r="N370" s="1101"/>
      <c r="O370" s="1101"/>
      <c r="P370" s="1101"/>
      <c r="Q370" s="1101"/>
      <c r="R370" s="1101"/>
      <c r="S370" s="1101"/>
      <c r="T370" s="1101"/>
      <c r="U370" s="1101"/>
      <c r="V370" s="1101"/>
      <c r="W370" s="1101"/>
      <c r="X370" s="1101"/>
      <c r="Y370" s="1102"/>
      <c r="Z370" s="1102"/>
      <c r="AA370" s="1101"/>
    </row>
    <row r="371" ht="15.75" customHeight="1">
      <c r="A371" s="213"/>
      <c r="B371" s="213"/>
      <c r="C371" s="1101"/>
      <c r="D371" s="1101"/>
      <c r="E371" s="1101"/>
      <c r="F371" s="1101"/>
      <c r="G371" s="1101"/>
      <c r="H371" s="1101"/>
      <c r="I371" s="1101"/>
      <c r="J371" s="1101"/>
      <c r="K371" s="1101"/>
      <c r="L371" s="1101"/>
      <c r="M371" s="1101"/>
      <c r="N371" s="1101"/>
      <c r="O371" s="1101"/>
      <c r="P371" s="1101"/>
      <c r="Q371" s="1101"/>
      <c r="R371" s="1101"/>
      <c r="S371" s="1101"/>
      <c r="T371" s="1101"/>
      <c r="U371" s="1101"/>
      <c r="V371" s="1101"/>
      <c r="W371" s="1101"/>
      <c r="X371" s="1101"/>
      <c r="Y371" s="1102"/>
      <c r="Z371" s="1102"/>
      <c r="AA371" s="1101"/>
    </row>
    <row r="372" ht="15.75" customHeight="1">
      <c r="A372" s="213"/>
      <c r="B372" s="213"/>
      <c r="C372" s="1101"/>
      <c r="D372" s="1101"/>
      <c r="E372" s="1101"/>
      <c r="F372" s="1101"/>
      <c r="G372" s="1101"/>
      <c r="H372" s="1101"/>
      <c r="I372" s="1101"/>
      <c r="J372" s="1101"/>
      <c r="K372" s="1101"/>
      <c r="L372" s="1101"/>
      <c r="M372" s="1101"/>
      <c r="N372" s="1101"/>
      <c r="O372" s="1101"/>
      <c r="P372" s="1101"/>
      <c r="Q372" s="1101"/>
      <c r="R372" s="1101"/>
      <c r="S372" s="1101"/>
      <c r="T372" s="1101"/>
      <c r="U372" s="1101"/>
      <c r="V372" s="1101"/>
      <c r="W372" s="1101"/>
      <c r="X372" s="1101"/>
      <c r="Y372" s="1102"/>
      <c r="Z372" s="1102"/>
      <c r="AA372" s="1101"/>
    </row>
    <row r="373" ht="15.75" customHeight="1">
      <c r="A373" s="213"/>
      <c r="B373" s="213"/>
      <c r="C373" s="1101"/>
      <c r="D373" s="1101"/>
      <c r="E373" s="1101"/>
      <c r="F373" s="1101"/>
      <c r="G373" s="1101"/>
      <c r="H373" s="1101"/>
      <c r="I373" s="1101"/>
      <c r="J373" s="1101"/>
      <c r="K373" s="1101"/>
      <c r="L373" s="1101"/>
      <c r="M373" s="1101"/>
      <c r="N373" s="1101"/>
      <c r="O373" s="1101"/>
      <c r="P373" s="1101"/>
      <c r="Q373" s="1101"/>
      <c r="R373" s="1101"/>
      <c r="S373" s="1101"/>
      <c r="T373" s="1101"/>
      <c r="U373" s="1101"/>
      <c r="V373" s="1101"/>
      <c r="W373" s="1101"/>
      <c r="X373" s="1101"/>
      <c r="Y373" s="1102"/>
      <c r="Z373" s="1102"/>
      <c r="AA373" s="1101"/>
    </row>
    <row r="374" ht="15.75" customHeight="1">
      <c r="A374" s="213"/>
      <c r="B374" s="213"/>
      <c r="C374" s="1101"/>
      <c r="D374" s="1101"/>
      <c r="E374" s="1101"/>
      <c r="F374" s="1101"/>
      <c r="G374" s="1101"/>
      <c r="H374" s="1101"/>
      <c r="I374" s="1101"/>
      <c r="J374" s="1101"/>
      <c r="K374" s="1101"/>
      <c r="L374" s="1101"/>
      <c r="M374" s="1101"/>
      <c r="N374" s="1101"/>
      <c r="O374" s="1101"/>
      <c r="P374" s="1101"/>
      <c r="Q374" s="1101"/>
      <c r="R374" s="1101"/>
      <c r="S374" s="1101"/>
      <c r="T374" s="1101"/>
      <c r="U374" s="1101"/>
      <c r="V374" s="1101"/>
      <c r="W374" s="1101"/>
      <c r="X374" s="1101"/>
      <c r="Y374" s="1102"/>
      <c r="Z374" s="1102"/>
      <c r="AA374" s="1101"/>
    </row>
    <row r="375" ht="15.75" customHeight="1">
      <c r="A375" s="213"/>
      <c r="B375" s="213"/>
      <c r="C375" s="1101"/>
      <c r="D375" s="1101"/>
      <c r="E375" s="1101"/>
      <c r="F375" s="1101"/>
      <c r="G375" s="1101"/>
      <c r="H375" s="1101"/>
      <c r="I375" s="1101"/>
      <c r="J375" s="1101"/>
      <c r="K375" s="1101"/>
      <c r="L375" s="1101"/>
      <c r="M375" s="1101"/>
      <c r="N375" s="1101"/>
      <c r="O375" s="1101"/>
      <c r="P375" s="1101"/>
      <c r="Q375" s="1101"/>
      <c r="R375" s="1101"/>
      <c r="S375" s="1101"/>
      <c r="T375" s="1101"/>
      <c r="U375" s="1101"/>
      <c r="V375" s="1101"/>
      <c r="W375" s="1101"/>
      <c r="X375" s="1101"/>
      <c r="Y375" s="1102"/>
      <c r="Z375" s="1102"/>
      <c r="AA375" s="1101"/>
    </row>
    <row r="376" ht="15.75" customHeight="1">
      <c r="A376" s="213"/>
      <c r="B376" s="213"/>
      <c r="C376" s="1101"/>
      <c r="D376" s="1101"/>
      <c r="E376" s="1101"/>
      <c r="F376" s="1101"/>
      <c r="G376" s="1101"/>
      <c r="H376" s="1101"/>
      <c r="I376" s="1101"/>
      <c r="J376" s="1101"/>
      <c r="K376" s="1101"/>
      <c r="L376" s="1101"/>
      <c r="M376" s="1101"/>
      <c r="N376" s="1101"/>
      <c r="O376" s="1101"/>
      <c r="P376" s="1101"/>
      <c r="Q376" s="1101"/>
      <c r="R376" s="1101"/>
      <c r="S376" s="1101"/>
      <c r="T376" s="1101"/>
      <c r="U376" s="1101"/>
      <c r="V376" s="1101"/>
      <c r="W376" s="1101"/>
      <c r="X376" s="1101"/>
      <c r="Y376" s="1102"/>
      <c r="Z376" s="1102"/>
      <c r="AA376" s="1101"/>
    </row>
    <row r="377" ht="15.75" customHeight="1">
      <c r="A377" s="213"/>
      <c r="B377" s="213"/>
      <c r="C377" s="1101"/>
      <c r="D377" s="1101"/>
      <c r="E377" s="1101"/>
      <c r="F377" s="1101"/>
      <c r="G377" s="1101"/>
      <c r="H377" s="1101"/>
      <c r="I377" s="1101"/>
      <c r="J377" s="1101"/>
      <c r="K377" s="1101"/>
      <c r="L377" s="1101"/>
      <c r="M377" s="1101"/>
      <c r="N377" s="1101"/>
      <c r="O377" s="1101"/>
      <c r="P377" s="1101"/>
      <c r="Q377" s="1101"/>
      <c r="R377" s="1101"/>
      <c r="S377" s="1101"/>
      <c r="T377" s="1101"/>
      <c r="U377" s="1101"/>
      <c r="V377" s="1101"/>
      <c r="W377" s="1101"/>
      <c r="X377" s="1101"/>
      <c r="Y377" s="1102"/>
      <c r="Z377" s="1102"/>
      <c r="AA377" s="1101"/>
    </row>
    <row r="378" ht="15.75" customHeight="1">
      <c r="A378" s="213"/>
      <c r="B378" s="213"/>
      <c r="C378" s="1101"/>
      <c r="D378" s="1101"/>
      <c r="E378" s="1101"/>
      <c r="F378" s="1101"/>
      <c r="G378" s="1101"/>
      <c r="H378" s="1101"/>
      <c r="I378" s="1101"/>
      <c r="J378" s="1101"/>
      <c r="K378" s="1101"/>
      <c r="L378" s="1101"/>
      <c r="M378" s="1101"/>
      <c r="N378" s="1101"/>
      <c r="O378" s="1101"/>
      <c r="P378" s="1101"/>
      <c r="Q378" s="1101"/>
      <c r="R378" s="1101"/>
      <c r="S378" s="1101"/>
      <c r="T378" s="1101"/>
      <c r="U378" s="1101"/>
      <c r="V378" s="1101"/>
      <c r="W378" s="1101"/>
      <c r="X378" s="1101"/>
      <c r="Y378" s="1102"/>
      <c r="Z378" s="1102"/>
      <c r="AA378" s="1101"/>
    </row>
    <row r="379" ht="15.75" customHeight="1">
      <c r="A379" s="213"/>
      <c r="B379" s="213"/>
      <c r="C379" s="1101"/>
      <c r="D379" s="1101"/>
      <c r="E379" s="1101"/>
      <c r="F379" s="1101"/>
      <c r="G379" s="1101"/>
      <c r="H379" s="1101"/>
      <c r="I379" s="1101"/>
      <c r="J379" s="1101"/>
      <c r="K379" s="1101"/>
      <c r="L379" s="1101"/>
      <c r="M379" s="1101"/>
      <c r="N379" s="1101"/>
      <c r="O379" s="1101"/>
      <c r="P379" s="1101"/>
      <c r="Q379" s="1101"/>
      <c r="R379" s="1101"/>
      <c r="S379" s="1101"/>
      <c r="T379" s="1101"/>
      <c r="U379" s="1101"/>
      <c r="V379" s="1101"/>
      <c r="W379" s="1101"/>
      <c r="X379" s="1101"/>
      <c r="Y379" s="1102"/>
      <c r="Z379" s="1102"/>
      <c r="AA379" s="1101"/>
    </row>
    <row r="380" ht="15.75" customHeight="1">
      <c r="A380" s="213"/>
      <c r="B380" s="213"/>
      <c r="C380" s="1101"/>
      <c r="D380" s="1101"/>
      <c r="E380" s="1101"/>
      <c r="F380" s="1101"/>
      <c r="G380" s="1101"/>
      <c r="H380" s="1101"/>
      <c r="I380" s="1101"/>
      <c r="J380" s="1101"/>
      <c r="K380" s="1101"/>
      <c r="L380" s="1101"/>
      <c r="M380" s="1101"/>
      <c r="N380" s="1101"/>
      <c r="O380" s="1101"/>
      <c r="P380" s="1101"/>
      <c r="Q380" s="1101"/>
      <c r="R380" s="1101"/>
      <c r="S380" s="1101"/>
      <c r="T380" s="1101"/>
      <c r="U380" s="1101"/>
      <c r="V380" s="1101"/>
      <c r="W380" s="1101"/>
      <c r="X380" s="1101"/>
      <c r="Y380" s="1102"/>
      <c r="Z380" s="1102"/>
      <c r="AA380" s="1101"/>
    </row>
    <row r="381" ht="15.75" customHeight="1">
      <c r="A381" s="213"/>
      <c r="B381" s="213"/>
      <c r="C381" s="1101"/>
      <c r="D381" s="1101"/>
      <c r="E381" s="1101"/>
      <c r="F381" s="1101"/>
      <c r="G381" s="1101"/>
      <c r="H381" s="1101"/>
      <c r="I381" s="1101"/>
      <c r="J381" s="1101"/>
      <c r="K381" s="1101"/>
      <c r="L381" s="1101"/>
      <c r="M381" s="1101"/>
      <c r="N381" s="1101"/>
      <c r="O381" s="1101"/>
      <c r="P381" s="1101"/>
      <c r="Q381" s="1101"/>
      <c r="R381" s="1101"/>
      <c r="S381" s="1101"/>
      <c r="T381" s="1101"/>
      <c r="U381" s="1101"/>
      <c r="V381" s="1101"/>
      <c r="W381" s="1101"/>
      <c r="X381" s="1101"/>
      <c r="Y381" s="1102"/>
      <c r="Z381" s="1102"/>
      <c r="AA381" s="1101"/>
    </row>
    <row r="382" ht="15.75" customHeight="1">
      <c r="A382" s="213"/>
      <c r="B382" s="213"/>
      <c r="C382" s="1101"/>
      <c r="D382" s="1101"/>
      <c r="E382" s="1101"/>
      <c r="F382" s="1101"/>
      <c r="G382" s="1101"/>
      <c r="H382" s="1101"/>
      <c r="I382" s="1101"/>
      <c r="J382" s="1101"/>
      <c r="K382" s="1101"/>
      <c r="L382" s="1101"/>
      <c r="M382" s="1101"/>
      <c r="N382" s="1101"/>
      <c r="O382" s="1101"/>
      <c r="P382" s="1101"/>
      <c r="Q382" s="1101"/>
      <c r="R382" s="1101"/>
      <c r="S382" s="1101"/>
      <c r="T382" s="1101"/>
      <c r="U382" s="1101"/>
      <c r="V382" s="1101"/>
      <c r="W382" s="1101"/>
      <c r="X382" s="1101"/>
      <c r="Y382" s="1102"/>
      <c r="Z382" s="1102"/>
      <c r="AA382" s="1101"/>
    </row>
    <row r="383" ht="15.75" customHeight="1">
      <c r="A383" s="213"/>
      <c r="B383" s="213"/>
      <c r="C383" s="1101"/>
      <c r="D383" s="1101"/>
      <c r="E383" s="1101"/>
      <c r="F383" s="1101"/>
      <c r="G383" s="1101"/>
      <c r="H383" s="1101"/>
      <c r="I383" s="1101"/>
      <c r="J383" s="1101"/>
      <c r="K383" s="1101"/>
      <c r="L383" s="1101"/>
      <c r="M383" s="1101"/>
      <c r="N383" s="1101"/>
      <c r="O383" s="1101"/>
      <c r="P383" s="1101"/>
      <c r="Q383" s="1101"/>
      <c r="R383" s="1101"/>
      <c r="S383" s="1101"/>
      <c r="T383" s="1101"/>
      <c r="U383" s="1101"/>
      <c r="V383" s="1101"/>
      <c r="W383" s="1101"/>
      <c r="X383" s="1101"/>
      <c r="Y383" s="1102"/>
      <c r="Z383" s="1102"/>
      <c r="AA383" s="1101"/>
    </row>
    <row r="384" ht="15.75" customHeight="1">
      <c r="A384" s="213"/>
      <c r="B384" s="213"/>
      <c r="C384" s="1101"/>
      <c r="D384" s="1101"/>
      <c r="E384" s="1101"/>
      <c r="F384" s="1101"/>
      <c r="G384" s="1101"/>
      <c r="H384" s="1101"/>
      <c r="I384" s="1101"/>
      <c r="J384" s="1101"/>
      <c r="K384" s="1101"/>
      <c r="L384" s="1101"/>
      <c r="M384" s="1101"/>
      <c r="N384" s="1101"/>
      <c r="O384" s="1101"/>
      <c r="P384" s="1101"/>
      <c r="Q384" s="1101"/>
      <c r="R384" s="1101"/>
      <c r="S384" s="1101"/>
      <c r="T384" s="1101"/>
      <c r="U384" s="1101"/>
      <c r="V384" s="1101"/>
      <c r="W384" s="1101"/>
      <c r="X384" s="1101"/>
      <c r="Y384" s="1102"/>
      <c r="Z384" s="1102"/>
      <c r="AA384" s="1101"/>
    </row>
    <row r="385" ht="15.75" customHeight="1">
      <c r="A385" s="213"/>
      <c r="B385" s="213"/>
      <c r="C385" s="1101"/>
      <c r="D385" s="1101"/>
      <c r="E385" s="1101"/>
      <c r="F385" s="1101"/>
      <c r="G385" s="1101"/>
      <c r="H385" s="1101"/>
      <c r="I385" s="1101"/>
      <c r="J385" s="1101"/>
      <c r="K385" s="1101"/>
      <c r="L385" s="1101"/>
      <c r="M385" s="1101"/>
      <c r="N385" s="1101"/>
      <c r="O385" s="1101"/>
      <c r="P385" s="1101"/>
      <c r="Q385" s="1101"/>
      <c r="R385" s="1101"/>
      <c r="S385" s="1101"/>
      <c r="T385" s="1101"/>
      <c r="U385" s="1101"/>
      <c r="V385" s="1101"/>
      <c r="W385" s="1101"/>
      <c r="X385" s="1101"/>
      <c r="Y385" s="1102"/>
      <c r="Z385" s="1102"/>
      <c r="AA385" s="1101"/>
    </row>
    <row r="386" ht="15.75" customHeight="1">
      <c r="A386" s="213"/>
      <c r="B386" s="213"/>
      <c r="C386" s="1101"/>
      <c r="D386" s="1101"/>
      <c r="E386" s="1101"/>
      <c r="F386" s="1101"/>
      <c r="G386" s="1101"/>
      <c r="H386" s="1101"/>
      <c r="I386" s="1101"/>
      <c r="J386" s="1101"/>
      <c r="K386" s="1101"/>
      <c r="L386" s="1101"/>
      <c r="M386" s="1101"/>
      <c r="N386" s="1101"/>
      <c r="O386" s="1101"/>
      <c r="P386" s="1101"/>
      <c r="Q386" s="1101"/>
      <c r="R386" s="1101"/>
      <c r="S386" s="1101"/>
      <c r="T386" s="1101"/>
      <c r="U386" s="1101"/>
      <c r="V386" s="1101"/>
      <c r="W386" s="1101"/>
      <c r="X386" s="1101"/>
      <c r="Y386" s="1102"/>
      <c r="Z386" s="1102"/>
      <c r="AA386" s="1101"/>
    </row>
    <row r="387" ht="15.75" customHeight="1">
      <c r="A387" s="213"/>
      <c r="B387" s="213"/>
      <c r="C387" s="1101"/>
      <c r="D387" s="1101"/>
      <c r="E387" s="1101"/>
      <c r="F387" s="1101"/>
      <c r="G387" s="1101"/>
      <c r="H387" s="1101"/>
      <c r="I387" s="1101"/>
      <c r="J387" s="1101"/>
      <c r="K387" s="1101"/>
      <c r="L387" s="1101"/>
      <c r="M387" s="1101"/>
      <c r="N387" s="1101"/>
      <c r="O387" s="1101"/>
      <c r="P387" s="1101"/>
      <c r="Q387" s="1101"/>
      <c r="R387" s="1101"/>
      <c r="S387" s="1101"/>
      <c r="T387" s="1101"/>
      <c r="U387" s="1101"/>
      <c r="V387" s="1101"/>
      <c r="W387" s="1101"/>
      <c r="X387" s="1101"/>
      <c r="Y387" s="1102"/>
      <c r="Z387" s="1102"/>
      <c r="AA387" s="1101"/>
    </row>
    <row r="388" ht="15.75" customHeight="1">
      <c r="A388" s="213"/>
      <c r="B388" s="213"/>
      <c r="C388" s="1101"/>
      <c r="D388" s="1101"/>
      <c r="E388" s="1101"/>
      <c r="F388" s="1101"/>
      <c r="G388" s="1101"/>
      <c r="H388" s="1101"/>
      <c r="I388" s="1101"/>
      <c r="J388" s="1101"/>
      <c r="K388" s="1101"/>
      <c r="L388" s="1101"/>
      <c r="M388" s="1101"/>
      <c r="N388" s="1101"/>
      <c r="O388" s="1101"/>
      <c r="P388" s="1101"/>
      <c r="Q388" s="1101"/>
      <c r="R388" s="1101"/>
      <c r="S388" s="1101"/>
      <c r="T388" s="1101"/>
      <c r="U388" s="1101"/>
      <c r="V388" s="1101"/>
      <c r="W388" s="1101"/>
      <c r="X388" s="1101"/>
      <c r="Y388" s="1102"/>
      <c r="Z388" s="1102"/>
      <c r="AA388" s="1101"/>
    </row>
    <row r="389" ht="15.75" customHeight="1">
      <c r="A389" s="213"/>
      <c r="B389" s="213"/>
      <c r="C389" s="1101"/>
      <c r="D389" s="1101"/>
      <c r="E389" s="1101"/>
      <c r="F389" s="1101"/>
      <c r="G389" s="1101"/>
      <c r="H389" s="1101"/>
      <c r="I389" s="1101"/>
      <c r="J389" s="1101"/>
      <c r="K389" s="1101"/>
      <c r="L389" s="1101"/>
      <c r="M389" s="1101"/>
      <c r="N389" s="1101"/>
      <c r="O389" s="1101"/>
      <c r="P389" s="1101"/>
      <c r="Q389" s="1101"/>
      <c r="R389" s="1101"/>
      <c r="S389" s="1101"/>
      <c r="T389" s="1101"/>
      <c r="U389" s="1101"/>
      <c r="V389" s="1101"/>
      <c r="W389" s="1101"/>
      <c r="X389" s="1101"/>
      <c r="Y389" s="1102"/>
      <c r="Z389" s="1102"/>
      <c r="AA389" s="1101"/>
    </row>
    <row r="390" ht="15.75" customHeight="1">
      <c r="A390" s="213"/>
      <c r="B390" s="213"/>
      <c r="C390" s="1101"/>
      <c r="D390" s="1101"/>
      <c r="E390" s="1101"/>
      <c r="F390" s="1101"/>
      <c r="G390" s="1101"/>
      <c r="H390" s="1101"/>
      <c r="I390" s="1101"/>
      <c r="J390" s="1101"/>
      <c r="K390" s="1101"/>
      <c r="L390" s="1101"/>
      <c r="M390" s="1101"/>
      <c r="N390" s="1101"/>
      <c r="O390" s="1101"/>
      <c r="P390" s="1101"/>
      <c r="Q390" s="1101"/>
      <c r="R390" s="1101"/>
      <c r="S390" s="1101"/>
      <c r="T390" s="1101"/>
      <c r="U390" s="1101"/>
      <c r="V390" s="1101"/>
      <c r="W390" s="1101"/>
      <c r="X390" s="1101"/>
      <c r="Y390" s="1102"/>
      <c r="Z390" s="1102"/>
      <c r="AA390" s="1101"/>
    </row>
    <row r="391" ht="15.75" customHeight="1">
      <c r="A391" s="213"/>
      <c r="B391" s="213"/>
      <c r="C391" s="1101"/>
      <c r="D391" s="1101"/>
      <c r="E391" s="1101"/>
      <c r="F391" s="1101"/>
      <c r="G391" s="1101"/>
      <c r="H391" s="1101"/>
      <c r="I391" s="1101"/>
      <c r="J391" s="1101"/>
      <c r="K391" s="1101"/>
      <c r="L391" s="1101"/>
      <c r="M391" s="1101"/>
      <c r="N391" s="1101"/>
      <c r="O391" s="1101"/>
      <c r="P391" s="1101"/>
      <c r="Q391" s="1101"/>
      <c r="R391" s="1101"/>
      <c r="S391" s="1101"/>
      <c r="T391" s="1101"/>
      <c r="U391" s="1101"/>
      <c r="V391" s="1101"/>
      <c r="W391" s="1101"/>
      <c r="X391" s="1101"/>
      <c r="Y391" s="1102"/>
      <c r="Z391" s="1102"/>
      <c r="AA391" s="1101"/>
    </row>
    <row r="392" ht="15.75" customHeight="1">
      <c r="A392" s="213"/>
      <c r="B392" s="213"/>
      <c r="C392" s="1101"/>
      <c r="D392" s="1101"/>
      <c r="E392" s="1101"/>
      <c r="F392" s="1101"/>
      <c r="G392" s="1101"/>
      <c r="H392" s="1101"/>
      <c r="I392" s="1101"/>
      <c r="J392" s="1101"/>
      <c r="K392" s="1101"/>
      <c r="L392" s="1101"/>
      <c r="M392" s="1101"/>
      <c r="N392" s="1101"/>
      <c r="O392" s="1101"/>
      <c r="P392" s="1101"/>
      <c r="Q392" s="1101"/>
      <c r="R392" s="1101"/>
      <c r="S392" s="1101"/>
      <c r="T392" s="1101"/>
      <c r="U392" s="1101"/>
      <c r="V392" s="1101"/>
      <c r="W392" s="1101"/>
      <c r="X392" s="1101"/>
      <c r="Y392" s="1102"/>
      <c r="Z392" s="1102"/>
      <c r="AA392" s="1101"/>
    </row>
    <row r="393" ht="15.75" customHeight="1">
      <c r="A393" s="213"/>
      <c r="B393" s="213"/>
      <c r="C393" s="1101"/>
      <c r="D393" s="1101"/>
      <c r="E393" s="1101"/>
      <c r="F393" s="1101"/>
      <c r="G393" s="1101"/>
      <c r="H393" s="1101"/>
      <c r="I393" s="1101"/>
      <c r="J393" s="1101"/>
      <c r="K393" s="1101"/>
      <c r="L393" s="1101"/>
      <c r="M393" s="1101"/>
      <c r="N393" s="1101"/>
      <c r="O393" s="1101"/>
      <c r="P393" s="1101"/>
      <c r="Q393" s="1101"/>
      <c r="R393" s="1101"/>
      <c r="S393" s="1101"/>
      <c r="T393" s="1101"/>
      <c r="U393" s="1101"/>
      <c r="V393" s="1101"/>
      <c r="W393" s="1101"/>
      <c r="X393" s="1101"/>
      <c r="Y393" s="1102"/>
      <c r="Z393" s="1102"/>
      <c r="AA393" s="1101"/>
    </row>
    <row r="394" ht="15.75" customHeight="1">
      <c r="A394" s="213"/>
      <c r="B394" s="213"/>
      <c r="C394" s="1101"/>
      <c r="D394" s="1101"/>
      <c r="E394" s="1101"/>
      <c r="F394" s="1101"/>
      <c r="G394" s="1101"/>
      <c r="H394" s="1101"/>
      <c r="I394" s="1101"/>
      <c r="J394" s="1101"/>
      <c r="K394" s="1101"/>
      <c r="L394" s="1101"/>
      <c r="M394" s="1101"/>
      <c r="N394" s="1101"/>
      <c r="O394" s="1101"/>
      <c r="P394" s="1101"/>
      <c r="Q394" s="1101"/>
      <c r="R394" s="1101"/>
      <c r="S394" s="1101"/>
      <c r="T394" s="1101"/>
      <c r="U394" s="1101"/>
      <c r="V394" s="1101"/>
      <c r="W394" s="1101"/>
      <c r="X394" s="1101"/>
      <c r="Y394" s="1102"/>
      <c r="Z394" s="1102"/>
      <c r="AA394" s="1101"/>
    </row>
    <row r="395" ht="15.75" customHeight="1">
      <c r="A395" s="213"/>
      <c r="B395" s="213"/>
      <c r="C395" s="1101"/>
      <c r="D395" s="1101"/>
      <c r="E395" s="1101"/>
      <c r="F395" s="1101"/>
      <c r="G395" s="1101"/>
      <c r="H395" s="1101"/>
      <c r="I395" s="1101"/>
      <c r="J395" s="1101"/>
      <c r="K395" s="1101"/>
      <c r="L395" s="1101"/>
      <c r="M395" s="1101"/>
      <c r="N395" s="1101"/>
      <c r="O395" s="1101"/>
      <c r="P395" s="1101"/>
      <c r="Q395" s="1101"/>
      <c r="R395" s="1101"/>
      <c r="S395" s="1101"/>
      <c r="T395" s="1101"/>
      <c r="U395" s="1101"/>
      <c r="V395" s="1101"/>
      <c r="W395" s="1101"/>
      <c r="X395" s="1101"/>
      <c r="Y395" s="1102"/>
      <c r="Z395" s="1102"/>
      <c r="AA395" s="1101"/>
    </row>
    <row r="396" ht="15.75" customHeight="1">
      <c r="A396" s="213"/>
      <c r="B396" s="213"/>
      <c r="C396" s="1101"/>
      <c r="D396" s="1101"/>
      <c r="E396" s="1101"/>
      <c r="F396" s="1101"/>
      <c r="G396" s="1101"/>
      <c r="H396" s="1101"/>
      <c r="I396" s="1101"/>
      <c r="J396" s="1101"/>
      <c r="K396" s="1101"/>
      <c r="L396" s="1101"/>
      <c r="M396" s="1101"/>
      <c r="N396" s="1101"/>
      <c r="O396" s="1101"/>
      <c r="P396" s="1101"/>
      <c r="Q396" s="1101"/>
      <c r="R396" s="1101"/>
      <c r="S396" s="1101"/>
      <c r="T396" s="1101"/>
      <c r="U396" s="1101"/>
      <c r="V396" s="1101"/>
      <c r="W396" s="1101"/>
      <c r="X396" s="1101"/>
      <c r="Y396" s="1102"/>
      <c r="Z396" s="1102"/>
      <c r="AA396" s="1101"/>
    </row>
    <row r="397" ht="15.75" customHeight="1">
      <c r="A397" s="213"/>
      <c r="B397" s="213"/>
      <c r="C397" s="1101"/>
      <c r="D397" s="1101"/>
      <c r="E397" s="1101"/>
      <c r="F397" s="1101"/>
      <c r="G397" s="1101"/>
      <c r="H397" s="1101"/>
      <c r="I397" s="1101"/>
      <c r="J397" s="1101"/>
      <c r="K397" s="1101"/>
      <c r="L397" s="1101"/>
      <c r="M397" s="1101"/>
      <c r="N397" s="1101"/>
      <c r="O397" s="1101"/>
      <c r="P397" s="1101"/>
      <c r="Q397" s="1101"/>
      <c r="R397" s="1101"/>
      <c r="S397" s="1101"/>
      <c r="T397" s="1101"/>
      <c r="U397" s="1101"/>
      <c r="V397" s="1101"/>
      <c r="W397" s="1101"/>
      <c r="X397" s="1101"/>
      <c r="Y397" s="1102"/>
      <c r="Z397" s="1102"/>
      <c r="AA397" s="1101"/>
    </row>
    <row r="398" ht="15.75" customHeight="1">
      <c r="A398" s="213"/>
      <c r="B398" s="213"/>
      <c r="C398" s="1101"/>
      <c r="D398" s="1101"/>
      <c r="E398" s="1101"/>
      <c r="F398" s="1101"/>
      <c r="G398" s="1101"/>
      <c r="H398" s="1101"/>
      <c r="I398" s="1101"/>
      <c r="J398" s="1101"/>
      <c r="K398" s="1101"/>
      <c r="L398" s="1101"/>
      <c r="M398" s="1101"/>
      <c r="N398" s="1101"/>
      <c r="O398" s="1101"/>
      <c r="P398" s="1101"/>
      <c r="Q398" s="1101"/>
      <c r="R398" s="1101"/>
      <c r="S398" s="1101"/>
      <c r="T398" s="1101"/>
      <c r="U398" s="1101"/>
      <c r="V398" s="1101"/>
      <c r="W398" s="1101"/>
      <c r="X398" s="1101"/>
      <c r="Y398" s="1102"/>
      <c r="Z398" s="1102"/>
      <c r="AA398" s="1101"/>
    </row>
    <row r="399" ht="15.75" customHeight="1">
      <c r="A399" s="213"/>
      <c r="B399" s="213"/>
      <c r="C399" s="1101"/>
      <c r="D399" s="1101"/>
      <c r="E399" s="1101"/>
      <c r="F399" s="1101"/>
      <c r="G399" s="1101"/>
      <c r="H399" s="1101"/>
      <c r="I399" s="1101"/>
      <c r="J399" s="1101"/>
      <c r="K399" s="1101"/>
      <c r="L399" s="1101"/>
      <c r="M399" s="1101"/>
      <c r="N399" s="1101"/>
      <c r="O399" s="1101"/>
      <c r="P399" s="1101"/>
      <c r="Q399" s="1101"/>
      <c r="R399" s="1101"/>
      <c r="S399" s="1101"/>
      <c r="T399" s="1101"/>
      <c r="U399" s="1101"/>
      <c r="V399" s="1101"/>
      <c r="W399" s="1101"/>
      <c r="X399" s="1101"/>
      <c r="Y399" s="1102"/>
      <c r="Z399" s="1102"/>
      <c r="AA399" s="1101"/>
    </row>
    <row r="400" ht="15.75" customHeight="1">
      <c r="A400" s="213"/>
      <c r="B400" s="213"/>
      <c r="C400" s="1101"/>
      <c r="D400" s="1101"/>
      <c r="E400" s="1101"/>
      <c r="F400" s="1101"/>
      <c r="G400" s="1101"/>
      <c r="H400" s="1101"/>
      <c r="I400" s="1101"/>
      <c r="J400" s="1101"/>
      <c r="K400" s="1101"/>
      <c r="L400" s="1101"/>
      <c r="M400" s="1101"/>
      <c r="N400" s="1101"/>
      <c r="O400" s="1101"/>
      <c r="P400" s="1101"/>
      <c r="Q400" s="1101"/>
      <c r="R400" s="1101"/>
      <c r="S400" s="1101"/>
      <c r="T400" s="1101"/>
      <c r="U400" s="1101"/>
      <c r="V400" s="1101"/>
      <c r="W400" s="1101"/>
      <c r="X400" s="1101"/>
      <c r="Y400" s="1102"/>
      <c r="Z400" s="1102"/>
      <c r="AA400" s="1101"/>
    </row>
    <row r="401" ht="15.75" customHeight="1">
      <c r="A401" s="213"/>
      <c r="B401" s="213"/>
      <c r="C401" s="1101"/>
      <c r="D401" s="1101"/>
      <c r="E401" s="1101"/>
      <c r="F401" s="1101"/>
      <c r="G401" s="1101"/>
      <c r="H401" s="1101"/>
      <c r="I401" s="1101"/>
      <c r="J401" s="1101"/>
      <c r="K401" s="1101"/>
      <c r="L401" s="1101"/>
      <c r="M401" s="1101"/>
      <c r="N401" s="1101"/>
      <c r="O401" s="1101"/>
      <c r="P401" s="1101"/>
      <c r="Q401" s="1101"/>
      <c r="R401" s="1101"/>
      <c r="S401" s="1101"/>
      <c r="T401" s="1101"/>
      <c r="U401" s="1101"/>
      <c r="V401" s="1101"/>
      <c r="W401" s="1101"/>
      <c r="X401" s="1101"/>
      <c r="Y401" s="1102"/>
      <c r="Z401" s="1102"/>
      <c r="AA401" s="1101"/>
    </row>
    <row r="402" ht="15.75" customHeight="1">
      <c r="A402" s="213"/>
      <c r="B402" s="213"/>
      <c r="C402" s="1101"/>
      <c r="D402" s="1101"/>
      <c r="E402" s="1101"/>
      <c r="F402" s="1101"/>
      <c r="G402" s="1101"/>
      <c r="H402" s="1101"/>
      <c r="I402" s="1101"/>
      <c r="J402" s="1101"/>
      <c r="K402" s="1101"/>
      <c r="L402" s="1101"/>
      <c r="M402" s="1101"/>
      <c r="N402" s="1101"/>
      <c r="O402" s="1101"/>
      <c r="P402" s="1101"/>
      <c r="Q402" s="1101"/>
      <c r="R402" s="1101"/>
      <c r="S402" s="1101"/>
      <c r="T402" s="1101"/>
      <c r="U402" s="1101"/>
      <c r="V402" s="1101"/>
      <c r="W402" s="1101"/>
      <c r="X402" s="1101"/>
      <c r="Y402" s="1102"/>
      <c r="Z402" s="1102"/>
      <c r="AA402" s="1101"/>
    </row>
    <row r="403" ht="15.75" customHeight="1">
      <c r="A403" s="213"/>
      <c r="B403" s="213"/>
      <c r="C403" s="1101"/>
      <c r="D403" s="1101"/>
      <c r="E403" s="1101"/>
      <c r="F403" s="1101"/>
      <c r="G403" s="1101"/>
      <c r="H403" s="1101"/>
      <c r="I403" s="1101"/>
      <c r="J403" s="1101"/>
      <c r="K403" s="1101"/>
      <c r="L403" s="1101"/>
      <c r="M403" s="1101"/>
      <c r="N403" s="1101"/>
      <c r="O403" s="1101"/>
      <c r="P403" s="1101"/>
      <c r="Q403" s="1101"/>
      <c r="R403" s="1101"/>
      <c r="S403" s="1101"/>
      <c r="T403" s="1101"/>
      <c r="U403" s="1101"/>
      <c r="V403" s="1101"/>
      <c r="W403" s="1101"/>
      <c r="X403" s="1101"/>
      <c r="Y403" s="1102"/>
      <c r="Z403" s="1102"/>
      <c r="AA403" s="1101"/>
    </row>
    <row r="404" ht="15.75" customHeight="1">
      <c r="A404" s="213"/>
      <c r="B404" s="213"/>
      <c r="C404" s="1101"/>
      <c r="D404" s="1101"/>
      <c r="E404" s="1101"/>
      <c r="F404" s="1101"/>
      <c r="G404" s="1101"/>
      <c r="H404" s="1101"/>
      <c r="I404" s="1101"/>
      <c r="J404" s="1101"/>
      <c r="K404" s="1101"/>
      <c r="L404" s="1101"/>
      <c r="M404" s="1101"/>
      <c r="N404" s="1101"/>
      <c r="O404" s="1101"/>
      <c r="P404" s="1101"/>
      <c r="Q404" s="1101"/>
      <c r="R404" s="1101"/>
      <c r="S404" s="1101"/>
      <c r="T404" s="1101"/>
      <c r="U404" s="1101"/>
      <c r="V404" s="1101"/>
      <c r="W404" s="1101"/>
      <c r="X404" s="1101"/>
      <c r="Y404" s="1102"/>
      <c r="Z404" s="1102"/>
      <c r="AA404" s="1101"/>
    </row>
    <row r="405" ht="15.75" customHeight="1">
      <c r="A405" s="213"/>
      <c r="B405" s="213"/>
      <c r="C405" s="1101"/>
      <c r="D405" s="1101"/>
      <c r="E405" s="1101"/>
      <c r="F405" s="1101"/>
      <c r="G405" s="1101"/>
      <c r="H405" s="1101"/>
      <c r="I405" s="1101"/>
      <c r="J405" s="1101"/>
      <c r="K405" s="1101"/>
      <c r="L405" s="1101"/>
      <c r="M405" s="1101"/>
      <c r="N405" s="1101"/>
      <c r="O405" s="1101"/>
      <c r="P405" s="1101"/>
      <c r="Q405" s="1101"/>
      <c r="R405" s="1101"/>
      <c r="S405" s="1101"/>
      <c r="T405" s="1101"/>
      <c r="U405" s="1101"/>
      <c r="V405" s="1101"/>
      <c r="W405" s="1101"/>
      <c r="X405" s="1101"/>
      <c r="Y405" s="1102"/>
      <c r="Z405" s="1102"/>
      <c r="AA405" s="1101"/>
    </row>
    <row r="406" ht="15.75" customHeight="1">
      <c r="A406" s="213"/>
      <c r="B406" s="213"/>
      <c r="C406" s="1101"/>
      <c r="D406" s="1101"/>
      <c r="E406" s="1101"/>
      <c r="F406" s="1101"/>
      <c r="G406" s="1101"/>
      <c r="H406" s="1101"/>
      <c r="I406" s="1101"/>
      <c r="J406" s="1101"/>
      <c r="K406" s="1101"/>
      <c r="L406" s="1101"/>
      <c r="M406" s="1101"/>
      <c r="N406" s="1101"/>
      <c r="O406" s="1101"/>
      <c r="P406" s="1101"/>
      <c r="Q406" s="1101"/>
      <c r="R406" s="1101"/>
      <c r="S406" s="1101"/>
      <c r="T406" s="1101"/>
      <c r="U406" s="1101"/>
      <c r="V406" s="1101"/>
      <c r="W406" s="1101"/>
      <c r="X406" s="1101"/>
      <c r="Y406" s="1102"/>
      <c r="Z406" s="1102"/>
      <c r="AA406" s="1101"/>
    </row>
    <row r="407" ht="15.75" customHeight="1">
      <c r="A407" s="213"/>
      <c r="B407" s="213"/>
      <c r="C407" s="1101"/>
      <c r="D407" s="1101"/>
      <c r="E407" s="1101"/>
      <c r="F407" s="1101"/>
      <c r="G407" s="1101"/>
      <c r="H407" s="1101"/>
      <c r="I407" s="1101"/>
      <c r="J407" s="1101"/>
      <c r="K407" s="1101"/>
      <c r="L407" s="1101"/>
      <c r="M407" s="1101"/>
      <c r="N407" s="1101"/>
      <c r="O407" s="1101"/>
      <c r="P407" s="1101"/>
      <c r="Q407" s="1101"/>
      <c r="R407" s="1101"/>
      <c r="S407" s="1101"/>
      <c r="T407" s="1101"/>
      <c r="U407" s="1101"/>
      <c r="V407" s="1101"/>
      <c r="W407" s="1101"/>
      <c r="X407" s="1101"/>
      <c r="Y407" s="1102"/>
      <c r="Z407" s="1102"/>
      <c r="AA407" s="1101"/>
    </row>
    <row r="408" ht="15.75" customHeight="1">
      <c r="A408" s="213"/>
      <c r="B408" s="213"/>
      <c r="C408" s="1101"/>
      <c r="D408" s="1101"/>
      <c r="E408" s="1101"/>
      <c r="F408" s="1101"/>
      <c r="G408" s="1101"/>
      <c r="H408" s="1101"/>
      <c r="I408" s="1101"/>
      <c r="J408" s="1101"/>
      <c r="K408" s="1101"/>
      <c r="L408" s="1101"/>
      <c r="M408" s="1101"/>
      <c r="N408" s="1101"/>
      <c r="O408" s="1101"/>
      <c r="P408" s="1101"/>
      <c r="Q408" s="1101"/>
      <c r="R408" s="1101"/>
      <c r="S408" s="1101"/>
      <c r="T408" s="1101"/>
      <c r="U408" s="1101"/>
      <c r="V408" s="1101"/>
      <c r="W408" s="1101"/>
      <c r="X408" s="1101"/>
      <c r="Y408" s="1102"/>
      <c r="Z408" s="1102"/>
      <c r="AA408" s="1101"/>
    </row>
    <row r="409" ht="15.75" customHeight="1">
      <c r="A409" s="213"/>
      <c r="B409" s="213"/>
      <c r="C409" s="1101"/>
      <c r="D409" s="1101"/>
      <c r="E409" s="1101"/>
      <c r="F409" s="1101"/>
      <c r="G409" s="1101"/>
      <c r="H409" s="1101"/>
      <c r="I409" s="1101"/>
      <c r="J409" s="1101"/>
      <c r="K409" s="1101"/>
      <c r="L409" s="1101"/>
      <c r="M409" s="1101"/>
      <c r="N409" s="1101"/>
      <c r="O409" s="1101"/>
      <c r="P409" s="1101"/>
      <c r="Q409" s="1101"/>
      <c r="R409" s="1101"/>
      <c r="S409" s="1101"/>
      <c r="T409" s="1101"/>
      <c r="U409" s="1101"/>
      <c r="V409" s="1101"/>
      <c r="W409" s="1101"/>
      <c r="X409" s="1101"/>
      <c r="Y409" s="1102"/>
      <c r="Z409" s="1102"/>
      <c r="AA409" s="1101"/>
    </row>
    <row r="410" ht="15.75" customHeight="1">
      <c r="A410" s="213"/>
      <c r="B410" s="213"/>
      <c r="C410" s="1101"/>
      <c r="D410" s="1101"/>
      <c r="E410" s="1101"/>
      <c r="F410" s="1101"/>
      <c r="G410" s="1101"/>
      <c r="H410" s="1101"/>
      <c r="I410" s="1101"/>
      <c r="J410" s="1101"/>
      <c r="K410" s="1101"/>
      <c r="L410" s="1101"/>
      <c r="M410" s="1101"/>
      <c r="N410" s="1101"/>
      <c r="O410" s="1101"/>
      <c r="P410" s="1101"/>
      <c r="Q410" s="1101"/>
      <c r="R410" s="1101"/>
      <c r="S410" s="1101"/>
      <c r="T410" s="1101"/>
      <c r="U410" s="1101"/>
      <c r="V410" s="1101"/>
      <c r="W410" s="1101"/>
      <c r="X410" s="1101"/>
      <c r="Y410" s="1102"/>
      <c r="Z410" s="1102"/>
      <c r="AA410" s="1101"/>
    </row>
    <row r="411" ht="15.75" customHeight="1">
      <c r="A411" s="213"/>
      <c r="B411" s="213"/>
      <c r="C411" s="1101"/>
      <c r="D411" s="1101"/>
      <c r="E411" s="1101"/>
      <c r="F411" s="1101"/>
      <c r="G411" s="1101"/>
      <c r="H411" s="1101"/>
      <c r="I411" s="1101"/>
      <c r="J411" s="1101"/>
      <c r="K411" s="1101"/>
      <c r="L411" s="1101"/>
      <c r="M411" s="1101"/>
      <c r="N411" s="1101"/>
      <c r="O411" s="1101"/>
      <c r="P411" s="1101"/>
      <c r="Q411" s="1101"/>
      <c r="R411" s="1101"/>
      <c r="S411" s="1101"/>
      <c r="T411" s="1101"/>
      <c r="U411" s="1101"/>
      <c r="V411" s="1101"/>
      <c r="W411" s="1101"/>
      <c r="X411" s="1101"/>
      <c r="Y411" s="1102"/>
      <c r="Z411" s="1102"/>
      <c r="AA411" s="1101"/>
    </row>
    <row r="412" ht="15.75" customHeight="1">
      <c r="A412" s="213"/>
      <c r="B412" s="213"/>
      <c r="C412" s="1101"/>
      <c r="D412" s="1101"/>
      <c r="E412" s="1101"/>
      <c r="F412" s="1101"/>
      <c r="G412" s="1101"/>
      <c r="H412" s="1101"/>
      <c r="I412" s="1101"/>
      <c r="J412" s="1101"/>
      <c r="K412" s="1101"/>
      <c r="L412" s="1101"/>
      <c r="M412" s="1101"/>
      <c r="N412" s="1101"/>
      <c r="O412" s="1101"/>
      <c r="P412" s="1101"/>
      <c r="Q412" s="1101"/>
      <c r="R412" s="1101"/>
      <c r="S412" s="1101"/>
      <c r="T412" s="1101"/>
      <c r="U412" s="1101"/>
      <c r="V412" s="1101"/>
      <c r="W412" s="1101"/>
      <c r="X412" s="1101"/>
      <c r="Y412" s="1102"/>
      <c r="Z412" s="1102"/>
      <c r="AA412" s="1101"/>
    </row>
    <row r="413" ht="15.75" customHeight="1">
      <c r="A413" s="213"/>
      <c r="B413" s="213"/>
      <c r="C413" s="1101"/>
      <c r="D413" s="1101"/>
      <c r="E413" s="1101"/>
      <c r="F413" s="1101"/>
      <c r="G413" s="1101"/>
      <c r="H413" s="1101"/>
      <c r="I413" s="1101"/>
      <c r="J413" s="1101"/>
      <c r="K413" s="1101"/>
      <c r="L413" s="1101"/>
      <c r="M413" s="1101"/>
      <c r="N413" s="1101"/>
      <c r="O413" s="1101"/>
      <c r="P413" s="1101"/>
      <c r="Q413" s="1101"/>
      <c r="R413" s="1101"/>
      <c r="S413" s="1101"/>
      <c r="T413" s="1101"/>
      <c r="U413" s="1101"/>
      <c r="V413" s="1101"/>
      <c r="W413" s="1101"/>
      <c r="X413" s="1101"/>
      <c r="Y413" s="1102"/>
      <c r="Z413" s="1102"/>
      <c r="AA413" s="1101"/>
    </row>
    <row r="414" ht="15.75" customHeight="1">
      <c r="A414" s="213"/>
      <c r="B414" s="213"/>
      <c r="C414" s="1101"/>
      <c r="D414" s="1101"/>
      <c r="E414" s="1101"/>
      <c r="F414" s="1101"/>
      <c r="G414" s="1101"/>
      <c r="H414" s="1101"/>
      <c r="I414" s="1101"/>
      <c r="J414" s="1101"/>
      <c r="K414" s="1101"/>
      <c r="L414" s="1101"/>
      <c r="M414" s="1101"/>
      <c r="N414" s="1101"/>
      <c r="O414" s="1101"/>
      <c r="P414" s="1101"/>
      <c r="Q414" s="1101"/>
      <c r="R414" s="1101"/>
      <c r="S414" s="1101"/>
      <c r="T414" s="1101"/>
      <c r="U414" s="1101"/>
      <c r="V414" s="1101"/>
      <c r="W414" s="1101"/>
      <c r="X414" s="1101"/>
      <c r="Y414" s="1102"/>
      <c r="Z414" s="1102"/>
      <c r="AA414" s="1101"/>
    </row>
    <row r="415" ht="15.75" customHeight="1">
      <c r="A415" s="213"/>
      <c r="B415" s="213"/>
      <c r="C415" s="1101"/>
      <c r="D415" s="1101"/>
      <c r="E415" s="1101"/>
      <c r="F415" s="1101"/>
      <c r="G415" s="1101"/>
      <c r="H415" s="1101"/>
      <c r="I415" s="1101"/>
      <c r="J415" s="1101"/>
      <c r="K415" s="1101"/>
      <c r="L415" s="1101"/>
      <c r="M415" s="1101"/>
      <c r="N415" s="1101"/>
      <c r="O415" s="1101"/>
      <c r="P415" s="1101"/>
      <c r="Q415" s="1101"/>
      <c r="R415" s="1101"/>
      <c r="S415" s="1101"/>
      <c r="T415" s="1101"/>
      <c r="U415" s="1101"/>
      <c r="V415" s="1101"/>
      <c r="W415" s="1101"/>
      <c r="X415" s="1101"/>
      <c r="Y415" s="1102"/>
      <c r="Z415" s="1102"/>
      <c r="AA415" s="1101"/>
    </row>
    <row r="416" ht="15.75" customHeight="1">
      <c r="A416" s="213"/>
      <c r="B416" s="213"/>
      <c r="C416" s="1101"/>
      <c r="D416" s="1101"/>
      <c r="E416" s="1101"/>
      <c r="F416" s="1101"/>
      <c r="G416" s="1101"/>
      <c r="H416" s="1101"/>
      <c r="I416" s="1101"/>
      <c r="J416" s="1101"/>
      <c r="K416" s="1101"/>
      <c r="L416" s="1101"/>
      <c r="M416" s="1101"/>
      <c r="N416" s="1101"/>
      <c r="O416" s="1101"/>
      <c r="P416" s="1101"/>
      <c r="Q416" s="1101"/>
      <c r="R416" s="1101"/>
      <c r="S416" s="1101"/>
      <c r="T416" s="1101"/>
      <c r="U416" s="1101"/>
      <c r="V416" s="1101"/>
      <c r="W416" s="1101"/>
      <c r="X416" s="1101"/>
      <c r="Y416" s="1102"/>
      <c r="Z416" s="1102"/>
      <c r="AA416" s="1101"/>
    </row>
    <row r="417" ht="15.75" customHeight="1">
      <c r="A417" s="213"/>
      <c r="B417" s="213"/>
      <c r="C417" s="1101"/>
      <c r="D417" s="1101"/>
      <c r="E417" s="1101"/>
      <c r="F417" s="1101"/>
      <c r="G417" s="1101"/>
      <c r="H417" s="1101"/>
      <c r="I417" s="1101"/>
      <c r="J417" s="1101"/>
      <c r="K417" s="1101"/>
      <c r="L417" s="1101"/>
      <c r="M417" s="1101"/>
      <c r="N417" s="1101"/>
      <c r="O417" s="1101"/>
      <c r="P417" s="1101"/>
      <c r="Q417" s="1101"/>
      <c r="R417" s="1101"/>
      <c r="S417" s="1101"/>
      <c r="T417" s="1101"/>
      <c r="U417" s="1101"/>
      <c r="V417" s="1101"/>
      <c r="W417" s="1101"/>
      <c r="X417" s="1101"/>
      <c r="Y417" s="1102"/>
      <c r="Z417" s="1102"/>
      <c r="AA417" s="1101"/>
    </row>
    <row r="418" ht="15.75" customHeight="1">
      <c r="A418" s="213"/>
      <c r="B418" s="213"/>
      <c r="C418" s="1101"/>
      <c r="D418" s="1101"/>
      <c r="E418" s="1101"/>
      <c r="F418" s="1101"/>
      <c r="G418" s="1101"/>
      <c r="H418" s="1101"/>
      <c r="I418" s="1101"/>
      <c r="J418" s="1101"/>
      <c r="K418" s="1101"/>
      <c r="L418" s="1101"/>
      <c r="M418" s="1101"/>
      <c r="N418" s="1101"/>
      <c r="O418" s="1101"/>
      <c r="P418" s="1101"/>
      <c r="Q418" s="1101"/>
      <c r="R418" s="1101"/>
      <c r="S418" s="1101"/>
      <c r="T418" s="1101"/>
      <c r="U418" s="1101"/>
      <c r="V418" s="1101"/>
      <c r="W418" s="1101"/>
      <c r="X418" s="1101"/>
      <c r="Y418" s="1102"/>
      <c r="Z418" s="1102"/>
      <c r="AA418" s="1101"/>
    </row>
    <row r="419" ht="15.75" customHeight="1">
      <c r="A419" s="213"/>
      <c r="B419" s="213"/>
      <c r="C419" s="1101"/>
      <c r="D419" s="1101"/>
      <c r="E419" s="1101"/>
      <c r="F419" s="1101"/>
      <c r="G419" s="1101"/>
      <c r="H419" s="1101"/>
      <c r="I419" s="1101"/>
      <c r="J419" s="1101"/>
      <c r="K419" s="1101"/>
      <c r="L419" s="1101"/>
      <c r="M419" s="1101"/>
      <c r="N419" s="1101"/>
      <c r="O419" s="1101"/>
      <c r="P419" s="1101"/>
      <c r="Q419" s="1101"/>
      <c r="R419" s="1101"/>
      <c r="S419" s="1101"/>
      <c r="T419" s="1101"/>
      <c r="U419" s="1101"/>
      <c r="V419" s="1101"/>
      <c r="W419" s="1101"/>
      <c r="X419" s="1101"/>
      <c r="Y419" s="1102"/>
      <c r="Z419" s="1102"/>
      <c r="AA419" s="1101"/>
    </row>
    <row r="420" ht="15.75" customHeight="1">
      <c r="A420" s="213"/>
      <c r="B420" s="213"/>
      <c r="C420" s="1101"/>
      <c r="D420" s="1101"/>
      <c r="E420" s="1101"/>
      <c r="F420" s="1101"/>
      <c r="G420" s="1101"/>
      <c r="H420" s="1101"/>
      <c r="I420" s="1101"/>
      <c r="J420" s="1101"/>
      <c r="K420" s="1101"/>
      <c r="L420" s="1101"/>
      <c r="M420" s="1101"/>
      <c r="N420" s="1101"/>
      <c r="O420" s="1101"/>
      <c r="P420" s="1101"/>
      <c r="Q420" s="1101"/>
      <c r="R420" s="1101"/>
      <c r="S420" s="1101"/>
      <c r="T420" s="1101"/>
      <c r="U420" s="1101"/>
      <c r="V420" s="1101"/>
      <c r="W420" s="1101"/>
      <c r="X420" s="1101"/>
      <c r="Y420" s="1102"/>
      <c r="Z420" s="1102"/>
      <c r="AA420" s="1101"/>
    </row>
    <row r="421" ht="15.75" customHeight="1">
      <c r="A421" s="213"/>
      <c r="B421" s="213"/>
      <c r="C421" s="1101"/>
      <c r="D421" s="1101"/>
      <c r="E421" s="1101"/>
      <c r="F421" s="1101"/>
      <c r="G421" s="1101"/>
      <c r="H421" s="1101"/>
      <c r="I421" s="1101"/>
      <c r="J421" s="1101"/>
      <c r="K421" s="1101"/>
      <c r="L421" s="1101"/>
      <c r="M421" s="1101"/>
      <c r="N421" s="1101"/>
      <c r="O421" s="1101"/>
      <c r="P421" s="1101"/>
      <c r="Q421" s="1101"/>
      <c r="R421" s="1101"/>
      <c r="S421" s="1101"/>
      <c r="T421" s="1101"/>
      <c r="U421" s="1101"/>
      <c r="V421" s="1101"/>
      <c r="W421" s="1101"/>
      <c r="X421" s="1101"/>
      <c r="Y421" s="1102"/>
      <c r="Z421" s="1102"/>
      <c r="AA421" s="1101"/>
    </row>
    <row r="422" ht="15.75" customHeight="1">
      <c r="A422" s="213"/>
      <c r="B422" s="213"/>
      <c r="C422" s="1101"/>
      <c r="D422" s="1101"/>
      <c r="E422" s="1101"/>
      <c r="F422" s="1101"/>
      <c r="G422" s="1101"/>
      <c r="H422" s="1101"/>
      <c r="I422" s="1101"/>
      <c r="J422" s="1101"/>
      <c r="K422" s="1101"/>
      <c r="L422" s="1101"/>
      <c r="M422" s="1101"/>
      <c r="N422" s="1101"/>
      <c r="O422" s="1101"/>
      <c r="P422" s="1101"/>
      <c r="Q422" s="1101"/>
      <c r="R422" s="1101"/>
      <c r="S422" s="1101"/>
      <c r="T422" s="1101"/>
      <c r="U422" s="1101"/>
      <c r="V422" s="1101"/>
      <c r="W422" s="1101"/>
      <c r="X422" s="1101"/>
      <c r="Y422" s="1102"/>
      <c r="Z422" s="1102"/>
      <c r="AA422" s="1101"/>
    </row>
    <row r="423" ht="15.75" customHeight="1">
      <c r="A423" s="213"/>
      <c r="B423" s="213"/>
      <c r="C423" s="1101"/>
      <c r="D423" s="1101"/>
      <c r="E423" s="1101"/>
      <c r="F423" s="1101"/>
      <c r="G423" s="1101"/>
      <c r="H423" s="1101"/>
      <c r="I423" s="1101"/>
      <c r="J423" s="1101"/>
      <c r="K423" s="1101"/>
      <c r="L423" s="1101"/>
      <c r="M423" s="1101"/>
      <c r="N423" s="1101"/>
      <c r="O423" s="1101"/>
      <c r="P423" s="1101"/>
      <c r="Q423" s="1101"/>
      <c r="R423" s="1101"/>
      <c r="S423" s="1101"/>
      <c r="T423" s="1101"/>
      <c r="U423" s="1101"/>
      <c r="V423" s="1101"/>
      <c r="W423" s="1101"/>
      <c r="X423" s="1101"/>
      <c r="Y423" s="1102"/>
      <c r="Z423" s="1102"/>
      <c r="AA423" s="1101"/>
    </row>
    <row r="424" ht="15.75" customHeight="1">
      <c r="A424" s="213"/>
      <c r="B424" s="213"/>
      <c r="C424" s="1101"/>
      <c r="D424" s="1101"/>
      <c r="E424" s="1101"/>
      <c r="F424" s="1101"/>
      <c r="G424" s="1101"/>
      <c r="H424" s="1101"/>
      <c r="I424" s="1101"/>
      <c r="J424" s="1101"/>
      <c r="K424" s="1101"/>
      <c r="L424" s="1101"/>
      <c r="M424" s="1101"/>
      <c r="N424" s="1101"/>
      <c r="O424" s="1101"/>
      <c r="P424" s="1101"/>
      <c r="Q424" s="1101"/>
      <c r="R424" s="1101"/>
      <c r="S424" s="1101"/>
      <c r="T424" s="1101"/>
      <c r="U424" s="1101"/>
      <c r="V424" s="1101"/>
      <c r="W424" s="1101"/>
      <c r="X424" s="1101"/>
      <c r="Y424" s="1102"/>
      <c r="Z424" s="1102"/>
      <c r="AA424" s="1101"/>
    </row>
    <row r="425" ht="15.75" customHeight="1">
      <c r="A425" s="213"/>
      <c r="B425" s="213"/>
      <c r="C425" s="1101"/>
      <c r="D425" s="1101"/>
      <c r="E425" s="1101"/>
      <c r="F425" s="1101"/>
      <c r="G425" s="1101"/>
      <c r="H425" s="1101"/>
      <c r="I425" s="1101"/>
      <c r="J425" s="1101"/>
      <c r="K425" s="1101"/>
      <c r="L425" s="1101"/>
      <c r="M425" s="1101"/>
      <c r="N425" s="1101"/>
      <c r="O425" s="1101"/>
      <c r="P425" s="1101"/>
      <c r="Q425" s="1101"/>
      <c r="R425" s="1101"/>
      <c r="S425" s="1101"/>
      <c r="T425" s="1101"/>
      <c r="U425" s="1101"/>
      <c r="V425" s="1101"/>
      <c r="W425" s="1101"/>
      <c r="X425" s="1101"/>
      <c r="Y425" s="1102"/>
      <c r="Z425" s="1102"/>
      <c r="AA425" s="1101"/>
    </row>
    <row r="426" ht="15.75" customHeight="1">
      <c r="A426" s="213"/>
      <c r="B426" s="213"/>
      <c r="C426" s="1101"/>
      <c r="D426" s="1101"/>
      <c r="E426" s="1101"/>
      <c r="F426" s="1101"/>
      <c r="G426" s="1101"/>
      <c r="H426" s="1101"/>
      <c r="I426" s="1101"/>
      <c r="J426" s="1101"/>
      <c r="K426" s="1101"/>
      <c r="L426" s="1101"/>
      <c r="M426" s="1101"/>
      <c r="N426" s="1101"/>
      <c r="O426" s="1101"/>
      <c r="P426" s="1101"/>
      <c r="Q426" s="1101"/>
      <c r="R426" s="1101"/>
      <c r="S426" s="1101"/>
      <c r="T426" s="1101"/>
      <c r="U426" s="1101"/>
      <c r="V426" s="1101"/>
      <c r="W426" s="1101"/>
      <c r="X426" s="1101"/>
      <c r="Y426" s="1102"/>
      <c r="Z426" s="1102"/>
      <c r="AA426" s="1101"/>
    </row>
    <row r="427" ht="15.75" customHeight="1">
      <c r="A427" s="213"/>
      <c r="B427" s="213"/>
      <c r="C427" s="1101"/>
      <c r="D427" s="1101"/>
      <c r="E427" s="1101"/>
      <c r="F427" s="1101"/>
      <c r="G427" s="1101"/>
      <c r="H427" s="1101"/>
      <c r="I427" s="1101"/>
      <c r="J427" s="1101"/>
      <c r="K427" s="1101"/>
      <c r="L427" s="1101"/>
      <c r="M427" s="1101"/>
      <c r="N427" s="1101"/>
      <c r="O427" s="1101"/>
      <c r="P427" s="1101"/>
      <c r="Q427" s="1101"/>
      <c r="R427" s="1101"/>
      <c r="S427" s="1101"/>
      <c r="T427" s="1101"/>
      <c r="U427" s="1101"/>
      <c r="V427" s="1101"/>
      <c r="W427" s="1101"/>
      <c r="X427" s="1101"/>
      <c r="Y427" s="1102"/>
      <c r="Z427" s="1102"/>
      <c r="AA427" s="1101"/>
    </row>
    <row r="428" ht="15.75" customHeight="1">
      <c r="A428" s="213"/>
      <c r="B428" s="213"/>
      <c r="C428" s="1101"/>
      <c r="D428" s="1101"/>
      <c r="E428" s="1101"/>
      <c r="F428" s="1101"/>
      <c r="G428" s="1101"/>
      <c r="H428" s="1101"/>
      <c r="I428" s="1101"/>
      <c r="J428" s="1101"/>
      <c r="K428" s="1101"/>
      <c r="L428" s="1101"/>
      <c r="M428" s="1101"/>
      <c r="N428" s="1101"/>
      <c r="O428" s="1101"/>
      <c r="P428" s="1101"/>
      <c r="Q428" s="1101"/>
      <c r="R428" s="1101"/>
      <c r="S428" s="1101"/>
      <c r="T428" s="1101"/>
      <c r="U428" s="1101"/>
      <c r="V428" s="1101"/>
      <c r="W428" s="1101"/>
      <c r="X428" s="1101"/>
      <c r="Y428" s="1102"/>
      <c r="Z428" s="1102"/>
      <c r="AA428" s="1101"/>
    </row>
    <row r="429" ht="15.75" customHeight="1">
      <c r="A429" s="213"/>
      <c r="B429" s="213"/>
      <c r="C429" s="1101"/>
      <c r="D429" s="1101"/>
      <c r="E429" s="1101"/>
      <c r="F429" s="1101"/>
      <c r="G429" s="1101"/>
      <c r="H429" s="1101"/>
      <c r="I429" s="1101"/>
      <c r="J429" s="1101"/>
      <c r="K429" s="1101"/>
      <c r="L429" s="1101"/>
      <c r="M429" s="1101"/>
      <c r="N429" s="1101"/>
      <c r="O429" s="1101"/>
      <c r="P429" s="1101"/>
      <c r="Q429" s="1101"/>
      <c r="R429" s="1101"/>
      <c r="S429" s="1101"/>
      <c r="T429" s="1101"/>
      <c r="U429" s="1101"/>
      <c r="V429" s="1101"/>
      <c r="W429" s="1101"/>
      <c r="X429" s="1101"/>
      <c r="Y429" s="1102"/>
      <c r="Z429" s="1102"/>
      <c r="AA429" s="1101"/>
    </row>
    <row r="430" ht="15.75" customHeight="1">
      <c r="A430" s="213"/>
      <c r="B430" s="213"/>
      <c r="C430" s="1101"/>
      <c r="D430" s="1101"/>
      <c r="E430" s="1101"/>
      <c r="F430" s="1101"/>
      <c r="G430" s="1101"/>
      <c r="H430" s="1101"/>
      <c r="I430" s="1101"/>
      <c r="J430" s="1101"/>
      <c r="K430" s="1101"/>
      <c r="L430" s="1101"/>
      <c r="M430" s="1101"/>
      <c r="N430" s="1101"/>
      <c r="O430" s="1101"/>
      <c r="P430" s="1101"/>
      <c r="Q430" s="1101"/>
      <c r="R430" s="1101"/>
      <c r="S430" s="1101"/>
      <c r="T430" s="1101"/>
      <c r="U430" s="1101"/>
      <c r="V430" s="1101"/>
      <c r="W430" s="1101"/>
      <c r="X430" s="1101"/>
      <c r="Y430" s="1102"/>
      <c r="Z430" s="1102"/>
      <c r="AA430" s="1101"/>
    </row>
    <row r="431" ht="15.75" customHeight="1">
      <c r="A431" s="213"/>
      <c r="B431" s="213"/>
      <c r="C431" s="1101"/>
      <c r="D431" s="1101"/>
      <c r="E431" s="1101"/>
      <c r="F431" s="1101"/>
      <c r="G431" s="1101"/>
      <c r="H431" s="1101"/>
      <c r="I431" s="1101"/>
      <c r="J431" s="1101"/>
      <c r="K431" s="1101"/>
      <c r="L431" s="1101"/>
      <c r="M431" s="1101"/>
      <c r="N431" s="1101"/>
      <c r="O431" s="1101"/>
      <c r="P431" s="1101"/>
      <c r="Q431" s="1101"/>
      <c r="R431" s="1101"/>
      <c r="S431" s="1101"/>
      <c r="T431" s="1101"/>
      <c r="U431" s="1101"/>
      <c r="V431" s="1101"/>
      <c r="W431" s="1101"/>
      <c r="X431" s="1101"/>
      <c r="Y431" s="1102"/>
      <c r="Z431" s="1102"/>
      <c r="AA431" s="1101"/>
    </row>
    <row r="432" ht="15.75" customHeight="1">
      <c r="A432" s="213"/>
      <c r="B432" s="213"/>
      <c r="C432" s="1101"/>
      <c r="D432" s="1101"/>
      <c r="E432" s="1101"/>
      <c r="F432" s="1101"/>
      <c r="G432" s="1101"/>
      <c r="H432" s="1101"/>
      <c r="I432" s="1101"/>
      <c r="J432" s="1101"/>
      <c r="K432" s="1101"/>
      <c r="L432" s="1101"/>
      <c r="M432" s="1101"/>
      <c r="N432" s="1101"/>
      <c r="O432" s="1101"/>
      <c r="P432" s="1101"/>
      <c r="Q432" s="1101"/>
      <c r="R432" s="1101"/>
      <c r="S432" s="1101"/>
      <c r="T432" s="1101"/>
      <c r="U432" s="1101"/>
      <c r="V432" s="1101"/>
      <c r="W432" s="1101"/>
      <c r="X432" s="1101"/>
      <c r="Y432" s="1102"/>
      <c r="Z432" s="1102"/>
      <c r="AA432" s="1101"/>
    </row>
    <row r="433" ht="15.75" customHeight="1">
      <c r="A433" s="213"/>
      <c r="B433" s="213"/>
      <c r="C433" s="1101"/>
      <c r="D433" s="1101"/>
      <c r="E433" s="1101"/>
      <c r="F433" s="1101"/>
      <c r="G433" s="1101"/>
      <c r="H433" s="1101"/>
      <c r="I433" s="1101"/>
      <c r="J433" s="1101"/>
      <c r="K433" s="1101"/>
      <c r="L433" s="1101"/>
      <c r="M433" s="1101"/>
      <c r="N433" s="1101"/>
      <c r="O433" s="1101"/>
      <c r="P433" s="1101"/>
      <c r="Q433" s="1101"/>
      <c r="R433" s="1101"/>
      <c r="S433" s="1101"/>
      <c r="T433" s="1101"/>
      <c r="U433" s="1101"/>
      <c r="V433" s="1101"/>
      <c r="W433" s="1101"/>
      <c r="X433" s="1101"/>
      <c r="Y433" s="1102"/>
      <c r="Z433" s="1102"/>
      <c r="AA433" s="1101"/>
    </row>
    <row r="434" ht="15.75" customHeight="1">
      <c r="A434" s="213"/>
      <c r="B434" s="213"/>
      <c r="C434" s="1101"/>
      <c r="D434" s="1101"/>
      <c r="E434" s="1101"/>
      <c r="F434" s="1101"/>
      <c r="G434" s="1101"/>
      <c r="H434" s="1101"/>
      <c r="I434" s="1101"/>
      <c r="J434" s="1101"/>
      <c r="K434" s="1101"/>
      <c r="L434" s="1101"/>
      <c r="M434" s="1101"/>
      <c r="N434" s="1101"/>
      <c r="O434" s="1101"/>
      <c r="P434" s="1101"/>
      <c r="Q434" s="1101"/>
      <c r="R434" s="1101"/>
      <c r="S434" s="1101"/>
      <c r="T434" s="1101"/>
      <c r="U434" s="1101"/>
      <c r="V434" s="1101"/>
      <c r="W434" s="1101"/>
      <c r="X434" s="1101"/>
      <c r="Y434" s="1102"/>
      <c r="Z434" s="1102"/>
      <c r="AA434" s="1101"/>
    </row>
    <row r="435" ht="15.75" customHeight="1">
      <c r="A435" s="213"/>
      <c r="B435" s="213"/>
      <c r="C435" s="1101"/>
      <c r="D435" s="1101"/>
      <c r="E435" s="1101"/>
      <c r="F435" s="1101"/>
      <c r="G435" s="1101"/>
      <c r="H435" s="1101"/>
      <c r="I435" s="1101"/>
      <c r="J435" s="1101"/>
      <c r="K435" s="1101"/>
      <c r="L435" s="1101"/>
      <c r="M435" s="1101"/>
      <c r="N435" s="1101"/>
      <c r="O435" s="1101"/>
      <c r="P435" s="1101"/>
      <c r="Q435" s="1101"/>
      <c r="R435" s="1101"/>
      <c r="S435" s="1101"/>
      <c r="T435" s="1101"/>
      <c r="U435" s="1101"/>
      <c r="V435" s="1101"/>
      <c r="W435" s="1101"/>
      <c r="X435" s="1101"/>
      <c r="Y435" s="1102"/>
      <c r="Z435" s="1102"/>
      <c r="AA435" s="1101"/>
    </row>
    <row r="436" ht="15.75" customHeight="1">
      <c r="A436" s="213"/>
      <c r="B436" s="213"/>
      <c r="C436" s="1101"/>
      <c r="D436" s="1101"/>
      <c r="E436" s="1101"/>
      <c r="F436" s="1101"/>
      <c r="G436" s="1101"/>
      <c r="H436" s="1101"/>
      <c r="I436" s="1101"/>
      <c r="J436" s="1101"/>
      <c r="K436" s="1101"/>
      <c r="L436" s="1101"/>
      <c r="M436" s="1101"/>
      <c r="N436" s="1101"/>
      <c r="O436" s="1101"/>
      <c r="P436" s="1101"/>
      <c r="Q436" s="1101"/>
      <c r="R436" s="1101"/>
      <c r="S436" s="1101"/>
      <c r="T436" s="1101"/>
      <c r="U436" s="1101"/>
      <c r="V436" s="1101"/>
      <c r="W436" s="1101"/>
      <c r="X436" s="1101"/>
      <c r="Y436" s="1102"/>
      <c r="Z436" s="1102"/>
      <c r="AA436" s="1101"/>
    </row>
    <row r="437" ht="15.75" customHeight="1">
      <c r="A437" s="213"/>
      <c r="B437" s="213"/>
      <c r="C437" s="1101"/>
      <c r="D437" s="1101"/>
      <c r="E437" s="1101"/>
      <c r="F437" s="1101"/>
      <c r="G437" s="1101"/>
      <c r="H437" s="1101"/>
      <c r="I437" s="1101"/>
      <c r="J437" s="1101"/>
      <c r="K437" s="1101"/>
      <c r="L437" s="1101"/>
      <c r="M437" s="1101"/>
      <c r="N437" s="1101"/>
      <c r="O437" s="1101"/>
      <c r="P437" s="1101"/>
      <c r="Q437" s="1101"/>
      <c r="R437" s="1101"/>
      <c r="S437" s="1101"/>
      <c r="T437" s="1101"/>
      <c r="U437" s="1101"/>
      <c r="V437" s="1101"/>
      <c r="W437" s="1101"/>
      <c r="X437" s="1101"/>
      <c r="Y437" s="1102"/>
      <c r="Z437" s="1102"/>
      <c r="AA437" s="1101"/>
    </row>
    <row r="438" ht="15.75" customHeight="1">
      <c r="A438" s="213"/>
      <c r="B438" s="213"/>
      <c r="C438" s="1101"/>
      <c r="D438" s="1101"/>
      <c r="E438" s="1101"/>
      <c r="F438" s="1101"/>
      <c r="G438" s="1101"/>
      <c r="H438" s="1101"/>
      <c r="I438" s="1101"/>
      <c r="J438" s="1101"/>
      <c r="K438" s="1101"/>
      <c r="L438" s="1101"/>
      <c r="M438" s="1101"/>
      <c r="N438" s="1101"/>
      <c r="O438" s="1101"/>
      <c r="P438" s="1101"/>
      <c r="Q438" s="1101"/>
      <c r="R438" s="1101"/>
      <c r="S438" s="1101"/>
      <c r="T438" s="1101"/>
      <c r="U438" s="1101"/>
      <c r="V438" s="1101"/>
      <c r="W438" s="1101"/>
      <c r="X438" s="1101"/>
      <c r="Y438" s="1102"/>
      <c r="Z438" s="1102"/>
      <c r="AA438" s="1101"/>
    </row>
    <row r="439" ht="15.75" customHeight="1">
      <c r="A439" s="213"/>
      <c r="B439" s="213"/>
      <c r="C439" s="1101"/>
      <c r="D439" s="1101"/>
      <c r="E439" s="1101"/>
      <c r="F439" s="1101"/>
      <c r="G439" s="1101"/>
      <c r="H439" s="1101"/>
      <c r="I439" s="1101"/>
      <c r="J439" s="1101"/>
      <c r="K439" s="1101"/>
      <c r="L439" s="1101"/>
      <c r="M439" s="1101"/>
      <c r="N439" s="1101"/>
      <c r="O439" s="1101"/>
      <c r="P439" s="1101"/>
      <c r="Q439" s="1101"/>
      <c r="R439" s="1101"/>
      <c r="S439" s="1101"/>
      <c r="T439" s="1101"/>
      <c r="U439" s="1101"/>
      <c r="V439" s="1101"/>
      <c r="W439" s="1101"/>
      <c r="X439" s="1101"/>
      <c r="Y439" s="1102"/>
      <c r="Z439" s="1102"/>
      <c r="AA439" s="1101"/>
    </row>
    <row r="440" ht="15.75" customHeight="1">
      <c r="A440" s="213"/>
      <c r="B440" s="213"/>
      <c r="C440" s="1101"/>
      <c r="D440" s="1101"/>
      <c r="E440" s="1101"/>
      <c r="F440" s="1101"/>
      <c r="G440" s="1101"/>
      <c r="H440" s="1101"/>
      <c r="I440" s="1101"/>
      <c r="J440" s="1101"/>
      <c r="K440" s="1101"/>
      <c r="L440" s="1101"/>
      <c r="M440" s="1101"/>
      <c r="N440" s="1101"/>
      <c r="O440" s="1101"/>
      <c r="P440" s="1101"/>
      <c r="Q440" s="1101"/>
      <c r="R440" s="1101"/>
      <c r="S440" s="1101"/>
      <c r="T440" s="1101"/>
      <c r="U440" s="1101"/>
      <c r="V440" s="1101"/>
      <c r="W440" s="1101"/>
      <c r="X440" s="1101"/>
      <c r="Y440" s="1102"/>
      <c r="Z440" s="1102"/>
      <c r="AA440" s="1101"/>
    </row>
    <row r="441" ht="15.75" customHeight="1">
      <c r="A441" s="213"/>
      <c r="B441" s="213"/>
      <c r="C441" s="1101"/>
      <c r="D441" s="1101"/>
      <c r="E441" s="1101"/>
      <c r="F441" s="1101"/>
      <c r="G441" s="1101"/>
      <c r="H441" s="1101"/>
      <c r="I441" s="1101"/>
      <c r="J441" s="1101"/>
      <c r="K441" s="1101"/>
      <c r="L441" s="1101"/>
      <c r="M441" s="1101"/>
      <c r="N441" s="1101"/>
      <c r="O441" s="1101"/>
      <c r="P441" s="1101"/>
      <c r="Q441" s="1101"/>
      <c r="R441" s="1101"/>
      <c r="S441" s="1101"/>
      <c r="T441" s="1101"/>
      <c r="U441" s="1101"/>
      <c r="V441" s="1101"/>
      <c r="W441" s="1101"/>
      <c r="X441" s="1101"/>
      <c r="Y441" s="1102"/>
      <c r="Z441" s="1102"/>
      <c r="AA441" s="1101"/>
    </row>
    <row r="442" ht="15.75" customHeight="1">
      <c r="A442" s="213"/>
      <c r="B442" s="213"/>
      <c r="C442" s="1101"/>
      <c r="D442" s="1101"/>
      <c r="E442" s="1101"/>
      <c r="F442" s="1101"/>
      <c r="G442" s="1101"/>
      <c r="H442" s="1101"/>
      <c r="I442" s="1101"/>
      <c r="J442" s="1101"/>
      <c r="K442" s="1101"/>
      <c r="L442" s="1101"/>
      <c r="M442" s="1101"/>
      <c r="N442" s="1101"/>
      <c r="O442" s="1101"/>
      <c r="P442" s="1101"/>
      <c r="Q442" s="1101"/>
      <c r="R442" s="1101"/>
      <c r="S442" s="1101"/>
      <c r="T442" s="1101"/>
      <c r="U442" s="1101"/>
      <c r="V442" s="1101"/>
      <c r="W442" s="1101"/>
      <c r="X442" s="1101"/>
      <c r="Y442" s="1102"/>
      <c r="Z442" s="1102"/>
      <c r="AA442" s="1101"/>
    </row>
    <row r="443" ht="15.75" customHeight="1">
      <c r="A443" s="213"/>
      <c r="B443" s="213"/>
      <c r="C443" s="1101"/>
      <c r="D443" s="1101"/>
      <c r="E443" s="1101"/>
      <c r="F443" s="1101"/>
      <c r="G443" s="1101"/>
      <c r="H443" s="1101"/>
      <c r="I443" s="1101"/>
      <c r="J443" s="1101"/>
      <c r="K443" s="1101"/>
      <c r="L443" s="1101"/>
      <c r="M443" s="1101"/>
      <c r="N443" s="1101"/>
      <c r="O443" s="1101"/>
      <c r="P443" s="1101"/>
      <c r="Q443" s="1101"/>
      <c r="R443" s="1101"/>
      <c r="S443" s="1101"/>
      <c r="T443" s="1101"/>
      <c r="U443" s="1101"/>
      <c r="V443" s="1101"/>
      <c r="W443" s="1101"/>
      <c r="X443" s="1101"/>
      <c r="Y443" s="1102"/>
      <c r="Z443" s="1102"/>
      <c r="AA443" s="1101"/>
    </row>
    <row r="444" ht="15.75" customHeight="1">
      <c r="A444" s="213"/>
      <c r="B444" s="213"/>
      <c r="C444" s="1101"/>
      <c r="D444" s="1101"/>
      <c r="E444" s="1101"/>
      <c r="F444" s="1101"/>
      <c r="G444" s="1101"/>
      <c r="H444" s="1101"/>
      <c r="I444" s="1101"/>
      <c r="J444" s="1101"/>
      <c r="K444" s="1101"/>
      <c r="L444" s="1101"/>
      <c r="M444" s="1101"/>
      <c r="N444" s="1101"/>
      <c r="O444" s="1101"/>
      <c r="P444" s="1101"/>
      <c r="Q444" s="1101"/>
      <c r="R444" s="1101"/>
      <c r="S444" s="1101"/>
      <c r="T444" s="1101"/>
      <c r="U444" s="1101"/>
      <c r="V444" s="1101"/>
      <c r="W444" s="1101"/>
      <c r="X444" s="1101"/>
      <c r="Y444" s="1102"/>
      <c r="Z444" s="1102"/>
      <c r="AA444" s="1101"/>
    </row>
    <row r="445" ht="15.75" customHeight="1">
      <c r="A445" s="213"/>
      <c r="B445" s="213"/>
      <c r="C445" s="1101"/>
      <c r="D445" s="1101"/>
      <c r="E445" s="1101"/>
      <c r="F445" s="1101"/>
      <c r="G445" s="1101"/>
      <c r="H445" s="1101"/>
      <c r="I445" s="1101"/>
      <c r="J445" s="1101"/>
      <c r="K445" s="1101"/>
      <c r="L445" s="1101"/>
      <c r="M445" s="1101"/>
      <c r="N445" s="1101"/>
      <c r="O445" s="1101"/>
      <c r="P445" s="1101"/>
      <c r="Q445" s="1101"/>
      <c r="R445" s="1101"/>
      <c r="S445" s="1101"/>
      <c r="T445" s="1101"/>
      <c r="U445" s="1101"/>
      <c r="V445" s="1101"/>
      <c r="W445" s="1101"/>
      <c r="X445" s="1101"/>
      <c r="Y445" s="1102"/>
      <c r="Z445" s="1102"/>
      <c r="AA445" s="1101"/>
    </row>
    <row r="446" ht="15.75" customHeight="1">
      <c r="A446" s="213"/>
      <c r="B446" s="213"/>
      <c r="C446" s="1101"/>
      <c r="D446" s="1101"/>
      <c r="E446" s="1101"/>
      <c r="F446" s="1101"/>
      <c r="G446" s="1101"/>
      <c r="H446" s="1101"/>
      <c r="I446" s="1101"/>
      <c r="J446" s="1101"/>
      <c r="K446" s="1101"/>
      <c r="L446" s="1101"/>
      <c r="M446" s="1101"/>
      <c r="N446" s="1101"/>
      <c r="O446" s="1101"/>
      <c r="P446" s="1101"/>
      <c r="Q446" s="1101"/>
      <c r="R446" s="1101"/>
      <c r="S446" s="1101"/>
      <c r="T446" s="1101"/>
      <c r="U446" s="1101"/>
      <c r="V446" s="1101"/>
      <c r="W446" s="1101"/>
      <c r="X446" s="1101"/>
      <c r="Y446" s="1102"/>
      <c r="Z446" s="1102"/>
      <c r="AA446" s="1101"/>
    </row>
    <row r="447" ht="15.75" customHeight="1">
      <c r="A447" s="213"/>
      <c r="B447" s="213"/>
      <c r="C447" s="1101"/>
      <c r="D447" s="1101"/>
      <c r="E447" s="1101"/>
      <c r="F447" s="1101"/>
      <c r="G447" s="1101"/>
      <c r="H447" s="1101"/>
      <c r="I447" s="1101"/>
      <c r="J447" s="1101"/>
      <c r="K447" s="1101"/>
      <c r="L447" s="1101"/>
      <c r="M447" s="1101"/>
      <c r="N447" s="1101"/>
      <c r="O447" s="1101"/>
      <c r="P447" s="1101"/>
      <c r="Q447" s="1101"/>
      <c r="R447" s="1101"/>
      <c r="S447" s="1101"/>
      <c r="T447" s="1101"/>
      <c r="U447" s="1101"/>
      <c r="V447" s="1101"/>
      <c r="W447" s="1101"/>
      <c r="X447" s="1101"/>
      <c r="Y447" s="1102"/>
      <c r="Z447" s="1102"/>
      <c r="AA447" s="1101"/>
    </row>
    <row r="448" ht="15.75" customHeight="1">
      <c r="A448" s="213"/>
      <c r="B448" s="213"/>
      <c r="C448" s="1101"/>
      <c r="D448" s="1101"/>
      <c r="E448" s="1101"/>
      <c r="F448" s="1101"/>
      <c r="G448" s="1101"/>
      <c r="H448" s="1101"/>
      <c r="I448" s="1101"/>
      <c r="J448" s="1101"/>
      <c r="K448" s="1101"/>
      <c r="L448" s="1101"/>
      <c r="M448" s="1101"/>
      <c r="N448" s="1101"/>
      <c r="O448" s="1101"/>
      <c r="P448" s="1101"/>
      <c r="Q448" s="1101"/>
      <c r="R448" s="1101"/>
      <c r="S448" s="1101"/>
      <c r="T448" s="1101"/>
      <c r="U448" s="1101"/>
      <c r="V448" s="1101"/>
      <c r="W448" s="1101"/>
      <c r="X448" s="1101"/>
      <c r="Y448" s="1102"/>
      <c r="Z448" s="1102"/>
      <c r="AA448" s="1101"/>
    </row>
    <row r="449" ht="15.75" customHeight="1">
      <c r="A449" s="213"/>
      <c r="B449" s="213"/>
      <c r="C449" s="1101"/>
      <c r="D449" s="1101"/>
      <c r="E449" s="1101"/>
      <c r="F449" s="1101"/>
      <c r="G449" s="1101"/>
      <c r="H449" s="1101"/>
      <c r="I449" s="1101"/>
      <c r="J449" s="1101"/>
      <c r="K449" s="1101"/>
      <c r="L449" s="1101"/>
      <c r="M449" s="1101"/>
      <c r="N449" s="1101"/>
      <c r="O449" s="1101"/>
      <c r="P449" s="1101"/>
      <c r="Q449" s="1101"/>
      <c r="R449" s="1101"/>
      <c r="S449" s="1101"/>
      <c r="T449" s="1101"/>
      <c r="U449" s="1101"/>
      <c r="V449" s="1101"/>
      <c r="W449" s="1101"/>
      <c r="X449" s="1101"/>
      <c r="Y449" s="1102"/>
      <c r="Z449" s="1102"/>
      <c r="AA449" s="1101"/>
    </row>
    <row r="450" ht="15.75" customHeight="1">
      <c r="A450" s="213"/>
      <c r="B450" s="213"/>
      <c r="C450" s="1101"/>
      <c r="D450" s="1101"/>
      <c r="E450" s="1101"/>
      <c r="F450" s="1101"/>
      <c r="G450" s="1101"/>
      <c r="H450" s="1101"/>
      <c r="I450" s="1101"/>
      <c r="J450" s="1101"/>
      <c r="K450" s="1101"/>
      <c r="L450" s="1101"/>
      <c r="M450" s="1101"/>
      <c r="N450" s="1101"/>
      <c r="O450" s="1101"/>
      <c r="P450" s="1101"/>
      <c r="Q450" s="1101"/>
      <c r="R450" s="1101"/>
      <c r="S450" s="1101"/>
      <c r="T450" s="1101"/>
      <c r="U450" s="1101"/>
      <c r="V450" s="1101"/>
      <c r="W450" s="1101"/>
      <c r="X450" s="1101"/>
      <c r="Y450" s="1102"/>
      <c r="Z450" s="1102"/>
      <c r="AA450" s="1101"/>
    </row>
    <row r="451" ht="15.75" customHeight="1">
      <c r="A451" s="213"/>
      <c r="B451" s="213"/>
      <c r="C451" s="1101"/>
      <c r="D451" s="1101"/>
      <c r="E451" s="1101"/>
      <c r="F451" s="1101"/>
      <c r="G451" s="1101"/>
      <c r="H451" s="1101"/>
      <c r="I451" s="1101"/>
      <c r="J451" s="1101"/>
      <c r="K451" s="1101"/>
      <c r="L451" s="1101"/>
      <c r="M451" s="1101"/>
      <c r="N451" s="1101"/>
      <c r="O451" s="1101"/>
      <c r="P451" s="1101"/>
      <c r="Q451" s="1101"/>
      <c r="R451" s="1101"/>
      <c r="S451" s="1101"/>
      <c r="T451" s="1101"/>
      <c r="U451" s="1101"/>
      <c r="V451" s="1101"/>
      <c r="W451" s="1101"/>
      <c r="X451" s="1101"/>
      <c r="Y451" s="1102"/>
      <c r="Z451" s="1102"/>
      <c r="AA451" s="1101"/>
    </row>
    <row r="452" ht="15.75" customHeight="1">
      <c r="A452" s="213"/>
      <c r="B452" s="213"/>
      <c r="C452" s="1101"/>
      <c r="D452" s="1101"/>
      <c r="E452" s="1101"/>
      <c r="F452" s="1101"/>
      <c r="G452" s="1101"/>
      <c r="H452" s="1101"/>
      <c r="I452" s="1101"/>
      <c r="J452" s="1101"/>
      <c r="K452" s="1101"/>
      <c r="L452" s="1101"/>
      <c r="M452" s="1101"/>
      <c r="N452" s="1101"/>
      <c r="O452" s="1101"/>
      <c r="P452" s="1101"/>
      <c r="Q452" s="1101"/>
      <c r="R452" s="1101"/>
      <c r="S452" s="1101"/>
      <c r="T452" s="1101"/>
      <c r="U452" s="1101"/>
      <c r="V452" s="1101"/>
      <c r="W452" s="1101"/>
      <c r="X452" s="1101"/>
      <c r="Y452" s="1102"/>
      <c r="Z452" s="1102"/>
      <c r="AA452" s="1101"/>
    </row>
    <row r="453" ht="15.75" customHeight="1">
      <c r="A453" s="213"/>
      <c r="B453" s="213"/>
      <c r="C453" s="1101"/>
      <c r="D453" s="1101"/>
      <c r="E453" s="1101"/>
      <c r="F453" s="1101"/>
      <c r="G453" s="1101"/>
      <c r="H453" s="1101"/>
      <c r="I453" s="1101"/>
      <c r="J453" s="1101"/>
      <c r="K453" s="1101"/>
      <c r="L453" s="1101"/>
      <c r="M453" s="1101"/>
      <c r="N453" s="1101"/>
      <c r="O453" s="1101"/>
      <c r="P453" s="1101"/>
      <c r="Q453" s="1101"/>
      <c r="R453" s="1101"/>
      <c r="S453" s="1101"/>
      <c r="T453" s="1101"/>
      <c r="U453" s="1101"/>
      <c r="V453" s="1101"/>
      <c r="W453" s="1101"/>
      <c r="X453" s="1101"/>
      <c r="Y453" s="1102"/>
      <c r="Z453" s="1102"/>
      <c r="AA453" s="1101"/>
    </row>
    <row r="454" ht="15.75" customHeight="1">
      <c r="A454" s="213"/>
      <c r="B454" s="213"/>
      <c r="C454" s="1101"/>
      <c r="D454" s="1101"/>
      <c r="E454" s="1101"/>
      <c r="F454" s="1101"/>
      <c r="G454" s="1101"/>
      <c r="H454" s="1101"/>
      <c r="I454" s="1101"/>
      <c r="J454" s="1101"/>
      <c r="K454" s="1101"/>
      <c r="L454" s="1101"/>
      <c r="M454" s="1101"/>
      <c r="N454" s="1101"/>
      <c r="O454" s="1101"/>
      <c r="P454" s="1101"/>
      <c r="Q454" s="1101"/>
      <c r="R454" s="1101"/>
      <c r="S454" s="1101"/>
      <c r="T454" s="1101"/>
      <c r="U454" s="1101"/>
      <c r="V454" s="1101"/>
      <c r="W454" s="1101"/>
      <c r="X454" s="1101"/>
      <c r="Y454" s="1102"/>
      <c r="Z454" s="1102"/>
      <c r="AA454" s="1101"/>
    </row>
    <row r="455" ht="15.75" customHeight="1">
      <c r="A455" s="213"/>
      <c r="B455" s="213"/>
      <c r="C455" s="1101"/>
      <c r="D455" s="1101"/>
      <c r="E455" s="1101"/>
      <c r="F455" s="1101"/>
      <c r="G455" s="1101"/>
      <c r="H455" s="1101"/>
      <c r="I455" s="1101"/>
      <c r="J455" s="1101"/>
      <c r="K455" s="1101"/>
      <c r="L455" s="1101"/>
      <c r="M455" s="1101"/>
      <c r="N455" s="1101"/>
      <c r="O455" s="1101"/>
      <c r="P455" s="1101"/>
      <c r="Q455" s="1101"/>
      <c r="R455" s="1101"/>
      <c r="S455" s="1101"/>
      <c r="T455" s="1101"/>
      <c r="U455" s="1101"/>
      <c r="V455" s="1101"/>
      <c r="W455" s="1101"/>
      <c r="X455" s="1101"/>
      <c r="Y455" s="1102"/>
      <c r="Z455" s="1102"/>
      <c r="AA455" s="1101"/>
    </row>
    <row r="456" ht="15.75" customHeight="1">
      <c r="A456" s="213"/>
      <c r="B456" s="213"/>
      <c r="C456" s="1101"/>
      <c r="D456" s="1101"/>
      <c r="E456" s="1101"/>
      <c r="F456" s="1101"/>
      <c r="G456" s="1101"/>
      <c r="H456" s="1101"/>
      <c r="I456" s="1101"/>
      <c r="J456" s="1101"/>
      <c r="K456" s="1101"/>
      <c r="L456" s="1101"/>
      <c r="M456" s="1101"/>
      <c r="N456" s="1101"/>
      <c r="O456" s="1101"/>
      <c r="P456" s="1101"/>
      <c r="Q456" s="1101"/>
      <c r="R456" s="1101"/>
      <c r="S456" s="1101"/>
      <c r="T456" s="1101"/>
      <c r="U456" s="1101"/>
      <c r="V456" s="1101"/>
      <c r="W456" s="1101"/>
      <c r="X456" s="1101"/>
      <c r="Y456" s="1102"/>
      <c r="Z456" s="1102"/>
      <c r="AA456" s="1101"/>
    </row>
    <row r="457" ht="15.75" customHeight="1">
      <c r="A457" s="213"/>
      <c r="B457" s="213"/>
      <c r="C457" s="1101"/>
      <c r="D457" s="1101"/>
      <c r="E457" s="1101"/>
      <c r="F457" s="1101"/>
      <c r="G457" s="1101"/>
      <c r="H457" s="1101"/>
      <c r="I457" s="1101"/>
      <c r="J457" s="1101"/>
      <c r="K457" s="1101"/>
      <c r="L457" s="1101"/>
      <c r="M457" s="1101"/>
      <c r="N457" s="1101"/>
      <c r="O457" s="1101"/>
      <c r="P457" s="1101"/>
      <c r="Q457" s="1101"/>
      <c r="R457" s="1101"/>
      <c r="S457" s="1101"/>
      <c r="T457" s="1101"/>
      <c r="U457" s="1101"/>
      <c r="V457" s="1101"/>
      <c r="W457" s="1101"/>
      <c r="X457" s="1101"/>
      <c r="Y457" s="1102"/>
      <c r="Z457" s="1102"/>
      <c r="AA457" s="1101"/>
    </row>
    <row r="458" ht="15.75" customHeight="1">
      <c r="A458" s="213"/>
      <c r="B458" s="213"/>
      <c r="C458" s="1101"/>
      <c r="D458" s="1101"/>
      <c r="E458" s="1101"/>
      <c r="F458" s="1101"/>
      <c r="G458" s="1101"/>
      <c r="H458" s="1101"/>
      <c r="I458" s="1101"/>
      <c r="J458" s="1101"/>
      <c r="K458" s="1101"/>
      <c r="L458" s="1101"/>
      <c r="M458" s="1101"/>
      <c r="N458" s="1101"/>
      <c r="O458" s="1101"/>
      <c r="P458" s="1101"/>
      <c r="Q458" s="1101"/>
      <c r="R458" s="1101"/>
      <c r="S458" s="1101"/>
      <c r="T458" s="1101"/>
      <c r="U458" s="1101"/>
      <c r="V458" s="1101"/>
      <c r="W458" s="1101"/>
      <c r="X458" s="1101"/>
      <c r="Y458" s="1102"/>
      <c r="Z458" s="1102"/>
      <c r="AA458" s="1101"/>
    </row>
    <row r="459" ht="15.75" customHeight="1">
      <c r="A459" s="213"/>
      <c r="B459" s="213"/>
      <c r="C459" s="1101"/>
      <c r="D459" s="1101"/>
      <c r="E459" s="1101"/>
      <c r="F459" s="1101"/>
      <c r="G459" s="1101"/>
      <c r="H459" s="1101"/>
      <c r="I459" s="1101"/>
      <c r="J459" s="1101"/>
      <c r="K459" s="1101"/>
      <c r="L459" s="1101"/>
      <c r="M459" s="1101"/>
      <c r="N459" s="1101"/>
      <c r="O459" s="1101"/>
      <c r="P459" s="1101"/>
      <c r="Q459" s="1101"/>
      <c r="R459" s="1101"/>
      <c r="S459" s="1101"/>
      <c r="T459" s="1101"/>
      <c r="U459" s="1101"/>
      <c r="V459" s="1101"/>
      <c r="W459" s="1101"/>
      <c r="X459" s="1101"/>
      <c r="Y459" s="1102"/>
      <c r="Z459" s="1102"/>
      <c r="AA459" s="1101"/>
    </row>
    <row r="460" ht="15.75" customHeight="1">
      <c r="A460" s="213"/>
      <c r="B460" s="213"/>
      <c r="C460" s="1101"/>
      <c r="D460" s="1101"/>
      <c r="E460" s="1101"/>
      <c r="F460" s="1101"/>
      <c r="G460" s="1101"/>
      <c r="H460" s="1101"/>
      <c r="I460" s="1101"/>
      <c r="J460" s="1101"/>
      <c r="K460" s="1101"/>
      <c r="L460" s="1101"/>
      <c r="M460" s="1101"/>
      <c r="N460" s="1101"/>
      <c r="O460" s="1101"/>
      <c r="P460" s="1101"/>
      <c r="Q460" s="1101"/>
      <c r="R460" s="1101"/>
      <c r="S460" s="1101"/>
      <c r="T460" s="1101"/>
      <c r="U460" s="1101"/>
      <c r="V460" s="1101"/>
      <c r="W460" s="1101"/>
      <c r="X460" s="1101"/>
      <c r="Y460" s="1102"/>
      <c r="Z460" s="1102"/>
      <c r="AA460" s="1101"/>
    </row>
    <row r="461" ht="15.75" customHeight="1">
      <c r="A461" s="213"/>
      <c r="B461" s="213"/>
      <c r="C461" s="1101"/>
      <c r="D461" s="1101"/>
      <c r="E461" s="1101"/>
      <c r="F461" s="1101"/>
      <c r="G461" s="1101"/>
      <c r="H461" s="1101"/>
      <c r="I461" s="1101"/>
      <c r="J461" s="1101"/>
      <c r="K461" s="1101"/>
      <c r="L461" s="1101"/>
      <c r="M461" s="1101"/>
      <c r="N461" s="1101"/>
      <c r="O461" s="1101"/>
      <c r="P461" s="1101"/>
      <c r="Q461" s="1101"/>
      <c r="R461" s="1101"/>
      <c r="S461" s="1101"/>
      <c r="T461" s="1101"/>
      <c r="U461" s="1101"/>
      <c r="V461" s="1101"/>
      <c r="W461" s="1101"/>
      <c r="X461" s="1101"/>
      <c r="Y461" s="1102"/>
      <c r="Z461" s="1102"/>
      <c r="AA461" s="1101"/>
    </row>
    <row r="462" ht="15.75" customHeight="1">
      <c r="A462" s="213"/>
      <c r="B462" s="213"/>
      <c r="C462" s="1101"/>
      <c r="D462" s="1101"/>
      <c r="E462" s="1101"/>
      <c r="F462" s="1101"/>
      <c r="G462" s="1101"/>
      <c r="H462" s="1101"/>
      <c r="I462" s="1101"/>
      <c r="J462" s="1101"/>
      <c r="K462" s="1101"/>
      <c r="L462" s="1101"/>
      <c r="M462" s="1101"/>
      <c r="N462" s="1101"/>
      <c r="O462" s="1101"/>
      <c r="P462" s="1101"/>
      <c r="Q462" s="1101"/>
      <c r="R462" s="1101"/>
      <c r="S462" s="1101"/>
      <c r="T462" s="1101"/>
      <c r="U462" s="1101"/>
      <c r="V462" s="1101"/>
      <c r="W462" s="1101"/>
      <c r="X462" s="1101"/>
      <c r="Y462" s="1102"/>
      <c r="Z462" s="1102"/>
      <c r="AA462" s="1101"/>
    </row>
    <row r="463" ht="15.75" customHeight="1">
      <c r="A463" s="213"/>
      <c r="B463" s="213"/>
      <c r="C463" s="1101"/>
      <c r="D463" s="1101"/>
      <c r="E463" s="1101"/>
      <c r="F463" s="1101"/>
      <c r="G463" s="1101"/>
      <c r="H463" s="1101"/>
      <c r="I463" s="1101"/>
      <c r="J463" s="1101"/>
      <c r="K463" s="1101"/>
      <c r="L463" s="1101"/>
      <c r="M463" s="1101"/>
      <c r="N463" s="1101"/>
      <c r="O463" s="1101"/>
      <c r="P463" s="1101"/>
      <c r="Q463" s="1101"/>
      <c r="R463" s="1101"/>
      <c r="S463" s="1101"/>
      <c r="T463" s="1101"/>
      <c r="U463" s="1101"/>
      <c r="V463" s="1101"/>
      <c r="W463" s="1101"/>
      <c r="X463" s="1101"/>
      <c r="Y463" s="1102"/>
      <c r="Z463" s="1102"/>
      <c r="AA463" s="1101"/>
    </row>
    <row r="464" ht="15.75" customHeight="1">
      <c r="A464" s="213"/>
      <c r="B464" s="213"/>
      <c r="C464" s="1101"/>
      <c r="D464" s="1101"/>
      <c r="E464" s="1101"/>
      <c r="F464" s="1101"/>
      <c r="G464" s="1101"/>
      <c r="H464" s="1101"/>
      <c r="I464" s="1101"/>
      <c r="J464" s="1101"/>
      <c r="K464" s="1101"/>
      <c r="L464" s="1101"/>
      <c r="M464" s="1101"/>
      <c r="N464" s="1101"/>
      <c r="O464" s="1101"/>
      <c r="P464" s="1101"/>
      <c r="Q464" s="1101"/>
      <c r="R464" s="1101"/>
      <c r="S464" s="1101"/>
      <c r="T464" s="1101"/>
      <c r="U464" s="1101"/>
      <c r="V464" s="1101"/>
      <c r="W464" s="1101"/>
      <c r="X464" s="1101"/>
      <c r="Y464" s="1102"/>
      <c r="Z464" s="1102"/>
      <c r="AA464" s="1101"/>
    </row>
    <row r="465" ht="15.75" customHeight="1">
      <c r="A465" s="213"/>
      <c r="B465" s="213"/>
      <c r="C465" s="1101"/>
      <c r="D465" s="1101"/>
      <c r="E465" s="1101"/>
      <c r="F465" s="1101"/>
      <c r="G465" s="1101"/>
      <c r="H465" s="1101"/>
      <c r="I465" s="1101"/>
      <c r="J465" s="1101"/>
      <c r="K465" s="1101"/>
      <c r="L465" s="1101"/>
      <c r="M465" s="1101"/>
      <c r="N465" s="1101"/>
      <c r="O465" s="1101"/>
      <c r="P465" s="1101"/>
      <c r="Q465" s="1101"/>
      <c r="R465" s="1101"/>
      <c r="S465" s="1101"/>
      <c r="T465" s="1101"/>
      <c r="U465" s="1101"/>
      <c r="V465" s="1101"/>
      <c r="W465" s="1101"/>
      <c r="X465" s="1101"/>
      <c r="Y465" s="1102"/>
      <c r="Z465" s="1102"/>
      <c r="AA465" s="1101"/>
    </row>
    <row r="466" ht="15.75" customHeight="1">
      <c r="A466" s="213"/>
      <c r="B466" s="213"/>
      <c r="C466" s="1101"/>
      <c r="D466" s="1101"/>
      <c r="E466" s="1101"/>
      <c r="F466" s="1101"/>
      <c r="G466" s="1101"/>
      <c r="H466" s="1101"/>
      <c r="I466" s="1101"/>
      <c r="J466" s="1101"/>
      <c r="K466" s="1101"/>
      <c r="L466" s="1101"/>
      <c r="M466" s="1101"/>
      <c r="N466" s="1101"/>
      <c r="O466" s="1101"/>
      <c r="P466" s="1101"/>
      <c r="Q466" s="1101"/>
      <c r="R466" s="1101"/>
      <c r="S466" s="1101"/>
      <c r="T466" s="1101"/>
      <c r="U466" s="1101"/>
      <c r="V466" s="1101"/>
      <c r="W466" s="1101"/>
      <c r="X466" s="1101"/>
      <c r="Y466" s="1102"/>
      <c r="Z466" s="1102"/>
      <c r="AA466" s="1101"/>
    </row>
    <row r="467" ht="15.75" customHeight="1">
      <c r="A467" s="213"/>
      <c r="B467" s="213"/>
      <c r="C467" s="1101"/>
      <c r="D467" s="1101"/>
      <c r="E467" s="1101"/>
      <c r="F467" s="1101"/>
      <c r="G467" s="1101"/>
      <c r="H467" s="1101"/>
      <c r="I467" s="1101"/>
      <c r="J467" s="1101"/>
      <c r="K467" s="1101"/>
      <c r="L467" s="1101"/>
      <c r="M467" s="1101"/>
      <c r="N467" s="1101"/>
      <c r="O467" s="1101"/>
      <c r="P467" s="1101"/>
      <c r="Q467" s="1101"/>
      <c r="R467" s="1101"/>
      <c r="S467" s="1101"/>
      <c r="T467" s="1101"/>
      <c r="U467" s="1101"/>
      <c r="V467" s="1101"/>
      <c r="W467" s="1101"/>
      <c r="X467" s="1101"/>
      <c r="Y467" s="1102"/>
      <c r="Z467" s="1102"/>
      <c r="AA467" s="1101"/>
    </row>
    <row r="468" ht="15.75" customHeight="1">
      <c r="A468" s="213"/>
      <c r="B468" s="213"/>
      <c r="C468" s="1101"/>
      <c r="D468" s="1101"/>
      <c r="E468" s="1101"/>
      <c r="F468" s="1101"/>
      <c r="G468" s="1101"/>
      <c r="H468" s="1101"/>
      <c r="I468" s="1101"/>
      <c r="J468" s="1101"/>
      <c r="K468" s="1101"/>
      <c r="L468" s="1101"/>
      <c r="M468" s="1101"/>
      <c r="N468" s="1101"/>
      <c r="O468" s="1101"/>
      <c r="P468" s="1101"/>
      <c r="Q468" s="1101"/>
      <c r="R468" s="1101"/>
      <c r="S468" s="1101"/>
      <c r="T468" s="1101"/>
      <c r="U468" s="1101"/>
      <c r="V468" s="1101"/>
      <c r="W468" s="1101"/>
      <c r="X468" s="1101"/>
      <c r="Y468" s="1102"/>
      <c r="Z468" s="1102"/>
      <c r="AA468" s="1101"/>
    </row>
    <row r="469" ht="15.75" customHeight="1">
      <c r="A469" s="213"/>
      <c r="B469" s="213"/>
      <c r="C469" s="1101"/>
      <c r="D469" s="1101"/>
      <c r="E469" s="1101"/>
      <c r="F469" s="1101"/>
      <c r="G469" s="1101"/>
      <c r="H469" s="1101"/>
      <c r="I469" s="1101"/>
      <c r="J469" s="1101"/>
      <c r="K469" s="1101"/>
      <c r="L469" s="1101"/>
      <c r="M469" s="1101"/>
      <c r="N469" s="1101"/>
      <c r="O469" s="1101"/>
      <c r="P469" s="1101"/>
      <c r="Q469" s="1101"/>
      <c r="R469" s="1101"/>
      <c r="S469" s="1101"/>
      <c r="T469" s="1101"/>
      <c r="U469" s="1101"/>
      <c r="V469" s="1101"/>
      <c r="W469" s="1101"/>
      <c r="X469" s="1101"/>
      <c r="Y469" s="1102"/>
      <c r="Z469" s="1102"/>
      <c r="AA469" s="1101"/>
    </row>
    <row r="470" ht="15.75" customHeight="1">
      <c r="A470" s="213"/>
      <c r="B470" s="213"/>
      <c r="C470" s="1101"/>
      <c r="D470" s="1101"/>
      <c r="E470" s="1101"/>
      <c r="F470" s="1101"/>
      <c r="G470" s="1101"/>
      <c r="H470" s="1101"/>
      <c r="I470" s="1101"/>
      <c r="J470" s="1101"/>
      <c r="K470" s="1101"/>
      <c r="L470" s="1101"/>
      <c r="M470" s="1101"/>
      <c r="N470" s="1101"/>
      <c r="O470" s="1101"/>
      <c r="P470" s="1101"/>
      <c r="Q470" s="1101"/>
      <c r="R470" s="1101"/>
      <c r="S470" s="1101"/>
      <c r="T470" s="1101"/>
      <c r="U470" s="1101"/>
      <c r="V470" s="1101"/>
      <c r="W470" s="1101"/>
      <c r="X470" s="1101"/>
      <c r="Y470" s="1102"/>
      <c r="Z470" s="1102"/>
      <c r="AA470" s="1101"/>
    </row>
    <row r="471" ht="15.75" customHeight="1">
      <c r="A471" s="213"/>
      <c r="B471" s="213"/>
      <c r="C471" s="1101"/>
      <c r="D471" s="1101"/>
      <c r="E471" s="1101"/>
      <c r="F471" s="1101"/>
      <c r="G471" s="1101"/>
      <c r="H471" s="1101"/>
      <c r="I471" s="1101"/>
      <c r="J471" s="1101"/>
      <c r="K471" s="1101"/>
      <c r="L471" s="1101"/>
      <c r="M471" s="1101"/>
      <c r="N471" s="1101"/>
      <c r="O471" s="1101"/>
      <c r="P471" s="1101"/>
      <c r="Q471" s="1101"/>
      <c r="R471" s="1101"/>
      <c r="S471" s="1101"/>
      <c r="T471" s="1101"/>
      <c r="U471" s="1101"/>
      <c r="V471" s="1101"/>
      <c r="W471" s="1101"/>
      <c r="X471" s="1101"/>
      <c r="Y471" s="1102"/>
      <c r="Z471" s="1102"/>
      <c r="AA471" s="1101"/>
    </row>
    <row r="472" ht="15.75" customHeight="1">
      <c r="A472" s="213"/>
      <c r="B472" s="213"/>
      <c r="C472" s="1101"/>
      <c r="D472" s="1101"/>
      <c r="E472" s="1101"/>
      <c r="F472" s="1101"/>
      <c r="G472" s="1101"/>
      <c r="H472" s="1101"/>
      <c r="I472" s="1101"/>
      <c r="J472" s="1101"/>
      <c r="K472" s="1101"/>
      <c r="L472" s="1101"/>
      <c r="M472" s="1101"/>
      <c r="N472" s="1101"/>
      <c r="O472" s="1101"/>
      <c r="P472" s="1101"/>
      <c r="Q472" s="1101"/>
      <c r="R472" s="1101"/>
      <c r="S472" s="1101"/>
      <c r="T472" s="1101"/>
      <c r="U472" s="1101"/>
      <c r="V472" s="1101"/>
      <c r="W472" s="1101"/>
      <c r="X472" s="1101"/>
      <c r="Y472" s="1102"/>
      <c r="Z472" s="1102"/>
      <c r="AA472" s="1101"/>
    </row>
    <row r="473" ht="15.75" customHeight="1">
      <c r="A473" s="213"/>
      <c r="B473" s="213"/>
      <c r="C473" s="1101"/>
      <c r="D473" s="1101"/>
      <c r="E473" s="1101"/>
      <c r="F473" s="1101"/>
      <c r="G473" s="1101"/>
      <c r="H473" s="1101"/>
      <c r="I473" s="1101"/>
      <c r="J473" s="1101"/>
      <c r="K473" s="1101"/>
      <c r="L473" s="1101"/>
      <c r="M473" s="1101"/>
      <c r="N473" s="1101"/>
      <c r="O473" s="1101"/>
      <c r="P473" s="1101"/>
      <c r="Q473" s="1101"/>
      <c r="R473" s="1101"/>
      <c r="S473" s="1101"/>
      <c r="T473" s="1101"/>
      <c r="U473" s="1101"/>
      <c r="V473" s="1101"/>
      <c r="W473" s="1101"/>
      <c r="X473" s="1101"/>
      <c r="Y473" s="1102"/>
      <c r="Z473" s="1102"/>
      <c r="AA473" s="1101"/>
    </row>
    <row r="474" ht="15.75" customHeight="1">
      <c r="A474" s="213"/>
      <c r="B474" s="213"/>
      <c r="C474" s="1101"/>
      <c r="D474" s="1101"/>
      <c r="E474" s="1101"/>
      <c r="F474" s="1101"/>
      <c r="G474" s="1101"/>
      <c r="H474" s="1101"/>
      <c r="I474" s="1101"/>
      <c r="J474" s="1101"/>
      <c r="K474" s="1101"/>
      <c r="L474" s="1101"/>
      <c r="M474" s="1101"/>
      <c r="N474" s="1101"/>
      <c r="O474" s="1101"/>
      <c r="P474" s="1101"/>
      <c r="Q474" s="1101"/>
      <c r="R474" s="1101"/>
      <c r="S474" s="1101"/>
      <c r="T474" s="1101"/>
      <c r="U474" s="1101"/>
      <c r="V474" s="1101"/>
      <c r="W474" s="1101"/>
      <c r="X474" s="1101"/>
      <c r="Y474" s="1102"/>
      <c r="Z474" s="1102"/>
      <c r="AA474" s="1101"/>
    </row>
    <row r="475" ht="15.75" customHeight="1">
      <c r="A475" s="213"/>
      <c r="B475" s="213"/>
      <c r="C475" s="1101"/>
      <c r="D475" s="1101"/>
      <c r="E475" s="1101"/>
      <c r="F475" s="1101"/>
      <c r="G475" s="1101"/>
      <c r="H475" s="1101"/>
      <c r="I475" s="1101"/>
      <c r="J475" s="1101"/>
      <c r="K475" s="1101"/>
      <c r="L475" s="1101"/>
      <c r="M475" s="1101"/>
      <c r="N475" s="1101"/>
      <c r="O475" s="1101"/>
      <c r="P475" s="1101"/>
      <c r="Q475" s="1101"/>
      <c r="R475" s="1101"/>
      <c r="S475" s="1101"/>
      <c r="T475" s="1101"/>
      <c r="U475" s="1101"/>
      <c r="V475" s="1101"/>
      <c r="W475" s="1101"/>
      <c r="X475" s="1101"/>
      <c r="Y475" s="1102"/>
      <c r="Z475" s="1102"/>
      <c r="AA475" s="1101"/>
    </row>
    <row r="476" ht="15.75" customHeight="1">
      <c r="A476" s="213"/>
      <c r="B476" s="213"/>
      <c r="C476" s="1101"/>
      <c r="D476" s="1101"/>
      <c r="E476" s="1101"/>
      <c r="F476" s="1101"/>
      <c r="G476" s="1101"/>
      <c r="H476" s="1101"/>
      <c r="I476" s="1101"/>
      <c r="J476" s="1101"/>
      <c r="K476" s="1101"/>
      <c r="L476" s="1101"/>
      <c r="M476" s="1101"/>
      <c r="N476" s="1101"/>
      <c r="O476" s="1101"/>
      <c r="P476" s="1101"/>
      <c r="Q476" s="1101"/>
      <c r="R476" s="1101"/>
      <c r="S476" s="1101"/>
      <c r="T476" s="1101"/>
      <c r="U476" s="1101"/>
      <c r="V476" s="1101"/>
      <c r="W476" s="1101"/>
      <c r="X476" s="1101"/>
      <c r="Y476" s="1102"/>
      <c r="Z476" s="1102"/>
      <c r="AA476" s="1101"/>
    </row>
    <row r="477" ht="15.75" customHeight="1">
      <c r="A477" s="213"/>
      <c r="B477" s="213"/>
      <c r="C477" s="1101"/>
      <c r="D477" s="1101"/>
      <c r="E477" s="1101"/>
      <c r="F477" s="1101"/>
      <c r="G477" s="1101"/>
      <c r="H477" s="1101"/>
      <c r="I477" s="1101"/>
      <c r="J477" s="1101"/>
      <c r="K477" s="1101"/>
      <c r="L477" s="1101"/>
      <c r="M477" s="1101"/>
      <c r="N477" s="1101"/>
      <c r="O477" s="1101"/>
      <c r="P477" s="1101"/>
      <c r="Q477" s="1101"/>
      <c r="R477" s="1101"/>
      <c r="S477" s="1101"/>
      <c r="T477" s="1101"/>
      <c r="U477" s="1101"/>
      <c r="V477" s="1101"/>
      <c r="W477" s="1101"/>
      <c r="X477" s="1101"/>
      <c r="Y477" s="1102"/>
      <c r="Z477" s="1102"/>
      <c r="AA477" s="1101"/>
    </row>
    <row r="478" ht="15.75" customHeight="1">
      <c r="A478" s="213"/>
      <c r="B478" s="213"/>
      <c r="C478" s="1101"/>
      <c r="D478" s="1101"/>
      <c r="E478" s="1101"/>
      <c r="F478" s="1101"/>
      <c r="G478" s="1101"/>
      <c r="H478" s="1101"/>
      <c r="I478" s="1101"/>
      <c r="J478" s="1101"/>
      <c r="K478" s="1101"/>
      <c r="L478" s="1101"/>
      <c r="M478" s="1101"/>
      <c r="N478" s="1101"/>
      <c r="O478" s="1101"/>
      <c r="P478" s="1101"/>
      <c r="Q478" s="1101"/>
      <c r="R478" s="1101"/>
      <c r="S478" s="1101"/>
      <c r="T478" s="1101"/>
      <c r="U478" s="1101"/>
      <c r="V478" s="1101"/>
      <c r="W478" s="1101"/>
      <c r="X478" s="1101"/>
      <c r="Y478" s="1102"/>
      <c r="Z478" s="1102"/>
      <c r="AA478" s="1101"/>
    </row>
    <row r="479" ht="15.75" customHeight="1">
      <c r="A479" s="213"/>
      <c r="B479" s="213"/>
      <c r="C479" s="1101"/>
      <c r="D479" s="1101"/>
      <c r="E479" s="1101"/>
      <c r="F479" s="1101"/>
      <c r="G479" s="1101"/>
      <c r="H479" s="1101"/>
      <c r="I479" s="1101"/>
      <c r="J479" s="1101"/>
      <c r="K479" s="1101"/>
      <c r="L479" s="1101"/>
      <c r="M479" s="1101"/>
      <c r="N479" s="1101"/>
      <c r="O479" s="1101"/>
      <c r="P479" s="1101"/>
      <c r="Q479" s="1101"/>
      <c r="R479" s="1101"/>
      <c r="S479" s="1101"/>
      <c r="T479" s="1101"/>
      <c r="U479" s="1101"/>
      <c r="V479" s="1101"/>
      <c r="W479" s="1101"/>
      <c r="X479" s="1101"/>
      <c r="Y479" s="1102"/>
      <c r="Z479" s="1102"/>
      <c r="AA479" s="1101"/>
    </row>
    <row r="480" ht="15.75" customHeight="1">
      <c r="A480" s="213"/>
      <c r="B480" s="213"/>
      <c r="C480" s="1101"/>
      <c r="D480" s="1101"/>
      <c r="E480" s="1101"/>
      <c r="F480" s="1101"/>
      <c r="G480" s="1101"/>
      <c r="H480" s="1101"/>
      <c r="I480" s="1101"/>
      <c r="J480" s="1101"/>
      <c r="K480" s="1101"/>
      <c r="L480" s="1101"/>
      <c r="M480" s="1101"/>
      <c r="N480" s="1101"/>
      <c r="O480" s="1101"/>
      <c r="P480" s="1101"/>
      <c r="Q480" s="1101"/>
      <c r="R480" s="1101"/>
      <c r="S480" s="1101"/>
      <c r="T480" s="1101"/>
      <c r="U480" s="1101"/>
      <c r="V480" s="1101"/>
      <c r="W480" s="1101"/>
      <c r="X480" s="1101"/>
      <c r="Y480" s="1102"/>
      <c r="Z480" s="1102"/>
      <c r="AA480" s="1101"/>
    </row>
    <row r="481" ht="15.75" customHeight="1">
      <c r="A481" s="213"/>
      <c r="B481" s="213"/>
      <c r="C481" s="1101"/>
      <c r="D481" s="1101"/>
      <c r="E481" s="1101"/>
      <c r="F481" s="1101"/>
      <c r="G481" s="1101"/>
      <c r="H481" s="1101"/>
      <c r="I481" s="1101"/>
      <c r="J481" s="1101"/>
      <c r="K481" s="1101"/>
      <c r="L481" s="1101"/>
      <c r="M481" s="1101"/>
      <c r="N481" s="1101"/>
      <c r="O481" s="1101"/>
      <c r="P481" s="1101"/>
      <c r="Q481" s="1101"/>
      <c r="R481" s="1101"/>
      <c r="S481" s="1101"/>
      <c r="T481" s="1101"/>
      <c r="U481" s="1101"/>
      <c r="V481" s="1101"/>
      <c r="W481" s="1101"/>
      <c r="X481" s="1101"/>
      <c r="Y481" s="1102"/>
      <c r="Z481" s="1102"/>
      <c r="AA481" s="1101"/>
    </row>
    <row r="482" ht="15.75" customHeight="1">
      <c r="A482" s="213"/>
      <c r="B482" s="213"/>
      <c r="C482" s="1101"/>
      <c r="D482" s="1101"/>
      <c r="E482" s="1101"/>
      <c r="F482" s="1101"/>
      <c r="G482" s="1101"/>
      <c r="H482" s="1101"/>
      <c r="I482" s="1101"/>
      <c r="J482" s="1101"/>
      <c r="K482" s="1101"/>
      <c r="L482" s="1101"/>
      <c r="M482" s="1101"/>
      <c r="N482" s="1101"/>
      <c r="O482" s="1101"/>
      <c r="P482" s="1101"/>
      <c r="Q482" s="1101"/>
      <c r="R482" s="1101"/>
      <c r="S482" s="1101"/>
      <c r="T482" s="1101"/>
      <c r="U482" s="1101"/>
      <c r="V482" s="1101"/>
      <c r="W482" s="1101"/>
      <c r="X482" s="1101"/>
      <c r="Y482" s="1102"/>
      <c r="Z482" s="1102"/>
      <c r="AA482" s="1101"/>
    </row>
    <row r="483" ht="15.75" customHeight="1">
      <c r="A483" s="213"/>
      <c r="B483" s="213"/>
      <c r="C483" s="1101"/>
      <c r="D483" s="1101"/>
      <c r="E483" s="1101"/>
      <c r="F483" s="1101"/>
      <c r="G483" s="1101"/>
      <c r="H483" s="1101"/>
      <c r="I483" s="1101"/>
      <c r="J483" s="1101"/>
      <c r="K483" s="1101"/>
      <c r="L483" s="1101"/>
      <c r="M483" s="1101"/>
      <c r="N483" s="1101"/>
      <c r="O483" s="1101"/>
      <c r="P483" s="1101"/>
      <c r="Q483" s="1101"/>
      <c r="R483" s="1101"/>
      <c r="S483" s="1101"/>
      <c r="T483" s="1101"/>
      <c r="U483" s="1101"/>
      <c r="V483" s="1101"/>
      <c r="W483" s="1101"/>
      <c r="X483" s="1101"/>
      <c r="Y483" s="1102"/>
      <c r="Z483" s="1102"/>
      <c r="AA483" s="1101"/>
    </row>
    <row r="484" ht="15.75" customHeight="1">
      <c r="A484" s="213"/>
      <c r="B484" s="213"/>
      <c r="C484" s="1101"/>
      <c r="D484" s="1101"/>
      <c r="E484" s="1101"/>
      <c r="F484" s="1101"/>
      <c r="G484" s="1101"/>
      <c r="H484" s="1101"/>
      <c r="I484" s="1101"/>
      <c r="J484" s="1101"/>
      <c r="K484" s="1101"/>
      <c r="L484" s="1101"/>
      <c r="M484" s="1101"/>
      <c r="N484" s="1101"/>
      <c r="O484" s="1101"/>
      <c r="P484" s="1101"/>
      <c r="Q484" s="1101"/>
      <c r="R484" s="1101"/>
      <c r="S484" s="1101"/>
      <c r="T484" s="1101"/>
      <c r="U484" s="1101"/>
      <c r="V484" s="1101"/>
      <c r="W484" s="1101"/>
      <c r="X484" s="1101"/>
      <c r="Y484" s="1102"/>
      <c r="Z484" s="1102"/>
      <c r="AA484" s="1101"/>
    </row>
    <row r="485" ht="15.75" customHeight="1">
      <c r="A485" s="213"/>
      <c r="B485" s="213"/>
      <c r="C485" s="1101"/>
      <c r="D485" s="1101"/>
      <c r="E485" s="1101"/>
      <c r="F485" s="1101"/>
      <c r="G485" s="1101"/>
      <c r="H485" s="1101"/>
      <c r="I485" s="1101"/>
      <c r="J485" s="1101"/>
      <c r="K485" s="1101"/>
      <c r="L485" s="1101"/>
      <c r="M485" s="1101"/>
      <c r="N485" s="1101"/>
      <c r="O485" s="1101"/>
      <c r="P485" s="1101"/>
      <c r="Q485" s="1101"/>
      <c r="R485" s="1101"/>
      <c r="S485" s="1101"/>
      <c r="T485" s="1101"/>
      <c r="U485" s="1101"/>
      <c r="V485" s="1101"/>
      <c r="W485" s="1101"/>
      <c r="X485" s="1101"/>
      <c r="Y485" s="1102"/>
      <c r="Z485" s="1102"/>
      <c r="AA485" s="1101"/>
    </row>
    <row r="486" ht="15.75" customHeight="1">
      <c r="A486" s="213"/>
      <c r="B486" s="213"/>
      <c r="C486" s="1101"/>
      <c r="D486" s="1101"/>
      <c r="E486" s="1101"/>
      <c r="F486" s="1101"/>
      <c r="G486" s="1101"/>
      <c r="H486" s="1101"/>
      <c r="I486" s="1101"/>
      <c r="J486" s="1101"/>
      <c r="K486" s="1101"/>
      <c r="L486" s="1101"/>
      <c r="M486" s="1101"/>
      <c r="N486" s="1101"/>
      <c r="O486" s="1101"/>
      <c r="P486" s="1101"/>
      <c r="Q486" s="1101"/>
      <c r="R486" s="1101"/>
      <c r="S486" s="1101"/>
      <c r="T486" s="1101"/>
      <c r="U486" s="1101"/>
      <c r="V486" s="1101"/>
      <c r="W486" s="1101"/>
      <c r="X486" s="1101"/>
      <c r="Y486" s="1102"/>
      <c r="Z486" s="1102"/>
      <c r="AA486" s="1101"/>
    </row>
    <row r="487" ht="15.75" customHeight="1">
      <c r="A487" s="213"/>
      <c r="B487" s="213"/>
      <c r="C487" s="1101"/>
      <c r="D487" s="1101"/>
      <c r="E487" s="1101"/>
      <c r="F487" s="1101"/>
      <c r="G487" s="1101"/>
      <c r="H487" s="1101"/>
      <c r="I487" s="1101"/>
      <c r="J487" s="1101"/>
      <c r="K487" s="1101"/>
      <c r="L487" s="1101"/>
      <c r="M487" s="1101"/>
      <c r="N487" s="1101"/>
      <c r="O487" s="1101"/>
      <c r="P487" s="1101"/>
      <c r="Q487" s="1101"/>
      <c r="R487" s="1101"/>
      <c r="S487" s="1101"/>
      <c r="T487" s="1101"/>
      <c r="U487" s="1101"/>
      <c r="V487" s="1101"/>
      <c r="W487" s="1101"/>
      <c r="X487" s="1101"/>
      <c r="Y487" s="1102"/>
      <c r="Z487" s="1102"/>
      <c r="AA487" s="1101"/>
    </row>
    <row r="488" ht="15.75" customHeight="1">
      <c r="A488" s="213"/>
      <c r="B488" s="213"/>
      <c r="C488" s="1101"/>
      <c r="D488" s="1101"/>
      <c r="E488" s="1101"/>
      <c r="F488" s="1101"/>
      <c r="G488" s="1101"/>
      <c r="H488" s="1101"/>
      <c r="I488" s="1101"/>
      <c r="J488" s="1101"/>
      <c r="K488" s="1101"/>
      <c r="L488" s="1101"/>
      <c r="M488" s="1101"/>
      <c r="N488" s="1101"/>
      <c r="O488" s="1101"/>
      <c r="P488" s="1101"/>
      <c r="Q488" s="1101"/>
      <c r="R488" s="1101"/>
      <c r="S488" s="1101"/>
      <c r="T488" s="1101"/>
      <c r="U488" s="1101"/>
      <c r="V488" s="1101"/>
      <c r="W488" s="1101"/>
      <c r="X488" s="1101"/>
      <c r="Y488" s="1102"/>
      <c r="Z488" s="1102"/>
      <c r="AA488" s="1101"/>
    </row>
    <row r="489" ht="15.75" customHeight="1">
      <c r="A489" s="213"/>
      <c r="B489" s="213"/>
      <c r="C489" s="1101"/>
      <c r="D489" s="1101"/>
      <c r="E489" s="1101"/>
      <c r="F489" s="1101"/>
      <c r="G489" s="1101"/>
      <c r="H489" s="1101"/>
      <c r="I489" s="1101"/>
      <c r="J489" s="1101"/>
      <c r="K489" s="1101"/>
      <c r="L489" s="1101"/>
      <c r="M489" s="1101"/>
      <c r="N489" s="1101"/>
      <c r="O489" s="1101"/>
      <c r="P489" s="1101"/>
      <c r="Q489" s="1101"/>
      <c r="R489" s="1101"/>
      <c r="S489" s="1101"/>
      <c r="T489" s="1101"/>
      <c r="U489" s="1101"/>
      <c r="V489" s="1101"/>
      <c r="W489" s="1101"/>
      <c r="X489" s="1101"/>
      <c r="Y489" s="1102"/>
      <c r="Z489" s="1102"/>
      <c r="AA489" s="1101"/>
    </row>
    <row r="490" ht="15.75" customHeight="1">
      <c r="A490" s="213"/>
      <c r="B490" s="213"/>
      <c r="C490" s="1101"/>
      <c r="D490" s="1101"/>
      <c r="E490" s="1101"/>
      <c r="F490" s="1101"/>
      <c r="G490" s="1101"/>
      <c r="H490" s="1101"/>
      <c r="I490" s="1101"/>
      <c r="J490" s="1101"/>
      <c r="K490" s="1101"/>
      <c r="L490" s="1101"/>
      <c r="M490" s="1101"/>
      <c r="N490" s="1101"/>
      <c r="O490" s="1101"/>
      <c r="P490" s="1101"/>
      <c r="Q490" s="1101"/>
      <c r="R490" s="1101"/>
      <c r="S490" s="1101"/>
      <c r="T490" s="1101"/>
      <c r="U490" s="1101"/>
      <c r="V490" s="1101"/>
      <c r="W490" s="1101"/>
      <c r="X490" s="1101"/>
      <c r="Y490" s="1102"/>
      <c r="Z490" s="1102"/>
      <c r="AA490" s="1101"/>
    </row>
    <row r="491" ht="15.75" customHeight="1">
      <c r="A491" s="213"/>
      <c r="B491" s="213"/>
      <c r="C491" s="1101"/>
      <c r="D491" s="1101"/>
      <c r="E491" s="1101"/>
      <c r="F491" s="1101"/>
      <c r="G491" s="1101"/>
      <c r="H491" s="1101"/>
      <c r="I491" s="1101"/>
      <c r="J491" s="1101"/>
      <c r="K491" s="1101"/>
      <c r="L491" s="1101"/>
      <c r="M491" s="1101"/>
      <c r="N491" s="1101"/>
      <c r="O491" s="1101"/>
      <c r="P491" s="1101"/>
      <c r="Q491" s="1101"/>
      <c r="R491" s="1101"/>
      <c r="S491" s="1101"/>
      <c r="T491" s="1101"/>
      <c r="U491" s="1101"/>
      <c r="V491" s="1101"/>
      <c r="W491" s="1101"/>
      <c r="X491" s="1101"/>
      <c r="Y491" s="1102"/>
      <c r="Z491" s="1102"/>
      <c r="AA491" s="1101"/>
    </row>
    <row r="492" ht="15.75" customHeight="1">
      <c r="A492" s="213"/>
      <c r="B492" s="213"/>
      <c r="C492" s="1101"/>
      <c r="D492" s="1101"/>
      <c r="E492" s="1101"/>
      <c r="F492" s="1101"/>
      <c r="G492" s="1101"/>
      <c r="H492" s="1101"/>
      <c r="I492" s="1101"/>
      <c r="J492" s="1101"/>
      <c r="K492" s="1101"/>
      <c r="L492" s="1101"/>
      <c r="M492" s="1101"/>
      <c r="N492" s="1101"/>
      <c r="O492" s="1101"/>
      <c r="P492" s="1101"/>
      <c r="Q492" s="1101"/>
      <c r="R492" s="1101"/>
      <c r="S492" s="1101"/>
      <c r="T492" s="1101"/>
      <c r="U492" s="1101"/>
      <c r="V492" s="1101"/>
      <c r="W492" s="1101"/>
      <c r="X492" s="1101"/>
      <c r="Y492" s="1102"/>
      <c r="Z492" s="1102"/>
      <c r="AA492" s="1101"/>
    </row>
    <row r="493" ht="15.75" customHeight="1">
      <c r="A493" s="213"/>
      <c r="B493" s="213"/>
      <c r="C493" s="1101"/>
      <c r="D493" s="1101"/>
      <c r="E493" s="1101"/>
      <c r="F493" s="1101"/>
      <c r="G493" s="1101"/>
      <c r="H493" s="1101"/>
      <c r="I493" s="1101"/>
      <c r="J493" s="1101"/>
      <c r="K493" s="1101"/>
      <c r="L493" s="1101"/>
      <c r="M493" s="1101"/>
      <c r="N493" s="1101"/>
      <c r="O493" s="1101"/>
      <c r="P493" s="1101"/>
      <c r="Q493" s="1101"/>
      <c r="R493" s="1101"/>
      <c r="S493" s="1101"/>
      <c r="T493" s="1101"/>
      <c r="U493" s="1101"/>
      <c r="V493" s="1101"/>
      <c r="W493" s="1101"/>
      <c r="X493" s="1101"/>
      <c r="Y493" s="1102"/>
      <c r="Z493" s="1102"/>
      <c r="AA493" s="1101"/>
    </row>
    <row r="494" ht="15.75" customHeight="1">
      <c r="A494" s="213"/>
      <c r="B494" s="213"/>
      <c r="C494" s="1101"/>
      <c r="D494" s="1101"/>
      <c r="E494" s="1101"/>
      <c r="F494" s="1101"/>
      <c r="G494" s="1101"/>
      <c r="H494" s="1101"/>
      <c r="I494" s="1101"/>
      <c r="J494" s="1101"/>
      <c r="K494" s="1101"/>
      <c r="L494" s="1101"/>
      <c r="M494" s="1101"/>
      <c r="N494" s="1101"/>
      <c r="O494" s="1101"/>
      <c r="P494" s="1101"/>
      <c r="Q494" s="1101"/>
      <c r="R494" s="1101"/>
      <c r="S494" s="1101"/>
      <c r="T494" s="1101"/>
      <c r="U494" s="1101"/>
      <c r="V494" s="1101"/>
      <c r="W494" s="1101"/>
      <c r="X494" s="1101"/>
      <c r="Y494" s="1102"/>
      <c r="Z494" s="1102"/>
      <c r="AA494" s="1101"/>
    </row>
    <row r="495" ht="15.75" customHeight="1">
      <c r="A495" s="213"/>
      <c r="B495" s="213"/>
      <c r="C495" s="1101"/>
      <c r="D495" s="1101"/>
      <c r="E495" s="1101"/>
      <c r="F495" s="1101"/>
      <c r="G495" s="1101"/>
      <c r="H495" s="1101"/>
      <c r="I495" s="1101"/>
      <c r="J495" s="1101"/>
      <c r="K495" s="1101"/>
      <c r="L495" s="1101"/>
      <c r="M495" s="1101"/>
      <c r="N495" s="1101"/>
      <c r="O495" s="1101"/>
      <c r="P495" s="1101"/>
      <c r="Q495" s="1101"/>
      <c r="R495" s="1101"/>
      <c r="S495" s="1101"/>
      <c r="T495" s="1101"/>
      <c r="U495" s="1101"/>
      <c r="V495" s="1101"/>
      <c r="W495" s="1101"/>
      <c r="X495" s="1101"/>
      <c r="Y495" s="1102"/>
      <c r="Z495" s="1102"/>
      <c r="AA495" s="1101"/>
    </row>
    <row r="496" ht="15.75" customHeight="1">
      <c r="A496" s="213"/>
      <c r="B496" s="213"/>
      <c r="C496" s="1101"/>
      <c r="D496" s="1101"/>
      <c r="E496" s="1101"/>
      <c r="F496" s="1101"/>
      <c r="G496" s="1101"/>
      <c r="H496" s="1101"/>
      <c r="I496" s="1101"/>
      <c r="J496" s="1101"/>
      <c r="K496" s="1101"/>
      <c r="L496" s="1101"/>
      <c r="M496" s="1101"/>
      <c r="N496" s="1101"/>
      <c r="O496" s="1101"/>
      <c r="P496" s="1101"/>
      <c r="Q496" s="1101"/>
      <c r="R496" s="1101"/>
      <c r="S496" s="1101"/>
      <c r="T496" s="1101"/>
      <c r="U496" s="1101"/>
      <c r="V496" s="1101"/>
      <c r="W496" s="1101"/>
      <c r="X496" s="1101"/>
      <c r="Y496" s="1102"/>
      <c r="Z496" s="1102"/>
      <c r="AA496" s="1101"/>
    </row>
    <row r="497" ht="15.75" customHeight="1">
      <c r="A497" s="213"/>
      <c r="B497" s="213"/>
      <c r="C497" s="1101"/>
      <c r="D497" s="1101"/>
      <c r="E497" s="1101"/>
      <c r="F497" s="1101"/>
      <c r="G497" s="1101"/>
      <c r="H497" s="1101"/>
      <c r="I497" s="1101"/>
      <c r="J497" s="1101"/>
      <c r="K497" s="1101"/>
      <c r="L497" s="1101"/>
      <c r="M497" s="1101"/>
      <c r="N497" s="1101"/>
      <c r="O497" s="1101"/>
      <c r="P497" s="1101"/>
      <c r="Q497" s="1101"/>
      <c r="R497" s="1101"/>
      <c r="S497" s="1101"/>
      <c r="T497" s="1101"/>
      <c r="U497" s="1101"/>
      <c r="V497" s="1101"/>
      <c r="W497" s="1101"/>
      <c r="X497" s="1101"/>
      <c r="Y497" s="1102"/>
      <c r="Z497" s="1102"/>
      <c r="AA497" s="1101"/>
    </row>
    <row r="498" ht="15.75" customHeight="1">
      <c r="A498" s="213"/>
      <c r="B498" s="213"/>
      <c r="C498" s="1101"/>
      <c r="D498" s="1101"/>
      <c r="E498" s="1101"/>
      <c r="F498" s="1101"/>
      <c r="G498" s="1101"/>
      <c r="H498" s="1101"/>
      <c r="I498" s="1101"/>
      <c r="J498" s="1101"/>
      <c r="K498" s="1101"/>
      <c r="L498" s="1101"/>
      <c r="M498" s="1101"/>
      <c r="N498" s="1101"/>
      <c r="O498" s="1101"/>
      <c r="P498" s="1101"/>
      <c r="Q498" s="1101"/>
      <c r="R498" s="1101"/>
      <c r="S498" s="1101"/>
      <c r="T498" s="1101"/>
      <c r="U498" s="1101"/>
      <c r="V498" s="1101"/>
      <c r="W498" s="1101"/>
      <c r="X498" s="1101"/>
      <c r="Y498" s="1102"/>
      <c r="Z498" s="1102"/>
      <c r="AA498" s="1101"/>
    </row>
    <row r="499" ht="15.75" customHeight="1">
      <c r="A499" s="213"/>
      <c r="B499" s="213"/>
      <c r="C499" s="1101"/>
      <c r="D499" s="1101"/>
      <c r="E499" s="1101"/>
      <c r="F499" s="1101"/>
      <c r="G499" s="1101"/>
      <c r="H499" s="1101"/>
      <c r="I499" s="1101"/>
      <c r="J499" s="1101"/>
      <c r="K499" s="1101"/>
      <c r="L499" s="1101"/>
      <c r="M499" s="1101"/>
      <c r="N499" s="1101"/>
      <c r="O499" s="1101"/>
      <c r="P499" s="1101"/>
      <c r="Q499" s="1101"/>
      <c r="R499" s="1101"/>
      <c r="S499" s="1101"/>
      <c r="T499" s="1101"/>
      <c r="U499" s="1101"/>
      <c r="V499" s="1101"/>
      <c r="W499" s="1101"/>
      <c r="X499" s="1101"/>
      <c r="Y499" s="1102"/>
      <c r="Z499" s="1102"/>
      <c r="AA499" s="1101"/>
    </row>
    <row r="500" ht="15.75" customHeight="1">
      <c r="A500" s="213"/>
      <c r="B500" s="213"/>
      <c r="C500" s="1101"/>
      <c r="D500" s="1101"/>
      <c r="E500" s="1101"/>
      <c r="F500" s="1101"/>
      <c r="G500" s="1101"/>
      <c r="H500" s="1101"/>
      <c r="I500" s="1101"/>
      <c r="J500" s="1101"/>
      <c r="K500" s="1101"/>
      <c r="L500" s="1101"/>
      <c r="M500" s="1101"/>
      <c r="N500" s="1101"/>
      <c r="O500" s="1101"/>
      <c r="P500" s="1101"/>
      <c r="Q500" s="1101"/>
      <c r="R500" s="1101"/>
      <c r="S500" s="1101"/>
      <c r="T500" s="1101"/>
      <c r="U500" s="1101"/>
      <c r="V500" s="1101"/>
      <c r="W500" s="1101"/>
      <c r="X500" s="1101"/>
      <c r="Y500" s="1102"/>
      <c r="Z500" s="1102"/>
      <c r="AA500" s="1101"/>
    </row>
    <row r="501" ht="15.75" customHeight="1">
      <c r="A501" s="213"/>
      <c r="B501" s="213"/>
      <c r="C501" s="1101"/>
      <c r="D501" s="1101"/>
      <c r="E501" s="1101"/>
      <c r="F501" s="1101"/>
      <c r="G501" s="1101"/>
      <c r="H501" s="1101"/>
      <c r="I501" s="1101"/>
      <c r="J501" s="1101"/>
      <c r="K501" s="1101"/>
      <c r="L501" s="1101"/>
      <c r="M501" s="1101"/>
      <c r="N501" s="1101"/>
      <c r="O501" s="1101"/>
      <c r="P501" s="1101"/>
      <c r="Q501" s="1101"/>
      <c r="R501" s="1101"/>
      <c r="S501" s="1101"/>
      <c r="T501" s="1101"/>
      <c r="U501" s="1101"/>
      <c r="V501" s="1101"/>
      <c r="W501" s="1101"/>
      <c r="X501" s="1101"/>
      <c r="Y501" s="1102"/>
      <c r="Z501" s="1102"/>
      <c r="AA501" s="1101"/>
    </row>
    <row r="502" ht="15.75" customHeight="1">
      <c r="A502" s="213"/>
      <c r="B502" s="213"/>
      <c r="C502" s="1101"/>
      <c r="D502" s="1101"/>
      <c r="E502" s="1101"/>
      <c r="F502" s="1101"/>
      <c r="G502" s="1101"/>
      <c r="H502" s="1101"/>
      <c r="I502" s="1101"/>
      <c r="J502" s="1101"/>
      <c r="K502" s="1101"/>
      <c r="L502" s="1101"/>
      <c r="M502" s="1101"/>
      <c r="N502" s="1101"/>
      <c r="O502" s="1101"/>
      <c r="P502" s="1101"/>
      <c r="Q502" s="1101"/>
      <c r="R502" s="1101"/>
      <c r="S502" s="1101"/>
      <c r="T502" s="1101"/>
      <c r="U502" s="1101"/>
      <c r="V502" s="1101"/>
      <c r="W502" s="1101"/>
      <c r="X502" s="1101"/>
      <c r="Y502" s="1102"/>
      <c r="Z502" s="1102"/>
      <c r="AA502" s="1101"/>
    </row>
    <row r="503" ht="15.75" customHeight="1">
      <c r="A503" s="213"/>
      <c r="B503" s="213"/>
      <c r="C503" s="1101"/>
      <c r="D503" s="1101"/>
      <c r="E503" s="1101"/>
      <c r="F503" s="1101"/>
      <c r="G503" s="1101"/>
      <c r="H503" s="1101"/>
      <c r="I503" s="1101"/>
      <c r="J503" s="1101"/>
      <c r="K503" s="1101"/>
      <c r="L503" s="1101"/>
      <c r="M503" s="1101"/>
      <c r="N503" s="1101"/>
      <c r="O503" s="1101"/>
      <c r="P503" s="1101"/>
      <c r="Q503" s="1101"/>
      <c r="R503" s="1101"/>
      <c r="S503" s="1101"/>
      <c r="T503" s="1101"/>
      <c r="U503" s="1101"/>
      <c r="V503" s="1101"/>
      <c r="W503" s="1101"/>
      <c r="X503" s="1101"/>
      <c r="Y503" s="1102"/>
      <c r="Z503" s="1102"/>
      <c r="AA503" s="1101"/>
    </row>
    <row r="504" ht="15.75" customHeight="1">
      <c r="A504" s="213"/>
      <c r="B504" s="213"/>
      <c r="C504" s="1101"/>
      <c r="D504" s="1101"/>
      <c r="E504" s="1101"/>
      <c r="F504" s="1101"/>
      <c r="G504" s="1101"/>
      <c r="H504" s="1101"/>
      <c r="I504" s="1101"/>
      <c r="J504" s="1101"/>
      <c r="K504" s="1101"/>
      <c r="L504" s="1101"/>
      <c r="M504" s="1101"/>
      <c r="N504" s="1101"/>
      <c r="O504" s="1101"/>
      <c r="P504" s="1101"/>
      <c r="Q504" s="1101"/>
      <c r="R504" s="1101"/>
      <c r="S504" s="1101"/>
      <c r="T504" s="1101"/>
      <c r="U504" s="1101"/>
      <c r="V504" s="1101"/>
      <c r="W504" s="1101"/>
      <c r="X504" s="1101"/>
      <c r="Y504" s="1102"/>
      <c r="Z504" s="1102"/>
      <c r="AA504" s="1101"/>
    </row>
    <row r="505" ht="15.75" customHeight="1">
      <c r="A505" s="213"/>
      <c r="B505" s="213"/>
      <c r="C505" s="1101"/>
      <c r="D505" s="1101"/>
      <c r="E505" s="1101"/>
      <c r="F505" s="1101"/>
      <c r="G505" s="1101"/>
      <c r="H505" s="1101"/>
      <c r="I505" s="1101"/>
      <c r="J505" s="1101"/>
      <c r="K505" s="1101"/>
      <c r="L505" s="1101"/>
      <c r="M505" s="1101"/>
      <c r="N505" s="1101"/>
      <c r="O505" s="1101"/>
      <c r="P505" s="1101"/>
      <c r="Q505" s="1101"/>
      <c r="R505" s="1101"/>
      <c r="S505" s="1101"/>
      <c r="T505" s="1101"/>
      <c r="U505" s="1101"/>
      <c r="V505" s="1101"/>
      <c r="W505" s="1101"/>
      <c r="X505" s="1101"/>
      <c r="Y505" s="1102"/>
      <c r="Z505" s="1102"/>
      <c r="AA505" s="1101"/>
    </row>
    <row r="506" ht="15.75" customHeight="1">
      <c r="A506" s="213"/>
      <c r="B506" s="213"/>
      <c r="C506" s="1101"/>
      <c r="D506" s="1101"/>
      <c r="E506" s="1101"/>
      <c r="F506" s="1101"/>
      <c r="G506" s="1101"/>
      <c r="H506" s="1101"/>
      <c r="I506" s="1101"/>
      <c r="J506" s="1101"/>
      <c r="K506" s="1101"/>
      <c r="L506" s="1101"/>
      <c r="M506" s="1101"/>
      <c r="N506" s="1101"/>
      <c r="O506" s="1101"/>
      <c r="P506" s="1101"/>
      <c r="Q506" s="1101"/>
      <c r="R506" s="1101"/>
      <c r="S506" s="1101"/>
      <c r="T506" s="1101"/>
      <c r="U506" s="1101"/>
      <c r="V506" s="1101"/>
      <c r="W506" s="1101"/>
      <c r="X506" s="1101"/>
      <c r="Y506" s="1102"/>
      <c r="Z506" s="1102"/>
      <c r="AA506" s="1101"/>
    </row>
    <row r="507" ht="15.75" customHeight="1">
      <c r="A507" s="213"/>
      <c r="B507" s="213"/>
      <c r="C507" s="1101"/>
      <c r="D507" s="1101"/>
      <c r="E507" s="1101"/>
      <c r="F507" s="1101"/>
      <c r="G507" s="1101"/>
      <c r="H507" s="1101"/>
      <c r="I507" s="1101"/>
      <c r="J507" s="1101"/>
      <c r="K507" s="1101"/>
      <c r="L507" s="1101"/>
      <c r="M507" s="1101"/>
      <c r="N507" s="1101"/>
      <c r="O507" s="1101"/>
      <c r="P507" s="1101"/>
      <c r="Q507" s="1101"/>
      <c r="R507" s="1101"/>
      <c r="S507" s="1101"/>
      <c r="T507" s="1101"/>
      <c r="U507" s="1101"/>
      <c r="V507" s="1101"/>
      <c r="W507" s="1101"/>
      <c r="X507" s="1101"/>
      <c r="Y507" s="1102"/>
      <c r="Z507" s="1102"/>
      <c r="AA507" s="1101"/>
    </row>
    <row r="508" ht="15.75" customHeight="1">
      <c r="A508" s="213"/>
      <c r="B508" s="213"/>
      <c r="C508" s="1101"/>
      <c r="D508" s="1101"/>
      <c r="E508" s="1101"/>
      <c r="F508" s="1101"/>
      <c r="G508" s="1101"/>
      <c r="H508" s="1101"/>
      <c r="I508" s="1101"/>
      <c r="J508" s="1101"/>
      <c r="K508" s="1101"/>
      <c r="L508" s="1101"/>
      <c r="M508" s="1101"/>
      <c r="N508" s="1101"/>
      <c r="O508" s="1101"/>
      <c r="P508" s="1101"/>
      <c r="Q508" s="1101"/>
      <c r="R508" s="1101"/>
      <c r="S508" s="1101"/>
      <c r="T508" s="1101"/>
      <c r="U508" s="1101"/>
      <c r="V508" s="1101"/>
      <c r="W508" s="1101"/>
      <c r="X508" s="1101"/>
      <c r="Y508" s="1102"/>
      <c r="Z508" s="1102"/>
      <c r="AA508" s="1101"/>
    </row>
    <row r="509" ht="15.75" customHeight="1">
      <c r="A509" s="213"/>
      <c r="B509" s="213"/>
      <c r="C509" s="1101"/>
      <c r="D509" s="1101"/>
      <c r="E509" s="1101"/>
      <c r="F509" s="1101"/>
      <c r="G509" s="1101"/>
      <c r="H509" s="1101"/>
      <c r="I509" s="1101"/>
      <c r="J509" s="1101"/>
      <c r="K509" s="1101"/>
      <c r="L509" s="1101"/>
      <c r="M509" s="1101"/>
      <c r="N509" s="1101"/>
      <c r="O509" s="1101"/>
      <c r="P509" s="1101"/>
      <c r="Q509" s="1101"/>
      <c r="R509" s="1101"/>
      <c r="S509" s="1101"/>
      <c r="T509" s="1101"/>
      <c r="U509" s="1101"/>
      <c r="V509" s="1101"/>
      <c r="W509" s="1101"/>
      <c r="X509" s="1101"/>
      <c r="Y509" s="1102"/>
      <c r="Z509" s="1102"/>
      <c r="AA509" s="1101"/>
    </row>
    <row r="510" ht="15.75" customHeight="1">
      <c r="A510" s="213"/>
      <c r="B510" s="213"/>
      <c r="C510" s="1101"/>
      <c r="D510" s="1101"/>
      <c r="E510" s="1101"/>
      <c r="F510" s="1101"/>
      <c r="G510" s="1101"/>
      <c r="H510" s="1101"/>
      <c r="I510" s="1101"/>
      <c r="J510" s="1101"/>
      <c r="K510" s="1101"/>
      <c r="L510" s="1101"/>
      <c r="M510" s="1101"/>
      <c r="N510" s="1101"/>
      <c r="O510" s="1101"/>
      <c r="P510" s="1101"/>
      <c r="Q510" s="1101"/>
      <c r="R510" s="1101"/>
      <c r="S510" s="1101"/>
      <c r="T510" s="1101"/>
      <c r="U510" s="1101"/>
      <c r="V510" s="1101"/>
      <c r="W510" s="1101"/>
      <c r="X510" s="1101"/>
      <c r="Y510" s="1102"/>
      <c r="Z510" s="1102"/>
      <c r="AA510" s="1101"/>
    </row>
    <row r="511" ht="15.75" customHeight="1">
      <c r="A511" s="213"/>
      <c r="B511" s="213"/>
      <c r="C511" s="1101"/>
      <c r="D511" s="1101"/>
      <c r="E511" s="1101"/>
      <c r="F511" s="1101"/>
      <c r="G511" s="1101"/>
      <c r="H511" s="1101"/>
      <c r="I511" s="1101"/>
      <c r="J511" s="1101"/>
      <c r="K511" s="1101"/>
      <c r="L511" s="1101"/>
      <c r="M511" s="1101"/>
      <c r="N511" s="1101"/>
      <c r="O511" s="1101"/>
      <c r="P511" s="1101"/>
      <c r="Q511" s="1101"/>
      <c r="R511" s="1101"/>
      <c r="S511" s="1101"/>
      <c r="T511" s="1101"/>
      <c r="U511" s="1101"/>
      <c r="V511" s="1101"/>
      <c r="W511" s="1101"/>
      <c r="X511" s="1101"/>
      <c r="Y511" s="1102"/>
      <c r="Z511" s="1102"/>
      <c r="AA511" s="1101"/>
    </row>
    <row r="512" ht="15.75" customHeight="1">
      <c r="A512" s="213"/>
      <c r="B512" s="213"/>
      <c r="C512" s="1101"/>
      <c r="D512" s="1101"/>
      <c r="E512" s="1101"/>
      <c r="F512" s="1101"/>
      <c r="G512" s="1101"/>
      <c r="H512" s="1101"/>
      <c r="I512" s="1101"/>
      <c r="J512" s="1101"/>
      <c r="K512" s="1101"/>
      <c r="L512" s="1101"/>
      <c r="M512" s="1101"/>
      <c r="N512" s="1101"/>
      <c r="O512" s="1101"/>
      <c r="P512" s="1101"/>
      <c r="Q512" s="1101"/>
      <c r="R512" s="1101"/>
      <c r="S512" s="1101"/>
      <c r="T512" s="1101"/>
      <c r="U512" s="1101"/>
      <c r="V512" s="1101"/>
      <c r="W512" s="1101"/>
      <c r="X512" s="1101"/>
      <c r="Y512" s="1102"/>
      <c r="Z512" s="1102"/>
      <c r="AA512" s="1101"/>
    </row>
    <row r="513" ht="15.75" customHeight="1">
      <c r="A513" s="213"/>
      <c r="B513" s="213"/>
      <c r="C513" s="1101"/>
      <c r="D513" s="1101"/>
      <c r="E513" s="1101"/>
      <c r="F513" s="1101"/>
      <c r="G513" s="1101"/>
      <c r="H513" s="1101"/>
      <c r="I513" s="1101"/>
      <c r="J513" s="1101"/>
      <c r="K513" s="1101"/>
      <c r="L513" s="1101"/>
      <c r="M513" s="1101"/>
      <c r="N513" s="1101"/>
      <c r="O513" s="1101"/>
      <c r="P513" s="1101"/>
      <c r="Q513" s="1101"/>
      <c r="R513" s="1101"/>
      <c r="S513" s="1101"/>
      <c r="T513" s="1101"/>
      <c r="U513" s="1101"/>
      <c r="V513" s="1101"/>
      <c r="W513" s="1101"/>
      <c r="X513" s="1101"/>
      <c r="Y513" s="1102"/>
      <c r="Z513" s="1102"/>
      <c r="AA513" s="1101"/>
    </row>
    <row r="514" ht="15.75" customHeight="1">
      <c r="A514" s="213"/>
      <c r="B514" s="213"/>
      <c r="C514" s="1101"/>
      <c r="D514" s="1101"/>
      <c r="E514" s="1101"/>
      <c r="F514" s="1101"/>
      <c r="G514" s="1101"/>
      <c r="H514" s="1101"/>
      <c r="I514" s="1101"/>
      <c r="J514" s="1101"/>
      <c r="K514" s="1101"/>
      <c r="L514" s="1101"/>
      <c r="M514" s="1101"/>
      <c r="N514" s="1101"/>
      <c r="O514" s="1101"/>
      <c r="P514" s="1101"/>
      <c r="Q514" s="1101"/>
      <c r="R514" s="1101"/>
      <c r="S514" s="1101"/>
      <c r="T514" s="1101"/>
      <c r="U514" s="1101"/>
      <c r="V514" s="1101"/>
      <c r="W514" s="1101"/>
      <c r="X514" s="1101"/>
      <c r="Y514" s="1102"/>
      <c r="Z514" s="1102"/>
      <c r="AA514" s="1101"/>
    </row>
    <row r="515" ht="15.75" customHeight="1">
      <c r="A515" s="213"/>
      <c r="B515" s="213"/>
      <c r="C515" s="1101"/>
      <c r="D515" s="1101"/>
      <c r="E515" s="1101"/>
      <c r="F515" s="1101"/>
      <c r="G515" s="1101"/>
      <c r="H515" s="1101"/>
      <c r="I515" s="1101"/>
      <c r="J515" s="1101"/>
      <c r="K515" s="1101"/>
      <c r="L515" s="1101"/>
      <c r="M515" s="1101"/>
      <c r="N515" s="1101"/>
      <c r="O515" s="1101"/>
      <c r="P515" s="1101"/>
      <c r="Q515" s="1101"/>
      <c r="R515" s="1101"/>
      <c r="S515" s="1101"/>
      <c r="T515" s="1101"/>
      <c r="U515" s="1101"/>
      <c r="V515" s="1101"/>
      <c r="W515" s="1101"/>
      <c r="X515" s="1101"/>
      <c r="Y515" s="1102"/>
      <c r="Z515" s="1102"/>
      <c r="AA515" s="1101"/>
    </row>
    <row r="516" ht="15.75" customHeight="1">
      <c r="A516" s="213"/>
      <c r="B516" s="213"/>
      <c r="C516" s="1101"/>
      <c r="D516" s="1101"/>
      <c r="E516" s="1101"/>
      <c r="F516" s="1101"/>
      <c r="G516" s="1101"/>
      <c r="H516" s="1101"/>
      <c r="I516" s="1101"/>
      <c r="J516" s="1101"/>
      <c r="K516" s="1101"/>
      <c r="L516" s="1101"/>
      <c r="M516" s="1101"/>
      <c r="N516" s="1101"/>
      <c r="O516" s="1101"/>
      <c r="P516" s="1101"/>
      <c r="Q516" s="1101"/>
      <c r="R516" s="1101"/>
      <c r="S516" s="1101"/>
      <c r="T516" s="1101"/>
      <c r="U516" s="1101"/>
      <c r="V516" s="1101"/>
      <c r="W516" s="1101"/>
      <c r="X516" s="1101"/>
      <c r="Y516" s="1102"/>
      <c r="Z516" s="1102"/>
      <c r="AA516" s="1101"/>
    </row>
    <row r="517" ht="15.75" customHeight="1">
      <c r="A517" s="213"/>
      <c r="B517" s="213"/>
      <c r="C517" s="1101"/>
      <c r="D517" s="1101"/>
      <c r="E517" s="1101"/>
      <c r="F517" s="1101"/>
      <c r="G517" s="1101"/>
      <c r="H517" s="1101"/>
      <c r="I517" s="1101"/>
      <c r="J517" s="1101"/>
      <c r="K517" s="1101"/>
      <c r="L517" s="1101"/>
      <c r="M517" s="1101"/>
      <c r="N517" s="1101"/>
      <c r="O517" s="1101"/>
      <c r="P517" s="1101"/>
      <c r="Q517" s="1101"/>
      <c r="R517" s="1101"/>
      <c r="S517" s="1101"/>
      <c r="T517" s="1101"/>
      <c r="U517" s="1101"/>
      <c r="V517" s="1101"/>
      <c r="W517" s="1101"/>
      <c r="X517" s="1101"/>
      <c r="Y517" s="1102"/>
      <c r="Z517" s="1102"/>
      <c r="AA517" s="1101"/>
    </row>
    <row r="518" ht="15.75" customHeight="1">
      <c r="A518" s="213"/>
      <c r="B518" s="213"/>
      <c r="C518" s="1101"/>
      <c r="D518" s="1101"/>
      <c r="E518" s="1101"/>
      <c r="F518" s="1101"/>
      <c r="G518" s="1101"/>
      <c r="H518" s="1101"/>
      <c r="I518" s="1101"/>
      <c r="J518" s="1101"/>
      <c r="K518" s="1101"/>
      <c r="L518" s="1101"/>
      <c r="M518" s="1101"/>
      <c r="N518" s="1101"/>
      <c r="O518" s="1101"/>
      <c r="P518" s="1101"/>
      <c r="Q518" s="1101"/>
      <c r="R518" s="1101"/>
      <c r="S518" s="1101"/>
      <c r="T518" s="1101"/>
      <c r="U518" s="1101"/>
      <c r="V518" s="1101"/>
      <c r="W518" s="1101"/>
      <c r="X518" s="1101"/>
      <c r="Y518" s="1102"/>
      <c r="Z518" s="1102"/>
      <c r="AA518" s="1101"/>
    </row>
    <row r="519" ht="15.75" customHeight="1">
      <c r="A519" s="213"/>
      <c r="B519" s="213"/>
      <c r="C519" s="1101"/>
      <c r="D519" s="1101"/>
      <c r="E519" s="1101"/>
      <c r="F519" s="1101"/>
      <c r="G519" s="1101"/>
      <c r="H519" s="1101"/>
      <c r="I519" s="1101"/>
      <c r="J519" s="1101"/>
      <c r="K519" s="1101"/>
      <c r="L519" s="1101"/>
      <c r="M519" s="1101"/>
      <c r="N519" s="1101"/>
      <c r="O519" s="1101"/>
      <c r="P519" s="1101"/>
      <c r="Q519" s="1101"/>
      <c r="R519" s="1101"/>
      <c r="S519" s="1101"/>
      <c r="T519" s="1101"/>
      <c r="U519" s="1101"/>
      <c r="V519" s="1101"/>
      <c r="W519" s="1101"/>
      <c r="X519" s="1101"/>
      <c r="Y519" s="1102"/>
      <c r="Z519" s="1102"/>
      <c r="AA519" s="1101"/>
    </row>
    <row r="520" ht="15.75" customHeight="1">
      <c r="A520" s="213"/>
      <c r="B520" s="213"/>
      <c r="C520" s="1101"/>
      <c r="D520" s="1101"/>
      <c r="E520" s="1101"/>
      <c r="F520" s="1101"/>
      <c r="G520" s="1101"/>
      <c r="H520" s="1101"/>
      <c r="I520" s="1101"/>
      <c r="J520" s="1101"/>
      <c r="K520" s="1101"/>
      <c r="L520" s="1101"/>
      <c r="M520" s="1101"/>
      <c r="N520" s="1101"/>
      <c r="O520" s="1101"/>
      <c r="P520" s="1101"/>
      <c r="Q520" s="1101"/>
      <c r="R520" s="1101"/>
      <c r="S520" s="1101"/>
      <c r="T520" s="1101"/>
      <c r="U520" s="1101"/>
      <c r="V520" s="1101"/>
      <c r="W520" s="1101"/>
      <c r="X520" s="1101"/>
      <c r="Y520" s="1102"/>
      <c r="Z520" s="1102"/>
      <c r="AA520" s="1101"/>
    </row>
    <row r="521" ht="15.75" customHeight="1">
      <c r="A521" s="213"/>
      <c r="B521" s="213"/>
      <c r="C521" s="1101"/>
      <c r="D521" s="1101"/>
      <c r="E521" s="1101"/>
      <c r="F521" s="1101"/>
      <c r="G521" s="1101"/>
      <c r="H521" s="1101"/>
      <c r="I521" s="1101"/>
      <c r="J521" s="1101"/>
      <c r="K521" s="1101"/>
      <c r="L521" s="1101"/>
      <c r="M521" s="1101"/>
      <c r="N521" s="1101"/>
      <c r="O521" s="1101"/>
      <c r="P521" s="1101"/>
      <c r="Q521" s="1101"/>
      <c r="R521" s="1101"/>
      <c r="S521" s="1101"/>
      <c r="T521" s="1101"/>
      <c r="U521" s="1101"/>
      <c r="V521" s="1101"/>
      <c r="W521" s="1101"/>
      <c r="X521" s="1101"/>
      <c r="Y521" s="1102"/>
      <c r="Z521" s="1102"/>
      <c r="AA521" s="1101"/>
    </row>
    <row r="522" ht="15.75" customHeight="1">
      <c r="A522" s="213"/>
      <c r="B522" s="213"/>
      <c r="C522" s="1101"/>
      <c r="D522" s="1101"/>
      <c r="E522" s="1101"/>
      <c r="F522" s="1101"/>
      <c r="G522" s="1101"/>
      <c r="H522" s="1101"/>
      <c r="I522" s="1101"/>
      <c r="J522" s="1101"/>
      <c r="K522" s="1101"/>
      <c r="L522" s="1101"/>
      <c r="M522" s="1101"/>
      <c r="N522" s="1101"/>
      <c r="O522" s="1101"/>
      <c r="P522" s="1101"/>
      <c r="Q522" s="1101"/>
      <c r="R522" s="1101"/>
      <c r="S522" s="1101"/>
      <c r="T522" s="1101"/>
      <c r="U522" s="1101"/>
      <c r="V522" s="1101"/>
      <c r="W522" s="1101"/>
      <c r="X522" s="1101"/>
      <c r="Y522" s="1102"/>
      <c r="Z522" s="1102"/>
      <c r="AA522" s="1101"/>
    </row>
    <row r="523" ht="15.75" customHeight="1">
      <c r="A523" s="213"/>
      <c r="B523" s="213"/>
      <c r="C523" s="1101"/>
      <c r="D523" s="1101"/>
      <c r="E523" s="1101"/>
      <c r="F523" s="1101"/>
      <c r="G523" s="1101"/>
      <c r="H523" s="1101"/>
      <c r="I523" s="1101"/>
      <c r="J523" s="1101"/>
      <c r="K523" s="1101"/>
      <c r="L523" s="1101"/>
      <c r="M523" s="1101"/>
      <c r="N523" s="1101"/>
      <c r="O523" s="1101"/>
      <c r="P523" s="1101"/>
      <c r="Q523" s="1101"/>
      <c r="R523" s="1101"/>
      <c r="S523" s="1101"/>
      <c r="T523" s="1101"/>
      <c r="U523" s="1101"/>
      <c r="V523" s="1101"/>
      <c r="W523" s="1101"/>
      <c r="X523" s="1101"/>
      <c r="Y523" s="1102"/>
      <c r="Z523" s="1102"/>
      <c r="AA523" s="1101"/>
    </row>
    <row r="524" ht="15.75" customHeight="1">
      <c r="A524" s="213"/>
      <c r="B524" s="213"/>
      <c r="C524" s="1101"/>
      <c r="D524" s="1101"/>
      <c r="E524" s="1101"/>
      <c r="F524" s="1101"/>
      <c r="G524" s="1101"/>
      <c r="H524" s="1101"/>
      <c r="I524" s="1101"/>
      <c r="J524" s="1101"/>
      <c r="K524" s="1101"/>
      <c r="L524" s="1101"/>
      <c r="M524" s="1101"/>
      <c r="N524" s="1101"/>
      <c r="O524" s="1101"/>
      <c r="P524" s="1101"/>
      <c r="Q524" s="1101"/>
      <c r="R524" s="1101"/>
      <c r="S524" s="1101"/>
      <c r="T524" s="1101"/>
      <c r="U524" s="1101"/>
      <c r="V524" s="1101"/>
      <c r="W524" s="1101"/>
      <c r="X524" s="1101"/>
      <c r="Y524" s="1102"/>
      <c r="Z524" s="1102"/>
      <c r="AA524" s="1101"/>
    </row>
    <row r="525" ht="15.75" customHeight="1">
      <c r="A525" s="213"/>
      <c r="B525" s="213"/>
      <c r="C525" s="1101"/>
      <c r="D525" s="1101"/>
      <c r="E525" s="1101"/>
      <c r="F525" s="1101"/>
      <c r="G525" s="1101"/>
      <c r="H525" s="1101"/>
      <c r="I525" s="1101"/>
      <c r="J525" s="1101"/>
      <c r="K525" s="1101"/>
      <c r="L525" s="1101"/>
      <c r="M525" s="1101"/>
      <c r="N525" s="1101"/>
      <c r="O525" s="1101"/>
      <c r="P525" s="1101"/>
      <c r="Q525" s="1101"/>
      <c r="R525" s="1101"/>
      <c r="S525" s="1101"/>
      <c r="T525" s="1101"/>
      <c r="U525" s="1101"/>
      <c r="V525" s="1101"/>
      <c r="W525" s="1101"/>
      <c r="X525" s="1101"/>
      <c r="Y525" s="1102"/>
      <c r="Z525" s="1102"/>
      <c r="AA525" s="1101"/>
    </row>
    <row r="526" ht="15.75" customHeight="1">
      <c r="A526" s="213"/>
      <c r="B526" s="213"/>
      <c r="C526" s="1101"/>
      <c r="D526" s="1101"/>
      <c r="E526" s="1101"/>
      <c r="F526" s="1101"/>
      <c r="G526" s="1101"/>
      <c r="H526" s="1101"/>
      <c r="I526" s="1101"/>
      <c r="J526" s="1101"/>
      <c r="K526" s="1101"/>
      <c r="L526" s="1101"/>
      <c r="M526" s="1101"/>
      <c r="N526" s="1101"/>
      <c r="O526" s="1101"/>
      <c r="P526" s="1101"/>
      <c r="Q526" s="1101"/>
      <c r="R526" s="1101"/>
      <c r="S526" s="1101"/>
      <c r="T526" s="1101"/>
      <c r="U526" s="1101"/>
      <c r="V526" s="1101"/>
      <c r="W526" s="1101"/>
      <c r="X526" s="1101"/>
      <c r="Y526" s="1102"/>
      <c r="Z526" s="1102"/>
      <c r="AA526" s="1101"/>
    </row>
    <row r="527" ht="15.75" customHeight="1">
      <c r="A527" s="213"/>
      <c r="B527" s="213"/>
      <c r="C527" s="1101"/>
      <c r="D527" s="1101"/>
      <c r="E527" s="1101"/>
      <c r="F527" s="1101"/>
      <c r="G527" s="1101"/>
      <c r="H527" s="1101"/>
      <c r="I527" s="1101"/>
      <c r="J527" s="1101"/>
      <c r="K527" s="1101"/>
      <c r="L527" s="1101"/>
      <c r="M527" s="1101"/>
      <c r="N527" s="1101"/>
      <c r="O527" s="1101"/>
      <c r="P527" s="1101"/>
      <c r="Q527" s="1101"/>
      <c r="R527" s="1101"/>
      <c r="S527" s="1101"/>
      <c r="T527" s="1101"/>
      <c r="U527" s="1101"/>
      <c r="V527" s="1101"/>
      <c r="W527" s="1101"/>
      <c r="X527" s="1101"/>
      <c r="Y527" s="1102"/>
      <c r="Z527" s="1102"/>
      <c r="AA527" s="1101"/>
    </row>
    <row r="528" ht="15.75" customHeight="1">
      <c r="A528" s="213"/>
      <c r="B528" s="213"/>
      <c r="C528" s="1101"/>
      <c r="D528" s="1101"/>
      <c r="E528" s="1101"/>
      <c r="F528" s="1101"/>
      <c r="G528" s="1101"/>
      <c r="H528" s="1101"/>
      <c r="I528" s="1101"/>
      <c r="J528" s="1101"/>
      <c r="K528" s="1101"/>
      <c r="L528" s="1101"/>
      <c r="M528" s="1101"/>
      <c r="N528" s="1101"/>
      <c r="O528" s="1101"/>
      <c r="P528" s="1101"/>
      <c r="Q528" s="1101"/>
      <c r="R528" s="1101"/>
      <c r="S528" s="1101"/>
      <c r="T528" s="1101"/>
      <c r="U528" s="1101"/>
      <c r="V528" s="1101"/>
      <c r="W528" s="1101"/>
      <c r="X528" s="1101"/>
      <c r="Y528" s="1102"/>
      <c r="Z528" s="1102"/>
      <c r="AA528" s="1101"/>
    </row>
    <row r="529" ht="15.75" customHeight="1">
      <c r="A529" s="213"/>
      <c r="B529" s="213"/>
      <c r="C529" s="1101"/>
      <c r="D529" s="1101"/>
      <c r="E529" s="1101"/>
      <c r="F529" s="1101"/>
      <c r="G529" s="1101"/>
      <c r="H529" s="1101"/>
      <c r="I529" s="1101"/>
      <c r="J529" s="1101"/>
      <c r="K529" s="1101"/>
      <c r="L529" s="1101"/>
      <c r="M529" s="1101"/>
      <c r="N529" s="1101"/>
      <c r="O529" s="1101"/>
      <c r="P529" s="1101"/>
      <c r="Q529" s="1101"/>
      <c r="R529" s="1101"/>
      <c r="S529" s="1101"/>
      <c r="T529" s="1101"/>
      <c r="U529" s="1101"/>
      <c r="V529" s="1101"/>
      <c r="W529" s="1101"/>
      <c r="X529" s="1101"/>
      <c r="Y529" s="1102"/>
      <c r="Z529" s="1102"/>
      <c r="AA529" s="1101"/>
    </row>
    <row r="530" ht="15.75" customHeight="1">
      <c r="A530" s="213"/>
      <c r="B530" s="213"/>
      <c r="C530" s="1101"/>
      <c r="D530" s="1101"/>
      <c r="E530" s="1101"/>
      <c r="F530" s="1101"/>
      <c r="G530" s="1101"/>
      <c r="H530" s="1101"/>
      <c r="I530" s="1101"/>
      <c r="J530" s="1101"/>
      <c r="K530" s="1101"/>
      <c r="L530" s="1101"/>
      <c r="M530" s="1101"/>
      <c r="N530" s="1101"/>
      <c r="O530" s="1101"/>
      <c r="P530" s="1101"/>
      <c r="Q530" s="1101"/>
      <c r="R530" s="1101"/>
      <c r="S530" s="1101"/>
      <c r="T530" s="1101"/>
      <c r="U530" s="1101"/>
      <c r="V530" s="1101"/>
      <c r="W530" s="1101"/>
      <c r="X530" s="1101"/>
      <c r="Y530" s="1102"/>
      <c r="Z530" s="1102"/>
      <c r="AA530" s="1101"/>
    </row>
    <row r="531" ht="15.75" customHeight="1">
      <c r="A531" s="213"/>
      <c r="B531" s="213"/>
      <c r="C531" s="1101"/>
      <c r="D531" s="1101"/>
      <c r="E531" s="1101"/>
      <c r="F531" s="1101"/>
      <c r="G531" s="1101"/>
      <c r="H531" s="1101"/>
      <c r="I531" s="1101"/>
      <c r="J531" s="1101"/>
      <c r="K531" s="1101"/>
      <c r="L531" s="1101"/>
      <c r="M531" s="1101"/>
      <c r="N531" s="1101"/>
      <c r="O531" s="1101"/>
      <c r="P531" s="1101"/>
      <c r="Q531" s="1101"/>
      <c r="R531" s="1101"/>
      <c r="S531" s="1101"/>
      <c r="T531" s="1101"/>
      <c r="U531" s="1101"/>
      <c r="V531" s="1101"/>
      <c r="W531" s="1101"/>
      <c r="X531" s="1101"/>
      <c r="Y531" s="1102"/>
      <c r="Z531" s="1102"/>
      <c r="AA531" s="1101"/>
    </row>
    <row r="532" ht="15.75" customHeight="1">
      <c r="A532" s="213"/>
      <c r="B532" s="213"/>
      <c r="C532" s="1101"/>
      <c r="D532" s="1101"/>
      <c r="E532" s="1101"/>
      <c r="F532" s="1101"/>
      <c r="G532" s="1101"/>
      <c r="H532" s="1101"/>
      <c r="I532" s="1101"/>
      <c r="J532" s="1101"/>
      <c r="K532" s="1101"/>
      <c r="L532" s="1101"/>
      <c r="M532" s="1101"/>
      <c r="N532" s="1101"/>
      <c r="O532" s="1101"/>
      <c r="P532" s="1101"/>
      <c r="Q532" s="1101"/>
      <c r="R532" s="1101"/>
      <c r="S532" s="1101"/>
      <c r="T532" s="1101"/>
      <c r="U532" s="1101"/>
      <c r="V532" s="1101"/>
      <c r="W532" s="1101"/>
      <c r="X532" s="1101"/>
      <c r="Y532" s="1102"/>
      <c r="Z532" s="1102"/>
      <c r="AA532" s="1101"/>
    </row>
    <row r="533" ht="15.75" customHeight="1">
      <c r="A533" s="213"/>
      <c r="B533" s="213"/>
      <c r="C533" s="1101"/>
      <c r="D533" s="1101"/>
      <c r="E533" s="1101"/>
      <c r="F533" s="1101"/>
      <c r="G533" s="1101"/>
      <c r="H533" s="1101"/>
      <c r="I533" s="1101"/>
      <c r="J533" s="1101"/>
      <c r="K533" s="1101"/>
      <c r="L533" s="1101"/>
      <c r="M533" s="1101"/>
      <c r="N533" s="1101"/>
      <c r="O533" s="1101"/>
      <c r="P533" s="1101"/>
      <c r="Q533" s="1101"/>
      <c r="R533" s="1101"/>
      <c r="S533" s="1101"/>
      <c r="T533" s="1101"/>
      <c r="U533" s="1101"/>
      <c r="V533" s="1101"/>
      <c r="W533" s="1101"/>
      <c r="X533" s="1101"/>
      <c r="Y533" s="1102"/>
      <c r="Z533" s="1102"/>
      <c r="AA533" s="1101"/>
    </row>
    <row r="534" ht="15.75" customHeight="1">
      <c r="A534" s="213"/>
      <c r="B534" s="213"/>
      <c r="C534" s="1101"/>
      <c r="D534" s="1101"/>
      <c r="E534" s="1101"/>
      <c r="F534" s="1101"/>
      <c r="G534" s="1101"/>
      <c r="H534" s="1101"/>
      <c r="I534" s="1101"/>
      <c r="J534" s="1101"/>
      <c r="K534" s="1101"/>
      <c r="L534" s="1101"/>
      <c r="M534" s="1101"/>
      <c r="N534" s="1101"/>
      <c r="O534" s="1101"/>
      <c r="P534" s="1101"/>
      <c r="Q534" s="1101"/>
      <c r="R534" s="1101"/>
      <c r="S534" s="1101"/>
      <c r="T534" s="1101"/>
      <c r="U534" s="1101"/>
      <c r="V534" s="1101"/>
      <c r="W534" s="1101"/>
      <c r="X534" s="1101"/>
      <c r="Y534" s="1102"/>
      <c r="Z534" s="1102"/>
      <c r="AA534" s="1101"/>
    </row>
    <row r="535" ht="15.75" customHeight="1">
      <c r="A535" s="213"/>
      <c r="B535" s="213"/>
      <c r="C535" s="1101"/>
      <c r="D535" s="1101"/>
      <c r="E535" s="1101"/>
      <c r="F535" s="1101"/>
      <c r="G535" s="1101"/>
      <c r="H535" s="1101"/>
      <c r="I535" s="1101"/>
      <c r="J535" s="1101"/>
      <c r="K535" s="1101"/>
      <c r="L535" s="1101"/>
      <c r="M535" s="1101"/>
      <c r="N535" s="1101"/>
      <c r="O535" s="1101"/>
      <c r="P535" s="1101"/>
      <c r="Q535" s="1101"/>
      <c r="R535" s="1101"/>
      <c r="S535" s="1101"/>
      <c r="T535" s="1101"/>
      <c r="U535" s="1101"/>
      <c r="V535" s="1101"/>
      <c r="W535" s="1101"/>
      <c r="X535" s="1101"/>
      <c r="Y535" s="1102"/>
      <c r="Z535" s="1102"/>
      <c r="AA535" s="1101"/>
    </row>
    <row r="536" ht="15.75" customHeight="1">
      <c r="A536" s="213"/>
      <c r="B536" s="213"/>
      <c r="C536" s="1101"/>
      <c r="D536" s="1101"/>
      <c r="E536" s="1101"/>
      <c r="F536" s="1101"/>
      <c r="G536" s="1101"/>
      <c r="H536" s="1101"/>
      <c r="I536" s="1101"/>
      <c r="J536" s="1101"/>
      <c r="K536" s="1101"/>
      <c r="L536" s="1101"/>
      <c r="M536" s="1101"/>
      <c r="N536" s="1101"/>
      <c r="O536" s="1101"/>
      <c r="P536" s="1101"/>
      <c r="Q536" s="1101"/>
      <c r="R536" s="1101"/>
      <c r="S536" s="1101"/>
      <c r="T536" s="1101"/>
      <c r="U536" s="1101"/>
      <c r="V536" s="1101"/>
      <c r="W536" s="1101"/>
      <c r="X536" s="1101"/>
      <c r="Y536" s="1102"/>
      <c r="Z536" s="1102"/>
      <c r="AA536" s="1101"/>
    </row>
    <row r="537" ht="15.75" customHeight="1">
      <c r="A537" s="213"/>
      <c r="B537" s="213"/>
      <c r="C537" s="1101"/>
      <c r="D537" s="1101"/>
      <c r="E537" s="1101"/>
      <c r="F537" s="1101"/>
      <c r="G537" s="1101"/>
      <c r="H537" s="1101"/>
      <c r="I537" s="1101"/>
      <c r="J537" s="1101"/>
      <c r="K537" s="1101"/>
      <c r="L537" s="1101"/>
      <c r="M537" s="1101"/>
      <c r="N537" s="1101"/>
      <c r="O537" s="1101"/>
      <c r="P537" s="1101"/>
      <c r="Q537" s="1101"/>
      <c r="R537" s="1101"/>
      <c r="S537" s="1101"/>
      <c r="T537" s="1101"/>
      <c r="U537" s="1101"/>
      <c r="V537" s="1101"/>
      <c r="W537" s="1101"/>
      <c r="X537" s="1101"/>
      <c r="Y537" s="1102"/>
      <c r="Z537" s="1102"/>
      <c r="AA537" s="1101"/>
    </row>
    <row r="538" ht="15.75" customHeight="1">
      <c r="A538" s="213"/>
      <c r="B538" s="213"/>
      <c r="C538" s="1101"/>
      <c r="D538" s="1101"/>
      <c r="E538" s="1101"/>
      <c r="F538" s="1101"/>
      <c r="G538" s="1101"/>
      <c r="H538" s="1101"/>
      <c r="I538" s="1101"/>
      <c r="J538" s="1101"/>
      <c r="K538" s="1101"/>
      <c r="L538" s="1101"/>
      <c r="M538" s="1101"/>
      <c r="N538" s="1101"/>
      <c r="O538" s="1101"/>
      <c r="P538" s="1101"/>
      <c r="Q538" s="1101"/>
      <c r="R538" s="1101"/>
      <c r="S538" s="1101"/>
      <c r="T538" s="1101"/>
      <c r="U538" s="1101"/>
      <c r="V538" s="1101"/>
      <c r="W538" s="1101"/>
      <c r="X538" s="1101"/>
      <c r="Y538" s="1102"/>
      <c r="Z538" s="1102"/>
      <c r="AA538" s="1101"/>
    </row>
    <row r="539" ht="15.75" customHeight="1">
      <c r="A539" s="213"/>
      <c r="B539" s="213"/>
      <c r="C539" s="1101"/>
      <c r="D539" s="1101"/>
      <c r="E539" s="1101"/>
      <c r="F539" s="1101"/>
      <c r="G539" s="1101"/>
      <c r="H539" s="1101"/>
      <c r="I539" s="1101"/>
      <c r="J539" s="1101"/>
      <c r="K539" s="1101"/>
      <c r="L539" s="1101"/>
      <c r="M539" s="1101"/>
      <c r="N539" s="1101"/>
      <c r="O539" s="1101"/>
      <c r="P539" s="1101"/>
      <c r="Q539" s="1101"/>
      <c r="R539" s="1101"/>
      <c r="S539" s="1101"/>
      <c r="T539" s="1101"/>
      <c r="U539" s="1101"/>
      <c r="V539" s="1101"/>
      <c r="W539" s="1101"/>
      <c r="X539" s="1101"/>
      <c r="Y539" s="1102"/>
      <c r="Z539" s="1102"/>
      <c r="AA539" s="1101"/>
    </row>
    <row r="540" ht="15.75" customHeight="1">
      <c r="A540" s="213"/>
      <c r="B540" s="213"/>
      <c r="C540" s="1101"/>
      <c r="D540" s="1101"/>
      <c r="E540" s="1101"/>
      <c r="F540" s="1101"/>
      <c r="G540" s="1101"/>
      <c r="H540" s="1101"/>
      <c r="I540" s="1101"/>
      <c r="J540" s="1101"/>
      <c r="K540" s="1101"/>
      <c r="L540" s="1101"/>
      <c r="M540" s="1101"/>
      <c r="N540" s="1101"/>
      <c r="O540" s="1101"/>
      <c r="P540" s="1101"/>
      <c r="Q540" s="1101"/>
      <c r="R540" s="1101"/>
      <c r="S540" s="1101"/>
      <c r="T540" s="1101"/>
      <c r="U540" s="1101"/>
      <c r="V540" s="1101"/>
      <c r="W540" s="1101"/>
      <c r="X540" s="1101"/>
      <c r="Y540" s="1102"/>
      <c r="Z540" s="1102"/>
      <c r="AA540" s="1101"/>
    </row>
    <row r="541" ht="15.75" customHeight="1">
      <c r="A541" s="213"/>
      <c r="B541" s="213"/>
      <c r="C541" s="1101"/>
      <c r="D541" s="1101"/>
      <c r="E541" s="1101"/>
      <c r="F541" s="1101"/>
      <c r="G541" s="1101"/>
      <c r="H541" s="1101"/>
      <c r="I541" s="1101"/>
      <c r="J541" s="1101"/>
      <c r="K541" s="1101"/>
      <c r="L541" s="1101"/>
      <c r="M541" s="1101"/>
      <c r="N541" s="1101"/>
      <c r="O541" s="1101"/>
      <c r="P541" s="1101"/>
      <c r="Q541" s="1101"/>
      <c r="R541" s="1101"/>
      <c r="S541" s="1101"/>
      <c r="T541" s="1101"/>
      <c r="U541" s="1101"/>
      <c r="V541" s="1101"/>
      <c r="W541" s="1101"/>
      <c r="X541" s="1101"/>
      <c r="Y541" s="1102"/>
      <c r="Z541" s="1102"/>
      <c r="AA541" s="1101"/>
    </row>
    <row r="542" ht="15.75" customHeight="1">
      <c r="A542" s="213"/>
      <c r="B542" s="213"/>
      <c r="C542" s="1101"/>
      <c r="D542" s="1101"/>
      <c r="E542" s="1101"/>
      <c r="F542" s="1101"/>
      <c r="G542" s="1101"/>
      <c r="H542" s="1101"/>
      <c r="I542" s="1101"/>
      <c r="J542" s="1101"/>
      <c r="K542" s="1101"/>
      <c r="L542" s="1101"/>
      <c r="M542" s="1101"/>
      <c r="N542" s="1101"/>
      <c r="O542" s="1101"/>
      <c r="P542" s="1101"/>
      <c r="Q542" s="1101"/>
      <c r="R542" s="1101"/>
      <c r="S542" s="1101"/>
      <c r="T542" s="1101"/>
      <c r="U542" s="1101"/>
      <c r="V542" s="1101"/>
      <c r="W542" s="1101"/>
      <c r="X542" s="1101"/>
      <c r="Y542" s="1102"/>
      <c r="Z542" s="1102"/>
      <c r="AA542" s="1101"/>
    </row>
    <row r="543" ht="15.75" customHeight="1">
      <c r="A543" s="213"/>
      <c r="B543" s="213"/>
      <c r="C543" s="1101"/>
      <c r="D543" s="1101"/>
      <c r="E543" s="1101"/>
      <c r="F543" s="1101"/>
      <c r="G543" s="1101"/>
      <c r="H543" s="1101"/>
      <c r="I543" s="1101"/>
      <c r="J543" s="1101"/>
      <c r="K543" s="1101"/>
      <c r="L543" s="1101"/>
      <c r="M543" s="1101"/>
      <c r="N543" s="1101"/>
      <c r="O543" s="1101"/>
      <c r="P543" s="1101"/>
      <c r="Q543" s="1101"/>
      <c r="R543" s="1101"/>
      <c r="S543" s="1101"/>
      <c r="T543" s="1101"/>
      <c r="U543" s="1101"/>
      <c r="V543" s="1101"/>
      <c r="W543" s="1101"/>
      <c r="X543" s="1101"/>
      <c r="Y543" s="1102"/>
      <c r="Z543" s="1102"/>
      <c r="AA543" s="1101"/>
    </row>
    <row r="544" ht="15.75" customHeight="1">
      <c r="A544" s="213"/>
      <c r="B544" s="213"/>
      <c r="C544" s="1101"/>
      <c r="D544" s="1101"/>
      <c r="E544" s="1101"/>
      <c r="F544" s="1101"/>
      <c r="G544" s="1101"/>
      <c r="H544" s="1101"/>
      <c r="I544" s="1101"/>
      <c r="J544" s="1101"/>
      <c r="K544" s="1101"/>
      <c r="L544" s="1101"/>
      <c r="M544" s="1101"/>
      <c r="N544" s="1101"/>
      <c r="O544" s="1101"/>
      <c r="P544" s="1101"/>
      <c r="Q544" s="1101"/>
      <c r="R544" s="1101"/>
      <c r="S544" s="1101"/>
      <c r="T544" s="1101"/>
      <c r="U544" s="1101"/>
      <c r="V544" s="1101"/>
      <c r="W544" s="1101"/>
      <c r="X544" s="1101"/>
      <c r="Y544" s="1102"/>
      <c r="Z544" s="1102"/>
      <c r="AA544" s="1101"/>
    </row>
    <row r="545" ht="15.75" customHeight="1">
      <c r="A545" s="213"/>
      <c r="B545" s="213"/>
      <c r="C545" s="1101"/>
      <c r="D545" s="1101"/>
      <c r="E545" s="1101"/>
      <c r="F545" s="1101"/>
      <c r="G545" s="1101"/>
      <c r="H545" s="1101"/>
      <c r="I545" s="1101"/>
      <c r="J545" s="1101"/>
      <c r="K545" s="1101"/>
      <c r="L545" s="1101"/>
      <c r="M545" s="1101"/>
      <c r="N545" s="1101"/>
      <c r="O545" s="1101"/>
      <c r="P545" s="1101"/>
      <c r="Q545" s="1101"/>
      <c r="R545" s="1101"/>
      <c r="S545" s="1101"/>
      <c r="T545" s="1101"/>
      <c r="U545" s="1101"/>
      <c r="V545" s="1101"/>
      <c r="W545" s="1101"/>
      <c r="X545" s="1101"/>
      <c r="Y545" s="1102"/>
      <c r="Z545" s="1102"/>
      <c r="AA545" s="1101"/>
    </row>
    <row r="546" ht="15.75" customHeight="1">
      <c r="A546" s="213"/>
      <c r="B546" s="213"/>
      <c r="C546" s="1101"/>
      <c r="D546" s="1101"/>
      <c r="E546" s="1101"/>
      <c r="F546" s="1101"/>
      <c r="G546" s="1101"/>
      <c r="H546" s="1101"/>
      <c r="I546" s="1101"/>
      <c r="J546" s="1101"/>
      <c r="K546" s="1101"/>
      <c r="L546" s="1101"/>
      <c r="M546" s="1101"/>
      <c r="N546" s="1101"/>
      <c r="O546" s="1101"/>
      <c r="P546" s="1101"/>
      <c r="Q546" s="1101"/>
      <c r="R546" s="1101"/>
      <c r="S546" s="1101"/>
      <c r="T546" s="1101"/>
      <c r="U546" s="1101"/>
      <c r="V546" s="1101"/>
      <c r="W546" s="1101"/>
      <c r="X546" s="1101"/>
      <c r="Y546" s="1102"/>
      <c r="Z546" s="1102"/>
      <c r="AA546" s="1101"/>
    </row>
    <row r="547" ht="15.75" customHeight="1">
      <c r="A547" s="213"/>
      <c r="B547" s="213"/>
      <c r="C547" s="1101"/>
      <c r="D547" s="1101"/>
      <c r="E547" s="1101"/>
      <c r="F547" s="1101"/>
      <c r="G547" s="1101"/>
      <c r="H547" s="1101"/>
      <c r="I547" s="1101"/>
      <c r="J547" s="1101"/>
      <c r="K547" s="1101"/>
      <c r="L547" s="1101"/>
      <c r="M547" s="1101"/>
      <c r="N547" s="1101"/>
      <c r="O547" s="1101"/>
      <c r="P547" s="1101"/>
      <c r="Q547" s="1101"/>
      <c r="R547" s="1101"/>
      <c r="S547" s="1101"/>
      <c r="T547" s="1101"/>
      <c r="U547" s="1101"/>
      <c r="V547" s="1101"/>
      <c r="W547" s="1101"/>
      <c r="X547" s="1101"/>
      <c r="Y547" s="1102"/>
      <c r="Z547" s="1102"/>
      <c r="AA547" s="1101"/>
    </row>
    <row r="548" ht="15.75" customHeight="1">
      <c r="A548" s="213"/>
      <c r="B548" s="213"/>
      <c r="C548" s="1101"/>
      <c r="D548" s="1101"/>
      <c r="E548" s="1101"/>
      <c r="F548" s="1101"/>
      <c r="G548" s="1101"/>
      <c r="H548" s="1101"/>
      <c r="I548" s="1101"/>
      <c r="J548" s="1101"/>
      <c r="K548" s="1101"/>
      <c r="L548" s="1101"/>
      <c r="M548" s="1101"/>
      <c r="N548" s="1101"/>
      <c r="O548" s="1101"/>
      <c r="P548" s="1101"/>
      <c r="Q548" s="1101"/>
      <c r="R548" s="1101"/>
      <c r="S548" s="1101"/>
      <c r="T548" s="1101"/>
      <c r="U548" s="1101"/>
      <c r="V548" s="1101"/>
      <c r="W548" s="1101"/>
      <c r="X548" s="1101"/>
      <c r="Y548" s="1102"/>
      <c r="Z548" s="1102"/>
      <c r="AA548" s="1101"/>
    </row>
    <row r="549" ht="15.75" customHeight="1">
      <c r="A549" s="213"/>
      <c r="B549" s="213"/>
      <c r="C549" s="1101"/>
      <c r="D549" s="1101"/>
      <c r="E549" s="1101"/>
      <c r="F549" s="1101"/>
      <c r="G549" s="1101"/>
      <c r="H549" s="1101"/>
      <c r="I549" s="1101"/>
      <c r="J549" s="1101"/>
      <c r="K549" s="1101"/>
      <c r="L549" s="1101"/>
      <c r="M549" s="1101"/>
      <c r="N549" s="1101"/>
      <c r="O549" s="1101"/>
      <c r="P549" s="1101"/>
      <c r="Q549" s="1101"/>
      <c r="R549" s="1101"/>
      <c r="S549" s="1101"/>
      <c r="T549" s="1101"/>
      <c r="U549" s="1101"/>
      <c r="V549" s="1101"/>
      <c r="W549" s="1101"/>
      <c r="X549" s="1101"/>
      <c r="Y549" s="1102"/>
      <c r="Z549" s="1102"/>
      <c r="AA549" s="1101"/>
    </row>
    <row r="550" ht="15.75" customHeight="1">
      <c r="A550" s="213"/>
      <c r="B550" s="213"/>
      <c r="C550" s="1101"/>
      <c r="D550" s="1101"/>
      <c r="E550" s="1101"/>
      <c r="F550" s="1101"/>
      <c r="G550" s="1101"/>
      <c r="H550" s="1101"/>
      <c r="I550" s="1101"/>
      <c r="J550" s="1101"/>
      <c r="K550" s="1101"/>
      <c r="L550" s="1101"/>
      <c r="M550" s="1101"/>
      <c r="N550" s="1101"/>
      <c r="O550" s="1101"/>
      <c r="P550" s="1101"/>
      <c r="Q550" s="1101"/>
      <c r="R550" s="1101"/>
      <c r="S550" s="1101"/>
      <c r="T550" s="1101"/>
      <c r="U550" s="1101"/>
      <c r="V550" s="1101"/>
      <c r="W550" s="1101"/>
      <c r="X550" s="1101"/>
      <c r="Y550" s="1102"/>
      <c r="Z550" s="1102"/>
      <c r="AA550" s="1101"/>
    </row>
    <row r="551" ht="15.75" customHeight="1">
      <c r="A551" s="213"/>
      <c r="B551" s="213"/>
      <c r="C551" s="1101"/>
      <c r="D551" s="1101"/>
      <c r="E551" s="1101"/>
      <c r="F551" s="1101"/>
      <c r="G551" s="1101"/>
      <c r="H551" s="1101"/>
      <c r="I551" s="1101"/>
      <c r="J551" s="1101"/>
      <c r="K551" s="1101"/>
      <c r="L551" s="1101"/>
      <c r="M551" s="1101"/>
      <c r="N551" s="1101"/>
      <c r="O551" s="1101"/>
      <c r="P551" s="1101"/>
      <c r="Q551" s="1101"/>
      <c r="R551" s="1101"/>
      <c r="S551" s="1101"/>
      <c r="T551" s="1101"/>
      <c r="U551" s="1101"/>
      <c r="V551" s="1101"/>
      <c r="W551" s="1101"/>
      <c r="X551" s="1101"/>
      <c r="Y551" s="1102"/>
      <c r="Z551" s="1102"/>
      <c r="AA551" s="1101"/>
    </row>
    <row r="552" ht="15.75" customHeight="1">
      <c r="A552" s="213"/>
      <c r="B552" s="213"/>
      <c r="C552" s="1101"/>
      <c r="D552" s="1101"/>
      <c r="E552" s="1101"/>
      <c r="F552" s="1101"/>
      <c r="G552" s="1101"/>
      <c r="H552" s="1101"/>
      <c r="I552" s="1101"/>
      <c r="J552" s="1101"/>
      <c r="K552" s="1101"/>
      <c r="L552" s="1101"/>
      <c r="M552" s="1101"/>
      <c r="N552" s="1101"/>
      <c r="O552" s="1101"/>
      <c r="P552" s="1101"/>
      <c r="Q552" s="1101"/>
      <c r="R552" s="1101"/>
      <c r="S552" s="1101"/>
      <c r="T552" s="1101"/>
      <c r="U552" s="1101"/>
      <c r="V552" s="1101"/>
      <c r="W552" s="1101"/>
      <c r="X552" s="1101"/>
      <c r="Y552" s="1102"/>
      <c r="Z552" s="1102"/>
      <c r="AA552" s="1101"/>
    </row>
    <row r="553" ht="15.75" customHeight="1">
      <c r="A553" s="213"/>
      <c r="B553" s="213"/>
      <c r="C553" s="1101"/>
      <c r="D553" s="1101"/>
      <c r="E553" s="1101"/>
      <c r="F553" s="1101"/>
      <c r="G553" s="1101"/>
      <c r="H553" s="1101"/>
      <c r="I553" s="1101"/>
      <c r="J553" s="1101"/>
      <c r="K553" s="1101"/>
      <c r="L553" s="1101"/>
      <c r="M553" s="1101"/>
      <c r="N553" s="1101"/>
      <c r="O553" s="1101"/>
      <c r="P553" s="1101"/>
      <c r="Q553" s="1101"/>
      <c r="R553" s="1101"/>
      <c r="S553" s="1101"/>
      <c r="T553" s="1101"/>
      <c r="U553" s="1101"/>
      <c r="V553" s="1101"/>
      <c r="W553" s="1101"/>
      <c r="X553" s="1101"/>
      <c r="Y553" s="1102"/>
      <c r="Z553" s="1102"/>
      <c r="AA553" s="1101"/>
    </row>
    <row r="554" ht="15.75" customHeight="1">
      <c r="A554" s="213"/>
      <c r="B554" s="213"/>
      <c r="C554" s="1101"/>
      <c r="D554" s="1101"/>
      <c r="E554" s="1101"/>
      <c r="F554" s="1101"/>
      <c r="G554" s="1101"/>
      <c r="H554" s="1101"/>
      <c r="I554" s="1101"/>
      <c r="J554" s="1101"/>
      <c r="K554" s="1101"/>
      <c r="L554" s="1101"/>
      <c r="M554" s="1101"/>
      <c r="N554" s="1101"/>
      <c r="O554" s="1101"/>
      <c r="P554" s="1101"/>
      <c r="Q554" s="1101"/>
      <c r="R554" s="1101"/>
      <c r="S554" s="1101"/>
      <c r="T554" s="1101"/>
      <c r="U554" s="1101"/>
      <c r="V554" s="1101"/>
      <c r="W554" s="1101"/>
      <c r="X554" s="1101"/>
      <c r="Y554" s="1102"/>
      <c r="Z554" s="1102"/>
      <c r="AA554" s="1101"/>
    </row>
    <row r="555" ht="15.75" customHeight="1">
      <c r="A555" s="213"/>
      <c r="B555" s="213"/>
      <c r="C555" s="1101"/>
      <c r="D555" s="1101"/>
      <c r="E555" s="1101"/>
      <c r="F555" s="1101"/>
      <c r="G555" s="1101"/>
      <c r="H555" s="1101"/>
      <c r="I555" s="1101"/>
      <c r="J555" s="1101"/>
      <c r="K555" s="1101"/>
      <c r="L555" s="1101"/>
      <c r="M555" s="1101"/>
      <c r="N555" s="1101"/>
      <c r="O555" s="1101"/>
      <c r="P555" s="1101"/>
      <c r="Q555" s="1101"/>
      <c r="R555" s="1101"/>
      <c r="S555" s="1101"/>
      <c r="T555" s="1101"/>
      <c r="U555" s="1101"/>
      <c r="V555" s="1101"/>
      <c r="W555" s="1101"/>
      <c r="X555" s="1101"/>
      <c r="Y555" s="1102"/>
      <c r="Z555" s="1102"/>
      <c r="AA555" s="1101"/>
    </row>
    <row r="556" ht="15.75" customHeight="1">
      <c r="A556" s="213"/>
      <c r="B556" s="213"/>
      <c r="C556" s="1101"/>
      <c r="D556" s="1101"/>
      <c r="E556" s="1101"/>
      <c r="F556" s="1101"/>
      <c r="G556" s="1101"/>
      <c r="H556" s="1101"/>
      <c r="I556" s="1101"/>
      <c r="J556" s="1101"/>
      <c r="K556" s="1101"/>
      <c r="L556" s="1101"/>
      <c r="M556" s="1101"/>
      <c r="N556" s="1101"/>
      <c r="O556" s="1101"/>
      <c r="P556" s="1101"/>
      <c r="Q556" s="1101"/>
      <c r="R556" s="1101"/>
      <c r="S556" s="1101"/>
      <c r="T556" s="1101"/>
      <c r="U556" s="1101"/>
      <c r="V556" s="1101"/>
      <c r="W556" s="1101"/>
      <c r="X556" s="1101"/>
      <c r="Y556" s="1102"/>
      <c r="Z556" s="1102"/>
      <c r="AA556" s="1101"/>
    </row>
    <row r="557" ht="15.75" customHeight="1">
      <c r="A557" s="213"/>
      <c r="B557" s="213"/>
      <c r="C557" s="1101"/>
      <c r="D557" s="1101"/>
      <c r="E557" s="1101"/>
      <c r="F557" s="1101"/>
      <c r="G557" s="1101"/>
      <c r="H557" s="1101"/>
      <c r="I557" s="1101"/>
      <c r="J557" s="1101"/>
      <c r="K557" s="1101"/>
      <c r="L557" s="1101"/>
      <c r="M557" s="1101"/>
      <c r="N557" s="1101"/>
      <c r="O557" s="1101"/>
      <c r="P557" s="1101"/>
      <c r="Q557" s="1101"/>
      <c r="R557" s="1101"/>
      <c r="S557" s="1101"/>
      <c r="T557" s="1101"/>
      <c r="U557" s="1101"/>
      <c r="V557" s="1101"/>
      <c r="W557" s="1101"/>
      <c r="X557" s="1101"/>
      <c r="Y557" s="1102"/>
      <c r="Z557" s="1102"/>
      <c r="AA557" s="1101"/>
    </row>
    <row r="558" ht="15.75" customHeight="1">
      <c r="A558" s="213"/>
      <c r="B558" s="213"/>
      <c r="C558" s="1101"/>
      <c r="D558" s="1101"/>
      <c r="E558" s="1101"/>
      <c r="F558" s="1101"/>
      <c r="G558" s="1101"/>
      <c r="H558" s="1101"/>
      <c r="I558" s="1101"/>
      <c r="J558" s="1101"/>
      <c r="K558" s="1101"/>
      <c r="L558" s="1101"/>
      <c r="M558" s="1101"/>
      <c r="N558" s="1101"/>
      <c r="O558" s="1101"/>
      <c r="P558" s="1101"/>
      <c r="Q558" s="1101"/>
      <c r="R558" s="1101"/>
      <c r="S558" s="1101"/>
      <c r="T558" s="1101"/>
      <c r="U558" s="1101"/>
      <c r="V558" s="1101"/>
      <c r="W558" s="1101"/>
      <c r="X558" s="1101"/>
      <c r="Y558" s="1102"/>
      <c r="Z558" s="1102"/>
      <c r="AA558" s="1101"/>
    </row>
    <row r="559" ht="15.75" customHeight="1">
      <c r="A559" s="213"/>
      <c r="B559" s="213"/>
      <c r="C559" s="1101"/>
      <c r="D559" s="1101"/>
      <c r="E559" s="1101"/>
      <c r="F559" s="1101"/>
      <c r="G559" s="1101"/>
      <c r="H559" s="1101"/>
      <c r="I559" s="1101"/>
      <c r="J559" s="1101"/>
      <c r="K559" s="1101"/>
      <c r="L559" s="1101"/>
      <c r="M559" s="1101"/>
      <c r="N559" s="1101"/>
      <c r="O559" s="1101"/>
      <c r="P559" s="1101"/>
      <c r="Q559" s="1101"/>
      <c r="R559" s="1101"/>
      <c r="S559" s="1101"/>
      <c r="T559" s="1101"/>
      <c r="U559" s="1101"/>
      <c r="V559" s="1101"/>
      <c r="W559" s="1101"/>
      <c r="X559" s="1101"/>
      <c r="Y559" s="1102"/>
      <c r="Z559" s="1102"/>
      <c r="AA559" s="1101"/>
    </row>
    <row r="560" ht="15.75" customHeight="1">
      <c r="A560" s="213"/>
      <c r="B560" s="213"/>
      <c r="C560" s="1101"/>
      <c r="D560" s="1101"/>
      <c r="E560" s="1101"/>
      <c r="F560" s="1101"/>
      <c r="G560" s="1101"/>
      <c r="H560" s="1101"/>
      <c r="I560" s="1101"/>
      <c r="J560" s="1101"/>
      <c r="K560" s="1101"/>
      <c r="L560" s="1101"/>
      <c r="M560" s="1101"/>
      <c r="N560" s="1101"/>
      <c r="O560" s="1101"/>
      <c r="P560" s="1101"/>
      <c r="Q560" s="1101"/>
      <c r="R560" s="1101"/>
      <c r="S560" s="1101"/>
      <c r="T560" s="1101"/>
      <c r="U560" s="1101"/>
      <c r="V560" s="1101"/>
      <c r="W560" s="1101"/>
      <c r="X560" s="1101"/>
      <c r="Y560" s="1102"/>
      <c r="Z560" s="1102"/>
      <c r="AA560" s="1101"/>
    </row>
    <row r="561" ht="15.75" customHeight="1">
      <c r="A561" s="213"/>
      <c r="B561" s="213"/>
      <c r="C561" s="1101"/>
      <c r="D561" s="1101"/>
      <c r="E561" s="1101"/>
      <c r="F561" s="1101"/>
      <c r="G561" s="1101"/>
      <c r="H561" s="1101"/>
      <c r="I561" s="1101"/>
      <c r="J561" s="1101"/>
      <c r="K561" s="1101"/>
      <c r="L561" s="1101"/>
      <c r="M561" s="1101"/>
      <c r="N561" s="1101"/>
      <c r="O561" s="1101"/>
      <c r="P561" s="1101"/>
      <c r="Q561" s="1101"/>
      <c r="R561" s="1101"/>
      <c r="S561" s="1101"/>
      <c r="T561" s="1101"/>
      <c r="U561" s="1101"/>
      <c r="V561" s="1101"/>
      <c r="W561" s="1101"/>
      <c r="X561" s="1101"/>
      <c r="Y561" s="1102"/>
      <c r="Z561" s="1102"/>
      <c r="AA561" s="1101"/>
    </row>
    <row r="562" ht="15.75" customHeight="1">
      <c r="A562" s="213"/>
      <c r="B562" s="213"/>
      <c r="C562" s="1101"/>
      <c r="D562" s="1101"/>
      <c r="E562" s="1101"/>
      <c r="F562" s="1101"/>
      <c r="G562" s="1101"/>
      <c r="H562" s="1101"/>
      <c r="I562" s="1101"/>
      <c r="J562" s="1101"/>
      <c r="K562" s="1101"/>
      <c r="L562" s="1101"/>
      <c r="M562" s="1101"/>
      <c r="N562" s="1101"/>
      <c r="O562" s="1101"/>
      <c r="P562" s="1101"/>
      <c r="Q562" s="1101"/>
      <c r="R562" s="1101"/>
      <c r="S562" s="1101"/>
      <c r="T562" s="1101"/>
      <c r="U562" s="1101"/>
      <c r="V562" s="1101"/>
      <c r="W562" s="1101"/>
      <c r="X562" s="1101"/>
      <c r="Y562" s="1102"/>
      <c r="Z562" s="1102"/>
      <c r="AA562" s="1101"/>
    </row>
    <row r="563" ht="15.75" customHeight="1">
      <c r="A563" s="213"/>
      <c r="B563" s="213"/>
      <c r="C563" s="1101"/>
      <c r="D563" s="1101"/>
      <c r="E563" s="1101"/>
      <c r="F563" s="1101"/>
      <c r="G563" s="1101"/>
      <c r="H563" s="1101"/>
      <c r="I563" s="1101"/>
      <c r="J563" s="1101"/>
      <c r="K563" s="1101"/>
      <c r="L563" s="1101"/>
      <c r="M563" s="1101"/>
      <c r="N563" s="1101"/>
      <c r="O563" s="1101"/>
      <c r="P563" s="1101"/>
      <c r="Q563" s="1101"/>
      <c r="R563" s="1101"/>
      <c r="S563" s="1101"/>
      <c r="T563" s="1101"/>
      <c r="U563" s="1101"/>
      <c r="V563" s="1101"/>
      <c r="W563" s="1101"/>
      <c r="X563" s="1101"/>
      <c r="Y563" s="1102"/>
      <c r="Z563" s="1102"/>
      <c r="AA563" s="1101"/>
    </row>
    <row r="564" ht="15.75" customHeight="1">
      <c r="A564" s="213"/>
      <c r="B564" s="213"/>
      <c r="C564" s="1101"/>
      <c r="D564" s="1101"/>
      <c r="E564" s="1101"/>
      <c r="F564" s="1101"/>
      <c r="G564" s="1101"/>
      <c r="H564" s="1101"/>
      <c r="I564" s="1101"/>
      <c r="J564" s="1101"/>
      <c r="K564" s="1101"/>
      <c r="L564" s="1101"/>
      <c r="M564" s="1101"/>
      <c r="N564" s="1101"/>
      <c r="O564" s="1101"/>
      <c r="P564" s="1101"/>
      <c r="Q564" s="1101"/>
      <c r="R564" s="1101"/>
      <c r="S564" s="1101"/>
      <c r="T564" s="1101"/>
      <c r="U564" s="1101"/>
      <c r="V564" s="1101"/>
      <c r="W564" s="1101"/>
      <c r="X564" s="1101"/>
      <c r="Y564" s="1102"/>
      <c r="Z564" s="1102"/>
      <c r="AA564" s="1101"/>
    </row>
    <row r="565" ht="15.75" customHeight="1">
      <c r="A565" s="213"/>
      <c r="B565" s="213"/>
      <c r="C565" s="1101"/>
      <c r="D565" s="1101"/>
      <c r="E565" s="1101"/>
      <c r="F565" s="1101"/>
      <c r="G565" s="1101"/>
      <c r="H565" s="1101"/>
      <c r="I565" s="1101"/>
      <c r="J565" s="1101"/>
      <c r="K565" s="1101"/>
      <c r="L565" s="1101"/>
      <c r="M565" s="1101"/>
      <c r="N565" s="1101"/>
      <c r="O565" s="1101"/>
      <c r="P565" s="1101"/>
      <c r="Q565" s="1101"/>
      <c r="R565" s="1101"/>
      <c r="S565" s="1101"/>
      <c r="T565" s="1101"/>
      <c r="U565" s="1101"/>
      <c r="V565" s="1101"/>
      <c r="W565" s="1101"/>
      <c r="X565" s="1101"/>
      <c r="Y565" s="1102"/>
      <c r="Z565" s="1102"/>
      <c r="AA565" s="1101"/>
    </row>
    <row r="566" ht="15.75" customHeight="1">
      <c r="A566" s="213"/>
      <c r="B566" s="213"/>
      <c r="C566" s="1101"/>
      <c r="D566" s="1101"/>
      <c r="E566" s="1101"/>
      <c r="F566" s="1101"/>
      <c r="G566" s="1101"/>
      <c r="H566" s="1101"/>
      <c r="I566" s="1101"/>
      <c r="J566" s="1101"/>
      <c r="K566" s="1101"/>
      <c r="L566" s="1101"/>
      <c r="M566" s="1101"/>
      <c r="N566" s="1101"/>
      <c r="O566" s="1101"/>
      <c r="P566" s="1101"/>
      <c r="Q566" s="1101"/>
      <c r="R566" s="1101"/>
      <c r="S566" s="1101"/>
      <c r="T566" s="1101"/>
      <c r="U566" s="1101"/>
      <c r="V566" s="1101"/>
      <c r="W566" s="1101"/>
      <c r="X566" s="1101"/>
      <c r="Y566" s="1102"/>
      <c r="Z566" s="1102"/>
      <c r="AA566" s="1101"/>
    </row>
    <row r="567" ht="15.75" customHeight="1">
      <c r="A567" s="213"/>
      <c r="B567" s="213"/>
      <c r="C567" s="1101"/>
      <c r="D567" s="1101"/>
      <c r="E567" s="1101"/>
      <c r="F567" s="1101"/>
      <c r="G567" s="1101"/>
      <c r="H567" s="1101"/>
      <c r="I567" s="1101"/>
      <c r="J567" s="1101"/>
      <c r="K567" s="1101"/>
      <c r="L567" s="1101"/>
      <c r="M567" s="1101"/>
      <c r="N567" s="1101"/>
      <c r="O567" s="1101"/>
      <c r="P567" s="1101"/>
      <c r="Q567" s="1101"/>
      <c r="R567" s="1101"/>
      <c r="S567" s="1101"/>
      <c r="T567" s="1101"/>
      <c r="U567" s="1101"/>
      <c r="V567" s="1101"/>
      <c r="W567" s="1101"/>
      <c r="X567" s="1101"/>
      <c r="Y567" s="1102"/>
      <c r="Z567" s="1102"/>
      <c r="AA567" s="1101"/>
    </row>
    <row r="568" ht="15.75" customHeight="1">
      <c r="A568" s="213"/>
      <c r="B568" s="213"/>
      <c r="C568" s="1101"/>
      <c r="D568" s="1101"/>
      <c r="E568" s="1101"/>
      <c r="F568" s="1101"/>
      <c r="G568" s="1101"/>
      <c r="H568" s="1101"/>
      <c r="I568" s="1101"/>
      <c r="J568" s="1101"/>
      <c r="K568" s="1101"/>
      <c r="L568" s="1101"/>
      <c r="M568" s="1101"/>
      <c r="N568" s="1101"/>
      <c r="O568" s="1101"/>
      <c r="P568" s="1101"/>
      <c r="Q568" s="1101"/>
      <c r="R568" s="1101"/>
      <c r="S568" s="1101"/>
      <c r="T568" s="1101"/>
      <c r="U568" s="1101"/>
      <c r="V568" s="1101"/>
      <c r="W568" s="1101"/>
      <c r="X568" s="1101"/>
      <c r="Y568" s="1102"/>
      <c r="Z568" s="1102"/>
      <c r="AA568" s="1101"/>
    </row>
    <row r="569" ht="15.75" customHeight="1">
      <c r="A569" s="213"/>
      <c r="B569" s="213"/>
      <c r="C569" s="1101"/>
      <c r="D569" s="1101"/>
      <c r="E569" s="1101"/>
      <c r="F569" s="1101"/>
      <c r="G569" s="1101"/>
      <c r="H569" s="1101"/>
      <c r="I569" s="1101"/>
      <c r="J569" s="1101"/>
      <c r="K569" s="1101"/>
      <c r="L569" s="1101"/>
      <c r="M569" s="1101"/>
      <c r="N569" s="1101"/>
      <c r="O569" s="1101"/>
      <c r="P569" s="1101"/>
      <c r="Q569" s="1101"/>
      <c r="R569" s="1101"/>
      <c r="S569" s="1101"/>
      <c r="T569" s="1101"/>
      <c r="U569" s="1101"/>
      <c r="V569" s="1101"/>
      <c r="W569" s="1101"/>
      <c r="X569" s="1101"/>
      <c r="Y569" s="1102"/>
      <c r="Z569" s="1102"/>
      <c r="AA569" s="1101"/>
    </row>
    <row r="570" ht="15.75" customHeight="1">
      <c r="A570" s="213"/>
      <c r="B570" s="213"/>
      <c r="C570" s="1101"/>
      <c r="D570" s="1101"/>
      <c r="E570" s="1101"/>
      <c r="F570" s="1101"/>
      <c r="G570" s="1101"/>
      <c r="H570" s="1101"/>
      <c r="I570" s="1101"/>
      <c r="J570" s="1101"/>
      <c r="K570" s="1101"/>
      <c r="L570" s="1101"/>
      <c r="M570" s="1101"/>
      <c r="N570" s="1101"/>
      <c r="O570" s="1101"/>
      <c r="P570" s="1101"/>
      <c r="Q570" s="1101"/>
      <c r="R570" s="1101"/>
      <c r="S570" s="1101"/>
      <c r="T570" s="1101"/>
      <c r="U570" s="1101"/>
      <c r="V570" s="1101"/>
      <c r="W570" s="1101"/>
      <c r="X570" s="1101"/>
      <c r="Y570" s="1102"/>
      <c r="Z570" s="1102"/>
      <c r="AA570" s="1101"/>
    </row>
    <row r="571" ht="15.75" customHeight="1">
      <c r="A571" s="213"/>
      <c r="B571" s="213"/>
      <c r="C571" s="1101"/>
      <c r="D571" s="1101"/>
      <c r="E571" s="1101"/>
      <c r="F571" s="1101"/>
      <c r="G571" s="1101"/>
      <c r="H571" s="1101"/>
      <c r="I571" s="1101"/>
      <c r="J571" s="1101"/>
      <c r="K571" s="1101"/>
      <c r="L571" s="1101"/>
      <c r="M571" s="1101"/>
      <c r="N571" s="1101"/>
      <c r="O571" s="1101"/>
      <c r="P571" s="1101"/>
      <c r="Q571" s="1101"/>
      <c r="R571" s="1101"/>
      <c r="S571" s="1101"/>
      <c r="T571" s="1101"/>
      <c r="U571" s="1101"/>
      <c r="V571" s="1101"/>
      <c r="W571" s="1101"/>
      <c r="X571" s="1101"/>
      <c r="Y571" s="1102"/>
      <c r="Z571" s="1102"/>
      <c r="AA571" s="1101"/>
    </row>
    <row r="572" ht="15.75" customHeight="1">
      <c r="A572" s="213"/>
      <c r="B572" s="213"/>
      <c r="C572" s="1101"/>
      <c r="D572" s="1101"/>
      <c r="E572" s="1101"/>
      <c r="F572" s="1101"/>
      <c r="G572" s="1101"/>
      <c r="H572" s="1101"/>
      <c r="I572" s="1101"/>
      <c r="J572" s="1101"/>
      <c r="K572" s="1101"/>
      <c r="L572" s="1101"/>
      <c r="M572" s="1101"/>
      <c r="N572" s="1101"/>
      <c r="O572" s="1101"/>
      <c r="P572" s="1101"/>
      <c r="Q572" s="1101"/>
      <c r="R572" s="1101"/>
      <c r="S572" s="1101"/>
      <c r="T572" s="1101"/>
      <c r="U572" s="1101"/>
      <c r="V572" s="1101"/>
      <c r="W572" s="1101"/>
      <c r="X572" s="1101"/>
      <c r="Y572" s="1102"/>
      <c r="Z572" s="1102"/>
      <c r="AA572" s="1101"/>
    </row>
    <row r="573" ht="15.75" customHeight="1">
      <c r="A573" s="213"/>
      <c r="B573" s="213"/>
      <c r="C573" s="1101"/>
      <c r="D573" s="1101"/>
      <c r="E573" s="1101"/>
      <c r="F573" s="1101"/>
      <c r="G573" s="1101"/>
      <c r="H573" s="1101"/>
      <c r="I573" s="1101"/>
      <c r="J573" s="1101"/>
      <c r="K573" s="1101"/>
      <c r="L573" s="1101"/>
      <c r="M573" s="1101"/>
      <c r="N573" s="1101"/>
      <c r="O573" s="1101"/>
      <c r="P573" s="1101"/>
      <c r="Q573" s="1101"/>
      <c r="R573" s="1101"/>
      <c r="S573" s="1101"/>
      <c r="T573" s="1101"/>
      <c r="U573" s="1101"/>
      <c r="V573" s="1101"/>
      <c r="W573" s="1101"/>
      <c r="X573" s="1101"/>
      <c r="Y573" s="1102"/>
      <c r="Z573" s="1102"/>
      <c r="AA573" s="1101"/>
    </row>
    <row r="574" ht="15.75" customHeight="1">
      <c r="A574" s="213"/>
      <c r="B574" s="213"/>
      <c r="C574" s="1101"/>
      <c r="D574" s="1101"/>
      <c r="E574" s="1101"/>
      <c r="F574" s="1101"/>
      <c r="G574" s="1101"/>
      <c r="H574" s="1101"/>
      <c r="I574" s="1101"/>
      <c r="J574" s="1101"/>
      <c r="K574" s="1101"/>
      <c r="L574" s="1101"/>
      <c r="M574" s="1101"/>
      <c r="N574" s="1101"/>
      <c r="O574" s="1101"/>
      <c r="P574" s="1101"/>
      <c r="Q574" s="1101"/>
      <c r="R574" s="1101"/>
      <c r="S574" s="1101"/>
      <c r="T574" s="1101"/>
      <c r="U574" s="1101"/>
      <c r="V574" s="1101"/>
      <c r="W574" s="1101"/>
      <c r="X574" s="1101"/>
      <c r="Y574" s="1102"/>
      <c r="Z574" s="1102"/>
      <c r="AA574" s="1101"/>
    </row>
    <row r="575" ht="15.75" customHeight="1">
      <c r="A575" s="213"/>
      <c r="B575" s="213"/>
      <c r="C575" s="1101"/>
      <c r="D575" s="1101"/>
      <c r="E575" s="1101"/>
      <c r="F575" s="1101"/>
      <c r="G575" s="1101"/>
      <c r="H575" s="1101"/>
      <c r="I575" s="1101"/>
      <c r="J575" s="1101"/>
      <c r="K575" s="1101"/>
      <c r="L575" s="1101"/>
      <c r="M575" s="1101"/>
      <c r="N575" s="1101"/>
      <c r="O575" s="1101"/>
      <c r="P575" s="1101"/>
      <c r="Q575" s="1101"/>
      <c r="R575" s="1101"/>
      <c r="S575" s="1101"/>
      <c r="T575" s="1101"/>
      <c r="U575" s="1101"/>
      <c r="V575" s="1101"/>
      <c r="W575" s="1101"/>
      <c r="X575" s="1101"/>
      <c r="Y575" s="1102"/>
      <c r="Z575" s="1102"/>
      <c r="AA575" s="1101"/>
    </row>
    <row r="576" ht="15.75" customHeight="1">
      <c r="A576" s="213"/>
      <c r="B576" s="213"/>
      <c r="C576" s="1101"/>
      <c r="D576" s="1101"/>
      <c r="E576" s="1101"/>
      <c r="F576" s="1101"/>
      <c r="G576" s="1101"/>
      <c r="H576" s="1101"/>
      <c r="I576" s="1101"/>
      <c r="J576" s="1101"/>
      <c r="K576" s="1101"/>
      <c r="L576" s="1101"/>
      <c r="M576" s="1101"/>
      <c r="N576" s="1101"/>
      <c r="O576" s="1101"/>
      <c r="P576" s="1101"/>
      <c r="Q576" s="1101"/>
      <c r="R576" s="1101"/>
      <c r="S576" s="1101"/>
      <c r="T576" s="1101"/>
      <c r="U576" s="1101"/>
      <c r="V576" s="1101"/>
      <c r="W576" s="1101"/>
      <c r="X576" s="1101"/>
      <c r="Y576" s="1102"/>
      <c r="Z576" s="1102"/>
      <c r="AA576" s="1101"/>
    </row>
    <row r="577" ht="15.75" customHeight="1">
      <c r="A577" s="213"/>
      <c r="B577" s="213"/>
      <c r="C577" s="1101"/>
      <c r="D577" s="1101"/>
      <c r="E577" s="1101"/>
      <c r="F577" s="1101"/>
      <c r="G577" s="1101"/>
      <c r="H577" s="1101"/>
      <c r="I577" s="1101"/>
      <c r="J577" s="1101"/>
      <c r="K577" s="1101"/>
      <c r="L577" s="1101"/>
      <c r="M577" s="1101"/>
      <c r="N577" s="1101"/>
      <c r="O577" s="1101"/>
      <c r="P577" s="1101"/>
      <c r="Q577" s="1101"/>
      <c r="R577" s="1101"/>
      <c r="S577" s="1101"/>
      <c r="T577" s="1101"/>
      <c r="U577" s="1101"/>
      <c r="V577" s="1101"/>
      <c r="W577" s="1101"/>
      <c r="X577" s="1101"/>
      <c r="Y577" s="1102"/>
      <c r="Z577" s="1102"/>
      <c r="AA577" s="1101"/>
    </row>
    <row r="578" ht="15.75" customHeight="1">
      <c r="A578" s="213"/>
      <c r="B578" s="213"/>
      <c r="C578" s="1101"/>
      <c r="D578" s="1101"/>
      <c r="E578" s="1101"/>
      <c r="F578" s="1101"/>
      <c r="G578" s="1101"/>
      <c r="H578" s="1101"/>
      <c r="I578" s="1101"/>
      <c r="J578" s="1101"/>
      <c r="K578" s="1101"/>
      <c r="L578" s="1101"/>
      <c r="M578" s="1101"/>
      <c r="N578" s="1101"/>
      <c r="O578" s="1101"/>
      <c r="P578" s="1101"/>
      <c r="Q578" s="1101"/>
      <c r="R578" s="1101"/>
      <c r="S578" s="1101"/>
      <c r="T578" s="1101"/>
      <c r="U578" s="1101"/>
      <c r="V578" s="1101"/>
      <c r="W578" s="1101"/>
      <c r="X578" s="1101"/>
      <c r="Y578" s="1102"/>
      <c r="Z578" s="1102"/>
      <c r="AA578" s="1101"/>
    </row>
    <row r="579" ht="15.75" customHeight="1">
      <c r="A579" s="213"/>
      <c r="B579" s="213"/>
      <c r="C579" s="1101"/>
      <c r="D579" s="1101"/>
      <c r="E579" s="1101"/>
      <c r="F579" s="1101"/>
      <c r="G579" s="1101"/>
      <c r="H579" s="1101"/>
      <c r="I579" s="1101"/>
      <c r="J579" s="1101"/>
      <c r="K579" s="1101"/>
      <c r="L579" s="1101"/>
      <c r="M579" s="1101"/>
      <c r="N579" s="1101"/>
      <c r="O579" s="1101"/>
      <c r="P579" s="1101"/>
      <c r="Q579" s="1101"/>
      <c r="R579" s="1101"/>
      <c r="S579" s="1101"/>
      <c r="T579" s="1101"/>
      <c r="U579" s="1101"/>
      <c r="V579" s="1101"/>
      <c r="W579" s="1101"/>
      <c r="X579" s="1101"/>
      <c r="Y579" s="1102"/>
      <c r="Z579" s="1102"/>
      <c r="AA579" s="1101"/>
    </row>
    <row r="580" ht="15.75" customHeight="1">
      <c r="A580" s="213"/>
      <c r="B580" s="213"/>
      <c r="C580" s="1101"/>
      <c r="D580" s="1101"/>
      <c r="E580" s="1101"/>
      <c r="F580" s="1101"/>
      <c r="G580" s="1101"/>
      <c r="H580" s="1101"/>
      <c r="I580" s="1101"/>
      <c r="J580" s="1101"/>
      <c r="K580" s="1101"/>
      <c r="L580" s="1101"/>
      <c r="M580" s="1101"/>
      <c r="N580" s="1101"/>
      <c r="O580" s="1101"/>
      <c r="P580" s="1101"/>
      <c r="Q580" s="1101"/>
      <c r="R580" s="1101"/>
      <c r="S580" s="1101"/>
      <c r="T580" s="1101"/>
      <c r="U580" s="1101"/>
      <c r="V580" s="1101"/>
      <c r="W580" s="1101"/>
      <c r="X580" s="1101"/>
      <c r="Y580" s="1102"/>
      <c r="Z580" s="1102"/>
      <c r="AA580" s="1101"/>
    </row>
    <row r="581" ht="15.75" customHeight="1">
      <c r="A581" s="213"/>
      <c r="B581" s="213"/>
      <c r="C581" s="1101"/>
      <c r="D581" s="1101"/>
      <c r="E581" s="1101"/>
      <c r="F581" s="1101"/>
      <c r="G581" s="1101"/>
      <c r="H581" s="1101"/>
      <c r="I581" s="1101"/>
      <c r="J581" s="1101"/>
      <c r="K581" s="1101"/>
      <c r="L581" s="1101"/>
      <c r="M581" s="1101"/>
      <c r="N581" s="1101"/>
      <c r="O581" s="1101"/>
      <c r="P581" s="1101"/>
      <c r="Q581" s="1101"/>
      <c r="R581" s="1101"/>
      <c r="S581" s="1101"/>
      <c r="T581" s="1101"/>
      <c r="U581" s="1101"/>
      <c r="V581" s="1101"/>
      <c r="W581" s="1101"/>
      <c r="X581" s="1101"/>
      <c r="Y581" s="1102"/>
      <c r="Z581" s="1102"/>
      <c r="AA581" s="1101"/>
    </row>
    <row r="582" ht="15.75" customHeight="1">
      <c r="A582" s="213"/>
      <c r="B582" s="213"/>
      <c r="C582" s="1101"/>
      <c r="D582" s="1101"/>
      <c r="E582" s="1101"/>
      <c r="F582" s="1101"/>
      <c r="G582" s="1101"/>
      <c r="H582" s="1101"/>
      <c r="I582" s="1101"/>
      <c r="J582" s="1101"/>
      <c r="K582" s="1101"/>
      <c r="L582" s="1101"/>
      <c r="M582" s="1101"/>
      <c r="N582" s="1101"/>
      <c r="O582" s="1101"/>
      <c r="P582" s="1101"/>
      <c r="Q582" s="1101"/>
      <c r="R582" s="1101"/>
      <c r="S582" s="1101"/>
      <c r="T582" s="1101"/>
      <c r="U582" s="1101"/>
      <c r="V582" s="1101"/>
      <c r="W582" s="1101"/>
      <c r="X582" s="1101"/>
      <c r="Y582" s="1102"/>
      <c r="Z582" s="1102"/>
      <c r="AA582" s="1101"/>
    </row>
    <row r="583" ht="15.75" customHeight="1">
      <c r="A583" s="213"/>
      <c r="B583" s="213"/>
      <c r="C583" s="1101"/>
      <c r="D583" s="1101"/>
      <c r="E583" s="1101"/>
      <c r="F583" s="1101"/>
      <c r="G583" s="1101"/>
      <c r="H583" s="1101"/>
      <c r="I583" s="1101"/>
      <c r="J583" s="1101"/>
      <c r="K583" s="1101"/>
      <c r="L583" s="1101"/>
      <c r="M583" s="1101"/>
      <c r="N583" s="1101"/>
      <c r="O583" s="1101"/>
      <c r="P583" s="1101"/>
      <c r="Q583" s="1101"/>
      <c r="R583" s="1101"/>
      <c r="S583" s="1101"/>
      <c r="T583" s="1101"/>
      <c r="U583" s="1101"/>
      <c r="V583" s="1101"/>
      <c r="W583" s="1101"/>
      <c r="X583" s="1101"/>
      <c r="Y583" s="1102"/>
      <c r="Z583" s="1102"/>
      <c r="AA583" s="1101"/>
    </row>
    <row r="584" ht="15.75" customHeight="1">
      <c r="A584" s="213"/>
      <c r="B584" s="213"/>
      <c r="C584" s="1101"/>
      <c r="D584" s="1101"/>
      <c r="E584" s="1101"/>
      <c r="F584" s="1101"/>
      <c r="G584" s="1101"/>
      <c r="H584" s="1101"/>
      <c r="I584" s="1101"/>
      <c r="J584" s="1101"/>
      <c r="K584" s="1101"/>
      <c r="L584" s="1101"/>
      <c r="M584" s="1101"/>
      <c r="N584" s="1101"/>
      <c r="O584" s="1101"/>
      <c r="P584" s="1101"/>
      <c r="Q584" s="1101"/>
      <c r="R584" s="1101"/>
      <c r="S584" s="1101"/>
      <c r="T584" s="1101"/>
      <c r="U584" s="1101"/>
      <c r="V584" s="1101"/>
      <c r="W584" s="1101"/>
      <c r="X584" s="1101"/>
      <c r="Y584" s="1102"/>
      <c r="Z584" s="1102"/>
      <c r="AA584" s="1101"/>
    </row>
    <row r="585" ht="15.75" customHeight="1">
      <c r="A585" s="213"/>
      <c r="B585" s="213"/>
      <c r="C585" s="1101"/>
      <c r="D585" s="1101"/>
      <c r="E585" s="1101"/>
      <c r="F585" s="1101"/>
      <c r="G585" s="1101"/>
      <c r="H585" s="1101"/>
      <c r="I585" s="1101"/>
      <c r="J585" s="1101"/>
      <c r="K585" s="1101"/>
      <c r="L585" s="1101"/>
      <c r="M585" s="1101"/>
      <c r="N585" s="1101"/>
      <c r="O585" s="1101"/>
      <c r="P585" s="1101"/>
      <c r="Q585" s="1101"/>
      <c r="R585" s="1101"/>
      <c r="S585" s="1101"/>
      <c r="T585" s="1101"/>
      <c r="U585" s="1101"/>
      <c r="V585" s="1101"/>
      <c r="W585" s="1101"/>
      <c r="X585" s="1101"/>
      <c r="Y585" s="1102"/>
      <c r="Z585" s="1102"/>
      <c r="AA585" s="1101"/>
    </row>
    <row r="586" ht="15.75" customHeight="1">
      <c r="A586" s="213"/>
      <c r="B586" s="213"/>
      <c r="C586" s="1101"/>
      <c r="D586" s="1101"/>
      <c r="E586" s="1101"/>
      <c r="F586" s="1101"/>
      <c r="G586" s="1101"/>
      <c r="H586" s="1101"/>
      <c r="I586" s="1101"/>
      <c r="J586" s="1101"/>
      <c r="K586" s="1101"/>
      <c r="L586" s="1101"/>
      <c r="M586" s="1101"/>
      <c r="N586" s="1101"/>
      <c r="O586" s="1101"/>
      <c r="P586" s="1101"/>
      <c r="Q586" s="1101"/>
      <c r="R586" s="1101"/>
      <c r="S586" s="1101"/>
      <c r="T586" s="1101"/>
      <c r="U586" s="1101"/>
      <c r="V586" s="1101"/>
      <c r="W586" s="1101"/>
      <c r="X586" s="1101"/>
      <c r="Y586" s="1102"/>
      <c r="Z586" s="1102"/>
      <c r="AA586" s="1101"/>
    </row>
    <row r="587" ht="15.75" customHeight="1">
      <c r="A587" s="213"/>
      <c r="B587" s="213"/>
      <c r="C587" s="1101"/>
      <c r="D587" s="1101"/>
      <c r="E587" s="1101"/>
      <c r="F587" s="1101"/>
      <c r="G587" s="1101"/>
      <c r="H587" s="1101"/>
      <c r="I587" s="1101"/>
      <c r="J587" s="1101"/>
      <c r="K587" s="1101"/>
      <c r="L587" s="1101"/>
      <c r="M587" s="1101"/>
      <c r="N587" s="1101"/>
      <c r="O587" s="1101"/>
      <c r="P587" s="1101"/>
      <c r="Q587" s="1101"/>
      <c r="R587" s="1101"/>
      <c r="S587" s="1101"/>
      <c r="T587" s="1101"/>
      <c r="U587" s="1101"/>
      <c r="V587" s="1101"/>
      <c r="W587" s="1101"/>
      <c r="X587" s="1101"/>
      <c r="Y587" s="1102"/>
      <c r="Z587" s="1102"/>
      <c r="AA587" s="1101"/>
    </row>
    <row r="588" ht="15.75" customHeight="1">
      <c r="A588" s="213"/>
      <c r="B588" s="213"/>
      <c r="C588" s="1101"/>
      <c r="D588" s="1101"/>
      <c r="E588" s="1101"/>
      <c r="F588" s="1101"/>
      <c r="G588" s="1101"/>
      <c r="H588" s="1101"/>
      <c r="I588" s="1101"/>
      <c r="J588" s="1101"/>
      <c r="K588" s="1101"/>
      <c r="L588" s="1101"/>
      <c r="M588" s="1101"/>
      <c r="N588" s="1101"/>
      <c r="O588" s="1101"/>
      <c r="P588" s="1101"/>
      <c r="Q588" s="1101"/>
      <c r="R588" s="1101"/>
      <c r="S588" s="1101"/>
      <c r="T588" s="1101"/>
      <c r="U588" s="1101"/>
      <c r="V588" s="1101"/>
      <c r="W588" s="1101"/>
      <c r="X588" s="1101"/>
      <c r="Y588" s="1102"/>
      <c r="Z588" s="1102"/>
      <c r="AA588" s="1101"/>
    </row>
    <row r="589" ht="15.75" customHeight="1">
      <c r="A589" s="213"/>
      <c r="B589" s="213"/>
      <c r="C589" s="1101"/>
      <c r="D589" s="1101"/>
      <c r="E589" s="1101"/>
      <c r="F589" s="1101"/>
      <c r="G589" s="1101"/>
      <c r="H589" s="1101"/>
      <c r="I589" s="1101"/>
      <c r="J589" s="1101"/>
      <c r="K589" s="1101"/>
      <c r="L589" s="1101"/>
      <c r="M589" s="1101"/>
      <c r="N589" s="1101"/>
      <c r="O589" s="1101"/>
      <c r="P589" s="1101"/>
      <c r="Q589" s="1101"/>
      <c r="R589" s="1101"/>
      <c r="S589" s="1101"/>
      <c r="T589" s="1101"/>
      <c r="U589" s="1101"/>
      <c r="V589" s="1101"/>
      <c r="W589" s="1101"/>
      <c r="X589" s="1101"/>
      <c r="Y589" s="1102"/>
      <c r="Z589" s="1102"/>
      <c r="AA589" s="1101"/>
    </row>
    <row r="590" ht="15.75" customHeight="1">
      <c r="A590" s="213"/>
      <c r="B590" s="213"/>
      <c r="C590" s="1101"/>
      <c r="D590" s="1101"/>
      <c r="E590" s="1101"/>
      <c r="F590" s="1101"/>
      <c r="G590" s="1101"/>
      <c r="H590" s="1101"/>
      <c r="I590" s="1101"/>
      <c r="J590" s="1101"/>
      <c r="K590" s="1101"/>
      <c r="L590" s="1101"/>
      <c r="M590" s="1101"/>
      <c r="N590" s="1101"/>
      <c r="O590" s="1101"/>
      <c r="P590" s="1101"/>
      <c r="Q590" s="1101"/>
      <c r="R590" s="1101"/>
      <c r="S590" s="1101"/>
      <c r="T590" s="1101"/>
      <c r="U590" s="1101"/>
      <c r="V590" s="1101"/>
      <c r="W590" s="1101"/>
      <c r="X590" s="1101"/>
      <c r="Y590" s="1102"/>
      <c r="Z590" s="1102"/>
      <c r="AA590" s="1101"/>
    </row>
    <row r="591" ht="15.75" customHeight="1">
      <c r="A591" s="213"/>
      <c r="B591" s="213"/>
      <c r="C591" s="1101"/>
      <c r="D591" s="1101"/>
      <c r="E591" s="1101"/>
      <c r="F591" s="1101"/>
      <c r="G591" s="1101"/>
      <c r="H591" s="1101"/>
      <c r="I591" s="1101"/>
      <c r="J591" s="1101"/>
      <c r="K591" s="1101"/>
      <c r="L591" s="1101"/>
      <c r="M591" s="1101"/>
      <c r="N591" s="1101"/>
      <c r="O591" s="1101"/>
      <c r="P591" s="1101"/>
      <c r="Q591" s="1101"/>
      <c r="R591" s="1101"/>
      <c r="S591" s="1101"/>
      <c r="T591" s="1101"/>
      <c r="U591" s="1101"/>
      <c r="V591" s="1101"/>
      <c r="W591" s="1101"/>
      <c r="X591" s="1101"/>
      <c r="Y591" s="1102"/>
      <c r="Z591" s="1102"/>
      <c r="AA591" s="1101"/>
    </row>
    <row r="592" ht="15.75" customHeight="1">
      <c r="A592" s="213"/>
      <c r="B592" s="213"/>
      <c r="C592" s="1101"/>
      <c r="D592" s="1101"/>
      <c r="E592" s="1101"/>
      <c r="F592" s="1101"/>
      <c r="G592" s="1101"/>
      <c r="H592" s="1101"/>
      <c r="I592" s="1101"/>
      <c r="J592" s="1101"/>
      <c r="K592" s="1101"/>
      <c r="L592" s="1101"/>
      <c r="M592" s="1101"/>
      <c r="N592" s="1101"/>
      <c r="O592" s="1101"/>
      <c r="P592" s="1101"/>
      <c r="Q592" s="1101"/>
      <c r="R592" s="1101"/>
      <c r="S592" s="1101"/>
      <c r="T592" s="1101"/>
      <c r="U592" s="1101"/>
      <c r="V592" s="1101"/>
      <c r="W592" s="1101"/>
      <c r="X592" s="1101"/>
      <c r="Y592" s="1102"/>
      <c r="Z592" s="1102"/>
      <c r="AA592" s="1101"/>
    </row>
    <row r="593" ht="15.75" customHeight="1">
      <c r="A593" s="213"/>
      <c r="B593" s="213"/>
      <c r="C593" s="1101"/>
      <c r="D593" s="1101"/>
      <c r="E593" s="1101"/>
      <c r="F593" s="1101"/>
      <c r="G593" s="1101"/>
      <c r="H593" s="1101"/>
      <c r="I593" s="1101"/>
      <c r="J593" s="1101"/>
      <c r="K593" s="1101"/>
      <c r="L593" s="1101"/>
      <c r="M593" s="1101"/>
      <c r="N593" s="1101"/>
      <c r="O593" s="1101"/>
      <c r="P593" s="1101"/>
      <c r="Q593" s="1101"/>
      <c r="R593" s="1101"/>
      <c r="S593" s="1101"/>
      <c r="T593" s="1101"/>
      <c r="U593" s="1101"/>
      <c r="V593" s="1101"/>
      <c r="W593" s="1101"/>
      <c r="X593" s="1101"/>
      <c r="Y593" s="1102"/>
      <c r="Z593" s="1102"/>
      <c r="AA593" s="1101"/>
    </row>
    <row r="594" ht="15.75" customHeight="1">
      <c r="A594" s="213"/>
      <c r="B594" s="213"/>
      <c r="C594" s="1101"/>
      <c r="D594" s="1101"/>
      <c r="E594" s="1101"/>
      <c r="F594" s="1101"/>
      <c r="G594" s="1101"/>
      <c r="H594" s="1101"/>
      <c r="I594" s="1101"/>
      <c r="J594" s="1101"/>
      <c r="K594" s="1101"/>
      <c r="L594" s="1101"/>
      <c r="M594" s="1101"/>
      <c r="N594" s="1101"/>
      <c r="O594" s="1101"/>
      <c r="P594" s="1101"/>
      <c r="Q594" s="1101"/>
      <c r="R594" s="1101"/>
      <c r="S594" s="1101"/>
      <c r="T594" s="1101"/>
      <c r="U594" s="1101"/>
      <c r="V594" s="1101"/>
      <c r="W594" s="1101"/>
      <c r="X594" s="1101"/>
      <c r="Y594" s="1102"/>
      <c r="Z594" s="1102"/>
      <c r="AA594" s="1101"/>
    </row>
    <row r="595" ht="15.75" customHeight="1">
      <c r="A595" s="213"/>
      <c r="B595" s="213"/>
      <c r="C595" s="1101"/>
      <c r="D595" s="1101"/>
      <c r="E595" s="1101"/>
      <c r="F595" s="1101"/>
      <c r="G595" s="1101"/>
      <c r="H595" s="1101"/>
      <c r="I595" s="1101"/>
      <c r="J595" s="1101"/>
      <c r="K595" s="1101"/>
      <c r="L595" s="1101"/>
      <c r="M595" s="1101"/>
      <c r="N595" s="1101"/>
      <c r="O595" s="1101"/>
      <c r="P595" s="1101"/>
      <c r="Q595" s="1101"/>
      <c r="R595" s="1101"/>
      <c r="S595" s="1101"/>
      <c r="T595" s="1101"/>
      <c r="U595" s="1101"/>
      <c r="V595" s="1101"/>
      <c r="W595" s="1101"/>
      <c r="X595" s="1101"/>
      <c r="Y595" s="1102"/>
      <c r="Z595" s="1102"/>
      <c r="AA595" s="1101"/>
    </row>
    <row r="596" ht="15.75" customHeight="1">
      <c r="A596" s="213"/>
      <c r="B596" s="213"/>
      <c r="C596" s="1101"/>
      <c r="D596" s="1101"/>
      <c r="E596" s="1101"/>
      <c r="F596" s="1101"/>
      <c r="G596" s="1101"/>
      <c r="H596" s="1101"/>
      <c r="I596" s="1101"/>
      <c r="J596" s="1101"/>
      <c r="K596" s="1101"/>
      <c r="L596" s="1101"/>
      <c r="M596" s="1101"/>
      <c r="N596" s="1101"/>
      <c r="O596" s="1101"/>
      <c r="P596" s="1101"/>
      <c r="Q596" s="1101"/>
      <c r="R596" s="1101"/>
      <c r="S596" s="1101"/>
      <c r="T596" s="1101"/>
      <c r="U596" s="1101"/>
      <c r="V596" s="1101"/>
      <c r="W596" s="1101"/>
      <c r="X596" s="1101"/>
      <c r="Y596" s="1102"/>
      <c r="Z596" s="1102"/>
      <c r="AA596" s="1101"/>
    </row>
    <row r="597" ht="15.75" customHeight="1">
      <c r="A597" s="213"/>
      <c r="B597" s="213"/>
      <c r="C597" s="1101"/>
      <c r="D597" s="1101"/>
      <c r="E597" s="1101"/>
      <c r="F597" s="1101"/>
      <c r="G597" s="1101"/>
      <c r="H597" s="1101"/>
      <c r="I597" s="1101"/>
      <c r="J597" s="1101"/>
      <c r="K597" s="1101"/>
      <c r="L597" s="1101"/>
      <c r="M597" s="1101"/>
      <c r="N597" s="1101"/>
      <c r="O597" s="1101"/>
      <c r="P597" s="1101"/>
      <c r="Q597" s="1101"/>
      <c r="R597" s="1101"/>
      <c r="S597" s="1101"/>
      <c r="T597" s="1101"/>
      <c r="U597" s="1101"/>
      <c r="V597" s="1101"/>
      <c r="W597" s="1101"/>
      <c r="X597" s="1101"/>
      <c r="Y597" s="1102"/>
      <c r="Z597" s="1102"/>
      <c r="AA597" s="1101"/>
    </row>
    <row r="598" ht="15.75" customHeight="1">
      <c r="A598" s="213"/>
      <c r="B598" s="213"/>
      <c r="C598" s="1101"/>
      <c r="D598" s="1101"/>
      <c r="E598" s="1101"/>
      <c r="F598" s="1101"/>
      <c r="G598" s="1101"/>
      <c r="H598" s="1101"/>
      <c r="I598" s="1101"/>
      <c r="J598" s="1101"/>
      <c r="K598" s="1101"/>
      <c r="L598" s="1101"/>
      <c r="M598" s="1101"/>
      <c r="N598" s="1101"/>
      <c r="O598" s="1101"/>
      <c r="P598" s="1101"/>
      <c r="Q598" s="1101"/>
      <c r="R598" s="1101"/>
      <c r="S598" s="1101"/>
      <c r="T598" s="1101"/>
      <c r="U598" s="1101"/>
      <c r="V598" s="1101"/>
      <c r="W598" s="1101"/>
      <c r="X598" s="1101"/>
      <c r="Y598" s="1102"/>
      <c r="Z598" s="1102"/>
      <c r="AA598" s="1101"/>
    </row>
    <row r="599" ht="15.75" customHeight="1">
      <c r="A599" s="213"/>
      <c r="B599" s="213"/>
      <c r="C599" s="1101"/>
      <c r="D599" s="1101"/>
      <c r="E599" s="1101"/>
      <c r="F599" s="1101"/>
      <c r="G599" s="1101"/>
      <c r="H599" s="1101"/>
      <c r="I599" s="1101"/>
      <c r="J599" s="1101"/>
      <c r="K599" s="1101"/>
      <c r="L599" s="1101"/>
      <c r="M599" s="1101"/>
      <c r="N599" s="1101"/>
      <c r="O599" s="1101"/>
      <c r="P599" s="1101"/>
      <c r="Q599" s="1101"/>
      <c r="R599" s="1101"/>
      <c r="S599" s="1101"/>
      <c r="T599" s="1101"/>
      <c r="U599" s="1101"/>
      <c r="V599" s="1101"/>
      <c r="W599" s="1101"/>
      <c r="X599" s="1101"/>
      <c r="Y599" s="1102"/>
      <c r="Z599" s="1102"/>
      <c r="AA599" s="1101"/>
    </row>
    <row r="600" ht="15.75" customHeight="1">
      <c r="A600" s="213"/>
      <c r="B600" s="213"/>
      <c r="C600" s="1101"/>
      <c r="D600" s="1101"/>
      <c r="E600" s="1101"/>
      <c r="F600" s="1101"/>
      <c r="G600" s="1101"/>
      <c r="H600" s="1101"/>
      <c r="I600" s="1101"/>
      <c r="J600" s="1101"/>
      <c r="K600" s="1101"/>
      <c r="L600" s="1101"/>
      <c r="M600" s="1101"/>
      <c r="N600" s="1101"/>
      <c r="O600" s="1101"/>
      <c r="P600" s="1101"/>
      <c r="Q600" s="1101"/>
      <c r="R600" s="1101"/>
      <c r="S600" s="1101"/>
      <c r="T600" s="1101"/>
      <c r="U600" s="1101"/>
      <c r="V600" s="1101"/>
      <c r="W600" s="1101"/>
      <c r="X600" s="1101"/>
      <c r="Y600" s="1102"/>
      <c r="Z600" s="1102"/>
      <c r="AA600" s="1101"/>
    </row>
    <row r="601" ht="15.75" customHeight="1">
      <c r="A601" s="213"/>
      <c r="B601" s="213"/>
      <c r="C601" s="1101"/>
      <c r="D601" s="1101"/>
      <c r="E601" s="1101"/>
      <c r="F601" s="1101"/>
      <c r="G601" s="1101"/>
      <c r="H601" s="1101"/>
      <c r="I601" s="1101"/>
      <c r="J601" s="1101"/>
      <c r="K601" s="1101"/>
      <c r="L601" s="1101"/>
      <c r="M601" s="1101"/>
      <c r="N601" s="1101"/>
      <c r="O601" s="1101"/>
      <c r="P601" s="1101"/>
      <c r="Q601" s="1101"/>
      <c r="R601" s="1101"/>
      <c r="S601" s="1101"/>
      <c r="T601" s="1101"/>
      <c r="U601" s="1101"/>
      <c r="V601" s="1101"/>
      <c r="W601" s="1101"/>
      <c r="X601" s="1101"/>
      <c r="Y601" s="1102"/>
      <c r="Z601" s="1102"/>
      <c r="AA601" s="1101"/>
    </row>
    <row r="602" ht="15.75" customHeight="1">
      <c r="A602" s="213"/>
      <c r="B602" s="213"/>
      <c r="C602" s="1101"/>
      <c r="D602" s="1101"/>
      <c r="E602" s="1101"/>
      <c r="F602" s="1101"/>
      <c r="G602" s="1101"/>
      <c r="H602" s="1101"/>
      <c r="I602" s="1101"/>
      <c r="J602" s="1101"/>
      <c r="K602" s="1101"/>
      <c r="L602" s="1101"/>
      <c r="M602" s="1101"/>
      <c r="N602" s="1101"/>
      <c r="O602" s="1101"/>
      <c r="P602" s="1101"/>
      <c r="Q602" s="1101"/>
      <c r="R602" s="1101"/>
      <c r="S602" s="1101"/>
      <c r="T602" s="1101"/>
      <c r="U602" s="1101"/>
      <c r="V602" s="1101"/>
      <c r="W602" s="1101"/>
      <c r="X602" s="1101"/>
      <c r="Y602" s="1102"/>
      <c r="Z602" s="1102"/>
      <c r="AA602" s="1101"/>
    </row>
    <row r="603" ht="15.75" customHeight="1">
      <c r="A603" s="213"/>
      <c r="B603" s="213"/>
      <c r="C603" s="1101"/>
      <c r="D603" s="1101"/>
      <c r="E603" s="1101"/>
      <c r="F603" s="1101"/>
      <c r="G603" s="1101"/>
      <c r="H603" s="1101"/>
      <c r="I603" s="1101"/>
      <c r="J603" s="1101"/>
      <c r="K603" s="1101"/>
      <c r="L603" s="1101"/>
      <c r="M603" s="1101"/>
      <c r="N603" s="1101"/>
      <c r="O603" s="1101"/>
      <c r="P603" s="1101"/>
      <c r="Q603" s="1101"/>
      <c r="R603" s="1101"/>
      <c r="S603" s="1101"/>
      <c r="T603" s="1101"/>
      <c r="U603" s="1101"/>
      <c r="V603" s="1101"/>
      <c r="W603" s="1101"/>
      <c r="X603" s="1101"/>
      <c r="Y603" s="1102"/>
      <c r="Z603" s="1102"/>
      <c r="AA603" s="1101"/>
    </row>
    <row r="604" ht="15.75" customHeight="1">
      <c r="A604" s="213"/>
      <c r="B604" s="213"/>
      <c r="C604" s="1101"/>
      <c r="D604" s="1101"/>
      <c r="E604" s="1101"/>
      <c r="F604" s="1101"/>
      <c r="G604" s="1101"/>
      <c r="H604" s="1101"/>
      <c r="I604" s="1101"/>
      <c r="J604" s="1101"/>
      <c r="K604" s="1101"/>
      <c r="L604" s="1101"/>
      <c r="M604" s="1101"/>
      <c r="N604" s="1101"/>
      <c r="O604" s="1101"/>
      <c r="P604" s="1101"/>
      <c r="Q604" s="1101"/>
      <c r="R604" s="1101"/>
      <c r="S604" s="1101"/>
      <c r="T604" s="1101"/>
      <c r="U604" s="1101"/>
      <c r="V604" s="1101"/>
      <c r="W604" s="1101"/>
      <c r="X604" s="1101"/>
      <c r="Y604" s="1102"/>
      <c r="Z604" s="1102"/>
      <c r="AA604" s="1101"/>
    </row>
    <row r="605" ht="15.75" customHeight="1">
      <c r="A605" s="213"/>
      <c r="B605" s="213"/>
      <c r="C605" s="1101"/>
      <c r="D605" s="1101"/>
      <c r="E605" s="1101"/>
      <c r="F605" s="1101"/>
      <c r="G605" s="1101"/>
      <c r="H605" s="1101"/>
      <c r="I605" s="1101"/>
      <c r="J605" s="1101"/>
      <c r="K605" s="1101"/>
      <c r="L605" s="1101"/>
      <c r="M605" s="1101"/>
      <c r="N605" s="1101"/>
      <c r="O605" s="1101"/>
      <c r="P605" s="1101"/>
      <c r="Q605" s="1101"/>
      <c r="R605" s="1101"/>
      <c r="S605" s="1101"/>
      <c r="T605" s="1101"/>
      <c r="U605" s="1101"/>
      <c r="V605" s="1101"/>
      <c r="W605" s="1101"/>
      <c r="X605" s="1101"/>
      <c r="Y605" s="1102"/>
      <c r="Z605" s="1102"/>
      <c r="AA605" s="1101"/>
    </row>
    <row r="606" ht="15.75" customHeight="1">
      <c r="A606" s="213"/>
      <c r="B606" s="213"/>
      <c r="C606" s="1101"/>
      <c r="D606" s="1101"/>
      <c r="E606" s="1101"/>
      <c r="F606" s="1101"/>
      <c r="G606" s="1101"/>
      <c r="H606" s="1101"/>
      <c r="I606" s="1101"/>
      <c r="J606" s="1101"/>
      <c r="K606" s="1101"/>
      <c r="L606" s="1101"/>
      <c r="M606" s="1101"/>
      <c r="N606" s="1101"/>
      <c r="O606" s="1101"/>
      <c r="P606" s="1101"/>
      <c r="Q606" s="1101"/>
      <c r="R606" s="1101"/>
      <c r="S606" s="1101"/>
      <c r="T606" s="1101"/>
      <c r="U606" s="1101"/>
      <c r="V606" s="1101"/>
      <c r="W606" s="1101"/>
      <c r="X606" s="1101"/>
      <c r="Y606" s="1102"/>
      <c r="Z606" s="1102"/>
      <c r="AA606" s="1101"/>
    </row>
    <row r="607" ht="15.75" customHeight="1">
      <c r="A607" s="213"/>
      <c r="B607" s="213"/>
      <c r="C607" s="1101"/>
      <c r="D607" s="1101"/>
      <c r="E607" s="1101"/>
      <c r="F607" s="1101"/>
      <c r="G607" s="1101"/>
      <c r="H607" s="1101"/>
      <c r="I607" s="1101"/>
      <c r="J607" s="1101"/>
      <c r="K607" s="1101"/>
      <c r="L607" s="1101"/>
      <c r="M607" s="1101"/>
      <c r="N607" s="1101"/>
      <c r="O607" s="1101"/>
      <c r="P607" s="1101"/>
      <c r="Q607" s="1101"/>
      <c r="R607" s="1101"/>
      <c r="S607" s="1101"/>
      <c r="T607" s="1101"/>
      <c r="U607" s="1101"/>
      <c r="V607" s="1101"/>
      <c r="W607" s="1101"/>
      <c r="X607" s="1101"/>
      <c r="Y607" s="1102"/>
      <c r="Z607" s="1102"/>
      <c r="AA607" s="1101"/>
    </row>
    <row r="608" ht="15.75" customHeight="1">
      <c r="A608" s="213"/>
      <c r="B608" s="213"/>
      <c r="C608" s="1101"/>
      <c r="D608" s="1101"/>
      <c r="E608" s="1101"/>
      <c r="F608" s="1101"/>
      <c r="G608" s="1101"/>
      <c r="H608" s="1101"/>
      <c r="I608" s="1101"/>
      <c r="J608" s="1101"/>
      <c r="K608" s="1101"/>
      <c r="L608" s="1101"/>
      <c r="M608" s="1101"/>
      <c r="N608" s="1101"/>
      <c r="O608" s="1101"/>
      <c r="P608" s="1101"/>
      <c r="Q608" s="1101"/>
      <c r="R608" s="1101"/>
      <c r="S608" s="1101"/>
      <c r="T608" s="1101"/>
      <c r="U608" s="1101"/>
      <c r="V608" s="1101"/>
      <c r="W608" s="1101"/>
      <c r="X608" s="1101"/>
      <c r="Y608" s="1102"/>
      <c r="Z608" s="1102"/>
      <c r="AA608" s="1101"/>
    </row>
    <row r="609" ht="15.75" customHeight="1">
      <c r="A609" s="213"/>
      <c r="B609" s="213"/>
      <c r="C609" s="1101"/>
      <c r="D609" s="1101"/>
      <c r="E609" s="1101"/>
      <c r="F609" s="1101"/>
      <c r="G609" s="1101"/>
      <c r="H609" s="1101"/>
      <c r="I609" s="1101"/>
      <c r="J609" s="1101"/>
      <c r="K609" s="1101"/>
      <c r="L609" s="1101"/>
      <c r="M609" s="1101"/>
      <c r="N609" s="1101"/>
      <c r="O609" s="1101"/>
      <c r="P609" s="1101"/>
      <c r="Q609" s="1101"/>
      <c r="R609" s="1101"/>
      <c r="S609" s="1101"/>
      <c r="T609" s="1101"/>
      <c r="U609" s="1101"/>
      <c r="V609" s="1101"/>
      <c r="W609" s="1101"/>
      <c r="X609" s="1101"/>
      <c r="Y609" s="1102"/>
      <c r="Z609" s="1102"/>
      <c r="AA609" s="1101"/>
    </row>
    <row r="610" ht="15.75" customHeight="1">
      <c r="A610" s="213"/>
      <c r="B610" s="213"/>
      <c r="C610" s="1101"/>
      <c r="D610" s="1101"/>
      <c r="E610" s="1101"/>
      <c r="F610" s="1101"/>
      <c r="G610" s="1101"/>
      <c r="H610" s="1101"/>
      <c r="I610" s="1101"/>
      <c r="J610" s="1101"/>
      <c r="K610" s="1101"/>
      <c r="L610" s="1101"/>
      <c r="M610" s="1101"/>
      <c r="N610" s="1101"/>
      <c r="O610" s="1101"/>
      <c r="P610" s="1101"/>
      <c r="Q610" s="1101"/>
      <c r="R610" s="1101"/>
      <c r="S610" s="1101"/>
      <c r="T610" s="1101"/>
      <c r="U610" s="1101"/>
      <c r="V610" s="1101"/>
      <c r="W610" s="1101"/>
      <c r="X610" s="1101"/>
      <c r="Y610" s="1102"/>
      <c r="Z610" s="1102"/>
      <c r="AA610" s="1101"/>
    </row>
    <row r="611" ht="15.75" customHeight="1">
      <c r="A611" s="213"/>
      <c r="B611" s="213"/>
      <c r="C611" s="1101"/>
      <c r="D611" s="1101"/>
      <c r="E611" s="1101"/>
      <c r="F611" s="1101"/>
      <c r="G611" s="1101"/>
      <c r="H611" s="1101"/>
      <c r="I611" s="1101"/>
      <c r="J611" s="1101"/>
      <c r="K611" s="1101"/>
      <c r="L611" s="1101"/>
      <c r="M611" s="1101"/>
      <c r="N611" s="1101"/>
      <c r="O611" s="1101"/>
      <c r="P611" s="1101"/>
      <c r="Q611" s="1101"/>
      <c r="R611" s="1101"/>
      <c r="S611" s="1101"/>
      <c r="T611" s="1101"/>
      <c r="U611" s="1101"/>
      <c r="V611" s="1101"/>
      <c r="W611" s="1101"/>
      <c r="X611" s="1101"/>
      <c r="Y611" s="1102"/>
      <c r="Z611" s="1102"/>
      <c r="AA611" s="1101"/>
    </row>
    <row r="612" ht="15.75" customHeight="1">
      <c r="A612" s="213"/>
      <c r="B612" s="213"/>
      <c r="C612" s="1101"/>
      <c r="D612" s="1101"/>
      <c r="E612" s="1101"/>
      <c r="F612" s="1101"/>
      <c r="G612" s="1101"/>
      <c r="H612" s="1101"/>
      <c r="I612" s="1101"/>
      <c r="J612" s="1101"/>
      <c r="K612" s="1101"/>
      <c r="L612" s="1101"/>
      <c r="M612" s="1101"/>
      <c r="N612" s="1101"/>
      <c r="O612" s="1101"/>
      <c r="P612" s="1101"/>
      <c r="Q612" s="1101"/>
      <c r="R612" s="1101"/>
      <c r="S612" s="1101"/>
      <c r="T612" s="1101"/>
      <c r="U612" s="1101"/>
      <c r="V612" s="1101"/>
      <c r="W612" s="1101"/>
      <c r="X612" s="1101"/>
      <c r="Y612" s="1102"/>
      <c r="Z612" s="1102"/>
      <c r="AA612" s="1101"/>
    </row>
    <row r="613" ht="15.75" customHeight="1">
      <c r="A613" s="213"/>
      <c r="B613" s="213"/>
      <c r="C613" s="1101"/>
      <c r="D613" s="1101"/>
      <c r="E613" s="1101"/>
      <c r="F613" s="1101"/>
      <c r="G613" s="1101"/>
      <c r="H613" s="1101"/>
      <c r="I613" s="1101"/>
      <c r="J613" s="1101"/>
      <c r="K613" s="1101"/>
      <c r="L613" s="1101"/>
      <c r="M613" s="1101"/>
      <c r="N613" s="1101"/>
      <c r="O613" s="1101"/>
      <c r="P613" s="1101"/>
      <c r="Q613" s="1101"/>
      <c r="R613" s="1101"/>
      <c r="S613" s="1101"/>
      <c r="T613" s="1101"/>
      <c r="U613" s="1101"/>
      <c r="V613" s="1101"/>
      <c r="W613" s="1101"/>
      <c r="X613" s="1101"/>
      <c r="Y613" s="1102"/>
      <c r="Z613" s="1102"/>
      <c r="AA613" s="1101"/>
    </row>
    <row r="614" ht="15.75" customHeight="1">
      <c r="A614" s="213"/>
      <c r="B614" s="213"/>
      <c r="C614" s="1101"/>
      <c r="D614" s="1101"/>
      <c r="E614" s="1101"/>
      <c r="F614" s="1101"/>
      <c r="G614" s="1101"/>
      <c r="H614" s="1101"/>
      <c r="I614" s="1101"/>
      <c r="J614" s="1101"/>
      <c r="K614" s="1101"/>
      <c r="L614" s="1101"/>
      <c r="M614" s="1101"/>
      <c r="N614" s="1101"/>
      <c r="O614" s="1101"/>
      <c r="P614" s="1101"/>
      <c r="Q614" s="1101"/>
      <c r="R614" s="1101"/>
      <c r="S614" s="1101"/>
      <c r="T614" s="1101"/>
      <c r="U614" s="1101"/>
      <c r="V614" s="1101"/>
      <c r="W614" s="1101"/>
      <c r="X614" s="1101"/>
      <c r="Y614" s="1102"/>
      <c r="Z614" s="1102"/>
      <c r="AA614" s="1101"/>
    </row>
    <row r="615" ht="15.75" customHeight="1">
      <c r="A615" s="213"/>
      <c r="B615" s="213"/>
      <c r="C615" s="1101"/>
      <c r="D615" s="1101"/>
      <c r="E615" s="1101"/>
      <c r="F615" s="1101"/>
      <c r="G615" s="1101"/>
      <c r="H615" s="1101"/>
      <c r="I615" s="1101"/>
      <c r="J615" s="1101"/>
      <c r="K615" s="1101"/>
      <c r="L615" s="1101"/>
      <c r="M615" s="1101"/>
      <c r="N615" s="1101"/>
      <c r="O615" s="1101"/>
      <c r="P615" s="1101"/>
      <c r="Q615" s="1101"/>
      <c r="R615" s="1101"/>
      <c r="S615" s="1101"/>
      <c r="T615" s="1101"/>
      <c r="U615" s="1101"/>
      <c r="V615" s="1101"/>
      <c r="W615" s="1101"/>
      <c r="X615" s="1101"/>
      <c r="Y615" s="1102"/>
      <c r="Z615" s="1102"/>
      <c r="AA615" s="1101"/>
    </row>
    <row r="616" ht="15.75" customHeight="1">
      <c r="A616" s="213"/>
      <c r="B616" s="213"/>
      <c r="C616" s="1101"/>
      <c r="D616" s="1101"/>
      <c r="E616" s="1101"/>
      <c r="F616" s="1101"/>
      <c r="G616" s="1101"/>
      <c r="H616" s="1101"/>
      <c r="I616" s="1101"/>
      <c r="J616" s="1101"/>
      <c r="K616" s="1101"/>
      <c r="L616" s="1101"/>
      <c r="M616" s="1101"/>
      <c r="N616" s="1101"/>
      <c r="O616" s="1101"/>
      <c r="P616" s="1101"/>
      <c r="Q616" s="1101"/>
      <c r="R616" s="1101"/>
      <c r="S616" s="1101"/>
      <c r="T616" s="1101"/>
      <c r="U616" s="1101"/>
      <c r="V616" s="1101"/>
      <c r="W616" s="1101"/>
      <c r="X616" s="1101"/>
      <c r="Y616" s="1102"/>
      <c r="Z616" s="1102"/>
      <c r="AA616" s="1101"/>
    </row>
    <row r="617" ht="15.75" customHeight="1">
      <c r="A617" s="213"/>
      <c r="B617" s="213"/>
      <c r="C617" s="1101"/>
      <c r="D617" s="1101"/>
      <c r="E617" s="1101"/>
      <c r="F617" s="1101"/>
      <c r="G617" s="1101"/>
      <c r="H617" s="1101"/>
      <c r="I617" s="1101"/>
      <c r="J617" s="1101"/>
      <c r="K617" s="1101"/>
      <c r="L617" s="1101"/>
      <c r="M617" s="1101"/>
      <c r="N617" s="1101"/>
      <c r="O617" s="1101"/>
      <c r="P617" s="1101"/>
      <c r="Q617" s="1101"/>
      <c r="R617" s="1101"/>
      <c r="S617" s="1101"/>
      <c r="T617" s="1101"/>
      <c r="U617" s="1101"/>
      <c r="V617" s="1101"/>
      <c r="W617" s="1101"/>
      <c r="X617" s="1101"/>
      <c r="Y617" s="1102"/>
      <c r="Z617" s="1102"/>
      <c r="AA617" s="1101"/>
    </row>
    <row r="618" ht="15.75" customHeight="1">
      <c r="A618" s="213"/>
      <c r="B618" s="213"/>
      <c r="C618" s="1101"/>
      <c r="D618" s="1101"/>
      <c r="E618" s="1101"/>
      <c r="F618" s="1101"/>
      <c r="G618" s="1101"/>
      <c r="H618" s="1101"/>
      <c r="I618" s="1101"/>
      <c r="J618" s="1101"/>
      <c r="K618" s="1101"/>
      <c r="L618" s="1101"/>
      <c r="M618" s="1101"/>
      <c r="N618" s="1101"/>
      <c r="O618" s="1101"/>
      <c r="P618" s="1101"/>
      <c r="Q618" s="1101"/>
      <c r="R618" s="1101"/>
      <c r="S618" s="1101"/>
      <c r="T618" s="1101"/>
      <c r="U618" s="1101"/>
      <c r="V618" s="1101"/>
      <c r="W618" s="1101"/>
      <c r="X618" s="1101"/>
      <c r="Y618" s="1102"/>
      <c r="Z618" s="1102"/>
      <c r="AA618" s="1101"/>
    </row>
    <row r="619" ht="15.75" customHeight="1">
      <c r="A619" s="213"/>
      <c r="B619" s="213"/>
      <c r="C619" s="1101"/>
      <c r="D619" s="1101"/>
      <c r="E619" s="1101"/>
      <c r="F619" s="1101"/>
      <c r="G619" s="1101"/>
      <c r="H619" s="1101"/>
      <c r="I619" s="1101"/>
      <c r="J619" s="1101"/>
      <c r="K619" s="1101"/>
      <c r="L619" s="1101"/>
      <c r="M619" s="1101"/>
      <c r="N619" s="1101"/>
      <c r="O619" s="1101"/>
      <c r="P619" s="1101"/>
      <c r="Q619" s="1101"/>
      <c r="R619" s="1101"/>
      <c r="S619" s="1101"/>
      <c r="T619" s="1101"/>
      <c r="U619" s="1101"/>
      <c r="V619" s="1101"/>
      <c r="W619" s="1101"/>
      <c r="X619" s="1101"/>
      <c r="Y619" s="1102"/>
      <c r="Z619" s="1102"/>
      <c r="AA619" s="1101"/>
    </row>
    <row r="620" ht="15.75" customHeight="1">
      <c r="A620" s="213"/>
      <c r="B620" s="213"/>
      <c r="C620" s="1101"/>
      <c r="D620" s="1101"/>
      <c r="E620" s="1101"/>
      <c r="F620" s="1101"/>
      <c r="G620" s="1101"/>
      <c r="H620" s="1101"/>
      <c r="I620" s="1101"/>
      <c r="J620" s="1101"/>
      <c r="K620" s="1101"/>
      <c r="L620" s="1101"/>
      <c r="M620" s="1101"/>
      <c r="N620" s="1101"/>
      <c r="O620" s="1101"/>
      <c r="P620" s="1101"/>
      <c r="Q620" s="1101"/>
      <c r="R620" s="1101"/>
      <c r="S620" s="1101"/>
      <c r="T620" s="1101"/>
      <c r="U620" s="1101"/>
      <c r="V620" s="1101"/>
      <c r="W620" s="1101"/>
      <c r="X620" s="1101"/>
      <c r="Y620" s="1102"/>
      <c r="Z620" s="1102"/>
      <c r="AA620" s="1101"/>
    </row>
    <row r="621" ht="15.75" customHeight="1">
      <c r="A621" s="213"/>
      <c r="B621" s="213"/>
      <c r="C621" s="1101"/>
      <c r="D621" s="1101"/>
      <c r="E621" s="1101"/>
      <c r="F621" s="1101"/>
      <c r="G621" s="1101"/>
      <c r="H621" s="1101"/>
      <c r="I621" s="1101"/>
      <c r="J621" s="1101"/>
      <c r="K621" s="1101"/>
      <c r="L621" s="1101"/>
      <c r="M621" s="1101"/>
      <c r="N621" s="1101"/>
      <c r="O621" s="1101"/>
      <c r="P621" s="1101"/>
      <c r="Q621" s="1101"/>
      <c r="R621" s="1101"/>
      <c r="S621" s="1101"/>
      <c r="T621" s="1101"/>
      <c r="U621" s="1101"/>
      <c r="V621" s="1101"/>
      <c r="W621" s="1101"/>
      <c r="X621" s="1101"/>
      <c r="Y621" s="1102"/>
      <c r="Z621" s="1102"/>
      <c r="AA621" s="1101"/>
    </row>
    <row r="622" ht="15.75" customHeight="1">
      <c r="A622" s="213"/>
      <c r="B622" s="213"/>
      <c r="C622" s="1101"/>
      <c r="D622" s="1101"/>
      <c r="E622" s="1101"/>
      <c r="F622" s="1101"/>
      <c r="G622" s="1101"/>
      <c r="H622" s="1101"/>
      <c r="I622" s="1101"/>
      <c r="J622" s="1101"/>
      <c r="K622" s="1101"/>
      <c r="L622" s="1101"/>
      <c r="M622" s="1101"/>
      <c r="N622" s="1101"/>
      <c r="O622" s="1101"/>
      <c r="P622" s="1101"/>
      <c r="Q622" s="1101"/>
      <c r="R622" s="1101"/>
      <c r="S622" s="1101"/>
      <c r="T622" s="1101"/>
      <c r="U622" s="1101"/>
      <c r="V622" s="1101"/>
      <c r="W622" s="1101"/>
      <c r="X622" s="1101"/>
      <c r="Y622" s="1102"/>
      <c r="Z622" s="1102"/>
      <c r="AA622" s="1101"/>
    </row>
    <row r="623" ht="15.75" customHeight="1">
      <c r="A623" s="213"/>
      <c r="B623" s="213"/>
      <c r="C623" s="1101"/>
      <c r="D623" s="1101"/>
      <c r="E623" s="1101"/>
      <c r="F623" s="1101"/>
      <c r="G623" s="1101"/>
      <c r="H623" s="1101"/>
      <c r="I623" s="1101"/>
      <c r="J623" s="1101"/>
      <c r="K623" s="1101"/>
      <c r="L623" s="1101"/>
      <c r="M623" s="1101"/>
      <c r="N623" s="1101"/>
      <c r="O623" s="1101"/>
      <c r="P623" s="1101"/>
      <c r="Q623" s="1101"/>
      <c r="R623" s="1101"/>
      <c r="S623" s="1101"/>
      <c r="T623" s="1101"/>
      <c r="U623" s="1101"/>
      <c r="V623" s="1101"/>
      <c r="W623" s="1101"/>
      <c r="X623" s="1101"/>
      <c r="Y623" s="1102"/>
      <c r="Z623" s="1102"/>
      <c r="AA623" s="1101"/>
    </row>
    <row r="624" ht="15.75" customHeight="1">
      <c r="A624" s="213"/>
      <c r="B624" s="213"/>
      <c r="C624" s="1101"/>
      <c r="D624" s="1101"/>
      <c r="E624" s="1101"/>
      <c r="F624" s="1101"/>
      <c r="G624" s="1101"/>
      <c r="H624" s="1101"/>
      <c r="I624" s="1101"/>
      <c r="J624" s="1101"/>
      <c r="K624" s="1101"/>
      <c r="L624" s="1101"/>
      <c r="M624" s="1101"/>
      <c r="N624" s="1101"/>
      <c r="O624" s="1101"/>
      <c r="P624" s="1101"/>
      <c r="Q624" s="1101"/>
      <c r="R624" s="1101"/>
      <c r="S624" s="1101"/>
      <c r="T624" s="1101"/>
      <c r="U624" s="1101"/>
      <c r="V624" s="1101"/>
      <c r="W624" s="1101"/>
      <c r="X624" s="1101"/>
      <c r="Y624" s="1102"/>
      <c r="Z624" s="1102"/>
      <c r="AA624" s="1101"/>
    </row>
    <row r="625" ht="15.75" customHeight="1">
      <c r="A625" s="213"/>
      <c r="B625" s="213"/>
      <c r="C625" s="1101"/>
      <c r="D625" s="1101"/>
      <c r="E625" s="1101"/>
      <c r="F625" s="1101"/>
      <c r="G625" s="1101"/>
      <c r="H625" s="1101"/>
      <c r="I625" s="1101"/>
      <c r="J625" s="1101"/>
      <c r="K625" s="1101"/>
      <c r="L625" s="1101"/>
      <c r="M625" s="1101"/>
      <c r="N625" s="1101"/>
      <c r="O625" s="1101"/>
      <c r="P625" s="1101"/>
      <c r="Q625" s="1101"/>
      <c r="R625" s="1101"/>
      <c r="S625" s="1101"/>
      <c r="T625" s="1101"/>
      <c r="U625" s="1101"/>
      <c r="V625" s="1101"/>
      <c r="W625" s="1101"/>
      <c r="X625" s="1101"/>
      <c r="Y625" s="1102"/>
      <c r="Z625" s="1102"/>
      <c r="AA625" s="1101"/>
    </row>
    <row r="626" ht="15.75" customHeight="1">
      <c r="A626" s="213"/>
      <c r="B626" s="213"/>
      <c r="C626" s="1101"/>
      <c r="D626" s="1101"/>
      <c r="E626" s="1101"/>
      <c r="F626" s="1101"/>
      <c r="G626" s="1101"/>
      <c r="H626" s="1101"/>
      <c r="I626" s="1101"/>
      <c r="J626" s="1101"/>
      <c r="K626" s="1101"/>
      <c r="L626" s="1101"/>
      <c r="M626" s="1101"/>
      <c r="N626" s="1101"/>
      <c r="O626" s="1101"/>
      <c r="P626" s="1101"/>
      <c r="Q626" s="1101"/>
      <c r="R626" s="1101"/>
      <c r="S626" s="1101"/>
      <c r="T626" s="1101"/>
      <c r="U626" s="1101"/>
      <c r="V626" s="1101"/>
      <c r="W626" s="1101"/>
      <c r="X626" s="1101"/>
      <c r="Y626" s="1102"/>
      <c r="Z626" s="1102"/>
      <c r="AA626" s="1101"/>
    </row>
    <row r="627" ht="15.75" customHeight="1">
      <c r="A627" s="213"/>
      <c r="B627" s="213"/>
      <c r="C627" s="1101"/>
      <c r="D627" s="1101"/>
      <c r="E627" s="1101"/>
      <c r="F627" s="1101"/>
      <c r="G627" s="1101"/>
      <c r="H627" s="1101"/>
      <c r="I627" s="1101"/>
      <c r="J627" s="1101"/>
      <c r="K627" s="1101"/>
      <c r="L627" s="1101"/>
      <c r="M627" s="1101"/>
      <c r="N627" s="1101"/>
      <c r="O627" s="1101"/>
      <c r="P627" s="1101"/>
      <c r="Q627" s="1101"/>
      <c r="R627" s="1101"/>
      <c r="S627" s="1101"/>
      <c r="T627" s="1101"/>
      <c r="U627" s="1101"/>
      <c r="V627" s="1101"/>
      <c r="W627" s="1101"/>
      <c r="X627" s="1101"/>
      <c r="Y627" s="1102"/>
      <c r="Z627" s="1102"/>
      <c r="AA627" s="1101"/>
    </row>
    <row r="628" ht="15.75" customHeight="1">
      <c r="A628" s="213"/>
      <c r="B628" s="213"/>
      <c r="C628" s="1101"/>
      <c r="D628" s="1101"/>
      <c r="E628" s="1101"/>
      <c r="F628" s="1101"/>
      <c r="G628" s="1101"/>
      <c r="H628" s="1101"/>
      <c r="I628" s="1101"/>
      <c r="J628" s="1101"/>
      <c r="K628" s="1101"/>
      <c r="L628" s="1101"/>
      <c r="M628" s="1101"/>
      <c r="N628" s="1101"/>
      <c r="O628" s="1101"/>
      <c r="P628" s="1101"/>
      <c r="Q628" s="1101"/>
      <c r="R628" s="1101"/>
      <c r="S628" s="1101"/>
      <c r="T628" s="1101"/>
      <c r="U628" s="1101"/>
      <c r="V628" s="1101"/>
      <c r="W628" s="1101"/>
      <c r="X628" s="1101"/>
      <c r="Y628" s="1102"/>
      <c r="Z628" s="1102"/>
      <c r="AA628" s="1101"/>
    </row>
    <row r="629" ht="15.75" customHeight="1">
      <c r="A629" s="213"/>
      <c r="B629" s="213"/>
      <c r="C629" s="1101"/>
      <c r="D629" s="1101"/>
      <c r="E629" s="1101"/>
      <c r="F629" s="1101"/>
      <c r="G629" s="1101"/>
      <c r="H629" s="1101"/>
      <c r="I629" s="1101"/>
      <c r="J629" s="1101"/>
      <c r="K629" s="1101"/>
      <c r="L629" s="1101"/>
      <c r="M629" s="1101"/>
      <c r="N629" s="1101"/>
      <c r="O629" s="1101"/>
      <c r="P629" s="1101"/>
      <c r="Q629" s="1101"/>
      <c r="R629" s="1101"/>
      <c r="S629" s="1101"/>
      <c r="T629" s="1101"/>
      <c r="U629" s="1101"/>
      <c r="V629" s="1101"/>
      <c r="W629" s="1101"/>
      <c r="X629" s="1101"/>
      <c r="Y629" s="1102"/>
      <c r="Z629" s="1102"/>
      <c r="AA629" s="1101"/>
    </row>
    <row r="630" ht="15.75" customHeight="1">
      <c r="A630" s="213"/>
      <c r="B630" s="213"/>
      <c r="C630" s="1101"/>
      <c r="D630" s="1101"/>
      <c r="E630" s="1101"/>
      <c r="F630" s="1101"/>
      <c r="G630" s="1101"/>
      <c r="H630" s="1101"/>
      <c r="I630" s="1101"/>
      <c r="J630" s="1101"/>
      <c r="K630" s="1101"/>
      <c r="L630" s="1101"/>
      <c r="M630" s="1101"/>
      <c r="N630" s="1101"/>
      <c r="O630" s="1101"/>
      <c r="P630" s="1101"/>
      <c r="Q630" s="1101"/>
      <c r="R630" s="1101"/>
      <c r="S630" s="1101"/>
      <c r="T630" s="1101"/>
      <c r="U630" s="1101"/>
      <c r="V630" s="1101"/>
      <c r="W630" s="1101"/>
      <c r="X630" s="1101"/>
      <c r="Y630" s="1102"/>
      <c r="Z630" s="1102"/>
      <c r="AA630" s="1101"/>
    </row>
    <row r="631" ht="15.75" customHeight="1">
      <c r="A631" s="213"/>
      <c r="B631" s="213"/>
      <c r="C631" s="1101"/>
      <c r="D631" s="1101"/>
      <c r="E631" s="1101"/>
      <c r="F631" s="1101"/>
      <c r="G631" s="1101"/>
      <c r="H631" s="1101"/>
      <c r="I631" s="1101"/>
      <c r="J631" s="1101"/>
      <c r="K631" s="1101"/>
      <c r="L631" s="1101"/>
      <c r="M631" s="1101"/>
      <c r="N631" s="1101"/>
      <c r="O631" s="1101"/>
      <c r="P631" s="1101"/>
      <c r="Q631" s="1101"/>
      <c r="R631" s="1101"/>
      <c r="S631" s="1101"/>
      <c r="T631" s="1101"/>
      <c r="U631" s="1101"/>
      <c r="V631" s="1101"/>
      <c r="W631" s="1101"/>
      <c r="X631" s="1101"/>
      <c r="Y631" s="1102"/>
      <c r="Z631" s="1102"/>
      <c r="AA631" s="1101"/>
    </row>
    <row r="632" ht="15.75" customHeight="1">
      <c r="A632" s="213"/>
      <c r="B632" s="213"/>
      <c r="C632" s="1101"/>
      <c r="D632" s="1101"/>
      <c r="E632" s="1101"/>
      <c r="F632" s="1101"/>
      <c r="G632" s="1101"/>
      <c r="H632" s="1101"/>
      <c r="I632" s="1101"/>
      <c r="J632" s="1101"/>
      <c r="K632" s="1101"/>
      <c r="L632" s="1101"/>
      <c r="M632" s="1101"/>
      <c r="N632" s="1101"/>
      <c r="O632" s="1101"/>
      <c r="P632" s="1101"/>
      <c r="Q632" s="1101"/>
      <c r="R632" s="1101"/>
      <c r="S632" s="1101"/>
      <c r="T632" s="1101"/>
      <c r="U632" s="1101"/>
      <c r="V632" s="1101"/>
      <c r="W632" s="1101"/>
      <c r="X632" s="1101"/>
      <c r="Y632" s="1102"/>
      <c r="Z632" s="1102"/>
      <c r="AA632" s="1101"/>
    </row>
    <row r="633" ht="15.75" customHeight="1">
      <c r="A633" s="213"/>
      <c r="B633" s="213"/>
      <c r="C633" s="1101"/>
      <c r="D633" s="1101"/>
      <c r="E633" s="1101"/>
      <c r="F633" s="1101"/>
      <c r="G633" s="1101"/>
      <c r="H633" s="1101"/>
      <c r="I633" s="1101"/>
      <c r="J633" s="1101"/>
      <c r="K633" s="1101"/>
      <c r="L633" s="1101"/>
      <c r="M633" s="1101"/>
      <c r="N633" s="1101"/>
      <c r="O633" s="1101"/>
      <c r="P633" s="1101"/>
      <c r="Q633" s="1101"/>
      <c r="R633" s="1101"/>
      <c r="S633" s="1101"/>
      <c r="T633" s="1101"/>
      <c r="U633" s="1101"/>
      <c r="V633" s="1101"/>
      <c r="W633" s="1101"/>
      <c r="X633" s="1101"/>
      <c r="Y633" s="1102"/>
      <c r="Z633" s="1102"/>
      <c r="AA633" s="1101"/>
    </row>
    <row r="634" ht="15.75" customHeight="1">
      <c r="A634" s="213"/>
      <c r="B634" s="213"/>
      <c r="C634" s="1101"/>
      <c r="D634" s="1101"/>
      <c r="E634" s="1101"/>
      <c r="F634" s="1101"/>
      <c r="G634" s="1101"/>
      <c r="H634" s="1101"/>
      <c r="I634" s="1101"/>
      <c r="J634" s="1101"/>
      <c r="K634" s="1101"/>
      <c r="L634" s="1101"/>
      <c r="M634" s="1101"/>
      <c r="N634" s="1101"/>
      <c r="O634" s="1101"/>
      <c r="P634" s="1101"/>
      <c r="Q634" s="1101"/>
      <c r="R634" s="1101"/>
      <c r="S634" s="1101"/>
      <c r="T634" s="1101"/>
      <c r="U634" s="1101"/>
      <c r="V634" s="1101"/>
      <c r="W634" s="1101"/>
      <c r="X634" s="1101"/>
      <c r="Y634" s="1102"/>
      <c r="Z634" s="1102"/>
      <c r="AA634" s="1101"/>
    </row>
    <row r="635" ht="15.75" customHeight="1">
      <c r="A635" s="213"/>
      <c r="B635" s="213"/>
      <c r="C635" s="1101"/>
      <c r="D635" s="1101"/>
      <c r="E635" s="1101"/>
      <c r="F635" s="1101"/>
      <c r="G635" s="1101"/>
      <c r="H635" s="1101"/>
      <c r="I635" s="1101"/>
      <c r="J635" s="1101"/>
      <c r="K635" s="1101"/>
      <c r="L635" s="1101"/>
      <c r="M635" s="1101"/>
      <c r="N635" s="1101"/>
      <c r="O635" s="1101"/>
      <c r="P635" s="1101"/>
      <c r="Q635" s="1101"/>
      <c r="R635" s="1101"/>
      <c r="S635" s="1101"/>
      <c r="T635" s="1101"/>
      <c r="U635" s="1101"/>
      <c r="V635" s="1101"/>
      <c r="W635" s="1101"/>
      <c r="X635" s="1101"/>
      <c r="Y635" s="1102"/>
      <c r="Z635" s="1102"/>
      <c r="AA635" s="1101"/>
    </row>
    <row r="636" ht="15.75" customHeight="1">
      <c r="A636" s="213"/>
      <c r="B636" s="213"/>
      <c r="C636" s="1101"/>
      <c r="D636" s="1101"/>
      <c r="E636" s="1101"/>
      <c r="F636" s="1101"/>
      <c r="G636" s="1101"/>
      <c r="H636" s="1101"/>
      <c r="I636" s="1101"/>
      <c r="J636" s="1101"/>
      <c r="K636" s="1101"/>
      <c r="L636" s="1101"/>
      <c r="M636" s="1101"/>
      <c r="N636" s="1101"/>
      <c r="O636" s="1101"/>
      <c r="P636" s="1101"/>
      <c r="Q636" s="1101"/>
      <c r="R636" s="1101"/>
      <c r="S636" s="1101"/>
      <c r="T636" s="1101"/>
      <c r="U636" s="1101"/>
      <c r="V636" s="1101"/>
      <c r="W636" s="1101"/>
      <c r="X636" s="1101"/>
      <c r="Y636" s="1102"/>
      <c r="Z636" s="1102"/>
      <c r="AA636" s="1101"/>
    </row>
    <row r="637" ht="15.75" customHeight="1">
      <c r="A637" s="213"/>
      <c r="B637" s="213"/>
      <c r="C637" s="1101"/>
      <c r="D637" s="1101"/>
      <c r="E637" s="1101"/>
      <c r="F637" s="1101"/>
      <c r="G637" s="1101"/>
      <c r="H637" s="1101"/>
      <c r="I637" s="1101"/>
      <c r="J637" s="1101"/>
      <c r="K637" s="1101"/>
      <c r="L637" s="1101"/>
      <c r="M637" s="1101"/>
      <c r="N637" s="1101"/>
      <c r="O637" s="1101"/>
      <c r="P637" s="1101"/>
      <c r="Q637" s="1101"/>
      <c r="R637" s="1101"/>
      <c r="S637" s="1101"/>
      <c r="T637" s="1101"/>
      <c r="U637" s="1101"/>
      <c r="V637" s="1101"/>
      <c r="W637" s="1101"/>
      <c r="X637" s="1101"/>
      <c r="Y637" s="1102"/>
      <c r="Z637" s="1102"/>
      <c r="AA637" s="1101"/>
    </row>
    <row r="638" ht="15.75" customHeight="1">
      <c r="A638" s="213"/>
      <c r="B638" s="213"/>
      <c r="C638" s="1101"/>
      <c r="D638" s="1101"/>
      <c r="E638" s="1101"/>
      <c r="F638" s="1101"/>
      <c r="G638" s="1101"/>
      <c r="H638" s="1101"/>
      <c r="I638" s="1101"/>
      <c r="J638" s="1101"/>
      <c r="K638" s="1101"/>
      <c r="L638" s="1101"/>
      <c r="M638" s="1101"/>
      <c r="N638" s="1101"/>
      <c r="O638" s="1101"/>
      <c r="P638" s="1101"/>
      <c r="Q638" s="1101"/>
      <c r="R638" s="1101"/>
      <c r="S638" s="1101"/>
      <c r="T638" s="1101"/>
      <c r="U638" s="1101"/>
      <c r="V638" s="1101"/>
      <c r="W638" s="1101"/>
      <c r="X638" s="1101"/>
      <c r="Y638" s="1102"/>
      <c r="Z638" s="1102"/>
      <c r="AA638" s="1101"/>
    </row>
    <row r="639" ht="15.75" customHeight="1">
      <c r="A639" s="213"/>
      <c r="B639" s="213"/>
      <c r="C639" s="1101"/>
      <c r="D639" s="1101"/>
      <c r="E639" s="1101"/>
      <c r="F639" s="1101"/>
      <c r="G639" s="1101"/>
      <c r="H639" s="1101"/>
      <c r="I639" s="1101"/>
      <c r="J639" s="1101"/>
      <c r="K639" s="1101"/>
      <c r="L639" s="1101"/>
      <c r="M639" s="1101"/>
      <c r="N639" s="1101"/>
      <c r="O639" s="1101"/>
      <c r="P639" s="1101"/>
      <c r="Q639" s="1101"/>
      <c r="R639" s="1101"/>
      <c r="S639" s="1101"/>
      <c r="T639" s="1101"/>
      <c r="U639" s="1101"/>
      <c r="V639" s="1101"/>
      <c r="W639" s="1101"/>
      <c r="X639" s="1101"/>
      <c r="Y639" s="1102"/>
      <c r="Z639" s="1102"/>
      <c r="AA639" s="1101"/>
    </row>
    <row r="640" ht="15.75" customHeight="1">
      <c r="A640" s="213"/>
      <c r="B640" s="213"/>
      <c r="C640" s="1101"/>
      <c r="D640" s="1101"/>
      <c r="E640" s="1101"/>
      <c r="F640" s="1101"/>
      <c r="G640" s="1101"/>
      <c r="H640" s="1101"/>
      <c r="I640" s="1101"/>
      <c r="J640" s="1101"/>
      <c r="K640" s="1101"/>
      <c r="L640" s="1101"/>
      <c r="M640" s="1101"/>
      <c r="N640" s="1101"/>
      <c r="O640" s="1101"/>
      <c r="P640" s="1101"/>
      <c r="Q640" s="1101"/>
      <c r="R640" s="1101"/>
      <c r="S640" s="1101"/>
      <c r="T640" s="1101"/>
      <c r="U640" s="1101"/>
      <c r="V640" s="1101"/>
      <c r="W640" s="1101"/>
      <c r="X640" s="1101"/>
      <c r="Y640" s="1102"/>
      <c r="Z640" s="1102"/>
      <c r="AA640" s="1101"/>
    </row>
    <row r="641" ht="15.75" customHeight="1">
      <c r="A641" s="213"/>
      <c r="B641" s="213"/>
      <c r="C641" s="1101"/>
      <c r="D641" s="1101"/>
      <c r="E641" s="1101"/>
      <c r="F641" s="1101"/>
      <c r="G641" s="1101"/>
      <c r="H641" s="1101"/>
      <c r="I641" s="1101"/>
      <c r="J641" s="1101"/>
      <c r="K641" s="1101"/>
      <c r="L641" s="1101"/>
      <c r="M641" s="1101"/>
      <c r="N641" s="1101"/>
      <c r="O641" s="1101"/>
      <c r="P641" s="1101"/>
      <c r="Q641" s="1101"/>
      <c r="R641" s="1101"/>
      <c r="S641" s="1101"/>
      <c r="T641" s="1101"/>
      <c r="U641" s="1101"/>
      <c r="V641" s="1101"/>
      <c r="W641" s="1101"/>
      <c r="X641" s="1101"/>
      <c r="Y641" s="1102"/>
      <c r="Z641" s="1102"/>
      <c r="AA641" s="1101"/>
    </row>
    <row r="642" ht="15.75" customHeight="1">
      <c r="A642" s="213"/>
      <c r="B642" s="213"/>
      <c r="C642" s="1101"/>
      <c r="D642" s="1101"/>
      <c r="E642" s="1101"/>
      <c r="F642" s="1101"/>
      <c r="G642" s="1101"/>
      <c r="H642" s="1101"/>
      <c r="I642" s="1101"/>
      <c r="J642" s="1101"/>
      <c r="K642" s="1101"/>
      <c r="L642" s="1101"/>
      <c r="M642" s="1101"/>
      <c r="N642" s="1101"/>
      <c r="O642" s="1101"/>
      <c r="P642" s="1101"/>
      <c r="Q642" s="1101"/>
      <c r="R642" s="1101"/>
      <c r="S642" s="1101"/>
      <c r="T642" s="1101"/>
      <c r="U642" s="1101"/>
      <c r="V642" s="1101"/>
      <c r="W642" s="1101"/>
      <c r="X642" s="1101"/>
      <c r="Y642" s="1102"/>
      <c r="Z642" s="1102"/>
      <c r="AA642" s="1101"/>
    </row>
    <row r="643" ht="15.75" customHeight="1">
      <c r="A643" s="213"/>
      <c r="B643" s="213"/>
      <c r="C643" s="1101"/>
      <c r="D643" s="1101"/>
      <c r="E643" s="1101"/>
      <c r="F643" s="1101"/>
      <c r="G643" s="1101"/>
      <c r="H643" s="1101"/>
      <c r="I643" s="1101"/>
      <c r="J643" s="1101"/>
      <c r="K643" s="1101"/>
      <c r="L643" s="1101"/>
      <c r="M643" s="1101"/>
      <c r="N643" s="1101"/>
      <c r="O643" s="1101"/>
      <c r="P643" s="1101"/>
      <c r="Q643" s="1101"/>
      <c r="R643" s="1101"/>
      <c r="S643" s="1101"/>
      <c r="T643" s="1101"/>
      <c r="U643" s="1101"/>
      <c r="V643" s="1101"/>
      <c r="W643" s="1101"/>
      <c r="X643" s="1101"/>
      <c r="Y643" s="1102"/>
      <c r="Z643" s="1102"/>
      <c r="AA643" s="1101"/>
    </row>
    <row r="644" ht="15.75" customHeight="1">
      <c r="A644" s="213"/>
      <c r="B644" s="213"/>
      <c r="C644" s="1101"/>
      <c r="D644" s="1101"/>
      <c r="E644" s="1101"/>
      <c r="F644" s="1101"/>
      <c r="G644" s="1101"/>
      <c r="H644" s="1101"/>
      <c r="I644" s="1101"/>
      <c r="J644" s="1101"/>
      <c r="K644" s="1101"/>
      <c r="L644" s="1101"/>
      <c r="M644" s="1101"/>
      <c r="N644" s="1101"/>
      <c r="O644" s="1101"/>
      <c r="P644" s="1101"/>
      <c r="Q644" s="1101"/>
      <c r="R644" s="1101"/>
      <c r="S644" s="1101"/>
      <c r="T644" s="1101"/>
      <c r="U644" s="1101"/>
      <c r="V644" s="1101"/>
      <c r="W644" s="1101"/>
      <c r="X644" s="1101"/>
      <c r="Y644" s="1102"/>
      <c r="Z644" s="1102"/>
      <c r="AA644" s="1101"/>
    </row>
    <row r="645" ht="15.75" customHeight="1">
      <c r="A645" s="213"/>
      <c r="B645" s="213"/>
      <c r="C645" s="1101"/>
      <c r="D645" s="1101"/>
      <c r="E645" s="1101"/>
      <c r="F645" s="1101"/>
      <c r="G645" s="1101"/>
      <c r="H645" s="1101"/>
      <c r="I645" s="1101"/>
      <c r="J645" s="1101"/>
      <c r="K645" s="1101"/>
      <c r="L645" s="1101"/>
      <c r="M645" s="1101"/>
      <c r="N645" s="1101"/>
      <c r="O645" s="1101"/>
      <c r="P645" s="1101"/>
      <c r="Q645" s="1101"/>
      <c r="R645" s="1101"/>
      <c r="S645" s="1101"/>
      <c r="T645" s="1101"/>
      <c r="U645" s="1101"/>
      <c r="V645" s="1101"/>
      <c r="W645" s="1101"/>
      <c r="X645" s="1101"/>
      <c r="Y645" s="1102"/>
      <c r="Z645" s="1102"/>
      <c r="AA645" s="1101"/>
    </row>
    <row r="646" ht="15.75" customHeight="1">
      <c r="A646" s="213"/>
      <c r="B646" s="213"/>
      <c r="C646" s="1101"/>
      <c r="D646" s="1101"/>
      <c r="E646" s="1101"/>
      <c r="F646" s="1101"/>
      <c r="G646" s="1101"/>
      <c r="H646" s="1101"/>
      <c r="I646" s="1101"/>
      <c r="J646" s="1101"/>
      <c r="K646" s="1101"/>
      <c r="L646" s="1101"/>
      <c r="M646" s="1101"/>
      <c r="N646" s="1101"/>
      <c r="O646" s="1101"/>
      <c r="P646" s="1101"/>
      <c r="Q646" s="1101"/>
      <c r="R646" s="1101"/>
      <c r="S646" s="1101"/>
      <c r="T646" s="1101"/>
      <c r="U646" s="1101"/>
      <c r="V646" s="1101"/>
      <c r="W646" s="1101"/>
      <c r="X646" s="1101"/>
      <c r="Y646" s="1102"/>
      <c r="Z646" s="1102"/>
      <c r="AA646" s="1101"/>
    </row>
    <row r="647" ht="15.75" customHeight="1">
      <c r="A647" s="213"/>
      <c r="B647" s="213"/>
      <c r="C647" s="1101"/>
      <c r="D647" s="1101"/>
      <c r="E647" s="1101"/>
      <c r="F647" s="1101"/>
      <c r="G647" s="1101"/>
      <c r="H647" s="1101"/>
      <c r="I647" s="1101"/>
      <c r="J647" s="1101"/>
      <c r="K647" s="1101"/>
      <c r="L647" s="1101"/>
      <c r="M647" s="1101"/>
      <c r="N647" s="1101"/>
      <c r="O647" s="1101"/>
      <c r="P647" s="1101"/>
      <c r="Q647" s="1101"/>
      <c r="R647" s="1101"/>
      <c r="S647" s="1101"/>
      <c r="T647" s="1101"/>
      <c r="U647" s="1101"/>
      <c r="V647" s="1101"/>
      <c r="W647" s="1101"/>
      <c r="X647" s="1101"/>
      <c r="Y647" s="1102"/>
      <c r="Z647" s="1102"/>
      <c r="AA647" s="1101"/>
    </row>
    <row r="648" ht="15.75" customHeight="1">
      <c r="A648" s="213"/>
      <c r="B648" s="213"/>
      <c r="C648" s="1101"/>
      <c r="D648" s="1101"/>
      <c r="E648" s="1101"/>
      <c r="F648" s="1101"/>
      <c r="G648" s="1101"/>
      <c r="H648" s="1101"/>
      <c r="I648" s="1101"/>
      <c r="J648" s="1101"/>
      <c r="K648" s="1101"/>
      <c r="L648" s="1101"/>
      <c r="M648" s="1101"/>
      <c r="N648" s="1101"/>
      <c r="O648" s="1101"/>
      <c r="P648" s="1101"/>
      <c r="Q648" s="1101"/>
      <c r="R648" s="1101"/>
      <c r="S648" s="1101"/>
      <c r="T648" s="1101"/>
      <c r="U648" s="1101"/>
      <c r="V648" s="1101"/>
      <c r="W648" s="1101"/>
      <c r="X648" s="1101"/>
      <c r="Y648" s="1102"/>
      <c r="Z648" s="1102"/>
      <c r="AA648" s="1101"/>
    </row>
    <row r="649" ht="15.75" customHeight="1">
      <c r="A649" s="213"/>
      <c r="B649" s="213"/>
      <c r="C649" s="1101"/>
      <c r="D649" s="1101"/>
      <c r="E649" s="1101"/>
      <c r="F649" s="1101"/>
      <c r="G649" s="1101"/>
      <c r="H649" s="1101"/>
      <c r="I649" s="1101"/>
      <c r="J649" s="1101"/>
      <c r="K649" s="1101"/>
      <c r="L649" s="1101"/>
      <c r="M649" s="1101"/>
      <c r="N649" s="1101"/>
      <c r="O649" s="1101"/>
      <c r="P649" s="1101"/>
      <c r="Q649" s="1101"/>
      <c r="R649" s="1101"/>
      <c r="S649" s="1101"/>
      <c r="T649" s="1101"/>
      <c r="U649" s="1101"/>
      <c r="V649" s="1101"/>
      <c r="W649" s="1101"/>
      <c r="X649" s="1101"/>
      <c r="Y649" s="1102"/>
      <c r="Z649" s="1102"/>
      <c r="AA649" s="1101"/>
    </row>
    <row r="650" ht="15.75" customHeight="1">
      <c r="A650" s="213"/>
      <c r="B650" s="213"/>
      <c r="C650" s="1101"/>
      <c r="D650" s="1101"/>
      <c r="E650" s="1101"/>
      <c r="F650" s="1101"/>
      <c r="G650" s="1101"/>
      <c r="H650" s="1101"/>
      <c r="I650" s="1101"/>
      <c r="J650" s="1101"/>
      <c r="K650" s="1101"/>
      <c r="L650" s="1101"/>
      <c r="M650" s="1101"/>
      <c r="N650" s="1101"/>
      <c r="O650" s="1101"/>
      <c r="P650" s="1101"/>
      <c r="Q650" s="1101"/>
      <c r="R650" s="1101"/>
      <c r="S650" s="1101"/>
      <c r="T650" s="1101"/>
      <c r="U650" s="1101"/>
      <c r="V650" s="1101"/>
      <c r="W650" s="1101"/>
      <c r="X650" s="1101"/>
      <c r="Y650" s="1102"/>
      <c r="Z650" s="1102"/>
      <c r="AA650" s="1101"/>
    </row>
    <row r="651" ht="15.75" customHeight="1">
      <c r="A651" s="213"/>
      <c r="B651" s="213"/>
      <c r="C651" s="1101"/>
      <c r="D651" s="1101"/>
      <c r="E651" s="1101"/>
      <c r="F651" s="1101"/>
      <c r="G651" s="1101"/>
      <c r="H651" s="1101"/>
      <c r="I651" s="1101"/>
      <c r="J651" s="1101"/>
      <c r="K651" s="1101"/>
      <c r="L651" s="1101"/>
      <c r="M651" s="1101"/>
      <c r="N651" s="1101"/>
      <c r="O651" s="1101"/>
      <c r="P651" s="1101"/>
      <c r="Q651" s="1101"/>
      <c r="R651" s="1101"/>
      <c r="S651" s="1101"/>
      <c r="T651" s="1101"/>
      <c r="U651" s="1101"/>
      <c r="V651" s="1101"/>
      <c r="W651" s="1101"/>
      <c r="X651" s="1101"/>
      <c r="Y651" s="1102"/>
      <c r="Z651" s="1102"/>
      <c r="AA651" s="1101"/>
    </row>
    <row r="652" ht="15.75" customHeight="1">
      <c r="A652" s="213"/>
      <c r="B652" s="213"/>
      <c r="C652" s="1101"/>
      <c r="D652" s="1101"/>
      <c r="E652" s="1101"/>
      <c r="F652" s="1101"/>
      <c r="G652" s="1101"/>
      <c r="H652" s="1101"/>
      <c r="I652" s="1101"/>
      <c r="J652" s="1101"/>
      <c r="K652" s="1101"/>
      <c r="L652" s="1101"/>
      <c r="M652" s="1101"/>
      <c r="N652" s="1101"/>
      <c r="O652" s="1101"/>
      <c r="P652" s="1101"/>
      <c r="Q652" s="1101"/>
      <c r="R652" s="1101"/>
      <c r="S652" s="1101"/>
      <c r="T652" s="1101"/>
      <c r="U652" s="1101"/>
      <c r="V652" s="1101"/>
      <c r="W652" s="1101"/>
      <c r="X652" s="1101"/>
      <c r="Y652" s="1102"/>
      <c r="Z652" s="1102"/>
      <c r="AA652" s="1101"/>
    </row>
    <row r="653" ht="15.75" customHeight="1">
      <c r="A653" s="213"/>
      <c r="B653" s="213"/>
      <c r="C653" s="1101"/>
      <c r="D653" s="1101"/>
      <c r="E653" s="1101"/>
      <c r="F653" s="1101"/>
      <c r="G653" s="1101"/>
      <c r="H653" s="1101"/>
      <c r="I653" s="1101"/>
      <c r="J653" s="1101"/>
      <c r="K653" s="1101"/>
      <c r="L653" s="1101"/>
      <c r="M653" s="1101"/>
      <c r="N653" s="1101"/>
      <c r="O653" s="1101"/>
      <c r="P653" s="1101"/>
      <c r="Q653" s="1101"/>
      <c r="R653" s="1101"/>
      <c r="S653" s="1101"/>
      <c r="T653" s="1101"/>
      <c r="U653" s="1101"/>
      <c r="V653" s="1101"/>
      <c r="W653" s="1101"/>
      <c r="X653" s="1101"/>
      <c r="Y653" s="1102"/>
      <c r="Z653" s="1102"/>
      <c r="AA653" s="1101"/>
    </row>
    <row r="654" ht="15.75" customHeight="1">
      <c r="A654" s="213"/>
      <c r="B654" s="213"/>
      <c r="C654" s="1101"/>
      <c r="D654" s="1101"/>
      <c r="E654" s="1101"/>
      <c r="F654" s="1101"/>
      <c r="G654" s="1101"/>
      <c r="H654" s="1101"/>
      <c r="I654" s="1101"/>
      <c r="J654" s="1101"/>
      <c r="K654" s="1101"/>
      <c r="L654" s="1101"/>
      <c r="M654" s="1101"/>
      <c r="N654" s="1101"/>
      <c r="O654" s="1101"/>
      <c r="P654" s="1101"/>
      <c r="Q654" s="1101"/>
      <c r="R654" s="1101"/>
      <c r="S654" s="1101"/>
      <c r="T654" s="1101"/>
      <c r="U654" s="1101"/>
      <c r="V654" s="1101"/>
      <c r="W654" s="1101"/>
      <c r="X654" s="1101"/>
      <c r="Y654" s="1102"/>
      <c r="Z654" s="1102"/>
      <c r="AA654" s="1101"/>
    </row>
    <row r="655" ht="15.75" customHeight="1">
      <c r="A655" s="213"/>
      <c r="B655" s="213"/>
      <c r="C655" s="1101"/>
      <c r="D655" s="1101"/>
      <c r="E655" s="1101"/>
      <c r="F655" s="1101"/>
      <c r="G655" s="1101"/>
      <c r="H655" s="1101"/>
      <c r="I655" s="1101"/>
      <c r="J655" s="1101"/>
      <c r="K655" s="1101"/>
      <c r="L655" s="1101"/>
      <c r="M655" s="1101"/>
      <c r="N655" s="1101"/>
      <c r="O655" s="1101"/>
      <c r="P655" s="1101"/>
      <c r="Q655" s="1101"/>
      <c r="R655" s="1101"/>
      <c r="S655" s="1101"/>
      <c r="T655" s="1101"/>
      <c r="U655" s="1101"/>
      <c r="V655" s="1101"/>
      <c r="W655" s="1101"/>
      <c r="X655" s="1101"/>
      <c r="Y655" s="1102"/>
      <c r="Z655" s="1102"/>
      <c r="AA655" s="1101"/>
    </row>
    <row r="656" ht="15.75" customHeight="1">
      <c r="A656" s="213"/>
      <c r="B656" s="213"/>
      <c r="C656" s="1101"/>
      <c r="D656" s="1101"/>
      <c r="E656" s="1101"/>
      <c r="F656" s="1101"/>
      <c r="G656" s="1101"/>
      <c r="H656" s="1101"/>
      <c r="I656" s="1101"/>
      <c r="J656" s="1101"/>
      <c r="K656" s="1101"/>
      <c r="L656" s="1101"/>
      <c r="M656" s="1101"/>
      <c r="N656" s="1101"/>
      <c r="O656" s="1101"/>
      <c r="P656" s="1101"/>
      <c r="Q656" s="1101"/>
      <c r="R656" s="1101"/>
      <c r="S656" s="1101"/>
      <c r="T656" s="1101"/>
      <c r="U656" s="1101"/>
      <c r="V656" s="1101"/>
      <c r="W656" s="1101"/>
      <c r="X656" s="1101"/>
      <c r="Y656" s="1102"/>
      <c r="Z656" s="1102"/>
      <c r="AA656" s="1101"/>
    </row>
    <row r="657" ht="15.75" customHeight="1">
      <c r="A657" s="213"/>
      <c r="B657" s="213"/>
      <c r="C657" s="1101"/>
      <c r="D657" s="1101"/>
      <c r="E657" s="1101"/>
      <c r="F657" s="1101"/>
      <c r="G657" s="1101"/>
      <c r="H657" s="1101"/>
      <c r="I657" s="1101"/>
      <c r="J657" s="1101"/>
      <c r="K657" s="1101"/>
      <c r="L657" s="1101"/>
      <c r="M657" s="1101"/>
      <c r="N657" s="1101"/>
      <c r="O657" s="1101"/>
      <c r="P657" s="1101"/>
      <c r="Q657" s="1101"/>
      <c r="R657" s="1101"/>
      <c r="S657" s="1101"/>
      <c r="T657" s="1101"/>
      <c r="U657" s="1101"/>
      <c r="V657" s="1101"/>
      <c r="W657" s="1101"/>
      <c r="X657" s="1101"/>
      <c r="Y657" s="1102"/>
      <c r="Z657" s="1102"/>
      <c r="AA657" s="1101"/>
    </row>
    <row r="658" ht="15.75" customHeight="1">
      <c r="A658" s="213"/>
      <c r="B658" s="213"/>
      <c r="C658" s="1101"/>
      <c r="D658" s="1101"/>
      <c r="E658" s="1101"/>
      <c r="F658" s="1101"/>
      <c r="G658" s="1101"/>
      <c r="H658" s="1101"/>
      <c r="I658" s="1101"/>
      <c r="J658" s="1101"/>
      <c r="K658" s="1101"/>
      <c r="L658" s="1101"/>
      <c r="M658" s="1101"/>
      <c r="N658" s="1101"/>
      <c r="O658" s="1101"/>
      <c r="P658" s="1101"/>
      <c r="Q658" s="1101"/>
      <c r="R658" s="1101"/>
      <c r="S658" s="1101"/>
      <c r="T658" s="1101"/>
      <c r="U658" s="1101"/>
      <c r="V658" s="1101"/>
      <c r="W658" s="1101"/>
      <c r="X658" s="1101"/>
      <c r="Y658" s="1102"/>
      <c r="Z658" s="1102"/>
      <c r="AA658" s="1101"/>
    </row>
    <row r="659" ht="15.75" customHeight="1">
      <c r="A659" s="213"/>
      <c r="B659" s="213"/>
      <c r="C659" s="1101"/>
      <c r="D659" s="1101"/>
      <c r="E659" s="1101"/>
      <c r="F659" s="1101"/>
      <c r="G659" s="1101"/>
      <c r="H659" s="1101"/>
      <c r="I659" s="1101"/>
      <c r="J659" s="1101"/>
      <c r="K659" s="1101"/>
      <c r="L659" s="1101"/>
      <c r="M659" s="1101"/>
      <c r="N659" s="1101"/>
      <c r="O659" s="1101"/>
      <c r="P659" s="1101"/>
      <c r="Q659" s="1101"/>
      <c r="R659" s="1101"/>
      <c r="S659" s="1101"/>
      <c r="T659" s="1101"/>
      <c r="U659" s="1101"/>
      <c r="V659" s="1101"/>
      <c r="W659" s="1101"/>
      <c r="X659" s="1101"/>
      <c r="Y659" s="1102"/>
      <c r="Z659" s="1102"/>
      <c r="AA659" s="1101"/>
    </row>
    <row r="660" ht="15.75" customHeight="1">
      <c r="A660" s="213"/>
      <c r="B660" s="213"/>
      <c r="C660" s="1101"/>
      <c r="D660" s="1101"/>
      <c r="E660" s="1101"/>
      <c r="F660" s="1101"/>
      <c r="G660" s="1101"/>
      <c r="H660" s="1101"/>
      <c r="I660" s="1101"/>
      <c r="J660" s="1101"/>
      <c r="K660" s="1101"/>
      <c r="L660" s="1101"/>
      <c r="M660" s="1101"/>
      <c r="N660" s="1101"/>
      <c r="O660" s="1101"/>
      <c r="P660" s="1101"/>
      <c r="Q660" s="1101"/>
      <c r="R660" s="1101"/>
      <c r="S660" s="1101"/>
      <c r="T660" s="1101"/>
      <c r="U660" s="1101"/>
      <c r="V660" s="1101"/>
      <c r="W660" s="1101"/>
      <c r="X660" s="1101"/>
      <c r="Y660" s="1102"/>
      <c r="Z660" s="1102"/>
      <c r="AA660" s="1101"/>
    </row>
    <row r="661" ht="15.75" customHeight="1">
      <c r="A661" s="213"/>
      <c r="B661" s="213"/>
      <c r="C661" s="1101"/>
      <c r="D661" s="1101"/>
      <c r="E661" s="1101"/>
      <c r="F661" s="1101"/>
      <c r="G661" s="1101"/>
      <c r="H661" s="1101"/>
      <c r="I661" s="1101"/>
      <c r="J661" s="1101"/>
      <c r="K661" s="1101"/>
      <c r="L661" s="1101"/>
      <c r="M661" s="1101"/>
      <c r="N661" s="1101"/>
      <c r="O661" s="1101"/>
      <c r="P661" s="1101"/>
      <c r="Q661" s="1101"/>
      <c r="R661" s="1101"/>
      <c r="S661" s="1101"/>
      <c r="T661" s="1101"/>
      <c r="U661" s="1101"/>
      <c r="V661" s="1101"/>
      <c r="W661" s="1101"/>
      <c r="X661" s="1101"/>
      <c r="Y661" s="1102"/>
      <c r="Z661" s="1102"/>
      <c r="AA661" s="1101"/>
    </row>
    <row r="662" ht="15.75" customHeight="1">
      <c r="A662" s="213"/>
      <c r="B662" s="213"/>
      <c r="C662" s="1101"/>
      <c r="D662" s="1101"/>
      <c r="E662" s="1101"/>
      <c r="F662" s="1101"/>
      <c r="G662" s="1101"/>
      <c r="H662" s="1101"/>
      <c r="I662" s="1101"/>
      <c r="J662" s="1101"/>
      <c r="K662" s="1101"/>
      <c r="L662" s="1101"/>
      <c r="M662" s="1101"/>
      <c r="N662" s="1101"/>
      <c r="O662" s="1101"/>
      <c r="P662" s="1101"/>
      <c r="Q662" s="1101"/>
      <c r="R662" s="1101"/>
      <c r="S662" s="1101"/>
      <c r="T662" s="1101"/>
      <c r="U662" s="1101"/>
      <c r="V662" s="1101"/>
      <c r="W662" s="1101"/>
      <c r="X662" s="1101"/>
      <c r="Y662" s="1102"/>
      <c r="Z662" s="1102"/>
      <c r="AA662" s="1101"/>
    </row>
    <row r="663" ht="15.75" customHeight="1">
      <c r="A663" s="213"/>
      <c r="B663" s="213"/>
      <c r="C663" s="1101"/>
      <c r="D663" s="1101"/>
      <c r="E663" s="1101"/>
      <c r="F663" s="1101"/>
      <c r="G663" s="1101"/>
      <c r="H663" s="1101"/>
      <c r="I663" s="1101"/>
      <c r="J663" s="1101"/>
      <c r="K663" s="1101"/>
      <c r="L663" s="1101"/>
      <c r="M663" s="1101"/>
      <c r="N663" s="1101"/>
      <c r="O663" s="1101"/>
      <c r="P663" s="1101"/>
      <c r="Q663" s="1101"/>
      <c r="R663" s="1101"/>
      <c r="S663" s="1101"/>
      <c r="T663" s="1101"/>
      <c r="U663" s="1101"/>
      <c r="V663" s="1101"/>
      <c r="W663" s="1101"/>
      <c r="X663" s="1101"/>
      <c r="Y663" s="1102"/>
      <c r="Z663" s="1102"/>
      <c r="AA663" s="1101"/>
    </row>
    <row r="664" ht="15.75" customHeight="1">
      <c r="A664" s="213"/>
      <c r="B664" s="213"/>
      <c r="C664" s="1101"/>
      <c r="D664" s="1101"/>
      <c r="E664" s="1101"/>
      <c r="F664" s="1101"/>
      <c r="G664" s="1101"/>
      <c r="H664" s="1101"/>
      <c r="I664" s="1101"/>
      <c r="J664" s="1101"/>
      <c r="K664" s="1101"/>
      <c r="L664" s="1101"/>
      <c r="M664" s="1101"/>
      <c r="N664" s="1101"/>
      <c r="O664" s="1101"/>
      <c r="P664" s="1101"/>
      <c r="Q664" s="1101"/>
      <c r="R664" s="1101"/>
      <c r="S664" s="1101"/>
      <c r="T664" s="1101"/>
      <c r="U664" s="1101"/>
      <c r="V664" s="1101"/>
      <c r="W664" s="1101"/>
      <c r="X664" s="1101"/>
      <c r="Y664" s="1102"/>
      <c r="Z664" s="1102"/>
      <c r="AA664" s="1101"/>
    </row>
    <row r="665" ht="15.75" customHeight="1">
      <c r="A665" s="213"/>
      <c r="B665" s="213"/>
      <c r="C665" s="1101"/>
      <c r="D665" s="1101"/>
      <c r="E665" s="1101"/>
      <c r="F665" s="1101"/>
      <c r="G665" s="1101"/>
      <c r="H665" s="1101"/>
      <c r="I665" s="1101"/>
      <c r="J665" s="1101"/>
      <c r="K665" s="1101"/>
      <c r="L665" s="1101"/>
      <c r="M665" s="1101"/>
      <c r="N665" s="1101"/>
      <c r="O665" s="1101"/>
      <c r="P665" s="1101"/>
      <c r="Q665" s="1101"/>
      <c r="R665" s="1101"/>
      <c r="S665" s="1101"/>
      <c r="T665" s="1101"/>
      <c r="U665" s="1101"/>
      <c r="V665" s="1101"/>
      <c r="W665" s="1101"/>
      <c r="X665" s="1101"/>
      <c r="Y665" s="1102"/>
      <c r="Z665" s="1102"/>
      <c r="AA665" s="1101"/>
    </row>
    <row r="666" ht="15.75" customHeight="1">
      <c r="A666" s="213"/>
      <c r="B666" s="213"/>
      <c r="C666" s="1101"/>
      <c r="D666" s="1101"/>
      <c r="E666" s="1101"/>
      <c r="F666" s="1101"/>
      <c r="G666" s="1101"/>
      <c r="H666" s="1101"/>
      <c r="I666" s="1101"/>
      <c r="J666" s="1101"/>
      <c r="K666" s="1101"/>
      <c r="L666" s="1101"/>
      <c r="M666" s="1101"/>
      <c r="N666" s="1101"/>
      <c r="O666" s="1101"/>
      <c r="P666" s="1101"/>
      <c r="Q666" s="1101"/>
      <c r="R666" s="1101"/>
      <c r="S666" s="1101"/>
      <c r="T666" s="1101"/>
      <c r="U666" s="1101"/>
      <c r="V666" s="1101"/>
      <c r="W666" s="1101"/>
      <c r="X666" s="1101"/>
      <c r="Y666" s="1102"/>
      <c r="Z666" s="1102"/>
      <c r="AA666" s="1101"/>
    </row>
    <row r="667" ht="15.75" customHeight="1">
      <c r="A667" s="213"/>
      <c r="B667" s="213"/>
      <c r="C667" s="1101"/>
      <c r="D667" s="1101"/>
      <c r="E667" s="1101"/>
      <c r="F667" s="1101"/>
      <c r="G667" s="1101"/>
      <c r="H667" s="1101"/>
      <c r="I667" s="1101"/>
      <c r="J667" s="1101"/>
      <c r="K667" s="1101"/>
      <c r="L667" s="1101"/>
      <c r="M667" s="1101"/>
      <c r="N667" s="1101"/>
      <c r="O667" s="1101"/>
      <c r="P667" s="1101"/>
      <c r="Q667" s="1101"/>
      <c r="R667" s="1101"/>
      <c r="S667" s="1101"/>
      <c r="T667" s="1101"/>
      <c r="U667" s="1101"/>
      <c r="V667" s="1101"/>
      <c r="W667" s="1101"/>
      <c r="X667" s="1101"/>
      <c r="Y667" s="1102"/>
      <c r="Z667" s="1102"/>
      <c r="AA667" s="1101"/>
    </row>
    <row r="668" ht="15.75" customHeight="1">
      <c r="A668" s="213"/>
      <c r="B668" s="213"/>
      <c r="C668" s="1101"/>
      <c r="D668" s="1101"/>
      <c r="E668" s="1101"/>
      <c r="F668" s="1101"/>
      <c r="G668" s="1101"/>
      <c r="H668" s="1101"/>
      <c r="I668" s="1101"/>
      <c r="J668" s="1101"/>
      <c r="K668" s="1101"/>
      <c r="L668" s="1101"/>
      <c r="M668" s="1101"/>
      <c r="N668" s="1101"/>
      <c r="O668" s="1101"/>
      <c r="P668" s="1101"/>
      <c r="Q668" s="1101"/>
      <c r="R668" s="1101"/>
      <c r="S668" s="1101"/>
      <c r="T668" s="1101"/>
      <c r="U668" s="1101"/>
      <c r="V668" s="1101"/>
      <c r="W668" s="1101"/>
      <c r="X668" s="1101"/>
      <c r="Y668" s="1102"/>
      <c r="Z668" s="1102"/>
      <c r="AA668" s="1101"/>
    </row>
    <row r="669" ht="15.75" customHeight="1">
      <c r="A669" s="213"/>
      <c r="B669" s="213"/>
      <c r="C669" s="1101"/>
      <c r="D669" s="1101"/>
      <c r="E669" s="1101"/>
      <c r="F669" s="1101"/>
      <c r="G669" s="1101"/>
      <c r="H669" s="1101"/>
      <c r="I669" s="1101"/>
      <c r="J669" s="1101"/>
      <c r="K669" s="1101"/>
      <c r="L669" s="1101"/>
      <c r="M669" s="1101"/>
      <c r="N669" s="1101"/>
      <c r="O669" s="1101"/>
      <c r="P669" s="1101"/>
      <c r="Q669" s="1101"/>
      <c r="R669" s="1101"/>
      <c r="S669" s="1101"/>
      <c r="T669" s="1101"/>
      <c r="U669" s="1101"/>
      <c r="V669" s="1101"/>
      <c r="W669" s="1101"/>
      <c r="X669" s="1101"/>
      <c r="Y669" s="1102"/>
      <c r="Z669" s="1102"/>
      <c r="AA669" s="1101"/>
    </row>
    <row r="670" ht="15.75" customHeight="1">
      <c r="A670" s="213"/>
      <c r="B670" s="213"/>
      <c r="C670" s="1101"/>
      <c r="D670" s="1101"/>
      <c r="E670" s="1101"/>
      <c r="F670" s="1101"/>
      <c r="G670" s="1101"/>
      <c r="H670" s="1101"/>
      <c r="I670" s="1101"/>
      <c r="J670" s="1101"/>
      <c r="K670" s="1101"/>
      <c r="L670" s="1101"/>
      <c r="M670" s="1101"/>
      <c r="N670" s="1101"/>
      <c r="O670" s="1101"/>
      <c r="P670" s="1101"/>
      <c r="Q670" s="1101"/>
      <c r="R670" s="1101"/>
      <c r="S670" s="1101"/>
      <c r="T670" s="1101"/>
      <c r="U670" s="1101"/>
      <c r="V670" s="1101"/>
      <c r="W670" s="1101"/>
      <c r="X670" s="1101"/>
      <c r="Y670" s="1102"/>
      <c r="Z670" s="1102"/>
      <c r="AA670" s="1101"/>
    </row>
    <row r="671" ht="15.75" customHeight="1">
      <c r="A671" s="213"/>
      <c r="B671" s="213"/>
      <c r="C671" s="1101"/>
      <c r="D671" s="1101"/>
      <c r="E671" s="1101"/>
      <c r="F671" s="1101"/>
      <c r="G671" s="1101"/>
      <c r="H671" s="1101"/>
      <c r="I671" s="1101"/>
      <c r="J671" s="1101"/>
      <c r="K671" s="1101"/>
      <c r="L671" s="1101"/>
      <c r="M671" s="1101"/>
      <c r="N671" s="1101"/>
      <c r="O671" s="1101"/>
      <c r="P671" s="1101"/>
      <c r="Q671" s="1101"/>
      <c r="R671" s="1101"/>
      <c r="S671" s="1101"/>
      <c r="T671" s="1101"/>
      <c r="U671" s="1101"/>
      <c r="V671" s="1101"/>
      <c r="W671" s="1101"/>
      <c r="X671" s="1101"/>
      <c r="Y671" s="1102"/>
      <c r="Z671" s="1102"/>
      <c r="AA671" s="1101"/>
    </row>
    <row r="672" ht="15.75" customHeight="1">
      <c r="A672" s="213"/>
      <c r="B672" s="213"/>
      <c r="C672" s="1101"/>
      <c r="D672" s="1101"/>
      <c r="E672" s="1101"/>
      <c r="F672" s="1101"/>
      <c r="G672" s="1101"/>
      <c r="H672" s="1101"/>
      <c r="I672" s="1101"/>
      <c r="J672" s="1101"/>
      <c r="K672" s="1101"/>
      <c r="L672" s="1101"/>
      <c r="M672" s="1101"/>
      <c r="N672" s="1101"/>
      <c r="O672" s="1101"/>
      <c r="P672" s="1101"/>
      <c r="Q672" s="1101"/>
      <c r="R672" s="1101"/>
      <c r="S672" s="1101"/>
      <c r="T672" s="1101"/>
      <c r="U672" s="1101"/>
      <c r="V672" s="1101"/>
      <c r="W672" s="1101"/>
      <c r="X672" s="1101"/>
      <c r="Y672" s="1102"/>
      <c r="Z672" s="1102"/>
      <c r="AA672" s="1101"/>
    </row>
    <row r="673" ht="15.75" customHeight="1">
      <c r="A673" s="213"/>
      <c r="B673" s="213"/>
      <c r="C673" s="1101"/>
      <c r="D673" s="1101"/>
      <c r="E673" s="1101"/>
      <c r="F673" s="1101"/>
      <c r="G673" s="1101"/>
      <c r="H673" s="1101"/>
      <c r="I673" s="1101"/>
      <c r="J673" s="1101"/>
      <c r="K673" s="1101"/>
      <c r="L673" s="1101"/>
      <c r="M673" s="1101"/>
      <c r="N673" s="1101"/>
      <c r="O673" s="1101"/>
      <c r="P673" s="1101"/>
      <c r="Q673" s="1101"/>
      <c r="R673" s="1101"/>
      <c r="S673" s="1101"/>
      <c r="T673" s="1101"/>
      <c r="U673" s="1101"/>
      <c r="V673" s="1101"/>
      <c r="W673" s="1101"/>
      <c r="X673" s="1101"/>
      <c r="Y673" s="1102"/>
      <c r="Z673" s="1102"/>
      <c r="AA673" s="1101"/>
    </row>
    <row r="674" ht="15.75" customHeight="1">
      <c r="A674" s="213"/>
      <c r="B674" s="213"/>
      <c r="C674" s="1101"/>
      <c r="D674" s="1101"/>
      <c r="E674" s="1101"/>
      <c r="F674" s="1101"/>
      <c r="G674" s="1101"/>
      <c r="H674" s="1101"/>
      <c r="I674" s="1101"/>
      <c r="J674" s="1101"/>
      <c r="K674" s="1101"/>
      <c r="L674" s="1101"/>
      <c r="M674" s="1101"/>
      <c r="N674" s="1101"/>
      <c r="O674" s="1101"/>
      <c r="P674" s="1101"/>
      <c r="Q674" s="1101"/>
      <c r="R674" s="1101"/>
      <c r="S674" s="1101"/>
      <c r="T674" s="1101"/>
      <c r="U674" s="1101"/>
      <c r="V674" s="1101"/>
      <c r="W674" s="1101"/>
      <c r="X674" s="1101"/>
      <c r="Y674" s="1102"/>
      <c r="Z674" s="1102"/>
      <c r="AA674" s="1101"/>
    </row>
    <row r="675" ht="15.75" customHeight="1">
      <c r="A675" s="213"/>
      <c r="B675" s="213"/>
      <c r="C675" s="1101"/>
      <c r="D675" s="1101"/>
      <c r="E675" s="1101"/>
      <c r="F675" s="1101"/>
      <c r="G675" s="1101"/>
      <c r="H675" s="1101"/>
      <c r="I675" s="1101"/>
      <c r="J675" s="1101"/>
      <c r="K675" s="1101"/>
      <c r="L675" s="1101"/>
      <c r="M675" s="1101"/>
      <c r="N675" s="1101"/>
      <c r="O675" s="1101"/>
      <c r="P675" s="1101"/>
      <c r="Q675" s="1101"/>
      <c r="R675" s="1101"/>
      <c r="S675" s="1101"/>
      <c r="T675" s="1101"/>
      <c r="U675" s="1101"/>
      <c r="V675" s="1101"/>
      <c r="W675" s="1101"/>
      <c r="X675" s="1101"/>
      <c r="Y675" s="1102"/>
      <c r="Z675" s="1102"/>
      <c r="AA675" s="1101"/>
    </row>
    <row r="676" ht="15.75" customHeight="1">
      <c r="A676" s="213"/>
      <c r="B676" s="213"/>
      <c r="C676" s="1101"/>
      <c r="D676" s="1101"/>
      <c r="E676" s="1101"/>
      <c r="F676" s="1101"/>
      <c r="G676" s="1101"/>
      <c r="H676" s="1101"/>
      <c r="I676" s="1101"/>
      <c r="J676" s="1101"/>
      <c r="K676" s="1101"/>
      <c r="L676" s="1101"/>
      <c r="M676" s="1101"/>
      <c r="N676" s="1101"/>
      <c r="O676" s="1101"/>
      <c r="P676" s="1101"/>
      <c r="Q676" s="1101"/>
      <c r="R676" s="1101"/>
      <c r="S676" s="1101"/>
      <c r="T676" s="1101"/>
      <c r="U676" s="1101"/>
      <c r="V676" s="1101"/>
      <c r="W676" s="1101"/>
      <c r="X676" s="1101"/>
      <c r="Y676" s="1102"/>
      <c r="Z676" s="1102"/>
      <c r="AA676" s="1101"/>
    </row>
    <row r="677" ht="15.75" customHeight="1">
      <c r="A677" s="213"/>
      <c r="B677" s="213"/>
      <c r="C677" s="1101"/>
      <c r="D677" s="1101"/>
      <c r="E677" s="1101"/>
      <c r="F677" s="1101"/>
      <c r="G677" s="1101"/>
      <c r="H677" s="1101"/>
      <c r="I677" s="1101"/>
      <c r="J677" s="1101"/>
      <c r="K677" s="1101"/>
      <c r="L677" s="1101"/>
      <c r="M677" s="1101"/>
      <c r="N677" s="1101"/>
      <c r="O677" s="1101"/>
      <c r="P677" s="1101"/>
      <c r="Q677" s="1101"/>
      <c r="R677" s="1101"/>
      <c r="S677" s="1101"/>
      <c r="T677" s="1101"/>
      <c r="U677" s="1101"/>
      <c r="V677" s="1101"/>
      <c r="W677" s="1101"/>
      <c r="X677" s="1101"/>
      <c r="Y677" s="1102"/>
      <c r="Z677" s="1102"/>
      <c r="AA677" s="1101"/>
    </row>
    <row r="678" ht="15.75" customHeight="1">
      <c r="A678" s="213"/>
      <c r="B678" s="213"/>
      <c r="C678" s="1101"/>
      <c r="D678" s="1101"/>
      <c r="E678" s="1101"/>
      <c r="F678" s="1101"/>
      <c r="G678" s="1101"/>
      <c r="H678" s="1101"/>
      <c r="I678" s="1101"/>
      <c r="J678" s="1101"/>
      <c r="K678" s="1101"/>
      <c r="L678" s="1101"/>
      <c r="M678" s="1101"/>
      <c r="N678" s="1101"/>
      <c r="O678" s="1101"/>
      <c r="P678" s="1101"/>
      <c r="Q678" s="1101"/>
      <c r="R678" s="1101"/>
      <c r="S678" s="1101"/>
      <c r="T678" s="1101"/>
      <c r="U678" s="1101"/>
      <c r="V678" s="1101"/>
      <c r="W678" s="1101"/>
      <c r="X678" s="1101"/>
      <c r="Y678" s="1102"/>
      <c r="Z678" s="1102"/>
      <c r="AA678" s="1101"/>
    </row>
    <row r="679" ht="15.75" customHeight="1">
      <c r="A679" s="213"/>
      <c r="B679" s="213"/>
      <c r="C679" s="1101"/>
      <c r="D679" s="1101"/>
      <c r="E679" s="1101"/>
      <c r="F679" s="1101"/>
      <c r="G679" s="1101"/>
      <c r="H679" s="1101"/>
      <c r="I679" s="1101"/>
      <c r="J679" s="1101"/>
      <c r="K679" s="1101"/>
      <c r="L679" s="1101"/>
      <c r="M679" s="1101"/>
      <c r="N679" s="1101"/>
      <c r="O679" s="1101"/>
      <c r="P679" s="1101"/>
      <c r="Q679" s="1101"/>
      <c r="R679" s="1101"/>
      <c r="S679" s="1101"/>
      <c r="T679" s="1101"/>
      <c r="U679" s="1101"/>
      <c r="V679" s="1101"/>
      <c r="W679" s="1101"/>
      <c r="X679" s="1101"/>
      <c r="Y679" s="1102"/>
      <c r="Z679" s="1102"/>
      <c r="AA679" s="1101"/>
    </row>
    <row r="680" ht="15.75" customHeight="1">
      <c r="A680" s="213"/>
      <c r="B680" s="213"/>
      <c r="C680" s="1101"/>
      <c r="D680" s="1101"/>
      <c r="E680" s="1101"/>
      <c r="F680" s="1101"/>
      <c r="G680" s="1101"/>
      <c r="H680" s="1101"/>
      <c r="I680" s="1101"/>
      <c r="J680" s="1101"/>
      <c r="K680" s="1101"/>
      <c r="L680" s="1101"/>
      <c r="M680" s="1101"/>
      <c r="N680" s="1101"/>
      <c r="O680" s="1101"/>
      <c r="P680" s="1101"/>
      <c r="Q680" s="1101"/>
      <c r="R680" s="1101"/>
      <c r="S680" s="1101"/>
      <c r="T680" s="1101"/>
      <c r="U680" s="1101"/>
      <c r="V680" s="1101"/>
      <c r="W680" s="1101"/>
      <c r="X680" s="1101"/>
      <c r="Y680" s="1102"/>
      <c r="Z680" s="1102"/>
      <c r="AA680" s="1101"/>
    </row>
    <row r="681" ht="15.75" customHeight="1">
      <c r="A681" s="213"/>
      <c r="B681" s="213"/>
      <c r="C681" s="1101"/>
      <c r="D681" s="1101"/>
      <c r="E681" s="1101"/>
      <c r="F681" s="1101"/>
      <c r="G681" s="1101"/>
      <c r="H681" s="1101"/>
      <c r="I681" s="1101"/>
      <c r="J681" s="1101"/>
      <c r="K681" s="1101"/>
      <c r="L681" s="1101"/>
      <c r="M681" s="1101"/>
      <c r="N681" s="1101"/>
      <c r="O681" s="1101"/>
      <c r="P681" s="1101"/>
      <c r="Q681" s="1101"/>
      <c r="R681" s="1101"/>
      <c r="S681" s="1101"/>
      <c r="T681" s="1101"/>
      <c r="U681" s="1101"/>
      <c r="V681" s="1101"/>
      <c r="W681" s="1101"/>
      <c r="X681" s="1101"/>
      <c r="Y681" s="1102"/>
      <c r="Z681" s="1102"/>
      <c r="AA681" s="1101"/>
    </row>
    <row r="682" ht="15.75" customHeight="1">
      <c r="A682" s="213"/>
      <c r="B682" s="213"/>
      <c r="C682" s="1101"/>
      <c r="D682" s="1101"/>
      <c r="E682" s="1101"/>
      <c r="F682" s="1101"/>
      <c r="G682" s="1101"/>
      <c r="H682" s="1101"/>
      <c r="I682" s="1101"/>
      <c r="J682" s="1101"/>
      <c r="K682" s="1101"/>
      <c r="L682" s="1101"/>
      <c r="M682" s="1101"/>
      <c r="N682" s="1101"/>
      <c r="O682" s="1101"/>
      <c r="P682" s="1101"/>
      <c r="Q682" s="1101"/>
      <c r="R682" s="1101"/>
      <c r="S682" s="1101"/>
      <c r="T682" s="1101"/>
      <c r="U682" s="1101"/>
      <c r="V682" s="1101"/>
      <c r="W682" s="1101"/>
      <c r="X682" s="1101"/>
      <c r="Y682" s="1102"/>
      <c r="Z682" s="1102"/>
      <c r="AA682" s="1101"/>
    </row>
    <row r="683" ht="15.75" customHeight="1">
      <c r="A683" s="213"/>
      <c r="B683" s="213"/>
      <c r="C683" s="1101"/>
      <c r="D683" s="1101"/>
      <c r="E683" s="1101"/>
      <c r="F683" s="1101"/>
      <c r="G683" s="1101"/>
      <c r="H683" s="1101"/>
      <c r="I683" s="1101"/>
      <c r="J683" s="1101"/>
      <c r="K683" s="1101"/>
      <c r="L683" s="1101"/>
      <c r="M683" s="1101"/>
      <c r="N683" s="1101"/>
      <c r="O683" s="1101"/>
      <c r="P683" s="1101"/>
      <c r="Q683" s="1101"/>
      <c r="R683" s="1101"/>
      <c r="S683" s="1101"/>
      <c r="T683" s="1101"/>
      <c r="U683" s="1101"/>
      <c r="V683" s="1101"/>
      <c r="W683" s="1101"/>
      <c r="X683" s="1101"/>
      <c r="Y683" s="1102"/>
      <c r="Z683" s="1102"/>
      <c r="AA683" s="1101"/>
    </row>
    <row r="684" ht="15.75" customHeight="1">
      <c r="A684" s="213"/>
      <c r="B684" s="213"/>
      <c r="C684" s="1101"/>
      <c r="D684" s="1101"/>
      <c r="E684" s="1101"/>
      <c r="F684" s="1101"/>
      <c r="G684" s="1101"/>
      <c r="H684" s="1101"/>
      <c r="I684" s="1101"/>
      <c r="J684" s="1101"/>
      <c r="K684" s="1101"/>
      <c r="L684" s="1101"/>
      <c r="M684" s="1101"/>
      <c r="N684" s="1101"/>
      <c r="O684" s="1101"/>
      <c r="P684" s="1101"/>
      <c r="Q684" s="1101"/>
      <c r="R684" s="1101"/>
      <c r="S684" s="1101"/>
      <c r="T684" s="1101"/>
      <c r="U684" s="1101"/>
      <c r="V684" s="1101"/>
      <c r="W684" s="1101"/>
      <c r="X684" s="1101"/>
      <c r="Y684" s="1102"/>
      <c r="Z684" s="1102"/>
      <c r="AA684" s="1101"/>
    </row>
    <row r="685" ht="15.75" customHeight="1">
      <c r="A685" s="213"/>
      <c r="B685" s="213"/>
      <c r="C685" s="1101"/>
      <c r="D685" s="1101"/>
      <c r="E685" s="1101"/>
      <c r="F685" s="1101"/>
      <c r="G685" s="1101"/>
      <c r="H685" s="1101"/>
      <c r="I685" s="1101"/>
      <c r="J685" s="1101"/>
      <c r="K685" s="1101"/>
      <c r="L685" s="1101"/>
      <c r="M685" s="1101"/>
      <c r="N685" s="1101"/>
      <c r="O685" s="1101"/>
      <c r="P685" s="1101"/>
      <c r="Q685" s="1101"/>
      <c r="R685" s="1101"/>
      <c r="S685" s="1101"/>
      <c r="T685" s="1101"/>
      <c r="U685" s="1101"/>
      <c r="V685" s="1101"/>
      <c r="W685" s="1101"/>
      <c r="X685" s="1101"/>
      <c r="Y685" s="1102"/>
      <c r="Z685" s="1102"/>
      <c r="AA685" s="1101"/>
    </row>
    <row r="686" ht="15.75" customHeight="1">
      <c r="A686" s="213"/>
      <c r="B686" s="213"/>
      <c r="C686" s="1101"/>
      <c r="D686" s="1101"/>
      <c r="E686" s="1101"/>
      <c r="F686" s="1101"/>
      <c r="G686" s="1101"/>
      <c r="H686" s="1101"/>
      <c r="I686" s="1101"/>
      <c r="J686" s="1101"/>
      <c r="K686" s="1101"/>
      <c r="L686" s="1101"/>
      <c r="M686" s="1101"/>
      <c r="N686" s="1101"/>
      <c r="O686" s="1101"/>
      <c r="P686" s="1101"/>
      <c r="Q686" s="1101"/>
      <c r="R686" s="1101"/>
      <c r="S686" s="1101"/>
      <c r="T686" s="1101"/>
      <c r="U686" s="1101"/>
      <c r="V686" s="1101"/>
      <c r="W686" s="1101"/>
      <c r="X686" s="1101"/>
      <c r="Y686" s="1102"/>
      <c r="Z686" s="1102"/>
      <c r="AA686" s="1101"/>
    </row>
    <row r="687" ht="15.75" customHeight="1">
      <c r="A687" s="213"/>
      <c r="B687" s="213"/>
      <c r="C687" s="1101"/>
      <c r="D687" s="1101"/>
      <c r="E687" s="1101"/>
      <c r="F687" s="1101"/>
      <c r="G687" s="1101"/>
      <c r="H687" s="1101"/>
      <c r="I687" s="1101"/>
      <c r="J687" s="1101"/>
      <c r="K687" s="1101"/>
      <c r="L687" s="1101"/>
      <c r="M687" s="1101"/>
      <c r="N687" s="1101"/>
      <c r="O687" s="1101"/>
      <c r="P687" s="1101"/>
      <c r="Q687" s="1101"/>
      <c r="R687" s="1101"/>
      <c r="S687" s="1101"/>
      <c r="T687" s="1101"/>
      <c r="U687" s="1101"/>
      <c r="V687" s="1101"/>
      <c r="W687" s="1101"/>
      <c r="X687" s="1101"/>
      <c r="Y687" s="1102"/>
      <c r="Z687" s="1102"/>
      <c r="AA687" s="1101"/>
    </row>
    <row r="688" ht="15.75" customHeight="1">
      <c r="A688" s="213"/>
      <c r="B688" s="213"/>
      <c r="C688" s="1101"/>
      <c r="D688" s="1101"/>
      <c r="E688" s="1101"/>
      <c r="F688" s="1101"/>
      <c r="G688" s="1101"/>
      <c r="H688" s="1101"/>
      <c r="I688" s="1101"/>
      <c r="J688" s="1101"/>
      <c r="K688" s="1101"/>
      <c r="L688" s="1101"/>
      <c r="M688" s="1101"/>
      <c r="N688" s="1101"/>
      <c r="O688" s="1101"/>
      <c r="P688" s="1101"/>
      <c r="Q688" s="1101"/>
      <c r="R688" s="1101"/>
      <c r="S688" s="1101"/>
      <c r="T688" s="1101"/>
      <c r="U688" s="1101"/>
      <c r="V688" s="1101"/>
      <c r="W688" s="1101"/>
      <c r="X688" s="1101"/>
      <c r="Y688" s="1102"/>
      <c r="Z688" s="1102"/>
      <c r="AA688" s="1101"/>
    </row>
    <row r="689" ht="15.75" customHeight="1">
      <c r="A689" s="213"/>
      <c r="B689" s="213"/>
      <c r="C689" s="1101"/>
      <c r="D689" s="1101"/>
      <c r="E689" s="1101"/>
      <c r="F689" s="1101"/>
      <c r="G689" s="1101"/>
      <c r="H689" s="1101"/>
      <c r="I689" s="1101"/>
      <c r="J689" s="1101"/>
      <c r="K689" s="1101"/>
      <c r="L689" s="1101"/>
      <c r="M689" s="1101"/>
      <c r="N689" s="1101"/>
      <c r="O689" s="1101"/>
      <c r="P689" s="1101"/>
      <c r="Q689" s="1101"/>
      <c r="R689" s="1101"/>
      <c r="S689" s="1101"/>
      <c r="T689" s="1101"/>
      <c r="U689" s="1101"/>
      <c r="V689" s="1101"/>
      <c r="W689" s="1101"/>
      <c r="X689" s="1101"/>
      <c r="Y689" s="1102"/>
      <c r="Z689" s="1102"/>
      <c r="AA689" s="1101"/>
    </row>
    <row r="690" ht="15.75" customHeight="1">
      <c r="A690" s="213"/>
      <c r="B690" s="213"/>
      <c r="C690" s="1101"/>
      <c r="D690" s="1101"/>
      <c r="E690" s="1101"/>
      <c r="F690" s="1101"/>
      <c r="G690" s="1101"/>
      <c r="H690" s="1101"/>
      <c r="I690" s="1101"/>
      <c r="J690" s="1101"/>
      <c r="K690" s="1101"/>
      <c r="L690" s="1101"/>
      <c r="M690" s="1101"/>
      <c r="N690" s="1101"/>
      <c r="O690" s="1101"/>
      <c r="P690" s="1101"/>
      <c r="Q690" s="1101"/>
      <c r="R690" s="1101"/>
      <c r="S690" s="1101"/>
      <c r="T690" s="1101"/>
      <c r="U690" s="1101"/>
      <c r="V690" s="1101"/>
      <c r="W690" s="1101"/>
      <c r="X690" s="1101"/>
      <c r="Y690" s="1102"/>
      <c r="Z690" s="1102"/>
      <c r="AA690" s="1101"/>
    </row>
    <row r="691" ht="15.75" customHeight="1">
      <c r="A691" s="213"/>
      <c r="B691" s="213"/>
      <c r="C691" s="1101"/>
      <c r="D691" s="1101"/>
      <c r="E691" s="1101"/>
      <c r="F691" s="1101"/>
      <c r="G691" s="1101"/>
      <c r="H691" s="1101"/>
      <c r="I691" s="1101"/>
      <c r="J691" s="1101"/>
      <c r="K691" s="1101"/>
      <c r="L691" s="1101"/>
      <c r="M691" s="1101"/>
      <c r="N691" s="1101"/>
      <c r="O691" s="1101"/>
      <c r="P691" s="1101"/>
      <c r="Q691" s="1101"/>
      <c r="R691" s="1101"/>
      <c r="S691" s="1101"/>
      <c r="T691" s="1101"/>
      <c r="U691" s="1101"/>
      <c r="V691" s="1101"/>
      <c r="W691" s="1101"/>
      <c r="X691" s="1101"/>
      <c r="Y691" s="1102"/>
      <c r="Z691" s="1102"/>
      <c r="AA691" s="1101"/>
    </row>
    <row r="692" ht="15.75" customHeight="1">
      <c r="A692" s="213"/>
      <c r="B692" s="213"/>
      <c r="C692" s="1101"/>
      <c r="D692" s="1101"/>
      <c r="E692" s="1101"/>
      <c r="F692" s="1101"/>
      <c r="G692" s="1101"/>
      <c r="H692" s="1101"/>
      <c r="I692" s="1101"/>
      <c r="J692" s="1101"/>
      <c r="K692" s="1101"/>
      <c r="L692" s="1101"/>
      <c r="M692" s="1101"/>
      <c r="N692" s="1101"/>
      <c r="O692" s="1101"/>
      <c r="P692" s="1101"/>
      <c r="Q692" s="1101"/>
      <c r="R692" s="1101"/>
      <c r="S692" s="1101"/>
      <c r="T692" s="1101"/>
      <c r="U692" s="1101"/>
      <c r="V692" s="1101"/>
      <c r="W692" s="1101"/>
      <c r="X692" s="1101"/>
      <c r="Y692" s="1102"/>
      <c r="Z692" s="1102"/>
      <c r="AA692" s="1101"/>
    </row>
    <row r="693" ht="15.75" customHeight="1">
      <c r="A693" s="213"/>
      <c r="B693" s="213"/>
      <c r="C693" s="1101"/>
      <c r="D693" s="1101"/>
      <c r="E693" s="1101"/>
      <c r="F693" s="1101"/>
      <c r="G693" s="1101"/>
      <c r="H693" s="1101"/>
      <c r="I693" s="1101"/>
      <c r="J693" s="1101"/>
      <c r="K693" s="1101"/>
      <c r="L693" s="1101"/>
      <c r="M693" s="1101"/>
      <c r="N693" s="1101"/>
      <c r="O693" s="1101"/>
      <c r="P693" s="1101"/>
      <c r="Q693" s="1101"/>
      <c r="R693" s="1101"/>
      <c r="S693" s="1101"/>
      <c r="T693" s="1101"/>
      <c r="U693" s="1101"/>
      <c r="V693" s="1101"/>
      <c r="W693" s="1101"/>
      <c r="X693" s="1101"/>
      <c r="Y693" s="1102"/>
      <c r="Z693" s="1102"/>
      <c r="AA693" s="1101"/>
    </row>
    <row r="694" ht="15.75" customHeight="1">
      <c r="A694" s="213"/>
      <c r="B694" s="213"/>
      <c r="C694" s="1101"/>
      <c r="D694" s="1101"/>
      <c r="E694" s="1101"/>
      <c r="F694" s="1101"/>
      <c r="G694" s="1101"/>
      <c r="H694" s="1101"/>
      <c r="I694" s="1101"/>
      <c r="J694" s="1101"/>
      <c r="K694" s="1101"/>
      <c r="L694" s="1101"/>
      <c r="M694" s="1101"/>
      <c r="N694" s="1101"/>
      <c r="O694" s="1101"/>
      <c r="P694" s="1101"/>
      <c r="Q694" s="1101"/>
      <c r="R694" s="1101"/>
      <c r="S694" s="1101"/>
      <c r="T694" s="1101"/>
      <c r="U694" s="1101"/>
      <c r="V694" s="1101"/>
      <c r="W694" s="1101"/>
      <c r="X694" s="1101"/>
      <c r="Y694" s="1102"/>
      <c r="Z694" s="1102"/>
      <c r="AA694" s="1101"/>
    </row>
    <row r="695" ht="15.75" customHeight="1">
      <c r="A695" s="213"/>
      <c r="B695" s="213"/>
      <c r="C695" s="1101"/>
      <c r="D695" s="1101"/>
      <c r="E695" s="1101"/>
      <c r="F695" s="1101"/>
      <c r="G695" s="1101"/>
      <c r="H695" s="1101"/>
      <c r="I695" s="1101"/>
      <c r="J695" s="1101"/>
      <c r="K695" s="1101"/>
      <c r="L695" s="1101"/>
      <c r="M695" s="1101"/>
      <c r="N695" s="1101"/>
      <c r="O695" s="1101"/>
      <c r="P695" s="1101"/>
      <c r="Q695" s="1101"/>
      <c r="R695" s="1101"/>
      <c r="S695" s="1101"/>
      <c r="T695" s="1101"/>
      <c r="U695" s="1101"/>
      <c r="V695" s="1101"/>
      <c r="W695" s="1101"/>
      <c r="X695" s="1101"/>
      <c r="Y695" s="1102"/>
      <c r="Z695" s="1102"/>
      <c r="AA695" s="1101"/>
    </row>
    <row r="696" ht="15.75" customHeight="1">
      <c r="A696" s="213"/>
      <c r="B696" s="213"/>
      <c r="C696" s="1101"/>
      <c r="D696" s="1101"/>
      <c r="E696" s="1101"/>
      <c r="F696" s="1101"/>
      <c r="G696" s="1101"/>
      <c r="H696" s="1101"/>
      <c r="I696" s="1101"/>
      <c r="J696" s="1101"/>
      <c r="K696" s="1101"/>
      <c r="L696" s="1101"/>
      <c r="M696" s="1101"/>
      <c r="N696" s="1101"/>
      <c r="O696" s="1101"/>
      <c r="P696" s="1101"/>
      <c r="Q696" s="1101"/>
      <c r="R696" s="1101"/>
      <c r="S696" s="1101"/>
      <c r="T696" s="1101"/>
      <c r="U696" s="1101"/>
      <c r="V696" s="1101"/>
      <c r="W696" s="1101"/>
      <c r="X696" s="1101"/>
      <c r="Y696" s="1102"/>
      <c r="Z696" s="1102"/>
      <c r="AA696" s="1101"/>
    </row>
    <row r="697" ht="15.75" customHeight="1">
      <c r="A697" s="213"/>
      <c r="B697" s="213"/>
      <c r="C697" s="1101"/>
      <c r="D697" s="1101"/>
      <c r="E697" s="1101"/>
      <c r="F697" s="1101"/>
      <c r="G697" s="1101"/>
      <c r="H697" s="1101"/>
      <c r="I697" s="1101"/>
      <c r="J697" s="1101"/>
      <c r="K697" s="1101"/>
      <c r="L697" s="1101"/>
      <c r="M697" s="1101"/>
      <c r="N697" s="1101"/>
      <c r="O697" s="1101"/>
      <c r="P697" s="1101"/>
      <c r="Q697" s="1101"/>
      <c r="R697" s="1101"/>
      <c r="S697" s="1101"/>
      <c r="T697" s="1101"/>
      <c r="U697" s="1101"/>
      <c r="V697" s="1101"/>
      <c r="W697" s="1101"/>
      <c r="X697" s="1101"/>
      <c r="Y697" s="1102"/>
      <c r="Z697" s="1102"/>
      <c r="AA697" s="1101"/>
    </row>
    <row r="698" ht="15.75" customHeight="1">
      <c r="A698" s="213"/>
      <c r="B698" s="213"/>
      <c r="C698" s="1101"/>
      <c r="D698" s="1101"/>
      <c r="E698" s="1101"/>
      <c r="F698" s="1101"/>
      <c r="G698" s="1101"/>
      <c r="H698" s="1101"/>
      <c r="I698" s="1101"/>
      <c r="J698" s="1101"/>
      <c r="K698" s="1101"/>
      <c r="L698" s="1101"/>
      <c r="M698" s="1101"/>
      <c r="N698" s="1101"/>
      <c r="O698" s="1101"/>
      <c r="P698" s="1101"/>
      <c r="Q698" s="1101"/>
      <c r="R698" s="1101"/>
      <c r="S698" s="1101"/>
      <c r="T698" s="1101"/>
      <c r="U698" s="1101"/>
      <c r="V698" s="1101"/>
      <c r="W698" s="1101"/>
      <c r="X698" s="1101"/>
      <c r="Y698" s="1102"/>
      <c r="Z698" s="1102"/>
      <c r="AA698" s="1101"/>
    </row>
    <row r="699" ht="15.75" customHeight="1">
      <c r="A699" s="213"/>
      <c r="B699" s="213"/>
      <c r="C699" s="1101"/>
      <c r="D699" s="1101"/>
      <c r="E699" s="1101"/>
      <c r="F699" s="1101"/>
      <c r="G699" s="1101"/>
      <c r="H699" s="1101"/>
      <c r="I699" s="1101"/>
      <c r="J699" s="1101"/>
      <c r="K699" s="1101"/>
      <c r="L699" s="1101"/>
      <c r="M699" s="1101"/>
      <c r="N699" s="1101"/>
      <c r="O699" s="1101"/>
      <c r="P699" s="1101"/>
      <c r="Q699" s="1101"/>
      <c r="R699" s="1101"/>
      <c r="S699" s="1101"/>
      <c r="T699" s="1101"/>
      <c r="U699" s="1101"/>
      <c r="V699" s="1101"/>
      <c r="W699" s="1101"/>
      <c r="X699" s="1101"/>
      <c r="Y699" s="1102"/>
      <c r="Z699" s="1102"/>
      <c r="AA699" s="1101"/>
    </row>
    <row r="700" ht="15.75" customHeight="1">
      <c r="A700" s="213"/>
      <c r="B700" s="213"/>
      <c r="C700" s="1101"/>
      <c r="D700" s="1101"/>
      <c r="E700" s="1101"/>
      <c r="F700" s="1101"/>
      <c r="G700" s="1101"/>
      <c r="H700" s="1101"/>
      <c r="I700" s="1101"/>
      <c r="J700" s="1101"/>
      <c r="K700" s="1101"/>
      <c r="L700" s="1101"/>
      <c r="M700" s="1101"/>
      <c r="N700" s="1101"/>
      <c r="O700" s="1101"/>
      <c r="P700" s="1101"/>
      <c r="Q700" s="1101"/>
      <c r="R700" s="1101"/>
      <c r="S700" s="1101"/>
      <c r="T700" s="1101"/>
      <c r="U700" s="1101"/>
      <c r="V700" s="1101"/>
      <c r="W700" s="1101"/>
      <c r="X700" s="1101"/>
      <c r="Y700" s="1102"/>
      <c r="Z700" s="1102"/>
      <c r="AA700" s="1101"/>
    </row>
    <row r="701" ht="15.75" customHeight="1">
      <c r="A701" s="213"/>
      <c r="B701" s="213"/>
      <c r="C701" s="1101"/>
      <c r="D701" s="1101"/>
      <c r="E701" s="1101"/>
      <c r="F701" s="1101"/>
      <c r="G701" s="1101"/>
      <c r="H701" s="1101"/>
      <c r="I701" s="1101"/>
      <c r="J701" s="1101"/>
      <c r="K701" s="1101"/>
      <c r="L701" s="1101"/>
      <c r="M701" s="1101"/>
      <c r="N701" s="1101"/>
      <c r="O701" s="1101"/>
      <c r="P701" s="1101"/>
      <c r="Q701" s="1101"/>
      <c r="R701" s="1101"/>
      <c r="S701" s="1101"/>
      <c r="T701" s="1101"/>
      <c r="U701" s="1101"/>
      <c r="V701" s="1101"/>
      <c r="W701" s="1101"/>
      <c r="X701" s="1101"/>
      <c r="Y701" s="1102"/>
      <c r="Z701" s="1102"/>
      <c r="AA701" s="1101"/>
    </row>
    <row r="702" ht="15.75" customHeight="1">
      <c r="A702" s="213"/>
      <c r="B702" s="213"/>
      <c r="C702" s="1101"/>
      <c r="D702" s="1101"/>
      <c r="E702" s="1101"/>
      <c r="F702" s="1101"/>
      <c r="G702" s="1101"/>
      <c r="H702" s="1101"/>
      <c r="I702" s="1101"/>
      <c r="J702" s="1101"/>
      <c r="K702" s="1101"/>
      <c r="L702" s="1101"/>
      <c r="M702" s="1101"/>
      <c r="N702" s="1101"/>
      <c r="O702" s="1101"/>
      <c r="P702" s="1101"/>
      <c r="Q702" s="1101"/>
      <c r="R702" s="1101"/>
      <c r="S702" s="1101"/>
      <c r="T702" s="1101"/>
      <c r="U702" s="1101"/>
      <c r="V702" s="1101"/>
      <c r="W702" s="1101"/>
      <c r="X702" s="1101"/>
      <c r="Y702" s="1102"/>
      <c r="Z702" s="1102"/>
      <c r="AA702" s="1101"/>
    </row>
    <row r="703" ht="15.75" customHeight="1">
      <c r="A703" s="213"/>
      <c r="B703" s="213"/>
      <c r="C703" s="1101"/>
      <c r="D703" s="1101"/>
      <c r="E703" s="1101"/>
      <c r="F703" s="1101"/>
      <c r="G703" s="1101"/>
      <c r="H703" s="1101"/>
      <c r="I703" s="1101"/>
      <c r="J703" s="1101"/>
      <c r="K703" s="1101"/>
      <c r="L703" s="1101"/>
      <c r="M703" s="1101"/>
      <c r="N703" s="1101"/>
      <c r="O703" s="1101"/>
      <c r="P703" s="1101"/>
      <c r="Q703" s="1101"/>
      <c r="R703" s="1101"/>
      <c r="S703" s="1101"/>
      <c r="T703" s="1101"/>
      <c r="U703" s="1101"/>
      <c r="V703" s="1101"/>
      <c r="W703" s="1101"/>
      <c r="X703" s="1101"/>
      <c r="Y703" s="1102"/>
      <c r="Z703" s="1102"/>
      <c r="AA703" s="1101"/>
    </row>
    <row r="704" ht="15.75" customHeight="1">
      <c r="A704" s="213"/>
      <c r="B704" s="213"/>
      <c r="C704" s="1101"/>
      <c r="D704" s="1101"/>
      <c r="E704" s="1101"/>
      <c r="F704" s="1101"/>
      <c r="G704" s="1101"/>
      <c r="H704" s="1101"/>
      <c r="I704" s="1101"/>
      <c r="J704" s="1101"/>
      <c r="K704" s="1101"/>
      <c r="L704" s="1101"/>
      <c r="M704" s="1101"/>
      <c r="N704" s="1101"/>
      <c r="O704" s="1101"/>
      <c r="P704" s="1101"/>
      <c r="Q704" s="1101"/>
      <c r="R704" s="1101"/>
      <c r="S704" s="1101"/>
      <c r="T704" s="1101"/>
      <c r="U704" s="1101"/>
      <c r="V704" s="1101"/>
      <c r="W704" s="1101"/>
      <c r="X704" s="1101"/>
      <c r="Y704" s="1102"/>
      <c r="Z704" s="1102"/>
      <c r="AA704" s="1101"/>
    </row>
    <row r="705" ht="15.75" customHeight="1">
      <c r="A705" s="213"/>
      <c r="B705" s="213"/>
      <c r="C705" s="1101"/>
      <c r="D705" s="1101"/>
      <c r="E705" s="1101"/>
      <c r="F705" s="1101"/>
      <c r="G705" s="1101"/>
      <c r="H705" s="1101"/>
      <c r="I705" s="1101"/>
      <c r="J705" s="1101"/>
      <c r="K705" s="1101"/>
      <c r="L705" s="1101"/>
      <c r="M705" s="1101"/>
      <c r="N705" s="1101"/>
      <c r="O705" s="1101"/>
      <c r="P705" s="1101"/>
      <c r="Q705" s="1101"/>
      <c r="R705" s="1101"/>
      <c r="S705" s="1101"/>
      <c r="T705" s="1101"/>
      <c r="U705" s="1101"/>
      <c r="V705" s="1101"/>
      <c r="W705" s="1101"/>
      <c r="X705" s="1101"/>
      <c r="Y705" s="1102"/>
      <c r="Z705" s="1102"/>
      <c r="AA705" s="1101"/>
    </row>
    <row r="706" ht="15.75" customHeight="1">
      <c r="A706" s="213"/>
      <c r="B706" s="213"/>
      <c r="C706" s="1101"/>
      <c r="D706" s="1101"/>
      <c r="E706" s="1101"/>
      <c r="F706" s="1101"/>
      <c r="G706" s="1101"/>
      <c r="H706" s="1101"/>
      <c r="I706" s="1101"/>
      <c r="J706" s="1101"/>
      <c r="K706" s="1101"/>
      <c r="L706" s="1101"/>
      <c r="M706" s="1101"/>
      <c r="N706" s="1101"/>
      <c r="O706" s="1101"/>
      <c r="P706" s="1101"/>
      <c r="Q706" s="1101"/>
      <c r="R706" s="1101"/>
      <c r="S706" s="1101"/>
      <c r="T706" s="1101"/>
      <c r="U706" s="1101"/>
      <c r="V706" s="1101"/>
      <c r="W706" s="1101"/>
      <c r="X706" s="1101"/>
      <c r="Y706" s="1102"/>
      <c r="Z706" s="1102"/>
      <c r="AA706" s="1101"/>
    </row>
    <row r="707" ht="15.75" customHeight="1">
      <c r="A707" s="213"/>
      <c r="B707" s="213"/>
      <c r="C707" s="1101"/>
      <c r="D707" s="1101"/>
      <c r="E707" s="1101"/>
      <c r="F707" s="1101"/>
      <c r="G707" s="1101"/>
      <c r="H707" s="1101"/>
      <c r="I707" s="1101"/>
      <c r="J707" s="1101"/>
      <c r="K707" s="1101"/>
      <c r="L707" s="1101"/>
      <c r="M707" s="1101"/>
      <c r="N707" s="1101"/>
      <c r="O707" s="1101"/>
      <c r="P707" s="1101"/>
      <c r="Q707" s="1101"/>
      <c r="R707" s="1101"/>
      <c r="S707" s="1101"/>
      <c r="T707" s="1101"/>
      <c r="U707" s="1101"/>
      <c r="V707" s="1101"/>
      <c r="W707" s="1101"/>
      <c r="X707" s="1101"/>
      <c r="Y707" s="1102"/>
      <c r="Z707" s="1102"/>
      <c r="AA707" s="1101"/>
    </row>
    <row r="708" ht="15.75" customHeight="1">
      <c r="A708" s="213"/>
      <c r="B708" s="213"/>
      <c r="C708" s="1101"/>
      <c r="D708" s="1101"/>
      <c r="E708" s="1101"/>
      <c r="F708" s="1101"/>
      <c r="G708" s="1101"/>
      <c r="H708" s="1101"/>
      <c r="I708" s="1101"/>
      <c r="J708" s="1101"/>
      <c r="K708" s="1101"/>
      <c r="L708" s="1101"/>
      <c r="M708" s="1101"/>
      <c r="N708" s="1101"/>
      <c r="O708" s="1101"/>
      <c r="P708" s="1101"/>
      <c r="Q708" s="1101"/>
      <c r="R708" s="1101"/>
      <c r="S708" s="1101"/>
      <c r="T708" s="1101"/>
      <c r="U708" s="1101"/>
      <c r="V708" s="1101"/>
      <c r="W708" s="1101"/>
      <c r="X708" s="1101"/>
      <c r="Y708" s="1102"/>
      <c r="Z708" s="1102"/>
      <c r="AA708" s="1101"/>
    </row>
    <row r="709" ht="15.75" customHeight="1">
      <c r="A709" s="213"/>
      <c r="B709" s="213"/>
      <c r="C709" s="1101"/>
      <c r="D709" s="1101"/>
      <c r="E709" s="1101"/>
      <c r="F709" s="1101"/>
      <c r="G709" s="1101"/>
      <c r="H709" s="1101"/>
      <c r="I709" s="1101"/>
      <c r="J709" s="1101"/>
      <c r="K709" s="1101"/>
      <c r="L709" s="1101"/>
      <c r="M709" s="1101"/>
      <c r="N709" s="1101"/>
      <c r="O709" s="1101"/>
      <c r="P709" s="1101"/>
      <c r="Q709" s="1101"/>
      <c r="R709" s="1101"/>
      <c r="S709" s="1101"/>
      <c r="T709" s="1101"/>
      <c r="U709" s="1101"/>
      <c r="V709" s="1101"/>
      <c r="W709" s="1101"/>
      <c r="X709" s="1101"/>
      <c r="Y709" s="1102"/>
      <c r="Z709" s="1102"/>
      <c r="AA709" s="1101"/>
    </row>
    <row r="710" ht="15.75" customHeight="1">
      <c r="A710" s="213"/>
      <c r="B710" s="213"/>
      <c r="C710" s="1101"/>
      <c r="D710" s="1101"/>
      <c r="E710" s="1101"/>
      <c r="F710" s="1101"/>
      <c r="G710" s="1101"/>
      <c r="H710" s="1101"/>
      <c r="I710" s="1101"/>
      <c r="J710" s="1101"/>
      <c r="K710" s="1101"/>
      <c r="L710" s="1101"/>
      <c r="M710" s="1101"/>
      <c r="N710" s="1101"/>
      <c r="O710" s="1101"/>
      <c r="P710" s="1101"/>
      <c r="Q710" s="1101"/>
      <c r="R710" s="1101"/>
      <c r="S710" s="1101"/>
      <c r="T710" s="1101"/>
      <c r="U710" s="1101"/>
      <c r="V710" s="1101"/>
      <c r="W710" s="1101"/>
      <c r="X710" s="1101"/>
      <c r="Y710" s="1102"/>
      <c r="Z710" s="1102"/>
      <c r="AA710" s="1101"/>
    </row>
    <row r="711" ht="15.75" customHeight="1">
      <c r="A711" s="213"/>
      <c r="B711" s="213"/>
      <c r="C711" s="1101"/>
      <c r="D711" s="1101"/>
      <c r="E711" s="1101"/>
      <c r="F711" s="1101"/>
      <c r="G711" s="1101"/>
      <c r="H711" s="1101"/>
      <c r="I711" s="1101"/>
      <c r="J711" s="1101"/>
      <c r="K711" s="1101"/>
      <c r="L711" s="1101"/>
      <c r="M711" s="1101"/>
      <c r="N711" s="1101"/>
      <c r="O711" s="1101"/>
      <c r="P711" s="1101"/>
      <c r="Q711" s="1101"/>
      <c r="R711" s="1101"/>
      <c r="S711" s="1101"/>
      <c r="T711" s="1101"/>
      <c r="U711" s="1101"/>
      <c r="V711" s="1101"/>
      <c r="W711" s="1101"/>
      <c r="X711" s="1101"/>
      <c r="Y711" s="1102"/>
      <c r="Z711" s="1102"/>
      <c r="AA711" s="1101"/>
    </row>
    <row r="712" ht="15.75" customHeight="1">
      <c r="A712" s="213"/>
      <c r="B712" s="213"/>
      <c r="C712" s="1101"/>
      <c r="D712" s="1101"/>
      <c r="E712" s="1101"/>
      <c r="F712" s="1101"/>
      <c r="G712" s="1101"/>
      <c r="H712" s="1101"/>
      <c r="I712" s="1101"/>
      <c r="J712" s="1101"/>
      <c r="K712" s="1101"/>
      <c r="L712" s="1101"/>
      <c r="M712" s="1101"/>
      <c r="N712" s="1101"/>
      <c r="O712" s="1101"/>
      <c r="P712" s="1101"/>
      <c r="Q712" s="1101"/>
      <c r="R712" s="1101"/>
      <c r="S712" s="1101"/>
      <c r="T712" s="1101"/>
      <c r="U712" s="1101"/>
      <c r="V712" s="1101"/>
      <c r="W712" s="1101"/>
      <c r="X712" s="1101"/>
      <c r="Y712" s="1102"/>
      <c r="Z712" s="1102"/>
      <c r="AA712" s="1101"/>
    </row>
    <row r="713" ht="15.75" customHeight="1">
      <c r="A713" s="213"/>
      <c r="B713" s="213"/>
      <c r="C713" s="1101"/>
      <c r="D713" s="1101"/>
      <c r="E713" s="1101"/>
      <c r="F713" s="1101"/>
      <c r="G713" s="1101"/>
      <c r="H713" s="1101"/>
      <c r="I713" s="1101"/>
      <c r="J713" s="1101"/>
      <c r="K713" s="1101"/>
      <c r="L713" s="1101"/>
      <c r="M713" s="1101"/>
      <c r="N713" s="1101"/>
      <c r="O713" s="1101"/>
      <c r="P713" s="1101"/>
      <c r="Q713" s="1101"/>
      <c r="R713" s="1101"/>
      <c r="S713" s="1101"/>
      <c r="T713" s="1101"/>
      <c r="U713" s="1101"/>
      <c r="V713" s="1101"/>
      <c r="W713" s="1101"/>
      <c r="X713" s="1101"/>
      <c r="Y713" s="1102"/>
      <c r="Z713" s="1102"/>
      <c r="AA713" s="1101"/>
    </row>
    <row r="714" ht="15.75" customHeight="1">
      <c r="A714" s="213"/>
      <c r="B714" s="213"/>
      <c r="C714" s="1101"/>
      <c r="D714" s="1101"/>
      <c r="E714" s="1101"/>
      <c r="F714" s="1101"/>
      <c r="G714" s="1101"/>
      <c r="H714" s="1101"/>
      <c r="I714" s="1101"/>
      <c r="J714" s="1101"/>
      <c r="K714" s="1101"/>
      <c r="L714" s="1101"/>
      <c r="M714" s="1101"/>
      <c r="N714" s="1101"/>
      <c r="O714" s="1101"/>
      <c r="P714" s="1101"/>
      <c r="Q714" s="1101"/>
      <c r="R714" s="1101"/>
      <c r="S714" s="1101"/>
      <c r="T714" s="1101"/>
      <c r="U714" s="1101"/>
      <c r="V714" s="1101"/>
      <c r="W714" s="1101"/>
      <c r="X714" s="1101"/>
      <c r="Y714" s="1102"/>
      <c r="Z714" s="1102"/>
      <c r="AA714" s="1101"/>
    </row>
    <row r="715" ht="15.75" customHeight="1">
      <c r="A715" s="213"/>
      <c r="B715" s="213"/>
      <c r="C715" s="1101"/>
      <c r="D715" s="1101"/>
      <c r="E715" s="1101"/>
      <c r="F715" s="1101"/>
      <c r="G715" s="1101"/>
      <c r="H715" s="1101"/>
      <c r="I715" s="1101"/>
      <c r="J715" s="1101"/>
      <c r="K715" s="1101"/>
      <c r="L715" s="1101"/>
      <c r="M715" s="1101"/>
      <c r="N715" s="1101"/>
      <c r="O715" s="1101"/>
      <c r="P715" s="1101"/>
      <c r="Q715" s="1101"/>
      <c r="R715" s="1101"/>
      <c r="S715" s="1101"/>
      <c r="T715" s="1101"/>
      <c r="U715" s="1101"/>
      <c r="V715" s="1101"/>
      <c r="W715" s="1101"/>
      <c r="X715" s="1101"/>
      <c r="Y715" s="1102"/>
      <c r="Z715" s="1102"/>
      <c r="AA715" s="1101"/>
    </row>
    <row r="716" ht="15.75" customHeight="1">
      <c r="A716" s="213"/>
      <c r="B716" s="213"/>
      <c r="C716" s="1101"/>
      <c r="D716" s="1101"/>
      <c r="E716" s="1101"/>
      <c r="F716" s="1101"/>
      <c r="G716" s="1101"/>
      <c r="H716" s="1101"/>
      <c r="I716" s="1101"/>
      <c r="J716" s="1101"/>
      <c r="K716" s="1101"/>
      <c r="L716" s="1101"/>
      <c r="M716" s="1101"/>
      <c r="N716" s="1101"/>
      <c r="O716" s="1101"/>
      <c r="P716" s="1101"/>
      <c r="Q716" s="1101"/>
      <c r="R716" s="1101"/>
      <c r="S716" s="1101"/>
      <c r="T716" s="1101"/>
      <c r="U716" s="1101"/>
      <c r="V716" s="1101"/>
      <c r="W716" s="1101"/>
      <c r="X716" s="1101"/>
      <c r="Y716" s="1102"/>
      <c r="Z716" s="1102"/>
      <c r="AA716" s="1101"/>
    </row>
    <row r="717" ht="15.75" customHeight="1">
      <c r="A717" s="213"/>
      <c r="B717" s="213"/>
      <c r="C717" s="1101"/>
      <c r="D717" s="1101"/>
      <c r="E717" s="1101"/>
      <c r="F717" s="1101"/>
      <c r="G717" s="1101"/>
      <c r="H717" s="1101"/>
      <c r="I717" s="1101"/>
      <c r="J717" s="1101"/>
      <c r="K717" s="1101"/>
      <c r="L717" s="1101"/>
      <c r="M717" s="1101"/>
      <c r="N717" s="1101"/>
      <c r="O717" s="1101"/>
      <c r="P717" s="1101"/>
      <c r="Q717" s="1101"/>
      <c r="R717" s="1101"/>
      <c r="S717" s="1101"/>
      <c r="T717" s="1101"/>
      <c r="U717" s="1101"/>
      <c r="V717" s="1101"/>
      <c r="W717" s="1101"/>
      <c r="X717" s="1101"/>
      <c r="Y717" s="1102"/>
      <c r="Z717" s="1102"/>
      <c r="AA717" s="1101"/>
    </row>
    <row r="718" ht="15.75" customHeight="1">
      <c r="A718" s="213"/>
      <c r="B718" s="213"/>
      <c r="C718" s="1101"/>
      <c r="D718" s="1101"/>
      <c r="E718" s="1101"/>
      <c r="F718" s="1101"/>
      <c r="G718" s="1101"/>
      <c r="H718" s="1101"/>
      <c r="I718" s="1101"/>
      <c r="J718" s="1101"/>
      <c r="K718" s="1101"/>
      <c r="L718" s="1101"/>
      <c r="M718" s="1101"/>
      <c r="N718" s="1101"/>
      <c r="O718" s="1101"/>
      <c r="P718" s="1101"/>
      <c r="Q718" s="1101"/>
      <c r="R718" s="1101"/>
      <c r="S718" s="1101"/>
      <c r="T718" s="1101"/>
      <c r="U718" s="1101"/>
      <c r="V718" s="1101"/>
      <c r="W718" s="1101"/>
      <c r="X718" s="1101"/>
      <c r="Y718" s="1102"/>
      <c r="Z718" s="1102"/>
      <c r="AA718" s="1101"/>
    </row>
    <row r="719" ht="15.75" customHeight="1">
      <c r="A719" s="213"/>
      <c r="B719" s="213"/>
      <c r="C719" s="1101"/>
      <c r="D719" s="1101"/>
      <c r="E719" s="1101"/>
      <c r="F719" s="1101"/>
      <c r="G719" s="1101"/>
      <c r="H719" s="1101"/>
      <c r="I719" s="1101"/>
      <c r="J719" s="1101"/>
      <c r="K719" s="1101"/>
      <c r="L719" s="1101"/>
      <c r="M719" s="1101"/>
      <c r="N719" s="1101"/>
      <c r="O719" s="1101"/>
      <c r="P719" s="1101"/>
      <c r="Q719" s="1101"/>
      <c r="R719" s="1101"/>
      <c r="S719" s="1101"/>
      <c r="T719" s="1101"/>
      <c r="U719" s="1101"/>
      <c r="V719" s="1101"/>
      <c r="W719" s="1101"/>
      <c r="X719" s="1101"/>
      <c r="Y719" s="1102"/>
      <c r="Z719" s="1102"/>
      <c r="AA719" s="1101"/>
    </row>
    <row r="720" ht="15.75" customHeight="1">
      <c r="A720" s="213"/>
      <c r="B720" s="213"/>
      <c r="C720" s="1101"/>
      <c r="D720" s="1101"/>
      <c r="E720" s="1101"/>
      <c r="F720" s="1101"/>
      <c r="G720" s="1101"/>
      <c r="H720" s="1101"/>
      <c r="I720" s="1101"/>
      <c r="J720" s="1101"/>
      <c r="K720" s="1101"/>
      <c r="L720" s="1101"/>
      <c r="M720" s="1101"/>
      <c r="N720" s="1101"/>
      <c r="O720" s="1101"/>
      <c r="P720" s="1101"/>
      <c r="Q720" s="1101"/>
      <c r="R720" s="1101"/>
      <c r="S720" s="1101"/>
      <c r="T720" s="1101"/>
      <c r="U720" s="1101"/>
      <c r="V720" s="1101"/>
      <c r="W720" s="1101"/>
      <c r="X720" s="1101"/>
      <c r="Y720" s="1102"/>
      <c r="Z720" s="1102"/>
      <c r="AA720" s="1101"/>
    </row>
    <row r="721" ht="15.75" customHeight="1">
      <c r="A721" s="213"/>
      <c r="B721" s="213"/>
      <c r="C721" s="1101"/>
      <c r="D721" s="1101"/>
      <c r="E721" s="1101"/>
      <c r="F721" s="1101"/>
      <c r="G721" s="1101"/>
      <c r="H721" s="1101"/>
      <c r="I721" s="1101"/>
      <c r="J721" s="1101"/>
      <c r="K721" s="1101"/>
      <c r="L721" s="1101"/>
      <c r="M721" s="1101"/>
      <c r="N721" s="1101"/>
      <c r="O721" s="1101"/>
      <c r="P721" s="1101"/>
      <c r="Q721" s="1101"/>
      <c r="R721" s="1101"/>
      <c r="S721" s="1101"/>
      <c r="T721" s="1101"/>
      <c r="U721" s="1101"/>
      <c r="V721" s="1101"/>
      <c r="W721" s="1101"/>
      <c r="X721" s="1101"/>
      <c r="Y721" s="1102"/>
      <c r="Z721" s="1102"/>
      <c r="AA721" s="1101"/>
    </row>
    <row r="722" ht="15.75" customHeight="1">
      <c r="A722" s="213"/>
      <c r="B722" s="213"/>
      <c r="C722" s="1101"/>
      <c r="D722" s="1101"/>
      <c r="E722" s="1101"/>
      <c r="F722" s="1101"/>
      <c r="G722" s="1101"/>
      <c r="H722" s="1101"/>
      <c r="I722" s="1101"/>
      <c r="J722" s="1101"/>
      <c r="K722" s="1101"/>
      <c r="L722" s="1101"/>
      <c r="M722" s="1101"/>
      <c r="N722" s="1101"/>
      <c r="O722" s="1101"/>
      <c r="P722" s="1101"/>
      <c r="Q722" s="1101"/>
      <c r="R722" s="1101"/>
      <c r="S722" s="1101"/>
      <c r="T722" s="1101"/>
      <c r="U722" s="1101"/>
      <c r="V722" s="1101"/>
      <c r="W722" s="1101"/>
      <c r="X722" s="1101"/>
      <c r="Y722" s="1102"/>
      <c r="Z722" s="1102"/>
      <c r="AA722" s="1101"/>
    </row>
    <row r="723" ht="15.75" customHeight="1">
      <c r="A723" s="213"/>
      <c r="B723" s="213"/>
      <c r="C723" s="1101"/>
      <c r="D723" s="1101"/>
      <c r="E723" s="1101"/>
      <c r="F723" s="1101"/>
      <c r="G723" s="1101"/>
      <c r="H723" s="1101"/>
      <c r="I723" s="1101"/>
      <c r="J723" s="1101"/>
      <c r="K723" s="1101"/>
      <c r="L723" s="1101"/>
      <c r="M723" s="1101"/>
      <c r="N723" s="1101"/>
      <c r="O723" s="1101"/>
      <c r="P723" s="1101"/>
      <c r="Q723" s="1101"/>
      <c r="R723" s="1101"/>
      <c r="S723" s="1101"/>
      <c r="T723" s="1101"/>
      <c r="U723" s="1101"/>
      <c r="V723" s="1101"/>
      <c r="W723" s="1101"/>
      <c r="X723" s="1101"/>
      <c r="Y723" s="1102"/>
      <c r="Z723" s="1102"/>
      <c r="AA723" s="1101"/>
    </row>
    <row r="724" ht="15.75" customHeight="1">
      <c r="A724" s="213"/>
      <c r="B724" s="213"/>
      <c r="C724" s="1101"/>
      <c r="D724" s="1101"/>
      <c r="E724" s="1101"/>
      <c r="F724" s="1101"/>
      <c r="G724" s="1101"/>
      <c r="H724" s="1101"/>
      <c r="I724" s="1101"/>
      <c r="J724" s="1101"/>
      <c r="K724" s="1101"/>
      <c r="L724" s="1101"/>
      <c r="M724" s="1101"/>
      <c r="N724" s="1101"/>
      <c r="O724" s="1101"/>
      <c r="P724" s="1101"/>
      <c r="Q724" s="1101"/>
      <c r="R724" s="1101"/>
      <c r="S724" s="1101"/>
      <c r="T724" s="1101"/>
      <c r="U724" s="1101"/>
      <c r="V724" s="1101"/>
      <c r="W724" s="1101"/>
      <c r="X724" s="1101"/>
      <c r="Y724" s="1102"/>
      <c r="Z724" s="1102"/>
      <c r="AA724" s="1101"/>
    </row>
    <row r="725" ht="15.75" customHeight="1">
      <c r="A725" s="213"/>
      <c r="B725" s="213"/>
      <c r="C725" s="1101"/>
      <c r="D725" s="1101"/>
      <c r="E725" s="1101"/>
      <c r="F725" s="1101"/>
      <c r="G725" s="1101"/>
      <c r="H725" s="1101"/>
      <c r="I725" s="1101"/>
      <c r="J725" s="1101"/>
      <c r="K725" s="1101"/>
      <c r="L725" s="1101"/>
      <c r="M725" s="1101"/>
      <c r="N725" s="1101"/>
      <c r="O725" s="1101"/>
      <c r="P725" s="1101"/>
      <c r="Q725" s="1101"/>
      <c r="R725" s="1101"/>
      <c r="S725" s="1101"/>
      <c r="T725" s="1101"/>
      <c r="U725" s="1101"/>
      <c r="V725" s="1101"/>
      <c r="W725" s="1101"/>
      <c r="X725" s="1101"/>
      <c r="Y725" s="1102"/>
      <c r="Z725" s="1102"/>
      <c r="AA725" s="1101"/>
    </row>
    <row r="726" ht="15.75" customHeight="1">
      <c r="A726" s="213"/>
      <c r="B726" s="213"/>
      <c r="C726" s="1101"/>
      <c r="D726" s="1101"/>
      <c r="E726" s="1101"/>
      <c r="F726" s="1101"/>
      <c r="G726" s="1101"/>
      <c r="H726" s="1101"/>
      <c r="I726" s="1101"/>
      <c r="J726" s="1101"/>
      <c r="K726" s="1101"/>
      <c r="L726" s="1101"/>
      <c r="M726" s="1101"/>
      <c r="N726" s="1101"/>
      <c r="O726" s="1101"/>
      <c r="P726" s="1101"/>
      <c r="Q726" s="1101"/>
      <c r="R726" s="1101"/>
      <c r="S726" s="1101"/>
      <c r="T726" s="1101"/>
      <c r="U726" s="1101"/>
      <c r="V726" s="1101"/>
      <c r="W726" s="1101"/>
      <c r="X726" s="1101"/>
      <c r="Y726" s="1102"/>
      <c r="Z726" s="1102"/>
      <c r="AA726" s="1101"/>
    </row>
    <row r="727" ht="15.75" customHeight="1">
      <c r="A727" s="213"/>
      <c r="B727" s="213"/>
      <c r="C727" s="1101"/>
      <c r="D727" s="1101"/>
      <c r="E727" s="1101"/>
      <c r="F727" s="1101"/>
      <c r="G727" s="1101"/>
      <c r="H727" s="1101"/>
      <c r="I727" s="1101"/>
      <c r="J727" s="1101"/>
      <c r="K727" s="1101"/>
      <c r="L727" s="1101"/>
      <c r="M727" s="1101"/>
      <c r="N727" s="1101"/>
      <c r="O727" s="1101"/>
      <c r="P727" s="1101"/>
      <c r="Q727" s="1101"/>
      <c r="R727" s="1101"/>
      <c r="S727" s="1101"/>
      <c r="T727" s="1101"/>
      <c r="U727" s="1101"/>
      <c r="V727" s="1101"/>
      <c r="W727" s="1101"/>
      <c r="X727" s="1101"/>
      <c r="Y727" s="1102"/>
      <c r="Z727" s="1102"/>
      <c r="AA727" s="1101"/>
    </row>
    <row r="728" ht="15.75" customHeight="1">
      <c r="A728" s="213"/>
      <c r="B728" s="213"/>
      <c r="C728" s="1101"/>
      <c r="D728" s="1101"/>
      <c r="E728" s="1101"/>
      <c r="F728" s="1101"/>
      <c r="G728" s="1101"/>
      <c r="H728" s="1101"/>
      <c r="I728" s="1101"/>
      <c r="J728" s="1101"/>
      <c r="K728" s="1101"/>
      <c r="L728" s="1101"/>
      <c r="M728" s="1101"/>
      <c r="N728" s="1101"/>
      <c r="O728" s="1101"/>
      <c r="P728" s="1101"/>
      <c r="Q728" s="1101"/>
      <c r="R728" s="1101"/>
      <c r="S728" s="1101"/>
      <c r="T728" s="1101"/>
      <c r="U728" s="1101"/>
      <c r="V728" s="1101"/>
      <c r="W728" s="1101"/>
      <c r="X728" s="1101"/>
      <c r="Y728" s="1102"/>
      <c r="Z728" s="1102"/>
      <c r="AA728" s="1101"/>
    </row>
    <row r="729" ht="15.75" customHeight="1">
      <c r="A729" s="213"/>
      <c r="B729" s="213"/>
      <c r="C729" s="1101"/>
      <c r="D729" s="1101"/>
      <c r="E729" s="1101"/>
      <c r="F729" s="1101"/>
      <c r="G729" s="1101"/>
      <c r="H729" s="1101"/>
      <c r="I729" s="1101"/>
      <c r="J729" s="1101"/>
      <c r="K729" s="1101"/>
      <c r="L729" s="1101"/>
      <c r="M729" s="1101"/>
      <c r="N729" s="1101"/>
      <c r="O729" s="1101"/>
      <c r="P729" s="1101"/>
      <c r="Q729" s="1101"/>
      <c r="R729" s="1101"/>
      <c r="S729" s="1101"/>
      <c r="T729" s="1101"/>
      <c r="U729" s="1101"/>
      <c r="V729" s="1101"/>
      <c r="W729" s="1101"/>
      <c r="X729" s="1101"/>
      <c r="Y729" s="1102"/>
      <c r="Z729" s="1102"/>
      <c r="AA729" s="1101"/>
    </row>
    <row r="730" ht="15.75" customHeight="1">
      <c r="A730" s="213"/>
      <c r="B730" s="213"/>
      <c r="C730" s="1101"/>
      <c r="D730" s="1101"/>
      <c r="E730" s="1101"/>
      <c r="F730" s="1101"/>
      <c r="G730" s="1101"/>
      <c r="H730" s="1101"/>
      <c r="I730" s="1101"/>
      <c r="J730" s="1101"/>
      <c r="K730" s="1101"/>
      <c r="L730" s="1101"/>
      <c r="M730" s="1101"/>
      <c r="N730" s="1101"/>
      <c r="O730" s="1101"/>
      <c r="P730" s="1101"/>
      <c r="Q730" s="1101"/>
      <c r="R730" s="1101"/>
      <c r="S730" s="1101"/>
      <c r="T730" s="1101"/>
      <c r="U730" s="1101"/>
      <c r="V730" s="1101"/>
      <c r="W730" s="1101"/>
      <c r="X730" s="1101"/>
      <c r="Y730" s="1102"/>
      <c r="Z730" s="1102"/>
      <c r="AA730" s="1101"/>
    </row>
    <row r="731" ht="15.75" customHeight="1">
      <c r="A731" s="213"/>
      <c r="B731" s="213"/>
      <c r="C731" s="1101"/>
      <c r="D731" s="1101"/>
      <c r="E731" s="1101"/>
      <c r="F731" s="1101"/>
      <c r="G731" s="1101"/>
      <c r="H731" s="1101"/>
      <c r="I731" s="1101"/>
      <c r="J731" s="1101"/>
      <c r="K731" s="1101"/>
      <c r="L731" s="1101"/>
      <c r="M731" s="1101"/>
      <c r="N731" s="1101"/>
      <c r="O731" s="1101"/>
      <c r="P731" s="1101"/>
      <c r="Q731" s="1101"/>
      <c r="R731" s="1101"/>
      <c r="S731" s="1101"/>
      <c r="T731" s="1101"/>
      <c r="U731" s="1101"/>
      <c r="V731" s="1101"/>
      <c r="W731" s="1101"/>
      <c r="X731" s="1101"/>
      <c r="Y731" s="1102"/>
      <c r="Z731" s="1102"/>
      <c r="AA731" s="1101"/>
    </row>
    <row r="732" ht="15.75" customHeight="1">
      <c r="A732" s="213"/>
      <c r="B732" s="213"/>
      <c r="C732" s="1101"/>
      <c r="D732" s="1101"/>
      <c r="E732" s="1101"/>
      <c r="F732" s="1101"/>
      <c r="G732" s="1101"/>
      <c r="H732" s="1101"/>
      <c r="I732" s="1101"/>
      <c r="J732" s="1101"/>
      <c r="K732" s="1101"/>
      <c r="L732" s="1101"/>
      <c r="M732" s="1101"/>
      <c r="N732" s="1101"/>
      <c r="O732" s="1101"/>
      <c r="P732" s="1101"/>
      <c r="Q732" s="1101"/>
      <c r="R732" s="1101"/>
      <c r="S732" s="1101"/>
      <c r="T732" s="1101"/>
      <c r="U732" s="1101"/>
      <c r="V732" s="1101"/>
      <c r="W732" s="1101"/>
      <c r="X732" s="1101"/>
      <c r="Y732" s="1102"/>
      <c r="Z732" s="1102"/>
      <c r="AA732" s="1101"/>
    </row>
    <row r="733" ht="15.75" customHeight="1">
      <c r="A733" s="213"/>
      <c r="B733" s="213"/>
      <c r="C733" s="1101"/>
      <c r="D733" s="1101"/>
      <c r="E733" s="1101"/>
      <c r="F733" s="1101"/>
      <c r="G733" s="1101"/>
      <c r="H733" s="1101"/>
      <c r="I733" s="1101"/>
      <c r="J733" s="1101"/>
      <c r="K733" s="1101"/>
      <c r="L733" s="1101"/>
      <c r="M733" s="1101"/>
      <c r="N733" s="1101"/>
      <c r="O733" s="1101"/>
      <c r="P733" s="1101"/>
      <c r="Q733" s="1101"/>
      <c r="R733" s="1101"/>
      <c r="S733" s="1101"/>
      <c r="T733" s="1101"/>
      <c r="U733" s="1101"/>
      <c r="V733" s="1101"/>
      <c r="W733" s="1101"/>
      <c r="X733" s="1101"/>
      <c r="Y733" s="1102"/>
      <c r="Z733" s="1102"/>
      <c r="AA733" s="1101"/>
    </row>
    <row r="734" ht="15.75" customHeight="1">
      <c r="A734" s="213"/>
      <c r="B734" s="213"/>
      <c r="C734" s="1101"/>
      <c r="D734" s="1101"/>
      <c r="E734" s="1101"/>
      <c r="F734" s="1101"/>
      <c r="G734" s="1101"/>
      <c r="H734" s="1101"/>
      <c r="I734" s="1101"/>
      <c r="J734" s="1101"/>
      <c r="K734" s="1101"/>
      <c r="L734" s="1101"/>
      <c r="M734" s="1101"/>
      <c r="N734" s="1101"/>
      <c r="O734" s="1101"/>
      <c r="P734" s="1101"/>
      <c r="Q734" s="1101"/>
      <c r="R734" s="1101"/>
      <c r="S734" s="1101"/>
      <c r="T734" s="1101"/>
      <c r="U734" s="1101"/>
      <c r="V734" s="1101"/>
      <c r="W734" s="1101"/>
      <c r="X734" s="1101"/>
      <c r="Y734" s="1102"/>
      <c r="Z734" s="1102"/>
      <c r="AA734" s="1101"/>
    </row>
    <row r="735" ht="15.75" customHeight="1">
      <c r="A735" s="213"/>
      <c r="B735" s="213"/>
      <c r="C735" s="1101"/>
      <c r="D735" s="1101"/>
      <c r="E735" s="1101"/>
      <c r="F735" s="1101"/>
      <c r="G735" s="1101"/>
      <c r="H735" s="1101"/>
      <c r="I735" s="1101"/>
      <c r="J735" s="1101"/>
      <c r="K735" s="1101"/>
      <c r="L735" s="1101"/>
      <c r="M735" s="1101"/>
      <c r="N735" s="1101"/>
      <c r="O735" s="1101"/>
      <c r="P735" s="1101"/>
      <c r="Q735" s="1101"/>
      <c r="R735" s="1101"/>
      <c r="S735" s="1101"/>
      <c r="T735" s="1101"/>
      <c r="U735" s="1101"/>
      <c r="V735" s="1101"/>
      <c r="W735" s="1101"/>
      <c r="X735" s="1101"/>
      <c r="Y735" s="1102"/>
      <c r="Z735" s="1102"/>
      <c r="AA735" s="1101"/>
    </row>
    <row r="736" ht="15.75" customHeight="1">
      <c r="A736" s="213"/>
      <c r="B736" s="213"/>
      <c r="C736" s="1101"/>
      <c r="D736" s="1101"/>
      <c r="E736" s="1101"/>
      <c r="F736" s="1101"/>
      <c r="G736" s="1101"/>
      <c r="H736" s="1101"/>
      <c r="I736" s="1101"/>
      <c r="J736" s="1101"/>
      <c r="K736" s="1101"/>
      <c r="L736" s="1101"/>
      <c r="M736" s="1101"/>
      <c r="N736" s="1101"/>
      <c r="O736" s="1101"/>
      <c r="P736" s="1101"/>
      <c r="Q736" s="1101"/>
      <c r="R736" s="1101"/>
      <c r="S736" s="1101"/>
      <c r="T736" s="1101"/>
      <c r="U736" s="1101"/>
      <c r="V736" s="1101"/>
      <c r="W736" s="1101"/>
      <c r="X736" s="1101"/>
      <c r="Y736" s="1102"/>
      <c r="Z736" s="1102"/>
      <c r="AA736" s="1101"/>
    </row>
    <row r="737" ht="15.75" customHeight="1">
      <c r="A737" s="213"/>
      <c r="B737" s="213"/>
      <c r="C737" s="1101"/>
      <c r="D737" s="1101"/>
      <c r="E737" s="1101"/>
      <c r="F737" s="1101"/>
      <c r="G737" s="1101"/>
      <c r="H737" s="1101"/>
      <c r="I737" s="1101"/>
      <c r="J737" s="1101"/>
      <c r="K737" s="1101"/>
      <c r="L737" s="1101"/>
      <c r="M737" s="1101"/>
      <c r="N737" s="1101"/>
      <c r="O737" s="1101"/>
      <c r="P737" s="1101"/>
      <c r="Q737" s="1101"/>
      <c r="R737" s="1101"/>
      <c r="S737" s="1101"/>
      <c r="T737" s="1101"/>
      <c r="U737" s="1101"/>
      <c r="V737" s="1101"/>
      <c r="W737" s="1101"/>
      <c r="X737" s="1101"/>
      <c r="Y737" s="1102"/>
      <c r="Z737" s="1102"/>
      <c r="AA737" s="1101"/>
    </row>
    <row r="738" ht="15.75" customHeight="1">
      <c r="A738" s="213"/>
      <c r="B738" s="213"/>
      <c r="C738" s="1101"/>
      <c r="D738" s="1101"/>
      <c r="E738" s="1101"/>
      <c r="F738" s="1101"/>
      <c r="G738" s="1101"/>
      <c r="H738" s="1101"/>
      <c r="I738" s="1101"/>
      <c r="J738" s="1101"/>
      <c r="K738" s="1101"/>
      <c r="L738" s="1101"/>
      <c r="M738" s="1101"/>
      <c r="N738" s="1101"/>
      <c r="O738" s="1101"/>
      <c r="P738" s="1101"/>
      <c r="Q738" s="1101"/>
      <c r="R738" s="1101"/>
      <c r="S738" s="1101"/>
      <c r="T738" s="1101"/>
      <c r="U738" s="1101"/>
      <c r="V738" s="1101"/>
      <c r="W738" s="1101"/>
      <c r="X738" s="1101"/>
      <c r="Y738" s="1102"/>
      <c r="Z738" s="1102"/>
      <c r="AA738" s="1101"/>
    </row>
    <row r="739" ht="15.75" customHeight="1">
      <c r="A739" s="213"/>
      <c r="B739" s="213"/>
      <c r="C739" s="1101"/>
      <c r="D739" s="1101"/>
      <c r="E739" s="1101"/>
      <c r="F739" s="1101"/>
      <c r="G739" s="1101"/>
      <c r="H739" s="1101"/>
      <c r="I739" s="1101"/>
      <c r="J739" s="1101"/>
      <c r="K739" s="1101"/>
      <c r="L739" s="1101"/>
      <c r="M739" s="1101"/>
      <c r="N739" s="1101"/>
      <c r="O739" s="1101"/>
      <c r="P739" s="1101"/>
      <c r="Q739" s="1101"/>
      <c r="R739" s="1101"/>
      <c r="S739" s="1101"/>
      <c r="T739" s="1101"/>
      <c r="U739" s="1101"/>
      <c r="V739" s="1101"/>
      <c r="W739" s="1101"/>
      <c r="X739" s="1101"/>
      <c r="Y739" s="1102"/>
      <c r="Z739" s="1102"/>
      <c r="AA739" s="1101"/>
    </row>
    <row r="740" ht="15.75" customHeight="1">
      <c r="A740" s="213"/>
      <c r="B740" s="213"/>
      <c r="C740" s="1101"/>
      <c r="D740" s="1101"/>
      <c r="E740" s="1101"/>
      <c r="F740" s="1101"/>
      <c r="G740" s="1101"/>
      <c r="H740" s="1101"/>
      <c r="I740" s="1101"/>
      <c r="J740" s="1101"/>
      <c r="K740" s="1101"/>
      <c r="L740" s="1101"/>
      <c r="M740" s="1101"/>
      <c r="N740" s="1101"/>
      <c r="O740" s="1101"/>
      <c r="P740" s="1101"/>
      <c r="Q740" s="1101"/>
      <c r="R740" s="1101"/>
      <c r="S740" s="1101"/>
      <c r="T740" s="1101"/>
      <c r="U740" s="1101"/>
      <c r="V740" s="1101"/>
      <c r="W740" s="1101"/>
      <c r="X740" s="1101"/>
      <c r="Y740" s="1102"/>
      <c r="Z740" s="1102"/>
      <c r="AA740" s="1101"/>
    </row>
    <row r="741" ht="15.75" customHeight="1">
      <c r="A741" s="213"/>
      <c r="B741" s="213"/>
      <c r="C741" s="1101"/>
      <c r="D741" s="1101"/>
      <c r="E741" s="1101"/>
      <c r="F741" s="1101"/>
      <c r="G741" s="1101"/>
      <c r="H741" s="1101"/>
      <c r="I741" s="1101"/>
      <c r="J741" s="1101"/>
      <c r="K741" s="1101"/>
      <c r="L741" s="1101"/>
      <c r="M741" s="1101"/>
      <c r="N741" s="1101"/>
      <c r="O741" s="1101"/>
      <c r="P741" s="1101"/>
      <c r="Q741" s="1101"/>
      <c r="R741" s="1101"/>
      <c r="S741" s="1101"/>
      <c r="T741" s="1101"/>
      <c r="U741" s="1101"/>
      <c r="V741" s="1101"/>
      <c r="W741" s="1101"/>
      <c r="X741" s="1101"/>
      <c r="Y741" s="1102"/>
      <c r="Z741" s="1102"/>
      <c r="AA741" s="1101"/>
    </row>
    <row r="742" ht="15.75" customHeight="1">
      <c r="A742" s="213"/>
      <c r="B742" s="213"/>
      <c r="C742" s="1101"/>
      <c r="D742" s="1101"/>
      <c r="E742" s="1101"/>
      <c r="F742" s="1101"/>
      <c r="G742" s="1101"/>
      <c r="H742" s="1101"/>
      <c r="I742" s="1101"/>
      <c r="J742" s="1101"/>
      <c r="K742" s="1101"/>
      <c r="L742" s="1101"/>
      <c r="M742" s="1101"/>
      <c r="N742" s="1101"/>
      <c r="O742" s="1101"/>
      <c r="P742" s="1101"/>
      <c r="Q742" s="1101"/>
      <c r="R742" s="1101"/>
      <c r="S742" s="1101"/>
      <c r="T742" s="1101"/>
      <c r="U742" s="1101"/>
      <c r="V742" s="1101"/>
      <c r="W742" s="1101"/>
      <c r="X742" s="1101"/>
      <c r="Y742" s="1102"/>
      <c r="Z742" s="1102"/>
      <c r="AA742" s="1101"/>
    </row>
    <row r="743" ht="15.75" customHeight="1">
      <c r="A743" s="213"/>
      <c r="B743" s="213"/>
      <c r="C743" s="1101"/>
      <c r="D743" s="1101"/>
      <c r="E743" s="1101"/>
      <c r="F743" s="1101"/>
      <c r="G743" s="1101"/>
      <c r="H743" s="1101"/>
      <c r="I743" s="1101"/>
      <c r="J743" s="1101"/>
      <c r="K743" s="1101"/>
      <c r="L743" s="1101"/>
      <c r="M743" s="1101"/>
      <c r="N743" s="1101"/>
      <c r="O743" s="1101"/>
      <c r="P743" s="1101"/>
      <c r="Q743" s="1101"/>
      <c r="R743" s="1101"/>
      <c r="S743" s="1101"/>
      <c r="T743" s="1101"/>
      <c r="U743" s="1101"/>
      <c r="V743" s="1101"/>
      <c r="W743" s="1101"/>
      <c r="X743" s="1101"/>
      <c r="Y743" s="1102"/>
      <c r="Z743" s="1102"/>
      <c r="AA743" s="1101"/>
    </row>
    <row r="744" ht="15.75" customHeight="1">
      <c r="A744" s="213"/>
      <c r="B744" s="213"/>
      <c r="C744" s="1101"/>
      <c r="D744" s="1101"/>
      <c r="E744" s="1101"/>
      <c r="F744" s="1101"/>
      <c r="G744" s="1101"/>
      <c r="H744" s="1101"/>
      <c r="I744" s="1101"/>
      <c r="J744" s="1101"/>
      <c r="K744" s="1101"/>
      <c r="L744" s="1101"/>
      <c r="M744" s="1101"/>
      <c r="N744" s="1101"/>
      <c r="O744" s="1101"/>
      <c r="P744" s="1101"/>
      <c r="Q744" s="1101"/>
      <c r="R744" s="1101"/>
      <c r="S744" s="1101"/>
      <c r="T744" s="1101"/>
      <c r="U744" s="1101"/>
      <c r="V744" s="1101"/>
      <c r="W744" s="1101"/>
      <c r="X744" s="1101"/>
      <c r="Y744" s="1102"/>
      <c r="Z744" s="1102"/>
      <c r="AA744" s="1101"/>
    </row>
    <row r="745" ht="15.75" customHeight="1">
      <c r="A745" s="213"/>
      <c r="B745" s="213"/>
      <c r="C745" s="1101"/>
      <c r="D745" s="1101"/>
      <c r="E745" s="1101"/>
      <c r="F745" s="1101"/>
      <c r="G745" s="1101"/>
      <c r="H745" s="1101"/>
      <c r="I745" s="1101"/>
      <c r="J745" s="1101"/>
      <c r="K745" s="1101"/>
      <c r="L745" s="1101"/>
      <c r="M745" s="1101"/>
      <c r="N745" s="1101"/>
      <c r="O745" s="1101"/>
      <c r="P745" s="1101"/>
      <c r="Q745" s="1101"/>
      <c r="R745" s="1101"/>
      <c r="S745" s="1101"/>
      <c r="T745" s="1101"/>
      <c r="U745" s="1101"/>
      <c r="V745" s="1101"/>
      <c r="W745" s="1101"/>
      <c r="X745" s="1101"/>
      <c r="Y745" s="1102"/>
      <c r="Z745" s="1102"/>
      <c r="AA745" s="1101"/>
    </row>
    <row r="746" ht="15.75" customHeight="1">
      <c r="A746" s="213"/>
      <c r="B746" s="213"/>
      <c r="C746" s="1101"/>
      <c r="D746" s="1101"/>
      <c r="E746" s="1101"/>
      <c r="F746" s="1101"/>
      <c r="G746" s="1101"/>
      <c r="H746" s="1101"/>
      <c r="I746" s="1101"/>
      <c r="J746" s="1101"/>
      <c r="K746" s="1101"/>
      <c r="L746" s="1101"/>
      <c r="M746" s="1101"/>
      <c r="N746" s="1101"/>
      <c r="O746" s="1101"/>
      <c r="P746" s="1101"/>
      <c r="Q746" s="1101"/>
      <c r="R746" s="1101"/>
      <c r="S746" s="1101"/>
      <c r="T746" s="1101"/>
      <c r="U746" s="1101"/>
      <c r="V746" s="1101"/>
      <c r="W746" s="1101"/>
      <c r="X746" s="1101"/>
      <c r="Y746" s="1102"/>
      <c r="Z746" s="1102"/>
      <c r="AA746" s="1101"/>
    </row>
    <row r="747" ht="15.75" customHeight="1">
      <c r="A747" s="213"/>
      <c r="B747" s="213"/>
      <c r="C747" s="1101"/>
      <c r="D747" s="1101"/>
      <c r="E747" s="1101"/>
      <c r="F747" s="1101"/>
      <c r="G747" s="1101"/>
      <c r="H747" s="1101"/>
      <c r="I747" s="1101"/>
      <c r="J747" s="1101"/>
      <c r="K747" s="1101"/>
      <c r="L747" s="1101"/>
      <c r="M747" s="1101"/>
      <c r="N747" s="1101"/>
      <c r="O747" s="1101"/>
      <c r="P747" s="1101"/>
      <c r="Q747" s="1101"/>
      <c r="R747" s="1101"/>
      <c r="S747" s="1101"/>
      <c r="T747" s="1101"/>
      <c r="U747" s="1101"/>
      <c r="V747" s="1101"/>
      <c r="W747" s="1101"/>
      <c r="X747" s="1101"/>
      <c r="Y747" s="1102"/>
      <c r="Z747" s="1102"/>
      <c r="AA747" s="1101"/>
    </row>
    <row r="748" ht="15.75" customHeight="1">
      <c r="A748" s="213"/>
      <c r="B748" s="213"/>
      <c r="C748" s="1101"/>
      <c r="D748" s="1101"/>
      <c r="E748" s="1101"/>
      <c r="F748" s="1101"/>
      <c r="G748" s="1101"/>
      <c r="H748" s="1101"/>
      <c r="I748" s="1101"/>
      <c r="J748" s="1101"/>
      <c r="K748" s="1101"/>
      <c r="L748" s="1101"/>
      <c r="M748" s="1101"/>
      <c r="N748" s="1101"/>
      <c r="O748" s="1101"/>
      <c r="P748" s="1101"/>
      <c r="Q748" s="1101"/>
      <c r="R748" s="1101"/>
      <c r="S748" s="1101"/>
      <c r="T748" s="1101"/>
      <c r="U748" s="1101"/>
      <c r="V748" s="1101"/>
      <c r="W748" s="1101"/>
      <c r="X748" s="1101"/>
      <c r="Y748" s="1102"/>
      <c r="Z748" s="1102"/>
      <c r="AA748" s="1101"/>
    </row>
    <row r="749" ht="15.75" customHeight="1">
      <c r="A749" s="213"/>
      <c r="B749" s="213"/>
      <c r="C749" s="1101"/>
      <c r="D749" s="1101"/>
      <c r="E749" s="1101"/>
      <c r="F749" s="1101"/>
      <c r="G749" s="1101"/>
      <c r="H749" s="1101"/>
      <c r="I749" s="1101"/>
      <c r="J749" s="1101"/>
      <c r="K749" s="1101"/>
      <c r="L749" s="1101"/>
      <c r="M749" s="1101"/>
      <c r="N749" s="1101"/>
      <c r="O749" s="1101"/>
      <c r="P749" s="1101"/>
      <c r="Q749" s="1101"/>
      <c r="R749" s="1101"/>
      <c r="S749" s="1101"/>
      <c r="T749" s="1101"/>
      <c r="U749" s="1101"/>
      <c r="V749" s="1101"/>
      <c r="W749" s="1101"/>
      <c r="X749" s="1101"/>
      <c r="Y749" s="1102"/>
      <c r="Z749" s="1102"/>
      <c r="AA749" s="1101"/>
    </row>
    <row r="750" ht="15.75" customHeight="1">
      <c r="A750" s="213"/>
      <c r="B750" s="213"/>
      <c r="C750" s="1101"/>
      <c r="D750" s="1101"/>
      <c r="E750" s="1101"/>
      <c r="F750" s="1101"/>
      <c r="G750" s="1101"/>
      <c r="H750" s="1101"/>
      <c r="I750" s="1101"/>
      <c r="J750" s="1101"/>
      <c r="K750" s="1101"/>
      <c r="L750" s="1101"/>
      <c r="M750" s="1101"/>
      <c r="N750" s="1101"/>
      <c r="O750" s="1101"/>
      <c r="P750" s="1101"/>
      <c r="Q750" s="1101"/>
      <c r="R750" s="1101"/>
      <c r="S750" s="1101"/>
      <c r="T750" s="1101"/>
      <c r="U750" s="1101"/>
      <c r="V750" s="1101"/>
      <c r="W750" s="1101"/>
      <c r="X750" s="1101"/>
      <c r="Y750" s="1102"/>
      <c r="Z750" s="1102"/>
      <c r="AA750" s="1101"/>
    </row>
    <row r="751" ht="15.75" customHeight="1">
      <c r="A751" s="213"/>
      <c r="B751" s="213"/>
      <c r="C751" s="1101"/>
      <c r="D751" s="1101"/>
      <c r="E751" s="1101"/>
      <c r="F751" s="1101"/>
      <c r="G751" s="1101"/>
      <c r="H751" s="1101"/>
      <c r="I751" s="1101"/>
      <c r="J751" s="1101"/>
      <c r="K751" s="1101"/>
      <c r="L751" s="1101"/>
      <c r="M751" s="1101"/>
      <c r="N751" s="1101"/>
      <c r="O751" s="1101"/>
      <c r="P751" s="1101"/>
      <c r="Q751" s="1101"/>
      <c r="R751" s="1101"/>
      <c r="S751" s="1101"/>
      <c r="T751" s="1101"/>
      <c r="U751" s="1101"/>
      <c r="V751" s="1101"/>
      <c r="W751" s="1101"/>
      <c r="X751" s="1101"/>
      <c r="Y751" s="1102"/>
      <c r="Z751" s="1102"/>
      <c r="AA751" s="1101"/>
    </row>
    <row r="752" ht="15.75" customHeight="1">
      <c r="A752" s="213"/>
      <c r="B752" s="213"/>
      <c r="C752" s="1101"/>
      <c r="D752" s="1101"/>
      <c r="E752" s="1101"/>
      <c r="F752" s="1101"/>
      <c r="G752" s="1101"/>
      <c r="H752" s="1101"/>
      <c r="I752" s="1101"/>
      <c r="J752" s="1101"/>
      <c r="K752" s="1101"/>
      <c r="L752" s="1101"/>
      <c r="M752" s="1101"/>
      <c r="N752" s="1101"/>
      <c r="O752" s="1101"/>
      <c r="P752" s="1101"/>
      <c r="Q752" s="1101"/>
      <c r="R752" s="1101"/>
      <c r="S752" s="1101"/>
      <c r="T752" s="1101"/>
      <c r="U752" s="1101"/>
      <c r="V752" s="1101"/>
      <c r="W752" s="1101"/>
      <c r="X752" s="1101"/>
      <c r="Y752" s="1102"/>
      <c r="Z752" s="1102"/>
      <c r="AA752" s="1101"/>
    </row>
    <row r="753" ht="15.75" customHeight="1">
      <c r="A753" s="213"/>
      <c r="B753" s="213"/>
      <c r="C753" s="1101"/>
      <c r="D753" s="1101"/>
      <c r="E753" s="1101"/>
      <c r="F753" s="1101"/>
      <c r="G753" s="1101"/>
      <c r="H753" s="1101"/>
      <c r="I753" s="1101"/>
      <c r="J753" s="1101"/>
      <c r="K753" s="1101"/>
      <c r="L753" s="1101"/>
      <c r="M753" s="1101"/>
      <c r="N753" s="1101"/>
      <c r="O753" s="1101"/>
      <c r="P753" s="1101"/>
      <c r="Q753" s="1101"/>
      <c r="R753" s="1101"/>
      <c r="S753" s="1101"/>
      <c r="T753" s="1101"/>
      <c r="U753" s="1101"/>
      <c r="V753" s="1101"/>
      <c r="W753" s="1101"/>
      <c r="X753" s="1101"/>
      <c r="Y753" s="1102"/>
      <c r="Z753" s="1102"/>
      <c r="AA753" s="1101"/>
    </row>
    <row r="754" ht="15.75" customHeight="1">
      <c r="A754" s="213"/>
      <c r="B754" s="213"/>
      <c r="C754" s="1101"/>
      <c r="D754" s="1101"/>
      <c r="E754" s="1101"/>
      <c r="F754" s="1101"/>
      <c r="G754" s="1101"/>
      <c r="H754" s="1101"/>
      <c r="I754" s="1101"/>
      <c r="J754" s="1101"/>
      <c r="K754" s="1101"/>
      <c r="L754" s="1101"/>
      <c r="M754" s="1101"/>
      <c r="N754" s="1101"/>
      <c r="O754" s="1101"/>
      <c r="P754" s="1101"/>
      <c r="Q754" s="1101"/>
      <c r="R754" s="1101"/>
      <c r="S754" s="1101"/>
      <c r="T754" s="1101"/>
      <c r="U754" s="1101"/>
      <c r="V754" s="1101"/>
      <c r="W754" s="1101"/>
      <c r="X754" s="1101"/>
      <c r="Y754" s="1102"/>
      <c r="Z754" s="1102"/>
      <c r="AA754" s="1101"/>
    </row>
    <row r="755" ht="15.75" customHeight="1">
      <c r="A755" s="213"/>
      <c r="B755" s="213"/>
      <c r="C755" s="1101"/>
      <c r="D755" s="1101"/>
      <c r="E755" s="1101"/>
      <c r="F755" s="1101"/>
      <c r="G755" s="1101"/>
      <c r="H755" s="1101"/>
      <c r="I755" s="1101"/>
      <c r="J755" s="1101"/>
      <c r="K755" s="1101"/>
      <c r="L755" s="1101"/>
      <c r="M755" s="1101"/>
      <c r="N755" s="1101"/>
      <c r="O755" s="1101"/>
      <c r="P755" s="1101"/>
      <c r="Q755" s="1101"/>
      <c r="R755" s="1101"/>
      <c r="S755" s="1101"/>
      <c r="T755" s="1101"/>
      <c r="U755" s="1101"/>
      <c r="V755" s="1101"/>
      <c r="W755" s="1101"/>
      <c r="X755" s="1101"/>
      <c r="Y755" s="1102"/>
      <c r="Z755" s="1102"/>
      <c r="AA755" s="1101"/>
    </row>
    <row r="756" ht="15.75" customHeight="1">
      <c r="A756" s="213"/>
      <c r="B756" s="213"/>
      <c r="C756" s="1101"/>
      <c r="D756" s="1101"/>
      <c r="E756" s="1101"/>
      <c r="F756" s="1101"/>
      <c r="G756" s="1101"/>
      <c r="H756" s="1101"/>
      <c r="I756" s="1101"/>
      <c r="J756" s="1101"/>
      <c r="K756" s="1101"/>
      <c r="L756" s="1101"/>
      <c r="M756" s="1101"/>
      <c r="N756" s="1101"/>
      <c r="O756" s="1101"/>
      <c r="P756" s="1101"/>
      <c r="Q756" s="1101"/>
      <c r="R756" s="1101"/>
      <c r="S756" s="1101"/>
      <c r="T756" s="1101"/>
      <c r="U756" s="1101"/>
      <c r="V756" s="1101"/>
      <c r="W756" s="1101"/>
      <c r="X756" s="1101"/>
      <c r="Y756" s="1102"/>
      <c r="Z756" s="1102"/>
      <c r="AA756" s="1101"/>
    </row>
    <row r="757" ht="15.75" customHeight="1">
      <c r="A757" s="213"/>
      <c r="B757" s="213"/>
      <c r="C757" s="1101"/>
      <c r="D757" s="1101"/>
      <c r="E757" s="1101"/>
      <c r="F757" s="1101"/>
      <c r="G757" s="1101"/>
      <c r="H757" s="1101"/>
      <c r="I757" s="1101"/>
      <c r="J757" s="1101"/>
      <c r="K757" s="1101"/>
      <c r="L757" s="1101"/>
      <c r="M757" s="1101"/>
      <c r="N757" s="1101"/>
      <c r="O757" s="1101"/>
      <c r="P757" s="1101"/>
      <c r="Q757" s="1101"/>
      <c r="R757" s="1101"/>
      <c r="S757" s="1101"/>
      <c r="T757" s="1101"/>
      <c r="U757" s="1101"/>
      <c r="V757" s="1101"/>
      <c r="W757" s="1101"/>
      <c r="X757" s="1101"/>
      <c r="Y757" s="1102"/>
      <c r="Z757" s="1102"/>
      <c r="AA757" s="1101"/>
    </row>
    <row r="758" ht="15.75" customHeight="1">
      <c r="A758" s="213"/>
      <c r="B758" s="213"/>
      <c r="C758" s="1101"/>
      <c r="D758" s="1101"/>
      <c r="E758" s="1101"/>
      <c r="F758" s="1101"/>
      <c r="G758" s="1101"/>
      <c r="H758" s="1101"/>
      <c r="I758" s="1101"/>
      <c r="J758" s="1101"/>
      <c r="K758" s="1101"/>
      <c r="L758" s="1101"/>
      <c r="M758" s="1101"/>
      <c r="N758" s="1101"/>
      <c r="O758" s="1101"/>
      <c r="P758" s="1101"/>
      <c r="Q758" s="1101"/>
      <c r="R758" s="1101"/>
      <c r="S758" s="1101"/>
      <c r="T758" s="1101"/>
      <c r="U758" s="1101"/>
      <c r="V758" s="1101"/>
      <c r="W758" s="1101"/>
      <c r="X758" s="1101"/>
      <c r="Y758" s="1102"/>
      <c r="Z758" s="1102"/>
      <c r="AA758" s="1101"/>
    </row>
    <row r="759" ht="15.75" customHeight="1">
      <c r="A759" s="213"/>
      <c r="B759" s="213"/>
      <c r="C759" s="1101"/>
      <c r="D759" s="1101"/>
      <c r="E759" s="1101"/>
      <c r="F759" s="1101"/>
      <c r="G759" s="1101"/>
      <c r="H759" s="1101"/>
      <c r="I759" s="1101"/>
      <c r="J759" s="1101"/>
      <c r="K759" s="1101"/>
      <c r="L759" s="1101"/>
      <c r="M759" s="1101"/>
      <c r="N759" s="1101"/>
      <c r="O759" s="1101"/>
      <c r="P759" s="1101"/>
      <c r="Q759" s="1101"/>
      <c r="R759" s="1101"/>
      <c r="S759" s="1101"/>
      <c r="T759" s="1101"/>
      <c r="U759" s="1101"/>
      <c r="V759" s="1101"/>
      <c r="W759" s="1101"/>
      <c r="X759" s="1101"/>
      <c r="Y759" s="1102"/>
      <c r="Z759" s="1102"/>
      <c r="AA759" s="1101"/>
    </row>
    <row r="760" ht="15.75" customHeight="1">
      <c r="A760" s="213"/>
      <c r="B760" s="213"/>
      <c r="C760" s="1101"/>
      <c r="D760" s="1101"/>
      <c r="E760" s="1101"/>
      <c r="F760" s="1101"/>
      <c r="G760" s="1101"/>
      <c r="H760" s="1101"/>
      <c r="I760" s="1101"/>
      <c r="J760" s="1101"/>
      <c r="K760" s="1101"/>
      <c r="L760" s="1101"/>
      <c r="M760" s="1101"/>
      <c r="N760" s="1101"/>
      <c r="O760" s="1101"/>
      <c r="P760" s="1101"/>
      <c r="Q760" s="1101"/>
      <c r="R760" s="1101"/>
      <c r="S760" s="1101"/>
      <c r="T760" s="1101"/>
      <c r="U760" s="1101"/>
      <c r="V760" s="1101"/>
      <c r="W760" s="1101"/>
      <c r="X760" s="1101"/>
      <c r="Y760" s="1102"/>
      <c r="Z760" s="1102"/>
      <c r="AA760" s="1101"/>
    </row>
    <row r="761" ht="15.75" customHeight="1">
      <c r="A761" s="213"/>
      <c r="B761" s="213"/>
      <c r="C761" s="1101"/>
      <c r="D761" s="1101"/>
      <c r="E761" s="1101"/>
      <c r="F761" s="1101"/>
      <c r="G761" s="1101"/>
      <c r="H761" s="1101"/>
      <c r="I761" s="1101"/>
      <c r="J761" s="1101"/>
      <c r="K761" s="1101"/>
      <c r="L761" s="1101"/>
      <c r="M761" s="1101"/>
      <c r="N761" s="1101"/>
      <c r="O761" s="1101"/>
      <c r="P761" s="1101"/>
      <c r="Q761" s="1101"/>
      <c r="R761" s="1101"/>
      <c r="S761" s="1101"/>
      <c r="T761" s="1101"/>
      <c r="U761" s="1101"/>
      <c r="V761" s="1101"/>
      <c r="W761" s="1101"/>
      <c r="X761" s="1101"/>
      <c r="Y761" s="1102"/>
      <c r="Z761" s="1102"/>
      <c r="AA761" s="1101"/>
    </row>
    <row r="762" ht="15.75" customHeight="1">
      <c r="A762" s="213"/>
      <c r="B762" s="213"/>
      <c r="C762" s="1101"/>
      <c r="D762" s="1101"/>
      <c r="E762" s="1101"/>
      <c r="F762" s="1101"/>
      <c r="G762" s="1101"/>
      <c r="H762" s="1101"/>
      <c r="I762" s="1101"/>
      <c r="J762" s="1101"/>
      <c r="K762" s="1101"/>
      <c r="L762" s="1101"/>
      <c r="M762" s="1101"/>
      <c r="N762" s="1101"/>
      <c r="O762" s="1101"/>
      <c r="P762" s="1101"/>
      <c r="Q762" s="1101"/>
      <c r="R762" s="1101"/>
      <c r="S762" s="1101"/>
      <c r="T762" s="1101"/>
      <c r="U762" s="1101"/>
      <c r="V762" s="1101"/>
      <c r="W762" s="1101"/>
      <c r="X762" s="1101"/>
      <c r="Y762" s="1102"/>
      <c r="Z762" s="1102"/>
      <c r="AA762" s="1101"/>
    </row>
    <row r="763" ht="15.75" customHeight="1">
      <c r="A763" s="213"/>
      <c r="B763" s="213"/>
      <c r="C763" s="1101"/>
      <c r="D763" s="1101"/>
      <c r="E763" s="1101"/>
      <c r="F763" s="1101"/>
      <c r="G763" s="1101"/>
      <c r="H763" s="1101"/>
      <c r="I763" s="1101"/>
      <c r="J763" s="1101"/>
      <c r="K763" s="1101"/>
      <c r="L763" s="1101"/>
      <c r="M763" s="1101"/>
      <c r="N763" s="1101"/>
      <c r="O763" s="1101"/>
      <c r="P763" s="1101"/>
      <c r="Q763" s="1101"/>
      <c r="R763" s="1101"/>
      <c r="S763" s="1101"/>
      <c r="T763" s="1101"/>
      <c r="U763" s="1101"/>
      <c r="V763" s="1101"/>
      <c r="W763" s="1101"/>
      <c r="X763" s="1101"/>
      <c r="Y763" s="1102"/>
      <c r="Z763" s="1102"/>
      <c r="AA763" s="1101"/>
    </row>
    <row r="764" ht="15.75" customHeight="1">
      <c r="A764" s="213"/>
      <c r="B764" s="213"/>
      <c r="C764" s="1101"/>
      <c r="D764" s="1101"/>
      <c r="E764" s="1101"/>
      <c r="F764" s="1101"/>
      <c r="G764" s="1101"/>
      <c r="H764" s="1101"/>
      <c r="I764" s="1101"/>
      <c r="J764" s="1101"/>
      <c r="K764" s="1101"/>
      <c r="L764" s="1101"/>
      <c r="M764" s="1101"/>
      <c r="N764" s="1101"/>
      <c r="O764" s="1101"/>
      <c r="P764" s="1101"/>
      <c r="Q764" s="1101"/>
      <c r="R764" s="1101"/>
      <c r="S764" s="1101"/>
      <c r="T764" s="1101"/>
      <c r="U764" s="1101"/>
      <c r="V764" s="1101"/>
      <c r="W764" s="1101"/>
      <c r="X764" s="1101"/>
      <c r="Y764" s="1102"/>
      <c r="Z764" s="1102"/>
      <c r="AA764" s="1101"/>
    </row>
    <row r="765" ht="15.75" customHeight="1">
      <c r="A765" s="213"/>
      <c r="B765" s="213"/>
      <c r="C765" s="1101"/>
      <c r="D765" s="1101"/>
      <c r="E765" s="1101"/>
      <c r="F765" s="1101"/>
      <c r="G765" s="1101"/>
      <c r="H765" s="1101"/>
      <c r="I765" s="1101"/>
      <c r="J765" s="1101"/>
      <c r="K765" s="1101"/>
      <c r="L765" s="1101"/>
      <c r="M765" s="1101"/>
      <c r="N765" s="1101"/>
      <c r="O765" s="1101"/>
      <c r="P765" s="1101"/>
      <c r="Q765" s="1101"/>
      <c r="R765" s="1101"/>
      <c r="S765" s="1101"/>
      <c r="T765" s="1101"/>
      <c r="U765" s="1101"/>
      <c r="V765" s="1101"/>
      <c r="W765" s="1101"/>
      <c r="X765" s="1101"/>
      <c r="Y765" s="1102"/>
      <c r="Z765" s="1102"/>
      <c r="AA765" s="1101"/>
    </row>
    <row r="766" ht="15.75" customHeight="1">
      <c r="A766" s="213"/>
      <c r="B766" s="213"/>
      <c r="C766" s="1101"/>
      <c r="D766" s="1101"/>
      <c r="E766" s="1101"/>
      <c r="F766" s="1101"/>
      <c r="G766" s="1101"/>
      <c r="H766" s="1101"/>
      <c r="I766" s="1101"/>
      <c r="J766" s="1101"/>
      <c r="K766" s="1101"/>
      <c r="L766" s="1101"/>
      <c r="M766" s="1101"/>
      <c r="N766" s="1101"/>
      <c r="O766" s="1101"/>
      <c r="P766" s="1101"/>
      <c r="Q766" s="1101"/>
      <c r="R766" s="1101"/>
      <c r="S766" s="1101"/>
      <c r="T766" s="1101"/>
      <c r="U766" s="1101"/>
      <c r="V766" s="1101"/>
      <c r="W766" s="1101"/>
      <c r="X766" s="1101"/>
      <c r="Y766" s="1102"/>
      <c r="Z766" s="1102"/>
      <c r="AA766" s="1101"/>
    </row>
    <row r="767" ht="15.75" customHeight="1">
      <c r="A767" s="213"/>
      <c r="B767" s="213"/>
      <c r="C767" s="1101"/>
      <c r="D767" s="1101"/>
      <c r="E767" s="1101"/>
      <c r="F767" s="1101"/>
      <c r="G767" s="1101"/>
      <c r="H767" s="1101"/>
      <c r="I767" s="1101"/>
      <c r="J767" s="1101"/>
      <c r="K767" s="1101"/>
      <c r="L767" s="1101"/>
      <c r="M767" s="1101"/>
      <c r="N767" s="1101"/>
      <c r="O767" s="1101"/>
      <c r="P767" s="1101"/>
      <c r="Q767" s="1101"/>
      <c r="R767" s="1101"/>
      <c r="S767" s="1101"/>
      <c r="T767" s="1101"/>
      <c r="U767" s="1101"/>
      <c r="V767" s="1101"/>
      <c r="W767" s="1101"/>
      <c r="X767" s="1101"/>
      <c r="Y767" s="1102"/>
      <c r="Z767" s="1102"/>
      <c r="AA767" s="1101"/>
    </row>
    <row r="768" ht="15.75" customHeight="1">
      <c r="A768" s="213"/>
      <c r="B768" s="213"/>
      <c r="C768" s="1101"/>
      <c r="D768" s="1101"/>
      <c r="E768" s="1101"/>
      <c r="F768" s="1101"/>
      <c r="G768" s="1101"/>
      <c r="H768" s="1101"/>
      <c r="I768" s="1101"/>
      <c r="J768" s="1101"/>
      <c r="K768" s="1101"/>
      <c r="L768" s="1101"/>
      <c r="M768" s="1101"/>
      <c r="N768" s="1101"/>
      <c r="O768" s="1101"/>
      <c r="P768" s="1101"/>
      <c r="Q768" s="1101"/>
      <c r="R768" s="1101"/>
      <c r="S768" s="1101"/>
      <c r="T768" s="1101"/>
      <c r="U768" s="1101"/>
      <c r="V768" s="1101"/>
      <c r="W768" s="1101"/>
      <c r="X768" s="1101"/>
      <c r="Y768" s="1102"/>
      <c r="Z768" s="1102"/>
      <c r="AA768" s="1101"/>
    </row>
    <row r="769" ht="15.75" customHeight="1">
      <c r="A769" s="213"/>
      <c r="B769" s="213"/>
      <c r="C769" s="1101"/>
      <c r="D769" s="1101"/>
      <c r="E769" s="1101"/>
      <c r="F769" s="1101"/>
      <c r="G769" s="1101"/>
      <c r="H769" s="1101"/>
      <c r="I769" s="1101"/>
      <c r="J769" s="1101"/>
      <c r="K769" s="1101"/>
      <c r="L769" s="1101"/>
      <c r="M769" s="1101"/>
      <c r="N769" s="1101"/>
      <c r="O769" s="1101"/>
      <c r="P769" s="1101"/>
      <c r="Q769" s="1101"/>
      <c r="R769" s="1101"/>
      <c r="S769" s="1101"/>
      <c r="T769" s="1101"/>
      <c r="U769" s="1101"/>
      <c r="V769" s="1101"/>
      <c r="W769" s="1101"/>
      <c r="X769" s="1101"/>
      <c r="Y769" s="1102"/>
      <c r="Z769" s="1102"/>
      <c r="AA769" s="1101"/>
    </row>
    <row r="770" ht="15.75" customHeight="1">
      <c r="A770" s="213"/>
      <c r="B770" s="213"/>
      <c r="C770" s="1101"/>
      <c r="D770" s="1101"/>
      <c r="E770" s="1101"/>
      <c r="F770" s="1101"/>
      <c r="G770" s="1101"/>
      <c r="H770" s="1101"/>
      <c r="I770" s="1101"/>
      <c r="J770" s="1101"/>
      <c r="K770" s="1101"/>
      <c r="L770" s="1101"/>
      <c r="M770" s="1101"/>
      <c r="N770" s="1101"/>
      <c r="O770" s="1101"/>
      <c r="P770" s="1101"/>
      <c r="Q770" s="1101"/>
      <c r="R770" s="1101"/>
      <c r="S770" s="1101"/>
      <c r="T770" s="1101"/>
      <c r="U770" s="1101"/>
      <c r="V770" s="1101"/>
      <c r="W770" s="1101"/>
      <c r="X770" s="1101"/>
      <c r="Y770" s="1102"/>
      <c r="Z770" s="1102"/>
      <c r="AA770" s="1101"/>
    </row>
    <row r="771" ht="15.75" customHeight="1">
      <c r="A771" s="213"/>
      <c r="B771" s="213"/>
      <c r="C771" s="1101"/>
      <c r="D771" s="1101"/>
      <c r="E771" s="1101"/>
      <c r="F771" s="1101"/>
      <c r="G771" s="1101"/>
      <c r="H771" s="1101"/>
      <c r="I771" s="1101"/>
      <c r="J771" s="1101"/>
      <c r="K771" s="1101"/>
      <c r="L771" s="1101"/>
      <c r="M771" s="1101"/>
      <c r="N771" s="1101"/>
      <c r="O771" s="1101"/>
      <c r="P771" s="1101"/>
      <c r="Q771" s="1101"/>
      <c r="R771" s="1101"/>
      <c r="S771" s="1101"/>
      <c r="T771" s="1101"/>
      <c r="U771" s="1101"/>
      <c r="V771" s="1101"/>
      <c r="W771" s="1101"/>
      <c r="X771" s="1101"/>
      <c r="Y771" s="1102"/>
      <c r="Z771" s="1102"/>
      <c r="AA771" s="1101"/>
    </row>
    <row r="772" ht="15.75" customHeight="1">
      <c r="A772" s="213"/>
      <c r="B772" s="213"/>
      <c r="C772" s="1101"/>
      <c r="D772" s="1101"/>
      <c r="E772" s="1101"/>
      <c r="F772" s="1101"/>
      <c r="G772" s="1101"/>
      <c r="H772" s="1101"/>
      <c r="I772" s="1101"/>
      <c r="J772" s="1101"/>
      <c r="K772" s="1101"/>
      <c r="L772" s="1101"/>
      <c r="M772" s="1101"/>
      <c r="N772" s="1101"/>
      <c r="O772" s="1101"/>
      <c r="P772" s="1101"/>
      <c r="Q772" s="1101"/>
      <c r="R772" s="1101"/>
      <c r="S772" s="1101"/>
      <c r="T772" s="1101"/>
      <c r="U772" s="1101"/>
      <c r="V772" s="1101"/>
      <c r="W772" s="1101"/>
      <c r="X772" s="1101"/>
      <c r="Y772" s="1102"/>
      <c r="Z772" s="1102"/>
      <c r="AA772" s="1101"/>
    </row>
    <row r="773" ht="15.75" customHeight="1">
      <c r="A773" s="213"/>
      <c r="B773" s="213"/>
      <c r="C773" s="1101"/>
      <c r="D773" s="1101"/>
      <c r="E773" s="1101"/>
      <c r="F773" s="1101"/>
      <c r="G773" s="1101"/>
      <c r="H773" s="1101"/>
      <c r="I773" s="1101"/>
      <c r="J773" s="1101"/>
      <c r="K773" s="1101"/>
      <c r="L773" s="1101"/>
      <c r="M773" s="1101"/>
      <c r="N773" s="1101"/>
      <c r="O773" s="1101"/>
      <c r="P773" s="1101"/>
      <c r="Q773" s="1101"/>
      <c r="R773" s="1101"/>
      <c r="S773" s="1101"/>
      <c r="T773" s="1101"/>
      <c r="U773" s="1101"/>
      <c r="V773" s="1101"/>
      <c r="W773" s="1101"/>
      <c r="X773" s="1101"/>
      <c r="Y773" s="1102"/>
      <c r="Z773" s="1102"/>
      <c r="AA773" s="1101"/>
    </row>
    <row r="774" ht="15.75" customHeight="1">
      <c r="A774" s="213"/>
      <c r="B774" s="213"/>
      <c r="C774" s="1101"/>
      <c r="D774" s="1101"/>
      <c r="E774" s="1101"/>
      <c r="F774" s="1101"/>
      <c r="G774" s="1101"/>
      <c r="H774" s="1101"/>
      <c r="I774" s="1101"/>
      <c r="J774" s="1101"/>
      <c r="K774" s="1101"/>
      <c r="L774" s="1101"/>
      <c r="M774" s="1101"/>
      <c r="N774" s="1101"/>
      <c r="O774" s="1101"/>
      <c r="P774" s="1101"/>
      <c r="Q774" s="1101"/>
      <c r="R774" s="1101"/>
      <c r="S774" s="1101"/>
      <c r="T774" s="1101"/>
      <c r="U774" s="1101"/>
      <c r="V774" s="1101"/>
      <c r="W774" s="1101"/>
      <c r="X774" s="1101"/>
      <c r="Y774" s="1102"/>
      <c r="Z774" s="1102"/>
      <c r="AA774" s="1101"/>
    </row>
    <row r="775" ht="15.75" customHeight="1">
      <c r="A775" s="213"/>
      <c r="B775" s="213"/>
      <c r="C775" s="1101"/>
      <c r="D775" s="1101"/>
      <c r="E775" s="1101"/>
      <c r="F775" s="1101"/>
      <c r="G775" s="1101"/>
      <c r="H775" s="1101"/>
      <c r="I775" s="1101"/>
      <c r="J775" s="1101"/>
      <c r="K775" s="1101"/>
      <c r="L775" s="1101"/>
      <c r="M775" s="1101"/>
      <c r="N775" s="1101"/>
      <c r="O775" s="1101"/>
      <c r="P775" s="1101"/>
      <c r="Q775" s="1101"/>
      <c r="R775" s="1101"/>
      <c r="S775" s="1101"/>
      <c r="T775" s="1101"/>
      <c r="U775" s="1101"/>
      <c r="V775" s="1101"/>
      <c r="W775" s="1101"/>
      <c r="X775" s="1101"/>
      <c r="Y775" s="1102"/>
      <c r="Z775" s="1102"/>
      <c r="AA775" s="1101"/>
    </row>
    <row r="776" ht="15.75" customHeight="1">
      <c r="A776" s="213"/>
      <c r="B776" s="213"/>
      <c r="C776" s="1101"/>
      <c r="D776" s="1101"/>
      <c r="E776" s="1101"/>
      <c r="F776" s="1101"/>
      <c r="G776" s="1101"/>
      <c r="H776" s="1101"/>
      <c r="I776" s="1101"/>
      <c r="J776" s="1101"/>
      <c r="K776" s="1101"/>
      <c r="L776" s="1101"/>
      <c r="M776" s="1101"/>
      <c r="N776" s="1101"/>
      <c r="O776" s="1101"/>
      <c r="P776" s="1101"/>
      <c r="Q776" s="1101"/>
      <c r="R776" s="1101"/>
      <c r="S776" s="1101"/>
      <c r="T776" s="1101"/>
      <c r="U776" s="1101"/>
      <c r="V776" s="1101"/>
      <c r="W776" s="1101"/>
      <c r="X776" s="1101"/>
      <c r="Y776" s="1102"/>
      <c r="Z776" s="1102"/>
      <c r="AA776" s="1101"/>
    </row>
    <row r="777" ht="15.75" customHeight="1">
      <c r="A777" s="213"/>
      <c r="B777" s="213"/>
      <c r="C777" s="1101"/>
      <c r="D777" s="1101"/>
      <c r="E777" s="1101"/>
      <c r="F777" s="1101"/>
      <c r="G777" s="1101"/>
      <c r="H777" s="1101"/>
      <c r="I777" s="1101"/>
      <c r="J777" s="1101"/>
      <c r="K777" s="1101"/>
      <c r="L777" s="1101"/>
      <c r="M777" s="1101"/>
      <c r="N777" s="1101"/>
      <c r="O777" s="1101"/>
      <c r="P777" s="1101"/>
      <c r="Q777" s="1101"/>
      <c r="R777" s="1101"/>
      <c r="S777" s="1101"/>
      <c r="T777" s="1101"/>
      <c r="U777" s="1101"/>
      <c r="V777" s="1101"/>
      <c r="W777" s="1101"/>
      <c r="X777" s="1101"/>
      <c r="Y777" s="1102"/>
      <c r="Z777" s="1102"/>
      <c r="AA777" s="1101"/>
    </row>
    <row r="778" ht="15.75" customHeight="1">
      <c r="A778" s="213"/>
      <c r="B778" s="213"/>
      <c r="C778" s="1101"/>
      <c r="D778" s="1101"/>
      <c r="E778" s="1101"/>
      <c r="F778" s="1101"/>
      <c r="G778" s="1101"/>
      <c r="H778" s="1101"/>
      <c r="I778" s="1101"/>
      <c r="J778" s="1101"/>
      <c r="K778" s="1101"/>
      <c r="L778" s="1101"/>
      <c r="M778" s="1101"/>
      <c r="N778" s="1101"/>
      <c r="O778" s="1101"/>
      <c r="P778" s="1101"/>
      <c r="Q778" s="1101"/>
      <c r="R778" s="1101"/>
      <c r="S778" s="1101"/>
      <c r="T778" s="1101"/>
      <c r="U778" s="1101"/>
      <c r="V778" s="1101"/>
      <c r="W778" s="1101"/>
      <c r="X778" s="1101"/>
      <c r="Y778" s="1102"/>
      <c r="Z778" s="1102"/>
      <c r="AA778" s="1101"/>
    </row>
    <row r="779" ht="15.75" customHeight="1">
      <c r="A779" s="213"/>
      <c r="B779" s="213"/>
      <c r="C779" s="1101"/>
      <c r="D779" s="1101"/>
      <c r="E779" s="1101"/>
      <c r="F779" s="1101"/>
      <c r="G779" s="1101"/>
      <c r="H779" s="1101"/>
      <c r="I779" s="1101"/>
      <c r="J779" s="1101"/>
      <c r="K779" s="1101"/>
      <c r="L779" s="1101"/>
      <c r="M779" s="1101"/>
      <c r="N779" s="1101"/>
      <c r="O779" s="1101"/>
      <c r="P779" s="1101"/>
      <c r="Q779" s="1101"/>
      <c r="R779" s="1101"/>
      <c r="S779" s="1101"/>
      <c r="T779" s="1101"/>
      <c r="U779" s="1101"/>
      <c r="V779" s="1101"/>
      <c r="W779" s="1101"/>
      <c r="X779" s="1101"/>
      <c r="Y779" s="1102"/>
      <c r="Z779" s="1102"/>
      <c r="AA779" s="1101"/>
    </row>
    <row r="780" ht="15.75" customHeight="1">
      <c r="A780" s="213"/>
      <c r="B780" s="213"/>
      <c r="C780" s="1101"/>
      <c r="D780" s="1101"/>
      <c r="E780" s="1101"/>
      <c r="F780" s="1101"/>
      <c r="G780" s="1101"/>
      <c r="H780" s="1101"/>
      <c r="I780" s="1101"/>
      <c r="J780" s="1101"/>
      <c r="K780" s="1101"/>
      <c r="L780" s="1101"/>
      <c r="M780" s="1101"/>
      <c r="N780" s="1101"/>
      <c r="O780" s="1101"/>
      <c r="P780" s="1101"/>
      <c r="Q780" s="1101"/>
      <c r="R780" s="1101"/>
      <c r="S780" s="1101"/>
      <c r="T780" s="1101"/>
      <c r="U780" s="1101"/>
      <c r="V780" s="1101"/>
      <c r="W780" s="1101"/>
      <c r="X780" s="1101"/>
      <c r="Y780" s="1102"/>
      <c r="Z780" s="1102"/>
      <c r="AA780" s="1101"/>
    </row>
    <row r="781" ht="15.75" customHeight="1">
      <c r="A781" s="213"/>
      <c r="B781" s="213"/>
      <c r="C781" s="1101"/>
      <c r="D781" s="1101"/>
      <c r="E781" s="1101"/>
      <c r="F781" s="1101"/>
      <c r="G781" s="1101"/>
      <c r="H781" s="1101"/>
      <c r="I781" s="1101"/>
      <c r="J781" s="1101"/>
      <c r="K781" s="1101"/>
      <c r="L781" s="1101"/>
      <c r="M781" s="1101"/>
      <c r="N781" s="1101"/>
      <c r="O781" s="1101"/>
      <c r="P781" s="1101"/>
      <c r="Q781" s="1101"/>
      <c r="R781" s="1101"/>
      <c r="S781" s="1101"/>
      <c r="T781" s="1101"/>
      <c r="U781" s="1101"/>
      <c r="V781" s="1101"/>
      <c r="W781" s="1101"/>
      <c r="X781" s="1101"/>
      <c r="Y781" s="1102"/>
      <c r="Z781" s="1102"/>
      <c r="AA781" s="1101"/>
    </row>
    <row r="782" ht="15.75" customHeight="1">
      <c r="A782" s="213"/>
      <c r="B782" s="213"/>
      <c r="C782" s="1101"/>
      <c r="D782" s="1101"/>
      <c r="E782" s="1101"/>
      <c r="F782" s="1101"/>
      <c r="G782" s="1101"/>
      <c r="H782" s="1101"/>
      <c r="I782" s="1101"/>
      <c r="J782" s="1101"/>
      <c r="K782" s="1101"/>
      <c r="L782" s="1101"/>
      <c r="M782" s="1101"/>
      <c r="N782" s="1101"/>
      <c r="O782" s="1101"/>
      <c r="P782" s="1101"/>
      <c r="Q782" s="1101"/>
      <c r="R782" s="1101"/>
      <c r="S782" s="1101"/>
      <c r="T782" s="1101"/>
      <c r="U782" s="1101"/>
      <c r="V782" s="1101"/>
      <c r="W782" s="1101"/>
      <c r="X782" s="1101"/>
      <c r="Y782" s="1102"/>
      <c r="Z782" s="1102"/>
      <c r="AA782" s="1101"/>
    </row>
    <row r="783" ht="15.75" customHeight="1">
      <c r="A783" s="213"/>
      <c r="B783" s="213"/>
      <c r="C783" s="1101"/>
      <c r="D783" s="1101"/>
      <c r="E783" s="1101"/>
      <c r="F783" s="1101"/>
      <c r="G783" s="1101"/>
      <c r="H783" s="1101"/>
      <c r="I783" s="1101"/>
      <c r="J783" s="1101"/>
      <c r="K783" s="1101"/>
      <c r="L783" s="1101"/>
      <c r="M783" s="1101"/>
      <c r="N783" s="1101"/>
      <c r="O783" s="1101"/>
      <c r="P783" s="1101"/>
      <c r="Q783" s="1101"/>
      <c r="R783" s="1101"/>
      <c r="S783" s="1101"/>
      <c r="T783" s="1101"/>
      <c r="U783" s="1101"/>
      <c r="V783" s="1101"/>
      <c r="W783" s="1101"/>
      <c r="X783" s="1101"/>
      <c r="Y783" s="1102"/>
      <c r="Z783" s="1102"/>
      <c r="AA783" s="1101"/>
    </row>
    <row r="784" ht="15.75" customHeight="1">
      <c r="A784" s="213"/>
      <c r="B784" s="213"/>
      <c r="C784" s="1101"/>
      <c r="D784" s="1101"/>
      <c r="E784" s="1101"/>
      <c r="F784" s="1101"/>
      <c r="G784" s="1101"/>
      <c r="H784" s="1101"/>
      <c r="I784" s="1101"/>
      <c r="J784" s="1101"/>
      <c r="K784" s="1101"/>
      <c r="L784" s="1101"/>
      <c r="M784" s="1101"/>
      <c r="N784" s="1101"/>
      <c r="O784" s="1101"/>
      <c r="P784" s="1101"/>
      <c r="Q784" s="1101"/>
      <c r="R784" s="1101"/>
      <c r="S784" s="1101"/>
      <c r="T784" s="1101"/>
      <c r="U784" s="1101"/>
      <c r="V784" s="1101"/>
      <c r="W784" s="1101"/>
      <c r="X784" s="1101"/>
      <c r="Y784" s="1102"/>
      <c r="Z784" s="1102"/>
      <c r="AA784" s="1101"/>
    </row>
    <row r="785" ht="15.75" customHeight="1">
      <c r="A785" s="213"/>
      <c r="B785" s="213"/>
      <c r="C785" s="1101"/>
      <c r="D785" s="1101"/>
      <c r="E785" s="1101"/>
      <c r="F785" s="1101"/>
      <c r="G785" s="1101"/>
      <c r="H785" s="1101"/>
      <c r="I785" s="1101"/>
      <c r="J785" s="1101"/>
      <c r="K785" s="1101"/>
      <c r="L785" s="1101"/>
      <c r="M785" s="1101"/>
      <c r="N785" s="1101"/>
      <c r="O785" s="1101"/>
      <c r="P785" s="1101"/>
      <c r="Q785" s="1101"/>
      <c r="R785" s="1101"/>
      <c r="S785" s="1101"/>
      <c r="T785" s="1101"/>
      <c r="U785" s="1101"/>
      <c r="V785" s="1101"/>
      <c r="W785" s="1101"/>
      <c r="X785" s="1101"/>
      <c r="Y785" s="1102"/>
      <c r="Z785" s="1102"/>
      <c r="AA785" s="1101"/>
    </row>
    <row r="786" ht="15.75" customHeight="1">
      <c r="A786" s="213"/>
      <c r="B786" s="213"/>
      <c r="C786" s="1101"/>
      <c r="D786" s="1101"/>
      <c r="E786" s="1101"/>
      <c r="F786" s="1101"/>
      <c r="G786" s="1101"/>
      <c r="H786" s="1101"/>
      <c r="I786" s="1101"/>
      <c r="J786" s="1101"/>
      <c r="K786" s="1101"/>
      <c r="L786" s="1101"/>
      <c r="M786" s="1101"/>
      <c r="N786" s="1101"/>
      <c r="O786" s="1101"/>
      <c r="P786" s="1101"/>
      <c r="Q786" s="1101"/>
      <c r="R786" s="1101"/>
      <c r="S786" s="1101"/>
      <c r="T786" s="1101"/>
      <c r="U786" s="1101"/>
      <c r="V786" s="1101"/>
      <c r="W786" s="1101"/>
      <c r="X786" s="1101"/>
      <c r="Y786" s="1102"/>
      <c r="Z786" s="1102"/>
      <c r="AA786" s="1101"/>
    </row>
    <row r="787" ht="15.75" customHeight="1">
      <c r="A787" s="213"/>
      <c r="B787" s="213"/>
      <c r="C787" s="1101"/>
      <c r="D787" s="1101"/>
      <c r="E787" s="1101"/>
      <c r="F787" s="1101"/>
      <c r="G787" s="1101"/>
      <c r="H787" s="1101"/>
      <c r="I787" s="1101"/>
      <c r="J787" s="1101"/>
      <c r="K787" s="1101"/>
      <c r="L787" s="1101"/>
      <c r="M787" s="1101"/>
      <c r="N787" s="1101"/>
      <c r="O787" s="1101"/>
      <c r="P787" s="1101"/>
      <c r="Q787" s="1101"/>
      <c r="R787" s="1101"/>
      <c r="S787" s="1101"/>
      <c r="T787" s="1101"/>
      <c r="U787" s="1101"/>
      <c r="V787" s="1101"/>
      <c r="W787" s="1101"/>
      <c r="X787" s="1101"/>
      <c r="Y787" s="1102"/>
      <c r="Z787" s="1102"/>
      <c r="AA787" s="1101"/>
    </row>
    <row r="788" ht="15.75" customHeight="1">
      <c r="A788" s="213"/>
      <c r="B788" s="213"/>
      <c r="C788" s="1101"/>
      <c r="D788" s="1101"/>
      <c r="E788" s="1101"/>
      <c r="F788" s="1101"/>
      <c r="G788" s="1101"/>
      <c r="H788" s="1101"/>
      <c r="I788" s="1101"/>
      <c r="J788" s="1101"/>
      <c r="K788" s="1101"/>
      <c r="L788" s="1101"/>
      <c r="M788" s="1101"/>
      <c r="N788" s="1101"/>
      <c r="O788" s="1101"/>
      <c r="P788" s="1101"/>
      <c r="Q788" s="1101"/>
      <c r="R788" s="1101"/>
      <c r="S788" s="1101"/>
      <c r="T788" s="1101"/>
      <c r="U788" s="1101"/>
      <c r="V788" s="1101"/>
      <c r="W788" s="1101"/>
      <c r="X788" s="1101"/>
      <c r="Y788" s="1102"/>
      <c r="Z788" s="1102"/>
      <c r="AA788" s="1101"/>
    </row>
    <row r="789" ht="15.75" customHeight="1">
      <c r="A789" s="213"/>
      <c r="B789" s="213"/>
      <c r="C789" s="1101"/>
      <c r="D789" s="1101"/>
      <c r="E789" s="1101"/>
      <c r="F789" s="1101"/>
      <c r="G789" s="1101"/>
      <c r="H789" s="1101"/>
      <c r="I789" s="1101"/>
      <c r="J789" s="1101"/>
      <c r="K789" s="1101"/>
      <c r="L789" s="1101"/>
      <c r="M789" s="1101"/>
      <c r="N789" s="1101"/>
      <c r="O789" s="1101"/>
      <c r="P789" s="1101"/>
      <c r="Q789" s="1101"/>
      <c r="R789" s="1101"/>
      <c r="S789" s="1101"/>
      <c r="T789" s="1101"/>
      <c r="U789" s="1101"/>
      <c r="V789" s="1101"/>
      <c r="W789" s="1101"/>
      <c r="X789" s="1101"/>
      <c r="Y789" s="1102"/>
      <c r="Z789" s="1102"/>
      <c r="AA789" s="1101"/>
    </row>
    <row r="790" ht="15.75" customHeight="1">
      <c r="A790" s="213"/>
      <c r="B790" s="213"/>
      <c r="C790" s="1101"/>
      <c r="D790" s="1101"/>
      <c r="E790" s="1101"/>
      <c r="F790" s="1101"/>
      <c r="G790" s="1101"/>
      <c r="H790" s="1101"/>
      <c r="I790" s="1101"/>
      <c r="J790" s="1101"/>
      <c r="K790" s="1101"/>
      <c r="L790" s="1101"/>
      <c r="M790" s="1101"/>
      <c r="N790" s="1101"/>
      <c r="O790" s="1101"/>
      <c r="P790" s="1101"/>
      <c r="Q790" s="1101"/>
      <c r="R790" s="1101"/>
      <c r="S790" s="1101"/>
      <c r="T790" s="1101"/>
      <c r="U790" s="1101"/>
      <c r="V790" s="1101"/>
      <c r="W790" s="1101"/>
      <c r="X790" s="1101"/>
      <c r="Y790" s="1102"/>
      <c r="Z790" s="1102"/>
      <c r="AA790" s="1101"/>
    </row>
    <row r="791" ht="15.75" customHeight="1">
      <c r="A791" s="213"/>
      <c r="B791" s="213"/>
      <c r="C791" s="1101"/>
      <c r="D791" s="1101"/>
      <c r="E791" s="1101"/>
      <c r="F791" s="1101"/>
      <c r="G791" s="1101"/>
      <c r="H791" s="1101"/>
      <c r="I791" s="1101"/>
      <c r="J791" s="1101"/>
      <c r="K791" s="1101"/>
      <c r="L791" s="1101"/>
      <c r="M791" s="1101"/>
      <c r="N791" s="1101"/>
      <c r="O791" s="1101"/>
      <c r="P791" s="1101"/>
      <c r="Q791" s="1101"/>
      <c r="R791" s="1101"/>
      <c r="S791" s="1101"/>
      <c r="T791" s="1101"/>
      <c r="U791" s="1101"/>
      <c r="V791" s="1101"/>
      <c r="W791" s="1101"/>
      <c r="X791" s="1101"/>
      <c r="Y791" s="1102"/>
      <c r="Z791" s="1102"/>
      <c r="AA791" s="1101"/>
    </row>
    <row r="792" ht="15.75" customHeight="1">
      <c r="A792" s="213"/>
      <c r="B792" s="213"/>
      <c r="C792" s="1101"/>
      <c r="D792" s="1101"/>
      <c r="E792" s="1101"/>
      <c r="F792" s="1101"/>
      <c r="G792" s="1101"/>
      <c r="H792" s="1101"/>
      <c r="I792" s="1101"/>
      <c r="J792" s="1101"/>
      <c r="K792" s="1101"/>
      <c r="L792" s="1101"/>
      <c r="M792" s="1101"/>
      <c r="N792" s="1101"/>
      <c r="O792" s="1101"/>
      <c r="P792" s="1101"/>
      <c r="Q792" s="1101"/>
      <c r="R792" s="1101"/>
      <c r="S792" s="1101"/>
      <c r="T792" s="1101"/>
      <c r="U792" s="1101"/>
      <c r="V792" s="1101"/>
      <c r="W792" s="1101"/>
      <c r="X792" s="1101"/>
      <c r="Y792" s="1102"/>
      <c r="Z792" s="1102"/>
      <c r="AA792" s="1101"/>
    </row>
    <row r="793" ht="15.75" customHeight="1">
      <c r="A793" s="213"/>
      <c r="B793" s="213"/>
      <c r="C793" s="1101"/>
      <c r="D793" s="1101"/>
      <c r="E793" s="1101"/>
      <c r="F793" s="1101"/>
      <c r="G793" s="1101"/>
      <c r="H793" s="1101"/>
      <c r="I793" s="1101"/>
      <c r="J793" s="1101"/>
      <c r="K793" s="1101"/>
      <c r="L793" s="1101"/>
      <c r="M793" s="1101"/>
      <c r="N793" s="1101"/>
      <c r="O793" s="1101"/>
      <c r="P793" s="1101"/>
      <c r="Q793" s="1101"/>
      <c r="R793" s="1101"/>
      <c r="S793" s="1101"/>
      <c r="T793" s="1101"/>
      <c r="U793" s="1101"/>
      <c r="V793" s="1101"/>
      <c r="W793" s="1101"/>
      <c r="X793" s="1101"/>
      <c r="Y793" s="1102"/>
      <c r="Z793" s="1102"/>
      <c r="AA793" s="1101"/>
    </row>
    <row r="794" ht="15.75" customHeight="1">
      <c r="A794" s="213"/>
      <c r="B794" s="213"/>
      <c r="C794" s="1101"/>
      <c r="D794" s="1101"/>
      <c r="E794" s="1101"/>
      <c r="F794" s="1101"/>
      <c r="G794" s="1101"/>
      <c r="H794" s="1101"/>
      <c r="I794" s="1101"/>
      <c r="J794" s="1101"/>
      <c r="K794" s="1101"/>
      <c r="L794" s="1101"/>
      <c r="M794" s="1101"/>
      <c r="N794" s="1101"/>
      <c r="O794" s="1101"/>
      <c r="P794" s="1101"/>
      <c r="Q794" s="1101"/>
      <c r="R794" s="1101"/>
      <c r="S794" s="1101"/>
      <c r="T794" s="1101"/>
      <c r="U794" s="1101"/>
      <c r="V794" s="1101"/>
      <c r="W794" s="1101"/>
      <c r="X794" s="1101"/>
      <c r="Y794" s="1102"/>
      <c r="Z794" s="1102"/>
      <c r="AA794" s="1101"/>
    </row>
    <row r="795" ht="15.75" customHeight="1">
      <c r="A795" s="213"/>
      <c r="B795" s="213"/>
      <c r="C795" s="1101"/>
      <c r="D795" s="1101"/>
      <c r="E795" s="1101"/>
      <c r="F795" s="1101"/>
      <c r="G795" s="1101"/>
      <c r="H795" s="1101"/>
      <c r="I795" s="1101"/>
      <c r="J795" s="1101"/>
      <c r="K795" s="1101"/>
      <c r="L795" s="1101"/>
      <c r="M795" s="1101"/>
      <c r="N795" s="1101"/>
      <c r="O795" s="1101"/>
      <c r="P795" s="1101"/>
      <c r="Q795" s="1101"/>
      <c r="R795" s="1101"/>
      <c r="S795" s="1101"/>
      <c r="T795" s="1101"/>
      <c r="U795" s="1101"/>
      <c r="V795" s="1101"/>
      <c r="W795" s="1101"/>
      <c r="X795" s="1101"/>
      <c r="Y795" s="1102"/>
      <c r="Z795" s="1102"/>
      <c r="AA795" s="1101"/>
    </row>
    <row r="796" ht="15.75" customHeight="1">
      <c r="A796" s="213"/>
      <c r="B796" s="213"/>
      <c r="C796" s="1101"/>
      <c r="D796" s="1101"/>
      <c r="E796" s="1101"/>
      <c r="F796" s="1101"/>
      <c r="G796" s="1101"/>
      <c r="H796" s="1101"/>
      <c r="I796" s="1101"/>
      <c r="J796" s="1101"/>
      <c r="K796" s="1101"/>
      <c r="L796" s="1101"/>
      <c r="M796" s="1101"/>
      <c r="N796" s="1101"/>
      <c r="O796" s="1101"/>
      <c r="P796" s="1101"/>
      <c r="Q796" s="1101"/>
      <c r="R796" s="1101"/>
      <c r="S796" s="1101"/>
      <c r="T796" s="1101"/>
      <c r="U796" s="1101"/>
      <c r="V796" s="1101"/>
      <c r="W796" s="1101"/>
      <c r="X796" s="1101"/>
      <c r="Y796" s="1102"/>
      <c r="Z796" s="1102"/>
      <c r="AA796" s="1101"/>
    </row>
    <row r="797" ht="15.75" customHeight="1">
      <c r="A797" s="213"/>
      <c r="B797" s="213"/>
      <c r="C797" s="1101"/>
      <c r="D797" s="1101"/>
      <c r="E797" s="1101"/>
      <c r="F797" s="1101"/>
      <c r="G797" s="1101"/>
      <c r="H797" s="1101"/>
      <c r="I797" s="1101"/>
      <c r="J797" s="1101"/>
      <c r="K797" s="1101"/>
      <c r="L797" s="1101"/>
      <c r="M797" s="1101"/>
      <c r="N797" s="1101"/>
      <c r="O797" s="1101"/>
      <c r="P797" s="1101"/>
      <c r="Q797" s="1101"/>
      <c r="R797" s="1101"/>
      <c r="S797" s="1101"/>
      <c r="T797" s="1101"/>
      <c r="U797" s="1101"/>
      <c r="V797" s="1101"/>
      <c r="W797" s="1101"/>
      <c r="X797" s="1101"/>
      <c r="Y797" s="1102"/>
      <c r="Z797" s="1102"/>
      <c r="AA797" s="1101"/>
    </row>
    <row r="798" ht="15.75" customHeight="1">
      <c r="A798" s="213"/>
      <c r="B798" s="213"/>
      <c r="C798" s="1101"/>
      <c r="D798" s="1101"/>
      <c r="E798" s="1101"/>
      <c r="F798" s="1101"/>
      <c r="G798" s="1101"/>
      <c r="H798" s="1101"/>
      <c r="I798" s="1101"/>
      <c r="J798" s="1101"/>
      <c r="K798" s="1101"/>
      <c r="L798" s="1101"/>
      <c r="M798" s="1101"/>
      <c r="N798" s="1101"/>
      <c r="O798" s="1101"/>
      <c r="P798" s="1101"/>
      <c r="Q798" s="1101"/>
      <c r="R798" s="1101"/>
      <c r="S798" s="1101"/>
      <c r="T798" s="1101"/>
      <c r="U798" s="1101"/>
      <c r="V798" s="1101"/>
      <c r="W798" s="1101"/>
      <c r="X798" s="1101"/>
      <c r="Y798" s="1102"/>
      <c r="Z798" s="1102"/>
      <c r="AA798" s="1101"/>
    </row>
    <row r="799" ht="15.75" customHeight="1">
      <c r="A799" s="213"/>
      <c r="B799" s="213"/>
      <c r="C799" s="1101"/>
      <c r="D799" s="1101"/>
      <c r="E799" s="1101"/>
      <c r="F799" s="1101"/>
      <c r="G799" s="1101"/>
      <c r="H799" s="1101"/>
      <c r="I799" s="1101"/>
      <c r="J799" s="1101"/>
      <c r="K799" s="1101"/>
      <c r="L799" s="1101"/>
      <c r="M799" s="1101"/>
      <c r="N799" s="1101"/>
      <c r="O799" s="1101"/>
      <c r="P799" s="1101"/>
      <c r="Q799" s="1101"/>
      <c r="R799" s="1101"/>
      <c r="S799" s="1101"/>
      <c r="T799" s="1101"/>
      <c r="U799" s="1101"/>
      <c r="V799" s="1101"/>
      <c r="W799" s="1101"/>
      <c r="X799" s="1101"/>
      <c r="Y799" s="1102"/>
      <c r="Z799" s="1102"/>
      <c r="AA799" s="1101"/>
    </row>
    <row r="800" ht="15.75" customHeight="1">
      <c r="A800" s="213"/>
      <c r="B800" s="213"/>
      <c r="C800" s="1101"/>
      <c r="D800" s="1101"/>
      <c r="E800" s="1101"/>
      <c r="F800" s="1101"/>
      <c r="G800" s="1101"/>
      <c r="H800" s="1101"/>
      <c r="I800" s="1101"/>
      <c r="J800" s="1101"/>
      <c r="K800" s="1101"/>
      <c r="L800" s="1101"/>
      <c r="M800" s="1101"/>
      <c r="N800" s="1101"/>
      <c r="O800" s="1101"/>
      <c r="P800" s="1101"/>
      <c r="Q800" s="1101"/>
      <c r="R800" s="1101"/>
      <c r="S800" s="1101"/>
      <c r="T800" s="1101"/>
      <c r="U800" s="1101"/>
      <c r="V800" s="1101"/>
      <c r="W800" s="1101"/>
      <c r="X800" s="1101"/>
      <c r="Y800" s="1102"/>
      <c r="Z800" s="1102"/>
      <c r="AA800" s="1101"/>
    </row>
    <row r="801" ht="15.75" customHeight="1">
      <c r="A801" s="213"/>
      <c r="B801" s="213"/>
      <c r="C801" s="1101"/>
      <c r="D801" s="1101"/>
      <c r="E801" s="1101"/>
      <c r="F801" s="1101"/>
      <c r="G801" s="1101"/>
      <c r="H801" s="1101"/>
      <c r="I801" s="1101"/>
      <c r="J801" s="1101"/>
      <c r="K801" s="1101"/>
      <c r="L801" s="1101"/>
      <c r="M801" s="1101"/>
      <c r="N801" s="1101"/>
      <c r="O801" s="1101"/>
      <c r="P801" s="1101"/>
      <c r="Q801" s="1101"/>
      <c r="R801" s="1101"/>
      <c r="S801" s="1101"/>
      <c r="T801" s="1101"/>
      <c r="U801" s="1101"/>
      <c r="V801" s="1101"/>
      <c r="W801" s="1101"/>
      <c r="X801" s="1101"/>
      <c r="Y801" s="1102"/>
      <c r="Z801" s="1102"/>
      <c r="AA801" s="1101"/>
    </row>
    <row r="802" ht="15.75" customHeight="1">
      <c r="A802" s="213"/>
      <c r="B802" s="213"/>
      <c r="C802" s="1101"/>
      <c r="D802" s="1101"/>
      <c r="E802" s="1101"/>
      <c r="F802" s="1101"/>
      <c r="G802" s="1101"/>
      <c r="H802" s="1101"/>
      <c r="I802" s="1101"/>
      <c r="J802" s="1101"/>
      <c r="K802" s="1101"/>
      <c r="L802" s="1101"/>
      <c r="M802" s="1101"/>
      <c r="N802" s="1101"/>
      <c r="O802" s="1101"/>
      <c r="P802" s="1101"/>
      <c r="Q802" s="1101"/>
      <c r="R802" s="1101"/>
      <c r="S802" s="1101"/>
      <c r="T802" s="1101"/>
      <c r="U802" s="1101"/>
      <c r="V802" s="1101"/>
      <c r="W802" s="1101"/>
      <c r="X802" s="1101"/>
      <c r="Y802" s="1102"/>
      <c r="Z802" s="1102"/>
      <c r="AA802" s="1101"/>
    </row>
    <row r="803" ht="15.75" customHeight="1">
      <c r="A803" s="213"/>
      <c r="B803" s="213"/>
      <c r="C803" s="1101"/>
      <c r="D803" s="1101"/>
      <c r="E803" s="1101"/>
      <c r="F803" s="1101"/>
      <c r="G803" s="1101"/>
      <c r="H803" s="1101"/>
      <c r="I803" s="1101"/>
      <c r="J803" s="1101"/>
      <c r="K803" s="1101"/>
      <c r="L803" s="1101"/>
      <c r="M803" s="1101"/>
      <c r="N803" s="1101"/>
      <c r="O803" s="1101"/>
      <c r="P803" s="1101"/>
      <c r="Q803" s="1101"/>
      <c r="R803" s="1101"/>
      <c r="S803" s="1101"/>
      <c r="T803" s="1101"/>
      <c r="U803" s="1101"/>
      <c r="V803" s="1101"/>
      <c r="W803" s="1101"/>
      <c r="X803" s="1101"/>
      <c r="Y803" s="1102"/>
      <c r="Z803" s="1102"/>
      <c r="AA803" s="1101"/>
    </row>
    <row r="804" ht="15.75" customHeight="1">
      <c r="A804" s="213"/>
      <c r="B804" s="213"/>
      <c r="C804" s="1101"/>
      <c r="D804" s="1101"/>
      <c r="E804" s="1101"/>
      <c r="F804" s="1101"/>
      <c r="G804" s="1101"/>
      <c r="H804" s="1101"/>
      <c r="I804" s="1101"/>
      <c r="J804" s="1101"/>
      <c r="K804" s="1101"/>
      <c r="L804" s="1101"/>
      <c r="M804" s="1101"/>
      <c r="N804" s="1101"/>
      <c r="O804" s="1101"/>
      <c r="P804" s="1101"/>
      <c r="Q804" s="1101"/>
      <c r="R804" s="1101"/>
      <c r="S804" s="1101"/>
      <c r="T804" s="1101"/>
      <c r="U804" s="1101"/>
      <c r="V804" s="1101"/>
      <c r="W804" s="1101"/>
      <c r="X804" s="1101"/>
      <c r="Y804" s="1102"/>
      <c r="Z804" s="1102"/>
      <c r="AA804" s="1101"/>
    </row>
    <row r="805" ht="15.75" customHeight="1">
      <c r="A805" s="213"/>
      <c r="B805" s="213"/>
      <c r="C805" s="1101"/>
      <c r="D805" s="1101"/>
      <c r="E805" s="1101"/>
      <c r="F805" s="1101"/>
      <c r="G805" s="1101"/>
      <c r="H805" s="1101"/>
      <c r="I805" s="1101"/>
      <c r="J805" s="1101"/>
      <c r="K805" s="1101"/>
      <c r="L805" s="1101"/>
      <c r="M805" s="1101"/>
      <c r="N805" s="1101"/>
      <c r="O805" s="1101"/>
      <c r="P805" s="1101"/>
      <c r="Q805" s="1101"/>
      <c r="R805" s="1101"/>
      <c r="S805" s="1101"/>
      <c r="T805" s="1101"/>
      <c r="U805" s="1101"/>
      <c r="V805" s="1101"/>
      <c r="W805" s="1101"/>
      <c r="X805" s="1101"/>
      <c r="Y805" s="1102"/>
      <c r="Z805" s="1102"/>
      <c r="AA805" s="1101"/>
    </row>
    <row r="806" ht="15.75" customHeight="1">
      <c r="A806" s="213"/>
      <c r="B806" s="213"/>
      <c r="C806" s="1101"/>
      <c r="D806" s="1101"/>
      <c r="E806" s="1101"/>
      <c r="F806" s="1101"/>
      <c r="G806" s="1101"/>
      <c r="H806" s="1101"/>
      <c r="I806" s="1101"/>
      <c r="J806" s="1101"/>
      <c r="K806" s="1101"/>
      <c r="L806" s="1101"/>
      <c r="M806" s="1101"/>
      <c r="N806" s="1101"/>
      <c r="O806" s="1101"/>
      <c r="P806" s="1101"/>
      <c r="Q806" s="1101"/>
      <c r="R806" s="1101"/>
      <c r="S806" s="1101"/>
      <c r="T806" s="1101"/>
      <c r="U806" s="1101"/>
      <c r="V806" s="1101"/>
      <c r="W806" s="1101"/>
      <c r="X806" s="1101"/>
      <c r="Y806" s="1102"/>
      <c r="Z806" s="1102"/>
      <c r="AA806" s="1101"/>
    </row>
    <row r="807" ht="15.75" customHeight="1">
      <c r="A807" s="213"/>
      <c r="B807" s="213"/>
      <c r="C807" s="1101"/>
      <c r="D807" s="1101"/>
      <c r="E807" s="1101"/>
      <c r="F807" s="1101"/>
      <c r="G807" s="1101"/>
      <c r="H807" s="1101"/>
      <c r="I807" s="1101"/>
      <c r="J807" s="1101"/>
      <c r="K807" s="1101"/>
      <c r="L807" s="1101"/>
      <c r="M807" s="1101"/>
      <c r="N807" s="1101"/>
      <c r="O807" s="1101"/>
      <c r="P807" s="1101"/>
      <c r="Q807" s="1101"/>
      <c r="R807" s="1101"/>
      <c r="S807" s="1101"/>
      <c r="T807" s="1101"/>
      <c r="U807" s="1101"/>
      <c r="V807" s="1101"/>
      <c r="W807" s="1101"/>
      <c r="X807" s="1101"/>
      <c r="Y807" s="1102"/>
      <c r="Z807" s="1102"/>
      <c r="AA807" s="1101"/>
    </row>
    <row r="808" ht="15.75" customHeight="1">
      <c r="A808" s="213"/>
      <c r="B808" s="213"/>
      <c r="C808" s="1101"/>
      <c r="D808" s="1101"/>
      <c r="E808" s="1101"/>
      <c r="F808" s="1101"/>
      <c r="G808" s="1101"/>
      <c r="H808" s="1101"/>
      <c r="I808" s="1101"/>
      <c r="J808" s="1101"/>
      <c r="K808" s="1101"/>
      <c r="L808" s="1101"/>
      <c r="M808" s="1101"/>
      <c r="N808" s="1101"/>
      <c r="O808" s="1101"/>
      <c r="P808" s="1101"/>
      <c r="Q808" s="1101"/>
      <c r="R808" s="1101"/>
      <c r="S808" s="1101"/>
      <c r="T808" s="1101"/>
      <c r="U808" s="1101"/>
      <c r="V808" s="1101"/>
      <c r="W808" s="1101"/>
      <c r="X808" s="1101"/>
      <c r="Y808" s="1102"/>
      <c r="Z808" s="1102"/>
      <c r="AA808" s="1101"/>
    </row>
    <row r="809" ht="15.75" customHeight="1">
      <c r="A809" s="213"/>
      <c r="B809" s="213"/>
      <c r="C809" s="1101"/>
      <c r="D809" s="1101"/>
      <c r="E809" s="1101"/>
      <c r="F809" s="1101"/>
      <c r="G809" s="1101"/>
      <c r="H809" s="1101"/>
      <c r="I809" s="1101"/>
      <c r="J809" s="1101"/>
      <c r="K809" s="1101"/>
      <c r="L809" s="1101"/>
      <c r="M809" s="1101"/>
      <c r="N809" s="1101"/>
      <c r="O809" s="1101"/>
      <c r="P809" s="1101"/>
      <c r="Q809" s="1101"/>
      <c r="R809" s="1101"/>
      <c r="S809" s="1101"/>
      <c r="T809" s="1101"/>
      <c r="U809" s="1101"/>
      <c r="V809" s="1101"/>
      <c r="W809" s="1101"/>
      <c r="X809" s="1101"/>
      <c r="Y809" s="1102"/>
      <c r="Z809" s="1102"/>
      <c r="AA809" s="1101"/>
    </row>
    <row r="810" ht="15.75" customHeight="1">
      <c r="A810" s="213"/>
      <c r="B810" s="213"/>
      <c r="C810" s="1101"/>
      <c r="D810" s="1101"/>
      <c r="E810" s="1101"/>
      <c r="F810" s="1101"/>
      <c r="G810" s="1101"/>
      <c r="H810" s="1101"/>
      <c r="I810" s="1101"/>
      <c r="J810" s="1101"/>
      <c r="K810" s="1101"/>
      <c r="L810" s="1101"/>
      <c r="M810" s="1101"/>
      <c r="N810" s="1101"/>
      <c r="O810" s="1101"/>
      <c r="P810" s="1101"/>
      <c r="Q810" s="1101"/>
      <c r="R810" s="1101"/>
      <c r="S810" s="1101"/>
      <c r="T810" s="1101"/>
      <c r="U810" s="1101"/>
      <c r="V810" s="1101"/>
      <c r="W810" s="1101"/>
      <c r="X810" s="1101"/>
      <c r="Y810" s="1102"/>
      <c r="Z810" s="1102"/>
      <c r="AA810" s="1101"/>
    </row>
    <row r="811" ht="15.75" customHeight="1">
      <c r="A811" s="213"/>
      <c r="B811" s="213"/>
      <c r="C811" s="1101"/>
      <c r="D811" s="1101"/>
      <c r="E811" s="1101"/>
      <c r="F811" s="1101"/>
      <c r="G811" s="1101"/>
      <c r="H811" s="1101"/>
      <c r="I811" s="1101"/>
      <c r="J811" s="1101"/>
      <c r="K811" s="1101"/>
      <c r="L811" s="1101"/>
      <c r="M811" s="1101"/>
      <c r="N811" s="1101"/>
      <c r="O811" s="1101"/>
      <c r="P811" s="1101"/>
      <c r="Q811" s="1101"/>
      <c r="R811" s="1101"/>
      <c r="S811" s="1101"/>
      <c r="T811" s="1101"/>
      <c r="U811" s="1101"/>
      <c r="V811" s="1101"/>
      <c r="W811" s="1101"/>
      <c r="X811" s="1101"/>
      <c r="Y811" s="1102"/>
      <c r="Z811" s="1102"/>
      <c r="AA811" s="1101"/>
    </row>
    <row r="812" ht="15.75" customHeight="1">
      <c r="A812" s="213"/>
      <c r="B812" s="213"/>
      <c r="C812" s="1101"/>
      <c r="D812" s="1101"/>
      <c r="E812" s="1101"/>
      <c r="F812" s="1101"/>
      <c r="G812" s="1101"/>
      <c r="H812" s="1101"/>
      <c r="I812" s="1101"/>
      <c r="J812" s="1101"/>
      <c r="K812" s="1101"/>
      <c r="L812" s="1101"/>
      <c r="M812" s="1101"/>
      <c r="N812" s="1101"/>
      <c r="O812" s="1101"/>
      <c r="P812" s="1101"/>
      <c r="Q812" s="1101"/>
      <c r="R812" s="1101"/>
      <c r="S812" s="1101"/>
      <c r="T812" s="1101"/>
      <c r="U812" s="1101"/>
      <c r="V812" s="1101"/>
      <c r="W812" s="1101"/>
      <c r="X812" s="1101"/>
      <c r="Y812" s="1102"/>
      <c r="Z812" s="1102"/>
      <c r="AA812" s="1101"/>
    </row>
    <row r="813" ht="15.75" customHeight="1">
      <c r="A813" s="213"/>
      <c r="B813" s="213"/>
      <c r="C813" s="1101"/>
      <c r="D813" s="1101"/>
      <c r="E813" s="1101"/>
      <c r="F813" s="1101"/>
      <c r="G813" s="1101"/>
      <c r="H813" s="1101"/>
      <c r="I813" s="1101"/>
      <c r="J813" s="1101"/>
      <c r="K813" s="1101"/>
      <c r="L813" s="1101"/>
      <c r="M813" s="1101"/>
      <c r="N813" s="1101"/>
      <c r="O813" s="1101"/>
      <c r="P813" s="1101"/>
      <c r="Q813" s="1101"/>
      <c r="R813" s="1101"/>
      <c r="S813" s="1101"/>
      <c r="T813" s="1101"/>
      <c r="U813" s="1101"/>
      <c r="V813" s="1101"/>
      <c r="W813" s="1101"/>
      <c r="X813" s="1101"/>
      <c r="Y813" s="1102"/>
      <c r="Z813" s="1102"/>
      <c r="AA813" s="1101"/>
    </row>
    <row r="814" ht="15.75" customHeight="1">
      <c r="A814" s="213"/>
      <c r="B814" s="213"/>
      <c r="C814" s="1101"/>
      <c r="D814" s="1101"/>
      <c r="E814" s="1101"/>
      <c r="F814" s="1101"/>
      <c r="G814" s="1101"/>
      <c r="H814" s="1101"/>
      <c r="I814" s="1101"/>
      <c r="J814" s="1101"/>
      <c r="K814" s="1101"/>
      <c r="L814" s="1101"/>
      <c r="M814" s="1101"/>
      <c r="N814" s="1101"/>
      <c r="O814" s="1101"/>
      <c r="P814" s="1101"/>
      <c r="Q814" s="1101"/>
      <c r="R814" s="1101"/>
      <c r="S814" s="1101"/>
      <c r="T814" s="1101"/>
      <c r="U814" s="1101"/>
      <c r="V814" s="1101"/>
      <c r="W814" s="1101"/>
      <c r="X814" s="1101"/>
      <c r="Y814" s="1102"/>
      <c r="Z814" s="1102"/>
      <c r="AA814" s="1101"/>
    </row>
    <row r="815" ht="15.75" customHeight="1">
      <c r="A815" s="213"/>
      <c r="B815" s="213"/>
      <c r="C815" s="1101"/>
      <c r="D815" s="1101"/>
      <c r="E815" s="1101"/>
      <c r="F815" s="1101"/>
      <c r="G815" s="1101"/>
      <c r="H815" s="1101"/>
      <c r="I815" s="1101"/>
      <c r="J815" s="1101"/>
      <c r="K815" s="1101"/>
      <c r="L815" s="1101"/>
      <c r="M815" s="1101"/>
      <c r="N815" s="1101"/>
      <c r="O815" s="1101"/>
      <c r="P815" s="1101"/>
      <c r="Q815" s="1101"/>
      <c r="R815" s="1101"/>
      <c r="S815" s="1101"/>
      <c r="T815" s="1101"/>
      <c r="U815" s="1101"/>
      <c r="V815" s="1101"/>
      <c r="W815" s="1101"/>
      <c r="X815" s="1101"/>
      <c r="Y815" s="1102"/>
      <c r="Z815" s="1102"/>
      <c r="AA815" s="1101"/>
    </row>
    <row r="816" ht="15.75" customHeight="1">
      <c r="A816" s="213"/>
      <c r="B816" s="213"/>
      <c r="C816" s="1101"/>
      <c r="D816" s="1101"/>
      <c r="E816" s="1101"/>
      <c r="F816" s="1101"/>
      <c r="G816" s="1101"/>
      <c r="H816" s="1101"/>
      <c r="I816" s="1101"/>
      <c r="J816" s="1101"/>
      <c r="K816" s="1101"/>
      <c r="L816" s="1101"/>
      <c r="M816" s="1101"/>
      <c r="N816" s="1101"/>
      <c r="O816" s="1101"/>
      <c r="P816" s="1101"/>
      <c r="Q816" s="1101"/>
      <c r="R816" s="1101"/>
      <c r="S816" s="1101"/>
      <c r="T816" s="1101"/>
      <c r="U816" s="1101"/>
      <c r="V816" s="1101"/>
      <c r="W816" s="1101"/>
      <c r="X816" s="1101"/>
      <c r="Y816" s="1102"/>
      <c r="Z816" s="1102"/>
      <c r="AA816" s="1101"/>
    </row>
    <row r="817" ht="15.75" customHeight="1">
      <c r="A817" s="213"/>
      <c r="B817" s="213"/>
      <c r="C817" s="1101"/>
      <c r="D817" s="1101"/>
      <c r="E817" s="1101"/>
      <c r="F817" s="1101"/>
      <c r="G817" s="1101"/>
      <c r="H817" s="1101"/>
      <c r="I817" s="1101"/>
      <c r="J817" s="1101"/>
      <c r="K817" s="1101"/>
      <c r="L817" s="1101"/>
      <c r="M817" s="1101"/>
      <c r="N817" s="1101"/>
      <c r="O817" s="1101"/>
      <c r="P817" s="1101"/>
      <c r="Q817" s="1101"/>
      <c r="R817" s="1101"/>
      <c r="S817" s="1101"/>
      <c r="T817" s="1101"/>
      <c r="U817" s="1101"/>
      <c r="V817" s="1101"/>
      <c r="W817" s="1101"/>
      <c r="X817" s="1101"/>
      <c r="Y817" s="1102"/>
      <c r="Z817" s="1102"/>
      <c r="AA817" s="1101"/>
    </row>
    <row r="818" ht="15.75" customHeight="1">
      <c r="A818" s="213"/>
      <c r="B818" s="213"/>
      <c r="C818" s="1101"/>
      <c r="D818" s="1101"/>
      <c r="E818" s="1101"/>
      <c r="F818" s="1101"/>
      <c r="G818" s="1101"/>
      <c r="H818" s="1101"/>
      <c r="I818" s="1101"/>
      <c r="J818" s="1101"/>
      <c r="K818" s="1101"/>
      <c r="L818" s="1101"/>
      <c r="M818" s="1101"/>
      <c r="N818" s="1101"/>
      <c r="O818" s="1101"/>
      <c r="P818" s="1101"/>
      <c r="Q818" s="1101"/>
      <c r="R818" s="1101"/>
      <c r="S818" s="1101"/>
      <c r="T818" s="1101"/>
      <c r="U818" s="1101"/>
      <c r="V818" s="1101"/>
      <c r="W818" s="1101"/>
      <c r="X818" s="1101"/>
      <c r="Y818" s="1102"/>
      <c r="Z818" s="1102"/>
      <c r="AA818" s="1101"/>
    </row>
    <row r="819" ht="15.75" customHeight="1">
      <c r="A819" s="213"/>
      <c r="B819" s="213"/>
      <c r="C819" s="1101"/>
      <c r="D819" s="1101"/>
      <c r="E819" s="1101"/>
      <c r="F819" s="1101"/>
      <c r="G819" s="1101"/>
      <c r="H819" s="1101"/>
      <c r="I819" s="1101"/>
      <c r="J819" s="1101"/>
      <c r="K819" s="1101"/>
      <c r="L819" s="1101"/>
      <c r="M819" s="1101"/>
      <c r="N819" s="1101"/>
      <c r="O819" s="1101"/>
      <c r="P819" s="1101"/>
      <c r="Q819" s="1101"/>
      <c r="R819" s="1101"/>
      <c r="S819" s="1101"/>
      <c r="T819" s="1101"/>
      <c r="U819" s="1101"/>
      <c r="V819" s="1101"/>
      <c r="W819" s="1101"/>
      <c r="X819" s="1101"/>
      <c r="Y819" s="1102"/>
      <c r="Z819" s="1102"/>
      <c r="AA819" s="1101"/>
    </row>
    <row r="820" ht="15.75" customHeight="1">
      <c r="A820" s="213"/>
      <c r="B820" s="213"/>
      <c r="C820" s="1101"/>
      <c r="D820" s="1101"/>
      <c r="E820" s="1101"/>
      <c r="F820" s="1101"/>
      <c r="G820" s="1101"/>
      <c r="H820" s="1101"/>
      <c r="I820" s="1101"/>
      <c r="J820" s="1101"/>
      <c r="K820" s="1101"/>
      <c r="L820" s="1101"/>
      <c r="M820" s="1101"/>
      <c r="N820" s="1101"/>
      <c r="O820" s="1101"/>
      <c r="P820" s="1101"/>
      <c r="Q820" s="1101"/>
      <c r="R820" s="1101"/>
      <c r="S820" s="1101"/>
      <c r="T820" s="1101"/>
      <c r="U820" s="1101"/>
      <c r="V820" s="1101"/>
      <c r="W820" s="1101"/>
      <c r="X820" s="1101"/>
      <c r="Y820" s="1102"/>
      <c r="Z820" s="1102"/>
      <c r="AA820" s="1101"/>
    </row>
    <row r="821" ht="15.75" customHeight="1">
      <c r="A821" s="213"/>
      <c r="B821" s="213"/>
      <c r="C821" s="1101"/>
      <c r="D821" s="1101"/>
      <c r="E821" s="1101"/>
      <c r="F821" s="1101"/>
      <c r="G821" s="1101"/>
      <c r="H821" s="1101"/>
      <c r="I821" s="1101"/>
      <c r="J821" s="1101"/>
      <c r="K821" s="1101"/>
      <c r="L821" s="1101"/>
      <c r="M821" s="1101"/>
      <c r="N821" s="1101"/>
      <c r="O821" s="1101"/>
      <c r="P821" s="1101"/>
      <c r="Q821" s="1101"/>
      <c r="R821" s="1101"/>
      <c r="S821" s="1101"/>
      <c r="T821" s="1101"/>
      <c r="U821" s="1101"/>
      <c r="V821" s="1101"/>
      <c r="W821" s="1101"/>
      <c r="X821" s="1101"/>
      <c r="Y821" s="1102"/>
      <c r="Z821" s="1102"/>
      <c r="AA821" s="1101"/>
    </row>
    <row r="822" ht="15.75" customHeight="1">
      <c r="A822" s="213"/>
      <c r="B822" s="213"/>
      <c r="C822" s="1101"/>
      <c r="D822" s="1101"/>
      <c r="E822" s="1101"/>
      <c r="F822" s="1101"/>
      <c r="G822" s="1101"/>
      <c r="H822" s="1101"/>
      <c r="I822" s="1101"/>
      <c r="J822" s="1101"/>
      <c r="K822" s="1101"/>
      <c r="L822" s="1101"/>
      <c r="M822" s="1101"/>
      <c r="N822" s="1101"/>
      <c r="O822" s="1101"/>
      <c r="P822" s="1101"/>
      <c r="Q822" s="1101"/>
      <c r="R822" s="1101"/>
      <c r="S822" s="1101"/>
      <c r="T822" s="1101"/>
      <c r="U822" s="1101"/>
      <c r="V822" s="1101"/>
      <c r="W822" s="1101"/>
      <c r="X822" s="1101"/>
      <c r="Y822" s="1102"/>
      <c r="Z822" s="1102"/>
      <c r="AA822" s="1101"/>
    </row>
    <row r="823" ht="15.75" customHeight="1">
      <c r="A823" s="213"/>
      <c r="B823" s="213"/>
      <c r="C823" s="1101"/>
      <c r="D823" s="1101"/>
      <c r="E823" s="1101"/>
      <c r="F823" s="1101"/>
      <c r="G823" s="1101"/>
      <c r="H823" s="1101"/>
      <c r="I823" s="1101"/>
      <c r="J823" s="1101"/>
      <c r="K823" s="1101"/>
      <c r="L823" s="1101"/>
      <c r="M823" s="1101"/>
      <c r="N823" s="1101"/>
      <c r="O823" s="1101"/>
      <c r="P823" s="1101"/>
      <c r="Q823" s="1101"/>
      <c r="R823" s="1101"/>
      <c r="S823" s="1101"/>
      <c r="T823" s="1101"/>
      <c r="U823" s="1101"/>
      <c r="V823" s="1101"/>
      <c r="W823" s="1101"/>
      <c r="X823" s="1101"/>
      <c r="Y823" s="1102"/>
      <c r="Z823" s="1102"/>
      <c r="AA823" s="1101"/>
    </row>
    <row r="824" ht="15.75" customHeight="1">
      <c r="A824" s="213"/>
      <c r="B824" s="213"/>
      <c r="C824" s="1101"/>
      <c r="D824" s="1101"/>
      <c r="E824" s="1101"/>
      <c r="F824" s="1101"/>
      <c r="G824" s="1101"/>
      <c r="H824" s="1101"/>
      <c r="I824" s="1101"/>
      <c r="J824" s="1101"/>
      <c r="K824" s="1101"/>
      <c r="L824" s="1101"/>
      <c r="M824" s="1101"/>
      <c r="N824" s="1101"/>
      <c r="O824" s="1101"/>
      <c r="P824" s="1101"/>
      <c r="Q824" s="1101"/>
      <c r="R824" s="1101"/>
      <c r="S824" s="1101"/>
      <c r="T824" s="1101"/>
      <c r="U824" s="1101"/>
      <c r="V824" s="1101"/>
      <c r="W824" s="1101"/>
      <c r="X824" s="1101"/>
      <c r="Y824" s="1102"/>
      <c r="Z824" s="1102"/>
      <c r="AA824" s="1101"/>
    </row>
    <row r="825" ht="15.75" customHeight="1">
      <c r="A825" s="213"/>
      <c r="B825" s="213"/>
      <c r="C825" s="1101"/>
      <c r="D825" s="1101"/>
      <c r="E825" s="1101"/>
      <c r="F825" s="1101"/>
      <c r="G825" s="1101"/>
      <c r="H825" s="1101"/>
      <c r="I825" s="1101"/>
      <c r="J825" s="1101"/>
      <c r="K825" s="1101"/>
      <c r="L825" s="1101"/>
      <c r="M825" s="1101"/>
      <c r="N825" s="1101"/>
      <c r="O825" s="1101"/>
      <c r="P825" s="1101"/>
      <c r="Q825" s="1101"/>
      <c r="R825" s="1101"/>
      <c r="S825" s="1101"/>
      <c r="T825" s="1101"/>
      <c r="U825" s="1101"/>
      <c r="V825" s="1101"/>
      <c r="W825" s="1101"/>
      <c r="X825" s="1101"/>
      <c r="Y825" s="1102"/>
      <c r="Z825" s="1102"/>
      <c r="AA825" s="1101"/>
    </row>
    <row r="826" ht="15.75" customHeight="1">
      <c r="A826" s="213"/>
      <c r="B826" s="213"/>
      <c r="C826" s="1101"/>
      <c r="D826" s="1101"/>
      <c r="E826" s="1101"/>
      <c r="F826" s="1101"/>
      <c r="G826" s="1101"/>
      <c r="H826" s="1101"/>
      <c r="I826" s="1101"/>
      <c r="J826" s="1101"/>
      <c r="K826" s="1101"/>
      <c r="L826" s="1101"/>
      <c r="M826" s="1101"/>
      <c r="N826" s="1101"/>
      <c r="O826" s="1101"/>
      <c r="P826" s="1101"/>
      <c r="Q826" s="1101"/>
      <c r="R826" s="1101"/>
      <c r="S826" s="1101"/>
      <c r="T826" s="1101"/>
      <c r="U826" s="1101"/>
      <c r="V826" s="1101"/>
      <c r="W826" s="1101"/>
      <c r="X826" s="1101"/>
      <c r="Y826" s="1102"/>
      <c r="Z826" s="1102"/>
      <c r="AA826" s="1101"/>
    </row>
    <row r="827" ht="15.75" customHeight="1">
      <c r="A827" s="213"/>
      <c r="B827" s="213"/>
      <c r="C827" s="1101"/>
      <c r="D827" s="1101"/>
      <c r="E827" s="1101"/>
      <c r="F827" s="1101"/>
      <c r="G827" s="1101"/>
      <c r="H827" s="1101"/>
      <c r="I827" s="1101"/>
      <c r="J827" s="1101"/>
      <c r="K827" s="1101"/>
      <c r="L827" s="1101"/>
      <c r="M827" s="1101"/>
      <c r="N827" s="1101"/>
      <c r="O827" s="1101"/>
      <c r="P827" s="1101"/>
      <c r="Q827" s="1101"/>
      <c r="R827" s="1101"/>
      <c r="S827" s="1101"/>
      <c r="T827" s="1101"/>
      <c r="U827" s="1101"/>
      <c r="V827" s="1101"/>
      <c r="W827" s="1101"/>
      <c r="X827" s="1101"/>
      <c r="Y827" s="1102"/>
      <c r="Z827" s="1102"/>
      <c r="AA827" s="1101"/>
    </row>
    <row r="828" ht="15.75" customHeight="1">
      <c r="A828" s="213"/>
      <c r="B828" s="213"/>
      <c r="C828" s="1101"/>
      <c r="D828" s="1101"/>
      <c r="E828" s="1101"/>
      <c r="F828" s="1101"/>
      <c r="G828" s="1101"/>
      <c r="H828" s="1101"/>
      <c r="I828" s="1101"/>
      <c r="J828" s="1101"/>
      <c r="K828" s="1101"/>
      <c r="L828" s="1101"/>
      <c r="M828" s="1101"/>
      <c r="N828" s="1101"/>
      <c r="O828" s="1101"/>
      <c r="P828" s="1101"/>
      <c r="Q828" s="1101"/>
      <c r="R828" s="1101"/>
      <c r="S828" s="1101"/>
      <c r="T828" s="1101"/>
      <c r="U828" s="1101"/>
      <c r="V828" s="1101"/>
      <c r="W828" s="1101"/>
      <c r="X828" s="1101"/>
      <c r="Y828" s="1102"/>
      <c r="Z828" s="1102"/>
      <c r="AA828" s="1101"/>
    </row>
    <row r="829" ht="15.75" customHeight="1">
      <c r="A829" s="213"/>
      <c r="B829" s="213"/>
      <c r="C829" s="1101"/>
      <c r="D829" s="1101"/>
      <c r="E829" s="1101"/>
      <c r="F829" s="1101"/>
      <c r="G829" s="1101"/>
      <c r="H829" s="1101"/>
      <c r="I829" s="1101"/>
      <c r="J829" s="1101"/>
      <c r="K829" s="1101"/>
      <c r="L829" s="1101"/>
      <c r="M829" s="1101"/>
      <c r="N829" s="1101"/>
      <c r="O829" s="1101"/>
      <c r="P829" s="1101"/>
      <c r="Q829" s="1101"/>
      <c r="R829" s="1101"/>
      <c r="S829" s="1101"/>
      <c r="T829" s="1101"/>
      <c r="U829" s="1101"/>
      <c r="V829" s="1101"/>
      <c r="W829" s="1101"/>
      <c r="X829" s="1101"/>
      <c r="Y829" s="1102"/>
      <c r="Z829" s="1102"/>
      <c r="AA829" s="1101"/>
    </row>
    <row r="830" ht="15.75" customHeight="1">
      <c r="A830" s="213"/>
      <c r="B830" s="213"/>
      <c r="C830" s="1101"/>
      <c r="D830" s="1101"/>
      <c r="E830" s="1101"/>
      <c r="F830" s="1101"/>
      <c r="G830" s="1101"/>
      <c r="H830" s="1101"/>
      <c r="I830" s="1101"/>
      <c r="J830" s="1101"/>
      <c r="K830" s="1101"/>
      <c r="L830" s="1101"/>
      <c r="M830" s="1101"/>
      <c r="N830" s="1101"/>
      <c r="O830" s="1101"/>
      <c r="P830" s="1101"/>
      <c r="Q830" s="1101"/>
      <c r="R830" s="1101"/>
      <c r="S830" s="1101"/>
      <c r="T830" s="1101"/>
      <c r="U830" s="1101"/>
      <c r="V830" s="1101"/>
      <c r="W830" s="1101"/>
      <c r="X830" s="1101"/>
      <c r="Y830" s="1102"/>
      <c r="Z830" s="1102"/>
      <c r="AA830" s="1101"/>
    </row>
    <row r="831" ht="15.75" customHeight="1">
      <c r="A831" s="213"/>
      <c r="B831" s="213"/>
      <c r="C831" s="1101"/>
      <c r="D831" s="1101"/>
      <c r="E831" s="1101"/>
      <c r="F831" s="1101"/>
      <c r="G831" s="1101"/>
      <c r="H831" s="1101"/>
      <c r="I831" s="1101"/>
      <c r="J831" s="1101"/>
      <c r="K831" s="1101"/>
      <c r="L831" s="1101"/>
      <c r="M831" s="1101"/>
      <c r="N831" s="1101"/>
      <c r="O831" s="1101"/>
      <c r="P831" s="1101"/>
      <c r="Q831" s="1101"/>
      <c r="R831" s="1101"/>
      <c r="S831" s="1101"/>
      <c r="T831" s="1101"/>
      <c r="U831" s="1101"/>
      <c r="V831" s="1101"/>
      <c r="W831" s="1101"/>
      <c r="X831" s="1101"/>
      <c r="Y831" s="1102"/>
      <c r="Z831" s="1102"/>
      <c r="AA831" s="1101"/>
    </row>
    <row r="832" ht="15.75" customHeight="1">
      <c r="A832" s="213"/>
      <c r="B832" s="213"/>
      <c r="C832" s="1101"/>
      <c r="D832" s="1101"/>
      <c r="E832" s="1101"/>
      <c r="F832" s="1101"/>
      <c r="G832" s="1101"/>
      <c r="H832" s="1101"/>
      <c r="I832" s="1101"/>
      <c r="J832" s="1101"/>
      <c r="K832" s="1101"/>
      <c r="L832" s="1101"/>
      <c r="M832" s="1101"/>
      <c r="N832" s="1101"/>
      <c r="O832" s="1101"/>
      <c r="P832" s="1101"/>
      <c r="Q832" s="1101"/>
      <c r="R832" s="1101"/>
      <c r="S832" s="1101"/>
      <c r="T832" s="1101"/>
      <c r="U832" s="1101"/>
      <c r="V832" s="1101"/>
      <c r="W832" s="1101"/>
      <c r="X832" s="1101"/>
      <c r="Y832" s="1102"/>
      <c r="Z832" s="1102"/>
      <c r="AA832" s="1101"/>
    </row>
    <row r="833" ht="15.75" customHeight="1">
      <c r="A833" s="213"/>
      <c r="B833" s="213"/>
      <c r="C833" s="1101"/>
      <c r="D833" s="1101"/>
      <c r="E833" s="1101"/>
      <c r="F833" s="1101"/>
      <c r="G833" s="1101"/>
      <c r="H833" s="1101"/>
      <c r="I833" s="1101"/>
      <c r="J833" s="1101"/>
      <c r="K833" s="1101"/>
      <c r="L833" s="1101"/>
      <c r="M833" s="1101"/>
      <c r="N833" s="1101"/>
      <c r="O833" s="1101"/>
      <c r="P833" s="1101"/>
      <c r="Q833" s="1101"/>
      <c r="R833" s="1101"/>
      <c r="S833" s="1101"/>
      <c r="T833" s="1101"/>
      <c r="U833" s="1101"/>
      <c r="V833" s="1101"/>
      <c r="W833" s="1101"/>
      <c r="X833" s="1101"/>
      <c r="Y833" s="1102"/>
      <c r="Z833" s="1102"/>
      <c r="AA833" s="1101"/>
    </row>
    <row r="834" ht="15.75" customHeight="1">
      <c r="A834" s="213"/>
      <c r="B834" s="213"/>
      <c r="C834" s="1101"/>
      <c r="D834" s="1101"/>
      <c r="E834" s="1101"/>
      <c r="F834" s="1101"/>
      <c r="G834" s="1101"/>
      <c r="H834" s="1101"/>
      <c r="I834" s="1101"/>
      <c r="J834" s="1101"/>
      <c r="K834" s="1101"/>
      <c r="L834" s="1101"/>
      <c r="M834" s="1101"/>
      <c r="N834" s="1101"/>
      <c r="O834" s="1101"/>
      <c r="P834" s="1101"/>
      <c r="Q834" s="1101"/>
      <c r="R834" s="1101"/>
      <c r="S834" s="1101"/>
      <c r="T834" s="1101"/>
      <c r="U834" s="1101"/>
      <c r="V834" s="1101"/>
      <c r="W834" s="1101"/>
      <c r="X834" s="1101"/>
      <c r="Y834" s="1102"/>
      <c r="Z834" s="1102"/>
      <c r="AA834" s="1101"/>
    </row>
    <row r="835" ht="15.75" customHeight="1">
      <c r="A835" s="213"/>
      <c r="B835" s="213"/>
      <c r="C835" s="1101"/>
      <c r="D835" s="1101"/>
      <c r="E835" s="1101"/>
      <c r="F835" s="1101"/>
      <c r="G835" s="1101"/>
      <c r="H835" s="1101"/>
      <c r="I835" s="1101"/>
      <c r="J835" s="1101"/>
      <c r="K835" s="1101"/>
      <c r="L835" s="1101"/>
      <c r="M835" s="1101"/>
      <c r="N835" s="1101"/>
      <c r="O835" s="1101"/>
      <c r="P835" s="1101"/>
      <c r="Q835" s="1101"/>
      <c r="R835" s="1101"/>
      <c r="S835" s="1101"/>
      <c r="T835" s="1101"/>
      <c r="U835" s="1101"/>
      <c r="V835" s="1101"/>
      <c r="W835" s="1101"/>
      <c r="X835" s="1101"/>
      <c r="Y835" s="1102"/>
      <c r="Z835" s="1102"/>
      <c r="AA835" s="1101"/>
    </row>
    <row r="836" ht="15.75" customHeight="1">
      <c r="A836" s="213"/>
      <c r="B836" s="213"/>
      <c r="C836" s="1101"/>
      <c r="D836" s="1101"/>
      <c r="E836" s="1101"/>
      <c r="F836" s="1101"/>
      <c r="G836" s="1101"/>
      <c r="H836" s="1101"/>
      <c r="I836" s="1101"/>
      <c r="J836" s="1101"/>
      <c r="K836" s="1101"/>
      <c r="L836" s="1101"/>
      <c r="M836" s="1101"/>
      <c r="N836" s="1101"/>
      <c r="O836" s="1101"/>
      <c r="P836" s="1101"/>
      <c r="Q836" s="1101"/>
      <c r="R836" s="1101"/>
      <c r="S836" s="1101"/>
      <c r="T836" s="1101"/>
      <c r="U836" s="1101"/>
      <c r="V836" s="1101"/>
      <c r="W836" s="1101"/>
      <c r="X836" s="1101"/>
      <c r="Y836" s="1102"/>
      <c r="Z836" s="1102"/>
      <c r="AA836" s="1101"/>
    </row>
    <row r="837" ht="15.75" customHeight="1">
      <c r="A837" s="213"/>
      <c r="B837" s="213"/>
      <c r="C837" s="1101"/>
      <c r="D837" s="1101"/>
      <c r="E837" s="1101"/>
      <c r="F837" s="1101"/>
      <c r="G837" s="1101"/>
      <c r="H837" s="1101"/>
      <c r="I837" s="1101"/>
      <c r="J837" s="1101"/>
      <c r="K837" s="1101"/>
      <c r="L837" s="1101"/>
      <c r="M837" s="1101"/>
      <c r="N837" s="1101"/>
      <c r="O837" s="1101"/>
      <c r="P837" s="1101"/>
      <c r="Q837" s="1101"/>
      <c r="R837" s="1101"/>
      <c r="S837" s="1101"/>
      <c r="T837" s="1101"/>
      <c r="U837" s="1101"/>
      <c r="V837" s="1101"/>
      <c r="W837" s="1101"/>
      <c r="X837" s="1101"/>
      <c r="Y837" s="1102"/>
      <c r="Z837" s="1102"/>
      <c r="AA837" s="1101"/>
    </row>
    <row r="838" ht="15.75" customHeight="1">
      <c r="A838" s="213"/>
      <c r="B838" s="213"/>
      <c r="C838" s="1101"/>
      <c r="D838" s="1101"/>
      <c r="E838" s="1101"/>
      <c r="F838" s="1101"/>
      <c r="G838" s="1101"/>
      <c r="H838" s="1101"/>
      <c r="I838" s="1101"/>
      <c r="J838" s="1101"/>
      <c r="K838" s="1101"/>
      <c r="L838" s="1101"/>
      <c r="M838" s="1101"/>
      <c r="N838" s="1101"/>
      <c r="O838" s="1101"/>
      <c r="P838" s="1101"/>
      <c r="Q838" s="1101"/>
      <c r="R838" s="1101"/>
      <c r="S838" s="1101"/>
      <c r="T838" s="1101"/>
      <c r="U838" s="1101"/>
      <c r="V838" s="1101"/>
      <c r="W838" s="1101"/>
      <c r="X838" s="1101"/>
      <c r="Y838" s="1102"/>
      <c r="Z838" s="1102"/>
      <c r="AA838" s="1101"/>
    </row>
    <row r="839" ht="15.75" customHeight="1">
      <c r="A839" s="213"/>
      <c r="B839" s="213"/>
      <c r="C839" s="1101"/>
      <c r="D839" s="1101"/>
      <c r="E839" s="1101"/>
      <c r="F839" s="1101"/>
      <c r="G839" s="1101"/>
      <c r="H839" s="1101"/>
      <c r="I839" s="1101"/>
      <c r="J839" s="1101"/>
      <c r="K839" s="1101"/>
      <c r="L839" s="1101"/>
      <c r="M839" s="1101"/>
      <c r="N839" s="1101"/>
      <c r="O839" s="1101"/>
      <c r="P839" s="1101"/>
      <c r="Q839" s="1101"/>
      <c r="R839" s="1101"/>
      <c r="S839" s="1101"/>
      <c r="T839" s="1101"/>
      <c r="U839" s="1101"/>
      <c r="V839" s="1101"/>
      <c r="W839" s="1101"/>
      <c r="X839" s="1101"/>
      <c r="Y839" s="1102"/>
      <c r="Z839" s="1102"/>
      <c r="AA839" s="1101"/>
    </row>
    <row r="840" ht="15.75" customHeight="1">
      <c r="A840" s="213"/>
      <c r="B840" s="213"/>
      <c r="C840" s="1101"/>
      <c r="D840" s="1101"/>
      <c r="E840" s="1101"/>
      <c r="F840" s="1101"/>
      <c r="G840" s="1101"/>
      <c r="H840" s="1101"/>
      <c r="I840" s="1101"/>
      <c r="J840" s="1101"/>
      <c r="K840" s="1101"/>
      <c r="L840" s="1101"/>
      <c r="M840" s="1101"/>
      <c r="N840" s="1101"/>
      <c r="O840" s="1101"/>
      <c r="P840" s="1101"/>
      <c r="Q840" s="1101"/>
      <c r="R840" s="1101"/>
      <c r="S840" s="1101"/>
      <c r="T840" s="1101"/>
      <c r="U840" s="1101"/>
      <c r="V840" s="1101"/>
      <c r="W840" s="1101"/>
      <c r="X840" s="1101"/>
      <c r="Y840" s="1102"/>
      <c r="Z840" s="1102"/>
      <c r="AA840" s="1101"/>
    </row>
    <row r="841" ht="15.75" customHeight="1">
      <c r="A841" s="213"/>
      <c r="B841" s="213"/>
      <c r="C841" s="1101"/>
      <c r="D841" s="1101"/>
      <c r="E841" s="1101"/>
      <c r="F841" s="1101"/>
      <c r="G841" s="1101"/>
      <c r="H841" s="1101"/>
      <c r="I841" s="1101"/>
      <c r="J841" s="1101"/>
      <c r="K841" s="1101"/>
      <c r="L841" s="1101"/>
      <c r="M841" s="1101"/>
      <c r="N841" s="1101"/>
      <c r="O841" s="1101"/>
      <c r="P841" s="1101"/>
      <c r="Q841" s="1101"/>
      <c r="R841" s="1101"/>
      <c r="S841" s="1101"/>
      <c r="T841" s="1101"/>
      <c r="U841" s="1101"/>
      <c r="V841" s="1101"/>
      <c r="W841" s="1101"/>
      <c r="X841" s="1101"/>
      <c r="Y841" s="1102"/>
      <c r="Z841" s="1102"/>
      <c r="AA841" s="1101"/>
    </row>
    <row r="842" ht="15.75" customHeight="1">
      <c r="A842" s="213"/>
      <c r="B842" s="213"/>
      <c r="C842" s="1101"/>
      <c r="D842" s="1101"/>
      <c r="E842" s="1101"/>
      <c r="F842" s="1101"/>
      <c r="G842" s="1101"/>
      <c r="H842" s="1101"/>
      <c r="I842" s="1101"/>
      <c r="J842" s="1101"/>
      <c r="K842" s="1101"/>
      <c r="L842" s="1101"/>
      <c r="M842" s="1101"/>
      <c r="N842" s="1101"/>
      <c r="O842" s="1101"/>
      <c r="P842" s="1101"/>
      <c r="Q842" s="1101"/>
      <c r="R842" s="1101"/>
      <c r="S842" s="1101"/>
      <c r="T842" s="1101"/>
      <c r="U842" s="1101"/>
      <c r="V842" s="1101"/>
      <c r="W842" s="1101"/>
      <c r="X842" s="1101"/>
      <c r="Y842" s="1102"/>
      <c r="Z842" s="1102"/>
      <c r="AA842" s="1101"/>
    </row>
    <row r="843" ht="15.75" customHeight="1">
      <c r="A843" s="213"/>
      <c r="B843" s="213"/>
      <c r="C843" s="1101"/>
      <c r="D843" s="1101"/>
      <c r="E843" s="1101"/>
      <c r="F843" s="1101"/>
      <c r="G843" s="1101"/>
      <c r="H843" s="1101"/>
      <c r="I843" s="1101"/>
      <c r="J843" s="1101"/>
      <c r="K843" s="1101"/>
      <c r="L843" s="1101"/>
      <c r="M843" s="1101"/>
      <c r="N843" s="1101"/>
      <c r="O843" s="1101"/>
      <c r="P843" s="1101"/>
      <c r="Q843" s="1101"/>
      <c r="R843" s="1101"/>
      <c r="S843" s="1101"/>
      <c r="T843" s="1101"/>
      <c r="U843" s="1101"/>
      <c r="V843" s="1101"/>
      <c r="W843" s="1101"/>
      <c r="X843" s="1101"/>
      <c r="Y843" s="1102"/>
      <c r="Z843" s="1102"/>
      <c r="AA843" s="1101"/>
    </row>
    <row r="844" ht="15.75" customHeight="1">
      <c r="A844" s="213"/>
      <c r="B844" s="213"/>
      <c r="C844" s="1101"/>
      <c r="D844" s="1101"/>
      <c r="E844" s="1101"/>
      <c r="F844" s="1101"/>
      <c r="G844" s="1101"/>
      <c r="H844" s="1101"/>
      <c r="I844" s="1101"/>
      <c r="J844" s="1101"/>
      <c r="K844" s="1101"/>
      <c r="L844" s="1101"/>
      <c r="M844" s="1101"/>
      <c r="N844" s="1101"/>
      <c r="O844" s="1101"/>
      <c r="P844" s="1101"/>
      <c r="Q844" s="1101"/>
      <c r="R844" s="1101"/>
      <c r="S844" s="1101"/>
      <c r="T844" s="1101"/>
      <c r="U844" s="1101"/>
      <c r="V844" s="1101"/>
      <c r="W844" s="1101"/>
      <c r="X844" s="1101"/>
      <c r="Y844" s="1102"/>
      <c r="Z844" s="1102"/>
      <c r="AA844" s="1101"/>
    </row>
    <row r="845" ht="15.75" customHeight="1">
      <c r="A845" s="213"/>
      <c r="B845" s="213"/>
      <c r="C845" s="1101"/>
      <c r="D845" s="1101"/>
      <c r="E845" s="1101"/>
      <c r="F845" s="1101"/>
      <c r="G845" s="1101"/>
      <c r="H845" s="1101"/>
      <c r="I845" s="1101"/>
      <c r="J845" s="1101"/>
      <c r="K845" s="1101"/>
      <c r="L845" s="1101"/>
      <c r="M845" s="1101"/>
      <c r="N845" s="1101"/>
      <c r="O845" s="1101"/>
      <c r="P845" s="1101"/>
      <c r="Q845" s="1101"/>
      <c r="R845" s="1101"/>
      <c r="S845" s="1101"/>
      <c r="T845" s="1101"/>
      <c r="U845" s="1101"/>
      <c r="V845" s="1101"/>
      <c r="W845" s="1101"/>
      <c r="X845" s="1101"/>
      <c r="Y845" s="1102"/>
      <c r="Z845" s="1102"/>
      <c r="AA845" s="1101"/>
    </row>
    <row r="846" ht="15.75" customHeight="1">
      <c r="A846" s="213"/>
      <c r="B846" s="213"/>
      <c r="C846" s="1101"/>
      <c r="D846" s="1101"/>
      <c r="E846" s="1101"/>
      <c r="F846" s="1101"/>
      <c r="G846" s="1101"/>
      <c r="H846" s="1101"/>
      <c r="I846" s="1101"/>
      <c r="J846" s="1101"/>
      <c r="K846" s="1101"/>
      <c r="L846" s="1101"/>
      <c r="M846" s="1101"/>
      <c r="N846" s="1101"/>
      <c r="O846" s="1101"/>
      <c r="P846" s="1101"/>
      <c r="Q846" s="1101"/>
      <c r="R846" s="1101"/>
      <c r="S846" s="1101"/>
      <c r="T846" s="1101"/>
      <c r="U846" s="1101"/>
      <c r="V846" s="1101"/>
      <c r="W846" s="1101"/>
      <c r="X846" s="1101"/>
      <c r="Y846" s="1102"/>
      <c r="Z846" s="1102"/>
      <c r="AA846" s="1101"/>
    </row>
    <row r="847" ht="15.75" customHeight="1">
      <c r="A847" s="213"/>
      <c r="B847" s="213"/>
      <c r="C847" s="1101"/>
      <c r="D847" s="1101"/>
      <c r="E847" s="1101"/>
      <c r="F847" s="1101"/>
      <c r="G847" s="1101"/>
      <c r="H847" s="1101"/>
      <c r="I847" s="1101"/>
      <c r="J847" s="1101"/>
      <c r="K847" s="1101"/>
      <c r="L847" s="1101"/>
      <c r="M847" s="1101"/>
      <c r="N847" s="1101"/>
      <c r="O847" s="1101"/>
      <c r="P847" s="1101"/>
      <c r="Q847" s="1101"/>
      <c r="R847" s="1101"/>
      <c r="S847" s="1101"/>
      <c r="T847" s="1101"/>
      <c r="U847" s="1101"/>
      <c r="V847" s="1101"/>
      <c r="W847" s="1101"/>
      <c r="X847" s="1101"/>
      <c r="Y847" s="1102"/>
      <c r="Z847" s="1102"/>
      <c r="AA847" s="1101"/>
    </row>
    <row r="848" ht="15.75" customHeight="1">
      <c r="A848" s="213"/>
      <c r="B848" s="213"/>
      <c r="C848" s="1101"/>
      <c r="D848" s="1101"/>
      <c r="E848" s="1101"/>
      <c r="F848" s="1101"/>
      <c r="G848" s="1101"/>
      <c r="H848" s="1101"/>
      <c r="I848" s="1101"/>
      <c r="J848" s="1101"/>
      <c r="K848" s="1101"/>
      <c r="L848" s="1101"/>
      <c r="M848" s="1101"/>
      <c r="N848" s="1101"/>
      <c r="O848" s="1101"/>
      <c r="P848" s="1101"/>
      <c r="Q848" s="1101"/>
      <c r="R848" s="1101"/>
      <c r="S848" s="1101"/>
      <c r="T848" s="1101"/>
      <c r="U848" s="1101"/>
      <c r="V848" s="1101"/>
      <c r="W848" s="1101"/>
      <c r="X848" s="1101"/>
      <c r="Y848" s="1102"/>
      <c r="Z848" s="1102"/>
      <c r="AA848" s="1101"/>
    </row>
    <row r="849" ht="15.75" customHeight="1">
      <c r="A849" s="213"/>
      <c r="B849" s="213"/>
      <c r="C849" s="1101"/>
      <c r="D849" s="1101"/>
      <c r="E849" s="1101"/>
      <c r="F849" s="1101"/>
      <c r="G849" s="1101"/>
      <c r="H849" s="1101"/>
      <c r="I849" s="1101"/>
      <c r="J849" s="1101"/>
      <c r="K849" s="1101"/>
      <c r="L849" s="1101"/>
      <c r="M849" s="1101"/>
      <c r="N849" s="1101"/>
      <c r="O849" s="1101"/>
      <c r="P849" s="1101"/>
      <c r="Q849" s="1101"/>
      <c r="R849" s="1101"/>
      <c r="S849" s="1101"/>
      <c r="T849" s="1101"/>
      <c r="U849" s="1101"/>
      <c r="V849" s="1101"/>
      <c r="W849" s="1101"/>
      <c r="X849" s="1101"/>
      <c r="Y849" s="1102"/>
      <c r="Z849" s="1102"/>
      <c r="AA849" s="1101"/>
    </row>
    <row r="850" ht="15.75" customHeight="1">
      <c r="A850" s="213"/>
      <c r="B850" s="213"/>
      <c r="C850" s="1101"/>
      <c r="D850" s="1101"/>
      <c r="E850" s="1101"/>
      <c r="F850" s="1101"/>
      <c r="G850" s="1101"/>
      <c r="H850" s="1101"/>
      <c r="I850" s="1101"/>
      <c r="J850" s="1101"/>
      <c r="K850" s="1101"/>
      <c r="L850" s="1101"/>
      <c r="M850" s="1101"/>
      <c r="N850" s="1101"/>
      <c r="O850" s="1101"/>
      <c r="P850" s="1101"/>
      <c r="Q850" s="1101"/>
      <c r="R850" s="1101"/>
      <c r="S850" s="1101"/>
      <c r="T850" s="1101"/>
      <c r="U850" s="1101"/>
      <c r="V850" s="1101"/>
      <c r="W850" s="1101"/>
      <c r="X850" s="1101"/>
      <c r="Y850" s="1102"/>
      <c r="Z850" s="1102"/>
      <c r="AA850" s="1101"/>
    </row>
    <row r="851" ht="15.75" customHeight="1">
      <c r="A851" s="213"/>
      <c r="B851" s="213"/>
      <c r="C851" s="1101"/>
      <c r="D851" s="1101"/>
      <c r="E851" s="1101"/>
      <c r="F851" s="1101"/>
      <c r="G851" s="1101"/>
      <c r="H851" s="1101"/>
      <c r="I851" s="1101"/>
      <c r="J851" s="1101"/>
      <c r="K851" s="1101"/>
      <c r="L851" s="1101"/>
      <c r="M851" s="1101"/>
      <c r="N851" s="1101"/>
      <c r="O851" s="1101"/>
      <c r="P851" s="1101"/>
      <c r="Q851" s="1101"/>
      <c r="R851" s="1101"/>
      <c r="S851" s="1101"/>
      <c r="T851" s="1101"/>
      <c r="U851" s="1101"/>
      <c r="V851" s="1101"/>
      <c r="W851" s="1101"/>
      <c r="X851" s="1101"/>
      <c r="Y851" s="1102"/>
      <c r="Z851" s="1102"/>
      <c r="AA851" s="1101"/>
    </row>
    <row r="852" ht="15.75" customHeight="1">
      <c r="A852" s="213"/>
      <c r="B852" s="213"/>
      <c r="C852" s="1101"/>
      <c r="D852" s="1101"/>
      <c r="E852" s="1101"/>
      <c r="F852" s="1101"/>
      <c r="G852" s="1101"/>
      <c r="H852" s="1101"/>
      <c r="I852" s="1101"/>
      <c r="J852" s="1101"/>
      <c r="K852" s="1101"/>
      <c r="L852" s="1101"/>
      <c r="M852" s="1101"/>
      <c r="N852" s="1101"/>
      <c r="O852" s="1101"/>
      <c r="P852" s="1101"/>
      <c r="Q852" s="1101"/>
      <c r="R852" s="1101"/>
      <c r="S852" s="1101"/>
      <c r="T852" s="1101"/>
      <c r="U852" s="1101"/>
      <c r="V852" s="1101"/>
      <c r="W852" s="1101"/>
      <c r="X852" s="1101"/>
      <c r="Y852" s="1102"/>
      <c r="Z852" s="1102"/>
      <c r="AA852" s="1101"/>
    </row>
    <row r="853" ht="15.75" customHeight="1">
      <c r="A853" s="213"/>
      <c r="B853" s="213"/>
      <c r="C853" s="1101"/>
      <c r="D853" s="1101"/>
      <c r="E853" s="1101"/>
      <c r="F853" s="1101"/>
      <c r="G853" s="1101"/>
      <c r="H853" s="1101"/>
      <c r="I853" s="1101"/>
      <c r="J853" s="1101"/>
      <c r="K853" s="1101"/>
      <c r="L853" s="1101"/>
      <c r="M853" s="1101"/>
      <c r="N853" s="1101"/>
      <c r="O853" s="1101"/>
      <c r="P853" s="1101"/>
      <c r="Q853" s="1101"/>
      <c r="R853" s="1101"/>
      <c r="S853" s="1101"/>
      <c r="T853" s="1101"/>
      <c r="U853" s="1101"/>
      <c r="V853" s="1101"/>
      <c r="W853" s="1101"/>
      <c r="X853" s="1101"/>
      <c r="Y853" s="1102"/>
      <c r="Z853" s="1102"/>
      <c r="AA853" s="1101"/>
    </row>
    <row r="854" ht="15.75" customHeight="1">
      <c r="A854" s="213"/>
      <c r="B854" s="213"/>
      <c r="C854" s="1101"/>
      <c r="D854" s="1101"/>
      <c r="E854" s="1101"/>
      <c r="F854" s="1101"/>
      <c r="G854" s="1101"/>
      <c r="H854" s="1101"/>
      <c r="I854" s="1101"/>
      <c r="J854" s="1101"/>
      <c r="K854" s="1101"/>
      <c r="L854" s="1101"/>
      <c r="M854" s="1101"/>
      <c r="N854" s="1101"/>
      <c r="O854" s="1101"/>
      <c r="P854" s="1101"/>
      <c r="Q854" s="1101"/>
      <c r="R854" s="1101"/>
      <c r="S854" s="1101"/>
      <c r="T854" s="1101"/>
      <c r="U854" s="1101"/>
      <c r="V854" s="1101"/>
      <c r="W854" s="1101"/>
      <c r="X854" s="1101"/>
      <c r="Y854" s="1102"/>
      <c r="Z854" s="1102"/>
      <c r="AA854" s="1101"/>
    </row>
    <row r="855" ht="15.75" customHeight="1">
      <c r="A855" s="213"/>
      <c r="B855" s="213"/>
      <c r="C855" s="1101"/>
      <c r="D855" s="1101"/>
      <c r="E855" s="1101"/>
      <c r="F855" s="1101"/>
      <c r="G855" s="1101"/>
      <c r="H855" s="1101"/>
      <c r="I855" s="1101"/>
      <c r="J855" s="1101"/>
      <c r="K855" s="1101"/>
      <c r="L855" s="1101"/>
      <c r="M855" s="1101"/>
      <c r="N855" s="1101"/>
      <c r="O855" s="1101"/>
      <c r="P855" s="1101"/>
      <c r="Q855" s="1101"/>
      <c r="R855" s="1101"/>
      <c r="S855" s="1101"/>
      <c r="T855" s="1101"/>
      <c r="U855" s="1101"/>
      <c r="V855" s="1101"/>
      <c r="W855" s="1101"/>
      <c r="X855" s="1101"/>
      <c r="Y855" s="1102"/>
      <c r="Z855" s="1102"/>
      <c r="AA855" s="1101"/>
    </row>
    <row r="856" ht="15.75" customHeight="1">
      <c r="A856" s="213"/>
      <c r="B856" s="213"/>
      <c r="C856" s="1101"/>
      <c r="D856" s="1101"/>
      <c r="E856" s="1101"/>
      <c r="F856" s="1101"/>
      <c r="G856" s="1101"/>
      <c r="H856" s="1101"/>
      <c r="I856" s="1101"/>
      <c r="J856" s="1101"/>
      <c r="K856" s="1101"/>
      <c r="L856" s="1101"/>
      <c r="M856" s="1101"/>
      <c r="N856" s="1101"/>
      <c r="O856" s="1101"/>
      <c r="P856" s="1101"/>
      <c r="Q856" s="1101"/>
      <c r="R856" s="1101"/>
      <c r="S856" s="1101"/>
      <c r="T856" s="1101"/>
      <c r="U856" s="1101"/>
      <c r="V856" s="1101"/>
      <c r="W856" s="1101"/>
      <c r="X856" s="1101"/>
      <c r="Y856" s="1102"/>
      <c r="Z856" s="1102"/>
      <c r="AA856" s="1101"/>
    </row>
    <row r="857" ht="15.75" customHeight="1">
      <c r="A857" s="213"/>
      <c r="B857" s="213"/>
      <c r="C857" s="1101"/>
      <c r="D857" s="1101"/>
      <c r="E857" s="1101"/>
      <c r="F857" s="1101"/>
      <c r="G857" s="1101"/>
      <c r="H857" s="1101"/>
      <c r="I857" s="1101"/>
      <c r="J857" s="1101"/>
      <c r="K857" s="1101"/>
      <c r="L857" s="1101"/>
      <c r="M857" s="1101"/>
      <c r="N857" s="1101"/>
      <c r="O857" s="1101"/>
      <c r="P857" s="1101"/>
      <c r="Q857" s="1101"/>
      <c r="R857" s="1101"/>
      <c r="S857" s="1101"/>
      <c r="T857" s="1101"/>
      <c r="U857" s="1101"/>
      <c r="V857" s="1101"/>
      <c r="W857" s="1101"/>
      <c r="X857" s="1101"/>
      <c r="Y857" s="1102"/>
      <c r="Z857" s="1102"/>
      <c r="AA857" s="1101"/>
    </row>
    <row r="858" ht="15.75" customHeight="1">
      <c r="A858" s="213"/>
      <c r="B858" s="213"/>
      <c r="C858" s="1101"/>
      <c r="D858" s="1101"/>
      <c r="E858" s="1101"/>
      <c r="F858" s="1101"/>
      <c r="G858" s="1101"/>
      <c r="H858" s="1101"/>
      <c r="I858" s="1101"/>
      <c r="J858" s="1101"/>
      <c r="K858" s="1101"/>
      <c r="L858" s="1101"/>
      <c r="M858" s="1101"/>
      <c r="N858" s="1101"/>
      <c r="O858" s="1101"/>
      <c r="P858" s="1101"/>
      <c r="Q858" s="1101"/>
      <c r="R858" s="1101"/>
      <c r="S858" s="1101"/>
      <c r="T858" s="1101"/>
      <c r="U858" s="1101"/>
      <c r="V858" s="1101"/>
      <c r="W858" s="1101"/>
      <c r="X858" s="1101"/>
      <c r="Y858" s="1102"/>
      <c r="Z858" s="1102"/>
      <c r="AA858" s="1101"/>
    </row>
    <row r="859" ht="15.75" customHeight="1">
      <c r="A859" s="213"/>
      <c r="B859" s="213"/>
      <c r="C859" s="1101"/>
      <c r="D859" s="1101"/>
      <c r="E859" s="1101"/>
      <c r="F859" s="1101"/>
      <c r="G859" s="1101"/>
      <c r="H859" s="1101"/>
      <c r="I859" s="1101"/>
      <c r="J859" s="1101"/>
      <c r="K859" s="1101"/>
      <c r="L859" s="1101"/>
      <c r="M859" s="1101"/>
      <c r="N859" s="1101"/>
      <c r="O859" s="1101"/>
      <c r="P859" s="1101"/>
      <c r="Q859" s="1101"/>
      <c r="R859" s="1101"/>
      <c r="S859" s="1101"/>
      <c r="T859" s="1101"/>
      <c r="U859" s="1101"/>
      <c r="V859" s="1101"/>
      <c r="W859" s="1101"/>
      <c r="X859" s="1101"/>
      <c r="Y859" s="1102"/>
      <c r="Z859" s="1102"/>
      <c r="AA859" s="1101"/>
    </row>
    <row r="860" ht="15.75" customHeight="1">
      <c r="A860" s="213"/>
      <c r="B860" s="213"/>
      <c r="C860" s="1101"/>
      <c r="D860" s="1101"/>
      <c r="E860" s="1101"/>
      <c r="F860" s="1101"/>
      <c r="G860" s="1101"/>
      <c r="H860" s="1101"/>
      <c r="I860" s="1101"/>
      <c r="J860" s="1101"/>
      <c r="K860" s="1101"/>
      <c r="L860" s="1101"/>
      <c r="M860" s="1101"/>
      <c r="N860" s="1101"/>
      <c r="O860" s="1101"/>
      <c r="P860" s="1101"/>
      <c r="Q860" s="1101"/>
      <c r="R860" s="1101"/>
      <c r="S860" s="1101"/>
      <c r="T860" s="1101"/>
      <c r="U860" s="1101"/>
      <c r="V860" s="1101"/>
      <c r="W860" s="1101"/>
      <c r="X860" s="1101"/>
      <c r="Y860" s="1102"/>
      <c r="Z860" s="1102"/>
      <c r="AA860" s="1101"/>
    </row>
    <row r="861" ht="15.75" customHeight="1">
      <c r="A861" s="213"/>
      <c r="B861" s="213"/>
      <c r="C861" s="1101"/>
      <c r="D861" s="1101"/>
      <c r="E861" s="1101"/>
      <c r="F861" s="1101"/>
      <c r="G861" s="1101"/>
      <c r="H861" s="1101"/>
      <c r="I861" s="1101"/>
      <c r="J861" s="1101"/>
      <c r="K861" s="1101"/>
      <c r="L861" s="1101"/>
      <c r="M861" s="1101"/>
      <c r="N861" s="1101"/>
      <c r="O861" s="1101"/>
      <c r="P861" s="1101"/>
      <c r="Q861" s="1101"/>
      <c r="R861" s="1101"/>
      <c r="S861" s="1101"/>
      <c r="T861" s="1101"/>
      <c r="U861" s="1101"/>
      <c r="V861" s="1101"/>
      <c r="W861" s="1101"/>
      <c r="X861" s="1101"/>
      <c r="Y861" s="1102"/>
      <c r="Z861" s="1102"/>
      <c r="AA861" s="1101"/>
    </row>
    <row r="862" ht="15.75" customHeight="1">
      <c r="A862" s="213"/>
      <c r="B862" s="213"/>
      <c r="C862" s="1101"/>
      <c r="D862" s="1101"/>
      <c r="E862" s="1101"/>
      <c r="F862" s="1101"/>
      <c r="G862" s="1101"/>
      <c r="H862" s="1101"/>
      <c r="I862" s="1101"/>
      <c r="J862" s="1101"/>
      <c r="K862" s="1101"/>
      <c r="L862" s="1101"/>
      <c r="M862" s="1101"/>
      <c r="N862" s="1101"/>
      <c r="O862" s="1101"/>
      <c r="P862" s="1101"/>
      <c r="Q862" s="1101"/>
      <c r="R862" s="1101"/>
      <c r="S862" s="1101"/>
      <c r="T862" s="1101"/>
      <c r="U862" s="1101"/>
      <c r="V862" s="1101"/>
      <c r="W862" s="1101"/>
      <c r="X862" s="1101"/>
      <c r="Y862" s="1102"/>
      <c r="Z862" s="1102"/>
      <c r="AA862" s="1101"/>
    </row>
    <row r="863" ht="15.75" customHeight="1">
      <c r="A863" s="213"/>
      <c r="B863" s="213"/>
      <c r="C863" s="1101"/>
      <c r="D863" s="1101"/>
      <c r="E863" s="1101"/>
      <c r="F863" s="1101"/>
      <c r="G863" s="1101"/>
      <c r="H863" s="1101"/>
      <c r="I863" s="1101"/>
      <c r="J863" s="1101"/>
      <c r="K863" s="1101"/>
      <c r="L863" s="1101"/>
      <c r="M863" s="1101"/>
      <c r="N863" s="1101"/>
      <c r="O863" s="1101"/>
      <c r="P863" s="1101"/>
      <c r="Q863" s="1101"/>
      <c r="R863" s="1101"/>
      <c r="S863" s="1101"/>
      <c r="T863" s="1101"/>
      <c r="U863" s="1101"/>
      <c r="V863" s="1101"/>
      <c r="W863" s="1101"/>
      <c r="X863" s="1101"/>
      <c r="Y863" s="1102"/>
      <c r="Z863" s="1102"/>
      <c r="AA863" s="1101"/>
    </row>
    <row r="864" ht="15.75" customHeight="1">
      <c r="A864" s="213"/>
      <c r="B864" s="213"/>
      <c r="C864" s="1101"/>
      <c r="D864" s="1101"/>
      <c r="E864" s="1101"/>
      <c r="F864" s="1101"/>
      <c r="G864" s="1101"/>
      <c r="H864" s="1101"/>
      <c r="I864" s="1101"/>
      <c r="J864" s="1101"/>
      <c r="K864" s="1101"/>
      <c r="L864" s="1101"/>
      <c r="M864" s="1101"/>
      <c r="N864" s="1101"/>
      <c r="O864" s="1101"/>
      <c r="P864" s="1101"/>
      <c r="Q864" s="1101"/>
      <c r="R864" s="1101"/>
      <c r="S864" s="1101"/>
      <c r="T864" s="1101"/>
      <c r="U864" s="1101"/>
      <c r="V864" s="1101"/>
      <c r="W864" s="1101"/>
      <c r="X864" s="1101"/>
      <c r="Y864" s="1102"/>
      <c r="Z864" s="1102"/>
      <c r="AA864" s="1101"/>
    </row>
    <row r="865" ht="15.75" customHeight="1">
      <c r="A865" s="213"/>
      <c r="B865" s="213"/>
      <c r="C865" s="1101"/>
      <c r="D865" s="1101"/>
      <c r="E865" s="1101"/>
      <c r="F865" s="1101"/>
      <c r="G865" s="1101"/>
      <c r="H865" s="1101"/>
      <c r="I865" s="1101"/>
      <c r="J865" s="1101"/>
      <c r="K865" s="1101"/>
      <c r="L865" s="1101"/>
      <c r="M865" s="1101"/>
      <c r="N865" s="1101"/>
      <c r="O865" s="1101"/>
      <c r="P865" s="1101"/>
      <c r="Q865" s="1101"/>
      <c r="R865" s="1101"/>
      <c r="S865" s="1101"/>
      <c r="T865" s="1101"/>
      <c r="U865" s="1101"/>
      <c r="V865" s="1101"/>
      <c r="W865" s="1101"/>
      <c r="X865" s="1101"/>
      <c r="Y865" s="1102"/>
      <c r="Z865" s="1102"/>
      <c r="AA865" s="1101"/>
    </row>
    <row r="866" ht="15.75" customHeight="1">
      <c r="A866" s="213"/>
      <c r="B866" s="213"/>
      <c r="C866" s="1101"/>
      <c r="D866" s="1101"/>
      <c r="E866" s="1101"/>
      <c r="F866" s="1101"/>
      <c r="G866" s="1101"/>
      <c r="H866" s="1101"/>
      <c r="I866" s="1101"/>
      <c r="J866" s="1101"/>
      <c r="K866" s="1101"/>
      <c r="L866" s="1101"/>
      <c r="M866" s="1101"/>
      <c r="N866" s="1101"/>
      <c r="O866" s="1101"/>
      <c r="P866" s="1101"/>
      <c r="Q866" s="1101"/>
      <c r="R866" s="1101"/>
      <c r="S866" s="1101"/>
      <c r="T866" s="1101"/>
      <c r="U866" s="1101"/>
      <c r="V866" s="1101"/>
      <c r="W866" s="1101"/>
      <c r="X866" s="1101"/>
      <c r="Y866" s="1102"/>
      <c r="Z866" s="1102"/>
      <c r="AA866" s="1101"/>
    </row>
    <row r="867" ht="15.75" customHeight="1">
      <c r="A867" s="213"/>
      <c r="B867" s="213"/>
      <c r="C867" s="1101"/>
      <c r="D867" s="1101"/>
      <c r="E867" s="1101"/>
      <c r="F867" s="1101"/>
      <c r="G867" s="1101"/>
      <c r="H867" s="1101"/>
      <c r="I867" s="1101"/>
      <c r="J867" s="1101"/>
      <c r="K867" s="1101"/>
      <c r="L867" s="1101"/>
      <c r="M867" s="1101"/>
      <c r="N867" s="1101"/>
      <c r="O867" s="1101"/>
      <c r="P867" s="1101"/>
      <c r="Q867" s="1101"/>
      <c r="R867" s="1101"/>
      <c r="S867" s="1101"/>
      <c r="T867" s="1101"/>
      <c r="U867" s="1101"/>
      <c r="V867" s="1101"/>
      <c r="W867" s="1101"/>
      <c r="X867" s="1101"/>
      <c r="Y867" s="1102"/>
      <c r="Z867" s="1102"/>
      <c r="AA867" s="1101"/>
    </row>
    <row r="868" ht="15.75" customHeight="1">
      <c r="A868" s="213"/>
      <c r="B868" s="213"/>
      <c r="C868" s="1101"/>
      <c r="D868" s="1101"/>
      <c r="E868" s="1101"/>
      <c r="F868" s="1101"/>
      <c r="G868" s="1101"/>
      <c r="H868" s="1101"/>
      <c r="I868" s="1101"/>
      <c r="J868" s="1101"/>
      <c r="K868" s="1101"/>
      <c r="L868" s="1101"/>
      <c r="M868" s="1101"/>
      <c r="N868" s="1101"/>
      <c r="O868" s="1101"/>
      <c r="P868" s="1101"/>
      <c r="Q868" s="1101"/>
      <c r="R868" s="1101"/>
      <c r="S868" s="1101"/>
      <c r="T868" s="1101"/>
      <c r="U868" s="1101"/>
      <c r="V868" s="1101"/>
      <c r="W868" s="1101"/>
      <c r="X868" s="1101"/>
      <c r="Y868" s="1102"/>
      <c r="Z868" s="1102"/>
      <c r="AA868" s="1101"/>
    </row>
    <row r="869" ht="15.75" customHeight="1">
      <c r="A869" s="213"/>
      <c r="B869" s="213"/>
      <c r="C869" s="1101"/>
      <c r="D869" s="1101"/>
      <c r="E869" s="1101"/>
      <c r="F869" s="1101"/>
      <c r="G869" s="1101"/>
      <c r="H869" s="1101"/>
      <c r="I869" s="1101"/>
      <c r="J869" s="1101"/>
      <c r="K869" s="1101"/>
      <c r="L869" s="1101"/>
      <c r="M869" s="1101"/>
      <c r="N869" s="1101"/>
      <c r="O869" s="1101"/>
      <c r="P869" s="1101"/>
      <c r="Q869" s="1101"/>
      <c r="R869" s="1101"/>
      <c r="S869" s="1101"/>
      <c r="T869" s="1101"/>
      <c r="U869" s="1101"/>
      <c r="V869" s="1101"/>
      <c r="W869" s="1101"/>
      <c r="X869" s="1101"/>
      <c r="Y869" s="1102"/>
      <c r="Z869" s="1102"/>
      <c r="AA869" s="1101"/>
    </row>
    <row r="870" ht="15.75" customHeight="1">
      <c r="A870" s="213"/>
      <c r="B870" s="213"/>
      <c r="C870" s="1101"/>
      <c r="D870" s="1101"/>
      <c r="E870" s="1101"/>
      <c r="F870" s="1101"/>
      <c r="G870" s="1101"/>
      <c r="H870" s="1101"/>
      <c r="I870" s="1101"/>
      <c r="J870" s="1101"/>
      <c r="K870" s="1101"/>
      <c r="L870" s="1101"/>
      <c r="M870" s="1101"/>
      <c r="N870" s="1101"/>
      <c r="O870" s="1101"/>
      <c r="P870" s="1101"/>
      <c r="Q870" s="1101"/>
      <c r="R870" s="1101"/>
      <c r="S870" s="1101"/>
      <c r="T870" s="1101"/>
      <c r="U870" s="1101"/>
      <c r="V870" s="1101"/>
      <c r="W870" s="1101"/>
      <c r="X870" s="1101"/>
      <c r="Y870" s="1102"/>
      <c r="Z870" s="1102"/>
      <c r="AA870" s="1101"/>
    </row>
    <row r="871" ht="15.75" customHeight="1">
      <c r="A871" s="213"/>
      <c r="B871" s="213"/>
      <c r="C871" s="1101"/>
      <c r="D871" s="1101"/>
      <c r="E871" s="1101"/>
      <c r="F871" s="1101"/>
      <c r="G871" s="1101"/>
      <c r="H871" s="1101"/>
      <c r="I871" s="1101"/>
      <c r="J871" s="1101"/>
      <c r="K871" s="1101"/>
      <c r="L871" s="1101"/>
      <c r="M871" s="1101"/>
      <c r="N871" s="1101"/>
      <c r="O871" s="1101"/>
      <c r="P871" s="1101"/>
      <c r="Q871" s="1101"/>
      <c r="R871" s="1101"/>
      <c r="S871" s="1101"/>
      <c r="T871" s="1101"/>
      <c r="U871" s="1101"/>
      <c r="V871" s="1101"/>
      <c r="W871" s="1101"/>
      <c r="X871" s="1101"/>
      <c r="Y871" s="1102"/>
      <c r="Z871" s="1102"/>
      <c r="AA871" s="1101"/>
    </row>
    <row r="872" ht="15.75" customHeight="1">
      <c r="A872" s="213"/>
      <c r="B872" s="213"/>
      <c r="C872" s="1101"/>
      <c r="D872" s="1101"/>
      <c r="E872" s="1101"/>
      <c r="F872" s="1101"/>
      <c r="G872" s="1101"/>
      <c r="H872" s="1101"/>
      <c r="I872" s="1101"/>
      <c r="J872" s="1101"/>
      <c r="K872" s="1101"/>
      <c r="L872" s="1101"/>
      <c r="M872" s="1101"/>
      <c r="N872" s="1101"/>
      <c r="O872" s="1101"/>
      <c r="P872" s="1101"/>
      <c r="Q872" s="1101"/>
      <c r="R872" s="1101"/>
      <c r="S872" s="1101"/>
      <c r="T872" s="1101"/>
      <c r="U872" s="1101"/>
      <c r="V872" s="1101"/>
      <c r="W872" s="1101"/>
      <c r="X872" s="1101"/>
      <c r="Y872" s="1102"/>
      <c r="Z872" s="1102"/>
      <c r="AA872" s="1101"/>
    </row>
    <row r="873" ht="15.75" customHeight="1">
      <c r="A873" s="213"/>
      <c r="B873" s="213"/>
      <c r="C873" s="1101"/>
      <c r="D873" s="1101"/>
      <c r="E873" s="1101"/>
      <c r="F873" s="1101"/>
      <c r="G873" s="1101"/>
      <c r="H873" s="1101"/>
      <c r="I873" s="1101"/>
      <c r="J873" s="1101"/>
      <c r="K873" s="1101"/>
      <c r="L873" s="1101"/>
      <c r="M873" s="1101"/>
      <c r="N873" s="1101"/>
      <c r="O873" s="1101"/>
      <c r="P873" s="1101"/>
      <c r="Q873" s="1101"/>
      <c r="R873" s="1101"/>
      <c r="S873" s="1101"/>
      <c r="T873" s="1101"/>
      <c r="U873" s="1101"/>
      <c r="V873" s="1101"/>
      <c r="W873" s="1101"/>
      <c r="X873" s="1101"/>
      <c r="Y873" s="1102"/>
      <c r="Z873" s="1102"/>
      <c r="AA873" s="1101"/>
    </row>
    <row r="874" ht="15.75" customHeight="1">
      <c r="A874" s="213"/>
      <c r="B874" s="213"/>
      <c r="C874" s="1101"/>
      <c r="D874" s="1101"/>
      <c r="E874" s="1101"/>
      <c r="F874" s="1101"/>
      <c r="G874" s="1101"/>
      <c r="H874" s="1101"/>
      <c r="I874" s="1101"/>
      <c r="J874" s="1101"/>
      <c r="K874" s="1101"/>
      <c r="L874" s="1101"/>
      <c r="M874" s="1101"/>
      <c r="N874" s="1101"/>
      <c r="O874" s="1101"/>
      <c r="P874" s="1101"/>
      <c r="Q874" s="1101"/>
      <c r="R874" s="1101"/>
      <c r="S874" s="1101"/>
      <c r="T874" s="1101"/>
      <c r="U874" s="1101"/>
      <c r="V874" s="1101"/>
      <c r="W874" s="1101"/>
      <c r="X874" s="1101"/>
      <c r="Y874" s="1102"/>
      <c r="Z874" s="1102"/>
      <c r="AA874" s="1101"/>
    </row>
    <row r="875" ht="15.75" customHeight="1">
      <c r="A875" s="213"/>
      <c r="B875" s="213"/>
      <c r="C875" s="1101"/>
      <c r="D875" s="1101"/>
      <c r="E875" s="1101"/>
      <c r="F875" s="1101"/>
      <c r="G875" s="1101"/>
      <c r="H875" s="1101"/>
      <c r="I875" s="1101"/>
      <c r="J875" s="1101"/>
      <c r="K875" s="1101"/>
      <c r="L875" s="1101"/>
      <c r="M875" s="1101"/>
      <c r="N875" s="1101"/>
      <c r="O875" s="1101"/>
      <c r="P875" s="1101"/>
      <c r="Q875" s="1101"/>
      <c r="R875" s="1101"/>
      <c r="S875" s="1101"/>
      <c r="T875" s="1101"/>
      <c r="U875" s="1101"/>
      <c r="V875" s="1101"/>
      <c r="W875" s="1101"/>
      <c r="X875" s="1101"/>
      <c r="Y875" s="1102"/>
      <c r="Z875" s="1102"/>
      <c r="AA875" s="1101"/>
    </row>
    <row r="876" ht="15.75" customHeight="1">
      <c r="A876" s="213"/>
      <c r="B876" s="213"/>
      <c r="C876" s="1101"/>
      <c r="D876" s="1101"/>
      <c r="E876" s="1101"/>
      <c r="F876" s="1101"/>
      <c r="G876" s="1101"/>
      <c r="H876" s="1101"/>
      <c r="I876" s="1101"/>
      <c r="J876" s="1101"/>
      <c r="K876" s="1101"/>
      <c r="L876" s="1101"/>
      <c r="M876" s="1101"/>
      <c r="N876" s="1101"/>
      <c r="O876" s="1101"/>
      <c r="P876" s="1101"/>
      <c r="Q876" s="1101"/>
      <c r="R876" s="1101"/>
      <c r="S876" s="1101"/>
      <c r="T876" s="1101"/>
      <c r="U876" s="1101"/>
      <c r="V876" s="1101"/>
      <c r="W876" s="1101"/>
      <c r="X876" s="1101"/>
      <c r="Y876" s="1102"/>
      <c r="Z876" s="1102"/>
      <c r="AA876" s="1101"/>
    </row>
    <row r="877" ht="15.75" customHeight="1">
      <c r="A877" s="213"/>
      <c r="B877" s="213"/>
      <c r="C877" s="1101"/>
      <c r="D877" s="1101"/>
      <c r="E877" s="1101"/>
      <c r="F877" s="1101"/>
      <c r="G877" s="1101"/>
      <c r="H877" s="1101"/>
      <c r="I877" s="1101"/>
      <c r="J877" s="1101"/>
      <c r="K877" s="1101"/>
      <c r="L877" s="1101"/>
      <c r="M877" s="1101"/>
      <c r="N877" s="1101"/>
      <c r="O877" s="1101"/>
      <c r="P877" s="1101"/>
      <c r="Q877" s="1101"/>
      <c r="R877" s="1101"/>
      <c r="S877" s="1101"/>
      <c r="T877" s="1101"/>
      <c r="U877" s="1101"/>
      <c r="V877" s="1101"/>
      <c r="W877" s="1101"/>
      <c r="X877" s="1101"/>
      <c r="Y877" s="1102"/>
      <c r="Z877" s="1102"/>
      <c r="AA877" s="1101"/>
    </row>
    <row r="878" ht="15.75" customHeight="1">
      <c r="A878" s="213"/>
      <c r="B878" s="213"/>
      <c r="C878" s="1101"/>
      <c r="D878" s="1101"/>
      <c r="E878" s="1101"/>
      <c r="F878" s="1101"/>
      <c r="G878" s="1101"/>
      <c r="H878" s="1101"/>
      <c r="I878" s="1101"/>
      <c r="J878" s="1101"/>
      <c r="K878" s="1101"/>
      <c r="L878" s="1101"/>
      <c r="M878" s="1101"/>
      <c r="N878" s="1101"/>
      <c r="O878" s="1101"/>
      <c r="P878" s="1101"/>
      <c r="Q878" s="1101"/>
      <c r="R878" s="1101"/>
      <c r="S878" s="1101"/>
      <c r="T878" s="1101"/>
      <c r="U878" s="1101"/>
      <c r="V878" s="1101"/>
      <c r="W878" s="1101"/>
      <c r="X878" s="1101"/>
      <c r="Y878" s="1102"/>
      <c r="Z878" s="1102"/>
      <c r="AA878" s="1101"/>
    </row>
    <row r="879" ht="15.75" customHeight="1">
      <c r="A879" s="213"/>
      <c r="B879" s="213"/>
      <c r="C879" s="1101"/>
      <c r="D879" s="1101"/>
      <c r="E879" s="1101"/>
      <c r="F879" s="1101"/>
      <c r="G879" s="1101"/>
      <c r="H879" s="1101"/>
      <c r="I879" s="1101"/>
      <c r="J879" s="1101"/>
      <c r="K879" s="1101"/>
      <c r="L879" s="1101"/>
      <c r="M879" s="1101"/>
      <c r="N879" s="1101"/>
      <c r="O879" s="1101"/>
      <c r="P879" s="1101"/>
      <c r="Q879" s="1101"/>
      <c r="R879" s="1101"/>
      <c r="S879" s="1101"/>
      <c r="T879" s="1101"/>
      <c r="U879" s="1101"/>
      <c r="V879" s="1101"/>
      <c r="W879" s="1101"/>
      <c r="X879" s="1101"/>
      <c r="Y879" s="1102"/>
      <c r="Z879" s="1102"/>
      <c r="AA879" s="1101"/>
    </row>
    <row r="880" ht="15.75" customHeight="1">
      <c r="A880" s="213"/>
      <c r="B880" s="213"/>
      <c r="C880" s="1101"/>
      <c r="D880" s="1101"/>
      <c r="E880" s="1101"/>
      <c r="F880" s="1101"/>
      <c r="G880" s="1101"/>
      <c r="H880" s="1101"/>
      <c r="I880" s="1101"/>
      <c r="J880" s="1101"/>
      <c r="K880" s="1101"/>
      <c r="L880" s="1101"/>
      <c r="M880" s="1101"/>
      <c r="N880" s="1101"/>
      <c r="O880" s="1101"/>
      <c r="P880" s="1101"/>
      <c r="Q880" s="1101"/>
      <c r="R880" s="1101"/>
      <c r="S880" s="1101"/>
      <c r="T880" s="1101"/>
      <c r="U880" s="1101"/>
      <c r="V880" s="1101"/>
      <c r="W880" s="1101"/>
      <c r="X880" s="1101"/>
      <c r="Y880" s="1102"/>
      <c r="Z880" s="1102"/>
      <c r="AA880" s="1101"/>
    </row>
    <row r="881" ht="15.75" customHeight="1">
      <c r="A881" s="213"/>
      <c r="B881" s="213"/>
      <c r="C881" s="1101"/>
      <c r="D881" s="1101"/>
      <c r="E881" s="1101"/>
      <c r="F881" s="1101"/>
      <c r="G881" s="1101"/>
      <c r="H881" s="1101"/>
      <c r="I881" s="1101"/>
      <c r="J881" s="1101"/>
      <c r="K881" s="1101"/>
      <c r="L881" s="1101"/>
      <c r="M881" s="1101"/>
      <c r="N881" s="1101"/>
      <c r="O881" s="1101"/>
      <c r="P881" s="1101"/>
      <c r="Q881" s="1101"/>
      <c r="R881" s="1101"/>
      <c r="S881" s="1101"/>
      <c r="T881" s="1101"/>
      <c r="U881" s="1101"/>
      <c r="V881" s="1101"/>
      <c r="W881" s="1101"/>
      <c r="X881" s="1101"/>
      <c r="Y881" s="1102"/>
      <c r="Z881" s="1102"/>
      <c r="AA881" s="1101"/>
    </row>
    <row r="882" ht="15.75" customHeight="1">
      <c r="A882" s="213"/>
      <c r="B882" s="213"/>
      <c r="C882" s="1101"/>
      <c r="D882" s="1101"/>
      <c r="E882" s="1101"/>
      <c r="F882" s="1101"/>
      <c r="G882" s="1101"/>
      <c r="H882" s="1101"/>
      <c r="I882" s="1101"/>
      <c r="J882" s="1101"/>
      <c r="K882" s="1101"/>
      <c r="L882" s="1101"/>
      <c r="M882" s="1101"/>
      <c r="N882" s="1101"/>
      <c r="O882" s="1101"/>
      <c r="P882" s="1101"/>
      <c r="Q882" s="1101"/>
      <c r="R882" s="1101"/>
      <c r="S882" s="1101"/>
      <c r="T882" s="1101"/>
      <c r="U882" s="1101"/>
      <c r="V882" s="1101"/>
      <c r="W882" s="1101"/>
      <c r="X882" s="1101"/>
      <c r="Y882" s="1102"/>
      <c r="Z882" s="1102"/>
      <c r="AA882" s="1101"/>
    </row>
    <row r="883" ht="15.75" customHeight="1">
      <c r="A883" s="213"/>
      <c r="B883" s="213"/>
      <c r="C883" s="1101"/>
      <c r="D883" s="1101"/>
      <c r="E883" s="1101"/>
      <c r="F883" s="1101"/>
      <c r="G883" s="1101"/>
      <c r="H883" s="1101"/>
      <c r="I883" s="1101"/>
      <c r="J883" s="1101"/>
      <c r="K883" s="1101"/>
      <c r="L883" s="1101"/>
      <c r="M883" s="1101"/>
      <c r="N883" s="1101"/>
      <c r="O883" s="1101"/>
      <c r="P883" s="1101"/>
      <c r="Q883" s="1101"/>
      <c r="R883" s="1101"/>
      <c r="S883" s="1101"/>
      <c r="T883" s="1101"/>
      <c r="U883" s="1101"/>
      <c r="V883" s="1101"/>
      <c r="W883" s="1101"/>
      <c r="X883" s="1101"/>
      <c r="Y883" s="1102"/>
      <c r="Z883" s="1102"/>
      <c r="AA883" s="1101"/>
    </row>
    <row r="884" ht="15.75" customHeight="1">
      <c r="A884" s="213"/>
      <c r="B884" s="213"/>
      <c r="C884" s="1101"/>
      <c r="D884" s="1101"/>
      <c r="E884" s="1101"/>
      <c r="F884" s="1101"/>
      <c r="G884" s="1101"/>
      <c r="H884" s="1101"/>
      <c r="I884" s="1101"/>
      <c r="J884" s="1101"/>
      <c r="K884" s="1101"/>
      <c r="L884" s="1101"/>
      <c r="M884" s="1101"/>
      <c r="N884" s="1101"/>
      <c r="O884" s="1101"/>
      <c r="P884" s="1101"/>
      <c r="Q884" s="1101"/>
      <c r="R884" s="1101"/>
      <c r="S884" s="1101"/>
      <c r="T884" s="1101"/>
      <c r="U884" s="1101"/>
      <c r="V884" s="1101"/>
      <c r="W884" s="1101"/>
      <c r="X884" s="1101"/>
      <c r="Y884" s="1102"/>
      <c r="Z884" s="1102"/>
      <c r="AA884" s="1101"/>
    </row>
    <row r="885" ht="15.75" customHeight="1">
      <c r="A885" s="213"/>
      <c r="B885" s="213"/>
      <c r="C885" s="1101"/>
      <c r="D885" s="1101"/>
      <c r="E885" s="1101"/>
      <c r="F885" s="1101"/>
      <c r="G885" s="1101"/>
      <c r="H885" s="1101"/>
      <c r="I885" s="1101"/>
      <c r="J885" s="1101"/>
      <c r="K885" s="1101"/>
      <c r="L885" s="1101"/>
      <c r="M885" s="1101"/>
      <c r="N885" s="1101"/>
      <c r="O885" s="1101"/>
      <c r="P885" s="1101"/>
      <c r="Q885" s="1101"/>
      <c r="R885" s="1101"/>
      <c r="S885" s="1101"/>
      <c r="T885" s="1101"/>
      <c r="U885" s="1101"/>
      <c r="V885" s="1101"/>
      <c r="W885" s="1101"/>
      <c r="X885" s="1101"/>
      <c r="Y885" s="1102"/>
      <c r="Z885" s="1102"/>
      <c r="AA885" s="1101"/>
    </row>
    <row r="886" ht="15.75" customHeight="1">
      <c r="A886" s="213"/>
      <c r="B886" s="213"/>
      <c r="C886" s="1101"/>
      <c r="D886" s="1101"/>
      <c r="E886" s="1101"/>
      <c r="F886" s="1101"/>
      <c r="G886" s="1101"/>
      <c r="H886" s="1101"/>
      <c r="I886" s="1101"/>
      <c r="J886" s="1101"/>
      <c r="K886" s="1101"/>
      <c r="L886" s="1101"/>
      <c r="M886" s="1101"/>
      <c r="N886" s="1101"/>
      <c r="O886" s="1101"/>
      <c r="P886" s="1101"/>
      <c r="Q886" s="1101"/>
      <c r="R886" s="1101"/>
      <c r="S886" s="1101"/>
      <c r="T886" s="1101"/>
      <c r="U886" s="1101"/>
      <c r="V886" s="1101"/>
      <c r="W886" s="1101"/>
      <c r="X886" s="1101"/>
      <c r="Y886" s="1102"/>
      <c r="Z886" s="1102"/>
      <c r="AA886" s="1101"/>
    </row>
    <row r="887" ht="15.75" customHeight="1">
      <c r="A887" s="213"/>
      <c r="B887" s="213"/>
      <c r="C887" s="1101"/>
      <c r="D887" s="1101"/>
      <c r="E887" s="1101"/>
      <c r="F887" s="1101"/>
      <c r="G887" s="1101"/>
      <c r="H887" s="1101"/>
      <c r="I887" s="1101"/>
      <c r="J887" s="1101"/>
      <c r="K887" s="1101"/>
      <c r="L887" s="1101"/>
      <c r="M887" s="1101"/>
      <c r="N887" s="1101"/>
      <c r="O887" s="1101"/>
      <c r="P887" s="1101"/>
      <c r="Q887" s="1101"/>
      <c r="R887" s="1101"/>
      <c r="S887" s="1101"/>
      <c r="T887" s="1101"/>
      <c r="U887" s="1101"/>
      <c r="V887" s="1101"/>
      <c r="W887" s="1101"/>
      <c r="X887" s="1101"/>
      <c r="Y887" s="1102"/>
      <c r="Z887" s="1102"/>
      <c r="AA887" s="1101"/>
    </row>
    <row r="888" ht="15.75" customHeight="1">
      <c r="A888" s="213"/>
      <c r="B888" s="213"/>
      <c r="C888" s="1101"/>
      <c r="D888" s="1101"/>
      <c r="E888" s="1101"/>
      <c r="F888" s="1101"/>
      <c r="G888" s="1101"/>
      <c r="H888" s="1101"/>
      <c r="I888" s="1101"/>
      <c r="J888" s="1101"/>
      <c r="K888" s="1101"/>
      <c r="L888" s="1101"/>
      <c r="M888" s="1101"/>
      <c r="N888" s="1101"/>
      <c r="O888" s="1101"/>
      <c r="P888" s="1101"/>
      <c r="Q888" s="1101"/>
      <c r="R888" s="1101"/>
      <c r="S888" s="1101"/>
      <c r="T888" s="1101"/>
      <c r="U888" s="1101"/>
      <c r="V888" s="1101"/>
      <c r="W888" s="1101"/>
      <c r="X888" s="1101"/>
      <c r="Y888" s="1102"/>
      <c r="Z888" s="1102"/>
      <c r="AA888" s="1101"/>
    </row>
    <row r="889" ht="15.75" customHeight="1">
      <c r="A889" s="213"/>
      <c r="B889" s="213"/>
      <c r="C889" s="1101"/>
      <c r="D889" s="1101"/>
      <c r="E889" s="1101"/>
      <c r="F889" s="1101"/>
      <c r="G889" s="1101"/>
      <c r="H889" s="1101"/>
      <c r="I889" s="1101"/>
      <c r="J889" s="1101"/>
      <c r="K889" s="1101"/>
      <c r="L889" s="1101"/>
      <c r="M889" s="1101"/>
      <c r="N889" s="1101"/>
      <c r="O889" s="1101"/>
      <c r="P889" s="1101"/>
      <c r="Q889" s="1101"/>
      <c r="R889" s="1101"/>
      <c r="S889" s="1101"/>
      <c r="T889" s="1101"/>
      <c r="U889" s="1101"/>
      <c r="V889" s="1101"/>
      <c r="W889" s="1101"/>
      <c r="X889" s="1101"/>
      <c r="Y889" s="1102"/>
      <c r="Z889" s="1102"/>
      <c r="AA889" s="1101"/>
    </row>
    <row r="890" ht="15.75" customHeight="1">
      <c r="A890" s="213"/>
      <c r="B890" s="213"/>
      <c r="C890" s="1101"/>
      <c r="D890" s="1101"/>
      <c r="E890" s="1101"/>
      <c r="F890" s="1101"/>
      <c r="G890" s="1101"/>
      <c r="H890" s="1101"/>
      <c r="I890" s="1101"/>
      <c r="J890" s="1101"/>
      <c r="K890" s="1101"/>
      <c r="L890" s="1101"/>
      <c r="M890" s="1101"/>
      <c r="N890" s="1101"/>
      <c r="O890" s="1101"/>
      <c r="P890" s="1101"/>
      <c r="Q890" s="1101"/>
      <c r="R890" s="1101"/>
      <c r="S890" s="1101"/>
      <c r="T890" s="1101"/>
      <c r="U890" s="1101"/>
      <c r="V890" s="1101"/>
      <c r="W890" s="1101"/>
      <c r="X890" s="1101"/>
      <c r="Y890" s="1102"/>
      <c r="Z890" s="1102"/>
      <c r="AA890" s="1101"/>
    </row>
    <row r="891" ht="15.75" customHeight="1">
      <c r="A891" s="213"/>
      <c r="B891" s="213"/>
      <c r="C891" s="1101"/>
      <c r="D891" s="1101"/>
      <c r="E891" s="1101"/>
      <c r="F891" s="1101"/>
      <c r="G891" s="1101"/>
      <c r="H891" s="1101"/>
      <c r="I891" s="1101"/>
      <c r="J891" s="1101"/>
      <c r="K891" s="1101"/>
      <c r="L891" s="1101"/>
      <c r="M891" s="1101"/>
      <c r="N891" s="1101"/>
      <c r="O891" s="1101"/>
      <c r="P891" s="1101"/>
      <c r="Q891" s="1101"/>
      <c r="R891" s="1101"/>
      <c r="S891" s="1101"/>
      <c r="T891" s="1101"/>
      <c r="U891" s="1101"/>
      <c r="V891" s="1101"/>
      <c r="W891" s="1101"/>
      <c r="X891" s="1101"/>
      <c r="Y891" s="1102"/>
      <c r="Z891" s="1102"/>
      <c r="AA891" s="1101"/>
    </row>
    <row r="892" ht="15.75" customHeight="1">
      <c r="A892" s="213"/>
      <c r="B892" s="213"/>
      <c r="C892" s="1101"/>
      <c r="D892" s="1101"/>
      <c r="E892" s="1101"/>
      <c r="F892" s="1101"/>
      <c r="G892" s="1101"/>
      <c r="H892" s="1101"/>
      <c r="I892" s="1101"/>
      <c r="J892" s="1101"/>
      <c r="K892" s="1101"/>
      <c r="L892" s="1101"/>
      <c r="M892" s="1101"/>
      <c r="N892" s="1101"/>
      <c r="O892" s="1101"/>
      <c r="P892" s="1101"/>
      <c r="Q892" s="1101"/>
      <c r="R892" s="1101"/>
      <c r="S892" s="1101"/>
      <c r="T892" s="1101"/>
      <c r="U892" s="1101"/>
      <c r="V892" s="1101"/>
      <c r="W892" s="1101"/>
      <c r="X892" s="1101"/>
      <c r="Y892" s="1102"/>
      <c r="Z892" s="1102"/>
      <c r="AA892" s="1101"/>
    </row>
    <row r="893" ht="15.75" customHeight="1">
      <c r="A893" s="213"/>
      <c r="B893" s="213"/>
      <c r="C893" s="1101"/>
      <c r="D893" s="1101"/>
      <c r="E893" s="1101"/>
      <c r="F893" s="1101"/>
      <c r="G893" s="1101"/>
      <c r="H893" s="1101"/>
      <c r="I893" s="1101"/>
      <c r="J893" s="1101"/>
      <c r="K893" s="1101"/>
      <c r="L893" s="1101"/>
      <c r="M893" s="1101"/>
      <c r="N893" s="1101"/>
      <c r="O893" s="1101"/>
      <c r="P893" s="1101"/>
      <c r="Q893" s="1101"/>
      <c r="R893" s="1101"/>
      <c r="S893" s="1101"/>
      <c r="T893" s="1101"/>
      <c r="U893" s="1101"/>
      <c r="V893" s="1101"/>
      <c r="W893" s="1101"/>
      <c r="X893" s="1101"/>
      <c r="Y893" s="1102"/>
      <c r="Z893" s="1102"/>
      <c r="AA893" s="1101"/>
    </row>
    <row r="894" ht="15.75" customHeight="1">
      <c r="A894" s="213"/>
      <c r="B894" s="213"/>
      <c r="C894" s="1101"/>
      <c r="D894" s="1101"/>
      <c r="E894" s="1101"/>
      <c r="F894" s="1101"/>
      <c r="G894" s="1101"/>
      <c r="H894" s="1101"/>
      <c r="I894" s="1101"/>
      <c r="J894" s="1101"/>
      <c r="K894" s="1101"/>
      <c r="L894" s="1101"/>
      <c r="M894" s="1101"/>
      <c r="N894" s="1101"/>
      <c r="O894" s="1101"/>
      <c r="P894" s="1101"/>
      <c r="Q894" s="1101"/>
      <c r="R894" s="1101"/>
      <c r="S894" s="1101"/>
      <c r="T894" s="1101"/>
      <c r="U894" s="1101"/>
      <c r="V894" s="1101"/>
      <c r="W894" s="1101"/>
      <c r="X894" s="1101"/>
      <c r="Y894" s="1102"/>
      <c r="Z894" s="1102"/>
      <c r="AA894" s="1101"/>
    </row>
    <row r="895" ht="15.75" customHeight="1">
      <c r="A895" s="213"/>
      <c r="B895" s="213"/>
      <c r="C895" s="1101"/>
      <c r="D895" s="1101"/>
      <c r="E895" s="1101"/>
      <c r="F895" s="1101"/>
      <c r="G895" s="1101"/>
      <c r="H895" s="1101"/>
      <c r="I895" s="1101"/>
      <c r="J895" s="1101"/>
      <c r="K895" s="1101"/>
      <c r="L895" s="1101"/>
      <c r="M895" s="1101"/>
      <c r="N895" s="1101"/>
      <c r="O895" s="1101"/>
      <c r="P895" s="1101"/>
      <c r="Q895" s="1101"/>
      <c r="R895" s="1101"/>
      <c r="S895" s="1101"/>
      <c r="T895" s="1101"/>
      <c r="U895" s="1101"/>
      <c r="V895" s="1101"/>
      <c r="W895" s="1101"/>
      <c r="X895" s="1101"/>
      <c r="Y895" s="1102"/>
      <c r="Z895" s="1102"/>
      <c r="AA895" s="1101"/>
    </row>
    <row r="896" ht="15.75" customHeight="1">
      <c r="A896" s="213"/>
      <c r="B896" s="213"/>
      <c r="C896" s="1101"/>
      <c r="D896" s="1101"/>
      <c r="E896" s="1101"/>
      <c r="F896" s="1101"/>
      <c r="G896" s="1101"/>
      <c r="H896" s="1101"/>
      <c r="I896" s="1101"/>
      <c r="J896" s="1101"/>
      <c r="K896" s="1101"/>
      <c r="L896" s="1101"/>
      <c r="M896" s="1101"/>
      <c r="N896" s="1101"/>
      <c r="O896" s="1101"/>
      <c r="P896" s="1101"/>
      <c r="Q896" s="1101"/>
      <c r="R896" s="1101"/>
      <c r="S896" s="1101"/>
      <c r="T896" s="1101"/>
      <c r="U896" s="1101"/>
      <c r="V896" s="1101"/>
      <c r="W896" s="1101"/>
      <c r="X896" s="1101"/>
      <c r="Y896" s="1102"/>
      <c r="Z896" s="1102"/>
      <c r="AA896" s="1101"/>
    </row>
    <row r="897" ht="15.75" customHeight="1">
      <c r="A897" s="213"/>
      <c r="B897" s="213"/>
      <c r="C897" s="1101"/>
      <c r="D897" s="1101"/>
      <c r="E897" s="1101"/>
      <c r="F897" s="1101"/>
      <c r="G897" s="1101"/>
      <c r="H897" s="1101"/>
      <c r="I897" s="1101"/>
      <c r="J897" s="1101"/>
      <c r="K897" s="1101"/>
      <c r="L897" s="1101"/>
      <c r="M897" s="1101"/>
      <c r="N897" s="1101"/>
      <c r="O897" s="1101"/>
      <c r="P897" s="1101"/>
      <c r="Q897" s="1101"/>
      <c r="R897" s="1101"/>
      <c r="S897" s="1101"/>
      <c r="T897" s="1101"/>
      <c r="U897" s="1101"/>
      <c r="V897" s="1101"/>
      <c r="W897" s="1101"/>
      <c r="X897" s="1101"/>
      <c r="Y897" s="1102"/>
      <c r="Z897" s="1102"/>
      <c r="AA897" s="1101"/>
    </row>
    <row r="898" ht="15.75" customHeight="1">
      <c r="A898" s="213"/>
      <c r="B898" s="213"/>
      <c r="C898" s="1101"/>
      <c r="D898" s="1101"/>
      <c r="E898" s="1101"/>
      <c r="F898" s="1101"/>
      <c r="G898" s="1101"/>
      <c r="H898" s="1101"/>
      <c r="I898" s="1101"/>
      <c r="J898" s="1101"/>
      <c r="K898" s="1101"/>
      <c r="L898" s="1101"/>
      <c r="M898" s="1101"/>
      <c r="N898" s="1101"/>
      <c r="O898" s="1101"/>
      <c r="P898" s="1101"/>
      <c r="Q898" s="1101"/>
      <c r="R898" s="1101"/>
      <c r="S898" s="1101"/>
      <c r="T898" s="1101"/>
      <c r="U898" s="1101"/>
      <c r="V898" s="1101"/>
      <c r="W898" s="1101"/>
      <c r="X898" s="1101"/>
      <c r="Y898" s="1102"/>
      <c r="Z898" s="1102"/>
      <c r="AA898" s="1101"/>
    </row>
    <row r="899" ht="15.75" customHeight="1">
      <c r="A899" s="213"/>
      <c r="B899" s="213"/>
      <c r="C899" s="1101"/>
      <c r="D899" s="1101"/>
      <c r="E899" s="1101"/>
      <c r="F899" s="1101"/>
      <c r="G899" s="1101"/>
      <c r="H899" s="1101"/>
      <c r="I899" s="1101"/>
      <c r="J899" s="1101"/>
      <c r="K899" s="1101"/>
      <c r="L899" s="1101"/>
      <c r="M899" s="1101"/>
      <c r="N899" s="1101"/>
      <c r="O899" s="1101"/>
      <c r="P899" s="1101"/>
      <c r="Q899" s="1101"/>
      <c r="R899" s="1101"/>
      <c r="S899" s="1101"/>
      <c r="T899" s="1101"/>
      <c r="U899" s="1101"/>
      <c r="V899" s="1101"/>
      <c r="W899" s="1101"/>
      <c r="X899" s="1101"/>
      <c r="Y899" s="1102"/>
      <c r="Z899" s="1102"/>
      <c r="AA899" s="1101"/>
    </row>
    <row r="900" ht="15.75" customHeight="1">
      <c r="A900" s="213"/>
      <c r="B900" s="213"/>
      <c r="C900" s="1101"/>
      <c r="D900" s="1101"/>
      <c r="E900" s="1101"/>
      <c r="F900" s="1101"/>
      <c r="G900" s="1101"/>
      <c r="H900" s="1101"/>
      <c r="I900" s="1101"/>
      <c r="J900" s="1101"/>
      <c r="K900" s="1101"/>
      <c r="L900" s="1101"/>
      <c r="M900" s="1101"/>
      <c r="N900" s="1101"/>
      <c r="O900" s="1101"/>
      <c r="P900" s="1101"/>
      <c r="Q900" s="1101"/>
      <c r="R900" s="1101"/>
      <c r="S900" s="1101"/>
      <c r="T900" s="1101"/>
      <c r="U900" s="1101"/>
      <c r="V900" s="1101"/>
      <c r="W900" s="1101"/>
      <c r="X900" s="1101"/>
      <c r="Y900" s="1102"/>
      <c r="Z900" s="1102"/>
      <c r="AA900" s="1101"/>
    </row>
    <row r="901" ht="15.75" customHeight="1">
      <c r="A901" s="213"/>
      <c r="B901" s="213"/>
      <c r="C901" s="1101"/>
      <c r="D901" s="1101"/>
      <c r="E901" s="1101"/>
      <c r="F901" s="1101"/>
      <c r="G901" s="1101"/>
      <c r="H901" s="1101"/>
      <c r="I901" s="1101"/>
      <c r="J901" s="1101"/>
      <c r="K901" s="1101"/>
      <c r="L901" s="1101"/>
      <c r="M901" s="1101"/>
      <c r="N901" s="1101"/>
      <c r="O901" s="1101"/>
      <c r="P901" s="1101"/>
      <c r="Q901" s="1101"/>
      <c r="R901" s="1101"/>
      <c r="S901" s="1101"/>
      <c r="T901" s="1101"/>
      <c r="U901" s="1101"/>
      <c r="V901" s="1101"/>
      <c r="W901" s="1101"/>
      <c r="X901" s="1101"/>
      <c r="Y901" s="1102"/>
      <c r="Z901" s="1102"/>
      <c r="AA901" s="1101"/>
    </row>
    <row r="902" ht="15.75" customHeight="1">
      <c r="A902" s="213"/>
      <c r="B902" s="213"/>
      <c r="C902" s="1101"/>
      <c r="D902" s="1101"/>
      <c r="E902" s="1101"/>
      <c r="F902" s="1101"/>
      <c r="G902" s="1101"/>
      <c r="H902" s="1101"/>
      <c r="I902" s="1101"/>
      <c r="J902" s="1101"/>
      <c r="K902" s="1101"/>
      <c r="L902" s="1101"/>
      <c r="M902" s="1101"/>
      <c r="N902" s="1101"/>
      <c r="O902" s="1101"/>
      <c r="P902" s="1101"/>
      <c r="Q902" s="1101"/>
      <c r="R902" s="1101"/>
      <c r="S902" s="1101"/>
      <c r="T902" s="1101"/>
      <c r="U902" s="1101"/>
      <c r="V902" s="1101"/>
      <c r="W902" s="1101"/>
      <c r="X902" s="1101"/>
      <c r="Y902" s="1102"/>
      <c r="Z902" s="1102"/>
      <c r="AA902" s="1101"/>
    </row>
    <row r="903" ht="15.75" customHeight="1">
      <c r="A903" s="213"/>
      <c r="B903" s="213"/>
      <c r="C903" s="1101"/>
      <c r="D903" s="1101"/>
      <c r="E903" s="1101"/>
      <c r="F903" s="1101"/>
      <c r="G903" s="1101"/>
      <c r="H903" s="1101"/>
      <c r="I903" s="1101"/>
      <c r="J903" s="1101"/>
      <c r="K903" s="1101"/>
      <c r="L903" s="1101"/>
      <c r="M903" s="1101"/>
      <c r="N903" s="1101"/>
      <c r="O903" s="1101"/>
      <c r="P903" s="1101"/>
      <c r="Q903" s="1101"/>
      <c r="R903" s="1101"/>
      <c r="S903" s="1101"/>
      <c r="T903" s="1101"/>
      <c r="U903" s="1101"/>
      <c r="V903" s="1101"/>
      <c r="W903" s="1101"/>
      <c r="X903" s="1101"/>
      <c r="Y903" s="1102"/>
      <c r="Z903" s="1102"/>
      <c r="AA903" s="1101"/>
    </row>
    <row r="904" ht="15.75" customHeight="1">
      <c r="A904" s="213"/>
      <c r="B904" s="213"/>
      <c r="C904" s="1101"/>
      <c r="D904" s="1101"/>
      <c r="E904" s="1101"/>
      <c r="F904" s="1101"/>
      <c r="G904" s="1101"/>
      <c r="H904" s="1101"/>
      <c r="I904" s="1101"/>
      <c r="J904" s="1101"/>
      <c r="K904" s="1101"/>
      <c r="L904" s="1101"/>
      <c r="M904" s="1101"/>
      <c r="N904" s="1101"/>
      <c r="O904" s="1101"/>
      <c r="P904" s="1101"/>
      <c r="Q904" s="1101"/>
      <c r="R904" s="1101"/>
      <c r="S904" s="1101"/>
      <c r="T904" s="1101"/>
      <c r="U904" s="1101"/>
      <c r="V904" s="1101"/>
      <c r="W904" s="1101"/>
      <c r="X904" s="1101"/>
      <c r="Y904" s="1102"/>
      <c r="Z904" s="1102"/>
      <c r="AA904" s="1101"/>
    </row>
    <row r="905" ht="15.75" customHeight="1">
      <c r="A905" s="213"/>
      <c r="B905" s="213"/>
      <c r="C905" s="1101"/>
      <c r="D905" s="1101"/>
      <c r="E905" s="1101"/>
      <c r="F905" s="1101"/>
      <c r="G905" s="1101"/>
      <c r="H905" s="1101"/>
      <c r="I905" s="1101"/>
      <c r="J905" s="1101"/>
      <c r="K905" s="1101"/>
      <c r="L905" s="1101"/>
      <c r="M905" s="1101"/>
      <c r="N905" s="1101"/>
      <c r="O905" s="1101"/>
      <c r="P905" s="1101"/>
      <c r="Q905" s="1101"/>
      <c r="R905" s="1101"/>
      <c r="S905" s="1101"/>
      <c r="T905" s="1101"/>
      <c r="U905" s="1101"/>
      <c r="V905" s="1101"/>
      <c r="W905" s="1101"/>
      <c r="X905" s="1101"/>
      <c r="Y905" s="1102"/>
      <c r="Z905" s="1102"/>
      <c r="AA905" s="1101"/>
    </row>
    <row r="906" ht="15.75" customHeight="1">
      <c r="A906" s="213"/>
      <c r="B906" s="213"/>
      <c r="C906" s="1101"/>
      <c r="D906" s="1101"/>
      <c r="E906" s="1101"/>
      <c r="F906" s="1101"/>
      <c r="G906" s="1101"/>
      <c r="H906" s="1101"/>
      <c r="I906" s="1101"/>
      <c r="J906" s="1101"/>
      <c r="K906" s="1101"/>
      <c r="L906" s="1101"/>
      <c r="M906" s="1101"/>
      <c r="N906" s="1101"/>
      <c r="O906" s="1101"/>
      <c r="P906" s="1101"/>
      <c r="Q906" s="1101"/>
      <c r="R906" s="1101"/>
      <c r="S906" s="1101"/>
      <c r="T906" s="1101"/>
      <c r="U906" s="1101"/>
      <c r="V906" s="1101"/>
      <c r="W906" s="1101"/>
      <c r="X906" s="1101"/>
      <c r="Y906" s="1102"/>
      <c r="Z906" s="1102"/>
      <c r="AA906" s="1101"/>
    </row>
    <row r="907" ht="15.75" customHeight="1">
      <c r="A907" s="213"/>
      <c r="B907" s="213"/>
      <c r="C907" s="1101"/>
      <c r="D907" s="1101"/>
      <c r="E907" s="1101"/>
      <c r="F907" s="1101"/>
      <c r="G907" s="1101"/>
      <c r="H907" s="1101"/>
      <c r="I907" s="1101"/>
      <c r="J907" s="1101"/>
      <c r="K907" s="1101"/>
      <c r="L907" s="1101"/>
      <c r="M907" s="1101"/>
      <c r="N907" s="1101"/>
      <c r="O907" s="1101"/>
      <c r="P907" s="1101"/>
      <c r="Q907" s="1101"/>
      <c r="R907" s="1101"/>
      <c r="S907" s="1101"/>
      <c r="T907" s="1101"/>
      <c r="U907" s="1101"/>
      <c r="V907" s="1101"/>
      <c r="W907" s="1101"/>
      <c r="X907" s="1101"/>
      <c r="Y907" s="1102"/>
      <c r="Z907" s="1102"/>
      <c r="AA907" s="1101"/>
    </row>
    <row r="908" ht="15.75" customHeight="1">
      <c r="A908" s="213"/>
      <c r="B908" s="213"/>
      <c r="C908" s="1101"/>
      <c r="D908" s="1101"/>
      <c r="E908" s="1101"/>
      <c r="F908" s="1101"/>
      <c r="G908" s="1101"/>
      <c r="H908" s="1101"/>
      <c r="I908" s="1101"/>
      <c r="J908" s="1101"/>
      <c r="K908" s="1101"/>
      <c r="L908" s="1101"/>
      <c r="M908" s="1101"/>
      <c r="N908" s="1101"/>
      <c r="O908" s="1101"/>
      <c r="P908" s="1101"/>
      <c r="Q908" s="1101"/>
      <c r="R908" s="1101"/>
      <c r="S908" s="1101"/>
      <c r="T908" s="1101"/>
      <c r="U908" s="1101"/>
      <c r="V908" s="1101"/>
      <c r="W908" s="1101"/>
      <c r="X908" s="1101"/>
      <c r="Y908" s="1102"/>
      <c r="Z908" s="1102"/>
      <c r="AA908" s="1101"/>
    </row>
    <row r="909" ht="15.75" customHeight="1">
      <c r="A909" s="213"/>
      <c r="B909" s="213"/>
      <c r="C909" s="1101"/>
      <c r="D909" s="1101"/>
      <c r="E909" s="1101"/>
      <c r="F909" s="1101"/>
      <c r="G909" s="1101"/>
      <c r="H909" s="1101"/>
      <c r="I909" s="1101"/>
      <c r="J909" s="1101"/>
      <c r="K909" s="1101"/>
      <c r="L909" s="1101"/>
      <c r="M909" s="1101"/>
      <c r="N909" s="1101"/>
      <c r="O909" s="1101"/>
      <c r="P909" s="1101"/>
      <c r="Q909" s="1101"/>
      <c r="R909" s="1101"/>
      <c r="S909" s="1101"/>
      <c r="T909" s="1101"/>
      <c r="U909" s="1101"/>
      <c r="V909" s="1101"/>
      <c r="W909" s="1101"/>
      <c r="X909" s="1101"/>
      <c r="Y909" s="1102"/>
      <c r="Z909" s="1102"/>
      <c r="AA909" s="1101"/>
    </row>
    <row r="910" ht="15.75" customHeight="1">
      <c r="A910" s="213"/>
      <c r="B910" s="213"/>
      <c r="C910" s="1101"/>
      <c r="D910" s="1101"/>
      <c r="E910" s="1101"/>
      <c r="F910" s="1101"/>
      <c r="G910" s="1101"/>
      <c r="H910" s="1101"/>
      <c r="I910" s="1101"/>
      <c r="J910" s="1101"/>
      <c r="K910" s="1101"/>
      <c r="L910" s="1101"/>
      <c r="M910" s="1101"/>
      <c r="N910" s="1101"/>
      <c r="O910" s="1101"/>
      <c r="P910" s="1101"/>
      <c r="Q910" s="1101"/>
      <c r="R910" s="1101"/>
      <c r="S910" s="1101"/>
      <c r="T910" s="1101"/>
      <c r="U910" s="1101"/>
      <c r="V910" s="1101"/>
      <c r="W910" s="1101"/>
      <c r="X910" s="1101"/>
      <c r="Y910" s="1102"/>
      <c r="Z910" s="1102"/>
      <c r="AA910" s="1101"/>
    </row>
    <row r="911" ht="15.75" customHeight="1">
      <c r="A911" s="213"/>
      <c r="B911" s="213"/>
      <c r="C911" s="1101"/>
      <c r="D911" s="1101"/>
      <c r="E911" s="1101"/>
      <c r="F911" s="1101"/>
      <c r="G911" s="1101"/>
      <c r="H911" s="1101"/>
      <c r="I911" s="1101"/>
      <c r="J911" s="1101"/>
      <c r="K911" s="1101"/>
      <c r="L911" s="1101"/>
      <c r="M911" s="1101"/>
      <c r="N911" s="1101"/>
      <c r="O911" s="1101"/>
      <c r="P911" s="1101"/>
      <c r="Q911" s="1101"/>
      <c r="R911" s="1101"/>
      <c r="S911" s="1101"/>
      <c r="T911" s="1101"/>
      <c r="U911" s="1101"/>
      <c r="V911" s="1101"/>
      <c r="W911" s="1101"/>
      <c r="X911" s="1101"/>
      <c r="Y911" s="1102"/>
      <c r="Z911" s="1102"/>
      <c r="AA911" s="1101"/>
    </row>
    <row r="912" ht="15.75" customHeight="1">
      <c r="A912" s="213"/>
      <c r="B912" s="213"/>
      <c r="C912" s="1101"/>
      <c r="D912" s="1101"/>
      <c r="E912" s="1101"/>
      <c r="F912" s="1101"/>
      <c r="G912" s="1101"/>
      <c r="H912" s="1101"/>
      <c r="I912" s="1101"/>
      <c r="J912" s="1101"/>
      <c r="K912" s="1101"/>
      <c r="L912" s="1101"/>
      <c r="M912" s="1101"/>
      <c r="N912" s="1101"/>
      <c r="O912" s="1101"/>
      <c r="P912" s="1101"/>
      <c r="Q912" s="1101"/>
      <c r="R912" s="1101"/>
      <c r="S912" s="1101"/>
      <c r="T912" s="1101"/>
      <c r="U912" s="1101"/>
      <c r="V912" s="1101"/>
      <c r="W912" s="1101"/>
      <c r="X912" s="1101"/>
      <c r="Y912" s="1102"/>
      <c r="Z912" s="1102"/>
      <c r="AA912" s="1101"/>
    </row>
    <row r="913" ht="15.75" customHeight="1">
      <c r="A913" s="213"/>
      <c r="B913" s="213"/>
      <c r="C913" s="1101"/>
      <c r="D913" s="1101"/>
      <c r="E913" s="1101"/>
      <c r="F913" s="1101"/>
      <c r="G913" s="1101"/>
      <c r="H913" s="1101"/>
      <c r="I913" s="1101"/>
      <c r="J913" s="1101"/>
      <c r="K913" s="1101"/>
      <c r="L913" s="1101"/>
      <c r="M913" s="1101"/>
      <c r="N913" s="1101"/>
      <c r="O913" s="1101"/>
      <c r="P913" s="1101"/>
      <c r="Q913" s="1101"/>
      <c r="R913" s="1101"/>
      <c r="S913" s="1101"/>
      <c r="T913" s="1101"/>
      <c r="U913" s="1101"/>
      <c r="V913" s="1101"/>
      <c r="W913" s="1101"/>
      <c r="X913" s="1101"/>
      <c r="Y913" s="1102"/>
      <c r="Z913" s="1102"/>
      <c r="AA913" s="1101"/>
    </row>
    <row r="914" ht="15.75" customHeight="1">
      <c r="A914" s="213"/>
      <c r="B914" s="213"/>
      <c r="C914" s="1101"/>
      <c r="D914" s="1101"/>
      <c r="E914" s="1101"/>
      <c r="F914" s="1101"/>
      <c r="G914" s="1101"/>
      <c r="H914" s="1101"/>
      <c r="I914" s="1101"/>
      <c r="J914" s="1101"/>
      <c r="K914" s="1101"/>
      <c r="L914" s="1101"/>
      <c r="M914" s="1101"/>
      <c r="N914" s="1101"/>
      <c r="O914" s="1101"/>
      <c r="P914" s="1101"/>
      <c r="Q914" s="1101"/>
      <c r="R914" s="1101"/>
      <c r="S914" s="1101"/>
      <c r="T914" s="1101"/>
      <c r="U914" s="1101"/>
      <c r="V914" s="1101"/>
      <c r="W914" s="1101"/>
      <c r="X914" s="1101"/>
      <c r="Y914" s="1102"/>
      <c r="Z914" s="1102"/>
      <c r="AA914" s="1101"/>
    </row>
    <row r="915" ht="15.75" customHeight="1">
      <c r="A915" s="213"/>
      <c r="B915" s="213"/>
      <c r="C915" s="1101"/>
      <c r="D915" s="1101"/>
      <c r="E915" s="1101"/>
      <c r="F915" s="1101"/>
      <c r="G915" s="1101"/>
      <c r="H915" s="1101"/>
      <c r="I915" s="1101"/>
      <c r="J915" s="1101"/>
      <c r="K915" s="1101"/>
      <c r="L915" s="1101"/>
      <c r="M915" s="1101"/>
      <c r="N915" s="1101"/>
      <c r="O915" s="1101"/>
      <c r="P915" s="1101"/>
      <c r="Q915" s="1101"/>
      <c r="R915" s="1101"/>
      <c r="S915" s="1101"/>
      <c r="T915" s="1101"/>
      <c r="U915" s="1101"/>
      <c r="V915" s="1101"/>
      <c r="W915" s="1101"/>
      <c r="X915" s="1101"/>
      <c r="Y915" s="1102"/>
      <c r="Z915" s="1102"/>
      <c r="AA915" s="1101"/>
    </row>
    <row r="916" ht="15.75" customHeight="1">
      <c r="A916" s="213"/>
      <c r="B916" s="213"/>
      <c r="C916" s="1101"/>
      <c r="D916" s="1101"/>
      <c r="E916" s="1101"/>
      <c r="F916" s="1101"/>
      <c r="G916" s="1101"/>
      <c r="H916" s="1101"/>
      <c r="I916" s="1101"/>
      <c r="J916" s="1101"/>
      <c r="K916" s="1101"/>
      <c r="L916" s="1101"/>
      <c r="M916" s="1101"/>
      <c r="N916" s="1101"/>
      <c r="O916" s="1101"/>
      <c r="P916" s="1101"/>
      <c r="Q916" s="1101"/>
      <c r="R916" s="1101"/>
      <c r="S916" s="1101"/>
      <c r="T916" s="1101"/>
      <c r="U916" s="1101"/>
      <c r="V916" s="1101"/>
      <c r="W916" s="1101"/>
      <c r="X916" s="1101"/>
      <c r="Y916" s="1102"/>
      <c r="Z916" s="1102"/>
      <c r="AA916" s="1101"/>
    </row>
    <row r="917" ht="15.75" customHeight="1">
      <c r="A917" s="213"/>
      <c r="B917" s="213"/>
      <c r="C917" s="1101"/>
      <c r="D917" s="1101"/>
      <c r="E917" s="1101"/>
      <c r="F917" s="1101"/>
      <c r="G917" s="1101"/>
      <c r="H917" s="1101"/>
      <c r="I917" s="1101"/>
      <c r="J917" s="1101"/>
      <c r="K917" s="1101"/>
      <c r="L917" s="1101"/>
      <c r="M917" s="1101"/>
      <c r="N917" s="1101"/>
      <c r="O917" s="1101"/>
      <c r="P917" s="1101"/>
      <c r="Q917" s="1101"/>
      <c r="R917" s="1101"/>
      <c r="S917" s="1101"/>
      <c r="T917" s="1101"/>
      <c r="U917" s="1101"/>
      <c r="V917" s="1101"/>
      <c r="W917" s="1101"/>
      <c r="X917" s="1101"/>
      <c r="Y917" s="1102"/>
      <c r="Z917" s="1102"/>
      <c r="AA917" s="1101"/>
    </row>
    <row r="918" ht="15.75" customHeight="1">
      <c r="A918" s="213"/>
      <c r="B918" s="213"/>
      <c r="C918" s="1101"/>
      <c r="D918" s="1101"/>
      <c r="E918" s="1101"/>
      <c r="F918" s="1101"/>
      <c r="G918" s="1101"/>
      <c r="H918" s="1101"/>
      <c r="I918" s="1101"/>
      <c r="J918" s="1101"/>
      <c r="K918" s="1101"/>
      <c r="L918" s="1101"/>
      <c r="M918" s="1101"/>
      <c r="N918" s="1101"/>
      <c r="O918" s="1101"/>
      <c r="P918" s="1101"/>
      <c r="Q918" s="1101"/>
      <c r="R918" s="1101"/>
      <c r="S918" s="1101"/>
      <c r="T918" s="1101"/>
      <c r="U918" s="1101"/>
      <c r="V918" s="1101"/>
      <c r="W918" s="1101"/>
      <c r="X918" s="1101"/>
      <c r="Y918" s="1102"/>
      <c r="Z918" s="1102"/>
      <c r="AA918" s="1101"/>
    </row>
    <row r="919" ht="15.75" customHeight="1">
      <c r="A919" s="213"/>
      <c r="B919" s="213"/>
      <c r="C919" s="1101"/>
      <c r="D919" s="1101"/>
      <c r="E919" s="1101"/>
      <c r="F919" s="1101"/>
      <c r="G919" s="1101"/>
      <c r="H919" s="1101"/>
      <c r="I919" s="1101"/>
      <c r="J919" s="1101"/>
      <c r="K919" s="1101"/>
      <c r="L919" s="1101"/>
      <c r="M919" s="1101"/>
      <c r="N919" s="1101"/>
      <c r="O919" s="1101"/>
      <c r="P919" s="1101"/>
      <c r="Q919" s="1101"/>
      <c r="R919" s="1101"/>
      <c r="S919" s="1101"/>
      <c r="T919" s="1101"/>
      <c r="U919" s="1101"/>
      <c r="V919" s="1101"/>
      <c r="W919" s="1101"/>
      <c r="X919" s="1101"/>
      <c r="Y919" s="1102"/>
      <c r="Z919" s="1102"/>
      <c r="AA919" s="1101"/>
    </row>
    <row r="920" ht="15.75" customHeight="1">
      <c r="A920" s="213"/>
      <c r="B920" s="213"/>
      <c r="C920" s="1101"/>
      <c r="D920" s="1101"/>
      <c r="E920" s="1101"/>
      <c r="F920" s="1101"/>
      <c r="G920" s="1101"/>
      <c r="H920" s="1101"/>
      <c r="I920" s="1101"/>
      <c r="J920" s="1101"/>
      <c r="K920" s="1101"/>
      <c r="L920" s="1101"/>
      <c r="M920" s="1101"/>
      <c r="N920" s="1101"/>
      <c r="O920" s="1101"/>
      <c r="P920" s="1101"/>
      <c r="Q920" s="1101"/>
      <c r="R920" s="1101"/>
      <c r="S920" s="1101"/>
      <c r="T920" s="1101"/>
      <c r="U920" s="1101"/>
      <c r="V920" s="1101"/>
      <c r="W920" s="1101"/>
      <c r="X920" s="1101"/>
      <c r="Y920" s="1102"/>
      <c r="Z920" s="1102"/>
      <c r="AA920" s="1101"/>
    </row>
    <row r="921" ht="15.75" customHeight="1">
      <c r="A921" s="213"/>
      <c r="B921" s="213"/>
      <c r="C921" s="1101"/>
      <c r="D921" s="1101"/>
      <c r="E921" s="1101"/>
      <c r="F921" s="1101"/>
      <c r="G921" s="1101"/>
      <c r="H921" s="1101"/>
      <c r="I921" s="1101"/>
      <c r="J921" s="1101"/>
      <c r="K921" s="1101"/>
      <c r="L921" s="1101"/>
      <c r="M921" s="1101"/>
      <c r="N921" s="1101"/>
      <c r="O921" s="1101"/>
      <c r="P921" s="1101"/>
      <c r="Q921" s="1101"/>
      <c r="R921" s="1101"/>
      <c r="S921" s="1101"/>
      <c r="T921" s="1101"/>
      <c r="U921" s="1101"/>
      <c r="V921" s="1101"/>
      <c r="W921" s="1101"/>
      <c r="X921" s="1101"/>
      <c r="Y921" s="1102"/>
      <c r="Z921" s="1102"/>
      <c r="AA921" s="1101"/>
    </row>
    <row r="922" ht="15.75" customHeight="1">
      <c r="A922" s="213"/>
      <c r="B922" s="213"/>
      <c r="C922" s="1101"/>
      <c r="D922" s="1101"/>
      <c r="E922" s="1101"/>
      <c r="F922" s="1101"/>
      <c r="G922" s="1101"/>
      <c r="H922" s="1101"/>
      <c r="I922" s="1101"/>
      <c r="J922" s="1101"/>
      <c r="K922" s="1101"/>
      <c r="L922" s="1101"/>
      <c r="M922" s="1101"/>
      <c r="N922" s="1101"/>
      <c r="O922" s="1101"/>
      <c r="P922" s="1101"/>
      <c r="Q922" s="1101"/>
      <c r="R922" s="1101"/>
      <c r="S922" s="1101"/>
      <c r="T922" s="1101"/>
      <c r="U922" s="1101"/>
      <c r="V922" s="1101"/>
      <c r="W922" s="1101"/>
      <c r="X922" s="1101"/>
      <c r="Y922" s="1102"/>
      <c r="Z922" s="1102"/>
      <c r="AA922" s="1101"/>
    </row>
    <row r="923" ht="15.75" customHeight="1">
      <c r="A923" s="213"/>
      <c r="B923" s="213"/>
      <c r="C923" s="1101"/>
      <c r="D923" s="1101"/>
      <c r="E923" s="1101"/>
      <c r="F923" s="1101"/>
      <c r="G923" s="1101"/>
      <c r="H923" s="1101"/>
      <c r="I923" s="1101"/>
      <c r="J923" s="1101"/>
      <c r="K923" s="1101"/>
      <c r="L923" s="1101"/>
      <c r="M923" s="1101"/>
      <c r="N923" s="1101"/>
      <c r="O923" s="1101"/>
      <c r="P923" s="1101"/>
      <c r="Q923" s="1101"/>
      <c r="R923" s="1101"/>
      <c r="S923" s="1101"/>
      <c r="T923" s="1101"/>
      <c r="U923" s="1101"/>
      <c r="V923" s="1101"/>
      <c r="W923" s="1101"/>
      <c r="X923" s="1101"/>
      <c r="Y923" s="1102"/>
      <c r="Z923" s="1102"/>
      <c r="AA923" s="1101"/>
    </row>
    <row r="924" ht="15.75" customHeight="1">
      <c r="A924" s="213"/>
      <c r="B924" s="213"/>
      <c r="C924" s="1101"/>
      <c r="D924" s="1101"/>
      <c r="E924" s="1101"/>
      <c r="F924" s="1101"/>
      <c r="G924" s="1101"/>
      <c r="H924" s="1101"/>
      <c r="I924" s="1101"/>
      <c r="J924" s="1101"/>
      <c r="K924" s="1101"/>
      <c r="L924" s="1101"/>
      <c r="M924" s="1101"/>
      <c r="N924" s="1101"/>
      <c r="O924" s="1101"/>
      <c r="P924" s="1101"/>
      <c r="Q924" s="1101"/>
      <c r="R924" s="1101"/>
      <c r="S924" s="1101"/>
      <c r="T924" s="1101"/>
      <c r="U924" s="1101"/>
      <c r="V924" s="1101"/>
      <c r="W924" s="1101"/>
      <c r="X924" s="1101"/>
      <c r="Y924" s="1102"/>
      <c r="Z924" s="1102"/>
      <c r="AA924" s="1101"/>
    </row>
    <row r="925" ht="15.75" customHeight="1">
      <c r="A925" s="213"/>
      <c r="B925" s="213"/>
      <c r="C925" s="1101"/>
      <c r="D925" s="1101"/>
      <c r="E925" s="1101"/>
      <c r="F925" s="1101"/>
      <c r="G925" s="1101"/>
      <c r="H925" s="1101"/>
      <c r="I925" s="1101"/>
      <c r="J925" s="1101"/>
      <c r="K925" s="1101"/>
      <c r="L925" s="1101"/>
      <c r="M925" s="1101"/>
      <c r="N925" s="1101"/>
      <c r="O925" s="1101"/>
      <c r="P925" s="1101"/>
      <c r="Q925" s="1101"/>
      <c r="R925" s="1101"/>
      <c r="S925" s="1101"/>
      <c r="T925" s="1101"/>
      <c r="U925" s="1101"/>
      <c r="V925" s="1101"/>
      <c r="W925" s="1101"/>
      <c r="X925" s="1101"/>
      <c r="Y925" s="1102"/>
      <c r="Z925" s="1102"/>
      <c r="AA925" s="1101"/>
    </row>
    <row r="926" ht="15.75" customHeight="1">
      <c r="A926" s="213"/>
      <c r="B926" s="213"/>
      <c r="C926" s="1101"/>
      <c r="D926" s="1101"/>
      <c r="E926" s="1101"/>
      <c r="F926" s="1101"/>
      <c r="G926" s="1101"/>
      <c r="H926" s="1101"/>
      <c r="I926" s="1101"/>
      <c r="J926" s="1101"/>
      <c r="K926" s="1101"/>
      <c r="L926" s="1101"/>
      <c r="M926" s="1101"/>
      <c r="N926" s="1101"/>
      <c r="O926" s="1101"/>
      <c r="P926" s="1101"/>
      <c r="Q926" s="1101"/>
      <c r="R926" s="1101"/>
      <c r="S926" s="1101"/>
      <c r="T926" s="1101"/>
      <c r="U926" s="1101"/>
      <c r="V926" s="1101"/>
      <c r="W926" s="1101"/>
      <c r="X926" s="1101"/>
      <c r="Y926" s="1102"/>
      <c r="Z926" s="1102"/>
      <c r="AA926" s="1101"/>
    </row>
    <row r="927" ht="15.75" customHeight="1">
      <c r="A927" s="213"/>
      <c r="B927" s="213"/>
      <c r="C927" s="1101"/>
      <c r="D927" s="1101"/>
      <c r="E927" s="1101"/>
      <c r="F927" s="1101"/>
      <c r="G927" s="1101"/>
      <c r="H927" s="1101"/>
      <c r="I927" s="1101"/>
      <c r="J927" s="1101"/>
      <c r="K927" s="1101"/>
      <c r="L927" s="1101"/>
      <c r="M927" s="1101"/>
      <c r="N927" s="1101"/>
      <c r="O927" s="1101"/>
      <c r="P927" s="1101"/>
      <c r="Q927" s="1101"/>
      <c r="R927" s="1101"/>
      <c r="S927" s="1101"/>
      <c r="T927" s="1101"/>
      <c r="U927" s="1101"/>
      <c r="V927" s="1101"/>
      <c r="W927" s="1101"/>
      <c r="X927" s="1101"/>
      <c r="Y927" s="1102"/>
      <c r="Z927" s="1102"/>
      <c r="AA927" s="1101"/>
    </row>
    <row r="928" ht="15.75" customHeight="1">
      <c r="A928" s="213"/>
      <c r="B928" s="213"/>
      <c r="C928" s="1101"/>
      <c r="D928" s="1101"/>
      <c r="E928" s="1101"/>
      <c r="F928" s="1101"/>
      <c r="G928" s="1101"/>
      <c r="H928" s="1101"/>
      <c r="I928" s="1101"/>
      <c r="J928" s="1101"/>
      <c r="K928" s="1101"/>
      <c r="L928" s="1101"/>
      <c r="M928" s="1101"/>
      <c r="N928" s="1101"/>
      <c r="O928" s="1101"/>
      <c r="P928" s="1101"/>
      <c r="Q928" s="1101"/>
      <c r="R928" s="1101"/>
      <c r="S928" s="1101"/>
      <c r="T928" s="1101"/>
      <c r="U928" s="1101"/>
      <c r="V928" s="1101"/>
      <c r="W928" s="1101"/>
      <c r="X928" s="1101"/>
      <c r="Y928" s="1102"/>
      <c r="Z928" s="1102"/>
      <c r="AA928" s="1101"/>
    </row>
    <row r="929" ht="15.75" customHeight="1">
      <c r="A929" s="213"/>
      <c r="B929" s="213"/>
      <c r="C929" s="1101"/>
      <c r="D929" s="1101"/>
      <c r="E929" s="1101"/>
      <c r="F929" s="1101"/>
      <c r="G929" s="1101"/>
      <c r="H929" s="1101"/>
      <c r="I929" s="1101"/>
      <c r="J929" s="1101"/>
      <c r="K929" s="1101"/>
      <c r="L929" s="1101"/>
      <c r="M929" s="1101"/>
      <c r="N929" s="1101"/>
      <c r="O929" s="1101"/>
      <c r="P929" s="1101"/>
      <c r="Q929" s="1101"/>
      <c r="R929" s="1101"/>
      <c r="S929" s="1101"/>
      <c r="T929" s="1101"/>
      <c r="U929" s="1101"/>
      <c r="V929" s="1101"/>
      <c r="W929" s="1101"/>
      <c r="X929" s="1101"/>
      <c r="Y929" s="1102"/>
      <c r="Z929" s="1102"/>
      <c r="AA929" s="1101"/>
    </row>
    <row r="930" ht="15.75" customHeight="1">
      <c r="A930" s="213"/>
      <c r="B930" s="213"/>
      <c r="C930" s="1101"/>
      <c r="D930" s="1101"/>
      <c r="E930" s="1101"/>
      <c r="F930" s="1101"/>
      <c r="G930" s="1101"/>
      <c r="H930" s="1101"/>
      <c r="I930" s="1101"/>
      <c r="J930" s="1101"/>
      <c r="K930" s="1101"/>
      <c r="L930" s="1101"/>
      <c r="M930" s="1101"/>
      <c r="N930" s="1101"/>
      <c r="O930" s="1101"/>
      <c r="P930" s="1101"/>
      <c r="Q930" s="1101"/>
      <c r="R930" s="1101"/>
      <c r="S930" s="1101"/>
      <c r="T930" s="1101"/>
      <c r="U930" s="1101"/>
      <c r="V930" s="1101"/>
      <c r="W930" s="1101"/>
      <c r="X930" s="1101"/>
      <c r="Y930" s="1102"/>
      <c r="Z930" s="1102"/>
      <c r="AA930" s="1101"/>
    </row>
    <row r="931" ht="15.75" customHeight="1">
      <c r="A931" s="213"/>
      <c r="B931" s="213"/>
      <c r="C931" s="1101"/>
      <c r="D931" s="1101"/>
      <c r="E931" s="1101"/>
      <c r="F931" s="1101"/>
      <c r="G931" s="1101"/>
      <c r="H931" s="1101"/>
      <c r="I931" s="1101"/>
      <c r="J931" s="1101"/>
      <c r="K931" s="1101"/>
      <c r="L931" s="1101"/>
      <c r="M931" s="1101"/>
      <c r="N931" s="1101"/>
      <c r="O931" s="1101"/>
      <c r="P931" s="1101"/>
      <c r="Q931" s="1101"/>
      <c r="R931" s="1101"/>
      <c r="S931" s="1101"/>
      <c r="T931" s="1101"/>
      <c r="U931" s="1101"/>
      <c r="V931" s="1101"/>
      <c r="W931" s="1101"/>
      <c r="X931" s="1101"/>
      <c r="Y931" s="1102"/>
      <c r="Z931" s="1102"/>
      <c r="AA931" s="1101"/>
    </row>
    <row r="932" ht="15.75" customHeight="1">
      <c r="A932" s="213"/>
      <c r="B932" s="213"/>
      <c r="C932" s="1101"/>
      <c r="D932" s="1101"/>
      <c r="E932" s="1101"/>
      <c r="F932" s="1101"/>
      <c r="G932" s="1101"/>
      <c r="H932" s="1101"/>
      <c r="I932" s="1101"/>
      <c r="J932" s="1101"/>
      <c r="K932" s="1101"/>
      <c r="L932" s="1101"/>
      <c r="M932" s="1101"/>
      <c r="N932" s="1101"/>
      <c r="O932" s="1101"/>
      <c r="P932" s="1101"/>
      <c r="Q932" s="1101"/>
      <c r="R932" s="1101"/>
      <c r="S932" s="1101"/>
      <c r="T932" s="1101"/>
      <c r="U932" s="1101"/>
      <c r="V932" s="1101"/>
      <c r="W932" s="1101"/>
      <c r="X932" s="1101"/>
      <c r="Y932" s="1102"/>
      <c r="Z932" s="1102"/>
      <c r="AA932" s="1101"/>
    </row>
    <row r="933" ht="15.75" customHeight="1">
      <c r="A933" s="213"/>
      <c r="B933" s="213"/>
      <c r="C933" s="1101"/>
      <c r="D933" s="1101"/>
      <c r="E933" s="1101"/>
      <c r="F933" s="1101"/>
      <c r="G933" s="1101"/>
      <c r="H933" s="1101"/>
      <c r="I933" s="1101"/>
      <c r="J933" s="1101"/>
      <c r="K933" s="1101"/>
      <c r="L933" s="1101"/>
      <c r="M933" s="1101"/>
      <c r="N933" s="1101"/>
      <c r="O933" s="1101"/>
      <c r="P933" s="1101"/>
      <c r="Q933" s="1101"/>
      <c r="R933" s="1101"/>
      <c r="S933" s="1101"/>
      <c r="T933" s="1101"/>
      <c r="U933" s="1101"/>
      <c r="V933" s="1101"/>
      <c r="W933" s="1101"/>
      <c r="X933" s="1101"/>
      <c r="Y933" s="1102"/>
      <c r="Z933" s="1102"/>
      <c r="AA933" s="1101"/>
    </row>
    <row r="934" ht="15.75" customHeight="1">
      <c r="A934" s="213"/>
      <c r="B934" s="213"/>
      <c r="C934" s="1101"/>
      <c r="D934" s="1101"/>
      <c r="E934" s="1101"/>
      <c r="F934" s="1101"/>
      <c r="G934" s="1101"/>
      <c r="H934" s="1101"/>
      <c r="I934" s="1101"/>
      <c r="J934" s="1101"/>
      <c r="K934" s="1101"/>
      <c r="L934" s="1101"/>
      <c r="M934" s="1101"/>
      <c r="N934" s="1101"/>
      <c r="O934" s="1101"/>
      <c r="P934" s="1101"/>
      <c r="Q934" s="1101"/>
      <c r="R934" s="1101"/>
      <c r="S934" s="1101"/>
      <c r="T934" s="1101"/>
      <c r="U934" s="1101"/>
      <c r="V934" s="1101"/>
      <c r="W934" s="1101"/>
      <c r="X934" s="1101"/>
      <c r="Y934" s="1102"/>
      <c r="Z934" s="1102"/>
      <c r="AA934" s="1101"/>
    </row>
    <row r="935" ht="15.75" customHeight="1">
      <c r="A935" s="213"/>
      <c r="B935" s="213"/>
      <c r="C935" s="1101"/>
      <c r="D935" s="1101"/>
      <c r="E935" s="1101"/>
      <c r="F935" s="1101"/>
      <c r="G935" s="1101"/>
      <c r="H935" s="1101"/>
      <c r="I935" s="1101"/>
      <c r="J935" s="1101"/>
      <c r="K935" s="1101"/>
      <c r="L935" s="1101"/>
      <c r="M935" s="1101"/>
      <c r="N935" s="1101"/>
      <c r="O935" s="1101"/>
      <c r="P935" s="1101"/>
      <c r="Q935" s="1101"/>
      <c r="R935" s="1101"/>
      <c r="S935" s="1101"/>
      <c r="T935" s="1101"/>
      <c r="U935" s="1101"/>
      <c r="V935" s="1101"/>
      <c r="W935" s="1101"/>
      <c r="X935" s="1101"/>
      <c r="Y935" s="1102"/>
      <c r="Z935" s="1102"/>
      <c r="AA935" s="1101"/>
    </row>
    <row r="936" ht="15.75" customHeight="1">
      <c r="A936" s="213"/>
      <c r="B936" s="213"/>
      <c r="C936" s="1101"/>
      <c r="D936" s="1101"/>
      <c r="E936" s="1101"/>
      <c r="F936" s="1101"/>
      <c r="G936" s="1101"/>
      <c r="H936" s="1101"/>
      <c r="I936" s="1101"/>
      <c r="J936" s="1101"/>
      <c r="K936" s="1101"/>
      <c r="L936" s="1101"/>
      <c r="M936" s="1101"/>
      <c r="N936" s="1101"/>
      <c r="O936" s="1101"/>
      <c r="P936" s="1101"/>
      <c r="Q936" s="1101"/>
      <c r="R936" s="1101"/>
      <c r="S936" s="1101"/>
      <c r="T936" s="1101"/>
      <c r="U936" s="1101"/>
      <c r="V936" s="1101"/>
      <c r="W936" s="1101"/>
      <c r="X936" s="1101"/>
      <c r="Y936" s="1102"/>
      <c r="Z936" s="1102"/>
      <c r="AA936" s="1101"/>
    </row>
    <row r="937" ht="15.75" customHeight="1">
      <c r="A937" s="213"/>
      <c r="B937" s="213"/>
      <c r="C937" s="1101"/>
      <c r="D937" s="1101"/>
      <c r="E937" s="1101"/>
      <c r="F937" s="1101"/>
      <c r="G937" s="1101"/>
      <c r="H937" s="1101"/>
      <c r="I937" s="1101"/>
      <c r="J937" s="1101"/>
      <c r="K937" s="1101"/>
      <c r="L937" s="1101"/>
      <c r="M937" s="1101"/>
      <c r="N937" s="1101"/>
      <c r="O937" s="1101"/>
      <c r="P937" s="1101"/>
      <c r="Q937" s="1101"/>
      <c r="R937" s="1101"/>
      <c r="S937" s="1101"/>
      <c r="T937" s="1101"/>
      <c r="U937" s="1101"/>
      <c r="V937" s="1101"/>
      <c r="W937" s="1101"/>
      <c r="X937" s="1101"/>
      <c r="Y937" s="1102"/>
      <c r="Z937" s="1102"/>
      <c r="AA937" s="1101"/>
    </row>
    <row r="938" ht="15.75" customHeight="1">
      <c r="A938" s="213"/>
      <c r="B938" s="213"/>
      <c r="C938" s="1101"/>
      <c r="D938" s="1101"/>
      <c r="E938" s="1101"/>
      <c r="F938" s="1101"/>
      <c r="G938" s="1101"/>
      <c r="H938" s="1101"/>
      <c r="I938" s="1101"/>
      <c r="J938" s="1101"/>
      <c r="K938" s="1101"/>
      <c r="L938" s="1101"/>
      <c r="M938" s="1101"/>
      <c r="N938" s="1101"/>
      <c r="O938" s="1101"/>
      <c r="P938" s="1101"/>
      <c r="Q938" s="1101"/>
      <c r="R938" s="1101"/>
      <c r="S938" s="1101"/>
      <c r="T938" s="1101"/>
      <c r="U938" s="1101"/>
      <c r="V938" s="1101"/>
      <c r="W938" s="1101"/>
      <c r="X938" s="1101"/>
      <c r="Y938" s="1102"/>
      <c r="Z938" s="1102"/>
      <c r="AA938" s="1101"/>
    </row>
    <row r="939" ht="15.75" customHeight="1">
      <c r="A939" s="213"/>
      <c r="B939" s="213"/>
      <c r="C939" s="1101"/>
      <c r="D939" s="1101"/>
      <c r="E939" s="1101"/>
      <c r="F939" s="1101"/>
      <c r="G939" s="1101"/>
      <c r="H939" s="1101"/>
      <c r="I939" s="1101"/>
      <c r="J939" s="1101"/>
      <c r="K939" s="1101"/>
      <c r="L939" s="1101"/>
      <c r="M939" s="1101"/>
      <c r="N939" s="1101"/>
      <c r="O939" s="1101"/>
      <c r="P939" s="1101"/>
      <c r="Q939" s="1101"/>
      <c r="R939" s="1101"/>
      <c r="S939" s="1101"/>
      <c r="T939" s="1101"/>
      <c r="U939" s="1101"/>
      <c r="V939" s="1101"/>
      <c r="W939" s="1101"/>
      <c r="X939" s="1101"/>
      <c r="Y939" s="1102"/>
      <c r="Z939" s="1102"/>
      <c r="AA939" s="1101"/>
    </row>
    <row r="940" ht="15.75" customHeight="1">
      <c r="A940" s="213"/>
      <c r="B940" s="213"/>
      <c r="C940" s="1101"/>
      <c r="D940" s="1101"/>
      <c r="E940" s="1101"/>
      <c r="F940" s="1101"/>
      <c r="G940" s="1101"/>
      <c r="H940" s="1101"/>
      <c r="I940" s="1101"/>
      <c r="J940" s="1101"/>
      <c r="K940" s="1101"/>
      <c r="L940" s="1101"/>
      <c r="M940" s="1101"/>
      <c r="N940" s="1101"/>
      <c r="O940" s="1101"/>
      <c r="P940" s="1101"/>
      <c r="Q940" s="1101"/>
      <c r="R940" s="1101"/>
      <c r="S940" s="1101"/>
      <c r="T940" s="1101"/>
      <c r="U940" s="1101"/>
      <c r="V940" s="1101"/>
      <c r="W940" s="1101"/>
      <c r="X940" s="1101"/>
      <c r="Y940" s="1102"/>
      <c r="Z940" s="1102"/>
      <c r="AA940" s="1101"/>
    </row>
    <row r="941" ht="15.75" customHeight="1">
      <c r="A941" s="213"/>
      <c r="B941" s="213"/>
      <c r="C941" s="1101"/>
      <c r="D941" s="1101"/>
      <c r="E941" s="1101"/>
      <c r="F941" s="1101"/>
      <c r="G941" s="1101"/>
      <c r="H941" s="1101"/>
      <c r="I941" s="1101"/>
      <c r="J941" s="1101"/>
      <c r="K941" s="1101"/>
      <c r="L941" s="1101"/>
      <c r="M941" s="1101"/>
      <c r="N941" s="1101"/>
      <c r="O941" s="1101"/>
      <c r="P941" s="1101"/>
      <c r="Q941" s="1101"/>
      <c r="R941" s="1101"/>
      <c r="S941" s="1101"/>
      <c r="T941" s="1101"/>
      <c r="U941" s="1101"/>
      <c r="V941" s="1101"/>
      <c r="W941" s="1101"/>
      <c r="X941" s="1101"/>
      <c r="Y941" s="1102"/>
      <c r="Z941" s="1102"/>
      <c r="AA941" s="1101"/>
    </row>
    <row r="942" ht="15.75" customHeight="1">
      <c r="A942" s="213"/>
      <c r="B942" s="213"/>
      <c r="C942" s="1101"/>
      <c r="D942" s="1101"/>
      <c r="E942" s="1101"/>
      <c r="F942" s="1101"/>
      <c r="G942" s="1101"/>
      <c r="H942" s="1101"/>
      <c r="I942" s="1101"/>
      <c r="J942" s="1101"/>
      <c r="K942" s="1101"/>
      <c r="L942" s="1101"/>
      <c r="M942" s="1101"/>
      <c r="N942" s="1101"/>
      <c r="O942" s="1101"/>
      <c r="P942" s="1101"/>
      <c r="Q942" s="1101"/>
      <c r="R942" s="1101"/>
      <c r="S942" s="1101"/>
      <c r="T942" s="1101"/>
      <c r="U942" s="1101"/>
      <c r="V942" s="1101"/>
      <c r="W942" s="1101"/>
      <c r="X942" s="1101"/>
      <c r="Y942" s="1102"/>
      <c r="Z942" s="1102"/>
      <c r="AA942" s="1101"/>
    </row>
    <row r="943" ht="15.75" customHeight="1">
      <c r="A943" s="213"/>
      <c r="B943" s="213"/>
      <c r="C943" s="1101"/>
      <c r="D943" s="1101"/>
      <c r="E943" s="1101"/>
      <c r="F943" s="1101"/>
      <c r="G943" s="1101"/>
      <c r="H943" s="1101"/>
      <c r="I943" s="1101"/>
      <c r="J943" s="1101"/>
      <c r="K943" s="1101"/>
      <c r="L943" s="1101"/>
      <c r="M943" s="1101"/>
      <c r="N943" s="1101"/>
      <c r="O943" s="1101"/>
      <c r="P943" s="1101"/>
      <c r="Q943" s="1101"/>
      <c r="R943" s="1101"/>
      <c r="S943" s="1101"/>
      <c r="T943" s="1101"/>
      <c r="U943" s="1101"/>
      <c r="V943" s="1101"/>
      <c r="W943" s="1101"/>
      <c r="X943" s="1101"/>
      <c r="Y943" s="1102"/>
      <c r="Z943" s="1102"/>
      <c r="AA943" s="1101"/>
    </row>
    <row r="944" ht="15.75" customHeight="1">
      <c r="A944" s="213"/>
      <c r="B944" s="213"/>
      <c r="C944" s="1101"/>
      <c r="D944" s="1101"/>
      <c r="E944" s="1101"/>
      <c r="F944" s="1101"/>
      <c r="G944" s="1101"/>
      <c r="H944" s="1101"/>
      <c r="I944" s="1101"/>
      <c r="J944" s="1101"/>
      <c r="K944" s="1101"/>
      <c r="L944" s="1101"/>
      <c r="M944" s="1101"/>
      <c r="N944" s="1101"/>
      <c r="O944" s="1101"/>
      <c r="P944" s="1101"/>
      <c r="Q944" s="1101"/>
      <c r="R944" s="1101"/>
      <c r="S944" s="1101"/>
      <c r="T944" s="1101"/>
      <c r="U944" s="1101"/>
      <c r="V944" s="1101"/>
      <c r="W944" s="1101"/>
      <c r="X944" s="1101"/>
      <c r="Y944" s="1102"/>
      <c r="Z944" s="1102"/>
      <c r="AA944" s="1101"/>
    </row>
    <row r="945" ht="15.75" customHeight="1">
      <c r="A945" s="213"/>
      <c r="B945" s="213"/>
      <c r="C945" s="1101"/>
      <c r="D945" s="1101"/>
      <c r="E945" s="1101"/>
      <c r="F945" s="1101"/>
      <c r="G945" s="1101"/>
      <c r="H945" s="1101"/>
      <c r="I945" s="1101"/>
      <c r="J945" s="1101"/>
      <c r="K945" s="1101"/>
      <c r="L945" s="1101"/>
      <c r="M945" s="1101"/>
      <c r="N945" s="1101"/>
      <c r="O945" s="1101"/>
      <c r="P945" s="1101"/>
      <c r="Q945" s="1101"/>
      <c r="R945" s="1101"/>
      <c r="S945" s="1101"/>
      <c r="T945" s="1101"/>
      <c r="U945" s="1101"/>
      <c r="V945" s="1101"/>
      <c r="W945" s="1101"/>
      <c r="X945" s="1101"/>
      <c r="Y945" s="1102"/>
      <c r="Z945" s="1102"/>
      <c r="AA945" s="1101"/>
    </row>
    <row r="946" ht="15.75" customHeight="1">
      <c r="A946" s="213"/>
      <c r="B946" s="213"/>
      <c r="C946" s="1101"/>
      <c r="D946" s="1101"/>
      <c r="E946" s="1101"/>
      <c r="F946" s="1101"/>
      <c r="G946" s="1101"/>
      <c r="H946" s="1101"/>
      <c r="I946" s="1101"/>
      <c r="J946" s="1101"/>
      <c r="K946" s="1101"/>
      <c r="L946" s="1101"/>
      <c r="M946" s="1101"/>
      <c r="N946" s="1101"/>
      <c r="O946" s="1101"/>
      <c r="P946" s="1101"/>
      <c r="Q946" s="1101"/>
      <c r="R946" s="1101"/>
      <c r="S946" s="1101"/>
      <c r="T946" s="1101"/>
      <c r="U946" s="1101"/>
      <c r="V946" s="1101"/>
      <c r="W946" s="1101"/>
      <c r="X946" s="1101"/>
      <c r="Y946" s="1102"/>
      <c r="Z946" s="1102"/>
      <c r="AA946" s="1101"/>
    </row>
    <row r="947" ht="15.75" customHeight="1">
      <c r="A947" s="213"/>
      <c r="B947" s="213"/>
      <c r="C947" s="1101"/>
      <c r="D947" s="1101"/>
      <c r="E947" s="1101"/>
      <c r="F947" s="1101"/>
      <c r="G947" s="1101"/>
      <c r="H947" s="1101"/>
      <c r="I947" s="1101"/>
      <c r="J947" s="1101"/>
      <c r="K947" s="1101"/>
      <c r="L947" s="1101"/>
      <c r="M947" s="1101"/>
      <c r="N947" s="1101"/>
      <c r="O947" s="1101"/>
      <c r="P947" s="1101"/>
      <c r="Q947" s="1101"/>
      <c r="R947" s="1101"/>
      <c r="S947" s="1101"/>
      <c r="T947" s="1101"/>
      <c r="U947" s="1101"/>
      <c r="V947" s="1101"/>
      <c r="W947" s="1101"/>
      <c r="X947" s="1101"/>
      <c r="Y947" s="1102"/>
      <c r="Z947" s="1102"/>
      <c r="AA947" s="1101"/>
    </row>
    <row r="948" ht="15.75" customHeight="1">
      <c r="A948" s="213"/>
      <c r="B948" s="213"/>
      <c r="C948" s="1101"/>
      <c r="D948" s="1101"/>
      <c r="E948" s="1101"/>
      <c r="F948" s="1101"/>
      <c r="G948" s="1101"/>
      <c r="H948" s="1101"/>
      <c r="I948" s="1101"/>
      <c r="J948" s="1101"/>
      <c r="K948" s="1101"/>
      <c r="L948" s="1101"/>
      <c r="M948" s="1101"/>
      <c r="N948" s="1101"/>
      <c r="O948" s="1101"/>
      <c r="P948" s="1101"/>
      <c r="Q948" s="1101"/>
      <c r="R948" s="1101"/>
      <c r="S948" s="1101"/>
      <c r="T948" s="1101"/>
      <c r="U948" s="1101"/>
      <c r="V948" s="1101"/>
      <c r="W948" s="1101"/>
      <c r="X948" s="1101"/>
      <c r="Y948" s="1102"/>
      <c r="Z948" s="1102"/>
      <c r="AA948" s="1101"/>
    </row>
    <row r="949" ht="15.75" customHeight="1">
      <c r="A949" s="213"/>
      <c r="B949" s="213"/>
      <c r="C949" s="1101"/>
      <c r="D949" s="1101"/>
      <c r="E949" s="1101"/>
      <c r="F949" s="1101"/>
      <c r="G949" s="1101"/>
      <c r="H949" s="1101"/>
      <c r="I949" s="1101"/>
      <c r="J949" s="1101"/>
      <c r="K949" s="1101"/>
      <c r="L949" s="1101"/>
      <c r="M949" s="1101"/>
      <c r="N949" s="1101"/>
      <c r="O949" s="1101"/>
      <c r="P949" s="1101"/>
      <c r="Q949" s="1101"/>
      <c r="R949" s="1101"/>
      <c r="S949" s="1101"/>
      <c r="T949" s="1101"/>
      <c r="U949" s="1101"/>
      <c r="V949" s="1101"/>
      <c r="W949" s="1101"/>
      <c r="X949" s="1101"/>
      <c r="Y949" s="1102"/>
      <c r="Z949" s="1102"/>
      <c r="AA949" s="1101"/>
    </row>
    <row r="950" ht="15.75" customHeight="1">
      <c r="A950" s="213"/>
      <c r="B950" s="213"/>
      <c r="C950" s="1101"/>
      <c r="D950" s="1101"/>
      <c r="E950" s="1101"/>
      <c r="F950" s="1101"/>
      <c r="G950" s="1101"/>
      <c r="H950" s="1101"/>
      <c r="I950" s="1101"/>
      <c r="J950" s="1101"/>
      <c r="K950" s="1101"/>
      <c r="L950" s="1101"/>
      <c r="M950" s="1101"/>
      <c r="N950" s="1101"/>
      <c r="O950" s="1101"/>
      <c r="P950" s="1101"/>
      <c r="Q950" s="1101"/>
      <c r="R950" s="1101"/>
      <c r="S950" s="1101"/>
      <c r="T950" s="1101"/>
      <c r="U950" s="1101"/>
      <c r="V950" s="1101"/>
      <c r="W950" s="1101"/>
      <c r="X950" s="1101"/>
      <c r="Y950" s="1102"/>
      <c r="Z950" s="1102"/>
      <c r="AA950" s="1101"/>
    </row>
    <row r="951" ht="15.75" customHeight="1">
      <c r="A951" s="213"/>
      <c r="B951" s="213"/>
      <c r="C951" s="1101"/>
      <c r="D951" s="1101"/>
      <c r="E951" s="1101"/>
      <c r="F951" s="1101"/>
      <c r="G951" s="1101"/>
      <c r="H951" s="1101"/>
      <c r="I951" s="1101"/>
      <c r="J951" s="1101"/>
      <c r="K951" s="1101"/>
      <c r="L951" s="1101"/>
      <c r="M951" s="1101"/>
      <c r="N951" s="1101"/>
      <c r="O951" s="1101"/>
      <c r="P951" s="1101"/>
      <c r="Q951" s="1101"/>
      <c r="R951" s="1101"/>
      <c r="S951" s="1101"/>
      <c r="T951" s="1101"/>
      <c r="U951" s="1101"/>
      <c r="V951" s="1101"/>
      <c r="W951" s="1101"/>
      <c r="X951" s="1101"/>
      <c r="Y951" s="1102"/>
      <c r="Z951" s="1102"/>
      <c r="AA951" s="1101"/>
    </row>
    <row r="952" ht="15.75" customHeight="1">
      <c r="A952" s="213"/>
      <c r="B952" s="213"/>
      <c r="C952" s="1101"/>
      <c r="D952" s="1101"/>
      <c r="E952" s="1101"/>
      <c r="F952" s="1101"/>
      <c r="G952" s="1101"/>
      <c r="H952" s="1101"/>
      <c r="I952" s="1101"/>
      <c r="J952" s="1101"/>
      <c r="K952" s="1101"/>
      <c r="L952" s="1101"/>
      <c r="M952" s="1101"/>
      <c r="N952" s="1101"/>
      <c r="O952" s="1101"/>
      <c r="P952" s="1101"/>
      <c r="Q952" s="1101"/>
      <c r="R952" s="1101"/>
      <c r="S952" s="1101"/>
      <c r="T952" s="1101"/>
      <c r="U952" s="1101"/>
      <c r="V952" s="1101"/>
      <c r="W952" s="1101"/>
      <c r="X952" s="1101"/>
      <c r="Y952" s="1102"/>
      <c r="Z952" s="1102"/>
      <c r="AA952" s="1101"/>
    </row>
    <row r="953" ht="15.75" customHeight="1">
      <c r="A953" s="213"/>
      <c r="B953" s="213"/>
      <c r="C953" s="1101"/>
      <c r="D953" s="1101"/>
      <c r="E953" s="1101"/>
      <c r="F953" s="1101"/>
      <c r="G953" s="1101"/>
      <c r="H953" s="1101"/>
      <c r="I953" s="1101"/>
      <c r="J953" s="1101"/>
      <c r="K953" s="1101"/>
      <c r="L953" s="1101"/>
      <c r="M953" s="1101"/>
      <c r="N953" s="1101"/>
      <c r="O953" s="1101"/>
      <c r="P953" s="1101"/>
      <c r="Q953" s="1101"/>
      <c r="R953" s="1101"/>
      <c r="S953" s="1101"/>
      <c r="T953" s="1101"/>
      <c r="U953" s="1101"/>
      <c r="V953" s="1101"/>
      <c r="W953" s="1101"/>
      <c r="X953" s="1101"/>
      <c r="Y953" s="1102"/>
      <c r="Z953" s="1102"/>
      <c r="AA953" s="1101"/>
    </row>
    <row r="954" ht="15.75" customHeight="1">
      <c r="A954" s="213"/>
      <c r="B954" s="213"/>
      <c r="C954" s="1101"/>
      <c r="D954" s="1101"/>
      <c r="E954" s="1101"/>
      <c r="F954" s="1101"/>
      <c r="G954" s="1101"/>
      <c r="H954" s="1101"/>
      <c r="I954" s="1101"/>
      <c r="J954" s="1101"/>
      <c r="K954" s="1101"/>
      <c r="L954" s="1101"/>
      <c r="M954" s="1101"/>
      <c r="N954" s="1101"/>
      <c r="O954" s="1101"/>
      <c r="P954" s="1101"/>
      <c r="Q954" s="1101"/>
      <c r="R954" s="1101"/>
      <c r="S954" s="1101"/>
      <c r="T954" s="1101"/>
      <c r="U954" s="1101"/>
      <c r="V954" s="1101"/>
      <c r="W954" s="1101"/>
      <c r="X954" s="1101"/>
      <c r="Y954" s="1102"/>
      <c r="Z954" s="1102"/>
      <c r="AA954" s="1101"/>
    </row>
    <row r="955" ht="15.75" customHeight="1">
      <c r="A955" s="213"/>
      <c r="B955" s="213"/>
      <c r="C955" s="1101"/>
      <c r="D955" s="1101"/>
      <c r="E955" s="1101"/>
      <c r="F955" s="1101"/>
      <c r="G955" s="1101"/>
      <c r="H955" s="1101"/>
      <c r="I955" s="1101"/>
      <c r="J955" s="1101"/>
      <c r="K955" s="1101"/>
      <c r="L955" s="1101"/>
      <c r="M955" s="1101"/>
      <c r="N955" s="1101"/>
      <c r="O955" s="1101"/>
      <c r="P955" s="1101"/>
      <c r="Q955" s="1101"/>
      <c r="R955" s="1101"/>
      <c r="S955" s="1101"/>
      <c r="T955" s="1101"/>
      <c r="U955" s="1101"/>
      <c r="V955" s="1101"/>
      <c r="W955" s="1101"/>
      <c r="X955" s="1101"/>
      <c r="Y955" s="1102"/>
      <c r="Z955" s="1102"/>
      <c r="AA955" s="1101"/>
    </row>
    <row r="956" ht="15.75" customHeight="1">
      <c r="A956" s="213"/>
      <c r="B956" s="213"/>
      <c r="C956" s="1101"/>
      <c r="D956" s="1101"/>
      <c r="E956" s="1101"/>
      <c r="F956" s="1101"/>
      <c r="G956" s="1101"/>
      <c r="H956" s="1101"/>
      <c r="I956" s="1101"/>
      <c r="J956" s="1101"/>
      <c r="K956" s="1101"/>
      <c r="L956" s="1101"/>
      <c r="M956" s="1101"/>
      <c r="N956" s="1101"/>
      <c r="O956" s="1101"/>
      <c r="P956" s="1101"/>
      <c r="Q956" s="1101"/>
      <c r="R956" s="1101"/>
      <c r="S956" s="1101"/>
      <c r="T956" s="1101"/>
      <c r="U956" s="1101"/>
      <c r="V956" s="1101"/>
      <c r="W956" s="1101"/>
      <c r="X956" s="1101"/>
      <c r="Y956" s="1102"/>
      <c r="Z956" s="1102"/>
      <c r="AA956" s="1101"/>
    </row>
    <row r="957" ht="15.75" customHeight="1">
      <c r="A957" s="213"/>
      <c r="B957" s="213"/>
      <c r="C957" s="1101"/>
      <c r="D957" s="1101"/>
      <c r="E957" s="1101"/>
      <c r="F957" s="1101"/>
      <c r="G957" s="1101"/>
      <c r="H957" s="1101"/>
      <c r="I957" s="1101"/>
      <c r="J957" s="1101"/>
      <c r="K957" s="1101"/>
      <c r="L957" s="1101"/>
      <c r="M957" s="1101"/>
      <c r="N957" s="1101"/>
      <c r="O957" s="1101"/>
      <c r="P957" s="1101"/>
      <c r="Q957" s="1101"/>
      <c r="R957" s="1101"/>
      <c r="S957" s="1101"/>
      <c r="T957" s="1101"/>
      <c r="U957" s="1101"/>
      <c r="V957" s="1101"/>
      <c r="W957" s="1101"/>
      <c r="X957" s="1101"/>
      <c r="Y957" s="1102"/>
      <c r="Z957" s="1102"/>
      <c r="AA957" s="1101"/>
    </row>
    <row r="958" ht="15.75" customHeight="1">
      <c r="A958" s="213"/>
      <c r="B958" s="213"/>
      <c r="C958" s="1101"/>
      <c r="D958" s="1101"/>
      <c r="E958" s="1101"/>
      <c r="F958" s="1101"/>
      <c r="G958" s="1101"/>
      <c r="H958" s="1101"/>
      <c r="I958" s="1101"/>
      <c r="J958" s="1101"/>
      <c r="K958" s="1101"/>
      <c r="L958" s="1101"/>
      <c r="M958" s="1101"/>
      <c r="N958" s="1101"/>
      <c r="O958" s="1101"/>
      <c r="P958" s="1101"/>
      <c r="Q958" s="1101"/>
      <c r="R958" s="1101"/>
      <c r="S958" s="1101"/>
      <c r="T958" s="1101"/>
      <c r="U958" s="1101"/>
      <c r="V958" s="1101"/>
      <c r="W958" s="1101"/>
      <c r="X958" s="1101"/>
      <c r="Y958" s="1102"/>
      <c r="Z958" s="1102"/>
      <c r="AA958" s="1101"/>
    </row>
    <row r="959" ht="15.75" customHeight="1">
      <c r="A959" s="213"/>
      <c r="B959" s="213"/>
      <c r="C959" s="1101"/>
      <c r="D959" s="1101"/>
      <c r="E959" s="1101"/>
      <c r="F959" s="1101"/>
      <c r="G959" s="1101"/>
      <c r="H959" s="1101"/>
      <c r="I959" s="1101"/>
      <c r="J959" s="1101"/>
      <c r="K959" s="1101"/>
      <c r="L959" s="1101"/>
      <c r="M959" s="1101"/>
      <c r="N959" s="1101"/>
      <c r="O959" s="1101"/>
      <c r="P959" s="1101"/>
      <c r="Q959" s="1101"/>
      <c r="R959" s="1101"/>
      <c r="S959" s="1101"/>
      <c r="T959" s="1101"/>
      <c r="U959" s="1101"/>
      <c r="V959" s="1101"/>
      <c r="W959" s="1101"/>
      <c r="X959" s="1101"/>
      <c r="Y959" s="1102"/>
      <c r="Z959" s="1102"/>
      <c r="AA959" s="1101"/>
    </row>
    <row r="960" ht="15.75" customHeight="1">
      <c r="A960" s="213"/>
      <c r="B960" s="213"/>
      <c r="C960" s="1101"/>
      <c r="D960" s="1101"/>
      <c r="E960" s="1101"/>
      <c r="F960" s="1101"/>
      <c r="G960" s="1101"/>
      <c r="H960" s="1101"/>
      <c r="I960" s="1101"/>
      <c r="J960" s="1101"/>
      <c r="K960" s="1101"/>
      <c r="L960" s="1101"/>
      <c r="M960" s="1101"/>
      <c r="N960" s="1101"/>
      <c r="O960" s="1101"/>
      <c r="P960" s="1101"/>
      <c r="Q960" s="1101"/>
      <c r="R960" s="1101"/>
      <c r="S960" s="1101"/>
      <c r="T960" s="1101"/>
      <c r="U960" s="1101"/>
      <c r="V960" s="1101"/>
      <c r="W960" s="1101"/>
      <c r="X960" s="1101"/>
      <c r="Y960" s="1102"/>
      <c r="Z960" s="1102"/>
      <c r="AA960" s="1101"/>
    </row>
    <row r="961" ht="15.75" customHeight="1">
      <c r="A961" s="213"/>
      <c r="B961" s="213"/>
      <c r="C961" s="1101"/>
      <c r="D961" s="1101"/>
      <c r="E961" s="1101"/>
      <c r="F961" s="1101"/>
      <c r="G961" s="1101"/>
      <c r="H961" s="1101"/>
      <c r="I961" s="1101"/>
      <c r="J961" s="1101"/>
      <c r="K961" s="1101"/>
      <c r="L961" s="1101"/>
      <c r="M961" s="1101"/>
      <c r="N961" s="1101"/>
      <c r="O961" s="1101"/>
      <c r="P961" s="1101"/>
      <c r="Q961" s="1101"/>
      <c r="R961" s="1101"/>
      <c r="S961" s="1101"/>
      <c r="T961" s="1101"/>
      <c r="U961" s="1101"/>
      <c r="V961" s="1101"/>
      <c r="W961" s="1101"/>
      <c r="X961" s="1101"/>
      <c r="Y961" s="1102"/>
      <c r="Z961" s="1102"/>
      <c r="AA961" s="1101"/>
    </row>
    <row r="962" ht="15.75" customHeight="1">
      <c r="A962" s="213"/>
      <c r="B962" s="213"/>
      <c r="C962" s="1101"/>
      <c r="D962" s="1101"/>
      <c r="E962" s="1101"/>
      <c r="F962" s="1101"/>
      <c r="G962" s="1101"/>
      <c r="H962" s="1101"/>
      <c r="I962" s="1101"/>
      <c r="J962" s="1101"/>
      <c r="K962" s="1101"/>
      <c r="L962" s="1101"/>
      <c r="M962" s="1101"/>
      <c r="N962" s="1101"/>
      <c r="O962" s="1101"/>
      <c r="P962" s="1101"/>
      <c r="Q962" s="1101"/>
      <c r="R962" s="1101"/>
      <c r="S962" s="1101"/>
      <c r="T962" s="1101"/>
      <c r="U962" s="1101"/>
      <c r="V962" s="1101"/>
      <c r="W962" s="1101"/>
      <c r="X962" s="1101"/>
      <c r="Y962" s="1102"/>
      <c r="Z962" s="1102"/>
      <c r="AA962" s="1101"/>
    </row>
    <row r="963" ht="15.75" customHeight="1">
      <c r="A963" s="213"/>
      <c r="B963" s="213"/>
      <c r="C963" s="1101"/>
      <c r="D963" s="1101"/>
      <c r="E963" s="1101"/>
      <c r="F963" s="1101"/>
      <c r="G963" s="1101"/>
      <c r="H963" s="1101"/>
      <c r="I963" s="1101"/>
      <c r="J963" s="1101"/>
      <c r="K963" s="1101"/>
      <c r="L963" s="1101"/>
      <c r="M963" s="1101"/>
      <c r="N963" s="1101"/>
      <c r="O963" s="1101"/>
      <c r="P963" s="1101"/>
      <c r="Q963" s="1101"/>
      <c r="R963" s="1101"/>
      <c r="S963" s="1101"/>
      <c r="T963" s="1101"/>
      <c r="U963" s="1101"/>
      <c r="V963" s="1101"/>
      <c r="W963" s="1101"/>
      <c r="X963" s="1101"/>
      <c r="Y963" s="1102"/>
      <c r="Z963" s="1102"/>
      <c r="AA963" s="1101"/>
    </row>
    <row r="964" ht="15.75" customHeight="1">
      <c r="A964" s="213"/>
      <c r="B964" s="213"/>
      <c r="C964" s="1101"/>
      <c r="D964" s="1101"/>
      <c r="E964" s="1101"/>
      <c r="F964" s="1101"/>
      <c r="G964" s="1101"/>
      <c r="H964" s="1101"/>
      <c r="I964" s="1101"/>
      <c r="J964" s="1101"/>
      <c r="K964" s="1101"/>
      <c r="L964" s="1101"/>
      <c r="M964" s="1101"/>
      <c r="N964" s="1101"/>
      <c r="O964" s="1101"/>
      <c r="P964" s="1101"/>
      <c r="Q964" s="1101"/>
      <c r="R964" s="1101"/>
      <c r="S964" s="1101"/>
      <c r="T964" s="1101"/>
      <c r="U964" s="1101"/>
      <c r="V964" s="1101"/>
      <c r="W964" s="1101"/>
      <c r="X964" s="1101"/>
      <c r="Y964" s="1102"/>
      <c r="Z964" s="1102"/>
      <c r="AA964" s="1101"/>
    </row>
    <row r="965" ht="15.75" customHeight="1">
      <c r="A965" s="213"/>
      <c r="B965" s="213"/>
      <c r="C965" s="1101"/>
      <c r="D965" s="1101"/>
      <c r="E965" s="1101"/>
      <c r="F965" s="1101"/>
      <c r="G965" s="1101"/>
      <c r="H965" s="1101"/>
      <c r="I965" s="1101"/>
      <c r="J965" s="1101"/>
      <c r="K965" s="1101"/>
      <c r="L965" s="1101"/>
      <c r="M965" s="1101"/>
      <c r="N965" s="1101"/>
      <c r="O965" s="1101"/>
      <c r="P965" s="1101"/>
      <c r="Q965" s="1101"/>
      <c r="R965" s="1101"/>
      <c r="S965" s="1101"/>
      <c r="T965" s="1101"/>
      <c r="U965" s="1101"/>
      <c r="V965" s="1101"/>
      <c r="W965" s="1101"/>
      <c r="X965" s="1101"/>
      <c r="Y965" s="1102"/>
      <c r="Z965" s="1102"/>
      <c r="AA965" s="1101"/>
    </row>
    <row r="966" ht="15.75" customHeight="1">
      <c r="A966" s="213"/>
      <c r="B966" s="213"/>
      <c r="C966" s="1101"/>
      <c r="D966" s="1101"/>
      <c r="E966" s="1101"/>
      <c r="F966" s="1101"/>
      <c r="G966" s="1101"/>
      <c r="H966" s="1101"/>
      <c r="I966" s="1101"/>
      <c r="J966" s="1101"/>
      <c r="K966" s="1101"/>
      <c r="L966" s="1101"/>
      <c r="M966" s="1101"/>
      <c r="N966" s="1101"/>
      <c r="O966" s="1101"/>
      <c r="P966" s="1101"/>
      <c r="Q966" s="1101"/>
      <c r="R966" s="1101"/>
      <c r="S966" s="1101"/>
      <c r="T966" s="1101"/>
      <c r="U966" s="1101"/>
      <c r="V966" s="1101"/>
      <c r="W966" s="1101"/>
      <c r="X966" s="1101"/>
      <c r="Y966" s="1102"/>
      <c r="Z966" s="1102"/>
      <c r="AA966" s="1101"/>
    </row>
    <row r="967" ht="15.75" customHeight="1">
      <c r="A967" s="213"/>
      <c r="B967" s="213"/>
      <c r="C967" s="1101"/>
      <c r="D967" s="1101"/>
      <c r="E967" s="1101"/>
      <c r="F967" s="1101"/>
      <c r="G967" s="1101"/>
      <c r="H967" s="1101"/>
      <c r="I967" s="1101"/>
      <c r="J967" s="1101"/>
      <c r="K967" s="1101"/>
      <c r="L967" s="1101"/>
      <c r="M967" s="1101"/>
      <c r="N967" s="1101"/>
      <c r="O967" s="1101"/>
      <c r="P967" s="1101"/>
      <c r="Q967" s="1101"/>
      <c r="R967" s="1101"/>
      <c r="S967" s="1101"/>
      <c r="T967" s="1101"/>
      <c r="U967" s="1101"/>
      <c r="V967" s="1101"/>
      <c r="W967" s="1101"/>
      <c r="X967" s="1101"/>
      <c r="Y967" s="1102"/>
      <c r="Z967" s="1102"/>
      <c r="AA967" s="1101"/>
    </row>
    <row r="968" ht="15.75" customHeight="1">
      <c r="A968" s="213"/>
      <c r="B968" s="213"/>
      <c r="C968" s="1101"/>
      <c r="D968" s="1101"/>
      <c r="E968" s="1101"/>
      <c r="F968" s="1101"/>
      <c r="G968" s="1101"/>
      <c r="H968" s="1101"/>
      <c r="I968" s="1101"/>
      <c r="J968" s="1101"/>
      <c r="K968" s="1101"/>
      <c r="L968" s="1101"/>
      <c r="M968" s="1101"/>
      <c r="N968" s="1101"/>
      <c r="O968" s="1101"/>
      <c r="P968" s="1101"/>
      <c r="Q968" s="1101"/>
      <c r="R968" s="1101"/>
      <c r="S968" s="1101"/>
      <c r="T968" s="1101"/>
      <c r="U968" s="1101"/>
      <c r="V968" s="1101"/>
      <c r="W968" s="1101"/>
      <c r="X968" s="1101"/>
      <c r="Y968" s="1102"/>
      <c r="Z968" s="1102"/>
      <c r="AA968" s="1101"/>
    </row>
    <row r="969" ht="15.75" customHeight="1">
      <c r="A969" s="213"/>
      <c r="B969" s="213"/>
      <c r="C969" s="1101"/>
      <c r="D969" s="1101"/>
      <c r="E969" s="1101"/>
      <c r="F969" s="1101"/>
      <c r="G969" s="1101"/>
      <c r="H969" s="1101"/>
      <c r="I969" s="1101"/>
      <c r="J969" s="1101"/>
      <c r="K969" s="1101"/>
      <c r="L969" s="1101"/>
      <c r="M969" s="1101"/>
      <c r="N969" s="1101"/>
      <c r="O969" s="1101"/>
      <c r="P969" s="1101"/>
      <c r="Q969" s="1101"/>
      <c r="R969" s="1101"/>
      <c r="S969" s="1101"/>
      <c r="T969" s="1101"/>
      <c r="U969" s="1101"/>
      <c r="V969" s="1101"/>
      <c r="W969" s="1101"/>
      <c r="X969" s="1101"/>
      <c r="Y969" s="1102"/>
      <c r="Z969" s="1102"/>
      <c r="AA969" s="1101"/>
    </row>
    <row r="970" ht="15.75" customHeight="1">
      <c r="A970" s="213"/>
      <c r="B970" s="213"/>
      <c r="C970" s="1101"/>
      <c r="D970" s="1101"/>
      <c r="E970" s="1101"/>
      <c r="F970" s="1101"/>
      <c r="G970" s="1101"/>
      <c r="H970" s="1101"/>
      <c r="I970" s="1101"/>
      <c r="J970" s="1101"/>
      <c r="K970" s="1101"/>
      <c r="L970" s="1101"/>
      <c r="M970" s="1101"/>
      <c r="N970" s="1101"/>
      <c r="O970" s="1101"/>
      <c r="P970" s="1101"/>
      <c r="Q970" s="1101"/>
      <c r="R970" s="1101"/>
      <c r="S970" s="1101"/>
      <c r="T970" s="1101"/>
      <c r="U970" s="1101"/>
      <c r="V970" s="1101"/>
      <c r="W970" s="1101"/>
      <c r="X970" s="1101"/>
      <c r="Y970" s="1102"/>
      <c r="Z970" s="1102"/>
      <c r="AA970" s="1101"/>
    </row>
    <row r="971" ht="15.75" customHeight="1">
      <c r="A971" s="213"/>
      <c r="B971" s="213"/>
      <c r="C971" s="1101"/>
      <c r="D971" s="1101"/>
      <c r="E971" s="1101"/>
      <c r="F971" s="1101"/>
      <c r="G971" s="1101"/>
      <c r="H971" s="1101"/>
      <c r="I971" s="1101"/>
      <c r="J971" s="1101"/>
      <c r="K971" s="1101"/>
      <c r="L971" s="1101"/>
      <c r="M971" s="1101"/>
      <c r="N971" s="1101"/>
      <c r="O971" s="1101"/>
      <c r="P971" s="1101"/>
      <c r="Q971" s="1101"/>
      <c r="R971" s="1101"/>
      <c r="S971" s="1101"/>
      <c r="T971" s="1101"/>
      <c r="U971" s="1101"/>
      <c r="V971" s="1101"/>
      <c r="W971" s="1101"/>
      <c r="X971" s="1101"/>
      <c r="Y971" s="1102"/>
      <c r="Z971" s="1102"/>
      <c r="AA971" s="1101"/>
    </row>
    <row r="972" ht="15.75" customHeight="1">
      <c r="A972" s="213"/>
      <c r="B972" s="213"/>
      <c r="C972" s="1101"/>
      <c r="D972" s="1101"/>
      <c r="E972" s="1101"/>
      <c r="F972" s="1101"/>
      <c r="G972" s="1101"/>
      <c r="H972" s="1101"/>
      <c r="I972" s="1101"/>
      <c r="J972" s="1101"/>
      <c r="K972" s="1101"/>
      <c r="L972" s="1101"/>
      <c r="M972" s="1101"/>
      <c r="N972" s="1101"/>
      <c r="O972" s="1101"/>
      <c r="P972" s="1101"/>
      <c r="Q972" s="1101"/>
      <c r="R972" s="1101"/>
      <c r="S972" s="1101"/>
      <c r="T972" s="1101"/>
      <c r="U972" s="1101"/>
      <c r="V972" s="1101"/>
      <c r="W972" s="1101"/>
      <c r="X972" s="1101"/>
      <c r="Y972" s="1102"/>
      <c r="Z972" s="1102"/>
      <c r="AA972" s="1101"/>
    </row>
    <row r="973" ht="15.75" customHeight="1">
      <c r="A973" s="213"/>
      <c r="B973" s="213"/>
      <c r="C973" s="1101"/>
      <c r="D973" s="1101"/>
      <c r="E973" s="1101"/>
      <c r="F973" s="1101"/>
      <c r="G973" s="1101"/>
      <c r="H973" s="1101"/>
      <c r="I973" s="1101"/>
      <c r="J973" s="1101"/>
      <c r="K973" s="1101"/>
      <c r="L973" s="1101"/>
      <c r="M973" s="1101"/>
      <c r="N973" s="1101"/>
      <c r="O973" s="1101"/>
      <c r="P973" s="1101"/>
      <c r="Q973" s="1101"/>
      <c r="R973" s="1101"/>
      <c r="S973" s="1101"/>
      <c r="T973" s="1101"/>
      <c r="U973" s="1101"/>
      <c r="V973" s="1101"/>
      <c r="W973" s="1101"/>
      <c r="X973" s="1101"/>
      <c r="Y973" s="1102"/>
      <c r="Z973" s="1102"/>
      <c r="AA973" s="1101"/>
    </row>
    <row r="974" ht="15.75" customHeight="1">
      <c r="A974" s="213"/>
      <c r="B974" s="213"/>
      <c r="C974" s="1101"/>
      <c r="D974" s="1101"/>
      <c r="E974" s="1101"/>
      <c r="F974" s="1101"/>
      <c r="G974" s="1101"/>
      <c r="H974" s="1101"/>
      <c r="I974" s="1101"/>
      <c r="J974" s="1101"/>
      <c r="K974" s="1101"/>
      <c r="L974" s="1101"/>
      <c r="M974" s="1101"/>
      <c r="N974" s="1101"/>
      <c r="O974" s="1101"/>
      <c r="P974" s="1101"/>
      <c r="Q974" s="1101"/>
      <c r="R974" s="1101"/>
      <c r="S974" s="1101"/>
      <c r="T974" s="1101"/>
      <c r="U974" s="1101"/>
      <c r="V974" s="1101"/>
      <c r="W974" s="1101"/>
      <c r="X974" s="1101"/>
      <c r="Y974" s="1102"/>
      <c r="Z974" s="1102"/>
      <c r="AA974" s="1101"/>
    </row>
    <row r="975" ht="15.75" customHeight="1">
      <c r="A975" s="213"/>
      <c r="B975" s="213"/>
      <c r="C975" s="1101"/>
      <c r="D975" s="1101"/>
      <c r="E975" s="1101"/>
      <c r="F975" s="1101"/>
      <c r="G975" s="1101"/>
      <c r="H975" s="1101"/>
      <c r="I975" s="1101"/>
      <c r="J975" s="1101"/>
      <c r="K975" s="1101"/>
      <c r="L975" s="1101"/>
      <c r="M975" s="1101"/>
      <c r="N975" s="1101"/>
      <c r="O975" s="1101"/>
      <c r="P975" s="1101"/>
      <c r="Q975" s="1101"/>
      <c r="R975" s="1101"/>
      <c r="S975" s="1101"/>
      <c r="T975" s="1101"/>
      <c r="U975" s="1101"/>
      <c r="V975" s="1101"/>
      <c r="W975" s="1101"/>
      <c r="X975" s="1101"/>
      <c r="Y975" s="1102"/>
      <c r="Z975" s="1102"/>
      <c r="AA975" s="1101"/>
    </row>
    <row r="976" ht="15.75" customHeight="1">
      <c r="A976" s="213"/>
      <c r="B976" s="213"/>
      <c r="C976" s="1101"/>
      <c r="D976" s="1101"/>
      <c r="E976" s="1101"/>
      <c r="F976" s="1101"/>
      <c r="G976" s="1101"/>
      <c r="H976" s="1101"/>
      <c r="I976" s="1101"/>
      <c r="J976" s="1101"/>
      <c r="K976" s="1101"/>
      <c r="L976" s="1101"/>
      <c r="M976" s="1101"/>
      <c r="N976" s="1101"/>
      <c r="O976" s="1101"/>
      <c r="P976" s="1101"/>
      <c r="Q976" s="1101"/>
      <c r="R976" s="1101"/>
      <c r="S976" s="1101"/>
      <c r="T976" s="1101"/>
      <c r="U976" s="1101"/>
      <c r="V976" s="1101"/>
      <c r="W976" s="1101"/>
      <c r="X976" s="1101"/>
      <c r="Y976" s="1102"/>
      <c r="Z976" s="1102"/>
      <c r="AA976" s="1101"/>
    </row>
    <row r="977" ht="15.75" customHeight="1">
      <c r="A977" s="213"/>
      <c r="B977" s="213"/>
      <c r="C977" s="1101"/>
      <c r="D977" s="1101"/>
      <c r="E977" s="1101"/>
      <c r="F977" s="1101"/>
      <c r="G977" s="1101"/>
      <c r="H977" s="1101"/>
      <c r="I977" s="1101"/>
      <c r="J977" s="1101"/>
      <c r="K977" s="1101"/>
      <c r="L977" s="1101"/>
      <c r="M977" s="1101"/>
      <c r="N977" s="1101"/>
      <c r="O977" s="1101"/>
      <c r="P977" s="1101"/>
      <c r="Q977" s="1101"/>
      <c r="R977" s="1101"/>
      <c r="S977" s="1101"/>
      <c r="T977" s="1101"/>
      <c r="U977" s="1101"/>
      <c r="V977" s="1101"/>
      <c r="W977" s="1101"/>
      <c r="X977" s="1101"/>
      <c r="Y977" s="1102"/>
      <c r="Z977" s="1102"/>
      <c r="AA977" s="1101"/>
    </row>
    <row r="978" ht="15.75" customHeight="1">
      <c r="A978" s="213"/>
      <c r="B978" s="213"/>
      <c r="C978" s="1101"/>
      <c r="D978" s="1101"/>
      <c r="E978" s="1101"/>
      <c r="F978" s="1101"/>
      <c r="G978" s="1101"/>
      <c r="H978" s="1101"/>
      <c r="I978" s="1101"/>
      <c r="J978" s="1101"/>
      <c r="K978" s="1101"/>
      <c r="L978" s="1101"/>
      <c r="M978" s="1101"/>
      <c r="N978" s="1101"/>
      <c r="O978" s="1101"/>
      <c r="P978" s="1101"/>
      <c r="Q978" s="1101"/>
      <c r="R978" s="1101"/>
      <c r="S978" s="1101"/>
      <c r="T978" s="1101"/>
      <c r="U978" s="1101"/>
      <c r="V978" s="1101"/>
      <c r="W978" s="1101"/>
      <c r="X978" s="1101"/>
      <c r="Y978" s="1102"/>
      <c r="Z978" s="1102"/>
      <c r="AA978" s="1101"/>
    </row>
    <row r="979" ht="15.75" customHeight="1">
      <c r="A979" s="213"/>
      <c r="B979" s="213"/>
      <c r="C979" s="1101"/>
      <c r="D979" s="1101"/>
      <c r="E979" s="1101"/>
      <c r="F979" s="1101"/>
      <c r="G979" s="1101"/>
      <c r="H979" s="1101"/>
      <c r="I979" s="1101"/>
      <c r="J979" s="1101"/>
      <c r="K979" s="1101"/>
      <c r="L979" s="1101"/>
      <c r="M979" s="1101"/>
      <c r="N979" s="1101"/>
      <c r="O979" s="1101"/>
      <c r="P979" s="1101"/>
      <c r="Q979" s="1101"/>
      <c r="R979" s="1101"/>
      <c r="S979" s="1101"/>
      <c r="T979" s="1101"/>
      <c r="U979" s="1101"/>
      <c r="V979" s="1101"/>
      <c r="W979" s="1101"/>
      <c r="X979" s="1101"/>
      <c r="Y979" s="1102"/>
      <c r="Z979" s="1102"/>
      <c r="AA979" s="1101"/>
    </row>
    <row r="980" ht="15.75" customHeight="1">
      <c r="A980" s="213"/>
      <c r="B980" s="213"/>
      <c r="C980" s="1101"/>
      <c r="D980" s="1101"/>
      <c r="E980" s="1101"/>
      <c r="F980" s="1101"/>
      <c r="G980" s="1101"/>
      <c r="H980" s="1101"/>
      <c r="I980" s="1101"/>
      <c r="J980" s="1101"/>
      <c r="K980" s="1101"/>
      <c r="L980" s="1101"/>
      <c r="M980" s="1101"/>
      <c r="N980" s="1101"/>
      <c r="O980" s="1101"/>
      <c r="P980" s="1101"/>
      <c r="Q980" s="1101"/>
      <c r="R980" s="1101"/>
      <c r="S980" s="1101"/>
      <c r="T980" s="1101"/>
      <c r="U980" s="1101"/>
      <c r="V980" s="1101"/>
      <c r="W980" s="1101"/>
      <c r="X980" s="1101"/>
      <c r="Y980" s="1102"/>
      <c r="Z980" s="1102"/>
      <c r="AA980" s="1101"/>
    </row>
    <row r="981" ht="15.75" customHeight="1">
      <c r="A981" s="213"/>
      <c r="B981" s="213"/>
      <c r="C981" s="1101"/>
      <c r="D981" s="1101"/>
      <c r="E981" s="1101"/>
      <c r="F981" s="1101"/>
      <c r="G981" s="1101"/>
      <c r="H981" s="1101"/>
      <c r="I981" s="1101"/>
      <c r="J981" s="1101"/>
      <c r="K981" s="1101"/>
      <c r="L981" s="1101"/>
      <c r="M981" s="1101"/>
      <c r="N981" s="1101"/>
      <c r="O981" s="1101"/>
      <c r="P981" s="1101"/>
      <c r="Q981" s="1101"/>
      <c r="R981" s="1101"/>
      <c r="S981" s="1101"/>
      <c r="T981" s="1101"/>
      <c r="U981" s="1101"/>
      <c r="V981" s="1101"/>
      <c r="W981" s="1101"/>
      <c r="X981" s="1101"/>
      <c r="Y981" s="1102"/>
      <c r="Z981" s="1102"/>
      <c r="AA981" s="1101"/>
    </row>
    <row r="982" ht="15.75" customHeight="1">
      <c r="A982" s="213"/>
      <c r="B982" s="213"/>
      <c r="C982" s="1101"/>
      <c r="D982" s="1101"/>
      <c r="E982" s="1101"/>
      <c r="F982" s="1101"/>
      <c r="G982" s="1101"/>
      <c r="H982" s="1101"/>
      <c r="I982" s="1101"/>
      <c r="J982" s="1101"/>
      <c r="K982" s="1101"/>
      <c r="L982" s="1101"/>
      <c r="M982" s="1101"/>
      <c r="N982" s="1101"/>
      <c r="O982" s="1101"/>
      <c r="P982" s="1101"/>
      <c r="Q982" s="1101"/>
      <c r="R982" s="1101"/>
      <c r="S982" s="1101"/>
      <c r="T982" s="1101"/>
      <c r="U982" s="1101"/>
      <c r="V982" s="1101"/>
      <c r="W982" s="1101"/>
      <c r="X982" s="1101"/>
      <c r="Y982" s="1102"/>
      <c r="Z982" s="1102"/>
      <c r="AA982" s="1101"/>
    </row>
    <row r="983" ht="15.75" customHeight="1">
      <c r="A983" s="213"/>
      <c r="B983" s="213"/>
      <c r="C983" s="1101"/>
      <c r="D983" s="1101"/>
      <c r="E983" s="1101"/>
      <c r="F983" s="1101"/>
      <c r="G983" s="1101"/>
      <c r="H983" s="1101"/>
      <c r="I983" s="1101"/>
      <c r="J983" s="1101"/>
      <c r="K983" s="1101"/>
      <c r="L983" s="1101"/>
      <c r="M983" s="1101"/>
      <c r="N983" s="1101"/>
      <c r="O983" s="1101"/>
      <c r="P983" s="1101"/>
      <c r="Q983" s="1101"/>
      <c r="R983" s="1101"/>
      <c r="S983" s="1101"/>
      <c r="T983" s="1101"/>
      <c r="U983" s="1101"/>
      <c r="V983" s="1101"/>
      <c r="W983" s="1101"/>
      <c r="X983" s="1101"/>
      <c r="Y983" s="1102"/>
      <c r="Z983" s="1102"/>
      <c r="AA983" s="1101"/>
    </row>
    <row r="984" ht="15.75" customHeight="1">
      <c r="A984" s="213"/>
      <c r="B984" s="213"/>
      <c r="C984" s="1101"/>
      <c r="D984" s="1101"/>
      <c r="E984" s="1101"/>
      <c r="F984" s="1101"/>
      <c r="G984" s="1101"/>
      <c r="H984" s="1101"/>
      <c r="I984" s="1101"/>
      <c r="J984" s="1101"/>
      <c r="K984" s="1101"/>
      <c r="L984" s="1101"/>
      <c r="M984" s="1101"/>
      <c r="N984" s="1101"/>
      <c r="O984" s="1101"/>
      <c r="P984" s="1101"/>
      <c r="Q984" s="1101"/>
      <c r="R984" s="1101"/>
      <c r="S984" s="1101"/>
      <c r="T984" s="1101"/>
      <c r="U984" s="1101"/>
      <c r="V984" s="1101"/>
      <c r="W984" s="1101"/>
      <c r="X984" s="1101"/>
      <c r="Y984" s="1102"/>
      <c r="Z984" s="1102"/>
      <c r="AA984" s="1101"/>
    </row>
    <row r="985" ht="15.75" customHeight="1">
      <c r="A985" s="213"/>
      <c r="B985" s="213"/>
      <c r="C985" s="1101"/>
      <c r="D985" s="1101"/>
      <c r="E985" s="1101"/>
      <c r="F985" s="1101"/>
      <c r="G985" s="1101"/>
      <c r="H985" s="1101"/>
      <c r="I985" s="1101"/>
      <c r="J985" s="1101"/>
      <c r="K985" s="1101"/>
      <c r="L985" s="1101"/>
      <c r="M985" s="1101"/>
      <c r="N985" s="1101"/>
      <c r="O985" s="1101"/>
      <c r="P985" s="1101"/>
      <c r="Q985" s="1101"/>
      <c r="R985" s="1101"/>
      <c r="S985" s="1101"/>
      <c r="T985" s="1101"/>
      <c r="U985" s="1101"/>
      <c r="V985" s="1101"/>
      <c r="W985" s="1101"/>
      <c r="X985" s="1101"/>
      <c r="Y985" s="1102"/>
      <c r="Z985" s="1102"/>
      <c r="AA985" s="1101"/>
    </row>
    <row r="986" ht="15.75" customHeight="1">
      <c r="A986" s="213"/>
      <c r="B986" s="213"/>
      <c r="C986" s="1101"/>
      <c r="D986" s="1101"/>
      <c r="E986" s="1101"/>
      <c r="F986" s="1101"/>
      <c r="G986" s="1101"/>
      <c r="H986" s="1101"/>
      <c r="I986" s="1101"/>
      <c r="J986" s="1101"/>
      <c r="K986" s="1101"/>
      <c r="L986" s="1101"/>
      <c r="M986" s="1101"/>
      <c r="N986" s="1101"/>
      <c r="O986" s="1101"/>
      <c r="P986" s="1101"/>
      <c r="Q986" s="1101"/>
      <c r="R986" s="1101"/>
      <c r="S986" s="1101"/>
      <c r="T986" s="1101"/>
      <c r="U986" s="1101"/>
      <c r="V986" s="1101"/>
      <c r="W986" s="1101"/>
      <c r="X986" s="1101"/>
      <c r="Y986" s="1102"/>
      <c r="Z986" s="1102"/>
      <c r="AA986" s="1101"/>
    </row>
    <row r="987" ht="15.75" customHeight="1">
      <c r="A987" s="213"/>
      <c r="B987" s="213"/>
      <c r="C987" s="1101"/>
      <c r="D987" s="1101"/>
      <c r="E987" s="1101"/>
      <c r="F987" s="1101"/>
      <c r="G987" s="1101"/>
      <c r="H987" s="1101"/>
      <c r="I987" s="1101"/>
      <c r="J987" s="1101"/>
      <c r="K987" s="1101"/>
      <c r="L987" s="1101"/>
      <c r="M987" s="1101"/>
      <c r="N987" s="1101"/>
      <c r="O987" s="1101"/>
      <c r="P987" s="1101"/>
      <c r="Q987" s="1101"/>
      <c r="R987" s="1101"/>
      <c r="S987" s="1101"/>
      <c r="T987" s="1101"/>
      <c r="U987" s="1101"/>
      <c r="V987" s="1101"/>
      <c r="W987" s="1101"/>
      <c r="X987" s="1101"/>
      <c r="Y987" s="1102"/>
      <c r="Z987" s="1102"/>
      <c r="AA987" s="1101"/>
    </row>
    <row r="988" ht="15.75" customHeight="1">
      <c r="A988" s="213"/>
      <c r="B988" s="213"/>
      <c r="C988" s="1101"/>
      <c r="D988" s="1101"/>
      <c r="E988" s="1101"/>
      <c r="F988" s="1101"/>
      <c r="G988" s="1101"/>
      <c r="H988" s="1101"/>
      <c r="I988" s="1101"/>
      <c r="J988" s="1101"/>
      <c r="K988" s="1101"/>
      <c r="L988" s="1101"/>
      <c r="M988" s="1101"/>
      <c r="N988" s="1101"/>
      <c r="O988" s="1101"/>
      <c r="P988" s="1101"/>
      <c r="Q988" s="1101"/>
      <c r="R988" s="1101"/>
      <c r="S988" s="1101"/>
      <c r="T988" s="1101"/>
      <c r="U988" s="1101"/>
      <c r="V988" s="1101"/>
      <c r="W988" s="1101"/>
      <c r="X988" s="1101"/>
      <c r="Y988" s="1102"/>
      <c r="Z988" s="1102"/>
      <c r="AA988" s="1101"/>
    </row>
    <row r="989" ht="15.75" customHeight="1">
      <c r="A989" s="213"/>
      <c r="B989" s="213"/>
      <c r="C989" s="1101"/>
      <c r="D989" s="1101"/>
      <c r="E989" s="1101"/>
      <c r="F989" s="1101"/>
      <c r="G989" s="1101"/>
      <c r="H989" s="1101"/>
      <c r="I989" s="1101"/>
      <c r="J989" s="1101"/>
      <c r="K989" s="1101"/>
      <c r="L989" s="1101"/>
      <c r="M989" s="1101"/>
      <c r="N989" s="1101"/>
      <c r="O989" s="1101"/>
      <c r="P989" s="1101"/>
      <c r="Q989" s="1101"/>
      <c r="R989" s="1101"/>
      <c r="S989" s="1101"/>
      <c r="T989" s="1101"/>
      <c r="U989" s="1101"/>
      <c r="V989" s="1101"/>
      <c r="W989" s="1101"/>
      <c r="X989" s="1101"/>
      <c r="Y989" s="1102"/>
      <c r="Z989" s="1102"/>
      <c r="AA989" s="1101"/>
    </row>
    <row r="990" ht="15.75" customHeight="1">
      <c r="A990" s="213"/>
      <c r="B990" s="213"/>
      <c r="C990" s="1101"/>
      <c r="D990" s="1101"/>
      <c r="E990" s="1101"/>
      <c r="F990" s="1101"/>
      <c r="G990" s="1101"/>
      <c r="H990" s="1101"/>
      <c r="I990" s="1101"/>
      <c r="J990" s="1101"/>
      <c r="K990" s="1101"/>
      <c r="L990" s="1101"/>
      <c r="M990" s="1101"/>
      <c r="N990" s="1101"/>
      <c r="O990" s="1101"/>
      <c r="P990" s="1101"/>
      <c r="Q990" s="1101"/>
      <c r="R990" s="1101"/>
      <c r="S990" s="1101"/>
      <c r="T990" s="1101"/>
      <c r="U990" s="1101"/>
      <c r="V990" s="1101"/>
      <c r="W990" s="1101"/>
      <c r="X990" s="1101"/>
      <c r="Y990" s="1102"/>
      <c r="Z990" s="1102"/>
      <c r="AA990" s="1101"/>
    </row>
    <row r="991" ht="15.75" customHeight="1">
      <c r="A991" s="213"/>
      <c r="B991" s="213"/>
      <c r="C991" s="1101"/>
      <c r="D991" s="1101"/>
      <c r="E991" s="1101"/>
      <c r="F991" s="1101"/>
      <c r="G991" s="1101"/>
      <c r="H991" s="1101"/>
      <c r="I991" s="1101"/>
      <c r="J991" s="1101"/>
      <c r="K991" s="1101"/>
      <c r="L991" s="1101"/>
      <c r="M991" s="1101"/>
      <c r="N991" s="1101"/>
      <c r="O991" s="1101"/>
      <c r="P991" s="1101"/>
      <c r="Q991" s="1101"/>
      <c r="R991" s="1101"/>
      <c r="S991" s="1101"/>
      <c r="T991" s="1101"/>
      <c r="U991" s="1101"/>
      <c r="V991" s="1101"/>
      <c r="W991" s="1101"/>
      <c r="X991" s="1101"/>
      <c r="Y991" s="1102"/>
      <c r="Z991" s="1102"/>
      <c r="AA991" s="1101"/>
    </row>
    <row r="992" ht="15.75" customHeight="1">
      <c r="A992" s="213"/>
      <c r="B992" s="213"/>
      <c r="C992" s="1101"/>
      <c r="D992" s="1101"/>
      <c r="E992" s="1101"/>
      <c r="F992" s="1101"/>
      <c r="G992" s="1101"/>
      <c r="H992" s="1101"/>
      <c r="I992" s="1101"/>
      <c r="J992" s="1101"/>
      <c r="K992" s="1101"/>
      <c r="L992" s="1101"/>
      <c r="M992" s="1101"/>
      <c r="N992" s="1101"/>
      <c r="O992" s="1101"/>
      <c r="P992" s="1101"/>
      <c r="Q992" s="1101"/>
      <c r="R992" s="1101"/>
      <c r="S992" s="1101"/>
      <c r="T992" s="1101"/>
      <c r="U992" s="1101"/>
      <c r="V992" s="1101"/>
      <c r="W992" s="1101"/>
      <c r="X992" s="1101"/>
      <c r="Y992" s="1102"/>
      <c r="Z992" s="1102"/>
      <c r="AA992" s="1101"/>
    </row>
    <row r="993" ht="15.75" customHeight="1">
      <c r="A993" s="213"/>
      <c r="B993" s="213"/>
      <c r="C993" s="1101"/>
      <c r="D993" s="1101"/>
      <c r="E993" s="1101"/>
      <c r="F993" s="1101"/>
      <c r="G993" s="1101"/>
      <c r="H993" s="1101"/>
      <c r="I993" s="1101"/>
      <c r="J993" s="1101"/>
      <c r="K993" s="1101"/>
      <c r="L993" s="1101"/>
      <c r="M993" s="1101"/>
      <c r="N993" s="1101"/>
      <c r="O993" s="1101"/>
      <c r="P993" s="1101"/>
      <c r="Q993" s="1101"/>
      <c r="R993" s="1101"/>
      <c r="S993" s="1101"/>
      <c r="T993" s="1101"/>
      <c r="U993" s="1101"/>
      <c r="V993" s="1101"/>
      <c r="W993" s="1101"/>
      <c r="X993" s="1101"/>
      <c r="Y993" s="1102"/>
      <c r="Z993" s="1102"/>
      <c r="AA993" s="1101"/>
    </row>
    <row r="994" ht="15.75" customHeight="1">
      <c r="A994" s="213"/>
      <c r="B994" s="213"/>
      <c r="C994" s="1101"/>
      <c r="D994" s="1101"/>
      <c r="E994" s="1101"/>
      <c r="F994" s="1101"/>
      <c r="G994" s="1101"/>
      <c r="H994" s="1101"/>
      <c r="I994" s="1101"/>
      <c r="J994" s="1101"/>
      <c r="K994" s="1101"/>
      <c r="L994" s="1101"/>
      <c r="M994" s="1101"/>
      <c r="N994" s="1101"/>
      <c r="O994" s="1101"/>
      <c r="P994" s="1101"/>
      <c r="Q994" s="1101"/>
      <c r="R994" s="1101"/>
      <c r="S994" s="1101"/>
      <c r="T994" s="1101"/>
      <c r="U994" s="1101"/>
      <c r="V994" s="1101"/>
      <c r="W994" s="1101"/>
      <c r="X994" s="1101"/>
      <c r="Y994" s="1102"/>
      <c r="Z994" s="1102"/>
      <c r="AA994" s="1101"/>
    </row>
    <row r="995" ht="15.75" customHeight="1">
      <c r="A995" s="213"/>
      <c r="B995" s="213"/>
      <c r="C995" s="1101"/>
      <c r="D995" s="1101"/>
      <c r="E995" s="1101"/>
      <c r="F995" s="1101"/>
      <c r="G995" s="1101"/>
      <c r="H995" s="1101"/>
      <c r="I995" s="1101"/>
      <c r="J995" s="1101"/>
      <c r="K995" s="1101"/>
      <c r="L995" s="1101"/>
      <c r="M995" s="1101"/>
      <c r="N995" s="1101"/>
      <c r="O995" s="1101"/>
      <c r="P995" s="1101"/>
      <c r="Q995" s="1101"/>
      <c r="R995" s="1101"/>
      <c r="S995" s="1101"/>
      <c r="T995" s="1101"/>
      <c r="U995" s="1101"/>
      <c r="V995" s="1101"/>
      <c r="W995" s="1101"/>
      <c r="X995" s="1101"/>
      <c r="Y995" s="1102"/>
      <c r="Z995" s="1102"/>
      <c r="AA995" s="1101"/>
    </row>
    <row r="996" ht="15.75" customHeight="1">
      <c r="A996" s="213"/>
      <c r="B996" s="213"/>
      <c r="C996" s="1101"/>
      <c r="D996" s="1101"/>
      <c r="E996" s="1101"/>
      <c r="F996" s="1101"/>
      <c r="G996" s="1101"/>
      <c r="H996" s="1101"/>
      <c r="I996" s="1101"/>
      <c r="J996" s="1101"/>
      <c r="K996" s="1101"/>
      <c r="L996" s="1101"/>
      <c r="M996" s="1101"/>
      <c r="N996" s="1101"/>
      <c r="O996" s="1101"/>
      <c r="P996" s="1101"/>
      <c r="Q996" s="1101"/>
      <c r="R996" s="1101"/>
      <c r="S996" s="1101"/>
      <c r="T996" s="1101"/>
      <c r="U996" s="1101"/>
      <c r="V996" s="1101"/>
      <c r="W996" s="1101"/>
      <c r="X996" s="1101"/>
      <c r="Y996" s="1102"/>
      <c r="Z996" s="1102"/>
      <c r="AA996" s="1101"/>
    </row>
    <row r="997" ht="15.75" customHeight="1">
      <c r="A997" s="213"/>
      <c r="B997" s="213"/>
      <c r="C997" s="1101"/>
      <c r="D997" s="1101"/>
      <c r="E997" s="1101"/>
      <c r="F997" s="1101"/>
      <c r="G997" s="1101"/>
      <c r="H997" s="1101"/>
      <c r="I997" s="1101"/>
      <c r="J997" s="1101"/>
      <c r="K997" s="1101"/>
      <c r="L997" s="1101"/>
      <c r="M997" s="1101"/>
      <c r="N997" s="1101"/>
      <c r="O997" s="1101"/>
      <c r="P997" s="1101"/>
      <c r="Q997" s="1101"/>
      <c r="R997" s="1101"/>
      <c r="S997" s="1101"/>
      <c r="T997" s="1101"/>
      <c r="U997" s="1101"/>
      <c r="V997" s="1101"/>
      <c r="W997" s="1101"/>
      <c r="X997" s="1101"/>
      <c r="Y997" s="1102"/>
      <c r="Z997" s="1102"/>
      <c r="AA997" s="1101"/>
    </row>
    <row r="998" ht="15.75" customHeight="1">
      <c r="A998" s="213"/>
      <c r="B998" s="213"/>
      <c r="C998" s="1101"/>
      <c r="D998" s="1101"/>
      <c r="E998" s="1101"/>
      <c r="F998" s="1101"/>
      <c r="G998" s="1101"/>
      <c r="H998" s="1101"/>
      <c r="I998" s="1101"/>
      <c r="J998" s="1101"/>
      <c r="K998" s="1101"/>
      <c r="L998" s="1101"/>
      <c r="M998" s="1101"/>
      <c r="N998" s="1101"/>
      <c r="O998" s="1101"/>
      <c r="P998" s="1101"/>
      <c r="Q998" s="1101"/>
      <c r="R998" s="1101"/>
      <c r="S998" s="1101"/>
      <c r="T998" s="1101"/>
      <c r="U998" s="1101"/>
      <c r="V998" s="1101"/>
      <c r="W998" s="1101"/>
      <c r="X998" s="1101"/>
      <c r="Y998" s="1102"/>
      <c r="Z998" s="1102"/>
      <c r="AA998" s="1101"/>
    </row>
    <row r="999" ht="15.75" customHeight="1">
      <c r="A999" s="213"/>
      <c r="B999" s="213"/>
      <c r="C999" s="1101"/>
      <c r="D999" s="1101"/>
      <c r="E999" s="1101"/>
      <c r="F999" s="1101"/>
      <c r="G999" s="1101"/>
      <c r="H999" s="1101"/>
      <c r="I999" s="1101"/>
      <c r="J999" s="1101"/>
      <c r="K999" s="1101"/>
      <c r="L999" s="1101"/>
      <c r="M999" s="1101"/>
      <c r="N999" s="1101"/>
      <c r="O999" s="1101"/>
      <c r="P999" s="1101"/>
      <c r="Q999" s="1101"/>
      <c r="R999" s="1101"/>
      <c r="S999" s="1101"/>
      <c r="T999" s="1101"/>
      <c r="U999" s="1101"/>
      <c r="V999" s="1101"/>
      <c r="W999" s="1101"/>
      <c r="X999" s="1101"/>
      <c r="Y999" s="1102"/>
      <c r="Z999" s="1102"/>
      <c r="AA999" s="1101"/>
    </row>
    <row r="1000" ht="15.75" customHeight="1">
      <c r="A1000" s="213"/>
      <c r="B1000" s="213"/>
      <c r="C1000" s="1101"/>
      <c r="D1000" s="1101"/>
      <c r="E1000" s="1101"/>
      <c r="F1000" s="1101"/>
      <c r="G1000" s="1101"/>
      <c r="H1000" s="1101"/>
      <c r="I1000" s="1101"/>
      <c r="J1000" s="1101"/>
      <c r="K1000" s="1101"/>
      <c r="L1000" s="1101"/>
      <c r="M1000" s="1101"/>
      <c r="N1000" s="1101"/>
      <c r="O1000" s="1101"/>
      <c r="P1000" s="1101"/>
      <c r="Q1000" s="1101"/>
      <c r="R1000" s="1101"/>
      <c r="S1000" s="1101"/>
      <c r="T1000" s="1101"/>
      <c r="U1000" s="1101"/>
      <c r="V1000" s="1101"/>
      <c r="W1000" s="1101"/>
      <c r="X1000" s="1101"/>
      <c r="Y1000" s="1102"/>
      <c r="Z1000" s="1102"/>
      <c r="AA1000" s="1101"/>
    </row>
  </sheetData>
  <mergeCells count="14">
    <mergeCell ref="Q8:R8"/>
    <mergeCell ref="S8:T8"/>
    <mergeCell ref="U8:V8"/>
    <mergeCell ref="W8:X8"/>
    <mergeCell ref="Y8:Y9"/>
    <mergeCell ref="Z8:Z9"/>
    <mergeCell ref="AA8:AA9"/>
    <mergeCell ref="C8:D8"/>
    <mergeCell ref="E8:F8"/>
    <mergeCell ref="G8:H8"/>
    <mergeCell ref="I8:J8"/>
    <mergeCell ref="K8:L8"/>
    <mergeCell ref="M8:N8"/>
    <mergeCell ref="O8:P8"/>
  </mergeCells>
  <printOptions horizontalCentered="1"/>
  <pageMargins bottom="0.1968503937007874" footer="0.0" header="0.0" left="0.1968503937007874" right="0.1968503937007874" top="0.1968503937007874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2026-04-14T07:10:38Z</dcterms:created>
  <dc:creator>admin</dc:creator>
</cp:coreProperties>
</file>